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pivotTables/pivotTable2.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pivotTables/pivotTable3.xml" ContentType="application/vnd.openxmlformats-officedocument.spreadsheetml.pivot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pivotTables/pivotTable4.xml" ContentType="application/vnd.openxmlformats-officedocument.spreadsheetml.pivotTable+xml"/>
  <Override PartName="/xl/drawings/drawing9.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E:\CARP FILES\CARP REPORTS\JEV AND SAODB\2023\12. December 2023 JEV and SAODB\"/>
    </mc:Choice>
  </mc:AlternateContent>
  <bookViews>
    <workbookView xWindow="-105" yWindow="-105" windowWidth="19425" windowHeight="10425" tabRatio="925" firstSheet="11" activeTab="19"/>
  </bookViews>
  <sheets>
    <sheet name="TB" sheetId="335" state="hidden" r:id="rId1"/>
    <sheet name="TB (NEW)" sheetId="387" state="hidden" r:id="rId2"/>
    <sheet name="IES" sheetId="337" state="hidden" r:id="rId3"/>
    <sheet name="BS" sheetId="325" state="hidden" r:id="rId4"/>
    <sheet name="CF" sheetId="338" state="hidden" r:id="rId5"/>
    <sheet name="Account" sheetId="2" r:id="rId6"/>
    <sheet name="PostTB" sheetId="319" r:id="rId7"/>
    <sheet name="CRDJ" sheetId="317" r:id="rId8"/>
    <sheet name="CRDJ Pivot" sheetId="358" r:id="rId9"/>
    <sheet name="JEV CRD" sheetId="330" r:id="rId10"/>
    <sheet name="CRDJournal" sheetId="420" state="hidden" r:id="rId11"/>
    <sheet name="CkDJ" sheetId="310" r:id="rId12"/>
    <sheet name="CkDJ Pivot" sheetId="356" r:id="rId13"/>
    <sheet name="JEV Check" sheetId="341" r:id="rId14"/>
    <sheet name="CkDJournal" sheetId="421" state="hidden" r:id="rId15"/>
    <sheet name="CsDJ" sheetId="316" r:id="rId16"/>
    <sheet name="CsDJ Pivot" sheetId="357" r:id="rId17"/>
    <sheet name="CSDJournal" sheetId="422" state="hidden" r:id="rId18"/>
    <sheet name="JEV CsDJ" sheetId="328" r:id="rId19"/>
    <sheet name="GJ" sheetId="318" r:id="rId20"/>
    <sheet name="GJ Pivot" sheetId="359" r:id="rId21"/>
    <sheet name="JEV GJ" sheetId="331" r:id="rId22"/>
    <sheet name="General Ledger" sheetId="354" r:id="rId23"/>
    <sheet name="GL" sheetId="254" r:id="rId24"/>
    <sheet name="GLperSC1" sheetId="324" r:id="rId25"/>
    <sheet name="GLperSC2" sheetId="339" state="hidden" r:id="rId26"/>
    <sheet name="CF (2)" sheetId="343" state="hidden" r:id="rId27"/>
    <sheet name="SL Balances" sheetId="346" r:id="rId28"/>
    <sheet name="SLperSC1" sheetId="353" r:id="rId29"/>
    <sheet name="Sheet1" sheetId="423" state="hidden" r:id="rId30"/>
    <sheet name="Sheet2" sheetId="424" state="hidden" r:id="rId31"/>
    <sheet name="SLperSC2" sheetId="345" state="hidden" r:id="rId32"/>
    <sheet name="BUR" sheetId="406" state="hidden" r:id="rId33"/>
    <sheet name="BUR (2)" sheetId="411" state="hidden" r:id="rId34"/>
    <sheet name="BUR (VIG zero out)" sheetId="410" state="hidden" r:id="rId35"/>
    <sheet name="SOEI (as of)" sheetId="347" state="hidden" r:id="rId36"/>
    <sheet name="SOEI (for the)" sheetId="348" state="hidden" r:id="rId37"/>
    <sheet name="REVGEN (1)" sheetId="360" state="hidden" r:id="rId38"/>
    <sheet name="REVGEN (2)" sheetId="389" state="hidden" r:id="rId39"/>
    <sheet name="REVGEN (3)" sheetId="407" state="hidden" r:id="rId40"/>
    <sheet name="REVGEN (4)" sheetId="408" state="hidden" r:id="rId41"/>
    <sheet name="REVGEN (2)(1)" sheetId="392" state="hidden" r:id="rId42"/>
    <sheet name="REVGEN (2)(2)" sheetId="395" state="hidden" r:id="rId43"/>
    <sheet name="REVGEN (2)(3)" sheetId="396" state="hidden" r:id="rId44"/>
    <sheet name="REVGEN (2)(4)" sheetId="397" state="hidden" r:id="rId45"/>
    <sheet name="REVGEN (3)(1)" sheetId="393" state="hidden" r:id="rId46"/>
    <sheet name="REVGEN (3)(2)" sheetId="398" state="hidden" r:id="rId47"/>
    <sheet name="REVGEN (3)(3)" sheetId="399" state="hidden" r:id="rId48"/>
    <sheet name="REVGEN (3)(4)" sheetId="401" state="hidden" r:id="rId49"/>
    <sheet name="REVGEN (4)(1)" sheetId="394" state="hidden" r:id="rId50"/>
    <sheet name="REVGEN (4)(2)" sheetId="402" state="hidden" r:id="rId51"/>
    <sheet name="REVGEN (4)(3)" sheetId="403" state="hidden" r:id="rId52"/>
    <sheet name="REVGEN (4)(4)" sheetId="404" state="hidden" r:id="rId53"/>
    <sheet name="REVGEN (4)(5)" sheetId="405" state="hidden" r:id="rId54"/>
    <sheet name="REVGEN (Summary)" sheetId="388" state="hidden" r:id="rId55"/>
    <sheet name="REVGEN (Overall)" sheetId="391" state="hidden" r:id="rId56"/>
    <sheet name="Rev Exp (1)" sheetId="418" state="hidden" r:id="rId57"/>
    <sheet name="Rev Exp (2)" sheetId="413" state="hidden" r:id="rId58"/>
    <sheet name="Rev Exp (3)" sheetId="416" state="hidden" r:id="rId59"/>
    <sheet name="Rev Exp (4)" sheetId="417" state="hidden" r:id="rId60"/>
    <sheet name="RevExp RIO" sheetId="412" state="hidden" r:id="rId61"/>
    <sheet name="Monthly Cash Program Ofc" sheetId="365" state="hidden" r:id="rId62"/>
    <sheet name="Monthly Cash Program Sort" sheetId="385" state="hidden" r:id="rId63"/>
    <sheet name="Monthly Cash Program Summary" sheetId="386" state="hidden" r:id="rId64"/>
    <sheet name="Budget Data" sheetId="383" state="hidden" r:id="rId65"/>
  </sheets>
  <externalReferences>
    <externalReference r:id="rId66"/>
    <externalReference r:id="rId67"/>
  </externalReferences>
  <definedNames>
    <definedName name="_xlnm._FilterDatabase" localSheetId="3" hidden="1">BS!$G$10:$G$144</definedName>
    <definedName name="_xlnm._FilterDatabase" localSheetId="11" hidden="1">CkDJ!$L$2:$L$631</definedName>
    <definedName name="_xlnm._FilterDatabase" localSheetId="7" hidden="1">CRDJ!$I$3:$I$15</definedName>
    <definedName name="_xlnm._FilterDatabase" localSheetId="15" hidden="1">CsDJ!$L$2:$L$110</definedName>
    <definedName name="_xlnm._FilterDatabase" localSheetId="19" hidden="1">GJ!$I$9:$I$410</definedName>
    <definedName name="_xlnm._FilterDatabase" localSheetId="2" hidden="1">IES!$I$9:$I$154</definedName>
    <definedName name="_xlnm._FilterDatabase" localSheetId="6" hidden="1">PostTB!$I$3:$I$74</definedName>
    <definedName name="_xlnm._FilterDatabase" localSheetId="27" hidden="1">'SL Balances'!$A$1:$H$11</definedName>
    <definedName name="_xlnm._FilterDatabase" localSheetId="0" hidden="1">TB!$H$9:$H$331</definedName>
    <definedName name="_xlnm._FilterDatabase" localSheetId="1" hidden="1">'TB (NEW)'!$H$9:$H$334</definedName>
    <definedName name="a" localSheetId="64">#REF!</definedName>
    <definedName name="a" localSheetId="33">#REF!</definedName>
    <definedName name="a" localSheetId="34">#REF!</definedName>
    <definedName name="a" localSheetId="26">#REF!</definedName>
    <definedName name="a" localSheetId="14">#REF!</definedName>
    <definedName name="a" localSheetId="7">#REF!</definedName>
    <definedName name="a" localSheetId="10">#REF!</definedName>
    <definedName name="a" localSheetId="15">#REF!</definedName>
    <definedName name="a" localSheetId="17">#REF!</definedName>
    <definedName name="a" localSheetId="22">#REF!</definedName>
    <definedName name="a" localSheetId="19">#REF!</definedName>
    <definedName name="a" localSheetId="24">#REF!</definedName>
    <definedName name="a" localSheetId="25">#REF!</definedName>
    <definedName name="a" localSheetId="2">#REF!</definedName>
    <definedName name="a" localSheetId="13">#REF!</definedName>
    <definedName name="a" localSheetId="9">#REF!</definedName>
    <definedName name="a" localSheetId="18">#REF!</definedName>
    <definedName name="a" localSheetId="21">#REF!</definedName>
    <definedName name="a" localSheetId="62">#REF!</definedName>
    <definedName name="a" localSheetId="63">#REF!</definedName>
    <definedName name="a" localSheetId="56">#REF!</definedName>
    <definedName name="a" localSheetId="57">#REF!</definedName>
    <definedName name="a" localSheetId="58">#REF!</definedName>
    <definedName name="a" localSheetId="59">#REF!</definedName>
    <definedName name="a" localSheetId="60">#REF!</definedName>
    <definedName name="a" localSheetId="37">#REF!</definedName>
    <definedName name="a" localSheetId="38">#REF!</definedName>
    <definedName name="a" localSheetId="41">#REF!</definedName>
    <definedName name="a" localSheetId="42">#REF!</definedName>
    <definedName name="a" localSheetId="43">#REF!</definedName>
    <definedName name="a" localSheetId="44">#REF!</definedName>
    <definedName name="a" localSheetId="39">#REF!</definedName>
    <definedName name="a" localSheetId="45">#REF!</definedName>
    <definedName name="a" localSheetId="46">#REF!</definedName>
    <definedName name="a" localSheetId="47">#REF!</definedName>
    <definedName name="a" localSheetId="48">#REF!</definedName>
    <definedName name="a" localSheetId="40">#REF!</definedName>
    <definedName name="a" localSheetId="49">#REF!</definedName>
    <definedName name="a" localSheetId="50">#REF!</definedName>
    <definedName name="a" localSheetId="51">#REF!</definedName>
    <definedName name="a" localSheetId="52">#REF!</definedName>
    <definedName name="a" localSheetId="53">#REF!</definedName>
    <definedName name="a" localSheetId="54">#REF!</definedName>
    <definedName name="a" localSheetId="27">#REF!</definedName>
    <definedName name="a" localSheetId="28">#REF!</definedName>
    <definedName name="a" localSheetId="31">#REF!</definedName>
    <definedName name="a" localSheetId="0">#REF!</definedName>
    <definedName name="a" localSheetId="1">#REF!</definedName>
    <definedName name="a">#REF!</definedName>
    <definedName name="Accounts">Account!$A$2:$C$335</definedName>
    <definedName name="ASDF" localSheetId="64">#REF!</definedName>
    <definedName name="ASDF" localSheetId="33">#REF!</definedName>
    <definedName name="ASDF" localSheetId="34">#REF!</definedName>
    <definedName name="ASDF" localSheetId="26">#REF!</definedName>
    <definedName name="ASDF" localSheetId="14">#REF!</definedName>
    <definedName name="ASDF" localSheetId="7">#REF!</definedName>
    <definedName name="ASDF" localSheetId="10">#REF!</definedName>
    <definedName name="ASDF" localSheetId="15">#REF!</definedName>
    <definedName name="ASDF" localSheetId="17">#REF!</definedName>
    <definedName name="ASDF" localSheetId="22">#REF!</definedName>
    <definedName name="ASDF" localSheetId="19">#REF!</definedName>
    <definedName name="ASDF" localSheetId="24">#REF!</definedName>
    <definedName name="ASDF" localSheetId="25">#REF!</definedName>
    <definedName name="ASDF" localSheetId="2">#REF!</definedName>
    <definedName name="ASDF" localSheetId="13">#REF!</definedName>
    <definedName name="ASDF" localSheetId="9">#REF!</definedName>
    <definedName name="ASDF" localSheetId="18">#REF!</definedName>
    <definedName name="ASDF" localSheetId="21">#REF!</definedName>
    <definedName name="ASDF" localSheetId="62">#REF!</definedName>
    <definedName name="ASDF" localSheetId="63">#REF!</definedName>
    <definedName name="ASDF" localSheetId="56">#REF!</definedName>
    <definedName name="ASDF" localSheetId="57">#REF!</definedName>
    <definedName name="ASDF" localSheetId="58">#REF!</definedName>
    <definedName name="ASDF" localSheetId="59">#REF!</definedName>
    <definedName name="ASDF" localSheetId="60">#REF!</definedName>
    <definedName name="ASDF" localSheetId="37">#REF!</definedName>
    <definedName name="ASDF" localSheetId="38">#REF!</definedName>
    <definedName name="ASDF" localSheetId="41">#REF!</definedName>
    <definedName name="ASDF" localSheetId="42">#REF!</definedName>
    <definedName name="ASDF" localSheetId="43">#REF!</definedName>
    <definedName name="ASDF" localSheetId="44">#REF!</definedName>
    <definedName name="ASDF" localSheetId="39">#REF!</definedName>
    <definedName name="ASDF" localSheetId="45">#REF!</definedName>
    <definedName name="ASDF" localSheetId="46">#REF!</definedName>
    <definedName name="ASDF" localSheetId="47">#REF!</definedName>
    <definedName name="ASDF" localSheetId="48">#REF!</definedName>
    <definedName name="ASDF" localSheetId="40">#REF!</definedName>
    <definedName name="ASDF" localSheetId="49">#REF!</definedName>
    <definedName name="ASDF" localSheetId="50">#REF!</definedName>
    <definedName name="ASDF" localSheetId="51">#REF!</definedName>
    <definedName name="ASDF" localSheetId="52">#REF!</definedName>
    <definedName name="ASDF" localSheetId="53">#REF!</definedName>
    <definedName name="ASDF" localSheetId="54">#REF!</definedName>
    <definedName name="ASDF" localSheetId="27">#REF!</definedName>
    <definedName name="ASDF" localSheetId="28">#REF!</definedName>
    <definedName name="ASDF" localSheetId="31">#REF!</definedName>
    <definedName name="ASDF" localSheetId="0">#REF!</definedName>
    <definedName name="ASDF" localSheetId="1">#REF!</definedName>
    <definedName name="ASDF">#REF!</definedName>
    <definedName name="Cashier">Account!$F$5:$F$10</definedName>
    <definedName name="Category">Account!$F$26:$F$53</definedName>
    <definedName name="CDJ" localSheetId="64">#REF!</definedName>
    <definedName name="CDJ" localSheetId="33">#REF!</definedName>
    <definedName name="CDJ" localSheetId="34">#REF!</definedName>
    <definedName name="CDJ" localSheetId="26">#REF!</definedName>
    <definedName name="CDJ" localSheetId="14">#REF!</definedName>
    <definedName name="CDJ" localSheetId="7">#REF!</definedName>
    <definedName name="CDJ" localSheetId="10">#REF!</definedName>
    <definedName name="CDJ" localSheetId="15">#REF!</definedName>
    <definedName name="CDJ" localSheetId="17">#REF!</definedName>
    <definedName name="CDJ" localSheetId="22">#REF!</definedName>
    <definedName name="CDJ" localSheetId="19">#REF!</definedName>
    <definedName name="CDJ" localSheetId="24">#REF!</definedName>
    <definedName name="CDJ" localSheetId="25">#REF!</definedName>
    <definedName name="CDJ" localSheetId="2">#REF!</definedName>
    <definedName name="CDJ" localSheetId="13">#REF!</definedName>
    <definedName name="CDJ" localSheetId="9">#REF!</definedName>
    <definedName name="CDJ" localSheetId="18">#REF!</definedName>
    <definedName name="CDJ" localSheetId="21">#REF!</definedName>
    <definedName name="CDJ" localSheetId="62">#REF!</definedName>
    <definedName name="CDJ" localSheetId="63">#REF!</definedName>
    <definedName name="CDJ" localSheetId="56">#REF!</definedName>
    <definedName name="CDJ" localSheetId="57">#REF!</definedName>
    <definedName name="CDJ" localSheetId="58">#REF!</definedName>
    <definedName name="CDJ" localSheetId="59">#REF!</definedName>
    <definedName name="CDJ" localSheetId="60">#REF!</definedName>
    <definedName name="CDJ" localSheetId="37">#REF!</definedName>
    <definedName name="CDJ" localSheetId="38">#REF!</definedName>
    <definedName name="CDJ" localSheetId="41">#REF!</definedName>
    <definedName name="CDJ" localSheetId="42">#REF!</definedName>
    <definedName name="CDJ" localSheetId="43">#REF!</definedName>
    <definedName name="CDJ" localSheetId="44">#REF!</definedName>
    <definedName name="CDJ" localSheetId="39">#REF!</definedName>
    <definedName name="CDJ" localSheetId="45">#REF!</definedName>
    <definedName name="CDJ" localSheetId="46">#REF!</definedName>
    <definedName name="CDJ" localSheetId="47">#REF!</definedName>
    <definedName name="CDJ" localSheetId="48">#REF!</definedName>
    <definedName name="CDJ" localSheetId="40">#REF!</definedName>
    <definedName name="CDJ" localSheetId="49">#REF!</definedName>
    <definedName name="CDJ" localSheetId="50">#REF!</definedName>
    <definedName name="CDJ" localSheetId="51">#REF!</definedName>
    <definedName name="CDJ" localSheetId="52">#REF!</definedName>
    <definedName name="CDJ" localSheetId="53">#REF!</definedName>
    <definedName name="CDJ" localSheetId="54">#REF!</definedName>
    <definedName name="CDJ" localSheetId="27">#REF!</definedName>
    <definedName name="CDJ" localSheetId="28">#REF!</definedName>
    <definedName name="CDJ" localSheetId="31">#REF!</definedName>
    <definedName name="CDJ" localSheetId="0">#REF!</definedName>
    <definedName name="CDJ" localSheetId="1">#REF!</definedName>
    <definedName name="CDJ">#REF!</definedName>
    <definedName name="Code">Account!$A$2:$D$335</definedName>
    <definedName name="Office">Account!$G$5:$G$10</definedName>
    <definedName name="_xlnm.Print_Area" localSheetId="5">Account!$A$143:$D$147</definedName>
    <definedName name="_xlnm.Print_Area" localSheetId="11">CkDJ!$A$1:$P$636</definedName>
    <definedName name="_xlnm.Print_Area" localSheetId="7">CRDJ!$A:$K</definedName>
    <definedName name="_xlnm.Print_Area" localSheetId="10">CRDJournal!$A:$R</definedName>
    <definedName name="_xlnm.Print_Area" localSheetId="15">CsDJ!$A$1:$P$58</definedName>
    <definedName name="_xlnm.Print_Area" localSheetId="17">CSDJournal!$A:$R</definedName>
    <definedName name="_xlnm.Print_Area" localSheetId="13">'JEV Check'!$A$1:$V$91</definedName>
    <definedName name="_xlnm.Print_Area" localSheetId="21">'JEV GJ'!$A$1:$V$83</definedName>
    <definedName name="_xlnm.Print_Area" localSheetId="6">PostTB!$A$1:$N$84</definedName>
    <definedName name="_xlnm.Print_Area" localSheetId="55">'REVGEN (Overall)'!$A:$Q</definedName>
    <definedName name="_xlnm.Print_Area" localSheetId="28">SLperSC1!$A$1:$G$20</definedName>
    <definedName name="_xlnm.Print_Area" localSheetId="1">'TB (NEW)'!$A:$G</definedName>
    <definedName name="_xlnm.Print_Titles" localSheetId="5">Account!$1:$1</definedName>
    <definedName name="_xlnm.Print_Titles" localSheetId="3">BS!$2:$10</definedName>
    <definedName name="_xlnm.Print_Titles" localSheetId="32">BUR!$1:$12</definedName>
    <definedName name="_xlnm.Print_Titles" localSheetId="33">'BUR (2)'!$1:$12</definedName>
    <definedName name="_xlnm.Print_Titles" localSheetId="34">'BUR (VIG zero out)'!$1:$12</definedName>
    <definedName name="_xlnm.Print_Titles" localSheetId="11">CkDJ!$1:$2</definedName>
    <definedName name="_xlnm.Print_Titles" localSheetId="14">CkDJournal!$1:$10</definedName>
    <definedName name="_xlnm.Print_Titles" localSheetId="7">CRDJ!$1:$2</definedName>
    <definedName name="_xlnm.Print_Titles" localSheetId="10">CRDJournal!$1:$11</definedName>
    <definedName name="_xlnm.Print_Titles" localSheetId="15">CsDJ!$1:$2</definedName>
    <definedName name="_xlnm.Print_Titles" localSheetId="17">CSDJournal!$1:$12</definedName>
    <definedName name="_xlnm.Print_Titles" localSheetId="22">'General Ledger'!$1:$5</definedName>
    <definedName name="_xlnm.Print_Titles" localSheetId="19">GJ!$3:$9</definedName>
    <definedName name="_xlnm.Print_Titles" localSheetId="23">GL!$1:$5</definedName>
    <definedName name="_xlnm.Print_Titles" localSheetId="24">GLperSC1!$1:$5</definedName>
    <definedName name="_xlnm.Print_Titles" localSheetId="25">GLperSC2!$1:$5</definedName>
    <definedName name="_xlnm.Print_Titles" localSheetId="2">IES!$2:$9</definedName>
    <definedName name="_xlnm.Print_Titles" localSheetId="61">'Monthly Cash Program Ofc'!$A:$B,'Monthly Cash Program Ofc'!$1:$7</definedName>
    <definedName name="_xlnm.Print_Titles" localSheetId="62">'Monthly Cash Program Sort'!$A:$B,'Monthly Cash Program Sort'!$1:$7</definedName>
    <definedName name="_xlnm.Print_Titles" localSheetId="63">'Monthly Cash Program Summary'!$A:$B,'Monthly Cash Program Summary'!$1:$7</definedName>
    <definedName name="_xlnm.Print_Titles" localSheetId="56">'Rev Exp (1)'!$1:$8</definedName>
    <definedName name="_xlnm.Print_Titles" localSheetId="57">'Rev Exp (2)'!$1:$8</definedName>
    <definedName name="_xlnm.Print_Titles" localSheetId="58">'Rev Exp (3)'!$1:$8</definedName>
    <definedName name="_xlnm.Print_Titles" localSheetId="59">'Rev Exp (4)'!$1:$8</definedName>
    <definedName name="_xlnm.Print_Titles" localSheetId="60">'RevExp RIO'!$1:$8</definedName>
    <definedName name="_xlnm.Print_Titles" localSheetId="37">'REVGEN (1)'!$1:$7</definedName>
    <definedName name="_xlnm.Print_Titles" localSheetId="38">'REVGEN (2)'!$1:$7</definedName>
    <definedName name="_xlnm.Print_Titles" localSheetId="41">'REVGEN (2)(1)'!$1:$7</definedName>
    <definedName name="_xlnm.Print_Titles" localSheetId="42">'REVGEN (2)(2)'!$1:$7</definedName>
    <definedName name="_xlnm.Print_Titles" localSheetId="43">'REVGEN (2)(3)'!$1:$7</definedName>
    <definedName name="_xlnm.Print_Titles" localSheetId="44">'REVGEN (2)(4)'!$1:$7</definedName>
    <definedName name="_xlnm.Print_Titles" localSheetId="39">'REVGEN (3)'!$1:$7</definedName>
    <definedName name="_xlnm.Print_Titles" localSheetId="45">'REVGEN (3)(1)'!$1:$7</definedName>
    <definedName name="_xlnm.Print_Titles" localSheetId="46">'REVGEN (3)(2)'!$1:$7</definedName>
    <definedName name="_xlnm.Print_Titles" localSheetId="47">'REVGEN (3)(3)'!$1:$7</definedName>
    <definedName name="_xlnm.Print_Titles" localSheetId="48">'REVGEN (3)(4)'!$1:$7</definedName>
    <definedName name="_xlnm.Print_Titles" localSheetId="40">'REVGEN (4)'!$1:$7</definedName>
    <definedName name="_xlnm.Print_Titles" localSheetId="49">'REVGEN (4)(1)'!$1:$7</definedName>
    <definedName name="_xlnm.Print_Titles" localSheetId="50">'REVGEN (4)(2)'!$1:$7</definedName>
    <definedName name="_xlnm.Print_Titles" localSheetId="51">'REVGEN (4)(3)'!$1:$7</definedName>
    <definedName name="_xlnm.Print_Titles" localSheetId="52">'REVGEN (4)(4)'!$1:$7</definedName>
    <definedName name="_xlnm.Print_Titles" localSheetId="53">'REVGEN (4)(5)'!$1:$7</definedName>
    <definedName name="_xlnm.Print_Titles" localSheetId="54">'REVGEN (Summary)'!$1:$7</definedName>
    <definedName name="_xlnm.Print_Titles" localSheetId="27">'SL Balances'!$1:$5</definedName>
    <definedName name="_xlnm.Print_Titles" localSheetId="28">SLperSC1!$1:$5</definedName>
    <definedName name="_xlnm.Print_Titles" localSheetId="31">SLperSC2!$1:$5</definedName>
    <definedName name="_xlnm.Print_Titles" localSheetId="35">'SOEI (as of)'!$A:$D,'SOEI (as of)'!$1:$6</definedName>
    <definedName name="_xlnm.Print_Titles" localSheetId="0">TB!$1:$9</definedName>
    <definedName name="_xlnm.Print_Titles" localSheetId="1">'TB (NEW)'!$1:$9</definedName>
    <definedName name="SortCode">Account!$F$26:$G$51</definedName>
  </definedNames>
  <calcPr calcId="162913" fullPrecision="0"/>
  <pivotCaches>
    <pivotCache cacheId="4" r:id="rId68"/>
    <pivotCache cacheId="5" r:id="rId69"/>
    <pivotCache cacheId="6" r:id="rId70"/>
    <pivotCache cacheId="7" r:id="rId71"/>
  </pivotCaches>
</workbook>
</file>

<file path=xl/calcChain.xml><?xml version="1.0" encoding="utf-8"?>
<calcChain xmlns="http://schemas.openxmlformats.org/spreadsheetml/2006/main">
  <c r="L18" i="318" l="1"/>
  <c r="L11" i="318"/>
  <c r="L10" i="318"/>
  <c r="N632" i="310" l="1"/>
  <c r="K402" i="310" l="1"/>
  <c r="K401" i="310"/>
  <c r="K400" i="310"/>
  <c r="K42" i="310"/>
  <c r="K41" i="310"/>
  <c r="K40" i="310"/>
  <c r="K39" i="310"/>
  <c r="K38" i="310"/>
  <c r="N8" i="310"/>
  <c r="A4" i="319"/>
  <c r="F4" i="319"/>
  <c r="I4" i="319"/>
  <c r="L4" i="319"/>
  <c r="N8" i="319" s="1"/>
  <c r="A5" i="319"/>
  <c r="F5" i="319"/>
  <c r="I5" i="319"/>
  <c r="A6" i="319"/>
  <c r="F6" i="319"/>
  <c r="I6" i="319"/>
  <c r="A7" i="319"/>
  <c r="F7" i="319"/>
  <c r="I7" i="319"/>
  <c r="A8" i="319"/>
  <c r="F8" i="319"/>
  <c r="I8" i="319"/>
  <c r="L8" i="319"/>
  <c r="A9" i="319"/>
  <c r="F9" i="319"/>
  <c r="I9" i="319"/>
  <c r="L9" i="319"/>
  <c r="A10" i="319"/>
  <c r="F10" i="319"/>
  <c r="I10" i="319"/>
  <c r="A11" i="319"/>
  <c r="F11" i="319"/>
  <c r="I11" i="319"/>
  <c r="A12" i="319"/>
  <c r="F12" i="319"/>
  <c r="I12" i="319"/>
  <c r="A13" i="319"/>
  <c r="F13" i="319"/>
  <c r="I13" i="319"/>
  <c r="L13" i="319"/>
  <c r="A14" i="319"/>
  <c r="F14" i="319"/>
  <c r="I14" i="319"/>
  <c r="A15" i="319"/>
  <c r="F15" i="319"/>
  <c r="I15" i="319"/>
  <c r="A16" i="319"/>
  <c r="F16" i="319"/>
  <c r="I16" i="319"/>
  <c r="A17" i="319"/>
  <c r="F17" i="319"/>
  <c r="I17" i="319"/>
  <c r="M17" i="319"/>
  <c r="M74" i="319" s="1"/>
  <c r="F18" i="319"/>
  <c r="I18" i="319"/>
  <c r="A19" i="319"/>
  <c r="F19" i="319"/>
  <c r="I19" i="319"/>
  <c r="A20" i="319"/>
  <c r="F20" i="319"/>
  <c r="I20" i="319"/>
  <c r="A21" i="319"/>
  <c r="F21" i="319"/>
  <c r="I21" i="319"/>
  <c r="A22" i="319"/>
  <c r="F22" i="319"/>
  <c r="I22" i="319"/>
  <c r="A23" i="319"/>
  <c r="F23" i="319"/>
  <c r="I23" i="319"/>
  <c r="A24" i="319"/>
  <c r="F24" i="319"/>
  <c r="I24" i="319"/>
  <c r="A25" i="319"/>
  <c r="F25" i="319"/>
  <c r="I25" i="319"/>
  <c r="A26" i="319"/>
  <c r="F26" i="319"/>
  <c r="I26" i="319"/>
  <c r="L26" i="319"/>
  <c r="A27" i="319"/>
  <c r="F27" i="319"/>
  <c r="I27" i="319"/>
  <c r="M27" i="319"/>
  <c r="A28" i="319"/>
  <c r="F28" i="319"/>
  <c r="I28" i="319"/>
  <c r="A29" i="319"/>
  <c r="F29" i="319"/>
  <c r="I29" i="319"/>
  <c r="A30" i="319"/>
  <c r="F30" i="319"/>
  <c r="I30" i="319"/>
  <c r="A31" i="319"/>
  <c r="F31" i="319"/>
  <c r="I31" i="319"/>
  <c r="A32" i="319"/>
  <c r="F32" i="319"/>
  <c r="I32" i="319"/>
  <c r="A33" i="319"/>
  <c r="F33" i="319"/>
  <c r="I33" i="319"/>
  <c r="L33" i="319"/>
  <c r="A34" i="319"/>
  <c r="F34" i="319"/>
  <c r="I34" i="319"/>
  <c r="M34" i="319"/>
  <c r="A35" i="319"/>
  <c r="F35" i="319"/>
  <c r="I35" i="319"/>
  <c r="A36" i="319"/>
  <c r="F36" i="319"/>
  <c r="I36" i="319"/>
  <c r="A37" i="319"/>
  <c r="F37" i="319"/>
  <c r="I37" i="319"/>
  <c r="A38" i="319"/>
  <c r="F38" i="319"/>
  <c r="I38" i="319"/>
  <c r="A39" i="319"/>
  <c r="F39" i="319"/>
  <c r="I39" i="319"/>
  <c r="A40" i="319"/>
  <c r="F40" i="319"/>
  <c r="I40" i="319"/>
  <c r="L40" i="319"/>
  <c r="A41" i="319"/>
  <c r="F41" i="319"/>
  <c r="I41" i="319"/>
  <c r="L41" i="319"/>
  <c r="A42" i="319"/>
  <c r="F42" i="319"/>
  <c r="I42" i="319"/>
  <c r="A43" i="319"/>
  <c r="F43" i="319"/>
  <c r="I43" i="319"/>
  <c r="M43" i="319"/>
  <c r="A44" i="319"/>
  <c r="F44" i="319"/>
  <c r="I44" i="319"/>
  <c r="A45" i="319"/>
  <c r="F45" i="319"/>
  <c r="I45" i="319"/>
  <c r="A46" i="319"/>
  <c r="F46" i="319"/>
  <c r="I46" i="319"/>
  <c r="A47" i="319"/>
  <c r="F47" i="319"/>
  <c r="I47" i="319"/>
  <c r="M47" i="319"/>
  <c r="A48" i="319"/>
  <c r="F48" i="319"/>
  <c r="I48" i="319"/>
  <c r="A49" i="319"/>
  <c r="F49" i="319"/>
  <c r="I49" i="319"/>
  <c r="A50" i="319"/>
  <c r="F50" i="319"/>
  <c r="I50" i="319"/>
  <c r="A51" i="319"/>
  <c r="F51" i="319"/>
  <c r="I51" i="319"/>
  <c r="M51" i="319"/>
  <c r="A52" i="319"/>
  <c r="F52" i="319"/>
  <c r="I52" i="319"/>
  <c r="M52" i="319"/>
  <c r="N51" i="319" s="1"/>
  <c r="A53" i="319"/>
  <c r="F53" i="319"/>
  <c r="I53" i="319"/>
  <c r="M53" i="319"/>
  <c r="A54" i="319"/>
  <c r="F54" i="319"/>
  <c r="I54" i="319"/>
  <c r="M54" i="319"/>
  <c r="A55" i="319"/>
  <c r="F55" i="319"/>
  <c r="I55" i="319"/>
  <c r="M55" i="319"/>
  <c r="A56" i="319"/>
  <c r="F56" i="319"/>
  <c r="I56" i="319"/>
  <c r="A57" i="319"/>
  <c r="F57" i="319"/>
  <c r="I57" i="319"/>
  <c r="A58" i="319"/>
  <c r="F58" i="319"/>
  <c r="I58" i="319"/>
  <c r="M58" i="319"/>
  <c r="A59" i="319"/>
  <c r="F59" i="319"/>
  <c r="I59" i="319"/>
  <c r="M59" i="319"/>
  <c r="A60" i="319"/>
  <c r="F60" i="319"/>
  <c r="I60" i="319"/>
  <c r="M60" i="319"/>
  <c r="A61" i="319"/>
  <c r="F61" i="319"/>
  <c r="I61" i="319"/>
  <c r="A62" i="319"/>
  <c r="F62" i="319"/>
  <c r="I62" i="319"/>
  <c r="M62" i="319"/>
  <c r="A63" i="319"/>
  <c r="F63" i="319"/>
  <c r="I63" i="319"/>
  <c r="A64" i="319"/>
  <c r="F64" i="319"/>
  <c r="I64" i="319"/>
  <c r="A65" i="319"/>
  <c r="F65" i="319"/>
  <c r="I65" i="319"/>
  <c r="A66" i="319"/>
  <c r="F66" i="319"/>
  <c r="I66" i="319"/>
  <c r="M66" i="319"/>
  <c r="A67" i="319"/>
  <c r="F67" i="319"/>
  <c r="I67" i="319"/>
  <c r="A68" i="319"/>
  <c r="F68" i="319"/>
  <c r="I68" i="319"/>
  <c r="A69" i="319"/>
  <c r="F69" i="319"/>
  <c r="I69" i="319"/>
  <c r="M69" i="319"/>
  <c r="A70" i="319"/>
  <c r="F70" i="319"/>
  <c r="I70" i="319"/>
  <c r="A71" i="319"/>
  <c r="F71" i="319"/>
  <c r="I71" i="319"/>
  <c r="A72" i="319"/>
  <c r="F72" i="319"/>
  <c r="I72" i="319"/>
  <c r="M72" i="319"/>
  <c r="A73" i="319"/>
  <c r="F73" i="319"/>
  <c r="I73" i="319"/>
  <c r="M73" i="319"/>
  <c r="A74" i="319"/>
  <c r="F74" i="319"/>
  <c r="I74" i="319"/>
  <c r="G85" i="319"/>
  <c r="H85" i="319"/>
  <c r="H86" i="319"/>
  <c r="H344" i="318" l="1"/>
  <c r="H343" i="318"/>
  <c r="H342" i="318"/>
  <c r="H341" i="318"/>
  <c r="H340" i="318"/>
  <c r="H339" i="318"/>
  <c r="H338" i="318"/>
  <c r="H337" i="318"/>
  <c r="H336" i="318"/>
  <c r="H335" i="318"/>
  <c r="H334" i="318"/>
  <c r="H333" i="318"/>
  <c r="H332" i="318"/>
  <c r="H331" i="318"/>
  <c r="H330" i="318"/>
  <c r="H329" i="318"/>
  <c r="H328" i="318"/>
  <c r="H327" i="318"/>
  <c r="H326" i="318"/>
  <c r="H325" i="318"/>
  <c r="H324" i="318"/>
  <c r="H323" i="318"/>
  <c r="H322" i="318"/>
  <c r="H321" i="318"/>
  <c r="H320" i="318"/>
  <c r="H319" i="318"/>
  <c r="H318" i="318"/>
  <c r="H317" i="318"/>
  <c r="H316" i="318"/>
  <c r="H315" i="318"/>
  <c r="H314" i="318"/>
  <c r="H313" i="318"/>
  <c r="H312" i="318"/>
  <c r="H311" i="318"/>
  <c r="H310" i="318"/>
  <c r="H309" i="318"/>
  <c r="H308" i="318"/>
  <c r="H307" i="318"/>
  <c r="H306" i="318"/>
  <c r="H305" i="318"/>
  <c r="H304" i="318"/>
  <c r="H303" i="318"/>
  <c r="H302" i="318"/>
  <c r="H301" i="318"/>
  <c r="H300" i="318"/>
  <c r="H299" i="318"/>
  <c r="H298" i="318"/>
  <c r="H297" i="318"/>
  <c r="H296" i="318"/>
  <c r="H295" i="318"/>
  <c r="H294" i="318"/>
  <c r="H293" i="318"/>
  <c r="H292" i="318"/>
  <c r="H291" i="318"/>
  <c r="H290" i="318"/>
  <c r="H289" i="318"/>
  <c r="H288" i="318"/>
  <c r="H287" i="318"/>
  <c r="H286" i="318"/>
  <c r="L285" i="318"/>
  <c r="L286" i="318" s="1"/>
  <c r="L287" i="318" s="1"/>
  <c r="L288" i="318" s="1"/>
  <c r="L289" i="318" s="1"/>
  <c r="L290" i="318" s="1"/>
  <c r="L291" i="318" s="1"/>
  <c r="L292" i="318" s="1"/>
  <c r="L293" i="318" s="1"/>
  <c r="L294" i="318" s="1"/>
  <c r="L295" i="318" s="1"/>
  <c r="L296" i="318" s="1"/>
  <c r="L297" i="318" s="1"/>
  <c r="L298" i="318" s="1"/>
  <c r="L299" i="318" s="1"/>
  <c r="L300" i="318" s="1"/>
  <c r="L301" i="318" s="1"/>
  <c r="L302" i="318" s="1"/>
  <c r="L303" i="318" s="1"/>
  <c r="L304" i="318" s="1"/>
  <c r="L305" i="318" s="1"/>
  <c r="L306" i="318" s="1"/>
  <c r="L307" i="318" s="1"/>
  <c r="L308" i="318" s="1"/>
  <c r="L309" i="318" s="1"/>
  <c r="L310" i="318" s="1"/>
  <c r="L311" i="318" s="1"/>
  <c r="L312" i="318" s="1"/>
  <c r="L313" i="318" s="1"/>
  <c r="L314" i="318" s="1"/>
  <c r="L315" i="318" s="1"/>
  <c r="L316" i="318" s="1"/>
  <c r="L317" i="318" s="1"/>
  <c r="L318" i="318" s="1"/>
  <c r="L319" i="318" s="1"/>
  <c r="L320" i="318" s="1"/>
  <c r="L321" i="318" s="1"/>
  <c r="L322" i="318" s="1"/>
  <c r="L323" i="318" s="1"/>
  <c r="L324" i="318" s="1"/>
  <c r="L325" i="318" s="1"/>
  <c r="L326" i="318" s="1"/>
  <c r="L327" i="318" s="1"/>
  <c r="L328" i="318" s="1"/>
  <c r="L329" i="318" s="1"/>
  <c r="L330" i="318" s="1"/>
  <c r="L331" i="318" s="1"/>
  <c r="L332" i="318" s="1"/>
  <c r="L333" i="318" s="1"/>
  <c r="L334" i="318" s="1"/>
  <c r="L335" i="318" s="1"/>
  <c r="L336" i="318" s="1"/>
  <c r="L337" i="318" s="1"/>
  <c r="L338" i="318" s="1"/>
  <c r="L339" i="318" s="1"/>
  <c r="L340" i="318" s="1"/>
  <c r="L341" i="318" s="1"/>
  <c r="L342" i="318" s="1"/>
  <c r="L343" i="318" s="1"/>
  <c r="L344" i="318" s="1"/>
  <c r="H285" i="318"/>
  <c r="H284" i="318"/>
  <c r="H283" i="318"/>
  <c r="H282" i="318"/>
  <c r="H281" i="318"/>
  <c r="H280" i="318"/>
  <c r="H279" i="318"/>
  <c r="K278" i="318"/>
  <c r="H278" i="318"/>
  <c r="H277" i="318"/>
  <c r="H276" i="318"/>
  <c r="H275" i="318"/>
  <c r="H274" i="318"/>
  <c r="H273" i="318"/>
  <c r="H272" i="318"/>
  <c r="H271" i="318"/>
  <c r="H270" i="318"/>
  <c r="H269" i="318"/>
  <c r="H268" i="318"/>
  <c r="H267" i="318"/>
  <c r="H266" i="318"/>
  <c r="H265" i="318"/>
  <c r="H264" i="318"/>
  <c r="H263" i="318"/>
  <c r="H262" i="318"/>
  <c r="H261" i="318"/>
  <c r="H260" i="318"/>
  <c r="H259" i="318"/>
  <c r="H258" i="318"/>
  <c r="L257" i="318"/>
  <c r="L258" i="318" s="1"/>
  <c r="L259" i="318" s="1"/>
  <c r="L260" i="318" s="1"/>
  <c r="L261" i="318" s="1"/>
  <c r="L262" i="318" s="1"/>
  <c r="L263" i="318" s="1"/>
  <c r="L264" i="318" s="1"/>
  <c r="L265" i="318" s="1"/>
  <c r="L266" i="318" s="1"/>
  <c r="L267" i="318" s="1"/>
  <c r="L268" i="318" s="1"/>
  <c r="L269" i="318" s="1"/>
  <c r="L270" i="318" s="1"/>
  <c r="L271" i="318" s="1"/>
  <c r="L272" i="318" s="1"/>
  <c r="L273" i="318" s="1"/>
  <c r="L274" i="318" s="1"/>
  <c r="L275" i="318" s="1"/>
  <c r="L276" i="318" s="1"/>
  <c r="L277" i="318" s="1"/>
  <c r="L278" i="318" s="1"/>
  <c r="L279" i="318" s="1"/>
  <c r="L280" i="318" s="1"/>
  <c r="L281" i="318" s="1"/>
  <c r="L282" i="318" s="1"/>
  <c r="L283" i="318" s="1"/>
  <c r="H257" i="318"/>
  <c r="H256" i="318"/>
  <c r="H255" i="318"/>
  <c r="H254" i="318"/>
  <c r="H253" i="318"/>
  <c r="H252" i="318"/>
  <c r="H251" i="318"/>
  <c r="H250" i="318"/>
  <c r="H249" i="318"/>
  <c r="H248" i="318"/>
  <c r="H247" i="318"/>
  <c r="H246" i="318"/>
  <c r="H245" i="318"/>
  <c r="H244" i="318"/>
  <c r="H243" i="318"/>
  <c r="H242" i="318"/>
  <c r="H241" i="318"/>
  <c r="H240" i="318"/>
  <c r="H239" i="318"/>
  <c r="H238" i="318"/>
  <c r="H237" i="318"/>
  <c r="H236" i="318"/>
  <c r="H235" i="318"/>
  <c r="H234" i="318"/>
  <c r="H233" i="318"/>
  <c r="H232" i="318"/>
  <c r="H231" i="318"/>
  <c r="H230" i="318"/>
  <c r="H229" i="318"/>
  <c r="H228" i="318"/>
  <c r="H227" i="318"/>
  <c r="H226" i="318"/>
  <c r="H225" i="318"/>
  <c r="H224" i="318"/>
  <c r="H223" i="318"/>
  <c r="H222" i="318"/>
  <c r="H221" i="318"/>
  <c r="H220" i="318"/>
  <c r="H219" i="318"/>
  <c r="H218" i="318"/>
  <c r="H217" i="318"/>
  <c r="H216" i="318"/>
  <c r="H215" i="318"/>
  <c r="H214" i="318"/>
  <c r="H213" i="318"/>
  <c r="H212" i="318"/>
  <c r="H211" i="318"/>
  <c r="H210" i="318"/>
  <c r="H209" i="318"/>
  <c r="H208" i="318"/>
  <c r="H207" i="318"/>
  <c r="H206" i="318"/>
  <c r="H205" i="318"/>
  <c r="H204" i="318"/>
  <c r="H203" i="318"/>
  <c r="H202" i="318"/>
  <c r="H201" i="318"/>
  <c r="H200" i="318"/>
  <c r="H199" i="318"/>
  <c r="H198" i="318"/>
  <c r="H197" i="318"/>
  <c r="H196" i="318"/>
  <c r="H195" i="318"/>
  <c r="H194" i="318"/>
  <c r="H193" i="318"/>
  <c r="H192" i="318"/>
  <c r="H191" i="318"/>
  <c r="H190" i="318"/>
  <c r="H189" i="318"/>
  <c r="H188" i="318"/>
  <c r="H187" i="318"/>
  <c r="H186" i="318"/>
  <c r="H185" i="318"/>
  <c r="H184" i="318"/>
  <c r="H183" i="318"/>
  <c r="H182" i="318"/>
  <c r="H181" i="318"/>
  <c r="H180" i="318"/>
  <c r="H179" i="318"/>
  <c r="H178" i="318"/>
  <c r="H177" i="318"/>
  <c r="H176" i="318"/>
  <c r="H175" i="318"/>
  <c r="H174" i="318"/>
  <c r="H173" i="318"/>
  <c r="H172" i="318"/>
  <c r="H171" i="318"/>
  <c r="H170" i="318"/>
  <c r="H169" i="318"/>
  <c r="H168" i="318"/>
  <c r="H167" i="318"/>
  <c r="H166" i="318"/>
  <c r="H165" i="318"/>
  <c r="H164" i="318"/>
  <c r="H163" i="318"/>
  <c r="H162" i="318"/>
  <c r="H161" i="318"/>
  <c r="H160" i="318"/>
  <c r="H159" i="318"/>
  <c r="H158" i="318"/>
  <c r="H157" i="318"/>
  <c r="H156" i="318"/>
  <c r="H155" i="318"/>
  <c r="H154" i="318"/>
  <c r="H153" i="318"/>
  <c r="H152" i="318"/>
  <c r="H151" i="318"/>
  <c r="H150" i="318"/>
  <c r="H149" i="318"/>
  <c r="H148" i="318"/>
  <c r="H147" i="318"/>
  <c r="H146" i="318"/>
  <c r="H145" i="318"/>
  <c r="H144" i="318"/>
  <c r="H143" i="318"/>
  <c r="H142" i="318"/>
  <c r="H141" i="318"/>
  <c r="H140" i="318"/>
  <c r="H139" i="318"/>
  <c r="H138" i="318"/>
  <c r="H137" i="318"/>
  <c r="H136" i="318"/>
  <c r="H135" i="318"/>
  <c r="H134" i="318"/>
  <c r="H133" i="318"/>
  <c r="H132" i="318"/>
  <c r="H131" i="318"/>
  <c r="H130" i="318"/>
  <c r="H129" i="318"/>
  <c r="H128" i="318"/>
  <c r="H127" i="318"/>
  <c r="H126" i="318"/>
  <c r="H125" i="318"/>
  <c r="H124" i="318"/>
  <c r="H123" i="318"/>
  <c r="H122" i="318"/>
  <c r="H121" i="318"/>
  <c r="H120" i="318"/>
  <c r="H119" i="318"/>
  <c r="H118" i="318"/>
  <c r="H117" i="318"/>
  <c r="H116" i="318"/>
  <c r="H115" i="318"/>
  <c r="H114" i="318"/>
  <c r="H113" i="318"/>
  <c r="H112" i="318"/>
  <c r="H111" i="318"/>
  <c r="H110" i="318"/>
  <c r="H109" i="318"/>
  <c r="H108" i="318"/>
  <c r="H107" i="318"/>
  <c r="H106" i="318"/>
  <c r="H105" i="318"/>
  <c r="H104" i="318"/>
  <c r="H103" i="318"/>
  <c r="H101" i="318"/>
  <c r="H100" i="318"/>
  <c r="H99" i="318"/>
  <c r="H98" i="318"/>
  <c r="H97" i="318"/>
  <c r="H96" i="318"/>
  <c r="H95" i="318"/>
  <c r="H94" i="318"/>
  <c r="H93" i="318"/>
  <c r="H92" i="318"/>
  <c r="H91" i="318"/>
  <c r="H90" i="318"/>
  <c r="H89" i="318"/>
  <c r="H88" i="318"/>
  <c r="H87" i="318"/>
  <c r="H86" i="318"/>
  <c r="H85" i="318"/>
  <c r="H84" i="318"/>
  <c r="H83" i="318"/>
  <c r="H82" i="318"/>
  <c r="H81" i="318"/>
  <c r="H80" i="318"/>
  <c r="H79" i="318"/>
  <c r="H78" i="318"/>
  <c r="H77" i="318"/>
  <c r="H76" i="318"/>
  <c r="H75" i="318"/>
  <c r="H74" i="318"/>
  <c r="H73" i="318"/>
  <c r="H72" i="318"/>
  <c r="H71" i="318"/>
  <c r="H70" i="318"/>
  <c r="H69" i="318"/>
  <c r="H68" i="318"/>
  <c r="H67" i="318"/>
  <c r="H66" i="318"/>
  <c r="H65" i="318"/>
  <c r="H64" i="318"/>
  <c r="H63" i="318"/>
  <c r="H62" i="318"/>
  <c r="H61" i="318"/>
  <c r="H60" i="318"/>
  <c r="H59" i="318"/>
  <c r="H58" i="318"/>
  <c r="H57" i="318"/>
  <c r="H56" i="318"/>
  <c r="H55" i="318"/>
  <c r="H54" i="318"/>
  <c r="H53" i="318"/>
  <c r="H52" i="318"/>
  <c r="H51" i="318"/>
  <c r="H50" i="318"/>
  <c r="H49" i="318"/>
  <c r="H48" i="318"/>
  <c r="H47" i="318"/>
  <c r="H46" i="318"/>
  <c r="H10" i="318"/>
  <c r="H11" i="318"/>
  <c r="H12" i="318"/>
  <c r="H13" i="318"/>
  <c r="H14" i="318"/>
  <c r="H15" i="318"/>
  <c r="H16" i="318"/>
  <c r="H17" i="318"/>
  <c r="H18" i="318"/>
  <c r="H19" i="318"/>
  <c r="H20" i="318"/>
  <c r="H21" i="318"/>
  <c r="H22" i="318"/>
  <c r="H23" i="318"/>
  <c r="H24" i="318"/>
  <c r="H25" i="318"/>
  <c r="H26" i="318"/>
  <c r="H27" i="318"/>
  <c r="H28" i="318"/>
  <c r="H29" i="318"/>
  <c r="H30" i="318"/>
  <c r="H31" i="318"/>
  <c r="H32" i="318"/>
  <c r="H33" i="318"/>
  <c r="H34" i="318"/>
  <c r="H35" i="318"/>
  <c r="H36" i="318"/>
  <c r="H37" i="318"/>
  <c r="H38" i="318"/>
  <c r="H39" i="318"/>
  <c r="H40" i="318"/>
  <c r="H41" i="318"/>
  <c r="H42" i="318"/>
  <c r="H43" i="318"/>
  <c r="H44" i="318"/>
  <c r="H45" i="318"/>
  <c r="H345" i="318"/>
  <c r="H346" i="318"/>
  <c r="H347" i="318"/>
  <c r="H348" i="318"/>
  <c r="H349" i="318"/>
  <c r="H350" i="318"/>
  <c r="H351" i="318"/>
  <c r="H352" i="318"/>
  <c r="H353" i="318"/>
  <c r="H354" i="318"/>
  <c r="H355" i="318"/>
  <c r="H356" i="318"/>
  <c r="H357" i="318"/>
  <c r="H358" i="318"/>
  <c r="H359" i="318"/>
  <c r="H360" i="318"/>
  <c r="H361" i="318"/>
  <c r="H362" i="318"/>
  <c r="H363" i="318"/>
  <c r="H364" i="318"/>
  <c r="H365" i="318"/>
  <c r="H366" i="318"/>
  <c r="H367" i="318"/>
  <c r="H368" i="318"/>
  <c r="H369" i="318"/>
  <c r="H370" i="318"/>
  <c r="H371" i="318"/>
  <c r="H372" i="318"/>
  <c r="H373" i="318"/>
  <c r="H374" i="318"/>
  <c r="H375" i="318"/>
  <c r="H376" i="318"/>
  <c r="H377" i="318"/>
  <c r="H378" i="318"/>
  <c r="H379" i="318"/>
  <c r="H380" i="318"/>
  <c r="H381" i="318"/>
  <c r="H382" i="318"/>
  <c r="H383" i="318"/>
  <c r="H384" i="318"/>
  <c r="H385" i="318"/>
  <c r="H386" i="318"/>
  <c r="H387" i="318"/>
  <c r="H388" i="318"/>
  <c r="H389" i="318"/>
  <c r="H390" i="318"/>
  <c r="H391" i="318"/>
  <c r="H392" i="318"/>
  <c r="H393" i="318"/>
  <c r="H394" i="318"/>
  <c r="H395" i="318"/>
  <c r="H396" i="318"/>
  <c r="H397" i="318"/>
  <c r="H398" i="318"/>
  <c r="H399" i="318"/>
  <c r="H400" i="318"/>
  <c r="H401" i="318"/>
  <c r="H402" i="318"/>
  <c r="H403" i="318"/>
  <c r="H404" i="318"/>
  <c r="H405" i="318"/>
  <c r="H406" i="318"/>
  <c r="H407" i="318"/>
  <c r="H408" i="318"/>
  <c r="H409" i="318"/>
  <c r="H410" i="318"/>
  <c r="L12" i="318"/>
  <c r="L13" i="318" s="1"/>
  <c r="L14" i="318" s="1"/>
  <c r="L15" i="318" s="1"/>
  <c r="L16" i="318" s="1"/>
  <c r="L17" i="318" s="1"/>
  <c r="L19" i="318" s="1"/>
  <c r="L20" i="318" s="1"/>
  <c r="L21" i="318" s="1"/>
  <c r="L22" i="318" s="1"/>
  <c r="L23" i="318" s="1"/>
  <c r="L24" i="318" s="1"/>
  <c r="L25" i="318" s="1"/>
  <c r="L26" i="318" s="1"/>
  <c r="L27" i="318" s="1"/>
  <c r="L28" i="318" s="1"/>
  <c r="L29" i="318" s="1"/>
  <c r="L30" i="318" s="1"/>
  <c r="L31" i="318" s="1"/>
  <c r="L32" i="318" s="1"/>
  <c r="L33" i="318" s="1"/>
  <c r="L34" i="318" s="1"/>
  <c r="L35" i="318" s="1"/>
  <c r="L36" i="318" s="1"/>
  <c r="L37" i="318" s="1"/>
  <c r="L38" i="318" s="1"/>
  <c r="L39" i="318" s="1"/>
  <c r="L40" i="318" s="1"/>
  <c r="L41" i="318" s="1"/>
  <c r="L42" i="318" s="1"/>
  <c r="L43" i="318" s="1"/>
  <c r="L44" i="318" s="1"/>
  <c r="L45" i="318" s="1"/>
  <c r="L46" i="318" s="1"/>
  <c r="L47" i="318" s="1"/>
  <c r="L48" i="318" s="1"/>
  <c r="L49" i="318" s="1"/>
  <c r="L50" i="318" s="1"/>
  <c r="L51" i="318" s="1"/>
  <c r="L52" i="318" s="1"/>
  <c r="L53" i="318" s="1"/>
  <c r="L54" i="318" s="1"/>
  <c r="L55" i="318" s="1"/>
  <c r="L56" i="318" s="1"/>
  <c r="L57" i="318" s="1"/>
  <c r="L58" i="318" s="1"/>
  <c r="L59" i="318" s="1"/>
  <c r="L60" i="318" s="1"/>
  <c r="L61" i="318" s="1"/>
  <c r="L62" i="318" s="1"/>
  <c r="L63" i="318" s="1"/>
  <c r="L64" i="318" s="1"/>
  <c r="L65" i="318" s="1"/>
  <c r="L66" i="318" s="1"/>
  <c r="L67" i="318" s="1"/>
  <c r="L68" i="318" s="1"/>
  <c r="L69" i="318" s="1"/>
  <c r="L70" i="318" s="1"/>
  <c r="L71" i="318" s="1"/>
  <c r="L72" i="318" s="1"/>
  <c r="L73" i="318" s="1"/>
  <c r="L74" i="318" s="1"/>
  <c r="L75" i="318" s="1"/>
  <c r="L76" i="318" s="1"/>
  <c r="L77" i="318" s="1"/>
  <c r="L78" i="318" s="1"/>
  <c r="L79" i="318" s="1"/>
  <c r="L80" i="318" s="1"/>
  <c r="L81" i="318" s="1"/>
  <c r="L82" i="318" s="1"/>
  <c r="L83" i="318" s="1"/>
  <c r="L84" i="318" s="1"/>
  <c r="L85" i="318" s="1"/>
  <c r="L86" i="318" s="1"/>
  <c r="L87" i="318" s="1"/>
  <c r="L88" i="318" s="1"/>
  <c r="L89" i="318" s="1"/>
  <c r="L90" i="318" s="1"/>
  <c r="L91" i="318" s="1"/>
  <c r="L92" i="318" s="1"/>
  <c r="L93" i="318" s="1"/>
  <c r="L94" i="318" s="1"/>
  <c r="L95" i="318" s="1"/>
  <c r="L96" i="318" s="1"/>
  <c r="L97" i="318" s="1"/>
  <c r="L98" i="318" s="1"/>
  <c r="L99" i="318" s="1"/>
  <c r="L100" i="318" s="1"/>
  <c r="L101" i="318" s="1"/>
  <c r="L102" i="318" s="1"/>
  <c r="L103" i="318" s="1"/>
  <c r="L104" i="318" s="1"/>
  <c r="L105" i="318" s="1"/>
  <c r="L106" i="318" s="1"/>
  <c r="L107" i="318" s="1"/>
  <c r="L108" i="318" s="1"/>
  <c r="L109" i="318" s="1"/>
  <c r="L110" i="318" s="1"/>
  <c r="L111" i="318" s="1"/>
  <c r="L112" i="318" s="1"/>
  <c r="L113" i="318" s="1"/>
  <c r="L114" i="318" s="1"/>
  <c r="L115" i="318" s="1"/>
  <c r="L116" i="318" s="1"/>
  <c r="L117" i="318" s="1"/>
  <c r="L118" i="318" s="1"/>
  <c r="L119" i="318" s="1"/>
  <c r="L120" i="318" s="1"/>
  <c r="L121" i="318" s="1"/>
  <c r="L122" i="318" s="1"/>
  <c r="L123" i="318" s="1"/>
  <c r="L124" i="318" s="1"/>
  <c r="L125" i="318" s="1"/>
  <c r="L126" i="318" s="1"/>
  <c r="L127" i="318" s="1"/>
  <c r="L128" i="318" s="1"/>
  <c r="L129" i="318" s="1"/>
  <c r="L130" i="318" s="1"/>
  <c r="L131" i="318" s="1"/>
  <c r="L132" i="318" s="1"/>
  <c r="L133" i="318" s="1"/>
  <c r="L134" i="318" s="1"/>
  <c r="L135" i="318" s="1"/>
  <c r="L136" i="318" s="1"/>
  <c r="L137" i="318" s="1"/>
  <c r="L138" i="318" s="1"/>
  <c r="L139" i="318" s="1"/>
  <c r="L140" i="318" s="1"/>
  <c r="L141" i="318" s="1"/>
  <c r="L142" i="318" s="1"/>
  <c r="L143" i="318" s="1"/>
  <c r="L144" i="318" s="1"/>
  <c r="L145" i="318" s="1"/>
  <c r="L146" i="318" s="1"/>
  <c r="L147" i="318" s="1"/>
  <c r="L148" i="318" s="1"/>
  <c r="L149" i="318" s="1"/>
  <c r="L150" i="318" s="1"/>
  <c r="L151" i="318" s="1"/>
  <c r="L152" i="318" s="1"/>
  <c r="L153" i="318" s="1"/>
  <c r="L154" i="318" s="1"/>
  <c r="L155" i="318" s="1"/>
  <c r="L156" i="318" s="1"/>
  <c r="L157" i="318" s="1"/>
  <c r="L158" i="318" s="1"/>
  <c r="L159" i="318" s="1"/>
  <c r="L160" i="318" s="1"/>
  <c r="L163" i="318" l="1"/>
  <c r="L164" i="318" s="1"/>
  <c r="L165" i="318" s="1"/>
  <c r="L166" i="318" s="1"/>
  <c r="L167" i="318" s="1"/>
  <c r="L168" i="318" s="1"/>
  <c r="L169" i="318" s="1"/>
  <c r="L170" i="318" s="1"/>
  <c r="L171" i="318" s="1"/>
  <c r="L172" i="318" s="1"/>
  <c r="L173" i="318" s="1"/>
  <c r="L174" i="318" s="1"/>
  <c r="L175" i="318" s="1"/>
  <c r="L176" i="318" s="1"/>
  <c r="L177" i="318" s="1"/>
  <c r="L178" i="318" s="1"/>
  <c r="L179" i="318" s="1"/>
  <c r="L180" i="318" s="1"/>
  <c r="L181" i="318" s="1"/>
  <c r="L182" i="318" s="1"/>
  <c r="L183" i="318" s="1"/>
  <c r="L184" i="318" s="1"/>
  <c r="L185" i="318" s="1"/>
  <c r="L186" i="318" s="1"/>
  <c r="L187" i="318" s="1"/>
  <c r="L188" i="318" s="1"/>
  <c r="L189" i="318" s="1"/>
  <c r="L190" i="318" s="1"/>
  <c r="L191" i="318" s="1"/>
  <c r="L192" i="318" s="1"/>
  <c r="L193" i="318" s="1"/>
  <c r="L194" i="318" s="1"/>
  <c r="L195" i="318" s="1"/>
  <c r="L196" i="318" s="1"/>
  <c r="L197" i="318" s="1"/>
  <c r="L198" i="318" s="1"/>
  <c r="L199" i="318" s="1"/>
  <c r="L200" i="318" s="1"/>
  <c r="L201" i="318" s="1"/>
  <c r="L202" i="318" s="1"/>
  <c r="L203" i="318" s="1"/>
  <c r="L204" i="318" s="1"/>
  <c r="L205" i="318" s="1"/>
  <c r="L206" i="318" s="1"/>
  <c r="L207" i="318" s="1"/>
  <c r="L208" i="318" s="1"/>
  <c r="L209" i="318" s="1"/>
  <c r="L210" i="318" s="1"/>
  <c r="L211" i="318" s="1"/>
  <c r="L212" i="318" s="1"/>
  <c r="L213" i="318" s="1"/>
  <c r="L214" i="318" s="1"/>
  <c r="L215" i="318" s="1"/>
  <c r="L216" i="318" s="1"/>
  <c r="L217" i="318" s="1"/>
  <c r="L218" i="318" s="1"/>
  <c r="L219" i="318" s="1"/>
  <c r="L220" i="318" s="1"/>
  <c r="L221" i="318" s="1"/>
  <c r="L222" i="318" s="1"/>
  <c r="L223" i="318" s="1"/>
  <c r="L224" i="318" s="1"/>
  <c r="L225" i="318" s="1"/>
  <c r="L226" i="318" s="1"/>
  <c r="L227" i="318" s="1"/>
  <c r="L228" i="318" s="1"/>
  <c r="L229" i="318" s="1"/>
  <c r="L230" i="318" s="1"/>
  <c r="L231" i="318" s="1"/>
  <c r="L232" i="318" s="1"/>
  <c r="L233" i="318" s="1"/>
  <c r="L234" i="318" s="1"/>
  <c r="L235" i="318" s="1"/>
  <c r="L236" i="318" s="1"/>
  <c r="L237" i="318" s="1"/>
  <c r="L238" i="318" s="1"/>
  <c r="L239" i="318" s="1"/>
  <c r="L240" i="318" s="1"/>
  <c r="L241" i="318" s="1"/>
  <c r="L242" i="318" s="1"/>
  <c r="L243" i="318" s="1"/>
  <c r="L244" i="318" s="1"/>
  <c r="L245" i="318" s="1"/>
  <c r="L246" i="318" s="1"/>
  <c r="L247" i="318" s="1"/>
  <c r="L248" i="318" s="1"/>
  <c r="L249" i="318" s="1"/>
  <c r="L250" i="318" s="1"/>
  <c r="L251" i="318" s="1"/>
  <c r="L252" i="318" s="1"/>
  <c r="L253" i="318" s="1"/>
  <c r="L254" i="318" s="1"/>
  <c r="L255" i="318" s="1"/>
  <c r="L161" i="318"/>
  <c r="L162" i="318" s="1"/>
  <c r="K241" i="310" l="1"/>
  <c r="A20" i="424" l="1"/>
  <c r="F19" i="424"/>
  <c r="F20" i="424" s="1"/>
  <c r="E18" i="424" a="1"/>
  <c r="E18" i="424" s="1"/>
  <c r="C18" i="424"/>
  <c r="B18" i="424"/>
  <c r="A18" i="424"/>
  <c r="E17" i="424" a="1"/>
  <c r="E17" i="424" s="1"/>
  <c r="C17" i="424"/>
  <c r="B17" i="424"/>
  <c r="A17" i="424"/>
  <c r="E16" i="424" a="1"/>
  <c r="E16" i="424" s="1"/>
  <c r="C16" i="424"/>
  <c r="B16" i="424"/>
  <c r="A16" i="424"/>
  <c r="E15" i="424" a="1"/>
  <c r="E15" i="424" s="1"/>
  <c r="C15" i="424"/>
  <c r="B15" i="424"/>
  <c r="A15" i="424"/>
  <c r="E14" i="424" a="1"/>
  <c r="E14" i="424" s="1"/>
  <c r="C14" i="424"/>
  <c r="B14" i="424"/>
  <c r="A14" i="424"/>
  <c r="E13" i="424" a="1"/>
  <c r="E13" i="424" s="1"/>
  <c r="C13" i="424"/>
  <c r="B13" i="424"/>
  <c r="A13" i="424"/>
  <c r="E12" i="424" a="1"/>
  <c r="E12" i="424" s="1"/>
  <c r="C12" i="424"/>
  <c r="B12" i="424"/>
  <c r="A12" i="424"/>
  <c r="E11" i="424" a="1"/>
  <c r="E11" i="424" s="1"/>
  <c r="C11" i="424"/>
  <c r="B11" i="424"/>
  <c r="A11" i="424"/>
  <c r="E10" i="424" a="1"/>
  <c r="E10" i="424" s="1"/>
  <c r="C10" i="424"/>
  <c r="B10" i="424"/>
  <c r="A10" i="424"/>
  <c r="E9" i="424" a="1"/>
  <c r="E9" i="424" s="1"/>
  <c r="C9" i="424"/>
  <c r="B9" i="424"/>
  <c r="A9" i="424"/>
  <c r="E8" i="424" a="1"/>
  <c r="E8" i="424" s="1"/>
  <c r="C8" i="424"/>
  <c r="B8" i="424"/>
  <c r="A8" i="424"/>
  <c r="E7" i="424" a="1"/>
  <c r="E7" i="424" s="1"/>
  <c r="C7" i="424"/>
  <c r="B7" i="424"/>
  <c r="A7" i="424"/>
  <c r="E6" i="424" a="1"/>
  <c r="E6" i="424" s="1"/>
  <c r="B6" i="424"/>
  <c r="A6" i="424"/>
  <c r="B3" i="424"/>
  <c r="C2" i="424"/>
  <c r="G4" i="424" s="1"/>
  <c r="B1" i="424"/>
  <c r="E7" i="423" a="1"/>
  <c r="E7" i="423" s="1"/>
  <c r="G7" i="423" s="1"/>
  <c r="E8" i="423" a="1"/>
  <c r="E8" i="423" s="1"/>
  <c r="G8" i="423" s="1"/>
  <c r="E9" i="423" a="1"/>
  <c r="E9" i="423" s="1"/>
  <c r="G9" i="423" s="1"/>
  <c r="E10" i="423" a="1"/>
  <c r="E10" i="423" s="1"/>
  <c r="G10" i="423" s="1"/>
  <c r="E11" i="423" a="1"/>
  <c r="E11" i="423" s="1"/>
  <c r="G11" i="423" s="1"/>
  <c r="E12" i="423" a="1"/>
  <c r="E12" i="423" s="1"/>
  <c r="G12" i="423" s="1"/>
  <c r="E13" i="423" a="1"/>
  <c r="E13" i="423" s="1"/>
  <c r="G13" i="423" s="1"/>
  <c r="E14" i="423" a="1"/>
  <c r="E14" i="423" s="1"/>
  <c r="G14" i="423" s="1"/>
  <c r="E15" i="423" a="1"/>
  <c r="E15" i="423" s="1"/>
  <c r="G15" i="423" s="1"/>
  <c r="E16" i="423" a="1"/>
  <c r="E16" i="423" s="1"/>
  <c r="G16" i="423" s="1"/>
  <c r="E17" i="423" a="1"/>
  <c r="E17" i="423" s="1"/>
  <c r="G17" i="423" s="1"/>
  <c r="A20" i="423"/>
  <c r="E18" i="423" a="1"/>
  <c r="E18" i="423" s="1"/>
  <c r="C18" i="423"/>
  <c r="A18" i="423"/>
  <c r="C17" i="423"/>
  <c r="A17" i="423"/>
  <c r="C16" i="423"/>
  <c r="A16" i="423"/>
  <c r="C15" i="423"/>
  <c r="A15" i="423"/>
  <c r="C14" i="423"/>
  <c r="A14" i="423"/>
  <c r="C13" i="423"/>
  <c r="A13" i="423"/>
  <c r="C12" i="423"/>
  <c r="A12" i="423"/>
  <c r="C11" i="423"/>
  <c r="A11" i="423"/>
  <c r="C10" i="423"/>
  <c r="A10" i="423"/>
  <c r="C9" i="423"/>
  <c r="A9" i="423"/>
  <c r="C8" i="423"/>
  <c r="B8" i="423"/>
  <c r="A8" i="423"/>
  <c r="C7" i="423"/>
  <c r="B7" i="423"/>
  <c r="A7" i="423"/>
  <c r="E6" i="423" a="1"/>
  <c r="E6" i="423" s="1"/>
  <c r="B6" i="423"/>
  <c r="A6" i="423"/>
  <c r="G4" i="423"/>
  <c r="B3" i="423"/>
  <c r="C2" i="423"/>
  <c r="B1" i="423"/>
  <c r="E19" i="424" l="1"/>
  <c r="E20" i="424" s="1"/>
  <c r="G20" i="424" s="1"/>
  <c r="G17" i="424"/>
  <c r="G18" i="424" s="1"/>
  <c r="G15" i="424"/>
  <c r="G13" i="424"/>
  <c r="G11" i="424"/>
  <c r="G9" i="424"/>
  <c r="G7" i="424"/>
  <c r="G16" i="424"/>
  <c r="G14" i="424"/>
  <c r="G12" i="424"/>
  <c r="G10" i="424"/>
  <c r="G8" i="424"/>
  <c r="G6" i="424"/>
  <c r="G6" i="423"/>
  <c r="G18" i="423" s="1"/>
  <c r="E19" i="423"/>
  <c r="E20" i="423" s="1"/>
  <c r="F19" i="423"/>
  <c r="F20" i="423" s="1"/>
  <c r="B9" i="423"/>
  <c r="B10" i="423"/>
  <c r="B11" i="423"/>
  <c r="B12" i="423"/>
  <c r="B13" i="423"/>
  <c r="B14" i="423"/>
  <c r="B15" i="423"/>
  <c r="B16" i="423"/>
  <c r="B17" i="423"/>
  <c r="B18" i="423"/>
  <c r="G19" i="424" l="1"/>
  <c r="G20" i="423"/>
  <c r="G19" i="423"/>
  <c r="E33" i="341" l="1"/>
  <c r="E34" i="341"/>
  <c r="P34" i="331" l="1"/>
  <c r="S34" i="331"/>
  <c r="P35" i="331"/>
  <c r="S35" i="331"/>
  <c r="P36" i="331"/>
  <c r="S36" i="331"/>
  <c r="P37" i="331"/>
  <c r="S37" i="331"/>
  <c r="P38" i="331"/>
  <c r="S38" i="331"/>
  <c r="P39" i="331"/>
  <c r="S39" i="331"/>
  <c r="P40" i="331"/>
  <c r="S40" i="331"/>
  <c r="P41" i="331"/>
  <c r="S41" i="331"/>
  <c r="P42" i="331"/>
  <c r="S42" i="331"/>
  <c r="P43" i="331"/>
  <c r="S43" i="331"/>
  <c r="P44" i="331"/>
  <c r="S44" i="331"/>
  <c r="P45" i="331"/>
  <c r="S45" i="331"/>
  <c r="P46" i="331"/>
  <c r="S46" i="331"/>
  <c r="P47" i="331"/>
  <c r="S47" i="331"/>
  <c r="P48" i="331"/>
  <c r="S48" i="331"/>
  <c r="P49" i="331"/>
  <c r="S49" i="331"/>
  <c r="P50" i="331"/>
  <c r="S50" i="331"/>
  <c r="P51" i="331"/>
  <c r="S51" i="331"/>
  <c r="E13" i="331"/>
  <c r="L13" i="331" a="1"/>
  <c r="L13" i="331" s="1"/>
  <c r="E14" i="331"/>
  <c r="L14" i="331" a="1"/>
  <c r="L14" i="331" s="1"/>
  <c r="A7" i="318" l="1"/>
  <c r="M632" i="310"/>
  <c r="E56" i="341" l="1"/>
  <c r="L56" i="341" a="1"/>
  <c r="L56" i="341" s="1"/>
  <c r="N56" i="341" a="1"/>
  <c r="N56" i="341" s="1"/>
  <c r="P56" i="341" s="1"/>
  <c r="E57" i="341"/>
  <c r="L57" i="341" a="1"/>
  <c r="L57" i="341" s="1"/>
  <c r="N57" i="341" a="1"/>
  <c r="N57" i="341" s="1"/>
  <c r="P57" i="341" s="1"/>
  <c r="E58" i="341"/>
  <c r="L58" i="341" a="1"/>
  <c r="L58" i="341" s="1"/>
  <c r="N58" i="341" a="1"/>
  <c r="N58" i="341" s="1"/>
  <c r="P58" i="341" s="1"/>
  <c r="E59" i="341"/>
  <c r="L59" i="341" a="1"/>
  <c r="L59" i="341" s="1"/>
  <c r="N59" i="341" a="1"/>
  <c r="N59" i="341" s="1"/>
  <c r="P59" i="341" s="1"/>
  <c r="E60" i="341"/>
  <c r="L60" i="341" a="1"/>
  <c r="L60" i="341" s="1"/>
  <c r="N60" i="341" a="1"/>
  <c r="N60" i="341" s="1"/>
  <c r="P60" i="341" s="1"/>
  <c r="E61" i="341"/>
  <c r="L61" i="341" a="1"/>
  <c r="L61" i="341" s="1"/>
  <c r="N61" i="341" a="1"/>
  <c r="N61" i="341" s="1"/>
  <c r="P61" i="341" s="1"/>
  <c r="E62" i="341"/>
  <c r="L62" i="341" a="1"/>
  <c r="L62" i="341" s="1"/>
  <c r="N62" i="341" a="1"/>
  <c r="N62" i="341" s="1"/>
  <c r="P62" i="341" s="1"/>
  <c r="E63" i="341"/>
  <c r="L63" i="341" a="1"/>
  <c r="L63" i="341" s="1"/>
  <c r="N63" i="341" a="1"/>
  <c r="N63" i="341" s="1"/>
  <c r="P63" i="341" s="1"/>
  <c r="E64" i="341"/>
  <c r="L64" i="341" a="1"/>
  <c r="L64" i="341" s="1"/>
  <c r="N64" i="341" a="1"/>
  <c r="N64" i="341" s="1"/>
  <c r="P64" i="341" s="1"/>
  <c r="E65" i="341"/>
  <c r="L65" i="341" a="1"/>
  <c r="L65" i="341" s="1"/>
  <c r="N65" i="341" a="1"/>
  <c r="N65" i="341" s="1"/>
  <c r="P65" i="341" s="1"/>
  <c r="E66" i="341"/>
  <c r="L66" i="341" a="1"/>
  <c r="L66" i="341" s="1"/>
  <c r="N66" i="341" a="1"/>
  <c r="N66" i="341" s="1"/>
  <c r="P66" i="341" s="1"/>
  <c r="E67" i="341"/>
  <c r="L67" i="341" a="1"/>
  <c r="L67" i="341" s="1"/>
  <c r="N67" i="341" a="1"/>
  <c r="N67" i="341" s="1"/>
  <c r="P67" i="341" s="1"/>
  <c r="E68" i="341"/>
  <c r="L68" i="341" a="1"/>
  <c r="L68" i="341" s="1"/>
  <c r="N68" i="341" a="1"/>
  <c r="N68" i="341" s="1"/>
  <c r="P68" i="341" s="1"/>
  <c r="K627" i="310"/>
  <c r="K628" i="310"/>
  <c r="K629" i="310"/>
  <c r="K623" i="310"/>
  <c r="K624" i="310"/>
  <c r="K625" i="310"/>
  <c r="K626" i="310"/>
  <c r="K630" i="310"/>
  <c r="K631" i="310"/>
  <c r="K615" i="310"/>
  <c r="K616" i="310"/>
  <c r="K617" i="310"/>
  <c r="K618" i="310"/>
  <c r="K619" i="310"/>
  <c r="K620" i="310"/>
  <c r="K621" i="310"/>
  <c r="K622" i="310"/>
  <c r="K601" i="310"/>
  <c r="K597" i="310"/>
  <c r="K580" i="310"/>
  <c r="K579" i="310"/>
  <c r="K581" i="310"/>
  <c r="K582" i="310"/>
  <c r="K583" i="310"/>
  <c r="K584" i="310"/>
  <c r="K585" i="310"/>
  <c r="K586" i="310"/>
  <c r="K587" i="310"/>
  <c r="K588" i="310"/>
  <c r="K589" i="310"/>
  <c r="K590" i="310"/>
  <c r="K591" i="310"/>
  <c r="K592" i="310"/>
  <c r="K593" i="310"/>
  <c r="K594" i="310"/>
  <c r="K595" i="310"/>
  <c r="K596" i="310"/>
  <c r="K598" i="310"/>
  <c r="K599" i="310"/>
  <c r="K600" i="310"/>
  <c r="K602" i="310"/>
  <c r="K603" i="310"/>
  <c r="K604" i="310"/>
  <c r="K605" i="310"/>
  <c r="K606" i="310"/>
  <c r="K607" i="310"/>
  <c r="K608" i="310"/>
  <c r="K609" i="310"/>
  <c r="K610" i="310"/>
  <c r="K611" i="310"/>
  <c r="K612" i="310"/>
  <c r="K613" i="310"/>
  <c r="K614" i="310"/>
  <c r="I71" i="341"/>
  <c r="K576" i="310"/>
  <c r="K575" i="310"/>
  <c r="K574" i="310"/>
  <c r="K557" i="310" l="1"/>
  <c r="K558" i="310"/>
  <c r="K559" i="310"/>
  <c r="K556" i="310"/>
  <c r="K560" i="310"/>
  <c r="K561" i="310"/>
  <c r="K562" i="310"/>
  <c r="K535" i="310" l="1"/>
  <c r="K536" i="310"/>
  <c r="K537" i="310"/>
  <c r="K538" i="310"/>
  <c r="K539" i="310"/>
  <c r="K540" i="310"/>
  <c r="K541" i="310"/>
  <c r="K542" i="310"/>
  <c r="K543" i="310"/>
  <c r="K544" i="310"/>
  <c r="K545" i="310"/>
  <c r="K546" i="310"/>
  <c r="K547" i="310"/>
  <c r="K548" i="310"/>
  <c r="K549" i="310"/>
  <c r="K550" i="310"/>
  <c r="K551" i="310"/>
  <c r="K552" i="310"/>
  <c r="K553" i="310"/>
  <c r="K554" i="310"/>
  <c r="K555" i="310"/>
  <c r="K563" i="310"/>
  <c r="K564" i="310"/>
  <c r="K565" i="310"/>
  <c r="K566" i="310"/>
  <c r="K567" i="310"/>
  <c r="K568" i="310"/>
  <c r="K569" i="310"/>
  <c r="K570" i="310"/>
  <c r="K571" i="310"/>
  <c r="K572" i="310"/>
  <c r="K573" i="310"/>
  <c r="K577" i="310"/>
  <c r="K578" i="310"/>
  <c r="K519" i="310"/>
  <c r="K520" i="310"/>
  <c r="K521" i="310"/>
  <c r="K522" i="310"/>
  <c r="K523" i="310"/>
  <c r="K524" i="310"/>
  <c r="K525" i="310"/>
  <c r="K526" i="310"/>
  <c r="K527" i="310"/>
  <c r="K528" i="310"/>
  <c r="K529" i="310"/>
  <c r="K530" i="310"/>
  <c r="K531" i="310"/>
  <c r="K532" i="310"/>
  <c r="K533" i="310"/>
  <c r="K534" i="310"/>
  <c r="K460" i="310"/>
  <c r="K461" i="310"/>
  <c r="K517" i="310"/>
  <c r="K507" i="310" l="1"/>
  <c r="K508" i="310"/>
  <c r="K509" i="310"/>
  <c r="K510" i="310"/>
  <c r="K511" i="310"/>
  <c r="K512" i="310"/>
  <c r="K513" i="310"/>
  <c r="K514" i="310"/>
  <c r="K515" i="310"/>
  <c r="K516" i="310"/>
  <c r="K518" i="310"/>
  <c r="K473" i="310"/>
  <c r="K445" i="310"/>
  <c r="K441" i="310" l="1"/>
  <c r="K442" i="310"/>
  <c r="K443" i="310"/>
  <c r="K444" i="310"/>
  <c r="K446" i="310"/>
  <c r="K447" i="310"/>
  <c r="K448" i="310"/>
  <c r="K449" i="310"/>
  <c r="K450" i="310"/>
  <c r="K451" i="310"/>
  <c r="K452" i="310"/>
  <c r="K453" i="310"/>
  <c r="K454" i="310"/>
  <c r="K455" i="310"/>
  <c r="K456" i="310"/>
  <c r="K457" i="310"/>
  <c r="K458" i="310"/>
  <c r="K459" i="310"/>
  <c r="K462" i="310"/>
  <c r="K463" i="310"/>
  <c r="K464" i="310"/>
  <c r="K465" i="310"/>
  <c r="K466" i="310"/>
  <c r="K467" i="310"/>
  <c r="K468" i="310"/>
  <c r="K469" i="310"/>
  <c r="K470" i="310"/>
  <c r="K471" i="310"/>
  <c r="K472" i="310"/>
  <c r="K474" i="310"/>
  <c r="K475" i="310"/>
  <c r="K476" i="310"/>
  <c r="K477" i="310"/>
  <c r="K478" i="310"/>
  <c r="K479" i="310"/>
  <c r="K480" i="310"/>
  <c r="K481" i="310"/>
  <c r="K482" i="310"/>
  <c r="K483" i="310"/>
  <c r="K484" i="310"/>
  <c r="K485" i="310"/>
  <c r="K486" i="310"/>
  <c r="K487" i="310"/>
  <c r="K488" i="310"/>
  <c r="K489" i="310"/>
  <c r="K490" i="310"/>
  <c r="K491" i="310"/>
  <c r="K492" i="310"/>
  <c r="K493" i="310"/>
  <c r="K494" i="310"/>
  <c r="K495" i="310"/>
  <c r="K496" i="310"/>
  <c r="K497" i="310"/>
  <c r="K498" i="310"/>
  <c r="K499" i="310"/>
  <c r="K500" i="310"/>
  <c r="K501" i="310"/>
  <c r="K502" i="310"/>
  <c r="K503" i="310"/>
  <c r="K504" i="310"/>
  <c r="K505" i="310"/>
  <c r="K506" i="310"/>
  <c r="K398" i="310" l="1"/>
  <c r="K394" i="310"/>
  <c r="K395" i="310"/>
  <c r="K396" i="310"/>
  <c r="K397" i="310"/>
  <c r="K399" i="310"/>
  <c r="K434" i="310" l="1"/>
  <c r="K435" i="310"/>
  <c r="K436" i="310"/>
  <c r="K437" i="310"/>
  <c r="K438" i="310"/>
  <c r="K439" i="310"/>
  <c r="K440" i="310"/>
  <c r="K433" i="310" l="1"/>
  <c r="K430" i="310"/>
  <c r="K431" i="310"/>
  <c r="K432" i="310"/>
  <c r="N427" i="310"/>
  <c r="K423" i="310"/>
  <c r="K424" i="310"/>
  <c r="K425" i="310"/>
  <c r="K426" i="310"/>
  <c r="K427" i="310"/>
  <c r="K428" i="310"/>
  <c r="K429" i="310"/>
  <c r="N422" i="310"/>
  <c r="N417" i="310"/>
  <c r="K416" i="310"/>
  <c r="K417" i="310"/>
  <c r="K419" i="310"/>
  <c r="K377" i="310"/>
  <c r="N634" i="310" l="1"/>
  <c r="O58" i="341" a="1"/>
  <c r="O58" i="341" s="1"/>
  <c r="S58" i="341" s="1"/>
  <c r="O62" i="341" a="1"/>
  <c r="O62" i="341" s="1"/>
  <c r="S62" i="341" s="1"/>
  <c r="O65" i="341" a="1"/>
  <c r="O65" i="341" s="1"/>
  <c r="S65" i="341" s="1"/>
  <c r="O56" i="341" a="1"/>
  <c r="O56" i="341" s="1"/>
  <c r="S56" i="341" s="1"/>
  <c r="O57" i="341" a="1"/>
  <c r="O57" i="341" s="1"/>
  <c r="S57" i="341" s="1"/>
  <c r="O60" i="341" a="1"/>
  <c r="O60" i="341" s="1"/>
  <c r="S60" i="341" s="1"/>
  <c r="O63" i="341" a="1"/>
  <c r="O63" i="341" s="1"/>
  <c r="S63" i="341" s="1"/>
  <c r="O66" i="341" a="1"/>
  <c r="O66" i="341" s="1"/>
  <c r="S66" i="341" s="1"/>
  <c r="O67" i="341" a="1"/>
  <c r="O67" i="341" s="1"/>
  <c r="S67" i="341" s="1"/>
  <c r="O68" i="341" a="1"/>
  <c r="O68" i="341" s="1"/>
  <c r="S68" i="341" s="1"/>
  <c r="O59" i="341" a="1"/>
  <c r="O59" i="341" s="1"/>
  <c r="S59" i="341" s="1"/>
  <c r="O61" i="341" a="1"/>
  <c r="O61" i="341" s="1"/>
  <c r="S61" i="341" s="1"/>
  <c r="O64" i="341" a="1"/>
  <c r="O64" i="341" s="1"/>
  <c r="S64" i="341" s="1"/>
  <c r="K368" i="310"/>
  <c r="K369" i="310"/>
  <c r="K370" i="310"/>
  <c r="K371" i="310"/>
  <c r="K372" i="310"/>
  <c r="K373" i="310"/>
  <c r="K374" i="310"/>
  <c r="K375" i="310"/>
  <c r="K376" i="310"/>
  <c r="K378" i="310"/>
  <c r="K379" i="310"/>
  <c r="K380" i="310"/>
  <c r="K381" i="310"/>
  <c r="K382" i="310"/>
  <c r="K383" i="310"/>
  <c r="K384" i="310"/>
  <c r="K385" i="310"/>
  <c r="K386" i="310"/>
  <c r="K387" i="310"/>
  <c r="K388" i="310"/>
  <c r="K389" i="310"/>
  <c r="K390" i="310"/>
  <c r="K391" i="310"/>
  <c r="K392" i="310"/>
  <c r="K393" i="310"/>
  <c r="K403" i="310"/>
  <c r="K404" i="310"/>
  <c r="K405" i="310"/>
  <c r="K406" i="310"/>
  <c r="K407" i="310"/>
  <c r="K408" i="310"/>
  <c r="K409" i="310"/>
  <c r="K410" i="310"/>
  <c r="K411" i="310"/>
  <c r="K412" i="310"/>
  <c r="K413" i="310"/>
  <c r="K414" i="310"/>
  <c r="K415" i="310"/>
  <c r="K420" i="310"/>
  <c r="K421" i="310"/>
  <c r="K422" i="310"/>
  <c r="K337" i="310" l="1"/>
  <c r="K347" i="310"/>
  <c r="K348" i="310"/>
  <c r="K349" i="310"/>
  <c r="K350" i="310"/>
  <c r="K351" i="310"/>
  <c r="K352" i="310"/>
  <c r="K353" i="310"/>
  <c r="K354" i="310"/>
  <c r="K355" i="310"/>
  <c r="K356" i="310"/>
  <c r="K357" i="310"/>
  <c r="K358" i="310"/>
  <c r="K359" i="310"/>
  <c r="K360" i="310"/>
  <c r="K361" i="310"/>
  <c r="K362" i="310"/>
  <c r="K363" i="310"/>
  <c r="K364" i="310"/>
  <c r="K365" i="310"/>
  <c r="K366" i="310"/>
  <c r="K329" i="310"/>
  <c r="K330" i="310"/>
  <c r="K331" i="310"/>
  <c r="K332" i="310"/>
  <c r="K333" i="310"/>
  <c r="K334" i="310"/>
  <c r="K335" i="310"/>
  <c r="K336" i="310"/>
  <c r="K338" i="310"/>
  <c r="K339" i="310"/>
  <c r="K340" i="310"/>
  <c r="K341" i="310"/>
  <c r="K342" i="310"/>
  <c r="K343" i="310"/>
  <c r="K344" i="310"/>
  <c r="K345" i="310"/>
  <c r="K346" i="310"/>
  <c r="K292" i="310" l="1"/>
  <c r="K293" i="310"/>
  <c r="K294" i="310"/>
  <c r="K295" i="310"/>
  <c r="K296" i="310"/>
  <c r="K297" i="310"/>
  <c r="K298" i="310"/>
  <c r="K299" i="310"/>
  <c r="K300" i="310"/>
  <c r="K301" i="310"/>
  <c r="K302" i="310"/>
  <c r="K303" i="310"/>
  <c r="K304" i="310"/>
  <c r="K305" i="310"/>
  <c r="K306" i="310"/>
  <c r="K307" i="310"/>
  <c r="K308" i="310"/>
  <c r="K309" i="310"/>
  <c r="K310" i="310"/>
  <c r="K311" i="310"/>
  <c r="K312" i="310"/>
  <c r="K313" i="310"/>
  <c r="K314" i="310"/>
  <c r="K315" i="310"/>
  <c r="K316" i="310"/>
  <c r="K317" i="310"/>
  <c r="K318" i="310"/>
  <c r="K319" i="310"/>
  <c r="K320" i="310"/>
  <c r="K321" i="310"/>
  <c r="K322" i="310"/>
  <c r="K323" i="310"/>
  <c r="K324" i="310"/>
  <c r="K325" i="310"/>
  <c r="K326" i="310"/>
  <c r="K327" i="310"/>
  <c r="K328" i="310"/>
  <c r="K367" i="310"/>
  <c r="K290" i="310"/>
  <c r="K285" i="310"/>
  <c r="K286" i="310"/>
  <c r="K287" i="310"/>
  <c r="K288" i="310"/>
  <c r="K289" i="310"/>
  <c r="K291" i="310"/>
  <c r="K242" i="310"/>
  <c r="K243" i="310"/>
  <c r="K244" i="310"/>
  <c r="K245" i="310"/>
  <c r="K246" i="310"/>
  <c r="K247" i="310"/>
  <c r="K248" i="310"/>
  <c r="K239" i="310"/>
  <c r="K240" i="310"/>
  <c r="K231" i="310"/>
  <c r="K232" i="310"/>
  <c r="K233" i="310"/>
  <c r="K234" i="310"/>
  <c r="K235" i="310"/>
  <c r="K236" i="310"/>
  <c r="K237" i="310"/>
  <c r="K238" i="310"/>
  <c r="K249" i="310"/>
  <c r="K250" i="310"/>
  <c r="K251" i="310"/>
  <c r="K252" i="310"/>
  <c r="K253" i="310"/>
  <c r="K254" i="310"/>
  <c r="K255" i="310"/>
  <c r="K256" i="310"/>
  <c r="K257" i="310"/>
  <c r="K258" i="310"/>
  <c r="K259" i="310"/>
  <c r="K260" i="310"/>
  <c r="K261" i="310"/>
  <c r="K262" i="310"/>
  <c r="K263" i="310"/>
  <c r="K264" i="310"/>
  <c r="K265" i="310"/>
  <c r="K266" i="310"/>
  <c r="K267" i="310"/>
  <c r="K268" i="310"/>
  <c r="K269" i="310"/>
  <c r="K270" i="310"/>
  <c r="K271" i="310"/>
  <c r="K272" i="310"/>
  <c r="K273" i="310"/>
  <c r="K274" i="310"/>
  <c r="K275" i="310"/>
  <c r="K276" i="310"/>
  <c r="K277" i="310"/>
  <c r="K278" i="310"/>
  <c r="K279" i="310"/>
  <c r="K280" i="310"/>
  <c r="K281" i="310"/>
  <c r="K282" i="310"/>
  <c r="K283" i="310"/>
  <c r="K284" i="310"/>
  <c r="K230" i="310"/>
  <c r="K229" i="310"/>
  <c r="K228" i="310"/>
  <c r="K200" i="310"/>
  <c r="K173" i="310"/>
  <c r="K135" i="310"/>
  <c r="K132" i="310"/>
  <c r="K133" i="310"/>
  <c r="K134" i="310"/>
  <c r="K136" i="310"/>
  <c r="K137" i="310"/>
  <c r="K138" i="310"/>
  <c r="K139" i="310"/>
  <c r="K140" i="310"/>
  <c r="K141" i="310"/>
  <c r="K142" i="310"/>
  <c r="K143" i="310"/>
  <c r="K144" i="310"/>
  <c r="K145" i="310"/>
  <c r="K146" i="310"/>
  <c r="K147" i="310"/>
  <c r="K148" i="310"/>
  <c r="K149" i="310"/>
  <c r="K150" i="310"/>
  <c r="K151" i="310"/>
  <c r="K152" i="310"/>
  <c r="K153" i="310"/>
  <c r="K154" i="310"/>
  <c r="K155" i="310"/>
  <c r="K156" i="310"/>
  <c r="K157" i="310"/>
  <c r="K158" i="310"/>
  <c r="K159" i="310"/>
  <c r="K160" i="310"/>
  <c r="K161" i="310"/>
  <c r="K162" i="310"/>
  <c r="K163" i="310"/>
  <c r="K164" i="310"/>
  <c r="K165" i="310"/>
  <c r="K166" i="310"/>
  <c r="K167" i="310"/>
  <c r="K168" i="310"/>
  <c r="K169" i="310"/>
  <c r="K170" i="310"/>
  <c r="K171" i="310"/>
  <c r="K172" i="310"/>
  <c r="K174" i="310"/>
  <c r="K175" i="310"/>
  <c r="K176" i="310"/>
  <c r="K177" i="310"/>
  <c r="K178" i="310"/>
  <c r="K179" i="310"/>
  <c r="K180" i="310"/>
  <c r="K181" i="310"/>
  <c r="K182" i="310"/>
  <c r="K183" i="310"/>
  <c r="K184" i="310"/>
  <c r="K185" i="310"/>
  <c r="K186" i="310"/>
  <c r="K187" i="310"/>
  <c r="K188" i="310"/>
  <c r="K189" i="310"/>
  <c r="K190" i="310"/>
  <c r="K191" i="310"/>
  <c r="K192" i="310"/>
  <c r="K193" i="310"/>
  <c r="K194" i="310"/>
  <c r="K195" i="310"/>
  <c r="K196" i="310"/>
  <c r="K197" i="310"/>
  <c r="K198" i="310"/>
  <c r="K199" i="310"/>
  <c r="K201" i="310"/>
  <c r="K202" i="310"/>
  <c r="K203" i="310"/>
  <c r="K204" i="310"/>
  <c r="K205" i="310"/>
  <c r="K206" i="310"/>
  <c r="K207" i="310"/>
  <c r="K208" i="310"/>
  <c r="K209" i="310"/>
  <c r="K210" i="310"/>
  <c r="K211" i="310"/>
  <c r="K212" i="310"/>
  <c r="K213" i="310"/>
  <c r="K214" i="310"/>
  <c r="K215" i="310"/>
  <c r="T3" i="341"/>
  <c r="I70" i="341" s="1"/>
  <c r="E13" i="341"/>
  <c r="E14" i="341"/>
  <c r="E15" i="341"/>
  <c r="E16" i="341"/>
  <c r="E17" i="341"/>
  <c r="E18" i="341"/>
  <c r="E19" i="341"/>
  <c r="E20" i="341"/>
  <c r="E21" i="341"/>
  <c r="E22" i="341"/>
  <c r="E23" i="341"/>
  <c r="E24" i="341"/>
  <c r="E25" i="341"/>
  <c r="E26" i="341"/>
  <c r="E27" i="341"/>
  <c r="E28" i="341"/>
  <c r="E29" i="341"/>
  <c r="E30" i="341"/>
  <c r="E31" i="341"/>
  <c r="E32" i="341"/>
  <c r="E35" i="341"/>
  <c r="E36" i="341"/>
  <c r="E37" i="341"/>
  <c r="L13" i="341" a="1"/>
  <c r="L13" i="341" s="1"/>
  <c r="L14" i="341" a="1"/>
  <c r="L14" i="341" s="1"/>
  <c r="L15" i="341" a="1"/>
  <c r="L15" i="341" s="1"/>
  <c r="L16" i="341" a="1"/>
  <c r="L16" i="341" s="1"/>
  <c r="L17" i="341" a="1"/>
  <c r="L17" i="341" s="1"/>
  <c r="L18" i="341" a="1"/>
  <c r="L18" i="341" s="1"/>
  <c r="L19" i="341" a="1"/>
  <c r="L19" i="341" s="1"/>
  <c r="L20" i="341" a="1"/>
  <c r="L20" i="341" s="1"/>
  <c r="L21" i="341" a="1"/>
  <c r="L21" i="341" s="1"/>
  <c r="L22" i="341" a="1"/>
  <c r="L22" i="341" s="1"/>
  <c r="N23" i="341" a="1"/>
  <c r="N23" i="341" s="1"/>
  <c r="P23" i="341" s="1"/>
  <c r="O23" i="341" a="1"/>
  <c r="O23" i="341" s="1"/>
  <c r="S23" i="341" s="1"/>
  <c r="L23" i="341" a="1"/>
  <c r="L23" i="341" s="1"/>
  <c r="L24" i="341" a="1"/>
  <c r="L24" i="341" s="1"/>
  <c r="L25" i="341" a="1"/>
  <c r="L25" i="341" s="1"/>
  <c r="L26" i="341" a="1"/>
  <c r="L26" i="341" s="1"/>
  <c r="L27" i="341" a="1"/>
  <c r="L27" i="341" s="1"/>
  <c r="L28" i="341" a="1"/>
  <c r="L28" i="341" s="1"/>
  <c r="L29" i="341" a="1"/>
  <c r="L29" i="341" s="1"/>
  <c r="L30" i="341" a="1"/>
  <c r="L30" i="341" s="1"/>
  <c r="L31" i="341" a="1"/>
  <c r="L31" i="341" s="1"/>
  <c r="L32" i="341" a="1"/>
  <c r="L32" i="341" s="1"/>
  <c r="L33" i="341" a="1"/>
  <c r="L33" i="341" s="1"/>
  <c r="L34" i="341" a="1"/>
  <c r="L34" i="341" s="1"/>
  <c r="L35" i="341" a="1"/>
  <c r="L35" i="341" s="1"/>
  <c r="L36" i="341" a="1"/>
  <c r="L36" i="341" s="1"/>
  <c r="L37" i="341" a="1"/>
  <c r="L37" i="341" s="1"/>
  <c r="P3" i="310"/>
  <c r="P4" i="310" s="1"/>
  <c r="P5" i="310" s="1"/>
  <c r="P6" i="310" s="1"/>
  <c r="P7" i="310" s="1"/>
  <c r="P8" i="310" s="1"/>
  <c r="P9" i="310" s="1"/>
  <c r="P10" i="310" s="1"/>
  <c r="P11" i="310" s="1"/>
  <c r="P12" i="310" s="1"/>
  <c r="P13" i="310" s="1"/>
  <c r="P14" i="310" s="1"/>
  <c r="P15" i="310" s="1"/>
  <c r="P16" i="310" s="1"/>
  <c r="P17" i="310" s="1"/>
  <c r="P18" i="310" s="1"/>
  <c r="P19" i="310" s="1"/>
  <c r="P20" i="310" s="1"/>
  <c r="P21" i="310" s="1"/>
  <c r="P22" i="310" s="1"/>
  <c r="P23" i="310" s="1"/>
  <c r="P24" i="310" s="1"/>
  <c r="P25" i="310" s="1"/>
  <c r="P26" i="310" s="1"/>
  <c r="P27" i="310" s="1"/>
  <c r="P28" i="310" s="1"/>
  <c r="P29" i="310" s="1"/>
  <c r="P30" i="310" s="1"/>
  <c r="P31" i="310" s="1"/>
  <c r="P32" i="310" s="1"/>
  <c r="P33" i="310" s="1"/>
  <c r="P34" i="310" s="1"/>
  <c r="P35" i="310" s="1"/>
  <c r="P36" i="310" s="1"/>
  <c r="P37" i="310" s="1"/>
  <c r="P38" i="310" s="1"/>
  <c r="P39" i="310" s="1"/>
  <c r="P40" i="310" s="1"/>
  <c r="P41" i="310" s="1"/>
  <c r="P42" i="310" s="1"/>
  <c r="K107" i="310"/>
  <c r="K87" i="310"/>
  <c r="K43" i="310"/>
  <c r="K44" i="310"/>
  <c r="K45" i="310"/>
  <c r="K46" i="310"/>
  <c r="K47" i="310"/>
  <c r="K48" i="310"/>
  <c r="K49" i="310"/>
  <c r="K50" i="310"/>
  <c r="K51" i="310"/>
  <c r="K52" i="310"/>
  <c r="K53" i="310"/>
  <c r="K54" i="310"/>
  <c r="K55" i="310"/>
  <c r="K56" i="310"/>
  <c r="K57" i="310"/>
  <c r="K58" i="310"/>
  <c r="K59" i="310"/>
  <c r="K60" i="310"/>
  <c r="K61" i="310"/>
  <c r="K62" i="310"/>
  <c r="K63" i="310"/>
  <c r="K64" i="310"/>
  <c r="K65" i="310"/>
  <c r="K66" i="310"/>
  <c r="K67" i="310"/>
  <c r="K68" i="310"/>
  <c r="K69" i="310"/>
  <c r="K70" i="310"/>
  <c r="K71" i="310"/>
  <c r="K72" i="310"/>
  <c r="K73" i="310"/>
  <c r="K74" i="310"/>
  <c r="K75" i="310"/>
  <c r="K76" i="310"/>
  <c r="K77" i="310"/>
  <c r="K78" i="310"/>
  <c r="K79" i="310"/>
  <c r="K80" i="310"/>
  <c r="K81" i="310"/>
  <c r="K82" i="310"/>
  <c r="K83" i="310"/>
  <c r="K84" i="310"/>
  <c r="K85" i="310"/>
  <c r="K86" i="310"/>
  <c r="K88" i="310"/>
  <c r="K89" i="310"/>
  <c r="K90" i="310"/>
  <c r="K91" i="310"/>
  <c r="K92" i="310"/>
  <c r="K93" i="310"/>
  <c r="K94" i="310"/>
  <c r="K95" i="310"/>
  <c r="K96" i="310"/>
  <c r="K97" i="310"/>
  <c r="K98" i="310"/>
  <c r="K99" i="310"/>
  <c r="K100" i="310"/>
  <c r="K101" i="310"/>
  <c r="K102" i="310"/>
  <c r="K103" i="310"/>
  <c r="K104" i="310"/>
  <c r="K105" i="310"/>
  <c r="K106" i="310"/>
  <c r="K108" i="310"/>
  <c r="K109" i="310"/>
  <c r="K110" i="310"/>
  <c r="K111" i="310"/>
  <c r="K112" i="310"/>
  <c r="K113" i="310"/>
  <c r="K114" i="310"/>
  <c r="K115" i="310"/>
  <c r="K116" i="310"/>
  <c r="K117" i="310"/>
  <c r="K118" i="310"/>
  <c r="K119" i="310"/>
  <c r="K120" i="310"/>
  <c r="K121" i="310"/>
  <c r="K122" i="310"/>
  <c r="K123" i="310"/>
  <c r="K124" i="310"/>
  <c r="K125" i="310"/>
  <c r="K126" i="310"/>
  <c r="K127" i="310"/>
  <c r="K128" i="310"/>
  <c r="K129" i="310"/>
  <c r="K130" i="310"/>
  <c r="K131" i="310"/>
  <c r="K216" i="310"/>
  <c r="K217" i="310"/>
  <c r="K218" i="310"/>
  <c r="K219" i="310"/>
  <c r="K220" i="310"/>
  <c r="K221" i="310"/>
  <c r="K222" i="310"/>
  <c r="K223" i="310"/>
  <c r="K224" i="310"/>
  <c r="K225" i="310"/>
  <c r="K226" i="310"/>
  <c r="K227" i="310"/>
  <c r="K3" i="310"/>
  <c r="K4" i="310"/>
  <c r="K5" i="310"/>
  <c r="K6" i="310"/>
  <c r="K7" i="310"/>
  <c r="K8" i="310"/>
  <c r="K9" i="310"/>
  <c r="K10" i="310"/>
  <c r="K11" i="310"/>
  <c r="K12" i="310"/>
  <c r="K13" i="310"/>
  <c r="K14" i="310"/>
  <c r="K15" i="310"/>
  <c r="K16" i="310"/>
  <c r="K17" i="310"/>
  <c r="K18" i="310"/>
  <c r="K19" i="310"/>
  <c r="K20" i="310"/>
  <c r="K21" i="310"/>
  <c r="K22" i="310"/>
  <c r="K23" i="310"/>
  <c r="K24" i="310"/>
  <c r="K25" i="310"/>
  <c r="K26" i="310"/>
  <c r="K27" i="310"/>
  <c r="K28" i="310"/>
  <c r="K29" i="310"/>
  <c r="K30" i="310"/>
  <c r="K31" i="310"/>
  <c r="K32" i="310"/>
  <c r="K33" i="310"/>
  <c r="K34" i="310"/>
  <c r="K35" i="310"/>
  <c r="K36" i="310"/>
  <c r="K37" i="310"/>
  <c r="O14" i="341" a="1"/>
  <c r="O14" i="341" s="1"/>
  <c r="S14" i="341" s="1"/>
  <c r="O15" i="341" a="1"/>
  <c r="O15" i="341" s="1"/>
  <c r="S15" i="341" s="1"/>
  <c r="O16" i="341" a="1"/>
  <c r="O16" i="341" s="1"/>
  <c r="S16" i="341" s="1"/>
  <c r="O17" i="341" a="1"/>
  <c r="O17" i="341" s="1"/>
  <c r="S17" i="341" s="1"/>
  <c r="O18" i="341" a="1"/>
  <c r="O18" i="341" s="1"/>
  <c r="S18" i="341" s="1"/>
  <c r="O19" i="341" a="1"/>
  <c r="O19" i="341" s="1"/>
  <c r="S19" i="341" s="1"/>
  <c r="O20" i="341" a="1"/>
  <c r="O20" i="341" s="1"/>
  <c r="S20" i="341" s="1"/>
  <c r="O21" i="341" a="1"/>
  <c r="O21" i="341" s="1"/>
  <c r="S21" i="341" s="1"/>
  <c r="O22" i="341" a="1"/>
  <c r="O22" i="341" s="1"/>
  <c r="S22" i="341" s="1"/>
  <c r="O24" i="341" a="1"/>
  <c r="O24" i="341" s="1"/>
  <c r="S24" i="341" s="1"/>
  <c r="O25" i="341" a="1"/>
  <c r="O25" i="341" s="1"/>
  <c r="S25" i="341" s="1"/>
  <c r="O26" i="341" a="1"/>
  <c r="O26" i="341" s="1"/>
  <c r="S26" i="341" s="1"/>
  <c r="O27" i="341" a="1"/>
  <c r="O27" i="341" s="1"/>
  <c r="S27" i="341" s="1"/>
  <c r="O28" i="341" a="1"/>
  <c r="O28" i="341" s="1"/>
  <c r="S28" i="341" s="1"/>
  <c r="O29" i="341" a="1"/>
  <c r="O29" i="341" s="1"/>
  <c r="S29" i="341" s="1"/>
  <c r="O30" i="341" a="1"/>
  <c r="O30" i="341" s="1"/>
  <c r="S30" i="341" s="1"/>
  <c r="O31" i="341" a="1"/>
  <c r="O31" i="341" s="1"/>
  <c r="S31" i="341" s="1"/>
  <c r="O32" i="341" a="1"/>
  <c r="O32" i="341" s="1"/>
  <c r="S32" i="341" s="1"/>
  <c r="O33" i="341" a="1"/>
  <c r="O33" i="341" s="1"/>
  <c r="S33" i="341" s="1"/>
  <c r="O34" i="341" a="1"/>
  <c r="O34" i="341" s="1"/>
  <c r="S34" i="341" s="1"/>
  <c r="O35" i="341" a="1"/>
  <c r="O35" i="341" s="1"/>
  <c r="S35" i="341" s="1"/>
  <c r="O36" i="341" a="1"/>
  <c r="O36" i="341" s="1"/>
  <c r="S36" i="341" s="1"/>
  <c r="O37" i="341" a="1"/>
  <c r="O37" i="341" s="1"/>
  <c r="S37" i="341" s="1"/>
  <c r="O38" i="341" a="1"/>
  <c r="O38" i="341" s="1"/>
  <c r="S38" i="341" s="1"/>
  <c r="O39" i="341" a="1"/>
  <c r="O39" i="341" s="1"/>
  <c r="S39" i="341" s="1"/>
  <c r="O40" i="341" a="1"/>
  <c r="O40" i="341" s="1"/>
  <c r="S40" i="341" s="1"/>
  <c r="O41" i="341" a="1"/>
  <c r="O41" i="341" s="1"/>
  <c r="S41" i="341" s="1"/>
  <c r="O42" i="341" a="1"/>
  <c r="O42" i="341" s="1"/>
  <c r="S42" i="341" s="1"/>
  <c r="O43" i="341" a="1"/>
  <c r="O43" i="341" s="1"/>
  <c r="S43" i="341" s="1"/>
  <c r="N14" i="341" a="1"/>
  <c r="N14" i="341" s="1"/>
  <c r="P14" i="341" s="1"/>
  <c r="N15" i="341" a="1"/>
  <c r="N15" i="341" s="1"/>
  <c r="P15" i="341" s="1"/>
  <c r="N16" i="341" a="1"/>
  <c r="N16" i="341" s="1"/>
  <c r="P16" i="341" s="1"/>
  <c r="N17" i="341" a="1"/>
  <c r="N17" i="341" s="1"/>
  <c r="P17" i="341" s="1"/>
  <c r="N18" i="341" a="1"/>
  <c r="N18" i="341" s="1"/>
  <c r="P18" i="341" s="1"/>
  <c r="N19" i="341" a="1"/>
  <c r="N19" i="341" s="1"/>
  <c r="P19" i="341" s="1"/>
  <c r="N20" i="341" a="1"/>
  <c r="N20" i="341" s="1"/>
  <c r="P20" i="341" s="1"/>
  <c r="N21" i="341" a="1"/>
  <c r="N21" i="341" s="1"/>
  <c r="P21" i="341" s="1"/>
  <c r="N22" i="341" a="1"/>
  <c r="N22" i="341" s="1"/>
  <c r="P22" i="341" s="1"/>
  <c r="N24" i="341" a="1"/>
  <c r="N24" i="341" s="1"/>
  <c r="P24" i="341" s="1"/>
  <c r="N25" i="341" a="1"/>
  <c r="N25" i="341" s="1"/>
  <c r="P25" i="341" s="1"/>
  <c r="N26" i="341" a="1"/>
  <c r="N26" i="341" s="1"/>
  <c r="P26" i="341" s="1"/>
  <c r="N27" i="341" a="1"/>
  <c r="N27" i="341" s="1"/>
  <c r="P27" i="341" s="1"/>
  <c r="N28" i="341" a="1"/>
  <c r="N28" i="341" s="1"/>
  <c r="P28" i="341" s="1"/>
  <c r="N29" i="341" a="1"/>
  <c r="N29" i="341" s="1"/>
  <c r="P29" i="341" s="1"/>
  <c r="I72" i="341"/>
  <c r="H124" i="337"/>
  <c r="A124" i="337" a="1"/>
  <c r="A124" i="337" s="1"/>
  <c r="H123" i="337"/>
  <c r="A123" i="337" a="1"/>
  <c r="A123" i="337" s="1"/>
  <c r="K110" i="316"/>
  <c r="K109" i="316"/>
  <c r="K108" i="316"/>
  <c r="O49" i="328" a="1"/>
  <c r="O49" i="328" s="1"/>
  <c r="N49" i="328" a="1"/>
  <c r="N49" i="328" s="1"/>
  <c r="O48" i="328" a="1"/>
  <c r="O48" i="328" s="1"/>
  <c r="S48" i="328" s="1"/>
  <c r="N48" i="328" a="1"/>
  <c r="N48" i="328"/>
  <c r="P48" i="328" s="1"/>
  <c r="O47" i="328" a="1"/>
  <c r="O47" i="328"/>
  <c r="S47" i="328" s="1"/>
  <c r="N47" i="328" a="1"/>
  <c r="N47" i="328" s="1"/>
  <c r="P47" i="328" s="1"/>
  <c r="O46" i="328" a="1"/>
  <c r="O46" i="328" s="1"/>
  <c r="S46" i="328" s="1"/>
  <c r="N46" i="328" a="1"/>
  <c r="N46" i="328" s="1"/>
  <c r="P46" i="328" s="1"/>
  <c r="O45" i="328" a="1"/>
  <c r="O45" i="328" s="1"/>
  <c r="S45" i="328" s="1"/>
  <c r="N45" i="328" a="1"/>
  <c r="N45" i="328"/>
  <c r="P45" i="328" s="1"/>
  <c r="O44" i="328" a="1"/>
  <c r="O44" i="328" s="1"/>
  <c r="S44" i="328" s="1"/>
  <c r="N44" i="328" a="1"/>
  <c r="N44" i="328"/>
  <c r="P44" i="328" s="1"/>
  <c r="O43" i="328" a="1"/>
  <c r="O43" i="328"/>
  <c r="S43" i="328" s="1"/>
  <c r="N43" i="328" a="1"/>
  <c r="N43" i="328" s="1"/>
  <c r="P43" i="328" s="1"/>
  <c r="O42" i="328" a="1"/>
  <c r="O42" i="328" s="1"/>
  <c r="S42" i="328" s="1"/>
  <c r="N42" i="328" a="1"/>
  <c r="N42" i="328" s="1"/>
  <c r="P42" i="328" s="1"/>
  <c r="O41" i="328" a="1"/>
  <c r="O41" i="328" s="1"/>
  <c r="S41" i="328" s="1"/>
  <c r="N41" i="328" a="1"/>
  <c r="N41" i="328"/>
  <c r="P41" i="328" s="1"/>
  <c r="O40" i="328" a="1"/>
  <c r="O40" i="328" s="1"/>
  <c r="S40" i="328" s="1"/>
  <c r="N40" i="328" a="1"/>
  <c r="N40" i="328"/>
  <c r="P40" i="328" s="1"/>
  <c r="O39" i="328" a="1"/>
  <c r="O39" i="328"/>
  <c r="S39" i="328" s="1"/>
  <c r="N39" i="328" a="1"/>
  <c r="N39" i="328" s="1"/>
  <c r="P39" i="328" s="1"/>
  <c r="O38" i="328" a="1"/>
  <c r="O38" i="328" s="1"/>
  <c r="S38" i="328" s="1"/>
  <c r="N38" i="328" a="1"/>
  <c r="N38" i="328" s="1"/>
  <c r="P38" i="328" s="1"/>
  <c r="O37" i="328" a="1"/>
  <c r="O37" i="328" s="1"/>
  <c r="S37" i="328" s="1"/>
  <c r="N37" i="328" a="1"/>
  <c r="N37" i="328"/>
  <c r="P37" i="328" s="1"/>
  <c r="O36" i="328" a="1"/>
  <c r="O36" i="328" s="1"/>
  <c r="S36" i="328" s="1"/>
  <c r="N36" i="328" a="1"/>
  <c r="N36" i="328"/>
  <c r="P36" i="328" s="1"/>
  <c r="O35" i="328" a="1"/>
  <c r="O35" i="328"/>
  <c r="S35" i="328" s="1"/>
  <c r="N35" i="328" a="1"/>
  <c r="N35" i="328" s="1"/>
  <c r="P35" i="328" s="1"/>
  <c r="O34" i="328" a="1"/>
  <c r="O34" i="328" s="1"/>
  <c r="N34" i="328" a="1"/>
  <c r="N34" i="328" s="1"/>
  <c r="O33" i="328" a="1"/>
  <c r="O33" i="328" s="1"/>
  <c r="N33" i="328" a="1"/>
  <c r="N33" i="328" s="1"/>
  <c r="O32" i="328" a="1"/>
  <c r="O32" i="328" s="1"/>
  <c r="N32" i="328" a="1"/>
  <c r="N32" i="328" s="1"/>
  <c r="O31" i="328" a="1"/>
  <c r="O31" i="328" s="1"/>
  <c r="N31" i="328" a="1"/>
  <c r="N31" i="328" s="1"/>
  <c r="O30" i="328" a="1"/>
  <c r="O30" i="328" s="1"/>
  <c r="N30" i="328" a="1"/>
  <c r="N30" i="328" s="1"/>
  <c r="O29" i="328" a="1"/>
  <c r="O29" i="328" s="1"/>
  <c r="N29" i="328" a="1"/>
  <c r="N29" i="328" s="1"/>
  <c r="O28" i="328" a="1"/>
  <c r="O28" i="328" s="1"/>
  <c r="N28" i="328" a="1"/>
  <c r="N28" i="328" s="1"/>
  <c r="O27" i="328" a="1"/>
  <c r="O27" i="328" s="1"/>
  <c r="N27" i="328" a="1"/>
  <c r="N27" i="328" s="1"/>
  <c r="O26" i="328" a="1"/>
  <c r="O26" i="328" s="1"/>
  <c r="N26" i="328" a="1"/>
  <c r="N26" i="328" s="1"/>
  <c r="O25" i="328" a="1"/>
  <c r="O25" i="328" s="1"/>
  <c r="N25" i="328" a="1"/>
  <c r="N25" i="328" s="1"/>
  <c r="O24" i="328" a="1"/>
  <c r="O24" i="328" s="1"/>
  <c r="N24" i="328" a="1"/>
  <c r="N24" i="328" s="1"/>
  <c r="O23" i="328" a="1"/>
  <c r="O23" i="328" s="1"/>
  <c r="N23" i="328" a="1"/>
  <c r="N23" i="328" s="1"/>
  <c r="O22" i="328" a="1"/>
  <c r="O22" i="328" s="1"/>
  <c r="N22" i="328" a="1"/>
  <c r="N22" i="328" s="1"/>
  <c r="O21" i="328" a="1"/>
  <c r="O21" i="328" s="1"/>
  <c r="N21" i="328" a="1"/>
  <c r="N21" i="328" s="1"/>
  <c r="O20" i="328" a="1"/>
  <c r="O20" i="328" s="1"/>
  <c r="N20" i="328" a="1"/>
  <c r="N20" i="328" s="1"/>
  <c r="O19" i="328" a="1"/>
  <c r="O19" i="328" s="1"/>
  <c r="N19" i="328" a="1"/>
  <c r="N19" i="328" s="1"/>
  <c r="O18" i="328" a="1"/>
  <c r="O18" i="328" s="1"/>
  <c r="N18" i="328" a="1"/>
  <c r="N18" i="328" s="1"/>
  <c r="O17" i="328" a="1"/>
  <c r="O17" i="328" s="1"/>
  <c r="N17" i="328" a="1"/>
  <c r="N17" i="328" s="1"/>
  <c r="O16" i="328" a="1"/>
  <c r="O16" i="328" s="1"/>
  <c r="N16" i="328" a="1"/>
  <c r="N16" i="328" s="1"/>
  <c r="O15" i="328" a="1"/>
  <c r="O15" i="328" s="1"/>
  <c r="N15" i="328" a="1"/>
  <c r="N15" i="328" s="1"/>
  <c r="O14" i="328" a="1"/>
  <c r="O14" i="328" s="1"/>
  <c r="N14" i="328" a="1"/>
  <c r="N14" i="328" s="1"/>
  <c r="O13" i="328" a="1"/>
  <c r="O13" i="328" s="1"/>
  <c r="N13" i="328" a="1"/>
  <c r="N13" i="328" s="1"/>
  <c r="L38" i="341" a="1"/>
  <c r="L38" i="341" s="1"/>
  <c r="L39" i="341" a="1"/>
  <c r="L39" i="341" s="1"/>
  <c r="L40" i="341" a="1"/>
  <c r="L40" i="341" s="1"/>
  <c r="N40" i="341" a="1"/>
  <c r="N40" i="341" s="1"/>
  <c r="P40" i="341" s="1"/>
  <c r="N39" i="341" a="1"/>
  <c r="N39" i="341" s="1"/>
  <c r="P39" i="341" s="1"/>
  <c r="N38" i="341" a="1"/>
  <c r="N38" i="341" s="1"/>
  <c r="P38" i="341" s="1"/>
  <c r="N37" i="341" a="1"/>
  <c r="N37" i="341" s="1"/>
  <c r="P37" i="341" s="1"/>
  <c r="N36" i="341" a="1"/>
  <c r="N36" i="341" s="1"/>
  <c r="P36" i="341" s="1"/>
  <c r="N35" i="341" a="1"/>
  <c r="N35" i="341" s="1"/>
  <c r="P35" i="341" s="1"/>
  <c r="N34" i="341" a="1"/>
  <c r="N34" i="341" s="1"/>
  <c r="P34" i="341" s="1"/>
  <c r="N33" i="341" a="1"/>
  <c r="N33" i="341" s="1"/>
  <c r="P33" i="341" s="1"/>
  <c r="N32" i="341" a="1"/>
  <c r="N32" i="341" s="1"/>
  <c r="P32" i="341" s="1"/>
  <c r="N31" i="341" a="1"/>
  <c r="N31" i="341" s="1"/>
  <c r="P31" i="341" s="1"/>
  <c r="N30" i="341" a="1"/>
  <c r="N30" i="341" s="1"/>
  <c r="P30" i="341" s="1"/>
  <c r="N13" i="341" a="1"/>
  <c r="N13" i="341" s="1"/>
  <c r="P13" i="341" s="1"/>
  <c r="N55" i="341" a="1"/>
  <c r="N55" i="341" s="1"/>
  <c r="P55" i="341" s="1"/>
  <c r="N54" i="341" a="1"/>
  <c r="N54" i="341" s="1"/>
  <c r="P54" i="341" s="1"/>
  <c r="N53" i="341" a="1"/>
  <c r="N53" i="341" s="1"/>
  <c r="P53" i="341" s="1"/>
  <c r="N52" i="341" a="1"/>
  <c r="N52" i="341" s="1"/>
  <c r="P52" i="341" s="1"/>
  <c r="N51" i="341" a="1"/>
  <c r="N51" i="341" s="1"/>
  <c r="P51" i="341" s="1"/>
  <c r="N50" i="341" a="1"/>
  <c r="N50" i="341" s="1"/>
  <c r="P50" i="341" s="1"/>
  <c r="N49" i="341" a="1"/>
  <c r="N49" i="341" s="1"/>
  <c r="P49" i="341" s="1"/>
  <c r="N48" i="341" a="1"/>
  <c r="N48" i="341" s="1"/>
  <c r="P48" i="341" s="1"/>
  <c r="N47" i="341" a="1"/>
  <c r="N47" i="341" s="1"/>
  <c r="P47" i="341" s="1"/>
  <c r="N46" i="341" a="1"/>
  <c r="N46" i="341" s="1"/>
  <c r="P46" i="341" s="1"/>
  <c r="N45" i="341" a="1"/>
  <c r="N45" i="341" s="1"/>
  <c r="P45" i="341" s="1"/>
  <c r="N44" i="341" a="1"/>
  <c r="N44" i="341" s="1"/>
  <c r="P44" i="341" s="1"/>
  <c r="N43" i="341" a="1"/>
  <c r="N43" i="341" s="1"/>
  <c r="P43" i="341" s="1"/>
  <c r="N42" i="341" a="1"/>
  <c r="N42" i="341" s="1"/>
  <c r="P42" i="341" s="1"/>
  <c r="N41" i="341" a="1"/>
  <c r="N41" i="341" s="1"/>
  <c r="P41" i="341" s="1"/>
  <c r="L55" i="341" a="1"/>
  <c r="L55" i="341" s="1"/>
  <c r="E55" i="341"/>
  <c r="L54" i="341" a="1"/>
  <c r="L54" i="341" s="1"/>
  <c r="E54" i="341"/>
  <c r="L53" i="341" a="1"/>
  <c r="L53" i="341" s="1"/>
  <c r="E53" i="341"/>
  <c r="L52" i="341" a="1"/>
  <c r="L52" i="341" s="1"/>
  <c r="E52" i="341"/>
  <c r="L51" i="341" a="1"/>
  <c r="L51" i="341" s="1"/>
  <c r="E51" i="341"/>
  <c r="L50" i="341" a="1"/>
  <c r="L50" i="341" s="1"/>
  <c r="E50" i="341"/>
  <c r="L49" i="341" a="1"/>
  <c r="L49" i="341" s="1"/>
  <c r="E49" i="341"/>
  <c r="L48" i="341" a="1"/>
  <c r="L48" i="341" s="1"/>
  <c r="E48" i="341"/>
  <c r="L47" i="341" a="1"/>
  <c r="L47" i="341" s="1"/>
  <c r="E47" i="341"/>
  <c r="L46" i="341" a="1"/>
  <c r="L46" i="341" s="1"/>
  <c r="E46" i="341"/>
  <c r="L45" i="341" a="1"/>
  <c r="L45" i="341" s="1"/>
  <c r="E45" i="341"/>
  <c r="L44" i="341" a="1"/>
  <c r="L44" i="341" s="1"/>
  <c r="E44" i="341"/>
  <c r="L43" i="341" a="1"/>
  <c r="L43" i="341" s="1"/>
  <c r="E43" i="341"/>
  <c r="L42" i="341" a="1"/>
  <c r="L42" i="341" s="1"/>
  <c r="E42" i="341"/>
  <c r="L41" i="341" a="1"/>
  <c r="L41" i="341" s="1"/>
  <c r="E41" i="341"/>
  <c r="E40" i="341"/>
  <c r="E39" i="341"/>
  <c r="E38" i="341"/>
  <c r="L48" i="328" a="1"/>
  <c r="L48" i="328" s="1"/>
  <c r="E48" i="328"/>
  <c r="L47" i="328" a="1"/>
  <c r="L47" i="328" s="1"/>
  <c r="E47" i="328"/>
  <c r="L46" i="328" a="1"/>
  <c r="L46" i="328" s="1"/>
  <c r="E46" i="328"/>
  <c r="L45" i="328" a="1"/>
  <c r="L45" i="328" s="1"/>
  <c r="E45" i="328"/>
  <c r="L44" i="328" a="1"/>
  <c r="L44" i="328" s="1"/>
  <c r="E44" i="328"/>
  <c r="L43" i="328" a="1"/>
  <c r="L43" i="328" s="1"/>
  <c r="E43" i="328"/>
  <c r="L42" i="328" a="1"/>
  <c r="L42" i="328" s="1"/>
  <c r="E42" i="328"/>
  <c r="L41" i="328" a="1"/>
  <c r="L41" i="328" s="1"/>
  <c r="E41" i="328"/>
  <c r="L40" i="328" a="1"/>
  <c r="L40" i="328"/>
  <c r="E40" i="328"/>
  <c r="L39" i="328" a="1"/>
  <c r="L39" i="328" s="1"/>
  <c r="E39" i="328"/>
  <c r="L38" i="328" a="1"/>
  <c r="L38" i="328" s="1"/>
  <c r="E38" i="328"/>
  <c r="L37" i="328" a="1"/>
  <c r="L37" i="328" s="1"/>
  <c r="E37" i="328"/>
  <c r="L36" i="328" a="1"/>
  <c r="L36" i="328" s="1"/>
  <c r="E36" i="328"/>
  <c r="L35" i="328" a="1"/>
  <c r="L35" i="328" s="1"/>
  <c r="E35" i="328"/>
  <c r="C7" i="353"/>
  <c r="K99" i="316"/>
  <c r="K100" i="316"/>
  <c r="K101" i="316"/>
  <c r="K102" i="316"/>
  <c r="K103" i="316"/>
  <c r="K104" i="316"/>
  <c r="K105" i="316"/>
  <c r="K106" i="316"/>
  <c r="K107" i="316"/>
  <c r="K85" i="316"/>
  <c r="K86" i="316"/>
  <c r="K87" i="316"/>
  <c r="K88" i="316"/>
  <c r="K89" i="316"/>
  <c r="K90" i="316"/>
  <c r="K91" i="316"/>
  <c r="K92" i="316"/>
  <c r="K93" i="316"/>
  <c r="K94" i="316"/>
  <c r="K95" i="316"/>
  <c r="K96" i="316"/>
  <c r="K97" i="316"/>
  <c r="K98" i="316"/>
  <c r="H82" i="337"/>
  <c r="H83" i="337"/>
  <c r="A82" i="337" a="1"/>
  <c r="A82" i="337" s="1"/>
  <c r="A83" i="337" a="1"/>
  <c r="A83" i="337" s="1"/>
  <c r="B3" i="353"/>
  <c r="K59" i="316"/>
  <c r="K60" i="316"/>
  <c r="K61" i="316"/>
  <c r="K62" i="316"/>
  <c r="K63" i="316"/>
  <c r="K64" i="316"/>
  <c r="K65" i="316"/>
  <c r="K66" i="316"/>
  <c r="K67" i="316"/>
  <c r="K68" i="316"/>
  <c r="K69" i="316"/>
  <c r="K70" i="316"/>
  <c r="K71" i="316"/>
  <c r="K72" i="316"/>
  <c r="K73" i="316"/>
  <c r="K74" i="316"/>
  <c r="K75" i="316"/>
  <c r="K76" i="316"/>
  <c r="K77" i="316"/>
  <c r="K78" i="316"/>
  <c r="K79" i="316"/>
  <c r="K80" i="316"/>
  <c r="K81" i="316"/>
  <c r="K82" i="316"/>
  <c r="K83" i="316"/>
  <c r="K84" i="316"/>
  <c r="A122" i="325" a="1"/>
  <c r="A122" i="325" s="1"/>
  <c r="A123" i="325" a="1"/>
  <c r="A123" i="325" s="1"/>
  <c r="B1" i="346"/>
  <c r="H87" i="337"/>
  <c r="A87" i="337" a="1"/>
  <c r="A87" i="337" s="1"/>
  <c r="A120" i="325" a="1"/>
  <c r="A120" i="325" s="1"/>
  <c r="O55" i="341" a="1"/>
  <c r="O55" i="341" s="1"/>
  <c r="S55" i="341" s="1"/>
  <c r="O53" i="341" a="1"/>
  <c r="O53" i="341" s="1"/>
  <c r="S53" i="341" s="1"/>
  <c r="O51" i="341" a="1"/>
  <c r="O51" i="341" s="1"/>
  <c r="S51" i="341" s="1"/>
  <c r="O49" i="341" a="1"/>
  <c r="O49" i="341" s="1"/>
  <c r="S49" i="341" s="1"/>
  <c r="O47" i="341" a="1"/>
  <c r="O47" i="341" s="1"/>
  <c r="S47" i="341" s="1"/>
  <c r="O45" i="341" a="1"/>
  <c r="O45" i="341" s="1"/>
  <c r="S45" i="341" s="1"/>
  <c r="O46" i="341" a="1"/>
  <c r="O46" i="341" s="1"/>
  <c r="S46" i="341" s="1"/>
  <c r="O13" i="341" a="1"/>
  <c r="O13" i="341" s="1"/>
  <c r="S13" i="341" s="1"/>
  <c r="O54" i="341" a="1"/>
  <c r="O54" i="341" s="1"/>
  <c r="S54" i="341" s="1"/>
  <c r="O52" i="341" a="1"/>
  <c r="O52" i="341" s="1"/>
  <c r="S52" i="341" s="1"/>
  <c r="O50" i="341" a="1"/>
  <c r="O50" i="341" s="1"/>
  <c r="S50" i="341" s="1"/>
  <c r="O48" i="341" a="1"/>
  <c r="O48" i="341" s="1"/>
  <c r="S48" i="341" s="1"/>
  <c r="O44" i="341" a="1"/>
  <c r="O44" i="341" s="1"/>
  <c r="S44" i="341" s="1"/>
  <c r="H108" i="337"/>
  <c r="H109" i="337"/>
  <c r="H110" i="337"/>
  <c r="H111" i="337"/>
  <c r="H112" i="337"/>
  <c r="H113" i="337"/>
  <c r="H114" i="337"/>
  <c r="A108" i="337" a="1"/>
  <c r="A108" i="337" s="1"/>
  <c r="A109" i="337" a="1"/>
  <c r="A109" i="337" s="1"/>
  <c r="A110" i="337" a="1"/>
  <c r="A110" i="337" s="1"/>
  <c r="A111" i="337" a="1"/>
  <c r="A111" i="337" s="1"/>
  <c r="A112" i="337" a="1"/>
  <c r="A112" i="337" s="1"/>
  <c r="A113" i="337" a="1"/>
  <c r="A113" i="337" s="1"/>
  <c r="A114" i="337" a="1"/>
  <c r="A114" i="337" s="1"/>
  <c r="K8" i="316"/>
  <c r="K13" i="316"/>
  <c r="K16" i="316"/>
  <c r="K7" i="316"/>
  <c r="A65" i="325" a="1"/>
  <c r="A65" i="325" s="1"/>
  <c r="H143" i="337"/>
  <c r="A143" i="337" a="1"/>
  <c r="A143" i="337" s="1"/>
  <c r="H12" i="317"/>
  <c r="H13" i="317"/>
  <c r="H14" i="317"/>
  <c r="H15" i="317"/>
  <c r="H8" i="317"/>
  <c r="H9" i="317"/>
  <c r="H10" i="317"/>
  <c r="H11" i="317"/>
  <c r="A64" i="325" a="1"/>
  <c r="A64" i="325" s="1"/>
  <c r="H7" i="317"/>
  <c r="K3" i="316"/>
  <c r="K4" i="316"/>
  <c r="K5" i="316"/>
  <c r="K6" i="316"/>
  <c r="K9" i="316"/>
  <c r="K10" i="316"/>
  <c r="K11" i="316"/>
  <c r="K12" i="316"/>
  <c r="K14" i="316"/>
  <c r="K15" i="316"/>
  <c r="K17" i="316"/>
  <c r="K18" i="316"/>
  <c r="K19" i="316"/>
  <c r="K20" i="316"/>
  <c r="K21" i="316"/>
  <c r="K22" i="316"/>
  <c r="K23" i="316"/>
  <c r="K24" i="316"/>
  <c r="K25" i="316"/>
  <c r="K26" i="316"/>
  <c r="K27" i="316"/>
  <c r="K28" i="316"/>
  <c r="K29" i="316"/>
  <c r="K30" i="316"/>
  <c r="K31" i="316"/>
  <c r="K32" i="316"/>
  <c r="K33" i="316"/>
  <c r="K34" i="316"/>
  <c r="K35" i="316"/>
  <c r="K36" i="316"/>
  <c r="K37" i="316"/>
  <c r="K38" i="316"/>
  <c r="K39" i="316"/>
  <c r="K40" i="316"/>
  <c r="K41" i="316"/>
  <c r="K42" i="316"/>
  <c r="K43" i="316"/>
  <c r="K44" i="316"/>
  <c r="K45" i="316"/>
  <c r="K46" i="316"/>
  <c r="K47" i="316"/>
  <c r="K48" i="316"/>
  <c r="K49" i="316"/>
  <c r="K50" i="316"/>
  <c r="K51" i="316"/>
  <c r="K52" i="316"/>
  <c r="K53" i="316"/>
  <c r="K54" i="316"/>
  <c r="K55" i="316"/>
  <c r="K56" i="316"/>
  <c r="K57" i="316"/>
  <c r="K58" i="316"/>
  <c r="A115" i="325" a="1"/>
  <c r="A115" i="325" s="1"/>
  <c r="A116" i="325" a="1"/>
  <c r="A116" i="325" s="1"/>
  <c r="A117" i="325" a="1"/>
  <c r="A117" i="325" s="1"/>
  <c r="A118" i="325" a="1"/>
  <c r="A118" i="325"/>
  <c r="A126" i="325" a="1"/>
  <c r="A126" i="325" s="1"/>
  <c r="A52" i="325" a="1"/>
  <c r="A52" i="325" s="1"/>
  <c r="A75" i="325" a="1"/>
  <c r="A75" i="325" s="1"/>
  <c r="A5" i="337"/>
  <c r="A6" i="325"/>
  <c r="B6" i="346"/>
  <c r="A53" i="325" a="1"/>
  <c r="A53" i="325" s="1"/>
  <c r="A147" i="387" a="1"/>
  <c r="A147" i="387" s="1"/>
  <c r="A148" i="387" a="1"/>
  <c r="A148" i="387" s="1"/>
  <c r="A149" i="387" a="1"/>
  <c r="A149" i="387" s="1"/>
  <c r="A150" i="387" a="1"/>
  <c r="A150" i="387" s="1"/>
  <c r="C147" i="387" a="1"/>
  <c r="C147" i="387" s="1"/>
  <c r="D147" i="387" s="1"/>
  <c r="C148" i="387" a="1"/>
  <c r="C148" i="387" s="1"/>
  <c r="D148" i="387" s="1"/>
  <c r="C149" i="387" a="1"/>
  <c r="C149" i="387" s="1"/>
  <c r="D149" i="387" s="1"/>
  <c r="C150" i="387" a="1"/>
  <c r="C150" i="387" s="1"/>
  <c r="D150" i="387" s="1"/>
  <c r="A148" i="335" a="1"/>
  <c r="A148" i="335" s="1"/>
  <c r="A149" i="335" a="1"/>
  <c r="A149" i="335" s="1"/>
  <c r="C148" i="335" a="1"/>
  <c r="C148" i="335" s="1"/>
  <c r="D148" i="335" s="1"/>
  <c r="C149" i="335" a="1"/>
  <c r="C149" i="335" s="1"/>
  <c r="D149" i="335" s="1"/>
  <c r="E148" i="335"/>
  <c r="E149" i="335"/>
  <c r="F148" i="335"/>
  <c r="F149" i="335"/>
  <c r="A146" i="335" a="1"/>
  <c r="A146" i="335" s="1"/>
  <c r="A147" i="335" a="1"/>
  <c r="A147" i="335" s="1"/>
  <c r="C146" i="335" a="1"/>
  <c r="C146" i="335" s="1"/>
  <c r="D146" i="335" s="1"/>
  <c r="C147" i="335" a="1"/>
  <c r="C147" i="335" s="1"/>
  <c r="D147" i="335" s="1"/>
  <c r="E146" i="335"/>
  <c r="E147" i="335"/>
  <c r="F146" i="335"/>
  <c r="F147" i="335"/>
  <c r="A146" i="387" a="1"/>
  <c r="A146" i="387" s="1"/>
  <c r="C146" i="387" a="1"/>
  <c r="C146" i="387" s="1"/>
  <c r="D146" i="387" s="1"/>
  <c r="A145" i="335" a="1"/>
  <c r="A145" i="335" s="1"/>
  <c r="C145" i="335" a="1"/>
  <c r="C145" i="335" s="1"/>
  <c r="D145" i="335" s="1"/>
  <c r="E145" i="335"/>
  <c r="F145" i="335"/>
  <c r="A51" i="325" a="1"/>
  <c r="A51" i="325" s="1"/>
  <c r="A7" i="387"/>
  <c r="E317" i="387" s="1" a="1"/>
  <c r="E317" i="387" s="1"/>
  <c r="B105" i="346"/>
  <c r="A105" i="346"/>
  <c r="E105" i="346" s="1" a="1"/>
  <c r="E105" i="346" s="1"/>
  <c r="B97" i="346"/>
  <c r="A97" i="346"/>
  <c r="E97" i="346" s="1" a="1"/>
  <c r="E97" i="346" s="1"/>
  <c r="B89" i="346"/>
  <c r="A89" i="346"/>
  <c r="B81" i="346"/>
  <c r="A81" i="346"/>
  <c r="B73" i="346"/>
  <c r="A73" i="346"/>
  <c r="B65" i="346"/>
  <c r="A65" i="346"/>
  <c r="E65" i="346" s="1" a="1"/>
  <c r="E65" i="346" s="1"/>
  <c r="B57" i="346"/>
  <c r="A57" i="346"/>
  <c r="E57" i="346" s="1" a="1"/>
  <c r="E57" i="346" s="1"/>
  <c r="B49" i="346"/>
  <c r="A49" i="346"/>
  <c r="B41" i="346"/>
  <c r="A41" i="346"/>
  <c r="B33" i="346"/>
  <c r="A33" i="346"/>
  <c r="B25" i="346"/>
  <c r="A25" i="346"/>
  <c r="E25" i="346" s="1" a="1"/>
  <c r="E25" i="346" s="1"/>
  <c r="B17" i="346"/>
  <c r="A17" i="346"/>
  <c r="A9" i="346"/>
  <c r="F9" i="346" a="1"/>
  <c r="F9" i="346" s="1"/>
  <c r="E9" i="346" a="1"/>
  <c r="E9" i="346" s="1"/>
  <c r="B9" i="346"/>
  <c r="H21" i="337"/>
  <c r="A21" i="337" a="1"/>
  <c r="A21" i="337" s="1"/>
  <c r="H28" i="337"/>
  <c r="A28" i="337" a="1"/>
  <c r="A28" i="337" s="1"/>
  <c r="A189" i="387" a="1"/>
  <c r="A189" i="387" s="1"/>
  <c r="C189" i="387" a="1"/>
  <c r="C189" i="387" s="1"/>
  <c r="D189" i="387" s="1"/>
  <c r="A204" i="387" a="1"/>
  <c r="A204" i="387" s="1"/>
  <c r="C204" i="387" a="1"/>
  <c r="C204" i="387" s="1"/>
  <c r="D204" i="387" s="1"/>
  <c r="A188" i="335" a="1"/>
  <c r="A188" i="335" s="1"/>
  <c r="C188" i="335" a="1"/>
  <c r="C188" i="335" s="1"/>
  <c r="D188" i="335" s="1"/>
  <c r="E188" i="335"/>
  <c r="F188" i="335"/>
  <c r="A203" i="335" a="1"/>
  <c r="A203" i="335" s="1"/>
  <c r="C203" i="335" a="1"/>
  <c r="C203" i="335" s="1"/>
  <c r="D203" i="335" s="1"/>
  <c r="E203" i="335"/>
  <c r="F203" i="335"/>
  <c r="A26" i="325" a="1"/>
  <c r="A26" i="325" s="1"/>
  <c r="A25" i="325" a="1"/>
  <c r="A25" i="325" s="1"/>
  <c r="A24" i="325" a="1"/>
  <c r="A24" i="325" s="1"/>
  <c r="A23" i="325" a="1"/>
  <c r="A23" i="325" s="1"/>
  <c r="A30" i="325" a="1"/>
  <c r="A30" i="325" s="1"/>
  <c r="A29" i="325" a="1"/>
  <c r="A29" i="325" s="1"/>
  <c r="A28" i="325" a="1"/>
  <c r="A28" i="325" s="1"/>
  <c r="A27" i="325" a="1"/>
  <c r="A27" i="325" s="1"/>
  <c r="A22" i="325" a="1"/>
  <c r="A22" i="325" s="1"/>
  <c r="A21" i="325" a="1"/>
  <c r="A21" i="325" s="1"/>
  <c r="A20" i="325" a="1"/>
  <c r="A20" i="325" s="1"/>
  <c r="A19" i="325" a="1"/>
  <c r="A19" i="325" s="1"/>
  <c r="H151" i="337"/>
  <c r="H144" i="337"/>
  <c r="H142" i="337"/>
  <c r="H141" i="337"/>
  <c r="H140" i="337"/>
  <c r="H139" i="337"/>
  <c r="H138" i="337"/>
  <c r="H134" i="337"/>
  <c r="H133" i="337"/>
  <c r="H132" i="337"/>
  <c r="H131" i="337"/>
  <c r="H130" i="337"/>
  <c r="H129" i="337"/>
  <c r="H107" i="337"/>
  <c r="H106" i="337"/>
  <c r="H105" i="337"/>
  <c r="H103" i="337"/>
  <c r="H102" i="337"/>
  <c r="H101" i="337"/>
  <c r="H99" i="337"/>
  <c r="H97" i="337"/>
  <c r="H96" i="337"/>
  <c r="H95" i="337"/>
  <c r="H93" i="337"/>
  <c r="H92" i="337"/>
  <c r="H91" i="337"/>
  <c r="H90" i="337"/>
  <c r="H89" i="337"/>
  <c r="H86" i="337"/>
  <c r="H85" i="337"/>
  <c r="H81" i="337"/>
  <c r="H80" i="337"/>
  <c r="H79" i="337"/>
  <c r="H78" i="337"/>
  <c r="H77" i="337"/>
  <c r="H76" i="337"/>
  <c r="H75" i="337"/>
  <c r="H73" i="337"/>
  <c r="H71" i="337"/>
  <c r="H70" i="337"/>
  <c r="H65" i="337"/>
  <c r="H64" i="337"/>
  <c r="H63" i="337"/>
  <c r="H61" i="337"/>
  <c r="H60" i="337"/>
  <c r="H59" i="337"/>
  <c r="H58" i="337"/>
  <c r="H56" i="337"/>
  <c r="H55" i="337"/>
  <c r="H54" i="337"/>
  <c r="H53" i="337"/>
  <c r="H52" i="337"/>
  <c r="H51" i="337"/>
  <c r="H50" i="337"/>
  <c r="H49" i="337"/>
  <c r="H48" i="337"/>
  <c r="H47" i="337"/>
  <c r="H46" i="337"/>
  <c r="H45" i="337"/>
  <c r="H44" i="337"/>
  <c r="H43" i="337"/>
  <c r="H42" i="337"/>
  <c r="H41" i="337"/>
  <c r="H40" i="337"/>
  <c r="H39" i="337"/>
  <c r="H37" i="337"/>
  <c r="H36" i="337"/>
  <c r="H30" i="337"/>
  <c r="H29" i="337"/>
  <c r="H27" i="337"/>
  <c r="H26" i="337"/>
  <c r="H25" i="337"/>
  <c r="H24" i="337"/>
  <c r="H23" i="337"/>
  <c r="H22" i="337"/>
  <c r="H20" i="337"/>
  <c r="H19" i="337"/>
  <c r="H18" i="337"/>
  <c r="H17" i="337"/>
  <c r="H16" i="337"/>
  <c r="H15" i="337"/>
  <c r="H14" i="337"/>
  <c r="H13" i="337"/>
  <c r="H12" i="337"/>
  <c r="A51" i="337" a="1"/>
  <c r="A51" i="337" s="1"/>
  <c r="A325" i="387" a="1"/>
  <c r="A325" i="387" s="1"/>
  <c r="A326" i="387" a="1"/>
  <c r="A326" i="387" s="1"/>
  <c r="A327" i="387" a="1"/>
  <c r="A327" i="387" s="1"/>
  <c r="A328" i="387" a="1"/>
  <c r="A328" i="387" s="1"/>
  <c r="A329" i="387" a="1"/>
  <c r="A329" i="387" s="1"/>
  <c r="A330" i="387" a="1"/>
  <c r="A330" i="387" s="1"/>
  <c r="A331" i="387" a="1"/>
  <c r="A331" i="387" s="1"/>
  <c r="A332" i="387" a="1"/>
  <c r="A332" i="387" s="1"/>
  <c r="A333" i="387" a="1"/>
  <c r="A333" i="387" s="1"/>
  <c r="A334" i="387" a="1"/>
  <c r="A334" i="387" s="1"/>
  <c r="C325" i="387" a="1"/>
  <c r="C325" i="387" s="1"/>
  <c r="G325" i="387" s="1"/>
  <c r="C326" i="387" a="1"/>
  <c r="C326" i="387" s="1"/>
  <c r="G326" i="387" s="1"/>
  <c r="C327" i="387" a="1"/>
  <c r="C327" i="387" s="1"/>
  <c r="G327" i="387" s="1"/>
  <c r="C328" i="387" a="1"/>
  <c r="C328" i="387" s="1"/>
  <c r="G328" i="387" s="1"/>
  <c r="C329" i="387" a="1"/>
  <c r="C329" i="387" s="1"/>
  <c r="G329" i="387" s="1"/>
  <c r="C330" i="387" a="1"/>
  <c r="C330" i="387" s="1"/>
  <c r="G330" i="387" s="1"/>
  <c r="C331" i="387" a="1"/>
  <c r="C331" i="387" s="1"/>
  <c r="G331" i="387" s="1"/>
  <c r="C332" i="387" a="1"/>
  <c r="C332" i="387" s="1"/>
  <c r="G332" i="387" s="1"/>
  <c r="C333" i="387" a="1"/>
  <c r="C333" i="387" s="1"/>
  <c r="G333" i="387" s="1"/>
  <c r="C334" i="387" a="1"/>
  <c r="C334" i="387" s="1"/>
  <c r="G334" i="387" s="1"/>
  <c r="A322" i="335" a="1"/>
  <c r="A322" i="335" s="1"/>
  <c r="A323" i="335" a="1"/>
  <c r="A323" i="335" s="1"/>
  <c r="A324" i="335" a="1"/>
  <c r="A324" i="335" s="1"/>
  <c r="A325" i="335" a="1"/>
  <c r="A325" i="335" s="1"/>
  <c r="A326" i="335" a="1"/>
  <c r="A326" i="335" s="1"/>
  <c r="A327" i="335" a="1"/>
  <c r="A327" i="335" s="1"/>
  <c r="A328" i="335" a="1"/>
  <c r="A328" i="335" s="1"/>
  <c r="A329" i="335" a="1"/>
  <c r="A329" i="335" s="1"/>
  <c r="A330" i="335" a="1"/>
  <c r="A330" i="335" s="1"/>
  <c r="A331" i="335" a="1"/>
  <c r="A331" i="335" s="1"/>
  <c r="C322" i="335" a="1"/>
  <c r="C322" i="335" s="1"/>
  <c r="G322" i="335" s="1"/>
  <c r="C323" i="335" a="1"/>
  <c r="C323" i="335" s="1"/>
  <c r="G323" i="335" s="1"/>
  <c r="C324" i="335" a="1"/>
  <c r="C324" i="335" s="1"/>
  <c r="G324" i="335" s="1"/>
  <c r="C325" i="335" a="1"/>
  <c r="C325" i="335" s="1"/>
  <c r="G325" i="335" s="1"/>
  <c r="C326" i="335" a="1"/>
  <c r="C326" i="335" s="1"/>
  <c r="G326" i="335" s="1"/>
  <c r="C327" i="335" a="1"/>
  <c r="C327" i="335" s="1"/>
  <c r="G327" i="335" s="1"/>
  <c r="C328" i="335" a="1"/>
  <c r="C328" i="335" s="1"/>
  <c r="G328" i="335" s="1"/>
  <c r="C329" i="335" a="1"/>
  <c r="C329" i="335" s="1"/>
  <c r="G329" i="335" s="1"/>
  <c r="C330" i="335" a="1"/>
  <c r="C330" i="335" s="1"/>
  <c r="G330" i="335" s="1"/>
  <c r="C331" i="335" a="1"/>
  <c r="C331" i="335" s="1"/>
  <c r="G331" i="335" s="1"/>
  <c r="E322" i="335"/>
  <c r="E323" i="335"/>
  <c r="E324" i="335"/>
  <c r="E325" i="335"/>
  <c r="E326" i="335"/>
  <c r="E327" i="335"/>
  <c r="E328" i="335"/>
  <c r="E329" i="335"/>
  <c r="E330" i="335"/>
  <c r="E331" i="335"/>
  <c r="F322" i="335"/>
  <c r="F323" i="335"/>
  <c r="F324" i="335"/>
  <c r="F325" i="335"/>
  <c r="F326" i="335"/>
  <c r="F327" i="335"/>
  <c r="F328" i="335"/>
  <c r="F329" i="335"/>
  <c r="F330" i="335"/>
  <c r="F331" i="335"/>
  <c r="D2917" i="383" a="1"/>
  <c r="D2917" i="383" s="1"/>
  <c r="D2916" i="383" a="1"/>
  <c r="D2916" i="383" s="1"/>
  <c r="D2915" i="383" a="1"/>
  <c r="D2915" i="383" s="1"/>
  <c r="D2914" i="383" a="1"/>
  <c r="D2914" i="383" s="1"/>
  <c r="D2913" i="383" a="1"/>
  <c r="D2913" i="383" s="1"/>
  <c r="D2912" i="383" a="1"/>
  <c r="D2912" i="383" s="1"/>
  <c r="D2911" i="383" a="1"/>
  <c r="D2911" i="383" s="1"/>
  <c r="D2910" i="383" a="1"/>
  <c r="D2910" i="383" s="1"/>
  <c r="D2909" i="383" a="1"/>
  <c r="D2909" i="383" s="1"/>
  <c r="D2908" i="383" a="1"/>
  <c r="D2908" i="383" s="1"/>
  <c r="D2907" i="383" a="1"/>
  <c r="D2907" i="383" s="1"/>
  <c r="D2906" i="383" a="1"/>
  <c r="D2906" i="383" s="1"/>
  <c r="D2905" i="383" a="1"/>
  <c r="D2905" i="383" s="1"/>
  <c r="D2904" i="383" a="1"/>
  <c r="D2904" i="383" s="1"/>
  <c r="D2903" i="383" a="1"/>
  <c r="D2903" i="383" s="1"/>
  <c r="D2902" i="383" a="1"/>
  <c r="D2902" i="383" s="1"/>
  <c r="D2901" i="383" a="1"/>
  <c r="D2901" i="383" s="1"/>
  <c r="D2900" i="383" a="1"/>
  <c r="D2900" i="383" s="1"/>
  <c r="D2899" i="383" a="1"/>
  <c r="D2899" i="383" s="1"/>
  <c r="D2898" i="383" a="1"/>
  <c r="D2898" i="383" s="1"/>
  <c r="D2897" i="383" a="1"/>
  <c r="D2897" i="383" s="1"/>
  <c r="D2896" i="383" a="1"/>
  <c r="D2896" i="383" s="1"/>
  <c r="D2895" i="383" a="1"/>
  <c r="D2895" i="383" s="1"/>
  <c r="D2894" i="383" a="1"/>
  <c r="D2894" i="383" s="1"/>
  <c r="D2893" i="383" a="1"/>
  <c r="D2893" i="383" s="1"/>
  <c r="D2892" i="383" a="1"/>
  <c r="D2892" i="383" s="1"/>
  <c r="D2891" i="383" a="1"/>
  <c r="D2891" i="383" s="1"/>
  <c r="D2890" i="383" a="1"/>
  <c r="D2890" i="383" s="1"/>
  <c r="D2889" i="383" a="1"/>
  <c r="D2889" i="383" s="1"/>
  <c r="D2888" i="383" a="1"/>
  <c r="D2888" i="383" s="1"/>
  <c r="D2887" i="383" a="1"/>
  <c r="D2887" i="383" s="1"/>
  <c r="D2886" i="383" a="1"/>
  <c r="D2886" i="383" s="1"/>
  <c r="D2885" i="383" a="1"/>
  <c r="D2885" i="383" s="1"/>
  <c r="D2884" i="383" a="1"/>
  <c r="D2884" i="383" s="1"/>
  <c r="D2883" i="383" a="1"/>
  <c r="D2883" i="383" s="1"/>
  <c r="D2882" i="383" a="1"/>
  <c r="D2882" i="383" s="1"/>
  <c r="D2881" i="383" a="1"/>
  <c r="D2881" i="383" s="1"/>
  <c r="D2880" i="383" a="1"/>
  <c r="D2880" i="383" s="1"/>
  <c r="D2879" i="383" a="1"/>
  <c r="D2879" i="383" s="1"/>
  <c r="D2878" i="383" a="1"/>
  <c r="D2878" i="383" s="1"/>
  <c r="D2877" i="383" a="1"/>
  <c r="D2877" i="383" s="1"/>
  <c r="D2876" i="383" a="1"/>
  <c r="D2876" i="383" s="1"/>
  <c r="D2875" i="383" a="1"/>
  <c r="D2875" i="383" s="1"/>
  <c r="D2874" i="383" a="1"/>
  <c r="D2874" i="383" s="1"/>
  <c r="D2873" i="383" a="1"/>
  <c r="D2873" i="383" s="1"/>
  <c r="D2872" i="383" a="1"/>
  <c r="D2872" i="383" s="1"/>
  <c r="D2871" i="383" a="1"/>
  <c r="D2871" i="383" s="1"/>
  <c r="D2870" i="383" a="1"/>
  <c r="D2870" i="383" s="1"/>
  <c r="D2869" i="383" a="1"/>
  <c r="D2869" i="383" s="1"/>
  <c r="D2868" i="383" a="1"/>
  <c r="D2868" i="383" s="1"/>
  <c r="D2867" i="383" a="1"/>
  <c r="D2867" i="383" s="1"/>
  <c r="D2866" i="383" a="1"/>
  <c r="D2866" i="383" s="1"/>
  <c r="D2865" i="383" a="1"/>
  <c r="D2865" i="383" s="1"/>
  <c r="D2864" i="383" a="1"/>
  <c r="D2864" i="383" s="1"/>
  <c r="D2863" i="383" a="1"/>
  <c r="D2863" i="383" s="1"/>
  <c r="D2862" i="383" a="1"/>
  <c r="D2862" i="383" s="1"/>
  <c r="D2861" i="383" a="1"/>
  <c r="D2861" i="383" s="1"/>
  <c r="D2860" i="383" a="1"/>
  <c r="D2860" i="383" s="1"/>
  <c r="D2859" i="383" a="1"/>
  <c r="D2859" i="383" s="1"/>
  <c r="D2858" i="383" a="1"/>
  <c r="D2858" i="383" s="1"/>
  <c r="D2857" i="383" a="1"/>
  <c r="D2857" i="383" s="1"/>
  <c r="D2856" i="383" a="1"/>
  <c r="D2856" i="383" s="1"/>
  <c r="D2855" i="383" a="1"/>
  <c r="D2855" i="383" s="1"/>
  <c r="D2854" i="383" a="1"/>
  <c r="D2854" i="383"/>
  <c r="D2853" i="383" a="1"/>
  <c r="D2853" i="383" s="1"/>
  <c r="D2852" i="383" a="1"/>
  <c r="D2852" i="383" s="1"/>
  <c r="D2851" i="383" a="1"/>
  <c r="D2851" i="383" s="1"/>
  <c r="D2850" i="383" a="1"/>
  <c r="D2850" i="383" s="1"/>
  <c r="D2849" i="383" a="1"/>
  <c r="D2849" i="383" s="1"/>
  <c r="D2848" i="383" a="1"/>
  <c r="D2848" i="383" s="1"/>
  <c r="D2847" i="383" a="1"/>
  <c r="D2847" i="383" s="1"/>
  <c r="D2846" i="383" a="1"/>
  <c r="D2846" i="383" s="1"/>
  <c r="D2845" i="383" a="1"/>
  <c r="D2845" i="383" s="1"/>
  <c r="D2844" i="383" a="1"/>
  <c r="D2844" i="383" s="1"/>
  <c r="D2843" i="383" a="1"/>
  <c r="D2843" i="383" s="1"/>
  <c r="D2842" i="383" a="1"/>
  <c r="D2842" i="383" s="1"/>
  <c r="D2841" i="383" a="1"/>
  <c r="D2841" i="383" s="1"/>
  <c r="D2840" i="383" a="1"/>
  <c r="D2840" i="383" s="1"/>
  <c r="D2839" i="383" a="1"/>
  <c r="D2839" i="383" s="1"/>
  <c r="D2838" i="383" a="1"/>
  <c r="D2838" i="383" s="1"/>
  <c r="D2837" i="383" a="1"/>
  <c r="D2837" i="383" s="1"/>
  <c r="D2836" i="383" a="1"/>
  <c r="D2836" i="383" s="1"/>
  <c r="D2835" i="383" a="1"/>
  <c r="D2835" i="383" s="1"/>
  <c r="D2834" i="383" a="1"/>
  <c r="D2834" i="383" s="1"/>
  <c r="D2833" i="383" a="1"/>
  <c r="D2833" i="383" s="1"/>
  <c r="D2832" i="383" a="1"/>
  <c r="D2832" i="383" s="1"/>
  <c r="D2831" i="383" a="1"/>
  <c r="D2831" i="383" s="1"/>
  <c r="D2830" i="383" a="1"/>
  <c r="D2830" i="383" s="1"/>
  <c r="D2829" i="383" a="1"/>
  <c r="D2829" i="383" s="1"/>
  <c r="D2828" i="383" a="1"/>
  <c r="D2828" i="383" s="1"/>
  <c r="D2827" i="383" a="1"/>
  <c r="D2827" i="383" s="1"/>
  <c r="D2826" i="383" a="1"/>
  <c r="D2826" i="383" s="1"/>
  <c r="D2825" i="383" a="1"/>
  <c r="D2825" i="383" s="1"/>
  <c r="D2824" i="383" a="1"/>
  <c r="D2824" i="383" s="1"/>
  <c r="D2823" i="383" a="1"/>
  <c r="D2823" i="383" s="1"/>
  <c r="D2822" i="383" a="1"/>
  <c r="D2822" i="383" s="1"/>
  <c r="D2821" i="383" a="1"/>
  <c r="D2821" i="383" s="1"/>
  <c r="D2820" i="383" a="1"/>
  <c r="D2820" i="383" s="1"/>
  <c r="D2819" i="383" a="1"/>
  <c r="D2819" i="383" s="1"/>
  <c r="D2818" i="383" a="1"/>
  <c r="D2818" i="383" s="1"/>
  <c r="D2817" i="383" a="1"/>
  <c r="D2817" i="383" s="1"/>
  <c r="D2816" i="383" a="1"/>
  <c r="D2816" i="383" s="1"/>
  <c r="D2815" i="383" a="1"/>
  <c r="D2815" i="383" s="1"/>
  <c r="D2814" i="383" a="1"/>
  <c r="D2814" i="383" s="1"/>
  <c r="D2813" i="383" a="1"/>
  <c r="D2813" i="383" s="1"/>
  <c r="D2812" i="383" a="1"/>
  <c r="D2812" i="383" s="1"/>
  <c r="D2811" i="383" a="1"/>
  <c r="D2811" i="383" s="1"/>
  <c r="D2810" i="383" a="1"/>
  <c r="D2810" i="383" s="1"/>
  <c r="D2809" i="383" a="1"/>
  <c r="D2809" i="383" s="1"/>
  <c r="D2808" i="383" a="1"/>
  <c r="D2808" i="383" s="1"/>
  <c r="D2807" i="383" a="1"/>
  <c r="D2807" i="383" s="1"/>
  <c r="D2806" i="383" a="1"/>
  <c r="D2806" i="383" s="1"/>
  <c r="D2805" i="383" a="1"/>
  <c r="D2805" i="383" s="1"/>
  <c r="D2804" i="383" a="1"/>
  <c r="D2804" i="383" s="1"/>
  <c r="D2803" i="383" a="1"/>
  <c r="D2803" i="383" s="1"/>
  <c r="D2802" i="383" a="1"/>
  <c r="D2802" i="383" s="1"/>
  <c r="D2801" i="383" a="1"/>
  <c r="D2801" i="383" s="1"/>
  <c r="D2800" i="383" a="1"/>
  <c r="D2800" i="383" s="1"/>
  <c r="D2799" i="383" a="1"/>
  <c r="D2799" i="383" s="1"/>
  <c r="D2798" i="383" a="1"/>
  <c r="D2798" i="383" s="1"/>
  <c r="D2797" i="383" a="1"/>
  <c r="D2797" i="383" s="1"/>
  <c r="D2796" i="383" a="1"/>
  <c r="D2796" i="383" s="1"/>
  <c r="D2795" i="383" a="1"/>
  <c r="D2795" i="383" s="1"/>
  <c r="D2794" i="383" a="1"/>
  <c r="D2794" i="383" s="1"/>
  <c r="D2793" i="383" a="1"/>
  <c r="D2793" i="383" s="1"/>
  <c r="D2792" i="383" a="1"/>
  <c r="D2792" i="383" s="1"/>
  <c r="D2791" i="383" a="1"/>
  <c r="D2791" i="383" s="1"/>
  <c r="D2790" i="383" a="1"/>
  <c r="D2790" i="383" s="1"/>
  <c r="D2789" i="383" a="1"/>
  <c r="D2789" i="383" s="1"/>
  <c r="D2788" i="383" a="1"/>
  <c r="D2788" i="383" s="1"/>
  <c r="D2787" i="383" a="1"/>
  <c r="D2787" i="383" s="1"/>
  <c r="D2786" i="383" a="1"/>
  <c r="D2786" i="383" s="1"/>
  <c r="D2785" i="383" a="1"/>
  <c r="D2785" i="383" s="1"/>
  <c r="D2784" i="383" a="1"/>
  <c r="D2784" i="383" s="1"/>
  <c r="D2783" i="383" a="1"/>
  <c r="D2783" i="383" s="1"/>
  <c r="D2782" i="383" a="1"/>
  <c r="D2782" i="383" s="1"/>
  <c r="D2781" i="383" a="1"/>
  <c r="D2781" i="383" s="1"/>
  <c r="D2780" i="383" a="1"/>
  <c r="D2780" i="383" s="1"/>
  <c r="D2779" i="383" a="1"/>
  <c r="D2779" i="383" s="1"/>
  <c r="D2778" i="383" a="1"/>
  <c r="D2778" i="383" s="1"/>
  <c r="D2777" i="383" a="1"/>
  <c r="D2777" i="383" s="1"/>
  <c r="D2776" i="383" a="1"/>
  <c r="D2776" i="383" s="1"/>
  <c r="D2775" i="383" a="1"/>
  <c r="D2775" i="383" s="1"/>
  <c r="D2774" i="383" a="1"/>
  <c r="D2774" i="383" s="1"/>
  <c r="D2773" i="383" a="1"/>
  <c r="D2773" i="383" s="1"/>
  <c r="D2772" i="383" a="1"/>
  <c r="D2772" i="383" s="1"/>
  <c r="D2771" i="383" a="1"/>
  <c r="D2771" i="383" s="1"/>
  <c r="D2770" i="383" a="1"/>
  <c r="D2770" i="383" s="1"/>
  <c r="D2769" i="383" a="1"/>
  <c r="D2769" i="383" s="1"/>
  <c r="D2768" i="383" a="1"/>
  <c r="D2768" i="383" s="1"/>
  <c r="D2767" i="383" a="1"/>
  <c r="D2767" i="383" s="1"/>
  <c r="D2766" i="383" a="1"/>
  <c r="D2766" i="383" s="1"/>
  <c r="D2765" i="383" a="1"/>
  <c r="D2765" i="383" s="1"/>
  <c r="D2764" i="383" a="1"/>
  <c r="D2764" i="383" s="1"/>
  <c r="D2763" i="383" a="1"/>
  <c r="D2763" i="383" s="1"/>
  <c r="D2762" i="383" a="1"/>
  <c r="D2762" i="383" s="1"/>
  <c r="D2761" i="383" a="1"/>
  <c r="D2761" i="383" s="1"/>
  <c r="D2760" i="383" a="1"/>
  <c r="D2760" i="383" s="1"/>
  <c r="D2759" i="383" a="1"/>
  <c r="D2759" i="383" s="1"/>
  <c r="D2758" i="383" a="1"/>
  <c r="D2758" i="383" s="1"/>
  <c r="D2757" i="383" a="1"/>
  <c r="D2757" i="383" s="1"/>
  <c r="D2756" i="383" a="1"/>
  <c r="D2756" i="383" s="1"/>
  <c r="D2755" i="383" a="1"/>
  <c r="D2755" i="383" s="1"/>
  <c r="D2754" i="383" a="1"/>
  <c r="D2754" i="383" s="1"/>
  <c r="D2753" i="383" a="1"/>
  <c r="D2753" i="383" s="1"/>
  <c r="D2752" i="383" a="1"/>
  <c r="D2752" i="383" s="1"/>
  <c r="D2751" i="383" a="1"/>
  <c r="D2751" i="383" s="1"/>
  <c r="D2750" i="383" a="1"/>
  <c r="D2750" i="383" s="1"/>
  <c r="D2749" i="383" a="1"/>
  <c r="D2749" i="383" s="1"/>
  <c r="D2748" i="383" a="1"/>
  <c r="D2748" i="383" s="1"/>
  <c r="D2747" i="383" a="1"/>
  <c r="D2747" i="383" s="1"/>
  <c r="D2746" i="383" a="1"/>
  <c r="D2746" i="383" s="1"/>
  <c r="D2745" i="383" a="1"/>
  <c r="D2745" i="383" s="1"/>
  <c r="D2744" i="383" a="1"/>
  <c r="D2744" i="383" s="1"/>
  <c r="D2743" i="383" a="1"/>
  <c r="D2743" i="383" s="1"/>
  <c r="D2742" i="383" a="1"/>
  <c r="D2742" i="383" s="1"/>
  <c r="D2741" i="383" a="1"/>
  <c r="D2741" i="383" s="1"/>
  <c r="D2740" i="383" a="1"/>
  <c r="D2740" i="383" s="1"/>
  <c r="D2739" i="383" a="1"/>
  <c r="D2739" i="383" s="1"/>
  <c r="D2738" i="383" a="1"/>
  <c r="D2738" i="383" s="1"/>
  <c r="D2737" i="383" a="1"/>
  <c r="D2737" i="383" s="1"/>
  <c r="D2736" i="383" a="1"/>
  <c r="D2736" i="383" s="1"/>
  <c r="D2735" i="383" a="1"/>
  <c r="D2735" i="383" s="1"/>
  <c r="D2734" i="383" a="1"/>
  <c r="D2734" i="383" s="1"/>
  <c r="D2733" i="383" a="1"/>
  <c r="D2733" i="383" s="1"/>
  <c r="D2732" i="383" a="1"/>
  <c r="D2732" i="383" s="1"/>
  <c r="D2731" i="383" a="1"/>
  <c r="D2731" i="383" s="1"/>
  <c r="D2730" i="383" a="1"/>
  <c r="D2730" i="383" s="1"/>
  <c r="D2729" i="383" a="1"/>
  <c r="D2729" i="383" s="1"/>
  <c r="D2728" i="383" a="1"/>
  <c r="D2728" i="383" s="1"/>
  <c r="D2727" i="383" a="1"/>
  <c r="D2727" i="383" s="1"/>
  <c r="D2726" i="383" a="1"/>
  <c r="D2726" i="383" s="1"/>
  <c r="D2725" i="383" a="1"/>
  <c r="D2725" i="383" s="1"/>
  <c r="D2724" i="383" a="1"/>
  <c r="D2724" i="383" s="1"/>
  <c r="D2723" i="383" a="1"/>
  <c r="D2723" i="383" s="1"/>
  <c r="D2722" i="383" a="1"/>
  <c r="D2722" i="383" s="1"/>
  <c r="D2721" i="383" a="1"/>
  <c r="D2721" i="383" s="1"/>
  <c r="D2720" i="383" a="1"/>
  <c r="D2720" i="383" s="1"/>
  <c r="D2719" i="383" a="1"/>
  <c r="D2719" i="383" s="1"/>
  <c r="D2718" i="383" a="1"/>
  <c r="D2718" i="383" s="1"/>
  <c r="D2717" i="383" a="1"/>
  <c r="D2717" i="383" s="1"/>
  <c r="D2716" i="383" a="1"/>
  <c r="D2716" i="383" s="1"/>
  <c r="D2715" i="383" a="1"/>
  <c r="D2715" i="383" s="1"/>
  <c r="D2714" i="383" a="1"/>
  <c r="D2714" i="383" s="1"/>
  <c r="D2713" i="383" a="1"/>
  <c r="D2713" i="383" s="1"/>
  <c r="D2712" i="383" a="1"/>
  <c r="D2712" i="383" s="1"/>
  <c r="D2711" i="383" a="1"/>
  <c r="D2711" i="383" s="1"/>
  <c r="D2710" i="383" a="1"/>
  <c r="D2710" i="383" s="1"/>
  <c r="D2709" i="383" a="1"/>
  <c r="D2709" i="383" s="1"/>
  <c r="D2708" i="383" a="1"/>
  <c r="D2708" i="383" s="1"/>
  <c r="D2707" i="383" a="1"/>
  <c r="D2707" i="383" s="1"/>
  <c r="D2706" i="383" a="1"/>
  <c r="D2706" i="383" s="1"/>
  <c r="D2705" i="383" a="1"/>
  <c r="D2705" i="383" s="1"/>
  <c r="D2704" i="383" a="1"/>
  <c r="D2704" i="383" s="1"/>
  <c r="D2703" i="383" a="1"/>
  <c r="D2703" i="383" s="1"/>
  <c r="D2702" i="383" a="1"/>
  <c r="D2702" i="383" s="1"/>
  <c r="D2701" i="383" a="1"/>
  <c r="D2701" i="383" s="1"/>
  <c r="D2700" i="383" a="1"/>
  <c r="D2700" i="383" s="1"/>
  <c r="D2699" i="383" a="1"/>
  <c r="D2699" i="383" s="1"/>
  <c r="D2698" i="383" a="1"/>
  <c r="D2698" i="383" s="1"/>
  <c r="D2697" i="383" a="1"/>
  <c r="D2697" i="383" s="1"/>
  <c r="D2696" i="383" a="1"/>
  <c r="D2696" i="383" s="1"/>
  <c r="D2695" i="383" a="1"/>
  <c r="D2695" i="383" s="1"/>
  <c r="D2694" i="383" a="1"/>
  <c r="D2694" i="383" s="1"/>
  <c r="D2693" i="383" a="1"/>
  <c r="D2693" i="383" s="1"/>
  <c r="D2692" i="383" a="1"/>
  <c r="D2692" i="383" s="1"/>
  <c r="D2691" i="383" a="1"/>
  <c r="D2691" i="383" s="1"/>
  <c r="D2690" i="383" a="1"/>
  <c r="D2690" i="383" s="1"/>
  <c r="D2689" i="383" a="1"/>
  <c r="D2689" i="383" s="1"/>
  <c r="D2688" i="383" a="1"/>
  <c r="D2688" i="383" s="1"/>
  <c r="D2687" i="383" a="1"/>
  <c r="D2687" i="383" s="1"/>
  <c r="D2686" i="383" a="1"/>
  <c r="D2686" i="383" s="1"/>
  <c r="D2685" i="383" a="1"/>
  <c r="D2685" i="383" s="1"/>
  <c r="D2684" i="383" a="1"/>
  <c r="D2684" i="383" s="1"/>
  <c r="D2683" i="383" a="1"/>
  <c r="D2683" i="383" s="1"/>
  <c r="D2682" i="383" a="1"/>
  <c r="D2682" i="383" s="1"/>
  <c r="D2681" i="383" a="1"/>
  <c r="D2681" i="383" s="1"/>
  <c r="D2680" i="383" a="1"/>
  <c r="D2680" i="383" s="1"/>
  <c r="D2679" i="383" a="1"/>
  <c r="D2679" i="383" s="1"/>
  <c r="D2678" i="383" a="1"/>
  <c r="D2678" i="383" s="1"/>
  <c r="D2677" i="383" a="1"/>
  <c r="D2677" i="383" s="1"/>
  <c r="D2676" i="383" a="1"/>
  <c r="D2676" i="383" s="1"/>
  <c r="D2675" i="383" a="1"/>
  <c r="D2675" i="383" s="1"/>
  <c r="D2674" i="383" a="1"/>
  <c r="D2674" i="383" s="1"/>
  <c r="D2673" i="383" a="1"/>
  <c r="D2673" i="383" s="1"/>
  <c r="D2672" i="383" a="1"/>
  <c r="D2672" i="383" s="1"/>
  <c r="D2671" i="383" a="1"/>
  <c r="D2671" i="383" s="1"/>
  <c r="D2670" i="383" a="1"/>
  <c r="D2670" i="383" s="1"/>
  <c r="D2669" i="383" a="1"/>
  <c r="D2669" i="383" s="1"/>
  <c r="D2668" i="383" a="1"/>
  <c r="D2668" i="383" s="1"/>
  <c r="D2667" i="383" a="1"/>
  <c r="D2667" i="383" s="1"/>
  <c r="D2666" i="383" a="1"/>
  <c r="D2666" i="383" s="1"/>
  <c r="D2665" i="383" a="1"/>
  <c r="D2665" i="383" s="1"/>
  <c r="D2664" i="383" a="1"/>
  <c r="D2664" i="383" s="1"/>
  <c r="D2663" i="383" a="1"/>
  <c r="D2663" i="383" s="1"/>
  <c r="D2662" i="383" a="1"/>
  <c r="D2662" i="383" s="1"/>
  <c r="D2661" i="383" a="1"/>
  <c r="D2661" i="383" s="1"/>
  <c r="D2660" i="383" a="1"/>
  <c r="D2660" i="383" s="1"/>
  <c r="D2659" i="383" a="1"/>
  <c r="D2659" i="383" s="1"/>
  <c r="D2658" i="383" a="1"/>
  <c r="D2658" i="383" s="1"/>
  <c r="D2657" i="383" a="1"/>
  <c r="D2657" i="383" s="1"/>
  <c r="D2656" i="383" a="1"/>
  <c r="D2656" i="383" s="1"/>
  <c r="D2655" i="383" a="1"/>
  <c r="D2655" i="383" s="1"/>
  <c r="D2654" i="383" a="1"/>
  <c r="D2654" i="383" s="1"/>
  <c r="D2653" i="383" a="1"/>
  <c r="D2653" i="383" s="1"/>
  <c r="D2652" i="383" a="1"/>
  <c r="D2652" i="383" s="1"/>
  <c r="D2651" i="383" a="1"/>
  <c r="D2651" i="383" s="1"/>
  <c r="D2650" i="383" a="1"/>
  <c r="D2650" i="383" s="1"/>
  <c r="D2649" i="383" a="1"/>
  <c r="D2649" i="383" s="1"/>
  <c r="D2648" i="383" a="1"/>
  <c r="D2648" i="383" s="1"/>
  <c r="D2647" i="383" a="1"/>
  <c r="D2647" i="383" s="1"/>
  <c r="D2646" i="383" a="1"/>
  <c r="D2646" i="383" s="1"/>
  <c r="D2645" i="383" a="1"/>
  <c r="D2645" i="383" s="1"/>
  <c r="D2644" i="383" a="1"/>
  <c r="D2644" i="383" s="1"/>
  <c r="D2643" i="383" a="1"/>
  <c r="D2643" i="383" s="1"/>
  <c r="D2642" i="383" a="1"/>
  <c r="D2642" i="383" s="1"/>
  <c r="D2641" i="383" a="1"/>
  <c r="D2641" i="383" s="1"/>
  <c r="D2640" i="383" a="1"/>
  <c r="D2640" i="383" s="1"/>
  <c r="D2639" i="383" a="1"/>
  <c r="D2639" i="383" s="1"/>
  <c r="D2638" i="383" a="1"/>
  <c r="D2638" i="383" s="1"/>
  <c r="D2637" i="383" a="1"/>
  <c r="D2637" i="383" s="1"/>
  <c r="D2636" i="383" a="1"/>
  <c r="D2636" i="383" s="1"/>
  <c r="D2635" i="383" a="1"/>
  <c r="D2635" i="383" s="1"/>
  <c r="D2634" i="383" a="1"/>
  <c r="D2634" i="383" s="1"/>
  <c r="D2633" i="383" a="1"/>
  <c r="D2633" i="383" s="1"/>
  <c r="D2632" i="383" a="1"/>
  <c r="D2632" i="383" s="1"/>
  <c r="D2631" i="383" a="1"/>
  <c r="D2631" i="383" s="1"/>
  <c r="D2630" i="383" a="1"/>
  <c r="D2630" i="383" s="1"/>
  <c r="D2629" i="383" a="1"/>
  <c r="D2629" i="383" s="1"/>
  <c r="D2628" i="383" a="1"/>
  <c r="D2628" i="383" s="1"/>
  <c r="D2627" i="383" a="1"/>
  <c r="D2627" i="383" s="1"/>
  <c r="D2626" i="383" a="1"/>
  <c r="D2626" i="383" s="1"/>
  <c r="D2625" i="383" a="1"/>
  <c r="D2625" i="383" s="1"/>
  <c r="D2624" i="383" a="1"/>
  <c r="D2624" i="383" s="1"/>
  <c r="D2623" i="383" a="1"/>
  <c r="D2623" i="383" s="1"/>
  <c r="D2622" i="383" a="1"/>
  <c r="D2622" i="383" s="1"/>
  <c r="D2621" i="383" a="1"/>
  <c r="D2621" i="383" s="1"/>
  <c r="D2620" i="383" a="1"/>
  <c r="D2620" i="383" s="1"/>
  <c r="D2619" i="383" a="1"/>
  <c r="D2619" i="383" s="1"/>
  <c r="D2618" i="383" a="1"/>
  <c r="D2618" i="383" s="1"/>
  <c r="D2617" i="383" a="1"/>
  <c r="D2617" i="383" s="1"/>
  <c r="D2616" i="383" a="1"/>
  <c r="D2616" i="383" s="1"/>
  <c r="D2615" i="383" a="1"/>
  <c r="D2615" i="383" s="1"/>
  <c r="D2614" i="383" a="1"/>
  <c r="D2614" i="383" s="1"/>
  <c r="D2613" i="383" a="1"/>
  <c r="D2613" i="383" s="1"/>
  <c r="D2612" i="383" a="1"/>
  <c r="D2612" i="383" s="1"/>
  <c r="D2611" i="383" a="1"/>
  <c r="D2611" i="383" s="1"/>
  <c r="D2610" i="383" a="1"/>
  <c r="D2610" i="383" s="1"/>
  <c r="D2609" i="383" a="1"/>
  <c r="D2609" i="383" s="1"/>
  <c r="D2608" i="383" a="1"/>
  <c r="D2608" i="383" s="1"/>
  <c r="D2607" i="383" a="1"/>
  <c r="D2607" i="383" s="1"/>
  <c r="D2606" i="383" a="1"/>
  <c r="D2606" i="383" s="1"/>
  <c r="D2605" i="383" a="1"/>
  <c r="D2605" i="383" s="1"/>
  <c r="D2604" i="383" a="1"/>
  <c r="D2604" i="383" s="1"/>
  <c r="D2603" i="383" a="1"/>
  <c r="D2603" i="383" s="1"/>
  <c r="D2602" i="383" a="1"/>
  <c r="D2602" i="383" s="1"/>
  <c r="D2601" i="383" a="1"/>
  <c r="D2601" i="383" s="1"/>
  <c r="D2600" i="383" a="1"/>
  <c r="D2600" i="383" s="1"/>
  <c r="D2599" i="383" a="1"/>
  <c r="D2599" i="383" s="1"/>
  <c r="D2598" i="383" a="1"/>
  <c r="D2598" i="383" s="1"/>
  <c r="D2597" i="383" a="1"/>
  <c r="D2597" i="383" s="1"/>
  <c r="D2596" i="383" a="1"/>
  <c r="D2596" i="383" s="1"/>
  <c r="D2595" i="383" a="1"/>
  <c r="D2595" i="383" s="1"/>
  <c r="D2594" i="383" a="1"/>
  <c r="D2594" i="383" s="1"/>
  <c r="D2593" i="383" a="1"/>
  <c r="D2593" i="383" s="1"/>
  <c r="D2592" i="383" a="1"/>
  <c r="D2592" i="383" s="1"/>
  <c r="D2591" i="383" a="1"/>
  <c r="D2591" i="383" s="1"/>
  <c r="D2590" i="383" a="1"/>
  <c r="D2590" i="383" s="1"/>
  <c r="D2589" i="383" a="1"/>
  <c r="D2589" i="383" s="1"/>
  <c r="D2588" i="383" a="1"/>
  <c r="D2588" i="383" s="1"/>
  <c r="D2587" i="383" a="1"/>
  <c r="D2587" i="383" s="1"/>
  <c r="D2586" i="383" a="1"/>
  <c r="D2586" i="383" s="1"/>
  <c r="D2585" i="383" a="1"/>
  <c r="D2585" i="383" s="1"/>
  <c r="D2584" i="383" a="1"/>
  <c r="D2584" i="383" s="1"/>
  <c r="D2583" i="383" a="1"/>
  <c r="D2583" i="383" s="1"/>
  <c r="D2582" i="383" a="1"/>
  <c r="D2582" i="383" s="1"/>
  <c r="D2581" i="383" a="1"/>
  <c r="D2581" i="383" s="1"/>
  <c r="D2580" i="383" a="1"/>
  <c r="D2580" i="383" s="1"/>
  <c r="D2579" i="383" a="1"/>
  <c r="D2579" i="383" s="1"/>
  <c r="D2578" i="383" a="1"/>
  <c r="D2578" i="383" s="1"/>
  <c r="D2577" i="383" a="1"/>
  <c r="D2577" i="383" s="1"/>
  <c r="D2576" i="383" a="1"/>
  <c r="D2576" i="383" s="1"/>
  <c r="D2575" i="383" a="1"/>
  <c r="D2575" i="383" s="1"/>
  <c r="D2574" i="383" a="1"/>
  <c r="D2574" i="383" s="1"/>
  <c r="D2573" i="383" a="1"/>
  <c r="D2573" i="383" s="1"/>
  <c r="D2572" i="383" a="1"/>
  <c r="D2572" i="383" s="1"/>
  <c r="D2571" i="383" a="1"/>
  <c r="D2571" i="383" s="1"/>
  <c r="D2570" i="383" a="1"/>
  <c r="D2570" i="383" s="1"/>
  <c r="D2569" i="383" a="1"/>
  <c r="D2569" i="383" s="1"/>
  <c r="D2568" i="383" a="1"/>
  <c r="D2568" i="383" s="1"/>
  <c r="D2567" i="383" a="1"/>
  <c r="D2567" i="383" s="1"/>
  <c r="D2566" i="383" a="1"/>
  <c r="D2566" i="383" s="1"/>
  <c r="D2565" i="383" a="1"/>
  <c r="D2565" i="383" s="1"/>
  <c r="D2564" i="383" a="1"/>
  <c r="D2564" i="383" s="1"/>
  <c r="D2563" i="383" a="1"/>
  <c r="D2563" i="383" s="1"/>
  <c r="D2562" i="383" a="1"/>
  <c r="D2562" i="383" s="1"/>
  <c r="D2561" i="383" a="1"/>
  <c r="D2561" i="383" s="1"/>
  <c r="D2560" i="383" a="1"/>
  <c r="D2560" i="383" s="1"/>
  <c r="D2559" i="383" a="1"/>
  <c r="D2559" i="383" s="1"/>
  <c r="D2558" i="383" a="1"/>
  <c r="D2558" i="383" s="1"/>
  <c r="D2557" i="383" a="1"/>
  <c r="D2557" i="383" s="1"/>
  <c r="D2556" i="383" a="1"/>
  <c r="D2556" i="383" s="1"/>
  <c r="D2555" i="383" a="1"/>
  <c r="D2555" i="383" s="1"/>
  <c r="D2554" i="383" a="1"/>
  <c r="D2554" i="383" s="1"/>
  <c r="D2553" i="383" a="1"/>
  <c r="D2553" i="383" s="1"/>
  <c r="D2552" i="383" a="1"/>
  <c r="D2552" i="383" s="1"/>
  <c r="D2551" i="383" a="1"/>
  <c r="D2551" i="383" s="1"/>
  <c r="D2550" i="383" a="1"/>
  <c r="D2550" i="383" s="1"/>
  <c r="D2549" i="383" a="1"/>
  <c r="D2549" i="383" s="1"/>
  <c r="D2548" i="383" a="1"/>
  <c r="D2548" i="383" s="1"/>
  <c r="D2547" i="383" a="1"/>
  <c r="D2547" i="383" s="1"/>
  <c r="D2546" i="383" a="1"/>
  <c r="D2546" i="383" s="1"/>
  <c r="D2545" i="383" a="1"/>
  <c r="D2545" i="383" s="1"/>
  <c r="D2544" i="383" a="1"/>
  <c r="D2544" i="383" s="1"/>
  <c r="D2543" i="383" a="1"/>
  <c r="D2543" i="383" s="1"/>
  <c r="D2542" i="383" a="1"/>
  <c r="D2542" i="383" s="1"/>
  <c r="D2541" i="383" a="1"/>
  <c r="D2541" i="383" s="1"/>
  <c r="D2540" i="383" a="1"/>
  <c r="D2540" i="383" s="1"/>
  <c r="D2539" i="383" a="1"/>
  <c r="D2539" i="383" s="1"/>
  <c r="D2538" i="383" a="1"/>
  <c r="D2538" i="383" s="1"/>
  <c r="D2537" i="383" a="1"/>
  <c r="D2537" i="383" s="1"/>
  <c r="D2536" i="383" a="1"/>
  <c r="D2536" i="383" s="1"/>
  <c r="D2535" i="383" a="1"/>
  <c r="D2535" i="383" s="1"/>
  <c r="D2534" i="383" a="1"/>
  <c r="D2534" i="383" s="1"/>
  <c r="D2533" i="383" a="1"/>
  <c r="D2533" i="383" s="1"/>
  <c r="D2532" i="383" a="1"/>
  <c r="D2532" i="383" s="1"/>
  <c r="D2531" i="383" a="1"/>
  <c r="D2531" i="383" s="1"/>
  <c r="D2530" i="383" a="1"/>
  <c r="D2530" i="383" s="1"/>
  <c r="D2529" i="383" a="1"/>
  <c r="D2529" i="383" s="1"/>
  <c r="D2528" i="383" a="1"/>
  <c r="D2528" i="383" s="1"/>
  <c r="D2527" i="383" a="1"/>
  <c r="D2527" i="383" s="1"/>
  <c r="D2526" i="383" a="1"/>
  <c r="D2526" i="383" s="1"/>
  <c r="D2525" i="383" a="1"/>
  <c r="D2525" i="383" s="1"/>
  <c r="D2524" i="383" a="1"/>
  <c r="D2524" i="383" s="1"/>
  <c r="D2523" i="383" a="1"/>
  <c r="D2523" i="383" s="1"/>
  <c r="D2522" i="383" a="1"/>
  <c r="D2522" i="383" s="1"/>
  <c r="D2521" i="383" a="1"/>
  <c r="D2521" i="383" s="1"/>
  <c r="D2520" i="383" a="1"/>
  <c r="D2520" i="383" s="1"/>
  <c r="D2519" i="383" a="1"/>
  <c r="D2519" i="383" s="1"/>
  <c r="D2518" i="383" a="1"/>
  <c r="D2518" i="383" s="1"/>
  <c r="D2517" i="383" a="1"/>
  <c r="D2517" i="383" s="1"/>
  <c r="D2516" i="383" a="1"/>
  <c r="D2516" i="383" s="1"/>
  <c r="D2515" i="383" a="1"/>
  <c r="D2515" i="383" s="1"/>
  <c r="D2514" i="383" a="1"/>
  <c r="D2514" i="383" s="1"/>
  <c r="D2513" i="383" a="1"/>
  <c r="D2513" i="383" s="1"/>
  <c r="D2512" i="383" a="1"/>
  <c r="D2512" i="383" s="1"/>
  <c r="D2511" i="383" a="1"/>
  <c r="D2511" i="383" s="1"/>
  <c r="D2510" i="383" a="1"/>
  <c r="D2510" i="383" s="1"/>
  <c r="D2509" i="383" a="1"/>
  <c r="D2509" i="383" s="1"/>
  <c r="D2508" i="383" a="1"/>
  <c r="D2508" i="383" s="1"/>
  <c r="D2507" i="383" a="1"/>
  <c r="D2507" i="383" s="1"/>
  <c r="D2506" i="383" a="1"/>
  <c r="D2506" i="383" s="1"/>
  <c r="D2505" i="383" a="1"/>
  <c r="D2505" i="383" s="1"/>
  <c r="D2504" i="383" a="1"/>
  <c r="D2504" i="383" s="1"/>
  <c r="D2503" i="383" a="1"/>
  <c r="D2503" i="383" s="1"/>
  <c r="D2502" i="383" a="1"/>
  <c r="D2502" i="383" s="1"/>
  <c r="D2501" i="383" a="1"/>
  <c r="D2501" i="383" s="1"/>
  <c r="D2500" i="383" a="1"/>
  <c r="D2500" i="383" s="1"/>
  <c r="D2499" i="383" a="1"/>
  <c r="D2499" i="383" s="1"/>
  <c r="D2498" i="383" a="1"/>
  <c r="D2498" i="383" s="1"/>
  <c r="D2497" i="383" a="1"/>
  <c r="D2497" i="383" s="1"/>
  <c r="D2496" i="383" a="1"/>
  <c r="D2496" i="383" s="1"/>
  <c r="D2495" i="383" a="1"/>
  <c r="D2495" i="383" s="1"/>
  <c r="D2494" i="383" a="1"/>
  <c r="D2494" i="383" s="1"/>
  <c r="D2493" i="383" a="1"/>
  <c r="D2493" i="383" s="1"/>
  <c r="D2492" i="383" a="1"/>
  <c r="D2492" i="383" s="1"/>
  <c r="D2491" i="383" a="1"/>
  <c r="D2491" i="383" s="1"/>
  <c r="D2490" i="383" a="1"/>
  <c r="D2490" i="383" s="1"/>
  <c r="D2489" i="383" a="1"/>
  <c r="D2489" i="383" s="1"/>
  <c r="D2488" i="383" a="1"/>
  <c r="D2488" i="383" s="1"/>
  <c r="D2487" i="383" a="1"/>
  <c r="D2487" i="383" s="1"/>
  <c r="D2486" i="383" a="1"/>
  <c r="D2486" i="383" s="1"/>
  <c r="D2485" i="383" a="1"/>
  <c r="D2485" i="383" s="1"/>
  <c r="D2484" i="383" a="1"/>
  <c r="D2484" i="383" s="1"/>
  <c r="D2483" i="383" a="1"/>
  <c r="D2483" i="383" s="1"/>
  <c r="D2482" i="383" a="1"/>
  <c r="D2482" i="383" s="1"/>
  <c r="D2481" i="383" a="1"/>
  <c r="D2481" i="383" s="1"/>
  <c r="D2480" i="383" a="1"/>
  <c r="D2480" i="383" s="1"/>
  <c r="D2479" i="383" a="1"/>
  <c r="D2479" i="383" s="1"/>
  <c r="D2478" i="383" a="1"/>
  <c r="D2478" i="383" s="1"/>
  <c r="D2477" i="383" a="1"/>
  <c r="D2477" i="383" s="1"/>
  <c r="D2476" i="383" a="1"/>
  <c r="D2476" i="383" s="1"/>
  <c r="D2475" i="383" a="1"/>
  <c r="D2475" i="383" s="1"/>
  <c r="D2474" i="383" a="1"/>
  <c r="D2474" i="383" s="1"/>
  <c r="D2473" i="383" a="1"/>
  <c r="D2473" i="383" s="1"/>
  <c r="D2472" i="383" a="1"/>
  <c r="D2472" i="383" s="1"/>
  <c r="D2471" i="383" a="1"/>
  <c r="D2471" i="383" s="1"/>
  <c r="D2470" i="383" a="1"/>
  <c r="D2470" i="383" s="1"/>
  <c r="D2469" i="383" a="1"/>
  <c r="D2469" i="383" s="1"/>
  <c r="D2468" i="383" a="1"/>
  <c r="D2468" i="383" s="1"/>
  <c r="D2467" i="383" a="1"/>
  <c r="D2467" i="383" s="1"/>
  <c r="D2466" i="383" a="1"/>
  <c r="D2466" i="383" s="1"/>
  <c r="D2465" i="383" a="1"/>
  <c r="D2465" i="383" s="1"/>
  <c r="D2464" i="383" a="1"/>
  <c r="D2464" i="383" s="1"/>
  <c r="D2463" i="383" a="1"/>
  <c r="D2463" i="383" s="1"/>
  <c r="D2462" i="383" a="1"/>
  <c r="D2462" i="383" s="1"/>
  <c r="D2461" i="383" a="1"/>
  <c r="D2461" i="383" s="1"/>
  <c r="D2460" i="383" a="1"/>
  <c r="D2460" i="383" s="1"/>
  <c r="D2459" i="383" a="1"/>
  <c r="D2459" i="383" s="1"/>
  <c r="D2458" i="383" a="1"/>
  <c r="D2458" i="383" s="1"/>
  <c r="D2457" i="383" a="1"/>
  <c r="D2457" i="383"/>
  <c r="D2456" i="383" a="1"/>
  <c r="D2456" i="383" s="1"/>
  <c r="D2455" i="383" a="1"/>
  <c r="D2455" i="383" s="1"/>
  <c r="D2454" i="383" a="1"/>
  <c r="D2454" i="383" s="1"/>
  <c r="D2453" i="383" a="1"/>
  <c r="D2453" i="383" s="1"/>
  <c r="D2452" i="383" a="1"/>
  <c r="D2452" i="383" s="1"/>
  <c r="D2451" i="383" a="1"/>
  <c r="D2451" i="383" s="1"/>
  <c r="D2450" i="383" a="1"/>
  <c r="D2450" i="383" s="1"/>
  <c r="D2449" i="383" a="1"/>
  <c r="D2449" i="383" s="1"/>
  <c r="D2448" i="383" a="1"/>
  <c r="D2448" i="383" s="1"/>
  <c r="D2447" i="383" a="1"/>
  <c r="D2447" i="383" s="1"/>
  <c r="D2446" i="383" a="1"/>
  <c r="D2446" i="383" s="1"/>
  <c r="D2445" i="383" a="1"/>
  <c r="D2445" i="383" s="1"/>
  <c r="D2444" i="383" a="1"/>
  <c r="D2444" i="383" s="1"/>
  <c r="D2443" i="383" a="1"/>
  <c r="D2443" i="383" s="1"/>
  <c r="D2442" i="383" a="1"/>
  <c r="D2442" i="383" s="1"/>
  <c r="D2441" i="383" a="1"/>
  <c r="D2441" i="383" s="1"/>
  <c r="D2440" i="383" a="1"/>
  <c r="D2440" i="383" s="1"/>
  <c r="D2439" i="383" a="1"/>
  <c r="D2439" i="383" s="1"/>
  <c r="D2438" i="383" a="1"/>
  <c r="D2438" i="383" s="1"/>
  <c r="D2437" i="383" a="1"/>
  <c r="D2437" i="383" s="1"/>
  <c r="D2436" i="383" a="1"/>
  <c r="D2436" i="383" s="1"/>
  <c r="D2435" i="383" a="1"/>
  <c r="D2435" i="383" s="1"/>
  <c r="D2434" i="383" a="1"/>
  <c r="D2434" i="383" s="1"/>
  <c r="D2433" i="383" a="1"/>
  <c r="D2433" i="383" s="1"/>
  <c r="D2432" i="383" a="1"/>
  <c r="D2432" i="383" s="1"/>
  <c r="D2431" i="383" a="1"/>
  <c r="D2431" i="383" s="1"/>
  <c r="D2430" i="383" a="1"/>
  <c r="D2430" i="383" s="1"/>
  <c r="D2429" i="383" a="1"/>
  <c r="D2429" i="383" s="1"/>
  <c r="D2428" i="383" a="1"/>
  <c r="D2428" i="383" s="1"/>
  <c r="D2427" i="383" a="1"/>
  <c r="D2427" i="383" s="1"/>
  <c r="D2426" i="383" a="1"/>
  <c r="D2426" i="383" s="1"/>
  <c r="D2425" i="383" a="1"/>
  <c r="D2425" i="383" s="1"/>
  <c r="D2424" i="383" a="1"/>
  <c r="D2424" i="383" s="1"/>
  <c r="D2423" i="383" a="1"/>
  <c r="D2423" i="383" s="1"/>
  <c r="D2422" i="383" a="1"/>
  <c r="D2422" i="383" s="1"/>
  <c r="D2421" i="383" a="1"/>
  <c r="D2421" i="383" s="1"/>
  <c r="D2420" i="383" a="1"/>
  <c r="D2420" i="383" s="1"/>
  <c r="D2419" i="383" a="1"/>
  <c r="D2419" i="383" s="1"/>
  <c r="D2418" i="383" a="1"/>
  <c r="D2418" i="383" s="1"/>
  <c r="D2417" i="383" a="1"/>
  <c r="D2417" i="383" s="1"/>
  <c r="D2416" i="383" a="1"/>
  <c r="D2416" i="383" s="1"/>
  <c r="D2415" i="383" a="1"/>
  <c r="D2415" i="383" s="1"/>
  <c r="D2414" i="383" a="1"/>
  <c r="D2414" i="383" s="1"/>
  <c r="D2413" i="383" a="1"/>
  <c r="D2413" i="383" s="1"/>
  <c r="D2412" i="383" a="1"/>
  <c r="D2412" i="383" s="1"/>
  <c r="D2411" i="383" a="1"/>
  <c r="D2411" i="383" s="1"/>
  <c r="D2410" i="383" a="1"/>
  <c r="D2410" i="383" s="1"/>
  <c r="D2409" i="383" a="1"/>
  <c r="D2409" i="383" s="1"/>
  <c r="D2408" i="383" a="1"/>
  <c r="D2408" i="383" s="1"/>
  <c r="D2407" i="383" a="1"/>
  <c r="D2407" i="383" s="1"/>
  <c r="D2406" i="383" a="1"/>
  <c r="D2406" i="383" s="1"/>
  <c r="D2405" i="383" a="1"/>
  <c r="D2405" i="383" s="1"/>
  <c r="D2404" i="383" a="1"/>
  <c r="D2404" i="383" s="1"/>
  <c r="D2403" i="383" a="1"/>
  <c r="D2403" i="383" s="1"/>
  <c r="D2402" i="383" a="1"/>
  <c r="D2402" i="383" s="1"/>
  <c r="D2401" i="383" a="1"/>
  <c r="D2401" i="383" s="1"/>
  <c r="D2400" i="383" a="1"/>
  <c r="D2400" i="383" s="1"/>
  <c r="D2399" i="383" a="1"/>
  <c r="D2399" i="383" s="1"/>
  <c r="D2398" i="383" a="1"/>
  <c r="D2398" i="383" s="1"/>
  <c r="D2397" i="383" a="1"/>
  <c r="D2397" i="383" s="1"/>
  <c r="D2396" i="383" a="1"/>
  <c r="D2396" i="383" s="1"/>
  <c r="D2395" i="383" a="1"/>
  <c r="D2395" i="383" s="1"/>
  <c r="D2394" i="383" a="1"/>
  <c r="D2394" i="383" s="1"/>
  <c r="D2393" i="383" a="1"/>
  <c r="D2393" i="383" s="1"/>
  <c r="D2392" i="383" a="1"/>
  <c r="D2392" i="383" s="1"/>
  <c r="D2391" i="383" a="1"/>
  <c r="D2391" i="383" s="1"/>
  <c r="D2390" i="383" a="1"/>
  <c r="D2390" i="383" s="1"/>
  <c r="D2389" i="383" a="1"/>
  <c r="D2389" i="383" s="1"/>
  <c r="D2388" i="383" a="1"/>
  <c r="D2388" i="383" s="1"/>
  <c r="D2387" i="383" a="1"/>
  <c r="D2387" i="383" s="1"/>
  <c r="D2386" i="383" a="1"/>
  <c r="D2386" i="383" s="1"/>
  <c r="D2385" i="383" a="1"/>
  <c r="D2385" i="383" s="1"/>
  <c r="D2384" i="383" a="1"/>
  <c r="D2384" i="383" s="1"/>
  <c r="D2383" i="383" a="1"/>
  <c r="D2383" i="383" s="1"/>
  <c r="D2382" i="383" a="1"/>
  <c r="D2382" i="383" s="1"/>
  <c r="D2381" i="383" a="1"/>
  <c r="D2381" i="383" s="1"/>
  <c r="D2380" i="383" a="1"/>
  <c r="D2380" i="383" s="1"/>
  <c r="D2379" i="383" a="1"/>
  <c r="D2379" i="383" s="1"/>
  <c r="D2378" i="383" a="1"/>
  <c r="D2378" i="383" s="1"/>
  <c r="D2377" i="383" a="1"/>
  <c r="D2377" i="383" s="1"/>
  <c r="D2376" i="383" a="1"/>
  <c r="D2376" i="383" s="1"/>
  <c r="D2375" i="383" a="1"/>
  <c r="D2375" i="383" s="1"/>
  <c r="D2374" i="383" a="1"/>
  <c r="D2374" i="383" s="1"/>
  <c r="D2373" i="383" a="1"/>
  <c r="D2373" i="383" s="1"/>
  <c r="D2372" i="383" a="1"/>
  <c r="D2372" i="383" s="1"/>
  <c r="D2371" i="383" a="1"/>
  <c r="D2371" i="383" s="1"/>
  <c r="D2370" i="383" a="1"/>
  <c r="D2370" i="383" s="1"/>
  <c r="D2369" i="383" a="1"/>
  <c r="D2369" i="383" s="1"/>
  <c r="D2368" i="383" a="1"/>
  <c r="D2368" i="383" s="1"/>
  <c r="D2367" i="383" a="1"/>
  <c r="D2367" i="383" s="1"/>
  <c r="D2366" i="383" a="1"/>
  <c r="D2366" i="383" s="1"/>
  <c r="D2365" i="383" a="1"/>
  <c r="D2365" i="383" s="1"/>
  <c r="D2364" i="383" a="1"/>
  <c r="D2364" i="383" s="1"/>
  <c r="D2363" i="383" a="1"/>
  <c r="D2363" i="383" s="1"/>
  <c r="D2362" i="383" a="1"/>
  <c r="D2362" i="383" s="1"/>
  <c r="D2361" i="383" a="1"/>
  <c r="D2361" i="383" s="1"/>
  <c r="D2360" i="383" a="1"/>
  <c r="D2360" i="383" s="1"/>
  <c r="D2359" i="383" a="1"/>
  <c r="D2359" i="383" s="1"/>
  <c r="D2358" i="383" a="1"/>
  <c r="D2358" i="383" s="1"/>
  <c r="D2357" i="383" a="1"/>
  <c r="D2357" i="383" s="1"/>
  <c r="D2356" i="383" a="1"/>
  <c r="D2356" i="383" s="1"/>
  <c r="D2355" i="383" a="1"/>
  <c r="D2355" i="383" s="1"/>
  <c r="D2354" i="383" a="1"/>
  <c r="D2354" i="383" s="1"/>
  <c r="D2353" i="383" a="1"/>
  <c r="D2353" i="383" s="1"/>
  <c r="D2352" i="383" a="1"/>
  <c r="D2352" i="383" s="1"/>
  <c r="D2351" i="383" a="1"/>
  <c r="D2351" i="383" s="1"/>
  <c r="D2350" i="383" a="1"/>
  <c r="D2350" i="383" s="1"/>
  <c r="D2349" i="383" a="1"/>
  <c r="D2349" i="383" s="1"/>
  <c r="D2348" i="383" a="1"/>
  <c r="D2348" i="383" s="1"/>
  <c r="D2347" i="383" a="1"/>
  <c r="D2347" i="383" s="1"/>
  <c r="D2346" i="383" a="1"/>
  <c r="D2346" i="383" s="1"/>
  <c r="D2345" i="383" a="1"/>
  <c r="D2345" i="383" s="1"/>
  <c r="D2344" i="383" a="1"/>
  <c r="D2344" i="383" s="1"/>
  <c r="D2343" i="383" a="1"/>
  <c r="D2343" i="383" s="1"/>
  <c r="D2342" i="383" a="1"/>
  <c r="D2342" i="383" s="1"/>
  <c r="D2341" i="383" a="1"/>
  <c r="D2341" i="383" s="1"/>
  <c r="D2340" i="383" a="1"/>
  <c r="D2340" i="383" s="1"/>
  <c r="D2339" i="383" a="1"/>
  <c r="D2339" i="383" s="1"/>
  <c r="D2338" i="383" a="1"/>
  <c r="D2338" i="383" s="1"/>
  <c r="D2337" i="383" a="1"/>
  <c r="D2337" i="383" s="1"/>
  <c r="D2336" i="383" a="1"/>
  <c r="D2336" i="383" s="1"/>
  <c r="D2335" i="383" a="1"/>
  <c r="D2335" i="383" s="1"/>
  <c r="D2334" i="383" a="1"/>
  <c r="D2334" i="383" s="1"/>
  <c r="D2333" i="383" a="1"/>
  <c r="D2333" i="383" s="1"/>
  <c r="D2332" i="383" a="1"/>
  <c r="D2332" i="383" s="1"/>
  <c r="D2331" i="383" a="1"/>
  <c r="D2331" i="383" s="1"/>
  <c r="D2330" i="383" a="1"/>
  <c r="D2330" i="383" s="1"/>
  <c r="D2329" i="383" a="1"/>
  <c r="D2329" i="383" s="1"/>
  <c r="D2328" i="383" a="1"/>
  <c r="D2328" i="383" s="1"/>
  <c r="D2327" i="383" a="1"/>
  <c r="D2327" i="383" s="1"/>
  <c r="D2326" i="383" a="1"/>
  <c r="D2326" i="383" s="1"/>
  <c r="D2325" i="383" a="1"/>
  <c r="D2325" i="383" s="1"/>
  <c r="D2324" i="383" a="1"/>
  <c r="D2324" i="383" s="1"/>
  <c r="D2323" i="383" a="1"/>
  <c r="D2323" i="383" s="1"/>
  <c r="D2322" i="383" a="1"/>
  <c r="D2322" i="383" s="1"/>
  <c r="D2321" i="383" a="1"/>
  <c r="D2321" i="383" s="1"/>
  <c r="D2320" i="383" a="1"/>
  <c r="D2320" i="383" s="1"/>
  <c r="D2319" i="383" a="1"/>
  <c r="D2319" i="383" s="1"/>
  <c r="D2318" i="383" a="1"/>
  <c r="D2318" i="383" s="1"/>
  <c r="D2317" i="383" a="1"/>
  <c r="D2317" i="383" s="1"/>
  <c r="D2316" i="383" a="1"/>
  <c r="D2316" i="383" s="1"/>
  <c r="D2315" i="383" a="1"/>
  <c r="D2315" i="383" s="1"/>
  <c r="D2314" i="383" a="1"/>
  <c r="D2314" i="383" s="1"/>
  <c r="D2313" i="383" a="1"/>
  <c r="D2313" i="383" s="1"/>
  <c r="D2312" i="383" a="1"/>
  <c r="D2312" i="383" s="1"/>
  <c r="D2311" i="383" a="1"/>
  <c r="D2311" i="383" s="1"/>
  <c r="D2310" i="383" a="1"/>
  <c r="D2310" i="383" s="1"/>
  <c r="D2309" i="383" a="1"/>
  <c r="D2309" i="383" s="1"/>
  <c r="D2308" i="383" a="1"/>
  <c r="D2308" i="383" s="1"/>
  <c r="D2307" i="383" a="1"/>
  <c r="D2307" i="383" s="1"/>
  <c r="D2306" i="383" a="1"/>
  <c r="D2306" i="383" s="1"/>
  <c r="D2305" i="383" a="1"/>
  <c r="D2305" i="383" s="1"/>
  <c r="D2304" i="383" a="1"/>
  <c r="D2304" i="383" s="1"/>
  <c r="D2303" i="383" a="1"/>
  <c r="D2303" i="383" s="1"/>
  <c r="D2302" i="383" a="1"/>
  <c r="D2302" i="383" s="1"/>
  <c r="D2301" i="383" a="1"/>
  <c r="D2301" i="383" s="1"/>
  <c r="D2300" i="383" a="1"/>
  <c r="D2300" i="383" s="1"/>
  <c r="D2299" i="383" a="1"/>
  <c r="D2299" i="383" s="1"/>
  <c r="D2298" i="383" a="1"/>
  <c r="D2298" i="383" s="1"/>
  <c r="D2297" i="383" a="1"/>
  <c r="D2297" i="383" s="1"/>
  <c r="D2296" i="383" a="1"/>
  <c r="D2296" i="383" s="1"/>
  <c r="D2295" i="383" a="1"/>
  <c r="D2295" i="383" s="1"/>
  <c r="D2294" i="383" a="1"/>
  <c r="D2294" i="383" s="1"/>
  <c r="D2293" i="383" a="1"/>
  <c r="D2293" i="383" s="1"/>
  <c r="D2292" i="383" a="1"/>
  <c r="D2292" i="383" s="1"/>
  <c r="D2291" i="383" a="1"/>
  <c r="D2291" i="383" s="1"/>
  <c r="D2290" i="383" a="1"/>
  <c r="D2290" i="383" s="1"/>
  <c r="D2289" i="383" a="1"/>
  <c r="D2289" i="383" s="1"/>
  <c r="D2288" i="383" a="1"/>
  <c r="D2288" i="383" s="1"/>
  <c r="D2287" i="383" a="1"/>
  <c r="D2287" i="383" s="1"/>
  <c r="D2286" i="383" a="1"/>
  <c r="D2286" i="383" s="1"/>
  <c r="D2285" i="383" a="1"/>
  <c r="D2285" i="383" s="1"/>
  <c r="D2284" i="383" a="1"/>
  <c r="D2284" i="383" s="1"/>
  <c r="D2283" i="383" a="1"/>
  <c r="D2283" i="383" s="1"/>
  <c r="D2282" i="383" a="1"/>
  <c r="D2282" i="383" s="1"/>
  <c r="D2281" i="383" a="1"/>
  <c r="D2281" i="383" s="1"/>
  <c r="D2280" i="383" a="1"/>
  <c r="D2280" i="383" s="1"/>
  <c r="D2279" i="383" a="1"/>
  <c r="D2279" i="383" s="1"/>
  <c r="D2278" i="383" a="1"/>
  <c r="D2278" i="383" s="1"/>
  <c r="D2277" i="383" a="1"/>
  <c r="D2277" i="383" s="1"/>
  <c r="D2276" i="383" a="1"/>
  <c r="D2276" i="383" s="1"/>
  <c r="D2275" i="383" a="1"/>
  <c r="D2275" i="383" s="1"/>
  <c r="D2274" i="383" a="1"/>
  <c r="D2274" i="383" s="1"/>
  <c r="D2273" i="383" a="1"/>
  <c r="D2273" i="383" s="1"/>
  <c r="D2272" i="383" a="1"/>
  <c r="D2272" i="383" s="1"/>
  <c r="D2271" i="383" a="1"/>
  <c r="D2271" i="383" s="1"/>
  <c r="D2270" i="383" a="1"/>
  <c r="D2270" i="383" s="1"/>
  <c r="D2269" i="383" a="1"/>
  <c r="D2269" i="383" s="1"/>
  <c r="D2268" i="383" a="1"/>
  <c r="D2268" i="383" s="1"/>
  <c r="D2267" i="383" a="1"/>
  <c r="D2267" i="383" s="1"/>
  <c r="D2266" i="383" a="1"/>
  <c r="D2266" i="383" s="1"/>
  <c r="D2265" i="383" a="1"/>
  <c r="D2265" i="383" s="1"/>
  <c r="D2264" i="383" a="1"/>
  <c r="D2264" i="383" s="1"/>
  <c r="D2263" i="383" a="1"/>
  <c r="D2263" i="383" s="1"/>
  <c r="D2262" i="383" a="1"/>
  <c r="D2262" i="383" s="1"/>
  <c r="D2261" i="383" a="1"/>
  <c r="D2261" i="383" s="1"/>
  <c r="D2260" i="383" a="1"/>
  <c r="D2260" i="383" s="1"/>
  <c r="D2259" i="383" a="1"/>
  <c r="D2259" i="383" s="1"/>
  <c r="D2258" i="383" a="1"/>
  <c r="D2258" i="383" s="1"/>
  <c r="D2257" i="383" a="1"/>
  <c r="D2257" i="383" s="1"/>
  <c r="D2256" i="383" a="1"/>
  <c r="D2256" i="383" s="1"/>
  <c r="D2255" i="383" a="1"/>
  <c r="D2255" i="383" s="1"/>
  <c r="D2254" i="383" a="1"/>
  <c r="D2254" i="383" s="1"/>
  <c r="D2253" i="383" a="1"/>
  <c r="D2253" i="383" s="1"/>
  <c r="D2252" i="383" a="1"/>
  <c r="D2252" i="383" s="1"/>
  <c r="D2251" i="383" a="1"/>
  <c r="D2251" i="383" s="1"/>
  <c r="D2250" i="383" a="1"/>
  <c r="D2250" i="383" s="1"/>
  <c r="D2249" i="383" a="1"/>
  <c r="D2249" i="383" s="1"/>
  <c r="D2248" i="383" a="1"/>
  <c r="D2248" i="383" s="1"/>
  <c r="D2247" i="383" a="1"/>
  <c r="D2247" i="383" s="1"/>
  <c r="D2246" i="383" a="1"/>
  <c r="D2246" i="383" s="1"/>
  <c r="D2245" i="383" a="1"/>
  <c r="D2245" i="383" s="1"/>
  <c r="D2244" i="383" a="1"/>
  <c r="D2244" i="383" s="1"/>
  <c r="D2243" i="383" a="1"/>
  <c r="D2243" i="383" s="1"/>
  <c r="D2242" i="383" a="1"/>
  <c r="D2242" i="383" s="1"/>
  <c r="D2241" i="383" a="1"/>
  <c r="D2241" i="383" s="1"/>
  <c r="D2240" i="383" a="1"/>
  <c r="D2240" i="383" s="1"/>
  <c r="D2239" i="383" a="1"/>
  <c r="D2239" i="383" s="1"/>
  <c r="D2238" i="383" a="1"/>
  <c r="D2238" i="383" s="1"/>
  <c r="D2237" i="383" a="1"/>
  <c r="D2237" i="383" s="1"/>
  <c r="D2236" i="383" a="1"/>
  <c r="D2236" i="383" s="1"/>
  <c r="D2235" i="383" a="1"/>
  <c r="D2235" i="383" s="1"/>
  <c r="D2234" i="383" a="1"/>
  <c r="D2234" i="383" s="1"/>
  <c r="D2233" i="383" a="1"/>
  <c r="D2233" i="383" s="1"/>
  <c r="D2232" i="383" a="1"/>
  <c r="D2232" i="383" s="1"/>
  <c r="D2231" i="383" a="1"/>
  <c r="D2231" i="383"/>
  <c r="D2230" i="383" a="1"/>
  <c r="D2230" i="383" s="1"/>
  <c r="D2229" i="383" a="1"/>
  <c r="D2229" i="383" s="1"/>
  <c r="D2228" i="383" a="1"/>
  <c r="D2228" i="383" s="1"/>
  <c r="D2227" i="383" a="1"/>
  <c r="D2227" i="383" s="1"/>
  <c r="D2226" i="383" a="1"/>
  <c r="D2226" i="383" s="1"/>
  <c r="D2225" i="383" a="1"/>
  <c r="D2225" i="383" s="1"/>
  <c r="D2224" i="383" a="1"/>
  <c r="D2224" i="383" s="1"/>
  <c r="D2223" i="383" a="1"/>
  <c r="D2223" i="383" s="1"/>
  <c r="D2222" i="383" a="1"/>
  <c r="D2222" i="383" s="1"/>
  <c r="D2221" i="383" a="1"/>
  <c r="D2221" i="383" s="1"/>
  <c r="D2220" i="383" a="1"/>
  <c r="D2220" i="383" s="1"/>
  <c r="D2219" i="383" a="1"/>
  <c r="D2219" i="383" s="1"/>
  <c r="D2218" i="383" a="1"/>
  <c r="D2218" i="383" s="1"/>
  <c r="D2217" i="383" a="1"/>
  <c r="D2217" i="383" s="1"/>
  <c r="D2216" i="383" a="1"/>
  <c r="D2216" i="383" s="1"/>
  <c r="D2215" i="383" a="1"/>
  <c r="D2215" i="383" s="1"/>
  <c r="D2214" i="383" a="1"/>
  <c r="D2214" i="383" s="1"/>
  <c r="D2213" i="383" a="1"/>
  <c r="D2213" i="383" s="1"/>
  <c r="D2212" i="383" a="1"/>
  <c r="D2212" i="383" s="1"/>
  <c r="D2211" i="383" a="1"/>
  <c r="D2211" i="383" s="1"/>
  <c r="D2210" i="383" a="1"/>
  <c r="D2210" i="383" s="1"/>
  <c r="D2209" i="383" a="1"/>
  <c r="D2209" i="383" s="1"/>
  <c r="D2208" i="383" a="1"/>
  <c r="D2208" i="383" s="1"/>
  <c r="D2207" i="383" a="1"/>
  <c r="D2207" i="383" s="1"/>
  <c r="D2206" i="383" a="1"/>
  <c r="D2206" i="383" s="1"/>
  <c r="D2205" i="383" a="1"/>
  <c r="D2205" i="383" s="1"/>
  <c r="D2204" i="383" a="1"/>
  <c r="D2204" i="383" s="1"/>
  <c r="D2203" i="383" a="1"/>
  <c r="D2203" i="383" s="1"/>
  <c r="D2202" i="383" a="1"/>
  <c r="D2202" i="383" s="1"/>
  <c r="D2201" i="383" a="1"/>
  <c r="D2201" i="383" s="1"/>
  <c r="D2200" i="383" a="1"/>
  <c r="D2200" i="383" s="1"/>
  <c r="D2199" i="383" a="1"/>
  <c r="D2199" i="383" s="1"/>
  <c r="D2198" i="383" a="1"/>
  <c r="D2198" i="383" s="1"/>
  <c r="D2197" i="383" a="1"/>
  <c r="D2197" i="383" s="1"/>
  <c r="D2196" i="383" a="1"/>
  <c r="D2196" i="383" s="1"/>
  <c r="D2195" i="383" a="1"/>
  <c r="D2195" i="383" s="1"/>
  <c r="D2194" i="383" a="1"/>
  <c r="D2194" i="383" s="1"/>
  <c r="D2193" i="383" a="1"/>
  <c r="D2193" i="383" s="1"/>
  <c r="D2192" i="383" a="1"/>
  <c r="D2192" i="383" s="1"/>
  <c r="D2191" i="383" a="1"/>
  <c r="D2191" i="383" s="1"/>
  <c r="D2190" i="383" a="1"/>
  <c r="D2190" i="383" s="1"/>
  <c r="D2189" i="383" a="1"/>
  <c r="D2189" i="383" s="1"/>
  <c r="D2188" i="383" a="1"/>
  <c r="D2188" i="383" s="1"/>
  <c r="D2187" i="383" a="1"/>
  <c r="D2187" i="383" s="1"/>
  <c r="D2186" i="383" a="1"/>
  <c r="D2186" i="383" s="1"/>
  <c r="D2185" i="383" a="1"/>
  <c r="D2185" i="383" s="1"/>
  <c r="D2184" i="383" a="1"/>
  <c r="D2184" i="383" s="1"/>
  <c r="D2183" i="383" a="1"/>
  <c r="D2183" i="383" s="1"/>
  <c r="D2182" i="383" a="1"/>
  <c r="D2182" i="383" s="1"/>
  <c r="D2181" i="383" a="1"/>
  <c r="D2181" i="383" s="1"/>
  <c r="D2180" i="383" a="1"/>
  <c r="D2180" i="383" s="1"/>
  <c r="D2179" i="383" a="1"/>
  <c r="D2179" i="383" s="1"/>
  <c r="D2178" i="383" a="1"/>
  <c r="D2178" i="383" s="1"/>
  <c r="D2177" i="383" a="1"/>
  <c r="D2177" i="383" s="1"/>
  <c r="D2176" i="383" a="1"/>
  <c r="D2176" i="383" s="1"/>
  <c r="D2175" i="383" a="1"/>
  <c r="D2175" i="383" s="1"/>
  <c r="D2174" i="383" a="1"/>
  <c r="D2174" i="383" s="1"/>
  <c r="D2173" i="383" a="1"/>
  <c r="D2173" i="383" s="1"/>
  <c r="D2172" i="383" a="1"/>
  <c r="D2172" i="383" s="1"/>
  <c r="D2171" i="383" a="1"/>
  <c r="D2171" i="383" s="1"/>
  <c r="D2170" i="383" a="1"/>
  <c r="D2170" i="383" s="1"/>
  <c r="D2169" i="383" a="1"/>
  <c r="D2169" i="383" s="1"/>
  <c r="D2168" i="383" a="1"/>
  <c r="D2168" i="383" s="1"/>
  <c r="D2167" i="383" a="1"/>
  <c r="D2167" i="383" s="1"/>
  <c r="D2166" i="383" a="1"/>
  <c r="D2166" i="383" s="1"/>
  <c r="D2165" i="383" a="1"/>
  <c r="D2165" i="383" s="1"/>
  <c r="D2164" i="383" a="1"/>
  <c r="D2164" i="383" s="1"/>
  <c r="D2163" i="383" a="1"/>
  <c r="D2163" i="383" s="1"/>
  <c r="D2162" i="383" a="1"/>
  <c r="D2162" i="383" s="1"/>
  <c r="D2161" i="383" a="1"/>
  <c r="D2161" i="383" s="1"/>
  <c r="D2160" i="383" a="1"/>
  <c r="D2160" i="383" s="1"/>
  <c r="D2159" i="383" a="1"/>
  <c r="D2159" i="383" s="1"/>
  <c r="D2158" i="383" a="1"/>
  <c r="D2158" i="383" s="1"/>
  <c r="D2157" i="383" a="1"/>
  <c r="D2157" i="383" s="1"/>
  <c r="D2156" i="383" a="1"/>
  <c r="D2156" i="383" s="1"/>
  <c r="D2155" i="383" a="1"/>
  <c r="D2155" i="383" s="1"/>
  <c r="D2154" i="383" a="1"/>
  <c r="D2154" i="383" s="1"/>
  <c r="D2153" i="383" a="1"/>
  <c r="D2153" i="383" s="1"/>
  <c r="D2152" i="383" a="1"/>
  <c r="D2152" i="383" s="1"/>
  <c r="D2151" i="383" a="1"/>
  <c r="D2151" i="383" s="1"/>
  <c r="D2150" i="383" a="1"/>
  <c r="D2150" i="383" s="1"/>
  <c r="D2149" i="383" a="1"/>
  <c r="D2149" i="383" s="1"/>
  <c r="D2148" i="383" a="1"/>
  <c r="D2148" i="383" s="1"/>
  <c r="D2147" i="383" a="1"/>
  <c r="D2147" i="383" s="1"/>
  <c r="D2146" i="383" a="1"/>
  <c r="D2146" i="383" s="1"/>
  <c r="D2145" i="383" a="1"/>
  <c r="D2145" i="383" s="1"/>
  <c r="D2144" i="383" a="1"/>
  <c r="D2144" i="383" s="1"/>
  <c r="D2143" i="383" a="1"/>
  <c r="D2143" i="383" s="1"/>
  <c r="D2142" i="383" a="1"/>
  <c r="D2142" i="383" s="1"/>
  <c r="D2141" i="383" a="1"/>
  <c r="D2141" i="383" s="1"/>
  <c r="D2140" i="383" a="1"/>
  <c r="D2140" i="383" s="1"/>
  <c r="D2139" i="383" a="1"/>
  <c r="D2139" i="383" s="1"/>
  <c r="D2138" i="383" a="1"/>
  <c r="D2138" i="383" s="1"/>
  <c r="D2137" i="383" a="1"/>
  <c r="D2137" i="383" s="1"/>
  <c r="D2136" i="383" a="1"/>
  <c r="D2136" i="383" s="1"/>
  <c r="D2135" i="383" a="1"/>
  <c r="D2135" i="383" s="1"/>
  <c r="D2134" i="383" a="1"/>
  <c r="D2134" i="383" s="1"/>
  <c r="D2133" i="383" a="1"/>
  <c r="D2133" i="383" s="1"/>
  <c r="D2132" i="383" a="1"/>
  <c r="D2132" i="383" s="1"/>
  <c r="D2131" i="383" a="1"/>
  <c r="D2131" i="383" s="1"/>
  <c r="D2130" i="383" a="1"/>
  <c r="D2130" i="383" s="1"/>
  <c r="D2129" i="383" a="1"/>
  <c r="D2129" i="383" s="1"/>
  <c r="D2128" i="383" a="1"/>
  <c r="D2128" i="383" s="1"/>
  <c r="D2127" i="383" a="1"/>
  <c r="D2127" i="383" s="1"/>
  <c r="D2126" i="383" a="1"/>
  <c r="D2126" i="383" s="1"/>
  <c r="D2125" i="383" a="1"/>
  <c r="D2125" i="383" s="1"/>
  <c r="D2124" i="383" a="1"/>
  <c r="D2124" i="383" s="1"/>
  <c r="D2123" i="383" a="1"/>
  <c r="D2123" i="383" s="1"/>
  <c r="D2122" i="383" a="1"/>
  <c r="D2122" i="383" s="1"/>
  <c r="D2121" i="383" a="1"/>
  <c r="D2121" i="383" s="1"/>
  <c r="D2120" i="383" a="1"/>
  <c r="D2120" i="383" s="1"/>
  <c r="D2119" i="383" a="1"/>
  <c r="D2119" i="383" s="1"/>
  <c r="D2118" i="383" a="1"/>
  <c r="D2118" i="383" s="1"/>
  <c r="D2117" i="383" a="1"/>
  <c r="D2117" i="383" s="1"/>
  <c r="D2116" i="383" a="1"/>
  <c r="D2116" i="383" s="1"/>
  <c r="D2115" i="383" a="1"/>
  <c r="D2115" i="383" s="1"/>
  <c r="D2114" i="383" a="1"/>
  <c r="D2114" i="383" s="1"/>
  <c r="D2113" i="383" a="1"/>
  <c r="D2113" i="383" s="1"/>
  <c r="D2112" i="383" a="1"/>
  <c r="D2112" i="383" s="1"/>
  <c r="D2111" i="383" a="1"/>
  <c r="D2111" i="383" s="1"/>
  <c r="D2110" i="383" a="1"/>
  <c r="D2110" i="383" s="1"/>
  <c r="D2109" i="383" a="1"/>
  <c r="D2109" i="383" s="1"/>
  <c r="D2108" i="383" a="1"/>
  <c r="D2108" i="383" s="1"/>
  <c r="D2107" i="383" a="1"/>
  <c r="D2107" i="383" s="1"/>
  <c r="D2106" i="383" a="1"/>
  <c r="D2106" i="383" s="1"/>
  <c r="D2105" i="383" a="1"/>
  <c r="D2105" i="383" s="1"/>
  <c r="D2104" i="383" a="1"/>
  <c r="D2104" i="383" s="1"/>
  <c r="D2103" i="383" a="1"/>
  <c r="D2103" i="383" s="1"/>
  <c r="D2102" i="383" a="1"/>
  <c r="D2102" i="383" s="1"/>
  <c r="D2101" i="383" a="1"/>
  <c r="D2101" i="383" s="1"/>
  <c r="D2100" i="383" a="1"/>
  <c r="D2100" i="383" s="1"/>
  <c r="D2099" i="383" a="1"/>
  <c r="D2099" i="383" s="1"/>
  <c r="D2098" i="383" a="1"/>
  <c r="D2098" i="383" s="1"/>
  <c r="D2097" i="383" a="1"/>
  <c r="D2097" i="383" s="1"/>
  <c r="D2096" i="383" a="1"/>
  <c r="D2096" i="383" s="1"/>
  <c r="D2095" i="383" a="1"/>
  <c r="D2095" i="383" s="1"/>
  <c r="D2094" i="383" a="1"/>
  <c r="D2094" i="383" s="1"/>
  <c r="D2093" i="383" a="1"/>
  <c r="D2093" i="383" s="1"/>
  <c r="D2092" i="383" a="1"/>
  <c r="D2092" i="383" s="1"/>
  <c r="D2091" i="383" a="1"/>
  <c r="D2091" i="383" s="1"/>
  <c r="D2090" i="383" a="1"/>
  <c r="D2090" i="383" s="1"/>
  <c r="D2089" i="383" a="1"/>
  <c r="D2089" i="383" s="1"/>
  <c r="D2088" i="383" a="1"/>
  <c r="D2088" i="383" s="1"/>
  <c r="D2087" i="383" a="1"/>
  <c r="D2087" i="383" s="1"/>
  <c r="D2086" i="383" a="1"/>
  <c r="D2086" i="383" s="1"/>
  <c r="D2085" i="383" a="1"/>
  <c r="D2085" i="383" s="1"/>
  <c r="D2084" i="383" a="1"/>
  <c r="D2084" i="383" s="1"/>
  <c r="D2083" i="383" a="1"/>
  <c r="D2083" i="383" s="1"/>
  <c r="D2082" i="383" a="1"/>
  <c r="D2082" i="383" s="1"/>
  <c r="D2081" i="383" a="1"/>
  <c r="D2081" i="383" s="1"/>
  <c r="D2080" i="383" a="1"/>
  <c r="D2080" i="383" s="1"/>
  <c r="D2079" i="383" a="1"/>
  <c r="D2079" i="383" s="1"/>
  <c r="D2078" i="383" a="1"/>
  <c r="D2078" i="383" s="1"/>
  <c r="D2077" i="383" a="1"/>
  <c r="D2077" i="383" s="1"/>
  <c r="D2076" i="383" a="1"/>
  <c r="D2076" i="383" s="1"/>
  <c r="D2075" i="383" a="1"/>
  <c r="D2075" i="383" s="1"/>
  <c r="D2074" i="383" a="1"/>
  <c r="D2074" i="383" s="1"/>
  <c r="D2073" i="383" a="1"/>
  <c r="D2073" i="383" s="1"/>
  <c r="D2072" i="383" a="1"/>
  <c r="D2072" i="383" s="1"/>
  <c r="D2071" i="383" a="1"/>
  <c r="D2071" i="383" s="1"/>
  <c r="D2070" i="383" a="1"/>
  <c r="D2070" i="383" s="1"/>
  <c r="D2069" i="383" a="1"/>
  <c r="D2069" i="383" s="1"/>
  <c r="D2068" i="383" a="1"/>
  <c r="D2068" i="383" s="1"/>
  <c r="D2067" i="383" a="1"/>
  <c r="D2067" i="383" s="1"/>
  <c r="D2066" i="383" a="1"/>
  <c r="D2066" i="383" s="1"/>
  <c r="D2065" i="383" a="1"/>
  <c r="D2065" i="383" s="1"/>
  <c r="D2064" i="383" a="1"/>
  <c r="D2064" i="383" s="1"/>
  <c r="D2063" i="383" a="1"/>
  <c r="D2063" i="383" s="1"/>
  <c r="D2062" i="383" a="1"/>
  <c r="D2062" i="383" s="1"/>
  <c r="D2061" i="383" a="1"/>
  <c r="D2061" i="383" s="1"/>
  <c r="D2060" i="383" a="1"/>
  <c r="D2060" i="383" s="1"/>
  <c r="D2059" i="383" a="1"/>
  <c r="D2059" i="383" s="1"/>
  <c r="D2058" i="383" a="1"/>
  <c r="D2058" i="383" s="1"/>
  <c r="D2057" i="383" a="1"/>
  <c r="D2057" i="383" s="1"/>
  <c r="D2056" i="383" a="1"/>
  <c r="D2056" i="383" s="1"/>
  <c r="D2055" i="383" a="1"/>
  <c r="D2055" i="383" s="1"/>
  <c r="D2054" i="383" a="1"/>
  <c r="D2054" i="383" s="1"/>
  <c r="D2053" i="383" a="1"/>
  <c r="D2053" i="383" s="1"/>
  <c r="D2052" i="383" a="1"/>
  <c r="D2052" i="383" s="1"/>
  <c r="D2051" i="383" a="1"/>
  <c r="D2051" i="383" s="1"/>
  <c r="D2050" i="383" a="1"/>
  <c r="D2050" i="383" s="1"/>
  <c r="D2049" i="383" a="1"/>
  <c r="D2049" i="383" s="1"/>
  <c r="D2048" i="383" a="1"/>
  <c r="D2048" i="383" s="1"/>
  <c r="D2047" i="383" a="1"/>
  <c r="D2047" i="383" s="1"/>
  <c r="D2046" i="383" a="1"/>
  <c r="D2046" i="383" s="1"/>
  <c r="D2045" i="383" a="1"/>
  <c r="D2045" i="383" s="1"/>
  <c r="D2044" i="383" a="1"/>
  <c r="D2044" i="383" s="1"/>
  <c r="D2043" i="383" a="1"/>
  <c r="D2043" i="383" s="1"/>
  <c r="D2042" i="383" a="1"/>
  <c r="D2042" i="383" s="1"/>
  <c r="D2041" i="383" a="1"/>
  <c r="D2041" i="383" s="1"/>
  <c r="D2040" i="383" a="1"/>
  <c r="D2040" i="383" s="1"/>
  <c r="D2039" i="383" a="1"/>
  <c r="D2039" i="383" s="1"/>
  <c r="D2038" i="383" a="1"/>
  <c r="D2038" i="383" s="1"/>
  <c r="D2037" i="383" a="1"/>
  <c r="D2037" i="383" s="1"/>
  <c r="D2036" i="383" a="1"/>
  <c r="D2036" i="383" s="1"/>
  <c r="D2035" i="383" a="1"/>
  <c r="D2035" i="383" s="1"/>
  <c r="D2034" i="383" a="1"/>
  <c r="D2034" i="383" s="1"/>
  <c r="D2033" i="383" a="1"/>
  <c r="D2033" i="383" s="1"/>
  <c r="D2032" i="383" a="1"/>
  <c r="D2032" i="383" s="1"/>
  <c r="D2031" i="383" a="1"/>
  <c r="D2031" i="383" s="1"/>
  <c r="D2030" i="383" a="1"/>
  <c r="D2030" i="383" s="1"/>
  <c r="D2029" i="383" a="1"/>
  <c r="D2029" i="383" s="1"/>
  <c r="D2028" i="383" a="1"/>
  <c r="D2028" i="383" s="1"/>
  <c r="D2027" i="383" a="1"/>
  <c r="D2027" i="383" s="1"/>
  <c r="D2026" i="383" a="1"/>
  <c r="D2026" i="383" s="1"/>
  <c r="D2025" i="383" a="1"/>
  <c r="D2025" i="383" s="1"/>
  <c r="D2024" i="383" a="1"/>
  <c r="D2024" i="383" s="1"/>
  <c r="D2023" i="383" a="1"/>
  <c r="D2023" i="383" s="1"/>
  <c r="D2022" i="383" a="1"/>
  <c r="D2022" i="383" s="1"/>
  <c r="D2021" i="383" a="1"/>
  <c r="D2021" i="383" s="1"/>
  <c r="D2020" i="383" a="1"/>
  <c r="D2020" i="383" s="1"/>
  <c r="D2019" i="383" a="1"/>
  <c r="D2019" i="383" s="1"/>
  <c r="D2018" i="383" a="1"/>
  <c r="D2018" i="383" s="1"/>
  <c r="D2017" i="383" a="1"/>
  <c r="D2017" i="383" s="1"/>
  <c r="D2016" i="383" a="1"/>
  <c r="D2016" i="383" s="1"/>
  <c r="D2015" i="383" a="1"/>
  <c r="D2015" i="383" s="1"/>
  <c r="D2014" i="383" a="1"/>
  <c r="D2014" i="383" s="1"/>
  <c r="D2013" i="383" a="1"/>
  <c r="D2013" i="383" s="1"/>
  <c r="D2012" i="383" a="1"/>
  <c r="D2012" i="383" s="1"/>
  <c r="D2011" i="383" a="1"/>
  <c r="D2011" i="383" s="1"/>
  <c r="D2010" i="383" a="1"/>
  <c r="D2010" i="383" s="1"/>
  <c r="D2009" i="383" a="1"/>
  <c r="D2009" i="383" s="1"/>
  <c r="D2008" i="383" a="1"/>
  <c r="D2008" i="383" s="1"/>
  <c r="D2007" i="383" a="1"/>
  <c r="D2007" i="383" s="1"/>
  <c r="D2006" i="383" a="1"/>
  <c r="D2006" i="383" s="1"/>
  <c r="D2005" i="383" a="1"/>
  <c r="D2005" i="383" s="1"/>
  <c r="D2004" i="383" a="1"/>
  <c r="D2004" i="383" s="1"/>
  <c r="D2003" i="383" a="1"/>
  <c r="D2003" i="383" s="1"/>
  <c r="D2002" i="383" a="1"/>
  <c r="D2002" i="383" s="1"/>
  <c r="D2001" i="383" a="1"/>
  <c r="D2001" i="383" s="1"/>
  <c r="D2000" i="383" a="1"/>
  <c r="D2000" i="383" s="1"/>
  <c r="D1999" i="383" a="1"/>
  <c r="D1999" i="383" s="1"/>
  <c r="D1998" i="383" a="1"/>
  <c r="D1998" i="383" s="1"/>
  <c r="D1997" i="383" a="1"/>
  <c r="D1997" i="383" s="1"/>
  <c r="D1996" i="383" a="1"/>
  <c r="D1996" i="383" s="1"/>
  <c r="D1995" i="383" a="1"/>
  <c r="D1995" i="383" s="1"/>
  <c r="D1994" i="383" a="1"/>
  <c r="D1994" i="383" s="1"/>
  <c r="D1993" i="383" a="1"/>
  <c r="D1993" i="383" s="1"/>
  <c r="D1992" i="383" a="1"/>
  <c r="D1992" i="383" s="1"/>
  <c r="D1991" i="383" a="1"/>
  <c r="D1991" i="383" s="1"/>
  <c r="D1990" i="383" a="1"/>
  <c r="D1990" i="383" s="1"/>
  <c r="D1989" i="383" a="1"/>
  <c r="D1989" i="383" s="1"/>
  <c r="D1988" i="383" a="1"/>
  <c r="D1988" i="383" s="1"/>
  <c r="D1987" i="383" a="1"/>
  <c r="D1987" i="383" s="1"/>
  <c r="D1986" i="383" a="1"/>
  <c r="D1986" i="383" s="1"/>
  <c r="D1985" i="383" a="1"/>
  <c r="D1985" i="383" s="1"/>
  <c r="D1984" i="383" a="1"/>
  <c r="D1984" i="383" s="1"/>
  <c r="D1983" i="383" a="1"/>
  <c r="D1983" i="383" s="1"/>
  <c r="D1982" i="383" a="1"/>
  <c r="D1982" i="383" s="1"/>
  <c r="D1981" i="383" a="1"/>
  <c r="D1981" i="383" s="1"/>
  <c r="D1980" i="383" a="1"/>
  <c r="D1980" i="383" s="1"/>
  <c r="D1979" i="383" a="1"/>
  <c r="D1979" i="383" s="1"/>
  <c r="D1978" i="383" a="1"/>
  <c r="D1978" i="383" s="1"/>
  <c r="D1977" i="383" a="1"/>
  <c r="D1977" i="383" s="1"/>
  <c r="D1976" i="383" a="1"/>
  <c r="D1976" i="383" s="1"/>
  <c r="D1975" i="383" a="1"/>
  <c r="D1975" i="383" s="1"/>
  <c r="D1974" i="383" a="1"/>
  <c r="D1974" i="383" s="1"/>
  <c r="D1973" i="383" a="1"/>
  <c r="D1973" i="383" s="1"/>
  <c r="D1972" i="383" a="1"/>
  <c r="D1972" i="383" s="1"/>
  <c r="D1971" i="383" a="1"/>
  <c r="D1971" i="383" s="1"/>
  <c r="D1970" i="383" a="1"/>
  <c r="D1970" i="383" s="1"/>
  <c r="D1969" i="383" a="1"/>
  <c r="D1969" i="383" s="1"/>
  <c r="D1968" i="383" a="1"/>
  <c r="D1968" i="383" s="1"/>
  <c r="D1967" i="383" a="1"/>
  <c r="D1967" i="383" s="1"/>
  <c r="D1966" i="383" a="1"/>
  <c r="D1966" i="383" s="1"/>
  <c r="D1965" i="383" a="1"/>
  <c r="D1965" i="383" s="1"/>
  <c r="D1964" i="383" a="1"/>
  <c r="D1964" i="383" s="1"/>
  <c r="D1963" i="383" a="1"/>
  <c r="D1963" i="383" s="1"/>
  <c r="D1962" i="383" a="1"/>
  <c r="D1962" i="383" s="1"/>
  <c r="D1961" i="383" a="1"/>
  <c r="D1961" i="383" s="1"/>
  <c r="D1960" i="383" a="1"/>
  <c r="D1960" i="383" s="1"/>
  <c r="D1959" i="383" a="1"/>
  <c r="D1959" i="383" s="1"/>
  <c r="D1958" i="383" a="1"/>
  <c r="D1958" i="383" s="1"/>
  <c r="D1957" i="383" a="1"/>
  <c r="D1957" i="383" s="1"/>
  <c r="D1956" i="383" a="1"/>
  <c r="D1956" i="383" s="1"/>
  <c r="D1955" i="383" a="1"/>
  <c r="D1955" i="383" s="1"/>
  <c r="D1954" i="383" a="1"/>
  <c r="D1954" i="383" s="1"/>
  <c r="D1953" i="383" a="1"/>
  <c r="D1953" i="383" s="1"/>
  <c r="D1952" i="383" a="1"/>
  <c r="D1952" i="383" s="1"/>
  <c r="D1951" i="383" a="1"/>
  <c r="D1951" i="383" s="1"/>
  <c r="D1950" i="383" a="1"/>
  <c r="D1950" i="383" s="1"/>
  <c r="D1949" i="383" a="1"/>
  <c r="D1949" i="383" s="1"/>
  <c r="D1948" i="383" a="1"/>
  <c r="D1948" i="383" s="1"/>
  <c r="D1947" i="383" a="1"/>
  <c r="D1947" i="383" s="1"/>
  <c r="D1946" i="383" a="1"/>
  <c r="D1946" i="383" s="1"/>
  <c r="D1945" i="383" a="1"/>
  <c r="D1945" i="383" s="1"/>
  <c r="D1944" i="383" a="1"/>
  <c r="D1944" i="383" s="1"/>
  <c r="D1943" i="383" a="1"/>
  <c r="D1943" i="383" s="1"/>
  <c r="D1942" i="383" a="1"/>
  <c r="D1942" i="383" s="1"/>
  <c r="D1941" i="383" a="1"/>
  <c r="D1941" i="383" s="1"/>
  <c r="D1940" i="383" a="1"/>
  <c r="D1940" i="383" s="1"/>
  <c r="D1939" i="383" a="1"/>
  <c r="D1939" i="383" s="1"/>
  <c r="D1938" i="383" a="1"/>
  <c r="D1938" i="383" s="1"/>
  <c r="D1937" i="383" a="1"/>
  <c r="D1937" i="383" s="1"/>
  <c r="D1936" i="383" a="1"/>
  <c r="D1936" i="383" s="1"/>
  <c r="D1935" i="383" a="1"/>
  <c r="D1935" i="383" s="1"/>
  <c r="D1934" i="383" a="1"/>
  <c r="D1934" i="383" s="1"/>
  <c r="D1933" i="383" a="1"/>
  <c r="D1933" i="383" s="1"/>
  <c r="D1932" i="383" a="1"/>
  <c r="D1932" i="383" s="1"/>
  <c r="D1931" i="383" a="1"/>
  <c r="D1931" i="383" s="1"/>
  <c r="D1930" i="383" a="1"/>
  <c r="D1930" i="383" s="1"/>
  <c r="D1929" i="383" a="1"/>
  <c r="D1929" i="383" s="1"/>
  <c r="D1928" i="383" a="1"/>
  <c r="D1928" i="383" s="1"/>
  <c r="D1927" i="383" a="1"/>
  <c r="D1927" i="383" s="1"/>
  <c r="D1926" i="383" a="1"/>
  <c r="D1926" i="383" s="1"/>
  <c r="D1925" i="383" a="1"/>
  <c r="D1925" i="383" s="1"/>
  <c r="D1924" i="383" a="1"/>
  <c r="D1924" i="383" s="1"/>
  <c r="D1923" i="383" a="1"/>
  <c r="D1923" i="383" s="1"/>
  <c r="D1922" i="383" a="1"/>
  <c r="D1922" i="383" s="1"/>
  <c r="D1921" i="383" a="1"/>
  <c r="D1921" i="383" s="1"/>
  <c r="D1920" i="383" a="1"/>
  <c r="D1920" i="383" s="1"/>
  <c r="D1919" i="383" a="1"/>
  <c r="D1919" i="383" s="1"/>
  <c r="D1918" i="383" a="1"/>
  <c r="D1918" i="383" s="1"/>
  <c r="D1917" i="383" a="1"/>
  <c r="D1917" i="383" s="1"/>
  <c r="D1916" i="383" a="1"/>
  <c r="D1916" i="383" s="1"/>
  <c r="D1915" i="383" a="1"/>
  <c r="D1915" i="383" s="1"/>
  <c r="D1914" i="383" a="1"/>
  <c r="D1914" i="383" s="1"/>
  <c r="D1913" i="383" a="1"/>
  <c r="D1913" i="383" s="1"/>
  <c r="D1912" i="383" a="1"/>
  <c r="D1912" i="383" s="1"/>
  <c r="D1911" i="383" a="1"/>
  <c r="D1911" i="383" s="1"/>
  <c r="D1910" i="383" a="1"/>
  <c r="D1910" i="383" s="1"/>
  <c r="D1909" i="383" a="1"/>
  <c r="D1909" i="383" s="1"/>
  <c r="D1908" i="383" a="1"/>
  <c r="D1908" i="383" s="1"/>
  <c r="D1907" i="383" a="1"/>
  <c r="D1907" i="383" s="1"/>
  <c r="D1906" i="383" a="1"/>
  <c r="D1906" i="383" s="1"/>
  <c r="D1905" i="383" a="1"/>
  <c r="D1905" i="383" s="1"/>
  <c r="D1904" i="383" a="1"/>
  <c r="D1904" i="383" s="1"/>
  <c r="D1903" i="383" a="1"/>
  <c r="D1903" i="383" s="1"/>
  <c r="D1902" i="383" a="1"/>
  <c r="D1902" i="383" s="1"/>
  <c r="D1901" i="383" a="1"/>
  <c r="D1901" i="383" s="1"/>
  <c r="D1900" i="383" a="1"/>
  <c r="D1900" i="383" s="1"/>
  <c r="D1899" i="383" a="1"/>
  <c r="D1899" i="383" s="1"/>
  <c r="D1898" i="383" a="1"/>
  <c r="D1898" i="383" s="1"/>
  <c r="D1897" i="383" a="1"/>
  <c r="D1897" i="383" s="1"/>
  <c r="D1896" i="383" a="1"/>
  <c r="D1896" i="383" s="1"/>
  <c r="D1895" i="383" a="1"/>
  <c r="D1895" i="383" s="1"/>
  <c r="D1894" i="383" a="1"/>
  <c r="D1894" i="383" s="1"/>
  <c r="D1893" i="383" a="1"/>
  <c r="D1893" i="383" s="1"/>
  <c r="D1892" i="383" a="1"/>
  <c r="D1892" i="383" s="1"/>
  <c r="D1891" i="383" a="1"/>
  <c r="D1891" i="383" s="1"/>
  <c r="D1890" i="383" a="1"/>
  <c r="D1890" i="383" s="1"/>
  <c r="D1889" i="383" a="1"/>
  <c r="D1889" i="383" s="1"/>
  <c r="D1888" i="383" a="1"/>
  <c r="D1888" i="383" s="1"/>
  <c r="D1887" i="383" a="1"/>
  <c r="D1887" i="383" s="1"/>
  <c r="D1886" i="383" a="1"/>
  <c r="D1886" i="383" s="1"/>
  <c r="D1885" i="383" a="1"/>
  <c r="D1885" i="383" s="1"/>
  <c r="D1884" i="383" a="1"/>
  <c r="D1884" i="383" s="1"/>
  <c r="D1883" i="383" a="1"/>
  <c r="D1883" i="383" s="1"/>
  <c r="D1882" i="383" a="1"/>
  <c r="D1882" i="383" s="1"/>
  <c r="D1881" i="383" a="1"/>
  <c r="D1881" i="383" s="1"/>
  <c r="D1880" i="383" a="1"/>
  <c r="D1880" i="383" s="1"/>
  <c r="D1879" i="383" a="1"/>
  <c r="D1879" i="383" s="1"/>
  <c r="D1878" i="383" a="1"/>
  <c r="D1878" i="383" s="1"/>
  <c r="D1877" i="383" a="1"/>
  <c r="D1877" i="383" s="1"/>
  <c r="D1876" i="383" a="1"/>
  <c r="D1876" i="383" s="1"/>
  <c r="D1875" i="383" a="1"/>
  <c r="D1875" i="383" s="1"/>
  <c r="D1874" i="383" a="1"/>
  <c r="D1874" i="383" s="1"/>
  <c r="D1873" i="383" a="1"/>
  <c r="D1873" i="383" s="1"/>
  <c r="D1872" i="383" a="1"/>
  <c r="D1872" i="383" s="1"/>
  <c r="D1871" i="383" a="1"/>
  <c r="D1871" i="383" s="1"/>
  <c r="D1870" i="383" a="1"/>
  <c r="D1870" i="383" s="1"/>
  <c r="D1869" i="383" a="1"/>
  <c r="D1869" i="383" s="1"/>
  <c r="D1868" i="383" a="1"/>
  <c r="D1868" i="383" s="1"/>
  <c r="D1867" i="383" a="1"/>
  <c r="D1867" i="383" s="1"/>
  <c r="D1866" i="383" a="1"/>
  <c r="D1866" i="383" s="1"/>
  <c r="D1865" i="383" a="1"/>
  <c r="D1865" i="383" s="1"/>
  <c r="D1864" i="383" a="1"/>
  <c r="D1864" i="383" s="1"/>
  <c r="D1863" i="383" a="1"/>
  <c r="D1863" i="383" s="1"/>
  <c r="D1862" i="383" a="1"/>
  <c r="D1862" i="383" s="1"/>
  <c r="D1861" i="383" a="1"/>
  <c r="D1861" i="383" s="1"/>
  <c r="D1860" i="383" a="1"/>
  <c r="D1860" i="383" s="1"/>
  <c r="D1859" i="383" a="1"/>
  <c r="D1859" i="383" s="1"/>
  <c r="D1858" i="383" a="1"/>
  <c r="D1858" i="383"/>
  <c r="D1857" i="383" a="1"/>
  <c r="D1857" i="383" s="1"/>
  <c r="D1856" i="383" a="1"/>
  <c r="D1856" i="383" s="1"/>
  <c r="D1855" i="383" a="1"/>
  <c r="D1855" i="383" s="1"/>
  <c r="D1854" i="383" a="1"/>
  <c r="D1854" i="383" s="1"/>
  <c r="D1853" i="383" a="1"/>
  <c r="D1853" i="383" s="1"/>
  <c r="D1852" i="383" a="1"/>
  <c r="D1852" i="383" s="1"/>
  <c r="D1851" i="383" a="1"/>
  <c r="D1851" i="383" s="1"/>
  <c r="D1850" i="383" a="1"/>
  <c r="D1850" i="383" s="1"/>
  <c r="D1849" i="383" a="1"/>
  <c r="D1849" i="383" s="1"/>
  <c r="D1848" i="383" a="1"/>
  <c r="D1848" i="383" s="1"/>
  <c r="D1847" i="383" a="1"/>
  <c r="D1847" i="383" s="1"/>
  <c r="D1846" i="383" a="1"/>
  <c r="D1846" i="383" s="1"/>
  <c r="D1845" i="383" a="1"/>
  <c r="D1845" i="383" s="1"/>
  <c r="D1844" i="383" a="1"/>
  <c r="D1844" i="383" s="1"/>
  <c r="D1843" i="383" a="1"/>
  <c r="D1843" i="383" s="1"/>
  <c r="D1842" i="383" a="1"/>
  <c r="D1842" i="383" s="1"/>
  <c r="D1841" i="383" a="1"/>
  <c r="D1841" i="383" s="1"/>
  <c r="D1840" i="383" a="1"/>
  <c r="D1840" i="383" s="1"/>
  <c r="D1839" i="383" a="1"/>
  <c r="D1839" i="383" s="1"/>
  <c r="D1838" i="383" a="1"/>
  <c r="D1838" i="383" s="1"/>
  <c r="D1837" i="383" a="1"/>
  <c r="D1837" i="383" s="1"/>
  <c r="D1836" i="383" a="1"/>
  <c r="D1836" i="383" s="1"/>
  <c r="D1835" i="383" a="1"/>
  <c r="D1835" i="383" s="1"/>
  <c r="D1834" i="383" a="1"/>
  <c r="D1834" i="383" s="1"/>
  <c r="D1833" i="383" a="1"/>
  <c r="D1833" i="383" s="1"/>
  <c r="D1832" i="383" a="1"/>
  <c r="D1832" i="383" s="1"/>
  <c r="D1831" i="383" a="1"/>
  <c r="D1831" i="383" s="1"/>
  <c r="D1830" i="383" a="1"/>
  <c r="D1830" i="383" s="1"/>
  <c r="D1829" i="383" a="1"/>
  <c r="D1829" i="383" s="1"/>
  <c r="D1828" i="383" a="1"/>
  <c r="D1828" i="383" s="1"/>
  <c r="D1827" i="383" a="1"/>
  <c r="D1827" i="383" s="1"/>
  <c r="D1826" i="383" a="1"/>
  <c r="D1826" i="383" s="1"/>
  <c r="D1825" i="383" a="1"/>
  <c r="D1825" i="383" s="1"/>
  <c r="D1824" i="383" a="1"/>
  <c r="D1824" i="383" s="1"/>
  <c r="D1823" i="383" a="1"/>
  <c r="D1823" i="383" s="1"/>
  <c r="D1822" i="383" a="1"/>
  <c r="D1822" i="383" s="1"/>
  <c r="D1821" i="383" a="1"/>
  <c r="D1821" i="383" s="1"/>
  <c r="D1820" i="383" a="1"/>
  <c r="D1820" i="383" s="1"/>
  <c r="D1819" i="383" a="1"/>
  <c r="D1819" i="383" s="1"/>
  <c r="D1818" i="383" a="1"/>
  <c r="D1818" i="383" s="1"/>
  <c r="D1817" i="383" a="1"/>
  <c r="D1817" i="383" s="1"/>
  <c r="D1816" i="383" a="1"/>
  <c r="D1816" i="383" s="1"/>
  <c r="D1815" i="383" a="1"/>
  <c r="D1815" i="383" s="1"/>
  <c r="D1814" i="383" a="1"/>
  <c r="D1814" i="383" s="1"/>
  <c r="D1813" i="383" a="1"/>
  <c r="D1813" i="383" s="1"/>
  <c r="D1812" i="383" a="1"/>
  <c r="D1812" i="383" s="1"/>
  <c r="D1811" i="383" a="1"/>
  <c r="D1811" i="383" s="1"/>
  <c r="D1810" i="383" a="1"/>
  <c r="D1810" i="383" s="1"/>
  <c r="D1809" i="383" a="1"/>
  <c r="D1809" i="383" s="1"/>
  <c r="D1808" i="383" a="1"/>
  <c r="D1808" i="383" s="1"/>
  <c r="D1807" i="383" a="1"/>
  <c r="D1807" i="383" s="1"/>
  <c r="D1806" i="383" a="1"/>
  <c r="D1806" i="383" s="1"/>
  <c r="D1805" i="383" a="1"/>
  <c r="D1805" i="383" s="1"/>
  <c r="D1804" i="383" a="1"/>
  <c r="D1804" i="383" s="1"/>
  <c r="D1803" i="383" a="1"/>
  <c r="D1803" i="383" s="1"/>
  <c r="D1802" i="383" a="1"/>
  <c r="D1802" i="383" s="1"/>
  <c r="D1801" i="383" a="1"/>
  <c r="D1801" i="383" s="1"/>
  <c r="D1800" i="383" a="1"/>
  <c r="D1800" i="383" s="1"/>
  <c r="D1799" i="383" a="1"/>
  <c r="D1799" i="383" s="1"/>
  <c r="D1798" i="383" a="1"/>
  <c r="D1798" i="383" s="1"/>
  <c r="D1797" i="383" a="1"/>
  <c r="D1797" i="383" s="1"/>
  <c r="D1796" i="383" a="1"/>
  <c r="D1796" i="383" s="1"/>
  <c r="D1795" i="383" a="1"/>
  <c r="D1795" i="383" s="1"/>
  <c r="D1794" i="383" a="1"/>
  <c r="D1794" i="383" s="1"/>
  <c r="D1793" i="383" a="1"/>
  <c r="D1793" i="383" s="1"/>
  <c r="D1792" i="383" a="1"/>
  <c r="D1792" i="383" s="1"/>
  <c r="D1791" i="383" a="1"/>
  <c r="D1791" i="383" s="1"/>
  <c r="D1790" i="383" a="1"/>
  <c r="D1790" i="383" s="1"/>
  <c r="D1789" i="383" a="1"/>
  <c r="D1789" i="383" s="1"/>
  <c r="D1788" i="383" a="1"/>
  <c r="D1788" i="383" s="1"/>
  <c r="D1787" i="383" a="1"/>
  <c r="D1787" i="383" s="1"/>
  <c r="D1786" i="383" a="1"/>
  <c r="D1786" i="383" s="1"/>
  <c r="D1785" i="383" a="1"/>
  <c r="D1785" i="383" s="1"/>
  <c r="D1784" i="383" a="1"/>
  <c r="D1784" i="383" s="1"/>
  <c r="D1783" i="383" a="1"/>
  <c r="D1783" i="383" s="1"/>
  <c r="D1782" i="383" a="1"/>
  <c r="D1782" i="383" s="1"/>
  <c r="D1781" i="383" a="1"/>
  <c r="D1781" i="383" s="1"/>
  <c r="D1780" i="383" a="1"/>
  <c r="D1780" i="383" s="1"/>
  <c r="D1779" i="383" a="1"/>
  <c r="D1779" i="383" s="1"/>
  <c r="D1778" i="383" a="1"/>
  <c r="D1778" i="383" s="1"/>
  <c r="D1777" i="383" a="1"/>
  <c r="D1777" i="383" s="1"/>
  <c r="D1776" i="383" a="1"/>
  <c r="D1776" i="383" s="1"/>
  <c r="D1775" i="383" a="1"/>
  <c r="D1775" i="383" s="1"/>
  <c r="D1774" i="383" a="1"/>
  <c r="D1774" i="383" s="1"/>
  <c r="D1773" i="383" a="1"/>
  <c r="D1773" i="383" s="1"/>
  <c r="D1772" i="383" a="1"/>
  <c r="D1772" i="383" s="1"/>
  <c r="D1771" i="383" a="1"/>
  <c r="D1771" i="383" s="1"/>
  <c r="D1770" i="383" a="1"/>
  <c r="D1770" i="383" s="1"/>
  <c r="D1769" i="383" a="1"/>
  <c r="D1769" i="383" s="1"/>
  <c r="D1768" i="383" a="1"/>
  <c r="D1768" i="383" s="1"/>
  <c r="D1767" i="383" a="1"/>
  <c r="D1767" i="383" s="1"/>
  <c r="D1766" i="383" a="1"/>
  <c r="D1766" i="383" s="1"/>
  <c r="D1765" i="383" a="1"/>
  <c r="D1765" i="383" s="1"/>
  <c r="D1764" i="383" a="1"/>
  <c r="D1764" i="383" s="1"/>
  <c r="D1763" i="383" a="1"/>
  <c r="D1763" i="383" s="1"/>
  <c r="D1762" i="383" a="1"/>
  <c r="D1762" i="383" s="1"/>
  <c r="D1761" i="383" a="1"/>
  <c r="D1761" i="383" s="1"/>
  <c r="D1760" i="383" a="1"/>
  <c r="D1760" i="383" s="1"/>
  <c r="D1759" i="383" a="1"/>
  <c r="D1759" i="383" s="1"/>
  <c r="D1758" i="383" a="1"/>
  <c r="D1758" i="383" s="1"/>
  <c r="D1757" i="383" a="1"/>
  <c r="D1757" i="383" s="1"/>
  <c r="D1756" i="383" a="1"/>
  <c r="D1756" i="383" s="1"/>
  <c r="D1755" i="383" a="1"/>
  <c r="D1755" i="383" s="1"/>
  <c r="D1754" i="383" a="1"/>
  <c r="D1754" i="383" s="1"/>
  <c r="D1753" i="383" a="1"/>
  <c r="D1753" i="383" s="1"/>
  <c r="D1752" i="383" a="1"/>
  <c r="D1752" i="383" s="1"/>
  <c r="D1751" i="383" a="1"/>
  <c r="D1751" i="383" s="1"/>
  <c r="D1750" i="383" a="1"/>
  <c r="D1750" i="383" s="1"/>
  <c r="D1749" i="383" a="1"/>
  <c r="D1749" i="383" s="1"/>
  <c r="D1748" i="383" a="1"/>
  <c r="D1748" i="383" s="1"/>
  <c r="D1747" i="383" a="1"/>
  <c r="D1747" i="383" s="1"/>
  <c r="D1746" i="383" a="1"/>
  <c r="D1746" i="383" s="1"/>
  <c r="D1745" i="383" a="1"/>
  <c r="D1745" i="383" s="1"/>
  <c r="D1744" i="383" a="1"/>
  <c r="D1744" i="383" s="1"/>
  <c r="D1743" i="383" a="1"/>
  <c r="D1743" i="383" s="1"/>
  <c r="D1742" i="383" a="1"/>
  <c r="D1742" i="383" s="1"/>
  <c r="D1741" i="383" a="1"/>
  <c r="D1741" i="383" s="1"/>
  <c r="D1740" i="383" a="1"/>
  <c r="D1740" i="383" s="1"/>
  <c r="D1739" i="383" a="1"/>
  <c r="D1739" i="383" s="1"/>
  <c r="D1738" i="383" a="1"/>
  <c r="D1738" i="383" s="1"/>
  <c r="D1737" i="383" a="1"/>
  <c r="D1737" i="383" s="1"/>
  <c r="D1736" i="383" a="1"/>
  <c r="D1736" i="383" s="1"/>
  <c r="D1735" i="383" a="1"/>
  <c r="D1735" i="383" s="1"/>
  <c r="D1734" i="383" a="1"/>
  <c r="D1734" i="383" s="1"/>
  <c r="D1733" i="383" a="1"/>
  <c r="D1733" i="383" s="1"/>
  <c r="D1732" i="383" a="1"/>
  <c r="D1732" i="383" s="1"/>
  <c r="D1731" i="383" a="1"/>
  <c r="D1731" i="383" s="1"/>
  <c r="D1730" i="383" a="1"/>
  <c r="D1730" i="383" s="1"/>
  <c r="D1729" i="383" a="1"/>
  <c r="D1729" i="383" s="1"/>
  <c r="D1728" i="383" a="1"/>
  <c r="D1728" i="383" s="1"/>
  <c r="D1727" i="383" a="1"/>
  <c r="D1727" i="383" s="1"/>
  <c r="D1726" i="383" a="1"/>
  <c r="D1726" i="383" s="1"/>
  <c r="D1725" i="383" a="1"/>
  <c r="D1725" i="383" s="1"/>
  <c r="D1724" i="383" a="1"/>
  <c r="D1724" i="383" s="1"/>
  <c r="D1723" i="383" a="1"/>
  <c r="D1723" i="383" s="1"/>
  <c r="D1722" i="383" a="1"/>
  <c r="D1722" i="383" s="1"/>
  <c r="D1721" i="383" a="1"/>
  <c r="D1721" i="383" s="1"/>
  <c r="D1720" i="383" a="1"/>
  <c r="D1720" i="383" s="1"/>
  <c r="D1719" i="383" a="1"/>
  <c r="D1719" i="383" s="1"/>
  <c r="D1718" i="383" a="1"/>
  <c r="D1718" i="383" s="1"/>
  <c r="D1717" i="383" a="1"/>
  <c r="D1717" i="383" s="1"/>
  <c r="D1716" i="383" a="1"/>
  <c r="D1716" i="383" s="1"/>
  <c r="D1715" i="383" a="1"/>
  <c r="D1715" i="383" s="1"/>
  <c r="D1714" i="383" a="1"/>
  <c r="D1714" i="383" s="1"/>
  <c r="D1713" i="383" a="1"/>
  <c r="D1713" i="383" s="1"/>
  <c r="D1712" i="383" a="1"/>
  <c r="D1712" i="383" s="1"/>
  <c r="D1711" i="383" a="1"/>
  <c r="D1711" i="383" s="1"/>
  <c r="D1710" i="383" a="1"/>
  <c r="D1710" i="383" s="1"/>
  <c r="D1709" i="383" a="1"/>
  <c r="D1709" i="383" s="1"/>
  <c r="D1708" i="383" a="1"/>
  <c r="D1708" i="383" s="1"/>
  <c r="D1707" i="383" a="1"/>
  <c r="D1707" i="383" s="1"/>
  <c r="D1706" i="383" a="1"/>
  <c r="D1706" i="383" s="1"/>
  <c r="D1705" i="383" a="1"/>
  <c r="D1705" i="383" s="1"/>
  <c r="D1704" i="383" a="1"/>
  <c r="D1704" i="383" s="1"/>
  <c r="D1703" i="383" a="1"/>
  <c r="D1703" i="383" s="1"/>
  <c r="D1702" i="383" a="1"/>
  <c r="D1702" i="383" s="1"/>
  <c r="D1701" i="383" a="1"/>
  <c r="D1701" i="383" s="1"/>
  <c r="D1700" i="383" a="1"/>
  <c r="D1700" i="383" s="1"/>
  <c r="D1699" i="383" a="1"/>
  <c r="D1699" i="383" s="1"/>
  <c r="D1698" i="383" a="1"/>
  <c r="D1698" i="383" s="1"/>
  <c r="D1697" i="383" a="1"/>
  <c r="D1697" i="383" s="1"/>
  <c r="D1696" i="383" a="1"/>
  <c r="D1696" i="383" s="1"/>
  <c r="D1695" i="383" a="1"/>
  <c r="D1695" i="383" s="1"/>
  <c r="D1694" i="383" a="1"/>
  <c r="D1694" i="383" s="1"/>
  <c r="D1693" i="383" a="1"/>
  <c r="D1693" i="383" s="1"/>
  <c r="D1692" i="383" a="1"/>
  <c r="D1692" i="383" s="1"/>
  <c r="D1691" i="383" a="1"/>
  <c r="D1691" i="383" s="1"/>
  <c r="D1690" i="383" a="1"/>
  <c r="D1690" i="383" s="1"/>
  <c r="D1689" i="383" a="1"/>
  <c r="D1689" i="383" s="1"/>
  <c r="D1688" i="383" a="1"/>
  <c r="D1688" i="383" s="1"/>
  <c r="D1687" i="383" a="1"/>
  <c r="D1687" i="383" s="1"/>
  <c r="D1686" i="383" a="1"/>
  <c r="D1686" i="383" s="1"/>
  <c r="D1685" i="383" a="1"/>
  <c r="D1685" i="383" s="1"/>
  <c r="D1684" i="383" a="1"/>
  <c r="D1684" i="383" s="1"/>
  <c r="D1683" i="383" a="1"/>
  <c r="D1683" i="383" s="1"/>
  <c r="D1682" i="383" a="1"/>
  <c r="D1682" i="383" s="1"/>
  <c r="D1681" i="383" a="1"/>
  <c r="D1681" i="383" s="1"/>
  <c r="D1680" i="383" a="1"/>
  <c r="D1680" i="383"/>
  <c r="D1679" i="383" a="1"/>
  <c r="D1679" i="383" s="1"/>
  <c r="D1678" i="383" a="1"/>
  <c r="D1678" i="383" s="1"/>
  <c r="D1677" i="383" a="1"/>
  <c r="D1677" i="383" s="1"/>
  <c r="D1676" i="383" a="1"/>
  <c r="D1676" i="383" s="1"/>
  <c r="D1675" i="383" a="1"/>
  <c r="D1675" i="383" s="1"/>
  <c r="D1674" i="383" a="1"/>
  <c r="D1674" i="383" s="1"/>
  <c r="D1673" i="383" a="1"/>
  <c r="D1673" i="383" s="1"/>
  <c r="D1672" i="383" a="1"/>
  <c r="D1672" i="383" s="1"/>
  <c r="D1671" i="383" a="1"/>
  <c r="D1671" i="383" s="1"/>
  <c r="D1670" i="383" a="1"/>
  <c r="D1670" i="383" s="1"/>
  <c r="D1669" i="383" a="1"/>
  <c r="D1669" i="383" s="1"/>
  <c r="D1668" i="383" a="1"/>
  <c r="D1668" i="383" s="1"/>
  <c r="D1667" i="383" a="1"/>
  <c r="D1667" i="383" s="1"/>
  <c r="D1666" i="383" a="1"/>
  <c r="D1666" i="383" s="1"/>
  <c r="D1665" i="383" a="1"/>
  <c r="D1665" i="383" s="1"/>
  <c r="D1664" i="383" a="1"/>
  <c r="D1664" i="383" s="1"/>
  <c r="D1663" i="383" a="1"/>
  <c r="D1663" i="383" s="1"/>
  <c r="D1662" i="383" a="1"/>
  <c r="D1662" i="383" s="1"/>
  <c r="D1661" i="383" a="1"/>
  <c r="D1661" i="383" s="1"/>
  <c r="D1660" i="383" a="1"/>
  <c r="D1660" i="383" s="1"/>
  <c r="D1659" i="383" a="1"/>
  <c r="D1659" i="383" s="1"/>
  <c r="D1658" i="383" a="1"/>
  <c r="D1658" i="383" s="1"/>
  <c r="D1657" i="383" a="1"/>
  <c r="D1657" i="383" s="1"/>
  <c r="D1656" i="383" a="1"/>
  <c r="D1656" i="383" s="1"/>
  <c r="D1655" i="383" a="1"/>
  <c r="D1655" i="383" s="1"/>
  <c r="D1654" i="383" a="1"/>
  <c r="D1654" i="383" s="1"/>
  <c r="D1653" i="383" a="1"/>
  <c r="D1653" i="383" s="1"/>
  <c r="D1652" i="383" a="1"/>
  <c r="D1652" i="383" s="1"/>
  <c r="D1651" i="383" a="1"/>
  <c r="D1651" i="383" s="1"/>
  <c r="D1650" i="383" a="1"/>
  <c r="D1650" i="383" s="1"/>
  <c r="D1649" i="383" a="1"/>
  <c r="D1649" i="383" s="1"/>
  <c r="D1648" i="383" a="1"/>
  <c r="D1648" i="383" s="1"/>
  <c r="D1647" i="383" a="1"/>
  <c r="D1647" i="383" s="1"/>
  <c r="D1646" i="383" a="1"/>
  <c r="D1646" i="383" s="1"/>
  <c r="D1645" i="383" a="1"/>
  <c r="D1645" i="383" s="1"/>
  <c r="D1644" i="383" a="1"/>
  <c r="D1644" i="383" s="1"/>
  <c r="D1643" i="383" a="1"/>
  <c r="D1643" i="383" s="1"/>
  <c r="D1642" i="383" a="1"/>
  <c r="D1642" i="383" s="1"/>
  <c r="D1641" i="383" a="1"/>
  <c r="D1641" i="383" s="1"/>
  <c r="D1640" i="383" a="1"/>
  <c r="D1640" i="383" s="1"/>
  <c r="D1639" i="383" a="1"/>
  <c r="D1639" i="383" s="1"/>
  <c r="D1638" i="383" a="1"/>
  <c r="D1638" i="383" s="1"/>
  <c r="D1637" i="383" a="1"/>
  <c r="D1637" i="383" s="1"/>
  <c r="D1636" i="383" a="1"/>
  <c r="D1636" i="383" s="1"/>
  <c r="D1635" i="383" a="1"/>
  <c r="D1635" i="383" s="1"/>
  <c r="D1634" i="383" a="1"/>
  <c r="D1634" i="383" s="1"/>
  <c r="D1633" i="383" a="1"/>
  <c r="D1633" i="383" s="1"/>
  <c r="D1632" i="383" a="1"/>
  <c r="D1632" i="383" s="1"/>
  <c r="D1631" i="383" a="1"/>
  <c r="D1631" i="383" s="1"/>
  <c r="D1630" i="383" a="1"/>
  <c r="D1630" i="383" s="1"/>
  <c r="D1629" i="383" a="1"/>
  <c r="D1629" i="383" s="1"/>
  <c r="D1628" i="383" a="1"/>
  <c r="D1628" i="383" s="1"/>
  <c r="D1627" i="383" a="1"/>
  <c r="D1627" i="383" s="1"/>
  <c r="D1626" i="383" a="1"/>
  <c r="D1626" i="383" s="1"/>
  <c r="D1625" i="383" a="1"/>
  <c r="D1625" i="383" s="1"/>
  <c r="D1624" i="383" a="1"/>
  <c r="D1624" i="383" s="1"/>
  <c r="D1623" i="383" a="1"/>
  <c r="D1623" i="383" s="1"/>
  <c r="D1622" i="383" a="1"/>
  <c r="D1622" i="383" s="1"/>
  <c r="D1621" i="383" a="1"/>
  <c r="D1621" i="383" s="1"/>
  <c r="D1620" i="383" a="1"/>
  <c r="D1620" i="383" s="1"/>
  <c r="D1619" i="383" a="1"/>
  <c r="D1619" i="383" s="1"/>
  <c r="D1618" i="383" a="1"/>
  <c r="D1618" i="383" s="1"/>
  <c r="D1617" i="383" a="1"/>
  <c r="D1617" i="383" s="1"/>
  <c r="D1616" i="383" a="1"/>
  <c r="D1616" i="383" s="1"/>
  <c r="D1615" i="383" a="1"/>
  <c r="D1615" i="383" s="1"/>
  <c r="D1614" i="383" a="1"/>
  <c r="D1614" i="383" s="1"/>
  <c r="D1613" i="383" a="1"/>
  <c r="D1613" i="383" s="1"/>
  <c r="D1612" i="383" a="1"/>
  <c r="D1612" i="383" s="1"/>
  <c r="D1611" i="383" a="1"/>
  <c r="D1611" i="383" s="1"/>
  <c r="D1610" i="383" a="1"/>
  <c r="D1610" i="383" s="1"/>
  <c r="D1609" i="383" a="1"/>
  <c r="D1609" i="383" s="1"/>
  <c r="D1608" i="383" a="1"/>
  <c r="D1608" i="383" s="1"/>
  <c r="D1607" i="383" a="1"/>
  <c r="D1607" i="383" s="1"/>
  <c r="D1606" i="383" a="1"/>
  <c r="D1606" i="383" s="1"/>
  <c r="D1605" i="383" a="1"/>
  <c r="D1605" i="383" s="1"/>
  <c r="D1604" i="383" a="1"/>
  <c r="D1604" i="383" s="1"/>
  <c r="D1603" i="383" a="1"/>
  <c r="D1603" i="383" s="1"/>
  <c r="D1602" i="383" a="1"/>
  <c r="D1602" i="383" s="1"/>
  <c r="D1601" i="383" a="1"/>
  <c r="D1601" i="383" s="1"/>
  <c r="D1600" i="383" a="1"/>
  <c r="D1600" i="383" s="1"/>
  <c r="D1599" i="383" a="1"/>
  <c r="D1599" i="383" s="1"/>
  <c r="D1598" i="383" a="1"/>
  <c r="D1598" i="383" s="1"/>
  <c r="D1597" i="383" a="1"/>
  <c r="D1597" i="383" s="1"/>
  <c r="D1596" i="383" a="1"/>
  <c r="D1596" i="383" s="1"/>
  <c r="D1595" i="383" a="1"/>
  <c r="D1595" i="383" s="1"/>
  <c r="D1594" i="383" a="1"/>
  <c r="D1594" i="383" s="1"/>
  <c r="D1593" i="383" a="1"/>
  <c r="D1593" i="383" s="1"/>
  <c r="D1592" i="383" a="1"/>
  <c r="D1592" i="383" s="1"/>
  <c r="D1591" i="383" a="1"/>
  <c r="D1591" i="383" s="1"/>
  <c r="D1590" i="383" a="1"/>
  <c r="D1590" i="383" s="1"/>
  <c r="D1589" i="383" a="1"/>
  <c r="D1589" i="383" s="1"/>
  <c r="D1588" i="383" a="1"/>
  <c r="D1588" i="383" s="1"/>
  <c r="D1587" i="383" a="1"/>
  <c r="D1587" i="383" s="1"/>
  <c r="D1586" i="383" a="1"/>
  <c r="D1586" i="383" s="1"/>
  <c r="D1585" i="383" a="1"/>
  <c r="D1585" i="383" s="1"/>
  <c r="D1584" i="383" a="1"/>
  <c r="D1584" i="383" s="1"/>
  <c r="D1583" i="383" a="1"/>
  <c r="D1583" i="383" s="1"/>
  <c r="D1582" i="383" a="1"/>
  <c r="D1582" i="383" s="1"/>
  <c r="D1581" i="383" a="1"/>
  <c r="D1581" i="383" s="1"/>
  <c r="D1580" i="383" a="1"/>
  <c r="D1580" i="383" s="1"/>
  <c r="D1579" i="383" a="1"/>
  <c r="D1579" i="383" s="1"/>
  <c r="D1578" i="383" a="1"/>
  <c r="D1578" i="383" s="1"/>
  <c r="D1577" i="383" a="1"/>
  <c r="D1577" i="383" s="1"/>
  <c r="D1576" i="383" a="1"/>
  <c r="D1576" i="383" s="1"/>
  <c r="D1575" i="383" a="1"/>
  <c r="D1575" i="383" s="1"/>
  <c r="D1574" i="383" a="1"/>
  <c r="D1574" i="383" s="1"/>
  <c r="D1573" i="383" a="1"/>
  <c r="D1573" i="383" s="1"/>
  <c r="D1572" i="383" a="1"/>
  <c r="D1572" i="383" s="1"/>
  <c r="D1571" i="383" a="1"/>
  <c r="D1571" i="383" s="1"/>
  <c r="D1570" i="383" a="1"/>
  <c r="D1570" i="383" s="1"/>
  <c r="D1569" i="383" a="1"/>
  <c r="D1569" i="383" s="1"/>
  <c r="D1568" i="383" a="1"/>
  <c r="D1568" i="383" s="1"/>
  <c r="D1567" i="383" a="1"/>
  <c r="D1567" i="383" s="1"/>
  <c r="D1566" i="383" a="1"/>
  <c r="D1566" i="383" s="1"/>
  <c r="D1565" i="383" a="1"/>
  <c r="D1565" i="383" s="1"/>
  <c r="D1564" i="383" a="1"/>
  <c r="D1564" i="383" s="1"/>
  <c r="D1563" i="383" a="1"/>
  <c r="D1563" i="383" s="1"/>
  <c r="D1562" i="383" a="1"/>
  <c r="D1562" i="383" s="1"/>
  <c r="D1561" i="383" a="1"/>
  <c r="D1561" i="383" s="1"/>
  <c r="D1560" i="383" a="1"/>
  <c r="D1560" i="383" s="1"/>
  <c r="D1559" i="383" a="1"/>
  <c r="D1559" i="383" s="1"/>
  <c r="D1558" i="383" a="1"/>
  <c r="D1558" i="383" s="1"/>
  <c r="D1557" i="383" a="1"/>
  <c r="D1557" i="383" s="1"/>
  <c r="D1556" i="383" a="1"/>
  <c r="D1556" i="383" s="1"/>
  <c r="D1555" i="383" a="1"/>
  <c r="D1555" i="383" s="1"/>
  <c r="D1554" i="383" a="1"/>
  <c r="D1554" i="383" s="1"/>
  <c r="D1553" i="383" a="1"/>
  <c r="D1553" i="383" s="1"/>
  <c r="D1552" i="383" a="1"/>
  <c r="D1552" i="383" s="1"/>
  <c r="D1551" i="383" a="1"/>
  <c r="D1551" i="383" s="1"/>
  <c r="D1550" i="383" a="1"/>
  <c r="D1550" i="383" s="1"/>
  <c r="D1549" i="383" a="1"/>
  <c r="D1549" i="383" s="1"/>
  <c r="D1548" i="383" a="1"/>
  <c r="D1548" i="383" s="1"/>
  <c r="D1547" i="383" a="1"/>
  <c r="D1547" i="383" s="1"/>
  <c r="D1546" i="383" a="1"/>
  <c r="D1546" i="383" s="1"/>
  <c r="D1545" i="383" a="1"/>
  <c r="D1545" i="383" s="1"/>
  <c r="D1544" i="383" a="1"/>
  <c r="D1544" i="383" s="1"/>
  <c r="D1543" i="383" a="1"/>
  <c r="D1543" i="383" s="1"/>
  <c r="D1542" i="383" a="1"/>
  <c r="D1542" i="383" s="1"/>
  <c r="D1541" i="383" a="1"/>
  <c r="D1541" i="383" s="1"/>
  <c r="D1540" i="383" a="1"/>
  <c r="D1540" i="383" s="1"/>
  <c r="D1539" i="383" a="1"/>
  <c r="D1539" i="383" s="1"/>
  <c r="D1538" i="383" a="1"/>
  <c r="D1538" i="383" s="1"/>
  <c r="D1537" i="383" a="1"/>
  <c r="D1537" i="383" s="1"/>
  <c r="D1536" i="383" a="1"/>
  <c r="D1536" i="383" s="1"/>
  <c r="D1535" i="383" a="1"/>
  <c r="D1535" i="383" s="1"/>
  <c r="D1534" i="383" a="1"/>
  <c r="D1534" i="383" s="1"/>
  <c r="D1533" i="383" a="1"/>
  <c r="D1533" i="383" s="1"/>
  <c r="D1532" i="383" a="1"/>
  <c r="D1532" i="383" s="1"/>
  <c r="D1531" i="383" a="1"/>
  <c r="D1531" i="383" s="1"/>
  <c r="D1530" i="383" a="1"/>
  <c r="D1530" i="383" s="1"/>
  <c r="D1529" i="383" a="1"/>
  <c r="D1529" i="383" s="1"/>
  <c r="D1528" i="383" a="1"/>
  <c r="D1528" i="383" s="1"/>
  <c r="D1527" i="383" a="1"/>
  <c r="D1527" i="383" s="1"/>
  <c r="D1526" i="383" a="1"/>
  <c r="D1526" i="383" s="1"/>
  <c r="D1525" i="383" a="1"/>
  <c r="D1525" i="383" s="1"/>
  <c r="D1524" i="383" a="1"/>
  <c r="D1524" i="383" s="1"/>
  <c r="D1523" i="383" a="1"/>
  <c r="D1523" i="383" s="1"/>
  <c r="D1522" i="383" a="1"/>
  <c r="D1522" i="383" s="1"/>
  <c r="D1521" i="383" a="1"/>
  <c r="D1521" i="383" s="1"/>
  <c r="D1520" i="383" a="1"/>
  <c r="D1520" i="383" s="1"/>
  <c r="D1519" i="383" a="1"/>
  <c r="D1519" i="383" s="1"/>
  <c r="D1518" i="383" a="1"/>
  <c r="D1518" i="383" s="1"/>
  <c r="D1517" i="383" a="1"/>
  <c r="D1517" i="383" s="1"/>
  <c r="D1516" i="383" a="1"/>
  <c r="D1516" i="383" s="1"/>
  <c r="D1515" i="383" a="1"/>
  <c r="D1515" i="383" s="1"/>
  <c r="D1514" i="383" a="1"/>
  <c r="D1514" i="383" s="1"/>
  <c r="D1513" i="383" a="1"/>
  <c r="D1513" i="383" s="1"/>
  <c r="D1512" i="383" a="1"/>
  <c r="D1512" i="383" s="1"/>
  <c r="D1511" i="383" a="1"/>
  <c r="D1511" i="383" s="1"/>
  <c r="D1510" i="383" a="1"/>
  <c r="D1510" i="383" s="1"/>
  <c r="D1509" i="383" a="1"/>
  <c r="D1509" i="383" s="1"/>
  <c r="D1508" i="383" a="1"/>
  <c r="D1508" i="383" s="1"/>
  <c r="D1507" i="383" a="1"/>
  <c r="D1507" i="383" s="1"/>
  <c r="D1506" i="383" a="1"/>
  <c r="D1506" i="383" s="1"/>
  <c r="D1505" i="383" a="1"/>
  <c r="D1505" i="383" s="1"/>
  <c r="D1504" i="383" a="1"/>
  <c r="D1504" i="383" s="1"/>
  <c r="D1503" i="383" a="1"/>
  <c r="D1503" i="383" s="1"/>
  <c r="D1502" i="383" a="1"/>
  <c r="D1502" i="383" s="1"/>
  <c r="D1501" i="383" a="1"/>
  <c r="D1501" i="383" s="1"/>
  <c r="D1500" i="383" a="1"/>
  <c r="D1500" i="383" s="1"/>
  <c r="D1499" i="383" a="1"/>
  <c r="D1499" i="383" s="1"/>
  <c r="D1498" i="383" a="1"/>
  <c r="D1498" i="383" s="1"/>
  <c r="D1497" i="383" a="1"/>
  <c r="D1497" i="383" s="1"/>
  <c r="D1496" i="383" a="1"/>
  <c r="D1496" i="383" s="1"/>
  <c r="D1495" i="383" a="1"/>
  <c r="D1495" i="383" s="1"/>
  <c r="D1494" i="383" a="1"/>
  <c r="D1494" i="383" s="1"/>
  <c r="D1493" i="383" a="1"/>
  <c r="D1493" i="383" s="1"/>
  <c r="D1492" i="383" a="1"/>
  <c r="D1492" i="383" s="1"/>
  <c r="D1491" i="383" a="1"/>
  <c r="D1491" i="383" s="1"/>
  <c r="D1490" i="383" a="1"/>
  <c r="D1490" i="383" s="1"/>
  <c r="D1489" i="383" a="1"/>
  <c r="D1489" i="383" s="1"/>
  <c r="D1488" i="383" a="1"/>
  <c r="D1488" i="383" s="1"/>
  <c r="D1487" i="383" a="1"/>
  <c r="D1487" i="383" s="1"/>
  <c r="D1486" i="383" a="1"/>
  <c r="D1486" i="383" s="1"/>
  <c r="D1485" i="383" a="1"/>
  <c r="D1485" i="383" s="1"/>
  <c r="D1484" i="383" a="1"/>
  <c r="D1484" i="383" s="1"/>
  <c r="D1483" i="383" a="1"/>
  <c r="D1483" i="383" s="1"/>
  <c r="D1482" i="383" a="1"/>
  <c r="D1482" i="383" s="1"/>
  <c r="D1481" i="383" a="1"/>
  <c r="D1481" i="383" s="1"/>
  <c r="D1480" i="383" a="1"/>
  <c r="D1480" i="383" s="1"/>
  <c r="D1479" i="383" a="1"/>
  <c r="D1479" i="383" s="1"/>
  <c r="D1478" i="383" a="1"/>
  <c r="D1478" i="383" s="1"/>
  <c r="D1477" i="383" a="1"/>
  <c r="D1477" i="383" s="1"/>
  <c r="D1476" i="383" a="1"/>
  <c r="D1476" i="383" s="1"/>
  <c r="D1475" i="383" a="1"/>
  <c r="D1475" i="383" s="1"/>
  <c r="D1474" i="383" a="1"/>
  <c r="D1474" i="383" s="1"/>
  <c r="D1473" i="383" a="1"/>
  <c r="D1473" i="383" s="1"/>
  <c r="D1472" i="383" a="1"/>
  <c r="D1472" i="383" s="1"/>
  <c r="D1471" i="383" a="1"/>
  <c r="D1471" i="383" s="1"/>
  <c r="D1470" i="383" a="1"/>
  <c r="D1470" i="383" s="1"/>
  <c r="D1469" i="383" a="1"/>
  <c r="D1469" i="383" s="1"/>
  <c r="D1468" i="383" a="1"/>
  <c r="D1468" i="383" s="1"/>
  <c r="D1467" i="383" a="1"/>
  <c r="D1467" i="383" s="1"/>
  <c r="D1466" i="383" a="1"/>
  <c r="D1466" i="383" s="1"/>
  <c r="D1465" i="383" a="1"/>
  <c r="D1465" i="383" s="1"/>
  <c r="D1464" i="383" a="1"/>
  <c r="D1464" i="383" s="1"/>
  <c r="D1463" i="383" a="1"/>
  <c r="D1463" i="383" s="1"/>
  <c r="D1462" i="383" a="1"/>
  <c r="D1462" i="383" s="1"/>
  <c r="D1461" i="383" a="1"/>
  <c r="D1461" i="383" s="1"/>
  <c r="D1460" i="383" a="1"/>
  <c r="D1460" i="383" s="1"/>
  <c r="D1459" i="383" a="1"/>
  <c r="D1459" i="383" s="1"/>
  <c r="D1458" i="383" a="1"/>
  <c r="D1458" i="383" s="1"/>
  <c r="D1457" i="383" a="1"/>
  <c r="D1457" i="383" s="1"/>
  <c r="D1456" i="383" a="1"/>
  <c r="D1456" i="383" s="1"/>
  <c r="D1455" i="383" a="1"/>
  <c r="D1455" i="383" s="1"/>
  <c r="D1454" i="383" a="1"/>
  <c r="D1454" i="383" s="1"/>
  <c r="D1453" i="383" a="1"/>
  <c r="D1453" i="383" s="1"/>
  <c r="D1452" i="383" a="1"/>
  <c r="D1452" i="383" s="1"/>
  <c r="D1451" i="383" a="1"/>
  <c r="D1451" i="383" s="1"/>
  <c r="D1450" i="383" a="1"/>
  <c r="D1450" i="383" s="1"/>
  <c r="D1449" i="383" a="1"/>
  <c r="D1449" i="383" s="1"/>
  <c r="D1448" i="383" a="1"/>
  <c r="D1448" i="383" s="1"/>
  <c r="D1447" i="383" a="1"/>
  <c r="D1447" i="383" s="1"/>
  <c r="D1446" i="383" a="1"/>
  <c r="D1446" i="383" s="1"/>
  <c r="D1445" i="383" a="1"/>
  <c r="D1445" i="383" s="1"/>
  <c r="D1444" i="383" a="1"/>
  <c r="D1444" i="383" s="1"/>
  <c r="D1443" i="383" a="1"/>
  <c r="D1443" i="383" s="1"/>
  <c r="D1442" i="383" a="1"/>
  <c r="D1442" i="383" s="1"/>
  <c r="D1441" i="383" a="1"/>
  <c r="D1441" i="383" s="1"/>
  <c r="D1440" i="383" a="1"/>
  <c r="D1440" i="383" s="1"/>
  <c r="D1439" i="383" a="1"/>
  <c r="D1439" i="383" s="1"/>
  <c r="D1438" i="383" a="1"/>
  <c r="D1438" i="383" s="1"/>
  <c r="D1437" i="383" a="1"/>
  <c r="D1437" i="383" s="1"/>
  <c r="D1436" i="383" a="1"/>
  <c r="D1436" i="383" s="1"/>
  <c r="D1435" i="383" a="1"/>
  <c r="D1435" i="383" s="1"/>
  <c r="D1434" i="383" a="1"/>
  <c r="D1434" i="383" s="1"/>
  <c r="D1433" i="383" a="1"/>
  <c r="D1433" i="383" s="1"/>
  <c r="D1432" i="383" a="1"/>
  <c r="D1432" i="383" s="1"/>
  <c r="D1431" i="383" a="1"/>
  <c r="D1431" i="383" s="1"/>
  <c r="D1430" i="383" a="1"/>
  <c r="D1430" i="383" s="1"/>
  <c r="D1429" i="383" a="1"/>
  <c r="D1429" i="383" s="1"/>
  <c r="D1428" i="383" a="1"/>
  <c r="D1428" i="383" s="1"/>
  <c r="D1427" i="383" a="1"/>
  <c r="D1427" i="383" s="1"/>
  <c r="D1426" i="383" a="1"/>
  <c r="D1426" i="383" s="1"/>
  <c r="D1425" i="383" a="1"/>
  <c r="D1425" i="383" s="1"/>
  <c r="D1424" i="383" a="1"/>
  <c r="D1424" i="383" s="1"/>
  <c r="D1423" i="383" a="1"/>
  <c r="D1423" i="383" s="1"/>
  <c r="D1422" i="383" a="1"/>
  <c r="D1422" i="383" s="1"/>
  <c r="D1421" i="383" a="1"/>
  <c r="D1421" i="383" s="1"/>
  <c r="D1420" i="383" a="1"/>
  <c r="D1420" i="383" s="1"/>
  <c r="D1419" i="383" a="1"/>
  <c r="D1419" i="383" s="1"/>
  <c r="D1418" i="383" a="1"/>
  <c r="D1418" i="383" s="1"/>
  <c r="D1417" i="383" a="1"/>
  <c r="D1417" i="383" s="1"/>
  <c r="D1416" i="383" a="1"/>
  <c r="D1416" i="383" s="1"/>
  <c r="D1415" i="383" a="1"/>
  <c r="D1415" i="383" s="1"/>
  <c r="D1414" i="383" a="1"/>
  <c r="D1414" i="383" s="1"/>
  <c r="D1413" i="383" a="1"/>
  <c r="D1413" i="383" s="1"/>
  <c r="D1412" i="383" a="1"/>
  <c r="D1412" i="383" s="1"/>
  <c r="D1411" i="383" a="1"/>
  <c r="D1411" i="383" s="1"/>
  <c r="D1410" i="383" a="1"/>
  <c r="D1410" i="383" s="1"/>
  <c r="D1409" i="383" a="1"/>
  <c r="D1409" i="383" s="1"/>
  <c r="D1408" i="383" a="1"/>
  <c r="D1408" i="383" s="1"/>
  <c r="D1407" i="383" a="1"/>
  <c r="D1407" i="383" s="1"/>
  <c r="D1406" i="383" a="1"/>
  <c r="D1406" i="383" s="1"/>
  <c r="D1405" i="383" a="1"/>
  <c r="D1405" i="383" s="1"/>
  <c r="D1404" i="383" a="1"/>
  <c r="D1404" i="383" s="1"/>
  <c r="D1403" i="383" a="1"/>
  <c r="D1403" i="383" s="1"/>
  <c r="D1402" i="383" a="1"/>
  <c r="D1402" i="383" s="1"/>
  <c r="D1401" i="383" a="1"/>
  <c r="D1401" i="383" s="1"/>
  <c r="D1400" i="383" a="1"/>
  <c r="D1400" i="383" s="1"/>
  <c r="D1399" i="383" a="1"/>
  <c r="D1399" i="383" s="1"/>
  <c r="D1398" i="383" a="1"/>
  <c r="D1398" i="383" s="1"/>
  <c r="D1397" i="383" a="1"/>
  <c r="D1397" i="383" s="1"/>
  <c r="D1396" i="383" a="1"/>
  <c r="D1396" i="383" s="1"/>
  <c r="D1395" i="383" a="1"/>
  <c r="D1395" i="383" s="1"/>
  <c r="D1394" i="383" a="1"/>
  <c r="D1394" i="383" s="1"/>
  <c r="D1393" i="383" a="1"/>
  <c r="D1393" i="383" s="1"/>
  <c r="D1392" i="383" a="1"/>
  <c r="D1392" i="383" s="1"/>
  <c r="D1391" i="383" a="1"/>
  <c r="D1391" i="383" s="1"/>
  <c r="D1390" i="383" a="1"/>
  <c r="D1390" i="383" s="1"/>
  <c r="D1389" i="383" a="1"/>
  <c r="D1389" i="383" s="1"/>
  <c r="D1388" i="383" a="1"/>
  <c r="D1388" i="383" s="1"/>
  <c r="D1387" i="383" a="1"/>
  <c r="D1387" i="383" s="1"/>
  <c r="D1386" i="383" a="1"/>
  <c r="D1386" i="383" s="1"/>
  <c r="D1385" i="383" a="1"/>
  <c r="D1385" i="383" s="1"/>
  <c r="D1384" i="383" a="1"/>
  <c r="D1384" i="383" s="1"/>
  <c r="D1383" i="383" a="1"/>
  <c r="D1383" i="383" s="1"/>
  <c r="D1382" i="383" a="1"/>
  <c r="D1382" i="383" s="1"/>
  <c r="D1381" i="383" a="1"/>
  <c r="D1381" i="383" s="1"/>
  <c r="D1380" i="383" a="1"/>
  <c r="D1380" i="383" s="1"/>
  <c r="D1379" i="383" a="1"/>
  <c r="D1379" i="383" s="1"/>
  <c r="D1378" i="383" a="1"/>
  <c r="D1378" i="383" s="1"/>
  <c r="D1377" i="383" a="1"/>
  <c r="D1377" i="383" s="1"/>
  <c r="D1376" i="383" a="1"/>
  <c r="D1376" i="383" s="1"/>
  <c r="D1375" i="383" a="1"/>
  <c r="D1375" i="383" s="1"/>
  <c r="D1374" i="383" a="1"/>
  <c r="D1374" i="383" s="1"/>
  <c r="D1373" i="383" a="1"/>
  <c r="D1373" i="383" s="1"/>
  <c r="D1372" i="383" a="1"/>
  <c r="D1372" i="383" s="1"/>
  <c r="D1371" i="383" a="1"/>
  <c r="D1371" i="383" s="1"/>
  <c r="D1370" i="383" a="1"/>
  <c r="D1370" i="383" s="1"/>
  <c r="D1369" i="383" a="1"/>
  <c r="D1369" i="383" s="1"/>
  <c r="D1368" i="383" a="1"/>
  <c r="D1368" i="383" s="1"/>
  <c r="D1367" i="383" a="1"/>
  <c r="D1367" i="383" s="1"/>
  <c r="D1366" i="383" a="1"/>
  <c r="D1366" i="383"/>
  <c r="D1365" i="383" a="1"/>
  <c r="D1365" i="383" s="1"/>
  <c r="D1364" i="383" a="1"/>
  <c r="D1364" i="383" s="1"/>
  <c r="D1363" i="383" a="1"/>
  <c r="D1363" i="383" s="1"/>
  <c r="D1362" i="383" a="1"/>
  <c r="D1362" i="383" s="1"/>
  <c r="D1361" i="383" a="1"/>
  <c r="D1361" i="383" s="1"/>
  <c r="D1360" i="383" a="1"/>
  <c r="D1360" i="383" s="1"/>
  <c r="D1359" i="383" a="1"/>
  <c r="D1359" i="383" s="1"/>
  <c r="D1358" i="383" a="1"/>
  <c r="D1358" i="383" s="1"/>
  <c r="D1357" i="383" a="1"/>
  <c r="D1357" i="383" s="1"/>
  <c r="D1356" i="383" a="1"/>
  <c r="D1356" i="383" s="1"/>
  <c r="D1355" i="383" a="1"/>
  <c r="D1355" i="383" s="1"/>
  <c r="D1354" i="383" a="1"/>
  <c r="D1354" i="383" s="1"/>
  <c r="D1353" i="383" a="1"/>
  <c r="D1353" i="383" s="1"/>
  <c r="D1352" i="383" a="1"/>
  <c r="D1352" i="383" s="1"/>
  <c r="D1351" i="383" a="1"/>
  <c r="D1351" i="383" s="1"/>
  <c r="D1350" i="383" a="1"/>
  <c r="D1350" i="383" s="1"/>
  <c r="D1349" i="383" a="1"/>
  <c r="D1349" i="383" s="1"/>
  <c r="D1348" i="383" a="1"/>
  <c r="D1348" i="383" s="1"/>
  <c r="D1347" i="383" a="1"/>
  <c r="D1347" i="383" s="1"/>
  <c r="D1346" i="383" a="1"/>
  <c r="D1346" i="383" s="1"/>
  <c r="D1345" i="383" a="1"/>
  <c r="D1345" i="383" s="1"/>
  <c r="D1344" i="383" a="1"/>
  <c r="D1344" i="383" s="1"/>
  <c r="D1343" i="383" a="1"/>
  <c r="D1343" i="383" s="1"/>
  <c r="D1342" i="383" a="1"/>
  <c r="D1342" i="383" s="1"/>
  <c r="D1341" i="383" a="1"/>
  <c r="D1341" i="383" s="1"/>
  <c r="D1340" i="383" a="1"/>
  <c r="D1340" i="383" s="1"/>
  <c r="D1339" i="383" a="1"/>
  <c r="D1339" i="383" s="1"/>
  <c r="D1338" i="383" a="1"/>
  <c r="D1338" i="383" s="1"/>
  <c r="D1337" i="383" a="1"/>
  <c r="D1337" i="383" s="1"/>
  <c r="D1336" i="383" a="1"/>
  <c r="D1336" i="383" s="1"/>
  <c r="D1335" i="383" a="1"/>
  <c r="D1335" i="383" s="1"/>
  <c r="D1334" i="383" a="1"/>
  <c r="D1334" i="383" s="1"/>
  <c r="D1333" i="383" a="1"/>
  <c r="D1333" i="383" s="1"/>
  <c r="D1332" i="383" a="1"/>
  <c r="D1332" i="383" s="1"/>
  <c r="D1331" i="383" a="1"/>
  <c r="D1331" i="383" s="1"/>
  <c r="D1330" i="383" a="1"/>
  <c r="D1330" i="383" s="1"/>
  <c r="D1329" i="383" a="1"/>
  <c r="D1329" i="383" s="1"/>
  <c r="D1328" i="383" a="1"/>
  <c r="D1328" i="383" s="1"/>
  <c r="D1327" i="383" a="1"/>
  <c r="D1327" i="383" s="1"/>
  <c r="D1326" i="383" a="1"/>
  <c r="D1326" i="383" s="1"/>
  <c r="D1325" i="383" a="1"/>
  <c r="D1325" i="383" s="1"/>
  <c r="D1324" i="383" a="1"/>
  <c r="D1324" i="383" s="1"/>
  <c r="D1323" i="383" a="1"/>
  <c r="D1323" i="383" s="1"/>
  <c r="D1322" i="383" a="1"/>
  <c r="D1322" i="383" s="1"/>
  <c r="D1321" i="383" a="1"/>
  <c r="D1321" i="383" s="1"/>
  <c r="D1320" i="383" a="1"/>
  <c r="D1320" i="383" s="1"/>
  <c r="D1319" i="383" a="1"/>
  <c r="D1319" i="383" s="1"/>
  <c r="D1318" i="383" a="1"/>
  <c r="D1318" i="383" s="1"/>
  <c r="D1317" i="383" a="1"/>
  <c r="D1317" i="383" s="1"/>
  <c r="D1316" i="383" a="1"/>
  <c r="D1316" i="383" s="1"/>
  <c r="D1315" i="383" a="1"/>
  <c r="D1315" i="383" s="1"/>
  <c r="D1314" i="383" a="1"/>
  <c r="D1314" i="383" s="1"/>
  <c r="D1313" i="383" a="1"/>
  <c r="D1313" i="383" s="1"/>
  <c r="D1312" i="383" a="1"/>
  <c r="D1312" i="383" s="1"/>
  <c r="D1311" i="383" a="1"/>
  <c r="D1311" i="383" s="1"/>
  <c r="D1310" i="383" a="1"/>
  <c r="D1310" i="383" s="1"/>
  <c r="D1309" i="383" a="1"/>
  <c r="D1309" i="383" s="1"/>
  <c r="D1308" i="383" a="1"/>
  <c r="D1308" i="383" s="1"/>
  <c r="D1307" i="383" a="1"/>
  <c r="D1307" i="383" s="1"/>
  <c r="D1306" i="383" a="1"/>
  <c r="D1306" i="383" s="1"/>
  <c r="D1305" i="383" a="1"/>
  <c r="D1305" i="383" s="1"/>
  <c r="D1304" i="383" a="1"/>
  <c r="D1304" i="383" s="1"/>
  <c r="D1303" i="383" a="1"/>
  <c r="D1303" i="383" s="1"/>
  <c r="D1302" i="383" a="1"/>
  <c r="D1302" i="383" s="1"/>
  <c r="D1301" i="383" a="1"/>
  <c r="D1301" i="383" s="1"/>
  <c r="D1300" i="383" a="1"/>
  <c r="D1300" i="383" s="1"/>
  <c r="D1299" i="383" a="1"/>
  <c r="D1299" i="383" s="1"/>
  <c r="D1298" i="383" a="1"/>
  <c r="D1298" i="383" s="1"/>
  <c r="D1297" i="383" a="1"/>
  <c r="D1297" i="383" s="1"/>
  <c r="D1296" i="383" a="1"/>
  <c r="D1296" i="383" s="1"/>
  <c r="D1295" i="383" a="1"/>
  <c r="D1295" i="383" s="1"/>
  <c r="D1294" i="383" a="1"/>
  <c r="D1294" i="383" s="1"/>
  <c r="D1293" i="383" a="1"/>
  <c r="D1293" i="383" s="1"/>
  <c r="D1292" i="383" a="1"/>
  <c r="D1292" i="383" s="1"/>
  <c r="D1291" i="383" a="1"/>
  <c r="D1291" i="383" s="1"/>
  <c r="D1290" i="383" a="1"/>
  <c r="D1290" i="383" s="1"/>
  <c r="D1289" i="383" a="1"/>
  <c r="D1289" i="383" s="1"/>
  <c r="D1288" i="383" a="1"/>
  <c r="D1288" i="383" s="1"/>
  <c r="D1287" i="383" a="1"/>
  <c r="D1287" i="383" s="1"/>
  <c r="D1286" i="383" a="1"/>
  <c r="D1286" i="383" s="1"/>
  <c r="D1285" i="383" a="1"/>
  <c r="D1285" i="383" s="1"/>
  <c r="D1284" i="383" a="1"/>
  <c r="D1284" i="383" s="1"/>
  <c r="D1283" i="383" a="1"/>
  <c r="D1283" i="383" s="1"/>
  <c r="D1282" i="383" a="1"/>
  <c r="D1282" i="383" s="1"/>
  <c r="D1281" i="383" a="1"/>
  <c r="D1281" i="383" s="1"/>
  <c r="D1280" i="383" a="1"/>
  <c r="D1280" i="383" s="1"/>
  <c r="D1279" i="383" a="1"/>
  <c r="D1279" i="383" s="1"/>
  <c r="D1278" i="383" a="1"/>
  <c r="D1278" i="383" s="1"/>
  <c r="D1277" i="383" a="1"/>
  <c r="D1277" i="383" s="1"/>
  <c r="D1276" i="383" a="1"/>
  <c r="D1276" i="383" s="1"/>
  <c r="D1275" i="383" a="1"/>
  <c r="D1275" i="383" s="1"/>
  <c r="D1274" i="383" a="1"/>
  <c r="D1274" i="383" s="1"/>
  <c r="D1273" i="383" a="1"/>
  <c r="D1273" i="383" s="1"/>
  <c r="D1272" i="383" a="1"/>
  <c r="D1272" i="383" s="1"/>
  <c r="D1271" i="383" a="1"/>
  <c r="D1271" i="383" s="1"/>
  <c r="D1270" i="383" a="1"/>
  <c r="D1270" i="383" s="1"/>
  <c r="D1269" i="383" a="1"/>
  <c r="D1269" i="383" s="1"/>
  <c r="D1268" i="383" a="1"/>
  <c r="D1268" i="383" s="1"/>
  <c r="D1267" i="383" a="1"/>
  <c r="D1267" i="383" s="1"/>
  <c r="D1266" i="383" a="1"/>
  <c r="D1266" i="383" s="1"/>
  <c r="D1265" i="383" a="1"/>
  <c r="D1265" i="383" s="1"/>
  <c r="D1264" i="383" a="1"/>
  <c r="D1264" i="383" s="1"/>
  <c r="D1263" i="383" a="1"/>
  <c r="D1263" i="383" s="1"/>
  <c r="D1262" i="383" a="1"/>
  <c r="D1262" i="383" s="1"/>
  <c r="D1261" i="383" a="1"/>
  <c r="D1261" i="383" s="1"/>
  <c r="D1260" i="383" a="1"/>
  <c r="D1260" i="383" s="1"/>
  <c r="D1259" i="383" a="1"/>
  <c r="D1259" i="383" s="1"/>
  <c r="D1258" i="383" a="1"/>
  <c r="D1258" i="383" s="1"/>
  <c r="D1257" i="383" a="1"/>
  <c r="D1257" i="383" s="1"/>
  <c r="D1256" i="383" a="1"/>
  <c r="D1256" i="383" s="1"/>
  <c r="D1255" i="383" a="1"/>
  <c r="D1255" i="383" s="1"/>
  <c r="D1254" i="383" a="1"/>
  <c r="D1254" i="383" s="1"/>
  <c r="D1253" i="383" a="1"/>
  <c r="D1253" i="383" s="1"/>
  <c r="D1252" i="383" a="1"/>
  <c r="D1252" i="383" s="1"/>
  <c r="D1251" i="383" a="1"/>
  <c r="D1251" i="383" s="1"/>
  <c r="D1250" i="383" a="1"/>
  <c r="D1250" i="383" s="1"/>
  <c r="D1249" i="383" a="1"/>
  <c r="D1249" i="383" s="1"/>
  <c r="D1248" i="383" a="1"/>
  <c r="D1248" i="383" s="1"/>
  <c r="D1247" i="383" a="1"/>
  <c r="D1247" i="383" s="1"/>
  <c r="D1246" i="383" a="1"/>
  <c r="D1246" i="383" s="1"/>
  <c r="D1245" i="383" a="1"/>
  <c r="D1245" i="383" s="1"/>
  <c r="D1244" i="383" a="1"/>
  <c r="D1244" i="383" s="1"/>
  <c r="D1243" i="383" a="1"/>
  <c r="D1243" i="383" s="1"/>
  <c r="D1242" i="383" a="1"/>
  <c r="D1242" i="383" s="1"/>
  <c r="D1241" i="383" a="1"/>
  <c r="D1241" i="383" s="1"/>
  <c r="D1240" i="383" a="1"/>
  <c r="D1240" i="383" s="1"/>
  <c r="D1239" i="383" a="1"/>
  <c r="D1239" i="383" s="1"/>
  <c r="D1238" i="383" a="1"/>
  <c r="D1238" i="383" s="1"/>
  <c r="D1237" i="383" a="1"/>
  <c r="D1237" i="383" s="1"/>
  <c r="D1236" i="383" a="1"/>
  <c r="D1236" i="383" s="1"/>
  <c r="D1235" i="383" a="1"/>
  <c r="D1235" i="383" s="1"/>
  <c r="D1234" i="383" a="1"/>
  <c r="D1234" i="383" s="1"/>
  <c r="D1233" i="383" a="1"/>
  <c r="D1233" i="383" s="1"/>
  <c r="D1232" i="383" a="1"/>
  <c r="D1232" i="383" s="1"/>
  <c r="D1231" i="383" a="1"/>
  <c r="D1231" i="383" s="1"/>
  <c r="D1230" i="383" a="1"/>
  <c r="D1230" i="383" s="1"/>
  <c r="D1229" i="383" a="1"/>
  <c r="D1229" i="383" s="1"/>
  <c r="D1228" i="383" a="1"/>
  <c r="D1228" i="383" s="1"/>
  <c r="D1227" i="383" a="1"/>
  <c r="D1227" i="383" s="1"/>
  <c r="D1226" i="383" a="1"/>
  <c r="D1226" i="383" s="1"/>
  <c r="D1225" i="383" a="1"/>
  <c r="D1225" i="383" s="1"/>
  <c r="D1224" i="383" a="1"/>
  <c r="D1224" i="383" s="1"/>
  <c r="D1223" i="383" a="1"/>
  <c r="D1223" i="383" s="1"/>
  <c r="D1222" i="383" a="1"/>
  <c r="D1222" i="383" s="1"/>
  <c r="D1221" i="383" a="1"/>
  <c r="D1221" i="383" s="1"/>
  <c r="D1220" i="383" a="1"/>
  <c r="D1220" i="383" s="1"/>
  <c r="D1219" i="383" a="1"/>
  <c r="D1219" i="383" s="1"/>
  <c r="D1218" i="383" a="1"/>
  <c r="D1218" i="383" s="1"/>
  <c r="D1217" i="383" a="1"/>
  <c r="D1217" i="383" s="1"/>
  <c r="D1216" i="383" a="1"/>
  <c r="D1216" i="383" s="1"/>
  <c r="D1215" i="383" a="1"/>
  <c r="D1215" i="383" s="1"/>
  <c r="D1214" i="383" a="1"/>
  <c r="D1214" i="383" s="1"/>
  <c r="D1213" i="383" a="1"/>
  <c r="D1213" i="383" s="1"/>
  <c r="D1212" i="383" a="1"/>
  <c r="D1212" i="383" s="1"/>
  <c r="D1211" i="383" a="1"/>
  <c r="D1211" i="383" s="1"/>
  <c r="D1210" i="383" a="1"/>
  <c r="D1210" i="383" s="1"/>
  <c r="D1209" i="383" a="1"/>
  <c r="D1209" i="383" s="1"/>
  <c r="D1208" i="383" a="1"/>
  <c r="D1208" i="383" s="1"/>
  <c r="D1207" i="383" a="1"/>
  <c r="D1207" i="383" s="1"/>
  <c r="D1206" i="383" a="1"/>
  <c r="D1206" i="383" s="1"/>
  <c r="D1205" i="383" a="1"/>
  <c r="D1205" i="383" s="1"/>
  <c r="D1204" i="383" a="1"/>
  <c r="D1204" i="383" s="1"/>
  <c r="D1203" i="383" a="1"/>
  <c r="D1203" i="383" s="1"/>
  <c r="D1202" i="383" a="1"/>
  <c r="D1202" i="383" s="1"/>
  <c r="D1201" i="383" a="1"/>
  <c r="D1201" i="383" s="1"/>
  <c r="D1200" i="383" a="1"/>
  <c r="D1200" i="383" s="1"/>
  <c r="D1199" i="383" a="1"/>
  <c r="D1199" i="383" s="1"/>
  <c r="D1198" i="383" a="1"/>
  <c r="D1198" i="383" s="1"/>
  <c r="D1197" i="383" a="1"/>
  <c r="D1197" i="383" s="1"/>
  <c r="D1196" i="383" a="1"/>
  <c r="D1196" i="383" s="1"/>
  <c r="D1195" i="383" a="1"/>
  <c r="D1195" i="383" s="1"/>
  <c r="D1194" i="383" a="1"/>
  <c r="D1194" i="383" s="1"/>
  <c r="D1193" i="383" a="1"/>
  <c r="D1193" i="383" s="1"/>
  <c r="D1192" i="383" a="1"/>
  <c r="D1192" i="383" s="1"/>
  <c r="D1191" i="383" a="1"/>
  <c r="D1191" i="383" s="1"/>
  <c r="D1190" i="383" a="1"/>
  <c r="D1190" i="383" s="1"/>
  <c r="D1189" i="383" a="1"/>
  <c r="D1189" i="383" s="1"/>
  <c r="D1188" i="383" a="1"/>
  <c r="D1188" i="383" s="1"/>
  <c r="D1187" i="383" a="1"/>
  <c r="D1187" i="383" s="1"/>
  <c r="D1186" i="383" a="1"/>
  <c r="D1186" i="383" s="1"/>
  <c r="D1185" i="383" a="1"/>
  <c r="D1185" i="383" s="1"/>
  <c r="D1184" i="383" a="1"/>
  <c r="D1184" i="383" s="1"/>
  <c r="D1183" i="383" a="1"/>
  <c r="D1183" i="383" s="1"/>
  <c r="D1182" i="383" a="1"/>
  <c r="D1182" i="383" s="1"/>
  <c r="D1181" i="383" a="1"/>
  <c r="D1181" i="383" s="1"/>
  <c r="D1180" i="383" a="1"/>
  <c r="D1180" i="383" s="1"/>
  <c r="D1179" i="383" a="1"/>
  <c r="D1179" i="383" s="1"/>
  <c r="D1178" i="383" a="1"/>
  <c r="D1178" i="383" s="1"/>
  <c r="D1177" i="383" a="1"/>
  <c r="D1177" i="383" s="1"/>
  <c r="D1176" i="383" a="1"/>
  <c r="D1176" i="383" s="1"/>
  <c r="D1175" i="383" a="1"/>
  <c r="D1175" i="383" s="1"/>
  <c r="D1174" i="383" a="1"/>
  <c r="D1174" i="383" s="1"/>
  <c r="D1173" i="383" a="1"/>
  <c r="D1173" i="383" s="1"/>
  <c r="D1172" i="383" a="1"/>
  <c r="D1172" i="383" s="1"/>
  <c r="D1171" i="383" a="1"/>
  <c r="D1171" i="383" s="1"/>
  <c r="D1170" i="383" a="1"/>
  <c r="D1170" i="383" s="1"/>
  <c r="D1169" i="383" a="1"/>
  <c r="D1169" i="383" s="1"/>
  <c r="D1168" i="383" a="1"/>
  <c r="D1168" i="383" s="1"/>
  <c r="D1167" i="383" a="1"/>
  <c r="D1167" i="383" s="1"/>
  <c r="D1166" i="383" a="1"/>
  <c r="D1166" i="383" s="1"/>
  <c r="D1165" i="383" a="1"/>
  <c r="D1165" i="383" s="1"/>
  <c r="D1164" i="383" a="1"/>
  <c r="D1164" i="383" s="1"/>
  <c r="D1163" i="383" a="1"/>
  <c r="D1163" i="383" s="1"/>
  <c r="D1162" i="383" a="1"/>
  <c r="D1162" i="383" s="1"/>
  <c r="D1161" i="383" a="1"/>
  <c r="D1161" i="383" s="1"/>
  <c r="D1160" i="383" a="1"/>
  <c r="D1160" i="383" s="1"/>
  <c r="D1159" i="383" a="1"/>
  <c r="D1159" i="383" s="1"/>
  <c r="D1158" i="383" a="1"/>
  <c r="D1158" i="383" s="1"/>
  <c r="D1157" i="383" a="1"/>
  <c r="D1157" i="383" s="1"/>
  <c r="D1156" i="383" a="1"/>
  <c r="D1156" i="383" s="1"/>
  <c r="D1155" i="383" a="1"/>
  <c r="D1155" i="383" s="1"/>
  <c r="D1154" i="383" a="1"/>
  <c r="D1154" i="383" s="1"/>
  <c r="D1153" i="383" a="1"/>
  <c r="D1153" i="383" s="1"/>
  <c r="D1152" i="383" a="1"/>
  <c r="D1152" i="383" s="1"/>
  <c r="D1151" i="383" a="1"/>
  <c r="D1151" i="383" s="1"/>
  <c r="D1150" i="383" a="1"/>
  <c r="D1150" i="383" s="1"/>
  <c r="D1149" i="383" a="1"/>
  <c r="D1149" i="383" s="1"/>
  <c r="D1148" i="383" a="1"/>
  <c r="D1148" i="383" s="1"/>
  <c r="D1147" i="383" a="1"/>
  <c r="D1147" i="383" s="1"/>
  <c r="D1146" i="383" a="1"/>
  <c r="D1146" i="383" s="1"/>
  <c r="D1145" i="383" a="1"/>
  <c r="D1145" i="383" s="1"/>
  <c r="D1144" i="383" a="1"/>
  <c r="D1144" i="383" s="1"/>
  <c r="D1143" i="383" a="1"/>
  <c r="D1143" i="383" s="1"/>
  <c r="D1142" i="383" a="1"/>
  <c r="D1142" i="383" s="1"/>
  <c r="D1141" i="383" a="1"/>
  <c r="D1141" i="383" s="1"/>
  <c r="D1140" i="383" a="1"/>
  <c r="D1140" i="383" s="1"/>
  <c r="D1139" i="383" a="1"/>
  <c r="D1139" i="383" s="1"/>
  <c r="D1138" i="383" a="1"/>
  <c r="D1138" i="383" s="1"/>
  <c r="D1137" i="383" a="1"/>
  <c r="D1137" i="383" s="1"/>
  <c r="D1136" i="383" a="1"/>
  <c r="D1136" i="383" s="1"/>
  <c r="D1135" i="383" a="1"/>
  <c r="D1135" i="383" s="1"/>
  <c r="D1134" i="383" a="1"/>
  <c r="D1134" i="383" s="1"/>
  <c r="D1133" i="383" a="1"/>
  <c r="D1133" i="383" s="1"/>
  <c r="D1132" i="383" a="1"/>
  <c r="D1132" i="383" s="1"/>
  <c r="D1131" i="383" a="1"/>
  <c r="D1131" i="383" s="1"/>
  <c r="D1130" i="383" a="1"/>
  <c r="D1130" i="383" s="1"/>
  <c r="D1129" i="383" a="1"/>
  <c r="D1129" i="383" s="1"/>
  <c r="D1128" i="383" a="1"/>
  <c r="D1128" i="383" s="1"/>
  <c r="D1127" i="383" a="1"/>
  <c r="D1127" i="383" s="1"/>
  <c r="D1126" i="383" a="1"/>
  <c r="D1126" i="383" s="1"/>
  <c r="D1125" i="383" a="1"/>
  <c r="D1125" i="383" s="1"/>
  <c r="D1124" i="383" a="1"/>
  <c r="D1124" i="383" s="1"/>
  <c r="D1123" i="383" a="1"/>
  <c r="D1123" i="383" s="1"/>
  <c r="D1122" i="383" a="1"/>
  <c r="D1122" i="383" s="1"/>
  <c r="D1121" i="383" a="1"/>
  <c r="D1121" i="383" s="1"/>
  <c r="D1120" i="383" a="1"/>
  <c r="D1120" i="383" s="1"/>
  <c r="D1119" i="383" a="1"/>
  <c r="D1119" i="383" s="1"/>
  <c r="D1118" i="383" a="1"/>
  <c r="D1118" i="383" s="1"/>
  <c r="D1117" i="383" a="1"/>
  <c r="D1117" i="383" s="1"/>
  <c r="D1116" i="383" a="1"/>
  <c r="D1116" i="383" s="1"/>
  <c r="D1115" i="383" a="1"/>
  <c r="D1115" i="383" s="1"/>
  <c r="D1114" i="383" a="1"/>
  <c r="D1114" i="383" s="1"/>
  <c r="D1113" i="383" a="1"/>
  <c r="D1113" i="383" s="1"/>
  <c r="D1112" i="383" a="1"/>
  <c r="D1112" i="383" s="1"/>
  <c r="D1111" i="383" a="1"/>
  <c r="D1111" i="383" s="1"/>
  <c r="D1110" i="383" a="1"/>
  <c r="D1110" i="383" s="1"/>
  <c r="D1109" i="383" a="1"/>
  <c r="D1109" i="383" s="1"/>
  <c r="D1108" i="383" a="1"/>
  <c r="D1108" i="383" s="1"/>
  <c r="D1107" i="383" a="1"/>
  <c r="D1107" i="383" s="1"/>
  <c r="D1106" i="383" a="1"/>
  <c r="D1106" i="383" s="1"/>
  <c r="D1105" i="383" a="1"/>
  <c r="D1105" i="383" s="1"/>
  <c r="D1104" i="383" a="1"/>
  <c r="D1104" i="383" s="1"/>
  <c r="D1103" i="383" a="1"/>
  <c r="D1103" i="383" s="1"/>
  <c r="D1102" i="383" a="1"/>
  <c r="D1102" i="383" s="1"/>
  <c r="D1101" i="383" a="1"/>
  <c r="D1101" i="383" s="1"/>
  <c r="D1100" i="383" a="1"/>
  <c r="D1100" i="383" s="1"/>
  <c r="D1099" i="383" a="1"/>
  <c r="D1099" i="383" s="1"/>
  <c r="D1098" i="383" a="1"/>
  <c r="D1098" i="383" s="1"/>
  <c r="D1097" i="383" a="1"/>
  <c r="D1097" i="383" s="1"/>
  <c r="D1096" i="383" a="1"/>
  <c r="D1096" i="383" s="1"/>
  <c r="D1095" i="383" a="1"/>
  <c r="D1095" i="383" s="1"/>
  <c r="D1094" i="383" a="1"/>
  <c r="D1094" i="383" s="1"/>
  <c r="D1093" i="383" a="1"/>
  <c r="D1093" i="383" s="1"/>
  <c r="D1092" i="383" a="1"/>
  <c r="D1092" i="383" s="1"/>
  <c r="D1091" i="383" a="1"/>
  <c r="D1091" i="383" s="1"/>
  <c r="D1090" i="383" a="1"/>
  <c r="D1090" i="383" s="1"/>
  <c r="D1089" i="383" a="1"/>
  <c r="D1089" i="383" s="1"/>
  <c r="D1088" i="383" a="1"/>
  <c r="D1088" i="383" s="1"/>
  <c r="D1087" i="383" a="1"/>
  <c r="D1087" i="383" s="1"/>
  <c r="D1086" i="383" a="1"/>
  <c r="D1086" i="383" s="1"/>
  <c r="D1085" i="383" a="1"/>
  <c r="D1085" i="383" s="1"/>
  <c r="D1084" i="383" a="1"/>
  <c r="D1084" i="383" s="1"/>
  <c r="D1083" i="383" a="1"/>
  <c r="D1083" i="383" s="1"/>
  <c r="D1082" i="383" a="1"/>
  <c r="D1082" i="383" s="1"/>
  <c r="D1081" i="383" a="1"/>
  <c r="D1081" i="383" s="1"/>
  <c r="D1080" i="383" a="1"/>
  <c r="D1080" i="383" s="1"/>
  <c r="D1079" i="383" a="1"/>
  <c r="D1079" i="383" s="1"/>
  <c r="D1078" i="383" a="1"/>
  <c r="D1078" i="383" s="1"/>
  <c r="D1077" i="383" a="1"/>
  <c r="D1077" i="383" s="1"/>
  <c r="D1076" i="383" a="1"/>
  <c r="D1076" i="383" s="1"/>
  <c r="D1075" i="383" a="1"/>
  <c r="D1075" i="383" s="1"/>
  <c r="D1074" i="383" a="1"/>
  <c r="D1074" i="383" s="1"/>
  <c r="D1073" i="383" a="1"/>
  <c r="D1073" i="383" s="1"/>
  <c r="D1072" i="383" a="1"/>
  <c r="D1072" i="383" s="1"/>
  <c r="D1071" i="383" a="1"/>
  <c r="D1071" i="383" s="1"/>
  <c r="D1070" i="383" a="1"/>
  <c r="D1070" i="383" s="1"/>
  <c r="D1069" i="383" a="1"/>
  <c r="D1069" i="383" s="1"/>
  <c r="D1068" i="383" a="1"/>
  <c r="D1068" i="383" s="1"/>
  <c r="D1067" i="383" a="1"/>
  <c r="D1067" i="383" s="1"/>
  <c r="D1066" i="383" a="1"/>
  <c r="D1066" i="383" s="1"/>
  <c r="D1065" i="383" a="1"/>
  <c r="D1065" i="383" s="1"/>
  <c r="D1064" i="383" a="1"/>
  <c r="D1064" i="383" s="1"/>
  <c r="D1063" i="383" a="1"/>
  <c r="D1063" i="383" s="1"/>
  <c r="D1062" i="383" a="1"/>
  <c r="D1062" i="383" s="1"/>
  <c r="D1061" i="383" a="1"/>
  <c r="D1061" i="383" s="1"/>
  <c r="D1060" i="383" a="1"/>
  <c r="D1060" i="383" s="1"/>
  <c r="D1059" i="383" a="1"/>
  <c r="D1059" i="383" s="1"/>
  <c r="D1058" i="383" a="1"/>
  <c r="D1058" i="383" s="1"/>
  <c r="D1057" i="383" a="1"/>
  <c r="D1057" i="383" s="1"/>
  <c r="D1056" i="383" a="1"/>
  <c r="D1056" i="383" s="1"/>
  <c r="D1055" i="383" a="1"/>
  <c r="D1055" i="383" s="1"/>
  <c r="D1054" i="383" a="1"/>
  <c r="D1054" i="383" s="1"/>
  <c r="D1053" i="383" a="1"/>
  <c r="D1053" i="383" s="1"/>
  <c r="D1052" i="383" a="1"/>
  <c r="D1052" i="383" s="1"/>
  <c r="D1051" i="383" a="1"/>
  <c r="D1051" i="383" s="1"/>
  <c r="D1050" i="383" a="1"/>
  <c r="D1050" i="383" s="1"/>
  <c r="D1049" i="383" a="1"/>
  <c r="D1049" i="383" s="1"/>
  <c r="D1048" i="383" a="1"/>
  <c r="D1048" i="383" s="1"/>
  <c r="D1047" i="383" a="1"/>
  <c r="D1047" i="383" s="1"/>
  <c r="D1046" i="383" a="1"/>
  <c r="D1046" i="383" s="1"/>
  <c r="D1045" i="383" a="1"/>
  <c r="D1045" i="383" s="1"/>
  <c r="D1044" i="383" a="1"/>
  <c r="D1044" i="383" s="1"/>
  <c r="D1043" i="383" a="1"/>
  <c r="D1043" i="383" s="1"/>
  <c r="D1042" i="383" a="1"/>
  <c r="D1042" i="383" s="1"/>
  <c r="D1041" i="383" a="1"/>
  <c r="D1041" i="383" s="1"/>
  <c r="D1040" i="383" a="1"/>
  <c r="D1040" i="383" s="1"/>
  <c r="D1039" i="383" a="1"/>
  <c r="D1039" i="383" s="1"/>
  <c r="D1038" i="383" a="1"/>
  <c r="D1038" i="383" s="1"/>
  <c r="D1037" i="383" a="1"/>
  <c r="D1037" i="383" s="1"/>
  <c r="D1036" i="383" a="1"/>
  <c r="D1036" i="383" s="1"/>
  <c r="D1035" i="383" a="1"/>
  <c r="D1035" i="383" s="1"/>
  <c r="D1034" i="383" a="1"/>
  <c r="D1034" i="383" s="1"/>
  <c r="D1033" i="383" a="1"/>
  <c r="D1033" i="383" s="1"/>
  <c r="D1032" i="383" a="1"/>
  <c r="D1032" i="383" s="1"/>
  <c r="D1031" i="383" a="1"/>
  <c r="D1031" i="383" s="1"/>
  <c r="D1030" i="383" a="1"/>
  <c r="D1030" i="383" s="1"/>
  <c r="D1029" i="383" a="1"/>
  <c r="D1029" i="383" s="1"/>
  <c r="D1028" i="383" a="1"/>
  <c r="D1028" i="383" s="1"/>
  <c r="D1027" i="383" a="1"/>
  <c r="D1027" i="383" s="1"/>
  <c r="D1026" i="383" a="1"/>
  <c r="D1026" i="383" s="1"/>
  <c r="D1025" i="383" a="1"/>
  <c r="D1025" i="383" s="1"/>
  <c r="D1024" i="383" a="1"/>
  <c r="D1024" i="383" s="1"/>
  <c r="D1023" i="383" a="1"/>
  <c r="D1023" i="383" s="1"/>
  <c r="D1022" i="383" a="1"/>
  <c r="D1022" i="383" s="1"/>
  <c r="D1021" i="383" a="1"/>
  <c r="D1021" i="383" s="1"/>
  <c r="D1020" i="383" a="1"/>
  <c r="D1020" i="383" s="1"/>
  <c r="D1019" i="383" a="1"/>
  <c r="D1019" i="383" s="1"/>
  <c r="D1018" i="383" a="1"/>
  <c r="D1018" i="383" s="1"/>
  <c r="D1017" i="383" a="1"/>
  <c r="D1017" i="383" s="1"/>
  <c r="D1016" i="383" a="1"/>
  <c r="D1016" i="383" s="1"/>
  <c r="D1015" i="383" a="1"/>
  <c r="D1015" i="383" s="1"/>
  <c r="D1014" i="383" a="1"/>
  <c r="D1014" i="383" s="1"/>
  <c r="D1013" i="383" a="1"/>
  <c r="D1013" i="383" s="1"/>
  <c r="D1012" i="383" a="1"/>
  <c r="D1012" i="383" s="1"/>
  <c r="D1011" i="383" a="1"/>
  <c r="D1011" i="383" s="1"/>
  <c r="D1010" i="383" a="1"/>
  <c r="D1010" i="383" s="1"/>
  <c r="D1009" i="383" a="1"/>
  <c r="D1009" i="383" s="1"/>
  <c r="D1008" i="383" a="1"/>
  <c r="D1008" i="383" s="1"/>
  <c r="D1007" i="383" a="1"/>
  <c r="D1007" i="383" s="1"/>
  <c r="D1006" i="383" a="1"/>
  <c r="D1006" i="383" s="1"/>
  <c r="D1005" i="383" a="1"/>
  <c r="D1005" i="383" s="1"/>
  <c r="D1004" i="383" a="1"/>
  <c r="D1004" i="383" s="1"/>
  <c r="D1003" i="383" a="1"/>
  <c r="D1003" i="383" s="1"/>
  <c r="D1002" i="383" a="1"/>
  <c r="D1002" i="383" s="1"/>
  <c r="D1001" i="383" a="1"/>
  <c r="D1001" i="383" s="1"/>
  <c r="D1000" i="383" a="1"/>
  <c r="D1000" i="383" s="1"/>
  <c r="D999" i="383" a="1"/>
  <c r="D999" i="383" s="1"/>
  <c r="D998" i="383" a="1"/>
  <c r="D998" i="383" s="1"/>
  <c r="D997" i="383" a="1"/>
  <c r="D997" i="383" s="1"/>
  <c r="D996" i="383" a="1"/>
  <c r="D996" i="383" s="1"/>
  <c r="D995" i="383" a="1"/>
  <c r="D995" i="383" s="1"/>
  <c r="D994" i="383" a="1"/>
  <c r="D994" i="383" s="1"/>
  <c r="D993" i="383" a="1"/>
  <c r="D993" i="383" s="1"/>
  <c r="D992" i="383" a="1"/>
  <c r="D992" i="383" s="1"/>
  <c r="D991" i="383" a="1"/>
  <c r="D991" i="383" s="1"/>
  <c r="D990" i="383" a="1"/>
  <c r="D990" i="383" s="1"/>
  <c r="D989" i="383" a="1"/>
  <c r="D989" i="383" s="1"/>
  <c r="D988" i="383" a="1"/>
  <c r="D988" i="383" s="1"/>
  <c r="D987" i="383" a="1"/>
  <c r="D987" i="383" s="1"/>
  <c r="D986" i="383" a="1"/>
  <c r="D986" i="383" s="1"/>
  <c r="D985" i="383" a="1"/>
  <c r="D985" i="383" s="1"/>
  <c r="D984" i="383" a="1"/>
  <c r="D984" i="383" s="1"/>
  <c r="D983" i="383" a="1"/>
  <c r="D983" i="383" s="1"/>
  <c r="D982" i="383" a="1"/>
  <c r="D982" i="383" s="1"/>
  <c r="D981" i="383" a="1"/>
  <c r="D981" i="383" s="1"/>
  <c r="D980" i="383" a="1"/>
  <c r="D980" i="383" s="1"/>
  <c r="D979" i="383" a="1"/>
  <c r="D979" i="383" s="1"/>
  <c r="D978" i="383" a="1"/>
  <c r="D978" i="383" s="1"/>
  <c r="D977" i="383" a="1"/>
  <c r="D977" i="383" s="1"/>
  <c r="D976" i="383" a="1"/>
  <c r="D976" i="383" s="1"/>
  <c r="D975" i="383" a="1"/>
  <c r="D975" i="383" s="1"/>
  <c r="D974" i="383" a="1"/>
  <c r="D974" i="383" s="1"/>
  <c r="D973" i="383" a="1"/>
  <c r="D973" i="383" s="1"/>
  <c r="D972" i="383" a="1"/>
  <c r="D972" i="383" s="1"/>
  <c r="D971" i="383" a="1"/>
  <c r="D971" i="383" s="1"/>
  <c r="D970" i="383" a="1"/>
  <c r="D970" i="383" s="1"/>
  <c r="D969" i="383" a="1"/>
  <c r="D969" i="383" s="1"/>
  <c r="D968" i="383" a="1"/>
  <c r="D968" i="383" s="1"/>
  <c r="D967" i="383" a="1"/>
  <c r="D967" i="383" s="1"/>
  <c r="D966" i="383" a="1"/>
  <c r="D966" i="383" s="1"/>
  <c r="D965" i="383" a="1"/>
  <c r="D965" i="383" s="1"/>
  <c r="D964" i="383" a="1"/>
  <c r="D964" i="383" s="1"/>
  <c r="D963" i="383" a="1"/>
  <c r="D963" i="383" s="1"/>
  <c r="D962" i="383" a="1"/>
  <c r="D962" i="383" s="1"/>
  <c r="D961" i="383" a="1"/>
  <c r="D961" i="383" s="1"/>
  <c r="D960" i="383" a="1"/>
  <c r="D960" i="383" s="1"/>
  <c r="D959" i="383" a="1"/>
  <c r="D959" i="383" s="1"/>
  <c r="D958" i="383" a="1"/>
  <c r="D958" i="383" s="1"/>
  <c r="D957" i="383" a="1"/>
  <c r="D957" i="383" s="1"/>
  <c r="D956" i="383" a="1"/>
  <c r="D956" i="383" s="1"/>
  <c r="D955" i="383" a="1"/>
  <c r="D955" i="383" s="1"/>
  <c r="D954" i="383" a="1"/>
  <c r="D954" i="383" s="1"/>
  <c r="D953" i="383" a="1"/>
  <c r="D953" i="383" s="1"/>
  <c r="D952" i="383" a="1"/>
  <c r="D952" i="383" s="1"/>
  <c r="D951" i="383" a="1"/>
  <c r="D951" i="383" s="1"/>
  <c r="D950" i="383" a="1"/>
  <c r="D950" i="383" s="1"/>
  <c r="D949" i="383" a="1"/>
  <c r="D949" i="383" s="1"/>
  <c r="D948" i="383" a="1"/>
  <c r="D948" i="383" s="1"/>
  <c r="D947" i="383" a="1"/>
  <c r="D947" i="383" s="1"/>
  <c r="D946" i="383" a="1"/>
  <c r="D946" i="383" s="1"/>
  <c r="D945" i="383" a="1"/>
  <c r="D945" i="383" s="1"/>
  <c r="D944" i="383" a="1"/>
  <c r="D944" i="383" s="1"/>
  <c r="D943" i="383" a="1"/>
  <c r="D943" i="383" s="1"/>
  <c r="D942" i="383" a="1"/>
  <c r="D942" i="383" s="1"/>
  <c r="D941" i="383" a="1"/>
  <c r="D941" i="383" s="1"/>
  <c r="D940" i="383" a="1"/>
  <c r="D940" i="383" s="1"/>
  <c r="D939" i="383" a="1"/>
  <c r="D939" i="383" s="1"/>
  <c r="D938" i="383" a="1"/>
  <c r="D938" i="383" s="1"/>
  <c r="D937" i="383" a="1"/>
  <c r="D937" i="383" s="1"/>
  <c r="D936" i="383" a="1"/>
  <c r="D936" i="383" s="1"/>
  <c r="D935" i="383" a="1"/>
  <c r="D935" i="383" s="1"/>
  <c r="D934" i="383" a="1"/>
  <c r="D934" i="383" s="1"/>
  <c r="D933" i="383" a="1"/>
  <c r="D933" i="383" s="1"/>
  <c r="D932" i="383" a="1"/>
  <c r="D932" i="383" s="1"/>
  <c r="D931" i="383" a="1"/>
  <c r="D931" i="383" s="1"/>
  <c r="D930" i="383" a="1"/>
  <c r="D930" i="383" s="1"/>
  <c r="D929" i="383" a="1"/>
  <c r="D929" i="383" s="1"/>
  <c r="D928" i="383" a="1"/>
  <c r="D928" i="383" s="1"/>
  <c r="D927" i="383" a="1"/>
  <c r="D927" i="383" s="1"/>
  <c r="D926" i="383" a="1"/>
  <c r="D926" i="383" s="1"/>
  <c r="D925" i="383" a="1"/>
  <c r="D925" i="383" s="1"/>
  <c r="D924" i="383" a="1"/>
  <c r="D924" i="383" s="1"/>
  <c r="D923" i="383" a="1"/>
  <c r="D923" i="383" s="1"/>
  <c r="D922" i="383" a="1"/>
  <c r="D922" i="383" s="1"/>
  <c r="D921" i="383" a="1"/>
  <c r="D921" i="383" s="1"/>
  <c r="D920" i="383" a="1"/>
  <c r="D920" i="383" s="1"/>
  <c r="D919" i="383" a="1"/>
  <c r="D919" i="383" s="1"/>
  <c r="D918" i="383" a="1"/>
  <c r="D918" i="383" s="1"/>
  <c r="D917" i="383" a="1"/>
  <c r="D917" i="383" s="1"/>
  <c r="D916" i="383" a="1"/>
  <c r="D916" i="383" s="1"/>
  <c r="D915" i="383" a="1"/>
  <c r="D915" i="383" s="1"/>
  <c r="D914" i="383" a="1"/>
  <c r="D914" i="383" s="1"/>
  <c r="D913" i="383" a="1"/>
  <c r="D913" i="383" s="1"/>
  <c r="D912" i="383" a="1"/>
  <c r="D912" i="383" s="1"/>
  <c r="D911" i="383" a="1"/>
  <c r="D911" i="383" s="1"/>
  <c r="D910" i="383" a="1"/>
  <c r="D910" i="383" s="1"/>
  <c r="D909" i="383" a="1"/>
  <c r="D909" i="383" s="1"/>
  <c r="D908" i="383" a="1"/>
  <c r="D908" i="383" s="1"/>
  <c r="D907" i="383" a="1"/>
  <c r="D907" i="383" s="1"/>
  <c r="D906" i="383" a="1"/>
  <c r="D906" i="383" s="1"/>
  <c r="D905" i="383" a="1"/>
  <c r="D905" i="383" s="1"/>
  <c r="D904" i="383" a="1"/>
  <c r="D904" i="383" s="1"/>
  <c r="D903" i="383" a="1"/>
  <c r="D903" i="383" s="1"/>
  <c r="D902" i="383" a="1"/>
  <c r="D902" i="383" s="1"/>
  <c r="D901" i="383" a="1"/>
  <c r="D901" i="383" s="1"/>
  <c r="D900" i="383" a="1"/>
  <c r="D900" i="383" s="1"/>
  <c r="D899" i="383" a="1"/>
  <c r="D899" i="383" s="1"/>
  <c r="D898" i="383" a="1"/>
  <c r="D898" i="383" s="1"/>
  <c r="D897" i="383" a="1"/>
  <c r="D897" i="383" s="1"/>
  <c r="D896" i="383" a="1"/>
  <c r="D896" i="383" s="1"/>
  <c r="D895" i="383" a="1"/>
  <c r="D895" i="383" s="1"/>
  <c r="D894" i="383" a="1"/>
  <c r="D894" i="383" s="1"/>
  <c r="D893" i="383" a="1"/>
  <c r="D893" i="383" s="1"/>
  <c r="D892" i="383" a="1"/>
  <c r="D892" i="383" s="1"/>
  <c r="D891" i="383" a="1"/>
  <c r="D891" i="383" s="1"/>
  <c r="D890" i="383" a="1"/>
  <c r="D890" i="383" s="1"/>
  <c r="D889" i="383" a="1"/>
  <c r="D889" i="383" s="1"/>
  <c r="D888" i="383" a="1"/>
  <c r="D888" i="383" s="1"/>
  <c r="D887" i="383" a="1"/>
  <c r="D887" i="383" s="1"/>
  <c r="D886" i="383" a="1"/>
  <c r="D886" i="383" s="1"/>
  <c r="D885" i="383" a="1"/>
  <c r="D885" i="383" s="1"/>
  <c r="D884" i="383" a="1"/>
  <c r="D884" i="383" s="1"/>
  <c r="D883" i="383" a="1"/>
  <c r="D883" i="383" s="1"/>
  <c r="D882" i="383" a="1"/>
  <c r="D882" i="383" s="1"/>
  <c r="D881" i="383" a="1"/>
  <c r="D881" i="383" s="1"/>
  <c r="D880" i="383" a="1"/>
  <c r="D880" i="383"/>
  <c r="D879" i="383" a="1"/>
  <c r="D879" i="383" s="1"/>
  <c r="D878" i="383" a="1"/>
  <c r="D878" i="383" s="1"/>
  <c r="D877" i="383" a="1"/>
  <c r="D877" i="383" s="1"/>
  <c r="D876" i="383" a="1"/>
  <c r="D876" i="383" s="1"/>
  <c r="D875" i="383" a="1"/>
  <c r="D875" i="383" s="1"/>
  <c r="D874" i="383" a="1"/>
  <c r="D874" i="383" s="1"/>
  <c r="D873" i="383" a="1"/>
  <c r="D873" i="383" s="1"/>
  <c r="D872" i="383" a="1"/>
  <c r="D872" i="383" s="1"/>
  <c r="D871" i="383" a="1"/>
  <c r="D871" i="383" s="1"/>
  <c r="D870" i="383" a="1"/>
  <c r="D870" i="383" s="1"/>
  <c r="D869" i="383" a="1"/>
  <c r="D869" i="383" s="1"/>
  <c r="D868" i="383" a="1"/>
  <c r="D868" i="383" s="1"/>
  <c r="D867" i="383" a="1"/>
  <c r="D867" i="383" s="1"/>
  <c r="D866" i="383" a="1"/>
  <c r="D866" i="383" s="1"/>
  <c r="D865" i="383" a="1"/>
  <c r="D865" i="383" s="1"/>
  <c r="D864" i="383" a="1"/>
  <c r="D864" i="383" s="1"/>
  <c r="D863" i="383" a="1"/>
  <c r="D863" i="383" s="1"/>
  <c r="D862" i="383" a="1"/>
  <c r="D862" i="383" s="1"/>
  <c r="D861" i="383" a="1"/>
  <c r="D861" i="383" s="1"/>
  <c r="D860" i="383" a="1"/>
  <c r="D860" i="383" s="1"/>
  <c r="D859" i="383" a="1"/>
  <c r="D859" i="383" s="1"/>
  <c r="D858" i="383" a="1"/>
  <c r="D858" i="383" s="1"/>
  <c r="D857" i="383" a="1"/>
  <c r="D857" i="383" s="1"/>
  <c r="D856" i="383" a="1"/>
  <c r="D856" i="383" s="1"/>
  <c r="D855" i="383" a="1"/>
  <c r="D855" i="383" s="1"/>
  <c r="D854" i="383" a="1"/>
  <c r="D854" i="383" s="1"/>
  <c r="D853" i="383" a="1"/>
  <c r="D853" i="383" s="1"/>
  <c r="D852" i="383" a="1"/>
  <c r="D852" i="383" s="1"/>
  <c r="D851" i="383" a="1"/>
  <c r="D851" i="383" s="1"/>
  <c r="D850" i="383" a="1"/>
  <c r="D850" i="383" s="1"/>
  <c r="D849" i="383" a="1"/>
  <c r="D849" i="383" s="1"/>
  <c r="D848" i="383" a="1"/>
  <c r="D848" i="383" s="1"/>
  <c r="D847" i="383" a="1"/>
  <c r="D847" i="383" s="1"/>
  <c r="D846" i="383" a="1"/>
  <c r="D846" i="383" s="1"/>
  <c r="D845" i="383" a="1"/>
  <c r="D845" i="383" s="1"/>
  <c r="D844" i="383" a="1"/>
  <c r="D844" i="383" s="1"/>
  <c r="D843" i="383" a="1"/>
  <c r="D843" i="383" s="1"/>
  <c r="D842" i="383" a="1"/>
  <c r="D842" i="383" s="1"/>
  <c r="D841" i="383" a="1"/>
  <c r="D841" i="383" s="1"/>
  <c r="D840" i="383" a="1"/>
  <c r="D840" i="383" s="1"/>
  <c r="D839" i="383" a="1"/>
  <c r="D839" i="383" s="1"/>
  <c r="D838" i="383" a="1"/>
  <c r="D838" i="383" s="1"/>
  <c r="D837" i="383" a="1"/>
  <c r="D837" i="383" s="1"/>
  <c r="D836" i="383" a="1"/>
  <c r="D836" i="383" s="1"/>
  <c r="D835" i="383" a="1"/>
  <c r="D835" i="383" s="1"/>
  <c r="D834" i="383" a="1"/>
  <c r="D834" i="383" s="1"/>
  <c r="D833" i="383" a="1"/>
  <c r="D833" i="383" s="1"/>
  <c r="D832" i="383" a="1"/>
  <c r="D832" i="383" s="1"/>
  <c r="D831" i="383" a="1"/>
  <c r="D831" i="383" s="1"/>
  <c r="D830" i="383" a="1"/>
  <c r="D830" i="383" s="1"/>
  <c r="D829" i="383" a="1"/>
  <c r="D829" i="383" s="1"/>
  <c r="D828" i="383" a="1"/>
  <c r="D828" i="383" s="1"/>
  <c r="D827" i="383" a="1"/>
  <c r="D827" i="383" s="1"/>
  <c r="D826" i="383" a="1"/>
  <c r="D826" i="383" s="1"/>
  <c r="D825" i="383" a="1"/>
  <c r="D825" i="383" s="1"/>
  <c r="D824" i="383" a="1"/>
  <c r="D824" i="383" s="1"/>
  <c r="D823" i="383" a="1"/>
  <c r="D823" i="383" s="1"/>
  <c r="D822" i="383" a="1"/>
  <c r="D822" i="383" s="1"/>
  <c r="D821" i="383" a="1"/>
  <c r="D821" i="383" s="1"/>
  <c r="D820" i="383" a="1"/>
  <c r="D820" i="383" s="1"/>
  <c r="D819" i="383" a="1"/>
  <c r="D819" i="383" s="1"/>
  <c r="D818" i="383" a="1"/>
  <c r="D818" i="383" s="1"/>
  <c r="D817" i="383" a="1"/>
  <c r="D817" i="383" s="1"/>
  <c r="D816" i="383" a="1"/>
  <c r="D816" i="383" s="1"/>
  <c r="D815" i="383" a="1"/>
  <c r="D815" i="383" s="1"/>
  <c r="D814" i="383" a="1"/>
  <c r="D814" i="383" s="1"/>
  <c r="D813" i="383" a="1"/>
  <c r="D813" i="383" s="1"/>
  <c r="D812" i="383" a="1"/>
  <c r="D812" i="383" s="1"/>
  <c r="D811" i="383" a="1"/>
  <c r="D811" i="383" s="1"/>
  <c r="D810" i="383" a="1"/>
  <c r="D810" i="383" s="1"/>
  <c r="D809" i="383" a="1"/>
  <c r="D809" i="383" s="1"/>
  <c r="D808" i="383" a="1"/>
  <c r="D808" i="383" s="1"/>
  <c r="D807" i="383" a="1"/>
  <c r="D807" i="383" s="1"/>
  <c r="D806" i="383" a="1"/>
  <c r="D806" i="383" s="1"/>
  <c r="D805" i="383" a="1"/>
  <c r="D805" i="383" s="1"/>
  <c r="D804" i="383" a="1"/>
  <c r="D804" i="383" s="1"/>
  <c r="D803" i="383" a="1"/>
  <c r="D803" i="383" s="1"/>
  <c r="D802" i="383" a="1"/>
  <c r="D802" i="383" s="1"/>
  <c r="D801" i="383" a="1"/>
  <c r="D801" i="383" s="1"/>
  <c r="D800" i="383" a="1"/>
  <c r="D800" i="383" s="1"/>
  <c r="D799" i="383" a="1"/>
  <c r="D799" i="383" s="1"/>
  <c r="D798" i="383" a="1"/>
  <c r="D798" i="383" s="1"/>
  <c r="D797" i="383" a="1"/>
  <c r="D797" i="383" s="1"/>
  <c r="D796" i="383" a="1"/>
  <c r="D796" i="383" s="1"/>
  <c r="D795" i="383" a="1"/>
  <c r="D795" i="383" s="1"/>
  <c r="D794" i="383" a="1"/>
  <c r="D794" i="383" s="1"/>
  <c r="D793" i="383" a="1"/>
  <c r="D793" i="383" s="1"/>
  <c r="D792" i="383" a="1"/>
  <c r="D792" i="383" s="1"/>
  <c r="D791" i="383" a="1"/>
  <c r="D791" i="383" s="1"/>
  <c r="D790" i="383" a="1"/>
  <c r="D790" i="383" s="1"/>
  <c r="D789" i="383" a="1"/>
  <c r="D789" i="383" s="1"/>
  <c r="D788" i="383" a="1"/>
  <c r="D788" i="383" s="1"/>
  <c r="D787" i="383" a="1"/>
  <c r="D787" i="383" s="1"/>
  <c r="D786" i="383" a="1"/>
  <c r="D786" i="383" s="1"/>
  <c r="D785" i="383" a="1"/>
  <c r="D785" i="383" s="1"/>
  <c r="D784" i="383" a="1"/>
  <c r="D784" i="383" s="1"/>
  <c r="D783" i="383" a="1"/>
  <c r="D783" i="383" s="1"/>
  <c r="D782" i="383" a="1"/>
  <c r="D782" i="383" s="1"/>
  <c r="D781" i="383" a="1"/>
  <c r="D781" i="383" s="1"/>
  <c r="D780" i="383" a="1"/>
  <c r="D780" i="383" s="1"/>
  <c r="D779" i="383" a="1"/>
  <c r="D779" i="383" s="1"/>
  <c r="D778" i="383" a="1"/>
  <c r="D778" i="383" s="1"/>
  <c r="D777" i="383" a="1"/>
  <c r="D777" i="383" s="1"/>
  <c r="D776" i="383" a="1"/>
  <c r="D776" i="383" s="1"/>
  <c r="D775" i="383" a="1"/>
  <c r="D775" i="383" s="1"/>
  <c r="D774" i="383" a="1"/>
  <c r="D774" i="383" s="1"/>
  <c r="D773" i="383" a="1"/>
  <c r="D773" i="383" s="1"/>
  <c r="D772" i="383" a="1"/>
  <c r="D772" i="383" s="1"/>
  <c r="D771" i="383" a="1"/>
  <c r="D771" i="383" s="1"/>
  <c r="D770" i="383" a="1"/>
  <c r="D770" i="383" s="1"/>
  <c r="D769" i="383" a="1"/>
  <c r="D769" i="383" s="1"/>
  <c r="D768" i="383" a="1"/>
  <c r="D768" i="383" s="1"/>
  <c r="D767" i="383" a="1"/>
  <c r="D767" i="383" s="1"/>
  <c r="D766" i="383" a="1"/>
  <c r="D766" i="383" s="1"/>
  <c r="D765" i="383" a="1"/>
  <c r="D765" i="383" s="1"/>
  <c r="D764" i="383" a="1"/>
  <c r="D764" i="383" s="1"/>
  <c r="D763" i="383" a="1"/>
  <c r="D763" i="383" s="1"/>
  <c r="D762" i="383" a="1"/>
  <c r="D762" i="383" s="1"/>
  <c r="D761" i="383" a="1"/>
  <c r="D761" i="383" s="1"/>
  <c r="D760" i="383" a="1"/>
  <c r="D760" i="383" s="1"/>
  <c r="D759" i="383" a="1"/>
  <c r="D759" i="383" s="1"/>
  <c r="D758" i="383" a="1"/>
  <c r="D758" i="383" s="1"/>
  <c r="D757" i="383" a="1"/>
  <c r="D757" i="383" s="1"/>
  <c r="D756" i="383" a="1"/>
  <c r="D756" i="383" s="1"/>
  <c r="D755" i="383" a="1"/>
  <c r="D755" i="383" s="1"/>
  <c r="D754" i="383" a="1"/>
  <c r="D754" i="383" s="1"/>
  <c r="D753" i="383" a="1"/>
  <c r="D753" i="383" s="1"/>
  <c r="D752" i="383" a="1"/>
  <c r="D752" i="383" s="1"/>
  <c r="D751" i="383" a="1"/>
  <c r="D751" i="383" s="1"/>
  <c r="D750" i="383" a="1"/>
  <c r="D750" i="383" s="1"/>
  <c r="D749" i="383" a="1"/>
  <c r="D749" i="383" s="1"/>
  <c r="D748" i="383" a="1"/>
  <c r="D748" i="383" s="1"/>
  <c r="D747" i="383" a="1"/>
  <c r="D747" i="383" s="1"/>
  <c r="D746" i="383" a="1"/>
  <c r="D746" i="383" s="1"/>
  <c r="D745" i="383" a="1"/>
  <c r="D745" i="383" s="1"/>
  <c r="D744" i="383" a="1"/>
  <c r="D744" i="383" s="1"/>
  <c r="D743" i="383" a="1"/>
  <c r="D743" i="383" s="1"/>
  <c r="D742" i="383" a="1"/>
  <c r="D742" i="383" s="1"/>
  <c r="D741" i="383" a="1"/>
  <c r="D741" i="383" s="1"/>
  <c r="D740" i="383" a="1"/>
  <c r="D740" i="383" s="1"/>
  <c r="D739" i="383" a="1"/>
  <c r="D739" i="383" s="1"/>
  <c r="D738" i="383" a="1"/>
  <c r="D738" i="383" s="1"/>
  <c r="D737" i="383" a="1"/>
  <c r="D737" i="383" s="1"/>
  <c r="D736" i="383" a="1"/>
  <c r="D736" i="383" s="1"/>
  <c r="D735" i="383" a="1"/>
  <c r="D735" i="383" s="1"/>
  <c r="D734" i="383" a="1"/>
  <c r="D734" i="383" s="1"/>
  <c r="D733" i="383" a="1"/>
  <c r="D733" i="383" s="1"/>
  <c r="D732" i="383" a="1"/>
  <c r="D732" i="383" s="1"/>
  <c r="D731" i="383" a="1"/>
  <c r="D731" i="383" s="1"/>
  <c r="D730" i="383" a="1"/>
  <c r="D730" i="383" s="1"/>
  <c r="D729" i="383" a="1"/>
  <c r="D729" i="383" s="1"/>
  <c r="D728" i="383" a="1"/>
  <c r="D728" i="383" s="1"/>
  <c r="D727" i="383" a="1"/>
  <c r="D727" i="383" s="1"/>
  <c r="D726" i="383" a="1"/>
  <c r="D726" i="383" s="1"/>
  <c r="D725" i="383" a="1"/>
  <c r="D725" i="383" s="1"/>
  <c r="D724" i="383" a="1"/>
  <c r="D724" i="383" s="1"/>
  <c r="D723" i="383" a="1"/>
  <c r="D723" i="383" s="1"/>
  <c r="D722" i="383" a="1"/>
  <c r="D722" i="383" s="1"/>
  <c r="D721" i="383" a="1"/>
  <c r="D721" i="383" s="1"/>
  <c r="D720" i="383" a="1"/>
  <c r="D720" i="383" s="1"/>
  <c r="D719" i="383" a="1"/>
  <c r="D719" i="383" s="1"/>
  <c r="D718" i="383" a="1"/>
  <c r="D718" i="383" s="1"/>
  <c r="D717" i="383" a="1"/>
  <c r="D717" i="383" s="1"/>
  <c r="D716" i="383" a="1"/>
  <c r="D716" i="383" s="1"/>
  <c r="D715" i="383" a="1"/>
  <c r="D715" i="383" s="1"/>
  <c r="D714" i="383" a="1"/>
  <c r="D714" i="383" s="1"/>
  <c r="D713" i="383" a="1"/>
  <c r="D713" i="383" s="1"/>
  <c r="D712" i="383" a="1"/>
  <c r="D712" i="383" s="1"/>
  <c r="D711" i="383" a="1"/>
  <c r="D711" i="383" s="1"/>
  <c r="D710" i="383" a="1"/>
  <c r="D710" i="383" s="1"/>
  <c r="D709" i="383" a="1"/>
  <c r="D709" i="383" s="1"/>
  <c r="D708" i="383" a="1"/>
  <c r="D708" i="383" s="1"/>
  <c r="D707" i="383" a="1"/>
  <c r="D707" i="383" s="1"/>
  <c r="D706" i="383" a="1"/>
  <c r="D706" i="383" s="1"/>
  <c r="D705" i="383" a="1"/>
  <c r="D705" i="383" s="1"/>
  <c r="D704" i="383" a="1"/>
  <c r="D704" i="383" s="1"/>
  <c r="D703" i="383" a="1"/>
  <c r="D703" i="383" s="1"/>
  <c r="D702" i="383" a="1"/>
  <c r="D702" i="383" s="1"/>
  <c r="D701" i="383" a="1"/>
  <c r="D701" i="383" s="1"/>
  <c r="D700" i="383" a="1"/>
  <c r="D700" i="383" s="1"/>
  <c r="D699" i="383" a="1"/>
  <c r="D699" i="383" s="1"/>
  <c r="D698" i="383" a="1"/>
  <c r="D698" i="383" s="1"/>
  <c r="D697" i="383" a="1"/>
  <c r="D697" i="383" s="1"/>
  <c r="D696" i="383" a="1"/>
  <c r="D696" i="383" s="1"/>
  <c r="D695" i="383" a="1"/>
  <c r="D695" i="383" s="1"/>
  <c r="D694" i="383" a="1"/>
  <c r="D694" i="383" s="1"/>
  <c r="D693" i="383" a="1"/>
  <c r="D693" i="383" s="1"/>
  <c r="D692" i="383" a="1"/>
  <c r="D692" i="383" s="1"/>
  <c r="D691" i="383" a="1"/>
  <c r="D691" i="383" s="1"/>
  <c r="D690" i="383" a="1"/>
  <c r="D690" i="383" s="1"/>
  <c r="D689" i="383" a="1"/>
  <c r="D689" i="383" s="1"/>
  <c r="D688" i="383" a="1"/>
  <c r="D688" i="383" s="1"/>
  <c r="D687" i="383" a="1"/>
  <c r="D687" i="383" s="1"/>
  <c r="D686" i="383" a="1"/>
  <c r="D686" i="383" s="1"/>
  <c r="D685" i="383" a="1"/>
  <c r="D685" i="383" s="1"/>
  <c r="D684" i="383" a="1"/>
  <c r="D684" i="383" s="1"/>
  <c r="D683" i="383" a="1"/>
  <c r="D683" i="383" s="1"/>
  <c r="D682" i="383" a="1"/>
  <c r="D682" i="383" s="1"/>
  <c r="D681" i="383" a="1"/>
  <c r="D681" i="383" s="1"/>
  <c r="D680" i="383" a="1"/>
  <c r="D680" i="383" s="1"/>
  <c r="D679" i="383" a="1"/>
  <c r="D679" i="383" s="1"/>
  <c r="D678" i="383" a="1"/>
  <c r="D678" i="383" s="1"/>
  <c r="D677" i="383" a="1"/>
  <c r="D677" i="383" s="1"/>
  <c r="D676" i="383" a="1"/>
  <c r="D676" i="383" s="1"/>
  <c r="D675" i="383" a="1"/>
  <c r="D675" i="383" s="1"/>
  <c r="D674" i="383" a="1"/>
  <c r="D674" i="383" s="1"/>
  <c r="D673" i="383" a="1"/>
  <c r="D673" i="383" s="1"/>
  <c r="D672" i="383" a="1"/>
  <c r="D672" i="383" s="1"/>
  <c r="D671" i="383" a="1"/>
  <c r="D671" i="383" s="1"/>
  <c r="D670" i="383" a="1"/>
  <c r="D670" i="383" s="1"/>
  <c r="D669" i="383" a="1"/>
  <c r="D669" i="383" s="1"/>
  <c r="D668" i="383" a="1"/>
  <c r="D668" i="383" s="1"/>
  <c r="D667" i="383" a="1"/>
  <c r="D667" i="383" s="1"/>
  <c r="D666" i="383" a="1"/>
  <c r="D666" i="383" s="1"/>
  <c r="D665" i="383" a="1"/>
  <c r="D665" i="383" s="1"/>
  <c r="D664" i="383" a="1"/>
  <c r="D664" i="383" s="1"/>
  <c r="D663" i="383" a="1"/>
  <c r="D663" i="383" s="1"/>
  <c r="D662" i="383" a="1"/>
  <c r="D662" i="383" s="1"/>
  <c r="D661" i="383" a="1"/>
  <c r="D661" i="383" s="1"/>
  <c r="D660" i="383" a="1"/>
  <c r="D660" i="383" s="1"/>
  <c r="D659" i="383" a="1"/>
  <c r="D659" i="383" s="1"/>
  <c r="D658" i="383" a="1"/>
  <c r="D658" i="383" s="1"/>
  <c r="D657" i="383" a="1"/>
  <c r="D657" i="383" s="1"/>
  <c r="D656" i="383" a="1"/>
  <c r="D656" i="383" s="1"/>
  <c r="D655" i="383" a="1"/>
  <c r="D655" i="383" s="1"/>
  <c r="D654" i="383" a="1"/>
  <c r="D654" i="383" s="1"/>
  <c r="D653" i="383" a="1"/>
  <c r="D653" i="383" s="1"/>
  <c r="D652" i="383" a="1"/>
  <c r="D652" i="383" s="1"/>
  <c r="D651" i="383" a="1"/>
  <c r="D651" i="383" s="1"/>
  <c r="D650" i="383" a="1"/>
  <c r="D650" i="383" s="1"/>
  <c r="D649" i="383" a="1"/>
  <c r="D649" i="383" s="1"/>
  <c r="D648" i="383" a="1"/>
  <c r="D648" i="383" s="1"/>
  <c r="D647" i="383" a="1"/>
  <c r="D647" i="383" s="1"/>
  <c r="D646" i="383" a="1"/>
  <c r="D646" i="383" s="1"/>
  <c r="D645" i="383" a="1"/>
  <c r="D645" i="383" s="1"/>
  <c r="D644" i="383" a="1"/>
  <c r="D644" i="383" s="1"/>
  <c r="D643" i="383" a="1"/>
  <c r="D643" i="383" s="1"/>
  <c r="D642" i="383" a="1"/>
  <c r="D642" i="383" s="1"/>
  <c r="D641" i="383" a="1"/>
  <c r="D641" i="383" s="1"/>
  <c r="D640" i="383" a="1"/>
  <c r="D640" i="383" s="1"/>
  <c r="D639" i="383" a="1"/>
  <c r="D639" i="383" s="1"/>
  <c r="D638" i="383" a="1"/>
  <c r="D638" i="383" s="1"/>
  <c r="D637" i="383" a="1"/>
  <c r="D637" i="383" s="1"/>
  <c r="D636" i="383" a="1"/>
  <c r="D636" i="383" s="1"/>
  <c r="D635" i="383" a="1"/>
  <c r="D635" i="383" s="1"/>
  <c r="D634" i="383" a="1"/>
  <c r="D634" i="383" s="1"/>
  <c r="D633" i="383" a="1"/>
  <c r="D633" i="383" s="1"/>
  <c r="D632" i="383" a="1"/>
  <c r="D632" i="383" s="1"/>
  <c r="D631" i="383" a="1"/>
  <c r="D631" i="383" s="1"/>
  <c r="D630" i="383" a="1"/>
  <c r="D630" i="383" s="1"/>
  <c r="D629" i="383" a="1"/>
  <c r="D629" i="383" s="1"/>
  <c r="D628" i="383" a="1"/>
  <c r="D628" i="383" s="1"/>
  <c r="D627" i="383" a="1"/>
  <c r="D627" i="383" s="1"/>
  <c r="D626" i="383" a="1"/>
  <c r="D626" i="383" s="1"/>
  <c r="D625" i="383" a="1"/>
  <c r="D625" i="383" s="1"/>
  <c r="D624" i="383" a="1"/>
  <c r="D624" i="383" s="1"/>
  <c r="D623" i="383" a="1"/>
  <c r="D623" i="383" s="1"/>
  <c r="D622" i="383" a="1"/>
  <c r="D622" i="383" s="1"/>
  <c r="D621" i="383" a="1"/>
  <c r="D621" i="383" s="1"/>
  <c r="D620" i="383" a="1"/>
  <c r="D620" i="383" s="1"/>
  <c r="D619" i="383" a="1"/>
  <c r="D619" i="383" s="1"/>
  <c r="D618" i="383" a="1"/>
  <c r="D618" i="383" s="1"/>
  <c r="D617" i="383" a="1"/>
  <c r="D617" i="383" s="1"/>
  <c r="D616" i="383" a="1"/>
  <c r="D616" i="383" s="1"/>
  <c r="D615" i="383" a="1"/>
  <c r="D615" i="383" s="1"/>
  <c r="D614" i="383" a="1"/>
  <c r="D614" i="383" s="1"/>
  <c r="D613" i="383" a="1"/>
  <c r="D613" i="383" s="1"/>
  <c r="D612" i="383" a="1"/>
  <c r="D612" i="383" s="1"/>
  <c r="D611" i="383" a="1"/>
  <c r="D611" i="383" s="1"/>
  <c r="D610" i="383" a="1"/>
  <c r="D610" i="383" s="1"/>
  <c r="D609" i="383" a="1"/>
  <c r="D609" i="383" s="1"/>
  <c r="D608" i="383" a="1"/>
  <c r="D608" i="383" s="1"/>
  <c r="D607" i="383" a="1"/>
  <c r="D607" i="383" s="1"/>
  <c r="D606" i="383" a="1"/>
  <c r="D606" i="383" s="1"/>
  <c r="D605" i="383" a="1"/>
  <c r="D605" i="383" s="1"/>
  <c r="D604" i="383" a="1"/>
  <c r="D604" i="383" s="1"/>
  <c r="D603" i="383" a="1"/>
  <c r="D603" i="383" s="1"/>
  <c r="D602" i="383" a="1"/>
  <c r="D602" i="383" s="1"/>
  <c r="D601" i="383" a="1"/>
  <c r="D601" i="383" s="1"/>
  <c r="D600" i="383" a="1"/>
  <c r="D600" i="383"/>
  <c r="D599" i="383" a="1"/>
  <c r="D599" i="383" s="1"/>
  <c r="D598" i="383" a="1"/>
  <c r="D598" i="383" s="1"/>
  <c r="D597" i="383" a="1"/>
  <c r="D597" i="383" s="1"/>
  <c r="D596" i="383" a="1"/>
  <c r="D596" i="383" s="1"/>
  <c r="D595" i="383" a="1"/>
  <c r="D595" i="383" s="1"/>
  <c r="D594" i="383" a="1"/>
  <c r="D594" i="383" s="1"/>
  <c r="D593" i="383" a="1"/>
  <c r="D593" i="383" s="1"/>
  <c r="D592" i="383" a="1"/>
  <c r="D592" i="383" s="1"/>
  <c r="D591" i="383" a="1"/>
  <c r="D591" i="383" s="1"/>
  <c r="D590" i="383" a="1"/>
  <c r="D590" i="383" s="1"/>
  <c r="D589" i="383" a="1"/>
  <c r="D589" i="383" s="1"/>
  <c r="D588" i="383" a="1"/>
  <c r="D588" i="383" s="1"/>
  <c r="D587" i="383" a="1"/>
  <c r="D587" i="383" s="1"/>
  <c r="D586" i="383" a="1"/>
  <c r="D586" i="383" s="1"/>
  <c r="D585" i="383" a="1"/>
  <c r="D585" i="383" s="1"/>
  <c r="D584" i="383" a="1"/>
  <c r="D584" i="383" s="1"/>
  <c r="D583" i="383" a="1"/>
  <c r="D583" i="383" s="1"/>
  <c r="D582" i="383" a="1"/>
  <c r="D582" i="383" s="1"/>
  <c r="D581" i="383" a="1"/>
  <c r="D581" i="383" s="1"/>
  <c r="D580" i="383" a="1"/>
  <c r="D580" i="383" s="1"/>
  <c r="D579" i="383" a="1"/>
  <c r="D579" i="383" s="1"/>
  <c r="D578" i="383" a="1"/>
  <c r="D578" i="383" s="1"/>
  <c r="D577" i="383" a="1"/>
  <c r="D577" i="383" s="1"/>
  <c r="D576" i="383" a="1"/>
  <c r="D576" i="383" s="1"/>
  <c r="D575" i="383" a="1"/>
  <c r="D575" i="383" s="1"/>
  <c r="D574" i="383" a="1"/>
  <c r="D574" i="383" s="1"/>
  <c r="D573" i="383" a="1"/>
  <c r="D573" i="383" s="1"/>
  <c r="D572" i="383" a="1"/>
  <c r="D572" i="383" s="1"/>
  <c r="D571" i="383" a="1"/>
  <c r="D571" i="383" s="1"/>
  <c r="D570" i="383" a="1"/>
  <c r="D570" i="383" s="1"/>
  <c r="D569" i="383" a="1"/>
  <c r="D569" i="383" s="1"/>
  <c r="D568" i="383" a="1"/>
  <c r="D568" i="383" s="1"/>
  <c r="D567" i="383" a="1"/>
  <c r="D567" i="383" s="1"/>
  <c r="D566" i="383" a="1"/>
  <c r="D566" i="383" s="1"/>
  <c r="D565" i="383" a="1"/>
  <c r="D565" i="383" s="1"/>
  <c r="D564" i="383" a="1"/>
  <c r="D564" i="383" s="1"/>
  <c r="D563" i="383" a="1"/>
  <c r="D563" i="383" s="1"/>
  <c r="D562" i="383" a="1"/>
  <c r="D562" i="383" s="1"/>
  <c r="D561" i="383" a="1"/>
  <c r="D561" i="383" s="1"/>
  <c r="D560" i="383" a="1"/>
  <c r="D560" i="383" s="1"/>
  <c r="D559" i="383" a="1"/>
  <c r="D559" i="383" s="1"/>
  <c r="D558" i="383" a="1"/>
  <c r="D558" i="383" s="1"/>
  <c r="D557" i="383" a="1"/>
  <c r="D557" i="383" s="1"/>
  <c r="D556" i="383" a="1"/>
  <c r="D556" i="383" s="1"/>
  <c r="D555" i="383" a="1"/>
  <c r="D555" i="383" s="1"/>
  <c r="D554" i="383" a="1"/>
  <c r="D554" i="383" s="1"/>
  <c r="D553" i="383" a="1"/>
  <c r="D553" i="383" s="1"/>
  <c r="D552" i="383" a="1"/>
  <c r="D552" i="383" s="1"/>
  <c r="D551" i="383" a="1"/>
  <c r="D551" i="383" s="1"/>
  <c r="D550" i="383" a="1"/>
  <c r="D550" i="383" s="1"/>
  <c r="D549" i="383" a="1"/>
  <c r="D549" i="383" s="1"/>
  <c r="D548" i="383" a="1"/>
  <c r="D548" i="383" s="1"/>
  <c r="D547" i="383" a="1"/>
  <c r="D547" i="383" s="1"/>
  <c r="D546" i="383" a="1"/>
  <c r="D546" i="383" s="1"/>
  <c r="D545" i="383" a="1"/>
  <c r="D545" i="383" s="1"/>
  <c r="D544" i="383" a="1"/>
  <c r="D544" i="383" s="1"/>
  <c r="D543" i="383" a="1"/>
  <c r="D543" i="383" s="1"/>
  <c r="D542" i="383" a="1"/>
  <c r="D542" i="383" s="1"/>
  <c r="D541" i="383" a="1"/>
  <c r="D541" i="383" s="1"/>
  <c r="D540" i="383" a="1"/>
  <c r="D540" i="383" s="1"/>
  <c r="D539" i="383" a="1"/>
  <c r="D539" i="383" s="1"/>
  <c r="D538" i="383" a="1"/>
  <c r="D538" i="383" s="1"/>
  <c r="D537" i="383" a="1"/>
  <c r="D537" i="383" s="1"/>
  <c r="D536" i="383" a="1"/>
  <c r="D536" i="383" s="1"/>
  <c r="D535" i="383" a="1"/>
  <c r="D535" i="383" s="1"/>
  <c r="D534" i="383" a="1"/>
  <c r="D534" i="383" s="1"/>
  <c r="D533" i="383" a="1"/>
  <c r="D533" i="383" s="1"/>
  <c r="D532" i="383" a="1"/>
  <c r="D532" i="383" s="1"/>
  <c r="D531" i="383" a="1"/>
  <c r="D531" i="383" s="1"/>
  <c r="D530" i="383" a="1"/>
  <c r="D530" i="383" s="1"/>
  <c r="D529" i="383" a="1"/>
  <c r="D529" i="383" s="1"/>
  <c r="D528" i="383" a="1"/>
  <c r="D528" i="383" s="1"/>
  <c r="D527" i="383" a="1"/>
  <c r="D527" i="383" s="1"/>
  <c r="D526" i="383" a="1"/>
  <c r="D526" i="383" s="1"/>
  <c r="D525" i="383" a="1"/>
  <c r="D525" i="383" s="1"/>
  <c r="D524" i="383" a="1"/>
  <c r="D524" i="383" s="1"/>
  <c r="D523" i="383" a="1"/>
  <c r="D523" i="383" s="1"/>
  <c r="D522" i="383" a="1"/>
  <c r="D522" i="383" s="1"/>
  <c r="D521" i="383" a="1"/>
  <c r="D521" i="383" s="1"/>
  <c r="D520" i="383" a="1"/>
  <c r="D520" i="383" s="1"/>
  <c r="D519" i="383" a="1"/>
  <c r="D519" i="383" s="1"/>
  <c r="D518" i="383" a="1"/>
  <c r="D518" i="383" s="1"/>
  <c r="D517" i="383" a="1"/>
  <c r="D517" i="383" s="1"/>
  <c r="D516" i="383" a="1"/>
  <c r="D516" i="383" s="1"/>
  <c r="D515" i="383" a="1"/>
  <c r="D515" i="383" s="1"/>
  <c r="D514" i="383" a="1"/>
  <c r="D514" i="383" s="1"/>
  <c r="D513" i="383" a="1"/>
  <c r="D513" i="383" s="1"/>
  <c r="D512" i="383" a="1"/>
  <c r="D512" i="383" s="1"/>
  <c r="D511" i="383" a="1"/>
  <c r="D511" i="383" s="1"/>
  <c r="D510" i="383" a="1"/>
  <c r="D510" i="383" s="1"/>
  <c r="D509" i="383" a="1"/>
  <c r="D509" i="383" s="1"/>
  <c r="D508" i="383" a="1"/>
  <c r="D508" i="383" s="1"/>
  <c r="D507" i="383" a="1"/>
  <c r="D507" i="383" s="1"/>
  <c r="D506" i="383" a="1"/>
  <c r="D506" i="383" s="1"/>
  <c r="D505" i="383" a="1"/>
  <c r="D505" i="383" s="1"/>
  <c r="D504" i="383" a="1"/>
  <c r="D504" i="383" s="1"/>
  <c r="D503" i="383" a="1"/>
  <c r="D503" i="383" s="1"/>
  <c r="D502" i="383" a="1"/>
  <c r="D502" i="383" s="1"/>
  <c r="D501" i="383" a="1"/>
  <c r="D501" i="383" s="1"/>
  <c r="D500" i="383" a="1"/>
  <c r="D500" i="383" s="1"/>
  <c r="D499" i="383" a="1"/>
  <c r="D499" i="383" s="1"/>
  <c r="D498" i="383" a="1"/>
  <c r="D498" i="383" s="1"/>
  <c r="D497" i="383" a="1"/>
  <c r="D497" i="383" s="1"/>
  <c r="D496" i="383" a="1"/>
  <c r="D496" i="383" s="1"/>
  <c r="D495" i="383" a="1"/>
  <c r="D495" i="383" s="1"/>
  <c r="D494" i="383" a="1"/>
  <c r="D494" i="383" s="1"/>
  <c r="D493" i="383" a="1"/>
  <c r="D493" i="383" s="1"/>
  <c r="D492" i="383" a="1"/>
  <c r="D492" i="383" s="1"/>
  <c r="D491" i="383" a="1"/>
  <c r="D491" i="383" s="1"/>
  <c r="D490" i="383" a="1"/>
  <c r="D490" i="383" s="1"/>
  <c r="D489" i="383" a="1"/>
  <c r="D489" i="383" s="1"/>
  <c r="D488" i="383" a="1"/>
  <c r="D488" i="383" s="1"/>
  <c r="D487" i="383" a="1"/>
  <c r="D487" i="383" s="1"/>
  <c r="D486" i="383" a="1"/>
  <c r="D486" i="383" s="1"/>
  <c r="D485" i="383" a="1"/>
  <c r="D485" i="383" s="1"/>
  <c r="D484" i="383" a="1"/>
  <c r="D484" i="383" s="1"/>
  <c r="D483" i="383" a="1"/>
  <c r="D483" i="383" s="1"/>
  <c r="D482" i="383" a="1"/>
  <c r="D482" i="383" s="1"/>
  <c r="D481" i="383" a="1"/>
  <c r="D481" i="383" s="1"/>
  <c r="D480" i="383" a="1"/>
  <c r="D480" i="383" s="1"/>
  <c r="D479" i="383" a="1"/>
  <c r="D479" i="383" s="1"/>
  <c r="D478" i="383" a="1"/>
  <c r="D478" i="383"/>
  <c r="D477" i="383" a="1"/>
  <c r="D477" i="383" s="1"/>
  <c r="D476" i="383" a="1"/>
  <c r="D476" i="383" s="1"/>
  <c r="D475" i="383" a="1"/>
  <c r="D475" i="383" s="1"/>
  <c r="D474" i="383" a="1"/>
  <c r="D474" i="383" s="1"/>
  <c r="D473" i="383" a="1"/>
  <c r="D473" i="383" s="1"/>
  <c r="D472" i="383" a="1"/>
  <c r="D472" i="383" s="1"/>
  <c r="D471" i="383" a="1"/>
  <c r="D471" i="383" s="1"/>
  <c r="D470" i="383" a="1"/>
  <c r="D470" i="383" s="1"/>
  <c r="D469" i="383" a="1"/>
  <c r="D469" i="383" s="1"/>
  <c r="D468" i="383" a="1"/>
  <c r="D468" i="383" s="1"/>
  <c r="D467" i="383" a="1"/>
  <c r="D467" i="383" s="1"/>
  <c r="D466" i="383" a="1"/>
  <c r="D466" i="383" s="1"/>
  <c r="D465" i="383" a="1"/>
  <c r="D465" i="383" s="1"/>
  <c r="D464" i="383" a="1"/>
  <c r="D464" i="383" s="1"/>
  <c r="D463" i="383" a="1"/>
  <c r="D463" i="383" s="1"/>
  <c r="D462" i="383" a="1"/>
  <c r="D462" i="383" s="1"/>
  <c r="D461" i="383" a="1"/>
  <c r="D461" i="383" s="1"/>
  <c r="D460" i="383" a="1"/>
  <c r="D460" i="383" s="1"/>
  <c r="D459" i="383" a="1"/>
  <c r="D459" i="383" s="1"/>
  <c r="D458" i="383" a="1"/>
  <c r="D458" i="383" s="1"/>
  <c r="D457" i="383" a="1"/>
  <c r="D457" i="383" s="1"/>
  <c r="D456" i="383" a="1"/>
  <c r="D456" i="383" s="1"/>
  <c r="D455" i="383" a="1"/>
  <c r="D455" i="383" s="1"/>
  <c r="D454" i="383" a="1"/>
  <c r="D454" i="383" s="1"/>
  <c r="D453" i="383" a="1"/>
  <c r="D453" i="383" s="1"/>
  <c r="D452" i="383" a="1"/>
  <c r="D452" i="383" s="1"/>
  <c r="D451" i="383" a="1"/>
  <c r="D451" i="383" s="1"/>
  <c r="D450" i="383" a="1"/>
  <c r="D450" i="383" s="1"/>
  <c r="D449" i="383" a="1"/>
  <c r="D449" i="383" s="1"/>
  <c r="D448" i="383" a="1"/>
  <c r="D448" i="383" s="1"/>
  <c r="D447" i="383" a="1"/>
  <c r="D447" i="383" s="1"/>
  <c r="D446" i="383" a="1"/>
  <c r="D446" i="383" s="1"/>
  <c r="D445" i="383" a="1"/>
  <c r="D445" i="383" s="1"/>
  <c r="D444" i="383" a="1"/>
  <c r="D444" i="383" s="1"/>
  <c r="D443" i="383" a="1"/>
  <c r="D443" i="383" s="1"/>
  <c r="D442" i="383" a="1"/>
  <c r="D442" i="383" s="1"/>
  <c r="D441" i="383" a="1"/>
  <c r="D441" i="383" s="1"/>
  <c r="D440" i="383" a="1"/>
  <c r="D440" i="383" s="1"/>
  <c r="D439" i="383" a="1"/>
  <c r="D439" i="383" s="1"/>
  <c r="D438" i="383" a="1"/>
  <c r="D438" i="383" s="1"/>
  <c r="D437" i="383" a="1"/>
  <c r="D437" i="383" s="1"/>
  <c r="D436" i="383" a="1"/>
  <c r="D436" i="383" s="1"/>
  <c r="D435" i="383" a="1"/>
  <c r="D435" i="383" s="1"/>
  <c r="D434" i="383" a="1"/>
  <c r="D434" i="383" s="1"/>
  <c r="D433" i="383" a="1"/>
  <c r="D433" i="383" s="1"/>
  <c r="D432" i="383" a="1"/>
  <c r="D432" i="383" s="1"/>
  <c r="D431" i="383" a="1"/>
  <c r="D431" i="383" s="1"/>
  <c r="D430" i="383" a="1"/>
  <c r="D430" i="383" s="1"/>
  <c r="D429" i="383" a="1"/>
  <c r="D429" i="383" s="1"/>
  <c r="D428" i="383" a="1"/>
  <c r="D428" i="383" s="1"/>
  <c r="D427" i="383" a="1"/>
  <c r="D427" i="383" s="1"/>
  <c r="D426" i="383" a="1"/>
  <c r="D426" i="383" s="1"/>
  <c r="D425" i="383" a="1"/>
  <c r="D425" i="383" s="1"/>
  <c r="D424" i="383" a="1"/>
  <c r="D424" i="383" s="1"/>
  <c r="D423" i="383" a="1"/>
  <c r="D423" i="383" s="1"/>
  <c r="D422" i="383" a="1"/>
  <c r="D422" i="383" s="1"/>
  <c r="D421" i="383" a="1"/>
  <c r="D421" i="383" s="1"/>
  <c r="D420" i="383" a="1"/>
  <c r="D420" i="383" s="1"/>
  <c r="D419" i="383" a="1"/>
  <c r="D419" i="383" s="1"/>
  <c r="D418" i="383" a="1"/>
  <c r="D418" i="383" s="1"/>
  <c r="D417" i="383" a="1"/>
  <c r="D417" i="383" s="1"/>
  <c r="D416" i="383" a="1"/>
  <c r="D416" i="383" s="1"/>
  <c r="D415" i="383" a="1"/>
  <c r="D415" i="383" s="1"/>
  <c r="D414" i="383" a="1"/>
  <c r="D414" i="383" s="1"/>
  <c r="D413" i="383" a="1"/>
  <c r="D413" i="383" s="1"/>
  <c r="D412" i="383" a="1"/>
  <c r="D412" i="383" s="1"/>
  <c r="D411" i="383" a="1"/>
  <c r="D411" i="383" s="1"/>
  <c r="D410" i="383" a="1"/>
  <c r="D410" i="383" s="1"/>
  <c r="D409" i="383" a="1"/>
  <c r="D409" i="383" s="1"/>
  <c r="D408" i="383" a="1"/>
  <c r="D408" i="383" s="1"/>
  <c r="D407" i="383" a="1"/>
  <c r="D407" i="383" s="1"/>
  <c r="D406" i="383" a="1"/>
  <c r="D406" i="383" s="1"/>
  <c r="D405" i="383" a="1"/>
  <c r="D405" i="383" s="1"/>
  <c r="D404" i="383" a="1"/>
  <c r="D404" i="383" s="1"/>
  <c r="D403" i="383" a="1"/>
  <c r="D403" i="383" s="1"/>
  <c r="D402" i="383" a="1"/>
  <c r="D402" i="383" s="1"/>
  <c r="D401" i="383" a="1"/>
  <c r="D401" i="383" s="1"/>
  <c r="D400" i="383" a="1"/>
  <c r="D400" i="383" s="1"/>
  <c r="D399" i="383" a="1"/>
  <c r="D399" i="383" s="1"/>
  <c r="D398" i="383" a="1"/>
  <c r="D398" i="383" s="1"/>
  <c r="D397" i="383" a="1"/>
  <c r="D397" i="383" s="1"/>
  <c r="D396" i="383" a="1"/>
  <c r="D396" i="383" s="1"/>
  <c r="D395" i="383" a="1"/>
  <c r="D395" i="383" s="1"/>
  <c r="D394" i="383" a="1"/>
  <c r="D394" i="383" s="1"/>
  <c r="D393" i="383" a="1"/>
  <c r="D393" i="383" s="1"/>
  <c r="D392" i="383" a="1"/>
  <c r="D392" i="383" s="1"/>
  <c r="D391" i="383" a="1"/>
  <c r="D391" i="383" s="1"/>
  <c r="D390" i="383" a="1"/>
  <c r="D390" i="383" s="1"/>
  <c r="D389" i="383" a="1"/>
  <c r="D389" i="383" s="1"/>
  <c r="D388" i="383" a="1"/>
  <c r="D388" i="383" s="1"/>
  <c r="D387" i="383" a="1"/>
  <c r="D387" i="383" s="1"/>
  <c r="D386" i="383" a="1"/>
  <c r="D386" i="383" s="1"/>
  <c r="D385" i="383" a="1"/>
  <c r="D385" i="383" s="1"/>
  <c r="D384" i="383" a="1"/>
  <c r="D384" i="383" s="1"/>
  <c r="D383" i="383" a="1"/>
  <c r="D383" i="383" s="1"/>
  <c r="D382" i="383" a="1"/>
  <c r="D382" i="383" s="1"/>
  <c r="D381" i="383" a="1"/>
  <c r="D381" i="383" s="1"/>
  <c r="D380" i="383" a="1"/>
  <c r="D380" i="383" s="1"/>
  <c r="D379" i="383" a="1"/>
  <c r="D379" i="383" s="1"/>
  <c r="D378" i="383" a="1"/>
  <c r="D378" i="383" s="1"/>
  <c r="D377" i="383" a="1"/>
  <c r="D377" i="383" s="1"/>
  <c r="D376" i="383" a="1"/>
  <c r="D376" i="383"/>
  <c r="D375" i="383" a="1"/>
  <c r="D375" i="383" s="1"/>
  <c r="D374" i="383" a="1"/>
  <c r="D374" i="383" s="1"/>
  <c r="D373" i="383" a="1"/>
  <c r="D373" i="383" s="1"/>
  <c r="D372" i="383" a="1"/>
  <c r="D372" i="383" s="1"/>
  <c r="D371" i="383" a="1"/>
  <c r="D371" i="383" s="1"/>
  <c r="D370" i="383" a="1"/>
  <c r="D370" i="383" s="1"/>
  <c r="D369" i="383" a="1"/>
  <c r="D369" i="383" s="1"/>
  <c r="D368" i="383" a="1"/>
  <c r="D368" i="383" s="1"/>
  <c r="D367" i="383" a="1"/>
  <c r="D367" i="383" s="1"/>
  <c r="D366" i="383" a="1"/>
  <c r="D366" i="383" s="1"/>
  <c r="D365" i="383" a="1"/>
  <c r="D365" i="383" s="1"/>
  <c r="D364" i="383" a="1"/>
  <c r="D364" i="383" s="1"/>
  <c r="D363" i="383" a="1"/>
  <c r="D363" i="383" s="1"/>
  <c r="D362" i="383" a="1"/>
  <c r="D362" i="383" s="1"/>
  <c r="D361" i="383" a="1"/>
  <c r="D361" i="383" s="1"/>
  <c r="D360" i="383" a="1"/>
  <c r="D360" i="383" s="1"/>
  <c r="D359" i="383" a="1"/>
  <c r="D359" i="383" s="1"/>
  <c r="D358" i="383" a="1"/>
  <c r="D358" i="383" s="1"/>
  <c r="D357" i="383" a="1"/>
  <c r="D357" i="383" s="1"/>
  <c r="D356" i="383" a="1"/>
  <c r="D356" i="383" s="1"/>
  <c r="D355" i="383" a="1"/>
  <c r="D355" i="383" s="1"/>
  <c r="D354" i="383" a="1"/>
  <c r="D354" i="383" s="1"/>
  <c r="D353" i="383" a="1"/>
  <c r="D353" i="383" s="1"/>
  <c r="D352" i="383" a="1"/>
  <c r="D352" i="383" s="1"/>
  <c r="D351" i="383" a="1"/>
  <c r="D351" i="383" s="1"/>
  <c r="D350" i="383" a="1"/>
  <c r="D350" i="383" s="1"/>
  <c r="D349" i="383" a="1"/>
  <c r="D349" i="383" s="1"/>
  <c r="D348" i="383" a="1"/>
  <c r="D348" i="383" s="1"/>
  <c r="D347" i="383" a="1"/>
  <c r="D347" i="383" s="1"/>
  <c r="D346" i="383" a="1"/>
  <c r="D346" i="383" s="1"/>
  <c r="D345" i="383" a="1"/>
  <c r="D345" i="383" s="1"/>
  <c r="D344" i="383" a="1"/>
  <c r="D344" i="383" s="1"/>
  <c r="D343" i="383" a="1"/>
  <c r="D343" i="383" s="1"/>
  <c r="D342" i="383" a="1"/>
  <c r="D342" i="383" s="1"/>
  <c r="D341" i="383" a="1"/>
  <c r="D341" i="383" s="1"/>
  <c r="D340" i="383" a="1"/>
  <c r="D340" i="383" s="1"/>
  <c r="D339" i="383" a="1"/>
  <c r="D339" i="383" s="1"/>
  <c r="D338" i="383" a="1"/>
  <c r="D338" i="383" s="1"/>
  <c r="D337" i="383" a="1"/>
  <c r="D337" i="383" s="1"/>
  <c r="D336" i="383" a="1"/>
  <c r="D336" i="383" s="1"/>
  <c r="D335" i="383" a="1"/>
  <c r="D335" i="383" s="1"/>
  <c r="D334" i="383" a="1"/>
  <c r="D334" i="383" s="1"/>
  <c r="D333" i="383" a="1"/>
  <c r="D333" i="383" s="1"/>
  <c r="D332" i="383" a="1"/>
  <c r="D332" i="383" s="1"/>
  <c r="D331" i="383" a="1"/>
  <c r="D331" i="383" s="1"/>
  <c r="D330" i="383" a="1"/>
  <c r="D330" i="383" s="1"/>
  <c r="D329" i="383" a="1"/>
  <c r="D329" i="383" s="1"/>
  <c r="D328" i="383" a="1"/>
  <c r="D328" i="383" s="1"/>
  <c r="D327" i="383" a="1"/>
  <c r="D327" i="383" s="1"/>
  <c r="D326" i="383" a="1"/>
  <c r="D326" i="383" s="1"/>
  <c r="D325" i="383" a="1"/>
  <c r="D325" i="383" s="1"/>
  <c r="D324" i="383" a="1"/>
  <c r="D324" i="383" s="1"/>
  <c r="D323" i="383" a="1"/>
  <c r="D323" i="383" s="1"/>
  <c r="D322" i="383" a="1"/>
  <c r="D322" i="383" s="1"/>
  <c r="D321" i="383" a="1"/>
  <c r="D321" i="383" s="1"/>
  <c r="D320" i="383" a="1"/>
  <c r="D320" i="383" s="1"/>
  <c r="D319" i="383" a="1"/>
  <c r="D319" i="383" s="1"/>
  <c r="D318" i="383" a="1"/>
  <c r="D318" i="383" s="1"/>
  <c r="D317" i="383" a="1"/>
  <c r="D317" i="383" s="1"/>
  <c r="D316" i="383" a="1"/>
  <c r="D316" i="383" s="1"/>
  <c r="D315" i="383" a="1"/>
  <c r="D315" i="383" s="1"/>
  <c r="D314" i="383" a="1"/>
  <c r="D314" i="383"/>
  <c r="D313" i="383" a="1"/>
  <c r="D313" i="383" s="1"/>
  <c r="D312" i="383" a="1"/>
  <c r="D312" i="383" s="1"/>
  <c r="D311" i="383" a="1"/>
  <c r="D311" i="383" s="1"/>
  <c r="D310" i="383" a="1"/>
  <c r="D310" i="383" s="1"/>
  <c r="D309" i="383" a="1"/>
  <c r="D309" i="383" s="1"/>
  <c r="D308" i="383" a="1"/>
  <c r="D308" i="383" s="1"/>
  <c r="D307" i="383" a="1"/>
  <c r="D307" i="383" s="1"/>
  <c r="D306" i="383" a="1"/>
  <c r="D306" i="383" s="1"/>
  <c r="D305" i="383" a="1"/>
  <c r="D305" i="383" s="1"/>
  <c r="D304" i="383" a="1"/>
  <c r="D304" i="383" s="1"/>
  <c r="D303" i="383" a="1"/>
  <c r="D303" i="383" s="1"/>
  <c r="D302" i="383" a="1"/>
  <c r="D302" i="383" s="1"/>
  <c r="D301" i="383" a="1"/>
  <c r="D301" i="383" s="1"/>
  <c r="D300" i="383" a="1"/>
  <c r="D300" i="383" s="1"/>
  <c r="D299" i="383" a="1"/>
  <c r="D299" i="383" s="1"/>
  <c r="D298" i="383" a="1"/>
  <c r="D298" i="383" s="1"/>
  <c r="D297" i="383" a="1"/>
  <c r="D297" i="383" s="1"/>
  <c r="D296" i="383" a="1"/>
  <c r="D296" i="383" s="1"/>
  <c r="D295" i="383" a="1"/>
  <c r="D295" i="383" s="1"/>
  <c r="D294" i="383" a="1"/>
  <c r="D294" i="383" s="1"/>
  <c r="D293" i="383" a="1"/>
  <c r="D293" i="383" s="1"/>
  <c r="D292" i="383" a="1"/>
  <c r="D292" i="383" s="1"/>
  <c r="D291" i="383" a="1"/>
  <c r="D291" i="383" s="1"/>
  <c r="D290" i="383" a="1"/>
  <c r="D290" i="383" s="1"/>
  <c r="D289" i="383" a="1"/>
  <c r="D289" i="383" s="1"/>
  <c r="D288" i="383" a="1"/>
  <c r="D288" i="383" s="1"/>
  <c r="D287" i="383" a="1"/>
  <c r="D287" i="383" s="1"/>
  <c r="D286" i="383" a="1"/>
  <c r="D286" i="383" s="1"/>
  <c r="D285" i="383" a="1"/>
  <c r="D285" i="383" s="1"/>
  <c r="D284" i="383" a="1"/>
  <c r="D284" i="383" s="1"/>
  <c r="D283" i="383" a="1"/>
  <c r="D283" i="383" s="1"/>
  <c r="D282" i="383" a="1"/>
  <c r="D282" i="383" s="1"/>
  <c r="D281" i="383" a="1"/>
  <c r="D281" i="383" s="1"/>
  <c r="D280" i="383" a="1"/>
  <c r="D280" i="383" s="1"/>
  <c r="D279" i="383" a="1"/>
  <c r="D279" i="383" s="1"/>
  <c r="D278" i="383" a="1"/>
  <c r="D278" i="383" s="1"/>
  <c r="D277" i="383" a="1"/>
  <c r="D277" i="383" s="1"/>
  <c r="D276" i="383" a="1"/>
  <c r="D276" i="383" s="1"/>
  <c r="D275" i="383" a="1"/>
  <c r="D275" i="383" s="1"/>
  <c r="D274" i="383" a="1"/>
  <c r="D274" i="383" s="1"/>
  <c r="D273" i="383" a="1"/>
  <c r="D273" i="383" s="1"/>
  <c r="D272" i="383" a="1"/>
  <c r="D272" i="383" s="1"/>
  <c r="D271" i="383" a="1"/>
  <c r="D271" i="383" s="1"/>
  <c r="D270" i="383" a="1"/>
  <c r="D270" i="383" s="1"/>
  <c r="D269" i="383" a="1"/>
  <c r="D269" i="383" s="1"/>
  <c r="D268" i="383" a="1"/>
  <c r="D268" i="383" s="1"/>
  <c r="D267" i="383" a="1"/>
  <c r="D267" i="383" s="1"/>
  <c r="D266" i="383" a="1"/>
  <c r="D266" i="383" s="1"/>
  <c r="D265" i="383" a="1"/>
  <c r="D265" i="383" s="1"/>
  <c r="D264" i="383" a="1"/>
  <c r="D264" i="383"/>
  <c r="D263" i="383" a="1"/>
  <c r="D263" i="383" s="1"/>
  <c r="D262" i="383" a="1"/>
  <c r="D262" i="383" s="1"/>
  <c r="D261" i="383" a="1"/>
  <c r="D261" i="383" s="1"/>
  <c r="D260" i="383" a="1"/>
  <c r="D260" i="383" s="1"/>
  <c r="D259" i="383" a="1"/>
  <c r="D259" i="383" s="1"/>
  <c r="D258" i="383" a="1"/>
  <c r="D258" i="383" s="1"/>
  <c r="D257" i="383" a="1"/>
  <c r="D257" i="383" s="1"/>
  <c r="D256" i="383" a="1"/>
  <c r="D256" i="383" s="1"/>
  <c r="D255" i="383" a="1"/>
  <c r="D255" i="383" s="1"/>
  <c r="D254" i="383" a="1"/>
  <c r="D254" i="383" s="1"/>
  <c r="D253" i="383" a="1"/>
  <c r="D253" i="383" s="1"/>
  <c r="D252" i="383" a="1"/>
  <c r="D252" i="383" s="1"/>
  <c r="D251" i="383" a="1"/>
  <c r="D251" i="383" s="1"/>
  <c r="D250" i="383" a="1"/>
  <c r="D250" i="383" s="1"/>
  <c r="D249" i="383" a="1"/>
  <c r="D249" i="383" s="1"/>
  <c r="D248" i="383" a="1"/>
  <c r="D248" i="383" s="1"/>
  <c r="D247" i="383" a="1"/>
  <c r="D247" i="383" s="1"/>
  <c r="D246" i="383" a="1"/>
  <c r="D246" i="383" s="1"/>
  <c r="D245" i="383" a="1"/>
  <c r="D245" i="383" s="1"/>
  <c r="D244" i="383" a="1"/>
  <c r="D244" i="383" s="1"/>
  <c r="D243" i="383" a="1"/>
  <c r="D243" i="383" s="1"/>
  <c r="D242" i="383" a="1"/>
  <c r="D242" i="383" s="1"/>
  <c r="D241" i="383" a="1"/>
  <c r="D241" i="383" s="1"/>
  <c r="D240" i="383" a="1"/>
  <c r="D240" i="383" s="1"/>
  <c r="D239" i="383" a="1"/>
  <c r="D239" i="383" s="1"/>
  <c r="D238" i="383" a="1"/>
  <c r="D238" i="383" s="1"/>
  <c r="D237" i="383" a="1"/>
  <c r="D237" i="383"/>
  <c r="D236" i="383" a="1"/>
  <c r="D236" i="383" s="1"/>
  <c r="D235" i="383" a="1"/>
  <c r="D235" i="383" s="1"/>
  <c r="D234" i="383" a="1"/>
  <c r="D234" i="383" s="1"/>
  <c r="D233" i="383" a="1"/>
  <c r="D233" i="383" s="1"/>
  <c r="D232" i="383" a="1"/>
  <c r="D232" i="383" s="1"/>
  <c r="D231" i="383" a="1"/>
  <c r="D231" i="383" s="1"/>
  <c r="D230" i="383" a="1"/>
  <c r="D230" i="383" s="1"/>
  <c r="D229" i="383" a="1"/>
  <c r="D229" i="383" s="1"/>
  <c r="D228" i="383" a="1"/>
  <c r="D228" i="383" s="1"/>
  <c r="D227" i="383" a="1"/>
  <c r="D227" i="383" s="1"/>
  <c r="D226" i="383" a="1"/>
  <c r="D226" i="383" s="1"/>
  <c r="D225" i="383" a="1"/>
  <c r="D225" i="383" s="1"/>
  <c r="D224" i="383" a="1"/>
  <c r="D224" i="383" s="1"/>
  <c r="D223" i="383" a="1"/>
  <c r="D223" i="383" s="1"/>
  <c r="D222" i="383" a="1"/>
  <c r="D222" i="383" s="1"/>
  <c r="D221" i="383" a="1"/>
  <c r="D221" i="383" s="1"/>
  <c r="D220" i="383" a="1"/>
  <c r="D220" i="383" s="1"/>
  <c r="D219" i="383" a="1"/>
  <c r="D219" i="383" s="1"/>
  <c r="D218" i="383" a="1"/>
  <c r="D218" i="383" s="1"/>
  <c r="D217" i="383" a="1"/>
  <c r="D217" i="383" s="1"/>
  <c r="D216" i="383" a="1"/>
  <c r="D216" i="383" s="1"/>
  <c r="D215" i="383" a="1"/>
  <c r="D215" i="383" s="1"/>
  <c r="D214" i="383" a="1"/>
  <c r="D214" i="383" s="1"/>
  <c r="D213" i="383" a="1"/>
  <c r="D213" i="383" s="1"/>
  <c r="D212" i="383" a="1"/>
  <c r="D212" i="383" s="1"/>
  <c r="D211" i="383" a="1"/>
  <c r="D211" i="383" s="1"/>
  <c r="D210" i="383" a="1"/>
  <c r="D210" i="383" s="1"/>
  <c r="D209" i="383" a="1"/>
  <c r="D209" i="383" s="1"/>
  <c r="D208" i="383" a="1"/>
  <c r="D208" i="383" s="1"/>
  <c r="D207" i="383" a="1"/>
  <c r="D207" i="383" s="1"/>
  <c r="D206" i="383" a="1"/>
  <c r="D206" i="383" s="1"/>
  <c r="D205" i="383" a="1"/>
  <c r="D205" i="383" s="1"/>
  <c r="D204" i="383" a="1"/>
  <c r="D204" i="383" s="1"/>
  <c r="D203" i="383" a="1"/>
  <c r="D203" i="383" s="1"/>
  <c r="D202" i="383" a="1"/>
  <c r="D202" i="383" s="1"/>
  <c r="D201" i="383" a="1"/>
  <c r="D201" i="383" s="1"/>
  <c r="D200" i="383" a="1"/>
  <c r="D200" i="383" s="1"/>
  <c r="D199" i="383" a="1"/>
  <c r="D199" i="383" s="1"/>
  <c r="D198" i="383" a="1"/>
  <c r="D198" i="383" s="1"/>
  <c r="D197" i="383" a="1"/>
  <c r="D197" i="383" s="1"/>
  <c r="D196" i="383" a="1"/>
  <c r="D196" i="383" s="1"/>
  <c r="D195" i="383" a="1"/>
  <c r="D195" i="383" s="1"/>
  <c r="D194" i="383" a="1"/>
  <c r="D194" i="383" s="1"/>
  <c r="D193" i="383" a="1"/>
  <c r="D193" i="383" s="1"/>
  <c r="D192" i="383" a="1"/>
  <c r="D192" i="383" s="1"/>
  <c r="D191" i="383" a="1"/>
  <c r="D191" i="383" s="1"/>
  <c r="D190" i="383" a="1"/>
  <c r="D190" i="383" s="1"/>
  <c r="D189" i="383" a="1"/>
  <c r="D189" i="383" s="1"/>
  <c r="D188" i="383" a="1"/>
  <c r="D188" i="383" s="1"/>
  <c r="D187" i="383" a="1"/>
  <c r="D187" i="383" s="1"/>
  <c r="D186" i="383" a="1"/>
  <c r="D186" i="383" s="1"/>
  <c r="D185" i="383" a="1"/>
  <c r="D185" i="383" s="1"/>
  <c r="D184" i="383" a="1"/>
  <c r="D184" i="383" s="1"/>
  <c r="D183" i="383" a="1"/>
  <c r="D183" i="383" s="1"/>
  <c r="D182" i="383" a="1"/>
  <c r="D182" i="383" s="1"/>
  <c r="D181" i="383" a="1"/>
  <c r="D181" i="383" s="1"/>
  <c r="D180" i="383" a="1"/>
  <c r="D180" i="383" s="1"/>
  <c r="D179" i="383" a="1"/>
  <c r="D179" i="383" s="1"/>
  <c r="D178" i="383" a="1"/>
  <c r="D178" i="383" s="1"/>
  <c r="D177" i="383" a="1"/>
  <c r="D177" i="383" s="1"/>
  <c r="D176" i="383" a="1"/>
  <c r="D176" i="383" s="1"/>
  <c r="D175" i="383" a="1"/>
  <c r="D175" i="383" s="1"/>
  <c r="D174" i="383" a="1"/>
  <c r="D174" i="383" s="1"/>
  <c r="D173" i="383" a="1"/>
  <c r="D173" i="383" s="1"/>
  <c r="D172" i="383" a="1"/>
  <c r="D172" i="383" s="1"/>
  <c r="D171" i="383" a="1"/>
  <c r="D171" i="383" s="1"/>
  <c r="D170" i="383" a="1"/>
  <c r="D170" i="383" s="1"/>
  <c r="D169" i="383" a="1"/>
  <c r="D169" i="383"/>
  <c r="D168" i="383" a="1"/>
  <c r="D168" i="383" s="1"/>
  <c r="D167" i="383" a="1"/>
  <c r="D167" i="383" s="1"/>
  <c r="D166" i="383" a="1"/>
  <c r="D166" i="383" s="1"/>
  <c r="D165" i="383" a="1"/>
  <c r="D165" i="383" s="1"/>
  <c r="D164" i="383" a="1"/>
  <c r="D164" i="383" s="1"/>
  <c r="D163" i="383" a="1"/>
  <c r="D163" i="383" s="1"/>
  <c r="D162" i="383" a="1"/>
  <c r="D162" i="383" s="1"/>
  <c r="D161" i="383" a="1"/>
  <c r="D161" i="383" s="1"/>
  <c r="D160" i="383" a="1"/>
  <c r="D160" i="383" s="1"/>
  <c r="D159" i="383" a="1"/>
  <c r="D159" i="383" s="1"/>
  <c r="D158" i="383" a="1"/>
  <c r="D158" i="383" s="1"/>
  <c r="D157" i="383" a="1"/>
  <c r="D157" i="383" s="1"/>
  <c r="D156" i="383" a="1"/>
  <c r="D156" i="383" s="1"/>
  <c r="D155" i="383" a="1"/>
  <c r="D155" i="383" s="1"/>
  <c r="D154" i="383" a="1"/>
  <c r="D154" i="383" s="1"/>
  <c r="D153" i="383" a="1"/>
  <c r="D153" i="383" s="1"/>
  <c r="D152" i="383" a="1"/>
  <c r="D152" i="383" s="1"/>
  <c r="D151" i="383" a="1"/>
  <c r="D151" i="383" s="1"/>
  <c r="D150" i="383" a="1"/>
  <c r="D150" i="383" s="1"/>
  <c r="D149" i="383" a="1"/>
  <c r="D149" i="383" s="1"/>
  <c r="D148" i="383" a="1"/>
  <c r="D148" i="383" s="1"/>
  <c r="D147" i="383" a="1"/>
  <c r="D147" i="383" s="1"/>
  <c r="D146" i="383" a="1"/>
  <c r="D146" i="383" s="1"/>
  <c r="D145" i="383" a="1"/>
  <c r="D145" i="383" s="1"/>
  <c r="D144" i="383" a="1"/>
  <c r="D144" i="383" s="1"/>
  <c r="D143" i="383" a="1"/>
  <c r="D143" i="383" s="1"/>
  <c r="D142" i="383" a="1"/>
  <c r="D142" i="383" s="1"/>
  <c r="D141" i="383" a="1"/>
  <c r="D141" i="383" s="1"/>
  <c r="D140" i="383" a="1"/>
  <c r="D140" i="383" s="1"/>
  <c r="D139" i="383" a="1"/>
  <c r="D139" i="383" s="1"/>
  <c r="D138" i="383" a="1"/>
  <c r="D138" i="383" s="1"/>
  <c r="D137" i="383" a="1"/>
  <c r="D137" i="383" s="1"/>
  <c r="D136" i="383" a="1"/>
  <c r="D136" i="383" s="1"/>
  <c r="D135" i="383" a="1"/>
  <c r="D135" i="383" s="1"/>
  <c r="D134" i="383" a="1"/>
  <c r="D134" i="383" s="1"/>
  <c r="D133" i="383" a="1"/>
  <c r="D133" i="383" s="1"/>
  <c r="D132" i="383" a="1"/>
  <c r="D132" i="383" s="1"/>
  <c r="D131" i="383" a="1"/>
  <c r="D131" i="383" s="1"/>
  <c r="D130" i="383" a="1"/>
  <c r="D130" i="383" s="1"/>
  <c r="D129" i="383" a="1"/>
  <c r="D129" i="383" s="1"/>
  <c r="D128" i="383" a="1"/>
  <c r="D128" i="383" s="1"/>
  <c r="D127" i="383" a="1"/>
  <c r="D127" i="383" s="1"/>
  <c r="D126" i="383" a="1"/>
  <c r="D126" i="383" s="1"/>
  <c r="D125" i="383" a="1"/>
  <c r="D125" i="383" s="1"/>
  <c r="D124" i="383" a="1"/>
  <c r="D124" i="383" s="1"/>
  <c r="D123" i="383" a="1"/>
  <c r="D123" i="383" s="1"/>
  <c r="D122" i="383" a="1"/>
  <c r="D122" i="383" s="1"/>
  <c r="D121" i="383" a="1"/>
  <c r="D121" i="383" s="1"/>
  <c r="D120" i="383" a="1"/>
  <c r="D120" i="383" s="1"/>
  <c r="D119" i="383" a="1"/>
  <c r="D119" i="383" s="1"/>
  <c r="D118" i="383" a="1"/>
  <c r="D118" i="383" s="1"/>
  <c r="D117" i="383" a="1"/>
  <c r="D117" i="383" s="1"/>
  <c r="D116" i="383" a="1"/>
  <c r="D116" i="383" s="1"/>
  <c r="D115" i="383" a="1"/>
  <c r="D115" i="383" s="1"/>
  <c r="D114" i="383" a="1"/>
  <c r="D114" i="383" s="1"/>
  <c r="D113" i="383" a="1"/>
  <c r="D113" i="383" s="1"/>
  <c r="D112" i="383" a="1"/>
  <c r="D112" i="383" s="1"/>
  <c r="D111" i="383" a="1"/>
  <c r="D111" i="383" s="1"/>
  <c r="D110" i="383" a="1"/>
  <c r="D110" i="383" s="1"/>
  <c r="D109" i="383" a="1"/>
  <c r="D109" i="383" s="1"/>
  <c r="D108" i="383" a="1"/>
  <c r="D108" i="383" s="1"/>
  <c r="D107" i="383" a="1"/>
  <c r="D107" i="383" s="1"/>
  <c r="D106" i="383" a="1"/>
  <c r="D106" i="383" s="1"/>
  <c r="D105" i="383" a="1"/>
  <c r="D105" i="383" s="1"/>
  <c r="D104" i="383" a="1"/>
  <c r="D104" i="383" s="1"/>
  <c r="D103" i="383" a="1"/>
  <c r="D103" i="383" s="1"/>
  <c r="D102" i="383" a="1"/>
  <c r="D102" i="383" s="1"/>
  <c r="D101" i="383" a="1"/>
  <c r="D101" i="383" s="1"/>
  <c r="D100" i="383" a="1"/>
  <c r="D100" i="383" s="1"/>
  <c r="D99" i="383" a="1"/>
  <c r="D99" i="383" s="1"/>
  <c r="D98" i="383" a="1"/>
  <c r="D98" i="383" s="1"/>
  <c r="D97" i="383" a="1"/>
  <c r="D97" i="383" s="1"/>
  <c r="D96" i="383" a="1"/>
  <c r="D96" i="383" s="1"/>
  <c r="D95" i="383" a="1"/>
  <c r="D95" i="383" s="1"/>
  <c r="D94" i="383" a="1"/>
  <c r="D94" i="383" s="1"/>
  <c r="D93" i="383" a="1"/>
  <c r="D93" i="383" s="1"/>
  <c r="D92" i="383" a="1"/>
  <c r="D92" i="383" s="1"/>
  <c r="D91" i="383" a="1"/>
  <c r="D91" i="383" s="1"/>
  <c r="D90" i="383" a="1"/>
  <c r="D90" i="383" s="1"/>
  <c r="D89" i="383" a="1"/>
  <c r="D89" i="383" s="1"/>
  <c r="D88" i="383" a="1"/>
  <c r="D88" i="383" s="1"/>
  <c r="D87" i="383" a="1"/>
  <c r="D87" i="383" s="1"/>
  <c r="D86" i="383" a="1"/>
  <c r="D86" i="383" s="1"/>
  <c r="D85" i="383" a="1"/>
  <c r="D85" i="383" s="1"/>
  <c r="D84" i="383" a="1"/>
  <c r="D84" i="383" s="1"/>
  <c r="D83" i="383" a="1"/>
  <c r="D83" i="383" s="1"/>
  <c r="D82" i="383" a="1"/>
  <c r="D82" i="383" s="1"/>
  <c r="D81" i="383" a="1"/>
  <c r="D81" i="383" s="1"/>
  <c r="D80" i="383" a="1"/>
  <c r="D80" i="383" s="1"/>
  <c r="D79" i="383" a="1"/>
  <c r="D79" i="383" s="1"/>
  <c r="D78" i="383" a="1"/>
  <c r="D78" i="383" s="1"/>
  <c r="D77" i="383" a="1"/>
  <c r="D77" i="383" s="1"/>
  <c r="D76" i="383" a="1"/>
  <c r="D76" i="383" s="1"/>
  <c r="D75" i="383" a="1"/>
  <c r="D75" i="383" s="1"/>
  <c r="D74" i="383" a="1"/>
  <c r="D74" i="383" s="1"/>
  <c r="D73" i="383" a="1"/>
  <c r="D73" i="383" s="1"/>
  <c r="D72" i="383" a="1"/>
  <c r="D72" i="383" s="1"/>
  <c r="D71" i="383" a="1"/>
  <c r="D71" i="383" s="1"/>
  <c r="D70" i="383" a="1"/>
  <c r="D70" i="383" s="1"/>
  <c r="D69" i="383" a="1"/>
  <c r="D69" i="383" s="1"/>
  <c r="D68" i="383" a="1"/>
  <c r="D68" i="383" s="1"/>
  <c r="D67" i="383" a="1"/>
  <c r="D67" i="383" s="1"/>
  <c r="D66" i="383" a="1"/>
  <c r="D66" i="383" s="1"/>
  <c r="D65" i="383" a="1"/>
  <c r="D65" i="383" s="1"/>
  <c r="D64" i="383" a="1"/>
  <c r="D64" i="383" s="1"/>
  <c r="D63" i="383" a="1"/>
  <c r="D63" i="383" s="1"/>
  <c r="D62" i="383" a="1"/>
  <c r="D62" i="383" s="1"/>
  <c r="D61" i="383" a="1"/>
  <c r="D61" i="383" s="1"/>
  <c r="D60" i="383" a="1"/>
  <c r="D60" i="383" s="1"/>
  <c r="D59" i="383" a="1"/>
  <c r="D59" i="383" s="1"/>
  <c r="D58" i="383" a="1"/>
  <c r="D58" i="383" s="1"/>
  <c r="D57" i="383" a="1"/>
  <c r="D57" i="383" s="1"/>
  <c r="D56" i="383" a="1"/>
  <c r="D56" i="383" s="1"/>
  <c r="D55" i="383" a="1"/>
  <c r="D55" i="383" s="1"/>
  <c r="D54" i="383" a="1"/>
  <c r="D54" i="383" s="1"/>
  <c r="D53" i="383" a="1"/>
  <c r="D53" i="383" s="1"/>
  <c r="D52" i="383" a="1"/>
  <c r="D52" i="383" s="1"/>
  <c r="D51" i="383" a="1"/>
  <c r="D51" i="383" s="1"/>
  <c r="D50" i="383" a="1"/>
  <c r="D50" i="383" s="1"/>
  <c r="D49" i="383" a="1"/>
  <c r="D49" i="383" s="1"/>
  <c r="D48" i="383" a="1"/>
  <c r="D48" i="383" s="1"/>
  <c r="D47" i="383" a="1"/>
  <c r="D47" i="383" s="1"/>
  <c r="D46" i="383" a="1"/>
  <c r="D46" i="383" s="1"/>
  <c r="D45" i="383" a="1"/>
  <c r="D45" i="383" s="1"/>
  <c r="D44" i="383" a="1"/>
  <c r="D44" i="383" s="1"/>
  <c r="D43" i="383" a="1"/>
  <c r="D43" i="383" s="1"/>
  <c r="D42" i="383" a="1"/>
  <c r="D42" i="383" s="1"/>
  <c r="D41" i="383" a="1"/>
  <c r="D41" i="383" s="1"/>
  <c r="D40" i="383" a="1"/>
  <c r="D40" i="383" s="1"/>
  <c r="D39" i="383" a="1"/>
  <c r="D39" i="383" s="1"/>
  <c r="D38" i="383" a="1"/>
  <c r="D38" i="383" s="1"/>
  <c r="D37" i="383" a="1"/>
  <c r="D37" i="383"/>
  <c r="D36" i="383" a="1"/>
  <c r="D36" i="383" s="1"/>
  <c r="D35" i="383" a="1"/>
  <c r="D35" i="383" s="1"/>
  <c r="D34" i="383" a="1"/>
  <c r="D34" i="383" s="1"/>
  <c r="D33" i="383" a="1"/>
  <c r="D33" i="383" s="1"/>
  <c r="D32" i="383" a="1"/>
  <c r="D32" i="383" s="1"/>
  <c r="D31" i="383" a="1"/>
  <c r="D31" i="383" s="1"/>
  <c r="D30" i="383" a="1"/>
  <c r="D30" i="383" s="1"/>
  <c r="D29" i="383" a="1"/>
  <c r="D29" i="383" s="1"/>
  <c r="D28" i="383" a="1"/>
  <c r="D28" i="383" s="1"/>
  <c r="D27" i="383" a="1"/>
  <c r="D27" i="383" s="1"/>
  <c r="D26" i="383" a="1"/>
  <c r="D26" i="383" s="1"/>
  <c r="D25" i="383" a="1"/>
  <c r="D25" i="383" s="1"/>
  <c r="D24" i="383" a="1"/>
  <c r="D24" i="383" s="1"/>
  <c r="D23" i="383" a="1"/>
  <c r="D23" i="383" s="1"/>
  <c r="D22" i="383" a="1"/>
  <c r="D22" i="383" s="1"/>
  <c r="D21" i="383" a="1"/>
  <c r="D21" i="383" s="1"/>
  <c r="D20" i="383" a="1"/>
  <c r="D20" i="383" s="1"/>
  <c r="D19" i="383" a="1"/>
  <c r="D19" i="383" s="1"/>
  <c r="D18" i="383" a="1"/>
  <c r="D18" i="383" s="1"/>
  <c r="D17" i="383" a="1"/>
  <c r="D17" i="383" s="1"/>
  <c r="D16" i="383" a="1"/>
  <c r="D16" i="383" s="1"/>
  <c r="D15" i="383" a="1"/>
  <c r="D15" i="383" s="1"/>
  <c r="D14" i="383" a="1"/>
  <c r="D14" i="383" s="1"/>
  <c r="D13" i="383" a="1"/>
  <c r="D13" i="383" s="1"/>
  <c r="D12" i="383" a="1"/>
  <c r="D12" i="383" s="1"/>
  <c r="D11" i="383" a="1"/>
  <c r="D11" i="383" s="1"/>
  <c r="D10" i="383" a="1"/>
  <c r="D10" i="383" s="1"/>
  <c r="D9" i="383" a="1"/>
  <c r="D9" i="383" s="1"/>
  <c r="D8" i="383" a="1"/>
  <c r="D8" i="383" s="1"/>
  <c r="D7" i="383" a="1"/>
  <c r="D7" i="383" s="1"/>
  <c r="D6" i="383" a="1"/>
  <c r="D6" i="383" s="1"/>
  <c r="D5" i="383" a="1"/>
  <c r="D5" i="383" s="1"/>
  <c r="D4" i="383" a="1"/>
  <c r="D4" i="383" s="1"/>
  <c r="D3" i="383" a="1"/>
  <c r="D3" i="383" s="1"/>
  <c r="D2" i="383" a="1"/>
  <c r="D2" i="383" s="1"/>
  <c r="P163" i="386"/>
  <c r="P154" i="386"/>
  <c r="P153" i="386"/>
  <c r="C108" i="386"/>
  <c r="P108" i="386" s="1"/>
  <c r="P86" i="386"/>
  <c r="P85" i="386"/>
  <c r="P84" i="386"/>
  <c r="P83" i="386"/>
  <c r="P81" i="386"/>
  <c r="C70" i="386"/>
  <c r="P70" i="386" s="1"/>
  <c r="P46" i="386"/>
  <c r="P45" i="386"/>
  <c r="C29" i="386"/>
  <c r="P29" i="386" s="1"/>
  <c r="C28" i="386"/>
  <c r="P28" i="386"/>
  <c r="C27" i="386"/>
  <c r="P27" i="386" s="1"/>
  <c r="C26" i="386"/>
  <c r="P26" i="386" s="1"/>
  <c r="C25" i="386"/>
  <c r="P25" i="386" s="1"/>
  <c r="P24" i="386"/>
  <c r="O7" i="386"/>
  <c r="N7" i="386"/>
  <c r="M7" i="386"/>
  <c r="M33" i="386" s="1" a="1"/>
  <c r="M33" i="386" s="1"/>
  <c r="L7" i="386"/>
  <c r="L91" i="386" s="1" a="1"/>
  <c r="L91" i="386" s="1"/>
  <c r="K7" i="386"/>
  <c r="J7" i="386"/>
  <c r="I7" i="386"/>
  <c r="I36" i="386" s="1" a="1"/>
  <c r="I36" i="386" s="1"/>
  <c r="H7" i="386"/>
  <c r="H88" i="386" s="1" a="1"/>
  <c r="H88" i="386" s="1"/>
  <c r="G7" i="386"/>
  <c r="F7" i="386"/>
  <c r="E7" i="386"/>
  <c r="E41" i="386" s="1" a="1"/>
  <c r="E41" i="386" s="1"/>
  <c r="D7" i="386"/>
  <c r="D91" i="386" s="1" a="1"/>
  <c r="D91" i="386" s="1"/>
  <c r="A5" i="386"/>
  <c r="P163" i="385"/>
  <c r="P154" i="385"/>
  <c r="P153" i="385"/>
  <c r="C108" i="385"/>
  <c r="P108" i="385"/>
  <c r="P86" i="385"/>
  <c r="P85" i="385"/>
  <c r="P84" i="385"/>
  <c r="P83" i="385"/>
  <c r="P81" i="385"/>
  <c r="C70" i="385"/>
  <c r="P70" i="385" s="1"/>
  <c r="P46" i="385"/>
  <c r="P45" i="385"/>
  <c r="C29" i="385"/>
  <c r="P29" i="385" s="1"/>
  <c r="C28" i="385"/>
  <c r="P28" i="385" s="1"/>
  <c r="C27" i="385"/>
  <c r="P27" i="385" s="1"/>
  <c r="C26" i="385"/>
  <c r="P26" i="385" s="1"/>
  <c r="C25" i="385"/>
  <c r="P25" i="385" s="1"/>
  <c r="P24" i="385"/>
  <c r="O7" i="385"/>
  <c r="O35" i="385" s="1" a="1"/>
  <c r="O35" i="385" s="1"/>
  <c r="N7" i="385"/>
  <c r="N32" i="385" s="1" a="1"/>
  <c r="N32" i="385" s="1"/>
  <c r="M7" i="385"/>
  <c r="L7" i="385"/>
  <c r="L12" i="385" s="1" a="1"/>
  <c r="L12" i="385" s="1"/>
  <c r="K7" i="385"/>
  <c r="K33" i="385" s="1" a="1"/>
  <c r="K33" i="385" s="1"/>
  <c r="J7" i="385"/>
  <c r="J31" i="385" s="1" a="1"/>
  <c r="J31" i="385" s="1"/>
  <c r="I7" i="385"/>
  <c r="H7" i="385"/>
  <c r="H12" i="385" s="1" a="1"/>
  <c r="H12" i="385" s="1"/>
  <c r="G7" i="385"/>
  <c r="G35" i="385" a="1"/>
  <c r="G35" i="385" s="1"/>
  <c r="F7" i="385"/>
  <c r="F32" i="385" s="1" a="1"/>
  <c r="F32" i="385" s="1"/>
  <c r="E7" i="385"/>
  <c r="D7" i="385"/>
  <c r="D14" i="385" s="1" a="1"/>
  <c r="D14" i="385" s="1"/>
  <c r="A5" i="385"/>
  <c r="P163" i="365"/>
  <c r="P154" i="365"/>
  <c r="P153" i="365"/>
  <c r="C108" i="365"/>
  <c r="P108" i="365" s="1"/>
  <c r="P86" i="365"/>
  <c r="P85" i="365"/>
  <c r="P84" i="365"/>
  <c r="P83" i="365"/>
  <c r="P81" i="365"/>
  <c r="C70" i="365"/>
  <c r="P70" i="365" s="1"/>
  <c r="P46" i="365"/>
  <c r="P45" i="365"/>
  <c r="C29" i="365"/>
  <c r="P29" i="365" s="1"/>
  <c r="C28" i="365"/>
  <c r="P28" i="365" s="1"/>
  <c r="C27" i="365"/>
  <c r="P27" i="365" s="1"/>
  <c r="C26" i="365"/>
  <c r="P26" i="365" s="1"/>
  <c r="C25" i="365"/>
  <c r="P25" i="365" s="1"/>
  <c r="P24" i="365"/>
  <c r="O7" i="365"/>
  <c r="O127" i="365" s="1" a="1"/>
  <c r="O127" i="365" s="1"/>
  <c r="N7" i="365"/>
  <c r="N128" i="365" s="1" a="1"/>
  <c r="N128" i="365" s="1"/>
  <c r="M7" i="365"/>
  <c r="M36" i="365" s="1" a="1"/>
  <c r="M36" i="365" s="1"/>
  <c r="L7" i="365"/>
  <c r="L127" i="365" s="1" a="1"/>
  <c r="L127" i="365" s="1"/>
  <c r="K7" i="365"/>
  <c r="K129" i="365" s="1" a="1"/>
  <c r="K129" i="365" s="1"/>
  <c r="J7" i="365"/>
  <c r="J127" i="365" s="1" a="1"/>
  <c r="J127" i="365" s="1"/>
  <c r="I7" i="365"/>
  <c r="I32" i="365" s="1" a="1"/>
  <c r="I32" i="365" s="1"/>
  <c r="H7" i="365"/>
  <c r="H130" i="365" s="1" a="1"/>
  <c r="H130" i="365" s="1"/>
  <c r="G7" i="365"/>
  <c r="G127" i="365" s="1" a="1"/>
  <c r="G127" i="365" s="1"/>
  <c r="F7" i="365"/>
  <c r="F127" i="365" s="1" a="1"/>
  <c r="F127" i="365" s="1"/>
  <c r="E7" i="365"/>
  <c r="E31" i="365" s="1" a="1"/>
  <c r="E31" i="365" s="1"/>
  <c r="D7" i="365"/>
  <c r="D127" i="365" s="1" a="1"/>
  <c r="D127" i="365" s="1"/>
  <c r="A5" i="365"/>
  <c r="C8" i="412"/>
  <c r="C135" i="412" s="1" a="1"/>
  <c r="C135" i="412" s="1"/>
  <c r="A4" i="412"/>
  <c r="D136" i="412" s="1" a="1"/>
  <c r="D136" i="412" s="1"/>
  <c r="C8" i="417"/>
  <c r="C132" i="417" s="1" a="1"/>
  <c r="C132" i="417" s="1"/>
  <c r="A5" i="417"/>
  <c r="A4" i="417"/>
  <c r="D137" i="417" s="1" a="1"/>
  <c r="D137" i="417" s="1"/>
  <c r="C8" i="416"/>
  <c r="C132" i="416" a="1"/>
  <c r="C132" i="416" s="1"/>
  <c r="A5" i="416"/>
  <c r="A4" i="416"/>
  <c r="D62" i="416" s="1" a="1"/>
  <c r="D62" i="416" s="1"/>
  <c r="C8" i="413"/>
  <c r="C105" i="413" s="1" a="1"/>
  <c r="C105" i="413" s="1"/>
  <c r="A5" i="413"/>
  <c r="A4" i="413"/>
  <c r="D70" i="413" s="1" a="1"/>
  <c r="D70" i="413" s="1"/>
  <c r="C8" i="418"/>
  <c r="A5" i="418"/>
  <c r="A4" i="418"/>
  <c r="D58" i="391"/>
  <c r="E57" i="391"/>
  <c r="V56" i="391"/>
  <c r="U56" i="391"/>
  <c r="K56" i="391"/>
  <c r="E56" i="391"/>
  <c r="D54" i="391"/>
  <c r="T53" i="391"/>
  <c r="S53" i="391"/>
  <c r="D53" i="391"/>
  <c r="D52" i="391"/>
  <c r="E51" i="391"/>
  <c r="V50" i="391"/>
  <c r="U50" i="391"/>
  <c r="M50" i="391"/>
  <c r="K50" i="391"/>
  <c r="E50" i="391"/>
  <c r="D49" i="391"/>
  <c r="E48" i="391"/>
  <c r="V47" i="391"/>
  <c r="U47" i="391"/>
  <c r="M47" i="391"/>
  <c r="L47" i="391"/>
  <c r="K47" i="391"/>
  <c r="E47" i="391"/>
  <c r="D46" i="391"/>
  <c r="E45" i="391"/>
  <c r="V44" i="391"/>
  <c r="U44" i="391"/>
  <c r="M44" i="391"/>
  <c r="L44" i="391"/>
  <c r="K44" i="391"/>
  <c r="E44" i="391"/>
  <c r="D43" i="391"/>
  <c r="E42" i="391"/>
  <c r="V41" i="391"/>
  <c r="U41" i="391"/>
  <c r="M41" i="391"/>
  <c r="L41" i="391"/>
  <c r="K41" i="391"/>
  <c r="E41" i="391"/>
  <c r="D40" i="391"/>
  <c r="E39" i="391"/>
  <c r="V38" i="391"/>
  <c r="U38" i="391"/>
  <c r="M38" i="391"/>
  <c r="L38" i="391"/>
  <c r="L53" i="391" s="1"/>
  <c r="K38" i="391"/>
  <c r="K53" i="391" s="1"/>
  <c r="E38" i="391"/>
  <c r="D36" i="391"/>
  <c r="T35" i="391"/>
  <c r="S35" i="391"/>
  <c r="D35" i="391"/>
  <c r="D34" i="391"/>
  <c r="E33" i="391"/>
  <c r="V32" i="391"/>
  <c r="U32" i="391"/>
  <c r="M32" i="391"/>
  <c r="K32" i="391"/>
  <c r="E32" i="391"/>
  <c r="D31" i="391"/>
  <c r="E30" i="391"/>
  <c r="V29" i="391"/>
  <c r="U29" i="391"/>
  <c r="M29" i="391"/>
  <c r="L29" i="391"/>
  <c r="K29" i="391"/>
  <c r="E29" i="391"/>
  <c r="D28" i="391"/>
  <c r="E27" i="391"/>
  <c r="V26" i="391"/>
  <c r="U26" i="391"/>
  <c r="M26" i="391"/>
  <c r="L26" i="391"/>
  <c r="K26" i="391"/>
  <c r="E26" i="391"/>
  <c r="D25" i="391"/>
  <c r="E24" i="391"/>
  <c r="V23" i="391"/>
  <c r="U23" i="391"/>
  <c r="M23" i="391"/>
  <c r="L23" i="391"/>
  <c r="L35" i="391" s="1"/>
  <c r="K23" i="391"/>
  <c r="K35" i="391" s="1"/>
  <c r="E23" i="391"/>
  <c r="D21" i="391"/>
  <c r="T20" i="391"/>
  <c r="S20" i="391"/>
  <c r="D20" i="391"/>
  <c r="D19" i="391"/>
  <c r="E18" i="391"/>
  <c r="V17" i="391"/>
  <c r="U17" i="391"/>
  <c r="M17" i="391"/>
  <c r="K17" i="391"/>
  <c r="E17" i="391"/>
  <c r="D16" i="391"/>
  <c r="E15" i="391"/>
  <c r="V14" i="391"/>
  <c r="U14" i="391"/>
  <c r="M14" i="391"/>
  <c r="L14" i="391"/>
  <c r="K14" i="391"/>
  <c r="E14" i="391"/>
  <c r="D13" i="391"/>
  <c r="E12" i="391"/>
  <c r="V11" i="391"/>
  <c r="U11" i="391"/>
  <c r="M11" i="391"/>
  <c r="L11" i="391"/>
  <c r="K11" i="391"/>
  <c r="E11" i="391"/>
  <c r="D10" i="391"/>
  <c r="E9" i="391"/>
  <c r="V8" i="391"/>
  <c r="U8" i="391"/>
  <c r="M8" i="391"/>
  <c r="L8" i="391"/>
  <c r="K8" i="391"/>
  <c r="E8" i="391"/>
  <c r="Q7" i="391"/>
  <c r="E6" i="391"/>
  <c r="B6" i="391"/>
  <c r="Q5" i="391" s="1"/>
  <c r="A4" i="391"/>
  <c r="G5" i="391" s="1"/>
  <c r="I183" i="388"/>
  <c r="H183" i="388"/>
  <c r="I182" i="388"/>
  <c r="H182" i="388"/>
  <c r="I181" i="388"/>
  <c r="H181" i="388"/>
  <c r="I180" i="388"/>
  <c r="H180" i="388"/>
  <c r="C175" i="388" a="1"/>
  <c r="C175" i="388" s="1"/>
  <c r="C177" i="388" s="1"/>
  <c r="I169" i="388"/>
  <c r="H169" i="388"/>
  <c r="I168" i="388"/>
  <c r="H168" i="388"/>
  <c r="C163" i="388" a="1"/>
  <c r="C163" i="388" s="1"/>
  <c r="C162" i="388" a="1"/>
  <c r="C162" i="388" s="1"/>
  <c r="C161" i="388" a="1"/>
  <c r="C161" i="388" s="1"/>
  <c r="C160" i="388" a="1"/>
  <c r="C160" i="388" s="1"/>
  <c r="C159" i="388" a="1"/>
  <c r="C159" i="388" s="1"/>
  <c r="C158" i="388" a="1"/>
  <c r="C158" i="388" s="1"/>
  <c r="C157" i="388" a="1"/>
  <c r="C157" i="388" s="1"/>
  <c r="C156" i="388" a="1"/>
  <c r="C156" i="388" s="1"/>
  <c r="C155" i="388" a="1"/>
  <c r="C155" i="388" s="1"/>
  <c r="I151" i="388"/>
  <c r="H151" i="388"/>
  <c r="I150" i="388"/>
  <c r="H150" i="388"/>
  <c r="C145" i="388" a="1"/>
  <c r="C145" i="388" s="1"/>
  <c r="C144" i="388" s="1"/>
  <c r="G143" i="388" a="1"/>
  <c r="G143" i="388" s="1"/>
  <c r="C143" i="388" a="1"/>
  <c r="C143" i="388" s="1"/>
  <c r="C142" i="388" a="1"/>
  <c r="C142" i="388" s="1"/>
  <c r="C141" i="388" a="1"/>
  <c r="C141" i="388" s="1"/>
  <c r="C140" i="388" a="1"/>
  <c r="C140" i="388" s="1"/>
  <c r="I138" i="388"/>
  <c r="H138" i="388"/>
  <c r="C137" i="388" a="1"/>
  <c r="C137" i="388" s="1"/>
  <c r="C136" i="388" a="1"/>
  <c r="C136" i="388" s="1"/>
  <c r="C135" i="388" a="1"/>
  <c r="C135" i="388" s="1"/>
  <c r="C134" i="388" a="1"/>
  <c r="C134" i="388" s="1"/>
  <c r="C133" i="388" a="1"/>
  <c r="C133" i="388" s="1"/>
  <c r="C132" i="388" a="1"/>
  <c r="C132" i="388" s="1"/>
  <c r="C131" i="388" a="1"/>
  <c r="C131" i="388" s="1"/>
  <c r="C130" i="388" a="1"/>
  <c r="C130" i="388" s="1"/>
  <c r="C129" i="388" a="1"/>
  <c r="C129" i="388" s="1"/>
  <c r="C128" i="388" a="1"/>
  <c r="C128" i="388" s="1"/>
  <c r="C127" i="388" a="1"/>
  <c r="C127" i="388" s="1"/>
  <c r="C126" i="388" a="1"/>
  <c r="C126" i="388" s="1"/>
  <c r="C125" i="388" a="1"/>
  <c r="C125" i="388" s="1"/>
  <c r="C124" i="388" a="1"/>
  <c r="C124" i="388" s="1"/>
  <c r="C123" i="388" a="1"/>
  <c r="C123" i="388" s="1"/>
  <c r="C122" i="388" a="1"/>
  <c r="C122" i="388" s="1"/>
  <c r="C121" i="388" a="1"/>
  <c r="C121" i="388" s="1"/>
  <c r="C120" i="388" a="1"/>
  <c r="C120" i="388" s="1"/>
  <c r="C119" i="388" a="1"/>
  <c r="C119" i="388" s="1"/>
  <c r="C118" i="388" a="1"/>
  <c r="C118" i="388" s="1"/>
  <c r="C117" i="388" a="1"/>
  <c r="C117" i="388" s="1"/>
  <c r="C116" i="388" a="1"/>
  <c r="C116" i="388" s="1"/>
  <c r="C115" i="388" a="1"/>
  <c r="C115" i="388" s="1"/>
  <c r="C114" i="388" a="1"/>
  <c r="C114" i="388" s="1"/>
  <c r="C113" i="388" a="1"/>
  <c r="C113" i="388" s="1"/>
  <c r="C112" i="388" a="1"/>
  <c r="C112" i="388" s="1"/>
  <c r="C111" i="388" a="1"/>
  <c r="C111" i="388" s="1"/>
  <c r="C110" i="388" a="1"/>
  <c r="C110" i="388" s="1"/>
  <c r="C109" i="388" a="1"/>
  <c r="C109" i="388" s="1"/>
  <c r="C108" i="388" a="1"/>
  <c r="C108" i="388" s="1"/>
  <c r="C107" i="388" a="1"/>
  <c r="C107" i="388" s="1"/>
  <c r="C106" i="388" a="1"/>
  <c r="C106" i="388" s="1"/>
  <c r="C105" i="388" a="1"/>
  <c r="C105" i="388" s="1"/>
  <c r="C104" i="388" a="1"/>
  <c r="C104" i="388" s="1"/>
  <c r="C103" i="388" a="1"/>
  <c r="C103" i="388" s="1"/>
  <c r="C102" i="388" a="1"/>
  <c r="C102" i="388" s="1"/>
  <c r="C101" i="388" a="1"/>
  <c r="C101" i="388" s="1"/>
  <c r="C100" i="388" a="1"/>
  <c r="C100" i="388" s="1"/>
  <c r="C99" i="388" a="1"/>
  <c r="C99" i="388" s="1"/>
  <c r="C98" i="388" a="1"/>
  <c r="C98" i="388" s="1"/>
  <c r="C97" i="388" a="1"/>
  <c r="C97" i="388" s="1"/>
  <c r="C96" i="388" a="1"/>
  <c r="C96" i="388" s="1"/>
  <c r="C95" i="388" a="1"/>
  <c r="C95" i="388" s="1"/>
  <c r="C94" i="388" a="1"/>
  <c r="C94" i="388" s="1"/>
  <c r="C93" i="388" a="1"/>
  <c r="C93" i="388" s="1"/>
  <c r="C92" i="388" a="1"/>
  <c r="C92" i="388" s="1"/>
  <c r="C91" i="388" a="1"/>
  <c r="C91" i="388" s="1"/>
  <c r="C90" i="388" a="1"/>
  <c r="C90" i="388" s="1"/>
  <c r="C89" i="388" a="1"/>
  <c r="C89" i="388" s="1"/>
  <c r="C88" i="388" a="1"/>
  <c r="C88" i="388" s="1"/>
  <c r="C87" i="388" a="1"/>
  <c r="C87" i="388" s="1"/>
  <c r="C86" i="388" a="1"/>
  <c r="C86" i="388" s="1"/>
  <c r="C85" i="388" a="1"/>
  <c r="C85" i="388" s="1"/>
  <c r="C84" i="388" a="1"/>
  <c r="C84" i="388" s="1"/>
  <c r="C83" i="388" a="1"/>
  <c r="C83" i="388" s="1"/>
  <c r="C82" i="388" a="1"/>
  <c r="C82" i="388" s="1"/>
  <c r="C81" i="388" a="1"/>
  <c r="C81" i="388" s="1"/>
  <c r="C80" i="388" a="1"/>
  <c r="C80" i="388" s="1"/>
  <c r="C79" i="388" a="1"/>
  <c r="C79" i="388" s="1"/>
  <c r="C74" i="388" a="1"/>
  <c r="C74" i="388" s="1"/>
  <c r="C73" i="388" a="1"/>
  <c r="C73" i="388" s="1"/>
  <c r="C72" i="388" a="1"/>
  <c r="C72" i="388" s="1"/>
  <c r="C71" i="388" a="1"/>
  <c r="C71" i="388" s="1"/>
  <c r="C70" i="388" a="1"/>
  <c r="C70" i="388" s="1"/>
  <c r="C69" i="388" a="1"/>
  <c r="C69" i="388" s="1"/>
  <c r="C68" i="388" a="1"/>
  <c r="C68" i="388" s="1"/>
  <c r="C67" i="388" a="1"/>
  <c r="C67" i="388" s="1"/>
  <c r="C66" i="388" a="1"/>
  <c r="C66" i="388" s="1"/>
  <c r="C65" i="388" a="1"/>
  <c r="C65" i="388" s="1"/>
  <c r="C64" i="388" a="1"/>
  <c r="C64" i="388" s="1"/>
  <c r="C63" i="388" a="1"/>
  <c r="C63" i="388" s="1"/>
  <c r="C62" i="388" a="1"/>
  <c r="C62" i="388" s="1"/>
  <c r="C61" i="388" a="1"/>
  <c r="C61" i="388" s="1"/>
  <c r="C60" i="388" a="1"/>
  <c r="C60" i="388" s="1"/>
  <c r="C59" i="388" a="1"/>
  <c r="C59" i="388" s="1"/>
  <c r="C58" i="388" a="1"/>
  <c r="C58" i="388" s="1"/>
  <c r="C57" i="388" a="1"/>
  <c r="C57" i="388" s="1"/>
  <c r="C56" i="388" a="1"/>
  <c r="C56" i="388" s="1"/>
  <c r="C55" i="388" a="1"/>
  <c r="C55" i="388" s="1"/>
  <c r="C54" i="388" a="1"/>
  <c r="C54" i="388" s="1"/>
  <c r="C53" i="388" a="1"/>
  <c r="C53" i="388" s="1"/>
  <c r="C52" i="388" a="1"/>
  <c r="C52" i="388" s="1"/>
  <c r="C45" i="388" a="1"/>
  <c r="C45" i="388" s="1"/>
  <c r="C44" i="388" a="1"/>
  <c r="C44" i="388" s="1"/>
  <c r="C43" i="388" a="1"/>
  <c r="C43" i="388" s="1"/>
  <c r="C42" i="388" a="1"/>
  <c r="C42" i="388" s="1"/>
  <c r="C41" i="388" a="1"/>
  <c r="C41" i="388" s="1"/>
  <c r="C40" i="388" a="1"/>
  <c r="C40" i="388" s="1"/>
  <c r="C39" i="388" a="1"/>
  <c r="C39" i="388" s="1"/>
  <c r="C38" i="388" a="1"/>
  <c r="C38" i="388" s="1"/>
  <c r="C37" i="388" a="1"/>
  <c r="C37" i="388" s="1"/>
  <c r="C35" i="388" a="1"/>
  <c r="C35" i="388" s="1"/>
  <c r="C34" i="388" a="1"/>
  <c r="C34" i="388" s="1"/>
  <c r="C33" i="388" a="1"/>
  <c r="C33" i="388" s="1"/>
  <c r="C31" i="388" a="1"/>
  <c r="C31" i="388" s="1"/>
  <c r="C30" i="388" a="1"/>
  <c r="C30" i="388" s="1"/>
  <c r="C28" i="388" a="1"/>
  <c r="C28" i="388" s="1"/>
  <c r="C26" i="388" a="1"/>
  <c r="C26" i="388" s="1"/>
  <c r="C23" i="388" a="1"/>
  <c r="C23" i="388" s="1"/>
  <c r="C22" i="388" a="1"/>
  <c r="C22" i="388" s="1"/>
  <c r="C20" i="388" a="1"/>
  <c r="C20" i="388" s="1"/>
  <c r="C18" i="388" a="1"/>
  <c r="C18" i="388" s="1"/>
  <c r="C17" i="388" a="1"/>
  <c r="C17" i="388" s="1"/>
  <c r="C16" i="388" a="1"/>
  <c r="C16" i="388" s="1"/>
  <c r="C14" i="388" a="1"/>
  <c r="C14" i="388" s="1"/>
  <c r="C13" i="388" a="1"/>
  <c r="C13" i="388" s="1"/>
  <c r="C12" i="388" a="1"/>
  <c r="C12" i="388" s="1"/>
  <c r="C10" i="388" a="1"/>
  <c r="C10" i="388" s="1"/>
  <c r="E7" i="388"/>
  <c r="E28" i="388" s="1" a="1"/>
  <c r="E28" i="388" s="1"/>
  <c r="A3" i="388"/>
  <c r="F175" i="388" s="1" a="1"/>
  <c r="F175" i="388" s="1"/>
  <c r="F177" i="388" s="1"/>
  <c r="I183" i="405"/>
  <c r="H183" i="405"/>
  <c r="I182" i="405"/>
  <c r="H182" i="405"/>
  <c r="I181" i="405"/>
  <c r="H181" i="405"/>
  <c r="I180" i="405"/>
  <c r="H180" i="405"/>
  <c r="C175" i="405" a="1"/>
  <c r="C175" i="405" s="1"/>
  <c r="C177" i="405" s="1"/>
  <c r="I169" i="405"/>
  <c r="H169" i="405"/>
  <c r="I168" i="405"/>
  <c r="H168" i="405"/>
  <c r="C163" i="405" a="1"/>
  <c r="C163" i="405" s="1"/>
  <c r="C162" i="405" a="1"/>
  <c r="C162" i="405"/>
  <c r="C161" i="405" a="1"/>
  <c r="C161" i="405" s="1"/>
  <c r="C160" i="405" a="1"/>
  <c r="C160" i="405" s="1"/>
  <c r="C159" i="405" a="1"/>
  <c r="C159" i="405" s="1"/>
  <c r="C158" i="405" a="1"/>
  <c r="C158" i="405"/>
  <c r="C157" i="405" a="1"/>
  <c r="C157" i="405" s="1"/>
  <c r="C156" i="405" a="1"/>
  <c r="C156" i="405" s="1"/>
  <c r="C155" i="405" a="1"/>
  <c r="C155" i="405" s="1"/>
  <c r="I151" i="405"/>
  <c r="H151" i="405"/>
  <c r="I150" i="405"/>
  <c r="H150" i="405"/>
  <c r="I146" i="405"/>
  <c r="G146" i="405"/>
  <c r="H146" i="405"/>
  <c r="C145" i="405" a="1"/>
  <c r="C145" i="405"/>
  <c r="C144" i="405" s="1"/>
  <c r="G143" i="405" a="1"/>
  <c r="G143" i="405" s="1"/>
  <c r="C143" i="405" a="1"/>
  <c r="C143" i="405" s="1"/>
  <c r="C142" i="405" a="1"/>
  <c r="C142" i="405" s="1"/>
  <c r="C141" i="405" a="1"/>
  <c r="C141" i="405" s="1"/>
  <c r="C140" i="405" a="1"/>
  <c r="C140" i="405" s="1"/>
  <c r="I138" i="405"/>
  <c r="H138" i="405"/>
  <c r="C137" i="405" a="1"/>
  <c r="C137" i="405" s="1"/>
  <c r="C136" i="405" a="1"/>
  <c r="C136" i="405" s="1"/>
  <c r="C135" i="405" a="1"/>
  <c r="C135" i="405" s="1"/>
  <c r="C134" i="405" a="1"/>
  <c r="C134" i="405" s="1"/>
  <c r="C133" i="405" a="1"/>
  <c r="C133" i="405" s="1"/>
  <c r="C132" i="405" a="1"/>
  <c r="C132" i="405" s="1"/>
  <c r="C131" i="405" a="1"/>
  <c r="C131" i="405" s="1"/>
  <c r="C130" i="405" a="1"/>
  <c r="C130" i="405" s="1"/>
  <c r="C129" i="405" a="1"/>
  <c r="C129" i="405" s="1"/>
  <c r="C128" i="405" a="1"/>
  <c r="C128" i="405" s="1"/>
  <c r="C127" i="405" a="1"/>
  <c r="C127" i="405" s="1"/>
  <c r="C126" i="405" a="1"/>
  <c r="C126" i="405" s="1"/>
  <c r="C125" i="405" a="1"/>
  <c r="C125" i="405" s="1"/>
  <c r="C124" i="405" a="1"/>
  <c r="C124" i="405" s="1"/>
  <c r="C123" i="405" a="1"/>
  <c r="C123" i="405"/>
  <c r="C122" i="405" a="1"/>
  <c r="C122" i="405"/>
  <c r="C121" i="405" a="1"/>
  <c r="C121" i="405"/>
  <c r="C120" i="405" a="1"/>
  <c r="C120" i="405"/>
  <c r="C119" i="405" a="1"/>
  <c r="C119" i="405"/>
  <c r="C118" i="405" a="1"/>
  <c r="C118" i="405"/>
  <c r="C117" i="405" a="1"/>
  <c r="C117" i="405"/>
  <c r="C116" i="405" a="1"/>
  <c r="C116" i="405"/>
  <c r="C115" i="405" a="1"/>
  <c r="C115" i="405"/>
  <c r="C114" i="405" a="1"/>
  <c r="C114" i="405"/>
  <c r="C113" i="405" a="1"/>
  <c r="C113" i="405"/>
  <c r="C112" i="405" a="1"/>
  <c r="C112" i="405"/>
  <c r="C111" i="405" a="1"/>
  <c r="C111" i="405"/>
  <c r="C110" i="405" a="1"/>
  <c r="C110" i="405"/>
  <c r="C109" i="405" a="1"/>
  <c r="C109" i="405"/>
  <c r="C108" i="405" a="1"/>
  <c r="C108" i="405"/>
  <c r="C107" i="405" a="1"/>
  <c r="C107" i="405"/>
  <c r="C106" i="405" a="1"/>
  <c r="C106" i="405"/>
  <c r="C105" i="405" a="1"/>
  <c r="C105" i="405" s="1"/>
  <c r="C104" i="405" a="1"/>
  <c r="C104" i="405" s="1"/>
  <c r="C103" i="405" a="1"/>
  <c r="C103" i="405" s="1"/>
  <c r="C102" i="405" a="1"/>
  <c r="C102" i="405"/>
  <c r="C101" i="405" a="1"/>
  <c r="C101" i="405" s="1"/>
  <c r="C100" i="405" a="1"/>
  <c r="C100" i="405" s="1"/>
  <c r="C99" i="405" a="1"/>
  <c r="C99" i="405" s="1"/>
  <c r="C98" i="405" a="1"/>
  <c r="C98" i="405"/>
  <c r="C97" i="405" a="1"/>
  <c r="C97" i="405" s="1"/>
  <c r="C96" i="405" a="1"/>
  <c r="C96" i="405" s="1"/>
  <c r="C95" i="405" a="1"/>
  <c r="C95" i="405" s="1"/>
  <c r="C94" i="405" a="1"/>
  <c r="C94" i="405"/>
  <c r="C93" i="405" a="1"/>
  <c r="C93" i="405" s="1"/>
  <c r="C92" i="405" a="1"/>
  <c r="C92" i="405" s="1"/>
  <c r="C91" i="405" a="1"/>
  <c r="C91" i="405" s="1"/>
  <c r="C90" i="405" a="1"/>
  <c r="C90" i="405"/>
  <c r="C89" i="405" a="1"/>
  <c r="C89" i="405" s="1"/>
  <c r="C88" i="405" a="1"/>
  <c r="C88" i="405" s="1"/>
  <c r="C87" i="405" a="1"/>
  <c r="C87" i="405" s="1"/>
  <c r="C86" i="405" a="1"/>
  <c r="C86" i="405"/>
  <c r="C85" i="405" a="1"/>
  <c r="C85" i="405" s="1"/>
  <c r="C84" i="405" a="1"/>
  <c r="C84" i="405"/>
  <c r="C83" i="405" a="1"/>
  <c r="C83" i="405" s="1"/>
  <c r="C82" i="405" a="1"/>
  <c r="C82" i="405" s="1"/>
  <c r="C81" i="405" a="1"/>
  <c r="C81" i="405" s="1"/>
  <c r="C80" i="405" a="1"/>
  <c r="C80" i="405"/>
  <c r="C79" i="405" a="1"/>
  <c r="C79" i="405" s="1"/>
  <c r="C74" i="405" a="1"/>
  <c r="C74" i="405" s="1"/>
  <c r="C73" i="405" a="1"/>
  <c r="C73" i="405" s="1"/>
  <c r="C72" i="405" a="1"/>
  <c r="C72" i="405"/>
  <c r="C71" i="405" a="1"/>
  <c r="C71" i="405" s="1"/>
  <c r="C70" i="405" a="1"/>
  <c r="C70" i="405" s="1"/>
  <c r="C69" i="405" a="1"/>
  <c r="C69" i="405" s="1"/>
  <c r="C68" i="405" a="1"/>
  <c r="C68" i="405"/>
  <c r="C67" i="405" a="1"/>
  <c r="C67" i="405" s="1"/>
  <c r="C66" i="405" a="1"/>
  <c r="C66" i="405" s="1"/>
  <c r="C65" i="405" a="1"/>
  <c r="C65" i="405" s="1"/>
  <c r="C64" i="405" a="1"/>
  <c r="C64" i="405"/>
  <c r="C63" i="405" a="1"/>
  <c r="C63" i="405" s="1"/>
  <c r="C62" i="405" a="1"/>
  <c r="C62" i="405" s="1"/>
  <c r="C61" i="405" a="1"/>
  <c r="C61" i="405" s="1"/>
  <c r="C60" i="405" a="1"/>
  <c r="C60" i="405"/>
  <c r="C59" i="405" a="1"/>
  <c r="C59" i="405" s="1"/>
  <c r="C58" i="405" a="1"/>
  <c r="C58" i="405" s="1"/>
  <c r="C57" i="405" a="1"/>
  <c r="C57" i="405" s="1"/>
  <c r="C56" i="405" a="1"/>
  <c r="C56" i="405"/>
  <c r="C55" i="405" a="1"/>
  <c r="C55" i="405" s="1"/>
  <c r="C54" i="405" a="1"/>
  <c r="C54" i="405" s="1"/>
  <c r="C53" i="405" a="1"/>
  <c r="C53" i="405" s="1"/>
  <c r="C52" i="405" a="1"/>
  <c r="C52" i="405"/>
  <c r="I46" i="405"/>
  <c r="G46" i="405" a="1"/>
  <c r="G46" i="405" s="1"/>
  <c r="C45" i="405" a="1"/>
  <c r="C45" i="405"/>
  <c r="C44" i="405" a="1"/>
  <c r="C44" i="405" s="1"/>
  <c r="C43" i="405" a="1"/>
  <c r="C43" i="405" s="1"/>
  <c r="C42" i="405" a="1"/>
  <c r="C42" i="405" s="1"/>
  <c r="C41" i="405" a="1"/>
  <c r="C41" i="405"/>
  <c r="C40" i="405" a="1"/>
  <c r="C40" i="405" s="1"/>
  <c r="C39" i="405" a="1"/>
  <c r="C39" i="405" s="1"/>
  <c r="C38" i="405" a="1"/>
  <c r="C38" i="405" s="1"/>
  <c r="C37" i="405" a="1"/>
  <c r="C37" i="405"/>
  <c r="C35" i="405" a="1"/>
  <c r="C35" i="405" s="1"/>
  <c r="C34" i="405" a="1"/>
  <c r="C34" i="405" s="1"/>
  <c r="C33" i="405" a="1"/>
  <c r="C33" i="405" s="1"/>
  <c r="C31" i="405" a="1"/>
  <c r="C31" i="405"/>
  <c r="C30" i="405" a="1"/>
  <c r="C30" i="405" s="1"/>
  <c r="C28" i="405" a="1"/>
  <c r="C28" i="405" s="1"/>
  <c r="C26" i="405" a="1"/>
  <c r="C26" i="405" s="1"/>
  <c r="C23" i="405" a="1"/>
  <c r="C23" i="405"/>
  <c r="C22" i="405" a="1"/>
  <c r="C22" i="405" s="1"/>
  <c r="C20" i="405" a="1"/>
  <c r="C20" i="405" s="1"/>
  <c r="C18" i="405" a="1"/>
  <c r="C18" i="405" s="1"/>
  <c r="C17" i="405" a="1"/>
  <c r="C17" i="405"/>
  <c r="C16" i="405" a="1"/>
  <c r="C16" i="405" s="1"/>
  <c r="C14" i="405" a="1"/>
  <c r="C14" i="405" s="1"/>
  <c r="C13" i="405" a="1"/>
  <c r="C13" i="405" s="1"/>
  <c r="C12" i="405" a="1"/>
  <c r="C12" i="405"/>
  <c r="C10" i="405" a="1"/>
  <c r="C10" i="405" s="1"/>
  <c r="E7" i="405"/>
  <c r="E98" i="405" a="1"/>
  <c r="E98" i="405" s="1"/>
  <c r="A4" i="405"/>
  <c r="A3" i="405"/>
  <c r="F160" i="405" s="1" a="1"/>
  <c r="F160" i="405" s="1"/>
  <c r="I183" i="404"/>
  <c r="H183" i="404"/>
  <c r="I182" i="404"/>
  <c r="H182" i="404"/>
  <c r="I181" i="404"/>
  <c r="H181" i="404"/>
  <c r="I180" i="404"/>
  <c r="H180" i="404"/>
  <c r="C175" i="404" a="1"/>
  <c r="C175" i="404" s="1"/>
  <c r="C177" i="404" s="1"/>
  <c r="I169" i="404"/>
  <c r="H169" i="404"/>
  <c r="I168" i="404"/>
  <c r="H168" i="404"/>
  <c r="C163" i="404" a="1"/>
  <c r="C163" i="404" s="1"/>
  <c r="C162" i="404" a="1"/>
  <c r="C162" i="404" s="1"/>
  <c r="C161" i="404" a="1"/>
  <c r="C161" i="404"/>
  <c r="C160" i="404" a="1"/>
  <c r="C160" i="404" s="1"/>
  <c r="C159" i="404" a="1"/>
  <c r="C159" i="404" s="1"/>
  <c r="C158" i="404" a="1"/>
  <c r="C158" i="404" s="1"/>
  <c r="C157" i="404" a="1"/>
  <c r="C157" i="404"/>
  <c r="C156" i="404" a="1"/>
  <c r="C156" i="404" s="1"/>
  <c r="C155" i="404" a="1"/>
  <c r="C155" i="404" s="1"/>
  <c r="I151" i="404"/>
  <c r="H151" i="404"/>
  <c r="I150" i="404"/>
  <c r="H150" i="404"/>
  <c r="I146" i="404"/>
  <c r="G146" i="404"/>
  <c r="H146" i="404"/>
  <c r="C145" i="404" a="1"/>
  <c r="C145" i="404" s="1"/>
  <c r="C144" i="404" s="1"/>
  <c r="G143" i="404" a="1"/>
  <c r="G143" i="404" s="1"/>
  <c r="C143" i="404" a="1"/>
  <c r="C143" i="404" s="1"/>
  <c r="C142" i="404" a="1"/>
  <c r="C142" i="404" s="1"/>
  <c r="C141" i="404" a="1"/>
  <c r="C141" i="404" s="1"/>
  <c r="C140" i="404" a="1"/>
  <c r="C140" i="404"/>
  <c r="I138" i="404"/>
  <c r="H138" i="404"/>
  <c r="C137" i="404" a="1"/>
  <c r="C137" i="404"/>
  <c r="C136" i="404" a="1"/>
  <c r="C136" i="404" s="1"/>
  <c r="C135" i="404" a="1"/>
  <c r="C135" i="404" s="1"/>
  <c r="C134" i="404" a="1"/>
  <c r="C134" i="404" s="1"/>
  <c r="C133" i="404" a="1"/>
  <c r="C133" i="404"/>
  <c r="C132" i="404" a="1"/>
  <c r="C132" i="404" s="1"/>
  <c r="C131" i="404" a="1"/>
  <c r="C131" i="404" s="1"/>
  <c r="C130" i="404" a="1"/>
  <c r="C130" i="404" s="1"/>
  <c r="C129" i="404" a="1"/>
  <c r="C129" i="404"/>
  <c r="C128" i="404" a="1"/>
  <c r="C128" i="404" s="1"/>
  <c r="C127" i="404" a="1"/>
  <c r="C127" i="404" s="1"/>
  <c r="C126" i="404" a="1"/>
  <c r="C126" i="404" s="1"/>
  <c r="C125" i="404" a="1"/>
  <c r="C125" i="404"/>
  <c r="C124" i="404" a="1"/>
  <c r="C124" i="404" s="1"/>
  <c r="C123" i="404" a="1"/>
  <c r="C123" i="404" s="1"/>
  <c r="C122" i="404" a="1"/>
  <c r="C122" i="404" s="1"/>
  <c r="C121" i="404" a="1"/>
  <c r="C121" i="404"/>
  <c r="C120" i="404" a="1"/>
  <c r="C120" i="404" s="1"/>
  <c r="C119" i="404" a="1"/>
  <c r="C119" i="404" s="1"/>
  <c r="C118" i="404" a="1"/>
  <c r="C118" i="404" s="1"/>
  <c r="C117" i="404" a="1"/>
  <c r="C117" i="404"/>
  <c r="C116" i="404" a="1"/>
  <c r="C116" i="404" s="1"/>
  <c r="C115" i="404" a="1"/>
  <c r="C115" i="404" s="1"/>
  <c r="C114" i="404" a="1"/>
  <c r="C114" i="404" s="1"/>
  <c r="C113" i="404" a="1"/>
  <c r="C113" i="404"/>
  <c r="C112" i="404" a="1"/>
  <c r="C112" i="404" s="1"/>
  <c r="C111" i="404" a="1"/>
  <c r="C111" i="404" s="1"/>
  <c r="C110" i="404" a="1"/>
  <c r="C110" i="404" s="1"/>
  <c r="C109" i="404" a="1"/>
  <c r="C109" i="404"/>
  <c r="C108" i="404" a="1"/>
  <c r="C108" i="404" s="1"/>
  <c r="C107" i="404" a="1"/>
  <c r="C107" i="404" s="1"/>
  <c r="C106" i="404" a="1"/>
  <c r="C106" i="404" s="1"/>
  <c r="C105" i="404" a="1"/>
  <c r="C105" i="404"/>
  <c r="C104" i="404" a="1"/>
  <c r="C104" i="404" s="1"/>
  <c r="C103" i="404" a="1"/>
  <c r="C103" i="404" s="1"/>
  <c r="C102" i="404" a="1"/>
  <c r="C102" i="404" s="1"/>
  <c r="C101" i="404" a="1"/>
  <c r="C101" i="404"/>
  <c r="C100" i="404" a="1"/>
  <c r="C100" i="404" s="1"/>
  <c r="C99" i="404" a="1"/>
  <c r="C99" i="404" s="1"/>
  <c r="C98" i="404" a="1"/>
  <c r="C98" i="404" s="1"/>
  <c r="C97" i="404" a="1"/>
  <c r="C97" i="404"/>
  <c r="C96" i="404" a="1"/>
  <c r="C96" i="404" s="1"/>
  <c r="C95" i="404" a="1"/>
  <c r="C95" i="404" s="1"/>
  <c r="C94" i="404" a="1"/>
  <c r="C94" i="404" s="1"/>
  <c r="C93" i="404" a="1"/>
  <c r="C93" i="404"/>
  <c r="C92" i="404" a="1"/>
  <c r="C92" i="404" s="1"/>
  <c r="C91" i="404" a="1"/>
  <c r="C91" i="404" s="1"/>
  <c r="C90" i="404" a="1"/>
  <c r="C90" i="404" s="1"/>
  <c r="C89" i="404" a="1"/>
  <c r="C89" i="404"/>
  <c r="C88" i="404" a="1"/>
  <c r="C88" i="404" s="1"/>
  <c r="C87" i="404" a="1"/>
  <c r="C87" i="404" s="1"/>
  <c r="C86" i="404" a="1"/>
  <c r="C86" i="404" s="1"/>
  <c r="C85" i="404" a="1"/>
  <c r="C85" i="404"/>
  <c r="C84" i="404" a="1"/>
  <c r="C84" i="404" s="1"/>
  <c r="C83" i="404" a="1"/>
  <c r="C83" i="404" s="1"/>
  <c r="C82" i="404" a="1"/>
  <c r="C82" i="404" s="1"/>
  <c r="C81" i="404" a="1"/>
  <c r="C81" i="404"/>
  <c r="C80" i="404" a="1"/>
  <c r="C80" i="404" s="1"/>
  <c r="C79" i="404" a="1"/>
  <c r="C79" i="404" s="1"/>
  <c r="C74" i="404" a="1"/>
  <c r="C74" i="404" s="1"/>
  <c r="C73" i="404" a="1"/>
  <c r="C73" i="404"/>
  <c r="C72" i="404" a="1"/>
  <c r="C72" i="404" s="1"/>
  <c r="C71" i="404" a="1"/>
  <c r="C71" i="404" s="1"/>
  <c r="C70" i="404" a="1"/>
  <c r="C70" i="404" s="1"/>
  <c r="C69" i="404" a="1"/>
  <c r="C69" i="404" s="1"/>
  <c r="C68" i="404" a="1"/>
  <c r="C68" i="404" s="1"/>
  <c r="C67" i="404" a="1"/>
  <c r="C67" i="404" s="1"/>
  <c r="C66" i="404" a="1"/>
  <c r="C66" i="404" s="1"/>
  <c r="C65" i="404" a="1"/>
  <c r="C65" i="404" s="1"/>
  <c r="C64" i="404" a="1"/>
  <c r="C64" i="404" s="1"/>
  <c r="C63" i="404" a="1"/>
  <c r="C63" i="404" s="1"/>
  <c r="C62" i="404" a="1"/>
  <c r="C62" i="404" s="1"/>
  <c r="C61" i="404" a="1"/>
  <c r="C61" i="404" s="1"/>
  <c r="C60" i="404" a="1"/>
  <c r="C60" i="404" s="1"/>
  <c r="C59" i="404" a="1"/>
  <c r="C59" i="404" s="1"/>
  <c r="C58" i="404" a="1"/>
  <c r="C58" i="404" s="1"/>
  <c r="C57" i="404" a="1"/>
  <c r="C57" i="404" s="1"/>
  <c r="C56" i="404" a="1"/>
  <c r="C56" i="404" s="1"/>
  <c r="C55" i="404" a="1"/>
  <c r="C55" i="404" s="1"/>
  <c r="C54" i="404" a="1"/>
  <c r="C54" i="404" s="1"/>
  <c r="C53" i="404" a="1"/>
  <c r="C53" i="404" s="1"/>
  <c r="C52" i="404" a="1"/>
  <c r="C52" i="404" s="1"/>
  <c r="I46" i="404"/>
  <c r="G46" i="404" a="1"/>
  <c r="G46" i="404" s="1"/>
  <c r="C45" i="404" a="1"/>
  <c r="C45" i="404" s="1"/>
  <c r="C44" i="404" a="1"/>
  <c r="C44" i="404" s="1"/>
  <c r="C43" i="404" a="1"/>
  <c r="C43" i="404" s="1"/>
  <c r="C42" i="404" a="1"/>
  <c r="C42" i="404" s="1"/>
  <c r="C41" i="404" a="1"/>
  <c r="C41" i="404" s="1"/>
  <c r="C40" i="404" a="1"/>
  <c r="C40" i="404" s="1"/>
  <c r="C39" i="404" a="1"/>
  <c r="C39" i="404" s="1"/>
  <c r="C38" i="404" a="1"/>
  <c r="C38" i="404" s="1"/>
  <c r="C37" i="404" a="1"/>
  <c r="C37" i="404" s="1"/>
  <c r="C35" i="404" a="1"/>
  <c r="C35" i="404" s="1"/>
  <c r="C34" i="404" a="1"/>
  <c r="C34" i="404" s="1"/>
  <c r="C33" i="404" a="1"/>
  <c r="C33" i="404" s="1"/>
  <c r="C31" i="404" a="1"/>
  <c r="C31" i="404" s="1"/>
  <c r="C30" i="404" a="1"/>
  <c r="C30" i="404" s="1"/>
  <c r="C28" i="404" a="1"/>
  <c r="C28" i="404" s="1"/>
  <c r="C26" i="404" a="1"/>
  <c r="C26" i="404" s="1"/>
  <c r="C23" i="404" a="1"/>
  <c r="C23" i="404" s="1"/>
  <c r="C22" i="404" a="1"/>
  <c r="C22" i="404" s="1"/>
  <c r="C20" i="404" a="1"/>
  <c r="C20" i="404" s="1"/>
  <c r="C18" i="404" a="1"/>
  <c r="C18" i="404" s="1"/>
  <c r="C17" i="404" a="1"/>
  <c r="C17" i="404" s="1"/>
  <c r="C16" i="404" a="1"/>
  <c r="C16" i="404" s="1"/>
  <c r="C14" i="404" a="1"/>
  <c r="C14" i="404" s="1"/>
  <c r="C13" i="404" a="1"/>
  <c r="C13" i="404" s="1"/>
  <c r="C12" i="404" a="1"/>
  <c r="C12" i="404" s="1"/>
  <c r="C10" i="404" a="1"/>
  <c r="C10" i="404" s="1"/>
  <c r="E7" i="404"/>
  <c r="E175" i="404" s="1" a="1"/>
  <c r="E175" i="404" s="1"/>
  <c r="A4" i="404"/>
  <c r="A3" i="404"/>
  <c r="F61" i="404" s="1" a="1"/>
  <c r="F61" i="404" s="1"/>
  <c r="I183" i="403"/>
  <c r="H183" i="403"/>
  <c r="I182" i="403"/>
  <c r="H182" i="403"/>
  <c r="I181" i="403"/>
  <c r="H181" i="403"/>
  <c r="I180" i="403"/>
  <c r="H180" i="403"/>
  <c r="C175" i="403" a="1"/>
  <c r="C175" i="403"/>
  <c r="C177" i="403" s="1"/>
  <c r="I169" i="403"/>
  <c r="H169" i="403"/>
  <c r="I168" i="403"/>
  <c r="H168" i="403"/>
  <c r="C163" i="403" a="1"/>
  <c r="C163" i="403" s="1"/>
  <c r="C162" i="403" a="1"/>
  <c r="C162" i="403" s="1"/>
  <c r="C161" i="403" a="1"/>
  <c r="C161" i="403" s="1"/>
  <c r="C160" i="403" a="1"/>
  <c r="C160" i="403" s="1"/>
  <c r="C159" i="403" a="1"/>
  <c r="C159" i="403" s="1"/>
  <c r="C158" i="403" a="1"/>
  <c r="C158" i="403" s="1"/>
  <c r="C157" i="403" a="1"/>
  <c r="C157" i="403" s="1"/>
  <c r="C156" i="403" a="1"/>
  <c r="C156" i="403" s="1"/>
  <c r="C155" i="403" a="1"/>
  <c r="C155" i="403" s="1"/>
  <c r="I151" i="403"/>
  <c r="H151" i="403"/>
  <c r="I150" i="403"/>
  <c r="H150" i="403"/>
  <c r="I146" i="403"/>
  <c r="G146" i="403"/>
  <c r="H146" i="403"/>
  <c r="C145" i="403" a="1"/>
  <c r="C145" i="403" s="1"/>
  <c r="C144" i="403" s="1"/>
  <c r="G143" i="403" a="1"/>
  <c r="G143" i="403" s="1"/>
  <c r="C143" i="403" a="1"/>
  <c r="C143" i="403" s="1"/>
  <c r="C142" i="403" a="1"/>
  <c r="C142" i="403" s="1"/>
  <c r="C141" i="403" a="1"/>
  <c r="C141" i="403" s="1"/>
  <c r="C140" i="403" a="1"/>
  <c r="C140" i="403" s="1"/>
  <c r="I138" i="403"/>
  <c r="H138" i="403"/>
  <c r="C137" i="403" a="1"/>
  <c r="C137" i="403" s="1"/>
  <c r="C136" i="403" a="1"/>
  <c r="C136" i="403" s="1"/>
  <c r="C135" i="403" a="1"/>
  <c r="C135" i="403" s="1"/>
  <c r="C134" i="403" a="1"/>
  <c r="C134" i="403" s="1"/>
  <c r="C133" i="403" a="1"/>
  <c r="C133" i="403"/>
  <c r="C132" i="403" a="1"/>
  <c r="C132" i="403" s="1"/>
  <c r="C131" i="403" a="1"/>
  <c r="C131" i="403" s="1"/>
  <c r="C130" i="403" a="1"/>
  <c r="C130" i="403" s="1"/>
  <c r="C129" i="403" a="1"/>
  <c r="C129" i="403"/>
  <c r="C128" i="403" a="1"/>
  <c r="C128" i="403" s="1"/>
  <c r="C127" i="403" a="1"/>
  <c r="C127" i="403" s="1"/>
  <c r="C126" i="403" a="1"/>
  <c r="C126" i="403" s="1"/>
  <c r="C125" i="403" a="1"/>
  <c r="C125" i="403"/>
  <c r="C124" i="403" a="1"/>
  <c r="C124" i="403" s="1"/>
  <c r="C123" i="403" a="1"/>
  <c r="C123" i="403" s="1"/>
  <c r="C122" i="403" a="1"/>
  <c r="C122" i="403" s="1"/>
  <c r="C121" i="403" a="1"/>
  <c r="C121" i="403"/>
  <c r="C120" i="403" a="1"/>
  <c r="C120" i="403" s="1"/>
  <c r="C119" i="403" a="1"/>
  <c r="C119" i="403" s="1"/>
  <c r="C118" i="403" a="1"/>
  <c r="C118" i="403" s="1"/>
  <c r="C117" i="403" a="1"/>
  <c r="C117" i="403"/>
  <c r="C116" i="403" a="1"/>
  <c r="C116" i="403" s="1"/>
  <c r="C115" i="403" a="1"/>
  <c r="C115" i="403" s="1"/>
  <c r="C114" i="403" a="1"/>
  <c r="C114" i="403" s="1"/>
  <c r="C113" i="403" a="1"/>
  <c r="C113" i="403"/>
  <c r="C112" i="403" a="1"/>
  <c r="C112" i="403" s="1"/>
  <c r="C111" i="403" a="1"/>
  <c r="C111" i="403" s="1"/>
  <c r="C110" i="403" a="1"/>
  <c r="C110" i="403" s="1"/>
  <c r="C109" i="403" a="1"/>
  <c r="C109" i="403"/>
  <c r="C108" i="403" a="1"/>
  <c r="C108" i="403" s="1"/>
  <c r="C107" i="403" a="1"/>
  <c r="C107" i="403" s="1"/>
  <c r="C106" i="403" a="1"/>
  <c r="C106" i="403" s="1"/>
  <c r="C105" i="403" a="1"/>
  <c r="C105" i="403"/>
  <c r="C104" i="403" a="1"/>
  <c r="C104" i="403" s="1"/>
  <c r="C103" i="403" a="1"/>
  <c r="C103" i="403" s="1"/>
  <c r="C102" i="403" a="1"/>
  <c r="C102" i="403" s="1"/>
  <c r="C101" i="403" a="1"/>
  <c r="C101" i="403"/>
  <c r="C100" i="403" a="1"/>
  <c r="C100" i="403" s="1"/>
  <c r="C99" i="403" a="1"/>
  <c r="C99" i="403" s="1"/>
  <c r="C98" i="403" a="1"/>
  <c r="C98" i="403" s="1"/>
  <c r="C97" i="403" a="1"/>
  <c r="C97" i="403"/>
  <c r="C96" i="403" a="1"/>
  <c r="C96" i="403" s="1"/>
  <c r="C95" i="403" a="1"/>
  <c r="C95" i="403" s="1"/>
  <c r="C94" i="403" a="1"/>
  <c r="C94" i="403" s="1"/>
  <c r="C93" i="403" a="1"/>
  <c r="C93" i="403"/>
  <c r="C92" i="403" a="1"/>
  <c r="C92" i="403" s="1"/>
  <c r="C91" i="403" a="1"/>
  <c r="C91" i="403" s="1"/>
  <c r="C90" i="403" a="1"/>
  <c r="C90" i="403" s="1"/>
  <c r="C89" i="403" a="1"/>
  <c r="C89" i="403"/>
  <c r="C88" i="403" a="1"/>
  <c r="C88" i="403" s="1"/>
  <c r="C87" i="403" a="1"/>
  <c r="C87" i="403" s="1"/>
  <c r="C86" i="403" a="1"/>
  <c r="C86" i="403" s="1"/>
  <c r="C85" i="403" a="1"/>
  <c r="C85" i="403"/>
  <c r="C84" i="403" a="1"/>
  <c r="C84" i="403" s="1"/>
  <c r="C83" i="403" a="1"/>
  <c r="C83" i="403" s="1"/>
  <c r="C82" i="403" a="1"/>
  <c r="C82" i="403" s="1"/>
  <c r="C81" i="403" a="1"/>
  <c r="C81" i="403"/>
  <c r="C80" i="403" a="1"/>
  <c r="C80" i="403" s="1"/>
  <c r="C79" i="403" a="1"/>
  <c r="C79" i="403" s="1"/>
  <c r="C74" i="403" a="1"/>
  <c r="C74" i="403" s="1"/>
  <c r="C73" i="403" a="1"/>
  <c r="C73" i="403"/>
  <c r="C72" i="403" a="1"/>
  <c r="C72" i="403" s="1"/>
  <c r="C71" i="403" a="1"/>
  <c r="C71" i="403" s="1"/>
  <c r="C70" i="403" a="1"/>
  <c r="C70" i="403" s="1"/>
  <c r="C69" i="403" a="1"/>
  <c r="C69" i="403"/>
  <c r="C68" i="403" a="1"/>
  <c r="C68" i="403" s="1"/>
  <c r="C67" i="403" a="1"/>
  <c r="C67" i="403" s="1"/>
  <c r="C66" i="403" a="1"/>
  <c r="C66" i="403" s="1"/>
  <c r="C65" i="403" a="1"/>
  <c r="C65" i="403"/>
  <c r="C64" i="403" a="1"/>
  <c r="C64" i="403" s="1"/>
  <c r="C63" i="403" a="1"/>
  <c r="C63" i="403" s="1"/>
  <c r="C62" i="403" a="1"/>
  <c r="C62" i="403" s="1"/>
  <c r="C61" i="403" a="1"/>
  <c r="C61" i="403"/>
  <c r="C60" i="403" a="1"/>
  <c r="C60" i="403" s="1"/>
  <c r="C59" i="403" a="1"/>
  <c r="C59" i="403" s="1"/>
  <c r="C58" i="403" a="1"/>
  <c r="C58" i="403" s="1"/>
  <c r="C57" i="403" a="1"/>
  <c r="C57" i="403"/>
  <c r="C56" i="403" a="1"/>
  <c r="C56" i="403" s="1"/>
  <c r="C55" i="403" a="1"/>
  <c r="C55" i="403" s="1"/>
  <c r="C54" i="403" a="1"/>
  <c r="C54" i="403" s="1"/>
  <c r="C53" i="403" a="1"/>
  <c r="C53" i="403"/>
  <c r="C52" i="403" a="1"/>
  <c r="C52" i="403" s="1"/>
  <c r="I46" i="403"/>
  <c r="G46" i="403" a="1"/>
  <c r="G46" i="403" s="1"/>
  <c r="C45" i="403" a="1"/>
  <c r="C45" i="403" s="1"/>
  <c r="C44" i="403" a="1"/>
  <c r="C44" i="403"/>
  <c r="C43" i="403" a="1"/>
  <c r="C43" i="403" s="1"/>
  <c r="C42" i="403" a="1"/>
  <c r="C42" i="403" s="1"/>
  <c r="C41" i="403" a="1"/>
  <c r="C41" i="403" s="1"/>
  <c r="C40" i="403" a="1"/>
  <c r="C40" i="403"/>
  <c r="C39" i="403" a="1"/>
  <c r="C39" i="403" s="1"/>
  <c r="C38" i="403" a="1"/>
  <c r="C38" i="403" s="1"/>
  <c r="C37" i="403" a="1"/>
  <c r="C37" i="403" s="1"/>
  <c r="C35" i="403" a="1"/>
  <c r="C35" i="403"/>
  <c r="C34" i="403" a="1"/>
  <c r="C34" i="403" s="1"/>
  <c r="C33" i="403" a="1"/>
  <c r="C33" i="403" s="1"/>
  <c r="C31" i="403" a="1"/>
  <c r="C31" i="403" s="1"/>
  <c r="C30" i="403" a="1"/>
  <c r="C30" i="403"/>
  <c r="C28" i="403" a="1"/>
  <c r="C28" i="403" s="1"/>
  <c r="C26" i="403" a="1"/>
  <c r="C26" i="403" s="1"/>
  <c r="C23" i="403" a="1"/>
  <c r="C23" i="403" s="1"/>
  <c r="C22" i="403" a="1"/>
  <c r="C22" i="403"/>
  <c r="C20" i="403" a="1"/>
  <c r="C20" i="403" s="1"/>
  <c r="C18" i="403" a="1"/>
  <c r="C18" i="403" s="1"/>
  <c r="C17" i="403" a="1"/>
  <c r="C17" i="403" s="1"/>
  <c r="C16" i="403" a="1"/>
  <c r="C16" i="403"/>
  <c r="C14" i="403" a="1"/>
  <c r="C14" i="403" s="1"/>
  <c r="C13" i="403" a="1"/>
  <c r="C13" i="403" s="1"/>
  <c r="C12" i="403" a="1"/>
  <c r="C12" i="403" s="1"/>
  <c r="C10" i="403" a="1"/>
  <c r="C10" i="403"/>
  <c r="E7" i="403"/>
  <c r="E100" i="403" s="1" a="1"/>
  <c r="E100" i="403" s="1"/>
  <c r="A4" i="403"/>
  <c r="A3" i="403"/>
  <c r="I183" i="402"/>
  <c r="H183" i="402"/>
  <c r="I182" i="402"/>
  <c r="H182" i="402"/>
  <c r="I181" i="402"/>
  <c r="H181" i="402"/>
  <c r="I180" i="402"/>
  <c r="H180" i="402"/>
  <c r="C175" i="402" a="1"/>
  <c r="C175" i="402" s="1"/>
  <c r="C177" i="402" s="1"/>
  <c r="I169" i="402"/>
  <c r="H169" i="402"/>
  <c r="I168" i="402"/>
  <c r="H168" i="402"/>
  <c r="C163" i="402" a="1"/>
  <c r="C163" i="402" s="1"/>
  <c r="C162" i="402" a="1"/>
  <c r="C162" i="402" s="1"/>
  <c r="C161" i="402" a="1"/>
  <c r="C161" i="402" s="1"/>
  <c r="C160" i="402" a="1"/>
  <c r="C160" i="402"/>
  <c r="C159" i="402" a="1"/>
  <c r="C159" i="402" s="1"/>
  <c r="C158" i="402" a="1"/>
  <c r="C158" i="402" s="1"/>
  <c r="C157" i="402" a="1"/>
  <c r="C157" i="402" s="1"/>
  <c r="C156" i="402" a="1"/>
  <c r="C156" i="402"/>
  <c r="C155" i="402" a="1"/>
  <c r="C155" i="402" s="1"/>
  <c r="I151" i="402"/>
  <c r="H151" i="402"/>
  <c r="I150" i="402"/>
  <c r="H150" i="402"/>
  <c r="I146" i="402"/>
  <c r="G146" i="402"/>
  <c r="H146" i="402"/>
  <c r="C145" i="402" a="1"/>
  <c r="C145" i="402" s="1"/>
  <c r="C144" i="402" s="1"/>
  <c r="G143" i="402" a="1"/>
  <c r="G143" i="402" s="1"/>
  <c r="C143" i="402" a="1"/>
  <c r="C143" i="402" s="1"/>
  <c r="C142" i="402" a="1"/>
  <c r="C142" i="402" s="1"/>
  <c r="C141" i="402" a="1"/>
  <c r="C141" i="402" s="1"/>
  <c r="C140" i="402" a="1"/>
  <c r="C140" i="402"/>
  <c r="I138" i="402"/>
  <c r="H138" i="402"/>
  <c r="C137" i="402" a="1"/>
  <c r="C137" i="402"/>
  <c r="C136" i="402" a="1"/>
  <c r="C136" i="402" s="1"/>
  <c r="C135" i="402" a="1"/>
  <c r="C135" i="402" s="1"/>
  <c r="C134" i="402" a="1"/>
  <c r="C134" i="402" s="1"/>
  <c r="C133" i="402" a="1"/>
  <c r="C133" i="402"/>
  <c r="C132" i="402" a="1"/>
  <c r="C132" i="402" s="1"/>
  <c r="C131" i="402" a="1"/>
  <c r="C131" i="402" s="1"/>
  <c r="C130" i="402" a="1"/>
  <c r="C130" i="402" s="1"/>
  <c r="C129" i="402" a="1"/>
  <c r="C129" i="402"/>
  <c r="C128" i="402" a="1"/>
  <c r="C128" i="402" s="1"/>
  <c r="C127" i="402" a="1"/>
  <c r="C127" i="402" s="1"/>
  <c r="C126" i="402" a="1"/>
  <c r="C126" i="402" s="1"/>
  <c r="C125" i="402" a="1"/>
  <c r="C125" i="402"/>
  <c r="C124" i="402" a="1"/>
  <c r="C124" i="402" s="1"/>
  <c r="C123" i="402" a="1"/>
  <c r="C123" i="402" s="1"/>
  <c r="C122" i="402" a="1"/>
  <c r="C122" i="402" s="1"/>
  <c r="C121" i="402" a="1"/>
  <c r="C121" i="402"/>
  <c r="C120" i="402" a="1"/>
  <c r="C120" i="402" s="1"/>
  <c r="C119" i="402" a="1"/>
  <c r="C119" i="402" s="1"/>
  <c r="C118" i="402" a="1"/>
  <c r="C118" i="402" s="1"/>
  <c r="C117" i="402" a="1"/>
  <c r="C117" i="402"/>
  <c r="C116" i="402" a="1"/>
  <c r="C116" i="402" s="1"/>
  <c r="C115" i="402" a="1"/>
  <c r="C115" i="402" s="1"/>
  <c r="C114" i="402" a="1"/>
  <c r="C114" i="402" s="1"/>
  <c r="C113" i="402" a="1"/>
  <c r="C113" i="402"/>
  <c r="C112" i="402" a="1"/>
  <c r="C112" i="402" s="1"/>
  <c r="C111" i="402" a="1"/>
  <c r="C111" i="402" s="1"/>
  <c r="C110" i="402" a="1"/>
  <c r="C110" i="402" s="1"/>
  <c r="C109" i="402" a="1"/>
  <c r="C109" i="402"/>
  <c r="C108" i="402" a="1"/>
  <c r="C108" i="402" s="1"/>
  <c r="C107" i="402" a="1"/>
  <c r="C107" i="402" s="1"/>
  <c r="C106" i="402" a="1"/>
  <c r="C106" i="402" s="1"/>
  <c r="C105" i="402" a="1"/>
  <c r="C105" i="402"/>
  <c r="C104" i="402" a="1"/>
  <c r="C104" i="402" s="1"/>
  <c r="C103" i="402" a="1"/>
  <c r="C103" i="402" s="1"/>
  <c r="C102" i="402" a="1"/>
  <c r="C102" i="402" s="1"/>
  <c r="C101" i="402" a="1"/>
  <c r="C101" i="402"/>
  <c r="C100" i="402" a="1"/>
  <c r="C100" i="402" s="1"/>
  <c r="C99" i="402" a="1"/>
  <c r="C99" i="402" s="1"/>
  <c r="C98" i="402" a="1"/>
  <c r="C98" i="402" s="1"/>
  <c r="C97" i="402" a="1"/>
  <c r="C97" i="402"/>
  <c r="C96" i="402" a="1"/>
  <c r="C96" i="402" s="1"/>
  <c r="C95" i="402" a="1"/>
  <c r="C95" i="402" s="1"/>
  <c r="C94" i="402" a="1"/>
  <c r="C94" i="402" s="1"/>
  <c r="C93" i="402" a="1"/>
  <c r="C93" i="402"/>
  <c r="C92" i="402" a="1"/>
  <c r="C92" i="402" s="1"/>
  <c r="C91" i="402" a="1"/>
  <c r="C91" i="402" s="1"/>
  <c r="C90" i="402" a="1"/>
  <c r="C90" i="402" s="1"/>
  <c r="C89" i="402" a="1"/>
  <c r="C89" i="402"/>
  <c r="C88" i="402" a="1"/>
  <c r="C88" i="402" s="1"/>
  <c r="C87" i="402" a="1"/>
  <c r="C87" i="402" s="1"/>
  <c r="C86" i="402" a="1"/>
  <c r="C86" i="402" s="1"/>
  <c r="C85" i="402" a="1"/>
  <c r="C85" i="402"/>
  <c r="C84" i="402" a="1"/>
  <c r="C84" i="402" s="1"/>
  <c r="C83" i="402" a="1"/>
  <c r="C83" i="402" s="1"/>
  <c r="C82" i="402" a="1"/>
  <c r="C82" i="402" s="1"/>
  <c r="C81" i="402" a="1"/>
  <c r="C81" i="402"/>
  <c r="C80" i="402" a="1"/>
  <c r="C80" i="402" s="1"/>
  <c r="C79" i="402" a="1"/>
  <c r="C79" i="402" s="1"/>
  <c r="C74" i="402" a="1"/>
  <c r="C74" i="402" s="1"/>
  <c r="C73" i="402" a="1"/>
  <c r="C73" i="402"/>
  <c r="C72" i="402" a="1"/>
  <c r="C72" i="402" s="1"/>
  <c r="C71" i="402" a="1"/>
  <c r="C71" i="402" s="1"/>
  <c r="C70" i="402" a="1"/>
  <c r="C70" i="402" s="1"/>
  <c r="C69" i="402" a="1"/>
  <c r="C69" i="402"/>
  <c r="C68" i="402" a="1"/>
  <c r="C68" i="402" s="1"/>
  <c r="C67" i="402" a="1"/>
  <c r="C67" i="402" s="1"/>
  <c r="C66" i="402" a="1"/>
  <c r="C66" i="402" s="1"/>
  <c r="C65" i="402" a="1"/>
  <c r="C65" i="402"/>
  <c r="C64" i="402" a="1"/>
  <c r="C64" i="402" s="1"/>
  <c r="C63" i="402" a="1"/>
  <c r="C63" i="402" s="1"/>
  <c r="C62" i="402" a="1"/>
  <c r="C62" i="402" s="1"/>
  <c r="C61" i="402" a="1"/>
  <c r="C61" i="402" s="1"/>
  <c r="C60" i="402" a="1"/>
  <c r="C60" i="402" s="1"/>
  <c r="C59" i="402" a="1"/>
  <c r="C59" i="402"/>
  <c r="C58" i="402" a="1"/>
  <c r="C58" i="402" s="1"/>
  <c r="C57" i="402" a="1"/>
  <c r="C57" i="402" s="1"/>
  <c r="C56" i="402" a="1"/>
  <c r="C56" i="402" s="1"/>
  <c r="C55" i="402" a="1"/>
  <c r="C55" i="402" s="1"/>
  <c r="C54" i="402" a="1"/>
  <c r="C54" i="402" s="1"/>
  <c r="C53" i="402" a="1"/>
  <c r="C53" i="402" s="1"/>
  <c r="C52" i="402" a="1"/>
  <c r="C52" i="402" s="1"/>
  <c r="I46" i="402"/>
  <c r="G46" i="402" a="1"/>
  <c r="G46" i="402" s="1"/>
  <c r="C45" i="402" a="1"/>
  <c r="C45" i="402" s="1"/>
  <c r="C44" i="402" a="1"/>
  <c r="C44" i="402" s="1"/>
  <c r="C43" i="402" a="1"/>
  <c r="C43" i="402" s="1"/>
  <c r="C42" i="402" a="1"/>
  <c r="C42" i="402" s="1"/>
  <c r="C41" i="402" a="1"/>
  <c r="C41" i="402" s="1"/>
  <c r="C40" i="402" a="1"/>
  <c r="C40" i="402" s="1"/>
  <c r="C39" i="402" a="1"/>
  <c r="C39" i="402" s="1"/>
  <c r="C38" i="402" a="1"/>
  <c r="C38" i="402"/>
  <c r="C37" i="402" a="1"/>
  <c r="C37" i="402" s="1"/>
  <c r="C35" i="402" a="1"/>
  <c r="C35" i="402" s="1"/>
  <c r="C34" i="402" a="1"/>
  <c r="C34" i="402" s="1"/>
  <c r="C33" i="402" a="1"/>
  <c r="C33" i="402" s="1"/>
  <c r="C31" i="402" a="1"/>
  <c r="C31" i="402" s="1"/>
  <c r="C30" i="402" a="1"/>
  <c r="C30" i="402" s="1"/>
  <c r="C28" i="402" a="1"/>
  <c r="C28" i="402" s="1"/>
  <c r="C26" i="402" a="1"/>
  <c r="C26" i="402"/>
  <c r="C23" i="402" a="1"/>
  <c r="C23" i="402" s="1"/>
  <c r="C22" i="402" a="1"/>
  <c r="C22" i="402" s="1"/>
  <c r="C20" i="402" a="1"/>
  <c r="C20" i="402" s="1"/>
  <c r="C18" i="402" a="1"/>
  <c r="C18" i="402" s="1"/>
  <c r="C17" i="402" a="1"/>
  <c r="C17" i="402" s="1"/>
  <c r="C16" i="402" a="1"/>
  <c r="C16" i="402" s="1"/>
  <c r="C14" i="402" a="1"/>
  <c r="C14" i="402" s="1"/>
  <c r="C13" i="402" a="1"/>
  <c r="C13" i="402"/>
  <c r="C12" i="402" a="1"/>
  <c r="C12" i="402" s="1"/>
  <c r="C10" i="402" a="1"/>
  <c r="C10" i="402" s="1"/>
  <c r="E7" i="402"/>
  <c r="E58" i="402" s="1" a="1"/>
  <c r="E58" i="402" s="1"/>
  <c r="A4" i="402"/>
  <c r="A3" i="402"/>
  <c r="F81" i="402" s="1" a="1"/>
  <c r="F81" i="402" s="1"/>
  <c r="I183" i="394"/>
  <c r="H183" i="394"/>
  <c r="I182" i="394"/>
  <c r="H182" i="394"/>
  <c r="I181" i="394"/>
  <c r="H181" i="394"/>
  <c r="I180" i="394"/>
  <c r="H180" i="394"/>
  <c r="C175" i="394" a="1"/>
  <c r="C175" i="394" s="1"/>
  <c r="C177" i="394" s="1"/>
  <c r="I169" i="394"/>
  <c r="H169" i="394"/>
  <c r="I168" i="394"/>
  <c r="H168" i="394"/>
  <c r="C163" i="394" a="1"/>
  <c r="C163" i="394" s="1"/>
  <c r="C162" i="394" a="1"/>
  <c r="C162" i="394" s="1"/>
  <c r="C161" i="394" a="1"/>
  <c r="C161" i="394" s="1"/>
  <c r="C160" i="394" a="1"/>
  <c r="C160" i="394" s="1"/>
  <c r="C159" i="394" a="1"/>
  <c r="C159" i="394" s="1"/>
  <c r="C158" i="394" a="1"/>
  <c r="C158" i="394" s="1"/>
  <c r="C157" i="394" a="1"/>
  <c r="C157" i="394" s="1"/>
  <c r="C156" i="394" a="1"/>
  <c r="C156" i="394"/>
  <c r="C155" i="394" a="1"/>
  <c r="C155" i="394" s="1"/>
  <c r="I151" i="394"/>
  <c r="H151" i="394"/>
  <c r="I150" i="394"/>
  <c r="H150" i="394"/>
  <c r="I146" i="394"/>
  <c r="G146" i="394"/>
  <c r="H146" i="394"/>
  <c r="C145" i="394" a="1"/>
  <c r="C145" i="394"/>
  <c r="C144" i="394" s="1"/>
  <c r="G143" i="394" a="1"/>
  <c r="G143" i="394" s="1"/>
  <c r="C143" i="394" a="1"/>
  <c r="C143" i="394" s="1"/>
  <c r="C142" i="394" a="1"/>
  <c r="C142" i="394" s="1"/>
  <c r="C141" i="394" a="1"/>
  <c r="C141" i="394" s="1"/>
  <c r="C140" i="394" a="1"/>
  <c r="C140" i="394" s="1"/>
  <c r="I138" i="394"/>
  <c r="H138" i="394"/>
  <c r="C137" i="394" a="1"/>
  <c r="C137" i="394" s="1"/>
  <c r="C136" i="394" a="1"/>
  <c r="C136" i="394" s="1"/>
  <c r="C135" i="394" a="1"/>
  <c r="C135" i="394" s="1"/>
  <c r="C134" i="394" a="1"/>
  <c r="C134" i="394" s="1"/>
  <c r="C133" i="394" a="1"/>
  <c r="C133" i="394" s="1"/>
  <c r="C132" i="394" a="1"/>
  <c r="C132" i="394" s="1"/>
  <c r="C131" i="394" a="1"/>
  <c r="C131" i="394" s="1"/>
  <c r="C130" i="394" a="1"/>
  <c r="C130" i="394" s="1"/>
  <c r="C129" i="394" a="1"/>
  <c r="C129" i="394" s="1"/>
  <c r="C128" i="394" a="1"/>
  <c r="C128" i="394"/>
  <c r="C127" i="394" a="1"/>
  <c r="C127" i="394" s="1"/>
  <c r="C126" i="394" a="1"/>
  <c r="C126" i="394" s="1"/>
  <c r="C125" i="394" a="1"/>
  <c r="C125" i="394" s="1"/>
  <c r="C124" i="394" a="1"/>
  <c r="C124" i="394" s="1"/>
  <c r="C123" i="394" a="1"/>
  <c r="C123" i="394" s="1"/>
  <c r="C122" i="394" a="1"/>
  <c r="C122" i="394" s="1"/>
  <c r="C121" i="394" a="1"/>
  <c r="C121" i="394" s="1"/>
  <c r="C120" i="394" a="1"/>
  <c r="C120" i="394" s="1"/>
  <c r="C119" i="394" a="1"/>
  <c r="C119" i="394" s="1"/>
  <c r="C118" i="394" a="1"/>
  <c r="C118" i="394" s="1"/>
  <c r="C117" i="394" a="1"/>
  <c r="C117" i="394" s="1"/>
  <c r="C116" i="394" a="1"/>
  <c r="C116" i="394" s="1"/>
  <c r="C115" i="394" a="1"/>
  <c r="C115" i="394" s="1"/>
  <c r="C114" i="394" a="1"/>
  <c r="C114" i="394" s="1"/>
  <c r="C113" i="394" a="1"/>
  <c r="C113" i="394" s="1"/>
  <c r="C112" i="394" a="1"/>
  <c r="C112" i="394" s="1"/>
  <c r="C111" i="394" a="1"/>
  <c r="C111" i="394" s="1"/>
  <c r="C110" i="394" a="1"/>
  <c r="C110" i="394" s="1"/>
  <c r="C109" i="394" a="1"/>
  <c r="C109" i="394" s="1"/>
  <c r="C108" i="394" a="1"/>
  <c r="C108" i="394" s="1"/>
  <c r="C107" i="394" a="1"/>
  <c r="C107" i="394" s="1"/>
  <c r="C106" i="394" a="1"/>
  <c r="C106" i="394" s="1"/>
  <c r="C105" i="394" a="1"/>
  <c r="C105" i="394" s="1"/>
  <c r="C104" i="394" a="1"/>
  <c r="C104" i="394" s="1"/>
  <c r="C103" i="394" a="1"/>
  <c r="C103" i="394" s="1"/>
  <c r="C102" i="394" a="1"/>
  <c r="C102" i="394" s="1"/>
  <c r="C101" i="394" a="1"/>
  <c r="C101" i="394" s="1"/>
  <c r="C100" i="394" a="1"/>
  <c r="C100" i="394" s="1"/>
  <c r="C99" i="394" a="1"/>
  <c r="C99" i="394" s="1"/>
  <c r="C98" i="394" a="1"/>
  <c r="C98" i="394" s="1"/>
  <c r="C97" i="394" a="1"/>
  <c r="C97" i="394" s="1"/>
  <c r="C96" i="394" a="1"/>
  <c r="C96" i="394"/>
  <c r="C95" i="394" a="1"/>
  <c r="C95" i="394" s="1"/>
  <c r="C94" i="394" a="1"/>
  <c r="C94" i="394" s="1"/>
  <c r="C93" i="394" a="1"/>
  <c r="C93" i="394" s="1"/>
  <c r="C92" i="394" a="1"/>
  <c r="C92" i="394"/>
  <c r="C91" i="394" a="1"/>
  <c r="C91" i="394" s="1"/>
  <c r="C90" i="394" a="1"/>
  <c r="C90" i="394" s="1"/>
  <c r="C89" i="394" a="1"/>
  <c r="C89" i="394" s="1"/>
  <c r="C88" i="394" a="1"/>
  <c r="C88" i="394"/>
  <c r="C87" i="394" a="1"/>
  <c r="C87" i="394" s="1"/>
  <c r="C86" i="394" a="1"/>
  <c r="C86" i="394" s="1"/>
  <c r="C85" i="394" a="1"/>
  <c r="C85" i="394" s="1"/>
  <c r="C84" i="394" a="1"/>
  <c r="C84" i="394"/>
  <c r="C83" i="394" a="1"/>
  <c r="C83" i="394" s="1"/>
  <c r="C82" i="394" a="1"/>
  <c r="C82" i="394" s="1"/>
  <c r="C81" i="394" a="1"/>
  <c r="C81" i="394" s="1"/>
  <c r="C80" i="394" a="1"/>
  <c r="C80" i="394"/>
  <c r="C79" i="394" a="1"/>
  <c r="C79" i="394" s="1"/>
  <c r="C74" i="394" a="1"/>
  <c r="C74" i="394" s="1"/>
  <c r="C73" i="394" a="1"/>
  <c r="C73" i="394" s="1"/>
  <c r="C72" i="394" a="1"/>
  <c r="C72" i="394"/>
  <c r="C71" i="394" a="1"/>
  <c r="C71" i="394" s="1"/>
  <c r="C70" i="394" a="1"/>
  <c r="C70" i="394" s="1"/>
  <c r="C69" i="394" a="1"/>
  <c r="C69" i="394" s="1"/>
  <c r="C68" i="394" a="1"/>
  <c r="C68" i="394"/>
  <c r="C67" i="394" a="1"/>
  <c r="C67" i="394" s="1"/>
  <c r="C66" i="394" a="1"/>
  <c r="C66" i="394" s="1"/>
  <c r="C65" i="394" a="1"/>
  <c r="C65" i="394" s="1"/>
  <c r="C64" i="394" a="1"/>
  <c r="C64" i="394"/>
  <c r="C63" i="394" a="1"/>
  <c r="C63" i="394" s="1"/>
  <c r="C62" i="394" a="1"/>
  <c r="C62" i="394" s="1"/>
  <c r="C61" i="394" a="1"/>
  <c r="C61" i="394" s="1"/>
  <c r="C60" i="394" a="1"/>
  <c r="C60" i="394"/>
  <c r="C59" i="394" a="1"/>
  <c r="C59" i="394" s="1"/>
  <c r="C58" i="394" a="1"/>
  <c r="C58" i="394" s="1"/>
  <c r="C57" i="394" a="1"/>
  <c r="C57" i="394" s="1"/>
  <c r="C56" i="394" a="1"/>
  <c r="C56" i="394"/>
  <c r="C55" i="394" a="1"/>
  <c r="C55" i="394" s="1"/>
  <c r="C54" i="394" a="1"/>
  <c r="C54" i="394" s="1"/>
  <c r="C53" i="394" a="1"/>
  <c r="C53" i="394" s="1"/>
  <c r="C52" i="394" a="1"/>
  <c r="C52" i="394"/>
  <c r="I46" i="394"/>
  <c r="G46" i="394" a="1"/>
  <c r="G46" i="394" s="1"/>
  <c r="C45" i="394" a="1"/>
  <c r="C45" i="394"/>
  <c r="C44" i="394" a="1"/>
  <c r="C44" i="394" s="1"/>
  <c r="C43" i="394" a="1"/>
  <c r="C43" i="394" s="1"/>
  <c r="C42" i="394" a="1"/>
  <c r="C42" i="394" s="1"/>
  <c r="C41" i="394" a="1"/>
  <c r="C41" i="394"/>
  <c r="C40" i="394" a="1"/>
  <c r="C40" i="394" s="1"/>
  <c r="C39" i="394" a="1"/>
  <c r="C39" i="394" s="1"/>
  <c r="C38" i="394" a="1"/>
  <c r="C38" i="394" s="1"/>
  <c r="C37" i="394" a="1"/>
  <c r="C37" i="394"/>
  <c r="C35" i="394" a="1"/>
  <c r="C35" i="394" s="1"/>
  <c r="C34" i="394" a="1"/>
  <c r="C34" i="394" s="1"/>
  <c r="C33" i="394" a="1"/>
  <c r="C33" i="394" s="1"/>
  <c r="C31" i="394" a="1"/>
  <c r="C31" i="394"/>
  <c r="C30" i="394" a="1"/>
  <c r="C30" i="394" s="1"/>
  <c r="C28" i="394" a="1"/>
  <c r="C28" i="394" s="1"/>
  <c r="C26" i="394" a="1"/>
  <c r="C26" i="394" s="1"/>
  <c r="C23" i="394" a="1"/>
  <c r="C23" i="394"/>
  <c r="C22" i="394" a="1"/>
  <c r="C22" i="394" s="1"/>
  <c r="C20" i="394" a="1"/>
  <c r="C20" i="394" s="1"/>
  <c r="C18" i="394" a="1"/>
  <c r="C18" i="394" s="1"/>
  <c r="C17" i="394" a="1"/>
  <c r="C17" i="394"/>
  <c r="C16" i="394" a="1"/>
  <c r="C16" i="394" s="1"/>
  <c r="C14" i="394" a="1"/>
  <c r="C14" i="394" s="1"/>
  <c r="C13" i="394" a="1"/>
  <c r="C13" i="394" s="1"/>
  <c r="C12" i="394" a="1"/>
  <c r="C12" i="394"/>
  <c r="C10" i="394" a="1"/>
  <c r="C10" i="394" s="1"/>
  <c r="E7" i="394"/>
  <c r="E134" i="394" s="1" a="1"/>
  <c r="E134" i="394" s="1"/>
  <c r="A4" i="394"/>
  <c r="A3" i="394"/>
  <c r="D7" i="394" s="1"/>
  <c r="I183" i="401"/>
  <c r="H183" i="401"/>
  <c r="I182" i="401"/>
  <c r="H182" i="401"/>
  <c r="I181" i="401"/>
  <c r="H181" i="401"/>
  <c r="I180" i="401"/>
  <c r="H180" i="401"/>
  <c r="C175" i="401" a="1"/>
  <c r="C175" i="401" s="1"/>
  <c r="C177" i="401" s="1"/>
  <c r="I169" i="401"/>
  <c r="H169" i="401"/>
  <c r="I168" i="401"/>
  <c r="H168" i="401"/>
  <c r="C163" i="401" a="1"/>
  <c r="C163" i="401" s="1"/>
  <c r="C162" i="401" a="1"/>
  <c r="C162" i="401" s="1"/>
  <c r="C161" i="401" a="1"/>
  <c r="C161" i="401" s="1"/>
  <c r="C160" i="401" a="1"/>
  <c r="C160" i="401"/>
  <c r="C159" i="401" a="1"/>
  <c r="C159" i="401" s="1"/>
  <c r="C158" i="401" a="1"/>
  <c r="C158" i="401" s="1"/>
  <c r="C157" i="401" a="1"/>
  <c r="C157" i="401" s="1"/>
  <c r="C156" i="401" a="1"/>
  <c r="C156" i="401"/>
  <c r="C155" i="401" a="1"/>
  <c r="C155" i="401" s="1"/>
  <c r="I151" i="401"/>
  <c r="H151" i="401"/>
  <c r="I150" i="401"/>
  <c r="H150" i="401"/>
  <c r="I146" i="401"/>
  <c r="G146" i="401"/>
  <c r="H146" i="401" s="1"/>
  <c r="C145" i="401" a="1"/>
  <c r="C145" i="401" s="1"/>
  <c r="C144" i="401" s="1"/>
  <c r="G143" i="401" a="1"/>
  <c r="G143" i="401" s="1"/>
  <c r="C143" i="401" a="1"/>
  <c r="C143" i="401" s="1"/>
  <c r="C142" i="401" a="1"/>
  <c r="C142" i="401" s="1"/>
  <c r="C141" i="401" a="1"/>
  <c r="C141" i="401"/>
  <c r="C140" i="401" a="1"/>
  <c r="C140" i="401" s="1"/>
  <c r="I138" i="401"/>
  <c r="H138" i="401"/>
  <c r="C137" i="401" a="1"/>
  <c r="C137" i="401" s="1"/>
  <c r="C136" i="401" a="1"/>
  <c r="C136" i="401"/>
  <c r="C135" i="401" a="1"/>
  <c r="C135" i="401" s="1"/>
  <c r="C134" i="401" a="1"/>
  <c r="C134" i="401" s="1"/>
  <c r="C133" i="401" a="1"/>
  <c r="C133" i="401" s="1"/>
  <c r="C132" i="401" a="1"/>
  <c r="C132" i="401"/>
  <c r="C131" i="401" a="1"/>
  <c r="C131" i="401" s="1"/>
  <c r="C130" i="401" a="1"/>
  <c r="C130" i="401" s="1"/>
  <c r="C129" i="401" a="1"/>
  <c r="C129" i="401" s="1"/>
  <c r="C128" i="401" a="1"/>
  <c r="C128" i="401"/>
  <c r="C127" i="401" a="1"/>
  <c r="C127" i="401" s="1"/>
  <c r="C126" i="401" a="1"/>
  <c r="C126" i="401" s="1"/>
  <c r="C125" i="401" a="1"/>
  <c r="C125" i="401" s="1"/>
  <c r="C124" i="401" a="1"/>
  <c r="C124" i="401"/>
  <c r="C123" i="401" a="1"/>
  <c r="C123" i="401" s="1"/>
  <c r="C122" i="401" a="1"/>
  <c r="C122" i="401" s="1"/>
  <c r="C121" i="401" a="1"/>
  <c r="C121" i="401" s="1"/>
  <c r="C120" i="401" a="1"/>
  <c r="C120" i="401"/>
  <c r="C119" i="401" a="1"/>
  <c r="C119" i="401" s="1"/>
  <c r="C118" i="401" a="1"/>
  <c r="C118" i="401" s="1"/>
  <c r="C117" i="401" a="1"/>
  <c r="C117" i="401" s="1"/>
  <c r="C116" i="401" a="1"/>
  <c r="C116" i="401"/>
  <c r="C115" i="401" a="1"/>
  <c r="C115" i="401" s="1"/>
  <c r="C114" i="401" a="1"/>
  <c r="C114" i="401" s="1"/>
  <c r="C113" i="401" a="1"/>
  <c r="C113" i="401" s="1"/>
  <c r="C112" i="401" a="1"/>
  <c r="C112" i="401"/>
  <c r="C111" i="401" a="1"/>
  <c r="C111" i="401" s="1"/>
  <c r="C110" i="401" a="1"/>
  <c r="C110" i="401" s="1"/>
  <c r="C109" i="401" a="1"/>
  <c r="C109" i="401" s="1"/>
  <c r="C108" i="401" a="1"/>
  <c r="C108" i="401"/>
  <c r="C107" i="401" a="1"/>
  <c r="C107" i="401" s="1"/>
  <c r="C106" i="401" a="1"/>
  <c r="C106" i="401" s="1"/>
  <c r="C105" i="401" a="1"/>
  <c r="C105" i="401" s="1"/>
  <c r="C104" i="401" a="1"/>
  <c r="C104" i="401"/>
  <c r="C103" i="401" a="1"/>
  <c r="C103" i="401" s="1"/>
  <c r="C102" i="401" a="1"/>
  <c r="C102" i="401" s="1"/>
  <c r="C101" i="401" a="1"/>
  <c r="C101" i="401" s="1"/>
  <c r="C100" i="401" a="1"/>
  <c r="C100" i="401" s="1"/>
  <c r="C99" i="401" a="1"/>
  <c r="C99" i="401" s="1"/>
  <c r="C98" i="401" a="1"/>
  <c r="C98" i="401" s="1"/>
  <c r="C97" i="401" a="1"/>
  <c r="C97" i="401" s="1"/>
  <c r="C96" i="401" a="1"/>
  <c r="C96" i="401" s="1"/>
  <c r="C95" i="401" a="1"/>
  <c r="C95" i="401" s="1"/>
  <c r="C94" i="401" a="1"/>
  <c r="C94" i="401" s="1"/>
  <c r="C93" i="401" a="1"/>
  <c r="C93" i="401" s="1"/>
  <c r="C92" i="401" a="1"/>
  <c r="C92" i="401" s="1"/>
  <c r="C91" i="401" a="1"/>
  <c r="C91" i="401" s="1"/>
  <c r="C90" i="401" a="1"/>
  <c r="C90" i="401" s="1"/>
  <c r="C89" i="401" a="1"/>
  <c r="C89" i="401" s="1"/>
  <c r="C88" i="401" a="1"/>
  <c r="C88" i="401" s="1"/>
  <c r="C87" i="401" a="1"/>
  <c r="C87" i="401" s="1"/>
  <c r="C86" i="401" a="1"/>
  <c r="C86" i="401" s="1"/>
  <c r="C85" i="401" a="1"/>
  <c r="C85" i="401" s="1"/>
  <c r="C84" i="401" a="1"/>
  <c r="C84" i="401" s="1"/>
  <c r="C83" i="401" a="1"/>
  <c r="C83" i="401" s="1"/>
  <c r="C82" i="401" a="1"/>
  <c r="C82" i="401" s="1"/>
  <c r="C81" i="401" a="1"/>
  <c r="C81" i="401" s="1"/>
  <c r="C80" i="401" a="1"/>
  <c r="C80" i="401" s="1"/>
  <c r="C79" i="401" a="1"/>
  <c r="C79" i="401" s="1"/>
  <c r="C74" i="401" a="1"/>
  <c r="C74" i="401" s="1"/>
  <c r="C73" i="401" a="1"/>
  <c r="C73" i="401" s="1"/>
  <c r="C72" i="401" a="1"/>
  <c r="C72" i="401" s="1"/>
  <c r="C71" i="401" a="1"/>
  <c r="C71" i="401" s="1"/>
  <c r="C70" i="401" a="1"/>
  <c r="C70" i="401" s="1"/>
  <c r="C69" i="401" a="1"/>
  <c r="C69" i="401" s="1"/>
  <c r="C68" i="401" a="1"/>
  <c r="C68" i="401" s="1"/>
  <c r="C67" i="401" a="1"/>
  <c r="C67" i="401" s="1"/>
  <c r="C66" i="401" a="1"/>
  <c r="C66" i="401" s="1"/>
  <c r="C65" i="401" a="1"/>
  <c r="C65" i="401" s="1"/>
  <c r="C64" i="401" a="1"/>
  <c r="C64" i="401" s="1"/>
  <c r="C63" i="401" a="1"/>
  <c r="C63" i="401" s="1"/>
  <c r="C62" i="401" a="1"/>
  <c r="C62" i="401" s="1"/>
  <c r="C61" i="401" a="1"/>
  <c r="C61" i="401" s="1"/>
  <c r="C60" i="401" a="1"/>
  <c r="C60" i="401" s="1"/>
  <c r="C59" i="401" a="1"/>
  <c r="C59" i="401" s="1"/>
  <c r="C58" i="401" a="1"/>
  <c r="C58" i="401" s="1"/>
  <c r="C57" i="401" a="1"/>
  <c r="C57" i="401" s="1"/>
  <c r="C56" i="401" a="1"/>
  <c r="C56" i="401" s="1"/>
  <c r="C55" i="401" a="1"/>
  <c r="C55" i="401" s="1"/>
  <c r="C54" i="401" a="1"/>
  <c r="C54" i="401" s="1"/>
  <c r="C53" i="401" a="1"/>
  <c r="C53" i="401" s="1"/>
  <c r="C52" i="401" a="1"/>
  <c r="C52" i="401" s="1"/>
  <c r="I46" i="401"/>
  <c r="G46" i="401" a="1"/>
  <c r="G46" i="401" s="1"/>
  <c r="C45" i="401" a="1"/>
  <c r="C45" i="401" s="1"/>
  <c r="C44" i="401" a="1"/>
  <c r="C44" i="401" s="1"/>
  <c r="C43" i="401" a="1"/>
  <c r="C43" i="401" s="1"/>
  <c r="C42" i="401" a="1"/>
  <c r="C42" i="401" s="1"/>
  <c r="C41" i="401" a="1"/>
  <c r="C41" i="401" s="1"/>
  <c r="C40" i="401" a="1"/>
  <c r="C40" i="401" s="1"/>
  <c r="C39" i="401" a="1"/>
  <c r="C39" i="401" s="1"/>
  <c r="C38" i="401" a="1"/>
  <c r="C38" i="401" s="1"/>
  <c r="C37" i="401" a="1"/>
  <c r="C37" i="401" s="1"/>
  <c r="C35" i="401" a="1"/>
  <c r="C35" i="401" s="1"/>
  <c r="C34" i="401" a="1"/>
  <c r="C34" i="401" s="1"/>
  <c r="C33" i="401" a="1"/>
  <c r="C33" i="401" s="1"/>
  <c r="C31" i="401" a="1"/>
  <c r="C31" i="401" s="1"/>
  <c r="C30" i="401" a="1"/>
  <c r="C30" i="401" s="1"/>
  <c r="C28" i="401" a="1"/>
  <c r="C28" i="401" s="1"/>
  <c r="C26" i="401" a="1"/>
  <c r="C26" i="401" s="1"/>
  <c r="C23" i="401" a="1"/>
  <c r="C23" i="401" s="1"/>
  <c r="C22" i="401" a="1"/>
  <c r="C22" i="401" s="1"/>
  <c r="C20" i="401" a="1"/>
  <c r="C20" i="401" s="1"/>
  <c r="C18" i="401" a="1"/>
  <c r="C18" i="401" s="1"/>
  <c r="C17" i="401" a="1"/>
  <c r="C17" i="401" s="1"/>
  <c r="C16" i="401" a="1"/>
  <c r="C16" i="401" s="1"/>
  <c r="C14" i="401" a="1"/>
  <c r="C14" i="401" s="1"/>
  <c r="C13" i="401" a="1"/>
  <c r="C13" i="401" s="1"/>
  <c r="C12" i="401" a="1"/>
  <c r="C12" i="401" s="1"/>
  <c r="C10" i="401" a="1"/>
  <c r="C10" i="401" s="1"/>
  <c r="E7" i="401"/>
  <c r="E17" i="401" s="1" a="1"/>
  <c r="E17" i="401" s="1"/>
  <c r="A4" i="401"/>
  <c r="A3" i="401"/>
  <c r="F38" i="401" s="1" a="1"/>
  <c r="F38" i="401" s="1"/>
  <c r="I183" i="399"/>
  <c r="H183" i="399"/>
  <c r="I182" i="399"/>
  <c r="H182" i="399"/>
  <c r="I181" i="399"/>
  <c r="H181" i="399"/>
  <c r="I180" i="399"/>
  <c r="H180" i="399"/>
  <c r="C175" i="399" a="1"/>
  <c r="C175" i="399"/>
  <c r="C177" i="399" s="1"/>
  <c r="I169" i="399"/>
  <c r="H169" i="399"/>
  <c r="I168" i="399"/>
  <c r="H168" i="399"/>
  <c r="C163" i="399" a="1"/>
  <c r="C163" i="399" s="1"/>
  <c r="C162" i="399" a="1"/>
  <c r="C162" i="399" s="1"/>
  <c r="C161" i="399" a="1"/>
  <c r="C161" i="399" s="1"/>
  <c r="C160" i="399" a="1"/>
  <c r="C160" i="399" s="1"/>
  <c r="C159" i="399" a="1"/>
  <c r="C159" i="399" s="1"/>
  <c r="C158" i="399" a="1"/>
  <c r="C158" i="399" s="1"/>
  <c r="C157" i="399" a="1"/>
  <c r="C157" i="399" s="1"/>
  <c r="C156" i="399" a="1"/>
  <c r="C156" i="399" s="1"/>
  <c r="C155" i="399" a="1"/>
  <c r="C155" i="399" s="1"/>
  <c r="I151" i="399"/>
  <c r="H151" i="399"/>
  <c r="I150" i="399"/>
  <c r="H150" i="399"/>
  <c r="I146" i="399"/>
  <c r="G146" i="399"/>
  <c r="H146" i="399"/>
  <c r="C145" i="399" a="1"/>
  <c r="C145" i="399"/>
  <c r="C144" i="399" s="1"/>
  <c r="G143" i="399" a="1"/>
  <c r="G143" i="399" s="1"/>
  <c r="C143" i="399" a="1"/>
  <c r="C143" i="399" s="1"/>
  <c r="C142" i="399" a="1"/>
  <c r="C142" i="399" s="1"/>
  <c r="C141" i="399" a="1"/>
  <c r="C141" i="399" s="1"/>
  <c r="C140" i="399" a="1"/>
  <c r="C140" i="399" s="1"/>
  <c r="I138" i="399"/>
  <c r="H138" i="399"/>
  <c r="C137" i="399" a="1"/>
  <c r="C137" i="399" s="1"/>
  <c r="C136" i="399" a="1"/>
  <c r="C136" i="399" s="1"/>
  <c r="C135" i="399" a="1"/>
  <c r="C135" i="399" s="1"/>
  <c r="C134" i="399" a="1"/>
  <c r="C134" i="399" s="1"/>
  <c r="C133" i="399" a="1"/>
  <c r="C133" i="399" s="1"/>
  <c r="C132" i="399" a="1"/>
  <c r="C132" i="399" s="1"/>
  <c r="C131" i="399" a="1"/>
  <c r="C131" i="399" s="1"/>
  <c r="C130" i="399" a="1"/>
  <c r="C130" i="399" s="1"/>
  <c r="C129" i="399" a="1"/>
  <c r="C129" i="399" s="1"/>
  <c r="C128" i="399" a="1"/>
  <c r="C128" i="399" s="1"/>
  <c r="C127" i="399" a="1"/>
  <c r="C127" i="399" s="1"/>
  <c r="C126" i="399" a="1"/>
  <c r="C126" i="399" s="1"/>
  <c r="C125" i="399" a="1"/>
  <c r="C125" i="399" s="1"/>
  <c r="C124" i="399" a="1"/>
  <c r="C124" i="399" s="1"/>
  <c r="C123" i="399" a="1"/>
  <c r="C123" i="399" s="1"/>
  <c r="C122" i="399" a="1"/>
  <c r="C122" i="399" s="1"/>
  <c r="C121" i="399" a="1"/>
  <c r="C121" i="399" s="1"/>
  <c r="C120" i="399" a="1"/>
  <c r="C120" i="399" s="1"/>
  <c r="C119" i="399" a="1"/>
  <c r="C119" i="399" s="1"/>
  <c r="C118" i="399" a="1"/>
  <c r="C118" i="399" s="1"/>
  <c r="C117" i="399" a="1"/>
  <c r="C117" i="399" s="1"/>
  <c r="C116" i="399" a="1"/>
  <c r="C116" i="399" s="1"/>
  <c r="C115" i="399" a="1"/>
  <c r="C115" i="399" s="1"/>
  <c r="C114" i="399" a="1"/>
  <c r="C114" i="399" s="1"/>
  <c r="C113" i="399" a="1"/>
  <c r="C113" i="399" s="1"/>
  <c r="C112" i="399" a="1"/>
  <c r="C112" i="399" s="1"/>
  <c r="C111" i="399" a="1"/>
  <c r="C111" i="399" s="1"/>
  <c r="C110" i="399" a="1"/>
  <c r="C110" i="399" s="1"/>
  <c r="C109" i="399" a="1"/>
  <c r="C109" i="399" s="1"/>
  <c r="C108" i="399" a="1"/>
  <c r="C108" i="399" s="1"/>
  <c r="C107" i="399" a="1"/>
  <c r="C107" i="399" s="1"/>
  <c r="C106" i="399" a="1"/>
  <c r="C106" i="399" s="1"/>
  <c r="C105" i="399" a="1"/>
  <c r="C105" i="399" s="1"/>
  <c r="C104" i="399" a="1"/>
  <c r="C104" i="399" s="1"/>
  <c r="C103" i="399" a="1"/>
  <c r="C103" i="399" s="1"/>
  <c r="C102" i="399" a="1"/>
  <c r="C102" i="399" s="1"/>
  <c r="C101" i="399" a="1"/>
  <c r="C101" i="399" s="1"/>
  <c r="C100" i="399" a="1"/>
  <c r="C100" i="399" s="1"/>
  <c r="C99" i="399" a="1"/>
  <c r="C99" i="399" s="1"/>
  <c r="C98" i="399" a="1"/>
  <c r="C98" i="399" s="1"/>
  <c r="C97" i="399" a="1"/>
  <c r="C97" i="399" s="1"/>
  <c r="C96" i="399" a="1"/>
  <c r="C96" i="399" s="1"/>
  <c r="C95" i="399" a="1"/>
  <c r="C95" i="399" s="1"/>
  <c r="C94" i="399" a="1"/>
  <c r="C94" i="399" s="1"/>
  <c r="C93" i="399" a="1"/>
  <c r="C93" i="399" s="1"/>
  <c r="C92" i="399" a="1"/>
  <c r="C92" i="399" s="1"/>
  <c r="C91" i="399" a="1"/>
  <c r="C91" i="399" s="1"/>
  <c r="C90" i="399" a="1"/>
  <c r="C90" i="399" s="1"/>
  <c r="C89" i="399" a="1"/>
  <c r="C89" i="399" s="1"/>
  <c r="C88" i="399" a="1"/>
  <c r="C88" i="399" s="1"/>
  <c r="C87" i="399" a="1"/>
  <c r="C87" i="399" s="1"/>
  <c r="C86" i="399" a="1"/>
  <c r="C86" i="399" s="1"/>
  <c r="C85" i="399" a="1"/>
  <c r="C85" i="399" s="1"/>
  <c r="C84" i="399" a="1"/>
  <c r="C84" i="399" s="1"/>
  <c r="C83" i="399" a="1"/>
  <c r="C83" i="399" s="1"/>
  <c r="C82" i="399" a="1"/>
  <c r="C82" i="399" s="1"/>
  <c r="C81" i="399" a="1"/>
  <c r="C81" i="399" s="1"/>
  <c r="C80" i="399" a="1"/>
  <c r="C80" i="399" s="1"/>
  <c r="C79" i="399" a="1"/>
  <c r="C79" i="399" s="1"/>
  <c r="C74" i="399" a="1"/>
  <c r="C74" i="399" s="1"/>
  <c r="C73" i="399" a="1"/>
  <c r="C73" i="399" s="1"/>
  <c r="C72" i="399" a="1"/>
  <c r="C72" i="399" s="1"/>
  <c r="C71" i="399" a="1"/>
  <c r="C71" i="399" s="1"/>
  <c r="C70" i="399" a="1"/>
  <c r="C70" i="399" s="1"/>
  <c r="C69" i="399" a="1"/>
  <c r="C69" i="399" s="1"/>
  <c r="C68" i="399" a="1"/>
  <c r="C68" i="399" s="1"/>
  <c r="C67" i="399" a="1"/>
  <c r="C67" i="399" s="1"/>
  <c r="C66" i="399" a="1"/>
  <c r="C66" i="399" s="1"/>
  <c r="C65" i="399" a="1"/>
  <c r="C65" i="399" s="1"/>
  <c r="C64" i="399" a="1"/>
  <c r="C64" i="399" s="1"/>
  <c r="C63" i="399" a="1"/>
  <c r="C63" i="399" s="1"/>
  <c r="C62" i="399" a="1"/>
  <c r="C62" i="399"/>
  <c r="C61" i="399" a="1"/>
  <c r="C61" i="399" s="1"/>
  <c r="C60" i="399" a="1"/>
  <c r="C60" i="399" s="1"/>
  <c r="C59" i="399" a="1"/>
  <c r="C59" i="399" s="1"/>
  <c r="C58" i="399" a="1"/>
  <c r="C58" i="399"/>
  <c r="C57" i="399" a="1"/>
  <c r="C57" i="399" s="1"/>
  <c r="C56" i="399" a="1"/>
  <c r="C56" i="399" s="1"/>
  <c r="C55" i="399" a="1"/>
  <c r="C55" i="399" s="1"/>
  <c r="C54" i="399" a="1"/>
  <c r="C54" i="399"/>
  <c r="C53" i="399" a="1"/>
  <c r="C53" i="399" s="1"/>
  <c r="C52" i="399" a="1"/>
  <c r="C52" i="399" s="1"/>
  <c r="I46" i="399"/>
  <c r="G46" i="399" a="1"/>
  <c r="G46" i="399" s="1"/>
  <c r="C45" i="399" a="1"/>
  <c r="C45" i="399" s="1"/>
  <c r="C44" i="399" a="1"/>
  <c r="C44" i="399" s="1"/>
  <c r="C43" i="399" a="1"/>
  <c r="C43" i="399"/>
  <c r="C42" i="399" a="1"/>
  <c r="C42" i="399" s="1"/>
  <c r="C41" i="399" a="1"/>
  <c r="C41" i="399" s="1"/>
  <c r="C40" i="399" a="1"/>
  <c r="C40" i="399" s="1"/>
  <c r="C39" i="399" a="1"/>
  <c r="C39" i="399"/>
  <c r="C38" i="399" a="1"/>
  <c r="C38" i="399" s="1"/>
  <c r="C37" i="399" a="1"/>
  <c r="C37" i="399" s="1"/>
  <c r="C35" i="399" a="1"/>
  <c r="C35" i="399" s="1"/>
  <c r="C34" i="399" a="1"/>
  <c r="C34" i="399"/>
  <c r="C33" i="399" a="1"/>
  <c r="C33" i="399" s="1"/>
  <c r="C31" i="399" a="1"/>
  <c r="C31" i="399" s="1"/>
  <c r="C30" i="399" a="1"/>
  <c r="C30" i="399" s="1"/>
  <c r="C28" i="399" a="1"/>
  <c r="C28" i="399"/>
  <c r="C26" i="399" a="1"/>
  <c r="C26" i="399" s="1"/>
  <c r="C23" i="399" a="1"/>
  <c r="C23" i="399" s="1"/>
  <c r="C22" i="399" a="1"/>
  <c r="C22" i="399" s="1"/>
  <c r="C20" i="399" a="1"/>
  <c r="C20" i="399"/>
  <c r="C18" i="399" a="1"/>
  <c r="C18" i="399" s="1"/>
  <c r="C17" i="399" a="1"/>
  <c r="C17" i="399" s="1"/>
  <c r="C16" i="399" a="1"/>
  <c r="C16" i="399" s="1"/>
  <c r="C14" i="399" a="1"/>
  <c r="C14" i="399"/>
  <c r="C13" i="399" a="1"/>
  <c r="C13" i="399" s="1"/>
  <c r="C12" i="399" a="1"/>
  <c r="C12" i="399" s="1"/>
  <c r="C10" i="399" a="1"/>
  <c r="C10" i="399" s="1"/>
  <c r="E7" i="399"/>
  <c r="E159" i="399" a="1"/>
  <c r="E159" i="399" s="1"/>
  <c r="A4" i="399"/>
  <c r="A3" i="399"/>
  <c r="F162" i="399" s="1" a="1"/>
  <c r="F162" i="399" s="1"/>
  <c r="I183" i="398"/>
  <c r="H183" i="398"/>
  <c r="I182" i="398"/>
  <c r="H182" i="398"/>
  <c r="I181" i="398"/>
  <c r="H181" i="398"/>
  <c r="I180" i="398"/>
  <c r="H180" i="398"/>
  <c r="C175" i="398" a="1"/>
  <c r="C175" i="398" s="1"/>
  <c r="C177" i="398" s="1"/>
  <c r="I169" i="398"/>
  <c r="H169" i="398"/>
  <c r="I168" i="398"/>
  <c r="H168" i="398"/>
  <c r="C163" i="398" a="1"/>
  <c r="C163" i="398"/>
  <c r="C162" i="398" a="1"/>
  <c r="C162" i="398" s="1"/>
  <c r="C161" i="398" a="1"/>
  <c r="C161" i="398" s="1"/>
  <c r="C160" i="398" a="1"/>
  <c r="C160" i="398" s="1"/>
  <c r="C159" i="398" a="1"/>
  <c r="C159" i="398"/>
  <c r="C158" i="398" a="1"/>
  <c r="C158" i="398" s="1"/>
  <c r="C157" i="398" a="1"/>
  <c r="C157" i="398" s="1"/>
  <c r="C156" i="398" a="1"/>
  <c r="C156" i="398" s="1"/>
  <c r="C155" i="398" a="1"/>
  <c r="C155" i="398"/>
  <c r="I151" i="398"/>
  <c r="H151" i="398"/>
  <c r="I150" i="398"/>
  <c r="H150" i="398"/>
  <c r="I146" i="398"/>
  <c r="G146" i="398"/>
  <c r="H146" i="398" s="1"/>
  <c r="C145" i="398" a="1"/>
  <c r="C145" i="398" s="1"/>
  <c r="C144" i="398" s="1"/>
  <c r="G143" i="398" a="1"/>
  <c r="G143" i="398" s="1"/>
  <c r="C143" i="398" a="1"/>
  <c r="C143" i="398" s="1"/>
  <c r="C142" i="398" a="1"/>
  <c r="C142" i="398"/>
  <c r="C141" i="398" a="1"/>
  <c r="C141" i="398" s="1"/>
  <c r="C140" i="398" a="1"/>
  <c r="C140" i="398" s="1"/>
  <c r="I138" i="398"/>
  <c r="H138" i="398"/>
  <c r="C137" i="398" a="1"/>
  <c r="C137" i="398" s="1"/>
  <c r="C136" i="398" a="1"/>
  <c r="C136" i="398" s="1"/>
  <c r="C135" i="398" a="1"/>
  <c r="C135" i="398"/>
  <c r="C134" i="398" a="1"/>
  <c r="C134" i="398" s="1"/>
  <c r="C133" i="398" a="1"/>
  <c r="C133" i="398" s="1"/>
  <c r="C132" i="398" a="1"/>
  <c r="C132" i="398" s="1"/>
  <c r="C131" i="398" a="1"/>
  <c r="C131" i="398"/>
  <c r="C130" i="398" a="1"/>
  <c r="C130" i="398" s="1"/>
  <c r="C129" i="398" a="1"/>
  <c r="C129" i="398" s="1"/>
  <c r="C128" i="398" a="1"/>
  <c r="C128" i="398" s="1"/>
  <c r="C127" i="398" a="1"/>
  <c r="C127" i="398"/>
  <c r="C126" i="398" a="1"/>
  <c r="C126" i="398" s="1"/>
  <c r="C125" i="398" a="1"/>
  <c r="C125" i="398" s="1"/>
  <c r="C124" i="398" a="1"/>
  <c r="C124" i="398" s="1"/>
  <c r="C123" i="398" a="1"/>
  <c r="C123" i="398"/>
  <c r="C122" i="398" a="1"/>
  <c r="C122" i="398" s="1"/>
  <c r="C121" i="398" a="1"/>
  <c r="C121" i="398" s="1"/>
  <c r="C120" i="398" a="1"/>
  <c r="C120" i="398" s="1"/>
  <c r="C119" i="398" a="1"/>
  <c r="C119" i="398"/>
  <c r="C118" i="398" a="1"/>
  <c r="C118" i="398" s="1"/>
  <c r="C117" i="398" a="1"/>
  <c r="C117" i="398" s="1"/>
  <c r="C116" i="398" a="1"/>
  <c r="C116" i="398" s="1"/>
  <c r="C115" i="398" a="1"/>
  <c r="C115" i="398"/>
  <c r="C114" i="398" a="1"/>
  <c r="C114" i="398" s="1"/>
  <c r="C113" i="398" a="1"/>
  <c r="C113" i="398" s="1"/>
  <c r="C112" i="398" a="1"/>
  <c r="C112" i="398" s="1"/>
  <c r="C111" i="398" a="1"/>
  <c r="C111" i="398"/>
  <c r="C110" i="398" a="1"/>
  <c r="C110" i="398" s="1"/>
  <c r="C109" i="398" a="1"/>
  <c r="C109" i="398" s="1"/>
  <c r="C108" i="398" a="1"/>
  <c r="C108" i="398" s="1"/>
  <c r="C107" i="398" a="1"/>
  <c r="C107" i="398" s="1"/>
  <c r="C106" i="398" a="1"/>
  <c r="C106" i="398" s="1"/>
  <c r="C105" i="398" a="1"/>
  <c r="C105" i="398" s="1"/>
  <c r="C104" i="398" a="1"/>
  <c r="C104" i="398" s="1"/>
  <c r="C103" i="398" a="1"/>
  <c r="C103" i="398" s="1"/>
  <c r="C102" i="398" a="1"/>
  <c r="C102" i="398" s="1"/>
  <c r="C101" i="398" a="1"/>
  <c r="C101" i="398" s="1"/>
  <c r="C100" i="398" a="1"/>
  <c r="C100" i="398" s="1"/>
  <c r="C99" i="398" a="1"/>
  <c r="C99" i="398" s="1"/>
  <c r="C98" i="398" a="1"/>
  <c r="C98" i="398" s="1"/>
  <c r="C97" i="398" a="1"/>
  <c r="C97" i="398" s="1"/>
  <c r="C96" i="398" a="1"/>
  <c r="C96" i="398" s="1"/>
  <c r="C95" i="398" a="1"/>
  <c r="C95" i="398" s="1"/>
  <c r="C94" i="398" a="1"/>
  <c r="C94" i="398" s="1"/>
  <c r="C93" i="398" a="1"/>
  <c r="C93" i="398" s="1"/>
  <c r="C92" i="398" a="1"/>
  <c r="C92" i="398" s="1"/>
  <c r="C91" i="398" a="1"/>
  <c r="C91" i="398" s="1"/>
  <c r="C90" i="398" a="1"/>
  <c r="C90" i="398" s="1"/>
  <c r="C89" i="398" a="1"/>
  <c r="C89" i="398" s="1"/>
  <c r="C88" i="398" a="1"/>
  <c r="C88" i="398" s="1"/>
  <c r="C87" i="398" a="1"/>
  <c r="C87" i="398" s="1"/>
  <c r="C86" i="398" a="1"/>
  <c r="C86" i="398" s="1"/>
  <c r="C85" i="398" a="1"/>
  <c r="C85" i="398" s="1"/>
  <c r="C84" i="398" a="1"/>
  <c r="C84" i="398" s="1"/>
  <c r="C83" i="398" a="1"/>
  <c r="C83" i="398" s="1"/>
  <c r="C82" i="398" a="1"/>
  <c r="C82" i="398" s="1"/>
  <c r="C81" i="398" a="1"/>
  <c r="C81" i="398" s="1"/>
  <c r="C80" i="398" a="1"/>
  <c r="C80" i="398" s="1"/>
  <c r="C79" i="398" a="1"/>
  <c r="C79" i="398" s="1"/>
  <c r="C74" i="398" a="1"/>
  <c r="C74" i="398" s="1"/>
  <c r="C73" i="398" a="1"/>
  <c r="C73" i="398" s="1"/>
  <c r="C72" i="398" a="1"/>
  <c r="C72" i="398" s="1"/>
  <c r="C71" i="398" a="1"/>
  <c r="C71" i="398" s="1"/>
  <c r="C70" i="398" a="1"/>
  <c r="C70" i="398" s="1"/>
  <c r="C69" i="398" a="1"/>
  <c r="C69" i="398" s="1"/>
  <c r="C68" i="398" a="1"/>
  <c r="C68" i="398" s="1"/>
  <c r="C67" i="398" a="1"/>
  <c r="C67" i="398" s="1"/>
  <c r="C66" i="398" a="1"/>
  <c r="C66" i="398" s="1"/>
  <c r="C65" i="398" a="1"/>
  <c r="C65" i="398" s="1"/>
  <c r="C64" i="398" a="1"/>
  <c r="C64" i="398" s="1"/>
  <c r="C63" i="398" a="1"/>
  <c r="C63" i="398" s="1"/>
  <c r="C62" i="398" a="1"/>
  <c r="C62" i="398" s="1"/>
  <c r="C61" i="398" a="1"/>
  <c r="C61" i="398" s="1"/>
  <c r="C60" i="398" a="1"/>
  <c r="C60" i="398" s="1"/>
  <c r="C59" i="398" a="1"/>
  <c r="C59" i="398" s="1"/>
  <c r="C58" i="398" a="1"/>
  <c r="C58" i="398" s="1"/>
  <c r="C57" i="398" a="1"/>
  <c r="C57" i="398" s="1"/>
  <c r="C56" i="398" a="1"/>
  <c r="C56" i="398" s="1"/>
  <c r="C55" i="398" a="1"/>
  <c r="C55" i="398" s="1"/>
  <c r="C54" i="398" a="1"/>
  <c r="C54" i="398" s="1"/>
  <c r="C53" i="398" a="1"/>
  <c r="C53" i="398" s="1"/>
  <c r="C52" i="398" a="1"/>
  <c r="C52" i="398" s="1"/>
  <c r="I46" i="398"/>
  <c r="G46" i="398" a="1"/>
  <c r="G46" i="398" s="1"/>
  <c r="C45" i="398" a="1"/>
  <c r="C45" i="398" s="1"/>
  <c r="C44" i="398" a="1"/>
  <c r="C44" i="398" s="1"/>
  <c r="C43" i="398" a="1"/>
  <c r="C43" i="398" s="1"/>
  <c r="C42" i="398" a="1"/>
  <c r="C42" i="398" s="1"/>
  <c r="C41" i="398" a="1"/>
  <c r="C41" i="398" s="1"/>
  <c r="C40" i="398" a="1"/>
  <c r="C40" i="398" s="1"/>
  <c r="C39" i="398" a="1"/>
  <c r="C39" i="398" s="1"/>
  <c r="C38" i="398" a="1"/>
  <c r="C38" i="398" s="1"/>
  <c r="C37" i="398" a="1"/>
  <c r="C37" i="398" s="1"/>
  <c r="C35" i="398" a="1"/>
  <c r="C35" i="398" s="1"/>
  <c r="C34" i="398" a="1"/>
  <c r="C34" i="398" s="1"/>
  <c r="C33" i="398" a="1"/>
  <c r="C33" i="398" s="1"/>
  <c r="C31" i="398" a="1"/>
  <c r="C31" i="398" s="1"/>
  <c r="C30" i="398" a="1"/>
  <c r="C30" i="398" s="1"/>
  <c r="C28" i="398" a="1"/>
  <c r="C28" i="398" s="1"/>
  <c r="C26" i="398" a="1"/>
  <c r="C26" i="398" s="1"/>
  <c r="C23" i="398" a="1"/>
  <c r="C23" i="398" s="1"/>
  <c r="C22" i="398" a="1"/>
  <c r="C22" i="398" s="1"/>
  <c r="C20" i="398" a="1"/>
  <c r="C20" i="398" s="1"/>
  <c r="C18" i="398" a="1"/>
  <c r="C18" i="398" s="1"/>
  <c r="C17" i="398" a="1"/>
  <c r="C17" i="398" s="1"/>
  <c r="C16" i="398" a="1"/>
  <c r="C16" i="398" s="1"/>
  <c r="C14" i="398" a="1"/>
  <c r="C14" i="398" s="1"/>
  <c r="C13" i="398" a="1"/>
  <c r="C13" i="398" s="1"/>
  <c r="C12" i="398" a="1"/>
  <c r="C12" i="398" s="1"/>
  <c r="C10" i="398" a="1"/>
  <c r="C10" i="398" s="1"/>
  <c r="E7" i="398"/>
  <c r="E175" i="398" s="1" a="1"/>
  <c r="E175" i="398" s="1"/>
  <c r="E177" i="398" s="1"/>
  <c r="A4" i="398"/>
  <c r="A3" i="398"/>
  <c r="F161" i="398" s="1" a="1"/>
  <c r="F161" i="398" s="1"/>
  <c r="I183" i="393"/>
  <c r="H183" i="393"/>
  <c r="I182" i="393"/>
  <c r="H182" i="393"/>
  <c r="I181" i="393"/>
  <c r="H181" i="393"/>
  <c r="I180" i="393"/>
  <c r="H180" i="393"/>
  <c r="C175" i="393" a="1"/>
  <c r="C175" i="393" s="1"/>
  <c r="C177" i="393" s="1"/>
  <c r="I169" i="393"/>
  <c r="H169" i="393"/>
  <c r="I168" i="393"/>
  <c r="H168" i="393"/>
  <c r="C163" i="393" a="1"/>
  <c r="C163" i="393" s="1"/>
  <c r="C162" i="393" a="1"/>
  <c r="C162" i="393" s="1"/>
  <c r="C161" i="393" a="1"/>
  <c r="C161" i="393" s="1"/>
  <c r="C160" i="393" a="1"/>
  <c r="C160" i="393" s="1"/>
  <c r="C159" i="393" a="1"/>
  <c r="C159" i="393" s="1"/>
  <c r="C158" i="393" a="1"/>
  <c r="C158" i="393" s="1"/>
  <c r="C157" i="393" a="1"/>
  <c r="C157" i="393" s="1"/>
  <c r="C156" i="393" a="1"/>
  <c r="C156" i="393" s="1"/>
  <c r="C155" i="393" a="1"/>
  <c r="C155" i="393" s="1"/>
  <c r="I151" i="393"/>
  <c r="H151" i="393"/>
  <c r="I150" i="393"/>
  <c r="H150" i="393"/>
  <c r="I146" i="393"/>
  <c r="G146" i="393"/>
  <c r="H146" i="393" s="1"/>
  <c r="C145" i="393" a="1"/>
  <c r="C145" i="393" s="1"/>
  <c r="C144" i="393" s="1"/>
  <c r="G143" i="393" a="1"/>
  <c r="G143" i="393" s="1"/>
  <c r="C143" i="393" a="1"/>
  <c r="C143" i="393"/>
  <c r="C142" i="393" a="1"/>
  <c r="C142" i="393"/>
  <c r="C141" i="393" a="1"/>
  <c r="C141" i="393"/>
  <c r="C140" i="393" a="1"/>
  <c r="C140" i="393"/>
  <c r="I138" i="393"/>
  <c r="H138" i="393"/>
  <c r="C137" i="393" a="1"/>
  <c r="C137" i="393"/>
  <c r="C136" i="393" a="1"/>
  <c r="C136" i="393"/>
  <c r="C135" i="393" a="1"/>
  <c r="C135" i="393"/>
  <c r="C134" i="393" a="1"/>
  <c r="C134" i="393"/>
  <c r="C133" i="393" a="1"/>
  <c r="C133" i="393"/>
  <c r="C132" i="393" a="1"/>
  <c r="C132" i="393"/>
  <c r="C131" i="393" a="1"/>
  <c r="C131" i="393"/>
  <c r="C130" i="393" a="1"/>
  <c r="C130" i="393"/>
  <c r="C129" i="393" a="1"/>
  <c r="C129" i="393"/>
  <c r="C128" i="393" a="1"/>
  <c r="C128" i="393"/>
  <c r="C127" i="393" a="1"/>
  <c r="C127" i="393"/>
  <c r="C126" i="393" a="1"/>
  <c r="C126" i="393"/>
  <c r="C125" i="393" a="1"/>
  <c r="C125" i="393"/>
  <c r="C124" i="393" a="1"/>
  <c r="C124" i="393"/>
  <c r="C123" i="393" a="1"/>
  <c r="C123" i="393"/>
  <c r="C122" i="393" a="1"/>
  <c r="C122" i="393"/>
  <c r="C121" i="393" a="1"/>
  <c r="C121" i="393"/>
  <c r="C120" i="393" a="1"/>
  <c r="C120" i="393"/>
  <c r="C119" i="393" a="1"/>
  <c r="C119" i="393"/>
  <c r="C118" i="393" a="1"/>
  <c r="C118" i="393"/>
  <c r="C117" i="393" a="1"/>
  <c r="C117" i="393"/>
  <c r="C116" i="393" a="1"/>
  <c r="C116" i="393"/>
  <c r="C115" i="393" a="1"/>
  <c r="C115" i="393"/>
  <c r="C114" i="393" a="1"/>
  <c r="C114" i="393"/>
  <c r="C113" i="393" a="1"/>
  <c r="C113" i="393"/>
  <c r="C112" i="393" a="1"/>
  <c r="C112" i="393"/>
  <c r="C111" i="393" a="1"/>
  <c r="C111" i="393"/>
  <c r="C110" i="393" a="1"/>
  <c r="C110" i="393"/>
  <c r="C109" i="393" a="1"/>
  <c r="C109" i="393"/>
  <c r="C108" i="393" a="1"/>
  <c r="C108" i="393"/>
  <c r="C107" i="393" a="1"/>
  <c r="C107" i="393"/>
  <c r="C106" i="393" a="1"/>
  <c r="C106" i="393"/>
  <c r="C105" i="393" a="1"/>
  <c r="C105" i="393"/>
  <c r="C104" i="393" a="1"/>
  <c r="C104" i="393"/>
  <c r="C103" i="393" a="1"/>
  <c r="C103" i="393"/>
  <c r="C102" i="393" a="1"/>
  <c r="C102" i="393"/>
  <c r="C101" i="393" a="1"/>
  <c r="C101" i="393"/>
  <c r="C100" i="393" a="1"/>
  <c r="C100" i="393"/>
  <c r="C99" i="393" a="1"/>
  <c r="C99" i="393"/>
  <c r="C98" i="393" a="1"/>
  <c r="C98" i="393"/>
  <c r="C97" i="393" a="1"/>
  <c r="C97" i="393"/>
  <c r="C96" i="393" a="1"/>
  <c r="C96" i="393"/>
  <c r="C95" i="393" a="1"/>
  <c r="C95" i="393"/>
  <c r="C94" i="393" a="1"/>
  <c r="C94" i="393"/>
  <c r="C93" i="393" a="1"/>
  <c r="C93" i="393"/>
  <c r="C92" i="393" a="1"/>
  <c r="C92" i="393"/>
  <c r="C91" i="393" a="1"/>
  <c r="C91" i="393"/>
  <c r="C90" i="393" a="1"/>
  <c r="C90" i="393"/>
  <c r="C89" i="393" a="1"/>
  <c r="C89" i="393"/>
  <c r="C88" i="393" a="1"/>
  <c r="C88" i="393"/>
  <c r="C87" i="393" a="1"/>
  <c r="C87" i="393"/>
  <c r="C86" i="393" a="1"/>
  <c r="C86" i="393"/>
  <c r="C85" i="393" a="1"/>
  <c r="C85" i="393"/>
  <c r="C84" i="393" a="1"/>
  <c r="C84" i="393"/>
  <c r="C83" i="393" a="1"/>
  <c r="C83" i="393"/>
  <c r="C82" i="393" a="1"/>
  <c r="C82" i="393"/>
  <c r="C81" i="393" a="1"/>
  <c r="C81" i="393"/>
  <c r="C80" i="393" a="1"/>
  <c r="C80" i="393"/>
  <c r="C79" i="393" a="1"/>
  <c r="C79" i="393"/>
  <c r="C74" i="393" a="1"/>
  <c r="C74" i="393"/>
  <c r="C73" i="393" a="1"/>
  <c r="C73" i="393"/>
  <c r="C72" i="393" a="1"/>
  <c r="C72" i="393"/>
  <c r="C71" i="393" a="1"/>
  <c r="C71" i="393"/>
  <c r="C70" i="393" a="1"/>
  <c r="C70" i="393"/>
  <c r="C69" i="393" a="1"/>
  <c r="C69" i="393"/>
  <c r="C68" i="393" a="1"/>
  <c r="C68" i="393"/>
  <c r="C67" i="393" a="1"/>
  <c r="C67" i="393"/>
  <c r="C66" i="393" a="1"/>
  <c r="C66" i="393"/>
  <c r="C65" i="393" a="1"/>
  <c r="C65" i="393"/>
  <c r="C64" i="393" a="1"/>
  <c r="C64" i="393"/>
  <c r="C63" i="393" a="1"/>
  <c r="C63" i="393"/>
  <c r="C62" i="393" a="1"/>
  <c r="C62" i="393"/>
  <c r="C61" i="393" a="1"/>
  <c r="C61" i="393"/>
  <c r="C60" i="393" a="1"/>
  <c r="C60" i="393" s="1"/>
  <c r="C59" i="393" a="1"/>
  <c r="C59" i="393" s="1"/>
  <c r="C58" i="393" a="1"/>
  <c r="C58" i="393" s="1"/>
  <c r="C57" i="393" a="1"/>
  <c r="C57" i="393"/>
  <c r="C56" i="393" a="1"/>
  <c r="C56" i="393" s="1"/>
  <c r="C55" i="393" a="1"/>
  <c r="C55" i="393" s="1"/>
  <c r="C54" i="393" a="1"/>
  <c r="C54" i="393" s="1"/>
  <c r="C53" i="393" a="1"/>
  <c r="C53" i="393"/>
  <c r="C52" i="393" a="1"/>
  <c r="C52" i="393" s="1"/>
  <c r="I46" i="393"/>
  <c r="G46" i="393" a="1"/>
  <c r="G46" i="393" s="1"/>
  <c r="C45" i="393" a="1"/>
  <c r="C45" i="393" s="1"/>
  <c r="C44" i="393" a="1"/>
  <c r="C44" i="393"/>
  <c r="C43" i="393" a="1"/>
  <c r="C43" i="393" s="1"/>
  <c r="C42" i="393" a="1"/>
  <c r="C42" i="393" s="1"/>
  <c r="C41" i="393" a="1"/>
  <c r="C41" i="393" s="1"/>
  <c r="C40" i="393" a="1"/>
  <c r="C40" i="393"/>
  <c r="C39" i="393" a="1"/>
  <c r="C39" i="393" s="1"/>
  <c r="C38" i="393" a="1"/>
  <c r="C38" i="393" s="1"/>
  <c r="C37" i="393" a="1"/>
  <c r="C37" i="393" s="1"/>
  <c r="C35" i="393" a="1"/>
  <c r="C35" i="393"/>
  <c r="C34" i="393" a="1"/>
  <c r="C34" i="393" s="1"/>
  <c r="C33" i="393" a="1"/>
  <c r="C33" i="393" s="1"/>
  <c r="C31" i="393" a="1"/>
  <c r="C31" i="393" s="1"/>
  <c r="C30" i="393" a="1"/>
  <c r="C30" i="393"/>
  <c r="C28" i="393" a="1"/>
  <c r="C28" i="393" s="1"/>
  <c r="C26" i="393" a="1"/>
  <c r="C26" i="393" s="1"/>
  <c r="C23" i="393" a="1"/>
  <c r="C23" i="393" s="1"/>
  <c r="C22" i="393" a="1"/>
  <c r="C22" i="393"/>
  <c r="C20" i="393" a="1"/>
  <c r="C20" i="393" s="1"/>
  <c r="C18" i="393" a="1"/>
  <c r="C18" i="393" s="1"/>
  <c r="C17" i="393" a="1"/>
  <c r="C17" i="393" s="1"/>
  <c r="C16" i="393" a="1"/>
  <c r="C16" i="393"/>
  <c r="C14" i="393" a="1"/>
  <c r="C14" i="393" s="1"/>
  <c r="C13" i="393" a="1"/>
  <c r="C13" i="393" s="1"/>
  <c r="C12" i="393" a="1"/>
  <c r="C12" i="393" s="1"/>
  <c r="C10" i="393" a="1"/>
  <c r="C10" i="393"/>
  <c r="E7" i="393"/>
  <c r="E175" i="393" s="1" a="1"/>
  <c r="E175" i="393" s="1"/>
  <c r="A4" i="393"/>
  <c r="A3" i="393"/>
  <c r="F72" i="393" s="1" a="1"/>
  <c r="F72" i="393" s="1"/>
  <c r="I183" i="397"/>
  <c r="H183" i="397"/>
  <c r="I182" i="397"/>
  <c r="H182" i="397"/>
  <c r="I181" i="397"/>
  <c r="H181" i="397"/>
  <c r="I180" i="397"/>
  <c r="H180" i="397"/>
  <c r="C175" i="397" a="1"/>
  <c r="C175" i="397" s="1"/>
  <c r="C177" i="397" s="1"/>
  <c r="I169" i="397"/>
  <c r="H169" i="397"/>
  <c r="I168" i="397"/>
  <c r="H168" i="397"/>
  <c r="C163" i="397" a="1"/>
  <c r="C163" i="397" s="1"/>
  <c r="C162" i="397" a="1"/>
  <c r="C162" i="397"/>
  <c r="C161" i="397" a="1"/>
  <c r="C161" i="397" s="1"/>
  <c r="C160" i="397" a="1"/>
  <c r="C160" i="397" s="1"/>
  <c r="C159" i="397" a="1"/>
  <c r="C159" i="397" s="1"/>
  <c r="C158" i="397" a="1"/>
  <c r="C158" i="397"/>
  <c r="C157" i="397" a="1"/>
  <c r="C157" i="397" s="1"/>
  <c r="C156" i="397" a="1"/>
  <c r="C156" i="397" s="1"/>
  <c r="C155" i="397" a="1"/>
  <c r="C155" i="397" s="1"/>
  <c r="I151" i="397"/>
  <c r="H151" i="397"/>
  <c r="I150" i="397"/>
  <c r="H150" i="397"/>
  <c r="I146" i="397"/>
  <c r="G146" i="397"/>
  <c r="H146" i="397" s="1"/>
  <c r="C145" i="397" a="1"/>
  <c r="C145" i="397"/>
  <c r="C144" i="397" s="1"/>
  <c r="G143" i="397" a="1"/>
  <c r="G143" i="397" s="1"/>
  <c r="C143" i="397" a="1"/>
  <c r="C143" i="397"/>
  <c r="C142" i="397" a="1"/>
  <c r="C142" i="397" s="1"/>
  <c r="C141" i="397" a="1"/>
  <c r="C141" i="397" s="1"/>
  <c r="C140" i="397" a="1"/>
  <c r="C140" i="397" s="1"/>
  <c r="I138" i="397"/>
  <c r="H138" i="397"/>
  <c r="C137" i="397" a="1"/>
  <c r="C137" i="397" s="1"/>
  <c r="C136" i="397" a="1"/>
  <c r="C136" i="397" s="1"/>
  <c r="C135" i="397" a="1"/>
  <c r="C135" i="397" s="1"/>
  <c r="C134" i="397" a="1"/>
  <c r="C134" i="397"/>
  <c r="C133" i="397" a="1"/>
  <c r="C133" i="397" s="1"/>
  <c r="C132" i="397" a="1"/>
  <c r="C132" i="397" s="1"/>
  <c r="C131" i="397" a="1"/>
  <c r="C131" i="397" s="1"/>
  <c r="C130" i="397" a="1"/>
  <c r="C130" i="397"/>
  <c r="C129" i="397" a="1"/>
  <c r="C129" i="397" s="1"/>
  <c r="C128" i="397" a="1"/>
  <c r="C128" i="397" s="1"/>
  <c r="C127" i="397" a="1"/>
  <c r="C127" i="397" s="1"/>
  <c r="C126" i="397" a="1"/>
  <c r="C126" i="397"/>
  <c r="C125" i="397" a="1"/>
  <c r="C125" i="397" s="1"/>
  <c r="C124" i="397" a="1"/>
  <c r="C124" i="397" s="1"/>
  <c r="C123" i="397" a="1"/>
  <c r="C123" i="397" s="1"/>
  <c r="C122" i="397" a="1"/>
  <c r="C122" i="397"/>
  <c r="C121" i="397" a="1"/>
  <c r="C121" i="397" s="1"/>
  <c r="C120" i="397" a="1"/>
  <c r="C120" i="397" s="1"/>
  <c r="C119" i="397" a="1"/>
  <c r="C119" i="397" s="1"/>
  <c r="C118" i="397" a="1"/>
  <c r="C118" i="397"/>
  <c r="C117" i="397" a="1"/>
  <c r="C117" i="397" s="1"/>
  <c r="C116" i="397" a="1"/>
  <c r="C116" i="397" s="1"/>
  <c r="C115" i="397" a="1"/>
  <c r="C115" i="397" s="1"/>
  <c r="C114" i="397" a="1"/>
  <c r="C114" i="397"/>
  <c r="C113" i="397" a="1"/>
  <c r="C113" i="397" s="1"/>
  <c r="C112" i="397" a="1"/>
  <c r="C112" i="397" s="1"/>
  <c r="C111" i="397" a="1"/>
  <c r="C111" i="397" s="1"/>
  <c r="C110" i="397" a="1"/>
  <c r="C110" i="397"/>
  <c r="C109" i="397" a="1"/>
  <c r="C109" i="397" s="1"/>
  <c r="C108" i="397" a="1"/>
  <c r="C108" i="397" s="1"/>
  <c r="C107" i="397" a="1"/>
  <c r="C107" i="397" s="1"/>
  <c r="C106" i="397" a="1"/>
  <c r="C106" i="397"/>
  <c r="C105" i="397" a="1"/>
  <c r="C105" i="397" s="1"/>
  <c r="C104" i="397" a="1"/>
  <c r="C104" i="397" s="1"/>
  <c r="C103" i="397" a="1"/>
  <c r="C103" i="397" s="1"/>
  <c r="C102" i="397" a="1"/>
  <c r="C102" i="397" s="1"/>
  <c r="C101" i="397" a="1"/>
  <c r="C101" i="397" s="1"/>
  <c r="C100" i="397" a="1"/>
  <c r="C100" i="397" s="1"/>
  <c r="C99" i="397" a="1"/>
  <c r="C99" i="397" s="1"/>
  <c r="C98" i="397" a="1"/>
  <c r="C98" i="397" s="1"/>
  <c r="C97" i="397" a="1"/>
  <c r="C97" i="397" s="1"/>
  <c r="C96" i="397" a="1"/>
  <c r="C96" i="397" s="1"/>
  <c r="C95" i="397" a="1"/>
  <c r="C95" i="397" s="1"/>
  <c r="C94" i="397" a="1"/>
  <c r="C94" i="397" s="1"/>
  <c r="C93" i="397" a="1"/>
  <c r="C93" i="397" s="1"/>
  <c r="C92" i="397" a="1"/>
  <c r="C92" i="397" s="1"/>
  <c r="C91" i="397" a="1"/>
  <c r="C91" i="397" s="1"/>
  <c r="C90" i="397" a="1"/>
  <c r="C90" i="397" s="1"/>
  <c r="C89" i="397" a="1"/>
  <c r="C89" i="397" s="1"/>
  <c r="C88" i="397" a="1"/>
  <c r="C88" i="397" s="1"/>
  <c r="C87" i="397" a="1"/>
  <c r="C87" i="397" s="1"/>
  <c r="C86" i="397" a="1"/>
  <c r="C86" i="397" s="1"/>
  <c r="C85" i="397" a="1"/>
  <c r="C85" i="397" s="1"/>
  <c r="C84" i="397" a="1"/>
  <c r="C84" i="397" s="1"/>
  <c r="C83" i="397" a="1"/>
  <c r="C83" i="397" s="1"/>
  <c r="C82" i="397" a="1"/>
  <c r="C82" i="397" s="1"/>
  <c r="C81" i="397" a="1"/>
  <c r="C81" i="397" s="1"/>
  <c r="C80" i="397" a="1"/>
  <c r="C80" i="397" s="1"/>
  <c r="C79" i="397" a="1"/>
  <c r="C79" i="397" s="1"/>
  <c r="C74" i="397" a="1"/>
  <c r="C74" i="397" s="1"/>
  <c r="C73" i="397" a="1"/>
  <c r="C73" i="397" s="1"/>
  <c r="C72" i="397" a="1"/>
  <c r="C72" i="397" s="1"/>
  <c r="C71" i="397" a="1"/>
  <c r="C71" i="397" s="1"/>
  <c r="C70" i="397" a="1"/>
  <c r="C70" i="397" s="1"/>
  <c r="C69" i="397" a="1"/>
  <c r="C69" i="397" s="1"/>
  <c r="C68" i="397" a="1"/>
  <c r="C68" i="397" s="1"/>
  <c r="C67" i="397" a="1"/>
  <c r="C67" i="397" s="1"/>
  <c r="C66" i="397" a="1"/>
  <c r="C66" i="397" s="1"/>
  <c r="C65" i="397" a="1"/>
  <c r="C65" i="397" s="1"/>
  <c r="C64" i="397" a="1"/>
  <c r="C64" i="397" s="1"/>
  <c r="C63" i="397" a="1"/>
  <c r="C63" i="397" s="1"/>
  <c r="C62" i="397" a="1"/>
  <c r="C62" i="397" s="1"/>
  <c r="C61" i="397" a="1"/>
  <c r="C61" i="397" s="1"/>
  <c r="C60" i="397" a="1"/>
  <c r="C60" i="397" s="1"/>
  <c r="C59" i="397" a="1"/>
  <c r="C59" i="397" s="1"/>
  <c r="C58" i="397" a="1"/>
  <c r="C58" i="397" s="1"/>
  <c r="C57" i="397" a="1"/>
  <c r="C57" i="397" s="1"/>
  <c r="C56" i="397" a="1"/>
  <c r="C56" i="397" s="1"/>
  <c r="C55" i="397" a="1"/>
  <c r="C55" i="397" s="1"/>
  <c r="C54" i="397" a="1"/>
  <c r="C54" i="397" s="1"/>
  <c r="C53" i="397" a="1"/>
  <c r="C53" i="397" s="1"/>
  <c r="C52" i="397" a="1"/>
  <c r="C52" i="397" s="1"/>
  <c r="I46" i="397"/>
  <c r="G46" i="397" a="1"/>
  <c r="G46" i="397" s="1"/>
  <c r="E46" i="397" s="1"/>
  <c r="C45" i="397" a="1"/>
  <c r="C45" i="397" s="1"/>
  <c r="C44" i="397" a="1"/>
  <c r="C44" i="397" s="1"/>
  <c r="C43" i="397" a="1"/>
  <c r="C43" i="397" s="1"/>
  <c r="C42" i="397" a="1"/>
  <c r="C42" i="397" s="1"/>
  <c r="C41" i="397" a="1"/>
  <c r="C41" i="397" s="1"/>
  <c r="C40" i="397" a="1"/>
  <c r="C40" i="397" s="1"/>
  <c r="C39" i="397" a="1"/>
  <c r="C39" i="397" s="1"/>
  <c r="C38" i="397" a="1"/>
  <c r="C38" i="397" s="1"/>
  <c r="C37" i="397" a="1"/>
  <c r="C37" i="397" s="1"/>
  <c r="C35" i="397" a="1"/>
  <c r="C35" i="397" s="1"/>
  <c r="C34" i="397" a="1"/>
  <c r="C34" i="397" s="1"/>
  <c r="C33" i="397" a="1"/>
  <c r="C33" i="397" s="1"/>
  <c r="C31" i="397" a="1"/>
  <c r="C31" i="397" s="1"/>
  <c r="C30" i="397" a="1"/>
  <c r="C30" i="397" s="1"/>
  <c r="C28" i="397" a="1"/>
  <c r="C28" i="397" s="1"/>
  <c r="C26" i="397" a="1"/>
  <c r="C26" i="397" s="1"/>
  <c r="C23" i="397" a="1"/>
  <c r="C23" i="397" s="1"/>
  <c r="C22" i="397" a="1"/>
  <c r="C22" i="397" s="1"/>
  <c r="C20" i="397" a="1"/>
  <c r="C20" i="397" s="1"/>
  <c r="C18" i="397" a="1"/>
  <c r="C18" i="397" s="1"/>
  <c r="C17" i="397" a="1"/>
  <c r="C17" i="397" s="1"/>
  <c r="C16" i="397" a="1"/>
  <c r="C16" i="397" s="1"/>
  <c r="C14" i="397" a="1"/>
  <c r="C14" i="397" s="1"/>
  <c r="C13" i="397" a="1"/>
  <c r="C13" i="397" s="1"/>
  <c r="C12" i="397" a="1"/>
  <c r="C12" i="397" s="1"/>
  <c r="C10" i="397" a="1"/>
  <c r="C10" i="397" s="1"/>
  <c r="E7" i="397"/>
  <c r="E175" i="397" s="1" a="1"/>
  <c r="E175" i="397" s="1"/>
  <c r="A4" i="397"/>
  <c r="A3" i="397"/>
  <c r="F175" i="397" s="1" a="1"/>
  <c r="F175" i="397" s="1"/>
  <c r="F177" i="397" s="1"/>
  <c r="I183" i="396"/>
  <c r="H183" i="396"/>
  <c r="I182" i="396"/>
  <c r="H182" i="396"/>
  <c r="I181" i="396"/>
  <c r="H181" i="396"/>
  <c r="I180" i="396"/>
  <c r="H180" i="396"/>
  <c r="C175" i="396" a="1"/>
  <c r="C175" i="396" s="1"/>
  <c r="C177" i="396" s="1"/>
  <c r="I169" i="396"/>
  <c r="H169" i="396"/>
  <c r="I168" i="396"/>
  <c r="H168" i="396"/>
  <c r="C163" i="396" a="1"/>
  <c r="C163" i="396" s="1"/>
  <c r="C162" i="396" a="1"/>
  <c r="C162" i="396" s="1"/>
  <c r="C161" i="396" a="1"/>
  <c r="C161" i="396" s="1"/>
  <c r="C160" i="396" a="1"/>
  <c r="C160" i="396" s="1"/>
  <c r="C159" i="396" a="1"/>
  <c r="C159" i="396" s="1"/>
  <c r="C158" i="396" a="1"/>
  <c r="C158" i="396" s="1"/>
  <c r="C157" i="396" a="1"/>
  <c r="C157" i="396" s="1"/>
  <c r="C156" i="396" a="1"/>
  <c r="C156" i="396" s="1"/>
  <c r="C155" i="396" a="1"/>
  <c r="C155" i="396" s="1"/>
  <c r="I151" i="396"/>
  <c r="H151" i="396"/>
  <c r="I150" i="396"/>
  <c r="H150" i="396"/>
  <c r="I146" i="396"/>
  <c r="G146" i="396"/>
  <c r="H146" i="396" s="1"/>
  <c r="C145" i="396" a="1"/>
  <c r="C145" i="396" s="1"/>
  <c r="C144" i="396" s="1"/>
  <c r="G143" i="396" a="1"/>
  <c r="G143" i="396" s="1"/>
  <c r="C143" i="396" a="1"/>
  <c r="C143" i="396"/>
  <c r="C142" i="396" a="1"/>
  <c r="C142" i="396"/>
  <c r="C141" i="396" a="1"/>
  <c r="C141" i="396"/>
  <c r="C140" i="396" a="1"/>
  <c r="C140" i="396"/>
  <c r="I138" i="396"/>
  <c r="H138" i="396"/>
  <c r="C137" i="396" a="1"/>
  <c r="C137" i="396"/>
  <c r="C136" i="396" a="1"/>
  <c r="C136" i="396"/>
  <c r="C135" i="396" a="1"/>
  <c r="C135" i="396"/>
  <c r="C134" i="396" a="1"/>
  <c r="C134" i="396"/>
  <c r="C133" i="396" a="1"/>
  <c r="C133" i="396"/>
  <c r="C132" i="396" a="1"/>
  <c r="C132" i="396"/>
  <c r="C131" i="396" a="1"/>
  <c r="C131" i="396"/>
  <c r="C130" i="396" a="1"/>
  <c r="C130" i="396"/>
  <c r="C129" i="396" a="1"/>
  <c r="C129" i="396"/>
  <c r="C128" i="396" a="1"/>
  <c r="C128" i="396"/>
  <c r="C127" i="396" a="1"/>
  <c r="C127" i="396"/>
  <c r="C126" i="396" a="1"/>
  <c r="C126" i="396"/>
  <c r="C125" i="396" a="1"/>
  <c r="C125" i="396"/>
  <c r="C124" i="396" a="1"/>
  <c r="C124" i="396"/>
  <c r="C123" i="396" a="1"/>
  <c r="C123" i="396"/>
  <c r="C122" i="396" a="1"/>
  <c r="C122" i="396"/>
  <c r="C121" i="396" a="1"/>
  <c r="C121" i="396"/>
  <c r="C120" i="396" a="1"/>
  <c r="C120" i="396"/>
  <c r="C119" i="396" a="1"/>
  <c r="C119" i="396"/>
  <c r="C118" i="396" a="1"/>
  <c r="C118" i="396"/>
  <c r="C117" i="396" a="1"/>
  <c r="C117" i="396"/>
  <c r="C116" i="396" a="1"/>
  <c r="C116" i="396"/>
  <c r="C115" i="396" a="1"/>
  <c r="C115" i="396"/>
  <c r="C114" i="396" a="1"/>
  <c r="C114" i="396"/>
  <c r="C113" i="396" a="1"/>
  <c r="C113" i="396"/>
  <c r="C112" i="396" a="1"/>
  <c r="C112" i="396" s="1"/>
  <c r="C111" i="396" a="1"/>
  <c r="C111" i="396" s="1"/>
  <c r="C110" i="396" a="1"/>
  <c r="C110" i="396" s="1"/>
  <c r="C109" i="396" a="1"/>
  <c r="C109" i="396" s="1"/>
  <c r="C108" i="396" a="1"/>
  <c r="C108" i="396" s="1"/>
  <c r="C107" i="396" a="1"/>
  <c r="C107" i="396" s="1"/>
  <c r="C106" i="396" a="1"/>
  <c r="C106" i="396" s="1"/>
  <c r="C105" i="396" a="1"/>
  <c r="C105" i="396" s="1"/>
  <c r="C104" i="396" a="1"/>
  <c r="C104" i="396" s="1"/>
  <c r="C103" i="396" a="1"/>
  <c r="C103" i="396" s="1"/>
  <c r="C102" i="396" a="1"/>
  <c r="C102" i="396" s="1"/>
  <c r="C101" i="396" a="1"/>
  <c r="C101" i="396" s="1"/>
  <c r="C100" i="396" a="1"/>
  <c r="C100" i="396" s="1"/>
  <c r="C99" i="396" a="1"/>
  <c r="C99" i="396" s="1"/>
  <c r="C98" i="396" a="1"/>
  <c r="C98" i="396" s="1"/>
  <c r="C97" i="396" a="1"/>
  <c r="C97" i="396" s="1"/>
  <c r="C96" i="396" a="1"/>
  <c r="C96" i="396" s="1"/>
  <c r="C95" i="396" a="1"/>
  <c r="C95" i="396" s="1"/>
  <c r="C94" i="396" a="1"/>
  <c r="C94" i="396" s="1"/>
  <c r="C93" i="396" a="1"/>
  <c r="C93" i="396" s="1"/>
  <c r="C92" i="396" a="1"/>
  <c r="C92" i="396" s="1"/>
  <c r="C91" i="396" a="1"/>
  <c r="C91" i="396" s="1"/>
  <c r="C90" i="396" a="1"/>
  <c r="C90" i="396" s="1"/>
  <c r="C89" i="396" a="1"/>
  <c r="C89" i="396" s="1"/>
  <c r="C88" i="396" a="1"/>
  <c r="C88" i="396" s="1"/>
  <c r="C87" i="396" a="1"/>
  <c r="C87" i="396" s="1"/>
  <c r="C86" i="396" a="1"/>
  <c r="C86" i="396" s="1"/>
  <c r="C85" i="396" a="1"/>
  <c r="C85" i="396" s="1"/>
  <c r="C84" i="396" a="1"/>
  <c r="C84" i="396" s="1"/>
  <c r="C83" i="396" a="1"/>
  <c r="C83" i="396" s="1"/>
  <c r="C82" i="396" a="1"/>
  <c r="C82" i="396" s="1"/>
  <c r="C81" i="396" a="1"/>
  <c r="C81" i="396" s="1"/>
  <c r="C80" i="396" a="1"/>
  <c r="C80" i="396" s="1"/>
  <c r="C79" i="396" a="1"/>
  <c r="C79" i="396" s="1"/>
  <c r="C74" i="396" a="1"/>
  <c r="C74" i="396" s="1"/>
  <c r="C73" i="396" a="1"/>
  <c r="C73" i="396" s="1"/>
  <c r="C72" i="396" a="1"/>
  <c r="C72" i="396" s="1"/>
  <c r="C71" i="396" a="1"/>
  <c r="C71" i="396" s="1"/>
  <c r="C70" i="396" a="1"/>
  <c r="C70" i="396" s="1"/>
  <c r="C69" i="396" a="1"/>
  <c r="C69" i="396" s="1"/>
  <c r="C68" i="396" a="1"/>
  <c r="C68" i="396" s="1"/>
  <c r="C67" i="396" a="1"/>
  <c r="C67" i="396" s="1"/>
  <c r="C66" i="396" a="1"/>
  <c r="C66" i="396" s="1"/>
  <c r="C65" i="396" a="1"/>
  <c r="C65" i="396" s="1"/>
  <c r="C64" i="396" a="1"/>
  <c r="C64" i="396" s="1"/>
  <c r="C63" i="396" a="1"/>
  <c r="C63" i="396" s="1"/>
  <c r="C62" i="396" a="1"/>
  <c r="C62" i="396" s="1"/>
  <c r="C61" i="396" a="1"/>
  <c r="C61" i="396" s="1"/>
  <c r="C60" i="396" a="1"/>
  <c r="C60" i="396"/>
  <c r="C59" i="396" a="1"/>
  <c r="C59" i="396" s="1"/>
  <c r="C58" i="396" a="1"/>
  <c r="C58" i="396" s="1"/>
  <c r="C57" i="396" a="1"/>
  <c r="C57" i="396" s="1"/>
  <c r="C56" i="396" a="1"/>
  <c r="C56" i="396"/>
  <c r="C55" i="396" a="1"/>
  <c r="C55" i="396" s="1"/>
  <c r="C54" i="396" a="1"/>
  <c r="C54" i="396" s="1"/>
  <c r="C53" i="396" a="1"/>
  <c r="C53" i="396" s="1"/>
  <c r="C52" i="396" a="1"/>
  <c r="C52" i="396"/>
  <c r="I46" i="396"/>
  <c r="G46" i="396" a="1"/>
  <c r="G46" i="396" s="1"/>
  <c r="C45" i="396" a="1"/>
  <c r="C45" i="396"/>
  <c r="C44" i="396" a="1"/>
  <c r="C44" i="396" s="1"/>
  <c r="C43" i="396" a="1"/>
  <c r="C43" i="396" s="1"/>
  <c r="C42" i="396" a="1"/>
  <c r="C42" i="396" s="1"/>
  <c r="C41" i="396" a="1"/>
  <c r="C41" i="396"/>
  <c r="C40" i="396" a="1"/>
  <c r="C40" i="396" s="1"/>
  <c r="C39" i="396" a="1"/>
  <c r="C39" i="396" s="1"/>
  <c r="C38" i="396" a="1"/>
  <c r="C38" i="396" s="1"/>
  <c r="C37" i="396" a="1"/>
  <c r="C37" i="396"/>
  <c r="C35" i="396" a="1"/>
  <c r="C35" i="396" s="1"/>
  <c r="C34" i="396" a="1"/>
  <c r="C34" i="396" s="1"/>
  <c r="C33" i="396" a="1"/>
  <c r="C33" i="396" s="1"/>
  <c r="C31" i="396" a="1"/>
  <c r="C31" i="396"/>
  <c r="C30" i="396" a="1"/>
  <c r="C30" i="396" s="1"/>
  <c r="C28" i="396" a="1"/>
  <c r="C28" i="396" s="1"/>
  <c r="C26" i="396" a="1"/>
  <c r="C26" i="396" s="1"/>
  <c r="C23" i="396" a="1"/>
  <c r="C23" i="396"/>
  <c r="C22" i="396" a="1"/>
  <c r="C22" i="396" s="1"/>
  <c r="C20" i="396" a="1"/>
  <c r="C20" i="396" s="1"/>
  <c r="C18" i="396" a="1"/>
  <c r="C18" i="396" s="1"/>
  <c r="C17" i="396" a="1"/>
  <c r="C17" i="396"/>
  <c r="C16" i="396" a="1"/>
  <c r="C16" i="396" s="1"/>
  <c r="C14" i="396" a="1"/>
  <c r="C14" i="396" s="1"/>
  <c r="C13" i="396" a="1"/>
  <c r="C13" i="396" s="1"/>
  <c r="C12" i="396" a="1"/>
  <c r="C12" i="396"/>
  <c r="C10" i="396" a="1"/>
  <c r="C10" i="396" s="1"/>
  <c r="E7" i="396"/>
  <c r="E175" i="396" s="1" a="1"/>
  <c r="E175" i="396" s="1"/>
  <c r="E177" i="396" s="1"/>
  <c r="A4" i="396"/>
  <c r="A3" i="396"/>
  <c r="F94" i="396" s="1" a="1"/>
  <c r="F94" i="396" s="1"/>
  <c r="I183" i="395"/>
  <c r="H183" i="395"/>
  <c r="I182" i="395"/>
  <c r="H182" i="395"/>
  <c r="I181" i="395"/>
  <c r="H181" i="395"/>
  <c r="I180" i="395"/>
  <c r="H180" i="395"/>
  <c r="C175" i="395" a="1"/>
  <c r="C175" i="395" s="1"/>
  <c r="C177" i="395" s="1"/>
  <c r="I169" i="395"/>
  <c r="H169" i="395"/>
  <c r="I168" i="395"/>
  <c r="H168" i="395"/>
  <c r="C163" i="395" a="1"/>
  <c r="C163" i="395" s="1"/>
  <c r="C162" i="395" a="1"/>
  <c r="C162" i="395" s="1"/>
  <c r="C161" i="395" a="1"/>
  <c r="C161" i="395"/>
  <c r="C160" i="395" a="1"/>
  <c r="C160" i="395" s="1"/>
  <c r="C159" i="395" a="1"/>
  <c r="C159" i="395" s="1"/>
  <c r="C158" i="395" a="1"/>
  <c r="C158" i="395" s="1"/>
  <c r="C157" i="395" a="1"/>
  <c r="C157" i="395"/>
  <c r="C156" i="395" a="1"/>
  <c r="C156" i="395" s="1"/>
  <c r="C155" i="395" a="1"/>
  <c r="C155" i="395" s="1"/>
  <c r="I151" i="395"/>
  <c r="H151" i="395"/>
  <c r="I150" i="395"/>
  <c r="H150" i="395"/>
  <c r="I146" i="395"/>
  <c r="G146" i="395"/>
  <c r="H146" i="395"/>
  <c r="C145" i="395" a="1"/>
  <c r="C145" i="395" s="1"/>
  <c r="C144" i="395" s="1"/>
  <c r="G143" i="395" a="1"/>
  <c r="G143" i="395" s="1"/>
  <c r="C143" i="395" a="1"/>
  <c r="C143" i="395" s="1"/>
  <c r="C142" i="395" a="1"/>
  <c r="C142" i="395" s="1"/>
  <c r="C141" i="395" a="1"/>
  <c r="C141" i="395" s="1"/>
  <c r="C140" i="395" a="1"/>
  <c r="C140" i="395"/>
  <c r="I138" i="395"/>
  <c r="H138" i="395"/>
  <c r="C137" i="395" a="1"/>
  <c r="C137" i="395"/>
  <c r="C136" i="395" a="1"/>
  <c r="C136" i="395" s="1"/>
  <c r="C135" i="395" a="1"/>
  <c r="C135" i="395" s="1"/>
  <c r="C134" i="395" a="1"/>
  <c r="C134" i="395" s="1"/>
  <c r="C133" i="395" a="1"/>
  <c r="C133" i="395"/>
  <c r="C132" i="395" a="1"/>
  <c r="C132" i="395" s="1"/>
  <c r="C131" i="395" a="1"/>
  <c r="C131" i="395" s="1"/>
  <c r="C130" i="395" a="1"/>
  <c r="C130" i="395" s="1"/>
  <c r="C129" i="395" a="1"/>
  <c r="C129" i="395"/>
  <c r="C128" i="395" a="1"/>
  <c r="C128" i="395" s="1"/>
  <c r="C127" i="395" a="1"/>
  <c r="C127" i="395" s="1"/>
  <c r="C126" i="395" a="1"/>
  <c r="C126" i="395" s="1"/>
  <c r="C125" i="395" a="1"/>
  <c r="C125" i="395"/>
  <c r="C124" i="395" a="1"/>
  <c r="C124" i="395" s="1"/>
  <c r="C123" i="395" a="1"/>
  <c r="C123" i="395" s="1"/>
  <c r="C122" i="395" a="1"/>
  <c r="C122" i="395" s="1"/>
  <c r="C121" i="395" a="1"/>
  <c r="C121" i="395"/>
  <c r="C120" i="395" a="1"/>
  <c r="C120" i="395" s="1"/>
  <c r="C119" i="395" a="1"/>
  <c r="C119" i="395" s="1"/>
  <c r="C118" i="395" a="1"/>
  <c r="C118" i="395" s="1"/>
  <c r="C117" i="395" a="1"/>
  <c r="C117" i="395"/>
  <c r="C116" i="395" a="1"/>
  <c r="C116" i="395" s="1"/>
  <c r="C115" i="395" a="1"/>
  <c r="C115" i="395" s="1"/>
  <c r="C114" i="395" a="1"/>
  <c r="C114" i="395" s="1"/>
  <c r="C113" i="395" a="1"/>
  <c r="C113" i="395"/>
  <c r="C112" i="395" a="1"/>
  <c r="C112" i="395" s="1"/>
  <c r="C111" i="395" a="1"/>
  <c r="C111" i="395" s="1"/>
  <c r="C110" i="395" a="1"/>
  <c r="C110" i="395" s="1"/>
  <c r="C109" i="395" a="1"/>
  <c r="C109" i="395"/>
  <c r="C108" i="395" a="1"/>
  <c r="C108" i="395" s="1"/>
  <c r="C107" i="395" a="1"/>
  <c r="C107" i="395" s="1"/>
  <c r="C106" i="395" a="1"/>
  <c r="C106" i="395" s="1"/>
  <c r="C105" i="395" a="1"/>
  <c r="C105" i="395"/>
  <c r="C104" i="395" a="1"/>
  <c r="C104" i="395" s="1"/>
  <c r="C103" i="395" a="1"/>
  <c r="C103" i="395" s="1"/>
  <c r="C102" i="395" a="1"/>
  <c r="C102" i="395" s="1"/>
  <c r="C101" i="395" a="1"/>
  <c r="C101" i="395"/>
  <c r="C100" i="395" a="1"/>
  <c r="C100" i="395" s="1"/>
  <c r="C99" i="395" a="1"/>
  <c r="C99" i="395" s="1"/>
  <c r="C98" i="395" a="1"/>
  <c r="C98" i="395" s="1"/>
  <c r="C97" i="395" a="1"/>
  <c r="C97" i="395" s="1"/>
  <c r="C96" i="395" a="1"/>
  <c r="C96" i="395" s="1"/>
  <c r="C95" i="395" a="1"/>
  <c r="C95" i="395" s="1"/>
  <c r="C94" i="395" a="1"/>
  <c r="C94" i="395" s="1"/>
  <c r="C93" i="395" a="1"/>
  <c r="C93" i="395" s="1"/>
  <c r="C92" i="395" a="1"/>
  <c r="C92" i="395" s="1"/>
  <c r="C91" i="395" a="1"/>
  <c r="C91" i="395" s="1"/>
  <c r="C90" i="395" a="1"/>
  <c r="C90" i="395" s="1"/>
  <c r="C89" i="395" a="1"/>
  <c r="C89" i="395" s="1"/>
  <c r="C88" i="395" a="1"/>
  <c r="C88" i="395" s="1"/>
  <c r="C87" i="395" a="1"/>
  <c r="C87" i="395" s="1"/>
  <c r="C86" i="395" a="1"/>
  <c r="C86" i="395" s="1"/>
  <c r="C85" i="395" a="1"/>
  <c r="C85" i="395" s="1"/>
  <c r="C84" i="395" a="1"/>
  <c r="C84" i="395" s="1"/>
  <c r="C83" i="395" a="1"/>
  <c r="C83" i="395" s="1"/>
  <c r="C82" i="395" a="1"/>
  <c r="C82" i="395" s="1"/>
  <c r="C81" i="395" a="1"/>
  <c r="C81" i="395" s="1"/>
  <c r="C80" i="395" a="1"/>
  <c r="C80" i="395" s="1"/>
  <c r="C79" i="395" a="1"/>
  <c r="C79" i="395" s="1"/>
  <c r="C74" i="395" a="1"/>
  <c r="C74" i="395" s="1"/>
  <c r="C73" i="395" a="1"/>
  <c r="C73" i="395" s="1"/>
  <c r="C72" i="395" a="1"/>
  <c r="C72" i="395" s="1"/>
  <c r="C71" i="395" a="1"/>
  <c r="C71" i="395" s="1"/>
  <c r="C70" i="395" a="1"/>
  <c r="C70" i="395" s="1"/>
  <c r="C69" i="395" a="1"/>
  <c r="C69" i="395" s="1"/>
  <c r="C68" i="395" a="1"/>
  <c r="C68" i="395" s="1"/>
  <c r="C67" i="395" a="1"/>
  <c r="C67" i="395" s="1"/>
  <c r="C66" i="395" a="1"/>
  <c r="C66" i="395" s="1"/>
  <c r="C65" i="395" a="1"/>
  <c r="C65" i="395" s="1"/>
  <c r="C64" i="395" a="1"/>
  <c r="C64" i="395" s="1"/>
  <c r="C63" i="395" a="1"/>
  <c r="C63" i="395" s="1"/>
  <c r="C62" i="395" a="1"/>
  <c r="C62" i="395" s="1"/>
  <c r="C61" i="395" a="1"/>
  <c r="C61" i="395" s="1"/>
  <c r="C60" i="395" a="1"/>
  <c r="C60" i="395" s="1"/>
  <c r="C59" i="395" a="1"/>
  <c r="C59" i="395" s="1"/>
  <c r="C58" i="395" a="1"/>
  <c r="C58" i="395" s="1"/>
  <c r="C57" i="395" a="1"/>
  <c r="C57" i="395" s="1"/>
  <c r="C56" i="395" a="1"/>
  <c r="C56" i="395" s="1"/>
  <c r="C55" i="395" a="1"/>
  <c r="C55" i="395" s="1"/>
  <c r="C54" i="395" a="1"/>
  <c r="C54" i="395" s="1"/>
  <c r="C53" i="395" a="1"/>
  <c r="C53" i="395" s="1"/>
  <c r="C52" i="395" a="1"/>
  <c r="C52" i="395" s="1"/>
  <c r="I46" i="395"/>
  <c r="G46" i="395" a="1"/>
  <c r="G46" i="395" s="1"/>
  <c r="C45" i="395" a="1"/>
  <c r="C45" i="395" s="1"/>
  <c r="C44" i="395" a="1"/>
  <c r="C44" i="395" s="1"/>
  <c r="C43" i="395" a="1"/>
  <c r="C43" i="395" s="1"/>
  <c r="C42" i="395" a="1"/>
  <c r="C42" i="395" s="1"/>
  <c r="C41" i="395" a="1"/>
  <c r="C41" i="395" s="1"/>
  <c r="C40" i="395" a="1"/>
  <c r="C40" i="395" s="1"/>
  <c r="C39" i="395" a="1"/>
  <c r="C39" i="395" s="1"/>
  <c r="C38" i="395" a="1"/>
  <c r="C38" i="395" s="1"/>
  <c r="C37" i="395" a="1"/>
  <c r="C37" i="395" s="1"/>
  <c r="C35" i="395" a="1"/>
  <c r="C35" i="395" s="1"/>
  <c r="C34" i="395" a="1"/>
  <c r="C34" i="395" s="1"/>
  <c r="C33" i="395" a="1"/>
  <c r="C33" i="395" s="1"/>
  <c r="C31" i="395" a="1"/>
  <c r="C31" i="395" s="1"/>
  <c r="C30" i="395" a="1"/>
  <c r="C30" i="395" s="1"/>
  <c r="C28" i="395" a="1"/>
  <c r="C28" i="395" s="1"/>
  <c r="C26" i="395" a="1"/>
  <c r="C26" i="395" s="1"/>
  <c r="C23" i="395" a="1"/>
  <c r="C23" i="395" s="1"/>
  <c r="C22" i="395" a="1"/>
  <c r="C22" i="395" s="1"/>
  <c r="C20" i="395" a="1"/>
  <c r="C20" i="395" s="1"/>
  <c r="C18" i="395" a="1"/>
  <c r="C18" i="395" s="1"/>
  <c r="C17" i="395" a="1"/>
  <c r="C17" i="395" s="1"/>
  <c r="C16" i="395" a="1"/>
  <c r="C16" i="395" s="1"/>
  <c r="C14" i="395" a="1"/>
  <c r="C14" i="395" s="1"/>
  <c r="C13" i="395" a="1"/>
  <c r="C13" i="395" s="1"/>
  <c r="C12" i="395" a="1"/>
  <c r="C12" i="395" s="1"/>
  <c r="C10" i="395" a="1"/>
  <c r="C10" i="395" s="1"/>
  <c r="E7" i="395"/>
  <c r="E112" i="395" s="1" a="1"/>
  <c r="E112" i="395" s="1"/>
  <c r="A4" i="395"/>
  <c r="A3" i="395"/>
  <c r="F137" i="395" s="1" a="1"/>
  <c r="F137" i="395" s="1"/>
  <c r="I183" i="392"/>
  <c r="H183" i="392"/>
  <c r="I182" i="392"/>
  <c r="H182" i="392"/>
  <c r="I181" i="392"/>
  <c r="H181" i="392"/>
  <c r="I180" i="392"/>
  <c r="H180" i="392"/>
  <c r="C175" i="392" a="1"/>
  <c r="C175" i="392" s="1"/>
  <c r="C177" i="392" s="1"/>
  <c r="I169" i="392"/>
  <c r="H169" i="392"/>
  <c r="I168" i="392"/>
  <c r="H168" i="392"/>
  <c r="C163" i="392" a="1"/>
  <c r="C163" i="392" s="1"/>
  <c r="C162" i="392" a="1"/>
  <c r="C162" i="392" s="1"/>
  <c r="C161" i="392" a="1"/>
  <c r="C161" i="392" s="1"/>
  <c r="C160" i="392" a="1"/>
  <c r="C160" i="392" s="1"/>
  <c r="C159" i="392" a="1"/>
  <c r="C159" i="392" s="1"/>
  <c r="C158" i="392" a="1"/>
  <c r="C158" i="392" s="1"/>
  <c r="C157" i="392" a="1"/>
  <c r="C157" i="392" s="1"/>
  <c r="C156" i="392" a="1"/>
  <c r="C156" i="392" s="1"/>
  <c r="C155" i="392" a="1"/>
  <c r="C155" i="392" s="1"/>
  <c r="I151" i="392"/>
  <c r="H151" i="392"/>
  <c r="I150" i="392"/>
  <c r="H150" i="392"/>
  <c r="I146" i="392"/>
  <c r="G146" i="392"/>
  <c r="H146" i="392" s="1"/>
  <c r="C145" i="392" a="1"/>
  <c r="C145" i="392"/>
  <c r="C144" i="392" s="1"/>
  <c r="G143" i="392" a="1"/>
  <c r="G143" i="392" s="1"/>
  <c r="C143" i="392" a="1"/>
  <c r="C143" i="392"/>
  <c r="C142" i="392" a="1"/>
  <c r="C142" i="392" s="1"/>
  <c r="C141" i="392" a="1"/>
  <c r="C141" i="392" s="1"/>
  <c r="C140" i="392" a="1"/>
  <c r="C140" i="392" s="1"/>
  <c r="I138" i="392"/>
  <c r="H138" i="392"/>
  <c r="C137" i="392" a="1"/>
  <c r="C137" i="392" s="1"/>
  <c r="C136" i="392" a="1"/>
  <c r="C136" i="392" s="1"/>
  <c r="C135" i="392" a="1"/>
  <c r="C135" i="392" s="1"/>
  <c r="C134" i="392" a="1"/>
  <c r="C134" i="392" s="1"/>
  <c r="C133" i="392" a="1"/>
  <c r="C133" i="392" s="1"/>
  <c r="C132" i="392" a="1"/>
  <c r="C132" i="392" s="1"/>
  <c r="C131" i="392" a="1"/>
  <c r="C131" i="392" s="1"/>
  <c r="C130" i="392" a="1"/>
  <c r="C130" i="392" s="1"/>
  <c r="C129" i="392" a="1"/>
  <c r="C129" i="392" s="1"/>
  <c r="C128" i="392" a="1"/>
  <c r="C128" i="392" s="1"/>
  <c r="C127" i="392" a="1"/>
  <c r="C127" i="392" s="1"/>
  <c r="C126" i="392" a="1"/>
  <c r="C126" i="392" s="1"/>
  <c r="C125" i="392" a="1"/>
  <c r="C125" i="392" s="1"/>
  <c r="C124" i="392" a="1"/>
  <c r="C124" i="392" s="1"/>
  <c r="C123" i="392" a="1"/>
  <c r="C123" i="392" s="1"/>
  <c r="C122" i="392" a="1"/>
  <c r="C122" i="392" s="1"/>
  <c r="C121" i="392" a="1"/>
  <c r="C121" i="392" s="1"/>
  <c r="C120" i="392" a="1"/>
  <c r="C120" i="392" s="1"/>
  <c r="C119" i="392" a="1"/>
  <c r="C119" i="392" s="1"/>
  <c r="C118" i="392" a="1"/>
  <c r="C118" i="392" s="1"/>
  <c r="C117" i="392" a="1"/>
  <c r="C117" i="392" s="1"/>
  <c r="C116" i="392" a="1"/>
  <c r="C116" i="392" s="1"/>
  <c r="C115" i="392" a="1"/>
  <c r="C115" i="392" s="1"/>
  <c r="C114" i="392" a="1"/>
  <c r="C114" i="392" s="1"/>
  <c r="C113" i="392" a="1"/>
  <c r="C113" i="392" s="1"/>
  <c r="C112" i="392" a="1"/>
  <c r="C112" i="392" s="1"/>
  <c r="C111" i="392" a="1"/>
  <c r="C111" i="392" s="1"/>
  <c r="C110" i="392" a="1"/>
  <c r="C110" i="392" s="1"/>
  <c r="C109" i="392" a="1"/>
  <c r="C109" i="392" s="1"/>
  <c r="C108" i="392" a="1"/>
  <c r="C108" i="392" s="1"/>
  <c r="C107" i="392" a="1"/>
  <c r="C107" i="392" s="1"/>
  <c r="C106" i="392" a="1"/>
  <c r="C106" i="392" s="1"/>
  <c r="C105" i="392" a="1"/>
  <c r="C105" i="392" s="1"/>
  <c r="C104" i="392" a="1"/>
  <c r="C104" i="392" s="1"/>
  <c r="C103" i="392" a="1"/>
  <c r="C103" i="392" s="1"/>
  <c r="C102" i="392" a="1"/>
  <c r="C102" i="392" s="1"/>
  <c r="C101" i="392" a="1"/>
  <c r="C101" i="392" s="1"/>
  <c r="C100" i="392" a="1"/>
  <c r="C100" i="392" s="1"/>
  <c r="C99" i="392" a="1"/>
  <c r="C99" i="392" s="1"/>
  <c r="C98" i="392" a="1"/>
  <c r="C98" i="392" s="1"/>
  <c r="C97" i="392" a="1"/>
  <c r="C97" i="392" s="1"/>
  <c r="C96" i="392" a="1"/>
  <c r="C96" i="392" s="1"/>
  <c r="C95" i="392" a="1"/>
  <c r="C95" i="392" s="1"/>
  <c r="C94" i="392" a="1"/>
  <c r="C94" i="392" s="1"/>
  <c r="C93" i="392" a="1"/>
  <c r="C93" i="392" s="1"/>
  <c r="C92" i="392" a="1"/>
  <c r="C92" i="392" s="1"/>
  <c r="C91" i="392" a="1"/>
  <c r="C91" i="392" s="1"/>
  <c r="C90" i="392" a="1"/>
  <c r="C90" i="392" s="1"/>
  <c r="C89" i="392" a="1"/>
  <c r="C89" i="392" s="1"/>
  <c r="C88" i="392" a="1"/>
  <c r="C88" i="392" s="1"/>
  <c r="C87" i="392" a="1"/>
  <c r="C87" i="392" s="1"/>
  <c r="C86" i="392" a="1"/>
  <c r="C86" i="392" s="1"/>
  <c r="C85" i="392" a="1"/>
  <c r="C85" i="392" s="1"/>
  <c r="C84" i="392" a="1"/>
  <c r="C84" i="392" s="1"/>
  <c r="C83" i="392" a="1"/>
  <c r="C83" i="392" s="1"/>
  <c r="C82" i="392" a="1"/>
  <c r="C82" i="392" s="1"/>
  <c r="C81" i="392" a="1"/>
  <c r="C81" i="392" s="1"/>
  <c r="C80" i="392" a="1"/>
  <c r="C80" i="392" s="1"/>
  <c r="C79" i="392" a="1"/>
  <c r="C79" i="392" s="1"/>
  <c r="C74" i="392" a="1"/>
  <c r="C74" i="392" s="1"/>
  <c r="C73" i="392" a="1"/>
  <c r="C73" i="392" s="1"/>
  <c r="C72" i="392" a="1"/>
  <c r="C72" i="392" s="1"/>
  <c r="C71" i="392" a="1"/>
  <c r="C71" i="392" s="1"/>
  <c r="C70" i="392" a="1"/>
  <c r="C70" i="392" s="1"/>
  <c r="C69" i="392" a="1"/>
  <c r="C69" i="392" s="1"/>
  <c r="C68" i="392" a="1"/>
  <c r="C68" i="392" s="1"/>
  <c r="C67" i="392" a="1"/>
  <c r="C67" i="392" s="1"/>
  <c r="C66" i="392" a="1"/>
  <c r="C66" i="392" s="1"/>
  <c r="C65" i="392" a="1"/>
  <c r="C65" i="392" s="1"/>
  <c r="C64" i="392" a="1"/>
  <c r="C64" i="392" s="1"/>
  <c r="C63" i="392" a="1"/>
  <c r="C63" i="392" s="1"/>
  <c r="C62" i="392" a="1"/>
  <c r="C62" i="392" s="1"/>
  <c r="C61" i="392" a="1"/>
  <c r="C61" i="392" s="1"/>
  <c r="C60" i="392" a="1"/>
  <c r="C60" i="392" s="1"/>
  <c r="C59" i="392" a="1"/>
  <c r="C59" i="392" s="1"/>
  <c r="C58" i="392" a="1"/>
  <c r="C58" i="392" s="1"/>
  <c r="C57" i="392" a="1"/>
  <c r="C57" i="392" s="1"/>
  <c r="C56" i="392" a="1"/>
  <c r="C56" i="392" s="1"/>
  <c r="C55" i="392" a="1"/>
  <c r="C55" i="392" s="1"/>
  <c r="C54" i="392" a="1"/>
  <c r="C54" i="392" s="1"/>
  <c r="C53" i="392" a="1"/>
  <c r="C53" i="392" s="1"/>
  <c r="C52" i="392" a="1"/>
  <c r="C52" i="392" s="1"/>
  <c r="I46" i="392"/>
  <c r="G46" i="392" a="1"/>
  <c r="G46" i="392" s="1"/>
  <c r="E46" i="392" s="1"/>
  <c r="C45" i="392" a="1"/>
  <c r="C45" i="392" s="1"/>
  <c r="C44" i="392" a="1"/>
  <c r="C44" i="392" s="1"/>
  <c r="C43" i="392" a="1"/>
  <c r="C43" i="392" s="1"/>
  <c r="C42" i="392" a="1"/>
  <c r="C42" i="392" s="1"/>
  <c r="C41" i="392" a="1"/>
  <c r="C41" i="392" s="1"/>
  <c r="C40" i="392" a="1"/>
  <c r="C40" i="392" s="1"/>
  <c r="C39" i="392" a="1"/>
  <c r="C39" i="392" s="1"/>
  <c r="C38" i="392" a="1"/>
  <c r="C38" i="392" s="1"/>
  <c r="C37" i="392" a="1"/>
  <c r="C37" i="392" s="1"/>
  <c r="C35" i="392" a="1"/>
  <c r="C35" i="392" s="1"/>
  <c r="C34" i="392" a="1"/>
  <c r="C34" i="392" s="1"/>
  <c r="C33" i="392" a="1"/>
  <c r="C33" i="392" s="1"/>
  <c r="C31" i="392" a="1"/>
  <c r="C31" i="392" s="1"/>
  <c r="C30" i="392" a="1"/>
  <c r="C30" i="392" s="1"/>
  <c r="C28" i="392" a="1"/>
  <c r="C28" i="392" s="1"/>
  <c r="C26" i="392" a="1"/>
  <c r="C26" i="392" s="1"/>
  <c r="C23" i="392" a="1"/>
  <c r="C23" i="392" s="1"/>
  <c r="C22" i="392" a="1"/>
  <c r="C22" i="392" s="1"/>
  <c r="C20" i="392" a="1"/>
  <c r="C20" i="392" s="1"/>
  <c r="C18" i="392" a="1"/>
  <c r="C18" i="392" s="1"/>
  <c r="C17" i="392" a="1"/>
  <c r="C17" i="392" s="1"/>
  <c r="C16" i="392" a="1"/>
  <c r="C16" i="392" s="1"/>
  <c r="C14" i="392" a="1"/>
  <c r="C14" i="392" s="1"/>
  <c r="C13" i="392" a="1"/>
  <c r="C13" i="392" s="1"/>
  <c r="C12" i="392" a="1"/>
  <c r="C12" i="392" s="1"/>
  <c r="C10" i="392" a="1"/>
  <c r="C10" i="392" s="1"/>
  <c r="E7" i="392"/>
  <c r="E88" i="392" s="1" a="1"/>
  <c r="E88" i="392" s="1"/>
  <c r="A4" i="392"/>
  <c r="A3" i="392"/>
  <c r="F163" i="392" s="1" a="1"/>
  <c r="F163" i="392" s="1"/>
  <c r="I183" i="408"/>
  <c r="H183" i="408"/>
  <c r="I182" i="408"/>
  <c r="H182" i="408"/>
  <c r="I181" i="408"/>
  <c r="H181" i="408"/>
  <c r="I180" i="408"/>
  <c r="H180" i="408"/>
  <c r="I176" i="408"/>
  <c r="H176" i="408"/>
  <c r="C175" i="408" a="1"/>
  <c r="C175" i="408"/>
  <c r="C177" i="408" s="1"/>
  <c r="I174" i="408"/>
  <c r="H174" i="408"/>
  <c r="I169" i="408"/>
  <c r="H169" i="408"/>
  <c r="I168" i="408"/>
  <c r="H168" i="408"/>
  <c r="C163" i="408" a="1"/>
  <c r="C163" i="408" s="1"/>
  <c r="C162" i="408" a="1"/>
  <c r="C162" i="408" s="1"/>
  <c r="C161" i="408" a="1"/>
  <c r="C161" i="408" s="1"/>
  <c r="C160" i="408" a="1"/>
  <c r="C160" i="408" s="1"/>
  <c r="C159" i="408" a="1"/>
  <c r="C159" i="408" s="1"/>
  <c r="C158" i="408" a="1"/>
  <c r="C158" i="408" s="1"/>
  <c r="C157" i="408" a="1"/>
  <c r="C157" i="408" s="1"/>
  <c r="C156" i="408" a="1"/>
  <c r="C156" i="408" s="1"/>
  <c r="C155" i="408" a="1"/>
  <c r="C155" i="408" s="1"/>
  <c r="I151" i="408"/>
  <c r="H151" i="408"/>
  <c r="I150" i="408"/>
  <c r="H150" i="408"/>
  <c r="I146" i="408"/>
  <c r="G146" i="408"/>
  <c r="H146" i="408"/>
  <c r="C145" i="408" a="1"/>
  <c r="C145" i="408"/>
  <c r="C144" i="408" s="1"/>
  <c r="C143" i="408" a="1"/>
  <c r="C143" i="408" s="1"/>
  <c r="C142" i="408" a="1"/>
  <c r="C142" i="408" s="1"/>
  <c r="C141" i="408" a="1"/>
  <c r="C141" i="408" s="1"/>
  <c r="C140" i="408" a="1"/>
  <c r="C140" i="408" s="1"/>
  <c r="I138" i="408"/>
  <c r="H138" i="408"/>
  <c r="C137" i="408" a="1"/>
  <c r="C137" i="408" s="1"/>
  <c r="C136" i="408" a="1"/>
  <c r="C136" i="408" s="1"/>
  <c r="C135" i="408" a="1"/>
  <c r="C135" i="408" s="1"/>
  <c r="C134" i="408" a="1"/>
  <c r="C134" i="408" s="1"/>
  <c r="C133" i="408" a="1"/>
  <c r="C133" i="408" s="1"/>
  <c r="C132" i="408" a="1"/>
  <c r="C132" i="408" s="1"/>
  <c r="C131" i="408" a="1"/>
  <c r="C131" i="408" s="1"/>
  <c r="C130" i="408" a="1"/>
  <c r="C130" i="408" s="1"/>
  <c r="C129" i="408" a="1"/>
  <c r="C129" i="408" s="1"/>
  <c r="C128" i="408" a="1"/>
  <c r="C128" i="408" s="1"/>
  <c r="C127" i="408" a="1"/>
  <c r="C127" i="408" s="1"/>
  <c r="C126" i="408" a="1"/>
  <c r="C126" i="408" s="1"/>
  <c r="C125" i="408" a="1"/>
  <c r="C125" i="408" s="1"/>
  <c r="C124" i="408" a="1"/>
  <c r="C124" i="408" s="1"/>
  <c r="C123" i="408" a="1"/>
  <c r="C123" i="408" s="1"/>
  <c r="C122" i="408" a="1"/>
  <c r="C122" i="408" s="1"/>
  <c r="C121" i="408" a="1"/>
  <c r="C121" i="408" s="1"/>
  <c r="C120" i="408" a="1"/>
  <c r="C120" i="408" s="1"/>
  <c r="C119" i="408" a="1"/>
  <c r="C119" i="408" s="1"/>
  <c r="C118" i="408" a="1"/>
  <c r="C118" i="408" s="1"/>
  <c r="C117" i="408" a="1"/>
  <c r="C117" i="408" s="1"/>
  <c r="C116" i="408" a="1"/>
  <c r="C116" i="408" s="1"/>
  <c r="C115" i="408" a="1"/>
  <c r="C115" i="408" s="1"/>
  <c r="C114" i="408" a="1"/>
  <c r="C114" i="408" s="1"/>
  <c r="C113" i="408" a="1"/>
  <c r="C113" i="408" s="1"/>
  <c r="C112" i="408" a="1"/>
  <c r="C112" i="408" s="1"/>
  <c r="C111" i="408" a="1"/>
  <c r="C111" i="408" s="1"/>
  <c r="C110" i="408" a="1"/>
  <c r="C110" i="408" s="1"/>
  <c r="C109" i="408" a="1"/>
  <c r="C109" i="408" s="1"/>
  <c r="C108" i="408" a="1"/>
  <c r="C108" i="408" s="1"/>
  <c r="C107" i="408" a="1"/>
  <c r="C107" i="408" s="1"/>
  <c r="C106" i="408" a="1"/>
  <c r="C106" i="408" s="1"/>
  <c r="C105" i="408" a="1"/>
  <c r="C105" i="408" s="1"/>
  <c r="C104" i="408" a="1"/>
  <c r="C104" i="408" s="1"/>
  <c r="C103" i="408" a="1"/>
  <c r="C103" i="408" s="1"/>
  <c r="C102" i="408" a="1"/>
  <c r="C102" i="408" s="1"/>
  <c r="C101" i="408" a="1"/>
  <c r="C101" i="408" s="1"/>
  <c r="C100" i="408" a="1"/>
  <c r="C100" i="408" s="1"/>
  <c r="C99" i="408" a="1"/>
  <c r="C99" i="408" s="1"/>
  <c r="C98" i="408" a="1"/>
  <c r="C98" i="408" s="1"/>
  <c r="C97" i="408" a="1"/>
  <c r="C97" i="408" s="1"/>
  <c r="C96" i="408" a="1"/>
  <c r="C96" i="408" s="1"/>
  <c r="C95" i="408" a="1"/>
  <c r="C95" i="408" s="1"/>
  <c r="C94" i="408" a="1"/>
  <c r="C94" i="408" s="1"/>
  <c r="C93" i="408" a="1"/>
  <c r="C93" i="408" s="1"/>
  <c r="C92" i="408" a="1"/>
  <c r="C92" i="408" s="1"/>
  <c r="C91" i="408" a="1"/>
  <c r="C91" i="408" s="1"/>
  <c r="C90" i="408" a="1"/>
  <c r="C90" i="408" s="1"/>
  <c r="C89" i="408" a="1"/>
  <c r="C89" i="408" s="1"/>
  <c r="C88" i="408" a="1"/>
  <c r="C88" i="408" s="1"/>
  <c r="C87" i="408" a="1"/>
  <c r="C87" i="408" s="1"/>
  <c r="C86" i="408" a="1"/>
  <c r="C86" i="408" s="1"/>
  <c r="C85" i="408" a="1"/>
  <c r="C85" i="408" s="1"/>
  <c r="C84" i="408" a="1"/>
  <c r="C84" i="408" s="1"/>
  <c r="C83" i="408" a="1"/>
  <c r="C83" i="408" s="1"/>
  <c r="C82" i="408" a="1"/>
  <c r="C82" i="408" s="1"/>
  <c r="C81" i="408" a="1"/>
  <c r="C81" i="408" s="1"/>
  <c r="C80" i="408" a="1"/>
  <c r="C80" i="408" s="1"/>
  <c r="C79" i="408" a="1"/>
  <c r="C79" i="408" s="1"/>
  <c r="C74" i="408" a="1"/>
  <c r="C74" i="408" s="1"/>
  <c r="C73" i="408" a="1"/>
  <c r="C73" i="408" s="1"/>
  <c r="C72" i="408" a="1"/>
  <c r="C72" i="408" s="1"/>
  <c r="C71" i="408" a="1"/>
  <c r="C71" i="408" s="1"/>
  <c r="C70" i="408" a="1"/>
  <c r="C70" i="408" s="1"/>
  <c r="C69" i="408" a="1"/>
  <c r="C69" i="408" s="1"/>
  <c r="C68" i="408" a="1"/>
  <c r="C68" i="408" s="1"/>
  <c r="C67" i="408" a="1"/>
  <c r="C67" i="408" s="1"/>
  <c r="C66" i="408" a="1"/>
  <c r="C66" i="408" s="1"/>
  <c r="C65" i="408" a="1"/>
  <c r="C65" i="408" s="1"/>
  <c r="C64" i="408" a="1"/>
  <c r="C64" i="408" s="1"/>
  <c r="C63" i="408" a="1"/>
  <c r="C63" i="408" s="1"/>
  <c r="C62" i="408" a="1"/>
  <c r="C62" i="408" s="1"/>
  <c r="C61" i="408" a="1"/>
  <c r="C61" i="408" s="1"/>
  <c r="C60" i="408" a="1"/>
  <c r="C60" i="408" s="1"/>
  <c r="C59" i="408" a="1"/>
  <c r="C59" i="408" s="1"/>
  <c r="C58" i="408" a="1"/>
  <c r="C58" i="408" s="1"/>
  <c r="C57" i="408" a="1"/>
  <c r="C57" i="408" s="1"/>
  <c r="C56" i="408" a="1"/>
  <c r="C56" i="408" s="1"/>
  <c r="C55" i="408" a="1"/>
  <c r="C55" i="408" s="1"/>
  <c r="C54" i="408" a="1"/>
  <c r="C54" i="408" s="1"/>
  <c r="C53" i="408" a="1"/>
  <c r="C53" i="408" s="1"/>
  <c r="C52" i="408" a="1"/>
  <c r="C52" i="408" s="1"/>
  <c r="I46" i="408"/>
  <c r="G46" i="408" a="1"/>
  <c r="G46" i="408" s="1"/>
  <c r="C45" i="408" a="1"/>
  <c r="C45" i="408" s="1"/>
  <c r="C44" i="408" a="1"/>
  <c r="C44" i="408" s="1"/>
  <c r="C43" i="408" a="1"/>
  <c r="C43" i="408" s="1"/>
  <c r="C42" i="408" a="1"/>
  <c r="C42" i="408" s="1"/>
  <c r="C41" i="408" a="1"/>
  <c r="C41" i="408" s="1"/>
  <c r="C40" i="408" a="1"/>
  <c r="C40" i="408" s="1"/>
  <c r="C39" i="408" a="1"/>
  <c r="C39" i="408" s="1"/>
  <c r="C38" i="408" a="1"/>
  <c r="C38" i="408" s="1"/>
  <c r="C37" i="408" a="1"/>
  <c r="C37" i="408" s="1"/>
  <c r="C35" i="408" a="1"/>
  <c r="C35" i="408" s="1"/>
  <c r="C34" i="408" a="1"/>
  <c r="C34" i="408" s="1"/>
  <c r="C33" i="408" a="1"/>
  <c r="C33" i="408" s="1"/>
  <c r="C31" i="408" a="1"/>
  <c r="C31" i="408" s="1"/>
  <c r="C30" i="408" a="1"/>
  <c r="C30" i="408" s="1"/>
  <c r="C28" i="408" a="1"/>
  <c r="C28" i="408" s="1"/>
  <c r="C26" i="408" a="1"/>
  <c r="C26" i="408" s="1"/>
  <c r="C23" i="408" a="1"/>
  <c r="C23" i="408" s="1"/>
  <c r="C22" i="408" a="1"/>
  <c r="C22" i="408" s="1"/>
  <c r="C20" i="408" a="1"/>
  <c r="C20" i="408" s="1"/>
  <c r="C18" i="408" a="1"/>
  <c r="C18" i="408" s="1"/>
  <c r="C17" i="408" a="1"/>
  <c r="C17" i="408" s="1"/>
  <c r="C16" i="408" a="1"/>
  <c r="C16" i="408" s="1"/>
  <c r="C14" i="408" a="1"/>
  <c r="C14" i="408" s="1"/>
  <c r="C13" i="408" a="1"/>
  <c r="C13" i="408" s="1"/>
  <c r="C12" i="408" a="1"/>
  <c r="C12" i="408" s="1"/>
  <c r="C10" i="408" a="1"/>
  <c r="C10" i="408" s="1"/>
  <c r="E7" i="408"/>
  <c r="A4" i="408"/>
  <c r="A3" i="408"/>
  <c r="F161" i="408" s="1" a="1"/>
  <c r="F161" i="408" s="1"/>
  <c r="I183" i="407"/>
  <c r="H183" i="407"/>
  <c r="I182" i="407"/>
  <c r="H182" i="407"/>
  <c r="I181" i="407"/>
  <c r="H181" i="407"/>
  <c r="I180" i="407"/>
  <c r="H180" i="407"/>
  <c r="I176" i="407"/>
  <c r="H176" i="407"/>
  <c r="C175" i="407" a="1"/>
  <c r="C175" i="407" s="1"/>
  <c r="C177" i="407" s="1"/>
  <c r="I174" i="407"/>
  <c r="H174" i="407"/>
  <c r="I169" i="407"/>
  <c r="H169" i="407"/>
  <c r="I168" i="407"/>
  <c r="H168" i="407"/>
  <c r="C163" i="407" a="1"/>
  <c r="C163" i="407"/>
  <c r="C162" i="407" a="1"/>
  <c r="C162" i="407"/>
  <c r="C161" i="407" a="1"/>
  <c r="C161" i="407"/>
  <c r="C160" i="407" a="1"/>
  <c r="C160" i="407"/>
  <c r="C159" i="407" a="1"/>
  <c r="C159" i="407"/>
  <c r="C158" i="407" a="1"/>
  <c r="C158" i="407"/>
  <c r="C157" i="407" a="1"/>
  <c r="C157" i="407"/>
  <c r="C156" i="407" a="1"/>
  <c r="C156" i="407"/>
  <c r="C155" i="407" a="1"/>
  <c r="C155" i="407"/>
  <c r="I151" i="407"/>
  <c r="H151" i="407"/>
  <c r="I150" i="407"/>
  <c r="H150" i="407"/>
  <c r="I146" i="407"/>
  <c r="G146" i="407"/>
  <c r="H146" i="407" s="1"/>
  <c r="C145" i="407" a="1"/>
  <c r="C145" i="407" s="1"/>
  <c r="C144" i="407" s="1"/>
  <c r="C143" i="407" a="1"/>
  <c r="C143" i="407" s="1"/>
  <c r="C142" i="407" a="1"/>
  <c r="C142" i="407" s="1"/>
  <c r="C141" i="407" a="1"/>
  <c r="C141" i="407" s="1"/>
  <c r="C140" i="407" a="1"/>
  <c r="C140" i="407" s="1"/>
  <c r="I138" i="407"/>
  <c r="H138" i="407"/>
  <c r="C137" i="407" a="1"/>
  <c r="C137" i="407" s="1"/>
  <c r="C136" i="407" a="1"/>
  <c r="C136" i="407" s="1"/>
  <c r="C135" i="407" a="1"/>
  <c r="C135" i="407" s="1"/>
  <c r="C134" i="407" a="1"/>
  <c r="C134" i="407" s="1"/>
  <c r="C133" i="407" a="1"/>
  <c r="C133" i="407" s="1"/>
  <c r="C132" i="407" a="1"/>
  <c r="C132" i="407" s="1"/>
  <c r="C131" i="407" a="1"/>
  <c r="C131" i="407" s="1"/>
  <c r="C130" i="407" a="1"/>
  <c r="C130" i="407" s="1"/>
  <c r="C129" i="407" a="1"/>
  <c r="C129" i="407" s="1"/>
  <c r="C128" i="407" a="1"/>
  <c r="C128" i="407" s="1"/>
  <c r="C127" i="407" a="1"/>
  <c r="C127" i="407" s="1"/>
  <c r="C126" i="407" a="1"/>
  <c r="C126" i="407" s="1"/>
  <c r="C125" i="407" a="1"/>
  <c r="C125" i="407" s="1"/>
  <c r="C124" i="407" a="1"/>
  <c r="C124" i="407" s="1"/>
  <c r="C123" i="407" a="1"/>
  <c r="C123" i="407" s="1"/>
  <c r="C122" i="407" a="1"/>
  <c r="C122" i="407" s="1"/>
  <c r="C121" i="407" a="1"/>
  <c r="C121" i="407" s="1"/>
  <c r="C120" i="407" a="1"/>
  <c r="C120" i="407" s="1"/>
  <c r="C119" i="407" a="1"/>
  <c r="C119" i="407" s="1"/>
  <c r="C118" i="407" a="1"/>
  <c r="C118" i="407" s="1"/>
  <c r="C117" i="407" a="1"/>
  <c r="C117" i="407" s="1"/>
  <c r="C116" i="407" a="1"/>
  <c r="C116" i="407" s="1"/>
  <c r="C115" i="407" a="1"/>
  <c r="C115" i="407" s="1"/>
  <c r="C114" i="407" a="1"/>
  <c r="C114" i="407" s="1"/>
  <c r="C113" i="407" a="1"/>
  <c r="C113" i="407" s="1"/>
  <c r="C112" i="407" a="1"/>
  <c r="C112" i="407" s="1"/>
  <c r="C111" i="407" a="1"/>
  <c r="C111" i="407" s="1"/>
  <c r="C110" i="407" a="1"/>
  <c r="C110" i="407" s="1"/>
  <c r="C109" i="407" a="1"/>
  <c r="C109" i="407" s="1"/>
  <c r="C108" i="407" a="1"/>
  <c r="C108" i="407" s="1"/>
  <c r="C107" i="407" a="1"/>
  <c r="C107" i="407" s="1"/>
  <c r="C106" i="407" a="1"/>
  <c r="C106" i="407" s="1"/>
  <c r="C105" i="407" a="1"/>
  <c r="C105" i="407" s="1"/>
  <c r="C104" i="407" a="1"/>
  <c r="C104" i="407" s="1"/>
  <c r="C103" i="407" a="1"/>
  <c r="C103" i="407" s="1"/>
  <c r="C102" i="407" a="1"/>
  <c r="C102" i="407" s="1"/>
  <c r="C101" i="407" a="1"/>
  <c r="C101" i="407" s="1"/>
  <c r="C100" i="407" a="1"/>
  <c r="C100" i="407" s="1"/>
  <c r="C99" i="407" a="1"/>
  <c r="C99" i="407" s="1"/>
  <c r="C98" i="407" a="1"/>
  <c r="C98" i="407" s="1"/>
  <c r="C97" i="407" a="1"/>
  <c r="C97" i="407" s="1"/>
  <c r="C96" i="407" a="1"/>
  <c r="C96" i="407" s="1"/>
  <c r="C95" i="407" a="1"/>
  <c r="C95" i="407" s="1"/>
  <c r="C94" i="407" a="1"/>
  <c r="C94" i="407" s="1"/>
  <c r="C93" i="407" a="1"/>
  <c r="C93" i="407" s="1"/>
  <c r="C92" i="407" a="1"/>
  <c r="C92" i="407" s="1"/>
  <c r="C91" i="407" a="1"/>
  <c r="C91" i="407" s="1"/>
  <c r="C90" i="407" a="1"/>
  <c r="C90" i="407" s="1"/>
  <c r="C89" i="407" a="1"/>
  <c r="C89" i="407" s="1"/>
  <c r="C88" i="407" a="1"/>
  <c r="C88" i="407" s="1"/>
  <c r="C87" i="407" a="1"/>
  <c r="C87" i="407" s="1"/>
  <c r="C86" i="407" a="1"/>
  <c r="C86" i="407" s="1"/>
  <c r="C85" i="407" a="1"/>
  <c r="C85" i="407" s="1"/>
  <c r="C84" i="407" a="1"/>
  <c r="C84" i="407" s="1"/>
  <c r="C83" i="407" a="1"/>
  <c r="C83" i="407" s="1"/>
  <c r="C82" i="407" a="1"/>
  <c r="C82" i="407" s="1"/>
  <c r="C81" i="407" a="1"/>
  <c r="C81" i="407" s="1"/>
  <c r="C80" i="407" a="1"/>
  <c r="C80" i="407" s="1"/>
  <c r="C79" i="407" a="1"/>
  <c r="C79" i="407" s="1"/>
  <c r="C74" i="407" a="1"/>
  <c r="C74" i="407" s="1"/>
  <c r="C73" i="407" a="1"/>
  <c r="C73" i="407" s="1"/>
  <c r="C72" i="407" a="1"/>
  <c r="C72" i="407" s="1"/>
  <c r="C71" i="407" a="1"/>
  <c r="C71" i="407" s="1"/>
  <c r="C70" i="407" a="1"/>
  <c r="C70" i="407" s="1"/>
  <c r="C69" i="407" a="1"/>
  <c r="C69" i="407" s="1"/>
  <c r="C68" i="407" a="1"/>
  <c r="C68" i="407" s="1"/>
  <c r="C67" i="407" a="1"/>
  <c r="C67" i="407" s="1"/>
  <c r="C66" i="407" a="1"/>
  <c r="C66" i="407" s="1"/>
  <c r="C65" i="407" a="1"/>
  <c r="C65" i="407" s="1"/>
  <c r="C64" i="407" a="1"/>
  <c r="C64" i="407" s="1"/>
  <c r="C63" i="407" a="1"/>
  <c r="C63" i="407" s="1"/>
  <c r="C62" i="407" a="1"/>
  <c r="C62" i="407" s="1"/>
  <c r="C61" i="407" a="1"/>
  <c r="C61" i="407" s="1"/>
  <c r="C60" i="407" a="1"/>
  <c r="C60" i="407" s="1"/>
  <c r="C59" i="407" a="1"/>
  <c r="C59" i="407" s="1"/>
  <c r="C58" i="407" a="1"/>
  <c r="C58" i="407" s="1"/>
  <c r="C57" i="407" a="1"/>
  <c r="C57" i="407" s="1"/>
  <c r="C56" i="407" a="1"/>
  <c r="C56" i="407" s="1"/>
  <c r="C55" i="407" a="1"/>
  <c r="C55" i="407" s="1"/>
  <c r="C54" i="407" a="1"/>
  <c r="C54" i="407" s="1"/>
  <c r="C53" i="407" a="1"/>
  <c r="C53" i="407" s="1"/>
  <c r="C52" i="407" a="1"/>
  <c r="C52" i="407" s="1"/>
  <c r="I46" i="407"/>
  <c r="G46" i="407" a="1"/>
  <c r="G46" i="407" s="1"/>
  <c r="C45" i="407" a="1"/>
  <c r="C45" i="407" s="1"/>
  <c r="C44" i="407" a="1"/>
  <c r="C44" i="407" s="1"/>
  <c r="C43" i="407" a="1"/>
  <c r="C43" i="407" s="1"/>
  <c r="C42" i="407" a="1"/>
  <c r="C42" i="407" s="1"/>
  <c r="C41" i="407" a="1"/>
  <c r="C41" i="407" s="1"/>
  <c r="C40" i="407" a="1"/>
  <c r="C40" i="407" s="1"/>
  <c r="C39" i="407" a="1"/>
  <c r="C39" i="407" s="1"/>
  <c r="C38" i="407" a="1"/>
  <c r="C38" i="407" s="1"/>
  <c r="C37" i="407" a="1"/>
  <c r="C37" i="407" s="1"/>
  <c r="C35" i="407" a="1"/>
  <c r="C35" i="407" s="1"/>
  <c r="C34" i="407" a="1"/>
  <c r="C34" i="407" s="1"/>
  <c r="C33" i="407" a="1"/>
  <c r="C33" i="407" s="1"/>
  <c r="C31" i="407" a="1"/>
  <c r="C31" i="407" s="1"/>
  <c r="C30" i="407" a="1"/>
  <c r="C30" i="407" s="1"/>
  <c r="C28" i="407" a="1"/>
  <c r="C28" i="407" s="1"/>
  <c r="C26" i="407" a="1"/>
  <c r="C26" i="407" s="1"/>
  <c r="C23" i="407" a="1"/>
  <c r="C23" i="407" s="1"/>
  <c r="C22" i="407" a="1"/>
  <c r="C22" i="407" s="1"/>
  <c r="C20" i="407" a="1"/>
  <c r="C20" i="407" s="1"/>
  <c r="C18" i="407" a="1"/>
  <c r="C18" i="407" s="1"/>
  <c r="C17" i="407" a="1"/>
  <c r="C17" i="407" s="1"/>
  <c r="C16" i="407" a="1"/>
  <c r="C16" i="407" s="1"/>
  <c r="C14" i="407" a="1"/>
  <c r="C14" i="407" s="1"/>
  <c r="C13" i="407" a="1"/>
  <c r="C13" i="407" s="1"/>
  <c r="C12" i="407" a="1"/>
  <c r="C12" i="407" s="1"/>
  <c r="C10" i="407" a="1"/>
  <c r="C10" i="407" s="1"/>
  <c r="E7" i="407"/>
  <c r="E175" i="407" s="1" a="1"/>
  <c r="E175" i="407" s="1"/>
  <c r="A4" i="407"/>
  <c r="A3" i="407"/>
  <c r="F162" i="407" s="1" a="1"/>
  <c r="F162" i="407" s="1"/>
  <c r="I183" i="389"/>
  <c r="H183" i="389"/>
  <c r="I182" i="389"/>
  <c r="H182" i="389"/>
  <c r="I181" i="389"/>
  <c r="H181" i="389"/>
  <c r="I180" i="389"/>
  <c r="H180" i="389"/>
  <c r="I176" i="389"/>
  <c r="H176" i="389"/>
  <c r="C175" i="389" a="1"/>
  <c r="C175" i="389" s="1"/>
  <c r="C177" i="389" s="1"/>
  <c r="I174" i="389"/>
  <c r="H174" i="389"/>
  <c r="I169" i="389"/>
  <c r="H169" i="389"/>
  <c r="I168" i="389"/>
  <c r="H168" i="389"/>
  <c r="C163" i="389" a="1"/>
  <c r="C163" i="389"/>
  <c r="C162" i="389" a="1"/>
  <c r="C162" i="389"/>
  <c r="C161" i="389" a="1"/>
  <c r="C161" i="389"/>
  <c r="C160" i="389" a="1"/>
  <c r="C160" i="389"/>
  <c r="C159" i="389" a="1"/>
  <c r="C159" i="389"/>
  <c r="C158" i="389" a="1"/>
  <c r="C158" i="389"/>
  <c r="C157" i="389" a="1"/>
  <c r="C157" i="389"/>
  <c r="C156" i="389" a="1"/>
  <c r="C156" i="389"/>
  <c r="C155" i="389" a="1"/>
  <c r="C155" i="389"/>
  <c r="I151" i="389"/>
  <c r="H151" i="389"/>
  <c r="I150" i="389"/>
  <c r="H150" i="389"/>
  <c r="I146" i="389"/>
  <c r="G146" i="389"/>
  <c r="H146" i="389" s="1"/>
  <c r="C145" i="389" a="1"/>
  <c r="C145" i="389" s="1"/>
  <c r="C144" i="389" s="1"/>
  <c r="C143" i="389" a="1"/>
  <c r="C143" i="389" s="1"/>
  <c r="C142" i="389" a="1"/>
  <c r="C142" i="389" s="1"/>
  <c r="C141" i="389" a="1"/>
  <c r="C141" i="389" s="1"/>
  <c r="C140" i="389" a="1"/>
  <c r="C140" i="389" s="1"/>
  <c r="I138" i="389"/>
  <c r="H138" i="389"/>
  <c r="C137" i="389" a="1"/>
  <c r="C137" i="389" s="1"/>
  <c r="C136" i="389" a="1"/>
  <c r="C136" i="389" s="1"/>
  <c r="C135" i="389" a="1"/>
  <c r="C135" i="389" s="1"/>
  <c r="C134" i="389" a="1"/>
  <c r="C134" i="389" s="1"/>
  <c r="C133" i="389" a="1"/>
  <c r="C133" i="389" s="1"/>
  <c r="C132" i="389" a="1"/>
  <c r="C132" i="389" s="1"/>
  <c r="C131" i="389" a="1"/>
  <c r="C131" i="389" s="1"/>
  <c r="C130" i="389" a="1"/>
  <c r="C130" i="389" s="1"/>
  <c r="C129" i="389" a="1"/>
  <c r="C129" i="389" s="1"/>
  <c r="C128" i="389" a="1"/>
  <c r="C128" i="389" s="1"/>
  <c r="C127" i="389" a="1"/>
  <c r="C127" i="389" s="1"/>
  <c r="C126" i="389" a="1"/>
  <c r="C126" i="389" s="1"/>
  <c r="C125" i="389" a="1"/>
  <c r="C125" i="389" s="1"/>
  <c r="C124" i="389" a="1"/>
  <c r="C124" i="389" s="1"/>
  <c r="C123" i="389" a="1"/>
  <c r="C123" i="389" s="1"/>
  <c r="C122" i="389" a="1"/>
  <c r="C122" i="389" s="1"/>
  <c r="C121" i="389" a="1"/>
  <c r="C121" i="389" s="1"/>
  <c r="C120" i="389" a="1"/>
  <c r="C120" i="389" s="1"/>
  <c r="C119" i="389" a="1"/>
  <c r="C119" i="389" s="1"/>
  <c r="C118" i="389" a="1"/>
  <c r="C118" i="389" s="1"/>
  <c r="C117" i="389" a="1"/>
  <c r="C117" i="389" s="1"/>
  <c r="C116" i="389" a="1"/>
  <c r="C116" i="389" s="1"/>
  <c r="C115" i="389" a="1"/>
  <c r="C115" i="389" s="1"/>
  <c r="C114" i="389" a="1"/>
  <c r="C114" i="389" s="1"/>
  <c r="C113" i="389" a="1"/>
  <c r="C113" i="389" s="1"/>
  <c r="C112" i="389" a="1"/>
  <c r="C112" i="389" s="1"/>
  <c r="C111" i="389" a="1"/>
  <c r="C111" i="389" s="1"/>
  <c r="C110" i="389" a="1"/>
  <c r="C110" i="389" s="1"/>
  <c r="C109" i="389" a="1"/>
  <c r="C109" i="389" s="1"/>
  <c r="C108" i="389" a="1"/>
  <c r="C108" i="389" s="1"/>
  <c r="C107" i="389" a="1"/>
  <c r="C107" i="389" s="1"/>
  <c r="C106" i="389" a="1"/>
  <c r="C106" i="389" s="1"/>
  <c r="C105" i="389" a="1"/>
  <c r="C105" i="389" s="1"/>
  <c r="C104" i="389" a="1"/>
  <c r="C104" i="389" s="1"/>
  <c r="C103" i="389" a="1"/>
  <c r="C103" i="389" s="1"/>
  <c r="C102" i="389" a="1"/>
  <c r="C102" i="389" s="1"/>
  <c r="C101" i="389" a="1"/>
  <c r="C101" i="389" s="1"/>
  <c r="C100" i="389" a="1"/>
  <c r="C100" i="389" s="1"/>
  <c r="C99" i="389" a="1"/>
  <c r="C99" i="389" s="1"/>
  <c r="C98" i="389" a="1"/>
  <c r="C98" i="389" s="1"/>
  <c r="C97" i="389" a="1"/>
  <c r="C97" i="389" s="1"/>
  <c r="C96" i="389" a="1"/>
  <c r="C96" i="389" s="1"/>
  <c r="C95" i="389" a="1"/>
  <c r="C95" i="389" s="1"/>
  <c r="C94" i="389" a="1"/>
  <c r="C94" i="389" s="1"/>
  <c r="C93" i="389" a="1"/>
  <c r="C93" i="389" s="1"/>
  <c r="C92" i="389" a="1"/>
  <c r="C92" i="389" s="1"/>
  <c r="C91" i="389" a="1"/>
  <c r="C91" i="389" s="1"/>
  <c r="C90" i="389" a="1"/>
  <c r="C90" i="389" s="1"/>
  <c r="C89" i="389" a="1"/>
  <c r="C89" i="389" s="1"/>
  <c r="C88" i="389" a="1"/>
  <c r="C88" i="389" s="1"/>
  <c r="C87" i="389" a="1"/>
  <c r="C87" i="389" s="1"/>
  <c r="C86" i="389" a="1"/>
  <c r="C86" i="389" s="1"/>
  <c r="C85" i="389" a="1"/>
  <c r="C85" i="389" s="1"/>
  <c r="C84" i="389" a="1"/>
  <c r="C84" i="389" s="1"/>
  <c r="C83" i="389" a="1"/>
  <c r="C83" i="389" s="1"/>
  <c r="C82" i="389" a="1"/>
  <c r="C82" i="389" s="1"/>
  <c r="C81" i="389" a="1"/>
  <c r="C81" i="389" s="1"/>
  <c r="C80" i="389" a="1"/>
  <c r="C80" i="389" s="1"/>
  <c r="C79" i="389" a="1"/>
  <c r="C79" i="389" s="1"/>
  <c r="C74" i="389" a="1"/>
  <c r="C74" i="389" s="1"/>
  <c r="C73" i="389" a="1"/>
  <c r="C73" i="389" s="1"/>
  <c r="C72" i="389" a="1"/>
  <c r="C72" i="389" s="1"/>
  <c r="C71" i="389" a="1"/>
  <c r="C71" i="389" s="1"/>
  <c r="C70" i="389" a="1"/>
  <c r="C70" i="389" s="1"/>
  <c r="C69" i="389" a="1"/>
  <c r="C69" i="389" s="1"/>
  <c r="C68" i="389" a="1"/>
  <c r="C68" i="389" s="1"/>
  <c r="C67" i="389" a="1"/>
  <c r="C67" i="389" s="1"/>
  <c r="C66" i="389" a="1"/>
  <c r="C66" i="389" s="1"/>
  <c r="C65" i="389" a="1"/>
  <c r="C65" i="389" s="1"/>
  <c r="C64" i="389" a="1"/>
  <c r="C64" i="389" s="1"/>
  <c r="C63" i="389" a="1"/>
  <c r="C63" i="389" s="1"/>
  <c r="C62" i="389" a="1"/>
  <c r="C62" i="389" s="1"/>
  <c r="C61" i="389" a="1"/>
  <c r="C61" i="389" s="1"/>
  <c r="C60" i="389" a="1"/>
  <c r="C60" i="389" s="1"/>
  <c r="C59" i="389" a="1"/>
  <c r="C59" i="389" s="1"/>
  <c r="C58" i="389" a="1"/>
  <c r="C58" i="389" s="1"/>
  <c r="C57" i="389" a="1"/>
  <c r="C57" i="389" s="1"/>
  <c r="C56" i="389" a="1"/>
  <c r="C56" i="389" s="1"/>
  <c r="C55" i="389" a="1"/>
  <c r="C55" i="389" s="1"/>
  <c r="C54" i="389" a="1"/>
  <c r="C54" i="389" s="1"/>
  <c r="C53" i="389" a="1"/>
  <c r="C53" i="389" s="1"/>
  <c r="C52" i="389" a="1"/>
  <c r="C52" i="389" s="1"/>
  <c r="I46" i="389"/>
  <c r="G46" i="389" a="1"/>
  <c r="G46" i="389" s="1"/>
  <c r="C45" i="389" a="1"/>
  <c r="C45" i="389" s="1"/>
  <c r="C44" i="389" a="1"/>
  <c r="C44" i="389" s="1"/>
  <c r="C43" i="389" a="1"/>
  <c r="C43" i="389" s="1"/>
  <c r="C42" i="389" a="1"/>
  <c r="C42" i="389" s="1"/>
  <c r="C41" i="389" a="1"/>
  <c r="C41" i="389" s="1"/>
  <c r="C40" i="389" a="1"/>
  <c r="C40" i="389" s="1"/>
  <c r="C39" i="389" a="1"/>
  <c r="C39" i="389" s="1"/>
  <c r="C38" i="389" a="1"/>
  <c r="C38" i="389" s="1"/>
  <c r="C37" i="389" a="1"/>
  <c r="C37" i="389" s="1"/>
  <c r="C35" i="389" a="1"/>
  <c r="C35" i="389" s="1"/>
  <c r="C34" i="389" a="1"/>
  <c r="C34" i="389" s="1"/>
  <c r="C33" i="389" a="1"/>
  <c r="C33" i="389" s="1"/>
  <c r="C31" i="389" a="1"/>
  <c r="C31" i="389" s="1"/>
  <c r="C30" i="389" a="1"/>
  <c r="C30" i="389" s="1"/>
  <c r="C28" i="389" a="1"/>
  <c r="C28" i="389"/>
  <c r="C26" i="389" a="1"/>
  <c r="C26" i="389" s="1"/>
  <c r="C23" i="389" a="1"/>
  <c r="C23" i="389" s="1"/>
  <c r="C22" i="389" a="1"/>
  <c r="C22" i="389" s="1"/>
  <c r="C20" i="389" a="1"/>
  <c r="C20" i="389"/>
  <c r="C18" i="389" a="1"/>
  <c r="C18" i="389" s="1"/>
  <c r="C17" i="389" a="1"/>
  <c r="C17" i="389" s="1"/>
  <c r="C16" i="389" a="1"/>
  <c r="C16" i="389" s="1"/>
  <c r="C14" i="389" a="1"/>
  <c r="C14" i="389" s="1"/>
  <c r="C13" i="389" a="1"/>
  <c r="C13" i="389" s="1"/>
  <c r="C12" i="389" a="1"/>
  <c r="C12" i="389" s="1"/>
  <c r="C10" i="389" a="1"/>
  <c r="C10" i="389" s="1"/>
  <c r="E7" i="389"/>
  <c r="E175" i="389" s="1" a="1"/>
  <c r="E175" i="389" s="1"/>
  <c r="A4" i="389"/>
  <c r="A3" i="389"/>
  <c r="F162" i="389" s="1" a="1"/>
  <c r="F162" i="389" s="1"/>
  <c r="I183" i="360"/>
  <c r="H183" i="360"/>
  <c r="I182" i="360"/>
  <c r="H182" i="360"/>
  <c r="I181" i="360"/>
  <c r="H181" i="360"/>
  <c r="I180" i="360"/>
  <c r="H180" i="360"/>
  <c r="E175" i="360" a="1"/>
  <c r="E175" i="360" s="1"/>
  <c r="C175" i="360" a="1"/>
  <c r="C175" i="360" s="1"/>
  <c r="C177" i="360" s="1"/>
  <c r="I169" i="360"/>
  <c r="H169" i="360"/>
  <c r="I168" i="360"/>
  <c r="H168" i="360"/>
  <c r="E163" i="360" a="1"/>
  <c r="E163" i="360" s="1"/>
  <c r="C163" i="360" a="1"/>
  <c r="C163" i="360" s="1"/>
  <c r="E162" i="360" a="1"/>
  <c r="E162" i="360" s="1"/>
  <c r="C162" i="360" a="1"/>
  <c r="C162" i="360" s="1"/>
  <c r="E161" i="360" a="1"/>
  <c r="E161" i="360" s="1"/>
  <c r="C161" i="360" a="1"/>
  <c r="C161" i="360" s="1"/>
  <c r="E160" i="360" a="1"/>
  <c r="E160" i="360" s="1"/>
  <c r="C160" i="360" a="1"/>
  <c r="C160" i="360"/>
  <c r="E159" i="360" a="1"/>
  <c r="E159" i="360" s="1"/>
  <c r="C159" i="360" a="1"/>
  <c r="C159" i="360" s="1"/>
  <c r="E158" i="360" a="1"/>
  <c r="E158" i="360" s="1"/>
  <c r="C158" i="360" a="1"/>
  <c r="C158" i="360" s="1"/>
  <c r="E157" i="360" a="1"/>
  <c r="E157" i="360" s="1"/>
  <c r="C157" i="360" a="1"/>
  <c r="C157" i="360" s="1"/>
  <c r="E156" i="360" a="1"/>
  <c r="E156" i="360" s="1"/>
  <c r="C156" i="360" a="1"/>
  <c r="C156" i="360" s="1"/>
  <c r="E155" i="360" a="1"/>
  <c r="E155" i="360" s="1"/>
  <c r="C155" i="360" a="1"/>
  <c r="C155" i="360" s="1"/>
  <c r="I151" i="360"/>
  <c r="H151" i="360"/>
  <c r="I150" i="360"/>
  <c r="H150" i="360"/>
  <c r="I146" i="360"/>
  <c r="G146" i="360"/>
  <c r="H146" i="360" s="1"/>
  <c r="E145" i="360" a="1"/>
  <c r="E145" i="360" s="1"/>
  <c r="C145" i="360" a="1"/>
  <c r="C145" i="360" s="1"/>
  <c r="C144" i="360" s="1"/>
  <c r="G143" i="360" a="1"/>
  <c r="G143" i="360" s="1"/>
  <c r="C143" i="360" a="1"/>
  <c r="C143" i="360" s="1"/>
  <c r="E142" i="360" a="1"/>
  <c r="E142" i="360" s="1"/>
  <c r="C142" i="360" a="1"/>
  <c r="C142" i="360"/>
  <c r="E141" i="360" a="1"/>
  <c r="E141" i="360" s="1"/>
  <c r="C141" i="360" a="1"/>
  <c r="C141" i="360" s="1"/>
  <c r="E140" i="360" a="1"/>
  <c r="E140" i="360" s="1"/>
  <c r="C140" i="360" a="1"/>
  <c r="C140" i="360" s="1"/>
  <c r="I138" i="360"/>
  <c r="H138" i="360"/>
  <c r="E137" i="360" a="1"/>
  <c r="E137" i="360" s="1"/>
  <c r="C137" i="360" a="1"/>
  <c r="C137" i="360" s="1"/>
  <c r="E136" i="360" a="1"/>
  <c r="E136" i="360" s="1"/>
  <c r="C136" i="360" a="1"/>
  <c r="C136" i="360" s="1"/>
  <c r="E135" i="360" a="1"/>
  <c r="E135" i="360" s="1"/>
  <c r="C135" i="360" a="1"/>
  <c r="C135" i="360" s="1"/>
  <c r="E134" i="360" a="1"/>
  <c r="E134" i="360" s="1"/>
  <c r="C134" i="360" a="1"/>
  <c r="C134" i="360" s="1"/>
  <c r="E133" i="360" a="1"/>
  <c r="E133" i="360" s="1"/>
  <c r="C133" i="360" a="1"/>
  <c r="C133" i="360" s="1"/>
  <c r="E132" i="360" a="1"/>
  <c r="E132" i="360" s="1"/>
  <c r="C132" i="360" a="1"/>
  <c r="C132" i="360" s="1"/>
  <c r="E131" i="360" a="1"/>
  <c r="E131" i="360" s="1"/>
  <c r="C131" i="360" a="1"/>
  <c r="C131" i="360" s="1"/>
  <c r="E130" i="360" a="1"/>
  <c r="E130" i="360" s="1"/>
  <c r="C130" i="360" a="1"/>
  <c r="C130" i="360"/>
  <c r="E129" i="360" a="1"/>
  <c r="E129" i="360" s="1"/>
  <c r="C129" i="360" a="1"/>
  <c r="C129" i="360" s="1"/>
  <c r="E128" i="360" a="1"/>
  <c r="E128" i="360" s="1"/>
  <c r="C128" i="360" a="1"/>
  <c r="C128" i="360" s="1"/>
  <c r="E127" i="360" a="1"/>
  <c r="E127" i="360" s="1"/>
  <c r="C127" i="360" a="1"/>
  <c r="C127" i="360" s="1"/>
  <c r="E126" i="360" a="1"/>
  <c r="E126" i="360" s="1"/>
  <c r="C126" i="360" a="1"/>
  <c r="C126" i="360" s="1"/>
  <c r="E125" i="360" a="1"/>
  <c r="E125" i="360" s="1"/>
  <c r="C125" i="360" a="1"/>
  <c r="C125" i="360" s="1"/>
  <c r="E124" i="360" a="1"/>
  <c r="E124" i="360" s="1"/>
  <c r="C124" i="360" a="1"/>
  <c r="C124" i="360" s="1"/>
  <c r="E123" i="360" a="1"/>
  <c r="E123" i="360" s="1"/>
  <c r="C123" i="360" a="1"/>
  <c r="C123" i="360" s="1"/>
  <c r="E122" i="360" a="1"/>
  <c r="E122" i="360" s="1"/>
  <c r="C122" i="360" a="1"/>
  <c r="C122" i="360"/>
  <c r="E121" i="360" a="1"/>
  <c r="E121" i="360" s="1"/>
  <c r="C121" i="360" a="1"/>
  <c r="C121" i="360" s="1"/>
  <c r="E120" i="360" a="1"/>
  <c r="E120" i="360" s="1"/>
  <c r="C120" i="360" a="1"/>
  <c r="C120" i="360" s="1"/>
  <c r="E119" i="360" a="1"/>
  <c r="E119" i="360" s="1"/>
  <c r="C119" i="360" a="1"/>
  <c r="C119" i="360" s="1"/>
  <c r="E118" i="360" a="1"/>
  <c r="E118" i="360" s="1"/>
  <c r="C118" i="360" a="1"/>
  <c r="C118" i="360" s="1"/>
  <c r="E117" i="360" a="1"/>
  <c r="E117" i="360" s="1"/>
  <c r="C117" i="360" a="1"/>
  <c r="C117" i="360" s="1"/>
  <c r="E116" i="360" a="1"/>
  <c r="E116" i="360" s="1"/>
  <c r="C116" i="360" a="1"/>
  <c r="C116" i="360" s="1"/>
  <c r="E115" i="360" a="1"/>
  <c r="E115" i="360" s="1"/>
  <c r="C115" i="360" a="1"/>
  <c r="C115" i="360" s="1"/>
  <c r="E114" i="360" a="1"/>
  <c r="E114" i="360" s="1"/>
  <c r="C114" i="360" a="1"/>
  <c r="C114" i="360"/>
  <c r="E113" i="360" a="1"/>
  <c r="E113" i="360" s="1"/>
  <c r="C113" i="360" a="1"/>
  <c r="C113" i="360" s="1"/>
  <c r="E112" i="360" a="1"/>
  <c r="E112" i="360" s="1"/>
  <c r="C112" i="360" a="1"/>
  <c r="C112" i="360" s="1"/>
  <c r="E111" i="360" a="1"/>
  <c r="E111" i="360" s="1"/>
  <c r="C111" i="360" a="1"/>
  <c r="C111" i="360" s="1"/>
  <c r="E110" i="360" a="1"/>
  <c r="E110" i="360" s="1"/>
  <c r="C110" i="360" a="1"/>
  <c r="C110" i="360" s="1"/>
  <c r="E109" i="360" a="1"/>
  <c r="E109" i="360" s="1"/>
  <c r="C109" i="360" a="1"/>
  <c r="C109" i="360" s="1"/>
  <c r="E108" i="360" a="1"/>
  <c r="E108" i="360" s="1"/>
  <c r="C108" i="360" a="1"/>
  <c r="C108" i="360" s="1"/>
  <c r="E107" i="360" a="1"/>
  <c r="E107" i="360" s="1"/>
  <c r="C107" i="360" a="1"/>
  <c r="C107" i="360" s="1"/>
  <c r="E106" i="360" a="1"/>
  <c r="E106" i="360" s="1"/>
  <c r="C106" i="360" a="1"/>
  <c r="C106" i="360"/>
  <c r="E105" i="360" a="1"/>
  <c r="E105" i="360" s="1"/>
  <c r="C105" i="360" a="1"/>
  <c r="C105" i="360" s="1"/>
  <c r="E104" i="360" a="1"/>
  <c r="E104" i="360" s="1"/>
  <c r="C104" i="360" a="1"/>
  <c r="C104" i="360" s="1"/>
  <c r="E103" i="360" a="1"/>
  <c r="E103" i="360" s="1"/>
  <c r="C103" i="360" a="1"/>
  <c r="C103" i="360" s="1"/>
  <c r="E102" i="360" a="1"/>
  <c r="E102" i="360" s="1"/>
  <c r="C102" i="360" a="1"/>
  <c r="C102" i="360" s="1"/>
  <c r="E101" i="360" a="1"/>
  <c r="E101" i="360" s="1"/>
  <c r="C101" i="360" a="1"/>
  <c r="C101" i="360" s="1"/>
  <c r="E100" i="360" a="1"/>
  <c r="E100" i="360" s="1"/>
  <c r="C100" i="360" a="1"/>
  <c r="C100" i="360" s="1"/>
  <c r="E99" i="360" a="1"/>
  <c r="E99" i="360" s="1"/>
  <c r="C99" i="360" a="1"/>
  <c r="C99" i="360" s="1"/>
  <c r="E98" i="360" a="1"/>
  <c r="E98" i="360" s="1"/>
  <c r="C98" i="360" a="1"/>
  <c r="C98" i="360"/>
  <c r="E97" i="360" a="1"/>
  <c r="E97" i="360" s="1"/>
  <c r="C97" i="360" a="1"/>
  <c r="C97" i="360" s="1"/>
  <c r="E96" i="360" a="1"/>
  <c r="E96" i="360" s="1"/>
  <c r="C96" i="360" a="1"/>
  <c r="C96" i="360" s="1"/>
  <c r="E95" i="360" a="1"/>
  <c r="E95" i="360" s="1"/>
  <c r="C95" i="360" a="1"/>
  <c r="C95" i="360" s="1"/>
  <c r="E94" i="360" a="1"/>
  <c r="E94" i="360" s="1"/>
  <c r="C94" i="360" a="1"/>
  <c r="C94" i="360" s="1"/>
  <c r="E93" i="360" a="1"/>
  <c r="E93" i="360" s="1"/>
  <c r="C93" i="360" a="1"/>
  <c r="C93" i="360" s="1"/>
  <c r="E92" i="360" a="1"/>
  <c r="E92" i="360" s="1"/>
  <c r="C92" i="360" a="1"/>
  <c r="C92" i="360" s="1"/>
  <c r="E91" i="360" a="1"/>
  <c r="E91" i="360" s="1"/>
  <c r="C91" i="360" a="1"/>
  <c r="C91" i="360" s="1"/>
  <c r="E90" i="360" a="1"/>
  <c r="E90" i="360" s="1"/>
  <c r="C90" i="360" a="1"/>
  <c r="C90" i="360"/>
  <c r="E89" i="360" a="1"/>
  <c r="E89" i="360" s="1"/>
  <c r="C89" i="360" a="1"/>
  <c r="C89" i="360" s="1"/>
  <c r="E88" i="360" a="1"/>
  <c r="E88" i="360" s="1"/>
  <c r="C88" i="360" a="1"/>
  <c r="C88" i="360" s="1"/>
  <c r="E87" i="360" a="1"/>
  <c r="E87" i="360" s="1"/>
  <c r="C87" i="360" a="1"/>
  <c r="C87" i="360" s="1"/>
  <c r="E86" i="360" a="1"/>
  <c r="E86" i="360" s="1"/>
  <c r="C86" i="360" a="1"/>
  <c r="C86" i="360" s="1"/>
  <c r="E85" i="360" a="1"/>
  <c r="E85" i="360" s="1"/>
  <c r="C85" i="360" a="1"/>
  <c r="C85" i="360" s="1"/>
  <c r="E84" i="360" a="1"/>
  <c r="E84" i="360" s="1"/>
  <c r="C84" i="360" a="1"/>
  <c r="C84" i="360" s="1"/>
  <c r="E83" i="360" a="1"/>
  <c r="E83" i="360" s="1"/>
  <c r="C83" i="360" a="1"/>
  <c r="C83" i="360" s="1"/>
  <c r="E82" i="360" a="1"/>
  <c r="E82" i="360" s="1"/>
  <c r="C82" i="360" a="1"/>
  <c r="C82" i="360"/>
  <c r="E81" i="360" a="1"/>
  <c r="E81" i="360" s="1"/>
  <c r="C81" i="360" a="1"/>
  <c r="C81" i="360" s="1"/>
  <c r="E80" i="360" a="1"/>
  <c r="E80" i="360" s="1"/>
  <c r="C80" i="360" a="1"/>
  <c r="C80" i="360" s="1"/>
  <c r="E79" i="360" a="1"/>
  <c r="E79" i="360" s="1"/>
  <c r="C79" i="360" a="1"/>
  <c r="C79" i="360" s="1"/>
  <c r="E74" i="360" a="1"/>
  <c r="E74" i="360" s="1"/>
  <c r="C74" i="360" a="1"/>
  <c r="C74" i="360" s="1"/>
  <c r="E73" i="360" a="1"/>
  <c r="E73" i="360" s="1"/>
  <c r="C73" i="360" a="1"/>
  <c r="C73" i="360" s="1"/>
  <c r="E72" i="360" a="1"/>
  <c r="E72" i="360" s="1"/>
  <c r="C72" i="360" a="1"/>
  <c r="C72" i="360" s="1"/>
  <c r="E71" i="360" a="1"/>
  <c r="E71" i="360" s="1"/>
  <c r="C71" i="360" a="1"/>
  <c r="C71" i="360" s="1"/>
  <c r="E70" i="360" a="1"/>
  <c r="E70" i="360" s="1"/>
  <c r="C70" i="360" a="1"/>
  <c r="C70" i="360"/>
  <c r="E69" i="360" a="1"/>
  <c r="E69" i="360" s="1"/>
  <c r="C69" i="360" a="1"/>
  <c r="C69" i="360" s="1"/>
  <c r="E68" i="360" a="1"/>
  <c r="E68" i="360" s="1"/>
  <c r="C68" i="360" a="1"/>
  <c r="C68" i="360" s="1"/>
  <c r="E67" i="360" a="1"/>
  <c r="E67" i="360" s="1"/>
  <c r="C67" i="360" a="1"/>
  <c r="C67" i="360" s="1"/>
  <c r="E66" i="360" a="1"/>
  <c r="E66" i="360" s="1"/>
  <c r="C66" i="360" a="1"/>
  <c r="C66" i="360" s="1"/>
  <c r="E65" i="360" a="1"/>
  <c r="E65" i="360" s="1"/>
  <c r="C65" i="360" a="1"/>
  <c r="C65" i="360" s="1"/>
  <c r="E64" i="360" a="1"/>
  <c r="E64" i="360" s="1"/>
  <c r="C64" i="360" a="1"/>
  <c r="C64" i="360" s="1"/>
  <c r="E63" i="360" a="1"/>
  <c r="E63" i="360" s="1"/>
  <c r="C63" i="360" a="1"/>
  <c r="C63" i="360" s="1"/>
  <c r="E62" i="360" a="1"/>
  <c r="E62" i="360" s="1"/>
  <c r="C62" i="360" a="1"/>
  <c r="C62" i="360"/>
  <c r="E61" i="360" a="1"/>
  <c r="E61" i="360" s="1"/>
  <c r="C61" i="360" a="1"/>
  <c r="C61" i="360" s="1"/>
  <c r="E60" i="360" a="1"/>
  <c r="E60" i="360" s="1"/>
  <c r="C60" i="360" a="1"/>
  <c r="C60" i="360" s="1"/>
  <c r="E59" i="360" a="1"/>
  <c r="E59" i="360" s="1"/>
  <c r="C59" i="360" a="1"/>
  <c r="C59" i="360" s="1"/>
  <c r="E58" i="360" a="1"/>
  <c r="E58" i="360" s="1"/>
  <c r="C58" i="360" a="1"/>
  <c r="C58" i="360" s="1"/>
  <c r="E57" i="360" a="1"/>
  <c r="E57" i="360" s="1"/>
  <c r="C57" i="360" a="1"/>
  <c r="C57" i="360" s="1"/>
  <c r="E56" i="360" a="1"/>
  <c r="E56" i="360" s="1"/>
  <c r="C56" i="360" a="1"/>
  <c r="C56" i="360" s="1"/>
  <c r="E55" i="360" a="1"/>
  <c r="E55" i="360" s="1"/>
  <c r="C55" i="360" a="1"/>
  <c r="C55" i="360" s="1"/>
  <c r="E54" i="360" a="1"/>
  <c r="E54" i="360" s="1"/>
  <c r="C54" i="360" a="1"/>
  <c r="C54" i="360"/>
  <c r="E53" i="360" a="1"/>
  <c r="E53" i="360" s="1"/>
  <c r="C53" i="360" a="1"/>
  <c r="C53" i="360" s="1"/>
  <c r="E52" i="360" a="1"/>
  <c r="E52" i="360" s="1"/>
  <c r="C52" i="360" a="1"/>
  <c r="C52" i="360" s="1"/>
  <c r="I46" i="360"/>
  <c r="G46" i="360" a="1"/>
  <c r="G46" i="360" s="1"/>
  <c r="E45" i="360" a="1"/>
  <c r="E45" i="360" s="1"/>
  <c r="C45" i="360" a="1"/>
  <c r="C45" i="360" s="1"/>
  <c r="E44" i="360" a="1"/>
  <c r="E44" i="360" s="1"/>
  <c r="C44" i="360" a="1"/>
  <c r="C44" i="360" s="1"/>
  <c r="E43" i="360" a="1"/>
  <c r="E43" i="360" s="1"/>
  <c r="C43" i="360" a="1"/>
  <c r="C43" i="360" s="1"/>
  <c r="E42" i="360" a="1"/>
  <c r="E42" i="360" s="1"/>
  <c r="C42" i="360" a="1"/>
  <c r="C42" i="360" s="1"/>
  <c r="E41" i="360" a="1"/>
  <c r="E41" i="360" s="1"/>
  <c r="C41" i="360" a="1"/>
  <c r="C41" i="360" s="1"/>
  <c r="E40" i="360" a="1"/>
  <c r="E40" i="360" s="1"/>
  <c r="C40" i="360" a="1"/>
  <c r="C40" i="360" s="1"/>
  <c r="E39" i="360" a="1"/>
  <c r="E39" i="360" s="1"/>
  <c r="C39" i="360" a="1"/>
  <c r="C39" i="360" s="1"/>
  <c r="E38" i="360" a="1"/>
  <c r="E38" i="360" s="1"/>
  <c r="C38" i="360" a="1"/>
  <c r="C38" i="360"/>
  <c r="E37" i="360" a="1"/>
  <c r="E37" i="360" s="1"/>
  <c r="C37" i="360" a="1"/>
  <c r="C37" i="360" s="1"/>
  <c r="E35" i="360" a="1"/>
  <c r="E35" i="360" s="1"/>
  <c r="C35" i="360" a="1"/>
  <c r="C35" i="360" s="1"/>
  <c r="E34" i="360" a="1"/>
  <c r="E34" i="360" s="1"/>
  <c r="C34" i="360" a="1"/>
  <c r="C34" i="360" s="1"/>
  <c r="E33" i="360" a="1"/>
  <c r="E33" i="360" s="1"/>
  <c r="C33" i="360" a="1"/>
  <c r="C33" i="360" s="1"/>
  <c r="E31" i="360" a="1"/>
  <c r="E31" i="360" s="1"/>
  <c r="C31" i="360" a="1"/>
  <c r="C31" i="360" s="1"/>
  <c r="E30" i="360" a="1"/>
  <c r="E30" i="360" s="1"/>
  <c r="C30" i="360" a="1"/>
  <c r="C30" i="360" s="1"/>
  <c r="E28" i="360" a="1"/>
  <c r="E28" i="360" s="1"/>
  <c r="C28" i="360" a="1"/>
  <c r="C28" i="360" s="1"/>
  <c r="E26" i="360" a="1"/>
  <c r="E26" i="360" s="1"/>
  <c r="C26" i="360" a="1"/>
  <c r="C26" i="360"/>
  <c r="E23" i="360" a="1"/>
  <c r="E23" i="360" s="1"/>
  <c r="C23" i="360" a="1"/>
  <c r="C23" i="360" s="1"/>
  <c r="E22" i="360" a="1"/>
  <c r="E22" i="360" s="1"/>
  <c r="C22" i="360" a="1"/>
  <c r="C22" i="360" s="1"/>
  <c r="E20" i="360" a="1"/>
  <c r="E20" i="360" s="1"/>
  <c r="C20" i="360" a="1"/>
  <c r="C20" i="360" s="1"/>
  <c r="E18" i="360" a="1"/>
  <c r="E18" i="360" s="1"/>
  <c r="C18" i="360" a="1"/>
  <c r="C18" i="360"/>
  <c r="E17" i="360" a="1"/>
  <c r="E17" i="360" s="1"/>
  <c r="C17" i="360" a="1"/>
  <c r="C17" i="360" s="1"/>
  <c r="E16" i="360" a="1"/>
  <c r="E16" i="360" s="1"/>
  <c r="C16" i="360" a="1"/>
  <c r="C16" i="360" s="1"/>
  <c r="E14" i="360" a="1"/>
  <c r="E14" i="360" s="1"/>
  <c r="C14" i="360" a="1"/>
  <c r="C14" i="360" s="1"/>
  <c r="E13" i="360" a="1"/>
  <c r="E13" i="360" s="1"/>
  <c r="C13" i="360" a="1"/>
  <c r="C13" i="360"/>
  <c r="E12" i="360" a="1"/>
  <c r="E12" i="360" s="1"/>
  <c r="C12" i="360" a="1"/>
  <c r="C12" i="360" s="1"/>
  <c r="E10" i="360" a="1"/>
  <c r="E10" i="360" s="1"/>
  <c r="C10" i="360" a="1"/>
  <c r="C10" i="360" s="1"/>
  <c r="A4" i="360"/>
  <c r="A3" i="360"/>
  <c r="F160" i="360" s="1" a="1"/>
  <c r="F160" i="360" s="1"/>
  <c r="S96" i="348" a="1"/>
  <c r="S96" i="348" s="1"/>
  <c r="R96" i="348" a="1"/>
  <c r="R96" i="348" s="1"/>
  <c r="Q96" i="348" a="1"/>
  <c r="Q96" i="348" s="1"/>
  <c r="P96" i="348" a="1"/>
  <c r="P96" i="348" s="1"/>
  <c r="O96" i="348" a="1"/>
  <c r="O96" i="348" s="1"/>
  <c r="M96" i="348" a="1"/>
  <c r="M96" i="348" s="1"/>
  <c r="L96" i="348" a="1"/>
  <c r="L96" i="348" s="1"/>
  <c r="K96" i="348" a="1"/>
  <c r="K96" i="348" s="1"/>
  <c r="J96" i="348" a="1"/>
  <c r="J96" i="348" s="1"/>
  <c r="H96" i="348" a="1"/>
  <c r="H96" i="348" s="1"/>
  <c r="G96" i="348" a="1"/>
  <c r="G96" i="348" s="1"/>
  <c r="F96" i="348" a="1"/>
  <c r="F96" i="348" s="1"/>
  <c r="E96" i="348" a="1"/>
  <c r="E96" i="348" s="1"/>
  <c r="C96" i="348"/>
  <c r="S95" i="348" a="1"/>
  <c r="S95" i="348" s="1"/>
  <c r="R95" i="348" a="1"/>
  <c r="R95" i="348" s="1"/>
  <c r="Q95" i="348" a="1"/>
  <c r="Q95" i="348" s="1"/>
  <c r="P95" i="348" a="1"/>
  <c r="P95" i="348" s="1"/>
  <c r="O95" i="348" a="1"/>
  <c r="O95" i="348" s="1"/>
  <c r="M95" i="348" a="1"/>
  <c r="M95" i="348" s="1"/>
  <c r="L95" i="348" a="1"/>
  <c r="L95" i="348" s="1"/>
  <c r="K95" i="348" a="1"/>
  <c r="K95" i="348" s="1"/>
  <c r="J95" i="348" a="1"/>
  <c r="J95" i="348" s="1"/>
  <c r="H95" i="348" a="1"/>
  <c r="H95" i="348" s="1"/>
  <c r="G95" i="348" a="1"/>
  <c r="G95" i="348" s="1"/>
  <c r="F95" i="348" a="1"/>
  <c r="F95" i="348" s="1"/>
  <c r="E95" i="348" a="1"/>
  <c r="E95" i="348" s="1"/>
  <c r="C95" i="348"/>
  <c r="S94" i="348" a="1"/>
  <c r="S94" i="348" s="1"/>
  <c r="R94" i="348" a="1"/>
  <c r="R94" i="348" s="1"/>
  <c r="Q94" i="348" a="1"/>
  <c r="Q94" i="348" s="1"/>
  <c r="P94" i="348" a="1"/>
  <c r="P94" i="348" s="1"/>
  <c r="O94" i="348" a="1"/>
  <c r="O94" i="348" s="1"/>
  <c r="M94" i="348" a="1"/>
  <c r="M94" i="348" s="1"/>
  <c r="L94" i="348" a="1"/>
  <c r="L94" i="348" s="1"/>
  <c r="K94" i="348" a="1"/>
  <c r="K94" i="348" s="1"/>
  <c r="J94" i="348" a="1"/>
  <c r="J94" i="348" s="1"/>
  <c r="H94" i="348" a="1"/>
  <c r="H94" i="348" s="1"/>
  <c r="G94" i="348" a="1"/>
  <c r="G94" i="348" s="1"/>
  <c r="F94" i="348" a="1"/>
  <c r="F94" i="348" s="1"/>
  <c r="E94" i="348" a="1"/>
  <c r="E94" i="348" s="1"/>
  <c r="C94" i="348"/>
  <c r="S93" i="348" a="1"/>
  <c r="S93" i="348" s="1"/>
  <c r="R93" i="348" a="1"/>
  <c r="R93" i="348" s="1"/>
  <c r="Q93" i="348" a="1"/>
  <c r="Q93" i="348" s="1"/>
  <c r="P93" i="348" a="1"/>
  <c r="P93" i="348" s="1"/>
  <c r="O93" i="348" a="1"/>
  <c r="O93" i="348" s="1"/>
  <c r="M93" i="348" a="1"/>
  <c r="M93" i="348" s="1"/>
  <c r="L93" i="348" a="1"/>
  <c r="L93" i="348" s="1"/>
  <c r="K93" i="348" a="1"/>
  <c r="K93" i="348" s="1"/>
  <c r="J93" i="348" a="1"/>
  <c r="J93" i="348" s="1"/>
  <c r="H93" i="348" a="1"/>
  <c r="H93" i="348" s="1"/>
  <c r="G93" i="348" a="1"/>
  <c r="G93" i="348" s="1"/>
  <c r="F93" i="348" a="1"/>
  <c r="F93" i="348" s="1"/>
  <c r="E93" i="348" a="1"/>
  <c r="E93" i="348" s="1"/>
  <c r="C93" i="348"/>
  <c r="S92" i="348" a="1"/>
  <c r="S92" i="348" s="1"/>
  <c r="R92" i="348" a="1"/>
  <c r="R92" i="348" s="1"/>
  <c r="Q92" i="348" a="1"/>
  <c r="Q92" i="348" s="1"/>
  <c r="P92" i="348" a="1"/>
  <c r="P92" i="348" s="1"/>
  <c r="O92" i="348" a="1"/>
  <c r="O92" i="348" s="1"/>
  <c r="M92" i="348" a="1"/>
  <c r="M92" i="348" s="1"/>
  <c r="L92" i="348" a="1"/>
  <c r="L92" i="348" s="1"/>
  <c r="K92" i="348" a="1"/>
  <c r="K92" i="348" s="1"/>
  <c r="J92" i="348" a="1"/>
  <c r="J92" i="348" s="1"/>
  <c r="H92" i="348" a="1"/>
  <c r="H92" i="348" s="1"/>
  <c r="G92" i="348" a="1"/>
  <c r="G92" i="348" s="1"/>
  <c r="F92" i="348" a="1"/>
  <c r="F92" i="348" s="1"/>
  <c r="E92" i="348" a="1"/>
  <c r="E92" i="348" s="1"/>
  <c r="C92" i="348"/>
  <c r="S91" i="348" a="1"/>
  <c r="S91" i="348" s="1"/>
  <c r="R91" i="348" a="1"/>
  <c r="R91" i="348" s="1"/>
  <c r="Q91" i="348" a="1"/>
  <c r="Q91" i="348" s="1"/>
  <c r="P91" i="348" a="1"/>
  <c r="P91" i="348" s="1"/>
  <c r="O91" i="348" a="1"/>
  <c r="O91" i="348" s="1"/>
  <c r="M91" i="348" a="1"/>
  <c r="M91" i="348" s="1"/>
  <c r="L91" i="348" a="1"/>
  <c r="L91" i="348" s="1"/>
  <c r="K91" i="348" a="1"/>
  <c r="K91" i="348" s="1"/>
  <c r="J91" i="348" a="1"/>
  <c r="J91" i="348" s="1"/>
  <c r="H91" i="348" a="1"/>
  <c r="H91" i="348" s="1"/>
  <c r="G91" i="348" a="1"/>
  <c r="G91" i="348" s="1"/>
  <c r="F91" i="348" a="1"/>
  <c r="F91" i="348" s="1"/>
  <c r="E91" i="348" a="1"/>
  <c r="E91" i="348" s="1"/>
  <c r="C91" i="348"/>
  <c r="S90" i="348" a="1"/>
  <c r="S90" i="348" s="1"/>
  <c r="R90" i="348" a="1"/>
  <c r="R90" i="348" s="1"/>
  <c r="Q90" i="348" a="1"/>
  <c r="Q90" i="348" s="1"/>
  <c r="P90" i="348" a="1"/>
  <c r="P90" i="348" s="1"/>
  <c r="O90" i="348" a="1"/>
  <c r="O90" i="348" s="1"/>
  <c r="M90" i="348" a="1"/>
  <c r="M90" i="348" s="1"/>
  <c r="L90" i="348" a="1"/>
  <c r="L90" i="348" s="1"/>
  <c r="K90" i="348" a="1"/>
  <c r="K90" i="348" s="1"/>
  <c r="J90" i="348" a="1"/>
  <c r="J90" i="348" s="1"/>
  <c r="H90" i="348" a="1"/>
  <c r="H90" i="348" s="1"/>
  <c r="G90" i="348" a="1"/>
  <c r="G90" i="348" s="1"/>
  <c r="F90" i="348" a="1"/>
  <c r="F90" i="348" s="1"/>
  <c r="E90" i="348" a="1"/>
  <c r="E90" i="348" s="1"/>
  <c r="C90" i="348"/>
  <c r="S89" i="348" a="1"/>
  <c r="S89" i="348" s="1"/>
  <c r="R89" i="348" a="1"/>
  <c r="R89" i="348" s="1"/>
  <c r="Q89" i="348" a="1"/>
  <c r="Q89" i="348" s="1"/>
  <c r="P89" i="348" a="1"/>
  <c r="P89" i="348" s="1"/>
  <c r="O89" i="348" a="1"/>
  <c r="O89" i="348" s="1"/>
  <c r="M89" i="348" a="1"/>
  <c r="M89" i="348" s="1"/>
  <c r="L89" i="348" a="1"/>
  <c r="L89" i="348" s="1"/>
  <c r="K89" i="348" a="1"/>
  <c r="K89" i="348" s="1"/>
  <c r="J89" i="348" a="1"/>
  <c r="J89" i="348" s="1"/>
  <c r="H89" i="348" a="1"/>
  <c r="H89" i="348" s="1"/>
  <c r="G89" i="348" a="1"/>
  <c r="G89" i="348" s="1"/>
  <c r="F89" i="348" a="1"/>
  <c r="F89" i="348" s="1"/>
  <c r="E89" i="348" a="1"/>
  <c r="E89" i="348" s="1"/>
  <c r="C89" i="348"/>
  <c r="S88" i="348" a="1"/>
  <c r="S88" i="348" s="1"/>
  <c r="R88" i="348" a="1"/>
  <c r="R88" i="348" s="1"/>
  <c r="Q88" i="348" a="1"/>
  <c r="Q88" i="348" s="1"/>
  <c r="P88" i="348" a="1"/>
  <c r="P88" i="348" s="1"/>
  <c r="O88" i="348" a="1"/>
  <c r="O88" i="348" s="1"/>
  <c r="M88" i="348" a="1"/>
  <c r="M88" i="348" s="1"/>
  <c r="L88" i="348" a="1"/>
  <c r="L88" i="348" s="1"/>
  <c r="K88" i="348" a="1"/>
  <c r="K88" i="348" s="1"/>
  <c r="J88" i="348" a="1"/>
  <c r="J88" i="348" s="1"/>
  <c r="H88" i="348" a="1"/>
  <c r="H88" i="348" s="1"/>
  <c r="G88" i="348" a="1"/>
  <c r="G88" i="348" s="1"/>
  <c r="F88" i="348" a="1"/>
  <c r="F88" i="348" s="1"/>
  <c r="E88" i="348" a="1"/>
  <c r="E88" i="348" s="1"/>
  <c r="C88" i="348"/>
  <c r="S87" i="348" a="1"/>
  <c r="S87" i="348" s="1"/>
  <c r="R87" i="348" a="1"/>
  <c r="R87" i="348" s="1"/>
  <c r="Q87" i="348" a="1"/>
  <c r="Q87" i="348" s="1"/>
  <c r="P87" i="348" a="1"/>
  <c r="P87" i="348" s="1"/>
  <c r="O87" i="348" a="1"/>
  <c r="O87" i="348" s="1"/>
  <c r="M87" i="348" a="1"/>
  <c r="M87" i="348" s="1"/>
  <c r="L87" i="348" a="1"/>
  <c r="L87" i="348" s="1"/>
  <c r="K87" i="348" a="1"/>
  <c r="K87" i="348" s="1"/>
  <c r="J87" i="348" a="1"/>
  <c r="J87" i="348" s="1"/>
  <c r="H87" i="348" a="1"/>
  <c r="H87" i="348" s="1"/>
  <c r="G87" i="348" a="1"/>
  <c r="G87" i="348" s="1"/>
  <c r="F87" i="348" a="1"/>
  <c r="F87" i="348" s="1"/>
  <c r="E87" i="348" a="1"/>
  <c r="E87" i="348" s="1"/>
  <c r="C87" i="348"/>
  <c r="S86" i="348" a="1"/>
  <c r="S86" i="348" s="1"/>
  <c r="R86" i="348" a="1"/>
  <c r="R86" i="348" s="1"/>
  <c r="Q86" i="348" a="1"/>
  <c r="Q86" i="348" s="1"/>
  <c r="P86" i="348" a="1"/>
  <c r="P86" i="348" s="1"/>
  <c r="O86" i="348" a="1"/>
  <c r="O86" i="348" s="1"/>
  <c r="M86" i="348" a="1"/>
  <c r="M86" i="348" s="1"/>
  <c r="L86" i="348" a="1"/>
  <c r="L86" i="348" s="1"/>
  <c r="K86" i="348" a="1"/>
  <c r="K86" i="348" s="1"/>
  <c r="J86" i="348" a="1"/>
  <c r="J86" i="348" s="1"/>
  <c r="H86" i="348" a="1"/>
  <c r="H86" i="348" s="1"/>
  <c r="G86" i="348" a="1"/>
  <c r="G86" i="348" s="1"/>
  <c r="F86" i="348" a="1"/>
  <c r="F86" i="348" s="1"/>
  <c r="E86" i="348" a="1"/>
  <c r="E86" i="348" s="1"/>
  <c r="C86" i="348"/>
  <c r="S85" i="348" a="1"/>
  <c r="S85" i="348" s="1"/>
  <c r="R85" i="348" a="1"/>
  <c r="R85" i="348" s="1"/>
  <c r="Q85" i="348" a="1"/>
  <c r="Q85" i="348" s="1"/>
  <c r="P85" i="348" a="1"/>
  <c r="P85" i="348" s="1"/>
  <c r="O85" i="348" a="1"/>
  <c r="O85" i="348" s="1"/>
  <c r="M85" i="348" a="1"/>
  <c r="M85" i="348" s="1"/>
  <c r="L85" i="348" a="1"/>
  <c r="L85" i="348" s="1"/>
  <c r="K85" i="348" a="1"/>
  <c r="K85" i="348" s="1"/>
  <c r="J85" i="348" a="1"/>
  <c r="J85" i="348" s="1"/>
  <c r="H85" i="348" a="1"/>
  <c r="H85" i="348" s="1"/>
  <c r="G85" i="348" a="1"/>
  <c r="G85" i="348" s="1"/>
  <c r="F85" i="348" a="1"/>
  <c r="F85" i="348" s="1"/>
  <c r="E85" i="348" a="1"/>
  <c r="E85" i="348" s="1"/>
  <c r="C85" i="348"/>
  <c r="S84" i="348" a="1"/>
  <c r="S84" i="348" s="1"/>
  <c r="R84" i="348" a="1"/>
  <c r="R84" i="348" s="1"/>
  <c r="Q84" i="348" a="1"/>
  <c r="Q84" i="348" s="1"/>
  <c r="P84" i="348" a="1"/>
  <c r="P84" i="348" s="1"/>
  <c r="O84" i="348" a="1"/>
  <c r="O84" i="348" s="1"/>
  <c r="M84" i="348" a="1"/>
  <c r="M84" i="348" s="1"/>
  <c r="L84" i="348" a="1"/>
  <c r="L84" i="348" s="1"/>
  <c r="K84" i="348" a="1"/>
  <c r="K84" i="348" s="1"/>
  <c r="J84" i="348" a="1"/>
  <c r="J84" i="348" s="1"/>
  <c r="H84" i="348" a="1"/>
  <c r="H84" i="348" s="1"/>
  <c r="G84" i="348" a="1"/>
  <c r="G84" i="348" s="1"/>
  <c r="F84" i="348" a="1"/>
  <c r="F84" i="348" s="1"/>
  <c r="E84" i="348" a="1"/>
  <c r="E84" i="348" s="1"/>
  <c r="C84" i="348"/>
  <c r="S83" i="348" a="1"/>
  <c r="S83" i="348" s="1"/>
  <c r="R83" i="348" a="1"/>
  <c r="R83" i="348" s="1"/>
  <c r="Q83" i="348" a="1"/>
  <c r="Q83" i="348" s="1"/>
  <c r="P83" i="348" a="1"/>
  <c r="P83" i="348" s="1"/>
  <c r="O83" i="348" a="1"/>
  <c r="O83" i="348" s="1"/>
  <c r="M83" i="348" a="1"/>
  <c r="M83" i="348" s="1"/>
  <c r="L83" i="348" a="1"/>
  <c r="L83" i="348" s="1"/>
  <c r="K83" i="348" a="1"/>
  <c r="K83" i="348" s="1"/>
  <c r="J83" i="348" a="1"/>
  <c r="J83" i="348" s="1"/>
  <c r="H83" i="348" a="1"/>
  <c r="H83" i="348" s="1"/>
  <c r="G83" i="348" a="1"/>
  <c r="G83" i="348" s="1"/>
  <c r="F83" i="348" a="1"/>
  <c r="F83" i="348" s="1"/>
  <c r="E83" i="348" a="1"/>
  <c r="E83" i="348" s="1"/>
  <c r="C83" i="348"/>
  <c r="S82" i="348" a="1"/>
  <c r="S82" i="348" s="1"/>
  <c r="R82" i="348" a="1"/>
  <c r="R82" i="348" s="1"/>
  <c r="Q82" i="348" a="1"/>
  <c r="Q82" i="348" s="1"/>
  <c r="P82" i="348" a="1"/>
  <c r="P82" i="348" s="1"/>
  <c r="O82" i="348" a="1"/>
  <c r="O82" i="348" s="1"/>
  <c r="M82" i="348" a="1"/>
  <c r="M82" i="348" s="1"/>
  <c r="L82" i="348" a="1"/>
  <c r="L82" i="348" s="1"/>
  <c r="K82" i="348" a="1"/>
  <c r="K82" i="348" s="1"/>
  <c r="J82" i="348" a="1"/>
  <c r="J82" i="348" s="1"/>
  <c r="H82" i="348" a="1"/>
  <c r="H82" i="348" s="1"/>
  <c r="G82" i="348" a="1"/>
  <c r="G82" i="348" s="1"/>
  <c r="F82" i="348" a="1"/>
  <c r="F82" i="348" s="1"/>
  <c r="E82" i="348" a="1"/>
  <c r="E82" i="348" s="1"/>
  <c r="C82" i="348"/>
  <c r="S81" i="348" a="1"/>
  <c r="S81" i="348" s="1"/>
  <c r="R81" i="348" a="1"/>
  <c r="R81" i="348" s="1"/>
  <c r="Q81" i="348" a="1"/>
  <c r="Q81" i="348" s="1"/>
  <c r="P81" i="348" a="1"/>
  <c r="P81" i="348" s="1"/>
  <c r="O81" i="348" a="1"/>
  <c r="O81" i="348" s="1"/>
  <c r="M81" i="348" a="1"/>
  <c r="M81" i="348" s="1"/>
  <c r="L81" i="348" a="1"/>
  <c r="L81" i="348" s="1"/>
  <c r="K81" i="348" a="1"/>
  <c r="K81" i="348" s="1"/>
  <c r="J81" i="348" a="1"/>
  <c r="J81" i="348" s="1"/>
  <c r="H81" i="348" a="1"/>
  <c r="H81" i="348" s="1"/>
  <c r="G81" i="348" a="1"/>
  <c r="G81" i="348" s="1"/>
  <c r="F81" i="348" a="1"/>
  <c r="F81" i="348" s="1"/>
  <c r="E81" i="348" a="1"/>
  <c r="E81" i="348" s="1"/>
  <c r="C81" i="348"/>
  <c r="S80" i="348" a="1"/>
  <c r="S80" i="348" s="1"/>
  <c r="R80" i="348" a="1"/>
  <c r="R80" i="348" s="1"/>
  <c r="Q80" i="348" a="1"/>
  <c r="Q80" i="348" s="1"/>
  <c r="P80" i="348" a="1"/>
  <c r="P80" i="348" s="1"/>
  <c r="O80" i="348" a="1"/>
  <c r="O80" i="348" s="1"/>
  <c r="M80" i="348" a="1"/>
  <c r="M80" i="348" s="1"/>
  <c r="L80" i="348" a="1"/>
  <c r="L80" i="348" s="1"/>
  <c r="K80" i="348" a="1"/>
  <c r="K80" i="348" s="1"/>
  <c r="J80" i="348" a="1"/>
  <c r="J80" i="348" s="1"/>
  <c r="H80" i="348" a="1"/>
  <c r="H80" i="348" s="1"/>
  <c r="G80" i="348" a="1"/>
  <c r="G80" i="348" s="1"/>
  <c r="F80" i="348" a="1"/>
  <c r="F80" i="348" s="1"/>
  <c r="E80" i="348" a="1"/>
  <c r="E80" i="348" s="1"/>
  <c r="C80" i="348"/>
  <c r="S79" i="348" a="1"/>
  <c r="S79" i="348" s="1"/>
  <c r="R79" i="348" a="1"/>
  <c r="R79" i="348" s="1"/>
  <c r="Q79" i="348" a="1"/>
  <c r="Q79" i="348" s="1"/>
  <c r="P79" i="348" a="1"/>
  <c r="P79" i="348" s="1"/>
  <c r="O79" i="348" a="1"/>
  <c r="O79" i="348" s="1"/>
  <c r="M79" i="348" a="1"/>
  <c r="M79" i="348" s="1"/>
  <c r="L79" i="348" a="1"/>
  <c r="L79" i="348" s="1"/>
  <c r="K79" i="348" a="1"/>
  <c r="K79" i="348" s="1"/>
  <c r="J79" i="348" a="1"/>
  <c r="J79" i="348" s="1"/>
  <c r="H79" i="348" a="1"/>
  <c r="H79" i="348" s="1"/>
  <c r="G79" i="348" a="1"/>
  <c r="G79" i="348" s="1"/>
  <c r="F79" i="348" a="1"/>
  <c r="F79" i="348" s="1"/>
  <c r="E79" i="348" a="1"/>
  <c r="E79" i="348" s="1"/>
  <c r="C79" i="348"/>
  <c r="S78" i="348" a="1"/>
  <c r="S78" i="348" s="1"/>
  <c r="R78" i="348" a="1"/>
  <c r="R78" i="348" s="1"/>
  <c r="Q78" i="348" a="1"/>
  <c r="Q78" i="348" s="1"/>
  <c r="P78" i="348" a="1"/>
  <c r="P78" i="348" s="1"/>
  <c r="O78" i="348" a="1"/>
  <c r="O78" i="348" s="1"/>
  <c r="M78" i="348" a="1"/>
  <c r="M78" i="348" s="1"/>
  <c r="L78" i="348" a="1"/>
  <c r="L78" i="348" s="1"/>
  <c r="K78" i="348" a="1"/>
  <c r="K78" i="348" s="1"/>
  <c r="J78" i="348" a="1"/>
  <c r="J78" i="348" s="1"/>
  <c r="H78" i="348" a="1"/>
  <c r="H78" i="348" s="1"/>
  <c r="G78" i="348" a="1"/>
  <c r="G78" i="348" s="1"/>
  <c r="F78" i="348" a="1"/>
  <c r="F78" i="348" s="1"/>
  <c r="E78" i="348" a="1"/>
  <c r="E78" i="348" s="1"/>
  <c r="C78" i="348"/>
  <c r="S77" i="348" a="1"/>
  <c r="S77" i="348" s="1"/>
  <c r="R77" i="348" a="1"/>
  <c r="R77" i="348" s="1"/>
  <c r="Q77" i="348" a="1"/>
  <c r="Q77" i="348" s="1"/>
  <c r="P77" i="348" a="1"/>
  <c r="P77" i="348" s="1"/>
  <c r="O77" i="348" a="1"/>
  <c r="O77" i="348" s="1"/>
  <c r="M77" i="348" a="1"/>
  <c r="M77" i="348" s="1"/>
  <c r="L77" i="348" a="1"/>
  <c r="L77" i="348" s="1"/>
  <c r="K77" i="348" a="1"/>
  <c r="K77" i="348" s="1"/>
  <c r="J77" i="348" a="1"/>
  <c r="J77" i="348" s="1"/>
  <c r="H77" i="348" a="1"/>
  <c r="H77" i="348" s="1"/>
  <c r="G77" i="348" a="1"/>
  <c r="G77" i="348" s="1"/>
  <c r="F77" i="348" a="1"/>
  <c r="F77" i="348" s="1"/>
  <c r="E77" i="348" a="1"/>
  <c r="E77" i="348" s="1"/>
  <c r="C77" i="348"/>
  <c r="S76" i="348" a="1"/>
  <c r="S76" i="348" s="1"/>
  <c r="R76" i="348" a="1"/>
  <c r="R76" i="348" s="1"/>
  <c r="Q76" i="348" a="1"/>
  <c r="Q76" i="348" s="1"/>
  <c r="P76" i="348" a="1"/>
  <c r="P76" i="348" s="1"/>
  <c r="O76" i="348" a="1"/>
  <c r="O76" i="348" s="1"/>
  <c r="M76" i="348" a="1"/>
  <c r="M76" i="348" s="1"/>
  <c r="L76" i="348" a="1"/>
  <c r="L76" i="348" s="1"/>
  <c r="K76" i="348" a="1"/>
  <c r="K76" i="348" s="1"/>
  <c r="J76" i="348" a="1"/>
  <c r="J76" i="348" s="1"/>
  <c r="H76" i="348" a="1"/>
  <c r="H76" i="348" s="1"/>
  <c r="G76" i="348" a="1"/>
  <c r="G76" i="348" s="1"/>
  <c r="F76" i="348" a="1"/>
  <c r="F76" i="348" s="1"/>
  <c r="E76" i="348" a="1"/>
  <c r="E76" i="348" s="1"/>
  <c r="C76" i="348"/>
  <c r="S75" i="348" a="1"/>
  <c r="S75" i="348" s="1"/>
  <c r="R75" i="348" a="1"/>
  <c r="R75" i="348" s="1"/>
  <c r="Q75" i="348" a="1"/>
  <c r="Q75" i="348" s="1"/>
  <c r="P75" i="348" a="1"/>
  <c r="P75" i="348" s="1"/>
  <c r="O75" i="348" a="1"/>
  <c r="O75" i="348" s="1"/>
  <c r="M75" i="348" a="1"/>
  <c r="M75" i="348" s="1"/>
  <c r="L75" i="348" a="1"/>
  <c r="L75" i="348" s="1"/>
  <c r="K75" i="348" a="1"/>
  <c r="K75" i="348" s="1"/>
  <c r="J75" i="348" a="1"/>
  <c r="J75" i="348" s="1"/>
  <c r="H75" i="348" a="1"/>
  <c r="H75" i="348" s="1"/>
  <c r="G75" i="348" a="1"/>
  <c r="G75" i="348" s="1"/>
  <c r="F75" i="348" a="1"/>
  <c r="F75" i="348" s="1"/>
  <c r="E75" i="348" a="1"/>
  <c r="E75" i="348" s="1"/>
  <c r="C75" i="348"/>
  <c r="S74" i="348" a="1"/>
  <c r="S74" i="348" s="1"/>
  <c r="R74" i="348" a="1"/>
  <c r="R74" i="348" s="1"/>
  <c r="Q74" i="348" a="1"/>
  <c r="Q74" i="348" s="1"/>
  <c r="P74" i="348" a="1"/>
  <c r="P74" i="348" s="1"/>
  <c r="O74" i="348" a="1"/>
  <c r="O74" i="348" s="1"/>
  <c r="M74" i="348" a="1"/>
  <c r="M74" i="348" s="1"/>
  <c r="L74" i="348" a="1"/>
  <c r="L74" i="348" s="1"/>
  <c r="K74" i="348" a="1"/>
  <c r="K74" i="348" s="1"/>
  <c r="J74" i="348" a="1"/>
  <c r="J74" i="348" s="1"/>
  <c r="H74" i="348" a="1"/>
  <c r="H74" i="348" s="1"/>
  <c r="G74" i="348" a="1"/>
  <c r="G74" i="348" s="1"/>
  <c r="F74" i="348" a="1"/>
  <c r="F74" i="348" s="1"/>
  <c r="E74" i="348" a="1"/>
  <c r="E74" i="348" s="1"/>
  <c r="C74" i="348"/>
  <c r="S73" i="348" a="1"/>
  <c r="S73" i="348" s="1"/>
  <c r="R73" i="348" a="1"/>
  <c r="R73" i="348" s="1"/>
  <c r="Q73" i="348" a="1"/>
  <c r="Q73" i="348" s="1"/>
  <c r="P73" i="348" a="1"/>
  <c r="P73" i="348" s="1"/>
  <c r="O73" i="348" a="1"/>
  <c r="O73" i="348" s="1"/>
  <c r="M73" i="348" a="1"/>
  <c r="M73" i="348" s="1"/>
  <c r="L73" i="348" a="1"/>
  <c r="L73" i="348" s="1"/>
  <c r="K73" i="348" a="1"/>
  <c r="K73" i="348" s="1"/>
  <c r="J73" i="348" a="1"/>
  <c r="J73" i="348" s="1"/>
  <c r="H73" i="348" a="1"/>
  <c r="H73" i="348" s="1"/>
  <c r="G73" i="348" a="1"/>
  <c r="G73" i="348" s="1"/>
  <c r="F73" i="348" a="1"/>
  <c r="F73" i="348" s="1"/>
  <c r="E73" i="348" a="1"/>
  <c r="E73" i="348" s="1"/>
  <c r="C73" i="348"/>
  <c r="S72" i="348" a="1"/>
  <c r="S72" i="348" s="1"/>
  <c r="R72" i="348" a="1"/>
  <c r="R72" i="348" s="1"/>
  <c r="Q72" i="348" a="1"/>
  <c r="Q72" i="348" s="1"/>
  <c r="P72" i="348" a="1"/>
  <c r="P72" i="348" s="1"/>
  <c r="O72" i="348" a="1"/>
  <c r="O72" i="348" s="1"/>
  <c r="M72" i="348" a="1"/>
  <c r="M72" i="348" s="1"/>
  <c r="L72" i="348" a="1"/>
  <c r="L72" i="348" s="1"/>
  <c r="K72" i="348" a="1"/>
  <c r="K72" i="348" s="1"/>
  <c r="J72" i="348" a="1"/>
  <c r="J72" i="348" s="1"/>
  <c r="H72" i="348" a="1"/>
  <c r="H72" i="348" s="1"/>
  <c r="G72" i="348" a="1"/>
  <c r="G72" i="348" s="1"/>
  <c r="F72" i="348" a="1"/>
  <c r="F72" i="348" s="1"/>
  <c r="E72" i="348" a="1"/>
  <c r="E72" i="348" s="1"/>
  <c r="C72" i="348"/>
  <c r="S71" i="348" a="1"/>
  <c r="S71" i="348" s="1"/>
  <c r="R71" i="348" a="1"/>
  <c r="R71" i="348" s="1"/>
  <c r="Q71" i="348" a="1"/>
  <c r="Q71" i="348" s="1"/>
  <c r="P71" i="348" a="1"/>
  <c r="P71" i="348" s="1"/>
  <c r="O71" i="348" a="1"/>
  <c r="O71" i="348" s="1"/>
  <c r="M71" i="348" a="1"/>
  <c r="M71" i="348" s="1"/>
  <c r="L71" i="348" a="1"/>
  <c r="L71" i="348" s="1"/>
  <c r="K71" i="348" a="1"/>
  <c r="K71" i="348" s="1"/>
  <c r="J71" i="348" a="1"/>
  <c r="J71" i="348" s="1"/>
  <c r="H71" i="348" a="1"/>
  <c r="H71" i="348" s="1"/>
  <c r="G71" i="348" a="1"/>
  <c r="G71" i="348" s="1"/>
  <c r="F71" i="348" a="1"/>
  <c r="F71" i="348" s="1"/>
  <c r="E71" i="348" a="1"/>
  <c r="E71" i="348" s="1"/>
  <c r="C71" i="348"/>
  <c r="S70" i="348" a="1"/>
  <c r="S70" i="348" s="1"/>
  <c r="R70" i="348" a="1"/>
  <c r="R70" i="348" s="1"/>
  <c r="Q70" i="348" a="1"/>
  <c r="Q70" i="348" s="1"/>
  <c r="P70" i="348" a="1"/>
  <c r="P70" i="348" s="1"/>
  <c r="O70" i="348" a="1"/>
  <c r="O70" i="348" s="1"/>
  <c r="M70" i="348" a="1"/>
  <c r="M70" i="348" s="1"/>
  <c r="L70" i="348" a="1"/>
  <c r="L70" i="348" s="1"/>
  <c r="K70" i="348" a="1"/>
  <c r="K70" i="348" s="1"/>
  <c r="J70" i="348" a="1"/>
  <c r="J70" i="348" s="1"/>
  <c r="H70" i="348" a="1"/>
  <c r="H70" i="348" s="1"/>
  <c r="G70" i="348" a="1"/>
  <c r="G70" i="348" s="1"/>
  <c r="F70" i="348" a="1"/>
  <c r="F70" i="348" s="1"/>
  <c r="E70" i="348" a="1"/>
  <c r="E70" i="348" s="1"/>
  <c r="C70" i="348"/>
  <c r="S69" i="348" a="1"/>
  <c r="S69" i="348" s="1"/>
  <c r="R69" i="348" a="1"/>
  <c r="R69" i="348" s="1"/>
  <c r="Q69" i="348" a="1"/>
  <c r="Q69" i="348" s="1"/>
  <c r="P69" i="348" a="1"/>
  <c r="P69" i="348" s="1"/>
  <c r="O69" i="348" a="1"/>
  <c r="O69" i="348" s="1"/>
  <c r="M69" i="348" a="1"/>
  <c r="M69" i="348" s="1"/>
  <c r="L69" i="348" a="1"/>
  <c r="L69" i="348" s="1"/>
  <c r="K69" i="348" a="1"/>
  <c r="K69" i="348" s="1"/>
  <c r="J69" i="348" a="1"/>
  <c r="J69" i="348" s="1"/>
  <c r="H69" i="348" a="1"/>
  <c r="H69" i="348" s="1"/>
  <c r="G69" i="348" a="1"/>
  <c r="G69" i="348" s="1"/>
  <c r="F69" i="348" a="1"/>
  <c r="F69" i="348" s="1"/>
  <c r="E69" i="348" a="1"/>
  <c r="E69" i="348" s="1"/>
  <c r="C69" i="348"/>
  <c r="S68" i="348" a="1"/>
  <c r="S68" i="348" s="1"/>
  <c r="R68" i="348" a="1"/>
  <c r="R68" i="348" s="1"/>
  <c r="Q68" i="348" a="1"/>
  <c r="Q68" i="348" s="1"/>
  <c r="P68" i="348" a="1"/>
  <c r="P68" i="348" s="1"/>
  <c r="O68" i="348" a="1"/>
  <c r="O68" i="348" s="1"/>
  <c r="M68" i="348" a="1"/>
  <c r="M68" i="348" s="1"/>
  <c r="L68" i="348" a="1"/>
  <c r="L68" i="348" s="1"/>
  <c r="K68" i="348" a="1"/>
  <c r="K68" i="348" s="1"/>
  <c r="J68" i="348" a="1"/>
  <c r="J68" i="348" s="1"/>
  <c r="H68" i="348" a="1"/>
  <c r="H68" i="348" s="1"/>
  <c r="G68" i="348" a="1"/>
  <c r="G68" i="348" s="1"/>
  <c r="F68" i="348" a="1"/>
  <c r="F68" i="348" s="1"/>
  <c r="E68" i="348" a="1"/>
  <c r="E68" i="348" s="1"/>
  <c r="C68" i="348"/>
  <c r="S67" i="348" a="1"/>
  <c r="S67" i="348" s="1"/>
  <c r="R67" i="348" a="1"/>
  <c r="R67" i="348" s="1"/>
  <c r="Q67" i="348" a="1"/>
  <c r="Q67" i="348" s="1"/>
  <c r="P67" i="348" a="1"/>
  <c r="P67" i="348" s="1"/>
  <c r="O67" i="348" a="1"/>
  <c r="O67" i="348" s="1"/>
  <c r="M67" i="348" a="1"/>
  <c r="M67" i="348" s="1"/>
  <c r="L67" i="348" a="1"/>
  <c r="L67" i="348" s="1"/>
  <c r="K67" i="348" a="1"/>
  <c r="K67" i="348" s="1"/>
  <c r="J67" i="348" a="1"/>
  <c r="J67" i="348" s="1"/>
  <c r="H67" i="348" a="1"/>
  <c r="H67" i="348" s="1"/>
  <c r="G67" i="348" a="1"/>
  <c r="G67" i="348" s="1"/>
  <c r="F67" i="348" a="1"/>
  <c r="F67" i="348" s="1"/>
  <c r="E67" i="348" a="1"/>
  <c r="E67" i="348" s="1"/>
  <c r="C67" i="348"/>
  <c r="S66" i="348" a="1"/>
  <c r="S66" i="348" s="1"/>
  <c r="R66" i="348" a="1"/>
  <c r="R66" i="348" s="1"/>
  <c r="Q66" i="348" a="1"/>
  <c r="Q66" i="348" s="1"/>
  <c r="P66" i="348" a="1"/>
  <c r="P66" i="348" s="1"/>
  <c r="O66" i="348" a="1"/>
  <c r="O66" i="348" s="1"/>
  <c r="M66" i="348" a="1"/>
  <c r="M66" i="348" s="1"/>
  <c r="L66" i="348" a="1"/>
  <c r="L66" i="348" s="1"/>
  <c r="K66" i="348" a="1"/>
  <c r="K66" i="348" s="1"/>
  <c r="J66" i="348" a="1"/>
  <c r="J66" i="348" s="1"/>
  <c r="H66" i="348" a="1"/>
  <c r="H66" i="348" s="1"/>
  <c r="G66" i="348" a="1"/>
  <c r="G66" i="348" s="1"/>
  <c r="F66" i="348" a="1"/>
  <c r="F66" i="348" s="1"/>
  <c r="E66" i="348" a="1"/>
  <c r="E66" i="348" s="1"/>
  <c r="C66" i="348"/>
  <c r="S65" i="348" a="1"/>
  <c r="S65" i="348" s="1"/>
  <c r="R65" i="348" a="1"/>
  <c r="R65" i="348" s="1"/>
  <c r="Q65" i="348" a="1"/>
  <c r="Q65" i="348" s="1"/>
  <c r="P65" i="348" a="1"/>
  <c r="P65" i="348" s="1"/>
  <c r="O65" i="348" a="1"/>
  <c r="O65" i="348" s="1"/>
  <c r="M65" i="348" a="1"/>
  <c r="M65" i="348" s="1"/>
  <c r="L65" i="348" a="1"/>
  <c r="L65" i="348" s="1"/>
  <c r="K65" i="348" a="1"/>
  <c r="K65" i="348" s="1"/>
  <c r="J65" i="348" a="1"/>
  <c r="J65" i="348" s="1"/>
  <c r="H65" i="348" a="1"/>
  <c r="H65" i="348" s="1"/>
  <c r="G65" i="348" a="1"/>
  <c r="G65" i="348" s="1"/>
  <c r="F65" i="348" a="1"/>
  <c r="F65" i="348" s="1"/>
  <c r="E65" i="348" a="1"/>
  <c r="E65" i="348" s="1"/>
  <c r="C65" i="348"/>
  <c r="S64" i="348" a="1"/>
  <c r="S64" i="348" s="1"/>
  <c r="R64" i="348" a="1"/>
  <c r="R64" i="348" s="1"/>
  <c r="Q64" i="348" a="1"/>
  <c r="Q64" i="348" s="1"/>
  <c r="P64" i="348" a="1"/>
  <c r="P64" i="348" s="1"/>
  <c r="O64" i="348" a="1"/>
  <c r="O64" i="348" s="1"/>
  <c r="M64" i="348" a="1"/>
  <c r="M64" i="348" s="1"/>
  <c r="L64" i="348" a="1"/>
  <c r="L64" i="348" s="1"/>
  <c r="K64" i="348" a="1"/>
  <c r="K64" i="348" s="1"/>
  <c r="J64" i="348" a="1"/>
  <c r="J64" i="348" s="1"/>
  <c r="H64" i="348" a="1"/>
  <c r="H64" i="348" s="1"/>
  <c r="G64" i="348" a="1"/>
  <c r="G64" i="348" s="1"/>
  <c r="F64" i="348" a="1"/>
  <c r="F64" i="348" s="1"/>
  <c r="E64" i="348" a="1"/>
  <c r="E64" i="348" s="1"/>
  <c r="C64" i="348"/>
  <c r="S63" i="348" a="1"/>
  <c r="S63" i="348" s="1"/>
  <c r="R63" i="348" a="1"/>
  <c r="R63" i="348" s="1"/>
  <c r="Q63" i="348" a="1"/>
  <c r="Q63" i="348" s="1"/>
  <c r="P63" i="348" a="1"/>
  <c r="P63" i="348" s="1"/>
  <c r="O63" i="348" a="1"/>
  <c r="O63" i="348" s="1"/>
  <c r="M63" i="348" a="1"/>
  <c r="M63" i="348" s="1"/>
  <c r="L63" i="348" a="1"/>
  <c r="L63" i="348" s="1"/>
  <c r="K63" i="348" a="1"/>
  <c r="K63" i="348" s="1"/>
  <c r="J63" i="348" a="1"/>
  <c r="J63" i="348" s="1"/>
  <c r="H63" i="348" a="1"/>
  <c r="H63" i="348" s="1"/>
  <c r="G63" i="348" a="1"/>
  <c r="G63" i="348" s="1"/>
  <c r="F63" i="348" a="1"/>
  <c r="F63" i="348" s="1"/>
  <c r="E63" i="348" a="1"/>
  <c r="E63" i="348" s="1"/>
  <c r="C63" i="348"/>
  <c r="S62" i="348" a="1"/>
  <c r="S62" i="348" s="1"/>
  <c r="R62" i="348" a="1"/>
  <c r="R62" i="348" s="1"/>
  <c r="Q62" i="348" a="1"/>
  <c r="Q62" i="348" s="1"/>
  <c r="P62" i="348" a="1"/>
  <c r="P62" i="348" s="1"/>
  <c r="O62" i="348" a="1"/>
  <c r="O62" i="348" s="1"/>
  <c r="M62" i="348" a="1"/>
  <c r="M62" i="348" s="1"/>
  <c r="L62" i="348" a="1"/>
  <c r="L62" i="348" s="1"/>
  <c r="K62" i="348" a="1"/>
  <c r="K62" i="348" s="1"/>
  <c r="J62" i="348" a="1"/>
  <c r="J62" i="348" s="1"/>
  <c r="H62" i="348" a="1"/>
  <c r="H62" i="348" s="1"/>
  <c r="G62" i="348" a="1"/>
  <c r="G62" i="348" s="1"/>
  <c r="F62" i="348" a="1"/>
  <c r="F62" i="348" s="1"/>
  <c r="E62" i="348" a="1"/>
  <c r="E62" i="348" s="1"/>
  <c r="C62" i="348"/>
  <c r="S61" i="348" a="1"/>
  <c r="S61" i="348" s="1"/>
  <c r="R61" i="348" a="1"/>
  <c r="R61" i="348" s="1"/>
  <c r="Q61" i="348" a="1"/>
  <c r="Q61" i="348" s="1"/>
  <c r="P61" i="348" a="1"/>
  <c r="P61" i="348" s="1"/>
  <c r="O61" i="348" a="1"/>
  <c r="O61" i="348" s="1"/>
  <c r="M61" i="348" a="1"/>
  <c r="M61" i="348" s="1"/>
  <c r="L61" i="348" a="1"/>
  <c r="L61" i="348" s="1"/>
  <c r="K61" i="348" a="1"/>
  <c r="K61" i="348" s="1"/>
  <c r="J61" i="348" a="1"/>
  <c r="J61" i="348" s="1"/>
  <c r="H61" i="348" a="1"/>
  <c r="H61" i="348" s="1"/>
  <c r="G61" i="348" a="1"/>
  <c r="G61" i="348" s="1"/>
  <c r="F61" i="348" a="1"/>
  <c r="F61" i="348" s="1"/>
  <c r="E61" i="348" a="1"/>
  <c r="E61" i="348" s="1"/>
  <c r="C61" i="348"/>
  <c r="S60" i="348" a="1"/>
  <c r="S60" i="348" s="1"/>
  <c r="R60" i="348" a="1"/>
  <c r="R60" i="348" s="1"/>
  <c r="Q60" i="348" a="1"/>
  <c r="Q60" i="348" s="1"/>
  <c r="P60" i="348" a="1"/>
  <c r="P60" i="348" s="1"/>
  <c r="O60" i="348" a="1"/>
  <c r="O60" i="348" s="1"/>
  <c r="M60" i="348" a="1"/>
  <c r="M60" i="348" s="1"/>
  <c r="L60" i="348" a="1"/>
  <c r="L60" i="348" s="1"/>
  <c r="K60" i="348" a="1"/>
  <c r="K60" i="348" s="1"/>
  <c r="J60" i="348" a="1"/>
  <c r="J60" i="348" s="1"/>
  <c r="H60" i="348" a="1"/>
  <c r="H60" i="348" s="1"/>
  <c r="G60" i="348" a="1"/>
  <c r="G60" i="348" s="1"/>
  <c r="F60" i="348" a="1"/>
  <c r="F60" i="348" s="1"/>
  <c r="E60" i="348" a="1"/>
  <c r="E60" i="348" s="1"/>
  <c r="C60" i="348"/>
  <c r="A60" i="348"/>
  <c r="A61" i="348" s="1"/>
  <c r="A62" i="348" s="1"/>
  <c r="A63" i="348" s="1"/>
  <c r="A64" i="348" s="1"/>
  <c r="A65" i="348" s="1"/>
  <c r="A66" i="348" s="1"/>
  <c r="A67" i="348" s="1"/>
  <c r="A68" i="348" s="1"/>
  <c r="A69" i="348" s="1"/>
  <c r="A70" i="348" s="1"/>
  <c r="A71" i="348" s="1"/>
  <c r="A72" i="348" s="1"/>
  <c r="A73" i="348" s="1"/>
  <c r="A74" i="348" s="1"/>
  <c r="A75" i="348" s="1"/>
  <c r="A76" i="348" s="1"/>
  <c r="A77" i="348" s="1"/>
  <c r="A78" i="348" s="1"/>
  <c r="A79" i="348" s="1"/>
  <c r="A80" i="348" s="1"/>
  <c r="A81" i="348" s="1"/>
  <c r="A82" i="348" s="1"/>
  <c r="A83" i="348" s="1"/>
  <c r="A84" i="348" s="1"/>
  <c r="A85" i="348" s="1"/>
  <c r="A86" i="348" s="1"/>
  <c r="A87" i="348" s="1"/>
  <c r="A88" i="348" s="1"/>
  <c r="A89" i="348" s="1"/>
  <c r="A90" i="348" s="1"/>
  <c r="A91" i="348" s="1"/>
  <c r="A92" i="348" s="1"/>
  <c r="A93" i="348" s="1"/>
  <c r="A94" i="348" s="1"/>
  <c r="A95" i="348" s="1"/>
  <c r="A96" i="348" s="1"/>
  <c r="S59" i="348" a="1"/>
  <c r="S59" i="348" s="1"/>
  <c r="R59" i="348" a="1"/>
  <c r="R59" i="348" s="1"/>
  <c r="Q59" i="348" a="1"/>
  <c r="Q59" i="348" s="1"/>
  <c r="P59" i="348" a="1"/>
  <c r="P59" i="348" s="1"/>
  <c r="O59" i="348" a="1"/>
  <c r="O59" i="348" s="1"/>
  <c r="M59" i="348" a="1"/>
  <c r="M59" i="348" s="1"/>
  <c r="L59" i="348" a="1"/>
  <c r="L59" i="348" s="1"/>
  <c r="K59" i="348" a="1"/>
  <c r="K59" i="348" s="1"/>
  <c r="J59" i="348" a="1"/>
  <c r="J59" i="348" s="1"/>
  <c r="H59" i="348" a="1"/>
  <c r="H59" i="348" s="1"/>
  <c r="G59" i="348" a="1"/>
  <c r="G59" i="348" s="1"/>
  <c r="F59" i="348" a="1"/>
  <c r="F59" i="348" s="1"/>
  <c r="E59" i="348" a="1"/>
  <c r="E59" i="348" s="1"/>
  <c r="C59" i="348"/>
  <c r="S56" i="348" a="1"/>
  <c r="S56" i="348" s="1"/>
  <c r="R56" i="348" a="1"/>
  <c r="R56" i="348" s="1"/>
  <c r="Q56" i="348" a="1"/>
  <c r="Q56" i="348" s="1"/>
  <c r="P56" i="348" a="1"/>
  <c r="P56" i="348" s="1"/>
  <c r="O56" i="348" a="1"/>
  <c r="O56" i="348" s="1"/>
  <c r="M56" i="348" a="1"/>
  <c r="M56" i="348" s="1"/>
  <c r="L56" i="348" a="1"/>
  <c r="L56" i="348" s="1"/>
  <c r="K56" i="348" a="1"/>
  <c r="K56" i="348" s="1"/>
  <c r="J56" i="348" a="1"/>
  <c r="J56" i="348" s="1"/>
  <c r="H56" i="348" a="1"/>
  <c r="H56" i="348" s="1"/>
  <c r="G56" i="348" a="1"/>
  <c r="G56" i="348" s="1"/>
  <c r="F56" i="348" a="1"/>
  <c r="F56" i="348" s="1"/>
  <c r="E56" i="348" a="1"/>
  <c r="E56" i="348" s="1"/>
  <c r="C56" i="348"/>
  <c r="S55" i="348" a="1"/>
  <c r="S55" i="348" s="1"/>
  <c r="R55" i="348" a="1"/>
  <c r="R55" i="348" s="1"/>
  <c r="Q55" i="348" a="1"/>
  <c r="Q55" i="348" s="1"/>
  <c r="P55" i="348" a="1"/>
  <c r="P55" i="348" s="1"/>
  <c r="O55" i="348" a="1"/>
  <c r="O55" i="348" s="1"/>
  <c r="M55" i="348" a="1"/>
  <c r="M55" i="348" s="1"/>
  <c r="L55" i="348" a="1"/>
  <c r="L55" i="348" s="1"/>
  <c r="K55" i="348" a="1"/>
  <c r="K55" i="348" s="1"/>
  <c r="J55" i="348" a="1"/>
  <c r="J55" i="348" s="1"/>
  <c r="H55" i="348" a="1"/>
  <c r="H55" i="348" s="1"/>
  <c r="G55" i="348" a="1"/>
  <c r="G55" i="348" s="1"/>
  <c r="F55" i="348" a="1"/>
  <c r="F55" i="348" s="1"/>
  <c r="E55" i="348" a="1"/>
  <c r="E55" i="348" s="1"/>
  <c r="C55" i="348"/>
  <c r="S54" i="348" a="1"/>
  <c r="S54" i="348" s="1"/>
  <c r="R54" i="348" a="1"/>
  <c r="R54" i="348" s="1"/>
  <c r="Q54" i="348" a="1"/>
  <c r="Q54" i="348" s="1"/>
  <c r="P54" i="348" a="1"/>
  <c r="P54" i="348" s="1"/>
  <c r="O54" i="348" a="1"/>
  <c r="O54" i="348" s="1"/>
  <c r="M54" i="348" a="1"/>
  <c r="M54" i="348" s="1"/>
  <c r="L54" i="348" a="1"/>
  <c r="L54" i="348" s="1"/>
  <c r="K54" i="348" a="1"/>
  <c r="K54" i="348" s="1"/>
  <c r="J54" i="348" a="1"/>
  <c r="J54" i="348" s="1"/>
  <c r="H54" i="348" a="1"/>
  <c r="H54" i="348" s="1"/>
  <c r="G54" i="348" a="1"/>
  <c r="G54" i="348" s="1"/>
  <c r="F54" i="348" a="1"/>
  <c r="F54" i="348" s="1"/>
  <c r="E54" i="348" a="1"/>
  <c r="E54" i="348" s="1"/>
  <c r="C54" i="348"/>
  <c r="S53" i="348" a="1"/>
  <c r="S53" i="348" s="1"/>
  <c r="R53" i="348" a="1"/>
  <c r="R53" i="348" s="1"/>
  <c r="Q53" i="348" a="1"/>
  <c r="Q53" i="348" s="1"/>
  <c r="P53" i="348" a="1"/>
  <c r="P53" i="348" s="1"/>
  <c r="O53" i="348" a="1"/>
  <c r="O53" i="348" s="1"/>
  <c r="M53" i="348" a="1"/>
  <c r="M53" i="348" s="1"/>
  <c r="L53" i="348" a="1"/>
  <c r="L53" i="348" s="1"/>
  <c r="K53" i="348" a="1"/>
  <c r="K53" i="348" s="1"/>
  <c r="J53" i="348" a="1"/>
  <c r="J53" i="348" s="1"/>
  <c r="H53" i="348" a="1"/>
  <c r="H53" i="348" s="1"/>
  <c r="G53" i="348" a="1"/>
  <c r="G53" i="348" s="1"/>
  <c r="F53" i="348" a="1"/>
  <c r="F53" i="348" s="1"/>
  <c r="E53" i="348" a="1"/>
  <c r="E53" i="348" s="1"/>
  <c r="C53" i="348"/>
  <c r="S52" i="348" a="1"/>
  <c r="S52" i="348" s="1"/>
  <c r="R52" i="348" a="1"/>
  <c r="R52" i="348" s="1"/>
  <c r="Q52" i="348" a="1"/>
  <c r="Q52" i="348" s="1"/>
  <c r="P52" i="348" a="1"/>
  <c r="P52" i="348" s="1"/>
  <c r="O52" i="348" a="1"/>
  <c r="O52" i="348" s="1"/>
  <c r="M52" i="348" a="1"/>
  <c r="M52" i="348" s="1"/>
  <c r="L52" i="348" a="1"/>
  <c r="L52" i="348" s="1"/>
  <c r="K52" i="348" a="1"/>
  <c r="K52" i="348" s="1"/>
  <c r="J52" i="348" a="1"/>
  <c r="J52" i="348" s="1"/>
  <c r="H52" i="348" a="1"/>
  <c r="H52" i="348" s="1"/>
  <c r="G52" i="348" a="1"/>
  <c r="G52" i="348" s="1"/>
  <c r="F52" i="348" a="1"/>
  <c r="F52" i="348" s="1"/>
  <c r="E52" i="348" a="1"/>
  <c r="E52" i="348" s="1"/>
  <c r="C52" i="348"/>
  <c r="S51" i="348" a="1"/>
  <c r="S51" i="348" s="1"/>
  <c r="R51" i="348" a="1"/>
  <c r="R51" i="348" s="1"/>
  <c r="Q51" i="348" a="1"/>
  <c r="Q51" i="348" s="1"/>
  <c r="P51" i="348" a="1"/>
  <c r="P51" i="348" s="1"/>
  <c r="O51" i="348" a="1"/>
  <c r="O51" i="348" s="1"/>
  <c r="M51" i="348" a="1"/>
  <c r="M51" i="348" s="1"/>
  <c r="L51" i="348" a="1"/>
  <c r="L51" i="348" s="1"/>
  <c r="K51" i="348" a="1"/>
  <c r="K51" i="348" s="1"/>
  <c r="J51" i="348" a="1"/>
  <c r="J51" i="348" s="1"/>
  <c r="H51" i="348" a="1"/>
  <c r="H51" i="348" s="1"/>
  <c r="G51" i="348" a="1"/>
  <c r="G51" i="348" s="1"/>
  <c r="F51" i="348" a="1"/>
  <c r="F51" i="348" s="1"/>
  <c r="E51" i="348" a="1"/>
  <c r="E51" i="348" s="1"/>
  <c r="C51" i="348"/>
  <c r="S50" i="348" a="1"/>
  <c r="S50" i="348" s="1"/>
  <c r="R50" i="348" a="1"/>
  <c r="R50" i="348" s="1"/>
  <c r="Q50" i="348" a="1"/>
  <c r="Q50" i="348" s="1"/>
  <c r="P50" i="348" a="1"/>
  <c r="P50" i="348" s="1"/>
  <c r="O50" i="348" a="1"/>
  <c r="O50" i="348" s="1"/>
  <c r="M50" i="348" a="1"/>
  <c r="M50" i="348" s="1"/>
  <c r="L50" i="348" a="1"/>
  <c r="L50" i="348" s="1"/>
  <c r="K50" i="348" a="1"/>
  <c r="K50" i="348" s="1"/>
  <c r="J50" i="348" a="1"/>
  <c r="J50" i="348" s="1"/>
  <c r="H50" i="348" a="1"/>
  <c r="H50" i="348" s="1"/>
  <c r="G50" i="348" a="1"/>
  <c r="G50" i="348" s="1"/>
  <c r="F50" i="348" a="1"/>
  <c r="F50" i="348" s="1"/>
  <c r="E50" i="348" a="1"/>
  <c r="E50" i="348" s="1"/>
  <c r="C50" i="348"/>
  <c r="S49" i="348" a="1"/>
  <c r="S49" i="348" s="1"/>
  <c r="R49" i="348" a="1"/>
  <c r="R49" i="348" s="1"/>
  <c r="Q49" i="348" a="1"/>
  <c r="Q49" i="348" s="1"/>
  <c r="P49" i="348" a="1"/>
  <c r="P49" i="348" s="1"/>
  <c r="O49" i="348" a="1"/>
  <c r="O49" i="348" s="1"/>
  <c r="M49" i="348" a="1"/>
  <c r="M49" i="348" s="1"/>
  <c r="L49" i="348" a="1"/>
  <c r="L49" i="348" s="1"/>
  <c r="K49" i="348" a="1"/>
  <c r="K49" i="348" s="1"/>
  <c r="J49" i="348" a="1"/>
  <c r="J49" i="348" s="1"/>
  <c r="H49" i="348" a="1"/>
  <c r="H49" i="348" s="1"/>
  <c r="G49" i="348" a="1"/>
  <c r="G49" i="348" s="1"/>
  <c r="F49" i="348" a="1"/>
  <c r="F49" i="348" s="1"/>
  <c r="E49" i="348" a="1"/>
  <c r="E49" i="348" s="1"/>
  <c r="C49" i="348"/>
  <c r="S48" i="348" a="1"/>
  <c r="S48" i="348" s="1"/>
  <c r="R48" i="348" a="1"/>
  <c r="R48" i="348" s="1"/>
  <c r="Q48" i="348" a="1"/>
  <c r="Q48" i="348" s="1"/>
  <c r="P48" i="348" a="1"/>
  <c r="P48" i="348" s="1"/>
  <c r="O48" i="348" a="1"/>
  <c r="O48" i="348" s="1"/>
  <c r="M48" i="348" a="1"/>
  <c r="M48" i="348" s="1"/>
  <c r="L48" i="348" a="1"/>
  <c r="L48" i="348" s="1"/>
  <c r="K48" i="348" a="1"/>
  <c r="K48" i="348" s="1"/>
  <c r="J48" i="348" a="1"/>
  <c r="J48" i="348" s="1"/>
  <c r="H48" i="348" a="1"/>
  <c r="H48" i="348" s="1"/>
  <c r="G48" i="348" a="1"/>
  <c r="G48" i="348" s="1"/>
  <c r="F48" i="348" a="1"/>
  <c r="F48" i="348" s="1"/>
  <c r="E48" i="348" a="1"/>
  <c r="E48" i="348" s="1"/>
  <c r="C48" i="348"/>
  <c r="S47" i="348" a="1"/>
  <c r="S47" i="348" s="1"/>
  <c r="R47" i="348" a="1"/>
  <c r="R47" i="348" s="1"/>
  <c r="Q47" i="348" a="1"/>
  <c r="Q47" i="348" s="1"/>
  <c r="P47" i="348" a="1"/>
  <c r="P47" i="348" s="1"/>
  <c r="O47" i="348" a="1"/>
  <c r="O47" i="348" s="1"/>
  <c r="M47" i="348" a="1"/>
  <c r="M47" i="348" s="1"/>
  <c r="L47" i="348" a="1"/>
  <c r="L47" i="348" s="1"/>
  <c r="K47" i="348" a="1"/>
  <c r="K47" i="348" s="1"/>
  <c r="J47" i="348" a="1"/>
  <c r="J47" i="348" s="1"/>
  <c r="H47" i="348" a="1"/>
  <c r="H47" i="348" s="1"/>
  <c r="G47" i="348" a="1"/>
  <c r="G47" i="348" s="1"/>
  <c r="F47" i="348" a="1"/>
  <c r="F47" i="348" s="1"/>
  <c r="E47" i="348" a="1"/>
  <c r="E47" i="348" s="1"/>
  <c r="C47" i="348"/>
  <c r="S46" i="348" a="1"/>
  <c r="S46" i="348" s="1"/>
  <c r="R46" i="348" a="1"/>
  <c r="R46" i="348" s="1"/>
  <c r="Q46" i="348" a="1"/>
  <c r="Q46" i="348" s="1"/>
  <c r="P46" i="348" a="1"/>
  <c r="P46" i="348" s="1"/>
  <c r="O46" i="348" a="1"/>
  <c r="O46" i="348" s="1"/>
  <c r="M46" i="348" a="1"/>
  <c r="M46" i="348" s="1"/>
  <c r="L46" i="348" a="1"/>
  <c r="L46" i="348" s="1"/>
  <c r="K46" i="348" a="1"/>
  <c r="K46" i="348" s="1"/>
  <c r="J46" i="348" a="1"/>
  <c r="J46" i="348" s="1"/>
  <c r="H46" i="348" a="1"/>
  <c r="H46" i="348" s="1"/>
  <c r="G46" i="348" a="1"/>
  <c r="G46" i="348" s="1"/>
  <c r="F46" i="348" a="1"/>
  <c r="F46" i="348" s="1"/>
  <c r="E46" i="348" a="1"/>
  <c r="E46" i="348" s="1"/>
  <c r="C46" i="348"/>
  <c r="S45" i="348" a="1"/>
  <c r="S45" i="348" s="1"/>
  <c r="R45" i="348" a="1"/>
  <c r="R45" i="348" s="1"/>
  <c r="Q45" i="348" a="1"/>
  <c r="Q45" i="348" s="1"/>
  <c r="P45" i="348" a="1"/>
  <c r="P45" i="348" s="1"/>
  <c r="O45" i="348" a="1"/>
  <c r="O45" i="348" s="1"/>
  <c r="M45" i="348" a="1"/>
  <c r="M45" i="348" s="1"/>
  <c r="L45" i="348" a="1"/>
  <c r="L45" i="348" s="1"/>
  <c r="K45" i="348" a="1"/>
  <c r="K45" i="348" s="1"/>
  <c r="J45" i="348" a="1"/>
  <c r="J45" i="348" s="1"/>
  <c r="H45" i="348" a="1"/>
  <c r="H45" i="348" s="1"/>
  <c r="G45" i="348" a="1"/>
  <c r="G45" i="348" s="1"/>
  <c r="F45" i="348" a="1"/>
  <c r="F45" i="348" s="1"/>
  <c r="E45" i="348" a="1"/>
  <c r="E45" i="348" s="1"/>
  <c r="C45" i="348"/>
  <c r="S44" i="348" a="1"/>
  <c r="S44" i="348" s="1"/>
  <c r="R44" i="348" a="1"/>
  <c r="R44" i="348" s="1"/>
  <c r="Q44" i="348" a="1"/>
  <c r="Q44" i="348" s="1"/>
  <c r="P44" i="348" a="1"/>
  <c r="P44" i="348" s="1"/>
  <c r="O44" i="348" a="1"/>
  <c r="O44" i="348" s="1"/>
  <c r="M44" i="348" a="1"/>
  <c r="M44" i="348" s="1"/>
  <c r="L44" i="348" a="1"/>
  <c r="L44" i="348" s="1"/>
  <c r="K44" i="348" a="1"/>
  <c r="K44" i="348" s="1"/>
  <c r="J44" i="348" a="1"/>
  <c r="J44" i="348" s="1"/>
  <c r="H44" i="348" a="1"/>
  <c r="H44" i="348" s="1"/>
  <c r="G44" i="348" a="1"/>
  <c r="G44" i="348" s="1"/>
  <c r="F44" i="348" a="1"/>
  <c r="F44" i="348" s="1"/>
  <c r="E44" i="348" a="1"/>
  <c r="E44" i="348" s="1"/>
  <c r="C44" i="348"/>
  <c r="S43" i="348" a="1"/>
  <c r="S43" i="348" s="1"/>
  <c r="R43" i="348" a="1"/>
  <c r="R43" i="348" s="1"/>
  <c r="Q43" i="348" a="1"/>
  <c r="Q43" i="348" s="1"/>
  <c r="P43" i="348" a="1"/>
  <c r="P43" i="348" s="1"/>
  <c r="O43" i="348" a="1"/>
  <c r="O43" i="348" s="1"/>
  <c r="M43" i="348" a="1"/>
  <c r="M43" i="348" s="1"/>
  <c r="L43" i="348" a="1"/>
  <c r="L43" i="348" s="1"/>
  <c r="K43" i="348" a="1"/>
  <c r="K43" i="348" s="1"/>
  <c r="J43" i="348" a="1"/>
  <c r="J43" i="348" s="1"/>
  <c r="H43" i="348" a="1"/>
  <c r="H43" i="348" s="1"/>
  <c r="G43" i="348" a="1"/>
  <c r="G43" i="348" s="1"/>
  <c r="F43" i="348" a="1"/>
  <c r="F43" i="348" s="1"/>
  <c r="E43" i="348" a="1"/>
  <c r="E43" i="348" s="1"/>
  <c r="C43" i="348"/>
  <c r="S42" i="348" a="1"/>
  <c r="S42" i="348" s="1"/>
  <c r="R42" i="348" a="1"/>
  <c r="R42" i="348" s="1"/>
  <c r="Q42" i="348" a="1"/>
  <c r="Q42" i="348" s="1"/>
  <c r="P42" i="348" a="1"/>
  <c r="P42" i="348" s="1"/>
  <c r="O42" i="348" a="1"/>
  <c r="O42" i="348" s="1"/>
  <c r="M42" i="348" a="1"/>
  <c r="M42" i="348" s="1"/>
  <c r="L42" i="348" a="1"/>
  <c r="L42" i="348" s="1"/>
  <c r="K42" i="348" a="1"/>
  <c r="K42" i="348" s="1"/>
  <c r="J42" i="348" a="1"/>
  <c r="J42" i="348" s="1"/>
  <c r="H42" i="348" a="1"/>
  <c r="H42" i="348" s="1"/>
  <c r="G42" i="348" a="1"/>
  <c r="G42" i="348" s="1"/>
  <c r="F42" i="348" a="1"/>
  <c r="F42" i="348" s="1"/>
  <c r="E42" i="348" a="1"/>
  <c r="E42" i="348" s="1"/>
  <c r="C42" i="348"/>
  <c r="S41" i="348" a="1"/>
  <c r="S41" i="348" s="1"/>
  <c r="R41" i="348" a="1"/>
  <c r="R41" i="348" s="1"/>
  <c r="Q41" i="348" a="1"/>
  <c r="Q41" i="348" s="1"/>
  <c r="P41" i="348" a="1"/>
  <c r="P41" i="348" s="1"/>
  <c r="O41" i="348" a="1"/>
  <c r="O41" i="348" s="1"/>
  <c r="M41" i="348" a="1"/>
  <c r="M41" i="348" s="1"/>
  <c r="L41" i="348" a="1"/>
  <c r="L41" i="348" s="1"/>
  <c r="K41" i="348" a="1"/>
  <c r="K41" i="348" s="1"/>
  <c r="J41" i="348" a="1"/>
  <c r="J41" i="348" s="1"/>
  <c r="H41" i="348" a="1"/>
  <c r="H41" i="348" s="1"/>
  <c r="G41" i="348" a="1"/>
  <c r="G41" i="348" s="1"/>
  <c r="F41" i="348" a="1"/>
  <c r="F41" i="348" s="1"/>
  <c r="E41" i="348" a="1"/>
  <c r="E41" i="348" s="1"/>
  <c r="C41" i="348"/>
  <c r="S40" i="348" a="1"/>
  <c r="S40" i="348" s="1"/>
  <c r="R40" i="348" a="1"/>
  <c r="R40" i="348" s="1"/>
  <c r="Q40" i="348" a="1"/>
  <c r="Q40" i="348" s="1"/>
  <c r="P40" i="348" a="1"/>
  <c r="P40" i="348" s="1"/>
  <c r="O40" i="348" a="1"/>
  <c r="O40" i="348" s="1"/>
  <c r="M40" i="348" a="1"/>
  <c r="M40" i="348" s="1"/>
  <c r="L40" i="348" a="1"/>
  <c r="L40" i="348" s="1"/>
  <c r="K40" i="348" a="1"/>
  <c r="K40" i="348" s="1"/>
  <c r="J40" i="348" a="1"/>
  <c r="J40" i="348" s="1"/>
  <c r="H40" i="348" a="1"/>
  <c r="H40" i="348" s="1"/>
  <c r="G40" i="348" a="1"/>
  <c r="G40" i="348" s="1"/>
  <c r="F40" i="348" a="1"/>
  <c r="F40" i="348" s="1"/>
  <c r="E40" i="348" a="1"/>
  <c r="E40" i="348" s="1"/>
  <c r="C40" i="348"/>
  <c r="S39" i="348" a="1"/>
  <c r="S39" i="348" s="1"/>
  <c r="R39" i="348" a="1"/>
  <c r="R39" i="348" s="1"/>
  <c r="Q39" i="348" a="1"/>
  <c r="Q39" i="348" s="1"/>
  <c r="P39" i="348" a="1"/>
  <c r="P39" i="348" s="1"/>
  <c r="O39" i="348" a="1"/>
  <c r="O39" i="348" s="1"/>
  <c r="M39" i="348" a="1"/>
  <c r="M39" i="348" s="1"/>
  <c r="L39" i="348" a="1"/>
  <c r="L39" i="348" s="1"/>
  <c r="K39" i="348" a="1"/>
  <c r="K39" i="348" s="1"/>
  <c r="J39" i="348" a="1"/>
  <c r="J39" i="348" s="1"/>
  <c r="H39" i="348" a="1"/>
  <c r="H39" i="348" s="1"/>
  <c r="G39" i="348" a="1"/>
  <c r="G39" i="348" s="1"/>
  <c r="F39" i="348" a="1"/>
  <c r="F39" i="348" s="1"/>
  <c r="E39" i="348" a="1"/>
  <c r="E39" i="348" s="1"/>
  <c r="C39" i="348"/>
  <c r="S38" i="348" a="1"/>
  <c r="S38" i="348" s="1"/>
  <c r="R38" i="348" a="1"/>
  <c r="R38" i="348" s="1"/>
  <c r="Q38" i="348" a="1"/>
  <c r="Q38" i="348" s="1"/>
  <c r="P38" i="348" a="1"/>
  <c r="P38" i="348" s="1"/>
  <c r="O38" i="348" a="1"/>
  <c r="O38" i="348" s="1"/>
  <c r="M38" i="348" a="1"/>
  <c r="M38" i="348" s="1"/>
  <c r="L38" i="348" a="1"/>
  <c r="L38" i="348" s="1"/>
  <c r="K38" i="348" a="1"/>
  <c r="K38" i="348" s="1"/>
  <c r="J38" i="348" a="1"/>
  <c r="J38" i="348" s="1"/>
  <c r="H38" i="348" a="1"/>
  <c r="H38" i="348" s="1"/>
  <c r="G38" i="348" a="1"/>
  <c r="G38" i="348" s="1"/>
  <c r="F38" i="348" a="1"/>
  <c r="F38" i="348" s="1"/>
  <c r="E38" i="348" a="1"/>
  <c r="E38" i="348" s="1"/>
  <c r="C38" i="348"/>
  <c r="S37" i="348" a="1"/>
  <c r="S37" i="348" s="1"/>
  <c r="R37" i="348" a="1"/>
  <c r="R37" i="348" s="1"/>
  <c r="Q37" i="348" a="1"/>
  <c r="Q37" i="348" s="1"/>
  <c r="P37" i="348" a="1"/>
  <c r="P37" i="348" s="1"/>
  <c r="O37" i="348" a="1"/>
  <c r="O37" i="348" s="1"/>
  <c r="M37" i="348" a="1"/>
  <c r="M37" i="348" s="1"/>
  <c r="L37" i="348" a="1"/>
  <c r="L37" i="348" s="1"/>
  <c r="K37" i="348" a="1"/>
  <c r="K37" i="348" s="1"/>
  <c r="J37" i="348" a="1"/>
  <c r="J37" i="348" s="1"/>
  <c r="H37" i="348" a="1"/>
  <c r="H37" i="348" s="1"/>
  <c r="G37" i="348" a="1"/>
  <c r="G37" i="348" s="1"/>
  <c r="F37" i="348" a="1"/>
  <c r="F37" i="348" s="1"/>
  <c r="E37" i="348" a="1"/>
  <c r="E37" i="348" s="1"/>
  <c r="C37" i="348"/>
  <c r="S36" i="348" a="1"/>
  <c r="S36" i="348" s="1"/>
  <c r="R36" i="348" a="1"/>
  <c r="R36" i="348" s="1"/>
  <c r="Q36" i="348" a="1"/>
  <c r="Q36" i="348" s="1"/>
  <c r="P36" i="348" a="1"/>
  <c r="P36" i="348" s="1"/>
  <c r="O36" i="348" a="1"/>
  <c r="O36" i="348" s="1"/>
  <c r="M36" i="348" a="1"/>
  <c r="M36" i="348" s="1"/>
  <c r="L36" i="348" a="1"/>
  <c r="L36" i="348" s="1"/>
  <c r="K36" i="348" a="1"/>
  <c r="K36" i="348" s="1"/>
  <c r="J36" i="348" a="1"/>
  <c r="J36" i="348" s="1"/>
  <c r="H36" i="348" a="1"/>
  <c r="H36" i="348" s="1"/>
  <c r="G36" i="348" a="1"/>
  <c r="G36" i="348" s="1"/>
  <c r="F36" i="348" a="1"/>
  <c r="F36" i="348" s="1"/>
  <c r="E36" i="348" a="1"/>
  <c r="E36" i="348" s="1"/>
  <c r="C36" i="348"/>
  <c r="S35" i="348" a="1"/>
  <c r="S35" i="348" s="1"/>
  <c r="R35" i="348" a="1"/>
  <c r="R35" i="348" s="1"/>
  <c r="Q35" i="348" a="1"/>
  <c r="Q35" i="348" s="1"/>
  <c r="P35" i="348" a="1"/>
  <c r="P35" i="348" s="1"/>
  <c r="O35" i="348" a="1"/>
  <c r="O35" i="348" s="1"/>
  <c r="M35" i="348" a="1"/>
  <c r="M35" i="348" s="1"/>
  <c r="L35" i="348" a="1"/>
  <c r="L35" i="348" s="1"/>
  <c r="K35" i="348" a="1"/>
  <c r="K35" i="348" s="1"/>
  <c r="J35" i="348" a="1"/>
  <c r="J35" i="348" s="1"/>
  <c r="H35" i="348" a="1"/>
  <c r="H35" i="348" s="1"/>
  <c r="G35" i="348" a="1"/>
  <c r="G35" i="348" s="1"/>
  <c r="F35" i="348" a="1"/>
  <c r="F35" i="348" s="1"/>
  <c r="E35" i="348" a="1"/>
  <c r="E35" i="348" s="1"/>
  <c r="C35" i="348"/>
  <c r="A35" i="348"/>
  <c r="A36" i="348" s="1"/>
  <c r="A37" i="348" s="1"/>
  <c r="A38" i="348" s="1"/>
  <c r="A39" i="348" s="1"/>
  <c r="A40" i="348" s="1"/>
  <c r="A41" i="348" s="1"/>
  <c r="A42" i="348" s="1"/>
  <c r="A43" i="348" s="1"/>
  <c r="A44" i="348" s="1"/>
  <c r="A45" i="348" s="1"/>
  <c r="A46" i="348" s="1"/>
  <c r="A47" i="348" s="1"/>
  <c r="A48" i="348" s="1"/>
  <c r="A49" i="348" s="1"/>
  <c r="A50" i="348" s="1"/>
  <c r="A51" i="348" s="1"/>
  <c r="A52" i="348" s="1"/>
  <c r="A53" i="348" s="1"/>
  <c r="A54" i="348" s="1"/>
  <c r="A55" i="348" s="1"/>
  <c r="A56" i="348" s="1"/>
  <c r="S34" i="348" a="1"/>
  <c r="S34" i="348" s="1"/>
  <c r="R34" i="348" a="1"/>
  <c r="R34" i="348" s="1"/>
  <c r="Q34" i="348" a="1"/>
  <c r="Q34" i="348" s="1"/>
  <c r="P34" i="348" a="1"/>
  <c r="P34" i="348" s="1"/>
  <c r="O34" i="348" a="1"/>
  <c r="O34" i="348" s="1"/>
  <c r="M34" i="348" a="1"/>
  <c r="M34" i="348" s="1"/>
  <c r="L34" i="348" a="1"/>
  <c r="L34" i="348" s="1"/>
  <c r="K34" i="348" a="1"/>
  <c r="K34" i="348" s="1"/>
  <c r="J34" i="348" a="1"/>
  <c r="J34" i="348" s="1"/>
  <c r="H34" i="348" a="1"/>
  <c r="H34" i="348" s="1"/>
  <c r="G34" i="348" a="1"/>
  <c r="G34" i="348" s="1"/>
  <c r="F34" i="348" a="1"/>
  <c r="F34" i="348" s="1"/>
  <c r="E34" i="348" a="1"/>
  <c r="E34" i="348" s="1"/>
  <c r="C34" i="348"/>
  <c r="S31" i="348" a="1"/>
  <c r="S31" i="348" s="1"/>
  <c r="R31" i="348" a="1"/>
  <c r="R31" i="348" s="1"/>
  <c r="Q31" i="348" a="1"/>
  <c r="Q31" i="348" s="1"/>
  <c r="P31" i="348" a="1"/>
  <c r="P31" i="348" s="1"/>
  <c r="O31" i="348" a="1"/>
  <c r="O31" i="348" s="1"/>
  <c r="M31" i="348" a="1"/>
  <c r="M31" i="348" s="1"/>
  <c r="L31" i="348" a="1"/>
  <c r="L31" i="348" s="1"/>
  <c r="K31" i="348" a="1"/>
  <c r="K31" i="348" s="1"/>
  <c r="J31" i="348" a="1"/>
  <c r="J31" i="348" s="1"/>
  <c r="H31" i="348" a="1"/>
  <c r="H31" i="348" s="1"/>
  <c r="G31" i="348" a="1"/>
  <c r="G31" i="348" s="1"/>
  <c r="F31" i="348" a="1"/>
  <c r="F31" i="348" s="1"/>
  <c r="E31" i="348" a="1"/>
  <c r="E31" i="348" s="1"/>
  <c r="C31" i="348"/>
  <c r="S30" i="348" a="1"/>
  <c r="S30" i="348" s="1"/>
  <c r="R30" i="348" a="1"/>
  <c r="R30" i="348" s="1"/>
  <c r="Q30" i="348" a="1"/>
  <c r="Q30" i="348" s="1"/>
  <c r="P30" i="348" a="1"/>
  <c r="P30" i="348" s="1"/>
  <c r="O30" i="348" a="1"/>
  <c r="O30" i="348" s="1"/>
  <c r="M30" i="348" a="1"/>
  <c r="M30" i="348" s="1"/>
  <c r="L30" i="348" a="1"/>
  <c r="L30" i="348" s="1"/>
  <c r="K30" i="348" a="1"/>
  <c r="K30" i="348" s="1"/>
  <c r="J30" i="348" a="1"/>
  <c r="J30" i="348" s="1"/>
  <c r="H30" i="348" a="1"/>
  <c r="H30" i="348" s="1"/>
  <c r="G30" i="348" a="1"/>
  <c r="G30" i="348" s="1"/>
  <c r="F30" i="348" a="1"/>
  <c r="F30" i="348" s="1"/>
  <c r="E30" i="348" a="1"/>
  <c r="E30" i="348" s="1"/>
  <c r="C30" i="348"/>
  <c r="S29" i="348" a="1"/>
  <c r="S29" i="348" s="1"/>
  <c r="R29" i="348" a="1"/>
  <c r="R29" i="348" s="1"/>
  <c r="Q29" i="348" a="1"/>
  <c r="Q29" i="348" s="1"/>
  <c r="P29" i="348" a="1"/>
  <c r="P29" i="348" s="1"/>
  <c r="O29" i="348" a="1"/>
  <c r="O29" i="348" s="1"/>
  <c r="M29" i="348" a="1"/>
  <c r="M29" i="348" s="1"/>
  <c r="L29" i="348" a="1"/>
  <c r="L29" i="348" s="1"/>
  <c r="K29" i="348" a="1"/>
  <c r="K29" i="348" s="1"/>
  <c r="J29" i="348" a="1"/>
  <c r="J29" i="348" s="1"/>
  <c r="H29" i="348" a="1"/>
  <c r="H29" i="348" s="1"/>
  <c r="G29" i="348" a="1"/>
  <c r="G29" i="348" s="1"/>
  <c r="F29" i="348" a="1"/>
  <c r="F29" i="348" s="1"/>
  <c r="E29" i="348" a="1"/>
  <c r="E29" i="348" s="1"/>
  <c r="C29" i="348"/>
  <c r="S28" i="348" a="1"/>
  <c r="S28" i="348" s="1"/>
  <c r="R28" i="348" a="1"/>
  <c r="R28" i="348" s="1"/>
  <c r="Q28" i="348" a="1"/>
  <c r="Q28" i="348" s="1"/>
  <c r="P28" i="348" a="1"/>
  <c r="P28" i="348" s="1"/>
  <c r="O28" i="348" a="1"/>
  <c r="O28" i="348" s="1"/>
  <c r="M28" i="348" a="1"/>
  <c r="M28" i="348" s="1"/>
  <c r="L28" i="348" a="1"/>
  <c r="L28" i="348" s="1"/>
  <c r="K28" i="348" a="1"/>
  <c r="K28" i="348" s="1"/>
  <c r="J28" i="348" a="1"/>
  <c r="J28" i="348" s="1"/>
  <c r="H28" i="348" a="1"/>
  <c r="H28" i="348" s="1"/>
  <c r="G28" i="348" a="1"/>
  <c r="G28" i="348" s="1"/>
  <c r="F28" i="348" a="1"/>
  <c r="F28" i="348" s="1"/>
  <c r="E28" i="348" a="1"/>
  <c r="E28" i="348" s="1"/>
  <c r="C28" i="348"/>
  <c r="S27" i="348" a="1"/>
  <c r="S27" i="348" s="1"/>
  <c r="R27" i="348" a="1"/>
  <c r="R27" i="348" s="1"/>
  <c r="Q27" i="348" a="1"/>
  <c r="Q27" i="348" s="1"/>
  <c r="P27" i="348" a="1"/>
  <c r="P27" i="348" s="1"/>
  <c r="O27" i="348" a="1"/>
  <c r="O27" i="348" s="1"/>
  <c r="M27" i="348" a="1"/>
  <c r="M27" i="348" s="1"/>
  <c r="L27" i="348" a="1"/>
  <c r="L27" i="348" s="1"/>
  <c r="K27" i="348" a="1"/>
  <c r="K27" i="348" s="1"/>
  <c r="J27" i="348" a="1"/>
  <c r="J27" i="348" s="1"/>
  <c r="H27" i="348" a="1"/>
  <c r="H27" i="348" s="1"/>
  <c r="G27" i="348" a="1"/>
  <c r="G27" i="348" s="1"/>
  <c r="F27" i="348" a="1"/>
  <c r="F27" i="348" s="1"/>
  <c r="E27" i="348" a="1"/>
  <c r="E27" i="348" s="1"/>
  <c r="C27" i="348"/>
  <c r="S26" i="348" a="1"/>
  <c r="S26" i="348" s="1"/>
  <c r="R26" i="348" a="1"/>
  <c r="R26" i="348" s="1"/>
  <c r="Q26" i="348" a="1"/>
  <c r="Q26" i="348" s="1"/>
  <c r="P26" i="348" a="1"/>
  <c r="P26" i="348" s="1"/>
  <c r="O26" i="348" a="1"/>
  <c r="O26" i="348" s="1"/>
  <c r="M26" i="348" a="1"/>
  <c r="M26" i="348" s="1"/>
  <c r="L26" i="348" a="1"/>
  <c r="L26" i="348" s="1"/>
  <c r="K26" i="348" a="1"/>
  <c r="K26" i="348" s="1"/>
  <c r="J26" i="348" a="1"/>
  <c r="J26" i="348" s="1"/>
  <c r="H26" i="348" a="1"/>
  <c r="H26" i="348" s="1"/>
  <c r="G26" i="348" a="1"/>
  <c r="G26" i="348" s="1"/>
  <c r="F26" i="348" a="1"/>
  <c r="F26" i="348" s="1"/>
  <c r="E26" i="348" a="1"/>
  <c r="E26" i="348" s="1"/>
  <c r="C26" i="348"/>
  <c r="S25" i="348" a="1"/>
  <c r="S25" i="348" s="1"/>
  <c r="R25" i="348" a="1"/>
  <c r="R25" i="348" s="1"/>
  <c r="Q25" i="348" a="1"/>
  <c r="Q25" i="348" s="1"/>
  <c r="P25" i="348" a="1"/>
  <c r="P25" i="348" s="1"/>
  <c r="O25" i="348" a="1"/>
  <c r="O25" i="348" s="1"/>
  <c r="M25" i="348" a="1"/>
  <c r="M25" i="348" s="1"/>
  <c r="L25" i="348" a="1"/>
  <c r="L25" i="348" s="1"/>
  <c r="K25" i="348" a="1"/>
  <c r="K25" i="348" s="1"/>
  <c r="J25" i="348" a="1"/>
  <c r="J25" i="348" s="1"/>
  <c r="H25" i="348" a="1"/>
  <c r="H25" i="348" s="1"/>
  <c r="G25" i="348" a="1"/>
  <c r="G25" i="348" s="1"/>
  <c r="F25" i="348" a="1"/>
  <c r="F25" i="348" s="1"/>
  <c r="E25" i="348" a="1"/>
  <c r="E25" i="348" s="1"/>
  <c r="C25" i="348"/>
  <c r="S24" i="348" a="1"/>
  <c r="S24" i="348" s="1"/>
  <c r="R24" i="348" a="1"/>
  <c r="R24" i="348" s="1"/>
  <c r="Q24" i="348" a="1"/>
  <c r="Q24" i="348" s="1"/>
  <c r="P24" i="348" a="1"/>
  <c r="P24" i="348" s="1"/>
  <c r="O24" i="348" a="1"/>
  <c r="O24" i="348" s="1"/>
  <c r="M24" i="348" a="1"/>
  <c r="M24" i="348" s="1"/>
  <c r="L24" i="348" a="1"/>
  <c r="L24" i="348" s="1"/>
  <c r="K24" i="348" a="1"/>
  <c r="K24" i="348" s="1"/>
  <c r="J24" i="348" a="1"/>
  <c r="J24" i="348" s="1"/>
  <c r="H24" i="348" a="1"/>
  <c r="H24" i="348" s="1"/>
  <c r="G24" i="348" a="1"/>
  <c r="G24" i="348" s="1"/>
  <c r="F24" i="348" a="1"/>
  <c r="F24" i="348" s="1"/>
  <c r="E24" i="348" a="1"/>
  <c r="E24" i="348" s="1"/>
  <c r="C24" i="348"/>
  <c r="S23" i="348" a="1"/>
  <c r="S23" i="348" s="1"/>
  <c r="R23" i="348" a="1"/>
  <c r="R23" i="348" s="1"/>
  <c r="Q23" i="348" a="1"/>
  <c r="Q23" i="348" s="1"/>
  <c r="P23" i="348" a="1"/>
  <c r="P23" i="348" s="1"/>
  <c r="O23" i="348" a="1"/>
  <c r="O23" i="348" s="1"/>
  <c r="M23" i="348" a="1"/>
  <c r="M23" i="348" s="1"/>
  <c r="L23" i="348" a="1"/>
  <c r="L23" i="348" s="1"/>
  <c r="K23" i="348" a="1"/>
  <c r="K23" i="348" s="1"/>
  <c r="J23" i="348" a="1"/>
  <c r="J23" i="348" s="1"/>
  <c r="H23" i="348" a="1"/>
  <c r="H23" i="348" s="1"/>
  <c r="G23" i="348" a="1"/>
  <c r="G23" i="348" s="1"/>
  <c r="F23" i="348" a="1"/>
  <c r="F23" i="348" s="1"/>
  <c r="E23" i="348" a="1"/>
  <c r="E23" i="348" s="1"/>
  <c r="C23" i="348"/>
  <c r="S22" i="348" a="1"/>
  <c r="S22" i="348" s="1"/>
  <c r="R22" i="348" a="1"/>
  <c r="R22" i="348" s="1"/>
  <c r="Q22" i="348" a="1"/>
  <c r="Q22" i="348" s="1"/>
  <c r="P22" i="348" a="1"/>
  <c r="P22" i="348" s="1"/>
  <c r="O22" i="348" a="1"/>
  <c r="O22" i="348" s="1"/>
  <c r="M22" i="348" a="1"/>
  <c r="M22" i="348" s="1"/>
  <c r="L22" i="348" a="1"/>
  <c r="L22" i="348" s="1"/>
  <c r="K22" i="348" a="1"/>
  <c r="K22" i="348" s="1"/>
  <c r="J22" i="348" a="1"/>
  <c r="J22" i="348" s="1"/>
  <c r="H22" i="348" a="1"/>
  <c r="H22" i="348" s="1"/>
  <c r="G22" i="348" a="1"/>
  <c r="G22" i="348" s="1"/>
  <c r="F22" i="348" a="1"/>
  <c r="F22" i="348" s="1"/>
  <c r="E22" i="348" a="1"/>
  <c r="E22" i="348" s="1"/>
  <c r="C22" i="348"/>
  <c r="S21" i="348" a="1"/>
  <c r="S21" i="348" s="1"/>
  <c r="R21" i="348" a="1"/>
  <c r="R21" i="348" s="1"/>
  <c r="Q21" i="348" a="1"/>
  <c r="Q21" i="348" s="1"/>
  <c r="P21" i="348" a="1"/>
  <c r="P21" i="348" s="1"/>
  <c r="O21" i="348" a="1"/>
  <c r="O21" i="348" s="1"/>
  <c r="M21" i="348" a="1"/>
  <c r="M21" i="348" s="1"/>
  <c r="L21" i="348" a="1"/>
  <c r="L21" i="348" s="1"/>
  <c r="K21" i="348" a="1"/>
  <c r="K21" i="348" s="1"/>
  <c r="J21" i="348" a="1"/>
  <c r="J21" i="348" s="1"/>
  <c r="H21" i="348" a="1"/>
  <c r="H21" i="348" s="1"/>
  <c r="G21" i="348" a="1"/>
  <c r="G21" i="348" s="1"/>
  <c r="F21" i="348" a="1"/>
  <c r="F21" i="348" s="1"/>
  <c r="E21" i="348" a="1"/>
  <c r="E21" i="348" s="1"/>
  <c r="C21" i="348"/>
  <c r="S20" i="348" a="1"/>
  <c r="S20" i="348" s="1"/>
  <c r="R20" i="348" a="1"/>
  <c r="R20" i="348" s="1"/>
  <c r="Q20" i="348" a="1"/>
  <c r="Q20" i="348" s="1"/>
  <c r="P20" i="348" a="1"/>
  <c r="P20" i="348" s="1"/>
  <c r="O20" i="348" a="1"/>
  <c r="O20" i="348" s="1"/>
  <c r="M20" i="348" a="1"/>
  <c r="M20" i="348" s="1"/>
  <c r="L20" i="348" a="1"/>
  <c r="L20" i="348" s="1"/>
  <c r="K20" i="348" a="1"/>
  <c r="K20" i="348" s="1"/>
  <c r="J20" i="348" a="1"/>
  <c r="J20" i="348" s="1"/>
  <c r="H20" i="348" a="1"/>
  <c r="H20" i="348" s="1"/>
  <c r="G20" i="348" a="1"/>
  <c r="G20" i="348" s="1"/>
  <c r="F20" i="348" a="1"/>
  <c r="F20" i="348" s="1"/>
  <c r="E20" i="348" a="1"/>
  <c r="E20" i="348" s="1"/>
  <c r="C20" i="348"/>
  <c r="S19" i="348" a="1"/>
  <c r="S19" i="348" s="1"/>
  <c r="R19" i="348" a="1"/>
  <c r="R19" i="348" s="1"/>
  <c r="Q19" i="348" a="1"/>
  <c r="Q19" i="348" s="1"/>
  <c r="P19" i="348" a="1"/>
  <c r="P19" i="348" s="1"/>
  <c r="O19" i="348" a="1"/>
  <c r="O19" i="348" s="1"/>
  <c r="M19" i="348" a="1"/>
  <c r="M19" i="348" s="1"/>
  <c r="L19" i="348" a="1"/>
  <c r="L19" i="348" s="1"/>
  <c r="K19" i="348" a="1"/>
  <c r="K19" i="348" s="1"/>
  <c r="J19" i="348" a="1"/>
  <c r="J19" i="348" s="1"/>
  <c r="H19" i="348" a="1"/>
  <c r="H19" i="348" s="1"/>
  <c r="G19" i="348" a="1"/>
  <c r="G19" i="348" s="1"/>
  <c r="F19" i="348" a="1"/>
  <c r="F19" i="348" s="1"/>
  <c r="E19" i="348" a="1"/>
  <c r="E19" i="348" s="1"/>
  <c r="C19" i="348"/>
  <c r="S18" i="348" a="1"/>
  <c r="S18" i="348" s="1"/>
  <c r="R18" i="348" a="1"/>
  <c r="R18" i="348" s="1"/>
  <c r="Q18" i="348" a="1"/>
  <c r="Q18" i="348" s="1"/>
  <c r="P18" i="348" a="1"/>
  <c r="P18" i="348" s="1"/>
  <c r="O18" i="348" a="1"/>
  <c r="O18" i="348" s="1"/>
  <c r="M18" i="348" a="1"/>
  <c r="M18" i="348" s="1"/>
  <c r="L18" i="348" a="1"/>
  <c r="L18" i="348" s="1"/>
  <c r="K18" i="348" a="1"/>
  <c r="K18" i="348" s="1"/>
  <c r="J18" i="348" a="1"/>
  <c r="J18" i="348" s="1"/>
  <c r="H18" i="348" a="1"/>
  <c r="H18" i="348" s="1"/>
  <c r="G18" i="348" a="1"/>
  <c r="G18" i="348" s="1"/>
  <c r="F18" i="348" a="1"/>
  <c r="F18" i="348" s="1"/>
  <c r="E18" i="348" a="1"/>
  <c r="E18" i="348" s="1"/>
  <c r="C18" i="348"/>
  <c r="S17" i="348" a="1"/>
  <c r="S17" i="348" s="1"/>
  <c r="R17" i="348" a="1"/>
  <c r="R17" i="348" s="1"/>
  <c r="Q17" i="348" a="1"/>
  <c r="Q17" i="348" s="1"/>
  <c r="P17" i="348" a="1"/>
  <c r="P17" i="348" s="1"/>
  <c r="O17" i="348" a="1"/>
  <c r="O17" i="348" s="1"/>
  <c r="M17" i="348" a="1"/>
  <c r="M17" i="348" s="1"/>
  <c r="L17" i="348" a="1"/>
  <c r="L17" i="348" s="1"/>
  <c r="K17" i="348" a="1"/>
  <c r="K17" i="348" s="1"/>
  <c r="J17" i="348" a="1"/>
  <c r="J17" i="348" s="1"/>
  <c r="H17" i="348" a="1"/>
  <c r="H17" i="348" s="1"/>
  <c r="G17" i="348" a="1"/>
  <c r="G17" i="348" s="1"/>
  <c r="F17" i="348" a="1"/>
  <c r="F17" i="348" s="1"/>
  <c r="E17" i="348" a="1"/>
  <c r="E17" i="348" s="1"/>
  <c r="C17" i="348"/>
  <c r="S16" i="348" a="1"/>
  <c r="S16" i="348" s="1"/>
  <c r="R16" i="348" a="1"/>
  <c r="R16" i="348" s="1"/>
  <c r="Q16" i="348" a="1"/>
  <c r="Q16" i="348" s="1"/>
  <c r="P16" i="348" a="1"/>
  <c r="P16" i="348" s="1"/>
  <c r="O16" i="348" a="1"/>
  <c r="O16" i="348" s="1"/>
  <c r="M16" i="348" a="1"/>
  <c r="M16" i="348" s="1"/>
  <c r="L16" i="348" a="1"/>
  <c r="L16" i="348" s="1"/>
  <c r="K16" i="348" a="1"/>
  <c r="K16" i="348" s="1"/>
  <c r="J16" i="348" a="1"/>
  <c r="J16" i="348" s="1"/>
  <c r="H16" i="348" a="1"/>
  <c r="H16" i="348" s="1"/>
  <c r="G16" i="348" a="1"/>
  <c r="G16" i="348" s="1"/>
  <c r="F16" i="348" a="1"/>
  <c r="F16" i="348" s="1"/>
  <c r="E16" i="348" a="1"/>
  <c r="E16" i="348" s="1"/>
  <c r="C16" i="348"/>
  <c r="S15" i="348" a="1"/>
  <c r="S15" i="348" s="1"/>
  <c r="R15" i="348" a="1"/>
  <c r="R15" i="348" s="1"/>
  <c r="Q15" i="348" a="1"/>
  <c r="Q15" i="348" s="1"/>
  <c r="P15" i="348" a="1"/>
  <c r="P15" i="348" s="1"/>
  <c r="O15" i="348" a="1"/>
  <c r="O15" i="348" s="1"/>
  <c r="M15" i="348" a="1"/>
  <c r="M15" i="348" s="1"/>
  <c r="L15" i="348" a="1"/>
  <c r="L15" i="348" s="1"/>
  <c r="K15" i="348" a="1"/>
  <c r="K15" i="348" s="1"/>
  <c r="J15" i="348" a="1"/>
  <c r="J15" i="348" s="1"/>
  <c r="H15" i="348" a="1"/>
  <c r="H15" i="348" s="1"/>
  <c r="G15" i="348" a="1"/>
  <c r="G15" i="348" s="1"/>
  <c r="F15" i="348" a="1"/>
  <c r="F15" i="348" s="1"/>
  <c r="E15" i="348" a="1"/>
  <c r="E15" i="348" s="1"/>
  <c r="C15" i="348"/>
  <c r="S14" i="348" a="1"/>
  <c r="S14" i="348" s="1"/>
  <c r="R14" i="348" a="1"/>
  <c r="R14" i="348" s="1"/>
  <c r="Q14" i="348" a="1"/>
  <c r="Q14" i="348" s="1"/>
  <c r="P14" i="348" a="1"/>
  <c r="P14" i="348" s="1"/>
  <c r="O14" i="348" a="1"/>
  <c r="O14" i="348" s="1"/>
  <c r="M14" i="348" a="1"/>
  <c r="M14" i="348" s="1"/>
  <c r="L14" i="348" a="1"/>
  <c r="L14" i="348" s="1"/>
  <c r="K14" i="348" a="1"/>
  <c r="K14" i="348" s="1"/>
  <c r="J14" i="348" a="1"/>
  <c r="J14" i="348" s="1"/>
  <c r="H14" i="348" a="1"/>
  <c r="H14" i="348" s="1"/>
  <c r="G14" i="348" a="1"/>
  <c r="G14" i="348" s="1"/>
  <c r="F14" i="348" a="1"/>
  <c r="F14" i="348" s="1"/>
  <c r="E14" i="348" a="1"/>
  <c r="E14" i="348" s="1"/>
  <c r="C14" i="348"/>
  <c r="S13" i="348" a="1"/>
  <c r="S13" i="348" s="1"/>
  <c r="R13" i="348" a="1"/>
  <c r="R13" i="348" s="1"/>
  <c r="Q13" i="348" a="1"/>
  <c r="Q13" i="348" s="1"/>
  <c r="P13" i="348" a="1"/>
  <c r="P13" i="348" s="1"/>
  <c r="O13" i="348" a="1"/>
  <c r="O13" i="348" s="1"/>
  <c r="M13" i="348" a="1"/>
  <c r="M13" i="348" s="1"/>
  <c r="L13" i="348" a="1"/>
  <c r="L13" i="348" s="1"/>
  <c r="K13" i="348" a="1"/>
  <c r="K13" i="348" s="1"/>
  <c r="J13" i="348" a="1"/>
  <c r="J13" i="348" s="1"/>
  <c r="H13" i="348" a="1"/>
  <c r="H13" i="348" s="1"/>
  <c r="G13" i="348" a="1"/>
  <c r="G13" i="348" s="1"/>
  <c r="F13" i="348" a="1"/>
  <c r="F13" i="348" s="1"/>
  <c r="E13" i="348" a="1"/>
  <c r="E13" i="348" s="1"/>
  <c r="C13" i="348"/>
  <c r="S12" i="348" a="1"/>
  <c r="S12" i="348" s="1"/>
  <c r="R12" i="348" a="1"/>
  <c r="R12" i="348" s="1"/>
  <c r="Q12" i="348" a="1"/>
  <c r="Q12" i="348" s="1"/>
  <c r="P12" i="348" a="1"/>
  <c r="P12" i="348" s="1"/>
  <c r="O12" i="348" a="1"/>
  <c r="O12" i="348" s="1"/>
  <c r="M12" i="348" a="1"/>
  <c r="M12" i="348" s="1"/>
  <c r="L12" i="348" a="1"/>
  <c r="L12" i="348" s="1"/>
  <c r="K12" i="348" a="1"/>
  <c r="K12" i="348" s="1"/>
  <c r="J12" i="348" a="1"/>
  <c r="J12" i="348" s="1"/>
  <c r="H12" i="348" a="1"/>
  <c r="H12" i="348" s="1"/>
  <c r="G12" i="348" a="1"/>
  <c r="G12" i="348" s="1"/>
  <c r="F12" i="348" a="1"/>
  <c r="F12" i="348" s="1"/>
  <c r="E12" i="348" a="1"/>
  <c r="E12" i="348" s="1"/>
  <c r="C12" i="348"/>
  <c r="S11" i="348" a="1"/>
  <c r="S11" i="348" s="1"/>
  <c r="R11" i="348" a="1"/>
  <c r="R11" i="348" s="1"/>
  <c r="Q11" i="348" a="1"/>
  <c r="Q11" i="348" s="1"/>
  <c r="P11" i="348" a="1"/>
  <c r="P11" i="348" s="1"/>
  <c r="O11" i="348" a="1"/>
  <c r="O11" i="348" s="1"/>
  <c r="M11" i="348" a="1"/>
  <c r="M11" i="348" s="1"/>
  <c r="L11" i="348" a="1"/>
  <c r="L11" i="348" s="1"/>
  <c r="K11" i="348" a="1"/>
  <c r="K11" i="348" s="1"/>
  <c r="J11" i="348" a="1"/>
  <c r="J11" i="348" s="1"/>
  <c r="H11" i="348" a="1"/>
  <c r="H11" i="348" s="1"/>
  <c r="G11" i="348" a="1"/>
  <c r="G11" i="348" s="1"/>
  <c r="F11" i="348" a="1"/>
  <c r="F11" i="348" s="1"/>
  <c r="E11" i="348" a="1"/>
  <c r="E11" i="348" s="1"/>
  <c r="C11" i="348"/>
  <c r="S10" i="348" a="1"/>
  <c r="S10" i="348" s="1"/>
  <c r="R10" i="348" a="1"/>
  <c r="R10" i="348" s="1"/>
  <c r="Q10" i="348" a="1"/>
  <c r="Q10" i="348" s="1"/>
  <c r="P10" i="348" a="1"/>
  <c r="P10" i="348" s="1"/>
  <c r="O10" i="348" a="1"/>
  <c r="O10" i="348" s="1"/>
  <c r="M10" i="348" a="1"/>
  <c r="M10" i="348" s="1"/>
  <c r="L10" i="348" a="1"/>
  <c r="L10" i="348" s="1"/>
  <c r="K10" i="348" a="1"/>
  <c r="K10" i="348" s="1"/>
  <c r="J10" i="348" a="1"/>
  <c r="J10" i="348" s="1"/>
  <c r="H10" i="348" a="1"/>
  <c r="H10" i="348" s="1"/>
  <c r="G10" i="348" a="1"/>
  <c r="G10" i="348" s="1"/>
  <c r="F10" i="348" a="1"/>
  <c r="F10" i="348" s="1"/>
  <c r="E10" i="348" a="1"/>
  <c r="E10" i="348" s="1"/>
  <c r="C10" i="348"/>
  <c r="A10" i="348"/>
  <c r="A11" i="348" s="1"/>
  <c r="A12" i="348" s="1"/>
  <c r="A13" i="348" s="1"/>
  <c r="A14" i="348" s="1"/>
  <c r="A15" i="348" s="1"/>
  <c r="A16" i="348" s="1"/>
  <c r="A17" i="348" s="1"/>
  <c r="A18" i="348" s="1"/>
  <c r="A19" i="348" s="1"/>
  <c r="A20" i="348" s="1"/>
  <c r="A21" i="348" s="1"/>
  <c r="A22" i="348" s="1"/>
  <c r="A23" i="348" s="1"/>
  <c r="A24" i="348" s="1"/>
  <c r="A25" i="348" s="1"/>
  <c r="A26" i="348" s="1"/>
  <c r="A27" i="348" s="1"/>
  <c r="A28" i="348" s="1"/>
  <c r="A29" i="348" s="1"/>
  <c r="A30" i="348" s="1"/>
  <c r="A31" i="348" s="1"/>
  <c r="S9" i="348" a="1"/>
  <c r="S9" i="348" s="1"/>
  <c r="R9" i="348" a="1"/>
  <c r="R9" i="348" s="1"/>
  <c r="Q9" i="348" a="1"/>
  <c r="Q9" i="348" s="1"/>
  <c r="P9" i="348" a="1"/>
  <c r="P9" i="348" s="1"/>
  <c r="O9" i="348" a="1"/>
  <c r="O9" i="348" s="1"/>
  <c r="M9" i="348" a="1"/>
  <c r="M9" i="348" s="1"/>
  <c r="L9" i="348" a="1"/>
  <c r="L9" i="348" s="1"/>
  <c r="K9" i="348" a="1"/>
  <c r="K9" i="348" s="1"/>
  <c r="J9" i="348" a="1"/>
  <c r="J9" i="348" s="1"/>
  <c r="H9" i="348" a="1"/>
  <c r="H9" i="348" s="1"/>
  <c r="G9" i="348" a="1"/>
  <c r="G9" i="348" s="1"/>
  <c r="F9" i="348" a="1"/>
  <c r="F9" i="348" s="1"/>
  <c r="E9" i="348" a="1"/>
  <c r="E9" i="348" s="1"/>
  <c r="C9" i="348"/>
  <c r="T109" i="347" a="1"/>
  <c r="T109" i="347" s="1"/>
  <c r="S109" i="347" a="1"/>
  <c r="S109" i="347" s="1"/>
  <c r="R109" i="347" a="1"/>
  <c r="R109" i="347" s="1"/>
  <c r="Q109" i="347" a="1"/>
  <c r="Q109" i="347" s="1"/>
  <c r="P109" i="347" a="1"/>
  <c r="P109" i="347" s="1"/>
  <c r="N109" i="347" a="1"/>
  <c r="N109" i="347" s="1"/>
  <c r="M109" i="347" a="1"/>
  <c r="M109" i="347" s="1"/>
  <c r="L109" i="347" a="1"/>
  <c r="L109" i="347" s="1"/>
  <c r="K109" i="347" a="1"/>
  <c r="K109" i="347" s="1"/>
  <c r="I109" i="347" a="1"/>
  <c r="I109" i="347" s="1"/>
  <c r="H109" i="347" a="1"/>
  <c r="H109" i="347" s="1"/>
  <c r="G109" i="347" a="1"/>
  <c r="G109" i="347" s="1"/>
  <c r="F109" i="347" a="1"/>
  <c r="F109" i="347" s="1"/>
  <c r="E109" i="347" a="1"/>
  <c r="E109" i="347" s="1"/>
  <c r="C109" i="347"/>
  <c r="T108" i="347" a="1"/>
  <c r="T108" i="347" s="1"/>
  <c r="S108" i="347" a="1"/>
  <c r="S108" i="347" s="1"/>
  <c r="R108" i="347" a="1"/>
  <c r="R108" i="347" s="1"/>
  <c r="Q108" i="347" a="1"/>
  <c r="Q108" i="347" s="1"/>
  <c r="P108" i="347" a="1"/>
  <c r="P108" i="347" s="1"/>
  <c r="N108" i="347" a="1"/>
  <c r="N108" i="347" s="1"/>
  <c r="M108" i="347" a="1"/>
  <c r="M108" i="347" s="1"/>
  <c r="L108" i="347" a="1"/>
  <c r="L108" i="347" s="1"/>
  <c r="K108" i="347" a="1"/>
  <c r="K108" i="347" s="1"/>
  <c r="I108" i="347" a="1"/>
  <c r="I108" i="347" s="1"/>
  <c r="H108" i="347" a="1"/>
  <c r="H108" i="347" s="1"/>
  <c r="G108" i="347" a="1"/>
  <c r="G108" i="347" s="1"/>
  <c r="F108" i="347" a="1"/>
  <c r="F108" i="347" s="1"/>
  <c r="E108" i="347" a="1"/>
  <c r="E108" i="347" s="1"/>
  <c r="C108" i="347"/>
  <c r="T107" i="347" a="1"/>
  <c r="T107" i="347" s="1"/>
  <c r="S107" i="347" a="1"/>
  <c r="S107" i="347" s="1"/>
  <c r="R107" i="347" a="1"/>
  <c r="R107" i="347" s="1"/>
  <c r="Q107" i="347" a="1"/>
  <c r="Q107" i="347" s="1"/>
  <c r="P107" i="347" a="1"/>
  <c r="P107" i="347" s="1"/>
  <c r="N107" i="347" a="1"/>
  <c r="N107" i="347" s="1"/>
  <c r="M107" i="347" a="1"/>
  <c r="M107" i="347" s="1"/>
  <c r="L107" i="347" a="1"/>
  <c r="L107" i="347" s="1"/>
  <c r="K107" i="347" a="1"/>
  <c r="K107" i="347" s="1"/>
  <c r="I107" i="347" a="1"/>
  <c r="I107" i="347" s="1"/>
  <c r="H107" i="347" a="1"/>
  <c r="H107" i="347" s="1"/>
  <c r="G107" i="347" a="1"/>
  <c r="G107" i="347" s="1"/>
  <c r="F107" i="347" a="1"/>
  <c r="F107" i="347" s="1"/>
  <c r="E107" i="347" a="1"/>
  <c r="E107" i="347" s="1"/>
  <c r="C107" i="347"/>
  <c r="T106" i="347" a="1"/>
  <c r="T106" i="347" s="1"/>
  <c r="S106" i="347" a="1"/>
  <c r="S106" i="347" s="1"/>
  <c r="R106" i="347" a="1"/>
  <c r="R106" i="347" s="1"/>
  <c r="Q106" i="347" a="1"/>
  <c r="Q106" i="347" s="1"/>
  <c r="P106" i="347" a="1"/>
  <c r="P106" i="347" s="1"/>
  <c r="N106" i="347" a="1"/>
  <c r="N106" i="347" s="1"/>
  <c r="M106" i="347" a="1"/>
  <c r="M106" i="347" s="1"/>
  <c r="L106" i="347" a="1"/>
  <c r="L106" i="347" s="1"/>
  <c r="K106" i="347" a="1"/>
  <c r="K106" i="347" s="1"/>
  <c r="I106" i="347" a="1"/>
  <c r="I106" i="347" s="1"/>
  <c r="H106" i="347" a="1"/>
  <c r="H106" i="347" s="1"/>
  <c r="G106" i="347" a="1"/>
  <c r="G106" i="347" s="1"/>
  <c r="F106" i="347" a="1"/>
  <c r="F106" i="347" s="1"/>
  <c r="E106" i="347" a="1"/>
  <c r="E106" i="347" s="1"/>
  <c r="C106" i="347"/>
  <c r="T105" i="347" a="1"/>
  <c r="T105" i="347" s="1"/>
  <c r="S105" i="347" a="1"/>
  <c r="S105" i="347" s="1"/>
  <c r="R105" i="347" a="1"/>
  <c r="R105" i="347" s="1"/>
  <c r="Q105" i="347" a="1"/>
  <c r="Q105" i="347" s="1"/>
  <c r="P105" i="347" a="1"/>
  <c r="P105" i="347" s="1"/>
  <c r="N105" i="347" a="1"/>
  <c r="N105" i="347" s="1"/>
  <c r="M105" i="347" a="1"/>
  <c r="M105" i="347" s="1"/>
  <c r="L105" i="347" a="1"/>
  <c r="L105" i="347" s="1"/>
  <c r="K105" i="347" a="1"/>
  <c r="K105" i="347" s="1"/>
  <c r="I105" i="347" a="1"/>
  <c r="I105" i="347" s="1"/>
  <c r="H105" i="347" a="1"/>
  <c r="H105" i="347" s="1"/>
  <c r="G105" i="347" a="1"/>
  <c r="G105" i="347" s="1"/>
  <c r="F105" i="347" a="1"/>
  <c r="F105" i="347" s="1"/>
  <c r="E105" i="347" a="1"/>
  <c r="E105" i="347" s="1"/>
  <c r="C105" i="347"/>
  <c r="T104" i="347" a="1"/>
  <c r="T104" i="347" s="1"/>
  <c r="S104" i="347" a="1"/>
  <c r="S104" i="347" s="1"/>
  <c r="R104" i="347" a="1"/>
  <c r="R104" i="347" s="1"/>
  <c r="Q104" i="347" a="1"/>
  <c r="Q104" i="347" s="1"/>
  <c r="P104" i="347" a="1"/>
  <c r="P104" i="347" s="1"/>
  <c r="N104" i="347" a="1"/>
  <c r="N104" i="347" s="1"/>
  <c r="M104" i="347" a="1"/>
  <c r="M104" i="347" s="1"/>
  <c r="L104" i="347" a="1"/>
  <c r="L104" i="347" s="1"/>
  <c r="K104" i="347" a="1"/>
  <c r="K104" i="347" s="1"/>
  <c r="I104" i="347" a="1"/>
  <c r="I104" i="347" s="1"/>
  <c r="H104" i="347" a="1"/>
  <c r="H104" i="347" s="1"/>
  <c r="G104" i="347" a="1"/>
  <c r="G104" i="347" s="1"/>
  <c r="F104" i="347" a="1"/>
  <c r="F104" i="347" s="1"/>
  <c r="E104" i="347" a="1"/>
  <c r="E104" i="347" s="1"/>
  <c r="C104" i="347"/>
  <c r="T103" i="347" a="1"/>
  <c r="T103" i="347" s="1"/>
  <c r="S103" i="347" a="1"/>
  <c r="S103" i="347" s="1"/>
  <c r="R103" i="347" a="1"/>
  <c r="R103" i="347" s="1"/>
  <c r="Q103" i="347" a="1"/>
  <c r="Q103" i="347" s="1"/>
  <c r="P103" i="347" a="1"/>
  <c r="P103" i="347" s="1"/>
  <c r="N103" i="347" a="1"/>
  <c r="N103" i="347" s="1"/>
  <c r="M103" i="347" a="1"/>
  <c r="M103" i="347" s="1"/>
  <c r="L103" i="347" a="1"/>
  <c r="L103" i="347" s="1"/>
  <c r="K103" i="347" a="1"/>
  <c r="K103" i="347" s="1"/>
  <c r="I103" i="347" a="1"/>
  <c r="I103" i="347" s="1"/>
  <c r="H103" i="347" a="1"/>
  <c r="H103" i="347" s="1"/>
  <c r="G103" i="347" a="1"/>
  <c r="G103" i="347" s="1"/>
  <c r="F103" i="347" a="1"/>
  <c r="F103" i="347" s="1"/>
  <c r="E103" i="347" a="1"/>
  <c r="E103" i="347" s="1"/>
  <c r="C103" i="347"/>
  <c r="T102" i="347" a="1"/>
  <c r="T102" i="347" s="1"/>
  <c r="S102" i="347" a="1"/>
  <c r="S102" i="347" s="1"/>
  <c r="R102" i="347" a="1"/>
  <c r="R102" i="347" s="1"/>
  <c r="Q102" i="347" a="1"/>
  <c r="Q102" i="347" s="1"/>
  <c r="P102" i="347" a="1"/>
  <c r="P102" i="347" s="1"/>
  <c r="N102" i="347" a="1"/>
  <c r="N102" i="347" s="1"/>
  <c r="M102" i="347" a="1"/>
  <c r="M102" i="347" s="1"/>
  <c r="L102" i="347" a="1"/>
  <c r="L102" i="347" s="1"/>
  <c r="K102" i="347" a="1"/>
  <c r="K102" i="347" s="1"/>
  <c r="I102" i="347" a="1"/>
  <c r="I102" i="347" s="1"/>
  <c r="H102" i="347" a="1"/>
  <c r="H102" i="347" s="1"/>
  <c r="G102" i="347" a="1"/>
  <c r="G102" i="347" s="1"/>
  <c r="F102" i="347" a="1"/>
  <c r="F102" i="347" s="1"/>
  <c r="E102" i="347" a="1"/>
  <c r="E102" i="347" s="1"/>
  <c r="C102" i="347"/>
  <c r="T101" i="347" a="1"/>
  <c r="T101" i="347" s="1"/>
  <c r="S101" i="347" a="1"/>
  <c r="S101" i="347" s="1"/>
  <c r="R101" i="347" a="1"/>
  <c r="R101" i="347" s="1"/>
  <c r="Q101" i="347" a="1"/>
  <c r="Q101" i="347" s="1"/>
  <c r="P101" i="347" a="1"/>
  <c r="P101" i="347" s="1"/>
  <c r="N101" i="347" a="1"/>
  <c r="N101" i="347" s="1"/>
  <c r="M101" i="347" a="1"/>
  <c r="M101" i="347" s="1"/>
  <c r="L101" i="347" a="1"/>
  <c r="L101" i="347" s="1"/>
  <c r="K101" i="347" a="1"/>
  <c r="K101" i="347" s="1"/>
  <c r="I101" i="347" a="1"/>
  <c r="I101" i="347" s="1"/>
  <c r="H101" i="347" a="1"/>
  <c r="H101" i="347" s="1"/>
  <c r="G101" i="347" a="1"/>
  <c r="G101" i="347" s="1"/>
  <c r="F101" i="347" a="1"/>
  <c r="F101" i="347" s="1"/>
  <c r="E101" i="347" a="1"/>
  <c r="E101" i="347" s="1"/>
  <c r="C101" i="347"/>
  <c r="T100" i="347" a="1"/>
  <c r="T100" i="347" s="1"/>
  <c r="S100" i="347" a="1"/>
  <c r="S100" i="347" s="1"/>
  <c r="R100" i="347" a="1"/>
  <c r="R100" i="347" s="1"/>
  <c r="Q100" i="347" a="1"/>
  <c r="Q100" i="347" s="1"/>
  <c r="P100" i="347" a="1"/>
  <c r="P100" i="347" s="1"/>
  <c r="N100" i="347" a="1"/>
  <c r="N100" i="347" s="1"/>
  <c r="M100" i="347" a="1"/>
  <c r="M100" i="347" s="1"/>
  <c r="L100" i="347" a="1"/>
  <c r="L100" i="347" s="1"/>
  <c r="K100" i="347" a="1"/>
  <c r="K100" i="347" s="1"/>
  <c r="I100" i="347" a="1"/>
  <c r="I100" i="347" s="1"/>
  <c r="H100" i="347" a="1"/>
  <c r="H100" i="347" s="1"/>
  <c r="G100" i="347" a="1"/>
  <c r="G100" i="347" s="1"/>
  <c r="F100" i="347" a="1"/>
  <c r="F100" i="347" s="1"/>
  <c r="E100" i="347" a="1"/>
  <c r="E100" i="347" s="1"/>
  <c r="C100" i="347"/>
  <c r="T99" i="347" a="1"/>
  <c r="T99" i="347" s="1"/>
  <c r="S99" i="347" a="1"/>
  <c r="S99" i="347" s="1"/>
  <c r="R99" i="347" a="1"/>
  <c r="R99" i="347" s="1"/>
  <c r="Q99" i="347" a="1"/>
  <c r="Q99" i="347" s="1"/>
  <c r="P99" i="347" a="1"/>
  <c r="P99" i="347" s="1"/>
  <c r="N99" i="347" a="1"/>
  <c r="N99" i="347" s="1"/>
  <c r="M99" i="347" a="1"/>
  <c r="M99" i="347" s="1"/>
  <c r="L99" i="347" a="1"/>
  <c r="L99" i="347" s="1"/>
  <c r="K99" i="347" a="1"/>
  <c r="K99" i="347" s="1"/>
  <c r="I99" i="347" a="1"/>
  <c r="I99" i="347" s="1"/>
  <c r="H99" i="347" a="1"/>
  <c r="H99" i="347" s="1"/>
  <c r="G99" i="347" a="1"/>
  <c r="G99" i="347" s="1"/>
  <c r="F99" i="347" a="1"/>
  <c r="F99" i="347" s="1"/>
  <c r="E99" i="347" a="1"/>
  <c r="E99" i="347" s="1"/>
  <c r="C99" i="347"/>
  <c r="T98" i="347" a="1"/>
  <c r="T98" i="347" s="1"/>
  <c r="S98" i="347" a="1"/>
  <c r="S98" i="347" s="1"/>
  <c r="R98" i="347" a="1"/>
  <c r="R98" i="347" s="1"/>
  <c r="Q98" i="347" a="1"/>
  <c r="Q98" i="347" s="1"/>
  <c r="P98" i="347" a="1"/>
  <c r="P98" i="347" s="1"/>
  <c r="N98" i="347" a="1"/>
  <c r="N98" i="347" s="1"/>
  <c r="M98" i="347" a="1"/>
  <c r="M98" i="347" s="1"/>
  <c r="L98" i="347" a="1"/>
  <c r="L98" i="347" s="1"/>
  <c r="K98" i="347" a="1"/>
  <c r="K98" i="347" s="1"/>
  <c r="I98" i="347" a="1"/>
  <c r="I98" i="347" s="1"/>
  <c r="H98" i="347" a="1"/>
  <c r="H98" i="347" s="1"/>
  <c r="G98" i="347" a="1"/>
  <c r="G98" i="347" s="1"/>
  <c r="F98" i="347" a="1"/>
  <c r="F98" i="347" s="1"/>
  <c r="E98" i="347" a="1"/>
  <c r="E98" i="347" s="1"/>
  <c r="C98" i="347"/>
  <c r="T97" i="347" a="1"/>
  <c r="T97" i="347" s="1"/>
  <c r="S97" i="347" a="1"/>
  <c r="S97" i="347" s="1"/>
  <c r="R97" i="347" a="1"/>
  <c r="R97" i="347" s="1"/>
  <c r="Q97" i="347" a="1"/>
  <c r="Q97" i="347" s="1"/>
  <c r="P97" i="347" a="1"/>
  <c r="P97" i="347" s="1"/>
  <c r="N97" i="347" a="1"/>
  <c r="N97" i="347" s="1"/>
  <c r="M97" i="347" a="1"/>
  <c r="M97" i="347" s="1"/>
  <c r="L97" i="347" a="1"/>
  <c r="L97" i="347" s="1"/>
  <c r="K97" i="347" a="1"/>
  <c r="K97" i="347" s="1"/>
  <c r="I97" i="347" a="1"/>
  <c r="I97" i="347" s="1"/>
  <c r="H97" i="347" a="1"/>
  <c r="H97" i="347" s="1"/>
  <c r="G97" i="347" a="1"/>
  <c r="G97" i="347" s="1"/>
  <c r="F97" i="347" a="1"/>
  <c r="F97" i="347" s="1"/>
  <c r="E97" i="347" a="1"/>
  <c r="E97" i="347" s="1"/>
  <c r="C97" i="347"/>
  <c r="T96" i="347" a="1"/>
  <c r="T96" i="347" s="1"/>
  <c r="S96" i="347" a="1"/>
  <c r="S96" i="347" s="1"/>
  <c r="R96" i="347" a="1"/>
  <c r="R96" i="347" s="1"/>
  <c r="Q96" i="347" a="1"/>
  <c r="Q96" i="347" s="1"/>
  <c r="P96" i="347" a="1"/>
  <c r="P96" i="347" s="1"/>
  <c r="N96" i="347" a="1"/>
  <c r="N96" i="347" s="1"/>
  <c r="M96" i="347" a="1"/>
  <c r="M96" i="347" s="1"/>
  <c r="L96" i="347" a="1"/>
  <c r="L96" i="347" s="1"/>
  <c r="K96" i="347" a="1"/>
  <c r="K96" i="347" s="1"/>
  <c r="I96" i="347" a="1"/>
  <c r="I96" i="347" s="1"/>
  <c r="H96" i="347" a="1"/>
  <c r="H96" i="347" s="1"/>
  <c r="G96" i="347" a="1"/>
  <c r="G96" i="347" s="1"/>
  <c r="F96" i="347" a="1"/>
  <c r="F96" i="347" s="1"/>
  <c r="E96" i="347" a="1"/>
  <c r="E96" i="347" s="1"/>
  <c r="C96" i="347"/>
  <c r="T95" i="347" a="1"/>
  <c r="T95" i="347" s="1"/>
  <c r="S95" i="347" a="1"/>
  <c r="S95" i="347" s="1"/>
  <c r="R95" i="347" a="1"/>
  <c r="R95" i="347" s="1"/>
  <c r="Q95" i="347" a="1"/>
  <c r="Q95" i="347" s="1"/>
  <c r="P95" i="347" a="1"/>
  <c r="P95" i="347" s="1"/>
  <c r="N95" i="347" a="1"/>
  <c r="N95" i="347" s="1"/>
  <c r="M95" i="347" a="1"/>
  <c r="M95" i="347" s="1"/>
  <c r="L95" i="347" a="1"/>
  <c r="L95" i="347" s="1"/>
  <c r="K95" i="347" a="1"/>
  <c r="K95" i="347" s="1"/>
  <c r="I95" i="347" a="1"/>
  <c r="I95" i="347" s="1"/>
  <c r="H95" i="347" a="1"/>
  <c r="H95" i="347" s="1"/>
  <c r="G95" i="347" a="1"/>
  <c r="G95" i="347" s="1"/>
  <c r="F95" i="347" a="1"/>
  <c r="F95" i="347" s="1"/>
  <c r="E95" i="347" a="1"/>
  <c r="E95" i="347" s="1"/>
  <c r="C95" i="347"/>
  <c r="T94" i="347" a="1"/>
  <c r="T94" i="347" s="1"/>
  <c r="S94" i="347" a="1"/>
  <c r="S94" i="347" s="1"/>
  <c r="R94" i="347" a="1"/>
  <c r="R94" i="347" s="1"/>
  <c r="Q94" i="347" a="1"/>
  <c r="Q94" i="347" s="1"/>
  <c r="P94" i="347" a="1"/>
  <c r="P94" i="347" s="1"/>
  <c r="N94" i="347" a="1"/>
  <c r="N94" i="347" s="1"/>
  <c r="M94" i="347" a="1"/>
  <c r="M94" i="347" s="1"/>
  <c r="L94" i="347" a="1"/>
  <c r="L94" i="347" s="1"/>
  <c r="K94" i="347" a="1"/>
  <c r="K94" i="347" s="1"/>
  <c r="I94" i="347" a="1"/>
  <c r="I94" i="347" s="1"/>
  <c r="H94" i="347" a="1"/>
  <c r="H94" i="347" s="1"/>
  <c r="G94" i="347" a="1"/>
  <c r="G94" i="347" s="1"/>
  <c r="F94" i="347" a="1"/>
  <c r="F94" i="347" s="1"/>
  <c r="E94" i="347" a="1"/>
  <c r="E94" i="347" s="1"/>
  <c r="C94" i="347"/>
  <c r="T93" i="347" a="1"/>
  <c r="T93" i="347" s="1"/>
  <c r="S93" i="347" a="1"/>
  <c r="S93" i="347" s="1"/>
  <c r="R93" i="347" a="1"/>
  <c r="R93" i="347" s="1"/>
  <c r="Q93" i="347" a="1"/>
  <c r="Q93" i="347" s="1"/>
  <c r="P93" i="347" a="1"/>
  <c r="P93" i="347" s="1"/>
  <c r="N93" i="347" a="1"/>
  <c r="N93" i="347" s="1"/>
  <c r="M93" i="347" a="1"/>
  <c r="M93" i="347" s="1"/>
  <c r="L93" i="347" a="1"/>
  <c r="L93" i="347" s="1"/>
  <c r="K93" i="347" a="1"/>
  <c r="K93" i="347" s="1"/>
  <c r="I93" i="347" a="1"/>
  <c r="I93" i="347" s="1"/>
  <c r="H93" i="347" a="1"/>
  <c r="H93" i="347" s="1"/>
  <c r="G93" i="347" a="1"/>
  <c r="G93" i="347" s="1"/>
  <c r="F93" i="347" a="1"/>
  <c r="F93" i="347" s="1"/>
  <c r="E93" i="347" a="1"/>
  <c r="E93" i="347" s="1"/>
  <c r="C93" i="347"/>
  <c r="T92" i="347" a="1"/>
  <c r="T92" i="347" s="1"/>
  <c r="S92" i="347" a="1"/>
  <c r="S92" i="347" s="1"/>
  <c r="R92" i="347" a="1"/>
  <c r="R92" i="347" s="1"/>
  <c r="Q92" i="347" a="1"/>
  <c r="Q92" i="347" s="1"/>
  <c r="P92" i="347" a="1"/>
  <c r="P92" i="347" s="1"/>
  <c r="N92" i="347" a="1"/>
  <c r="N92" i="347" s="1"/>
  <c r="M92" i="347" a="1"/>
  <c r="M92" i="347" s="1"/>
  <c r="L92" i="347" a="1"/>
  <c r="L92" i="347" s="1"/>
  <c r="K92" i="347" a="1"/>
  <c r="K92" i="347" s="1"/>
  <c r="I92" i="347" a="1"/>
  <c r="I92" i="347" s="1"/>
  <c r="H92" i="347" a="1"/>
  <c r="H92" i="347" s="1"/>
  <c r="G92" i="347" a="1"/>
  <c r="G92" i="347" s="1"/>
  <c r="F92" i="347" a="1"/>
  <c r="F92" i="347" s="1"/>
  <c r="E92" i="347" a="1"/>
  <c r="E92" i="347" s="1"/>
  <c r="C92" i="347"/>
  <c r="T91" i="347" a="1"/>
  <c r="T91" i="347" s="1"/>
  <c r="S91" i="347" a="1"/>
  <c r="S91" i="347" s="1"/>
  <c r="R91" i="347" a="1"/>
  <c r="R91" i="347" s="1"/>
  <c r="Q91" i="347" a="1"/>
  <c r="Q91" i="347" s="1"/>
  <c r="P91" i="347" a="1"/>
  <c r="P91" i="347" s="1"/>
  <c r="N91" i="347" a="1"/>
  <c r="N91" i="347" s="1"/>
  <c r="M91" i="347" a="1"/>
  <c r="M91" i="347" s="1"/>
  <c r="L91" i="347" a="1"/>
  <c r="L91" i="347" s="1"/>
  <c r="K91" i="347" a="1"/>
  <c r="K91" i="347" s="1"/>
  <c r="I91" i="347" a="1"/>
  <c r="I91" i="347" s="1"/>
  <c r="H91" i="347" a="1"/>
  <c r="H91" i="347" s="1"/>
  <c r="G91" i="347" a="1"/>
  <c r="G91" i="347" s="1"/>
  <c r="F91" i="347" a="1"/>
  <c r="F91" i="347" s="1"/>
  <c r="E91" i="347" a="1"/>
  <c r="E91" i="347" s="1"/>
  <c r="C91" i="347"/>
  <c r="T90" i="347" a="1"/>
  <c r="T90" i="347" s="1"/>
  <c r="S90" i="347" a="1"/>
  <c r="S90" i="347" s="1"/>
  <c r="R90" i="347" a="1"/>
  <c r="R90" i="347" s="1"/>
  <c r="Q90" i="347" a="1"/>
  <c r="Q90" i="347" s="1"/>
  <c r="P90" i="347" a="1"/>
  <c r="P90" i="347" s="1"/>
  <c r="N90" i="347" a="1"/>
  <c r="N90" i="347" s="1"/>
  <c r="M90" i="347" a="1"/>
  <c r="M90" i="347" s="1"/>
  <c r="L90" i="347" a="1"/>
  <c r="L90" i="347" s="1"/>
  <c r="K90" i="347" a="1"/>
  <c r="K90" i="347" s="1"/>
  <c r="I90" i="347" a="1"/>
  <c r="I90" i="347" s="1"/>
  <c r="H90" i="347" a="1"/>
  <c r="H90" i="347" s="1"/>
  <c r="G90" i="347" a="1"/>
  <c r="G90" i="347" s="1"/>
  <c r="F90" i="347" a="1"/>
  <c r="F90" i="347" s="1"/>
  <c r="E90" i="347" a="1"/>
  <c r="E90" i="347" s="1"/>
  <c r="C90" i="347"/>
  <c r="T89" i="347" a="1"/>
  <c r="T89" i="347" s="1"/>
  <c r="S89" i="347" a="1"/>
  <c r="S89" i="347" s="1"/>
  <c r="R89" i="347" a="1"/>
  <c r="R89" i="347" s="1"/>
  <c r="Q89" i="347" a="1"/>
  <c r="Q89" i="347" s="1"/>
  <c r="P89" i="347" a="1"/>
  <c r="P89" i="347" s="1"/>
  <c r="N89" i="347" a="1"/>
  <c r="N89" i="347" s="1"/>
  <c r="M89" i="347" a="1"/>
  <c r="M89" i="347" s="1"/>
  <c r="L89" i="347" a="1"/>
  <c r="L89" i="347" s="1"/>
  <c r="K89" i="347" a="1"/>
  <c r="K89" i="347" s="1"/>
  <c r="I89" i="347" a="1"/>
  <c r="I89" i="347" s="1"/>
  <c r="H89" i="347" a="1"/>
  <c r="H89" i="347" s="1"/>
  <c r="G89" i="347" a="1"/>
  <c r="G89" i="347" s="1"/>
  <c r="F89" i="347" a="1"/>
  <c r="F89" i="347" s="1"/>
  <c r="E89" i="347" a="1"/>
  <c r="E89" i="347" s="1"/>
  <c r="C89" i="347"/>
  <c r="T88" i="347" a="1"/>
  <c r="T88" i="347" s="1"/>
  <c r="S88" i="347" a="1"/>
  <c r="S88" i="347" s="1"/>
  <c r="R88" i="347" a="1"/>
  <c r="R88" i="347" s="1"/>
  <c r="Q88" i="347" a="1"/>
  <c r="Q88" i="347" s="1"/>
  <c r="P88" i="347" a="1"/>
  <c r="P88" i="347" s="1"/>
  <c r="N88" i="347" a="1"/>
  <c r="N88" i="347" s="1"/>
  <c r="M88" i="347" a="1"/>
  <c r="M88" i="347" s="1"/>
  <c r="L88" i="347" a="1"/>
  <c r="L88" i="347" s="1"/>
  <c r="K88" i="347" a="1"/>
  <c r="K88" i="347" s="1"/>
  <c r="I88" i="347" a="1"/>
  <c r="I88" i="347" s="1"/>
  <c r="H88" i="347" a="1"/>
  <c r="H88" i="347" s="1"/>
  <c r="G88" i="347" a="1"/>
  <c r="G88" i="347" s="1"/>
  <c r="F88" i="347" a="1"/>
  <c r="F88" i="347" s="1"/>
  <c r="E88" i="347" a="1"/>
  <c r="E88" i="347" s="1"/>
  <c r="C88" i="347"/>
  <c r="T87" i="347" a="1"/>
  <c r="T87" i="347" s="1"/>
  <c r="S87" i="347" a="1"/>
  <c r="S87" i="347" s="1"/>
  <c r="R87" i="347" a="1"/>
  <c r="R87" i="347" s="1"/>
  <c r="Q87" i="347" a="1"/>
  <c r="Q87" i="347" s="1"/>
  <c r="P87" i="347" a="1"/>
  <c r="P87" i="347" s="1"/>
  <c r="N87" i="347" a="1"/>
  <c r="N87" i="347" s="1"/>
  <c r="M87" i="347" a="1"/>
  <c r="M87" i="347" s="1"/>
  <c r="L87" i="347" a="1"/>
  <c r="L87" i="347" s="1"/>
  <c r="K87" i="347" a="1"/>
  <c r="K87" i="347" s="1"/>
  <c r="I87" i="347" a="1"/>
  <c r="I87" i="347" s="1"/>
  <c r="H87" i="347" a="1"/>
  <c r="H87" i="347" s="1"/>
  <c r="G87" i="347" a="1"/>
  <c r="G87" i="347" s="1"/>
  <c r="F87" i="347" a="1"/>
  <c r="F87" i="347" s="1"/>
  <c r="E87" i="347" a="1"/>
  <c r="E87" i="347" s="1"/>
  <c r="C87" i="347"/>
  <c r="T86" i="347" a="1"/>
  <c r="T86" i="347" s="1"/>
  <c r="S86" i="347" a="1"/>
  <c r="S86" i="347" s="1"/>
  <c r="R86" i="347" a="1"/>
  <c r="R86" i="347" s="1"/>
  <c r="Q86" i="347" a="1"/>
  <c r="Q86" i="347" s="1"/>
  <c r="P86" i="347" a="1"/>
  <c r="P86" i="347" s="1"/>
  <c r="N86" i="347" a="1"/>
  <c r="N86" i="347" s="1"/>
  <c r="M86" i="347" a="1"/>
  <c r="M86" i="347" s="1"/>
  <c r="L86" i="347" a="1"/>
  <c r="L86" i="347" s="1"/>
  <c r="K86" i="347" a="1"/>
  <c r="K86" i="347" s="1"/>
  <c r="I86" i="347" a="1"/>
  <c r="I86" i="347" s="1"/>
  <c r="H86" i="347" a="1"/>
  <c r="H86" i="347" s="1"/>
  <c r="G86" i="347" a="1"/>
  <c r="G86" i="347" s="1"/>
  <c r="F86" i="347" a="1"/>
  <c r="F86" i="347" s="1"/>
  <c r="E86" i="347" a="1"/>
  <c r="E86" i="347" s="1"/>
  <c r="C86" i="347"/>
  <c r="T85" i="347" a="1"/>
  <c r="T85" i="347" s="1"/>
  <c r="S85" i="347" a="1"/>
  <c r="S85" i="347" s="1"/>
  <c r="R85" i="347" a="1"/>
  <c r="R85" i="347" s="1"/>
  <c r="Q85" i="347" a="1"/>
  <c r="Q85" i="347" s="1"/>
  <c r="P85" i="347" a="1"/>
  <c r="P85" i="347" s="1"/>
  <c r="N85" i="347" a="1"/>
  <c r="N85" i="347" s="1"/>
  <c r="M85" i="347" a="1"/>
  <c r="M85" i="347" s="1"/>
  <c r="L85" i="347" a="1"/>
  <c r="L85" i="347" s="1"/>
  <c r="K85" i="347" a="1"/>
  <c r="K85" i="347" s="1"/>
  <c r="I85" i="347" a="1"/>
  <c r="I85" i="347" s="1"/>
  <c r="H85" i="347" a="1"/>
  <c r="H85" i="347" s="1"/>
  <c r="G85" i="347" a="1"/>
  <c r="G85" i="347" s="1"/>
  <c r="F85" i="347" a="1"/>
  <c r="F85" i="347" s="1"/>
  <c r="E85" i="347" a="1"/>
  <c r="E85" i="347" s="1"/>
  <c r="C85" i="347"/>
  <c r="T84" i="347" a="1"/>
  <c r="T84" i="347" s="1"/>
  <c r="S84" i="347" a="1"/>
  <c r="S84" i="347" s="1"/>
  <c r="R84" i="347" a="1"/>
  <c r="R84" i="347" s="1"/>
  <c r="Q84" i="347" a="1"/>
  <c r="Q84" i="347" s="1"/>
  <c r="P84" i="347" a="1"/>
  <c r="P84" i="347" s="1"/>
  <c r="N84" i="347" a="1"/>
  <c r="N84" i="347" s="1"/>
  <c r="M84" i="347" a="1"/>
  <c r="M84" i="347" s="1"/>
  <c r="L84" i="347" a="1"/>
  <c r="L84" i="347" s="1"/>
  <c r="K84" i="347" a="1"/>
  <c r="K84" i="347" s="1"/>
  <c r="I84" i="347" a="1"/>
  <c r="I84" i="347" s="1"/>
  <c r="H84" i="347" a="1"/>
  <c r="H84" i="347" s="1"/>
  <c r="G84" i="347" a="1"/>
  <c r="G84" i="347" s="1"/>
  <c r="F84" i="347" a="1"/>
  <c r="F84" i="347" s="1"/>
  <c r="E84" i="347" a="1"/>
  <c r="E84" i="347" s="1"/>
  <c r="C84" i="347"/>
  <c r="T83" i="347" a="1"/>
  <c r="T83" i="347" s="1"/>
  <c r="S83" i="347" a="1"/>
  <c r="S83" i="347" s="1"/>
  <c r="R83" i="347" a="1"/>
  <c r="R83" i="347" s="1"/>
  <c r="Q83" i="347" a="1"/>
  <c r="Q83" i="347" s="1"/>
  <c r="P83" i="347" a="1"/>
  <c r="P83" i="347" s="1"/>
  <c r="N83" i="347" a="1"/>
  <c r="N83" i="347" s="1"/>
  <c r="M83" i="347" a="1"/>
  <c r="M83" i="347" s="1"/>
  <c r="L83" i="347" a="1"/>
  <c r="L83" i="347" s="1"/>
  <c r="K83" i="347" a="1"/>
  <c r="K83" i="347" s="1"/>
  <c r="I83" i="347" a="1"/>
  <c r="I83" i="347" s="1"/>
  <c r="H83" i="347" a="1"/>
  <c r="H83" i="347" s="1"/>
  <c r="G83" i="347" a="1"/>
  <c r="G83" i="347" s="1"/>
  <c r="F83" i="347" a="1"/>
  <c r="F83" i="347" s="1"/>
  <c r="E83" i="347" a="1"/>
  <c r="E83" i="347" s="1"/>
  <c r="C83" i="347"/>
  <c r="T82" i="347" a="1"/>
  <c r="T82" i="347" s="1"/>
  <c r="S82" i="347" a="1"/>
  <c r="S82" i="347" s="1"/>
  <c r="R82" i="347" a="1"/>
  <c r="R82" i="347" s="1"/>
  <c r="Q82" i="347" a="1"/>
  <c r="Q82" i="347" s="1"/>
  <c r="P82" i="347" a="1"/>
  <c r="P82" i="347" s="1"/>
  <c r="N82" i="347" a="1"/>
  <c r="N82" i="347" s="1"/>
  <c r="M82" i="347" a="1"/>
  <c r="M82" i="347" s="1"/>
  <c r="L82" i="347" a="1"/>
  <c r="L82" i="347" s="1"/>
  <c r="K82" i="347" a="1"/>
  <c r="K82" i="347" s="1"/>
  <c r="I82" i="347" a="1"/>
  <c r="I82" i="347" s="1"/>
  <c r="H82" i="347" a="1"/>
  <c r="H82" i="347" s="1"/>
  <c r="G82" i="347" a="1"/>
  <c r="G82" i="347" s="1"/>
  <c r="F82" i="347" a="1"/>
  <c r="F82" i="347" s="1"/>
  <c r="E82" i="347" a="1"/>
  <c r="E82" i="347" s="1"/>
  <c r="C82" i="347"/>
  <c r="T81" i="347" a="1"/>
  <c r="T81" i="347" s="1"/>
  <c r="S81" i="347" a="1"/>
  <c r="S81" i="347" s="1"/>
  <c r="R81" i="347" a="1"/>
  <c r="R81" i="347" s="1"/>
  <c r="Q81" i="347" a="1"/>
  <c r="Q81" i="347" s="1"/>
  <c r="P81" i="347" a="1"/>
  <c r="P81" i="347" s="1"/>
  <c r="N81" i="347" a="1"/>
  <c r="N81" i="347" s="1"/>
  <c r="M81" i="347" a="1"/>
  <c r="M81" i="347" s="1"/>
  <c r="L81" i="347" a="1"/>
  <c r="L81" i="347" s="1"/>
  <c r="K81" i="347" a="1"/>
  <c r="K81" i="347" s="1"/>
  <c r="I81" i="347" a="1"/>
  <c r="I81" i="347" s="1"/>
  <c r="H81" i="347" a="1"/>
  <c r="H81" i="347" s="1"/>
  <c r="G81" i="347" a="1"/>
  <c r="G81" i="347" s="1"/>
  <c r="F81" i="347" a="1"/>
  <c r="F81" i="347" s="1"/>
  <c r="E81" i="347" a="1"/>
  <c r="E81" i="347" s="1"/>
  <c r="C81" i="347"/>
  <c r="T80" i="347" a="1"/>
  <c r="T80" i="347" s="1"/>
  <c r="S80" i="347" a="1"/>
  <c r="S80" i="347" s="1"/>
  <c r="R80" i="347" a="1"/>
  <c r="R80" i="347" s="1"/>
  <c r="Q80" i="347" a="1"/>
  <c r="Q80" i="347" s="1"/>
  <c r="P80" i="347" a="1"/>
  <c r="P80" i="347" s="1"/>
  <c r="N80" i="347" a="1"/>
  <c r="N80" i="347" s="1"/>
  <c r="M80" i="347" a="1"/>
  <c r="M80" i="347" s="1"/>
  <c r="L80" i="347" a="1"/>
  <c r="L80" i="347" s="1"/>
  <c r="K80" i="347" a="1"/>
  <c r="K80" i="347" s="1"/>
  <c r="I80" i="347" a="1"/>
  <c r="I80" i="347" s="1"/>
  <c r="H80" i="347" a="1"/>
  <c r="H80" i="347" s="1"/>
  <c r="G80" i="347" a="1"/>
  <c r="G80" i="347" s="1"/>
  <c r="F80" i="347" a="1"/>
  <c r="F80" i="347" s="1"/>
  <c r="E80" i="347" a="1"/>
  <c r="E80" i="347" s="1"/>
  <c r="C80" i="347"/>
  <c r="T79" i="347" a="1"/>
  <c r="T79" i="347" s="1"/>
  <c r="S79" i="347" a="1"/>
  <c r="S79" i="347" s="1"/>
  <c r="R79" i="347" a="1"/>
  <c r="R79" i="347" s="1"/>
  <c r="Q79" i="347" a="1"/>
  <c r="Q79" i="347" s="1"/>
  <c r="P79" i="347" a="1"/>
  <c r="P79" i="347" s="1"/>
  <c r="N79" i="347" a="1"/>
  <c r="N79" i="347" s="1"/>
  <c r="M79" i="347" a="1"/>
  <c r="M79" i="347" s="1"/>
  <c r="L79" i="347" a="1"/>
  <c r="L79" i="347" s="1"/>
  <c r="K79" i="347" a="1"/>
  <c r="K79" i="347" s="1"/>
  <c r="I79" i="347" a="1"/>
  <c r="I79" i="347" s="1"/>
  <c r="H79" i="347" a="1"/>
  <c r="H79" i="347" s="1"/>
  <c r="G79" i="347" a="1"/>
  <c r="G79" i="347" s="1"/>
  <c r="F79" i="347" a="1"/>
  <c r="F79" i="347" s="1"/>
  <c r="E79" i="347" a="1"/>
  <c r="E79" i="347" s="1"/>
  <c r="C79" i="347"/>
  <c r="T78" i="347" a="1"/>
  <c r="T78" i="347" s="1"/>
  <c r="S78" i="347" a="1"/>
  <c r="S78" i="347" s="1"/>
  <c r="R78" i="347" a="1"/>
  <c r="R78" i="347" s="1"/>
  <c r="Q78" i="347" a="1"/>
  <c r="Q78" i="347" s="1"/>
  <c r="P78" i="347" a="1"/>
  <c r="P78" i="347" s="1"/>
  <c r="N78" i="347" a="1"/>
  <c r="N78" i="347" s="1"/>
  <c r="M78" i="347" a="1"/>
  <c r="M78" i="347" s="1"/>
  <c r="L78" i="347" a="1"/>
  <c r="L78" i="347" s="1"/>
  <c r="K78" i="347" a="1"/>
  <c r="K78" i="347" s="1"/>
  <c r="I78" i="347" a="1"/>
  <c r="I78" i="347" s="1"/>
  <c r="H78" i="347" a="1"/>
  <c r="H78" i="347" s="1"/>
  <c r="G78" i="347" a="1"/>
  <c r="G78" i="347" s="1"/>
  <c r="F78" i="347" a="1"/>
  <c r="F78" i="347" s="1"/>
  <c r="E78" i="347" a="1"/>
  <c r="E78" i="347" s="1"/>
  <c r="C78" i="347"/>
  <c r="T77" i="347" a="1"/>
  <c r="T77" i="347" s="1"/>
  <c r="S77" i="347" a="1"/>
  <c r="S77" i="347" s="1"/>
  <c r="R77" i="347" a="1"/>
  <c r="R77" i="347" s="1"/>
  <c r="Q77" i="347" a="1"/>
  <c r="Q77" i="347" s="1"/>
  <c r="P77" i="347" a="1"/>
  <c r="P77" i="347" s="1"/>
  <c r="N77" i="347" a="1"/>
  <c r="N77" i="347" s="1"/>
  <c r="M77" i="347" a="1"/>
  <c r="M77" i="347" s="1"/>
  <c r="L77" i="347" a="1"/>
  <c r="L77" i="347" s="1"/>
  <c r="K77" i="347" a="1"/>
  <c r="K77" i="347" s="1"/>
  <c r="I77" i="347" a="1"/>
  <c r="I77" i="347" s="1"/>
  <c r="H77" i="347" a="1"/>
  <c r="H77" i="347" s="1"/>
  <c r="G77" i="347" a="1"/>
  <c r="G77" i="347" s="1"/>
  <c r="F77" i="347" a="1"/>
  <c r="F77" i="347" s="1"/>
  <c r="E77" i="347" a="1"/>
  <c r="E77" i="347" s="1"/>
  <c r="C77" i="347"/>
  <c r="T76" i="347" a="1"/>
  <c r="T76" i="347" s="1"/>
  <c r="S76" i="347" a="1"/>
  <c r="S76" i="347" s="1"/>
  <c r="R76" i="347" a="1"/>
  <c r="R76" i="347" s="1"/>
  <c r="Q76" i="347" a="1"/>
  <c r="Q76" i="347" s="1"/>
  <c r="P76" i="347" a="1"/>
  <c r="P76" i="347" s="1"/>
  <c r="N76" i="347" a="1"/>
  <c r="N76" i="347" s="1"/>
  <c r="M76" i="347" a="1"/>
  <c r="M76" i="347" s="1"/>
  <c r="L76" i="347" a="1"/>
  <c r="L76" i="347" s="1"/>
  <c r="K76" i="347" a="1"/>
  <c r="K76" i="347" s="1"/>
  <c r="I76" i="347" a="1"/>
  <c r="I76" i="347" s="1"/>
  <c r="H76" i="347" a="1"/>
  <c r="H76" i="347" s="1"/>
  <c r="G76" i="347" a="1"/>
  <c r="G76" i="347" s="1"/>
  <c r="F76" i="347" a="1"/>
  <c r="F76" i="347" s="1"/>
  <c r="E76" i="347" a="1"/>
  <c r="E76" i="347" s="1"/>
  <c r="C76" i="347"/>
  <c r="T75" i="347" a="1"/>
  <c r="T75" i="347" s="1"/>
  <c r="S75" i="347" a="1"/>
  <c r="S75" i="347" s="1"/>
  <c r="R75" i="347" a="1"/>
  <c r="R75" i="347" s="1"/>
  <c r="Q75" i="347" a="1"/>
  <c r="Q75" i="347" s="1"/>
  <c r="P75" i="347" a="1"/>
  <c r="P75" i="347" s="1"/>
  <c r="N75" i="347" a="1"/>
  <c r="N75" i="347" s="1"/>
  <c r="M75" i="347" a="1"/>
  <c r="M75" i="347" s="1"/>
  <c r="L75" i="347" a="1"/>
  <c r="L75" i="347" s="1"/>
  <c r="K75" i="347" a="1"/>
  <c r="K75" i="347" s="1"/>
  <c r="I75" i="347" a="1"/>
  <c r="I75" i="347" s="1"/>
  <c r="H75" i="347" a="1"/>
  <c r="H75" i="347" s="1"/>
  <c r="G75" i="347" a="1"/>
  <c r="G75" i="347" s="1"/>
  <c r="F75" i="347" a="1"/>
  <c r="F75" i="347" s="1"/>
  <c r="E75" i="347" a="1"/>
  <c r="E75" i="347" s="1"/>
  <c r="C75" i="347"/>
  <c r="T74" i="347" a="1"/>
  <c r="T74" i="347" s="1"/>
  <c r="S74" i="347" a="1"/>
  <c r="S74" i="347" s="1"/>
  <c r="R74" i="347" a="1"/>
  <c r="R74" i="347" s="1"/>
  <c r="Q74" i="347" a="1"/>
  <c r="Q74" i="347" s="1"/>
  <c r="P74" i="347" a="1"/>
  <c r="P74" i="347" s="1"/>
  <c r="N74" i="347" a="1"/>
  <c r="N74" i="347" s="1"/>
  <c r="M74" i="347" a="1"/>
  <c r="M74" i="347" s="1"/>
  <c r="L74" i="347" a="1"/>
  <c r="L74" i="347" s="1"/>
  <c r="K74" i="347" a="1"/>
  <c r="K74" i="347" s="1"/>
  <c r="I74" i="347" a="1"/>
  <c r="I74" i="347" s="1"/>
  <c r="H74" i="347" a="1"/>
  <c r="H74" i="347" s="1"/>
  <c r="G74" i="347" a="1"/>
  <c r="G74" i="347" s="1"/>
  <c r="F74" i="347" a="1"/>
  <c r="F74" i="347" s="1"/>
  <c r="E74" i="347" a="1"/>
  <c r="E74" i="347" s="1"/>
  <c r="C74" i="347"/>
  <c r="T73" i="347" a="1"/>
  <c r="T73" i="347" s="1"/>
  <c r="S73" i="347" a="1"/>
  <c r="S73" i="347" s="1"/>
  <c r="R73" i="347" a="1"/>
  <c r="R73" i="347" s="1"/>
  <c r="Q73" i="347" a="1"/>
  <c r="Q73" i="347" s="1"/>
  <c r="P73" i="347" a="1"/>
  <c r="P73" i="347" s="1"/>
  <c r="N73" i="347" a="1"/>
  <c r="N73" i="347" s="1"/>
  <c r="M73" i="347" a="1"/>
  <c r="M73" i="347" s="1"/>
  <c r="L73" i="347" a="1"/>
  <c r="L73" i="347" s="1"/>
  <c r="K73" i="347" a="1"/>
  <c r="K73" i="347" s="1"/>
  <c r="I73" i="347" a="1"/>
  <c r="I73" i="347" s="1"/>
  <c r="H73" i="347" a="1"/>
  <c r="H73" i="347" s="1"/>
  <c r="G73" i="347" a="1"/>
  <c r="G73" i="347" s="1"/>
  <c r="F73" i="347" a="1"/>
  <c r="F73" i="347" s="1"/>
  <c r="E73" i="347" a="1"/>
  <c r="E73" i="347" s="1"/>
  <c r="C73" i="347"/>
  <c r="T72" i="347" a="1"/>
  <c r="T72" i="347" s="1"/>
  <c r="S72" i="347" a="1"/>
  <c r="S72" i="347" s="1"/>
  <c r="R72" i="347" a="1"/>
  <c r="R72" i="347" s="1"/>
  <c r="Q72" i="347" a="1"/>
  <c r="Q72" i="347" s="1"/>
  <c r="P72" i="347" a="1"/>
  <c r="P72" i="347" s="1"/>
  <c r="N72" i="347" a="1"/>
  <c r="N72" i="347" s="1"/>
  <c r="M72" i="347" a="1"/>
  <c r="M72" i="347" s="1"/>
  <c r="L72" i="347" a="1"/>
  <c r="L72" i="347" s="1"/>
  <c r="K72" i="347" a="1"/>
  <c r="K72" i="347" s="1"/>
  <c r="I72" i="347" a="1"/>
  <c r="I72" i="347" s="1"/>
  <c r="H72" i="347" a="1"/>
  <c r="H72" i="347" s="1"/>
  <c r="G72" i="347" a="1"/>
  <c r="G72" i="347" s="1"/>
  <c r="F72" i="347" a="1"/>
  <c r="F72" i="347" s="1"/>
  <c r="E72" i="347" a="1"/>
  <c r="E72" i="347" s="1"/>
  <c r="C72" i="347"/>
  <c r="T71" i="347" a="1"/>
  <c r="T71" i="347" s="1"/>
  <c r="S71" i="347" a="1"/>
  <c r="S71" i="347" s="1"/>
  <c r="R71" i="347" a="1"/>
  <c r="R71" i="347" s="1"/>
  <c r="Q71" i="347" a="1"/>
  <c r="Q71" i="347" s="1"/>
  <c r="P71" i="347" a="1"/>
  <c r="P71" i="347" s="1"/>
  <c r="N71" i="347" a="1"/>
  <c r="N71" i="347" s="1"/>
  <c r="M71" i="347" a="1"/>
  <c r="M71" i="347" s="1"/>
  <c r="L71" i="347" a="1"/>
  <c r="L71" i="347" s="1"/>
  <c r="K71" i="347" a="1"/>
  <c r="K71" i="347" s="1"/>
  <c r="I71" i="347" a="1"/>
  <c r="I71" i="347" s="1"/>
  <c r="H71" i="347" a="1"/>
  <c r="H71" i="347" s="1"/>
  <c r="G71" i="347" a="1"/>
  <c r="G71" i="347" s="1"/>
  <c r="F71" i="347" a="1"/>
  <c r="F71" i="347" s="1"/>
  <c r="E71" i="347" a="1"/>
  <c r="E71" i="347" s="1"/>
  <c r="C71" i="347"/>
  <c r="T70" i="347" a="1"/>
  <c r="T70" i="347" s="1"/>
  <c r="S70" i="347" a="1"/>
  <c r="S70" i="347" s="1"/>
  <c r="R70" i="347" a="1"/>
  <c r="R70" i="347" s="1"/>
  <c r="Q70" i="347" a="1"/>
  <c r="Q70" i="347" s="1"/>
  <c r="P70" i="347" a="1"/>
  <c r="P70" i="347" s="1"/>
  <c r="N70" i="347" a="1"/>
  <c r="N70" i="347" s="1"/>
  <c r="M70" i="347" a="1"/>
  <c r="M70" i="347" s="1"/>
  <c r="L70" i="347" a="1"/>
  <c r="L70" i="347" s="1"/>
  <c r="K70" i="347" a="1"/>
  <c r="K70" i="347" s="1"/>
  <c r="I70" i="347" a="1"/>
  <c r="I70" i="347" s="1"/>
  <c r="H70" i="347" a="1"/>
  <c r="H70" i="347" s="1"/>
  <c r="G70" i="347" a="1"/>
  <c r="G70" i="347" s="1"/>
  <c r="F70" i="347" a="1"/>
  <c r="F70" i="347" s="1"/>
  <c r="E70" i="347" a="1"/>
  <c r="E70" i="347" s="1"/>
  <c r="C70" i="347"/>
  <c r="T69" i="347" a="1"/>
  <c r="T69" i="347" s="1"/>
  <c r="S69" i="347" a="1"/>
  <c r="S69" i="347" s="1"/>
  <c r="R69" i="347" a="1"/>
  <c r="R69" i="347" s="1"/>
  <c r="Q69" i="347" a="1"/>
  <c r="Q69" i="347" s="1"/>
  <c r="P69" i="347" a="1"/>
  <c r="P69" i="347" s="1"/>
  <c r="N69" i="347" a="1"/>
  <c r="N69" i="347" s="1"/>
  <c r="M69" i="347" a="1"/>
  <c r="M69" i="347" s="1"/>
  <c r="L69" i="347" a="1"/>
  <c r="L69" i="347" s="1"/>
  <c r="K69" i="347" a="1"/>
  <c r="K69" i="347" s="1"/>
  <c r="I69" i="347" a="1"/>
  <c r="I69" i="347" s="1"/>
  <c r="H69" i="347" a="1"/>
  <c r="H69" i="347" s="1"/>
  <c r="G69" i="347" a="1"/>
  <c r="G69" i="347" s="1"/>
  <c r="F69" i="347" a="1"/>
  <c r="F69" i="347" s="1"/>
  <c r="E69" i="347" a="1"/>
  <c r="E69" i="347" s="1"/>
  <c r="C69" i="347"/>
  <c r="T68" i="347" a="1"/>
  <c r="T68" i="347" s="1"/>
  <c r="S68" i="347" a="1"/>
  <c r="S68" i="347" s="1"/>
  <c r="R68" i="347" a="1"/>
  <c r="R68" i="347" s="1"/>
  <c r="Q68" i="347" a="1"/>
  <c r="Q68" i="347" s="1"/>
  <c r="P68" i="347" a="1"/>
  <c r="P68" i="347" s="1"/>
  <c r="N68" i="347" a="1"/>
  <c r="N68" i="347" s="1"/>
  <c r="M68" i="347" a="1"/>
  <c r="M68" i="347" s="1"/>
  <c r="L68" i="347" a="1"/>
  <c r="L68" i="347" s="1"/>
  <c r="K68" i="347" a="1"/>
  <c r="K68" i="347" s="1"/>
  <c r="I68" i="347" a="1"/>
  <c r="I68" i="347" s="1"/>
  <c r="H68" i="347" a="1"/>
  <c r="H68" i="347" s="1"/>
  <c r="G68" i="347" a="1"/>
  <c r="G68" i="347" s="1"/>
  <c r="F68" i="347" a="1"/>
  <c r="F68" i="347" s="1"/>
  <c r="E68" i="347" a="1"/>
  <c r="E68" i="347" s="1"/>
  <c r="C68" i="347"/>
  <c r="T67" i="347" a="1"/>
  <c r="T67" i="347" s="1"/>
  <c r="S67" i="347" a="1"/>
  <c r="S67" i="347" s="1"/>
  <c r="R67" i="347" a="1"/>
  <c r="R67" i="347" s="1"/>
  <c r="Q67" i="347" a="1"/>
  <c r="Q67" i="347" s="1"/>
  <c r="P67" i="347" a="1"/>
  <c r="P67" i="347" s="1"/>
  <c r="N67" i="347" a="1"/>
  <c r="N67" i="347" s="1"/>
  <c r="M67" i="347" a="1"/>
  <c r="M67" i="347" s="1"/>
  <c r="L67" i="347" a="1"/>
  <c r="L67" i="347" s="1"/>
  <c r="K67" i="347" a="1"/>
  <c r="K67" i="347" s="1"/>
  <c r="I67" i="347" a="1"/>
  <c r="I67" i="347" s="1"/>
  <c r="H67" i="347" a="1"/>
  <c r="H67" i="347" s="1"/>
  <c r="G67" i="347" a="1"/>
  <c r="G67" i="347" s="1"/>
  <c r="F67" i="347" a="1"/>
  <c r="F67" i="347" s="1"/>
  <c r="E67" i="347" a="1"/>
  <c r="E67" i="347" s="1"/>
  <c r="C67" i="347"/>
  <c r="T66" i="347" a="1"/>
  <c r="T66" i="347" s="1"/>
  <c r="S66" i="347" a="1"/>
  <c r="S66" i="347" s="1"/>
  <c r="R66" i="347" a="1"/>
  <c r="R66" i="347" s="1"/>
  <c r="Q66" i="347" a="1"/>
  <c r="Q66" i="347" s="1"/>
  <c r="P66" i="347" a="1"/>
  <c r="P66" i="347" s="1"/>
  <c r="N66" i="347" a="1"/>
  <c r="N66" i="347" s="1"/>
  <c r="M66" i="347" a="1"/>
  <c r="M66" i="347" s="1"/>
  <c r="L66" i="347" a="1"/>
  <c r="L66" i="347" s="1"/>
  <c r="K66" i="347" a="1"/>
  <c r="K66" i="347" s="1"/>
  <c r="I66" i="347" a="1"/>
  <c r="I66" i="347" s="1"/>
  <c r="H66" i="347" a="1"/>
  <c r="H66" i="347" s="1"/>
  <c r="G66" i="347" a="1"/>
  <c r="G66" i="347" s="1"/>
  <c r="F66" i="347" a="1"/>
  <c r="F66" i="347" s="1"/>
  <c r="E66" i="347" a="1"/>
  <c r="E66" i="347" s="1"/>
  <c r="C66" i="347"/>
  <c r="T65" i="347" a="1"/>
  <c r="T65" i="347" s="1"/>
  <c r="S65" i="347" a="1"/>
  <c r="S65" i="347" s="1"/>
  <c r="R65" i="347" a="1"/>
  <c r="R65" i="347" s="1"/>
  <c r="Q65" i="347" a="1"/>
  <c r="Q65" i="347" s="1"/>
  <c r="P65" i="347" a="1"/>
  <c r="P65" i="347" s="1"/>
  <c r="N65" i="347" a="1"/>
  <c r="N65" i="347" s="1"/>
  <c r="M65" i="347" a="1"/>
  <c r="M65" i="347" s="1"/>
  <c r="L65" i="347" a="1"/>
  <c r="L65" i="347" s="1"/>
  <c r="K65" i="347" a="1"/>
  <c r="K65" i="347" s="1"/>
  <c r="I65" i="347" a="1"/>
  <c r="I65" i="347" s="1"/>
  <c r="H65" i="347" a="1"/>
  <c r="H65" i="347" s="1"/>
  <c r="G65" i="347" a="1"/>
  <c r="G65" i="347" s="1"/>
  <c r="F65" i="347" a="1"/>
  <c r="F65" i="347" s="1"/>
  <c r="E65" i="347" a="1"/>
  <c r="E65" i="347" s="1"/>
  <c r="C65" i="347"/>
  <c r="T64" i="347" a="1"/>
  <c r="T64" i="347" s="1"/>
  <c r="S64" i="347" a="1"/>
  <c r="S64" i="347" s="1"/>
  <c r="R64" i="347" a="1"/>
  <c r="R64" i="347" s="1"/>
  <c r="Q64" i="347" a="1"/>
  <c r="Q64" i="347" s="1"/>
  <c r="P64" i="347" a="1"/>
  <c r="P64" i="347" s="1"/>
  <c r="N64" i="347" a="1"/>
  <c r="N64" i="347" s="1"/>
  <c r="M64" i="347" a="1"/>
  <c r="M64" i="347" s="1"/>
  <c r="L64" i="347" a="1"/>
  <c r="L64" i="347" s="1"/>
  <c r="K64" i="347" a="1"/>
  <c r="K64" i="347" s="1"/>
  <c r="I64" i="347" a="1"/>
  <c r="I64" i="347" s="1"/>
  <c r="H64" i="347" a="1"/>
  <c r="H64" i="347" s="1"/>
  <c r="G64" i="347" a="1"/>
  <c r="G64" i="347" s="1"/>
  <c r="F64" i="347" a="1"/>
  <c r="F64" i="347" s="1"/>
  <c r="E64" i="347" a="1"/>
  <c r="E64" i="347" s="1"/>
  <c r="C64" i="347"/>
  <c r="A64" i="347"/>
  <c r="A65" i="347" s="1"/>
  <c r="A66" i="347" s="1"/>
  <c r="A67" i="347" s="1"/>
  <c r="A68" i="347" s="1"/>
  <c r="A69" i="347" s="1"/>
  <c r="A70" i="347" s="1"/>
  <c r="A71" i="347" s="1"/>
  <c r="A72" i="347" s="1"/>
  <c r="A73" i="347" s="1"/>
  <c r="A74" i="347" s="1"/>
  <c r="A75" i="347" s="1"/>
  <c r="A76" i="347" s="1"/>
  <c r="A77" i="347" s="1"/>
  <c r="A78" i="347" s="1"/>
  <c r="A79" i="347" s="1"/>
  <c r="A80" i="347" s="1"/>
  <c r="A81" i="347" s="1"/>
  <c r="A82" i="347" s="1"/>
  <c r="A83" i="347" s="1"/>
  <c r="A84" i="347" s="1"/>
  <c r="A85" i="347" s="1"/>
  <c r="A86" i="347" s="1"/>
  <c r="A87" i="347" s="1"/>
  <c r="A88" i="347" s="1"/>
  <c r="A89" i="347" s="1"/>
  <c r="A90" i="347" s="1"/>
  <c r="A91" i="347" s="1"/>
  <c r="A92" i="347" s="1"/>
  <c r="A93" i="347" s="1"/>
  <c r="A94" i="347" s="1"/>
  <c r="A95" i="347" s="1"/>
  <c r="A96" i="347" s="1"/>
  <c r="A97" i="347" s="1"/>
  <c r="A98" i="347" s="1"/>
  <c r="A99" i="347" s="1"/>
  <c r="A100" i="347" s="1"/>
  <c r="A101" i="347" s="1"/>
  <c r="A102" i="347" s="1"/>
  <c r="A103" i="347" s="1"/>
  <c r="A104" i="347" s="1"/>
  <c r="A105" i="347" s="1"/>
  <c r="A106" i="347" s="1"/>
  <c r="A107" i="347" s="1"/>
  <c r="A108" i="347" s="1"/>
  <c r="A109" i="347" s="1"/>
  <c r="T63" i="347" a="1"/>
  <c r="T63" i="347" s="1"/>
  <c r="S63" i="347" a="1"/>
  <c r="S63" i="347" s="1"/>
  <c r="R63" i="347" a="1"/>
  <c r="R63" i="347" s="1"/>
  <c r="Q63" i="347" a="1"/>
  <c r="Q63" i="347" s="1"/>
  <c r="P63" i="347" a="1"/>
  <c r="P63" i="347" s="1"/>
  <c r="N63" i="347" a="1"/>
  <c r="N63" i="347" s="1"/>
  <c r="M63" i="347" a="1"/>
  <c r="M63" i="347" s="1"/>
  <c r="L63" i="347" a="1"/>
  <c r="L63" i="347" s="1"/>
  <c r="K63" i="347" a="1"/>
  <c r="K63" i="347" s="1"/>
  <c r="I63" i="347" a="1"/>
  <c r="I63" i="347" s="1"/>
  <c r="H63" i="347" a="1"/>
  <c r="H63" i="347" s="1"/>
  <c r="G63" i="347" a="1"/>
  <c r="G63" i="347" s="1"/>
  <c r="F63" i="347" a="1"/>
  <c r="F63" i="347" s="1"/>
  <c r="E63" i="347" a="1"/>
  <c r="E63" i="347" s="1"/>
  <c r="C63" i="347"/>
  <c r="T60" i="347" a="1"/>
  <c r="T60" i="347" s="1"/>
  <c r="S60" i="347" a="1"/>
  <c r="S60" i="347" s="1"/>
  <c r="R60" i="347" a="1"/>
  <c r="R60" i="347" s="1"/>
  <c r="Q60" i="347" a="1"/>
  <c r="Q60" i="347" s="1"/>
  <c r="P60" i="347" a="1"/>
  <c r="P60" i="347" s="1"/>
  <c r="N60" i="347" a="1"/>
  <c r="N60" i="347" s="1"/>
  <c r="M60" i="347" a="1"/>
  <c r="M60" i="347" s="1"/>
  <c r="L60" i="347" a="1"/>
  <c r="L60" i="347" s="1"/>
  <c r="K60" i="347" a="1"/>
  <c r="K60" i="347" s="1"/>
  <c r="I60" i="347" a="1"/>
  <c r="I60" i="347" s="1"/>
  <c r="H60" i="347" a="1"/>
  <c r="H60" i="347" s="1"/>
  <c r="G60" i="347" a="1"/>
  <c r="G60" i="347" s="1"/>
  <c r="F60" i="347" a="1"/>
  <c r="F60" i="347" s="1"/>
  <c r="E60" i="347" a="1"/>
  <c r="E60" i="347" s="1"/>
  <c r="C60" i="347"/>
  <c r="T59" i="347" a="1"/>
  <c r="T59" i="347" s="1"/>
  <c r="S59" i="347" a="1"/>
  <c r="S59" i="347" s="1"/>
  <c r="R59" i="347" a="1"/>
  <c r="R59" i="347" s="1"/>
  <c r="Q59" i="347" a="1"/>
  <c r="Q59" i="347" s="1"/>
  <c r="P59" i="347" a="1"/>
  <c r="P59" i="347" s="1"/>
  <c r="N59" i="347" a="1"/>
  <c r="N59" i="347" s="1"/>
  <c r="M59" i="347" a="1"/>
  <c r="M59" i="347" s="1"/>
  <c r="L59" i="347" a="1"/>
  <c r="L59" i="347" s="1"/>
  <c r="K59" i="347" a="1"/>
  <c r="K59" i="347" s="1"/>
  <c r="I59" i="347" a="1"/>
  <c r="I59" i="347" s="1"/>
  <c r="H59" i="347" a="1"/>
  <c r="H59" i="347" s="1"/>
  <c r="G59" i="347" a="1"/>
  <c r="G59" i="347" s="1"/>
  <c r="F59" i="347" a="1"/>
  <c r="F59" i="347" s="1"/>
  <c r="E59" i="347" a="1"/>
  <c r="E59" i="347" s="1"/>
  <c r="C59" i="347"/>
  <c r="T58" i="347" a="1"/>
  <c r="T58" i="347" s="1"/>
  <c r="S58" i="347" a="1"/>
  <c r="S58" i="347" s="1"/>
  <c r="R58" i="347" a="1"/>
  <c r="R58" i="347" s="1"/>
  <c r="Q58" i="347" a="1"/>
  <c r="Q58" i="347" s="1"/>
  <c r="P58" i="347" a="1"/>
  <c r="P58" i="347" s="1"/>
  <c r="N58" i="347" a="1"/>
  <c r="N58" i="347" s="1"/>
  <c r="M58" i="347" a="1"/>
  <c r="M58" i="347" s="1"/>
  <c r="L58" i="347" a="1"/>
  <c r="L58" i="347" s="1"/>
  <c r="K58" i="347" a="1"/>
  <c r="K58" i="347" s="1"/>
  <c r="I58" i="347" a="1"/>
  <c r="I58" i="347" s="1"/>
  <c r="H58" i="347" a="1"/>
  <c r="H58" i="347" s="1"/>
  <c r="G58" i="347" a="1"/>
  <c r="G58" i="347" s="1"/>
  <c r="F58" i="347" a="1"/>
  <c r="F58" i="347" s="1"/>
  <c r="E58" i="347" a="1"/>
  <c r="E58" i="347" s="1"/>
  <c r="C58" i="347"/>
  <c r="T57" i="347" a="1"/>
  <c r="T57" i="347" s="1"/>
  <c r="S57" i="347" a="1"/>
  <c r="S57" i="347" s="1"/>
  <c r="R57" i="347" a="1"/>
  <c r="R57" i="347" s="1"/>
  <c r="Q57" i="347" a="1"/>
  <c r="Q57" i="347" s="1"/>
  <c r="P57" i="347" a="1"/>
  <c r="P57" i="347" s="1"/>
  <c r="N57" i="347" a="1"/>
  <c r="N57" i="347" s="1"/>
  <c r="M57" i="347" a="1"/>
  <c r="M57" i="347" s="1"/>
  <c r="L57" i="347" a="1"/>
  <c r="L57" i="347" s="1"/>
  <c r="K57" i="347" a="1"/>
  <c r="K57" i="347" s="1"/>
  <c r="I57" i="347" a="1"/>
  <c r="I57" i="347" s="1"/>
  <c r="H57" i="347" a="1"/>
  <c r="H57" i="347" s="1"/>
  <c r="G57" i="347" a="1"/>
  <c r="G57" i="347" s="1"/>
  <c r="F57" i="347" a="1"/>
  <c r="F57" i="347" s="1"/>
  <c r="E57" i="347" a="1"/>
  <c r="E57" i="347" s="1"/>
  <c r="C57" i="347"/>
  <c r="T56" i="347" a="1"/>
  <c r="T56" i="347" s="1"/>
  <c r="S56" i="347" a="1"/>
  <c r="S56" i="347" s="1"/>
  <c r="R56" i="347" a="1"/>
  <c r="R56" i="347" s="1"/>
  <c r="Q56" i="347" a="1"/>
  <c r="Q56" i="347" s="1"/>
  <c r="P56" i="347" a="1"/>
  <c r="P56" i="347" s="1"/>
  <c r="N56" i="347" a="1"/>
  <c r="N56" i="347" s="1"/>
  <c r="M56" i="347" a="1"/>
  <c r="M56" i="347" s="1"/>
  <c r="L56" i="347" a="1"/>
  <c r="L56" i="347" s="1"/>
  <c r="K56" i="347" a="1"/>
  <c r="K56" i="347" s="1"/>
  <c r="I56" i="347" a="1"/>
  <c r="I56" i="347" s="1"/>
  <c r="H56" i="347" a="1"/>
  <c r="H56" i="347" s="1"/>
  <c r="G56" i="347" a="1"/>
  <c r="G56" i="347" s="1"/>
  <c r="F56" i="347" a="1"/>
  <c r="F56" i="347" s="1"/>
  <c r="E56" i="347" a="1"/>
  <c r="E56" i="347" s="1"/>
  <c r="C56" i="347"/>
  <c r="T55" i="347" a="1"/>
  <c r="T55" i="347" s="1"/>
  <c r="S55" i="347" a="1"/>
  <c r="S55" i="347" s="1"/>
  <c r="R55" i="347" a="1"/>
  <c r="R55" i="347" s="1"/>
  <c r="Q55" i="347" a="1"/>
  <c r="Q55" i="347" s="1"/>
  <c r="P55" i="347" a="1"/>
  <c r="P55" i="347" s="1"/>
  <c r="N55" i="347" a="1"/>
  <c r="N55" i="347" s="1"/>
  <c r="M55" i="347" a="1"/>
  <c r="M55" i="347" s="1"/>
  <c r="L55" i="347" a="1"/>
  <c r="L55" i="347" s="1"/>
  <c r="K55" i="347" a="1"/>
  <c r="K55" i="347" s="1"/>
  <c r="I55" i="347" a="1"/>
  <c r="I55" i="347" s="1"/>
  <c r="H55" i="347" a="1"/>
  <c r="H55" i="347" s="1"/>
  <c r="G55" i="347" a="1"/>
  <c r="G55" i="347" s="1"/>
  <c r="F55" i="347" a="1"/>
  <c r="F55" i="347" s="1"/>
  <c r="E55" i="347" a="1"/>
  <c r="E55" i="347" s="1"/>
  <c r="C55" i="347"/>
  <c r="T54" i="347" a="1"/>
  <c r="T54" i="347" s="1"/>
  <c r="S54" i="347" a="1"/>
  <c r="S54" i="347" s="1"/>
  <c r="R54" i="347" a="1"/>
  <c r="R54" i="347" s="1"/>
  <c r="Q54" i="347" a="1"/>
  <c r="Q54" i="347" s="1"/>
  <c r="P54" i="347" a="1"/>
  <c r="P54" i="347" s="1"/>
  <c r="N54" i="347" a="1"/>
  <c r="N54" i="347" s="1"/>
  <c r="M54" i="347" a="1"/>
  <c r="M54" i="347" s="1"/>
  <c r="L54" i="347" a="1"/>
  <c r="L54" i="347" s="1"/>
  <c r="K54" i="347" a="1"/>
  <c r="K54" i="347" s="1"/>
  <c r="I54" i="347" a="1"/>
  <c r="I54" i="347" s="1"/>
  <c r="H54" i="347" a="1"/>
  <c r="H54" i="347" s="1"/>
  <c r="G54" i="347" a="1"/>
  <c r="G54" i="347" s="1"/>
  <c r="F54" i="347" a="1"/>
  <c r="F54" i="347" s="1"/>
  <c r="E54" i="347" a="1"/>
  <c r="E54" i="347" s="1"/>
  <c r="C54" i="347"/>
  <c r="T53" i="347" a="1"/>
  <c r="T53" i="347" s="1"/>
  <c r="S53" i="347" a="1"/>
  <c r="S53" i="347" s="1"/>
  <c r="R53" i="347" a="1"/>
  <c r="R53" i="347" s="1"/>
  <c r="Q53" i="347" a="1"/>
  <c r="Q53" i="347" s="1"/>
  <c r="P53" i="347" a="1"/>
  <c r="P53" i="347" s="1"/>
  <c r="N53" i="347" a="1"/>
  <c r="N53" i="347" s="1"/>
  <c r="M53" i="347" a="1"/>
  <c r="M53" i="347" s="1"/>
  <c r="L53" i="347" a="1"/>
  <c r="L53" i="347" s="1"/>
  <c r="K53" i="347" a="1"/>
  <c r="K53" i="347" s="1"/>
  <c r="I53" i="347" a="1"/>
  <c r="I53" i="347" s="1"/>
  <c r="H53" i="347" a="1"/>
  <c r="H53" i="347" s="1"/>
  <c r="G53" i="347" a="1"/>
  <c r="G53" i="347" s="1"/>
  <c r="F53" i="347" a="1"/>
  <c r="F53" i="347" s="1"/>
  <c r="E53" i="347" a="1"/>
  <c r="E53" i="347" s="1"/>
  <c r="C53" i="347"/>
  <c r="T52" i="347" a="1"/>
  <c r="T52" i="347" s="1"/>
  <c r="S52" i="347" a="1"/>
  <c r="S52" i="347" s="1"/>
  <c r="R52" i="347" a="1"/>
  <c r="R52" i="347" s="1"/>
  <c r="Q52" i="347" a="1"/>
  <c r="Q52" i="347" s="1"/>
  <c r="P52" i="347" a="1"/>
  <c r="P52" i="347" s="1"/>
  <c r="N52" i="347" a="1"/>
  <c r="N52" i="347" s="1"/>
  <c r="M52" i="347" a="1"/>
  <c r="M52" i="347" s="1"/>
  <c r="L52" i="347" a="1"/>
  <c r="L52" i="347" s="1"/>
  <c r="K52" i="347" a="1"/>
  <c r="K52" i="347" s="1"/>
  <c r="I52" i="347" a="1"/>
  <c r="I52" i="347" s="1"/>
  <c r="H52" i="347" a="1"/>
  <c r="H52" i="347" s="1"/>
  <c r="G52" i="347" a="1"/>
  <c r="G52" i="347" s="1"/>
  <c r="F52" i="347" a="1"/>
  <c r="F52" i="347" s="1"/>
  <c r="E52" i="347" a="1"/>
  <c r="E52" i="347" s="1"/>
  <c r="C52" i="347"/>
  <c r="T51" i="347" a="1"/>
  <c r="T51" i="347" s="1"/>
  <c r="S51" i="347" a="1"/>
  <c r="S51" i="347" s="1"/>
  <c r="R51" i="347" a="1"/>
  <c r="R51" i="347" s="1"/>
  <c r="Q51" i="347" a="1"/>
  <c r="Q51" i="347" s="1"/>
  <c r="P51" i="347" a="1"/>
  <c r="P51" i="347" s="1"/>
  <c r="N51" i="347" a="1"/>
  <c r="N51" i="347" s="1"/>
  <c r="M51" i="347" a="1"/>
  <c r="M51" i="347" s="1"/>
  <c r="L51" i="347" a="1"/>
  <c r="L51" i="347" s="1"/>
  <c r="K51" i="347" a="1"/>
  <c r="K51" i="347" s="1"/>
  <c r="I51" i="347" a="1"/>
  <c r="I51" i="347" s="1"/>
  <c r="H51" i="347" a="1"/>
  <c r="H51" i="347" s="1"/>
  <c r="G51" i="347" a="1"/>
  <c r="G51" i="347" s="1"/>
  <c r="F51" i="347" a="1"/>
  <c r="F51" i="347" s="1"/>
  <c r="E51" i="347" a="1"/>
  <c r="E51" i="347" s="1"/>
  <c r="C51" i="347"/>
  <c r="T50" i="347" a="1"/>
  <c r="T50" i="347" s="1"/>
  <c r="S50" i="347" a="1"/>
  <c r="S50" i="347" s="1"/>
  <c r="R50" i="347" a="1"/>
  <c r="R50" i="347" s="1"/>
  <c r="Q50" i="347" a="1"/>
  <c r="Q50" i="347" s="1"/>
  <c r="P50" i="347" a="1"/>
  <c r="P50" i="347" s="1"/>
  <c r="N50" i="347" a="1"/>
  <c r="N50" i="347" s="1"/>
  <c r="M50" i="347" a="1"/>
  <c r="M50" i="347" s="1"/>
  <c r="L50" i="347" a="1"/>
  <c r="L50" i="347" s="1"/>
  <c r="K50" i="347" a="1"/>
  <c r="K50" i="347" s="1"/>
  <c r="I50" i="347" a="1"/>
  <c r="I50" i="347" s="1"/>
  <c r="H50" i="347" a="1"/>
  <c r="H50" i="347" s="1"/>
  <c r="G50" i="347" a="1"/>
  <c r="G50" i="347" s="1"/>
  <c r="F50" i="347" a="1"/>
  <c r="F50" i="347" s="1"/>
  <c r="E50" i="347" a="1"/>
  <c r="E50" i="347" s="1"/>
  <c r="C50" i="347"/>
  <c r="T49" i="347" a="1"/>
  <c r="T49" i="347" s="1"/>
  <c r="S49" i="347" a="1"/>
  <c r="S49" i="347" s="1"/>
  <c r="R49" i="347" a="1"/>
  <c r="R49" i="347" s="1"/>
  <c r="Q49" i="347" a="1"/>
  <c r="Q49" i="347" s="1"/>
  <c r="P49" i="347" a="1"/>
  <c r="P49" i="347" s="1"/>
  <c r="N49" i="347" a="1"/>
  <c r="N49" i="347" s="1"/>
  <c r="M49" i="347" a="1"/>
  <c r="M49" i="347" s="1"/>
  <c r="L49" i="347" a="1"/>
  <c r="L49" i="347" s="1"/>
  <c r="K49" i="347" a="1"/>
  <c r="K49" i="347" s="1"/>
  <c r="I49" i="347" a="1"/>
  <c r="I49" i="347" s="1"/>
  <c r="H49" i="347" a="1"/>
  <c r="H49" i="347" s="1"/>
  <c r="G49" i="347" a="1"/>
  <c r="G49" i="347" s="1"/>
  <c r="F49" i="347" a="1"/>
  <c r="F49" i="347" s="1"/>
  <c r="E49" i="347" a="1"/>
  <c r="E49" i="347" s="1"/>
  <c r="C49" i="347"/>
  <c r="T48" i="347" a="1"/>
  <c r="T48" i="347" s="1"/>
  <c r="S48" i="347" a="1"/>
  <c r="S48" i="347" s="1"/>
  <c r="R48" i="347" a="1"/>
  <c r="R48" i="347" s="1"/>
  <c r="Q48" i="347" a="1"/>
  <c r="Q48" i="347" s="1"/>
  <c r="P48" i="347" a="1"/>
  <c r="P48" i="347" s="1"/>
  <c r="N48" i="347" a="1"/>
  <c r="N48" i="347" s="1"/>
  <c r="M48" i="347" a="1"/>
  <c r="M48" i="347" s="1"/>
  <c r="L48" i="347" a="1"/>
  <c r="L48" i="347" s="1"/>
  <c r="K48" i="347" a="1"/>
  <c r="K48" i="347" s="1"/>
  <c r="I48" i="347" a="1"/>
  <c r="I48" i="347" s="1"/>
  <c r="H48" i="347" a="1"/>
  <c r="H48" i="347" s="1"/>
  <c r="G48" i="347" a="1"/>
  <c r="G48" i="347" s="1"/>
  <c r="F48" i="347" a="1"/>
  <c r="F48" i="347" s="1"/>
  <c r="E48" i="347" a="1"/>
  <c r="E48" i="347" s="1"/>
  <c r="C48" i="347"/>
  <c r="T47" i="347" a="1"/>
  <c r="T47" i="347" s="1"/>
  <c r="S47" i="347" a="1"/>
  <c r="S47" i="347" s="1"/>
  <c r="R47" i="347" a="1"/>
  <c r="R47" i="347" s="1"/>
  <c r="Q47" i="347" a="1"/>
  <c r="Q47" i="347" s="1"/>
  <c r="P47" i="347" a="1"/>
  <c r="P47" i="347" s="1"/>
  <c r="N47" i="347" a="1"/>
  <c r="N47" i="347" s="1"/>
  <c r="M47" i="347" a="1"/>
  <c r="M47" i="347" s="1"/>
  <c r="L47" i="347" a="1"/>
  <c r="L47" i="347" s="1"/>
  <c r="K47" i="347" a="1"/>
  <c r="K47" i="347" s="1"/>
  <c r="I47" i="347" a="1"/>
  <c r="I47" i="347" s="1"/>
  <c r="H47" i="347" a="1"/>
  <c r="H47" i="347" s="1"/>
  <c r="G47" i="347" a="1"/>
  <c r="G47" i="347" s="1"/>
  <c r="F47" i="347" a="1"/>
  <c r="F47" i="347" s="1"/>
  <c r="E47" i="347" a="1"/>
  <c r="E47" i="347" s="1"/>
  <c r="C47" i="347"/>
  <c r="T46" i="347" a="1"/>
  <c r="T46" i="347" s="1"/>
  <c r="S46" i="347" a="1"/>
  <c r="S46" i="347" s="1"/>
  <c r="R46" i="347" a="1"/>
  <c r="R46" i="347" s="1"/>
  <c r="Q46" i="347" a="1"/>
  <c r="Q46" i="347" s="1"/>
  <c r="P46" i="347" a="1"/>
  <c r="P46" i="347" s="1"/>
  <c r="N46" i="347" a="1"/>
  <c r="N46" i="347" s="1"/>
  <c r="M46" i="347" a="1"/>
  <c r="M46" i="347" s="1"/>
  <c r="L46" i="347" a="1"/>
  <c r="L46" i="347" s="1"/>
  <c r="K46" i="347" a="1"/>
  <c r="K46" i="347" s="1"/>
  <c r="I46" i="347" a="1"/>
  <c r="I46" i="347" s="1"/>
  <c r="H46" i="347" a="1"/>
  <c r="H46" i="347" s="1"/>
  <c r="G46" i="347" a="1"/>
  <c r="G46" i="347" s="1"/>
  <c r="F46" i="347" a="1"/>
  <c r="F46" i="347" s="1"/>
  <c r="E46" i="347" a="1"/>
  <c r="E46" i="347" s="1"/>
  <c r="C46" i="347"/>
  <c r="T45" i="347" a="1"/>
  <c r="T45" i="347" s="1"/>
  <c r="S45" i="347" a="1"/>
  <c r="S45" i="347" s="1"/>
  <c r="R45" i="347" a="1"/>
  <c r="R45" i="347" s="1"/>
  <c r="Q45" i="347" a="1"/>
  <c r="Q45" i="347" s="1"/>
  <c r="P45" i="347" a="1"/>
  <c r="P45" i="347" s="1"/>
  <c r="N45" i="347" a="1"/>
  <c r="N45" i="347" s="1"/>
  <c r="M45" i="347" a="1"/>
  <c r="M45" i="347" s="1"/>
  <c r="L45" i="347" a="1"/>
  <c r="L45" i="347" s="1"/>
  <c r="K45" i="347" a="1"/>
  <c r="K45" i="347" s="1"/>
  <c r="I45" i="347" a="1"/>
  <c r="I45" i="347" s="1"/>
  <c r="H45" i="347" a="1"/>
  <c r="H45" i="347" s="1"/>
  <c r="G45" i="347" a="1"/>
  <c r="G45" i="347" s="1"/>
  <c r="F45" i="347" a="1"/>
  <c r="F45" i="347" s="1"/>
  <c r="E45" i="347" a="1"/>
  <c r="E45" i="347" s="1"/>
  <c r="C45" i="347"/>
  <c r="T44" i="347" a="1"/>
  <c r="T44" i="347" s="1"/>
  <c r="S44" i="347" a="1"/>
  <c r="S44" i="347" s="1"/>
  <c r="R44" i="347" a="1"/>
  <c r="R44" i="347" s="1"/>
  <c r="Q44" i="347" a="1"/>
  <c r="Q44" i="347" s="1"/>
  <c r="P44" i="347" a="1"/>
  <c r="P44" i="347" s="1"/>
  <c r="N44" i="347" a="1"/>
  <c r="N44" i="347" s="1"/>
  <c r="M44" i="347" a="1"/>
  <c r="M44" i="347" s="1"/>
  <c r="L44" i="347" a="1"/>
  <c r="L44" i="347" s="1"/>
  <c r="K44" i="347" a="1"/>
  <c r="K44" i="347" s="1"/>
  <c r="I44" i="347" a="1"/>
  <c r="I44" i="347" s="1"/>
  <c r="H44" i="347" a="1"/>
  <c r="H44" i="347" s="1"/>
  <c r="G44" i="347" a="1"/>
  <c r="G44" i="347" s="1"/>
  <c r="F44" i="347" a="1"/>
  <c r="F44" i="347" s="1"/>
  <c r="E44" i="347" a="1"/>
  <c r="E44" i="347" s="1"/>
  <c r="C44" i="347"/>
  <c r="T43" i="347" a="1"/>
  <c r="T43" i="347" s="1"/>
  <c r="S43" i="347" a="1"/>
  <c r="S43" i="347" s="1"/>
  <c r="R43" i="347" a="1"/>
  <c r="R43" i="347" s="1"/>
  <c r="Q43" i="347" a="1"/>
  <c r="Q43" i="347" s="1"/>
  <c r="P43" i="347" a="1"/>
  <c r="P43" i="347" s="1"/>
  <c r="N43" i="347" a="1"/>
  <c r="N43" i="347" s="1"/>
  <c r="M43" i="347" a="1"/>
  <c r="M43" i="347" s="1"/>
  <c r="L43" i="347" a="1"/>
  <c r="L43" i="347" s="1"/>
  <c r="K43" i="347" a="1"/>
  <c r="K43" i="347" s="1"/>
  <c r="I43" i="347" a="1"/>
  <c r="I43" i="347" s="1"/>
  <c r="H43" i="347" a="1"/>
  <c r="H43" i="347" s="1"/>
  <c r="G43" i="347" a="1"/>
  <c r="G43" i="347" s="1"/>
  <c r="F43" i="347" a="1"/>
  <c r="F43" i="347" s="1"/>
  <c r="E43" i="347" a="1"/>
  <c r="E43" i="347" s="1"/>
  <c r="C43" i="347"/>
  <c r="T42" i="347" a="1"/>
  <c r="T42" i="347" s="1"/>
  <c r="S42" i="347" a="1"/>
  <c r="S42" i="347" s="1"/>
  <c r="R42" i="347" a="1"/>
  <c r="R42" i="347" s="1"/>
  <c r="Q42" i="347" a="1"/>
  <c r="Q42" i="347" s="1"/>
  <c r="P42" i="347" a="1"/>
  <c r="P42" i="347" s="1"/>
  <c r="N42" i="347" a="1"/>
  <c r="N42" i="347" s="1"/>
  <c r="M42" i="347" a="1"/>
  <c r="M42" i="347" s="1"/>
  <c r="L42" i="347" a="1"/>
  <c r="L42" i="347" s="1"/>
  <c r="K42" i="347" a="1"/>
  <c r="K42" i="347" s="1"/>
  <c r="I42" i="347" a="1"/>
  <c r="I42" i="347" s="1"/>
  <c r="H42" i="347" a="1"/>
  <c r="H42" i="347" s="1"/>
  <c r="G42" i="347" a="1"/>
  <c r="G42" i="347" s="1"/>
  <c r="F42" i="347" a="1"/>
  <c r="F42" i="347" s="1"/>
  <c r="E42" i="347" a="1"/>
  <c r="E42" i="347" s="1"/>
  <c r="C42" i="347"/>
  <c r="T41" i="347" a="1"/>
  <c r="T41" i="347" s="1"/>
  <c r="S41" i="347" a="1"/>
  <c r="S41" i="347" s="1"/>
  <c r="R41" i="347" a="1"/>
  <c r="R41" i="347" s="1"/>
  <c r="Q41" i="347" a="1"/>
  <c r="Q41" i="347" s="1"/>
  <c r="P41" i="347" a="1"/>
  <c r="P41" i="347" s="1"/>
  <c r="N41" i="347" a="1"/>
  <c r="N41" i="347" s="1"/>
  <c r="M41" i="347" a="1"/>
  <c r="M41" i="347" s="1"/>
  <c r="L41" i="347" a="1"/>
  <c r="L41" i="347" s="1"/>
  <c r="K41" i="347" a="1"/>
  <c r="K41" i="347" s="1"/>
  <c r="I41" i="347" a="1"/>
  <c r="I41" i="347" s="1"/>
  <c r="H41" i="347" a="1"/>
  <c r="H41" i="347" s="1"/>
  <c r="G41" i="347" a="1"/>
  <c r="G41" i="347" s="1"/>
  <c r="F41" i="347" a="1"/>
  <c r="F41" i="347" s="1"/>
  <c r="E41" i="347" a="1"/>
  <c r="E41" i="347" s="1"/>
  <c r="C41" i="347"/>
  <c r="T40" i="347" a="1"/>
  <c r="T40" i="347" s="1"/>
  <c r="S40" i="347" a="1"/>
  <c r="S40" i="347" s="1"/>
  <c r="R40" i="347" a="1"/>
  <c r="R40" i="347" s="1"/>
  <c r="Q40" i="347" a="1"/>
  <c r="Q40" i="347" s="1"/>
  <c r="P40" i="347" a="1"/>
  <c r="P40" i="347" s="1"/>
  <c r="N40" i="347" a="1"/>
  <c r="N40" i="347" s="1"/>
  <c r="M40" i="347" a="1"/>
  <c r="M40" i="347" s="1"/>
  <c r="L40" i="347" a="1"/>
  <c r="L40" i="347" s="1"/>
  <c r="K40" i="347" a="1"/>
  <c r="K40" i="347" s="1"/>
  <c r="I40" i="347" a="1"/>
  <c r="I40" i="347" s="1"/>
  <c r="H40" i="347" a="1"/>
  <c r="H40" i="347" s="1"/>
  <c r="G40" i="347" a="1"/>
  <c r="G40" i="347" s="1"/>
  <c r="F40" i="347" a="1"/>
  <c r="F40" i="347" s="1"/>
  <c r="E40" i="347" a="1"/>
  <c r="E40" i="347" s="1"/>
  <c r="C40" i="347"/>
  <c r="T39" i="347" a="1"/>
  <c r="T39" i="347" s="1"/>
  <c r="S39" i="347" a="1"/>
  <c r="S39" i="347" s="1"/>
  <c r="R39" i="347" a="1"/>
  <c r="R39" i="347" s="1"/>
  <c r="Q39" i="347" a="1"/>
  <c r="Q39" i="347" s="1"/>
  <c r="P39" i="347" a="1"/>
  <c r="P39" i="347" s="1"/>
  <c r="N39" i="347" a="1"/>
  <c r="N39" i="347" s="1"/>
  <c r="M39" i="347" a="1"/>
  <c r="M39" i="347" s="1"/>
  <c r="L39" i="347" a="1"/>
  <c r="L39" i="347" s="1"/>
  <c r="K39" i="347" a="1"/>
  <c r="K39" i="347" s="1"/>
  <c r="I39" i="347" a="1"/>
  <c r="I39" i="347" s="1"/>
  <c r="H39" i="347" a="1"/>
  <c r="H39" i="347" s="1"/>
  <c r="G39" i="347" a="1"/>
  <c r="G39" i="347" s="1"/>
  <c r="F39" i="347" a="1"/>
  <c r="F39" i="347" s="1"/>
  <c r="E39" i="347" a="1"/>
  <c r="E39" i="347" s="1"/>
  <c r="C39" i="347"/>
  <c r="A39" i="347"/>
  <c r="A40" i="347" s="1"/>
  <c r="A41" i="347" s="1"/>
  <c r="A42" i="347" s="1"/>
  <c r="A43" i="347" s="1"/>
  <c r="A44" i="347" s="1"/>
  <c r="A45" i="347" s="1"/>
  <c r="A46" i="347" s="1"/>
  <c r="A47" i="347" s="1"/>
  <c r="A48" i="347" s="1"/>
  <c r="A49" i="347" s="1"/>
  <c r="A50" i="347" s="1"/>
  <c r="A51" i="347" s="1"/>
  <c r="A52" i="347" s="1"/>
  <c r="A53" i="347" s="1"/>
  <c r="A54" i="347" s="1"/>
  <c r="A55" i="347" s="1"/>
  <c r="A56" i="347" s="1"/>
  <c r="A57" i="347" s="1"/>
  <c r="A58" i="347" s="1"/>
  <c r="A59" i="347" s="1"/>
  <c r="T38" i="347" a="1"/>
  <c r="T38" i="347" s="1"/>
  <c r="S38" i="347" a="1"/>
  <c r="S38" i="347" s="1"/>
  <c r="R38" i="347" a="1"/>
  <c r="R38" i="347" s="1"/>
  <c r="Q38" i="347" a="1"/>
  <c r="Q38" i="347" s="1"/>
  <c r="P38" i="347" a="1"/>
  <c r="P38" i="347" s="1"/>
  <c r="N38" i="347" a="1"/>
  <c r="N38" i="347" s="1"/>
  <c r="M38" i="347" a="1"/>
  <c r="M38" i="347" s="1"/>
  <c r="L38" i="347" a="1"/>
  <c r="L38" i="347" s="1"/>
  <c r="K38" i="347" a="1"/>
  <c r="K38" i="347" s="1"/>
  <c r="I38" i="347" a="1"/>
  <c r="I38" i="347" s="1"/>
  <c r="H38" i="347" a="1"/>
  <c r="H38" i="347" s="1"/>
  <c r="G38" i="347" a="1"/>
  <c r="G38" i="347" s="1"/>
  <c r="F38" i="347" a="1"/>
  <c r="F38" i="347" s="1"/>
  <c r="E38" i="347" a="1"/>
  <c r="E38" i="347" s="1"/>
  <c r="C38" i="347"/>
  <c r="T35" i="347" a="1"/>
  <c r="T35" i="347" s="1"/>
  <c r="S35" i="347" a="1"/>
  <c r="S35" i="347" s="1"/>
  <c r="R35" i="347" a="1"/>
  <c r="R35" i="347" s="1"/>
  <c r="Q35" i="347" a="1"/>
  <c r="Q35" i="347" s="1"/>
  <c r="P35" i="347" a="1"/>
  <c r="P35" i="347" s="1"/>
  <c r="N35" i="347" a="1"/>
  <c r="N35" i="347" s="1"/>
  <c r="M35" i="347" a="1"/>
  <c r="M35" i="347" s="1"/>
  <c r="L35" i="347" a="1"/>
  <c r="L35" i="347" s="1"/>
  <c r="K35" i="347" a="1"/>
  <c r="K35" i="347" s="1"/>
  <c r="I35" i="347" a="1"/>
  <c r="I35" i="347" s="1"/>
  <c r="H35" i="347" a="1"/>
  <c r="H35" i="347" s="1"/>
  <c r="G35" i="347" a="1"/>
  <c r="G35" i="347" s="1"/>
  <c r="F35" i="347" a="1"/>
  <c r="F35" i="347" s="1"/>
  <c r="E35" i="347" a="1"/>
  <c r="E35" i="347" s="1"/>
  <c r="C35" i="347"/>
  <c r="T34" i="347" a="1"/>
  <c r="T34" i="347" s="1"/>
  <c r="S34" i="347" a="1"/>
  <c r="S34" i="347" s="1"/>
  <c r="R34" i="347" a="1"/>
  <c r="R34" i="347" s="1"/>
  <c r="Q34" i="347" a="1"/>
  <c r="Q34" i="347" s="1"/>
  <c r="P34" i="347" a="1"/>
  <c r="P34" i="347" s="1"/>
  <c r="N34" i="347" a="1"/>
  <c r="N34" i="347" s="1"/>
  <c r="M34" i="347" a="1"/>
  <c r="M34" i="347" s="1"/>
  <c r="L34" i="347" a="1"/>
  <c r="L34" i="347" s="1"/>
  <c r="K34" i="347" a="1"/>
  <c r="K34" i="347" s="1"/>
  <c r="I34" i="347" a="1"/>
  <c r="I34" i="347" s="1"/>
  <c r="H34" i="347" a="1"/>
  <c r="H34" i="347" s="1"/>
  <c r="G34" i="347" a="1"/>
  <c r="G34" i="347" s="1"/>
  <c r="F34" i="347" a="1"/>
  <c r="F34" i="347" s="1"/>
  <c r="E34" i="347" a="1"/>
  <c r="E34" i="347" s="1"/>
  <c r="C34" i="347"/>
  <c r="T33" i="347" a="1"/>
  <c r="T33" i="347" s="1"/>
  <c r="S33" i="347" a="1"/>
  <c r="S33" i="347" s="1"/>
  <c r="R33" i="347" a="1"/>
  <c r="R33" i="347" s="1"/>
  <c r="Q33" i="347" a="1"/>
  <c r="Q33" i="347" s="1"/>
  <c r="P33" i="347" a="1"/>
  <c r="P33" i="347" s="1"/>
  <c r="N33" i="347" a="1"/>
  <c r="N33" i="347" s="1"/>
  <c r="M33" i="347" a="1"/>
  <c r="M33" i="347" s="1"/>
  <c r="L33" i="347" a="1"/>
  <c r="L33" i="347" s="1"/>
  <c r="K33" i="347" a="1"/>
  <c r="K33" i="347" s="1"/>
  <c r="I33" i="347" a="1"/>
  <c r="I33" i="347" s="1"/>
  <c r="H33" i="347" a="1"/>
  <c r="H33" i="347" s="1"/>
  <c r="G33" i="347" a="1"/>
  <c r="G33" i="347" s="1"/>
  <c r="F33" i="347" a="1"/>
  <c r="F33" i="347" s="1"/>
  <c r="E33" i="347" a="1"/>
  <c r="E33" i="347" s="1"/>
  <c r="C33" i="347"/>
  <c r="T32" i="347" a="1"/>
  <c r="T32" i="347" s="1"/>
  <c r="S32" i="347" a="1"/>
  <c r="S32" i="347" s="1"/>
  <c r="R32" i="347" a="1"/>
  <c r="R32" i="347" s="1"/>
  <c r="Q32" i="347" a="1"/>
  <c r="Q32" i="347" s="1"/>
  <c r="P32" i="347" a="1"/>
  <c r="P32" i="347" s="1"/>
  <c r="N32" i="347" a="1"/>
  <c r="N32" i="347" s="1"/>
  <c r="M32" i="347" a="1"/>
  <c r="M32" i="347" s="1"/>
  <c r="L32" i="347" a="1"/>
  <c r="L32" i="347" s="1"/>
  <c r="K32" i="347" a="1"/>
  <c r="K32" i="347" s="1"/>
  <c r="I32" i="347" a="1"/>
  <c r="I32" i="347" s="1"/>
  <c r="H32" i="347" a="1"/>
  <c r="H32" i="347" s="1"/>
  <c r="G32" i="347" a="1"/>
  <c r="G32" i="347" s="1"/>
  <c r="F32" i="347" a="1"/>
  <c r="F32" i="347" s="1"/>
  <c r="E32" i="347" a="1"/>
  <c r="E32" i="347" s="1"/>
  <c r="C32" i="347"/>
  <c r="T31" i="347" a="1"/>
  <c r="T31" i="347" s="1"/>
  <c r="S31" i="347" a="1"/>
  <c r="S31" i="347" s="1"/>
  <c r="R31" i="347" a="1"/>
  <c r="R31" i="347" s="1"/>
  <c r="Q31" i="347" a="1"/>
  <c r="Q31" i="347" s="1"/>
  <c r="P31" i="347" a="1"/>
  <c r="P31" i="347" s="1"/>
  <c r="N31" i="347" a="1"/>
  <c r="N31" i="347" s="1"/>
  <c r="M31" i="347" a="1"/>
  <c r="M31" i="347" s="1"/>
  <c r="L31" i="347" a="1"/>
  <c r="L31" i="347" s="1"/>
  <c r="K31" i="347" a="1"/>
  <c r="K31" i="347" s="1"/>
  <c r="I31" i="347" a="1"/>
  <c r="I31" i="347" s="1"/>
  <c r="H31" i="347" a="1"/>
  <c r="H31" i="347" s="1"/>
  <c r="G31" i="347" a="1"/>
  <c r="G31" i="347" s="1"/>
  <c r="F31" i="347" a="1"/>
  <c r="F31" i="347" s="1"/>
  <c r="E31" i="347" a="1"/>
  <c r="E31" i="347" s="1"/>
  <c r="C31" i="347"/>
  <c r="T30" i="347" a="1"/>
  <c r="T30" i="347" s="1"/>
  <c r="S30" i="347" a="1"/>
  <c r="S30" i="347" s="1"/>
  <c r="R30" i="347" a="1"/>
  <c r="R30" i="347" s="1"/>
  <c r="Q30" i="347" a="1"/>
  <c r="Q30" i="347" s="1"/>
  <c r="P30" i="347" a="1"/>
  <c r="P30" i="347" s="1"/>
  <c r="N30" i="347" a="1"/>
  <c r="N30" i="347" s="1"/>
  <c r="M30" i="347" a="1"/>
  <c r="M30" i="347" s="1"/>
  <c r="L30" i="347" a="1"/>
  <c r="L30" i="347" s="1"/>
  <c r="K30" i="347" a="1"/>
  <c r="K30" i="347" s="1"/>
  <c r="I30" i="347" a="1"/>
  <c r="I30" i="347" s="1"/>
  <c r="H30" i="347" a="1"/>
  <c r="H30" i="347" s="1"/>
  <c r="G30" i="347" a="1"/>
  <c r="G30" i="347" s="1"/>
  <c r="F30" i="347" a="1"/>
  <c r="F30" i="347" s="1"/>
  <c r="E30" i="347" a="1"/>
  <c r="E30" i="347" s="1"/>
  <c r="C30" i="347"/>
  <c r="T29" i="347" a="1"/>
  <c r="T29" i="347" s="1"/>
  <c r="S29" i="347" a="1"/>
  <c r="S29" i="347" s="1"/>
  <c r="R29" i="347" a="1"/>
  <c r="R29" i="347" s="1"/>
  <c r="Q29" i="347" a="1"/>
  <c r="Q29" i="347" s="1"/>
  <c r="P29" i="347" a="1"/>
  <c r="P29" i="347" s="1"/>
  <c r="N29" i="347" a="1"/>
  <c r="N29" i="347" s="1"/>
  <c r="M29" i="347" a="1"/>
  <c r="M29" i="347" s="1"/>
  <c r="L29" i="347" a="1"/>
  <c r="L29" i="347" s="1"/>
  <c r="K29" i="347" a="1"/>
  <c r="K29" i="347" s="1"/>
  <c r="I29" i="347" a="1"/>
  <c r="I29" i="347" s="1"/>
  <c r="H29" i="347" a="1"/>
  <c r="H29" i="347" s="1"/>
  <c r="G29" i="347" a="1"/>
  <c r="G29" i="347" s="1"/>
  <c r="F29" i="347" a="1"/>
  <c r="F29" i="347" s="1"/>
  <c r="E29" i="347" a="1"/>
  <c r="E29" i="347" s="1"/>
  <c r="C29" i="347"/>
  <c r="T28" i="347" a="1"/>
  <c r="T28" i="347" s="1"/>
  <c r="S28" i="347" a="1"/>
  <c r="S28" i="347" s="1"/>
  <c r="R28" i="347" a="1"/>
  <c r="R28" i="347" s="1"/>
  <c r="Q28" i="347" a="1"/>
  <c r="Q28" i="347" s="1"/>
  <c r="P28" i="347" a="1"/>
  <c r="P28" i="347" s="1"/>
  <c r="N28" i="347" a="1"/>
  <c r="N28" i="347" s="1"/>
  <c r="M28" i="347" a="1"/>
  <c r="M28" i="347" s="1"/>
  <c r="L28" i="347" a="1"/>
  <c r="L28" i="347" s="1"/>
  <c r="K28" i="347" a="1"/>
  <c r="K28" i="347" s="1"/>
  <c r="I28" i="347" a="1"/>
  <c r="I28" i="347" s="1"/>
  <c r="H28" i="347" a="1"/>
  <c r="H28" i="347" s="1"/>
  <c r="G28" i="347" a="1"/>
  <c r="G28" i="347" s="1"/>
  <c r="F28" i="347" a="1"/>
  <c r="F28" i="347" s="1"/>
  <c r="E28" i="347" a="1"/>
  <c r="E28" i="347" s="1"/>
  <c r="C28" i="347"/>
  <c r="T27" i="347" a="1"/>
  <c r="T27" i="347" s="1"/>
  <c r="S27" i="347" a="1"/>
  <c r="S27" i="347" s="1"/>
  <c r="R27" i="347" a="1"/>
  <c r="R27" i="347" s="1"/>
  <c r="Q27" i="347" a="1"/>
  <c r="Q27" i="347" s="1"/>
  <c r="P27" i="347" a="1"/>
  <c r="P27" i="347" s="1"/>
  <c r="N27" i="347" a="1"/>
  <c r="N27" i="347" s="1"/>
  <c r="M27" i="347" a="1"/>
  <c r="M27" i="347" s="1"/>
  <c r="L27" i="347" a="1"/>
  <c r="L27" i="347" s="1"/>
  <c r="K27" i="347" a="1"/>
  <c r="K27" i="347" s="1"/>
  <c r="I27" i="347" a="1"/>
  <c r="I27" i="347" s="1"/>
  <c r="H27" i="347" a="1"/>
  <c r="H27" i="347" s="1"/>
  <c r="G27" i="347" a="1"/>
  <c r="G27" i="347" s="1"/>
  <c r="F27" i="347" a="1"/>
  <c r="F27" i="347" s="1"/>
  <c r="E27" i="347" a="1"/>
  <c r="E27" i="347" s="1"/>
  <c r="C27" i="347"/>
  <c r="T26" i="347" a="1"/>
  <c r="T26" i="347" s="1"/>
  <c r="S26" i="347" a="1"/>
  <c r="S26" i="347" s="1"/>
  <c r="R26" i="347" a="1"/>
  <c r="R26" i="347" s="1"/>
  <c r="Q26" i="347" a="1"/>
  <c r="Q26" i="347" s="1"/>
  <c r="P26" i="347" a="1"/>
  <c r="P26" i="347" s="1"/>
  <c r="N26" i="347" a="1"/>
  <c r="N26" i="347" s="1"/>
  <c r="M26" i="347" a="1"/>
  <c r="M26" i="347" s="1"/>
  <c r="L26" i="347" a="1"/>
  <c r="L26" i="347" s="1"/>
  <c r="K26" i="347" a="1"/>
  <c r="K26" i="347" s="1"/>
  <c r="I26" i="347" a="1"/>
  <c r="I26" i="347" s="1"/>
  <c r="H26" i="347" a="1"/>
  <c r="H26" i="347" s="1"/>
  <c r="G26" i="347" a="1"/>
  <c r="G26" i="347" s="1"/>
  <c r="F26" i="347" a="1"/>
  <c r="F26" i="347" s="1"/>
  <c r="E26" i="347" a="1"/>
  <c r="E26" i="347" s="1"/>
  <c r="C26" i="347"/>
  <c r="T25" i="347" a="1"/>
  <c r="T25" i="347" s="1"/>
  <c r="S25" i="347" a="1"/>
  <c r="S25" i="347" s="1"/>
  <c r="R25" i="347" a="1"/>
  <c r="R25" i="347" s="1"/>
  <c r="Q25" i="347" a="1"/>
  <c r="Q25" i="347" s="1"/>
  <c r="P25" i="347" a="1"/>
  <c r="P25" i="347" s="1"/>
  <c r="N25" i="347" a="1"/>
  <c r="N25" i="347" s="1"/>
  <c r="M25" i="347" a="1"/>
  <c r="M25" i="347" s="1"/>
  <c r="L25" i="347" a="1"/>
  <c r="L25" i="347" s="1"/>
  <c r="K25" i="347" a="1"/>
  <c r="K25" i="347" s="1"/>
  <c r="I25" i="347" a="1"/>
  <c r="I25" i="347" s="1"/>
  <c r="H25" i="347" a="1"/>
  <c r="H25" i="347" s="1"/>
  <c r="G25" i="347" a="1"/>
  <c r="G25" i="347" s="1"/>
  <c r="F25" i="347" a="1"/>
  <c r="F25" i="347" s="1"/>
  <c r="E25" i="347" a="1"/>
  <c r="E25" i="347" s="1"/>
  <c r="C25" i="347"/>
  <c r="T24" i="347" a="1"/>
  <c r="T24" i="347" s="1"/>
  <c r="S24" i="347" a="1"/>
  <c r="S24" i="347" s="1"/>
  <c r="R24" i="347" a="1"/>
  <c r="R24" i="347" s="1"/>
  <c r="Q24" i="347" a="1"/>
  <c r="Q24" i="347" s="1"/>
  <c r="P24" i="347" a="1"/>
  <c r="P24" i="347" s="1"/>
  <c r="N24" i="347" a="1"/>
  <c r="N24" i="347" s="1"/>
  <c r="M24" i="347" a="1"/>
  <c r="M24" i="347" s="1"/>
  <c r="L24" i="347" a="1"/>
  <c r="L24" i="347" s="1"/>
  <c r="K24" i="347" a="1"/>
  <c r="K24" i="347" s="1"/>
  <c r="I24" i="347" a="1"/>
  <c r="I24" i="347" s="1"/>
  <c r="H24" i="347" a="1"/>
  <c r="H24" i="347" s="1"/>
  <c r="G24" i="347" a="1"/>
  <c r="G24" i="347" s="1"/>
  <c r="F24" i="347" a="1"/>
  <c r="F24" i="347" s="1"/>
  <c r="E24" i="347" a="1"/>
  <c r="E24" i="347" s="1"/>
  <c r="C24" i="347"/>
  <c r="T23" i="347" a="1"/>
  <c r="T23" i="347" s="1"/>
  <c r="S23" i="347" a="1"/>
  <c r="S23" i="347" s="1"/>
  <c r="R23" i="347" a="1"/>
  <c r="R23" i="347" s="1"/>
  <c r="Q23" i="347" a="1"/>
  <c r="Q23" i="347" s="1"/>
  <c r="P23" i="347" a="1"/>
  <c r="P23" i="347" s="1"/>
  <c r="N23" i="347" a="1"/>
  <c r="N23" i="347" s="1"/>
  <c r="M23" i="347" a="1"/>
  <c r="M23" i="347" s="1"/>
  <c r="L23" i="347" a="1"/>
  <c r="L23" i="347" s="1"/>
  <c r="K23" i="347" a="1"/>
  <c r="K23" i="347" s="1"/>
  <c r="I23" i="347" a="1"/>
  <c r="I23" i="347" s="1"/>
  <c r="H23" i="347" a="1"/>
  <c r="H23" i="347" s="1"/>
  <c r="G23" i="347" a="1"/>
  <c r="G23" i="347" s="1"/>
  <c r="F23" i="347" a="1"/>
  <c r="F23" i="347" s="1"/>
  <c r="E23" i="347" a="1"/>
  <c r="E23" i="347" s="1"/>
  <c r="C23" i="347"/>
  <c r="T22" i="347" a="1"/>
  <c r="T22" i="347" s="1"/>
  <c r="S22" i="347" a="1"/>
  <c r="S22" i="347" s="1"/>
  <c r="R22" i="347" a="1"/>
  <c r="R22" i="347" s="1"/>
  <c r="Q22" i="347" a="1"/>
  <c r="Q22" i="347" s="1"/>
  <c r="P22" i="347" a="1"/>
  <c r="P22" i="347" s="1"/>
  <c r="N22" i="347" a="1"/>
  <c r="N22" i="347" s="1"/>
  <c r="M22" i="347" a="1"/>
  <c r="M22" i="347" s="1"/>
  <c r="L22" i="347" a="1"/>
  <c r="L22" i="347" s="1"/>
  <c r="K22" i="347" a="1"/>
  <c r="K22" i="347" s="1"/>
  <c r="I22" i="347" a="1"/>
  <c r="I22" i="347" s="1"/>
  <c r="H22" i="347" a="1"/>
  <c r="H22" i="347" s="1"/>
  <c r="G22" i="347" a="1"/>
  <c r="G22" i="347" s="1"/>
  <c r="F22" i="347" a="1"/>
  <c r="F22" i="347" s="1"/>
  <c r="E22" i="347" a="1"/>
  <c r="E22" i="347" s="1"/>
  <c r="C22" i="347"/>
  <c r="T21" i="347" a="1"/>
  <c r="T21" i="347" s="1"/>
  <c r="S21" i="347" a="1"/>
  <c r="S21" i="347" s="1"/>
  <c r="R21" i="347" a="1"/>
  <c r="R21" i="347" s="1"/>
  <c r="Q21" i="347" a="1"/>
  <c r="Q21" i="347" s="1"/>
  <c r="P21" i="347" a="1"/>
  <c r="P21" i="347" s="1"/>
  <c r="N21" i="347" a="1"/>
  <c r="N21" i="347" s="1"/>
  <c r="M21" i="347" a="1"/>
  <c r="M21" i="347" s="1"/>
  <c r="L21" i="347" a="1"/>
  <c r="L21" i="347" s="1"/>
  <c r="K21" i="347" a="1"/>
  <c r="K21" i="347" s="1"/>
  <c r="I21" i="347" a="1"/>
  <c r="I21" i="347" s="1"/>
  <c r="H21" i="347" a="1"/>
  <c r="H21" i="347" s="1"/>
  <c r="G21" i="347" a="1"/>
  <c r="G21" i="347" s="1"/>
  <c r="F21" i="347" a="1"/>
  <c r="F21" i="347" s="1"/>
  <c r="E21" i="347" a="1"/>
  <c r="E21" i="347" s="1"/>
  <c r="C21" i="347"/>
  <c r="T20" i="347" a="1"/>
  <c r="T20" i="347" s="1"/>
  <c r="S20" i="347" a="1"/>
  <c r="S20" i="347" s="1"/>
  <c r="R20" i="347" a="1"/>
  <c r="R20" i="347" s="1"/>
  <c r="Q20" i="347" a="1"/>
  <c r="Q20" i="347" s="1"/>
  <c r="P20" i="347" a="1"/>
  <c r="P20" i="347" s="1"/>
  <c r="N20" i="347" a="1"/>
  <c r="N20" i="347" s="1"/>
  <c r="M20" i="347" a="1"/>
  <c r="M20" i="347" s="1"/>
  <c r="L20" i="347" a="1"/>
  <c r="L20" i="347" s="1"/>
  <c r="K20" i="347" a="1"/>
  <c r="K20" i="347" s="1"/>
  <c r="I20" i="347" a="1"/>
  <c r="I20" i="347" s="1"/>
  <c r="H20" i="347" a="1"/>
  <c r="H20" i="347" s="1"/>
  <c r="G20" i="347" a="1"/>
  <c r="G20" i="347" s="1"/>
  <c r="F20" i="347" a="1"/>
  <c r="F20" i="347" s="1"/>
  <c r="E20" i="347" a="1"/>
  <c r="E20" i="347" s="1"/>
  <c r="C20" i="347"/>
  <c r="T19" i="347" a="1"/>
  <c r="T19" i="347" s="1"/>
  <c r="S19" i="347" a="1"/>
  <c r="S19" i="347" s="1"/>
  <c r="R19" i="347" a="1"/>
  <c r="R19" i="347" s="1"/>
  <c r="Q19" i="347" a="1"/>
  <c r="Q19" i="347" s="1"/>
  <c r="P19" i="347" a="1"/>
  <c r="P19" i="347" s="1"/>
  <c r="N19" i="347" a="1"/>
  <c r="N19" i="347" s="1"/>
  <c r="M19" i="347" a="1"/>
  <c r="M19" i="347" s="1"/>
  <c r="L19" i="347" a="1"/>
  <c r="L19" i="347" s="1"/>
  <c r="K19" i="347" a="1"/>
  <c r="K19" i="347" s="1"/>
  <c r="I19" i="347" a="1"/>
  <c r="I19" i="347" s="1"/>
  <c r="H19" i="347" a="1"/>
  <c r="H19" i="347" s="1"/>
  <c r="G19" i="347" a="1"/>
  <c r="G19" i="347" s="1"/>
  <c r="F19" i="347" a="1"/>
  <c r="F19" i="347" s="1"/>
  <c r="E19" i="347" a="1"/>
  <c r="E19" i="347" s="1"/>
  <c r="C19" i="347"/>
  <c r="T18" i="347" a="1"/>
  <c r="T18" i="347" s="1"/>
  <c r="S18" i="347" a="1"/>
  <c r="S18" i="347" s="1"/>
  <c r="R18" i="347" a="1"/>
  <c r="R18" i="347" s="1"/>
  <c r="Q18" i="347" a="1"/>
  <c r="Q18" i="347" s="1"/>
  <c r="P18" i="347" a="1"/>
  <c r="P18" i="347" s="1"/>
  <c r="N18" i="347" a="1"/>
  <c r="N18" i="347" s="1"/>
  <c r="M18" i="347" a="1"/>
  <c r="M18" i="347" s="1"/>
  <c r="L18" i="347" a="1"/>
  <c r="L18" i="347" s="1"/>
  <c r="K18" i="347" a="1"/>
  <c r="K18" i="347" s="1"/>
  <c r="I18" i="347" a="1"/>
  <c r="I18" i="347" s="1"/>
  <c r="H18" i="347" a="1"/>
  <c r="H18" i="347" s="1"/>
  <c r="G18" i="347" a="1"/>
  <c r="G18" i="347" s="1"/>
  <c r="F18" i="347" a="1"/>
  <c r="F18" i="347" s="1"/>
  <c r="E18" i="347" a="1"/>
  <c r="E18" i="347" s="1"/>
  <c r="C18" i="347"/>
  <c r="T17" i="347" a="1"/>
  <c r="T17" i="347" s="1"/>
  <c r="S17" i="347" a="1"/>
  <c r="S17" i="347" s="1"/>
  <c r="R17" i="347" a="1"/>
  <c r="R17" i="347" s="1"/>
  <c r="Q17" i="347" a="1"/>
  <c r="Q17" i="347" s="1"/>
  <c r="P17" i="347" a="1"/>
  <c r="P17" i="347" s="1"/>
  <c r="N17" i="347" a="1"/>
  <c r="N17" i="347" s="1"/>
  <c r="M17" i="347" a="1"/>
  <c r="M17" i="347" s="1"/>
  <c r="L17" i="347" a="1"/>
  <c r="L17" i="347" s="1"/>
  <c r="K17" i="347" a="1"/>
  <c r="K17" i="347" s="1"/>
  <c r="I17" i="347" a="1"/>
  <c r="I17" i="347" s="1"/>
  <c r="H17" i="347" a="1"/>
  <c r="H17" i="347" s="1"/>
  <c r="G17" i="347" a="1"/>
  <c r="G17" i="347" s="1"/>
  <c r="F17" i="347" a="1"/>
  <c r="F17" i="347" s="1"/>
  <c r="E17" i="347" a="1"/>
  <c r="E17" i="347" s="1"/>
  <c r="C17" i="347"/>
  <c r="T16" i="347" a="1"/>
  <c r="T16" i="347" s="1"/>
  <c r="S16" i="347" a="1"/>
  <c r="S16" i="347" s="1"/>
  <c r="R16" i="347" a="1"/>
  <c r="R16" i="347" s="1"/>
  <c r="Q16" i="347" a="1"/>
  <c r="Q16" i="347" s="1"/>
  <c r="P16" i="347" a="1"/>
  <c r="P16" i="347" s="1"/>
  <c r="N16" i="347" a="1"/>
  <c r="N16" i="347" s="1"/>
  <c r="M16" i="347" a="1"/>
  <c r="M16" i="347" s="1"/>
  <c r="L16" i="347" a="1"/>
  <c r="L16" i="347" s="1"/>
  <c r="K16" i="347" a="1"/>
  <c r="K16" i="347" s="1"/>
  <c r="I16" i="347" a="1"/>
  <c r="I16" i="347" s="1"/>
  <c r="H16" i="347" a="1"/>
  <c r="H16" i="347" s="1"/>
  <c r="G16" i="347" a="1"/>
  <c r="G16" i="347" s="1"/>
  <c r="F16" i="347" a="1"/>
  <c r="F16" i="347" s="1"/>
  <c r="E16" i="347" a="1"/>
  <c r="E16" i="347" s="1"/>
  <c r="C16" i="347"/>
  <c r="T15" i="347" a="1"/>
  <c r="T15" i="347" s="1"/>
  <c r="S15" i="347" a="1"/>
  <c r="S15" i="347" s="1"/>
  <c r="R15" i="347" a="1"/>
  <c r="R15" i="347" s="1"/>
  <c r="Q15" i="347" a="1"/>
  <c r="Q15" i="347" s="1"/>
  <c r="P15" i="347" a="1"/>
  <c r="P15" i="347" s="1"/>
  <c r="N15" i="347" a="1"/>
  <c r="N15" i="347" s="1"/>
  <c r="M15" i="347" a="1"/>
  <c r="M15" i="347" s="1"/>
  <c r="L15" i="347" a="1"/>
  <c r="L15" i="347" s="1"/>
  <c r="K15" i="347" a="1"/>
  <c r="K15" i="347" s="1"/>
  <c r="I15" i="347" a="1"/>
  <c r="I15" i="347" s="1"/>
  <c r="H15" i="347" a="1"/>
  <c r="H15" i="347" s="1"/>
  <c r="G15" i="347" a="1"/>
  <c r="G15" i="347" s="1"/>
  <c r="F15" i="347" a="1"/>
  <c r="F15" i="347" s="1"/>
  <c r="E15" i="347" a="1"/>
  <c r="E15" i="347" s="1"/>
  <c r="C15" i="347"/>
  <c r="T14" i="347" a="1"/>
  <c r="T14" i="347" s="1"/>
  <c r="S14" i="347" a="1"/>
  <c r="S14" i="347" s="1"/>
  <c r="R14" i="347" a="1"/>
  <c r="R14" i="347" s="1"/>
  <c r="Q14" i="347" a="1"/>
  <c r="Q14" i="347" s="1"/>
  <c r="P14" i="347" a="1"/>
  <c r="P14" i="347" s="1"/>
  <c r="N14" i="347" a="1"/>
  <c r="N14" i="347" s="1"/>
  <c r="M14" i="347" a="1"/>
  <c r="M14" i="347" s="1"/>
  <c r="L14" i="347" a="1"/>
  <c r="L14" i="347" s="1"/>
  <c r="K14" i="347" a="1"/>
  <c r="K14" i="347" s="1"/>
  <c r="I14" i="347" a="1"/>
  <c r="I14" i="347" s="1"/>
  <c r="H14" i="347" a="1"/>
  <c r="H14" i="347" s="1"/>
  <c r="G14" i="347" a="1"/>
  <c r="G14" i="347" s="1"/>
  <c r="F14" i="347" a="1"/>
  <c r="F14" i="347" s="1"/>
  <c r="E14" i="347" a="1"/>
  <c r="E14" i="347" s="1"/>
  <c r="C14" i="347"/>
  <c r="T13" i="347" a="1"/>
  <c r="T13" i="347" s="1"/>
  <c r="S13" i="347" a="1"/>
  <c r="S13" i="347" s="1"/>
  <c r="R13" i="347" a="1"/>
  <c r="R13" i="347" s="1"/>
  <c r="Q13" i="347" a="1"/>
  <c r="Q13" i="347" s="1"/>
  <c r="P13" i="347" a="1"/>
  <c r="P13" i="347" s="1"/>
  <c r="N13" i="347" a="1"/>
  <c r="N13" i="347" s="1"/>
  <c r="M13" i="347" a="1"/>
  <c r="M13" i="347" s="1"/>
  <c r="L13" i="347" a="1"/>
  <c r="L13" i="347" s="1"/>
  <c r="K13" i="347" a="1"/>
  <c r="K13" i="347" s="1"/>
  <c r="I13" i="347" a="1"/>
  <c r="I13" i="347" s="1"/>
  <c r="H13" i="347" a="1"/>
  <c r="H13" i="347" s="1"/>
  <c r="G13" i="347" a="1"/>
  <c r="G13" i="347" s="1"/>
  <c r="F13" i="347" a="1"/>
  <c r="F13" i="347" s="1"/>
  <c r="E13" i="347" a="1"/>
  <c r="E13" i="347" s="1"/>
  <c r="C13" i="347"/>
  <c r="T12" i="347" a="1"/>
  <c r="T12" i="347" s="1"/>
  <c r="S12" i="347" a="1"/>
  <c r="S12" i="347" s="1"/>
  <c r="R12" i="347" a="1"/>
  <c r="R12" i="347" s="1"/>
  <c r="Q12" i="347" a="1"/>
  <c r="Q12" i="347" s="1"/>
  <c r="P12" i="347" a="1"/>
  <c r="P12" i="347" s="1"/>
  <c r="N12" i="347" a="1"/>
  <c r="N12" i="347" s="1"/>
  <c r="M12" i="347" a="1"/>
  <c r="M12" i="347" s="1"/>
  <c r="L12" i="347" a="1"/>
  <c r="L12" i="347" s="1"/>
  <c r="K12" i="347" a="1"/>
  <c r="K12" i="347" s="1"/>
  <c r="I12" i="347" a="1"/>
  <c r="I12" i="347" s="1"/>
  <c r="H12" i="347" a="1"/>
  <c r="H12" i="347" s="1"/>
  <c r="G12" i="347" a="1"/>
  <c r="G12" i="347" s="1"/>
  <c r="F12" i="347" a="1"/>
  <c r="F12" i="347" s="1"/>
  <c r="E12" i="347" a="1"/>
  <c r="E12" i="347" s="1"/>
  <c r="C12" i="347"/>
  <c r="T11" i="347" a="1"/>
  <c r="T11" i="347" s="1"/>
  <c r="S11" i="347" a="1"/>
  <c r="S11" i="347" s="1"/>
  <c r="R11" i="347" a="1"/>
  <c r="R11" i="347" s="1"/>
  <c r="Q11" i="347" a="1"/>
  <c r="Q11" i="347" s="1"/>
  <c r="P11" i="347" a="1"/>
  <c r="P11" i="347" s="1"/>
  <c r="N11" i="347" a="1"/>
  <c r="N11" i="347" s="1"/>
  <c r="M11" i="347" a="1"/>
  <c r="M11" i="347" s="1"/>
  <c r="L11" i="347" a="1"/>
  <c r="L11" i="347" s="1"/>
  <c r="K11" i="347" a="1"/>
  <c r="K11" i="347" s="1"/>
  <c r="I11" i="347" a="1"/>
  <c r="I11" i="347" s="1"/>
  <c r="H11" i="347" a="1"/>
  <c r="H11" i="347" s="1"/>
  <c r="G11" i="347" a="1"/>
  <c r="G11" i="347" s="1"/>
  <c r="F11" i="347" a="1"/>
  <c r="F11" i="347" s="1"/>
  <c r="E11" i="347" a="1"/>
  <c r="E11" i="347" s="1"/>
  <c r="C11" i="347"/>
  <c r="T10" i="347" a="1"/>
  <c r="T10" i="347" s="1"/>
  <c r="S10" i="347" a="1"/>
  <c r="S10" i="347" s="1"/>
  <c r="R10" i="347" a="1"/>
  <c r="R10" i="347" s="1"/>
  <c r="Q10" i="347" a="1"/>
  <c r="Q10" i="347" s="1"/>
  <c r="P10" i="347" a="1"/>
  <c r="P10" i="347" s="1"/>
  <c r="N10" i="347" a="1"/>
  <c r="N10" i="347" s="1"/>
  <c r="M10" i="347" a="1"/>
  <c r="M10" i="347" s="1"/>
  <c r="L10" i="347" a="1"/>
  <c r="L10" i="347" s="1"/>
  <c r="K10" i="347" a="1"/>
  <c r="K10" i="347" s="1"/>
  <c r="I10" i="347" a="1"/>
  <c r="I10" i="347" s="1"/>
  <c r="H10" i="347" a="1"/>
  <c r="H10" i="347" s="1"/>
  <c r="G10" i="347" a="1"/>
  <c r="G10" i="347" s="1"/>
  <c r="F10" i="347" a="1"/>
  <c r="F10" i="347" s="1"/>
  <c r="E10" i="347" a="1"/>
  <c r="E10" i="347" s="1"/>
  <c r="C10" i="347"/>
  <c r="A10" i="347"/>
  <c r="A11" i="347" s="1"/>
  <c r="A12" i="347" s="1"/>
  <c r="A13" i="347" s="1"/>
  <c r="A14" i="347" s="1"/>
  <c r="A15" i="347" s="1"/>
  <c r="A16" i="347" s="1"/>
  <c r="A17" i="347" s="1"/>
  <c r="A18" i="347" s="1"/>
  <c r="A19" i="347" s="1"/>
  <c r="A20" i="347" s="1"/>
  <c r="A21" i="347" s="1"/>
  <c r="A22" i="347" s="1"/>
  <c r="A23" i="347" s="1"/>
  <c r="A24" i="347" s="1"/>
  <c r="A25" i="347" s="1"/>
  <c r="A26" i="347" s="1"/>
  <c r="A27" i="347" s="1"/>
  <c r="A28" i="347" s="1"/>
  <c r="A29" i="347" s="1"/>
  <c r="A30" i="347" s="1"/>
  <c r="A31" i="347" s="1"/>
  <c r="A32" i="347" s="1"/>
  <c r="A33" i="347" s="1"/>
  <c r="A34" i="347" s="1"/>
  <c r="A35" i="347" s="1"/>
  <c r="T9" i="347" a="1"/>
  <c r="T9" i="347" s="1"/>
  <c r="S9" i="347" a="1"/>
  <c r="S9" i="347" s="1"/>
  <c r="R9" i="347" a="1"/>
  <c r="R9" i="347" s="1"/>
  <c r="Q9" i="347" a="1"/>
  <c r="Q9" i="347" s="1"/>
  <c r="P9" i="347" a="1"/>
  <c r="P9" i="347" s="1"/>
  <c r="N9" i="347" a="1"/>
  <c r="N9" i="347" s="1"/>
  <c r="M9" i="347" a="1"/>
  <c r="M9" i="347" s="1"/>
  <c r="L9" i="347" a="1"/>
  <c r="L9" i="347" s="1"/>
  <c r="K9" i="347" a="1"/>
  <c r="K9" i="347" s="1"/>
  <c r="I9" i="347" a="1"/>
  <c r="I9" i="347" s="1"/>
  <c r="H9" i="347" a="1"/>
  <c r="H9" i="347" s="1"/>
  <c r="G9" i="347" a="1"/>
  <c r="G9" i="347" s="1"/>
  <c r="F9" i="347" a="1"/>
  <c r="F9" i="347" s="1"/>
  <c r="E9" i="347" a="1"/>
  <c r="E9" i="347" s="1"/>
  <c r="C9" i="347"/>
  <c r="A4" i="347"/>
  <c r="C120" i="410"/>
  <c r="E119" i="410"/>
  <c r="D117" i="410" a="1"/>
  <c r="D117" i="410" s="1"/>
  <c r="D116" i="410" a="1"/>
  <c r="D116" i="410" s="1"/>
  <c r="D115" i="410" a="1"/>
  <c r="D115" i="410" s="1"/>
  <c r="D114" i="410" a="1"/>
  <c r="D114" i="410" s="1"/>
  <c r="D113" i="410" a="1"/>
  <c r="D113" i="410" s="1"/>
  <c r="D112" i="410" a="1"/>
  <c r="D112" i="410" s="1"/>
  <c r="D111" i="410" a="1"/>
  <c r="D111" i="410" s="1"/>
  <c r="D110" i="410" a="1"/>
  <c r="D110" i="410" s="1"/>
  <c r="D109" i="410" a="1"/>
  <c r="D109" i="410" s="1"/>
  <c r="D108" i="410" a="1"/>
  <c r="D108" i="410" s="1"/>
  <c r="D107" i="410" a="1"/>
  <c r="D107" i="410" s="1"/>
  <c r="D106" i="410" a="1"/>
  <c r="D106" i="410" s="1"/>
  <c r="D103" i="410" a="1"/>
  <c r="D103" i="410" s="1"/>
  <c r="D101" i="410"/>
  <c r="D100" i="410" a="1"/>
  <c r="D100" i="410" s="1"/>
  <c r="D99" i="410" a="1"/>
  <c r="D99" i="410" s="1"/>
  <c r="D97" i="410" a="1"/>
  <c r="D97" i="410" s="1"/>
  <c r="D96" i="410" a="1"/>
  <c r="D96" i="410" s="1"/>
  <c r="D95" i="410" a="1"/>
  <c r="D95" i="410" s="1"/>
  <c r="D94" i="410" a="1"/>
  <c r="D94" i="410" s="1"/>
  <c r="D93" i="410" a="1"/>
  <c r="D93" i="410" s="1"/>
  <c r="D92" i="410" a="1"/>
  <c r="D92" i="410" s="1"/>
  <c r="D91" i="410" a="1"/>
  <c r="D91" i="410" s="1"/>
  <c r="D90" i="410" a="1"/>
  <c r="D90" i="410" s="1"/>
  <c r="D89" i="410" a="1"/>
  <c r="D89" i="410" s="1"/>
  <c r="D88" i="410" a="1"/>
  <c r="D88" i="410" s="1"/>
  <c r="D86" i="410" a="1"/>
  <c r="D86" i="410" s="1"/>
  <c r="D85" i="410" a="1"/>
  <c r="D85" i="410" s="1"/>
  <c r="D84" i="410" a="1"/>
  <c r="D84" i="410" s="1"/>
  <c r="D83" i="410" a="1"/>
  <c r="D83" i="410" s="1"/>
  <c r="D82" i="410" a="1"/>
  <c r="D82" i="410" s="1"/>
  <c r="D81" i="410" a="1"/>
  <c r="D81" i="410" s="1"/>
  <c r="D80" i="410" a="1"/>
  <c r="D80" i="410" s="1"/>
  <c r="D79" i="410" a="1"/>
  <c r="D79" i="410" s="1"/>
  <c r="D77" i="410" a="1"/>
  <c r="D77" i="410" s="1"/>
  <c r="D76" i="410" a="1"/>
  <c r="D76" i="410" s="1"/>
  <c r="D75" i="410" a="1"/>
  <c r="D75" i="410" s="1"/>
  <c r="D74" i="410" a="1"/>
  <c r="D74" i="410" s="1"/>
  <c r="D73" i="410" a="1"/>
  <c r="D73" i="410" s="1"/>
  <c r="D72" i="410" a="1"/>
  <c r="D72" i="410" s="1"/>
  <c r="D71" i="410" a="1"/>
  <c r="D71" i="410" s="1"/>
  <c r="D70" i="410" a="1"/>
  <c r="D70" i="410" s="1"/>
  <c r="D69" i="410" a="1"/>
  <c r="D69" i="410" s="1"/>
  <c r="D68" i="410" a="1"/>
  <c r="D68" i="410" s="1"/>
  <c r="D67" i="410" a="1"/>
  <c r="D67" i="410" s="1"/>
  <c r="D65" i="410" a="1"/>
  <c r="D65" i="410" s="1"/>
  <c r="D64" i="410" a="1"/>
  <c r="D64" i="410" s="1"/>
  <c r="D62" i="410" a="1"/>
  <c r="D62" i="410" s="1"/>
  <c r="D59" i="410" a="1"/>
  <c r="D59" i="410" s="1"/>
  <c r="D58" i="410" a="1"/>
  <c r="D58" i="410" s="1"/>
  <c r="D57" i="410" a="1"/>
  <c r="D57" i="410" s="1"/>
  <c r="D56" i="410" a="1"/>
  <c r="D56" i="410" s="1"/>
  <c r="D55" i="410" a="1"/>
  <c r="D55" i="410" s="1"/>
  <c r="D54" i="410" a="1"/>
  <c r="D54" i="410" s="1"/>
  <c r="D53" i="410" a="1"/>
  <c r="D53" i="410" s="1"/>
  <c r="D51" i="410" a="1"/>
  <c r="D51" i="410" s="1"/>
  <c r="D50" i="410" a="1"/>
  <c r="D50" i="410" s="1"/>
  <c r="D46" i="410" a="1"/>
  <c r="D46" i="410" s="1"/>
  <c r="D45" i="410" a="1"/>
  <c r="D45" i="410" s="1"/>
  <c r="D44" i="410" a="1"/>
  <c r="D44" i="410" s="1"/>
  <c r="D43" i="410" a="1"/>
  <c r="D43" i="410" s="1"/>
  <c r="D41" i="410" a="1"/>
  <c r="D41" i="410" s="1"/>
  <c r="D40" i="410" a="1"/>
  <c r="D40" i="410" s="1"/>
  <c r="D39" i="410" a="1"/>
  <c r="D39" i="410" s="1"/>
  <c r="D38" i="410" a="1"/>
  <c r="D38" i="410" s="1"/>
  <c r="D36" i="410" a="1"/>
  <c r="D36" i="410" s="1"/>
  <c r="D35" i="410" a="1"/>
  <c r="D35" i="410" s="1"/>
  <c r="D34" i="410" a="1"/>
  <c r="D34" i="410" s="1"/>
  <c r="D32" i="410" a="1"/>
  <c r="D32" i="410" s="1"/>
  <c r="D31" i="410" a="1"/>
  <c r="D31" i="410" s="1"/>
  <c r="D30" i="410" a="1"/>
  <c r="D30" i="410" s="1"/>
  <c r="D29" i="410" a="1"/>
  <c r="D29" i="410" s="1"/>
  <c r="D28" i="410" a="1"/>
  <c r="D28" i="410" s="1"/>
  <c r="D27" i="410" a="1"/>
  <c r="D27" i="410" s="1"/>
  <c r="D26" i="410" a="1"/>
  <c r="D26" i="410" s="1"/>
  <c r="D25" i="410" a="1"/>
  <c r="D25" i="410" s="1"/>
  <c r="D24" i="410" a="1"/>
  <c r="D24" i="410" s="1"/>
  <c r="D23" i="410" a="1"/>
  <c r="D23" i="410" s="1"/>
  <c r="D22" i="410" a="1"/>
  <c r="D22" i="410" s="1"/>
  <c r="D21" i="410" a="1"/>
  <c r="D21" i="410" s="1"/>
  <c r="D20" i="410" a="1"/>
  <c r="D20" i="410" s="1"/>
  <c r="D19" i="410" a="1"/>
  <c r="D19" i="410" s="1"/>
  <c r="D16" i="410" a="1"/>
  <c r="D16" i="410" s="1"/>
  <c r="D15" i="410" a="1"/>
  <c r="D15" i="410" s="1"/>
  <c r="C120" i="411"/>
  <c r="E119" i="411"/>
  <c r="D117" i="411" a="1"/>
  <c r="D117" i="411" s="1"/>
  <c r="D116" i="411" a="1"/>
  <c r="D116" i="411" s="1"/>
  <c r="D115" i="411" a="1"/>
  <c r="D115" i="411" s="1"/>
  <c r="D114" i="411" a="1"/>
  <c r="D114" i="411" s="1"/>
  <c r="D113" i="411" a="1"/>
  <c r="D113" i="411" s="1"/>
  <c r="D112" i="411" a="1"/>
  <c r="D112" i="411" s="1"/>
  <c r="D111" i="411" a="1"/>
  <c r="D111" i="411" s="1"/>
  <c r="D110" i="411" a="1"/>
  <c r="D110" i="411" s="1"/>
  <c r="D109" i="411" a="1"/>
  <c r="D109" i="411" s="1"/>
  <c r="D108" i="411" a="1"/>
  <c r="D108" i="411" s="1"/>
  <c r="D107" i="411" a="1"/>
  <c r="D107" i="411" s="1"/>
  <c r="D106" i="411" a="1"/>
  <c r="D106" i="411" s="1"/>
  <c r="D103" i="411" a="1"/>
  <c r="D103" i="411" s="1"/>
  <c r="D101" i="411"/>
  <c r="D100" i="411" a="1"/>
  <c r="D100" i="411" s="1"/>
  <c r="D99" i="411" a="1"/>
  <c r="D99" i="411" s="1"/>
  <c r="D97" i="411" a="1"/>
  <c r="D97" i="411" s="1"/>
  <c r="D96" i="411" a="1"/>
  <c r="D96" i="411" s="1"/>
  <c r="D95" i="411" a="1"/>
  <c r="D95" i="411" s="1"/>
  <c r="D94" i="411" a="1"/>
  <c r="D94" i="411" s="1"/>
  <c r="D93" i="411" a="1"/>
  <c r="D93" i="411" s="1"/>
  <c r="D92" i="411" a="1"/>
  <c r="D92" i="411" s="1"/>
  <c r="D91" i="411" a="1"/>
  <c r="D91" i="411" s="1"/>
  <c r="D90" i="411" a="1"/>
  <c r="D90" i="411" s="1"/>
  <c r="D89" i="411" a="1"/>
  <c r="D89" i="411" s="1"/>
  <c r="D88" i="411" a="1"/>
  <c r="D88" i="411" s="1"/>
  <c r="D86" i="411" a="1"/>
  <c r="D86" i="411" s="1"/>
  <c r="D85" i="411" a="1"/>
  <c r="D85" i="411" s="1"/>
  <c r="D84" i="411" a="1"/>
  <c r="D84" i="411" s="1"/>
  <c r="D83" i="411" a="1"/>
  <c r="D83" i="411" s="1"/>
  <c r="D82" i="411" a="1"/>
  <c r="D82" i="411" s="1"/>
  <c r="D81" i="411" a="1"/>
  <c r="D81" i="411" s="1"/>
  <c r="D80" i="411" a="1"/>
  <c r="D80" i="411" s="1"/>
  <c r="D79" i="411" a="1"/>
  <c r="D79" i="411" s="1"/>
  <c r="D77" i="411" a="1"/>
  <c r="D77" i="411" s="1"/>
  <c r="D76" i="411" a="1"/>
  <c r="D76" i="411" s="1"/>
  <c r="D75" i="411" a="1"/>
  <c r="D75" i="411" s="1"/>
  <c r="D74" i="411" a="1"/>
  <c r="D74" i="411" s="1"/>
  <c r="D73" i="411" a="1"/>
  <c r="D73" i="411" s="1"/>
  <c r="D72" i="411" a="1"/>
  <c r="D72" i="411" s="1"/>
  <c r="D71" i="411" a="1"/>
  <c r="D71" i="411" s="1"/>
  <c r="D70" i="411" a="1"/>
  <c r="D70" i="411" s="1"/>
  <c r="D69" i="411" a="1"/>
  <c r="D69" i="411" s="1"/>
  <c r="D68" i="411" a="1"/>
  <c r="D68" i="411" s="1"/>
  <c r="D67" i="411" a="1"/>
  <c r="D67" i="411" s="1"/>
  <c r="D65" i="411" a="1"/>
  <c r="D65" i="411" s="1"/>
  <c r="D64" i="411" a="1"/>
  <c r="D64" i="411" s="1"/>
  <c r="D62" i="411" a="1"/>
  <c r="D62" i="411" s="1"/>
  <c r="D59" i="411" a="1"/>
  <c r="D59" i="411" s="1"/>
  <c r="D58" i="411" a="1"/>
  <c r="D58" i="411" s="1"/>
  <c r="D57" i="411" a="1"/>
  <c r="D57" i="411" s="1"/>
  <c r="D56" i="411" a="1"/>
  <c r="D56" i="411" s="1"/>
  <c r="D55" i="411" a="1"/>
  <c r="D55" i="411" s="1"/>
  <c r="D54" i="411" a="1"/>
  <c r="D54" i="411" s="1"/>
  <c r="D53" i="411" a="1"/>
  <c r="D53" i="411" s="1"/>
  <c r="D51" i="411" a="1"/>
  <c r="D51" i="411" s="1"/>
  <c r="D50" i="411" a="1"/>
  <c r="D50" i="411" s="1"/>
  <c r="D46" i="411" a="1"/>
  <c r="D46" i="411" s="1"/>
  <c r="D45" i="411" a="1"/>
  <c r="D45" i="411" s="1"/>
  <c r="D44" i="411" a="1"/>
  <c r="D44" i="411" s="1"/>
  <c r="D43" i="411" a="1"/>
  <c r="D43" i="411" s="1"/>
  <c r="D41" i="411" a="1"/>
  <c r="D41" i="411" s="1"/>
  <c r="D40" i="411" a="1"/>
  <c r="D40" i="411" s="1"/>
  <c r="D39" i="411" a="1"/>
  <c r="D39" i="411" s="1"/>
  <c r="D38" i="411" a="1"/>
  <c r="D38" i="411" s="1"/>
  <c r="D36" i="411" a="1"/>
  <c r="D36" i="411" s="1"/>
  <c r="D35" i="411" a="1"/>
  <c r="D35" i="411" s="1"/>
  <c r="D34" i="411" a="1"/>
  <c r="D34" i="411" s="1"/>
  <c r="D32" i="411" a="1"/>
  <c r="D32" i="411" s="1"/>
  <c r="D31" i="411" a="1"/>
  <c r="D31" i="411" s="1"/>
  <c r="D30" i="411" a="1"/>
  <c r="D30" i="411" s="1"/>
  <c r="D29" i="411" a="1"/>
  <c r="D29" i="411" s="1"/>
  <c r="D28" i="411" a="1"/>
  <c r="D28" i="411" s="1"/>
  <c r="D27" i="411" a="1"/>
  <c r="D27" i="411" s="1"/>
  <c r="D26" i="411" a="1"/>
  <c r="D26" i="411" s="1"/>
  <c r="D25" i="411" a="1"/>
  <c r="D25" i="411" s="1"/>
  <c r="D24" i="411" a="1"/>
  <c r="D24" i="411" s="1"/>
  <c r="D23" i="411" a="1"/>
  <c r="D23" i="411" s="1"/>
  <c r="D22" i="411" a="1"/>
  <c r="D22" i="411" s="1"/>
  <c r="D21" i="411" a="1"/>
  <c r="D21" i="411" s="1"/>
  <c r="D20" i="411" a="1"/>
  <c r="D20" i="411" s="1"/>
  <c r="D19" i="411" a="1"/>
  <c r="D19" i="411" s="1"/>
  <c r="D16" i="411" a="1"/>
  <c r="D16" i="411" s="1"/>
  <c r="D15" i="411" a="1"/>
  <c r="D15" i="411" s="1"/>
  <c r="C120" i="406"/>
  <c r="E119" i="406"/>
  <c r="D117" i="406" a="1"/>
  <c r="D117" i="406" s="1"/>
  <c r="D116" i="406" a="1"/>
  <c r="D116" i="406" s="1"/>
  <c r="D115" i="406" a="1"/>
  <c r="D115" i="406" s="1"/>
  <c r="D114" i="406" a="1"/>
  <c r="D114" i="406" s="1"/>
  <c r="D113" i="406" a="1"/>
  <c r="D113" i="406" s="1"/>
  <c r="D112" i="406" a="1"/>
  <c r="D112" i="406" s="1"/>
  <c r="D111" i="406" a="1"/>
  <c r="D111" i="406" s="1"/>
  <c r="D110" i="406" a="1"/>
  <c r="D110" i="406" s="1"/>
  <c r="D109" i="406" a="1"/>
  <c r="D109" i="406" s="1"/>
  <c r="D108" i="406" a="1"/>
  <c r="D108" i="406" s="1"/>
  <c r="D107" i="406" a="1"/>
  <c r="D107" i="406" s="1"/>
  <c r="D106" i="406" a="1"/>
  <c r="D106" i="406" s="1"/>
  <c r="D103" i="406" a="1"/>
  <c r="D103" i="406" s="1"/>
  <c r="D101" i="406" a="1"/>
  <c r="D101" i="406" s="1"/>
  <c r="D100" i="406" a="1"/>
  <c r="D100" i="406" s="1"/>
  <c r="D99" i="406" a="1"/>
  <c r="D99" i="406" s="1"/>
  <c r="D97" i="406" a="1"/>
  <c r="D97" i="406" s="1"/>
  <c r="D96" i="406" a="1"/>
  <c r="D96" i="406" s="1"/>
  <c r="D95" i="406" a="1"/>
  <c r="D95" i="406" s="1"/>
  <c r="D94" i="406" a="1"/>
  <c r="D94" i="406" s="1"/>
  <c r="D93" i="406" a="1"/>
  <c r="D93" i="406" s="1"/>
  <c r="D92" i="406" a="1"/>
  <c r="D92" i="406" s="1"/>
  <c r="D91" i="406" a="1"/>
  <c r="D91" i="406" s="1"/>
  <c r="D90" i="406" a="1"/>
  <c r="D90" i="406" s="1"/>
  <c r="D89" i="406" a="1"/>
  <c r="D89" i="406" s="1"/>
  <c r="D88" i="406" a="1"/>
  <c r="D88" i="406" s="1"/>
  <c r="D86" i="406" a="1"/>
  <c r="D86" i="406" s="1"/>
  <c r="D85" i="406" a="1"/>
  <c r="D85" i="406" s="1"/>
  <c r="D84" i="406" a="1"/>
  <c r="D84" i="406" s="1"/>
  <c r="D83" i="406" a="1"/>
  <c r="D83" i="406" s="1"/>
  <c r="D82" i="406" a="1"/>
  <c r="D82" i="406" s="1"/>
  <c r="D81" i="406" a="1"/>
  <c r="D81" i="406" s="1"/>
  <c r="D80" i="406" a="1"/>
  <c r="D80" i="406" s="1"/>
  <c r="D79" i="406" a="1"/>
  <c r="D79" i="406" s="1"/>
  <c r="D77" i="406" a="1"/>
  <c r="D77" i="406" s="1"/>
  <c r="D76" i="406" a="1"/>
  <c r="D76" i="406" s="1"/>
  <c r="D75" i="406" a="1"/>
  <c r="D75" i="406" s="1"/>
  <c r="D74" i="406" a="1"/>
  <c r="D74" i="406" s="1"/>
  <c r="D73" i="406" a="1"/>
  <c r="D73" i="406" s="1"/>
  <c r="D72" i="406" a="1"/>
  <c r="D72" i="406" s="1"/>
  <c r="D71" i="406" a="1"/>
  <c r="D71" i="406" s="1"/>
  <c r="D70" i="406" a="1"/>
  <c r="D70" i="406" s="1"/>
  <c r="D69" i="406" a="1"/>
  <c r="D69" i="406" s="1"/>
  <c r="D68" i="406" a="1"/>
  <c r="D68" i="406" s="1"/>
  <c r="D67" i="406" a="1"/>
  <c r="D67" i="406" s="1"/>
  <c r="D65" i="406" a="1"/>
  <c r="D65" i="406" s="1"/>
  <c r="D64" i="406" a="1"/>
  <c r="D64" i="406" s="1"/>
  <c r="D62" i="406" a="1"/>
  <c r="D62" i="406" s="1"/>
  <c r="D59" i="406" a="1"/>
  <c r="D59" i="406" s="1"/>
  <c r="D58" i="406" a="1"/>
  <c r="D58" i="406" s="1"/>
  <c r="D57" i="406" a="1"/>
  <c r="D57" i="406" s="1"/>
  <c r="D56" i="406" a="1"/>
  <c r="D56" i="406" s="1"/>
  <c r="D55" i="406" a="1"/>
  <c r="D55" i="406" s="1"/>
  <c r="D54" i="406" a="1"/>
  <c r="D54" i="406" s="1"/>
  <c r="D53" i="406" a="1"/>
  <c r="D53" i="406" s="1"/>
  <c r="D51" i="406" a="1"/>
  <c r="D51" i="406" s="1"/>
  <c r="D50" i="406" a="1"/>
  <c r="D50" i="406" s="1"/>
  <c r="D46" i="406" a="1"/>
  <c r="D46" i="406" s="1"/>
  <c r="D45" i="406" a="1"/>
  <c r="D45" i="406" s="1"/>
  <c r="D44" i="406" a="1"/>
  <c r="D44" i="406" s="1"/>
  <c r="D43" i="406" a="1"/>
  <c r="D43" i="406" s="1"/>
  <c r="D41" i="406" a="1"/>
  <c r="D41" i="406" s="1"/>
  <c r="D40" i="406" a="1"/>
  <c r="D40" i="406" s="1"/>
  <c r="D39" i="406" a="1"/>
  <c r="D39" i="406" s="1"/>
  <c r="D38" i="406" a="1"/>
  <c r="D38" i="406" s="1"/>
  <c r="D36" i="406" a="1"/>
  <c r="D36" i="406" s="1"/>
  <c r="D35" i="406" a="1"/>
  <c r="D35" i="406" s="1"/>
  <c r="D34" i="406" a="1"/>
  <c r="D34" i="406" s="1"/>
  <c r="D32" i="406" a="1"/>
  <c r="D32" i="406" s="1"/>
  <c r="D31" i="406" a="1"/>
  <c r="D31" i="406" s="1"/>
  <c r="D30" i="406" a="1"/>
  <c r="D30" i="406" s="1"/>
  <c r="D29" i="406" a="1"/>
  <c r="D29" i="406" s="1"/>
  <c r="D28" i="406" a="1"/>
  <c r="D28" i="406" s="1"/>
  <c r="D27" i="406" a="1"/>
  <c r="D27" i="406" s="1"/>
  <c r="D26" i="406" a="1"/>
  <c r="D26" i="406" s="1"/>
  <c r="D25" i="406" a="1"/>
  <c r="D25" i="406" s="1"/>
  <c r="D24" i="406" a="1"/>
  <c r="D24" i="406" s="1"/>
  <c r="D23" i="406" a="1"/>
  <c r="D23" i="406" s="1"/>
  <c r="D22" i="406" a="1"/>
  <c r="D22" i="406" s="1"/>
  <c r="D21" i="406" a="1"/>
  <c r="D21" i="406" s="1"/>
  <c r="D20" i="406" a="1"/>
  <c r="D20" i="406" s="1"/>
  <c r="D19" i="406" a="1"/>
  <c r="D19" i="406" s="1"/>
  <c r="D16" i="406" a="1"/>
  <c r="D16" i="406" s="1"/>
  <c r="D15" i="406" a="1"/>
  <c r="D15" i="406" s="1"/>
  <c r="A20" i="345"/>
  <c r="D18" i="345"/>
  <c r="C18" i="345"/>
  <c r="B18" i="345" s="1"/>
  <c r="A18" i="345"/>
  <c r="D17" i="345"/>
  <c r="C17" i="345"/>
  <c r="B17" i="345" s="1"/>
  <c r="A17" i="345"/>
  <c r="D16" i="345"/>
  <c r="C16" i="345"/>
  <c r="B16" i="345" s="1"/>
  <c r="A16" i="345"/>
  <c r="D15" i="345"/>
  <c r="C15" i="345"/>
  <c r="B15" i="345" s="1"/>
  <c r="A15" i="345"/>
  <c r="D14" i="345"/>
  <c r="C14" i="345"/>
  <c r="B14" i="345" s="1"/>
  <c r="A14" i="345"/>
  <c r="D13" i="345"/>
  <c r="C13" i="345"/>
  <c r="B13" i="345" s="1"/>
  <c r="A13" i="345"/>
  <c r="D12" i="345"/>
  <c r="C12" i="345"/>
  <c r="B12" i="345" s="1"/>
  <c r="A12" i="345"/>
  <c r="D11" i="345"/>
  <c r="C11" i="345"/>
  <c r="B11" i="345" s="1"/>
  <c r="A11" i="345"/>
  <c r="D10" i="345"/>
  <c r="C10" i="345"/>
  <c r="B10" i="345" s="1"/>
  <c r="A10" i="345"/>
  <c r="D9" i="345"/>
  <c r="C9" i="345"/>
  <c r="B9" i="345" s="1"/>
  <c r="A9" i="345"/>
  <c r="D8" i="345"/>
  <c r="C8" i="345"/>
  <c r="B8" i="345" s="1"/>
  <c r="A8" i="345"/>
  <c r="D7" i="345"/>
  <c r="C7" i="345"/>
  <c r="B7" i="345" s="1"/>
  <c r="A7" i="345"/>
  <c r="G6" i="345" a="1"/>
  <c r="G6" i="345" s="1"/>
  <c r="F6" i="345" a="1"/>
  <c r="F6" i="345" s="1"/>
  <c r="A6" i="345"/>
  <c r="H4" i="345"/>
  <c r="B3" i="345"/>
  <c r="C2" i="345"/>
  <c r="B1" i="345"/>
  <c r="A20" i="353"/>
  <c r="C18" i="353"/>
  <c r="B18" i="353"/>
  <c r="A18" i="353"/>
  <c r="C17" i="353"/>
  <c r="B17" i="353" s="1"/>
  <c r="A17" i="353"/>
  <c r="C16" i="353"/>
  <c r="B16" i="353" s="1"/>
  <c r="A16" i="353"/>
  <c r="C15" i="353"/>
  <c r="B15" i="353" s="1"/>
  <c r="A15" i="353"/>
  <c r="C14" i="353"/>
  <c r="B14" i="353"/>
  <c r="A14" i="353"/>
  <c r="C13" i="353"/>
  <c r="B13" i="353" s="1"/>
  <c r="A13" i="353"/>
  <c r="C12" i="353"/>
  <c r="B12" i="353" s="1"/>
  <c r="A12" i="353"/>
  <c r="C11" i="353"/>
  <c r="B11" i="353" s="1"/>
  <c r="A11" i="353"/>
  <c r="C10" i="353"/>
  <c r="B10" i="353"/>
  <c r="A10" i="353"/>
  <c r="C9" i="353"/>
  <c r="B9" i="353" s="1"/>
  <c r="A9" i="353"/>
  <c r="C8" i="353"/>
  <c r="B8" i="353" s="1"/>
  <c r="A8" i="353"/>
  <c r="B7" i="353"/>
  <c r="A7" i="353"/>
  <c r="F6" i="353" a="1"/>
  <c r="F6" i="353" s="1"/>
  <c r="E6" i="353" a="1"/>
  <c r="E6" i="353" s="1"/>
  <c r="B6" i="353"/>
  <c r="A6" i="353"/>
  <c r="C2" i="353"/>
  <c r="G4" i="353" s="1"/>
  <c r="B1" i="353"/>
  <c r="B106" i="346"/>
  <c r="A106" i="346"/>
  <c r="A107" i="346" s="1"/>
  <c r="A108" i="346" s="1"/>
  <c r="B104" i="346"/>
  <c r="A104" i="346"/>
  <c r="F104" i="346" s="1" a="1"/>
  <c r="F104" i="346" s="1"/>
  <c r="B103" i="346"/>
  <c r="A103" i="346"/>
  <c r="F103" i="346" s="1" a="1"/>
  <c r="F103" i="346" s="1"/>
  <c r="B102" i="346"/>
  <c r="A102" i="346"/>
  <c r="F102" i="346" s="1" a="1"/>
  <c r="F102" i="346" s="1"/>
  <c r="B98" i="346"/>
  <c r="A98" i="346"/>
  <c r="B96" i="346"/>
  <c r="A96" i="346"/>
  <c r="F96" i="346" s="1" a="1"/>
  <c r="F96" i="346" s="1"/>
  <c r="B95" i="346"/>
  <c r="A95" i="346"/>
  <c r="F95" i="346" s="1" a="1"/>
  <c r="F95" i="346" s="1"/>
  <c r="B94" i="346"/>
  <c r="A94" i="346"/>
  <c r="F94" i="346" s="1" a="1"/>
  <c r="F94" i="346" s="1"/>
  <c r="B90" i="346"/>
  <c r="A90" i="346"/>
  <c r="A91" i="346" s="1"/>
  <c r="A92" i="346" s="1"/>
  <c r="B88" i="346"/>
  <c r="A88" i="346"/>
  <c r="F88" i="346" s="1" a="1"/>
  <c r="F88" i="346" s="1"/>
  <c r="B87" i="346"/>
  <c r="A87" i="346"/>
  <c r="F87" i="346" s="1" a="1"/>
  <c r="F87" i="346" s="1"/>
  <c r="B86" i="346"/>
  <c r="A86" i="346"/>
  <c r="F86" i="346" s="1" a="1"/>
  <c r="F86" i="346" s="1"/>
  <c r="B82" i="346"/>
  <c r="A82" i="346"/>
  <c r="B80" i="346"/>
  <c r="A80" i="346"/>
  <c r="F80" i="346" s="1" a="1"/>
  <c r="F80" i="346" s="1"/>
  <c r="B79" i="346"/>
  <c r="A79" i="346"/>
  <c r="F79" i="346" s="1" a="1"/>
  <c r="F79" i="346" s="1"/>
  <c r="B78" i="346"/>
  <c r="A78" i="346"/>
  <c r="F78" i="346" s="1" a="1"/>
  <c r="F78" i="346" s="1"/>
  <c r="B74" i="346"/>
  <c r="A74" i="346"/>
  <c r="A75" i="346" s="1"/>
  <c r="A76" i="346" s="1"/>
  <c r="B72" i="346"/>
  <c r="A72" i="346"/>
  <c r="F72" i="346" s="1" a="1"/>
  <c r="F72" i="346" s="1"/>
  <c r="B71" i="346"/>
  <c r="A71" i="346"/>
  <c r="F71" i="346" s="1" a="1"/>
  <c r="F71" i="346" s="1"/>
  <c r="B70" i="346"/>
  <c r="A70" i="346"/>
  <c r="F70" i="346" s="1" a="1"/>
  <c r="F70" i="346" s="1"/>
  <c r="B66" i="346"/>
  <c r="A66" i="346"/>
  <c r="B64" i="346"/>
  <c r="A64" i="346"/>
  <c r="F64" i="346" s="1" a="1"/>
  <c r="F64" i="346" s="1"/>
  <c r="B63" i="346"/>
  <c r="A63" i="346"/>
  <c r="F63" i="346" s="1" a="1"/>
  <c r="F63" i="346" s="1"/>
  <c r="B62" i="346"/>
  <c r="A62" i="346"/>
  <c r="F62" i="346" s="1" a="1"/>
  <c r="F62" i="346" s="1"/>
  <c r="B58" i="346"/>
  <c r="A58" i="346"/>
  <c r="A59" i="346" s="1"/>
  <c r="A60" i="346" s="1"/>
  <c r="B56" i="346"/>
  <c r="A56" i="346"/>
  <c r="F56" i="346" s="1" a="1"/>
  <c r="F56" i="346" s="1"/>
  <c r="B55" i="346"/>
  <c r="A55" i="346"/>
  <c r="F55" i="346" s="1" a="1"/>
  <c r="F55" i="346" s="1"/>
  <c r="B54" i="346"/>
  <c r="A54" i="346"/>
  <c r="F54" i="346" s="1" a="1"/>
  <c r="F54" i="346" s="1"/>
  <c r="B50" i="346"/>
  <c r="A50" i="346"/>
  <c r="B48" i="346"/>
  <c r="A48" i="346"/>
  <c r="F48" i="346" s="1" a="1"/>
  <c r="F48" i="346" s="1"/>
  <c r="B47" i="346"/>
  <c r="A47" i="346"/>
  <c r="F47" i="346" s="1" a="1"/>
  <c r="F47" i="346" s="1"/>
  <c r="B46" i="346"/>
  <c r="A46" i="346"/>
  <c r="F46" i="346" s="1" a="1"/>
  <c r="F46" i="346" s="1"/>
  <c r="B42" i="346"/>
  <c r="A42" i="346"/>
  <c r="A43" i="346" s="1"/>
  <c r="A44" i="346" s="1"/>
  <c r="B40" i="346"/>
  <c r="A40" i="346"/>
  <c r="F40" i="346" s="1" a="1"/>
  <c r="F40" i="346" s="1"/>
  <c r="B39" i="346"/>
  <c r="A39" i="346"/>
  <c r="F39" i="346" s="1" a="1"/>
  <c r="F39" i="346" s="1"/>
  <c r="B38" i="346"/>
  <c r="A38" i="346"/>
  <c r="F38" i="346" s="1" a="1"/>
  <c r="F38" i="346" s="1"/>
  <c r="B34" i="346"/>
  <c r="A34" i="346"/>
  <c r="B32" i="346"/>
  <c r="A32" i="346"/>
  <c r="F32" i="346" s="1" a="1"/>
  <c r="F32" i="346" s="1"/>
  <c r="B31" i="346"/>
  <c r="A31" i="346"/>
  <c r="F31" i="346" s="1" a="1"/>
  <c r="F31" i="346" s="1"/>
  <c r="B30" i="346"/>
  <c r="A30" i="346"/>
  <c r="F30" i="346" s="1" a="1"/>
  <c r="F30" i="346" s="1"/>
  <c r="B26" i="346"/>
  <c r="A26" i="346"/>
  <c r="A27" i="346" s="1"/>
  <c r="A28" i="346" s="1"/>
  <c r="B24" i="346"/>
  <c r="A24" i="346"/>
  <c r="F24" i="346" s="1" a="1"/>
  <c r="F24" i="346" s="1"/>
  <c r="B23" i="346"/>
  <c r="A23" i="346"/>
  <c r="F23" i="346" s="1" a="1"/>
  <c r="F23" i="346" s="1"/>
  <c r="B22" i="346"/>
  <c r="A22" i="346"/>
  <c r="F22" i="346" s="1" a="1"/>
  <c r="F22" i="346" s="1"/>
  <c r="B18" i="346"/>
  <c r="A18" i="346"/>
  <c r="B16" i="346"/>
  <c r="A16" i="346"/>
  <c r="F16" i="346" s="1" a="1"/>
  <c r="F16" i="346" s="1"/>
  <c r="B15" i="346"/>
  <c r="A15" i="346"/>
  <c r="F15" i="346" s="1" a="1"/>
  <c r="F15" i="346" s="1"/>
  <c r="B14" i="346"/>
  <c r="A14" i="346"/>
  <c r="F14" i="346" s="1" a="1"/>
  <c r="F14" i="346" s="1"/>
  <c r="F10" i="346" a="1"/>
  <c r="F10" i="346" s="1"/>
  <c r="E10" i="346" a="1"/>
  <c r="E10" i="346" s="1"/>
  <c r="B10" i="346"/>
  <c r="A10" i="346"/>
  <c r="A11" i="346" s="1"/>
  <c r="F8" i="346" a="1"/>
  <c r="F8" i="346" s="1"/>
  <c r="E8" i="346" a="1"/>
  <c r="E8" i="346" s="1"/>
  <c r="B8" i="346"/>
  <c r="A8" i="346"/>
  <c r="F7" i="346" a="1"/>
  <c r="F7" i="346" s="1"/>
  <c r="E7" i="346" a="1"/>
  <c r="E7" i="346" s="1"/>
  <c r="B7" i="346"/>
  <c r="A7" i="346"/>
  <c r="F6" i="346" a="1"/>
  <c r="F6" i="346" s="1"/>
  <c r="E6" i="346" a="1"/>
  <c r="E6" i="346" s="1"/>
  <c r="A6" i="346"/>
  <c r="B3" i="346"/>
  <c r="C2" i="346"/>
  <c r="H4" i="346" s="1" a="1"/>
  <c r="H4" i="346" s="1"/>
  <c r="A5" i="343"/>
  <c r="A3" i="343"/>
  <c r="A88" i="339"/>
  <c r="D88" i="339" s="1" a="1"/>
  <c r="D88" i="339" s="1"/>
  <c r="A87" i="339"/>
  <c r="D87" i="339" s="1" a="1"/>
  <c r="D87" i="339" s="1"/>
  <c r="A86" i="339"/>
  <c r="A85" i="339"/>
  <c r="D85" i="339" s="1" a="1"/>
  <c r="D85" i="339" s="1"/>
  <c r="A81" i="339"/>
  <c r="A82" i="339" s="1"/>
  <c r="A83" i="339" s="1"/>
  <c r="A80" i="339"/>
  <c r="D80" i="339" s="1" a="1"/>
  <c r="D80" i="339" s="1"/>
  <c r="A79" i="339"/>
  <c r="D79" i="339" s="1" a="1"/>
  <c r="D79" i="339" s="1"/>
  <c r="A78" i="339"/>
  <c r="A74" i="339"/>
  <c r="C74" i="339" s="1" a="1"/>
  <c r="C74" i="339" s="1"/>
  <c r="A73" i="339"/>
  <c r="D73" i="339" s="1" a="1"/>
  <c r="D73" i="339" s="1"/>
  <c r="A72" i="339"/>
  <c r="D72" i="339" s="1" a="1"/>
  <c r="D72" i="339" s="1"/>
  <c r="A71" i="339"/>
  <c r="C71" i="339" s="1" a="1"/>
  <c r="C71" i="339" s="1"/>
  <c r="A67" i="339"/>
  <c r="A66" i="339"/>
  <c r="D66" i="339" s="1" a="1"/>
  <c r="D66" i="339" s="1"/>
  <c r="A65" i="339"/>
  <c r="D65" i="339" s="1" a="1"/>
  <c r="D65" i="339" s="1"/>
  <c r="A64" i="339"/>
  <c r="D64" i="339" s="1" a="1"/>
  <c r="D64" i="339" s="1"/>
  <c r="A60" i="339"/>
  <c r="A61" i="339" s="1"/>
  <c r="A62" i="339" s="1"/>
  <c r="A59" i="339"/>
  <c r="C59" i="339" s="1" a="1"/>
  <c r="C59" i="339" s="1"/>
  <c r="A58" i="339"/>
  <c r="C58" i="339" s="1" a="1"/>
  <c r="C58" i="339" s="1"/>
  <c r="A57" i="339"/>
  <c r="C57" i="339" s="1" a="1"/>
  <c r="C57" i="339" s="1"/>
  <c r="A53" i="339"/>
  <c r="D53" i="339" s="1" a="1"/>
  <c r="D53" i="339" s="1"/>
  <c r="A52" i="339"/>
  <c r="D52" i="339" s="1" a="1"/>
  <c r="D52" i="339" s="1"/>
  <c r="A51" i="339"/>
  <c r="D51" i="339" s="1" a="1"/>
  <c r="D51" i="339" s="1"/>
  <c r="A50" i="339"/>
  <c r="C50" i="339" s="1" a="1"/>
  <c r="C50" i="339" s="1"/>
  <c r="A46" i="339"/>
  <c r="A47" i="339" s="1"/>
  <c r="A48" i="339" s="1"/>
  <c r="A45" i="339"/>
  <c r="A44" i="339"/>
  <c r="A43" i="339"/>
  <c r="A39" i="339"/>
  <c r="A38" i="339"/>
  <c r="D38" i="339" s="1" a="1"/>
  <c r="D38" i="339" s="1"/>
  <c r="A37" i="339"/>
  <c r="D37" i="339" s="1" a="1"/>
  <c r="D37" i="339" s="1"/>
  <c r="A36" i="339"/>
  <c r="D36" i="339" s="1" a="1"/>
  <c r="D36" i="339" s="1"/>
  <c r="A32" i="339"/>
  <c r="A33" i="339" s="1"/>
  <c r="A34" i="339" s="1"/>
  <c r="A31" i="339"/>
  <c r="C31" i="339" s="1" a="1"/>
  <c r="C31" i="339" s="1"/>
  <c r="A30" i="339"/>
  <c r="D30" i="339" s="1" a="1"/>
  <c r="D30" i="339" s="1"/>
  <c r="A29" i="339"/>
  <c r="C29" i="339" s="1" a="1"/>
  <c r="C29" i="339" s="1"/>
  <c r="A25" i="339"/>
  <c r="A26" i="339" s="1"/>
  <c r="A27" i="339" s="1"/>
  <c r="A24" i="339"/>
  <c r="D24" i="339" s="1" a="1"/>
  <c r="D24" i="339" s="1"/>
  <c r="A23" i="339"/>
  <c r="A22" i="339"/>
  <c r="D22" i="339" s="1" a="1"/>
  <c r="D22" i="339" s="1"/>
  <c r="A18" i="339"/>
  <c r="D18" i="339" s="1" a="1"/>
  <c r="D18" i="339" s="1"/>
  <c r="A17" i="339"/>
  <c r="C17" i="339" s="1" a="1"/>
  <c r="C17" i="339" s="1"/>
  <c r="A16" i="339"/>
  <c r="C16" i="339" s="1" a="1"/>
  <c r="C16" i="339" s="1"/>
  <c r="A15" i="339"/>
  <c r="D15" i="339" s="1" a="1"/>
  <c r="D15" i="339" s="1"/>
  <c r="A11" i="339"/>
  <c r="D11" i="339" s="1" a="1"/>
  <c r="D11" i="339" s="1"/>
  <c r="A10" i="339"/>
  <c r="D10" i="339" s="1" a="1"/>
  <c r="D10" i="339" s="1"/>
  <c r="A9" i="339"/>
  <c r="D9" i="339" s="1" a="1"/>
  <c r="D9" i="339" s="1"/>
  <c r="A8" i="339"/>
  <c r="D8" i="339" s="1" a="1"/>
  <c r="D8" i="339" s="1"/>
  <c r="D6" i="339" a="1"/>
  <c r="D6" i="339" s="1"/>
  <c r="C6" i="339" a="1"/>
  <c r="C6" i="339" s="1"/>
  <c r="A6" i="339"/>
  <c r="B3" i="339" a="1"/>
  <c r="B3" i="339" s="1"/>
  <c r="C2" i="339" a="1"/>
  <c r="C2" i="339" s="1"/>
  <c r="E4" i="339" s="1" a="1"/>
  <c r="E4" i="339" s="1"/>
  <c r="B1" i="339"/>
  <c r="A88" i="324"/>
  <c r="A87" i="324"/>
  <c r="C87" i="324" s="1" a="1"/>
  <c r="C87" i="324" s="1"/>
  <c r="A86" i="324"/>
  <c r="A85" i="324"/>
  <c r="D85" i="324" s="1" a="1"/>
  <c r="D85" i="324" s="1"/>
  <c r="A81" i="324"/>
  <c r="C81" i="324" s="1" a="1"/>
  <c r="C81" i="324" s="1"/>
  <c r="A80" i="324"/>
  <c r="D80" i="324" s="1" a="1"/>
  <c r="D80" i="324" s="1"/>
  <c r="A79" i="324"/>
  <c r="D79" i="324" s="1" a="1"/>
  <c r="D79" i="324" s="1"/>
  <c r="A78" i="324"/>
  <c r="C78" i="324" s="1" a="1"/>
  <c r="C78" i="324" s="1"/>
  <c r="A74" i="324"/>
  <c r="A75" i="324" s="1"/>
  <c r="A76" i="324" s="1"/>
  <c r="A73" i="324"/>
  <c r="C73" i="324" s="1" a="1"/>
  <c r="C73" i="324" s="1"/>
  <c r="A72" i="324"/>
  <c r="D72" i="324" s="1" a="1"/>
  <c r="D72" i="324" s="1"/>
  <c r="A71" i="324"/>
  <c r="D71" i="324" s="1" a="1"/>
  <c r="D71" i="324" s="1"/>
  <c r="A67" i="324"/>
  <c r="A68" i="324" s="1"/>
  <c r="A69" i="324" s="1"/>
  <c r="A66" i="324"/>
  <c r="C66" i="324" s="1" a="1"/>
  <c r="C66" i="324" s="1"/>
  <c r="A65" i="324"/>
  <c r="C65" i="324" s="1" a="1"/>
  <c r="C65" i="324" s="1"/>
  <c r="A64" i="324"/>
  <c r="D64" i="324" s="1" a="1"/>
  <c r="D64" i="324" s="1"/>
  <c r="A60" i="324"/>
  <c r="D60" i="324" s="1" a="1"/>
  <c r="D60" i="324" s="1"/>
  <c r="A59" i="324"/>
  <c r="A58" i="324"/>
  <c r="D58" i="324" s="1" a="1"/>
  <c r="D58" i="324" s="1"/>
  <c r="A57" i="324"/>
  <c r="D57" i="324" s="1" a="1"/>
  <c r="D57" i="324" s="1"/>
  <c r="A53" i="324"/>
  <c r="A52" i="324"/>
  <c r="A51" i="324"/>
  <c r="D51" i="324" s="1" a="1"/>
  <c r="D51" i="324" s="1"/>
  <c r="A50" i="324"/>
  <c r="D50" i="324" s="1" a="1"/>
  <c r="D50" i="324" s="1"/>
  <c r="A46" i="324"/>
  <c r="D46" i="324" s="1" a="1"/>
  <c r="D46" i="324" s="1"/>
  <c r="A45" i="324"/>
  <c r="D45" i="324" s="1" a="1"/>
  <c r="D45" i="324" s="1"/>
  <c r="A44" i="324"/>
  <c r="D44" i="324" s="1" a="1"/>
  <c r="D44" i="324" s="1"/>
  <c r="A43" i="324"/>
  <c r="A39" i="324"/>
  <c r="D39" i="324" s="1" a="1"/>
  <c r="D39" i="324" s="1"/>
  <c r="A38" i="324"/>
  <c r="A37" i="324"/>
  <c r="D37" i="324" s="1" a="1"/>
  <c r="D37" i="324" s="1"/>
  <c r="A36" i="324"/>
  <c r="C36" i="324" s="1" a="1"/>
  <c r="C36" i="324" s="1"/>
  <c r="A32" i="324"/>
  <c r="A31" i="324"/>
  <c r="A30" i="324"/>
  <c r="D30" i="324" s="1" a="1"/>
  <c r="D30" i="324" s="1"/>
  <c r="A29" i="324"/>
  <c r="C29" i="324" s="1" a="1"/>
  <c r="C29" i="324" s="1"/>
  <c r="A25" i="324"/>
  <c r="A26" i="324" s="1"/>
  <c r="A27" i="324" s="1"/>
  <c r="A24" i="324"/>
  <c r="D24" i="324" s="1" a="1"/>
  <c r="D24" i="324" s="1"/>
  <c r="A23" i="324"/>
  <c r="D23" i="324" s="1" a="1"/>
  <c r="D23" i="324" s="1"/>
  <c r="A22" i="324"/>
  <c r="D22" i="324" s="1" a="1"/>
  <c r="D22" i="324" s="1"/>
  <c r="A18" i="324"/>
  <c r="A19" i="324" s="1"/>
  <c r="A20" i="324" s="1"/>
  <c r="A17" i="324"/>
  <c r="C17" i="324" s="1" a="1"/>
  <c r="C17" i="324" s="1"/>
  <c r="A16" i="324"/>
  <c r="D16" i="324" s="1" a="1"/>
  <c r="D16" i="324" s="1"/>
  <c r="A15" i="324"/>
  <c r="C15" i="324" s="1" a="1"/>
  <c r="C15" i="324" s="1"/>
  <c r="A11" i="324"/>
  <c r="D11" i="324" s="1" a="1"/>
  <c r="D11" i="324" s="1"/>
  <c r="A10" i="324"/>
  <c r="C10" i="324" s="1" a="1"/>
  <c r="C10" i="324" s="1"/>
  <c r="A9" i="324"/>
  <c r="D9" i="324" s="1" a="1"/>
  <c r="D9" i="324" s="1"/>
  <c r="A8" i="324"/>
  <c r="D8" i="324" s="1" a="1"/>
  <c r="D8" i="324" s="1"/>
  <c r="D6" i="324" a="1"/>
  <c r="D6" i="324" s="1"/>
  <c r="C6" i="324" a="1"/>
  <c r="C6" i="324" s="1"/>
  <c r="A6" i="324"/>
  <c r="B3" i="324" a="1"/>
  <c r="B3" i="324" s="1"/>
  <c r="C2" i="324" a="1"/>
  <c r="C2" i="324" s="1"/>
  <c r="E4" i="324" s="1" a="1"/>
  <c r="E4" i="324" s="1"/>
  <c r="B1" i="324"/>
  <c r="A88" i="254"/>
  <c r="A89" i="254" s="1"/>
  <c r="A90" i="254" s="1"/>
  <c r="A87" i="254"/>
  <c r="D87" i="254" s="1" a="1"/>
  <c r="D87" i="254" s="1"/>
  <c r="A86" i="254"/>
  <c r="D86" i="254" s="1" a="1"/>
  <c r="D86" i="254" s="1"/>
  <c r="A85" i="254"/>
  <c r="C85" i="254" s="1" a="1"/>
  <c r="C85" i="254" s="1"/>
  <c r="A81" i="254"/>
  <c r="A82" i="254" s="1"/>
  <c r="A83" i="254" s="1"/>
  <c r="A80" i="254"/>
  <c r="A79" i="254"/>
  <c r="D79" i="254" s="1" a="1"/>
  <c r="D79" i="254" s="1"/>
  <c r="A78" i="254"/>
  <c r="D78" i="254" s="1" a="1"/>
  <c r="D78" i="254" s="1"/>
  <c r="A74" i="254"/>
  <c r="A73" i="254"/>
  <c r="A72" i="254"/>
  <c r="A71" i="254"/>
  <c r="A67" i="254"/>
  <c r="A68" i="254" s="1"/>
  <c r="A69" i="254" s="1"/>
  <c r="A66" i="254"/>
  <c r="D66" i="254" s="1" a="1"/>
  <c r="D66" i="254" s="1"/>
  <c r="A65" i="254"/>
  <c r="D65" i="254" s="1" a="1"/>
  <c r="D65" i="254" s="1"/>
  <c r="A64" i="254"/>
  <c r="D64" i="254" s="1" a="1"/>
  <c r="D64" i="254" s="1"/>
  <c r="A60" i="254"/>
  <c r="C60" i="254" s="1" a="1"/>
  <c r="C60" i="254" s="1"/>
  <c r="A59" i="254"/>
  <c r="C59" i="254" s="1" a="1"/>
  <c r="C59" i="254" s="1"/>
  <c r="A58" i="254"/>
  <c r="C58" i="254" s="1" a="1"/>
  <c r="C58" i="254" s="1"/>
  <c r="A57" i="254"/>
  <c r="C57" i="254" s="1" a="1"/>
  <c r="C57" i="254" s="1"/>
  <c r="A53" i="254"/>
  <c r="A52" i="254"/>
  <c r="A51" i="254"/>
  <c r="A50" i="254"/>
  <c r="D50" i="254" s="1" a="1"/>
  <c r="D50" i="254" s="1"/>
  <c r="A46" i="254"/>
  <c r="D46" i="254" s="1" a="1"/>
  <c r="D46" i="254" s="1"/>
  <c r="A45" i="254"/>
  <c r="D45" i="254" s="1" a="1"/>
  <c r="D45" i="254" s="1"/>
  <c r="A44" i="254"/>
  <c r="D44" i="254" s="1" a="1"/>
  <c r="D44" i="254" s="1"/>
  <c r="A43" i="254"/>
  <c r="D43" i="254" s="1" a="1"/>
  <c r="D43" i="254" s="1"/>
  <c r="A39" i="254"/>
  <c r="A38" i="254"/>
  <c r="A37" i="254"/>
  <c r="D37" i="254" s="1" a="1"/>
  <c r="D37" i="254" s="1"/>
  <c r="A36" i="254"/>
  <c r="D36" i="254" s="1" a="1"/>
  <c r="D36" i="254" s="1"/>
  <c r="A32" i="254"/>
  <c r="A31" i="254"/>
  <c r="A30" i="254"/>
  <c r="D30" i="254" s="1" a="1"/>
  <c r="D30" i="254" s="1"/>
  <c r="A29" i="254"/>
  <c r="D29" i="254" s="1" a="1"/>
  <c r="D29" i="254" s="1"/>
  <c r="A25" i="254"/>
  <c r="A24" i="254"/>
  <c r="A23" i="254"/>
  <c r="A22" i="254"/>
  <c r="A18" i="254"/>
  <c r="A17" i="254"/>
  <c r="D17" i="254" s="1" a="1"/>
  <c r="D17" i="254" s="1"/>
  <c r="A16" i="254"/>
  <c r="D16" i="254" s="1" a="1"/>
  <c r="D16" i="254" s="1"/>
  <c r="A15" i="254"/>
  <c r="A11" i="254"/>
  <c r="A12" i="254" s="1"/>
  <c r="A13" i="254" s="1"/>
  <c r="A10" i="254"/>
  <c r="D10" i="254" s="1" a="1"/>
  <c r="D10" i="254" s="1"/>
  <c r="A9" i="254"/>
  <c r="D9" i="254" s="1" a="1"/>
  <c r="D9" i="254" s="1"/>
  <c r="A8" i="254"/>
  <c r="C8" i="254" s="1" a="1"/>
  <c r="C8" i="254" s="1"/>
  <c r="D6" i="254"/>
  <c r="C6" i="254"/>
  <c r="A6" i="254"/>
  <c r="B3" i="254" a="1"/>
  <c r="B3" i="254" s="1"/>
  <c r="C2" i="254" a="1"/>
  <c r="C2" i="254" s="1"/>
  <c r="E4" i="254" s="1" a="1"/>
  <c r="E4" i="254" s="1"/>
  <c r="B1" i="254"/>
  <c r="A88" i="354"/>
  <c r="A87" i="354"/>
  <c r="C87" i="354" s="1" a="1"/>
  <c r="C87" i="354" s="1"/>
  <c r="A86" i="354"/>
  <c r="C86" i="354" s="1" a="1"/>
  <c r="C86" i="354" s="1"/>
  <c r="A85" i="354"/>
  <c r="C85" i="354" s="1" a="1"/>
  <c r="C85" i="354" s="1"/>
  <c r="A81" i="354"/>
  <c r="D81" i="354" s="1" a="1"/>
  <c r="D81" i="354" s="1"/>
  <c r="A80" i="354"/>
  <c r="D80" i="354" s="1" a="1"/>
  <c r="D80" i="354" s="1"/>
  <c r="A79" i="354"/>
  <c r="D79" i="354" s="1" a="1"/>
  <c r="D79" i="354" s="1"/>
  <c r="A78" i="354"/>
  <c r="C78" i="354" s="1" a="1"/>
  <c r="C78" i="354" s="1"/>
  <c r="A74" i="354"/>
  <c r="D74" i="354" s="1" a="1"/>
  <c r="D74" i="354" s="1"/>
  <c r="A73" i="354"/>
  <c r="C73" i="354" s="1" a="1"/>
  <c r="C73" i="354" s="1"/>
  <c r="A72" i="354"/>
  <c r="D72" i="354" s="1" a="1"/>
  <c r="D72" i="354" s="1"/>
  <c r="A71" i="354"/>
  <c r="C71" i="354" s="1" a="1"/>
  <c r="C71" i="354" s="1"/>
  <c r="A67" i="354"/>
  <c r="D67" i="354" s="1" a="1"/>
  <c r="D67" i="354" s="1"/>
  <c r="A66" i="354"/>
  <c r="C66" i="354" s="1" a="1"/>
  <c r="C66" i="354" s="1"/>
  <c r="A65" i="354"/>
  <c r="D65" i="354" s="1" a="1"/>
  <c r="D65" i="354" s="1"/>
  <c r="A64" i="354"/>
  <c r="C64" i="354" s="1" a="1"/>
  <c r="C64" i="354" s="1"/>
  <c r="A60" i="354"/>
  <c r="A59" i="354"/>
  <c r="C59" i="354" s="1" a="1"/>
  <c r="C59" i="354" s="1"/>
  <c r="A58" i="354"/>
  <c r="C58" i="354" s="1" a="1"/>
  <c r="C58" i="354" s="1"/>
  <c r="A57" i="354"/>
  <c r="D57" i="354" s="1" a="1"/>
  <c r="D57" i="354" s="1"/>
  <c r="A53" i="354"/>
  <c r="D53" i="354" s="1" a="1"/>
  <c r="D53" i="354" s="1"/>
  <c r="A52" i="354"/>
  <c r="D52" i="354" s="1" a="1"/>
  <c r="D52" i="354" s="1"/>
  <c r="A51" i="354"/>
  <c r="D51" i="354" s="1" a="1"/>
  <c r="D51" i="354" s="1"/>
  <c r="A50" i="354"/>
  <c r="C50" i="354" s="1" a="1"/>
  <c r="C50" i="354" s="1"/>
  <c r="A46" i="354"/>
  <c r="D46" i="354" s="1" a="1"/>
  <c r="D46" i="354" s="1"/>
  <c r="A45" i="354"/>
  <c r="C45" i="354" s="1" a="1"/>
  <c r="C45" i="354" s="1"/>
  <c r="A44" i="354"/>
  <c r="D44" i="354" s="1" a="1"/>
  <c r="D44" i="354" s="1"/>
  <c r="A43" i="354"/>
  <c r="D43" i="354" s="1" a="1"/>
  <c r="D43" i="354" s="1"/>
  <c r="A39" i="354"/>
  <c r="D39" i="354" s="1" a="1"/>
  <c r="D39" i="354" s="1"/>
  <c r="A38" i="354"/>
  <c r="D38" i="354" s="1" a="1"/>
  <c r="D38" i="354" s="1"/>
  <c r="A37" i="354"/>
  <c r="D37" i="354" s="1" a="1"/>
  <c r="D37" i="354" s="1"/>
  <c r="A36" i="354"/>
  <c r="C36" i="354" s="1" a="1"/>
  <c r="C36" i="354" s="1"/>
  <c r="A32" i="354"/>
  <c r="A31" i="354"/>
  <c r="C31" i="354" s="1" a="1"/>
  <c r="C31" i="354" s="1"/>
  <c r="A30" i="354"/>
  <c r="C30" i="354" s="1" a="1"/>
  <c r="C30" i="354" s="1"/>
  <c r="A29" i="354"/>
  <c r="C29" i="354" s="1" a="1"/>
  <c r="C29" i="354" s="1"/>
  <c r="A25" i="354"/>
  <c r="D25" i="354" s="1" a="1"/>
  <c r="D25" i="354" s="1"/>
  <c r="A24" i="354"/>
  <c r="D24" i="354" s="1" a="1"/>
  <c r="D24" i="354" s="1"/>
  <c r="A23" i="354"/>
  <c r="D23" i="354" s="1" a="1"/>
  <c r="D23" i="354" s="1"/>
  <c r="A22" i="354"/>
  <c r="C22" i="354" s="1" a="1"/>
  <c r="C22" i="354" s="1"/>
  <c r="A18" i="354"/>
  <c r="D18" i="354" s="1" a="1"/>
  <c r="D18" i="354" s="1"/>
  <c r="A17" i="354"/>
  <c r="C17" i="354" s="1" a="1"/>
  <c r="C17" i="354" s="1"/>
  <c r="A16" i="354"/>
  <c r="D16" i="354" s="1" a="1"/>
  <c r="D16" i="354" s="1"/>
  <c r="A15" i="354"/>
  <c r="D15" i="354" s="1" a="1"/>
  <c r="D15" i="354" s="1"/>
  <c r="A11" i="354"/>
  <c r="D11" i="354" s="1" a="1"/>
  <c r="D11" i="354" s="1"/>
  <c r="A10" i="354"/>
  <c r="D10" i="354" s="1" a="1"/>
  <c r="D10" i="354" s="1"/>
  <c r="A9" i="354"/>
  <c r="D9" i="354" s="1" a="1"/>
  <c r="D9" i="354" s="1"/>
  <c r="A8" i="354"/>
  <c r="C8" i="354" s="1" a="1"/>
  <c r="C8" i="354" s="1"/>
  <c r="D6" i="354" a="1"/>
  <c r="D6" i="354" s="1"/>
  <c r="C6" i="354" a="1"/>
  <c r="C6" i="354" s="1"/>
  <c r="A6" i="354"/>
  <c r="B3" i="354"/>
  <c r="C2" i="354"/>
  <c r="E4" i="354" s="1" a="1"/>
  <c r="E4" i="354" s="1"/>
  <c r="B1" i="354"/>
  <c r="O52" i="331" a="1"/>
  <c r="O52" i="331" s="1"/>
  <c r="S52" i="331" s="1"/>
  <c r="N52" i="331" a="1"/>
  <c r="N52" i="331" s="1"/>
  <c r="P52" i="331" s="1"/>
  <c r="L52" i="331" a="1"/>
  <c r="L52" i="331" s="1"/>
  <c r="E52" i="331"/>
  <c r="O33" i="331" a="1"/>
  <c r="O33" i="331" s="1"/>
  <c r="S33" i="331" s="1"/>
  <c r="N33" i="331" a="1"/>
  <c r="N33" i="331" s="1"/>
  <c r="P33" i="331" s="1"/>
  <c r="L33" i="331" a="1"/>
  <c r="L33" i="331" s="1"/>
  <c r="E33" i="331"/>
  <c r="O32" i="331" a="1"/>
  <c r="O32" i="331" s="1"/>
  <c r="S32" i="331" s="1"/>
  <c r="N32" i="331" a="1"/>
  <c r="N32" i="331" s="1"/>
  <c r="P32" i="331" s="1"/>
  <c r="L32" i="331" a="1"/>
  <c r="L32" i="331" s="1"/>
  <c r="E32" i="331"/>
  <c r="O31" i="331" a="1"/>
  <c r="O31" i="331" s="1"/>
  <c r="S31" i="331" s="1"/>
  <c r="N31" i="331" a="1"/>
  <c r="N31" i="331" s="1"/>
  <c r="P31" i="331" s="1"/>
  <c r="L31" i="331" a="1"/>
  <c r="L31" i="331" s="1"/>
  <c r="E31" i="331"/>
  <c r="O30" i="331" a="1"/>
  <c r="O30" i="331" s="1"/>
  <c r="S30" i="331" s="1"/>
  <c r="N30" i="331" a="1"/>
  <c r="N30" i="331" s="1"/>
  <c r="P30" i="331" s="1"/>
  <c r="L30" i="331" a="1"/>
  <c r="L30" i="331" s="1"/>
  <c r="E30" i="331"/>
  <c r="O29" i="331" a="1"/>
  <c r="O29" i="331" s="1"/>
  <c r="S29" i="331" s="1"/>
  <c r="N29" i="331" a="1"/>
  <c r="N29" i="331" s="1"/>
  <c r="P29" i="331" s="1"/>
  <c r="L29" i="331" a="1"/>
  <c r="L29" i="331" s="1"/>
  <c r="E29" i="331"/>
  <c r="O28" i="331" a="1"/>
  <c r="O28" i="331" s="1"/>
  <c r="S28" i="331" s="1"/>
  <c r="N28" i="331" a="1"/>
  <c r="N28" i="331" s="1"/>
  <c r="P28" i="331" s="1"/>
  <c r="L28" i="331" a="1"/>
  <c r="L28" i="331" s="1"/>
  <c r="E28" i="331"/>
  <c r="O27" i="331" a="1"/>
  <c r="O27" i="331" s="1"/>
  <c r="S27" i="331" s="1"/>
  <c r="N27" i="331" a="1"/>
  <c r="N27" i="331" s="1"/>
  <c r="P27" i="331" s="1"/>
  <c r="L27" i="331" a="1"/>
  <c r="L27" i="331" s="1"/>
  <c r="E27" i="331"/>
  <c r="O26" i="331" a="1"/>
  <c r="O26" i="331" s="1"/>
  <c r="S26" i="331" s="1"/>
  <c r="N26" i="331" a="1"/>
  <c r="N26" i="331" s="1"/>
  <c r="P26" i="331" s="1"/>
  <c r="L26" i="331" a="1"/>
  <c r="L26" i="331" s="1"/>
  <c r="E26" i="331"/>
  <c r="O25" i="331" a="1"/>
  <c r="O25" i="331" s="1"/>
  <c r="S25" i="331" s="1"/>
  <c r="N25" i="331" a="1"/>
  <c r="N25" i="331" s="1"/>
  <c r="P25" i="331" s="1"/>
  <c r="L25" i="331" a="1"/>
  <c r="L25" i="331" s="1"/>
  <c r="E25" i="331"/>
  <c r="O24" i="331" a="1"/>
  <c r="O24" i="331" s="1"/>
  <c r="S24" i="331" s="1"/>
  <c r="N24" i="331" a="1"/>
  <c r="N24" i="331" s="1"/>
  <c r="P24" i="331" s="1"/>
  <c r="L24" i="331" a="1"/>
  <c r="L24" i="331" s="1"/>
  <c r="E24" i="331"/>
  <c r="O23" i="331" a="1"/>
  <c r="O23" i="331" s="1"/>
  <c r="S23" i="331" s="1"/>
  <c r="N23" i="331" a="1"/>
  <c r="N23" i="331" s="1"/>
  <c r="P23" i="331" s="1"/>
  <c r="L23" i="331" a="1"/>
  <c r="L23" i="331" s="1"/>
  <c r="E23" i="331"/>
  <c r="O22" i="331" a="1"/>
  <c r="O22" i="331" s="1"/>
  <c r="S22" i="331" s="1"/>
  <c r="N22" i="331" a="1"/>
  <c r="N22" i="331" s="1"/>
  <c r="P22" i="331" s="1"/>
  <c r="L22" i="331" a="1"/>
  <c r="L22" i="331" s="1"/>
  <c r="E22" i="331"/>
  <c r="O21" i="331" a="1"/>
  <c r="O21" i="331" s="1"/>
  <c r="S21" i="331" s="1"/>
  <c r="N21" i="331" a="1"/>
  <c r="N21" i="331" s="1"/>
  <c r="P21" i="331" s="1"/>
  <c r="L21" i="331" a="1"/>
  <c r="L21" i="331" s="1"/>
  <c r="E21" i="331"/>
  <c r="O20" i="331" a="1"/>
  <c r="O20" i="331" s="1"/>
  <c r="S20" i="331" s="1"/>
  <c r="N20" i="331" a="1"/>
  <c r="N20" i="331" s="1"/>
  <c r="P20" i="331" s="1"/>
  <c r="L20" i="331" a="1"/>
  <c r="L20" i="331" s="1"/>
  <c r="E20" i="331"/>
  <c r="O19" i="331" a="1"/>
  <c r="O19" i="331" s="1"/>
  <c r="S19" i="331" s="1"/>
  <c r="N19" i="331" a="1"/>
  <c r="N19" i="331" s="1"/>
  <c r="P19" i="331" s="1"/>
  <c r="L19" i="331" a="1"/>
  <c r="L19" i="331" s="1"/>
  <c r="E19" i="331"/>
  <c r="O18" i="331" a="1"/>
  <c r="O18" i="331" s="1"/>
  <c r="S18" i="331" s="1"/>
  <c r="N18" i="331" a="1"/>
  <c r="N18" i="331" s="1"/>
  <c r="P18" i="331" s="1"/>
  <c r="L18" i="331" a="1"/>
  <c r="L18" i="331" s="1"/>
  <c r="E18" i="331"/>
  <c r="O17" i="331" a="1"/>
  <c r="O17" i="331" s="1"/>
  <c r="S17" i="331" s="1"/>
  <c r="N17" i="331" a="1"/>
  <c r="N17" i="331" s="1"/>
  <c r="P17" i="331" s="1"/>
  <c r="L17" i="331" a="1"/>
  <c r="L17" i="331" s="1"/>
  <c r="E17" i="331"/>
  <c r="O16" i="331" a="1"/>
  <c r="O16" i="331" s="1"/>
  <c r="S16" i="331" s="1"/>
  <c r="N16" i="331" a="1"/>
  <c r="N16" i="331" s="1"/>
  <c r="P16" i="331" s="1"/>
  <c r="O15" i="331" a="1"/>
  <c r="O15" i="331" s="1"/>
  <c r="S15" i="331" s="1"/>
  <c r="N15" i="331" a="1"/>
  <c r="N15" i="331" s="1"/>
  <c r="P15" i="331" s="1"/>
  <c r="O14" i="331" a="1"/>
  <c r="O14" i="331" s="1"/>
  <c r="S14" i="331" s="1"/>
  <c r="N14" i="331" a="1"/>
  <c r="N14" i="331" s="1"/>
  <c r="P14" i="331" s="1"/>
  <c r="O13" i="331" a="1"/>
  <c r="O13" i="331" s="1"/>
  <c r="S13" i="331" s="1"/>
  <c r="N13" i="331" a="1"/>
  <c r="N13" i="331" s="1"/>
  <c r="P13" i="331" s="1"/>
  <c r="E11" i="331"/>
  <c r="A6" i="318"/>
  <c r="C14" i="422"/>
  <c r="R14" i="422" a="1"/>
  <c r="R14" i="422" s="1"/>
  <c r="G8" i="422"/>
  <c r="G7" i="422"/>
  <c r="O1182" i="328" a="1"/>
  <c r="O1182" i="328" s="1"/>
  <c r="S1182" i="328" s="1"/>
  <c r="N1182" i="328" a="1"/>
  <c r="N1182" i="328" s="1"/>
  <c r="P1182" i="328" s="1"/>
  <c r="L1182" i="328"/>
  <c r="O1181" i="328" a="1"/>
  <c r="O1181" i="328" s="1"/>
  <c r="S1181" i="328" s="1"/>
  <c r="N1181" i="328" a="1"/>
  <c r="N1181" i="328" s="1"/>
  <c r="P1181" i="328" s="1"/>
  <c r="L1181" i="328"/>
  <c r="O1180" i="328" a="1"/>
  <c r="O1180" i="328"/>
  <c r="S1180" i="328" s="1"/>
  <c r="N1180" i="328" a="1"/>
  <c r="N1180" i="328" s="1"/>
  <c r="P1180" i="328" s="1"/>
  <c r="L1180" i="328"/>
  <c r="I1180" i="328"/>
  <c r="I1181" i="328" s="1"/>
  <c r="O1179" i="328" a="1"/>
  <c r="O1179" i="328" s="1"/>
  <c r="S1179" i="328" s="1"/>
  <c r="N1179" i="328" a="1"/>
  <c r="N1179" i="328"/>
  <c r="P1179" i="328" s="1"/>
  <c r="L1179" i="328"/>
  <c r="O1178" i="328" a="1"/>
  <c r="O1178" i="328" s="1"/>
  <c r="S1178" i="328" s="1"/>
  <c r="N1178" i="328" a="1"/>
  <c r="N1178" i="328" s="1"/>
  <c r="P1178" i="328" s="1"/>
  <c r="L1178" i="328"/>
  <c r="O1177" i="328" a="1"/>
  <c r="O1177" i="328" s="1"/>
  <c r="S1177" i="328" s="1"/>
  <c r="N1177" i="328" a="1"/>
  <c r="N1177" i="328"/>
  <c r="P1177" i="328" s="1"/>
  <c r="L1177" i="328"/>
  <c r="E1177" i="328"/>
  <c r="O1176" i="328" a="1"/>
  <c r="O1176" i="328" s="1"/>
  <c r="S1176" i="328"/>
  <c r="N1176" i="328" a="1"/>
  <c r="N1176" i="328" s="1"/>
  <c r="P1176" i="328" s="1"/>
  <c r="L1176" i="328"/>
  <c r="E1176" i="328"/>
  <c r="O1175" i="328" a="1"/>
  <c r="O1175" i="328" s="1"/>
  <c r="S1175" i="328" s="1"/>
  <c r="N1175" i="328" a="1"/>
  <c r="N1175" i="328"/>
  <c r="P1175" i="328" s="1"/>
  <c r="L1175" i="328"/>
  <c r="E1175" i="328"/>
  <c r="O1174" i="328" a="1"/>
  <c r="O1174" i="328" s="1"/>
  <c r="S1174" i="328"/>
  <c r="N1174" i="328" a="1"/>
  <c r="N1174" i="328" s="1"/>
  <c r="P1174" i="328" s="1"/>
  <c r="L1174" i="328"/>
  <c r="E1174" i="328"/>
  <c r="O1173" i="328" a="1"/>
  <c r="O1173" i="328" s="1"/>
  <c r="S1173" i="328" s="1"/>
  <c r="N1173" i="328" a="1"/>
  <c r="N1173" i="328"/>
  <c r="P1173" i="328" s="1"/>
  <c r="L1173" i="328"/>
  <c r="E1173" i="328"/>
  <c r="O1172" i="328" a="1"/>
  <c r="O1172" i="328" s="1"/>
  <c r="S1172" i="328"/>
  <c r="N1172" i="328" a="1"/>
  <c r="N1172" i="328" s="1"/>
  <c r="P1172" i="328" s="1"/>
  <c r="L1172" i="328"/>
  <c r="E1172" i="328"/>
  <c r="O1171" i="328" a="1"/>
  <c r="O1171" i="328" s="1"/>
  <c r="S1171" i="328" s="1"/>
  <c r="N1171" i="328" a="1"/>
  <c r="N1171" i="328"/>
  <c r="P1171" i="328" s="1"/>
  <c r="L1171" i="328"/>
  <c r="E1171" i="328"/>
  <c r="O1170" i="328" a="1"/>
  <c r="O1170" i="328" s="1"/>
  <c r="S1170" i="328"/>
  <c r="N1170" i="328" a="1"/>
  <c r="N1170" i="328" s="1"/>
  <c r="P1170" i="328" s="1"/>
  <c r="L1170" i="328"/>
  <c r="E1170" i="328"/>
  <c r="O1169" i="328" a="1"/>
  <c r="O1169" i="328" s="1"/>
  <c r="S1169" i="328" s="1"/>
  <c r="N1169" i="328" a="1"/>
  <c r="N1169" i="328"/>
  <c r="P1169" i="328" s="1"/>
  <c r="L1169" i="328"/>
  <c r="E1169" i="328"/>
  <c r="O1168" i="328" a="1"/>
  <c r="O1168" i="328" s="1"/>
  <c r="S1168" i="328"/>
  <c r="N1168" i="328" a="1"/>
  <c r="N1168" i="328" s="1"/>
  <c r="P1168" i="328" s="1"/>
  <c r="L1168" i="328"/>
  <c r="E1168" i="328"/>
  <c r="O1167" i="328" a="1"/>
  <c r="O1167" i="328" s="1"/>
  <c r="S1167" i="328" s="1"/>
  <c r="N1167" i="328" a="1"/>
  <c r="N1167" i="328"/>
  <c r="P1167" i="328" s="1"/>
  <c r="L1167" i="328"/>
  <c r="E1167" i="328"/>
  <c r="O1166" i="328" a="1"/>
  <c r="O1166" i="328" s="1"/>
  <c r="S1166" i="328"/>
  <c r="N1166" i="328" a="1"/>
  <c r="N1166" i="328" s="1"/>
  <c r="P1166" i="328" s="1"/>
  <c r="L1166" i="328"/>
  <c r="E1166" i="328"/>
  <c r="O1165" i="328" a="1"/>
  <c r="O1165" i="328" s="1"/>
  <c r="S1165" i="328" s="1"/>
  <c r="N1165" i="328" a="1"/>
  <c r="N1165" i="328"/>
  <c r="P1165" i="328" s="1"/>
  <c r="L1165" i="328"/>
  <c r="E1165" i="328"/>
  <c r="O1164" i="328" a="1"/>
  <c r="O1164" i="328" s="1"/>
  <c r="S1164" i="328"/>
  <c r="N1164" i="328" a="1"/>
  <c r="N1164" i="328" s="1"/>
  <c r="P1164" i="328" s="1"/>
  <c r="L1164" i="328"/>
  <c r="E1164" i="328"/>
  <c r="O1163" i="328" a="1"/>
  <c r="O1163" i="328" s="1"/>
  <c r="S1163" i="328" s="1"/>
  <c r="N1163" i="328" a="1"/>
  <c r="N1163" i="328"/>
  <c r="P1163" i="328" s="1"/>
  <c r="L1163" i="328"/>
  <c r="E1163" i="328"/>
  <c r="O1162" i="328" a="1"/>
  <c r="O1162" i="328" s="1"/>
  <c r="S1162" i="328"/>
  <c r="N1162" i="328" a="1"/>
  <c r="N1162" i="328" s="1"/>
  <c r="P1162" i="328" s="1"/>
  <c r="L1162" i="328"/>
  <c r="E1162" i="328"/>
  <c r="O1161" i="328" a="1"/>
  <c r="O1161" i="328" s="1"/>
  <c r="S1161" i="328" s="1"/>
  <c r="N1161" i="328" a="1"/>
  <c r="N1161" i="328"/>
  <c r="P1161" i="328" s="1"/>
  <c r="L1161" i="328"/>
  <c r="E1161" i="328"/>
  <c r="O1160" i="328" a="1"/>
  <c r="O1160" i="328" s="1"/>
  <c r="S1160" i="328"/>
  <c r="N1160" i="328" a="1"/>
  <c r="N1160" i="328" s="1"/>
  <c r="P1160" i="328" s="1"/>
  <c r="L1160" i="328"/>
  <c r="E1160" i="328"/>
  <c r="O1159" i="328" a="1"/>
  <c r="O1159" i="328" s="1"/>
  <c r="S1159" i="328" s="1"/>
  <c r="N1159" i="328" a="1"/>
  <c r="N1159" i="328"/>
  <c r="P1159" i="328" s="1"/>
  <c r="L1159" i="328"/>
  <c r="E1159" i="328"/>
  <c r="O1158" i="328" a="1"/>
  <c r="O1158" i="328" s="1"/>
  <c r="S1158" i="328"/>
  <c r="N1158" i="328" a="1"/>
  <c r="N1158" i="328" s="1"/>
  <c r="P1158" i="328" s="1"/>
  <c r="L1158" i="328"/>
  <c r="E1158" i="328"/>
  <c r="O1157" i="328" a="1"/>
  <c r="O1157" i="328" s="1"/>
  <c r="S1157" i="328" s="1"/>
  <c r="N1157" i="328" a="1"/>
  <c r="N1157" i="328"/>
  <c r="P1157" i="328" s="1"/>
  <c r="L1157" i="328"/>
  <c r="E1157" i="328"/>
  <c r="O1156" i="328" a="1"/>
  <c r="O1156" i="328" s="1"/>
  <c r="S1156" i="328"/>
  <c r="N1156" i="328" a="1"/>
  <c r="N1156" i="328" s="1"/>
  <c r="P1156" i="328" s="1"/>
  <c r="L1156" i="328"/>
  <c r="E1156" i="328"/>
  <c r="O1155" i="328" a="1"/>
  <c r="O1155" i="328" s="1"/>
  <c r="S1155" i="328" s="1"/>
  <c r="N1155" i="328" a="1"/>
  <c r="N1155" i="328"/>
  <c r="P1155" i="328" s="1"/>
  <c r="L1155" i="328"/>
  <c r="E1155" i="328"/>
  <c r="E1153" i="328"/>
  <c r="T1145" i="328"/>
  <c r="I1179" i="328" s="1"/>
  <c r="O1135" i="328" a="1"/>
  <c r="O1135" i="328" s="1"/>
  <c r="S1135" i="328" s="1"/>
  <c r="N1135" i="328" a="1"/>
  <c r="N1135" i="328" s="1"/>
  <c r="P1135" i="328" s="1"/>
  <c r="L1135" i="328"/>
  <c r="O1134" i="328" a="1"/>
  <c r="O1134" i="328" s="1"/>
  <c r="S1134" i="328" s="1"/>
  <c r="N1134" i="328" a="1"/>
  <c r="N1134" i="328" s="1"/>
  <c r="P1134" i="328" s="1"/>
  <c r="L1134" i="328"/>
  <c r="O1133" i="328" a="1"/>
  <c r="O1133" i="328"/>
  <c r="S1133" i="328" s="1"/>
  <c r="N1133" i="328" a="1"/>
  <c r="N1133" i="328" s="1"/>
  <c r="P1133" i="328" s="1"/>
  <c r="L1133" i="328"/>
  <c r="I1133" i="328"/>
  <c r="I1134" i="328" s="1"/>
  <c r="O1132" i="328" a="1"/>
  <c r="O1132" i="328" s="1"/>
  <c r="S1132" i="328" s="1"/>
  <c r="N1132" i="328" a="1"/>
  <c r="N1132" i="328" s="1"/>
  <c r="P1132" i="328" s="1"/>
  <c r="L1132" i="328"/>
  <c r="O1131" i="328" a="1"/>
  <c r="O1131" i="328"/>
  <c r="S1131" i="328" s="1"/>
  <c r="N1131" i="328" a="1"/>
  <c r="N1131" i="328" s="1"/>
  <c r="P1131" i="328" s="1"/>
  <c r="L1131" i="328"/>
  <c r="O1130" i="328" a="1"/>
  <c r="O1130" i="328" s="1"/>
  <c r="S1130" i="328"/>
  <c r="N1130" i="328" a="1"/>
  <c r="N1130" i="328" s="1"/>
  <c r="P1130" i="328" s="1"/>
  <c r="L1130" i="328"/>
  <c r="E1130" i="328"/>
  <c r="O1129" i="328" a="1"/>
  <c r="O1129" i="328" s="1"/>
  <c r="S1129" i="328" s="1"/>
  <c r="N1129" i="328" a="1"/>
  <c r="N1129" i="328"/>
  <c r="P1129" i="328" s="1"/>
  <c r="L1129" i="328"/>
  <c r="E1129" i="328"/>
  <c r="O1128" i="328" a="1"/>
  <c r="O1128" i="328" s="1"/>
  <c r="S1128" i="328"/>
  <c r="N1128" i="328" a="1"/>
  <c r="N1128" i="328" s="1"/>
  <c r="P1128" i="328" s="1"/>
  <c r="L1128" i="328"/>
  <c r="E1128" i="328"/>
  <c r="O1127" i="328" a="1"/>
  <c r="O1127" i="328" s="1"/>
  <c r="S1127" i="328" s="1"/>
  <c r="N1127" i="328" a="1"/>
  <c r="N1127" i="328"/>
  <c r="P1127" i="328" s="1"/>
  <c r="L1127" i="328"/>
  <c r="E1127" i="328"/>
  <c r="O1126" i="328" a="1"/>
  <c r="O1126" i="328" s="1"/>
  <c r="S1126" i="328"/>
  <c r="N1126" i="328" a="1"/>
  <c r="N1126" i="328" s="1"/>
  <c r="P1126" i="328" s="1"/>
  <c r="L1126" i="328"/>
  <c r="E1126" i="328"/>
  <c r="O1125" i="328" a="1"/>
  <c r="O1125" i="328" s="1"/>
  <c r="S1125" i="328" s="1"/>
  <c r="N1125" i="328" a="1"/>
  <c r="N1125" i="328"/>
  <c r="P1125" i="328" s="1"/>
  <c r="L1125" i="328"/>
  <c r="E1125" i="328"/>
  <c r="O1124" i="328" a="1"/>
  <c r="O1124" i="328" s="1"/>
  <c r="S1124" i="328"/>
  <c r="N1124" i="328" a="1"/>
  <c r="N1124" i="328" s="1"/>
  <c r="P1124" i="328" s="1"/>
  <c r="L1124" i="328"/>
  <c r="E1124" i="328"/>
  <c r="O1123" i="328" a="1"/>
  <c r="O1123" i="328" s="1"/>
  <c r="S1123" i="328" s="1"/>
  <c r="N1123" i="328" a="1"/>
  <c r="N1123" i="328"/>
  <c r="P1123" i="328" s="1"/>
  <c r="L1123" i="328"/>
  <c r="E1123" i="328"/>
  <c r="O1122" i="328" a="1"/>
  <c r="O1122" i="328" s="1"/>
  <c r="S1122" i="328"/>
  <c r="N1122" i="328" a="1"/>
  <c r="N1122" i="328" s="1"/>
  <c r="P1122" i="328" s="1"/>
  <c r="L1122" i="328"/>
  <c r="E1122" i="328"/>
  <c r="O1121" i="328" a="1"/>
  <c r="O1121" i="328" s="1"/>
  <c r="S1121" i="328" s="1"/>
  <c r="N1121" i="328" a="1"/>
  <c r="N1121" i="328"/>
  <c r="P1121" i="328" s="1"/>
  <c r="L1121" i="328"/>
  <c r="E1121" i="328"/>
  <c r="O1120" i="328" a="1"/>
  <c r="O1120" i="328" s="1"/>
  <c r="S1120" i="328"/>
  <c r="N1120" i="328" a="1"/>
  <c r="N1120" i="328" s="1"/>
  <c r="P1120" i="328" s="1"/>
  <c r="L1120" i="328"/>
  <c r="E1120" i="328"/>
  <c r="O1119" i="328" a="1"/>
  <c r="O1119" i="328" s="1"/>
  <c r="S1119" i="328" s="1"/>
  <c r="N1119" i="328" a="1"/>
  <c r="N1119" i="328"/>
  <c r="P1119" i="328" s="1"/>
  <c r="L1119" i="328"/>
  <c r="E1119" i="328"/>
  <c r="O1118" i="328" a="1"/>
  <c r="O1118" i="328" s="1"/>
  <c r="S1118" i="328"/>
  <c r="N1118" i="328" a="1"/>
  <c r="N1118" i="328" s="1"/>
  <c r="P1118" i="328" s="1"/>
  <c r="L1118" i="328"/>
  <c r="E1118" i="328"/>
  <c r="O1117" i="328" a="1"/>
  <c r="O1117" i="328" s="1"/>
  <c r="S1117" i="328" s="1"/>
  <c r="N1117" i="328" a="1"/>
  <c r="N1117" i="328"/>
  <c r="P1117" i="328" s="1"/>
  <c r="L1117" i="328"/>
  <c r="E1117" i="328"/>
  <c r="O1116" i="328" a="1"/>
  <c r="O1116" i="328" s="1"/>
  <c r="S1116" i="328"/>
  <c r="N1116" i="328" a="1"/>
  <c r="N1116" i="328" s="1"/>
  <c r="P1116" i="328" s="1"/>
  <c r="L1116" i="328"/>
  <c r="E1116" i="328"/>
  <c r="O1115" i="328" a="1"/>
  <c r="O1115" i="328" s="1"/>
  <c r="S1115" i="328" s="1"/>
  <c r="N1115" i="328" a="1"/>
  <c r="N1115" i="328"/>
  <c r="P1115" i="328" s="1"/>
  <c r="L1115" i="328"/>
  <c r="E1115" i="328"/>
  <c r="O1114" i="328" a="1"/>
  <c r="O1114" i="328" s="1"/>
  <c r="S1114" i="328"/>
  <c r="N1114" i="328" a="1"/>
  <c r="N1114" i="328" s="1"/>
  <c r="P1114" i="328" s="1"/>
  <c r="L1114" i="328"/>
  <c r="E1114" i="328"/>
  <c r="O1113" i="328" a="1"/>
  <c r="O1113" i="328" s="1"/>
  <c r="S1113" i="328" s="1"/>
  <c r="N1113" i="328" a="1"/>
  <c r="N1113" i="328"/>
  <c r="P1113" i="328" s="1"/>
  <c r="L1113" i="328"/>
  <c r="E1113" i="328"/>
  <c r="O1112" i="328" a="1"/>
  <c r="O1112" i="328" s="1"/>
  <c r="S1112" i="328"/>
  <c r="N1112" i="328" a="1"/>
  <c r="N1112" i="328" s="1"/>
  <c r="P1112" i="328" s="1"/>
  <c r="L1112" i="328"/>
  <c r="E1112" i="328"/>
  <c r="O1111" i="328" a="1"/>
  <c r="O1111" i="328" s="1"/>
  <c r="S1111" i="328" s="1"/>
  <c r="N1111" i="328" a="1"/>
  <c r="N1111" i="328"/>
  <c r="P1111" i="328" s="1"/>
  <c r="L1111" i="328"/>
  <c r="E1111" i="328"/>
  <c r="O1110" i="328" a="1"/>
  <c r="O1110" i="328" s="1"/>
  <c r="S1110" i="328"/>
  <c r="N1110" i="328" a="1"/>
  <c r="N1110" i="328" s="1"/>
  <c r="P1110" i="328" s="1"/>
  <c r="L1110" i="328"/>
  <c r="E1110" i="328"/>
  <c r="O1109" i="328" a="1"/>
  <c r="O1109" i="328" s="1"/>
  <c r="S1109" i="328" s="1"/>
  <c r="N1109" i="328" a="1"/>
  <c r="N1109" i="328"/>
  <c r="P1109" i="328" s="1"/>
  <c r="L1109" i="328"/>
  <c r="E1109" i="328"/>
  <c r="O1108" i="328" a="1"/>
  <c r="O1108" i="328" s="1"/>
  <c r="S1108" i="328"/>
  <c r="N1108" i="328" a="1"/>
  <c r="N1108" i="328" s="1"/>
  <c r="P1108" i="328" s="1"/>
  <c r="L1108" i="328"/>
  <c r="E1108" i="328"/>
  <c r="E1106" i="328"/>
  <c r="T1098" i="328"/>
  <c r="I1132" i="328"/>
  <c r="O1088" i="328" a="1"/>
  <c r="O1088" i="328" s="1"/>
  <c r="S1088" i="328" s="1"/>
  <c r="N1088" i="328" a="1"/>
  <c r="N1088" i="328" s="1"/>
  <c r="P1088" i="328" s="1"/>
  <c r="L1088" i="328"/>
  <c r="O1087" i="328" a="1"/>
  <c r="O1087" i="328" s="1"/>
  <c r="S1087" i="328"/>
  <c r="N1087" i="328" a="1"/>
  <c r="N1087" i="328"/>
  <c r="P1087" i="328" s="1"/>
  <c r="L1087" i="328"/>
  <c r="O1086" i="328" a="1"/>
  <c r="O1086" i="328"/>
  <c r="S1086" i="328" s="1"/>
  <c r="N1086" i="328" a="1"/>
  <c r="N1086" i="328" s="1"/>
  <c r="P1086" i="328" s="1"/>
  <c r="L1086" i="328"/>
  <c r="I1086" i="328"/>
  <c r="I1087" i="328" s="1"/>
  <c r="O1085" i="328" a="1"/>
  <c r="O1085" i="328" s="1"/>
  <c r="S1085" i="328" s="1"/>
  <c r="N1085" i="328" a="1"/>
  <c r="N1085" i="328" s="1"/>
  <c r="P1085" i="328" s="1"/>
  <c r="P1089" i="328" s="1"/>
  <c r="L1085" i="328"/>
  <c r="O1084" i="328" a="1"/>
  <c r="O1084" i="328" s="1"/>
  <c r="S1084" i="328"/>
  <c r="N1084" i="328" a="1"/>
  <c r="N1084" i="328" s="1"/>
  <c r="P1084" i="328"/>
  <c r="L1084" i="328"/>
  <c r="O1083" i="328" a="1"/>
  <c r="O1083" i="328" s="1"/>
  <c r="S1083" i="328" s="1"/>
  <c r="N1083" i="328" a="1"/>
  <c r="N1083" i="328"/>
  <c r="P1083" i="328" s="1"/>
  <c r="L1083" i="328"/>
  <c r="E1083" i="328"/>
  <c r="O1082" i="328" a="1"/>
  <c r="O1082" i="328" s="1"/>
  <c r="S1082" i="328"/>
  <c r="N1082" i="328" a="1"/>
  <c r="N1082" i="328" s="1"/>
  <c r="P1082" i="328" s="1"/>
  <c r="L1082" i="328"/>
  <c r="E1082" i="328"/>
  <c r="O1081" i="328" a="1"/>
  <c r="O1081" i="328" s="1"/>
  <c r="S1081" i="328" s="1"/>
  <c r="N1081" i="328" a="1"/>
  <c r="N1081" i="328" s="1"/>
  <c r="P1081" i="328" s="1"/>
  <c r="L1081" i="328"/>
  <c r="E1081" i="328"/>
  <c r="O1080" i="328" a="1"/>
  <c r="O1080" i="328" s="1"/>
  <c r="S1080" i="328"/>
  <c r="N1080" i="328" a="1"/>
  <c r="N1080" i="328" s="1"/>
  <c r="P1080" i="328" s="1"/>
  <c r="L1080" i="328"/>
  <c r="E1080" i="328"/>
  <c r="O1079" i="328" a="1"/>
  <c r="O1079" i="328" s="1"/>
  <c r="S1079" i="328" s="1"/>
  <c r="N1079" i="328" a="1"/>
  <c r="N1079" i="328" s="1"/>
  <c r="P1079" i="328" s="1"/>
  <c r="L1079" i="328"/>
  <c r="E1079" i="328"/>
  <c r="O1078" i="328" a="1"/>
  <c r="O1078" i="328" s="1"/>
  <c r="S1078" i="328"/>
  <c r="N1078" i="328" a="1"/>
  <c r="N1078" i="328" s="1"/>
  <c r="P1078" i="328" s="1"/>
  <c r="L1078" i="328"/>
  <c r="E1078" i="328"/>
  <c r="O1077" i="328" a="1"/>
  <c r="O1077" i="328" s="1"/>
  <c r="S1077" i="328" s="1"/>
  <c r="N1077" i="328" a="1"/>
  <c r="N1077" i="328" s="1"/>
  <c r="P1077" i="328" s="1"/>
  <c r="L1077" i="328"/>
  <c r="E1077" i="328"/>
  <c r="O1076" i="328" a="1"/>
  <c r="O1076" i="328" s="1"/>
  <c r="S1076" i="328"/>
  <c r="N1076" i="328" a="1"/>
  <c r="N1076" i="328" s="1"/>
  <c r="P1076" i="328" s="1"/>
  <c r="L1076" i="328"/>
  <c r="E1076" i="328"/>
  <c r="O1075" i="328" a="1"/>
  <c r="O1075" i="328" s="1"/>
  <c r="S1075" i="328" s="1"/>
  <c r="N1075" i="328" a="1"/>
  <c r="N1075" i="328" s="1"/>
  <c r="P1075" i="328" s="1"/>
  <c r="L1075" i="328"/>
  <c r="E1075" i="328"/>
  <c r="O1074" i="328" a="1"/>
  <c r="O1074" i="328" s="1"/>
  <c r="S1074" i="328"/>
  <c r="N1074" i="328" a="1"/>
  <c r="N1074" i="328" s="1"/>
  <c r="P1074" i="328" s="1"/>
  <c r="L1074" i="328"/>
  <c r="E1074" i="328"/>
  <c r="O1073" i="328" a="1"/>
  <c r="O1073" i="328" s="1"/>
  <c r="S1073" i="328" s="1"/>
  <c r="N1073" i="328" a="1"/>
  <c r="N1073" i="328" s="1"/>
  <c r="P1073" i="328" s="1"/>
  <c r="L1073" i="328"/>
  <c r="E1073" i="328"/>
  <c r="O1072" i="328" a="1"/>
  <c r="O1072" i="328" s="1"/>
  <c r="S1072" i="328"/>
  <c r="N1072" i="328" a="1"/>
  <c r="N1072" i="328" s="1"/>
  <c r="P1072" i="328" s="1"/>
  <c r="L1072" i="328"/>
  <c r="E1072" i="328"/>
  <c r="O1071" i="328" a="1"/>
  <c r="O1071" i="328" s="1"/>
  <c r="S1071" i="328" s="1"/>
  <c r="N1071" i="328" a="1"/>
  <c r="N1071" i="328" s="1"/>
  <c r="P1071" i="328" s="1"/>
  <c r="L1071" i="328"/>
  <c r="E1071" i="328"/>
  <c r="O1070" i="328" a="1"/>
  <c r="O1070" i="328" s="1"/>
  <c r="S1070" i="328" s="1"/>
  <c r="N1070" i="328" a="1"/>
  <c r="N1070" i="328" s="1"/>
  <c r="P1070" i="328" s="1"/>
  <c r="L1070" i="328"/>
  <c r="E1070" i="328"/>
  <c r="O1069" i="328" a="1"/>
  <c r="O1069" i="328" s="1"/>
  <c r="S1069" i="328" s="1"/>
  <c r="N1069" i="328" a="1"/>
  <c r="N1069" i="328" s="1"/>
  <c r="P1069" i="328" s="1"/>
  <c r="L1069" i="328"/>
  <c r="E1069" i="328"/>
  <c r="O1068" i="328" a="1"/>
  <c r="O1068" i="328" s="1"/>
  <c r="S1068" i="328" s="1"/>
  <c r="N1068" i="328" a="1"/>
  <c r="N1068" i="328" s="1"/>
  <c r="P1068" i="328" s="1"/>
  <c r="L1068" i="328"/>
  <c r="E1068" i="328"/>
  <c r="O1067" i="328" a="1"/>
  <c r="O1067" i="328" s="1"/>
  <c r="S1067" i="328" s="1"/>
  <c r="N1067" i="328" a="1"/>
  <c r="N1067" i="328" s="1"/>
  <c r="P1067" i="328" s="1"/>
  <c r="L1067" i="328"/>
  <c r="E1067" i="328"/>
  <c r="O1066" i="328" a="1"/>
  <c r="O1066" i="328" s="1"/>
  <c r="S1066" i="328" s="1"/>
  <c r="N1066" i="328" a="1"/>
  <c r="N1066" i="328" s="1"/>
  <c r="P1066" i="328" s="1"/>
  <c r="L1066" i="328"/>
  <c r="E1066" i="328"/>
  <c r="O1065" i="328" a="1"/>
  <c r="O1065" i="328" s="1"/>
  <c r="S1065" i="328" s="1"/>
  <c r="N1065" i="328" a="1"/>
  <c r="N1065" i="328" s="1"/>
  <c r="P1065" i="328" s="1"/>
  <c r="L1065" i="328"/>
  <c r="E1065" i="328"/>
  <c r="O1064" i="328" a="1"/>
  <c r="O1064" i="328" s="1"/>
  <c r="S1064" i="328" s="1"/>
  <c r="S1089" i="328" s="1"/>
  <c r="N1064" i="328" a="1"/>
  <c r="N1064" i="328" s="1"/>
  <c r="P1064" i="328" s="1"/>
  <c r="L1064" i="328"/>
  <c r="E1064" i="328"/>
  <c r="O1063" i="328" a="1"/>
  <c r="O1063" i="328" s="1"/>
  <c r="S1063" i="328"/>
  <c r="N1063" i="328" a="1"/>
  <c r="N1063" i="328" s="1"/>
  <c r="P1063" i="328" s="1"/>
  <c r="L1063" i="328"/>
  <c r="E1063" i="328"/>
  <c r="O1062" i="328" a="1"/>
  <c r="O1062" i="328" s="1"/>
  <c r="S1062" i="328" s="1"/>
  <c r="N1062" i="328" a="1"/>
  <c r="N1062" i="328" s="1"/>
  <c r="P1062" i="328" s="1"/>
  <c r="L1062" i="328"/>
  <c r="E1062" i="328"/>
  <c r="O1061" i="328" a="1"/>
  <c r="O1061" i="328" s="1"/>
  <c r="S1061" i="328" s="1"/>
  <c r="N1061" i="328" a="1"/>
  <c r="N1061" i="328" s="1"/>
  <c r="P1061" i="328" s="1"/>
  <c r="L1061" i="328"/>
  <c r="E1061" i="328"/>
  <c r="E1059" i="328"/>
  <c r="T1051" i="328"/>
  <c r="I1085" i="328"/>
  <c r="O1041" i="328" a="1"/>
  <c r="O1041" i="328" s="1"/>
  <c r="S1041" i="328" s="1"/>
  <c r="N1041" i="328" a="1"/>
  <c r="N1041" i="328" s="1"/>
  <c r="P1041" i="328" s="1"/>
  <c r="L1041" i="328"/>
  <c r="O1040" i="328" a="1"/>
  <c r="O1040" i="328" s="1"/>
  <c r="S1040" i="328" s="1"/>
  <c r="N1040" i="328" a="1"/>
  <c r="N1040" i="328" s="1"/>
  <c r="P1040" i="328" s="1"/>
  <c r="L1040" i="328"/>
  <c r="O1039" i="328" a="1"/>
  <c r="O1039" i="328"/>
  <c r="S1039" i="328" s="1"/>
  <c r="N1039" i="328" a="1"/>
  <c r="N1039" i="328" s="1"/>
  <c r="P1039" i="328"/>
  <c r="L1039" i="328"/>
  <c r="I1039" i="328"/>
  <c r="I1040" i="328" s="1"/>
  <c r="O1038" i="328" a="1"/>
  <c r="O1038" i="328"/>
  <c r="S1038" i="328" s="1"/>
  <c r="N1038" i="328" a="1"/>
  <c r="N1038" i="328"/>
  <c r="P1038" i="328" s="1"/>
  <c r="L1038" i="328"/>
  <c r="O1037" i="328" a="1"/>
  <c r="O1037" i="328" s="1"/>
  <c r="S1037" i="328" s="1"/>
  <c r="N1037" i="328" a="1"/>
  <c r="N1037" i="328" s="1"/>
  <c r="P1037" i="328" s="1"/>
  <c r="P1042" i="328" s="1"/>
  <c r="L1037" i="328"/>
  <c r="O1036" i="328" a="1"/>
  <c r="O1036" i="328" s="1"/>
  <c r="S1036" i="328"/>
  <c r="N1036" i="328" a="1"/>
  <c r="N1036" i="328" s="1"/>
  <c r="P1036" i="328" s="1"/>
  <c r="L1036" i="328"/>
  <c r="E1036" i="328"/>
  <c r="O1035" i="328" a="1"/>
  <c r="O1035" i="328" s="1"/>
  <c r="S1035" i="328" s="1"/>
  <c r="N1035" i="328" a="1"/>
  <c r="N1035" i="328" s="1"/>
  <c r="P1035" i="328" s="1"/>
  <c r="L1035" i="328"/>
  <c r="E1035" i="328"/>
  <c r="O1034" i="328" a="1"/>
  <c r="O1034" i="328" s="1"/>
  <c r="S1034" i="328" s="1"/>
  <c r="N1034" i="328" a="1"/>
  <c r="N1034" i="328" s="1"/>
  <c r="P1034" i="328" s="1"/>
  <c r="L1034" i="328"/>
  <c r="E1034" i="328"/>
  <c r="O1033" i="328" a="1"/>
  <c r="O1033" i="328" s="1"/>
  <c r="S1033" i="328" s="1"/>
  <c r="N1033" i="328" a="1"/>
  <c r="N1033" i="328" s="1"/>
  <c r="P1033" i="328" s="1"/>
  <c r="L1033" i="328"/>
  <c r="E1033" i="328"/>
  <c r="O1032" i="328" a="1"/>
  <c r="O1032" i="328" s="1"/>
  <c r="S1032" i="328"/>
  <c r="N1032" i="328" a="1"/>
  <c r="N1032" i="328" s="1"/>
  <c r="P1032" i="328" s="1"/>
  <c r="L1032" i="328"/>
  <c r="E1032" i="328"/>
  <c r="O1031" i="328" a="1"/>
  <c r="O1031" i="328" s="1"/>
  <c r="S1031" i="328" s="1"/>
  <c r="N1031" i="328" a="1"/>
  <c r="N1031" i="328" s="1"/>
  <c r="P1031" i="328" s="1"/>
  <c r="L1031" i="328"/>
  <c r="E1031" i="328"/>
  <c r="O1030" i="328" a="1"/>
  <c r="O1030" i="328" s="1"/>
  <c r="S1030" i="328" s="1"/>
  <c r="N1030" i="328" a="1"/>
  <c r="N1030" i="328" s="1"/>
  <c r="P1030" i="328" s="1"/>
  <c r="L1030" i="328"/>
  <c r="E1030" i="328"/>
  <c r="O1029" i="328" a="1"/>
  <c r="O1029" i="328" s="1"/>
  <c r="S1029" i="328" s="1"/>
  <c r="N1029" i="328" a="1"/>
  <c r="N1029" i="328" s="1"/>
  <c r="P1029" i="328" s="1"/>
  <c r="L1029" i="328"/>
  <c r="E1029" i="328"/>
  <c r="O1028" i="328" a="1"/>
  <c r="O1028" i="328" s="1"/>
  <c r="S1028" i="328"/>
  <c r="N1028" i="328" a="1"/>
  <c r="N1028" i="328" s="1"/>
  <c r="P1028" i="328" s="1"/>
  <c r="L1028" i="328"/>
  <c r="E1028" i="328"/>
  <c r="O1027" i="328" a="1"/>
  <c r="O1027" i="328" s="1"/>
  <c r="S1027" i="328" s="1"/>
  <c r="N1027" i="328" a="1"/>
  <c r="N1027" i="328" s="1"/>
  <c r="P1027" i="328" s="1"/>
  <c r="L1027" i="328"/>
  <c r="E1027" i="328"/>
  <c r="O1026" i="328" a="1"/>
  <c r="O1026" i="328" s="1"/>
  <c r="S1026" i="328" s="1"/>
  <c r="N1026" i="328" a="1"/>
  <c r="N1026" i="328" s="1"/>
  <c r="P1026" i="328" s="1"/>
  <c r="L1026" i="328"/>
  <c r="E1026" i="328"/>
  <c r="O1025" i="328" a="1"/>
  <c r="O1025" i="328" s="1"/>
  <c r="S1025" i="328" s="1"/>
  <c r="N1025" i="328" a="1"/>
  <c r="N1025" i="328" s="1"/>
  <c r="P1025" i="328" s="1"/>
  <c r="L1025" i="328"/>
  <c r="E1025" i="328"/>
  <c r="O1024" i="328" a="1"/>
  <c r="O1024" i="328" s="1"/>
  <c r="S1024" i="328"/>
  <c r="N1024" i="328" a="1"/>
  <c r="N1024" i="328" s="1"/>
  <c r="P1024" i="328" s="1"/>
  <c r="L1024" i="328"/>
  <c r="E1024" i="328"/>
  <c r="O1023" i="328" a="1"/>
  <c r="O1023" i="328" s="1"/>
  <c r="S1023" i="328" s="1"/>
  <c r="N1023" i="328" a="1"/>
  <c r="N1023" i="328" s="1"/>
  <c r="P1023" i="328" s="1"/>
  <c r="L1023" i="328"/>
  <c r="E1023" i="328"/>
  <c r="O1022" i="328" a="1"/>
  <c r="O1022" i="328" s="1"/>
  <c r="S1022" i="328" s="1"/>
  <c r="N1022" i="328" a="1"/>
  <c r="N1022" i="328" s="1"/>
  <c r="P1022" i="328" s="1"/>
  <c r="L1022" i="328"/>
  <c r="E1022" i="328"/>
  <c r="O1021" i="328" a="1"/>
  <c r="O1021" i="328" s="1"/>
  <c r="S1021" i="328" s="1"/>
  <c r="N1021" i="328" a="1"/>
  <c r="N1021" i="328" s="1"/>
  <c r="P1021" i="328" s="1"/>
  <c r="L1021" i="328"/>
  <c r="E1021" i="328"/>
  <c r="O1020" i="328" a="1"/>
  <c r="O1020" i="328" s="1"/>
  <c r="S1020" i="328"/>
  <c r="N1020" i="328" a="1"/>
  <c r="N1020" i="328" s="1"/>
  <c r="P1020" i="328" s="1"/>
  <c r="L1020" i="328"/>
  <c r="E1020" i="328"/>
  <c r="O1019" i="328" a="1"/>
  <c r="O1019" i="328" s="1"/>
  <c r="S1019" i="328" s="1"/>
  <c r="N1019" i="328" a="1"/>
  <c r="N1019" i="328" s="1"/>
  <c r="P1019" i="328" s="1"/>
  <c r="L1019" i="328"/>
  <c r="E1019" i="328"/>
  <c r="O1018" i="328" a="1"/>
  <c r="O1018" i="328" s="1"/>
  <c r="S1018" i="328" s="1"/>
  <c r="N1018" i="328" a="1"/>
  <c r="N1018" i="328" s="1"/>
  <c r="P1018" i="328" s="1"/>
  <c r="L1018" i="328"/>
  <c r="E1018" i="328"/>
  <c r="O1017" i="328" a="1"/>
  <c r="O1017" i="328" s="1"/>
  <c r="S1017" i="328" s="1"/>
  <c r="N1017" i="328" a="1"/>
  <c r="N1017" i="328" s="1"/>
  <c r="P1017" i="328" s="1"/>
  <c r="L1017" i="328"/>
  <c r="E1017" i="328"/>
  <c r="O1016" i="328" a="1"/>
  <c r="O1016" i="328" s="1"/>
  <c r="S1016" i="328"/>
  <c r="N1016" i="328" a="1"/>
  <c r="N1016" i="328" s="1"/>
  <c r="P1016" i="328" s="1"/>
  <c r="L1016" i="328"/>
  <c r="E1016" i="328"/>
  <c r="O1015" i="328" a="1"/>
  <c r="O1015" i="328" s="1"/>
  <c r="S1015" i="328" s="1"/>
  <c r="S1042" i="328" s="1"/>
  <c r="N1015" i="328" a="1"/>
  <c r="N1015" i="328" s="1"/>
  <c r="P1015" i="328" s="1"/>
  <c r="L1015" i="328"/>
  <c r="E1015" i="328"/>
  <c r="O1014" i="328" a="1"/>
  <c r="O1014" i="328" s="1"/>
  <c r="S1014" i="328" s="1"/>
  <c r="N1014" i="328" a="1"/>
  <c r="N1014" i="328" s="1"/>
  <c r="P1014" i="328" s="1"/>
  <c r="L1014" i="328"/>
  <c r="E1014" i="328"/>
  <c r="E1012" i="328"/>
  <c r="T1004" i="328"/>
  <c r="I1038" i="328" s="1"/>
  <c r="O994" i="328" a="1"/>
  <c r="O994" i="328" s="1"/>
  <c r="S994" i="328" s="1"/>
  <c r="N994" i="328" a="1"/>
  <c r="N994" i="328" s="1"/>
  <c r="P994" i="328" s="1"/>
  <c r="L994" i="328"/>
  <c r="O993" i="328" a="1"/>
  <c r="O993" i="328" s="1"/>
  <c r="S993" i="328" s="1"/>
  <c r="N993" i="328" a="1"/>
  <c r="N993" i="328" s="1"/>
  <c r="P993" i="328" s="1"/>
  <c r="L993" i="328"/>
  <c r="O992" i="328" a="1"/>
  <c r="O992" i="328" s="1"/>
  <c r="S992" i="328" s="1"/>
  <c r="N992" i="328" a="1"/>
  <c r="N992" i="328" s="1"/>
  <c r="P992" i="328" s="1"/>
  <c r="L992" i="328"/>
  <c r="I992" i="328"/>
  <c r="I993" i="328" s="1"/>
  <c r="O991" i="328" a="1"/>
  <c r="O991" i="328" s="1"/>
  <c r="S991" i="328" s="1"/>
  <c r="N991" i="328" a="1"/>
  <c r="N991" i="328"/>
  <c r="P991" i="328" s="1"/>
  <c r="L991" i="328"/>
  <c r="O990" i="328" a="1"/>
  <c r="O990" i="328" s="1"/>
  <c r="S990" i="328" s="1"/>
  <c r="N990" i="328" a="1"/>
  <c r="N990" i="328" s="1"/>
  <c r="P990" i="328" s="1"/>
  <c r="L990" i="328"/>
  <c r="O989" i="328" a="1"/>
  <c r="O989" i="328" s="1"/>
  <c r="S989" i="328" s="1"/>
  <c r="N989" i="328" a="1"/>
  <c r="N989" i="328" s="1"/>
  <c r="P989" i="328" s="1"/>
  <c r="L989" i="328"/>
  <c r="E989" i="328"/>
  <c r="O988" i="328" a="1"/>
  <c r="O988" i="328" s="1"/>
  <c r="S988" i="328"/>
  <c r="N988" i="328" a="1"/>
  <c r="N988" i="328" s="1"/>
  <c r="P988" i="328" s="1"/>
  <c r="L988" i="328"/>
  <c r="E988" i="328"/>
  <c r="O987" i="328" a="1"/>
  <c r="O987" i="328" s="1"/>
  <c r="S987" i="328" s="1"/>
  <c r="N987" i="328" a="1"/>
  <c r="N987" i="328" s="1"/>
  <c r="P987" i="328" s="1"/>
  <c r="L987" i="328"/>
  <c r="E987" i="328"/>
  <c r="O986" i="328" a="1"/>
  <c r="O986" i="328" s="1"/>
  <c r="S986" i="328" s="1"/>
  <c r="N986" i="328" a="1"/>
  <c r="N986" i="328" s="1"/>
  <c r="P986" i="328" s="1"/>
  <c r="L986" i="328"/>
  <c r="E986" i="328"/>
  <c r="O985" i="328" a="1"/>
  <c r="O985" i="328" s="1"/>
  <c r="S985" i="328" s="1"/>
  <c r="N985" i="328" a="1"/>
  <c r="N985" i="328" s="1"/>
  <c r="P985" i="328" s="1"/>
  <c r="L985" i="328"/>
  <c r="E985" i="328"/>
  <c r="O984" i="328" a="1"/>
  <c r="O984" i="328" s="1"/>
  <c r="S984" i="328"/>
  <c r="N984" i="328" a="1"/>
  <c r="N984" i="328" s="1"/>
  <c r="P984" i="328" s="1"/>
  <c r="L984" i="328"/>
  <c r="E984" i="328"/>
  <c r="O983" i="328" a="1"/>
  <c r="O983" i="328" s="1"/>
  <c r="S983" i="328" s="1"/>
  <c r="N983" i="328" a="1"/>
  <c r="N983" i="328" s="1"/>
  <c r="P983" i="328" s="1"/>
  <c r="L983" i="328"/>
  <c r="E983" i="328"/>
  <c r="O982" i="328" a="1"/>
  <c r="O982" i="328" s="1"/>
  <c r="S982" i="328" s="1"/>
  <c r="N982" i="328" a="1"/>
  <c r="N982" i="328" s="1"/>
  <c r="P982" i="328" s="1"/>
  <c r="L982" i="328"/>
  <c r="E982" i="328"/>
  <c r="O981" i="328" a="1"/>
  <c r="O981" i="328" s="1"/>
  <c r="S981" i="328" s="1"/>
  <c r="N981" i="328" a="1"/>
  <c r="N981" i="328" s="1"/>
  <c r="P981" i="328" s="1"/>
  <c r="L981" i="328"/>
  <c r="E981" i="328"/>
  <c r="O980" i="328" a="1"/>
  <c r="O980" i="328" s="1"/>
  <c r="S980" i="328"/>
  <c r="N980" i="328" a="1"/>
  <c r="N980" i="328" s="1"/>
  <c r="P980" i="328" s="1"/>
  <c r="L980" i="328"/>
  <c r="E980" i="328"/>
  <c r="O979" i="328" a="1"/>
  <c r="O979" i="328" s="1"/>
  <c r="S979" i="328" s="1"/>
  <c r="N979" i="328" a="1"/>
  <c r="N979" i="328" s="1"/>
  <c r="P979" i="328" s="1"/>
  <c r="L979" i="328"/>
  <c r="E979" i="328"/>
  <c r="O978" i="328" a="1"/>
  <c r="O978" i="328" s="1"/>
  <c r="S978" i="328" s="1"/>
  <c r="N978" i="328" a="1"/>
  <c r="N978" i="328" s="1"/>
  <c r="P978" i="328" s="1"/>
  <c r="L978" i="328"/>
  <c r="E978" i="328"/>
  <c r="O977" i="328" a="1"/>
  <c r="O977" i="328" s="1"/>
  <c r="S977" i="328" s="1"/>
  <c r="N977" i="328" a="1"/>
  <c r="N977" i="328" s="1"/>
  <c r="P977" i="328" s="1"/>
  <c r="L977" i="328"/>
  <c r="E977" i="328"/>
  <c r="O976" i="328" a="1"/>
  <c r="O976" i="328" s="1"/>
  <c r="S976" i="328"/>
  <c r="N976" i="328" a="1"/>
  <c r="N976" i="328" s="1"/>
  <c r="P976" i="328" s="1"/>
  <c r="L976" i="328"/>
  <c r="E976" i="328"/>
  <c r="O975" i="328" a="1"/>
  <c r="O975" i="328" s="1"/>
  <c r="S975" i="328" s="1"/>
  <c r="N975" i="328" a="1"/>
  <c r="N975" i="328" s="1"/>
  <c r="P975" i="328" s="1"/>
  <c r="L975" i="328"/>
  <c r="E975" i="328"/>
  <c r="O974" i="328" a="1"/>
  <c r="O974" i="328" s="1"/>
  <c r="S974" i="328" s="1"/>
  <c r="N974" i="328" a="1"/>
  <c r="N974" i="328" s="1"/>
  <c r="P974" i="328" s="1"/>
  <c r="L974" i="328"/>
  <c r="E974" i="328"/>
  <c r="O973" i="328" a="1"/>
  <c r="O973" i="328" s="1"/>
  <c r="S973" i="328" s="1"/>
  <c r="N973" i="328" a="1"/>
  <c r="N973" i="328" s="1"/>
  <c r="P973" i="328" s="1"/>
  <c r="L973" i="328"/>
  <c r="E973" i="328"/>
  <c r="O972" i="328" a="1"/>
  <c r="O972" i="328" s="1"/>
  <c r="S972" i="328" s="1"/>
  <c r="N972" i="328" a="1"/>
  <c r="N972" i="328" s="1"/>
  <c r="P972" i="328" s="1"/>
  <c r="L972" i="328"/>
  <c r="E972" i="328"/>
  <c r="O971" i="328" a="1"/>
  <c r="O971" i="328" s="1"/>
  <c r="S971" i="328" s="1"/>
  <c r="N971" i="328" a="1"/>
  <c r="N971" i="328" s="1"/>
  <c r="P971" i="328" s="1"/>
  <c r="L971" i="328"/>
  <c r="E971" i="328"/>
  <c r="O970" i="328" a="1"/>
  <c r="O970" i="328" s="1"/>
  <c r="S970" i="328" s="1"/>
  <c r="N970" i="328" a="1"/>
  <c r="N970" i="328" s="1"/>
  <c r="P970" i="328" s="1"/>
  <c r="L970" i="328"/>
  <c r="E970" i="328"/>
  <c r="O969" i="328" a="1"/>
  <c r="O969" i="328" s="1"/>
  <c r="S969" i="328" s="1"/>
  <c r="N969" i="328" a="1"/>
  <c r="N969" i="328" s="1"/>
  <c r="P969" i="328" s="1"/>
  <c r="P995" i="328" s="1"/>
  <c r="L969" i="328"/>
  <c r="E969" i="328"/>
  <c r="O968" i="328" a="1"/>
  <c r="O968" i="328" s="1"/>
  <c r="S968" i="328" s="1"/>
  <c r="N968" i="328" a="1"/>
  <c r="N968" i="328" s="1"/>
  <c r="P968" i="328" s="1"/>
  <c r="L968" i="328"/>
  <c r="E968" i="328"/>
  <c r="O967" i="328" a="1"/>
  <c r="O967" i="328" s="1"/>
  <c r="S967" i="328" s="1"/>
  <c r="N967" i="328" a="1"/>
  <c r="N967" i="328" s="1"/>
  <c r="P967" i="328" s="1"/>
  <c r="L967" i="328"/>
  <c r="E967" i="328"/>
  <c r="E965" i="328"/>
  <c r="T957" i="328"/>
  <c r="I991" i="328" s="1"/>
  <c r="O947" i="328" a="1"/>
  <c r="O947" i="328" s="1"/>
  <c r="S947" i="328" s="1"/>
  <c r="N947" i="328" a="1"/>
  <c r="N947" i="328" s="1"/>
  <c r="P947" i="328" s="1"/>
  <c r="L947" i="328"/>
  <c r="O946" i="328" a="1"/>
  <c r="O946" i="328" s="1"/>
  <c r="S946" i="328" s="1"/>
  <c r="N946" i="328" a="1"/>
  <c r="N946" i="328" s="1"/>
  <c r="P946" i="328" s="1"/>
  <c r="L946" i="328"/>
  <c r="O945" i="328" a="1"/>
  <c r="O945" i="328"/>
  <c r="S945" i="328" s="1"/>
  <c r="N945" i="328" a="1"/>
  <c r="N945" i="328" s="1"/>
  <c r="P945" i="328"/>
  <c r="L945" i="328"/>
  <c r="I945" i="328"/>
  <c r="I946" i="328" s="1"/>
  <c r="O944" i="328" a="1"/>
  <c r="O944" i="328"/>
  <c r="S944" i="328" s="1"/>
  <c r="N944" i="328" a="1"/>
  <c r="N944" i="328" s="1"/>
  <c r="P944" i="328" s="1"/>
  <c r="L944" i="328"/>
  <c r="O943" i="328" a="1"/>
  <c r="O943" i="328" s="1"/>
  <c r="S943" i="328" s="1"/>
  <c r="N943" i="328" a="1"/>
  <c r="N943" i="328" s="1"/>
  <c r="P943" i="328" s="1"/>
  <c r="L943" i="328"/>
  <c r="O942" i="328" a="1"/>
  <c r="O942" i="328" s="1"/>
  <c r="S942" i="328"/>
  <c r="N942" i="328" a="1"/>
  <c r="N942" i="328" s="1"/>
  <c r="P942" i="328" s="1"/>
  <c r="L942" i="328"/>
  <c r="E942" i="328"/>
  <c r="O941" i="328" a="1"/>
  <c r="O941" i="328" s="1"/>
  <c r="S941" i="328" s="1"/>
  <c r="N941" i="328" a="1"/>
  <c r="N941" i="328"/>
  <c r="P941" i="328" s="1"/>
  <c r="L941" i="328"/>
  <c r="E941" i="328"/>
  <c r="O940" i="328" a="1"/>
  <c r="O940" i="328" s="1"/>
  <c r="S940" i="328" s="1"/>
  <c r="N940" i="328" a="1"/>
  <c r="N940" i="328" s="1"/>
  <c r="P940" i="328" s="1"/>
  <c r="L940" i="328"/>
  <c r="E940" i="328"/>
  <c r="O939" i="328" a="1"/>
  <c r="O939" i="328" s="1"/>
  <c r="S939" i="328" s="1"/>
  <c r="N939" i="328" a="1"/>
  <c r="N939" i="328" s="1"/>
  <c r="P939" i="328" s="1"/>
  <c r="L939" i="328"/>
  <c r="E939" i="328"/>
  <c r="O938" i="328" a="1"/>
  <c r="O938" i="328" s="1"/>
  <c r="S938" i="328" s="1"/>
  <c r="N938" i="328" a="1"/>
  <c r="N938" i="328" s="1"/>
  <c r="P938" i="328" s="1"/>
  <c r="L938" i="328"/>
  <c r="E938" i="328"/>
  <c r="O937" i="328" a="1"/>
  <c r="O937" i="328" s="1"/>
  <c r="S937" i="328" s="1"/>
  <c r="N937" i="328" a="1"/>
  <c r="N937" i="328" s="1"/>
  <c r="P937" i="328" s="1"/>
  <c r="L937" i="328"/>
  <c r="E937" i="328"/>
  <c r="O936" i="328" a="1"/>
  <c r="O936" i="328" s="1"/>
  <c r="S936" i="328" s="1"/>
  <c r="N936" i="328" a="1"/>
  <c r="N936" i="328" s="1"/>
  <c r="P936" i="328" s="1"/>
  <c r="L936" i="328"/>
  <c r="E936" i="328"/>
  <c r="O935" i="328" a="1"/>
  <c r="O935" i="328" s="1"/>
  <c r="S935" i="328" s="1"/>
  <c r="N935" i="328" a="1"/>
  <c r="N935" i="328" s="1"/>
  <c r="P935" i="328" s="1"/>
  <c r="L935" i="328"/>
  <c r="E935" i="328"/>
  <c r="O934" i="328" a="1"/>
  <c r="O934" i="328" s="1"/>
  <c r="S934" i="328" s="1"/>
  <c r="N934" i="328" a="1"/>
  <c r="N934" i="328" s="1"/>
  <c r="P934" i="328" s="1"/>
  <c r="L934" i="328"/>
  <c r="E934" i="328"/>
  <c r="O933" i="328" a="1"/>
  <c r="O933" i="328" s="1"/>
  <c r="S933" i="328" s="1"/>
  <c r="N933" i="328" a="1"/>
  <c r="N933" i="328" s="1"/>
  <c r="P933" i="328" s="1"/>
  <c r="L933" i="328"/>
  <c r="E933" i="328"/>
  <c r="O932" i="328" a="1"/>
  <c r="O932" i="328" s="1"/>
  <c r="S932" i="328" s="1"/>
  <c r="N932" i="328" a="1"/>
  <c r="N932" i="328" s="1"/>
  <c r="P932" i="328" s="1"/>
  <c r="L932" i="328"/>
  <c r="E932" i="328"/>
  <c r="O931" i="328" a="1"/>
  <c r="O931" i="328" s="1"/>
  <c r="S931" i="328" s="1"/>
  <c r="N931" i="328" a="1"/>
  <c r="N931" i="328" s="1"/>
  <c r="P931" i="328" s="1"/>
  <c r="L931" i="328"/>
  <c r="E931" i="328"/>
  <c r="O930" i="328" a="1"/>
  <c r="O930" i="328" s="1"/>
  <c r="S930" i="328" s="1"/>
  <c r="N930" i="328" a="1"/>
  <c r="N930" i="328" s="1"/>
  <c r="P930" i="328" s="1"/>
  <c r="L930" i="328"/>
  <c r="E930" i="328"/>
  <c r="O929" i="328" a="1"/>
  <c r="O929" i="328" s="1"/>
  <c r="S929" i="328" s="1"/>
  <c r="N929" i="328" a="1"/>
  <c r="N929" i="328" s="1"/>
  <c r="P929" i="328" s="1"/>
  <c r="L929" i="328"/>
  <c r="E929" i="328"/>
  <c r="O928" i="328" a="1"/>
  <c r="O928" i="328" s="1"/>
  <c r="S928" i="328" s="1"/>
  <c r="N928" i="328" a="1"/>
  <c r="N928" i="328" s="1"/>
  <c r="P928" i="328" s="1"/>
  <c r="L928" i="328"/>
  <c r="E928" i="328"/>
  <c r="O927" i="328" a="1"/>
  <c r="O927" i="328" s="1"/>
  <c r="S927" i="328" s="1"/>
  <c r="N927" i="328" a="1"/>
  <c r="N927" i="328" s="1"/>
  <c r="P927" i="328" s="1"/>
  <c r="L927" i="328"/>
  <c r="E927" i="328"/>
  <c r="O926" i="328" a="1"/>
  <c r="O926" i="328" s="1"/>
  <c r="S926" i="328" s="1"/>
  <c r="N926" i="328" a="1"/>
  <c r="N926" i="328" s="1"/>
  <c r="P926" i="328" s="1"/>
  <c r="L926" i="328"/>
  <c r="E926" i="328"/>
  <c r="O925" i="328" a="1"/>
  <c r="O925" i="328" s="1"/>
  <c r="S925" i="328" s="1"/>
  <c r="N925" i="328" a="1"/>
  <c r="N925" i="328" s="1"/>
  <c r="P925" i="328" s="1"/>
  <c r="L925" i="328"/>
  <c r="E925" i="328"/>
  <c r="O924" i="328" a="1"/>
  <c r="O924" i="328" s="1"/>
  <c r="S924" i="328" s="1"/>
  <c r="N924" i="328" a="1"/>
  <c r="N924" i="328" s="1"/>
  <c r="P924" i="328" s="1"/>
  <c r="L924" i="328"/>
  <c r="E924" i="328"/>
  <c r="O923" i="328" a="1"/>
  <c r="O923" i="328" s="1"/>
  <c r="S923" i="328" s="1"/>
  <c r="N923" i="328" a="1"/>
  <c r="N923" i="328" s="1"/>
  <c r="P923" i="328" s="1"/>
  <c r="L923" i="328"/>
  <c r="E923" i="328"/>
  <c r="O922" i="328" a="1"/>
  <c r="O922" i="328" s="1"/>
  <c r="S922" i="328" s="1"/>
  <c r="N922" i="328" a="1"/>
  <c r="N922" i="328" s="1"/>
  <c r="P922" i="328" s="1"/>
  <c r="L922" i="328"/>
  <c r="E922" i="328"/>
  <c r="O921" i="328" a="1"/>
  <c r="O921" i="328" s="1"/>
  <c r="S921" i="328" s="1"/>
  <c r="N921" i="328" a="1"/>
  <c r="N921" i="328" s="1"/>
  <c r="P921" i="328" s="1"/>
  <c r="L921" i="328"/>
  <c r="E921" i="328"/>
  <c r="O920" i="328" a="1"/>
  <c r="O920" i="328" s="1"/>
  <c r="S920" i="328" s="1"/>
  <c r="N920" i="328" a="1"/>
  <c r="N920" i="328" s="1"/>
  <c r="P920" i="328" s="1"/>
  <c r="L920" i="328"/>
  <c r="E920" i="328"/>
  <c r="E918" i="328"/>
  <c r="T910" i="328"/>
  <c r="I944" i="328" s="1"/>
  <c r="O900" i="328" a="1"/>
  <c r="O900" i="328" s="1"/>
  <c r="S900" i="328" s="1"/>
  <c r="N900" i="328" a="1"/>
  <c r="N900" i="328" s="1"/>
  <c r="P900" i="328" s="1"/>
  <c r="L900" i="328"/>
  <c r="O899" i="328" a="1"/>
  <c r="O899" i="328"/>
  <c r="S899" i="328" s="1"/>
  <c r="N899" i="328" a="1"/>
  <c r="N899" i="328"/>
  <c r="P899" i="328" s="1"/>
  <c r="L899" i="328"/>
  <c r="O898" i="328" a="1"/>
  <c r="O898" i="328"/>
  <c r="S898" i="328" s="1"/>
  <c r="N898" i="328" a="1"/>
  <c r="N898" i="328" s="1"/>
  <c r="P898" i="328" s="1"/>
  <c r="L898" i="328"/>
  <c r="I898" i="328"/>
  <c r="I899" i="328" s="1"/>
  <c r="O897" i="328" a="1"/>
  <c r="O897" i="328" s="1"/>
  <c r="S897" i="328" s="1"/>
  <c r="N897" i="328" a="1"/>
  <c r="N897" i="328" s="1"/>
  <c r="P897" i="328" s="1"/>
  <c r="P901" i="328" s="1"/>
  <c r="L897" i="328"/>
  <c r="O896" i="328" a="1"/>
  <c r="O896" i="328" s="1"/>
  <c r="S896" i="328" s="1"/>
  <c r="S901" i="328" s="1"/>
  <c r="A871" i="328" s="1"/>
  <c r="N896" i="328" a="1"/>
  <c r="N896" i="328" s="1"/>
  <c r="P896" i="328"/>
  <c r="L896" i="328"/>
  <c r="O895" i="328" a="1"/>
  <c r="O895" i="328" s="1"/>
  <c r="S895" i="328" s="1"/>
  <c r="N895" i="328" a="1"/>
  <c r="N895" i="328" s="1"/>
  <c r="P895" i="328" s="1"/>
  <c r="L895" i="328"/>
  <c r="E895" i="328"/>
  <c r="O894" i="328" a="1"/>
  <c r="O894" i="328" s="1"/>
  <c r="S894" i="328" s="1"/>
  <c r="N894" i="328" a="1"/>
  <c r="N894" i="328" s="1"/>
  <c r="P894" i="328" s="1"/>
  <c r="L894" i="328"/>
  <c r="E894" i="328"/>
  <c r="O893" i="328" a="1"/>
  <c r="O893" i="328" s="1"/>
  <c r="S893" i="328" s="1"/>
  <c r="N893" i="328" a="1"/>
  <c r="N893" i="328" s="1"/>
  <c r="P893" i="328" s="1"/>
  <c r="L893" i="328"/>
  <c r="E893" i="328"/>
  <c r="O892" i="328" a="1"/>
  <c r="O892" i="328" s="1"/>
  <c r="S892" i="328" s="1"/>
  <c r="N892" i="328" a="1"/>
  <c r="N892" i="328" s="1"/>
  <c r="P892" i="328" s="1"/>
  <c r="L892" i="328"/>
  <c r="E892" i="328"/>
  <c r="O891" i="328" a="1"/>
  <c r="O891" i="328" s="1"/>
  <c r="S891" i="328" s="1"/>
  <c r="N891" i="328" a="1"/>
  <c r="N891" i="328" s="1"/>
  <c r="P891" i="328" s="1"/>
  <c r="L891" i="328"/>
  <c r="E891" i="328"/>
  <c r="O890" i="328" a="1"/>
  <c r="O890" i="328" s="1"/>
  <c r="S890" i="328" s="1"/>
  <c r="N890" i="328" a="1"/>
  <c r="N890" i="328" s="1"/>
  <c r="P890" i="328" s="1"/>
  <c r="L890" i="328"/>
  <c r="E890" i="328"/>
  <c r="O889" i="328" a="1"/>
  <c r="O889" i="328" s="1"/>
  <c r="S889" i="328" s="1"/>
  <c r="N889" i="328" a="1"/>
  <c r="N889" i="328" s="1"/>
  <c r="P889" i="328" s="1"/>
  <c r="L889" i="328"/>
  <c r="E889" i="328"/>
  <c r="O888" i="328" a="1"/>
  <c r="O888" i="328" s="1"/>
  <c r="S888" i="328" s="1"/>
  <c r="N888" i="328" a="1"/>
  <c r="N888" i="328" s="1"/>
  <c r="P888" i="328" s="1"/>
  <c r="L888" i="328"/>
  <c r="E888" i="328"/>
  <c r="O887" i="328" a="1"/>
  <c r="O887" i="328" s="1"/>
  <c r="S887" i="328" s="1"/>
  <c r="N887" i="328" a="1"/>
  <c r="N887" i="328" s="1"/>
  <c r="P887" i="328" s="1"/>
  <c r="L887" i="328"/>
  <c r="E887" i="328"/>
  <c r="O886" i="328" a="1"/>
  <c r="O886" i="328" s="1"/>
  <c r="S886" i="328" s="1"/>
  <c r="N886" i="328" a="1"/>
  <c r="N886" i="328" s="1"/>
  <c r="P886" i="328" s="1"/>
  <c r="L886" i="328"/>
  <c r="E886" i="328"/>
  <c r="O885" i="328" a="1"/>
  <c r="O885" i="328" s="1"/>
  <c r="S885" i="328" s="1"/>
  <c r="N885" i="328" a="1"/>
  <c r="N885" i="328" s="1"/>
  <c r="P885" i="328" s="1"/>
  <c r="L885" i="328"/>
  <c r="E885" i="328"/>
  <c r="O884" i="328" a="1"/>
  <c r="O884" i="328" s="1"/>
  <c r="S884" i="328" s="1"/>
  <c r="N884" i="328" a="1"/>
  <c r="N884" i="328" s="1"/>
  <c r="P884" i="328" s="1"/>
  <c r="L884" i="328"/>
  <c r="E884" i="328"/>
  <c r="O883" i="328" a="1"/>
  <c r="O883" i="328" s="1"/>
  <c r="S883" i="328" s="1"/>
  <c r="N883" i="328" a="1"/>
  <c r="N883" i="328" s="1"/>
  <c r="P883" i="328" s="1"/>
  <c r="L883" i="328"/>
  <c r="E883" i="328"/>
  <c r="O882" i="328" a="1"/>
  <c r="O882" i="328" s="1"/>
  <c r="S882" i="328" s="1"/>
  <c r="N882" i="328" a="1"/>
  <c r="N882" i="328" s="1"/>
  <c r="P882" i="328" s="1"/>
  <c r="L882" i="328"/>
  <c r="E882" i="328"/>
  <c r="O881" i="328" a="1"/>
  <c r="O881" i="328" s="1"/>
  <c r="S881" i="328" s="1"/>
  <c r="N881" i="328" a="1"/>
  <c r="N881" i="328" s="1"/>
  <c r="P881" i="328" s="1"/>
  <c r="L881" i="328"/>
  <c r="E881" i="328"/>
  <c r="O880" i="328" a="1"/>
  <c r="O880" i="328" s="1"/>
  <c r="S880" i="328" s="1"/>
  <c r="N880" i="328" a="1"/>
  <c r="N880" i="328" s="1"/>
  <c r="P880" i="328" s="1"/>
  <c r="L880" i="328"/>
  <c r="E880" i="328"/>
  <c r="O879" i="328" a="1"/>
  <c r="O879" i="328" s="1"/>
  <c r="S879" i="328" s="1"/>
  <c r="N879" i="328" a="1"/>
  <c r="N879" i="328" s="1"/>
  <c r="P879" i="328" s="1"/>
  <c r="L879" i="328"/>
  <c r="E879" i="328"/>
  <c r="O878" i="328" a="1"/>
  <c r="O878" i="328" s="1"/>
  <c r="S878" i="328" s="1"/>
  <c r="N878" i="328" a="1"/>
  <c r="N878" i="328" s="1"/>
  <c r="P878" i="328" s="1"/>
  <c r="L878" i="328"/>
  <c r="E878" i="328"/>
  <c r="O877" i="328" a="1"/>
  <c r="O877" i="328" s="1"/>
  <c r="S877" i="328" s="1"/>
  <c r="N877" i="328" a="1"/>
  <c r="N877" i="328" s="1"/>
  <c r="P877" i="328" s="1"/>
  <c r="L877" i="328"/>
  <c r="E877" i="328"/>
  <c r="O876" i="328" a="1"/>
  <c r="O876" i="328" s="1"/>
  <c r="S876" i="328" s="1"/>
  <c r="N876" i="328" a="1"/>
  <c r="N876" i="328" s="1"/>
  <c r="P876" i="328" s="1"/>
  <c r="L876" i="328"/>
  <c r="E876" i="328"/>
  <c r="O875" i="328" a="1"/>
  <c r="O875" i="328" s="1"/>
  <c r="S875" i="328" s="1"/>
  <c r="N875" i="328" a="1"/>
  <c r="N875" i="328" s="1"/>
  <c r="P875" i="328" s="1"/>
  <c r="L875" i="328"/>
  <c r="E875" i="328"/>
  <c r="O874" i="328" a="1"/>
  <c r="O874" i="328" s="1"/>
  <c r="S874" i="328" s="1"/>
  <c r="N874" i="328" a="1"/>
  <c r="N874" i="328" s="1"/>
  <c r="P874" i="328" s="1"/>
  <c r="L874" i="328"/>
  <c r="E874" i="328"/>
  <c r="O873" i="328" a="1"/>
  <c r="O873" i="328" s="1"/>
  <c r="S873" i="328" s="1"/>
  <c r="N873" i="328" a="1"/>
  <c r="N873" i="328" s="1"/>
  <c r="P873" i="328" s="1"/>
  <c r="L873" i="328"/>
  <c r="E873" i="328"/>
  <c r="E871" i="328"/>
  <c r="T863" i="328"/>
  <c r="I897" i="328"/>
  <c r="O853" i="328" a="1"/>
  <c r="O853" i="328"/>
  <c r="S853" i="328" s="1"/>
  <c r="N853" i="328" a="1"/>
  <c r="N853" i="328"/>
  <c r="P853" i="328" s="1"/>
  <c r="L853" i="328"/>
  <c r="O852" i="328" a="1"/>
  <c r="O852" i="328" s="1"/>
  <c r="S852" i="328" s="1"/>
  <c r="N852" i="328" a="1"/>
  <c r="N852" i="328" s="1"/>
  <c r="P852" i="328" s="1"/>
  <c r="L852" i="328"/>
  <c r="O851" i="328" a="1"/>
  <c r="O851" i="328" s="1"/>
  <c r="S851" i="328" s="1"/>
  <c r="N851" i="328" a="1"/>
  <c r="N851" i="328" s="1"/>
  <c r="P851" i="328"/>
  <c r="L851" i="328"/>
  <c r="I851" i="328"/>
  <c r="I852" i="328" s="1"/>
  <c r="O850" i="328" a="1"/>
  <c r="O850" i="328"/>
  <c r="S850" i="328" s="1"/>
  <c r="N850" i="328" a="1"/>
  <c r="N850" i="328"/>
  <c r="P850" i="328" s="1"/>
  <c r="L850" i="328"/>
  <c r="O849" i="328" a="1"/>
  <c r="O849" i="328"/>
  <c r="S849" i="328" s="1"/>
  <c r="S854" i="328" s="1"/>
  <c r="N849" i="328" a="1"/>
  <c r="N849" i="328" s="1"/>
  <c r="P849" i="328" s="1"/>
  <c r="P854" i="328" s="1"/>
  <c r="L849" i="328"/>
  <c r="O848" i="328" a="1"/>
  <c r="O848" i="328" s="1"/>
  <c r="S848" i="328" s="1"/>
  <c r="N848" i="328" a="1"/>
  <c r="N848" i="328" s="1"/>
  <c r="P848" i="328" s="1"/>
  <c r="L848" i="328"/>
  <c r="E848" i="328"/>
  <c r="O847" i="328" a="1"/>
  <c r="O847" i="328" s="1"/>
  <c r="S847" i="328" s="1"/>
  <c r="N847" i="328" a="1"/>
  <c r="N847" i="328" s="1"/>
  <c r="P847" i="328" s="1"/>
  <c r="L847" i="328"/>
  <c r="E847" i="328"/>
  <c r="O846" i="328" a="1"/>
  <c r="O846" i="328" s="1"/>
  <c r="S846" i="328" s="1"/>
  <c r="N846" i="328" a="1"/>
  <c r="N846" i="328" s="1"/>
  <c r="P846" i="328" s="1"/>
  <c r="L846" i="328"/>
  <c r="E846" i="328"/>
  <c r="O845" i="328" a="1"/>
  <c r="O845" i="328" s="1"/>
  <c r="S845" i="328" s="1"/>
  <c r="N845" i="328" a="1"/>
  <c r="N845" i="328" s="1"/>
  <c r="P845" i="328" s="1"/>
  <c r="L845" i="328"/>
  <c r="E845" i="328"/>
  <c r="O844" i="328" a="1"/>
  <c r="O844" i="328" s="1"/>
  <c r="S844" i="328" s="1"/>
  <c r="N844" i="328" a="1"/>
  <c r="N844" i="328" s="1"/>
  <c r="P844" i="328" s="1"/>
  <c r="L844" i="328"/>
  <c r="E844" i="328"/>
  <c r="O843" i="328" a="1"/>
  <c r="O843" i="328" s="1"/>
  <c r="S843" i="328" s="1"/>
  <c r="N843" i="328" a="1"/>
  <c r="N843" i="328" s="1"/>
  <c r="P843" i="328" s="1"/>
  <c r="L843" i="328"/>
  <c r="E843" i="328"/>
  <c r="O842" i="328" a="1"/>
  <c r="O842" i="328" s="1"/>
  <c r="S842" i="328" s="1"/>
  <c r="N842" i="328" a="1"/>
  <c r="N842" i="328" s="1"/>
  <c r="P842" i="328" s="1"/>
  <c r="L842" i="328"/>
  <c r="E842" i="328"/>
  <c r="O841" i="328" a="1"/>
  <c r="O841" i="328" s="1"/>
  <c r="S841" i="328" s="1"/>
  <c r="N841" i="328" a="1"/>
  <c r="N841" i="328" s="1"/>
  <c r="P841" i="328" s="1"/>
  <c r="L841" i="328"/>
  <c r="E841" i="328"/>
  <c r="O840" i="328" a="1"/>
  <c r="O840" i="328" s="1"/>
  <c r="S840" i="328" s="1"/>
  <c r="N840" i="328" a="1"/>
  <c r="N840" i="328" s="1"/>
  <c r="P840" i="328" s="1"/>
  <c r="L840" i="328"/>
  <c r="E840" i="328"/>
  <c r="O839" i="328" a="1"/>
  <c r="O839" i="328" s="1"/>
  <c r="S839" i="328" s="1"/>
  <c r="N839" i="328" a="1"/>
  <c r="N839" i="328" s="1"/>
  <c r="P839" i="328" s="1"/>
  <c r="L839" i="328"/>
  <c r="E839" i="328"/>
  <c r="O838" i="328" a="1"/>
  <c r="O838" i="328" s="1"/>
  <c r="S838" i="328" s="1"/>
  <c r="N838" i="328" a="1"/>
  <c r="N838" i="328" s="1"/>
  <c r="P838" i="328" s="1"/>
  <c r="L838" i="328"/>
  <c r="E838" i="328"/>
  <c r="O837" i="328" a="1"/>
  <c r="O837" i="328" s="1"/>
  <c r="S837" i="328" s="1"/>
  <c r="N837" i="328" a="1"/>
  <c r="N837" i="328" s="1"/>
  <c r="P837" i="328" s="1"/>
  <c r="L837" i="328"/>
  <c r="E837" i="328"/>
  <c r="O836" i="328" a="1"/>
  <c r="O836" i="328" s="1"/>
  <c r="S836" i="328" s="1"/>
  <c r="N836" i="328" a="1"/>
  <c r="N836" i="328" s="1"/>
  <c r="P836" i="328" s="1"/>
  <c r="L836" i="328"/>
  <c r="E836" i="328"/>
  <c r="O835" i="328" a="1"/>
  <c r="O835" i="328" s="1"/>
  <c r="S835" i="328" s="1"/>
  <c r="N835" i="328" a="1"/>
  <c r="N835" i="328" s="1"/>
  <c r="P835" i="328" s="1"/>
  <c r="L835" i="328"/>
  <c r="E835" i="328"/>
  <c r="O834" i="328" a="1"/>
  <c r="O834" i="328" s="1"/>
  <c r="S834" i="328" s="1"/>
  <c r="N834" i="328" a="1"/>
  <c r="N834" i="328" s="1"/>
  <c r="P834" i="328" s="1"/>
  <c r="L834" i="328"/>
  <c r="E834" i="328"/>
  <c r="O833" i="328" a="1"/>
  <c r="O833" i="328" s="1"/>
  <c r="S833" i="328" s="1"/>
  <c r="N833" i="328" a="1"/>
  <c r="N833" i="328" s="1"/>
  <c r="P833" i="328" s="1"/>
  <c r="L833" i="328"/>
  <c r="E833" i="328"/>
  <c r="O832" i="328" a="1"/>
  <c r="O832" i="328" s="1"/>
  <c r="S832" i="328" s="1"/>
  <c r="N832" i="328" a="1"/>
  <c r="N832" i="328" s="1"/>
  <c r="P832" i="328" s="1"/>
  <c r="L832" i="328"/>
  <c r="E832" i="328"/>
  <c r="O831" i="328" a="1"/>
  <c r="O831" i="328" s="1"/>
  <c r="S831" i="328" s="1"/>
  <c r="N831" i="328" a="1"/>
  <c r="N831" i="328" s="1"/>
  <c r="P831" i="328" s="1"/>
  <c r="L831" i="328"/>
  <c r="E831" i="328"/>
  <c r="O830" i="328" a="1"/>
  <c r="O830" i="328" s="1"/>
  <c r="S830" i="328" s="1"/>
  <c r="N830" i="328" a="1"/>
  <c r="N830" i="328" s="1"/>
  <c r="P830" i="328" s="1"/>
  <c r="L830" i="328"/>
  <c r="E830" i="328"/>
  <c r="O829" i="328" a="1"/>
  <c r="O829" i="328" s="1"/>
  <c r="S829" i="328" s="1"/>
  <c r="N829" i="328" a="1"/>
  <c r="N829" i="328" s="1"/>
  <c r="P829" i="328" s="1"/>
  <c r="L829" i="328"/>
  <c r="E829" i="328"/>
  <c r="O828" i="328" a="1"/>
  <c r="O828" i="328" s="1"/>
  <c r="S828" i="328" s="1"/>
  <c r="N828" i="328" a="1"/>
  <c r="N828" i="328" s="1"/>
  <c r="P828" i="328" s="1"/>
  <c r="L828" i="328"/>
  <c r="E828" i="328"/>
  <c r="O827" i="328" a="1"/>
  <c r="O827" i="328" s="1"/>
  <c r="S827" i="328" s="1"/>
  <c r="N827" i="328" a="1"/>
  <c r="N827" i="328" s="1"/>
  <c r="P827" i="328" s="1"/>
  <c r="L827" i="328"/>
  <c r="E827" i="328"/>
  <c r="O826" i="328" a="1"/>
  <c r="O826" i="328" s="1"/>
  <c r="S826" i="328" s="1"/>
  <c r="N826" i="328" a="1"/>
  <c r="N826" i="328" s="1"/>
  <c r="P826" i="328" s="1"/>
  <c r="L826" i="328"/>
  <c r="E826" i="328"/>
  <c r="E824" i="328"/>
  <c r="T816" i="328"/>
  <c r="I850" i="328" s="1"/>
  <c r="O806" i="328" a="1"/>
  <c r="O806" i="328" s="1"/>
  <c r="S806" i="328" s="1"/>
  <c r="N806" i="328" a="1"/>
  <c r="N806" i="328" s="1"/>
  <c r="P806" i="328" s="1"/>
  <c r="L806" i="328"/>
  <c r="O805" i="328" a="1"/>
  <c r="O805" i="328"/>
  <c r="S805" i="328" s="1"/>
  <c r="N805" i="328" a="1"/>
  <c r="N805" i="328"/>
  <c r="P805" i="328" s="1"/>
  <c r="L805" i="328"/>
  <c r="O804" i="328" a="1"/>
  <c r="O804" i="328"/>
  <c r="S804" i="328" s="1"/>
  <c r="N804" i="328" a="1"/>
  <c r="N804" i="328" s="1"/>
  <c r="P804" i="328" s="1"/>
  <c r="L804" i="328"/>
  <c r="I804" i="328"/>
  <c r="I805" i="328" s="1"/>
  <c r="O803" i="328" a="1"/>
  <c r="O803" i="328" s="1"/>
  <c r="S803" i="328" s="1"/>
  <c r="N803" i="328" a="1"/>
  <c r="N803" i="328" s="1"/>
  <c r="P803" i="328" s="1"/>
  <c r="L803" i="328"/>
  <c r="O802" i="328" a="1"/>
  <c r="O802" i="328" s="1"/>
  <c r="S802" i="328" s="1"/>
  <c r="N802" i="328" a="1"/>
  <c r="N802" i="328" s="1"/>
  <c r="P802" i="328"/>
  <c r="L802" i="328"/>
  <c r="O801" i="328" a="1"/>
  <c r="O801" i="328" s="1"/>
  <c r="S801" i="328" s="1"/>
  <c r="N801" i="328" a="1"/>
  <c r="N801" i="328" s="1"/>
  <c r="P801" i="328" s="1"/>
  <c r="L801" i="328"/>
  <c r="E801" i="328"/>
  <c r="O800" i="328" a="1"/>
  <c r="O800" i="328" s="1"/>
  <c r="S800" i="328" s="1"/>
  <c r="N800" i="328" a="1"/>
  <c r="N800" i="328" s="1"/>
  <c r="P800" i="328" s="1"/>
  <c r="L800" i="328"/>
  <c r="E800" i="328"/>
  <c r="O799" i="328" a="1"/>
  <c r="O799" i="328" s="1"/>
  <c r="S799" i="328" s="1"/>
  <c r="N799" i="328" a="1"/>
  <c r="N799" i="328" s="1"/>
  <c r="P799" i="328" s="1"/>
  <c r="L799" i="328"/>
  <c r="E799" i="328"/>
  <c r="O798" i="328" a="1"/>
  <c r="O798" i="328" s="1"/>
  <c r="S798" i="328" s="1"/>
  <c r="N798" i="328" a="1"/>
  <c r="N798" i="328" s="1"/>
  <c r="P798" i="328" s="1"/>
  <c r="L798" i="328"/>
  <c r="E798" i="328"/>
  <c r="O797" i="328" a="1"/>
  <c r="O797" i="328" s="1"/>
  <c r="S797" i="328" s="1"/>
  <c r="N797" i="328" a="1"/>
  <c r="N797" i="328" s="1"/>
  <c r="P797" i="328" s="1"/>
  <c r="L797" i="328"/>
  <c r="E797" i="328"/>
  <c r="O796" i="328" a="1"/>
  <c r="O796" i="328" s="1"/>
  <c r="S796" i="328" s="1"/>
  <c r="N796" i="328" a="1"/>
  <c r="N796" i="328" s="1"/>
  <c r="P796" i="328" s="1"/>
  <c r="L796" i="328"/>
  <c r="E796" i="328"/>
  <c r="O795" i="328" a="1"/>
  <c r="O795" i="328" s="1"/>
  <c r="S795" i="328" s="1"/>
  <c r="N795" i="328" a="1"/>
  <c r="N795" i="328" s="1"/>
  <c r="P795" i="328" s="1"/>
  <c r="L795" i="328"/>
  <c r="E795" i="328"/>
  <c r="O794" i="328" a="1"/>
  <c r="O794" i="328" s="1"/>
  <c r="S794" i="328" s="1"/>
  <c r="N794" i="328" a="1"/>
  <c r="N794" i="328" s="1"/>
  <c r="P794" i="328" s="1"/>
  <c r="L794" i="328"/>
  <c r="E794" i="328"/>
  <c r="O793" i="328" a="1"/>
  <c r="O793" i="328" s="1"/>
  <c r="S793" i="328" s="1"/>
  <c r="N793" i="328" a="1"/>
  <c r="N793" i="328" s="1"/>
  <c r="P793" i="328" s="1"/>
  <c r="L793" i="328"/>
  <c r="E793" i="328"/>
  <c r="O792" i="328" a="1"/>
  <c r="O792" i="328" s="1"/>
  <c r="S792" i="328" s="1"/>
  <c r="N792" i="328" a="1"/>
  <c r="N792" i="328" s="1"/>
  <c r="P792" i="328" s="1"/>
  <c r="L792" i="328"/>
  <c r="E792" i="328"/>
  <c r="O791" i="328" a="1"/>
  <c r="O791" i="328" s="1"/>
  <c r="S791" i="328" s="1"/>
  <c r="N791" i="328" a="1"/>
  <c r="N791" i="328" s="1"/>
  <c r="P791" i="328" s="1"/>
  <c r="L791" i="328"/>
  <c r="E791" i="328"/>
  <c r="O790" i="328" a="1"/>
  <c r="O790" i="328" s="1"/>
  <c r="S790" i="328" s="1"/>
  <c r="N790" i="328" a="1"/>
  <c r="N790" i="328" s="1"/>
  <c r="P790" i="328" s="1"/>
  <c r="L790" i="328"/>
  <c r="E790" i="328"/>
  <c r="O789" i="328" a="1"/>
  <c r="O789" i="328" s="1"/>
  <c r="S789" i="328" s="1"/>
  <c r="N789" i="328" a="1"/>
  <c r="N789" i="328" s="1"/>
  <c r="P789" i="328" s="1"/>
  <c r="L789" i="328"/>
  <c r="E789" i="328"/>
  <c r="O788" i="328" a="1"/>
  <c r="O788" i="328" s="1"/>
  <c r="S788" i="328" s="1"/>
  <c r="N788" i="328" a="1"/>
  <c r="N788" i="328" s="1"/>
  <c r="P788" i="328" s="1"/>
  <c r="L788" i="328"/>
  <c r="E788" i="328"/>
  <c r="O787" i="328" a="1"/>
  <c r="O787" i="328" s="1"/>
  <c r="S787" i="328" s="1"/>
  <c r="N787" i="328" a="1"/>
  <c r="N787" i="328" s="1"/>
  <c r="P787" i="328" s="1"/>
  <c r="L787" i="328"/>
  <c r="E787" i="328"/>
  <c r="O786" i="328" a="1"/>
  <c r="O786" i="328" s="1"/>
  <c r="S786" i="328" s="1"/>
  <c r="N786" i="328" a="1"/>
  <c r="N786" i="328" s="1"/>
  <c r="P786" i="328" s="1"/>
  <c r="L786" i="328"/>
  <c r="E786" i="328"/>
  <c r="O785" i="328" a="1"/>
  <c r="O785" i="328" s="1"/>
  <c r="S785" i="328" s="1"/>
  <c r="N785" i="328" a="1"/>
  <c r="N785" i="328" s="1"/>
  <c r="P785" i="328" s="1"/>
  <c r="L785" i="328"/>
  <c r="E785" i="328"/>
  <c r="O784" i="328" a="1"/>
  <c r="O784" i="328" s="1"/>
  <c r="S784" i="328" s="1"/>
  <c r="N784" i="328" a="1"/>
  <c r="N784" i="328" s="1"/>
  <c r="P784" i="328" s="1"/>
  <c r="L784" i="328"/>
  <c r="E784" i="328"/>
  <c r="O783" i="328" a="1"/>
  <c r="O783" i="328" s="1"/>
  <c r="S783" i="328" s="1"/>
  <c r="N783" i="328" a="1"/>
  <c r="N783" i="328" s="1"/>
  <c r="P783" i="328" s="1"/>
  <c r="L783" i="328"/>
  <c r="E783" i="328"/>
  <c r="O782" i="328" a="1"/>
  <c r="O782" i="328" s="1"/>
  <c r="S782" i="328" s="1"/>
  <c r="N782" i="328" a="1"/>
  <c r="N782" i="328" s="1"/>
  <c r="P782" i="328" s="1"/>
  <c r="L782" i="328"/>
  <c r="E782" i="328"/>
  <c r="O781" i="328" a="1"/>
  <c r="O781" i="328" s="1"/>
  <c r="S781" i="328" s="1"/>
  <c r="N781" i="328" a="1"/>
  <c r="N781" i="328" s="1"/>
  <c r="P781" i="328" s="1"/>
  <c r="L781" i="328"/>
  <c r="E781" i="328"/>
  <c r="O780" i="328" a="1"/>
  <c r="O780" i="328" s="1"/>
  <c r="S780" i="328" s="1"/>
  <c r="N780" i="328" a="1"/>
  <c r="N780" i="328" s="1"/>
  <c r="P780" i="328" s="1"/>
  <c r="L780" i="328"/>
  <c r="E780" i="328"/>
  <c r="O779" i="328" a="1"/>
  <c r="O779" i="328" s="1"/>
  <c r="S779" i="328" s="1"/>
  <c r="N779" i="328" a="1"/>
  <c r="N779" i="328" s="1"/>
  <c r="P779" i="328" s="1"/>
  <c r="L779" i="328"/>
  <c r="E779" i="328"/>
  <c r="E777" i="328"/>
  <c r="T769" i="328"/>
  <c r="I803" i="328"/>
  <c r="O759" i="328" a="1"/>
  <c r="O759" i="328"/>
  <c r="S759" i="328" s="1"/>
  <c r="N759" i="328" a="1"/>
  <c r="N759" i="328"/>
  <c r="P759" i="328" s="1"/>
  <c r="L759" i="328"/>
  <c r="O758" i="328" a="1"/>
  <c r="O758" i="328" s="1"/>
  <c r="S758" i="328" s="1"/>
  <c r="N758" i="328" a="1"/>
  <c r="N758" i="328" s="1"/>
  <c r="P758" i="328" s="1"/>
  <c r="L758" i="328"/>
  <c r="O757" i="328" a="1"/>
  <c r="O757" i="328" s="1"/>
  <c r="S757" i="328" s="1"/>
  <c r="N757" i="328" a="1"/>
  <c r="N757" i="328" s="1"/>
  <c r="P757" i="328"/>
  <c r="L757" i="328"/>
  <c r="I757" i="328"/>
  <c r="I758" i="328" s="1"/>
  <c r="O756" i="328" a="1"/>
  <c r="O756" i="328"/>
  <c r="S756" i="328" s="1"/>
  <c r="N756" i="328" a="1"/>
  <c r="N756" i="328"/>
  <c r="P756" i="328" s="1"/>
  <c r="L756" i="328"/>
  <c r="O755" i="328" a="1"/>
  <c r="O755" i="328"/>
  <c r="S755" i="328" s="1"/>
  <c r="N755" i="328" a="1"/>
  <c r="N755" i="328" s="1"/>
  <c r="P755" i="328" s="1"/>
  <c r="P760" i="328" s="1"/>
  <c r="L755" i="328"/>
  <c r="O754" i="328" a="1"/>
  <c r="O754" i="328" s="1"/>
  <c r="S754" i="328" s="1"/>
  <c r="N754" i="328" a="1"/>
  <c r="N754" i="328" s="1"/>
  <c r="P754" i="328" s="1"/>
  <c r="L754" i="328"/>
  <c r="E754" i="328"/>
  <c r="O753" i="328" a="1"/>
  <c r="O753" i="328" s="1"/>
  <c r="S753" i="328" s="1"/>
  <c r="N753" i="328" a="1"/>
  <c r="N753" i="328" s="1"/>
  <c r="P753" i="328" s="1"/>
  <c r="L753" i="328"/>
  <c r="E753" i="328"/>
  <c r="O752" i="328" a="1"/>
  <c r="O752" i="328" s="1"/>
  <c r="S752" i="328" s="1"/>
  <c r="N752" i="328" a="1"/>
  <c r="N752" i="328" s="1"/>
  <c r="P752" i="328" s="1"/>
  <c r="L752" i="328"/>
  <c r="E752" i="328"/>
  <c r="O751" i="328" a="1"/>
  <c r="O751" i="328" s="1"/>
  <c r="S751" i="328" s="1"/>
  <c r="N751" i="328" a="1"/>
  <c r="N751" i="328" s="1"/>
  <c r="P751" i="328" s="1"/>
  <c r="L751" i="328"/>
  <c r="E751" i="328"/>
  <c r="O750" i="328" a="1"/>
  <c r="O750" i="328" s="1"/>
  <c r="S750" i="328" s="1"/>
  <c r="N750" i="328" a="1"/>
  <c r="N750" i="328" s="1"/>
  <c r="P750" i="328" s="1"/>
  <c r="L750" i="328"/>
  <c r="E750" i="328"/>
  <c r="O749" i="328" a="1"/>
  <c r="O749" i="328" s="1"/>
  <c r="S749" i="328" s="1"/>
  <c r="N749" i="328" a="1"/>
  <c r="N749" i="328" s="1"/>
  <c r="P749" i="328" s="1"/>
  <c r="L749" i="328"/>
  <c r="E749" i="328"/>
  <c r="O748" i="328" a="1"/>
  <c r="O748" i="328" s="1"/>
  <c r="S748" i="328" s="1"/>
  <c r="N748" i="328" a="1"/>
  <c r="N748" i="328" s="1"/>
  <c r="P748" i="328" s="1"/>
  <c r="L748" i="328"/>
  <c r="E748" i="328"/>
  <c r="O747" i="328" a="1"/>
  <c r="O747" i="328" s="1"/>
  <c r="S747" i="328" s="1"/>
  <c r="N747" i="328" a="1"/>
  <c r="N747" i="328" s="1"/>
  <c r="P747" i="328" s="1"/>
  <c r="L747" i="328"/>
  <c r="E747" i="328"/>
  <c r="O746" i="328" a="1"/>
  <c r="O746" i="328" s="1"/>
  <c r="S746" i="328" s="1"/>
  <c r="N746" i="328" a="1"/>
  <c r="N746" i="328" s="1"/>
  <c r="P746" i="328" s="1"/>
  <c r="L746" i="328"/>
  <c r="E746" i="328"/>
  <c r="O745" i="328" a="1"/>
  <c r="O745" i="328" s="1"/>
  <c r="S745" i="328" s="1"/>
  <c r="N745" i="328" a="1"/>
  <c r="N745" i="328" s="1"/>
  <c r="P745" i="328" s="1"/>
  <c r="L745" i="328"/>
  <c r="E745" i="328"/>
  <c r="O744" i="328" a="1"/>
  <c r="O744" i="328" s="1"/>
  <c r="S744" i="328" s="1"/>
  <c r="N744" i="328" a="1"/>
  <c r="N744" i="328" s="1"/>
  <c r="P744" i="328" s="1"/>
  <c r="L744" i="328"/>
  <c r="E744" i="328"/>
  <c r="O743" i="328" a="1"/>
  <c r="O743" i="328" s="1"/>
  <c r="S743" i="328" s="1"/>
  <c r="N743" i="328" a="1"/>
  <c r="N743" i="328" s="1"/>
  <c r="P743" i="328" s="1"/>
  <c r="L743" i="328"/>
  <c r="E743" i="328"/>
  <c r="O742" i="328" a="1"/>
  <c r="O742" i="328" s="1"/>
  <c r="S742" i="328" s="1"/>
  <c r="N742" i="328" a="1"/>
  <c r="N742" i="328" s="1"/>
  <c r="P742" i="328" s="1"/>
  <c r="L742" i="328"/>
  <c r="E742" i="328"/>
  <c r="O741" i="328" a="1"/>
  <c r="O741" i="328" s="1"/>
  <c r="S741" i="328" s="1"/>
  <c r="N741" i="328" a="1"/>
  <c r="N741" i="328" s="1"/>
  <c r="P741" i="328" s="1"/>
  <c r="L741" i="328"/>
  <c r="E741" i="328"/>
  <c r="O740" i="328" a="1"/>
  <c r="O740" i="328" s="1"/>
  <c r="S740" i="328" s="1"/>
  <c r="N740" i="328" a="1"/>
  <c r="N740" i="328" s="1"/>
  <c r="P740" i="328" s="1"/>
  <c r="L740" i="328"/>
  <c r="E740" i="328"/>
  <c r="O739" i="328" a="1"/>
  <c r="O739" i="328" s="1"/>
  <c r="S739" i="328" s="1"/>
  <c r="N739" i="328" a="1"/>
  <c r="N739" i="328" s="1"/>
  <c r="P739" i="328" s="1"/>
  <c r="L739" i="328"/>
  <c r="E739" i="328"/>
  <c r="O738" i="328" a="1"/>
  <c r="O738" i="328" s="1"/>
  <c r="S738" i="328" s="1"/>
  <c r="N738" i="328" a="1"/>
  <c r="N738" i="328" s="1"/>
  <c r="P738" i="328" s="1"/>
  <c r="L738" i="328"/>
  <c r="E738" i="328"/>
  <c r="O737" i="328" a="1"/>
  <c r="O737" i="328" s="1"/>
  <c r="S737" i="328" s="1"/>
  <c r="N737" i="328" a="1"/>
  <c r="N737" i="328" s="1"/>
  <c r="P737" i="328" s="1"/>
  <c r="L737" i="328"/>
  <c r="E737" i="328"/>
  <c r="O736" i="328" a="1"/>
  <c r="O736" i="328" s="1"/>
  <c r="S736" i="328" s="1"/>
  <c r="N736" i="328" a="1"/>
  <c r="N736" i="328" s="1"/>
  <c r="P736" i="328" s="1"/>
  <c r="L736" i="328"/>
  <c r="E736" i="328"/>
  <c r="O735" i="328" a="1"/>
  <c r="O735" i="328" s="1"/>
  <c r="S735" i="328" s="1"/>
  <c r="N735" i="328" a="1"/>
  <c r="N735" i="328" s="1"/>
  <c r="P735" i="328" s="1"/>
  <c r="L735" i="328"/>
  <c r="E735" i="328"/>
  <c r="O734" i="328" a="1"/>
  <c r="O734" i="328" s="1"/>
  <c r="S734" i="328" s="1"/>
  <c r="N734" i="328" a="1"/>
  <c r="N734" i="328" s="1"/>
  <c r="P734" i="328" s="1"/>
  <c r="L734" i="328"/>
  <c r="E734" i="328"/>
  <c r="O733" i="328" a="1"/>
  <c r="O733" i="328" s="1"/>
  <c r="S733" i="328" s="1"/>
  <c r="N733" i="328" a="1"/>
  <c r="N733" i="328" s="1"/>
  <c r="P733" i="328" s="1"/>
  <c r="L733" i="328"/>
  <c r="E733" i="328"/>
  <c r="O732" i="328" a="1"/>
  <c r="O732" i="328" s="1"/>
  <c r="S732" i="328" s="1"/>
  <c r="N732" i="328" a="1"/>
  <c r="N732" i="328" s="1"/>
  <c r="P732" i="328" s="1"/>
  <c r="L732" i="328"/>
  <c r="E732" i="328"/>
  <c r="E730" i="328"/>
  <c r="T722" i="328"/>
  <c r="I756" i="328" s="1"/>
  <c r="O712" i="328" a="1"/>
  <c r="O712" i="328" s="1"/>
  <c r="S712" i="328" s="1"/>
  <c r="N712" i="328" a="1"/>
  <c r="N712" i="328" s="1"/>
  <c r="P712" i="328" s="1"/>
  <c r="L712" i="328"/>
  <c r="O711" i="328" a="1"/>
  <c r="O711" i="328"/>
  <c r="S711" i="328" s="1"/>
  <c r="N711" i="328" a="1"/>
  <c r="N711" i="328"/>
  <c r="P711" i="328" s="1"/>
  <c r="L711" i="328"/>
  <c r="O710" i="328" a="1"/>
  <c r="O710" i="328"/>
  <c r="S710" i="328" s="1"/>
  <c r="N710" i="328" a="1"/>
  <c r="N710" i="328" s="1"/>
  <c r="P710" i="328" s="1"/>
  <c r="L710" i="328"/>
  <c r="I710" i="328"/>
  <c r="I711" i="328" s="1"/>
  <c r="O709" i="328" a="1"/>
  <c r="O709" i="328" s="1"/>
  <c r="S709" i="328" s="1"/>
  <c r="N709" i="328" a="1"/>
  <c r="N709" i="328" s="1"/>
  <c r="P709" i="328" s="1"/>
  <c r="P713" i="328" s="1"/>
  <c r="L709" i="328"/>
  <c r="O708" i="328" a="1"/>
  <c r="O708" i="328" s="1"/>
  <c r="S708" i="328" s="1"/>
  <c r="S713" i="328" s="1"/>
  <c r="N708" i="328" a="1"/>
  <c r="N708" i="328" s="1"/>
  <c r="P708" i="328"/>
  <c r="L708" i="328"/>
  <c r="O707" i="328" a="1"/>
  <c r="O707" i="328" s="1"/>
  <c r="S707" i="328" s="1"/>
  <c r="N707" i="328" a="1"/>
  <c r="N707" i="328" s="1"/>
  <c r="P707" i="328" s="1"/>
  <c r="L707" i="328"/>
  <c r="E707" i="328"/>
  <c r="O706" i="328" a="1"/>
  <c r="O706" i="328" s="1"/>
  <c r="S706" i="328" s="1"/>
  <c r="N706" i="328" a="1"/>
  <c r="N706" i="328" s="1"/>
  <c r="P706" i="328" s="1"/>
  <c r="L706" i="328"/>
  <c r="E706" i="328"/>
  <c r="O705" i="328" a="1"/>
  <c r="O705" i="328" s="1"/>
  <c r="S705" i="328" s="1"/>
  <c r="N705" i="328" a="1"/>
  <c r="N705" i="328" s="1"/>
  <c r="P705" i="328" s="1"/>
  <c r="L705" i="328"/>
  <c r="E705" i="328"/>
  <c r="O704" i="328" a="1"/>
  <c r="O704" i="328" s="1"/>
  <c r="S704" i="328" s="1"/>
  <c r="N704" i="328" a="1"/>
  <c r="N704" i="328" s="1"/>
  <c r="P704" i="328" s="1"/>
  <c r="L704" i="328"/>
  <c r="E704" i="328"/>
  <c r="O703" i="328" a="1"/>
  <c r="O703" i="328" s="1"/>
  <c r="S703" i="328" s="1"/>
  <c r="N703" i="328" a="1"/>
  <c r="N703" i="328" s="1"/>
  <c r="P703" i="328" s="1"/>
  <c r="L703" i="328"/>
  <c r="E703" i="328"/>
  <c r="O702" i="328" a="1"/>
  <c r="O702" i="328" s="1"/>
  <c r="S702" i="328" s="1"/>
  <c r="N702" i="328" a="1"/>
  <c r="N702" i="328" s="1"/>
  <c r="P702" i="328" s="1"/>
  <c r="L702" i="328"/>
  <c r="E702" i="328"/>
  <c r="O701" i="328" a="1"/>
  <c r="O701" i="328" s="1"/>
  <c r="S701" i="328" s="1"/>
  <c r="N701" i="328" a="1"/>
  <c r="N701" i="328" s="1"/>
  <c r="P701" i="328" s="1"/>
  <c r="L701" i="328"/>
  <c r="E701" i="328"/>
  <c r="O700" i="328" a="1"/>
  <c r="O700" i="328" s="1"/>
  <c r="S700" i="328" s="1"/>
  <c r="N700" i="328" a="1"/>
  <c r="N700" i="328" s="1"/>
  <c r="P700" i="328" s="1"/>
  <c r="L700" i="328"/>
  <c r="E700" i="328"/>
  <c r="O699" i="328" a="1"/>
  <c r="O699" i="328" s="1"/>
  <c r="S699" i="328" s="1"/>
  <c r="N699" i="328" a="1"/>
  <c r="N699" i="328" s="1"/>
  <c r="P699" i="328" s="1"/>
  <c r="L699" i="328"/>
  <c r="E699" i="328"/>
  <c r="O698" i="328" a="1"/>
  <c r="O698" i="328" s="1"/>
  <c r="S698" i="328" s="1"/>
  <c r="N698" i="328" a="1"/>
  <c r="N698" i="328" s="1"/>
  <c r="P698" i="328" s="1"/>
  <c r="L698" i="328"/>
  <c r="E698" i="328"/>
  <c r="O697" i="328" a="1"/>
  <c r="O697" i="328" s="1"/>
  <c r="S697" i="328" s="1"/>
  <c r="N697" i="328" a="1"/>
  <c r="N697" i="328" s="1"/>
  <c r="P697" i="328" s="1"/>
  <c r="L697" i="328"/>
  <c r="E697" i="328"/>
  <c r="O696" i="328" a="1"/>
  <c r="O696" i="328" s="1"/>
  <c r="S696" i="328" s="1"/>
  <c r="N696" i="328" a="1"/>
  <c r="N696" i="328" s="1"/>
  <c r="P696" i="328" s="1"/>
  <c r="L696" i="328"/>
  <c r="E696" i="328"/>
  <c r="O695" i="328" a="1"/>
  <c r="O695" i="328" s="1"/>
  <c r="S695" i="328" s="1"/>
  <c r="N695" i="328" a="1"/>
  <c r="N695" i="328" s="1"/>
  <c r="P695" i="328" s="1"/>
  <c r="L695" i="328"/>
  <c r="E695" i="328"/>
  <c r="O694" i="328" a="1"/>
  <c r="O694" i="328" s="1"/>
  <c r="S694" i="328" s="1"/>
  <c r="N694" i="328" a="1"/>
  <c r="N694" i="328" s="1"/>
  <c r="P694" i="328" s="1"/>
  <c r="L694" i="328"/>
  <c r="E694" i="328"/>
  <c r="O693" i="328" a="1"/>
  <c r="O693" i="328" s="1"/>
  <c r="S693" i="328" s="1"/>
  <c r="N693" i="328" a="1"/>
  <c r="N693" i="328" s="1"/>
  <c r="P693" i="328" s="1"/>
  <c r="L693" i="328"/>
  <c r="E693" i="328"/>
  <c r="O692" i="328" a="1"/>
  <c r="O692" i="328" s="1"/>
  <c r="S692" i="328" s="1"/>
  <c r="N692" i="328" a="1"/>
  <c r="N692" i="328" s="1"/>
  <c r="P692" i="328" s="1"/>
  <c r="L692" i="328"/>
  <c r="E692" i="328"/>
  <c r="O691" i="328" a="1"/>
  <c r="O691" i="328" s="1"/>
  <c r="S691" i="328" s="1"/>
  <c r="N691" i="328" a="1"/>
  <c r="N691" i="328" s="1"/>
  <c r="P691" i="328" s="1"/>
  <c r="L691" i="328"/>
  <c r="E691" i="328"/>
  <c r="O690" i="328" a="1"/>
  <c r="O690" i="328" s="1"/>
  <c r="S690" i="328" s="1"/>
  <c r="N690" i="328" a="1"/>
  <c r="N690" i="328" s="1"/>
  <c r="P690" i="328" s="1"/>
  <c r="L690" i="328"/>
  <c r="E690" i="328"/>
  <c r="O689" i="328" a="1"/>
  <c r="O689" i="328" s="1"/>
  <c r="S689" i="328" s="1"/>
  <c r="N689" i="328" a="1"/>
  <c r="N689" i="328" s="1"/>
  <c r="P689" i="328" s="1"/>
  <c r="L689" i="328"/>
  <c r="E689" i="328"/>
  <c r="O688" i="328" a="1"/>
  <c r="O688" i="328" s="1"/>
  <c r="S688" i="328" s="1"/>
  <c r="N688" i="328" a="1"/>
  <c r="N688" i="328" s="1"/>
  <c r="P688" i="328" s="1"/>
  <c r="L688" i="328"/>
  <c r="E688" i="328"/>
  <c r="O687" i="328" a="1"/>
  <c r="O687" i="328" s="1"/>
  <c r="S687" i="328" s="1"/>
  <c r="N687" i="328" a="1"/>
  <c r="N687" i="328" s="1"/>
  <c r="P687" i="328" s="1"/>
  <c r="L687" i="328"/>
  <c r="E687" i="328"/>
  <c r="O686" i="328" a="1"/>
  <c r="O686" i="328" s="1"/>
  <c r="S686" i="328" s="1"/>
  <c r="N686" i="328" a="1"/>
  <c r="N686" i="328" s="1"/>
  <c r="P686" i="328" s="1"/>
  <c r="L686" i="328"/>
  <c r="E686" i="328"/>
  <c r="O685" i="328" a="1"/>
  <c r="O685" i="328" s="1"/>
  <c r="S685" i="328" s="1"/>
  <c r="N685" i="328" a="1"/>
  <c r="N685" i="328" s="1"/>
  <c r="P685" i="328" s="1"/>
  <c r="L685" i="328"/>
  <c r="E685" i="328"/>
  <c r="E683" i="328"/>
  <c r="T675" i="328"/>
  <c r="I709" i="328"/>
  <c r="O665" i="328" a="1"/>
  <c r="O665" i="328"/>
  <c r="S665" i="328" s="1"/>
  <c r="N665" i="328" a="1"/>
  <c r="N665" i="328"/>
  <c r="P665" i="328" s="1"/>
  <c r="L665" i="328"/>
  <c r="O664" i="328" a="1"/>
  <c r="O664" i="328" s="1"/>
  <c r="S664" i="328" s="1"/>
  <c r="N664" i="328" a="1"/>
  <c r="N664" i="328" s="1"/>
  <c r="P664" i="328" s="1"/>
  <c r="L664" i="328"/>
  <c r="O663" i="328" a="1"/>
  <c r="O663" i="328" s="1"/>
  <c r="S663" i="328" s="1"/>
  <c r="N663" i="328" a="1"/>
  <c r="N663" i="328" s="1"/>
  <c r="P663" i="328"/>
  <c r="L663" i="328"/>
  <c r="I663" i="328"/>
  <c r="I664" i="328" s="1"/>
  <c r="O662" i="328" a="1"/>
  <c r="O662" i="328"/>
  <c r="S662" i="328" s="1"/>
  <c r="N662" i="328" a="1"/>
  <c r="N662" i="328"/>
  <c r="P662" i="328" s="1"/>
  <c r="L662" i="328"/>
  <c r="O661" i="328" a="1"/>
  <c r="O661" i="328"/>
  <c r="S661" i="328" s="1"/>
  <c r="S666" i="328" s="1"/>
  <c r="N661" i="328" a="1"/>
  <c r="N661" i="328" s="1"/>
  <c r="P661" i="328" s="1"/>
  <c r="P666" i="328" s="1"/>
  <c r="L661" i="328"/>
  <c r="O660" i="328" a="1"/>
  <c r="O660" i="328" s="1"/>
  <c r="S660" i="328" s="1"/>
  <c r="N660" i="328" a="1"/>
  <c r="N660" i="328" s="1"/>
  <c r="P660" i="328" s="1"/>
  <c r="L660" i="328"/>
  <c r="E660" i="328"/>
  <c r="O659" i="328" a="1"/>
  <c r="O659" i="328" s="1"/>
  <c r="S659" i="328" s="1"/>
  <c r="N659" i="328" a="1"/>
  <c r="N659" i="328" s="1"/>
  <c r="P659" i="328" s="1"/>
  <c r="L659" i="328"/>
  <c r="E659" i="328"/>
  <c r="O658" i="328" a="1"/>
  <c r="O658" i="328" s="1"/>
  <c r="S658" i="328" s="1"/>
  <c r="N658" i="328" a="1"/>
  <c r="N658" i="328" s="1"/>
  <c r="P658" i="328" s="1"/>
  <c r="L658" i="328"/>
  <c r="E658" i="328"/>
  <c r="O657" i="328" a="1"/>
  <c r="O657" i="328" s="1"/>
  <c r="S657" i="328" s="1"/>
  <c r="N657" i="328" a="1"/>
  <c r="N657" i="328" s="1"/>
  <c r="P657" i="328" s="1"/>
  <c r="L657" i="328"/>
  <c r="E657" i="328"/>
  <c r="O656" i="328" a="1"/>
  <c r="O656" i="328" s="1"/>
  <c r="S656" i="328" s="1"/>
  <c r="N656" i="328" a="1"/>
  <c r="N656" i="328" s="1"/>
  <c r="P656" i="328" s="1"/>
  <c r="L656" i="328"/>
  <c r="E656" i="328"/>
  <c r="O655" i="328" a="1"/>
  <c r="O655" i="328" s="1"/>
  <c r="S655" i="328" s="1"/>
  <c r="N655" i="328" a="1"/>
  <c r="N655" i="328" s="1"/>
  <c r="P655" i="328" s="1"/>
  <c r="L655" i="328"/>
  <c r="E655" i="328"/>
  <c r="O654" i="328" a="1"/>
  <c r="O654" i="328" s="1"/>
  <c r="S654" i="328" s="1"/>
  <c r="N654" i="328" a="1"/>
  <c r="N654" i="328" s="1"/>
  <c r="P654" i="328" s="1"/>
  <c r="L654" i="328"/>
  <c r="E654" i="328"/>
  <c r="O653" i="328" a="1"/>
  <c r="O653" i="328" s="1"/>
  <c r="S653" i="328" s="1"/>
  <c r="N653" i="328" a="1"/>
  <c r="N653" i="328" s="1"/>
  <c r="P653" i="328" s="1"/>
  <c r="L653" i="328"/>
  <c r="E653" i="328"/>
  <c r="O652" i="328" a="1"/>
  <c r="O652" i="328" s="1"/>
  <c r="S652" i="328" s="1"/>
  <c r="N652" i="328" a="1"/>
  <c r="N652" i="328" s="1"/>
  <c r="P652" i="328" s="1"/>
  <c r="L652" i="328"/>
  <c r="E652" i="328"/>
  <c r="O651" i="328" a="1"/>
  <c r="O651" i="328" s="1"/>
  <c r="S651" i="328" s="1"/>
  <c r="N651" i="328" a="1"/>
  <c r="N651" i="328" s="1"/>
  <c r="P651" i="328" s="1"/>
  <c r="L651" i="328"/>
  <c r="E651" i="328"/>
  <c r="O650" i="328" a="1"/>
  <c r="O650" i="328" s="1"/>
  <c r="S650" i="328" s="1"/>
  <c r="N650" i="328" a="1"/>
  <c r="N650" i="328" s="1"/>
  <c r="P650" i="328" s="1"/>
  <c r="L650" i="328"/>
  <c r="E650" i="328"/>
  <c r="O649" i="328" a="1"/>
  <c r="O649" i="328" s="1"/>
  <c r="S649" i="328" s="1"/>
  <c r="N649" i="328" a="1"/>
  <c r="N649" i="328" s="1"/>
  <c r="P649" i="328" s="1"/>
  <c r="L649" i="328"/>
  <c r="E649" i="328"/>
  <c r="O648" i="328" a="1"/>
  <c r="O648" i="328" s="1"/>
  <c r="S648" i="328" s="1"/>
  <c r="N648" i="328" a="1"/>
  <c r="N648" i="328" s="1"/>
  <c r="P648" i="328" s="1"/>
  <c r="L648" i="328"/>
  <c r="E648" i="328"/>
  <c r="O647" i="328" a="1"/>
  <c r="O647" i="328" s="1"/>
  <c r="S647" i="328" s="1"/>
  <c r="N647" i="328" a="1"/>
  <c r="N647" i="328" s="1"/>
  <c r="P647" i="328" s="1"/>
  <c r="L647" i="328"/>
  <c r="E647" i="328"/>
  <c r="O646" i="328" a="1"/>
  <c r="O646" i="328" s="1"/>
  <c r="S646" i="328" s="1"/>
  <c r="N646" i="328" a="1"/>
  <c r="N646" i="328" s="1"/>
  <c r="P646" i="328" s="1"/>
  <c r="L646" i="328"/>
  <c r="E646" i="328"/>
  <c r="O645" i="328" a="1"/>
  <c r="O645" i="328" s="1"/>
  <c r="S645" i="328" s="1"/>
  <c r="N645" i="328" a="1"/>
  <c r="N645" i="328" s="1"/>
  <c r="P645" i="328" s="1"/>
  <c r="L645" i="328"/>
  <c r="E645" i="328"/>
  <c r="O644" i="328" a="1"/>
  <c r="O644" i="328" s="1"/>
  <c r="S644" i="328" s="1"/>
  <c r="N644" i="328" a="1"/>
  <c r="N644" i="328" s="1"/>
  <c r="P644" i="328" s="1"/>
  <c r="L644" i="328"/>
  <c r="E644" i="328"/>
  <c r="O643" i="328" a="1"/>
  <c r="O643" i="328" s="1"/>
  <c r="S643" i="328" s="1"/>
  <c r="N643" i="328" a="1"/>
  <c r="N643" i="328" s="1"/>
  <c r="P643" i="328" s="1"/>
  <c r="L643" i="328"/>
  <c r="E643" i="328"/>
  <c r="O642" i="328" a="1"/>
  <c r="O642" i="328" s="1"/>
  <c r="S642" i="328" s="1"/>
  <c r="N642" i="328" a="1"/>
  <c r="N642" i="328" s="1"/>
  <c r="P642" i="328" s="1"/>
  <c r="L642" i="328"/>
  <c r="E642" i="328"/>
  <c r="O641" i="328" a="1"/>
  <c r="O641" i="328" s="1"/>
  <c r="S641" i="328" s="1"/>
  <c r="N641" i="328" a="1"/>
  <c r="N641" i="328" s="1"/>
  <c r="P641" i="328" s="1"/>
  <c r="L641" i="328"/>
  <c r="E641" i="328"/>
  <c r="O640" i="328" a="1"/>
  <c r="O640" i="328" s="1"/>
  <c r="S640" i="328" s="1"/>
  <c r="N640" i="328" a="1"/>
  <c r="N640" i="328" s="1"/>
  <c r="P640" i="328" s="1"/>
  <c r="L640" i="328"/>
  <c r="E640" i="328"/>
  <c r="O639" i="328" a="1"/>
  <c r="O639" i="328" s="1"/>
  <c r="S639" i="328" s="1"/>
  <c r="N639" i="328" a="1"/>
  <c r="N639" i="328" s="1"/>
  <c r="P639" i="328" s="1"/>
  <c r="L639" i="328"/>
  <c r="E639" i="328"/>
  <c r="O638" i="328" a="1"/>
  <c r="O638" i="328" s="1"/>
  <c r="S638" i="328" s="1"/>
  <c r="N638" i="328" a="1"/>
  <c r="N638" i="328" s="1"/>
  <c r="P638" i="328" s="1"/>
  <c r="L638" i="328"/>
  <c r="E638" i="328"/>
  <c r="E636" i="328"/>
  <c r="T628" i="328"/>
  <c r="I662" i="328" s="1"/>
  <c r="O618" i="328" a="1"/>
  <c r="O618" i="328" s="1"/>
  <c r="S618" i="328" s="1"/>
  <c r="N618" i="328" a="1"/>
  <c r="N618" i="328" s="1"/>
  <c r="P618" i="328" s="1"/>
  <c r="L618" i="328"/>
  <c r="O617" i="328" a="1"/>
  <c r="O617" i="328"/>
  <c r="S617" i="328" s="1"/>
  <c r="N617" i="328" a="1"/>
  <c r="N617" i="328"/>
  <c r="P617" i="328" s="1"/>
  <c r="L617" i="328"/>
  <c r="O616" i="328" a="1"/>
  <c r="O616" i="328"/>
  <c r="S616" i="328" s="1"/>
  <c r="N616" i="328" a="1"/>
  <c r="N616" i="328" s="1"/>
  <c r="P616" i="328" s="1"/>
  <c r="L616" i="328"/>
  <c r="I616" i="328"/>
  <c r="I617" i="328" s="1"/>
  <c r="O615" i="328" a="1"/>
  <c r="O615" i="328" s="1"/>
  <c r="S615" i="328" s="1"/>
  <c r="N615" i="328" a="1"/>
  <c r="N615" i="328" s="1"/>
  <c r="P615" i="328" s="1"/>
  <c r="L615" i="328"/>
  <c r="O614" i="328" a="1"/>
  <c r="O614" i="328" s="1"/>
  <c r="S614" i="328" s="1"/>
  <c r="N614" i="328" a="1"/>
  <c r="N614" i="328" s="1"/>
  <c r="P614" i="328"/>
  <c r="L614" i="328"/>
  <c r="O613" i="328" a="1"/>
  <c r="O613" i="328" s="1"/>
  <c r="S613" i="328" s="1"/>
  <c r="N613" i="328" a="1"/>
  <c r="N613" i="328" s="1"/>
  <c r="P613" i="328" s="1"/>
  <c r="L613" i="328"/>
  <c r="E613" i="328"/>
  <c r="O612" i="328" a="1"/>
  <c r="O612" i="328" s="1"/>
  <c r="S612" i="328" s="1"/>
  <c r="N612" i="328" a="1"/>
  <c r="N612" i="328" s="1"/>
  <c r="P612" i="328" s="1"/>
  <c r="L612" i="328"/>
  <c r="E612" i="328"/>
  <c r="O611" i="328" a="1"/>
  <c r="O611" i="328" s="1"/>
  <c r="S611" i="328" s="1"/>
  <c r="N611" i="328" a="1"/>
  <c r="N611" i="328" s="1"/>
  <c r="P611" i="328" s="1"/>
  <c r="L611" i="328"/>
  <c r="E611" i="328"/>
  <c r="O610" i="328" a="1"/>
  <c r="O610" i="328" s="1"/>
  <c r="S610" i="328" s="1"/>
  <c r="N610" i="328" a="1"/>
  <c r="N610" i="328" s="1"/>
  <c r="P610" i="328" s="1"/>
  <c r="L610" i="328"/>
  <c r="E610" i="328"/>
  <c r="O609" i="328" a="1"/>
  <c r="O609" i="328" s="1"/>
  <c r="S609" i="328" s="1"/>
  <c r="N609" i="328" a="1"/>
  <c r="N609" i="328" s="1"/>
  <c r="P609" i="328" s="1"/>
  <c r="L609" i="328"/>
  <c r="E609" i="328"/>
  <c r="O608" i="328" a="1"/>
  <c r="O608" i="328" s="1"/>
  <c r="S608" i="328" s="1"/>
  <c r="N608" i="328" a="1"/>
  <c r="N608" i="328" s="1"/>
  <c r="P608" i="328" s="1"/>
  <c r="L608" i="328"/>
  <c r="E608" i="328"/>
  <c r="O607" i="328" a="1"/>
  <c r="O607" i="328" s="1"/>
  <c r="S607" i="328" s="1"/>
  <c r="N607" i="328" a="1"/>
  <c r="N607" i="328" s="1"/>
  <c r="P607" i="328" s="1"/>
  <c r="L607" i="328"/>
  <c r="E607" i="328"/>
  <c r="O606" i="328" a="1"/>
  <c r="O606" i="328" s="1"/>
  <c r="S606" i="328" s="1"/>
  <c r="N606" i="328" a="1"/>
  <c r="N606" i="328" s="1"/>
  <c r="P606" i="328" s="1"/>
  <c r="L606" i="328"/>
  <c r="E606" i="328"/>
  <c r="O605" i="328" a="1"/>
  <c r="O605" i="328" s="1"/>
  <c r="S605" i="328" s="1"/>
  <c r="N605" i="328" a="1"/>
  <c r="N605" i="328" s="1"/>
  <c r="P605" i="328" s="1"/>
  <c r="L605" i="328"/>
  <c r="E605" i="328"/>
  <c r="O604" i="328" a="1"/>
  <c r="O604" i="328" s="1"/>
  <c r="S604" i="328" s="1"/>
  <c r="N604" i="328" a="1"/>
  <c r="N604" i="328" s="1"/>
  <c r="P604" i="328" s="1"/>
  <c r="L604" i="328"/>
  <c r="E604" i="328"/>
  <c r="O603" i="328" a="1"/>
  <c r="O603" i="328" s="1"/>
  <c r="S603" i="328" s="1"/>
  <c r="N603" i="328" a="1"/>
  <c r="N603" i="328" s="1"/>
  <c r="P603" i="328" s="1"/>
  <c r="L603" i="328"/>
  <c r="E603" i="328"/>
  <c r="O602" i="328" a="1"/>
  <c r="O602" i="328" s="1"/>
  <c r="S602" i="328" s="1"/>
  <c r="N602" i="328" a="1"/>
  <c r="N602" i="328" s="1"/>
  <c r="P602" i="328" s="1"/>
  <c r="L602" i="328"/>
  <c r="E602" i="328"/>
  <c r="O601" i="328" a="1"/>
  <c r="O601" i="328" s="1"/>
  <c r="S601" i="328" s="1"/>
  <c r="N601" i="328" a="1"/>
  <c r="N601" i="328" s="1"/>
  <c r="P601" i="328" s="1"/>
  <c r="L601" i="328"/>
  <c r="E601" i="328"/>
  <c r="O600" i="328" a="1"/>
  <c r="O600" i="328" s="1"/>
  <c r="S600" i="328" s="1"/>
  <c r="N600" i="328" a="1"/>
  <c r="N600" i="328" s="1"/>
  <c r="P600" i="328" s="1"/>
  <c r="L600" i="328"/>
  <c r="E600" i="328"/>
  <c r="O599" i="328" a="1"/>
  <c r="O599" i="328" s="1"/>
  <c r="S599" i="328" s="1"/>
  <c r="N599" i="328" a="1"/>
  <c r="N599" i="328" s="1"/>
  <c r="P599" i="328" s="1"/>
  <c r="L599" i="328"/>
  <c r="E599" i="328"/>
  <c r="O598" i="328" a="1"/>
  <c r="O598" i="328" s="1"/>
  <c r="S598" i="328" s="1"/>
  <c r="N598" i="328" a="1"/>
  <c r="N598" i="328" s="1"/>
  <c r="P598" i="328" s="1"/>
  <c r="L598" i="328"/>
  <c r="E598" i="328"/>
  <c r="O597" i="328" a="1"/>
  <c r="O597" i="328" s="1"/>
  <c r="S597" i="328" s="1"/>
  <c r="N597" i="328" a="1"/>
  <c r="N597" i="328" s="1"/>
  <c r="P597" i="328" s="1"/>
  <c r="L597" i="328"/>
  <c r="E597" i="328"/>
  <c r="O596" i="328" a="1"/>
  <c r="O596" i="328" s="1"/>
  <c r="S596" i="328" s="1"/>
  <c r="N596" i="328" a="1"/>
  <c r="N596" i="328" s="1"/>
  <c r="P596" i="328" s="1"/>
  <c r="L596" i="328"/>
  <c r="E596" i="328"/>
  <c r="O595" i="328" a="1"/>
  <c r="O595" i="328" s="1"/>
  <c r="S595" i="328" s="1"/>
  <c r="N595" i="328" a="1"/>
  <c r="N595" i="328" s="1"/>
  <c r="P595" i="328" s="1"/>
  <c r="L595" i="328"/>
  <c r="E595" i="328"/>
  <c r="O594" i="328" a="1"/>
  <c r="O594" i="328" s="1"/>
  <c r="S594" i="328" s="1"/>
  <c r="N594" i="328" a="1"/>
  <c r="N594" i="328" s="1"/>
  <c r="P594" i="328" s="1"/>
  <c r="L594" i="328"/>
  <c r="E594" i="328"/>
  <c r="O593" i="328" a="1"/>
  <c r="O593" i="328" s="1"/>
  <c r="S593" i="328" s="1"/>
  <c r="N593" i="328" a="1"/>
  <c r="N593" i="328" s="1"/>
  <c r="P593" i="328" s="1"/>
  <c r="L593" i="328"/>
  <c r="E593" i="328"/>
  <c r="O592" i="328" a="1"/>
  <c r="O592" i="328" s="1"/>
  <c r="S592" i="328" s="1"/>
  <c r="N592" i="328" a="1"/>
  <c r="N592" i="328" s="1"/>
  <c r="P592" i="328" s="1"/>
  <c r="L592" i="328"/>
  <c r="E592" i="328"/>
  <c r="O591" i="328" a="1"/>
  <c r="O591" i="328" s="1"/>
  <c r="S591" i="328" s="1"/>
  <c r="N591" i="328" a="1"/>
  <c r="N591" i="328" s="1"/>
  <c r="P591" i="328" s="1"/>
  <c r="L591" i="328"/>
  <c r="E591" i="328"/>
  <c r="E589" i="328"/>
  <c r="T581" i="328"/>
  <c r="I615" i="328"/>
  <c r="O571" i="328" a="1"/>
  <c r="O571" i="328"/>
  <c r="S571" i="328" s="1"/>
  <c r="N571" i="328" a="1"/>
  <c r="N571" i="328"/>
  <c r="P571" i="328" s="1"/>
  <c r="L571" i="328"/>
  <c r="O570" i="328" a="1"/>
  <c r="O570" i="328" s="1"/>
  <c r="S570" i="328" s="1"/>
  <c r="N570" i="328" a="1"/>
  <c r="N570" i="328" s="1"/>
  <c r="P570" i="328" s="1"/>
  <c r="L570" i="328"/>
  <c r="O569" i="328" a="1"/>
  <c r="O569" i="328" s="1"/>
  <c r="S569" i="328" s="1"/>
  <c r="N569" i="328" a="1"/>
  <c r="N569" i="328" s="1"/>
  <c r="P569" i="328"/>
  <c r="L569" i="328"/>
  <c r="I569" i="328"/>
  <c r="I570" i="328" s="1"/>
  <c r="O568" i="328" a="1"/>
  <c r="O568" i="328"/>
  <c r="S568" i="328" s="1"/>
  <c r="N568" i="328" a="1"/>
  <c r="N568" i="328"/>
  <c r="P568" i="328" s="1"/>
  <c r="L568" i="328"/>
  <c r="O567" i="328" a="1"/>
  <c r="O567" i="328"/>
  <c r="S567" i="328" s="1"/>
  <c r="N567" i="328" a="1"/>
  <c r="N567" i="328" s="1"/>
  <c r="P567" i="328" s="1"/>
  <c r="P572" i="328" s="1"/>
  <c r="L567" i="328"/>
  <c r="O566" i="328" a="1"/>
  <c r="O566" i="328" s="1"/>
  <c r="S566" i="328" s="1"/>
  <c r="N566" i="328" a="1"/>
  <c r="N566" i="328" s="1"/>
  <c r="P566" i="328" s="1"/>
  <c r="L566" i="328"/>
  <c r="E566" i="328"/>
  <c r="O565" i="328" a="1"/>
  <c r="O565" i="328" s="1"/>
  <c r="S565" i="328" s="1"/>
  <c r="N565" i="328" a="1"/>
  <c r="N565" i="328" s="1"/>
  <c r="P565" i="328" s="1"/>
  <c r="L565" i="328"/>
  <c r="E565" i="328"/>
  <c r="O564" i="328" a="1"/>
  <c r="O564" i="328" s="1"/>
  <c r="S564" i="328" s="1"/>
  <c r="N564" i="328" a="1"/>
  <c r="N564" i="328" s="1"/>
  <c r="P564" i="328" s="1"/>
  <c r="L564" i="328"/>
  <c r="E564" i="328"/>
  <c r="O563" i="328" a="1"/>
  <c r="O563" i="328" s="1"/>
  <c r="S563" i="328" s="1"/>
  <c r="N563" i="328" a="1"/>
  <c r="N563" i="328" s="1"/>
  <c r="P563" i="328" s="1"/>
  <c r="L563" i="328"/>
  <c r="E563" i="328"/>
  <c r="O562" i="328" a="1"/>
  <c r="O562" i="328" s="1"/>
  <c r="S562" i="328" s="1"/>
  <c r="N562" i="328" a="1"/>
  <c r="N562" i="328" s="1"/>
  <c r="P562" i="328" s="1"/>
  <c r="L562" i="328"/>
  <c r="E562" i="328"/>
  <c r="O561" i="328" a="1"/>
  <c r="O561" i="328" s="1"/>
  <c r="S561" i="328" s="1"/>
  <c r="N561" i="328" a="1"/>
  <c r="N561" i="328" s="1"/>
  <c r="P561" i="328" s="1"/>
  <c r="L561" i="328"/>
  <c r="E561" i="328"/>
  <c r="O560" i="328" a="1"/>
  <c r="O560" i="328" s="1"/>
  <c r="S560" i="328" s="1"/>
  <c r="N560" i="328" a="1"/>
  <c r="N560" i="328" s="1"/>
  <c r="P560" i="328" s="1"/>
  <c r="L560" i="328"/>
  <c r="E560" i="328"/>
  <c r="O559" i="328" a="1"/>
  <c r="O559" i="328" s="1"/>
  <c r="S559" i="328" s="1"/>
  <c r="N559" i="328" a="1"/>
  <c r="N559" i="328" s="1"/>
  <c r="P559" i="328" s="1"/>
  <c r="L559" i="328"/>
  <c r="E559" i="328"/>
  <c r="O558" i="328" a="1"/>
  <c r="O558" i="328" s="1"/>
  <c r="S558" i="328" s="1"/>
  <c r="N558" i="328" a="1"/>
  <c r="N558" i="328" s="1"/>
  <c r="P558" i="328" s="1"/>
  <c r="L558" i="328"/>
  <c r="E558" i="328"/>
  <c r="O557" i="328" a="1"/>
  <c r="O557" i="328" s="1"/>
  <c r="S557" i="328" s="1"/>
  <c r="N557" i="328" a="1"/>
  <c r="N557" i="328" s="1"/>
  <c r="P557" i="328" s="1"/>
  <c r="L557" i="328"/>
  <c r="E557" i="328"/>
  <c r="O556" i="328" a="1"/>
  <c r="O556" i="328" s="1"/>
  <c r="S556" i="328" s="1"/>
  <c r="N556" i="328" a="1"/>
  <c r="N556" i="328" s="1"/>
  <c r="P556" i="328" s="1"/>
  <c r="L556" i="328"/>
  <c r="E556" i="328"/>
  <c r="O555" i="328" a="1"/>
  <c r="O555" i="328" s="1"/>
  <c r="S555" i="328" s="1"/>
  <c r="N555" i="328" a="1"/>
  <c r="N555" i="328" s="1"/>
  <c r="P555" i="328" s="1"/>
  <c r="L555" i="328"/>
  <c r="E555" i="328"/>
  <c r="O554" i="328" a="1"/>
  <c r="O554" i="328" s="1"/>
  <c r="S554" i="328" s="1"/>
  <c r="N554" i="328" a="1"/>
  <c r="N554" i="328" s="1"/>
  <c r="P554" i="328" s="1"/>
  <c r="L554" i="328"/>
  <c r="E554" i="328"/>
  <c r="O553" i="328" a="1"/>
  <c r="O553" i="328" s="1"/>
  <c r="S553" i="328" s="1"/>
  <c r="N553" i="328" a="1"/>
  <c r="N553" i="328" s="1"/>
  <c r="P553" i="328" s="1"/>
  <c r="L553" i="328"/>
  <c r="E553" i="328"/>
  <c r="O552" i="328" a="1"/>
  <c r="O552" i="328" s="1"/>
  <c r="S552" i="328" s="1"/>
  <c r="N552" i="328" a="1"/>
  <c r="N552" i="328" s="1"/>
  <c r="P552" i="328" s="1"/>
  <c r="L552" i="328"/>
  <c r="E552" i="328"/>
  <c r="O551" i="328" a="1"/>
  <c r="O551" i="328" s="1"/>
  <c r="S551" i="328" s="1"/>
  <c r="N551" i="328" a="1"/>
  <c r="N551" i="328" s="1"/>
  <c r="P551" i="328" s="1"/>
  <c r="L551" i="328"/>
  <c r="E551" i="328"/>
  <c r="O550" i="328" a="1"/>
  <c r="O550" i="328" s="1"/>
  <c r="S550" i="328" s="1"/>
  <c r="N550" i="328" a="1"/>
  <c r="N550" i="328" s="1"/>
  <c r="P550" i="328" s="1"/>
  <c r="L550" i="328"/>
  <c r="E550" i="328"/>
  <c r="O549" i="328" a="1"/>
  <c r="O549" i="328" s="1"/>
  <c r="S549" i="328" s="1"/>
  <c r="N549" i="328" a="1"/>
  <c r="N549" i="328" s="1"/>
  <c r="P549" i="328" s="1"/>
  <c r="L549" i="328"/>
  <c r="E549" i="328"/>
  <c r="O548" i="328" a="1"/>
  <c r="O548" i="328" s="1"/>
  <c r="S548" i="328" s="1"/>
  <c r="N548" i="328" a="1"/>
  <c r="N548" i="328" s="1"/>
  <c r="P548" i="328" s="1"/>
  <c r="L548" i="328"/>
  <c r="E548" i="328"/>
  <c r="O547" i="328" a="1"/>
  <c r="O547" i="328" s="1"/>
  <c r="S547" i="328" s="1"/>
  <c r="N547" i="328" a="1"/>
  <c r="N547" i="328" s="1"/>
  <c r="P547" i="328" s="1"/>
  <c r="L547" i="328"/>
  <c r="E547" i="328"/>
  <c r="O546" i="328" a="1"/>
  <c r="O546" i="328" s="1"/>
  <c r="S546" i="328" s="1"/>
  <c r="N546" i="328" a="1"/>
  <c r="N546" i="328" s="1"/>
  <c r="P546" i="328" s="1"/>
  <c r="L546" i="328"/>
  <c r="E546" i="328"/>
  <c r="O545" i="328" a="1"/>
  <c r="O545" i="328" s="1"/>
  <c r="S545" i="328" s="1"/>
  <c r="N545" i="328" a="1"/>
  <c r="N545" i="328" s="1"/>
  <c r="P545" i="328" s="1"/>
  <c r="L545" i="328"/>
  <c r="E545" i="328"/>
  <c r="O544" i="328" a="1"/>
  <c r="O544" i="328" s="1"/>
  <c r="S544" i="328" s="1"/>
  <c r="N544" i="328" a="1"/>
  <c r="N544" i="328" s="1"/>
  <c r="P544" i="328" s="1"/>
  <c r="L544" i="328"/>
  <c r="E544" i="328"/>
  <c r="E542" i="328"/>
  <c r="T534" i="328"/>
  <c r="I568" i="328" s="1"/>
  <c r="O524" i="328" a="1"/>
  <c r="O524" i="328" s="1"/>
  <c r="S524" i="328" s="1"/>
  <c r="N524" i="328" a="1"/>
  <c r="N524" i="328" s="1"/>
  <c r="P524" i="328" s="1"/>
  <c r="L524" i="328"/>
  <c r="O523" i="328" a="1"/>
  <c r="O523" i="328"/>
  <c r="S523" i="328" s="1"/>
  <c r="N523" i="328" a="1"/>
  <c r="N523" i="328"/>
  <c r="P523" i="328" s="1"/>
  <c r="L523" i="328"/>
  <c r="O522" i="328" a="1"/>
  <c r="O522" i="328"/>
  <c r="S522" i="328" s="1"/>
  <c r="N522" i="328" a="1"/>
  <c r="N522" i="328" s="1"/>
  <c r="P522" i="328" s="1"/>
  <c r="L522" i="328"/>
  <c r="I522" i="328"/>
  <c r="I523" i="328" s="1"/>
  <c r="O521" i="328" a="1"/>
  <c r="O521" i="328" s="1"/>
  <c r="S521" i="328" s="1"/>
  <c r="N521" i="328" a="1"/>
  <c r="N521" i="328" s="1"/>
  <c r="P521" i="328" s="1"/>
  <c r="L521" i="328"/>
  <c r="O520" i="328" a="1"/>
  <c r="O520" i="328" s="1"/>
  <c r="S520" i="328" s="1"/>
  <c r="S525" i="328" s="1"/>
  <c r="N520" i="328" a="1"/>
  <c r="N520" i="328" s="1"/>
  <c r="P520" i="328"/>
  <c r="L520" i="328"/>
  <c r="O519" i="328" a="1"/>
  <c r="O519" i="328" s="1"/>
  <c r="S519" i="328" s="1"/>
  <c r="N519" i="328" a="1"/>
  <c r="N519" i="328" s="1"/>
  <c r="P519" i="328" s="1"/>
  <c r="L519" i="328"/>
  <c r="E519" i="328"/>
  <c r="O518" i="328" a="1"/>
  <c r="O518" i="328" s="1"/>
  <c r="S518" i="328" s="1"/>
  <c r="N518" i="328" a="1"/>
  <c r="N518" i="328" s="1"/>
  <c r="P518" i="328" s="1"/>
  <c r="L518" i="328"/>
  <c r="E518" i="328"/>
  <c r="O517" i="328" a="1"/>
  <c r="O517" i="328" s="1"/>
  <c r="S517" i="328" s="1"/>
  <c r="N517" i="328" a="1"/>
  <c r="N517" i="328" s="1"/>
  <c r="P517" i="328" s="1"/>
  <c r="L517" i="328"/>
  <c r="E517" i="328"/>
  <c r="O516" i="328" a="1"/>
  <c r="O516" i="328" s="1"/>
  <c r="S516" i="328" s="1"/>
  <c r="N516" i="328" a="1"/>
  <c r="N516" i="328" s="1"/>
  <c r="P516" i="328" s="1"/>
  <c r="L516" i="328"/>
  <c r="E516" i="328"/>
  <c r="O515" i="328" a="1"/>
  <c r="O515" i="328" s="1"/>
  <c r="S515" i="328" s="1"/>
  <c r="N515" i="328" a="1"/>
  <c r="N515" i="328" s="1"/>
  <c r="P515" i="328" s="1"/>
  <c r="L515" i="328"/>
  <c r="E515" i="328"/>
  <c r="O514" i="328" a="1"/>
  <c r="O514" i="328" s="1"/>
  <c r="S514" i="328" s="1"/>
  <c r="N514" i="328" a="1"/>
  <c r="N514" i="328" s="1"/>
  <c r="P514" i="328" s="1"/>
  <c r="L514" i="328"/>
  <c r="E514" i="328"/>
  <c r="O513" i="328" a="1"/>
  <c r="O513" i="328" s="1"/>
  <c r="S513" i="328" s="1"/>
  <c r="N513" i="328" a="1"/>
  <c r="N513" i="328" s="1"/>
  <c r="P513" i="328" s="1"/>
  <c r="L513" i="328"/>
  <c r="E513" i="328"/>
  <c r="O512" i="328" a="1"/>
  <c r="O512" i="328" s="1"/>
  <c r="S512" i="328" s="1"/>
  <c r="N512" i="328" a="1"/>
  <c r="N512" i="328" s="1"/>
  <c r="P512" i="328" s="1"/>
  <c r="L512" i="328"/>
  <c r="E512" i="328"/>
  <c r="O511" i="328" a="1"/>
  <c r="O511" i="328" s="1"/>
  <c r="S511" i="328" s="1"/>
  <c r="N511" i="328" a="1"/>
  <c r="N511" i="328" s="1"/>
  <c r="P511" i="328" s="1"/>
  <c r="L511" i="328"/>
  <c r="E511" i="328"/>
  <c r="O510" i="328" a="1"/>
  <c r="O510" i="328" s="1"/>
  <c r="S510" i="328" s="1"/>
  <c r="N510" i="328" a="1"/>
  <c r="N510" i="328" s="1"/>
  <c r="P510" i="328" s="1"/>
  <c r="L510" i="328"/>
  <c r="E510" i="328"/>
  <c r="O509" i="328" a="1"/>
  <c r="O509" i="328" s="1"/>
  <c r="S509" i="328" s="1"/>
  <c r="N509" i="328" a="1"/>
  <c r="N509" i="328" s="1"/>
  <c r="P509" i="328" s="1"/>
  <c r="L509" i="328"/>
  <c r="E509" i="328"/>
  <c r="O508" i="328" a="1"/>
  <c r="O508" i="328" s="1"/>
  <c r="S508" i="328" s="1"/>
  <c r="N508" i="328" a="1"/>
  <c r="N508" i="328" s="1"/>
  <c r="P508" i="328" s="1"/>
  <c r="L508" i="328"/>
  <c r="E508" i="328"/>
  <c r="O507" i="328" a="1"/>
  <c r="O507" i="328" s="1"/>
  <c r="S507" i="328" s="1"/>
  <c r="N507" i="328" a="1"/>
  <c r="N507" i="328" s="1"/>
  <c r="P507" i="328" s="1"/>
  <c r="L507" i="328"/>
  <c r="E507" i="328"/>
  <c r="O506" i="328" a="1"/>
  <c r="O506" i="328" s="1"/>
  <c r="S506" i="328" s="1"/>
  <c r="N506" i="328" a="1"/>
  <c r="N506" i="328" s="1"/>
  <c r="P506" i="328" s="1"/>
  <c r="L506" i="328"/>
  <c r="E506" i="328"/>
  <c r="O505" i="328" a="1"/>
  <c r="O505" i="328" s="1"/>
  <c r="S505" i="328" s="1"/>
  <c r="N505" i="328" a="1"/>
  <c r="N505" i="328" s="1"/>
  <c r="P505" i="328" s="1"/>
  <c r="L505" i="328"/>
  <c r="E505" i="328"/>
  <c r="O504" i="328" a="1"/>
  <c r="O504" i="328" s="1"/>
  <c r="S504" i="328" s="1"/>
  <c r="N504" i="328" a="1"/>
  <c r="N504" i="328" s="1"/>
  <c r="P504" i="328" s="1"/>
  <c r="L504" i="328"/>
  <c r="E504" i="328"/>
  <c r="O503" i="328" a="1"/>
  <c r="O503" i="328" s="1"/>
  <c r="S503" i="328" s="1"/>
  <c r="N503" i="328" a="1"/>
  <c r="N503" i="328"/>
  <c r="P503" i="328" s="1"/>
  <c r="L503" i="328"/>
  <c r="E503" i="328"/>
  <c r="O502" i="328" a="1"/>
  <c r="O502" i="328" s="1"/>
  <c r="S502" i="328" s="1"/>
  <c r="N502" i="328" a="1"/>
  <c r="N502" i="328" s="1"/>
  <c r="P502" i="328" s="1"/>
  <c r="L502" i="328"/>
  <c r="E502" i="328"/>
  <c r="O501" i="328" a="1"/>
  <c r="O501" i="328" s="1"/>
  <c r="S501" i="328" s="1"/>
  <c r="N501" i="328" a="1"/>
  <c r="N501" i="328"/>
  <c r="P501" i="328" s="1"/>
  <c r="L501" i="328"/>
  <c r="E501" i="328"/>
  <c r="O500" i="328" a="1"/>
  <c r="O500" i="328" s="1"/>
  <c r="S500" i="328" s="1"/>
  <c r="N500" i="328" a="1"/>
  <c r="N500" i="328" s="1"/>
  <c r="P500" i="328" s="1"/>
  <c r="L500" i="328"/>
  <c r="E500" i="328"/>
  <c r="O499" i="328" a="1"/>
  <c r="O499" i="328" s="1"/>
  <c r="S499" i="328" s="1"/>
  <c r="N499" i="328" a="1"/>
  <c r="N499" i="328"/>
  <c r="P499" i="328" s="1"/>
  <c r="L499" i="328"/>
  <c r="E499" i="328"/>
  <c r="O498" i="328" a="1"/>
  <c r="O498" i="328" s="1"/>
  <c r="S498" i="328" s="1"/>
  <c r="N498" i="328" a="1"/>
  <c r="N498" i="328" s="1"/>
  <c r="P498" i="328" s="1"/>
  <c r="P525" i="328" s="1"/>
  <c r="A495" i="328" s="1"/>
  <c r="L498" i="328"/>
  <c r="E498" i="328"/>
  <c r="O497" i="328" a="1"/>
  <c r="O497" i="328" s="1"/>
  <c r="S497" i="328" s="1"/>
  <c r="N497" i="328" a="1"/>
  <c r="N497" i="328"/>
  <c r="P497" i="328" s="1"/>
  <c r="L497" i="328"/>
  <c r="E497" i="328"/>
  <c r="E495" i="328"/>
  <c r="T487" i="328"/>
  <c r="I521" i="328" s="1"/>
  <c r="O477" i="328" a="1"/>
  <c r="O477" i="328" s="1"/>
  <c r="S477" i="328" s="1"/>
  <c r="N477" i="328" a="1"/>
  <c r="N477" i="328" s="1"/>
  <c r="P477" i="328" s="1"/>
  <c r="L477" i="328"/>
  <c r="O476" i="328" a="1"/>
  <c r="O476" i="328" s="1"/>
  <c r="S476" i="328" s="1"/>
  <c r="N476" i="328" a="1"/>
  <c r="N476" i="328"/>
  <c r="P476" i="328" s="1"/>
  <c r="L476" i="328"/>
  <c r="O475" i="328" a="1"/>
  <c r="O475" i="328" s="1"/>
  <c r="S475" i="328" s="1"/>
  <c r="N475" i="328" a="1"/>
  <c r="N475" i="328" s="1"/>
  <c r="P475" i="328" s="1"/>
  <c r="L475" i="328"/>
  <c r="I475" i="328"/>
  <c r="I476" i="328" s="1"/>
  <c r="O474" i="328" a="1"/>
  <c r="O474" i="328" s="1"/>
  <c r="S474" i="328" s="1"/>
  <c r="N474" i="328" a="1"/>
  <c r="N474" i="328" s="1"/>
  <c r="P474" i="328" s="1"/>
  <c r="L474" i="328"/>
  <c r="O473" i="328" a="1"/>
  <c r="O473" i="328"/>
  <c r="S473" i="328" s="1"/>
  <c r="N473" i="328" a="1"/>
  <c r="N473" i="328" s="1"/>
  <c r="P473" i="328" s="1"/>
  <c r="L473" i="328"/>
  <c r="O472" i="328" a="1"/>
  <c r="O472" i="328" s="1"/>
  <c r="S472" i="328" s="1"/>
  <c r="N472" i="328" a="1"/>
  <c r="N472" i="328" s="1"/>
  <c r="P472" i="328" s="1"/>
  <c r="L472" i="328"/>
  <c r="E472" i="328"/>
  <c r="O471" i="328" a="1"/>
  <c r="O471" i="328" s="1"/>
  <c r="S471" i="328" s="1"/>
  <c r="N471" i="328" a="1"/>
  <c r="N471" i="328"/>
  <c r="P471" i="328" s="1"/>
  <c r="L471" i="328"/>
  <c r="E471" i="328"/>
  <c r="O470" i="328" a="1"/>
  <c r="O470" i="328" s="1"/>
  <c r="S470" i="328" s="1"/>
  <c r="N470" i="328" a="1"/>
  <c r="N470" i="328" s="1"/>
  <c r="P470" i="328" s="1"/>
  <c r="L470" i="328"/>
  <c r="E470" i="328"/>
  <c r="O469" i="328" a="1"/>
  <c r="O469" i="328" s="1"/>
  <c r="S469" i="328" s="1"/>
  <c r="N469" i="328" a="1"/>
  <c r="N469" i="328"/>
  <c r="P469" i="328" s="1"/>
  <c r="L469" i="328"/>
  <c r="E469" i="328"/>
  <c r="O468" i="328" a="1"/>
  <c r="O468" i="328" s="1"/>
  <c r="S468" i="328" s="1"/>
  <c r="N468" i="328" a="1"/>
  <c r="N468" i="328" s="1"/>
  <c r="P468" i="328" s="1"/>
  <c r="L468" i="328"/>
  <c r="E468" i="328"/>
  <c r="O467" i="328" a="1"/>
  <c r="O467" i="328" s="1"/>
  <c r="S467" i="328" s="1"/>
  <c r="N467" i="328" a="1"/>
  <c r="N467" i="328"/>
  <c r="P467" i="328" s="1"/>
  <c r="L467" i="328"/>
  <c r="E467" i="328"/>
  <c r="O466" i="328" a="1"/>
  <c r="O466" i="328" s="1"/>
  <c r="S466" i="328" s="1"/>
  <c r="N466" i="328" a="1"/>
  <c r="N466" i="328" s="1"/>
  <c r="P466" i="328" s="1"/>
  <c r="L466" i="328"/>
  <c r="E466" i="328"/>
  <c r="O465" i="328" a="1"/>
  <c r="O465" i="328" s="1"/>
  <c r="S465" i="328" s="1"/>
  <c r="N465" i="328" a="1"/>
  <c r="N465" i="328"/>
  <c r="P465" i="328" s="1"/>
  <c r="L465" i="328"/>
  <c r="E465" i="328"/>
  <c r="O464" i="328" a="1"/>
  <c r="O464" i="328" s="1"/>
  <c r="S464" i="328" s="1"/>
  <c r="N464" i="328" a="1"/>
  <c r="N464" i="328" s="1"/>
  <c r="P464" i="328" s="1"/>
  <c r="L464" i="328"/>
  <c r="E464" i="328"/>
  <c r="O463" i="328" a="1"/>
  <c r="O463" i="328" s="1"/>
  <c r="S463" i="328" s="1"/>
  <c r="N463" i="328" a="1"/>
  <c r="N463" i="328"/>
  <c r="P463" i="328" s="1"/>
  <c r="L463" i="328"/>
  <c r="E463" i="328"/>
  <c r="O462" i="328" a="1"/>
  <c r="O462" i="328" s="1"/>
  <c r="S462" i="328" s="1"/>
  <c r="N462" i="328" a="1"/>
  <c r="N462" i="328" s="1"/>
  <c r="P462" i="328" s="1"/>
  <c r="L462" i="328"/>
  <c r="E462" i="328"/>
  <c r="O461" i="328" a="1"/>
  <c r="O461" i="328" s="1"/>
  <c r="S461" i="328" s="1"/>
  <c r="N461" i="328" a="1"/>
  <c r="N461" i="328"/>
  <c r="P461" i="328" s="1"/>
  <c r="L461" i="328"/>
  <c r="E461" i="328"/>
  <c r="O460" i="328" a="1"/>
  <c r="O460" i="328" s="1"/>
  <c r="S460" i="328" s="1"/>
  <c r="N460" i="328" a="1"/>
  <c r="N460" i="328" s="1"/>
  <c r="P460" i="328" s="1"/>
  <c r="L460" i="328"/>
  <c r="E460" i="328"/>
  <c r="O459" i="328" a="1"/>
  <c r="O459" i="328" s="1"/>
  <c r="S459" i="328" s="1"/>
  <c r="N459" i="328" a="1"/>
  <c r="N459" i="328"/>
  <c r="P459" i="328" s="1"/>
  <c r="L459" i="328"/>
  <c r="E459" i="328"/>
  <c r="O458" i="328" a="1"/>
  <c r="O458" i="328" s="1"/>
  <c r="S458" i="328" s="1"/>
  <c r="N458" i="328" a="1"/>
  <c r="N458" i="328" s="1"/>
  <c r="P458" i="328" s="1"/>
  <c r="L458" i="328"/>
  <c r="E458" i="328"/>
  <c r="O457" i="328" a="1"/>
  <c r="O457" i="328" s="1"/>
  <c r="S457" i="328" s="1"/>
  <c r="N457" i="328" a="1"/>
  <c r="N457" i="328"/>
  <c r="P457" i="328" s="1"/>
  <c r="L457" i="328"/>
  <c r="E457" i="328"/>
  <c r="O456" i="328" a="1"/>
  <c r="O456" i="328" s="1"/>
  <c r="S456" i="328" s="1"/>
  <c r="N456" i="328" a="1"/>
  <c r="N456" i="328" s="1"/>
  <c r="P456" i="328" s="1"/>
  <c r="L456" i="328"/>
  <c r="E456" i="328"/>
  <c r="O455" i="328" a="1"/>
  <c r="O455" i="328" s="1"/>
  <c r="S455" i="328" s="1"/>
  <c r="N455" i="328" a="1"/>
  <c r="N455" i="328"/>
  <c r="P455" i="328" s="1"/>
  <c r="L455" i="328"/>
  <c r="E455" i="328"/>
  <c r="O454" i="328" a="1"/>
  <c r="O454" i="328" s="1"/>
  <c r="S454" i="328" s="1"/>
  <c r="N454" i="328" a="1"/>
  <c r="N454" i="328" s="1"/>
  <c r="P454" i="328" s="1"/>
  <c r="L454" i="328"/>
  <c r="E454" i="328"/>
  <c r="O453" i="328" a="1"/>
  <c r="O453" i="328" s="1"/>
  <c r="S453" i="328" s="1"/>
  <c r="N453" i="328" a="1"/>
  <c r="N453" i="328"/>
  <c r="P453" i="328" s="1"/>
  <c r="L453" i="328"/>
  <c r="E453" i="328"/>
  <c r="O452" i="328" a="1"/>
  <c r="O452" i="328" s="1"/>
  <c r="S452" i="328" s="1"/>
  <c r="N452" i="328" a="1"/>
  <c r="N452" i="328" s="1"/>
  <c r="P452" i="328" s="1"/>
  <c r="L452" i="328"/>
  <c r="E452" i="328"/>
  <c r="O451" i="328" a="1"/>
  <c r="O451" i="328" s="1"/>
  <c r="S451" i="328" s="1"/>
  <c r="N451" i="328" a="1"/>
  <c r="N451" i="328"/>
  <c r="P451" i="328" s="1"/>
  <c r="L451" i="328"/>
  <c r="E451" i="328"/>
  <c r="O450" i="328" a="1"/>
  <c r="O450" i="328" s="1"/>
  <c r="S450" i="328" s="1"/>
  <c r="N450" i="328" a="1"/>
  <c r="N450" i="328" s="1"/>
  <c r="P450" i="328" s="1"/>
  <c r="P478" i="328" s="1"/>
  <c r="L450" i="328"/>
  <c r="E450" i="328"/>
  <c r="E448" i="328"/>
  <c r="T440" i="328"/>
  <c r="I474" i="328"/>
  <c r="O430" i="328" a="1"/>
  <c r="O430" i="328"/>
  <c r="S430" i="328" s="1"/>
  <c r="N430" i="328" a="1"/>
  <c r="N430" i="328" s="1"/>
  <c r="P430" i="328" s="1"/>
  <c r="L430" i="328"/>
  <c r="O429" i="328" a="1"/>
  <c r="O429" i="328" s="1"/>
  <c r="S429" i="328" s="1"/>
  <c r="N429" i="328" a="1"/>
  <c r="N429" i="328" s="1"/>
  <c r="P429" i="328" s="1"/>
  <c r="L429" i="328"/>
  <c r="O428" i="328" a="1"/>
  <c r="O428" i="328"/>
  <c r="S428" i="328" s="1"/>
  <c r="N428" i="328" a="1"/>
  <c r="N428" i="328" s="1"/>
  <c r="P428" i="328" s="1"/>
  <c r="L428" i="328"/>
  <c r="I428" i="328"/>
  <c r="I429" i="328" s="1"/>
  <c r="O427" i="328" a="1"/>
  <c r="O427" i="328" s="1"/>
  <c r="S427" i="328" s="1"/>
  <c r="N427" i="328" a="1"/>
  <c r="N427" i="328"/>
  <c r="P427" i="328" s="1"/>
  <c r="L427" i="328"/>
  <c r="O426" i="328" a="1"/>
  <c r="O426" i="328" s="1"/>
  <c r="S426" i="328" s="1"/>
  <c r="S431" i="328" s="1"/>
  <c r="N426" i="328" a="1"/>
  <c r="N426" i="328" s="1"/>
  <c r="P426" i="328" s="1"/>
  <c r="L426" i="328"/>
  <c r="O425" i="328" a="1"/>
  <c r="O425" i="328" s="1"/>
  <c r="S425" i="328" s="1"/>
  <c r="N425" i="328" a="1"/>
  <c r="N425" i="328"/>
  <c r="P425" i="328" s="1"/>
  <c r="L425" i="328"/>
  <c r="E425" i="328"/>
  <c r="O424" i="328" a="1"/>
  <c r="O424" i="328" s="1"/>
  <c r="S424" i="328" s="1"/>
  <c r="N424" i="328" a="1"/>
  <c r="N424" i="328" s="1"/>
  <c r="P424" i="328" s="1"/>
  <c r="L424" i="328"/>
  <c r="E424" i="328"/>
  <c r="O423" i="328" a="1"/>
  <c r="O423" i="328" s="1"/>
  <c r="S423" i="328" s="1"/>
  <c r="N423" i="328" a="1"/>
  <c r="N423" i="328"/>
  <c r="P423" i="328" s="1"/>
  <c r="L423" i="328"/>
  <c r="E423" i="328"/>
  <c r="O422" i="328" a="1"/>
  <c r="O422" i="328" s="1"/>
  <c r="S422" i="328" s="1"/>
  <c r="N422" i="328" a="1"/>
  <c r="N422" i="328" s="1"/>
  <c r="P422" i="328" s="1"/>
  <c r="L422" i="328"/>
  <c r="E422" i="328"/>
  <c r="O421" i="328" a="1"/>
  <c r="O421" i="328" s="1"/>
  <c r="S421" i="328" s="1"/>
  <c r="N421" i="328" a="1"/>
  <c r="N421" i="328"/>
  <c r="P421" i="328" s="1"/>
  <c r="L421" i="328"/>
  <c r="E421" i="328"/>
  <c r="O420" i="328" a="1"/>
  <c r="O420" i="328" s="1"/>
  <c r="S420" i="328" s="1"/>
  <c r="N420" i="328" a="1"/>
  <c r="N420" i="328" s="1"/>
  <c r="P420" i="328" s="1"/>
  <c r="L420" i="328"/>
  <c r="E420" i="328"/>
  <c r="O419" i="328" a="1"/>
  <c r="O419" i="328" s="1"/>
  <c r="S419" i="328" s="1"/>
  <c r="N419" i="328" a="1"/>
  <c r="N419" i="328"/>
  <c r="P419" i="328" s="1"/>
  <c r="L419" i="328"/>
  <c r="E419" i="328"/>
  <c r="O418" i="328" a="1"/>
  <c r="O418" i="328" s="1"/>
  <c r="S418" i="328" s="1"/>
  <c r="N418" i="328" a="1"/>
  <c r="N418" i="328" s="1"/>
  <c r="P418" i="328" s="1"/>
  <c r="L418" i="328"/>
  <c r="E418" i="328"/>
  <c r="O417" i="328" a="1"/>
  <c r="O417" i="328" s="1"/>
  <c r="S417" i="328" s="1"/>
  <c r="N417" i="328" a="1"/>
  <c r="N417" i="328"/>
  <c r="P417" i="328" s="1"/>
  <c r="L417" i="328"/>
  <c r="E417" i="328"/>
  <c r="O416" i="328" a="1"/>
  <c r="O416" i="328" s="1"/>
  <c r="S416" i="328" s="1"/>
  <c r="N416" i="328" a="1"/>
  <c r="N416" i="328" s="1"/>
  <c r="P416" i="328" s="1"/>
  <c r="L416" i="328"/>
  <c r="E416" i="328"/>
  <c r="O415" i="328" a="1"/>
  <c r="O415" i="328" s="1"/>
  <c r="S415" i="328" s="1"/>
  <c r="N415" i="328" a="1"/>
  <c r="N415" i="328"/>
  <c r="P415" i="328" s="1"/>
  <c r="L415" i="328"/>
  <c r="E415" i="328"/>
  <c r="O414" i="328" a="1"/>
  <c r="O414" i="328" s="1"/>
  <c r="S414" i="328" s="1"/>
  <c r="N414" i="328" a="1"/>
  <c r="N414" i="328" s="1"/>
  <c r="P414" i="328" s="1"/>
  <c r="L414" i="328"/>
  <c r="E414" i="328"/>
  <c r="O413" i="328" a="1"/>
  <c r="O413" i="328" s="1"/>
  <c r="S413" i="328" s="1"/>
  <c r="N413" i="328" a="1"/>
  <c r="N413" i="328"/>
  <c r="P413" i="328" s="1"/>
  <c r="L413" i="328"/>
  <c r="E413" i="328"/>
  <c r="O412" i="328" a="1"/>
  <c r="O412" i="328" s="1"/>
  <c r="S412" i="328" s="1"/>
  <c r="N412" i="328" a="1"/>
  <c r="N412" i="328" s="1"/>
  <c r="P412" i="328" s="1"/>
  <c r="L412" i="328"/>
  <c r="E412" i="328"/>
  <c r="O411" i="328" a="1"/>
  <c r="O411" i="328" s="1"/>
  <c r="S411" i="328" s="1"/>
  <c r="N411" i="328" a="1"/>
  <c r="N411" i="328"/>
  <c r="P411" i="328" s="1"/>
  <c r="L411" i="328"/>
  <c r="E411" i="328"/>
  <c r="O410" i="328" a="1"/>
  <c r="O410" i="328" s="1"/>
  <c r="S410" i="328" s="1"/>
  <c r="N410" i="328" a="1"/>
  <c r="N410" i="328" s="1"/>
  <c r="P410" i="328" s="1"/>
  <c r="L410" i="328"/>
  <c r="E410" i="328"/>
  <c r="O409" i="328" a="1"/>
  <c r="O409" i="328" s="1"/>
  <c r="S409" i="328" s="1"/>
  <c r="N409" i="328" a="1"/>
  <c r="N409" i="328"/>
  <c r="P409" i="328" s="1"/>
  <c r="L409" i="328"/>
  <c r="E409" i="328"/>
  <c r="O408" i="328" a="1"/>
  <c r="O408" i="328" s="1"/>
  <c r="S408" i="328" s="1"/>
  <c r="N408" i="328" a="1"/>
  <c r="N408" i="328" s="1"/>
  <c r="P408" i="328" s="1"/>
  <c r="L408" i="328"/>
  <c r="E408" i="328"/>
  <c r="O407" i="328" a="1"/>
  <c r="O407" i="328" s="1"/>
  <c r="S407" i="328" s="1"/>
  <c r="N407" i="328" a="1"/>
  <c r="N407" i="328"/>
  <c r="P407" i="328" s="1"/>
  <c r="L407" i="328"/>
  <c r="E407" i="328"/>
  <c r="O406" i="328" a="1"/>
  <c r="O406" i="328" s="1"/>
  <c r="S406" i="328" s="1"/>
  <c r="N406" i="328" a="1"/>
  <c r="N406" i="328" s="1"/>
  <c r="P406" i="328" s="1"/>
  <c r="L406" i="328"/>
  <c r="E406" i="328"/>
  <c r="O405" i="328" a="1"/>
  <c r="O405" i="328" s="1"/>
  <c r="S405" i="328" s="1"/>
  <c r="N405" i="328" a="1"/>
  <c r="N405" i="328"/>
  <c r="P405" i="328" s="1"/>
  <c r="L405" i="328"/>
  <c r="E405" i="328"/>
  <c r="O404" i="328" a="1"/>
  <c r="O404" i="328" s="1"/>
  <c r="S404" i="328" s="1"/>
  <c r="N404" i="328" a="1"/>
  <c r="N404" i="328" s="1"/>
  <c r="P404" i="328" s="1"/>
  <c r="L404" i="328"/>
  <c r="E404" i="328"/>
  <c r="O403" i="328" a="1"/>
  <c r="O403" i="328" s="1"/>
  <c r="S403" i="328" s="1"/>
  <c r="N403" i="328" a="1"/>
  <c r="N403" i="328"/>
  <c r="P403" i="328" s="1"/>
  <c r="L403" i="328"/>
  <c r="E403" i="328"/>
  <c r="E401" i="328"/>
  <c r="T393" i="328"/>
  <c r="I427" i="328" s="1"/>
  <c r="O383" i="328" a="1"/>
  <c r="O383" i="328" s="1"/>
  <c r="S383" i="328" s="1"/>
  <c r="N383" i="328" a="1"/>
  <c r="N383" i="328" s="1"/>
  <c r="P383" i="328" s="1"/>
  <c r="L383" i="328"/>
  <c r="O382" i="328" a="1"/>
  <c r="O382" i="328" s="1"/>
  <c r="S382" i="328" s="1"/>
  <c r="N382" i="328" a="1"/>
  <c r="N382" i="328"/>
  <c r="P382" i="328" s="1"/>
  <c r="L382" i="328"/>
  <c r="O381" i="328" a="1"/>
  <c r="O381" i="328" s="1"/>
  <c r="S381" i="328" s="1"/>
  <c r="N381" i="328" a="1"/>
  <c r="N381" i="328" s="1"/>
  <c r="P381" i="328" s="1"/>
  <c r="L381" i="328"/>
  <c r="I381" i="328"/>
  <c r="I382" i="328" s="1"/>
  <c r="O380" i="328" a="1"/>
  <c r="O380" i="328" s="1"/>
  <c r="S380" i="328" s="1"/>
  <c r="N380" i="328" a="1"/>
  <c r="N380" i="328" s="1"/>
  <c r="P380" i="328" s="1"/>
  <c r="L380" i="328"/>
  <c r="O379" i="328" a="1"/>
  <c r="O379" i="328"/>
  <c r="S379" i="328" s="1"/>
  <c r="N379" i="328" a="1"/>
  <c r="N379" i="328" s="1"/>
  <c r="P379" i="328" s="1"/>
  <c r="L379" i="328"/>
  <c r="O378" i="328" a="1"/>
  <c r="O378" i="328" s="1"/>
  <c r="S378" i="328" s="1"/>
  <c r="N378" i="328" a="1"/>
  <c r="N378" i="328" s="1"/>
  <c r="P378" i="328" s="1"/>
  <c r="L378" i="328"/>
  <c r="E378" i="328"/>
  <c r="O377" i="328" a="1"/>
  <c r="O377" i="328" s="1"/>
  <c r="S377" i="328" s="1"/>
  <c r="N377" i="328" a="1"/>
  <c r="N377" i="328"/>
  <c r="P377" i="328" s="1"/>
  <c r="L377" i="328"/>
  <c r="E377" i="328"/>
  <c r="O376" i="328" a="1"/>
  <c r="O376" i="328" s="1"/>
  <c r="S376" i="328" s="1"/>
  <c r="N376" i="328" a="1"/>
  <c r="N376" i="328" s="1"/>
  <c r="P376" i="328" s="1"/>
  <c r="L376" i="328"/>
  <c r="E376" i="328"/>
  <c r="O375" i="328" a="1"/>
  <c r="O375" i="328" s="1"/>
  <c r="S375" i="328" s="1"/>
  <c r="N375" i="328" a="1"/>
  <c r="N375" i="328"/>
  <c r="P375" i="328" s="1"/>
  <c r="L375" i="328"/>
  <c r="E375" i="328"/>
  <c r="O374" i="328" a="1"/>
  <c r="O374" i="328" s="1"/>
  <c r="S374" i="328" s="1"/>
  <c r="N374" i="328" a="1"/>
  <c r="N374" i="328" s="1"/>
  <c r="P374" i="328" s="1"/>
  <c r="L374" i="328"/>
  <c r="E374" i="328"/>
  <c r="O373" i="328" a="1"/>
  <c r="O373" i="328" s="1"/>
  <c r="S373" i="328" s="1"/>
  <c r="N373" i="328" a="1"/>
  <c r="N373" i="328"/>
  <c r="P373" i="328" s="1"/>
  <c r="L373" i="328"/>
  <c r="E373" i="328"/>
  <c r="O372" i="328" a="1"/>
  <c r="O372" i="328" s="1"/>
  <c r="S372" i="328" s="1"/>
  <c r="N372" i="328" a="1"/>
  <c r="N372" i="328" s="1"/>
  <c r="P372" i="328" s="1"/>
  <c r="L372" i="328"/>
  <c r="E372" i="328"/>
  <c r="O371" i="328" a="1"/>
  <c r="O371" i="328" s="1"/>
  <c r="S371" i="328" s="1"/>
  <c r="N371" i="328" a="1"/>
  <c r="N371" i="328"/>
  <c r="P371" i="328" s="1"/>
  <c r="L371" i="328"/>
  <c r="E371" i="328"/>
  <c r="O370" i="328" a="1"/>
  <c r="O370" i="328" s="1"/>
  <c r="S370" i="328" s="1"/>
  <c r="N370" i="328" a="1"/>
  <c r="N370" i="328" s="1"/>
  <c r="P370" i="328" s="1"/>
  <c r="L370" i="328"/>
  <c r="E370" i="328"/>
  <c r="O369" i="328" a="1"/>
  <c r="O369" i="328" s="1"/>
  <c r="S369" i="328" s="1"/>
  <c r="N369" i="328" a="1"/>
  <c r="N369" i="328"/>
  <c r="P369" i="328" s="1"/>
  <c r="L369" i="328"/>
  <c r="E369" i="328"/>
  <c r="O368" i="328" a="1"/>
  <c r="O368" i="328" s="1"/>
  <c r="S368" i="328" s="1"/>
  <c r="N368" i="328" a="1"/>
  <c r="N368" i="328" s="1"/>
  <c r="P368" i="328" s="1"/>
  <c r="L368" i="328"/>
  <c r="E368" i="328"/>
  <c r="O367" i="328" a="1"/>
  <c r="O367" i="328" s="1"/>
  <c r="S367" i="328" s="1"/>
  <c r="N367" i="328" a="1"/>
  <c r="N367" i="328"/>
  <c r="P367" i="328" s="1"/>
  <c r="L367" i="328"/>
  <c r="E367" i="328"/>
  <c r="O366" i="328" a="1"/>
  <c r="O366" i="328" s="1"/>
  <c r="S366" i="328" s="1"/>
  <c r="N366" i="328" a="1"/>
  <c r="N366" i="328" s="1"/>
  <c r="P366" i="328" s="1"/>
  <c r="L366" i="328"/>
  <c r="E366" i="328"/>
  <c r="O365" i="328" a="1"/>
  <c r="O365" i="328" s="1"/>
  <c r="S365" i="328" s="1"/>
  <c r="N365" i="328" a="1"/>
  <c r="N365" i="328"/>
  <c r="P365" i="328" s="1"/>
  <c r="L365" i="328"/>
  <c r="E365" i="328"/>
  <c r="O364" i="328" a="1"/>
  <c r="O364" i="328" s="1"/>
  <c r="S364" i="328" s="1"/>
  <c r="N364" i="328" a="1"/>
  <c r="N364" i="328" s="1"/>
  <c r="P364" i="328" s="1"/>
  <c r="L364" i="328"/>
  <c r="E364" i="328"/>
  <c r="O363" i="328" a="1"/>
  <c r="O363" i="328" s="1"/>
  <c r="S363" i="328" s="1"/>
  <c r="N363" i="328" a="1"/>
  <c r="N363" i="328"/>
  <c r="P363" i="328" s="1"/>
  <c r="L363" i="328"/>
  <c r="E363" i="328"/>
  <c r="O362" i="328" a="1"/>
  <c r="O362" i="328" s="1"/>
  <c r="S362" i="328" s="1"/>
  <c r="N362" i="328" a="1"/>
  <c r="N362" i="328" s="1"/>
  <c r="P362" i="328" s="1"/>
  <c r="L362" i="328"/>
  <c r="E362" i="328"/>
  <c r="O361" i="328" a="1"/>
  <c r="O361" i="328" s="1"/>
  <c r="S361" i="328" s="1"/>
  <c r="N361" i="328" a="1"/>
  <c r="N361" i="328"/>
  <c r="P361" i="328" s="1"/>
  <c r="L361" i="328"/>
  <c r="E361" i="328"/>
  <c r="O360" i="328" a="1"/>
  <c r="O360" i="328" s="1"/>
  <c r="S360" i="328" s="1"/>
  <c r="N360" i="328" a="1"/>
  <c r="N360" i="328" s="1"/>
  <c r="P360" i="328" s="1"/>
  <c r="L360" i="328"/>
  <c r="E360" i="328"/>
  <c r="O359" i="328" a="1"/>
  <c r="O359" i="328" s="1"/>
  <c r="S359" i="328" s="1"/>
  <c r="N359" i="328" a="1"/>
  <c r="N359" i="328"/>
  <c r="P359" i="328" s="1"/>
  <c r="L359" i="328"/>
  <c r="E359" i="328"/>
  <c r="O358" i="328" a="1"/>
  <c r="O358" i="328" s="1"/>
  <c r="S358" i="328" s="1"/>
  <c r="N358" i="328" a="1"/>
  <c r="N358" i="328" s="1"/>
  <c r="P358" i="328" s="1"/>
  <c r="L358" i="328"/>
  <c r="E358" i="328"/>
  <c r="O357" i="328" a="1"/>
  <c r="O357" i="328" s="1"/>
  <c r="S357" i="328" s="1"/>
  <c r="N357" i="328" a="1"/>
  <c r="N357" i="328"/>
  <c r="P357" i="328" s="1"/>
  <c r="L357" i="328"/>
  <c r="E357" i="328"/>
  <c r="O356" i="328" a="1"/>
  <c r="O356" i="328" s="1"/>
  <c r="S356" i="328" s="1"/>
  <c r="N356" i="328" a="1"/>
  <c r="N356" i="328" s="1"/>
  <c r="P356" i="328" s="1"/>
  <c r="L356" i="328"/>
  <c r="E356" i="328"/>
  <c r="E354" i="328"/>
  <c r="T346" i="328"/>
  <c r="I380" i="328"/>
  <c r="O336" i="328" a="1"/>
  <c r="O336" i="328"/>
  <c r="S336" i="328" s="1"/>
  <c r="N336" i="328" a="1"/>
  <c r="N336" i="328" s="1"/>
  <c r="P336" i="328" s="1"/>
  <c r="L336" i="328"/>
  <c r="O335" i="328" a="1"/>
  <c r="O335" i="328" s="1"/>
  <c r="S335" i="328" s="1"/>
  <c r="N335" i="328" a="1"/>
  <c r="N335" i="328" s="1"/>
  <c r="P335" i="328" s="1"/>
  <c r="L335" i="328"/>
  <c r="O334" i="328" a="1"/>
  <c r="O334" i="328"/>
  <c r="S334" i="328" s="1"/>
  <c r="N334" i="328" a="1"/>
  <c r="N334" i="328" s="1"/>
  <c r="P334" i="328" s="1"/>
  <c r="L334" i="328"/>
  <c r="I334" i="328"/>
  <c r="I335" i="328" s="1"/>
  <c r="O333" i="328" a="1"/>
  <c r="O333" i="328" s="1"/>
  <c r="S333" i="328" s="1"/>
  <c r="N333" i="328" a="1"/>
  <c r="N333" i="328"/>
  <c r="P333" i="328" s="1"/>
  <c r="L333" i="328"/>
  <c r="O332" i="328" a="1"/>
  <c r="O332" i="328" s="1"/>
  <c r="S332" i="328" s="1"/>
  <c r="S337" i="328" s="1"/>
  <c r="N332" i="328" a="1"/>
  <c r="N332" i="328" s="1"/>
  <c r="P332" i="328" s="1"/>
  <c r="L332" i="328"/>
  <c r="O331" i="328" a="1"/>
  <c r="O331" i="328" s="1"/>
  <c r="S331" i="328" s="1"/>
  <c r="N331" i="328" a="1"/>
  <c r="N331" i="328"/>
  <c r="P331" i="328" s="1"/>
  <c r="L331" i="328"/>
  <c r="E331" i="328"/>
  <c r="O330" i="328" a="1"/>
  <c r="O330" i="328" s="1"/>
  <c r="S330" i="328" s="1"/>
  <c r="N330" i="328" a="1"/>
  <c r="N330" i="328" s="1"/>
  <c r="P330" i="328" s="1"/>
  <c r="L330" i="328"/>
  <c r="E330" i="328"/>
  <c r="O329" i="328" a="1"/>
  <c r="O329" i="328" s="1"/>
  <c r="S329" i="328" s="1"/>
  <c r="N329" i="328" a="1"/>
  <c r="N329" i="328"/>
  <c r="P329" i="328" s="1"/>
  <c r="L329" i="328"/>
  <c r="E329" i="328"/>
  <c r="O328" i="328" a="1"/>
  <c r="O328" i="328" s="1"/>
  <c r="S328" i="328" s="1"/>
  <c r="N328" i="328" a="1"/>
  <c r="N328" i="328" s="1"/>
  <c r="P328" i="328" s="1"/>
  <c r="L328" i="328"/>
  <c r="E328" i="328"/>
  <c r="O327" i="328" a="1"/>
  <c r="O327" i="328" s="1"/>
  <c r="S327" i="328" s="1"/>
  <c r="N327" i="328" a="1"/>
  <c r="N327" i="328"/>
  <c r="P327" i="328" s="1"/>
  <c r="L327" i="328"/>
  <c r="E327" i="328"/>
  <c r="O326" i="328" a="1"/>
  <c r="O326" i="328" s="1"/>
  <c r="S326" i="328" s="1"/>
  <c r="N326" i="328" a="1"/>
  <c r="N326" i="328" s="1"/>
  <c r="P326" i="328" s="1"/>
  <c r="L326" i="328"/>
  <c r="E326" i="328"/>
  <c r="O325" i="328" a="1"/>
  <c r="O325" i="328" s="1"/>
  <c r="S325" i="328" s="1"/>
  <c r="N325" i="328" a="1"/>
  <c r="N325" i="328"/>
  <c r="P325" i="328" s="1"/>
  <c r="L325" i="328"/>
  <c r="E325" i="328"/>
  <c r="O324" i="328" a="1"/>
  <c r="O324" i="328" s="1"/>
  <c r="S324" i="328" s="1"/>
  <c r="N324" i="328" a="1"/>
  <c r="N324" i="328" s="1"/>
  <c r="P324" i="328" s="1"/>
  <c r="L324" i="328"/>
  <c r="E324" i="328"/>
  <c r="O323" i="328" a="1"/>
  <c r="O323" i="328" s="1"/>
  <c r="S323" i="328" s="1"/>
  <c r="N323" i="328" a="1"/>
  <c r="N323" i="328"/>
  <c r="P323" i="328" s="1"/>
  <c r="L323" i="328"/>
  <c r="E323" i="328"/>
  <c r="O322" i="328" a="1"/>
  <c r="O322" i="328" s="1"/>
  <c r="S322" i="328" s="1"/>
  <c r="N322" i="328" a="1"/>
  <c r="N322" i="328" s="1"/>
  <c r="P322" i="328" s="1"/>
  <c r="L322" i="328"/>
  <c r="E322" i="328"/>
  <c r="O321" i="328" a="1"/>
  <c r="O321" i="328" s="1"/>
  <c r="S321" i="328" s="1"/>
  <c r="N321" i="328" a="1"/>
  <c r="N321" i="328"/>
  <c r="P321" i="328" s="1"/>
  <c r="L321" i="328"/>
  <c r="E321" i="328"/>
  <c r="O320" i="328" a="1"/>
  <c r="O320" i="328" s="1"/>
  <c r="S320" i="328" s="1"/>
  <c r="N320" i="328" a="1"/>
  <c r="N320" i="328" s="1"/>
  <c r="P320" i="328" s="1"/>
  <c r="L320" i="328"/>
  <c r="E320" i="328"/>
  <c r="O319" i="328" a="1"/>
  <c r="O319" i="328" s="1"/>
  <c r="S319" i="328" s="1"/>
  <c r="N319" i="328" a="1"/>
  <c r="N319" i="328"/>
  <c r="P319" i="328" s="1"/>
  <c r="L319" i="328"/>
  <c r="E319" i="328"/>
  <c r="O318" i="328" a="1"/>
  <c r="O318" i="328" s="1"/>
  <c r="S318" i="328" s="1"/>
  <c r="N318" i="328" a="1"/>
  <c r="N318" i="328" s="1"/>
  <c r="P318" i="328" s="1"/>
  <c r="L318" i="328"/>
  <c r="E318" i="328"/>
  <c r="O317" i="328" a="1"/>
  <c r="O317" i="328" s="1"/>
  <c r="S317" i="328" s="1"/>
  <c r="N317" i="328" a="1"/>
  <c r="N317" i="328"/>
  <c r="P317" i="328" s="1"/>
  <c r="L317" i="328"/>
  <c r="E317" i="328"/>
  <c r="O316" i="328" a="1"/>
  <c r="O316" i="328" s="1"/>
  <c r="S316" i="328" s="1"/>
  <c r="N316" i="328" a="1"/>
  <c r="N316" i="328" s="1"/>
  <c r="P316" i="328" s="1"/>
  <c r="L316" i="328"/>
  <c r="E316" i="328"/>
  <c r="O315" i="328" a="1"/>
  <c r="O315" i="328" s="1"/>
  <c r="S315" i="328" s="1"/>
  <c r="N315" i="328" a="1"/>
  <c r="N315" i="328"/>
  <c r="P315" i="328" s="1"/>
  <c r="L315" i="328"/>
  <c r="E315" i="328"/>
  <c r="O314" i="328" a="1"/>
  <c r="O314" i="328" s="1"/>
  <c r="S314" i="328" s="1"/>
  <c r="N314" i="328" a="1"/>
  <c r="N314" i="328" s="1"/>
  <c r="P314" i="328" s="1"/>
  <c r="L314" i="328"/>
  <c r="E314" i="328"/>
  <c r="O313" i="328" a="1"/>
  <c r="O313" i="328" s="1"/>
  <c r="S313" i="328" s="1"/>
  <c r="N313" i="328" a="1"/>
  <c r="N313" i="328"/>
  <c r="P313" i="328" s="1"/>
  <c r="L313" i="328"/>
  <c r="E313" i="328"/>
  <c r="O312" i="328" a="1"/>
  <c r="O312" i="328" s="1"/>
  <c r="S312" i="328" s="1"/>
  <c r="N312" i="328" a="1"/>
  <c r="N312" i="328" s="1"/>
  <c r="P312" i="328" s="1"/>
  <c r="L312" i="328"/>
  <c r="E312" i="328"/>
  <c r="O311" i="328" a="1"/>
  <c r="O311" i="328" s="1"/>
  <c r="S311" i="328" s="1"/>
  <c r="N311" i="328" a="1"/>
  <c r="N311" i="328"/>
  <c r="P311" i="328" s="1"/>
  <c r="L311" i="328"/>
  <c r="E311" i="328"/>
  <c r="O310" i="328" a="1"/>
  <c r="O310" i="328" s="1"/>
  <c r="S310" i="328" s="1"/>
  <c r="N310" i="328" a="1"/>
  <c r="N310" i="328" s="1"/>
  <c r="P310" i="328" s="1"/>
  <c r="P337" i="328" s="1"/>
  <c r="R297" i="328" s="1"/>
  <c r="L310" i="328"/>
  <c r="E310" i="328"/>
  <c r="O309" i="328" a="1"/>
  <c r="O309" i="328" s="1"/>
  <c r="S309" i="328" s="1"/>
  <c r="N309" i="328" a="1"/>
  <c r="N309" i="328"/>
  <c r="P309" i="328" s="1"/>
  <c r="L309" i="328"/>
  <c r="E309" i="328"/>
  <c r="E307" i="328"/>
  <c r="T299" i="328"/>
  <c r="I333" i="328" s="1"/>
  <c r="O289" i="328" a="1"/>
  <c r="O289" i="328" s="1"/>
  <c r="S289" i="328" s="1"/>
  <c r="N289" i="328" a="1"/>
  <c r="N289" i="328" s="1"/>
  <c r="P289" i="328" s="1"/>
  <c r="L289" i="328"/>
  <c r="O288" i="328" a="1"/>
  <c r="O288" i="328" s="1"/>
  <c r="S288" i="328" s="1"/>
  <c r="N288" i="328" a="1"/>
  <c r="N288" i="328"/>
  <c r="P288" i="328" s="1"/>
  <c r="L288" i="328"/>
  <c r="O287" i="328" a="1"/>
  <c r="O287" i="328" s="1"/>
  <c r="S287" i="328" s="1"/>
  <c r="N287" i="328" a="1"/>
  <c r="N287" i="328" s="1"/>
  <c r="P287" i="328" s="1"/>
  <c r="L287" i="328"/>
  <c r="I287" i="328"/>
  <c r="I288" i="328" s="1"/>
  <c r="O286" i="328" a="1"/>
  <c r="O286" i="328" s="1"/>
  <c r="S286" i="328" s="1"/>
  <c r="N286" i="328" a="1"/>
  <c r="N286" i="328" s="1"/>
  <c r="P286" i="328" s="1"/>
  <c r="L286" i="328"/>
  <c r="O285" i="328" a="1"/>
  <c r="O285" i="328"/>
  <c r="S285" i="328" s="1"/>
  <c r="N285" i="328" a="1"/>
  <c r="N285" i="328" s="1"/>
  <c r="P285" i="328" s="1"/>
  <c r="L285" i="328"/>
  <c r="O284" i="328" a="1"/>
  <c r="O284" i="328" s="1"/>
  <c r="S284" i="328" s="1"/>
  <c r="N284" i="328" a="1"/>
  <c r="N284" i="328" s="1"/>
  <c r="P284" i="328" s="1"/>
  <c r="L284" i="328"/>
  <c r="E284" i="328"/>
  <c r="O283" i="328" a="1"/>
  <c r="O283" i="328" s="1"/>
  <c r="S283" i="328" s="1"/>
  <c r="N283" i="328" a="1"/>
  <c r="N283" i="328"/>
  <c r="P283" i="328" s="1"/>
  <c r="L283" i="328"/>
  <c r="E283" i="328"/>
  <c r="O282" i="328" a="1"/>
  <c r="O282" i="328" s="1"/>
  <c r="S282" i="328" s="1"/>
  <c r="N282" i="328" a="1"/>
  <c r="N282" i="328" s="1"/>
  <c r="P282" i="328" s="1"/>
  <c r="L282" i="328"/>
  <c r="E282" i="328"/>
  <c r="O281" i="328" a="1"/>
  <c r="O281" i="328" s="1"/>
  <c r="S281" i="328" s="1"/>
  <c r="N281" i="328" a="1"/>
  <c r="N281" i="328"/>
  <c r="P281" i="328" s="1"/>
  <c r="L281" i="328"/>
  <c r="E281" i="328"/>
  <c r="O280" i="328" a="1"/>
  <c r="O280" i="328" s="1"/>
  <c r="S280" i="328" s="1"/>
  <c r="N280" i="328" a="1"/>
  <c r="N280" i="328" s="1"/>
  <c r="P280" i="328" s="1"/>
  <c r="L280" i="328"/>
  <c r="E280" i="328"/>
  <c r="O279" i="328" a="1"/>
  <c r="O279" i="328" s="1"/>
  <c r="S279" i="328" s="1"/>
  <c r="N279" i="328" a="1"/>
  <c r="N279" i="328"/>
  <c r="P279" i="328" s="1"/>
  <c r="L279" i="328"/>
  <c r="E279" i="328"/>
  <c r="O278" i="328" a="1"/>
  <c r="O278" i="328" s="1"/>
  <c r="S278" i="328" s="1"/>
  <c r="N278" i="328" a="1"/>
  <c r="N278" i="328" s="1"/>
  <c r="P278" i="328" s="1"/>
  <c r="L278" i="328"/>
  <c r="E278" i="328"/>
  <c r="O277" i="328" a="1"/>
  <c r="O277" i="328" s="1"/>
  <c r="S277" i="328" s="1"/>
  <c r="N277" i="328" a="1"/>
  <c r="N277" i="328"/>
  <c r="P277" i="328" s="1"/>
  <c r="L277" i="328"/>
  <c r="E277" i="328"/>
  <c r="O276" i="328" a="1"/>
  <c r="O276" i="328" s="1"/>
  <c r="S276" i="328" s="1"/>
  <c r="N276" i="328" a="1"/>
  <c r="N276" i="328" s="1"/>
  <c r="P276" i="328" s="1"/>
  <c r="L276" i="328"/>
  <c r="E276" i="328"/>
  <c r="O275" i="328" a="1"/>
  <c r="O275" i="328" s="1"/>
  <c r="S275" i="328" s="1"/>
  <c r="N275" i="328" a="1"/>
  <c r="N275" i="328"/>
  <c r="P275" i="328" s="1"/>
  <c r="L275" i="328"/>
  <c r="E275" i="328"/>
  <c r="O274" i="328" a="1"/>
  <c r="O274" i="328" s="1"/>
  <c r="S274" i="328" s="1"/>
  <c r="N274" i="328" a="1"/>
  <c r="N274" i="328" s="1"/>
  <c r="P274" i="328" s="1"/>
  <c r="L274" i="328"/>
  <c r="E274" i="328"/>
  <c r="O273" i="328" a="1"/>
  <c r="O273" i="328" s="1"/>
  <c r="S273" i="328" s="1"/>
  <c r="N273" i="328" a="1"/>
  <c r="N273" i="328"/>
  <c r="P273" i="328" s="1"/>
  <c r="L273" i="328"/>
  <c r="E273" i="328"/>
  <c r="O272" i="328" a="1"/>
  <c r="O272" i="328" s="1"/>
  <c r="S272" i="328" s="1"/>
  <c r="N272" i="328" a="1"/>
  <c r="N272" i="328" s="1"/>
  <c r="P272" i="328" s="1"/>
  <c r="L272" i="328"/>
  <c r="E272" i="328"/>
  <c r="O271" i="328" a="1"/>
  <c r="O271" i="328" s="1"/>
  <c r="S271" i="328" s="1"/>
  <c r="N271" i="328" a="1"/>
  <c r="N271" i="328"/>
  <c r="P271" i="328" s="1"/>
  <c r="L271" i="328"/>
  <c r="E271" i="328"/>
  <c r="O270" i="328" a="1"/>
  <c r="O270" i="328" s="1"/>
  <c r="S270" i="328" s="1"/>
  <c r="N270" i="328" a="1"/>
  <c r="N270" i="328" s="1"/>
  <c r="P270" i="328" s="1"/>
  <c r="L270" i="328"/>
  <c r="E270" i="328"/>
  <c r="O269" i="328" a="1"/>
  <c r="O269" i="328" s="1"/>
  <c r="S269" i="328" s="1"/>
  <c r="N269" i="328" a="1"/>
  <c r="N269" i="328"/>
  <c r="P269" i="328" s="1"/>
  <c r="L269" i="328"/>
  <c r="E269" i="328"/>
  <c r="O268" i="328" a="1"/>
  <c r="O268" i="328" s="1"/>
  <c r="S268" i="328" s="1"/>
  <c r="N268" i="328" a="1"/>
  <c r="N268" i="328" s="1"/>
  <c r="P268" i="328" s="1"/>
  <c r="L268" i="328"/>
  <c r="E268" i="328"/>
  <c r="O267" i="328" a="1"/>
  <c r="O267" i="328" s="1"/>
  <c r="S267" i="328" s="1"/>
  <c r="N267" i="328" a="1"/>
  <c r="N267" i="328"/>
  <c r="P267" i="328" s="1"/>
  <c r="L267" i="328"/>
  <c r="E267" i="328"/>
  <c r="O266" i="328" a="1"/>
  <c r="O266" i="328" s="1"/>
  <c r="S266" i="328" s="1"/>
  <c r="N266" i="328" a="1"/>
  <c r="N266" i="328" s="1"/>
  <c r="P266" i="328" s="1"/>
  <c r="L266" i="328"/>
  <c r="E266" i="328"/>
  <c r="O265" i="328" a="1"/>
  <c r="O265" i="328" s="1"/>
  <c r="S265" i="328" s="1"/>
  <c r="N265" i="328" a="1"/>
  <c r="N265" i="328"/>
  <c r="P265" i="328" s="1"/>
  <c r="L265" i="328"/>
  <c r="E265" i="328"/>
  <c r="O264" i="328" a="1"/>
  <c r="O264" i="328" s="1"/>
  <c r="S264" i="328" s="1"/>
  <c r="N264" i="328" a="1"/>
  <c r="N264" i="328" s="1"/>
  <c r="P264" i="328" s="1"/>
  <c r="L264" i="328"/>
  <c r="E264" i="328"/>
  <c r="O263" i="328" a="1"/>
  <c r="O263" i="328" s="1"/>
  <c r="S263" i="328" s="1"/>
  <c r="N263" i="328" a="1"/>
  <c r="N263" i="328"/>
  <c r="P263" i="328" s="1"/>
  <c r="L263" i="328"/>
  <c r="E263" i="328"/>
  <c r="O262" i="328" a="1"/>
  <c r="O262" i="328" s="1"/>
  <c r="S262" i="328" s="1"/>
  <c r="N262" i="328" a="1"/>
  <c r="N262" i="328" s="1"/>
  <c r="P262" i="328" s="1"/>
  <c r="P290" i="328" s="1"/>
  <c r="L262" i="328"/>
  <c r="E262" i="328"/>
  <c r="E260" i="328"/>
  <c r="T252" i="328"/>
  <c r="I286" i="328"/>
  <c r="O242" i="328" a="1"/>
  <c r="O242" i="328"/>
  <c r="S242" i="328" s="1"/>
  <c r="N242" i="328" a="1"/>
  <c r="N242" i="328" s="1"/>
  <c r="P242" i="328" s="1"/>
  <c r="L242" i="328"/>
  <c r="O241" i="328" a="1"/>
  <c r="O241" i="328" s="1"/>
  <c r="S241" i="328" s="1"/>
  <c r="N241" i="328" a="1"/>
  <c r="N241" i="328" s="1"/>
  <c r="P241" i="328" s="1"/>
  <c r="L241" i="328"/>
  <c r="O240" i="328" a="1"/>
  <c r="O240" i="328"/>
  <c r="S240" i="328" s="1"/>
  <c r="N240" i="328" a="1"/>
  <c r="N240" i="328" s="1"/>
  <c r="P240" i="328" s="1"/>
  <c r="L240" i="328"/>
  <c r="I240" i="328"/>
  <c r="I241" i="328" s="1"/>
  <c r="O239" i="328" a="1"/>
  <c r="O239" i="328" s="1"/>
  <c r="S239" i="328" s="1"/>
  <c r="N239" i="328" a="1"/>
  <c r="N239" i="328"/>
  <c r="P239" i="328" s="1"/>
  <c r="L239" i="328"/>
  <c r="O238" i="328" a="1"/>
  <c r="O238" i="328" s="1"/>
  <c r="S238" i="328" s="1"/>
  <c r="N238" i="328" a="1"/>
  <c r="N238" i="328" s="1"/>
  <c r="P238" i="328" s="1"/>
  <c r="L238" i="328"/>
  <c r="O237" i="328" a="1"/>
  <c r="O237" i="328" s="1"/>
  <c r="S237" i="328" s="1"/>
  <c r="N237" i="328" a="1"/>
  <c r="N237" i="328"/>
  <c r="P237" i="328" s="1"/>
  <c r="L237" i="328"/>
  <c r="E237" i="328"/>
  <c r="O236" i="328" a="1"/>
  <c r="O236" i="328" s="1"/>
  <c r="S236" i="328" s="1"/>
  <c r="N236" i="328" a="1"/>
  <c r="N236" i="328" s="1"/>
  <c r="P236" i="328" s="1"/>
  <c r="L236" i="328"/>
  <c r="E236" i="328"/>
  <c r="O235" i="328" a="1"/>
  <c r="O235" i="328" s="1"/>
  <c r="S235" i="328" s="1"/>
  <c r="N235" i="328" a="1"/>
  <c r="N235" i="328"/>
  <c r="P235" i="328" s="1"/>
  <c r="L235" i="328"/>
  <c r="E235" i="328"/>
  <c r="O234" i="328" a="1"/>
  <c r="O234" i="328" s="1"/>
  <c r="S234" i="328" s="1"/>
  <c r="N234" i="328" a="1"/>
  <c r="N234" i="328" s="1"/>
  <c r="P234" i="328" s="1"/>
  <c r="L234" i="328"/>
  <c r="E234" i="328"/>
  <c r="O233" i="328" a="1"/>
  <c r="O233" i="328" s="1"/>
  <c r="S233" i="328" s="1"/>
  <c r="N233" i="328" a="1"/>
  <c r="N233" i="328"/>
  <c r="P233" i="328" s="1"/>
  <c r="L233" i="328"/>
  <c r="E233" i="328"/>
  <c r="O232" i="328" a="1"/>
  <c r="O232" i="328" s="1"/>
  <c r="S232" i="328" s="1"/>
  <c r="N232" i="328" a="1"/>
  <c r="N232" i="328" s="1"/>
  <c r="P232" i="328" s="1"/>
  <c r="L232" i="328"/>
  <c r="E232" i="328"/>
  <c r="O231" i="328" a="1"/>
  <c r="O231" i="328" s="1"/>
  <c r="S231" i="328" s="1"/>
  <c r="N231" i="328" a="1"/>
  <c r="N231" i="328"/>
  <c r="P231" i="328" s="1"/>
  <c r="L231" i="328"/>
  <c r="E231" i="328"/>
  <c r="O230" i="328" a="1"/>
  <c r="O230" i="328" s="1"/>
  <c r="S230" i="328" s="1"/>
  <c r="N230" i="328" a="1"/>
  <c r="N230" i="328" s="1"/>
  <c r="P230" i="328" s="1"/>
  <c r="L230" i="328"/>
  <c r="E230" i="328"/>
  <c r="O229" i="328" a="1"/>
  <c r="O229" i="328" s="1"/>
  <c r="S229" i="328" s="1"/>
  <c r="N229" i="328" a="1"/>
  <c r="N229" i="328"/>
  <c r="P229" i="328" s="1"/>
  <c r="L229" i="328"/>
  <c r="E229" i="328"/>
  <c r="O228" i="328" a="1"/>
  <c r="O228" i="328" s="1"/>
  <c r="S228" i="328" s="1"/>
  <c r="N228" i="328" a="1"/>
  <c r="N228" i="328" s="1"/>
  <c r="P228" i="328" s="1"/>
  <c r="L228" i="328"/>
  <c r="E228" i="328"/>
  <c r="O227" i="328" a="1"/>
  <c r="O227" i="328" s="1"/>
  <c r="S227" i="328" s="1"/>
  <c r="N227" i="328" a="1"/>
  <c r="N227" i="328"/>
  <c r="P227" i="328" s="1"/>
  <c r="L227" i="328"/>
  <c r="E227" i="328"/>
  <c r="O226" i="328" a="1"/>
  <c r="O226" i="328" s="1"/>
  <c r="S226" i="328" s="1"/>
  <c r="N226" i="328" a="1"/>
  <c r="N226" i="328" s="1"/>
  <c r="P226" i="328" s="1"/>
  <c r="L226" i="328"/>
  <c r="E226" i="328"/>
  <c r="O225" i="328" a="1"/>
  <c r="O225" i="328" s="1"/>
  <c r="S225" i="328" s="1"/>
  <c r="N225" i="328" a="1"/>
  <c r="N225" i="328"/>
  <c r="P225" i="328" s="1"/>
  <c r="L225" i="328"/>
  <c r="E225" i="328"/>
  <c r="O224" i="328" a="1"/>
  <c r="O224" i="328" s="1"/>
  <c r="S224" i="328" s="1"/>
  <c r="N224" i="328" a="1"/>
  <c r="N224" i="328" s="1"/>
  <c r="P224" i="328" s="1"/>
  <c r="L224" i="328"/>
  <c r="E224" i="328"/>
  <c r="O223" i="328" a="1"/>
  <c r="O223" i="328" s="1"/>
  <c r="S223" i="328" s="1"/>
  <c r="N223" i="328" a="1"/>
  <c r="N223" i="328"/>
  <c r="P223" i="328" s="1"/>
  <c r="L223" i="328"/>
  <c r="E223" i="328"/>
  <c r="O222" i="328" a="1"/>
  <c r="O222" i="328" s="1"/>
  <c r="S222" i="328" s="1"/>
  <c r="N222" i="328" a="1"/>
  <c r="N222" i="328" s="1"/>
  <c r="P222" i="328" s="1"/>
  <c r="L222" i="328"/>
  <c r="E222" i="328"/>
  <c r="O221" i="328" a="1"/>
  <c r="O221" i="328" s="1"/>
  <c r="S221" i="328" s="1"/>
  <c r="N221" i="328" a="1"/>
  <c r="N221" i="328"/>
  <c r="P221" i="328" s="1"/>
  <c r="L221" i="328"/>
  <c r="E221" i="328"/>
  <c r="O220" i="328" a="1"/>
  <c r="O220" i="328" s="1"/>
  <c r="S220" i="328" s="1"/>
  <c r="N220" i="328" a="1"/>
  <c r="N220" i="328" s="1"/>
  <c r="P220" i="328" s="1"/>
  <c r="L220" i="328"/>
  <c r="E220" i="328"/>
  <c r="O219" i="328" a="1"/>
  <c r="O219" i="328" s="1"/>
  <c r="S219" i="328" s="1"/>
  <c r="N219" i="328" a="1"/>
  <c r="N219" i="328"/>
  <c r="P219" i="328" s="1"/>
  <c r="L219" i="328"/>
  <c r="E219" i="328"/>
  <c r="O218" i="328" a="1"/>
  <c r="O218" i="328" s="1"/>
  <c r="S218" i="328" s="1"/>
  <c r="N218" i="328" a="1"/>
  <c r="N218" i="328" s="1"/>
  <c r="P218" i="328" s="1"/>
  <c r="L218" i="328"/>
  <c r="E218" i="328"/>
  <c r="O217" i="328" a="1"/>
  <c r="O217" i="328" s="1"/>
  <c r="S217" i="328" s="1"/>
  <c r="N217" i="328" a="1"/>
  <c r="N217" i="328"/>
  <c r="P217" i="328" s="1"/>
  <c r="L217" i="328"/>
  <c r="E217" i="328"/>
  <c r="O216" i="328" a="1"/>
  <c r="O216" i="328" s="1"/>
  <c r="S216" i="328" s="1"/>
  <c r="N216" i="328" a="1"/>
  <c r="N216" i="328" s="1"/>
  <c r="P216" i="328" s="1"/>
  <c r="L216" i="328"/>
  <c r="E216" i="328"/>
  <c r="O215" i="328" a="1"/>
  <c r="O215" i="328" s="1"/>
  <c r="S215" i="328" s="1"/>
  <c r="N215" i="328" a="1"/>
  <c r="N215" i="328"/>
  <c r="P215" i="328" s="1"/>
  <c r="L215" i="328"/>
  <c r="E215" i="328"/>
  <c r="E213" i="328"/>
  <c r="T205" i="328"/>
  <c r="I239" i="328" s="1"/>
  <c r="O195" i="328" a="1"/>
  <c r="O195" i="328" s="1"/>
  <c r="S195" i="328" s="1"/>
  <c r="N195" i="328" a="1"/>
  <c r="N195" i="328" s="1"/>
  <c r="P195" i="328" s="1"/>
  <c r="L195" i="328"/>
  <c r="O194" i="328" a="1"/>
  <c r="O194" i="328" s="1"/>
  <c r="S194" i="328" s="1"/>
  <c r="N194" i="328" a="1"/>
  <c r="N194" i="328"/>
  <c r="P194" i="328" s="1"/>
  <c r="L194" i="328"/>
  <c r="O193" i="328" a="1"/>
  <c r="O193" i="328" s="1"/>
  <c r="S193" i="328" s="1"/>
  <c r="N193" i="328" a="1"/>
  <c r="N193" i="328" s="1"/>
  <c r="P193" i="328" s="1"/>
  <c r="L193" i="328"/>
  <c r="I193" i="328"/>
  <c r="I194" i="328" s="1"/>
  <c r="O192" i="328" a="1"/>
  <c r="O192" i="328" s="1"/>
  <c r="S192" i="328" s="1"/>
  <c r="N192" i="328" a="1"/>
  <c r="N192" i="328" s="1"/>
  <c r="P192" i="328" s="1"/>
  <c r="L192" i="328"/>
  <c r="O191" i="328" a="1"/>
  <c r="O191" i="328"/>
  <c r="S191" i="328" s="1"/>
  <c r="N191" i="328" a="1"/>
  <c r="N191" i="328" s="1"/>
  <c r="P191" i="328" s="1"/>
  <c r="L191" i="328"/>
  <c r="O190" i="328" a="1"/>
  <c r="O190" i="328" s="1"/>
  <c r="S190" i="328" s="1"/>
  <c r="N190" i="328" a="1"/>
  <c r="N190" i="328" s="1"/>
  <c r="P190" i="328" s="1"/>
  <c r="L190" i="328"/>
  <c r="E190" i="328"/>
  <c r="O189" i="328" a="1"/>
  <c r="O189" i="328" s="1"/>
  <c r="S189" i="328" s="1"/>
  <c r="N189" i="328" a="1"/>
  <c r="N189" i="328"/>
  <c r="P189" i="328" s="1"/>
  <c r="L189" i="328"/>
  <c r="E189" i="328"/>
  <c r="O188" i="328" a="1"/>
  <c r="O188" i="328" s="1"/>
  <c r="S188" i="328" s="1"/>
  <c r="N188" i="328" a="1"/>
  <c r="N188" i="328" s="1"/>
  <c r="P188" i="328" s="1"/>
  <c r="L188" i="328"/>
  <c r="E188" i="328"/>
  <c r="O187" i="328" a="1"/>
  <c r="O187" i="328" s="1"/>
  <c r="S187" i="328" s="1"/>
  <c r="N187" i="328" a="1"/>
  <c r="N187" i="328"/>
  <c r="P187" i="328" s="1"/>
  <c r="L187" i="328"/>
  <c r="E187" i="328"/>
  <c r="O186" i="328" a="1"/>
  <c r="O186" i="328" s="1"/>
  <c r="S186" i="328" s="1"/>
  <c r="N186" i="328" a="1"/>
  <c r="N186" i="328" s="1"/>
  <c r="P186" i="328" s="1"/>
  <c r="L186" i="328"/>
  <c r="E186" i="328"/>
  <c r="O185" i="328" a="1"/>
  <c r="O185" i="328" s="1"/>
  <c r="S185" i="328" s="1"/>
  <c r="N185" i="328" a="1"/>
  <c r="N185" i="328"/>
  <c r="P185" i="328" s="1"/>
  <c r="L185" i="328"/>
  <c r="E185" i="328"/>
  <c r="O184" i="328" a="1"/>
  <c r="O184" i="328" s="1"/>
  <c r="S184" i="328" s="1"/>
  <c r="N184" i="328" a="1"/>
  <c r="N184" i="328" s="1"/>
  <c r="P184" i="328" s="1"/>
  <c r="L184" i="328"/>
  <c r="E184" i="328"/>
  <c r="O183" i="328" a="1"/>
  <c r="O183" i="328" s="1"/>
  <c r="S183" i="328" s="1"/>
  <c r="N183" i="328" a="1"/>
  <c r="N183" i="328"/>
  <c r="P183" i="328" s="1"/>
  <c r="L183" i="328"/>
  <c r="E183" i="328"/>
  <c r="O182" i="328" a="1"/>
  <c r="O182" i="328" s="1"/>
  <c r="S182" i="328" s="1"/>
  <c r="N182" i="328" a="1"/>
  <c r="N182" i="328" s="1"/>
  <c r="P182" i="328" s="1"/>
  <c r="L182" i="328"/>
  <c r="E182" i="328"/>
  <c r="O181" i="328" a="1"/>
  <c r="O181" i="328" s="1"/>
  <c r="S181" i="328" s="1"/>
  <c r="N181" i="328" a="1"/>
  <c r="N181" i="328"/>
  <c r="P181" i="328" s="1"/>
  <c r="L181" i="328"/>
  <c r="E181" i="328"/>
  <c r="O180" i="328" a="1"/>
  <c r="O180" i="328" s="1"/>
  <c r="S180" i="328" s="1"/>
  <c r="N180" i="328" a="1"/>
  <c r="N180" i="328" s="1"/>
  <c r="P180" i="328" s="1"/>
  <c r="L180" i="328"/>
  <c r="E180" i="328"/>
  <c r="O179" i="328" a="1"/>
  <c r="O179" i="328" s="1"/>
  <c r="S179" i="328" s="1"/>
  <c r="N179" i="328" a="1"/>
  <c r="N179" i="328"/>
  <c r="P179" i="328" s="1"/>
  <c r="L179" i="328"/>
  <c r="E179" i="328"/>
  <c r="O178" i="328" a="1"/>
  <c r="O178" i="328" s="1"/>
  <c r="S178" i="328" s="1"/>
  <c r="N178" i="328" a="1"/>
  <c r="N178" i="328" s="1"/>
  <c r="P178" i="328" s="1"/>
  <c r="L178" i="328"/>
  <c r="E178" i="328"/>
  <c r="O177" i="328" a="1"/>
  <c r="O177" i="328" s="1"/>
  <c r="S177" i="328" s="1"/>
  <c r="N177" i="328" a="1"/>
  <c r="N177" i="328"/>
  <c r="P177" i="328" s="1"/>
  <c r="L177" i="328"/>
  <c r="E177" i="328"/>
  <c r="O176" i="328" a="1"/>
  <c r="O176" i="328" s="1"/>
  <c r="S176" i="328" s="1"/>
  <c r="N176" i="328" a="1"/>
  <c r="N176" i="328" s="1"/>
  <c r="P176" i="328" s="1"/>
  <c r="L176" i="328"/>
  <c r="E176" i="328"/>
  <c r="O175" i="328" a="1"/>
  <c r="O175" i="328" s="1"/>
  <c r="S175" i="328" s="1"/>
  <c r="N175" i="328" a="1"/>
  <c r="N175" i="328"/>
  <c r="P175" i="328" s="1"/>
  <c r="L175" i="328"/>
  <c r="E175" i="328"/>
  <c r="O174" i="328" a="1"/>
  <c r="O174" i="328" s="1"/>
  <c r="S174" i="328" s="1"/>
  <c r="N174" i="328" a="1"/>
  <c r="N174" i="328" s="1"/>
  <c r="P174" i="328" s="1"/>
  <c r="L174" i="328"/>
  <c r="E174" i="328"/>
  <c r="O173" i="328" a="1"/>
  <c r="O173" i="328" s="1"/>
  <c r="S173" i="328" s="1"/>
  <c r="N173" i="328" a="1"/>
  <c r="N173" i="328"/>
  <c r="P173" i="328" s="1"/>
  <c r="L173" i="328"/>
  <c r="E173" i="328"/>
  <c r="O172" i="328" a="1"/>
  <c r="O172" i="328" s="1"/>
  <c r="S172" i="328" s="1"/>
  <c r="N172" i="328" a="1"/>
  <c r="N172" i="328" s="1"/>
  <c r="P172" i="328" s="1"/>
  <c r="L172" i="328"/>
  <c r="E172" i="328"/>
  <c r="O171" i="328" a="1"/>
  <c r="O171" i="328" s="1"/>
  <c r="S171" i="328" s="1"/>
  <c r="N171" i="328" a="1"/>
  <c r="N171" i="328"/>
  <c r="P171" i="328" s="1"/>
  <c r="L171" i="328"/>
  <c r="E171" i="328"/>
  <c r="O170" i="328" a="1"/>
  <c r="O170" i="328" s="1"/>
  <c r="S170" i="328" s="1"/>
  <c r="N170" i="328" a="1"/>
  <c r="N170" i="328" s="1"/>
  <c r="P170" i="328" s="1"/>
  <c r="L170" i="328"/>
  <c r="E170" i="328"/>
  <c r="O169" i="328" a="1"/>
  <c r="O169" i="328" s="1"/>
  <c r="S169" i="328" s="1"/>
  <c r="N169" i="328" a="1"/>
  <c r="N169" i="328"/>
  <c r="P169" i="328" s="1"/>
  <c r="L169" i="328"/>
  <c r="E169" i="328"/>
  <c r="O168" i="328" a="1"/>
  <c r="O168" i="328" s="1"/>
  <c r="S168" i="328" s="1"/>
  <c r="N168" i="328" a="1"/>
  <c r="N168" i="328" s="1"/>
  <c r="P168" i="328" s="1"/>
  <c r="L168" i="328"/>
  <c r="E168" i="328"/>
  <c r="E166" i="328"/>
  <c r="T158" i="328"/>
  <c r="I192" i="328"/>
  <c r="O148" i="328" a="1"/>
  <c r="O148" i="328"/>
  <c r="S148" i="328" s="1"/>
  <c r="N148" i="328" a="1"/>
  <c r="N148" i="328" s="1"/>
  <c r="P148" i="328" s="1"/>
  <c r="L148" i="328"/>
  <c r="O147" i="328" a="1"/>
  <c r="O147" i="328" s="1"/>
  <c r="S147" i="328" s="1"/>
  <c r="N147" i="328" a="1"/>
  <c r="N147" i="328" s="1"/>
  <c r="P147" i="328" s="1"/>
  <c r="L147" i="328"/>
  <c r="O146" i="328" a="1"/>
  <c r="O146" i="328"/>
  <c r="S146" i="328" s="1"/>
  <c r="N146" i="328" a="1"/>
  <c r="N146" i="328" s="1"/>
  <c r="P146" i="328" s="1"/>
  <c r="L146" i="328"/>
  <c r="I146" i="328"/>
  <c r="I147" i="328" s="1"/>
  <c r="O145" i="328" a="1"/>
  <c r="O145" i="328" s="1"/>
  <c r="S145" i="328" s="1"/>
  <c r="N145" i="328" a="1"/>
  <c r="N145" i="328"/>
  <c r="P145" i="328" s="1"/>
  <c r="L145" i="328"/>
  <c r="O144" i="328" a="1"/>
  <c r="O144" i="328" s="1"/>
  <c r="S144" i="328" s="1"/>
  <c r="S149" i="328" s="1"/>
  <c r="N144" i="328" a="1"/>
  <c r="N144" i="328" s="1"/>
  <c r="P144" i="328" s="1"/>
  <c r="L144" i="328"/>
  <c r="O143" i="328" a="1"/>
  <c r="O143" i="328" s="1"/>
  <c r="S143" i="328" s="1"/>
  <c r="N143" i="328" a="1"/>
  <c r="N143" i="328"/>
  <c r="P143" i="328" s="1"/>
  <c r="L143" i="328"/>
  <c r="E143" i="328"/>
  <c r="O142" i="328" a="1"/>
  <c r="O142" i="328" s="1"/>
  <c r="S142" i="328" s="1"/>
  <c r="N142" i="328" a="1"/>
  <c r="N142" i="328" s="1"/>
  <c r="P142" i="328" s="1"/>
  <c r="L142" i="328"/>
  <c r="E142" i="328"/>
  <c r="O141" i="328" a="1"/>
  <c r="O141" i="328" s="1"/>
  <c r="S141" i="328" s="1"/>
  <c r="N141" i="328" a="1"/>
  <c r="N141" i="328"/>
  <c r="P141" i="328" s="1"/>
  <c r="L141" i="328"/>
  <c r="E141" i="328"/>
  <c r="O140" i="328" a="1"/>
  <c r="O140" i="328" s="1"/>
  <c r="S140" i="328" s="1"/>
  <c r="N140" i="328" a="1"/>
  <c r="N140" i="328" s="1"/>
  <c r="P140" i="328" s="1"/>
  <c r="L140" i="328"/>
  <c r="E140" i="328"/>
  <c r="O139" i="328" a="1"/>
  <c r="O139" i="328" s="1"/>
  <c r="S139" i="328" s="1"/>
  <c r="N139" i="328" a="1"/>
  <c r="N139" i="328"/>
  <c r="P139" i="328" s="1"/>
  <c r="L139" i="328"/>
  <c r="E139" i="328"/>
  <c r="O138" i="328" a="1"/>
  <c r="O138" i="328" s="1"/>
  <c r="S138" i="328" s="1"/>
  <c r="N138" i="328" a="1"/>
  <c r="N138" i="328" s="1"/>
  <c r="P138" i="328" s="1"/>
  <c r="L138" i="328"/>
  <c r="E138" i="328"/>
  <c r="O137" i="328" a="1"/>
  <c r="O137" i="328" s="1"/>
  <c r="S137" i="328" s="1"/>
  <c r="N137" i="328" a="1"/>
  <c r="N137" i="328"/>
  <c r="P137" i="328" s="1"/>
  <c r="L137" i="328"/>
  <c r="E137" i="328"/>
  <c r="O136" i="328" a="1"/>
  <c r="O136" i="328" s="1"/>
  <c r="S136" i="328" s="1"/>
  <c r="N136" i="328" a="1"/>
  <c r="N136" i="328" s="1"/>
  <c r="P136" i="328" s="1"/>
  <c r="L136" i="328"/>
  <c r="E136" i="328"/>
  <c r="O135" i="328" a="1"/>
  <c r="O135" i="328" s="1"/>
  <c r="S135" i="328" s="1"/>
  <c r="N135" i="328" a="1"/>
  <c r="N135" i="328"/>
  <c r="P135" i="328" s="1"/>
  <c r="L135" i="328"/>
  <c r="E135" i="328"/>
  <c r="O134" i="328" a="1"/>
  <c r="O134" i="328" s="1"/>
  <c r="S134" i="328" s="1"/>
  <c r="N134" i="328" a="1"/>
  <c r="N134" i="328" s="1"/>
  <c r="P134" i="328" s="1"/>
  <c r="L134" i="328"/>
  <c r="E134" i="328"/>
  <c r="O133" i="328" a="1"/>
  <c r="O133" i="328" s="1"/>
  <c r="S133" i="328" s="1"/>
  <c r="N133" i="328" a="1"/>
  <c r="N133" i="328"/>
  <c r="P133" i="328" s="1"/>
  <c r="L133" i="328"/>
  <c r="E133" i="328"/>
  <c r="O132" i="328" a="1"/>
  <c r="O132" i="328" s="1"/>
  <c r="S132" i="328" s="1"/>
  <c r="N132" i="328" a="1"/>
  <c r="N132" i="328" s="1"/>
  <c r="P132" i="328" s="1"/>
  <c r="L132" i="328"/>
  <c r="E132" i="328"/>
  <c r="O131" i="328" a="1"/>
  <c r="O131" i="328" s="1"/>
  <c r="S131" i="328" s="1"/>
  <c r="N131" i="328" a="1"/>
  <c r="N131" i="328"/>
  <c r="P131" i="328" s="1"/>
  <c r="L131" i="328"/>
  <c r="E131" i="328"/>
  <c r="O130" i="328" a="1"/>
  <c r="O130" i="328" s="1"/>
  <c r="S130" i="328" s="1"/>
  <c r="N130" i="328" a="1"/>
  <c r="N130" i="328" s="1"/>
  <c r="P130" i="328" s="1"/>
  <c r="L130" i="328"/>
  <c r="E130" i="328"/>
  <c r="O129" i="328" a="1"/>
  <c r="O129" i="328" s="1"/>
  <c r="S129" i="328" s="1"/>
  <c r="N129" i="328" a="1"/>
  <c r="N129" i="328"/>
  <c r="P129" i="328" s="1"/>
  <c r="L129" i="328"/>
  <c r="E129" i="328"/>
  <c r="O128" i="328" a="1"/>
  <c r="O128" i="328" s="1"/>
  <c r="S128" i="328" s="1"/>
  <c r="N128" i="328" a="1"/>
  <c r="N128" i="328" s="1"/>
  <c r="P128" i="328" s="1"/>
  <c r="L128" i="328"/>
  <c r="E128" i="328"/>
  <c r="O127" i="328" a="1"/>
  <c r="O127" i="328" s="1"/>
  <c r="S127" i="328" s="1"/>
  <c r="N127" i="328" a="1"/>
  <c r="N127" i="328"/>
  <c r="P127" i="328" s="1"/>
  <c r="L127" i="328"/>
  <c r="E127" i="328"/>
  <c r="O126" i="328" a="1"/>
  <c r="O126" i="328" s="1"/>
  <c r="S126" i="328" s="1"/>
  <c r="N126" i="328" a="1"/>
  <c r="N126" i="328" s="1"/>
  <c r="P126" i="328" s="1"/>
  <c r="L126" i="328"/>
  <c r="E126" i="328"/>
  <c r="O125" i="328" a="1"/>
  <c r="O125" i="328" s="1"/>
  <c r="S125" i="328" s="1"/>
  <c r="N125" i="328" a="1"/>
  <c r="N125" i="328"/>
  <c r="P125" i="328" s="1"/>
  <c r="L125" i="328"/>
  <c r="E125" i="328"/>
  <c r="O124" i="328" a="1"/>
  <c r="O124" i="328" s="1"/>
  <c r="S124" i="328" s="1"/>
  <c r="N124" i="328" a="1"/>
  <c r="N124" i="328" s="1"/>
  <c r="P124" i="328" s="1"/>
  <c r="L124" i="328"/>
  <c r="E124" i="328"/>
  <c r="O123" i="328" a="1"/>
  <c r="O123" i="328" s="1"/>
  <c r="S123" i="328" s="1"/>
  <c r="N123" i="328" a="1"/>
  <c r="N123" i="328"/>
  <c r="P123" i="328" s="1"/>
  <c r="L123" i="328"/>
  <c r="E123" i="328"/>
  <c r="O122" i="328" a="1"/>
  <c r="O122" i="328" s="1"/>
  <c r="S122" i="328" s="1"/>
  <c r="N122" i="328" a="1"/>
  <c r="N122" i="328" s="1"/>
  <c r="P122" i="328" s="1"/>
  <c r="P149" i="328" s="1"/>
  <c r="R109" i="328" s="1"/>
  <c r="L122" i="328"/>
  <c r="E122" i="328"/>
  <c r="O121" i="328" a="1"/>
  <c r="O121" i="328" s="1"/>
  <c r="S121" i="328" s="1"/>
  <c r="N121" i="328" a="1"/>
  <c r="N121" i="328"/>
  <c r="P121" i="328" s="1"/>
  <c r="L121" i="328"/>
  <c r="E121" i="328"/>
  <c r="E119" i="328"/>
  <c r="T111" i="328"/>
  <c r="I145" i="328" s="1"/>
  <c r="O101" i="328" a="1"/>
  <c r="O101" i="328" s="1"/>
  <c r="S101" i="328" s="1"/>
  <c r="N101" i="328" a="1"/>
  <c r="N101" i="328" s="1"/>
  <c r="P101" i="328" s="1"/>
  <c r="L101" i="328"/>
  <c r="O100" i="328" a="1"/>
  <c r="O100" i="328" s="1"/>
  <c r="S100" i="328" s="1"/>
  <c r="N100" i="328" a="1"/>
  <c r="N100" i="328"/>
  <c r="P100" i="328" s="1"/>
  <c r="L100" i="328"/>
  <c r="O99" i="328" a="1"/>
  <c r="O99" i="328" s="1"/>
  <c r="S99" i="328" s="1"/>
  <c r="N99" i="328" a="1"/>
  <c r="N99" i="328" s="1"/>
  <c r="P99" i="328" s="1"/>
  <c r="L99" i="328"/>
  <c r="I99" i="328"/>
  <c r="I100" i="328" s="1"/>
  <c r="O98" i="328" a="1"/>
  <c r="O98" i="328" s="1"/>
  <c r="S98" i="328" s="1"/>
  <c r="N98" i="328" a="1"/>
  <c r="N98" i="328" s="1"/>
  <c r="P98" i="328" s="1"/>
  <c r="L98" i="328"/>
  <c r="O97" i="328" a="1"/>
  <c r="O97" i="328"/>
  <c r="S97" i="328" s="1"/>
  <c r="N97" i="328" a="1"/>
  <c r="N97" i="328" s="1"/>
  <c r="P97" i="328" s="1"/>
  <c r="L97" i="328"/>
  <c r="O96" i="328" a="1"/>
  <c r="O96" i="328" s="1"/>
  <c r="S96" i="328" s="1"/>
  <c r="N96" i="328" a="1"/>
  <c r="N96" i="328" s="1"/>
  <c r="P96" i="328" s="1"/>
  <c r="L96" i="328"/>
  <c r="E96" i="328"/>
  <c r="O95" i="328" a="1"/>
  <c r="O95" i="328" s="1"/>
  <c r="S95" i="328" s="1"/>
  <c r="N95" i="328" a="1"/>
  <c r="N95" i="328"/>
  <c r="P95" i="328" s="1"/>
  <c r="L95" i="328"/>
  <c r="E95" i="328"/>
  <c r="O94" i="328" a="1"/>
  <c r="O94" i="328" s="1"/>
  <c r="S94" i="328" s="1"/>
  <c r="N94" i="328" a="1"/>
  <c r="N94" i="328" s="1"/>
  <c r="P94" i="328" s="1"/>
  <c r="L94" i="328"/>
  <c r="E94" i="328"/>
  <c r="O93" i="328" a="1"/>
  <c r="O93" i="328" s="1"/>
  <c r="S93" i="328" s="1"/>
  <c r="N93" i="328" a="1"/>
  <c r="N93" i="328"/>
  <c r="P93" i="328" s="1"/>
  <c r="L93" i="328"/>
  <c r="E93" i="328"/>
  <c r="O92" i="328" a="1"/>
  <c r="O92" i="328" s="1"/>
  <c r="S92" i="328" s="1"/>
  <c r="N92" i="328" a="1"/>
  <c r="N92" i="328" s="1"/>
  <c r="P92" i="328" s="1"/>
  <c r="L92" i="328"/>
  <c r="E92" i="328"/>
  <c r="O91" i="328" a="1"/>
  <c r="O91" i="328" s="1"/>
  <c r="S91" i="328" s="1"/>
  <c r="N91" i="328" a="1"/>
  <c r="N91" i="328"/>
  <c r="P91" i="328" s="1"/>
  <c r="L91" i="328"/>
  <c r="E91" i="328"/>
  <c r="O90" i="328" a="1"/>
  <c r="O90" i="328" s="1"/>
  <c r="S90" i="328" s="1"/>
  <c r="N90" i="328" a="1"/>
  <c r="N90" i="328" s="1"/>
  <c r="P90" i="328" s="1"/>
  <c r="L90" i="328"/>
  <c r="E90" i="328"/>
  <c r="O89" i="328" a="1"/>
  <c r="O89" i="328" s="1"/>
  <c r="S89" i="328" s="1"/>
  <c r="N89" i="328" a="1"/>
  <c r="N89" i="328"/>
  <c r="P89" i="328" s="1"/>
  <c r="L89" i="328"/>
  <c r="E89" i="328"/>
  <c r="O88" i="328" a="1"/>
  <c r="O88" i="328" s="1"/>
  <c r="S88" i="328" s="1"/>
  <c r="N88" i="328" a="1"/>
  <c r="N88" i="328" s="1"/>
  <c r="P88" i="328" s="1"/>
  <c r="L88" i="328"/>
  <c r="E88" i="328"/>
  <c r="O87" i="328" a="1"/>
  <c r="O87" i="328" s="1"/>
  <c r="S87" i="328" s="1"/>
  <c r="N87" i="328" a="1"/>
  <c r="N87" i="328"/>
  <c r="P87" i="328" s="1"/>
  <c r="L87" i="328"/>
  <c r="E87" i="328"/>
  <c r="O86" i="328" a="1"/>
  <c r="O86" i="328" s="1"/>
  <c r="S86" i="328" s="1"/>
  <c r="N86" i="328" a="1"/>
  <c r="N86" i="328" s="1"/>
  <c r="P86" i="328" s="1"/>
  <c r="L86" i="328"/>
  <c r="E86" i="328"/>
  <c r="O85" i="328" a="1"/>
  <c r="O85" i="328" s="1"/>
  <c r="S85" i="328" s="1"/>
  <c r="N85" i="328" a="1"/>
  <c r="N85" i="328"/>
  <c r="P85" i="328" s="1"/>
  <c r="L85" i="328"/>
  <c r="E85" i="328"/>
  <c r="O84" i="328" a="1"/>
  <c r="O84" i="328" s="1"/>
  <c r="S84" i="328" s="1"/>
  <c r="N84" i="328" a="1"/>
  <c r="N84" i="328" s="1"/>
  <c r="P84" i="328" s="1"/>
  <c r="L84" i="328"/>
  <c r="E84" i="328"/>
  <c r="O83" i="328" a="1"/>
  <c r="O83" i="328" s="1"/>
  <c r="S83" i="328" s="1"/>
  <c r="N83" i="328" a="1"/>
  <c r="N83" i="328"/>
  <c r="P83" i="328" s="1"/>
  <c r="L83" i="328"/>
  <c r="E83" i="328"/>
  <c r="O82" i="328" a="1"/>
  <c r="O82" i="328" s="1"/>
  <c r="S82" i="328" s="1"/>
  <c r="N82" i="328" a="1"/>
  <c r="N82" i="328" s="1"/>
  <c r="P82" i="328" s="1"/>
  <c r="L82" i="328"/>
  <c r="E82" i="328"/>
  <c r="O81" i="328" a="1"/>
  <c r="O81" i="328" s="1"/>
  <c r="S81" i="328" s="1"/>
  <c r="N81" i="328" a="1"/>
  <c r="N81" i="328"/>
  <c r="P81" i="328" s="1"/>
  <c r="L81" i="328"/>
  <c r="E81" i="328"/>
  <c r="O80" i="328" a="1"/>
  <c r="O80" i="328" s="1"/>
  <c r="S80" i="328" s="1"/>
  <c r="N80" i="328" a="1"/>
  <c r="N80" i="328" s="1"/>
  <c r="P80" i="328" s="1"/>
  <c r="L80" i="328"/>
  <c r="E80" i="328"/>
  <c r="O79" i="328" a="1"/>
  <c r="O79" i="328" s="1"/>
  <c r="S79" i="328" s="1"/>
  <c r="N79" i="328" a="1"/>
  <c r="N79" i="328"/>
  <c r="P79" i="328" s="1"/>
  <c r="L79" i="328"/>
  <c r="E79" i="328"/>
  <c r="O78" i="328" a="1"/>
  <c r="O78" i="328" s="1"/>
  <c r="S78" i="328" s="1"/>
  <c r="N78" i="328" a="1"/>
  <c r="N78" i="328" s="1"/>
  <c r="P78" i="328" s="1"/>
  <c r="L78" i="328"/>
  <c r="E78" i="328"/>
  <c r="O77" i="328" a="1"/>
  <c r="O77" i="328" s="1"/>
  <c r="S77" i="328" s="1"/>
  <c r="N77" i="328" a="1"/>
  <c r="N77" i="328"/>
  <c r="P77" i="328" s="1"/>
  <c r="L77" i="328"/>
  <c r="E77" i="328"/>
  <c r="O76" i="328" a="1"/>
  <c r="O76" i="328" s="1"/>
  <c r="S76" i="328" s="1"/>
  <c r="N76" i="328" a="1"/>
  <c r="N76" i="328" s="1"/>
  <c r="P76" i="328" s="1"/>
  <c r="L76" i="328"/>
  <c r="E76" i="328"/>
  <c r="O75" i="328" a="1"/>
  <c r="O75" i="328" s="1"/>
  <c r="S75" i="328" s="1"/>
  <c r="N75" i="328" a="1"/>
  <c r="N75" i="328"/>
  <c r="P75" i="328" s="1"/>
  <c r="L75" i="328"/>
  <c r="E75" i="328"/>
  <c r="O74" i="328" a="1"/>
  <c r="O74" i="328" s="1"/>
  <c r="S74" i="328" s="1"/>
  <c r="N74" i="328" a="1"/>
  <c r="N74" i="328" s="1"/>
  <c r="P74" i="328" s="1"/>
  <c r="P102" i="328" s="1"/>
  <c r="L74" i="328"/>
  <c r="E74" i="328"/>
  <c r="E72" i="328"/>
  <c r="T64" i="328"/>
  <c r="I98" i="328"/>
  <c r="I53" i="328"/>
  <c r="S49" i="328"/>
  <c r="P49" i="328"/>
  <c r="L49" i="328" a="1"/>
  <c r="L49" i="328" s="1"/>
  <c r="E49" i="328"/>
  <c r="S34" i="328"/>
  <c r="P34" i="328"/>
  <c r="L34" i="328" a="1"/>
  <c r="L34" i="328" s="1"/>
  <c r="E34" i="328"/>
  <c r="S33" i="328"/>
  <c r="P33" i="328"/>
  <c r="L33" i="328" a="1"/>
  <c r="L33" i="328" s="1"/>
  <c r="E33" i="328"/>
  <c r="S32" i="328"/>
  <c r="P32" i="328"/>
  <c r="L32" i="328" a="1"/>
  <c r="L32" i="328" s="1"/>
  <c r="E32" i="328"/>
  <c r="S31" i="328"/>
  <c r="P31" i="328"/>
  <c r="L31" i="328" a="1"/>
  <c r="L31" i="328" s="1"/>
  <c r="E31" i="328"/>
  <c r="S30" i="328"/>
  <c r="P30" i="328"/>
  <c r="L30" i="328" a="1"/>
  <c r="L30" i="328" s="1"/>
  <c r="E30" i="328"/>
  <c r="S29" i="328"/>
  <c r="P29" i="328"/>
  <c r="L29" i="328" a="1"/>
  <c r="L29" i="328" s="1"/>
  <c r="E29" i="328"/>
  <c r="S28" i="328"/>
  <c r="P28" i="328"/>
  <c r="L28" i="328" a="1"/>
  <c r="L28" i="328" s="1"/>
  <c r="E28" i="328"/>
  <c r="S27" i="328"/>
  <c r="P27" i="328"/>
  <c r="L27" i="328" a="1"/>
  <c r="L27" i="328" s="1"/>
  <c r="E27" i="328"/>
  <c r="S26" i="328"/>
  <c r="P26" i="328"/>
  <c r="L26" i="328" a="1"/>
  <c r="L26" i="328" s="1"/>
  <c r="E26" i="328"/>
  <c r="S25" i="328"/>
  <c r="P25" i="328"/>
  <c r="L25" i="328" a="1"/>
  <c r="L25" i="328" s="1"/>
  <c r="E25" i="328"/>
  <c r="S24" i="328"/>
  <c r="P24" i="328"/>
  <c r="L24" i="328" a="1"/>
  <c r="L24" i="328" s="1"/>
  <c r="E24" i="328"/>
  <c r="S23" i="328"/>
  <c r="P23" i="328"/>
  <c r="L23" i="328" a="1"/>
  <c r="L23" i="328" s="1"/>
  <c r="E23" i="328"/>
  <c r="S22" i="328"/>
  <c r="P22" i="328"/>
  <c r="L22" i="328" a="1"/>
  <c r="L22" i="328" s="1"/>
  <c r="E22" i="328"/>
  <c r="S21" i="328"/>
  <c r="P21" i="328"/>
  <c r="L21" i="328" a="1"/>
  <c r="L21" i="328" s="1"/>
  <c r="E21" i="328"/>
  <c r="S20" i="328"/>
  <c r="P20" i="328"/>
  <c r="L20" i="328" a="1"/>
  <c r="L20" i="328" s="1"/>
  <c r="E20" i="328"/>
  <c r="S19" i="328"/>
  <c r="P19" i="328"/>
  <c r="L19" i="328" a="1"/>
  <c r="L19" i="328" s="1"/>
  <c r="E19" i="328"/>
  <c r="S18" i="328"/>
  <c r="P18" i="328"/>
  <c r="L18" i="328" a="1"/>
  <c r="L18" i="328" s="1"/>
  <c r="E18" i="328"/>
  <c r="S17" i="328"/>
  <c r="P17" i="328"/>
  <c r="L17" i="328" a="1"/>
  <c r="L17" i="328" s="1"/>
  <c r="E17" i="328"/>
  <c r="S16" i="328"/>
  <c r="P16" i="328"/>
  <c r="L16" i="328" a="1"/>
  <c r="L16" i="328" s="1"/>
  <c r="E16" i="328"/>
  <c r="S15" i="328"/>
  <c r="P15" i="328"/>
  <c r="L15" i="328" a="1"/>
  <c r="L15" i="328" s="1"/>
  <c r="E15" i="328"/>
  <c r="S14" i="328"/>
  <c r="P14" i="328"/>
  <c r="L14" i="328" a="1"/>
  <c r="L14" i="328" s="1"/>
  <c r="E14" i="328"/>
  <c r="S13" i="328"/>
  <c r="P13" i="328"/>
  <c r="L13" i="328" a="1"/>
  <c r="L13" i="328" s="1"/>
  <c r="E13" i="328"/>
  <c r="E11" i="328"/>
  <c r="T3" i="328"/>
  <c r="I51" i="328" s="1"/>
  <c r="P3" i="316"/>
  <c r="P4" i="316"/>
  <c r="P5" i="316" s="1"/>
  <c r="P6" i="316" s="1"/>
  <c r="P7" i="316" s="1"/>
  <c r="P8" i="316" s="1"/>
  <c r="P9" i="316" s="1"/>
  <c r="P10" i="316" s="1"/>
  <c r="P11" i="316" s="1"/>
  <c r="P12" i="316" s="1"/>
  <c r="P13" i="316" s="1"/>
  <c r="P14" i="316" s="1"/>
  <c r="P15" i="316" s="1"/>
  <c r="P16" i="316" s="1"/>
  <c r="P17" i="316" s="1"/>
  <c r="P18" i="316" s="1"/>
  <c r="C12" i="421"/>
  <c r="G6" i="421"/>
  <c r="G5" i="421"/>
  <c r="E11" i="341"/>
  <c r="C13" i="420"/>
  <c r="Q13" i="420" s="1" a="1"/>
  <c r="Q13" i="420" s="1"/>
  <c r="A6" i="420"/>
  <c r="A5" i="420"/>
  <c r="O87" i="330" a="1"/>
  <c r="O87" i="330"/>
  <c r="S87" i="330" s="1"/>
  <c r="N87" i="330" a="1"/>
  <c r="N87" i="330" s="1"/>
  <c r="P87" i="330" s="1"/>
  <c r="L87" i="330"/>
  <c r="E87" i="330"/>
  <c r="O86" i="330" a="1"/>
  <c r="O86" i="330"/>
  <c r="S86" i="330" s="1"/>
  <c r="N86" i="330" a="1"/>
  <c r="N86" i="330" s="1"/>
  <c r="P86" i="330" s="1"/>
  <c r="L86" i="330"/>
  <c r="O85" i="330" a="1"/>
  <c r="O85" i="330" s="1"/>
  <c r="S85" i="330" s="1"/>
  <c r="N85" i="330" a="1"/>
  <c r="N85" i="330" s="1"/>
  <c r="P85" i="330" s="1"/>
  <c r="L85" i="330"/>
  <c r="I85" i="330"/>
  <c r="O84" i="330" a="1"/>
  <c r="O84" i="330" s="1"/>
  <c r="S84" i="330" s="1"/>
  <c r="N84" i="330" a="1"/>
  <c r="N84" i="330" s="1"/>
  <c r="P84" i="330" s="1"/>
  <c r="L84" i="330"/>
  <c r="O83" i="330" a="1"/>
  <c r="O83" i="330" s="1"/>
  <c r="S83" i="330" s="1"/>
  <c r="N83" i="330" a="1"/>
  <c r="N83" i="330" s="1"/>
  <c r="P83" i="330" s="1"/>
  <c r="L83" i="330"/>
  <c r="O82" i="330" a="1"/>
  <c r="O82" i="330"/>
  <c r="S82" i="330" s="1"/>
  <c r="N82" i="330" a="1"/>
  <c r="N82" i="330"/>
  <c r="P82" i="330" s="1"/>
  <c r="L82" i="330"/>
  <c r="E82" i="330"/>
  <c r="O81" i="330" a="1"/>
  <c r="O81" i="330" s="1"/>
  <c r="S81" i="330" s="1"/>
  <c r="N81" i="330" a="1"/>
  <c r="N81" i="330" s="1"/>
  <c r="P81" i="330" s="1"/>
  <c r="L81" i="330"/>
  <c r="E81" i="330"/>
  <c r="O80" i="330" a="1"/>
  <c r="O80" i="330"/>
  <c r="S80" i="330" s="1"/>
  <c r="N80" i="330" a="1"/>
  <c r="N80" i="330"/>
  <c r="P80" i="330" s="1"/>
  <c r="L80" i="330"/>
  <c r="E80" i="330"/>
  <c r="O79" i="330" a="1"/>
  <c r="O79" i="330" s="1"/>
  <c r="S79" i="330" s="1"/>
  <c r="N79" i="330" a="1"/>
  <c r="N79" i="330" s="1"/>
  <c r="P79" i="330" s="1"/>
  <c r="L79" i="330"/>
  <c r="E79" i="330"/>
  <c r="O78" i="330" a="1"/>
  <c r="O78" i="330"/>
  <c r="S78" i="330" s="1"/>
  <c r="N78" i="330" a="1"/>
  <c r="N78" i="330"/>
  <c r="P78" i="330" s="1"/>
  <c r="L78" i="330"/>
  <c r="E78" i="330"/>
  <c r="O77" i="330" a="1"/>
  <c r="O77" i="330" s="1"/>
  <c r="S77" i="330" s="1"/>
  <c r="N77" i="330" a="1"/>
  <c r="N77" i="330" s="1"/>
  <c r="P77" i="330" s="1"/>
  <c r="L77" i="330"/>
  <c r="E77" i="330"/>
  <c r="O76" i="330" a="1"/>
  <c r="O76" i="330"/>
  <c r="S76" i="330" s="1"/>
  <c r="N76" i="330" a="1"/>
  <c r="N76" i="330"/>
  <c r="P76" i="330" s="1"/>
  <c r="L76" i="330"/>
  <c r="E76" i="330"/>
  <c r="O75" i="330" a="1"/>
  <c r="O75" i="330" s="1"/>
  <c r="S75" i="330" s="1"/>
  <c r="N75" i="330" a="1"/>
  <c r="N75" i="330" s="1"/>
  <c r="P75" i="330" s="1"/>
  <c r="L75" i="330"/>
  <c r="E75" i="330"/>
  <c r="O74" i="330" a="1"/>
  <c r="O74" i="330"/>
  <c r="S74" i="330" s="1"/>
  <c r="N74" i="330" a="1"/>
  <c r="N74" i="330"/>
  <c r="P74" i="330" s="1"/>
  <c r="L74" i="330"/>
  <c r="E74" i="330"/>
  <c r="O73" i="330" a="1"/>
  <c r="O73" i="330" s="1"/>
  <c r="S73" i="330" s="1"/>
  <c r="N73" i="330" a="1"/>
  <c r="N73" i="330" s="1"/>
  <c r="P73" i="330" s="1"/>
  <c r="L73" i="330"/>
  <c r="E73" i="330"/>
  <c r="O72" i="330" a="1"/>
  <c r="O72" i="330"/>
  <c r="S72" i="330" s="1"/>
  <c r="N72" i="330" a="1"/>
  <c r="N72" i="330"/>
  <c r="P72" i="330" s="1"/>
  <c r="L72" i="330"/>
  <c r="E72" i="330"/>
  <c r="O71" i="330" a="1"/>
  <c r="O71" i="330" s="1"/>
  <c r="S71" i="330" s="1"/>
  <c r="N71" i="330" a="1"/>
  <c r="N71" i="330" s="1"/>
  <c r="P71" i="330" s="1"/>
  <c r="L71" i="330"/>
  <c r="E71" i="330"/>
  <c r="O70" i="330" a="1"/>
  <c r="O70" i="330"/>
  <c r="S70" i="330" s="1"/>
  <c r="N70" i="330" a="1"/>
  <c r="N70" i="330"/>
  <c r="P70" i="330" s="1"/>
  <c r="L70" i="330"/>
  <c r="E70" i="330"/>
  <c r="O69" i="330" a="1"/>
  <c r="O69" i="330" s="1"/>
  <c r="S69" i="330" s="1"/>
  <c r="N69" i="330" a="1"/>
  <c r="N69" i="330" s="1"/>
  <c r="P69" i="330" s="1"/>
  <c r="L69" i="330"/>
  <c r="E69" i="330"/>
  <c r="O68" i="330" a="1"/>
  <c r="O68" i="330"/>
  <c r="S68" i="330" s="1"/>
  <c r="N68" i="330" a="1"/>
  <c r="N68" i="330"/>
  <c r="P68" i="330" s="1"/>
  <c r="L68" i="330"/>
  <c r="E68" i="330"/>
  <c r="O67" i="330" a="1"/>
  <c r="O67" i="330" s="1"/>
  <c r="S67" i="330" s="1"/>
  <c r="N67" i="330" a="1"/>
  <c r="N67" i="330" s="1"/>
  <c r="P67" i="330" s="1"/>
  <c r="L67" i="330"/>
  <c r="E67" i="330"/>
  <c r="O66" i="330" a="1"/>
  <c r="O66" i="330"/>
  <c r="S66" i="330" s="1"/>
  <c r="N66" i="330" a="1"/>
  <c r="N66" i="330"/>
  <c r="P66" i="330" s="1"/>
  <c r="L66" i="330"/>
  <c r="E66" i="330"/>
  <c r="O65" i="330" a="1"/>
  <c r="O65" i="330" s="1"/>
  <c r="S65" i="330" s="1"/>
  <c r="N65" i="330" a="1"/>
  <c r="N65" i="330" s="1"/>
  <c r="P65" i="330" s="1"/>
  <c r="L65" i="330"/>
  <c r="E65" i="330"/>
  <c r="O64" i="330" a="1"/>
  <c r="O64" i="330"/>
  <c r="S64" i="330" s="1"/>
  <c r="N64" i="330" a="1"/>
  <c r="N64" i="330"/>
  <c r="P64" i="330" s="1"/>
  <c r="L64" i="330"/>
  <c r="E64" i="330"/>
  <c r="O63" i="330" a="1"/>
  <c r="O63" i="330" s="1"/>
  <c r="S63" i="330" s="1"/>
  <c r="N63" i="330" a="1"/>
  <c r="N63" i="330" s="1"/>
  <c r="P63" i="330" s="1"/>
  <c r="L63" i="330"/>
  <c r="E63" i="330"/>
  <c r="O62" i="330" a="1"/>
  <c r="O62" i="330"/>
  <c r="S62" i="330" s="1"/>
  <c r="N62" i="330" a="1"/>
  <c r="N62" i="330"/>
  <c r="P62" i="330" s="1"/>
  <c r="L62" i="330"/>
  <c r="E62" i="330"/>
  <c r="O61" i="330" a="1"/>
  <c r="O61" i="330" s="1"/>
  <c r="S61" i="330" s="1"/>
  <c r="N61" i="330" a="1"/>
  <c r="N61" i="330" s="1"/>
  <c r="P61" i="330" s="1"/>
  <c r="L61" i="330"/>
  <c r="E61" i="330"/>
  <c r="O60" i="330" a="1"/>
  <c r="O60" i="330"/>
  <c r="S60" i="330" s="1"/>
  <c r="N60" i="330" a="1"/>
  <c r="N60" i="330"/>
  <c r="P60" i="330" s="1"/>
  <c r="L60" i="330"/>
  <c r="E60" i="330"/>
  <c r="E58" i="330"/>
  <c r="T50" i="330"/>
  <c r="I84" i="330" s="1"/>
  <c r="O40" i="330" a="1"/>
  <c r="O40" i="330" s="1"/>
  <c r="S40" i="330" s="1"/>
  <c r="N40" i="330" a="1"/>
  <c r="N40" i="330"/>
  <c r="P40" i="330" s="1"/>
  <c r="L40" i="330" a="1"/>
  <c r="L40" i="330" s="1"/>
  <c r="E40" i="330"/>
  <c r="O39" i="330" a="1"/>
  <c r="O39" i="330" s="1"/>
  <c r="S39" i="330" s="1"/>
  <c r="N39" i="330" a="1"/>
  <c r="N39" i="330" s="1"/>
  <c r="P39" i="330" s="1"/>
  <c r="L39" i="330" a="1"/>
  <c r="L39" i="330" s="1"/>
  <c r="O38" i="330" a="1"/>
  <c r="O38" i="330" s="1"/>
  <c r="S38" i="330" s="1"/>
  <c r="N38" i="330" a="1"/>
  <c r="N38" i="330" s="1"/>
  <c r="P38" i="330" s="1"/>
  <c r="L38" i="330" a="1"/>
  <c r="L38" i="330" s="1"/>
  <c r="I38" i="330"/>
  <c r="O37" i="330" a="1"/>
  <c r="O37" i="330" s="1"/>
  <c r="S37" i="330" s="1"/>
  <c r="N37" i="330" a="1"/>
  <c r="N37" i="330" s="1"/>
  <c r="P37" i="330" s="1"/>
  <c r="L37" i="330" a="1"/>
  <c r="L37" i="330" s="1"/>
  <c r="O36" i="330" a="1"/>
  <c r="O36" i="330" s="1"/>
  <c r="S36" i="330" s="1"/>
  <c r="N36" i="330" a="1"/>
  <c r="N36" i="330" s="1"/>
  <c r="P36" i="330" s="1"/>
  <c r="L36" i="330" a="1"/>
  <c r="L36" i="330" s="1"/>
  <c r="O35" i="330" a="1"/>
  <c r="O35" i="330" s="1"/>
  <c r="S35" i="330" s="1"/>
  <c r="N35" i="330" a="1"/>
  <c r="N35" i="330" s="1"/>
  <c r="P35" i="330" s="1"/>
  <c r="L35" i="330" a="1"/>
  <c r="L35" i="330" s="1"/>
  <c r="E35" i="330"/>
  <c r="O34" i="330" a="1"/>
  <c r="O34" i="330" s="1"/>
  <c r="S34" i="330" s="1"/>
  <c r="N34" i="330" a="1"/>
  <c r="N34" i="330" s="1"/>
  <c r="P34" i="330" s="1"/>
  <c r="L34" i="330" a="1"/>
  <c r="L34" i="330" s="1"/>
  <c r="E34" i="330"/>
  <c r="O33" i="330" a="1"/>
  <c r="O33" i="330" s="1"/>
  <c r="S33" i="330" s="1"/>
  <c r="N33" i="330" a="1"/>
  <c r="N33" i="330"/>
  <c r="P33" i="330" s="1"/>
  <c r="L33" i="330" a="1"/>
  <c r="L33" i="330" s="1"/>
  <c r="E33" i="330"/>
  <c r="O32" i="330" a="1"/>
  <c r="O32" i="330" s="1"/>
  <c r="S32" i="330" s="1"/>
  <c r="N32" i="330" a="1"/>
  <c r="N32" i="330" s="1"/>
  <c r="P32" i="330" s="1"/>
  <c r="L32" i="330" a="1"/>
  <c r="L32" i="330" s="1"/>
  <c r="E32" i="330"/>
  <c r="O31" i="330" a="1"/>
  <c r="O31" i="330" s="1"/>
  <c r="S31" i="330" s="1"/>
  <c r="N31" i="330" a="1"/>
  <c r="N31" i="330" s="1"/>
  <c r="P31" i="330" s="1"/>
  <c r="L31" i="330" a="1"/>
  <c r="L31" i="330" s="1"/>
  <c r="E31" i="330"/>
  <c r="O30" i="330" a="1"/>
  <c r="O30" i="330" s="1"/>
  <c r="S30" i="330" s="1"/>
  <c r="N30" i="330" a="1"/>
  <c r="N30" i="330" s="1"/>
  <c r="P30" i="330" s="1"/>
  <c r="L30" i="330" a="1"/>
  <c r="L30" i="330" s="1"/>
  <c r="E30" i="330"/>
  <c r="O29" i="330" a="1"/>
  <c r="O29" i="330" s="1"/>
  <c r="S29" i="330" s="1"/>
  <c r="N29" i="330" a="1"/>
  <c r="N29" i="330"/>
  <c r="P29" i="330" s="1"/>
  <c r="L29" i="330" a="1"/>
  <c r="L29" i="330" s="1"/>
  <c r="E29" i="330"/>
  <c r="O28" i="330" a="1"/>
  <c r="O28" i="330" s="1"/>
  <c r="S28" i="330" s="1"/>
  <c r="N28" i="330" a="1"/>
  <c r="N28" i="330" s="1"/>
  <c r="P28" i="330" s="1"/>
  <c r="L28" i="330" a="1"/>
  <c r="L28" i="330" s="1"/>
  <c r="E28" i="330"/>
  <c r="O27" i="330" a="1"/>
  <c r="O27" i="330" s="1"/>
  <c r="S27" i="330" s="1"/>
  <c r="N27" i="330" a="1"/>
  <c r="N27" i="330" s="1"/>
  <c r="P27" i="330" s="1"/>
  <c r="L27" i="330" a="1"/>
  <c r="L27" i="330" s="1"/>
  <c r="E27" i="330"/>
  <c r="O26" i="330" a="1"/>
  <c r="O26" i="330" s="1"/>
  <c r="S26" i="330" s="1"/>
  <c r="N26" i="330" a="1"/>
  <c r="N26" i="330" s="1"/>
  <c r="P26" i="330" s="1"/>
  <c r="L26" i="330" a="1"/>
  <c r="L26" i="330" s="1"/>
  <c r="E26" i="330"/>
  <c r="O25" i="330" a="1"/>
  <c r="O25" i="330" s="1"/>
  <c r="S25" i="330" s="1"/>
  <c r="N25" i="330" a="1"/>
  <c r="N25" i="330"/>
  <c r="P25" i="330" s="1"/>
  <c r="L25" i="330" a="1"/>
  <c r="L25" i="330" s="1"/>
  <c r="E25" i="330"/>
  <c r="O24" i="330" a="1"/>
  <c r="O24" i="330" s="1"/>
  <c r="S24" i="330" s="1"/>
  <c r="N24" i="330" a="1"/>
  <c r="N24" i="330" s="1"/>
  <c r="P24" i="330" s="1"/>
  <c r="L24" i="330" a="1"/>
  <c r="L24" i="330" s="1"/>
  <c r="E24" i="330"/>
  <c r="O23" i="330" a="1"/>
  <c r="O23" i="330" s="1"/>
  <c r="S23" i="330" s="1"/>
  <c r="N23" i="330" a="1"/>
  <c r="N23" i="330" s="1"/>
  <c r="P23" i="330" s="1"/>
  <c r="L23" i="330" a="1"/>
  <c r="L23" i="330" s="1"/>
  <c r="E23" i="330"/>
  <c r="O22" i="330" a="1"/>
  <c r="O22" i="330" s="1"/>
  <c r="S22" i="330" s="1"/>
  <c r="N22" i="330" a="1"/>
  <c r="N22" i="330" s="1"/>
  <c r="P22" i="330" s="1"/>
  <c r="L22" i="330" a="1"/>
  <c r="L22" i="330" s="1"/>
  <c r="E22" i="330"/>
  <c r="O21" i="330" a="1"/>
  <c r="O21" i="330" s="1"/>
  <c r="S21" i="330" s="1"/>
  <c r="N21" i="330" a="1"/>
  <c r="N21" i="330"/>
  <c r="P21" i="330" s="1"/>
  <c r="L21" i="330" a="1"/>
  <c r="L21" i="330" s="1"/>
  <c r="E21" i="330"/>
  <c r="O20" i="330" a="1"/>
  <c r="O20" i="330" s="1"/>
  <c r="S20" i="330" s="1"/>
  <c r="N20" i="330" a="1"/>
  <c r="N20" i="330" s="1"/>
  <c r="P20" i="330" s="1"/>
  <c r="L20" i="330" a="1"/>
  <c r="L20" i="330" s="1"/>
  <c r="E20" i="330"/>
  <c r="O19" i="330" a="1"/>
  <c r="O19" i="330" s="1"/>
  <c r="S19" i="330" s="1"/>
  <c r="N19" i="330" a="1"/>
  <c r="N19" i="330" s="1"/>
  <c r="P19" i="330" s="1"/>
  <c r="L19" i="330" a="1"/>
  <c r="L19" i="330" s="1"/>
  <c r="E19" i="330"/>
  <c r="O18" i="330" a="1"/>
  <c r="O18" i="330" s="1"/>
  <c r="S18" i="330" s="1"/>
  <c r="N18" i="330" a="1"/>
  <c r="N18" i="330" s="1"/>
  <c r="P18" i="330" s="1"/>
  <c r="L18" i="330" a="1"/>
  <c r="L18" i="330" s="1"/>
  <c r="E18" i="330"/>
  <c r="O17" i="330" a="1"/>
  <c r="O17" i="330" s="1"/>
  <c r="S17" i="330" s="1"/>
  <c r="N17" i="330" a="1"/>
  <c r="N17" i="330"/>
  <c r="P17" i="330" s="1"/>
  <c r="L17" i="330" a="1"/>
  <c r="L17" i="330" s="1"/>
  <c r="E17" i="330"/>
  <c r="O16" i="330" a="1"/>
  <c r="O16" i="330" s="1"/>
  <c r="S16" i="330" s="1"/>
  <c r="N16" i="330" a="1"/>
  <c r="N16" i="330" s="1"/>
  <c r="P16" i="330" s="1"/>
  <c r="L16" i="330" a="1"/>
  <c r="L16" i="330" s="1"/>
  <c r="E16" i="330"/>
  <c r="O15" i="330" a="1"/>
  <c r="O15" i="330" s="1"/>
  <c r="S15" i="330" s="1"/>
  <c r="N15" i="330" a="1"/>
  <c r="N15" i="330" s="1"/>
  <c r="P15" i="330" s="1"/>
  <c r="L15" i="330" a="1"/>
  <c r="L15" i="330" s="1"/>
  <c r="E15" i="330"/>
  <c r="O14" i="330" a="1"/>
  <c r="O14" i="330" s="1"/>
  <c r="S14" i="330" s="1"/>
  <c r="N14" i="330" a="1"/>
  <c r="N14" i="330" s="1"/>
  <c r="P14" i="330" s="1"/>
  <c r="L14" i="330" a="1"/>
  <c r="L14" i="330" s="1"/>
  <c r="E14" i="330"/>
  <c r="O13" i="330" a="1"/>
  <c r="O13" i="330" s="1"/>
  <c r="S13" i="330" s="1"/>
  <c r="S41" i="330" s="1"/>
  <c r="N13" i="330" a="1"/>
  <c r="N13" i="330"/>
  <c r="P13" i="330" s="1"/>
  <c r="P41" i="330" s="1"/>
  <c r="L13" i="330" a="1"/>
  <c r="L13" i="330" s="1"/>
  <c r="E13" i="330"/>
  <c r="E11" i="330"/>
  <c r="T3" i="330"/>
  <c r="I37" i="330" s="1"/>
  <c r="H6" i="317"/>
  <c r="H5" i="317"/>
  <c r="L4" i="317"/>
  <c r="L5" i="317" s="1"/>
  <c r="L6" i="317" s="1"/>
  <c r="L7" i="317" s="1"/>
  <c r="L8" i="317" s="1"/>
  <c r="L9" i="317" s="1"/>
  <c r="L10" i="317" s="1"/>
  <c r="L11" i="317" s="1"/>
  <c r="L12" i="317" s="1"/>
  <c r="L13" i="317" s="1"/>
  <c r="L14" i="317" s="1"/>
  <c r="L15" i="317" s="1"/>
  <c r="H4" i="317"/>
  <c r="A5" i="338"/>
  <c r="A3" i="338"/>
  <c r="A144" i="325" a="1"/>
  <c r="A144" i="325" s="1"/>
  <c r="A143" i="325" a="1"/>
  <c r="A143" i="325" s="1"/>
  <c r="A138" i="325" a="1"/>
  <c r="A138" i="325" s="1"/>
  <c r="A137" i="325" a="1"/>
  <c r="A137" i="325" s="1"/>
  <c r="A136" i="325" a="1"/>
  <c r="A136" i="325" s="1"/>
  <c r="A131" i="325" a="1"/>
  <c r="A131" i="325" s="1"/>
  <c r="A130" i="325" a="1"/>
  <c r="A130" i="325" s="1"/>
  <c r="A129" i="325" a="1"/>
  <c r="A129" i="325" s="1"/>
  <c r="A128" i="325" a="1"/>
  <c r="A128" i="325" s="1"/>
  <c r="A127" i="325" a="1"/>
  <c r="A127" i="325" s="1"/>
  <c r="A125" i="325" a="1"/>
  <c r="A125" i="325" s="1"/>
  <c r="A124" i="325" a="1"/>
  <c r="A124" i="325" s="1"/>
  <c r="A121" i="325" a="1"/>
  <c r="A121" i="325" s="1"/>
  <c r="A119" i="325" a="1"/>
  <c r="A119" i="325" s="1"/>
  <c r="A114" i="325" a="1"/>
  <c r="A114" i="325" s="1"/>
  <c r="A113" i="325" a="1"/>
  <c r="A113" i="325" s="1"/>
  <c r="A112" i="325" a="1"/>
  <c r="A112" i="325" s="1"/>
  <c r="A104" i="325" a="1"/>
  <c r="A104" i="325" s="1"/>
  <c r="A103" i="325" a="1"/>
  <c r="A103" i="325" s="1"/>
  <c r="A101" i="325" a="1"/>
  <c r="A101" i="325" s="1"/>
  <c r="A100" i="325" a="1"/>
  <c r="A100" i="325" s="1"/>
  <c r="A99" i="325" a="1"/>
  <c r="A99" i="325" s="1"/>
  <c r="A98" i="325" a="1"/>
  <c r="A98" i="325" s="1"/>
  <c r="A97" i="325" a="1"/>
  <c r="A97" i="325" s="1"/>
  <c r="A96" i="325" a="1"/>
  <c r="A96" i="325" s="1"/>
  <c r="A95" i="325" a="1"/>
  <c r="A95" i="325" s="1"/>
  <c r="A94" i="325" a="1"/>
  <c r="A94" i="325" s="1"/>
  <c r="A93" i="325" a="1"/>
  <c r="A93" i="325" s="1"/>
  <c r="A92" i="325" a="1"/>
  <c r="A92" i="325" s="1"/>
  <c r="A91" i="325" a="1"/>
  <c r="A91" i="325" s="1"/>
  <c r="A90" i="325" a="1"/>
  <c r="A90" i="325" s="1"/>
  <c r="A89" i="325" a="1"/>
  <c r="A89" i="325" s="1"/>
  <c r="A88" i="325" a="1"/>
  <c r="A88" i="325" s="1"/>
  <c r="A87" i="325" a="1"/>
  <c r="A87" i="325" s="1"/>
  <c r="A86" i="325" a="1"/>
  <c r="A86" i="325" s="1"/>
  <c r="A85" i="325" a="1"/>
  <c r="A85" i="325" s="1"/>
  <c r="A84" i="325" a="1"/>
  <c r="A84" i="325" s="1"/>
  <c r="A83" i="325" a="1"/>
  <c r="A83" i="325" s="1"/>
  <c r="A82" i="325" a="1"/>
  <c r="A82" i="325" s="1"/>
  <c r="A81" i="325" a="1"/>
  <c r="A81" i="325" s="1"/>
  <c r="A80" i="325" a="1"/>
  <c r="A80" i="325" s="1"/>
  <c r="A79" i="325" a="1"/>
  <c r="A79" i="325" s="1"/>
  <c r="A78" i="325" a="1"/>
  <c r="A78" i="325" s="1"/>
  <c r="A77" i="325" a="1"/>
  <c r="A77" i="325" s="1"/>
  <c r="A76" i="325" a="1"/>
  <c r="A76" i="325" s="1"/>
  <c r="A74" i="325" a="1"/>
  <c r="A74" i="325" s="1"/>
  <c r="A73" i="325" a="1"/>
  <c r="A73" i="325" s="1"/>
  <c r="A72" i="325" a="1"/>
  <c r="A72" i="325" s="1"/>
  <c r="A71" i="325" a="1"/>
  <c r="A71" i="325" s="1"/>
  <c r="A70" i="325" a="1"/>
  <c r="A70" i="325" s="1"/>
  <c r="A69" i="325" a="1"/>
  <c r="A69" i="325" s="1"/>
  <c r="A68" i="325" a="1"/>
  <c r="A68" i="325" s="1"/>
  <c r="A67" i="325" a="1"/>
  <c r="A67" i="325" s="1"/>
  <c r="A66" i="325" a="1"/>
  <c r="A66" i="325" s="1"/>
  <c r="A59" i="325" a="1"/>
  <c r="A59" i="325" s="1"/>
  <c r="A58" i="325" a="1"/>
  <c r="A58" i="325" s="1"/>
  <c r="A57" i="325" a="1"/>
  <c r="A57" i="325" s="1"/>
  <c r="A50" i="325" a="1"/>
  <c r="A50" i="325" s="1"/>
  <c r="A49" i="325" a="1"/>
  <c r="A49" i="325" s="1"/>
  <c r="A48" i="325" a="1"/>
  <c r="A48" i="325" s="1"/>
  <c r="A44" i="325" a="1"/>
  <c r="A44" i="325" s="1"/>
  <c r="A43" i="325" a="1"/>
  <c r="A43" i="325" s="1"/>
  <c r="A42" i="325" a="1"/>
  <c r="A42" i="325" s="1"/>
  <c r="A41" i="325" a="1"/>
  <c r="A41" i="325" s="1"/>
  <c r="A40" i="325" a="1"/>
  <c r="A40" i="325" s="1"/>
  <c r="A39" i="325" a="1"/>
  <c r="A39" i="325" s="1"/>
  <c r="A38" i="325" a="1"/>
  <c r="A38" i="325" s="1"/>
  <c r="A37" i="325" a="1"/>
  <c r="A37" i="325" s="1"/>
  <c r="A36" i="325" a="1"/>
  <c r="A36" i="325" s="1"/>
  <c r="A35" i="325" a="1"/>
  <c r="A35" i="325" s="1"/>
  <c r="A31" i="325" a="1"/>
  <c r="A31" i="325" s="1"/>
  <c r="A18" i="325" a="1"/>
  <c r="A18" i="325" s="1"/>
  <c r="A17" i="325" a="1"/>
  <c r="A17" i="325" s="1"/>
  <c r="A16" i="325" a="1"/>
  <c r="A16" i="325" s="1"/>
  <c r="A15" i="325" a="1"/>
  <c r="A15" i="325" s="1"/>
  <c r="A8" i="325"/>
  <c r="A151" i="337" a="1"/>
  <c r="A151" i="337" s="1"/>
  <c r="A144" i="337" a="1"/>
  <c r="A144" i="337" s="1"/>
  <c r="A142" i="337" a="1"/>
  <c r="A142" i="337" s="1"/>
  <c r="A141" i="337" a="1"/>
  <c r="A141" i="337" s="1"/>
  <c r="A140" i="337" a="1"/>
  <c r="A140" i="337" s="1"/>
  <c r="A139" i="337" a="1"/>
  <c r="A139" i="337" s="1"/>
  <c r="A138" i="337" a="1"/>
  <c r="A138" i="337" s="1"/>
  <c r="A134" i="337" a="1"/>
  <c r="A134" i="337" s="1"/>
  <c r="A133" i="337" a="1"/>
  <c r="A133" i="337" s="1"/>
  <c r="A132" i="337" a="1"/>
  <c r="A132" i="337" s="1"/>
  <c r="A131" i="337" a="1"/>
  <c r="A131" i="337" s="1"/>
  <c r="A130" i="337" a="1"/>
  <c r="A130" i="337" s="1"/>
  <c r="A129" i="337" a="1"/>
  <c r="A129" i="337" s="1"/>
  <c r="A107" i="337" a="1"/>
  <c r="A107" i="337" s="1"/>
  <c r="A106" i="337" a="1"/>
  <c r="A106" i="337" s="1"/>
  <c r="A105" i="337" a="1"/>
  <c r="A105" i="337" s="1"/>
  <c r="A103" i="337" a="1"/>
  <c r="A103" i="337" s="1"/>
  <c r="A102" i="337" a="1"/>
  <c r="A102" i="337" s="1"/>
  <c r="A101" i="337" a="1"/>
  <c r="A101" i="337" s="1"/>
  <c r="A99" i="337" a="1"/>
  <c r="A99" i="337" s="1"/>
  <c r="A97" i="337" a="1"/>
  <c r="A97" i="337" s="1"/>
  <c r="A96" i="337" a="1"/>
  <c r="A96" i="337" s="1"/>
  <c r="A95" i="337" a="1"/>
  <c r="A95" i="337" s="1"/>
  <c r="A93" i="337" a="1"/>
  <c r="A93" i="337" s="1"/>
  <c r="A92" i="337" a="1"/>
  <c r="A92" i="337" s="1"/>
  <c r="A91" i="337" a="1"/>
  <c r="A91" i="337" s="1"/>
  <c r="A90" i="337" a="1"/>
  <c r="A90" i="337" s="1"/>
  <c r="A89" i="337" a="1"/>
  <c r="A89" i="337" s="1"/>
  <c r="A86" i="337" a="1"/>
  <c r="A86" i="337" s="1"/>
  <c r="A85" i="337" a="1"/>
  <c r="A85" i="337" s="1"/>
  <c r="A81" i="337" a="1"/>
  <c r="A81" i="337" s="1"/>
  <c r="A80" i="337" a="1"/>
  <c r="A80" i="337" s="1"/>
  <c r="A79" i="337" a="1"/>
  <c r="A79" i="337" s="1"/>
  <c r="A78" i="337" a="1"/>
  <c r="A78" i="337" s="1"/>
  <c r="A77" i="337" a="1"/>
  <c r="A77" i="337" s="1"/>
  <c r="A76" i="337" a="1"/>
  <c r="A76" i="337" s="1"/>
  <c r="A75" i="337" a="1"/>
  <c r="A75" i="337" s="1"/>
  <c r="A73" i="337" a="1"/>
  <c r="A73" i="337" s="1"/>
  <c r="A71" i="337" a="1"/>
  <c r="A71" i="337" s="1"/>
  <c r="A70" i="337" a="1"/>
  <c r="A70" i="337" s="1"/>
  <c r="A65" i="337" a="1"/>
  <c r="A65" i="337" s="1"/>
  <c r="A64" i="337" a="1"/>
  <c r="A64" i="337" s="1"/>
  <c r="A63" i="337" a="1"/>
  <c r="A63" i="337" s="1"/>
  <c r="A61" i="337" a="1"/>
  <c r="A61" i="337" s="1"/>
  <c r="A60" i="337" a="1"/>
  <c r="A60" i="337" s="1"/>
  <c r="A59" i="337" a="1"/>
  <c r="A59" i="337" s="1"/>
  <c r="A58" i="337" a="1"/>
  <c r="A58" i="337" s="1"/>
  <c r="A56" i="337" a="1"/>
  <c r="A56" i="337" s="1"/>
  <c r="A55" i="337" a="1"/>
  <c r="A55" i="337" s="1"/>
  <c r="A54" i="337" a="1"/>
  <c r="A54" i="337" s="1"/>
  <c r="A53" i="337" a="1"/>
  <c r="A53" i="337" s="1"/>
  <c r="A52" i="337" a="1"/>
  <c r="A52" i="337" s="1"/>
  <c r="A50" i="337" a="1"/>
  <c r="A50" i="337" s="1"/>
  <c r="A49" i="337" a="1"/>
  <c r="A49" i="337" s="1"/>
  <c r="A48" i="337" a="1"/>
  <c r="A48" i="337" s="1"/>
  <c r="A47" i="337" a="1"/>
  <c r="A47" i="337" s="1"/>
  <c r="A46" i="337" a="1"/>
  <c r="A46" i="337" s="1"/>
  <c r="A45" i="337" a="1"/>
  <c r="A45" i="337" s="1"/>
  <c r="A44" i="337" a="1"/>
  <c r="A44" i="337" s="1"/>
  <c r="A43" i="337" a="1"/>
  <c r="A43" i="337" s="1"/>
  <c r="A42" i="337" a="1"/>
  <c r="A42" i="337" s="1"/>
  <c r="A41" i="337" a="1"/>
  <c r="A41" i="337" s="1"/>
  <c r="A40" i="337" a="1"/>
  <c r="A40" i="337" s="1"/>
  <c r="A39" i="337" a="1"/>
  <c r="A39" i="337" s="1"/>
  <c r="A37" i="337" a="1"/>
  <c r="A37" i="337" s="1"/>
  <c r="A36" i="337" a="1"/>
  <c r="A36" i="337" s="1"/>
  <c r="A30" i="337" a="1"/>
  <c r="A30" i="337" s="1"/>
  <c r="A29" i="337" a="1"/>
  <c r="A29" i="337" s="1"/>
  <c r="A27" i="337" a="1"/>
  <c r="A27" i="337" s="1"/>
  <c r="A26" i="337" a="1"/>
  <c r="A26" i="337" s="1"/>
  <c r="A25" i="337" a="1"/>
  <c r="A25" i="337" s="1"/>
  <c r="A24" i="337" a="1"/>
  <c r="A24" i="337" s="1"/>
  <c r="A23" i="337" a="1"/>
  <c r="A23" i="337" s="1"/>
  <c r="A22" i="337" a="1"/>
  <c r="A22" i="337" s="1"/>
  <c r="A20" i="337" a="1"/>
  <c r="A20" i="337" s="1"/>
  <c r="A19" i="337" a="1"/>
  <c r="A19" i="337" s="1"/>
  <c r="A18" i="337" a="1"/>
  <c r="A18" i="337" s="1"/>
  <c r="A17" i="337" a="1"/>
  <c r="A17" i="337" s="1"/>
  <c r="A16" i="337" a="1"/>
  <c r="A16" i="337" s="1"/>
  <c r="A15" i="337" a="1"/>
  <c r="A15" i="337" s="1"/>
  <c r="A14" i="337" a="1"/>
  <c r="A14" i="337" s="1"/>
  <c r="A13" i="337" a="1"/>
  <c r="A13" i="337" s="1"/>
  <c r="A12" i="337" a="1"/>
  <c r="A12" i="337" s="1"/>
  <c r="A7" i="337"/>
  <c r="C324" i="387" a="1"/>
  <c r="C324" i="387" s="1"/>
  <c r="G324" i="387" s="1"/>
  <c r="A324" i="387" a="1"/>
  <c r="A324" i="387" s="1"/>
  <c r="C323" i="387" a="1"/>
  <c r="C323" i="387" s="1"/>
  <c r="G323" i="387" s="1"/>
  <c r="A323" i="387" a="1"/>
  <c r="A323" i="387" s="1"/>
  <c r="C322" i="387" a="1"/>
  <c r="C322" i="387" s="1"/>
  <c r="G322" i="387" s="1"/>
  <c r="A322" i="387" a="1"/>
  <c r="A322" i="387" s="1"/>
  <c r="E321" i="387" a="1"/>
  <c r="E321" i="387" s="1"/>
  <c r="C321" i="387" a="1"/>
  <c r="C321" i="387" s="1"/>
  <c r="G321" i="387" s="1"/>
  <c r="A321" i="387" a="1"/>
  <c r="A321" i="387" s="1"/>
  <c r="C320" i="387" a="1"/>
  <c r="C320" i="387" s="1"/>
  <c r="G320" i="387" s="1"/>
  <c r="A320" i="387" a="1"/>
  <c r="A320" i="387" s="1"/>
  <c r="C319" i="387" a="1"/>
  <c r="C319" i="387" s="1"/>
  <c r="G319" i="387" s="1"/>
  <c r="A319" i="387" a="1"/>
  <c r="A319" i="387" s="1"/>
  <c r="C318" i="387" a="1"/>
  <c r="C318" i="387" s="1"/>
  <c r="G318" i="387" s="1"/>
  <c r="A318" i="387" a="1"/>
  <c r="A318" i="387" s="1"/>
  <c r="C317" i="387" a="1"/>
  <c r="C317" i="387" s="1"/>
  <c r="A317" i="387" a="1"/>
  <c r="A317" i="387" s="1"/>
  <c r="C316" i="387" a="1"/>
  <c r="C316" i="387" s="1"/>
  <c r="G316" i="387" s="1"/>
  <c r="A316" i="387" a="1"/>
  <c r="A316" i="387" s="1"/>
  <c r="C315" i="387" a="1"/>
  <c r="C315" i="387" s="1"/>
  <c r="G315" i="387" s="1"/>
  <c r="A315" i="387" a="1"/>
  <c r="A315" i="387" s="1"/>
  <c r="C314" i="387" a="1"/>
  <c r="C314" i="387" s="1"/>
  <c r="G314" i="387" s="1"/>
  <c r="A314" i="387" a="1"/>
  <c r="A314" i="387" s="1"/>
  <c r="C313" i="387" a="1"/>
  <c r="C313" i="387" s="1"/>
  <c r="G313" i="387" s="1"/>
  <c r="A313" i="387" a="1"/>
  <c r="A313" i="387" s="1"/>
  <c r="C312" i="387" a="1"/>
  <c r="C312" i="387" s="1"/>
  <c r="G312" i="387" s="1"/>
  <c r="A312" i="387" a="1"/>
  <c r="A312" i="387" s="1"/>
  <c r="C311" i="387" a="1"/>
  <c r="C311" i="387" s="1"/>
  <c r="G311" i="387" s="1"/>
  <c r="A311" i="387" a="1"/>
  <c r="A311" i="387" s="1"/>
  <c r="C310" i="387" a="1"/>
  <c r="C310" i="387" s="1"/>
  <c r="G310" i="387" s="1"/>
  <c r="A310" i="387" a="1"/>
  <c r="A310" i="387" s="1"/>
  <c r="E309" i="387" a="1"/>
  <c r="E309" i="387" s="1"/>
  <c r="C309" i="387" a="1"/>
  <c r="C309" i="387" s="1"/>
  <c r="G309" i="387" s="1"/>
  <c r="A309" i="387" a="1"/>
  <c r="A309" i="387" s="1"/>
  <c r="C308" i="387" a="1"/>
  <c r="C308" i="387" s="1"/>
  <c r="G308" i="387" s="1"/>
  <c r="A308" i="387" a="1"/>
  <c r="A308" i="387" s="1"/>
  <c r="C307" i="387" a="1"/>
  <c r="C307" i="387" s="1"/>
  <c r="G307" i="387" s="1"/>
  <c r="A307" i="387" a="1"/>
  <c r="A307" i="387" s="1"/>
  <c r="C306" i="387" a="1"/>
  <c r="C306" i="387" s="1"/>
  <c r="G306" i="387" s="1"/>
  <c r="A306" i="387" a="1"/>
  <c r="A306" i="387" s="1"/>
  <c r="E305" i="387" a="1"/>
  <c r="E305" i="387" s="1"/>
  <c r="C305" i="387" a="1"/>
  <c r="C305" i="387" s="1"/>
  <c r="G305" i="387" s="1"/>
  <c r="A305" i="387" a="1"/>
  <c r="A305" i="387" s="1"/>
  <c r="C304" i="387" a="1"/>
  <c r="C304" i="387" s="1"/>
  <c r="G304" i="387" s="1"/>
  <c r="A304" i="387" a="1"/>
  <c r="A304" i="387" s="1"/>
  <c r="C303" i="387" a="1"/>
  <c r="C303" i="387" s="1"/>
  <c r="G303" i="387" s="1"/>
  <c r="A303" i="387" a="1"/>
  <c r="A303" i="387" s="1"/>
  <c r="C302" i="387" a="1"/>
  <c r="C302" i="387" s="1"/>
  <c r="G302" i="387" s="1"/>
  <c r="A302" i="387" a="1"/>
  <c r="A302" i="387" s="1"/>
  <c r="C301" i="387" a="1"/>
  <c r="C301" i="387" s="1"/>
  <c r="G301" i="387" s="1"/>
  <c r="A301" i="387" a="1"/>
  <c r="A301" i="387" s="1"/>
  <c r="C300" i="387" a="1"/>
  <c r="C300" i="387" s="1"/>
  <c r="G300" i="387" s="1"/>
  <c r="A300" i="387" a="1"/>
  <c r="A300" i="387" s="1"/>
  <c r="C299" i="387" a="1"/>
  <c r="C299" i="387" s="1"/>
  <c r="G299" i="387" s="1"/>
  <c r="A299" i="387" a="1"/>
  <c r="A299" i="387" s="1"/>
  <c r="C298" i="387" a="1"/>
  <c r="C298" i="387" s="1"/>
  <c r="G298" i="387" s="1"/>
  <c r="A298" i="387" a="1"/>
  <c r="A298" i="387" s="1"/>
  <c r="C297" i="387" a="1"/>
  <c r="C297" i="387" s="1"/>
  <c r="G297" i="387" s="1"/>
  <c r="A297" i="387" a="1"/>
  <c r="A297" i="387" s="1"/>
  <c r="C296" i="387" a="1"/>
  <c r="C296" i="387" s="1"/>
  <c r="G296" i="387" s="1"/>
  <c r="A296" i="387" a="1"/>
  <c r="A296" i="387" s="1"/>
  <c r="C295" i="387" a="1"/>
  <c r="C295" i="387" s="1"/>
  <c r="G295" i="387" s="1"/>
  <c r="A295" i="387" a="1"/>
  <c r="A295" i="387" s="1"/>
  <c r="C294" i="387" a="1"/>
  <c r="C294" i="387" s="1"/>
  <c r="G294" i="387" s="1"/>
  <c r="A294" i="387" a="1"/>
  <c r="A294" i="387" s="1"/>
  <c r="E293" i="387" a="1"/>
  <c r="E293" i="387" s="1"/>
  <c r="C293" i="387" a="1"/>
  <c r="C293" i="387" s="1"/>
  <c r="G293" i="387" s="1"/>
  <c r="A293" i="387" a="1"/>
  <c r="A293" i="387" s="1"/>
  <c r="C292" i="387" a="1"/>
  <c r="C292" i="387" s="1"/>
  <c r="G292" i="387" s="1"/>
  <c r="A292" i="387" a="1"/>
  <c r="A292" i="387" s="1"/>
  <c r="C291" i="387" a="1"/>
  <c r="C291" i="387" s="1"/>
  <c r="G291" i="387" s="1"/>
  <c r="A291" i="387" a="1"/>
  <c r="A291" i="387" s="1"/>
  <c r="C290" i="387" a="1"/>
  <c r="C290" i="387" s="1"/>
  <c r="G290" i="387" s="1"/>
  <c r="A290" i="387" a="1"/>
  <c r="A290" i="387" s="1"/>
  <c r="E289" i="387" a="1"/>
  <c r="E289" i="387" s="1"/>
  <c r="C289" i="387" a="1"/>
  <c r="C289" i="387" s="1"/>
  <c r="G289" i="387" s="1"/>
  <c r="A289" i="387" a="1"/>
  <c r="A289" i="387" s="1"/>
  <c r="C288" i="387" a="1"/>
  <c r="C288" i="387" s="1"/>
  <c r="G288" i="387" s="1"/>
  <c r="A288" i="387" a="1"/>
  <c r="A288" i="387" s="1"/>
  <c r="C287" i="387" a="1"/>
  <c r="C287" i="387" s="1"/>
  <c r="G287" i="387" s="1"/>
  <c r="A287" i="387" a="1"/>
  <c r="A287" i="387" s="1"/>
  <c r="C286" i="387" a="1"/>
  <c r="C286" i="387" s="1"/>
  <c r="G286" i="387" s="1"/>
  <c r="A286" i="387" a="1"/>
  <c r="A286" i="387" s="1"/>
  <c r="C285" i="387" a="1"/>
  <c r="C285" i="387" s="1"/>
  <c r="G285" i="387" s="1"/>
  <c r="A285" i="387" a="1"/>
  <c r="A285" i="387" s="1"/>
  <c r="C284" i="387" a="1"/>
  <c r="C284" i="387" s="1"/>
  <c r="G284" i="387" s="1"/>
  <c r="A284" i="387" a="1"/>
  <c r="A284" i="387" s="1"/>
  <c r="C283" i="387" a="1"/>
  <c r="C283" i="387" s="1"/>
  <c r="G283" i="387" s="1"/>
  <c r="A283" i="387" a="1"/>
  <c r="A283" i="387" s="1"/>
  <c r="C282" i="387" a="1"/>
  <c r="C282" i="387" s="1"/>
  <c r="G282" i="387" s="1"/>
  <c r="A282" i="387" a="1"/>
  <c r="A282" i="387" s="1"/>
  <c r="C281" i="387" a="1"/>
  <c r="C281" i="387" s="1"/>
  <c r="G281" i="387" s="1"/>
  <c r="A281" i="387" a="1"/>
  <c r="A281" i="387" s="1"/>
  <c r="C280" i="387" a="1"/>
  <c r="C280" i="387" s="1"/>
  <c r="G280" i="387" s="1"/>
  <c r="A280" i="387" a="1"/>
  <c r="A280" i="387" s="1"/>
  <c r="C279" i="387" a="1"/>
  <c r="C279" i="387" s="1"/>
  <c r="G279" i="387" s="1"/>
  <c r="A279" i="387" a="1"/>
  <c r="A279" i="387" s="1"/>
  <c r="C278" i="387" a="1"/>
  <c r="C278" i="387" s="1"/>
  <c r="G278" i="387" s="1"/>
  <c r="A278" i="387" a="1"/>
  <c r="A278" i="387" s="1"/>
  <c r="C277" i="387" a="1"/>
  <c r="C277" i="387" s="1"/>
  <c r="G277" i="387" s="1"/>
  <c r="A277" i="387" a="1"/>
  <c r="A277" i="387" s="1"/>
  <c r="C276" i="387" a="1"/>
  <c r="C276" i="387" s="1"/>
  <c r="G276" i="387" s="1"/>
  <c r="A276" i="387" a="1"/>
  <c r="A276" i="387" s="1"/>
  <c r="C275" i="387" a="1"/>
  <c r="C275" i="387" s="1"/>
  <c r="G275" i="387" s="1"/>
  <c r="A275" i="387" a="1"/>
  <c r="A275" i="387" s="1"/>
  <c r="C274" i="387" a="1"/>
  <c r="C274" i="387" s="1"/>
  <c r="A274" i="387" a="1"/>
  <c r="A274" i="387" s="1"/>
  <c r="C273" i="387" a="1"/>
  <c r="C273" i="387" s="1"/>
  <c r="G273" i="387" s="1"/>
  <c r="A273" i="387" a="1"/>
  <c r="A273" i="387" s="1"/>
  <c r="C272" i="387" a="1"/>
  <c r="C272" i="387" s="1"/>
  <c r="G272" i="387" s="1"/>
  <c r="A272" i="387" a="1"/>
  <c r="A272" i="387" s="1"/>
  <c r="C271" i="387" a="1"/>
  <c r="C271" i="387" s="1"/>
  <c r="G271" i="387" s="1"/>
  <c r="A271" i="387" a="1"/>
  <c r="A271" i="387" s="1"/>
  <c r="C270" i="387" a="1"/>
  <c r="C270" i="387" s="1"/>
  <c r="G270" i="387" s="1"/>
  <c r="A270" i="387" a="1"/>
  <c r="A270" i="387" s="1"/>
  <c r="C269" i="387" a="1"/>
  <c r="C269" i="387" s="1"/>
  <c r="G269" i="387" s="1"/>
  <c r="A269" i="387" a="1"/>
  <c r="A269" i="387" s="1"/>
  <c r="C268" i="387" a="1"/>
  <c r="C268" i="387" s="1"/>
  <c r="G268" i="387" s="1"/>
  <c r="A268" i="387" a="1"/>
  <c r="A268" i="387" s="1"/>
  <c r="C267" i="387" a="1"/>
  <c r="C267" i="387" s="1"/>
  <c r="G267" i="387" s="1"/>
  <c r="A267" i="387" a="1"/>
  <c r="A267" i="387" s="1"/>
  <c r="C266" i="387" a="1"/>
  <c r="C266" i="387" s="1"/>
  <c r="G266" i="387" s="1"/>
  <c r="A266" i="387" a="1"/>
  <c r="A266" i="387" s="1"/>
  <c r="C265" i="387" a="1"/>
  <c r="C265" i="387" s="1"/>
  <c r="G265" i="387" s="1"/>
  <c r="A265" i="387" a="1"/>
  <c r="A265" i="387" s="1"/>
  <c r="C264" i="387" a="1"/>
  <c r="C264" i="387" s="1"/>
  <c r="G264" i="387" s="1"/>
  <c r="A264" i="387" a="1"/>
  <c r="A264" i="387" s="1"/>
  <c r="C263" i="387" a="1"/>
  <c r="C263" i="387" s="1"/>
  <c r="G263" i="387" s="1"/>
  <c r="A263" i="387" a="1"/>
  <c r="A263" i="387" s="1"/>
  <c r="C262" i="387" a="1"/>
  <c r="C262" i="387" s="1"/>
  <c r="G262" i="387" s="1"/>
  <c r="A262" i="387" a="1"/>
  <c r="A262" i="387" s="1"/>
  <c r="C261" i="387" a="1"/>
  <c r="C261" i="387" s="1"/>
  <c r="G261" i="387" s="1"/>
  <c r="A261" i="387" a="1"/>
  <c r="A261" i="387" s="1"/>
  <c r="C260" i="387" a="1"/>
  <c r="C260" i="387" s="1"/>
  <c r="G260" i="387" s="1"/>
  <c r="A260" i="387" a="1"/>
  <c r="A260" i="387" s="1"/>
  <c r="C259" i="387" a="1"/>
  <c r="C259" i="387" s="1"/>
  <c r="G259" i="387" s="1"/>
  <c r="A259" i="387" a="1"/>
  <c r="A259" i="387" s="1"/>
  <c r="C258" i="387" a="1"/>
  <c r="C258" i="387" s="1"/>
  <c r="G258" i="387" s="1"/>
  <c r="A258" i="387" a="1"/>
  <c r="A258" i="387" s="1"/>
  <c r="C257" i="387" a="1"/>
  <c r="C257" i="387" s="1"/>
  <c r="G257" i="387" s="1"/>
  <c r="A257" i="387" a="1"/>
  <c r="A257" i="387" s="1"/>
  <c r="C256" i="387" a="1"/>
  <c r="C256" i="387" s="1"/>
  <c r="G256" i="387" s="1"/>
  <c r="A256" i="387" a="1"/>
  <c r="A256" i="387" s="1"/>
  <c r="C255" i="387" a="1"/>
  <c r="C255" i="387" s="1"/>
  <c r="G255" i="387" s="1"/>
  <c r="A255" i="387" a="1"/>
  <c r="A255" i="387" s="1"/>
  <c r="C254" i="387" a="1"/>
  <c r="C254" i="387" s="1"/>
  <c r="G254" i="387" s="1"/>
  <c r="A254" i="387" a="1"/>
  <c r="A254" i="387" s="1"/>
  <c r="C253" i="387" a="1"/>
  <c r="C253" i="387" s="1"/>
  <c r="G253" i="387" s="1"/>
  <c r="A253" i="387" a="1"/>
  <c r="A253" i="387" s="1"/>
  <c r="C252" i="387" a="1"/>
  <c r="C252" i="387" s="1"/>
  <c r="G252" i="387" s="1"/>
  <c r="A252" i="387" a="1"/>
  <c r="A252" i="387" s="1"/>
  <c r="C251" i="387" a="1"/>
  <c r="C251" i="387" s="1"/>
  <c r="G251" i="387" s="1"/>
  <c r="A251" i="387" a="1"/>
  <c r="A251" i="387" s="1"/>
  <c r="C250" i="387" a="1"/>
  <c r="C250" i="387" s="1"/>
  <c r="G250" i="387" s="1"/>
  <c r="A250" i="387" a="1"/>
  <c r="A250" i="387" s="1"/>
  <c r="C249" i="387" a="1"/>
  <c r="C249" i="387" s="1"/>
  <c r="G249" i="387" s="1"/>
  <c r="A249" i="387" a="1"/>
  <c r="A249" i="387" s="1"/>
  <c r="C248" i="387" a="1"/>
  <c r="C248" i="387" s="1"/>
  <c r="G248" i="387" s="1"/>
  <c r="A248" i="387" a="1"/>
  <c r="A248" i="387" s="1"/>
  <c r="C247" i="387" a="1"/>
  <c r="C247" i="387" s="1"/>
  <c r="G247" i="387" s="1"/>
  <c r="A247" i="387" a="1"/>
  <c r="A247" i="387" s="1"/>
  <c r="C246" i="387" a="1"/>
  <c r="C246" i="387" s="1"/>
  <c r="G246" i="387" s="1"/>
  <c r="A246" i="387" a="1"/>
  <c r="A246" i="387" s="1"/>
  <c r="C245" i="387" a="1"/>
  <c r="C245" i="387" s="1"/>
  <c r="G245" i="387" s="1"/>
  <c r="A245" i="387" a="1"/>
  <c r="A245" i="387" s="1"/>
  <c r="C244" i="387" a="1"/>
  <c r="C244" i="387" s="1"/>
  <c r="G244" i="387" s="1"/>
  <c r="A244" i="387" a="1"/>
  <c r="A244" i="387" s="1"/>
  <c r="C243" i="387" a="1"/>
  <c r="C243" i="387" s="1"/>
  <c r="G243" i="387" s="1"/>
  <c r="A243" i="387" a="1"/>
  <c r="A243" i="387" s="1"/>
  <c r="C242" i="387" a="1"/>
  <c r="C242" i="387" s="1"/>
  <c r="G242" i="387" s="1"/>
  <c r="A242" i="387" a="1"/>
  <c r="A242" i="387" s="1"/>
  <c r="C241" i="387" a="1"/>
  <c r="C241" i="387" s="1"/>
  <c r="G241" i="387" s="1"/>
  <c r="A241" i="387" a="1"/>
  <c r="A241" i="387" s="1"/>
  <c r="C240" i="387" a="1"/>
  <c r="C240" i="387" s="1"/>
  <c r="G240" i="387" s="1"/>
  <c r="A240" i="387" a="1"/>
  <c r="A240" i="387" s="1"/>
  <c r="C239" i="387" a="1"/>
  <c r="C239" i="387" s="1"/>
  <c r="G239" i="387" s="1"/>
  <c r="A239" i="387" a="1"/>
  <c r="A239" i="387" s="1"/>
  <c r="C238" i="387" a="1"/>
  <c r="C238" i="387" s="1"/>
  <c r="G238" i="387" s="1"/>
  <c r="A238" i="387" a="1"/>
  <c r="A238" i="387" s="1"/>
  <c r="C237" i="387" a="1"/>
  <c r="C237" i="387" s="1"/>
  <c r="G237" i="387" s="1"/>
  <c r="A237" i="387" a="1"/>
  <c r="A237" i="387" s="1"/>
  <c r="C236" i="387" a="1"/>
  <c r="C236" i="387" s="1"/>
  <c r="G236" i="387" s="1"/>
  <c r="A236" i="387" a="1"/>
  <c r="A236" i="387" s="1"/>
  <c r="C235" i="387" a="1"/>
  <c r="C235" i="387" s="1"/>
  <c r="G235" i="387" s="1"/>
  <c r="A235" i="387" a="1"/>
  <c r="A235" i="387" s="1"/>
  <c r="C234" i="387" a="1"/>
  <c r="C234" i="387" s="1"/>
  <c r="G234" i="387" s="1"/>
  <c r="A234" i="387" a="1"/>
  <c r="A234" i="387" s="1"/>
  <c r="C233" i="387" a="1"/>
  <c r="C233" i="387" s="1"/>
  <c r="G233" i="387" s="1"/>
  <c r="A233" i="387" a="1"/>
  <c r="A233" i="387" s="1"/>
  <c r="C232" i="387" a="1"/>
  <c r="C232" i="387" s="1"/>
  <c r="G232" i="387" s="1"/>
  <c r="A232" i="387" a="1"/>
  <c r="A232" i="387" s="1"/>
  <c r="C231" i="387" a="1"/>
  <c r="C231" i="387" s="1"/>
  <c r="G231" i="387" s="1"/>
  <c r="A231" i="387" a="1"/>
  <c r="A231" i="387" s="1"/>
  <c r="C230" i="387" a="1"/>
  <c r="C230" i="387" s="1"/>
  <c r="G230" i="387" s="1"/>
  <c r="A230" i="387" a="1"/>
  <c r="A230" i="387" s="1"/>
  <c r="C229" i="387" a="1"/>
  <c r="C229" i="387" s="1"/>
  <c r="G229" i="387" s="1"/>
  <c r="A229" i="387" a="1"/>
  <c r="A229" i="387" s="1"/>
  <c r="C228" i="387" a="1"/>
  <c r="C228" i="387" s="1"/>
  <c r="G228" i="387" s="1"/>
  <c r="A228" i="387" a="1"/>
  <c r="A228" i="387" s="1"/>
  <c r="C227" i="387" a="1"/>
  <c r="C227" i="387" s="1"/>
  <c r="G227" i="387" s="1"/>
  <c r="A227" i="387" a="1"/>
  <c r="A227" i="387" s="1"/>
  <c r="C226" i="387" a="1"/>
  <c r="C226" i="387" s="1"/>
  <c r="G226" i="387" s="1"/>
  <c r="A226" i="387" a="1"/>
  <c r="A226" i="387" s="1"/>
  <c r="C225" i="387" a="1"/>
  <c r="C225" i="387" s="1"/>
  <c r="G225" i="387" s="1"/>
  <c r="A225" i="387" a="1"/>
  <c r="A225" i="387" s="1"/>
  <c r="C224" i="387" a="1"/>
  <c r="C224" i="387" s="1"/>
  <c r="G224" i="387" s="1"/>
  <c r="A224" i="387" a="1"/>
  <c r="A224" i="387" s="1"/>
  <c r="C223" i="387" a="1"/>
  <c r="C223" i="387" s="1"/>
  <c r="G223" i="387" s="1"/>
  <c r="A223" i="387" a="1"/>
  <c r="A223" i="387" s="1"/>
  <c r="C222" i="387" a="1"/>
  <c r="C222" i="387" s="1"/>
  <c r="G222" i="387" s="1"/>
  <c r="A222" i="387" a="1"/>
  <c r="A222" i="387" s="1"/>
  <c r="C221" i="387" a="1"/>
  <c r="C221" i="387" s="1"/>
  <c r="G221" i="387" s="1"/>
  <c r="A221" i="387" a="1"/>
  <c r="A221" i="387" s="1"/>
  <c r="C220" i="387" a="1"/>
  <c r="C220" i="387" s="1"/>
  <c r="G220" i="387" s="1"/>
  <c r="A220" i="387" a="1"/>
  <c r="A220" i="387" s="1"/>
  <c r="C219" i="387" a="1"/>
  <c r="C219" i="387" s="1"/>
  <c r="G219" i="387" s="1"/>
  <c r="A219" i="387" a="1"/>
  <c r="A219" i="387" s="1"/>
  <c r="C218" i="387" a="1"/>
  <c r="C218" i="387" s="1"/>
  <c r="G218" i="387" s="1"/>
  <c r="A218" i="387" a="1"/>
  <c r="A218" i="387" s="1"/>
  <c r="C217" i="387" a="1"/>
  <c r="C217" i="387" s="1"/>
  <c r="G217" i="387" s="1"/>
  <c r="A217" i="387" a="1"/>
  <c r="A217" i="387" s="1"/>
  <c r="C216" i="387" a="1"/>
  <c r="C216" i="387" s="1"/>
  <c r="G216" i="387" s="1"/>
  <c r="A216" i="387" a="1"/>
  <c r="A216" i="387" s="1"/>
  <c r="C215" i="387" a="1"/>
  <c r="C215" i="387" s="1"/>
  <c r="G215" i="387" s="1"/>
  <c r="A215" i="387" a="1"/>
  <c r="A215" i="387"/>
  <c r="C214" i="387" a="1"/>
  <c r="C214" i="387"/>
  <c r="G214" i="387" s="1"/>
  <c r="A214" i="387" a="1"/>
  <c r="A214" i="387" s="1"/>
  <c r="C213" i="387" a="1"/>
  <c r="C213" i="387" s="1"/>
  <c r="G213" i="387" s="1"/>
  <c r="A213" i="387" a="1"/>
  <c r="A213" i="387" s="1"/>
  <c r="C212" i="387" a="1"/>
  <c r="C212" i="387" s="1"/>
  <c r="G212" i="387" s="1"/>
  <c r="A212" i="387" a="1"/>
  <c r="A212" i="387" s="1"/>
  <c r="C211" i="387" a="1"/>
  <c r="C211" i="387" s="1"/>
  <c r="G211" i="387" s="1"/>
  <c r="A211" i="387" a="1"/>
  <c r="A211" i="387" s="1"/>
  <c r="C210" i="387" a="1"/>
  <c r="C210" i="387" s="1"/>
  <c r="G210" i="387" s="1"/>
  <c r="A210" i="387" a="1"/>
  <c r="A210" i="387" s="1"/>
  <c r="C209" i="387" a="1"/>
  <c r="C209" i="387" s="1"/>
  <c r="G209" i="387" s="1"/>
  <c r="A209" i="387" a="1"/>
  <c r="A209" i="387" s="1"/>
  <c r="C208" i="387" a="1"/>
  <c r="C208" i="387" s="1"/>
  <c r="G208" i="387" s="1"/>
  <c r="A208" i="387" a="1"/>
  <c r="A208" i="387" s="1"/>
  <c r="C207" i="387" a="1"/>
  <c r="C207" i="387" s="1"/>
  <c r="G207" i="387" s="1"/>
  <c r="A207" i="387" a="1"/>
  <c r="A207" i="387" s="1"/>
  <c r="C206" i="387" a="1"/>
  <c r="C206" i="387" s="1"/>
  <c r="A206" i="387" a="1"/>
  <c r="A206" i="387" s="1"/>
  <c r="C205" i="387" a="1"/>
  <c r="C205" i="387" s="1"/>
  <c r="D205" i="387" s="1"/>
  <c r="A205" i="387" a="1"/>
  <c r="A205" i="387" s="1"/>
  <c r="C203" i="387" a="1"/>
  <c r="C203" i="387" s="1"/>
  <c r="D203" i="387" s="1"/>
  <c r="A203" i="387" a="1"/>
  <c r="A203" i="387" s="1"/>
  <c r="C202" i="387" a="1"/>
  <c r="C202" i="387" s="1"/>
  <c r="D202" i="387" s="1"/>
  <c r="A202" i="387" a="1"/>
  <c r="A202" i="387" s="1"/>
  <c r="C201" i="387" a="1"/>
  <c r="C201" i="387" s="1"/>
  <c r="D201" i="387" s="1"/>
  <c r="A201" i="387" a="1"/>
  <c r="A201" i="387" s="1"/>
  <c r="C200" i="387" a="1"/>
  <c r="C200" i="387" s="1"/>
  <c r="D200" i="387" s="1"/>
  <c r="A200" i="387" a="1"/>
  <c r="A200" i="387" s="1"/>
  <c r="C199" i="387" a="1"/>
  <c r="C199" i="387" s="1"/>
  <c r="D199" i="387" s="1"/>
  <c r="A199" i="387" a="1"/>
  <c r="A199" i="387" s="1"/>
  <c r="C198" i="387" a="1"/>
  <c r="C198" i="387" s="1"/>
  <c r="D198" i="387" s="1"/>
  <c r="A198" i="387" a="1"/>
  <c r="A198" i="387" s="1"/>
  <c r="C197" i="387" a="1"/>
  <c r="C197" i="387" s="1"/>
  <c r="D197" i="387" s="1"/>
  <c r="A197" i="387" a="1"/>
  <c r="A197" i="387" s="1"/>
  <c r="C196" i="387" a="1"/>
  <c r="C196" i="387" s="1"/>
  <c r="D196" i="387" s="1"/>
  <c r="A196" i="387" a="1"/>
  <c r="A196" i="387" s="1"/>
  <c r="C195" i="387" a="1"/>
  <c r="C195" i="387" s="1"/>
  <c r="D195" i="387" s="1"/>
  <c r="A195" i="387" a="1"/>
  <c r="A195" i="387" s="1"/>
  <c r="C194" i="387" a="1"/>
  <c r="C194" i="387" s="1"/>
  <c r="D194" i="387" s="1"/>
  <c r="A194" i="387" a="1"/>
  <c r="A194" i="387" s="1"/>
  <c r="C193" i="387" a="1"/>
  <c r="C193" i="387" s="1"/>
  <c r="D193" i="387" s="1"/>
  <c r="A193" i="387" a="1"/>
  <c r="A193" i="387" s="1"/>
  <c r="C192" i="387" a="1"/>
  <c r="C192" i="387" s="1"/>
  <c r="D192" i="387" s="1"/>
  <c r="A192" i="387" a="1"/>
  <c r="A192" i="387" s="1"/>
  <c r="C191" i="387" a="1"/>
  <c r="C191" i="387" s="1"/>
  <c r="D191" i="387" s="1"/>
  <c r="A191" i="387" a="1"/>
  <c r="A191" i="387" s="1"/>
  <c r="C190" i="387" a="1"/>
  <c r="C190" i="387" s="1"/>
  <c r="D190" i="387" s="1"/>
  <c r="A190" i="387" a="1"/>
  <c r="A190" i="387" s="1"/>
  <c r="C188" i="387" a="1"/>
  <c r="C188" i="387" s="1"/>
  <c r="A188" i="387" a="1"/>
  <c r="A188" i="387" s="1"/>
  <c r="C187" i="387" a="1"/>
  <c r="C187" i="387" s="1"/>
  <c r="D187" i="387" s="1"/>
  <c r="A187" i="387" a="1"/>
  <c r="A187" i="387" s="1"/>
  <c r="C186" i="387" a="1"/>
  <c r="C186" i="387" s="1"/>
  <c r="D186" i="387" s="1"/>
  <c r="A186" i="387" a="1"/>
  <c r="A186" i="387" s="1"/>
  <c r="C185" i="387" a="1"/>
  <c r="C185" i="387" s="1"/>
  <c r="D185" i="387" s="1"/>
  <c r="A185" i="387" a="1"/>
  <c r="A185" i="387" s="1"/>
  <c r="C184" i="387" a="1"/>
  <c r="C184" i="387" s="1"/>
  <c r="D184" i="387" s="1"/>
  <c r="A184" i="387" a="1"/>
  <c r="A184" i="387" s="1"/>
  <c r="C183" i="387" a="1"/>
  <c r="C183" i="387" s="1"/>
  <c r="D183" i="387" s="1"/>
  <c r="A183" i="387" a="1"/>
  <c r="A183" i="387" s="1"/>
  <c r="C182" i="387" a="1"/>
  <c r="C182" i="387" s="1"/>
  <c r="D182" i="387" s="1"/>
  <c r="A182" i="387" a="1"/>
  <c r="A182" i="387" s="1"/>
  <c r="C181" i="387" a="1"/>
  <c r="C181" i="387" s="1"/>
  <c r="D181" i="387" s="1"/>
  <c r="A181" i="387" a="1"/>
  <c r="A181" i="387" s="1"/>
  <c r="C180" i="387" a="1"/>
  <c r="C180" i="387" s="1"/>
  <c r="A180" i="387" a="1"/>
  <c r="A180" i="387" s="1"/>
  <c r="C179" i="387" a="1"/>
  <c r="C179" i="387" s="1"/>
  <c r="D179" i="387" s="1"/>
  <c r="A179" i="387" a="1"/>
  <c r="A179" i="387" s="1"/>
  <c r="C178" i="387" a="1"/>
  <c r="C178" i="387" s="1"/>
  <c r="D178" i="387" s="1"/>
  <c r="A178" i="387" a="1"/>
  <c r="A178" i="387" s="1"/>
  <c r="C177" i="387" a="1"/>
  <c r="C177" i="387" s="1"/>
  <c r="D177" i="387" s="1"/>
  <c r="A177" i="387" a="1"/>
  <c r="A177" i="387" s="1"/>
  <c r="C176" i="387" a="1"/>
  <c r="C176" i="387" s="1"/>
  <c r="D176" i="387" s="1"/>
  <c r="A176" i="387" a="1"/>
  <c r="A176" i="387" s="1"/>
  <c r="C175" i="387" a="1"/>
  <c r="C175" i="387" s="1"/>
  <c r="D175" i="387" s="1"/>
  <c r="A175" i="387" a="1"/>
  <c r="A175" i="387" s="1"/>
  <c r="C174" i="387" a="1"/>
  <c r="C174" i="387" s="1"/>
  <c r="D174" i="387" s="1"/>
  <c r="A174" i="387" a="1"/>
  <c r="A174" i="387" s="1"/>
  <c r="C173" i="387" a="1"/>
  <c r="C173" i="387" s="1"/>
  <c r="D173" i="387" s="1"/>
  <c r="A173" i="387" a="1"/>
  <c r="A173" i="387" s="1"/>
  <c r="C172" i="387" a="1"/>
  <c r="C172" i="387" s="1"/>
  <c r="A172" i="387" a="1"/>
  <c r="A172" i="387" s="1"/>
  <c r="C171" i="387" a="1"/>
  <c r="C171" i="387" s="1"/>
  <c r="D171" i="387" s="1"/>
  <c r="A171" i="387" a="1"/>
  <c r="A171" i="387" s="1"/>
  <c r="C170" i="387" a="1"/>
  <c r="C170" i="387" s="1"/>
  <c r="D170" i="387" s="1"/>
  <c r="A170" i="387" a="1"/>
  <c r="A170" i="387" s="1"/>
  <c r="C169" i="387" a="1"/>
  <c r="C169" i="387" s="1"/>
  <c r="D169" i="387" s="1"/>
  <c r="A169" i="387" a="1"/>
  <c r="A169" i="387" s="1"/>
  <c r="C168" i="387" a="1"/>
  <c r="C168" i="387" s="1"/>
  <c r="D168" i="387" s="1"/>
  <c r="A168" i="387" a="1"/>
  <c r="A168" i="387" s="1"/>
  <c r="C167" i="387" a="1"/>
  <c r="C167" i="387" s="1"/>
  <c r="D167" i="387" s="1"/>
  <c r="A167" i="387" a="1"/>
  <c r="A167" i="387" s="1"/>
  <c r="C166" i="387" a="1"/>
  <c r="C166" i="387" s="1"/>
  <c r="D166" i="387" s="1"/>
  <c r="A166" i="387" a="1"/>
  <c r="A166" i="387" s="1"/>
  <c r="C165" i="387" a="1"/>
  <c r="C165" i="387" s="1"/>
  <c r="D165" i="387" s="1"/>
  <c r="A165" i="387" a="1"/>
  <c r="A165" i="387" s="1"/>
  <c r="C164" i="387" a="1"/>
  <c r="C164" i="387" s="1"/>
  <c r="D164" i="387" s="1"/>
  <c r="A164" i="387" a="1"/>
  <c r="A164" i="387" s="1"/>
  <c r="C163" i="387" a="1"/>
  <c r="C163" i="387" s="1"/>
  <c r="D163" i="387" s="1"/>
  <c r="A163" i="387" a="1"/>
  <c r="A163" i="387" s="1"/>
  <c r="C162" i="387" a="1"/>
  <c r="C162" i="387" s="1"/>
  <c r="D162" i="387" s="1"/>
  <c r="A162" i="387" a="1"/>
  <c r="A162" i="387" s="1"/>
  <c r="C161" i="387" a="1"/>
  <c r="C161" i="387" s="1"/>
  <c r="D161" i="387" s="1"/>
  <c r="A161" i="387" a="1"/>
  <c r="A161" i="387" s="1"/>
  <c r="C160" i="387" a="1"/>
  <c r="C160" i="387" s="1"/>
  <c r="D160" i="387" s="1"/>
  <c r="A160" i="387" a="1"/>
  <c r="A160" i="387" s="1"/>
  <c r="C159" i="387" a="1"/>
  <c r="C159" i="387" s="1"/>
  <c r="D159" i="387" s="1"/>
  <c r="A159" i="387" a="1"/>
  <c r="A159" i="387" s="1"/>
  <c r="C158" i="387" a="1"/>
  <c r="C158" i="387" s="1"/>
  <c r="D158" i="387" s="1"/>
  <c r="A158" i="387" a="1"/>
  <c r="A158" i="387" s="1"/>
  <c r="C157" i="387" a="1"/>
  <c r="C157" i="387" s="1"/>
  <c r="D157" i="387" s="1"/>
  <c r="A157" i="387" a="1"/>
  <c r="A157" i="387" s="1"/>
  <c r="C156" i="387" a="1"/>
  <c r="C156" i="387" s="1"/>
  <c r="A156" i="387" a="1"/>
  <c r="A156" i="387" s="1"/>
  <c r="C155" i="387" a="1"/>
  <c r="C155" i="387" s="1"/>
  <c r="D155" i="387" s="1"/>
  <c r="A155" i="387" a="1"/>
  <c r="A155" i="387" s="1"/>
  <c r="C154" i="387" a="1"/>
  <c r="C154" i="387" s="1"/>
  <c r="D154" i="387" s="1"/>
  <c r="A154" i="387" a="1"/>
  <c r="A154" i="387" s="1"/>
  <c r="C153" i="387" a="1"/>
  <c r="C153" i="387" s="1"/>
  <c r="D153" i="387" s="1"/>
  <c r="A153" i="387" a="1"/>
  <c r="A153" i="387" s="1"/>
  <c r="C152" i="387" a="1"/>
  <c r="C152" i="387" s="1"/>
  <c r="D152" i="387" s="1"/>
  <c r="A152" i="387" a="1"/>
  <c r="A152" i="387" s="1"/>
  <c r="C151" i="387" a="1"/>
  <c r="C151" i="387" s="1"/>
  <c r="D151" i="387" s="1"/>
  <c r="A151" i="387" a="1"/>
  <c r="A151" i="387" s="1"/>
  <c r="C145" i="387" a="1"/>
  <c r="C145" i="387" s="1"/>
  <c r="D145" i="387" s="1"/>
  <c r="A145" i="387" a="1"/>
  <c r="A145" i="387" s="1"/>
  <c r="C144" i="387" a="1"/>
  <c r="C144" i="387" s="1"/>
  <c r="D144" i="387" s="1"/>
  <c r="A144" i="387" a="1"/>
  <c r="A144" i="387"/>
  <c r="C143" i="387" a="1"/>
  <c r="C143" i="387"/>
  <c r="D143" i="387" s="1"/>
  <c r="A143" i="387" a="1"/>
  <c r="A143" i="387" s="1"/>
  <c r="C142" i="387" a="1"/>
  <c r="C142" i="387" s="1"/>
  <c r="D142" i="387" s="1"/>
  <c r="A142" i="387" a="1"/>
  <c r="A142" i="387" s="1"/>
  <c r="C141" i="387" a="1"/>
  <c r="C141" i="387" s="1"/>
  <c r="D141" i="387" s="1"/>
  <c r="A141" i="387" a="1"/>
  <c r="A141" i="387" s="1"/>
  <c r="C140" i="387" a="1"/>
  <c r="C140" i="387" s="1"/>
  <c r="D140" i="387" s="1"/>
  <c r="A140" i="387" a="1"/>
  <c r="A140" i="387" s="1"/>
  <c r="C139" i="387" a="1"/>
  <c r="C139" i="387" s="1"/>
  <c r="D139" i="387" s="1"/>
  <c r="A139" i="387" a="1"/>
  <c r="A139" i="387" s="1"/>
  <c r="C138" i="387" a="1"/>
  <c r="C138" i="387" s="1"/>
  <c r="D138" i="387" s="1"/>
  <c r="A138" i="387" a="1"/>
  <c r="A138" i="387" s="1"/>
  <c r="C137" i="387" a="1"/>
  <c r="C137" i="387" s="1"/>
  <c r="G137" i="387" s="1"/>
  <c r="A137" i="387" a="1"/>
  <c r="A137" i="387" s="1"/>
  <c r="E136" i="387" a="1"/>
  <c r="E136" i="387" s="1"/>
  <c r="C136" i="387" a="1"/>
  <c r="C136" i="387" s="1"/>
  <c r="G136" i="387" s="1"/>
  <c r="A136" i="387" a="1"/>
  <c r="A136" i="387" s="1"/>
  <c r="F135" i="387" a="1"/>
  <c r="F135" i="387" s="1"/>
  <c r="E135" i="387" a="1"/>
  <c r="E135" i="387" s="1"/>
  <c r="C135" i="387" a="1"/>
  <c r="C135" i="387" s="1"/>
  <c r="A135" i="387" a="1"/>
  <c r="A135" i="387" s="1"/>
  <c r="F134" i="387" a="1"/>
  <c r="F134" i="387" s="1"/>
  <c r="E134" i="387" a="1"/>
  <c r="E134" i="387" s="1"/>
  <c r="C134" i="387" a="1"/>
  <c r="C134" i="387" s="1"/>
  <c r="G134" i="387" s="1"/>
  <c r="A134" i="387" a="1"/>
  <c r="A134" i="387" s="1"/>
  <c r="F133" i="387" a="1"/>
  <c r="F133" i="387" s="1"/>
  <c r="E133" i="387" a="1"/>
  <c r="E133" i="387" s="1"/>
  <c r="C133" i="387" a="1"/>
  <c r="C133" i="387" s="1"/>
  <c r="G133" i="387" s="1"/>
  <c r="A133" i="387" a="1"/>
  <c r="A133" i="387" s="1"/>
  <c r="F132" i="387" a="1"/>
  <c r="F132" i="387" s="1"/>
  <c r="E132" i="387" a="1"/>
  <c r="E132" i="387" s="1"/>
  <c r="C132" i="387" a="1"/>
  <c r="C132" i="387" s="1"/>
  <c r="G132" i="387" s="1"/>
  <c r="A132" i="387" a="1"/>
  <c r="A132" i="387" s="1"/>
  <c r="F131" i="387" a="1"/>
  <c r="F131" i="387" s="1"/>
  <c r="E131" i="387" a="1"/>
  <c r="E131" i="387" s="1"/>
  <c r="C131" i="387" a="1"/>
  <c r="C131" i="387" s="1"/>
  <c r="G131" i="387" s="1"/>
  <c r="A131" i="387" a="1"/>
  <c r="A131" i="387" s="1"/>
  <c r="F130" i="387" a="1"/>
  <c r="F130" i="387" s="1"/>
  <c r="E130" i="387" a="1"/>
  <c r="E130" i="387" s="1"/>
  <c r="C130" i="387" a="1"/>
  <c r="C130" i="387" s="1"/>
  <c r="G130" i="387" s="1"/>
  <c r="A130" i="387" a="1"/>
  <c r="A130" i="387" s="1"/>
  <c r="F129" i="387" a="1"/>
  <c r="F129" i="387" s="1"/>
  <c r="E129" i="387" a="1"/>
  <c r="E129" i="387" s="1"/>
  <c r="C129" i="387" a="1"/>
  <c r="C129" i="387" s="1"/>
  <c r="G129" i="387" s="1"/>
  <c r="A129" i="387" a="1"/>
  <c r="A129" i="387" s="1"/>
  <c r="F128" i="387" a="1"/>
  <c r="F128" i="387" s="1"/>
  <c r="E128" i="387" a="1"/>
  <c r="E128" i="387" s="1"/>
  <c r="C128" i="387" a="1"/>
  <c r="C128" i="387" s="1"/>
  <c r="G128" i="387" s="1"/>
  <c r="A128" i="387" a="1"/>
  <c r="A128" i="387" s="1"/>
  <c r="F127" i="387" a="1"/>
  <c r="F127" i="387" s="1"/>
  <c r="E127" i="387" a="1"/>
  <c r="E127" i="387" s="1"/>
  <c r="C127" i="387" a="1"/>
  <c r="C127" i="387" s="1"/>
  <c r="G127" i="387" s="1"/>
  <c r="A127" i="387" a="1"/>
  <c r="A127" i="387" s="1"/>
  <c r="F126" i="387" a="1"/>
  <c r="F126" i="387" s="1"/>
  <c r="E126" i="387" a="1"/>
  <c r="E126" i="387" s="1"/>
  <c r="C126" i="387" a="1"/>
  <c r="C126" i="387" s="1"/>
  <c r="G126" i="387" s="1"/>
  <c r="A126" i="387" a="1"/>
  <c r="A126" i="387" s="1"/>
  <c r="F125" i="387" a="1"/>
  <c r="F125" i="387" s="1"/>
  <c r="E125" i="387" a="1"/>
  <c r="E125" i="387" s="1"/>
  <c r="C125" i="387" a="1"/>
  <c r="C125" i="387" s="1"/>
  <c r="G125" i="387" s="1"/>
  <c r="A125" i="387" a="1"/>
  <c r="A125" i="387" s="1"/>
  <c r="F124" i="387" a="1"/>
  <c r="F124" i="387" s="1"/>
  <c r="E124" i="387" a="1"/>
  <c r="E124" i="387" s="1"/>
  <c r="C124" i="387" a="1"/>
  <c r="C124" i="387" s="1"/>
  <c r="D124" i="387" s="1"/>
  <c r="A124" i="387" a="1"/>
  <c r="A124" i="387" s="1"/>
  <c r="F123" i="387" a="1"/>
  <c r="F123" i="387" s="1"/>
  <c r="E123" i="387" a="1"/>
  <c r="E123" i="387" s="1"/>
  <c r="C123" i="387" a="1"/>
  <c r="C123" i="387" s="1"/>
  <c r="G123" i="387" s="1"/>
  <c r="A123" i="387" a="1"/>
  <c r="A123" i="387" s="1"/>
  <c r="F122" i="387" a="1"/>
  <c r="F122" i="387" s="1"/>
  <c r="E122" i="387" a="1"/>
  <c r="E122" i="387" s="1"/>
  <c r="C122" i="387" a="1"/>
  <c r="C122" i="387" s="1"/>
  <c r="D122" i="387" s="1"/>
  <c r="A122" i="387" a="1"/>
  <c r="A122" i="387" s="1"/>
  <c r="F121" i="387" a="1"/>
  <c r="F121" i="387" s="1"/>
  <c r="E121" i="387" a="1"/>
  <c r="E121" i="387" s="1"/>
  <c r="C121" i="387" a="1"/>
  <c r="C121" i="387" s="1"/>
  <c r="G121" i="387" s="1"/>
  <c r="A121" i="387" a="1"/>
  <c r="A121" i="387" s="1"/>
  <c r="F120" i="387" a="1"/>
  <c r="F120" i="387" s="1"/>
  <c r="E120" i="387" a="1"/>
  <c r="E120" i="387" s="1"/>
  <c r="C120" i="387" a="1"/>
  <c r="C120" i="387" s="1"/>
  <c r="D120" i="387" s="1"/>
  <c r="A120" i="387" a="1"/>
  <c r="A120" i="387" s="1"/>
  <c r="F119" i="387" a="1"/>
  <c r="F119" i="387" s="1"/>
  <c r="E119" i="387" a="1"/>
  <c r="E119" i="387" s="1"/>
  <c r="C119" i="387" a="1"/>
  <c r="C119" i="387" s="1"/>
  <c r="A119" i="387" a="1"/>
  <c r="A119" i="387" s="1"/>
  <c r="F118" i="387" a="1"/>
  <c r="F118" i="387" s="1"/>
  <c r="E118" i="387" a="1"/>
  <c r="E118" i="387" s="1"/>
  <c r="C118" i="387" a="1"/>
  <c r="C118" i="387" s="1"/>
  <c r="D118" i="387" s="1"/>
  <c r="A118" i="387" a="1"/>
  <c r="A118" i="387" s="1"/>
  <c r="F117" i="387" a="1"/>
  <c r="F117" i="387" s="1"/>
  <c r="E117" i="387" a="1"/>
  <c r="E117" i="387" s="1"/>
  <c r="C117" i="387" a="1"/>
  <c r="C117" i="387" s="1"/>
  <c r="G117" i="387" s="1"/>
  <c r="A117" i="387" a="1"/>
  <c r="A117" i="387" s="1"/>
  <c r="F116" i="387" a="1"/>
  <c r="F116" i="387" s="1"/>
  <c r="E116" i="387" a="1"/>
  <c r="E116" i="387" s="1"/>
  <c r="C116" i="387" a="1"/>
  <c r="C116" i="387" s="1"/>
  <c r="D116" i="387" s="1"/>
  <c r="A116" i="387" a="1"/>
  <c r="A116" i="387" s="1"/>
  <c r="F115" i="387" a="1"/>
  <c r="F115" i="387" s="1"/>
  <c r="E115" i="387" a="1"/>
  <c r="E115" i="387" s="1"/>
  <c r="C115" i="387" a="1"/>
  <c r="C115" i="387" s="1"/>
  <c r="G115" i="387" s="1"/>
  <c r="A115" i="387" a="1"/>
  <c r="A115" i="387" s="1"/>
  <c r="F114" i="387" a="1"/>
  <c r="F114" i="387" s="1"/>
  <c r="E114" i="387" a="1"/>
  <c r="E114" i="387" s="1"/>
  <c r="C114" i="387" a="1"/>
  <c r="C114" i="387" s="1"/>
  <c r="D114" i="387" s="1"/>
  <c r="A114" i="387" a="1"/>
  <c r="A114" i="387" s="1"/>
  <c r="F113" i="387" a="1"/>
  <c r="F113" i="387" s="1"/>
  <c r="E113" i="387" a="1"/>
  <c r="E113" i="387" s="1"/>
  <c r="C113" i="387" a="1"/>
  <c r="C113" i="387" s="1"/>
  <c r="G113" i="387" s="1"/>
  <c r="A113" i="387" a="1"/>
  <c r="A113" i="387" s="1"/>
  <c r="F112" i="387" a="1"/>
  <c r="F112" i="387" s="1"/>
  <c r="E112" i="387" a="1"/>
  <c r="E112" i="387" s="1"/>
  <c r="C112" i="387" a="1"/>
  <c r="C112" i="387" s="1"/>
  <c r="D112" i="387" s="1"/>
  <c r="A112" i="387" a="1"/>
  <c r="A112" i="387" s="1"/>
  <c r="F111" i="387" a="1"/>
  <c r="F111" i="387" s="1"/>
  <c r="E111" i="387" a="1"/>
  <c r="E111" i="387" s="1"/>
  <c r="C111" i="387" a="1"/>
  <c r="C111" i="387" s="1"/>
  <c r="G111" i="387" s="1"/>
  <c r="A111" i="387" a="1"/>
  <c r="A111" i="387" s="1"/>
  <c r="F110" i="387" a="1"/>
  <c r="F110" i="387" s="1"/>
  <c r="E110" i="387" a="1"/>
  <c r="E110" i="387" s="1"/>
  <c r="C110" i="387" a="1"/>
  <c r="C110" i="387" s="1"/>
  <c r="D110" i="387" s="1"/>
  <c r="A110" i="387" a="1"/>
  <c r="A110" i="387" s="1"/>
  <c r="F109" i="387" a="1"/>
  <c r="F109" i="387" s="1"/>
  <c r="E109" i="387" a="1"/>
  <c r="E109" i="387" s="1"/>
  <c r="C109" i="387" a="1"/>
  <c r="C109" i="387" s="1"/>
  <c r="G109" i="387" s="1"/>
  <c r="A109" i="387" a="1"/>
  <c r="A109" i="387" s="1"/>
  <c r="F108" i="387" a="1"/>
  <c r="F108" i="387" s="1"/>
  <c r="E108" i="387" a="1"/>
  <c r="E108" i="387" s="1"/>
  <c r="C108" i="387" a="1"/>
  <c r="C108" i="387" s="1"/>
  <c r="D108" i="387" s="1"/>
  <c r="A108" i="387" a="1"/>
  <c r="A108" i="387" s="1"/>
  <c r="F107" i="387" a="1"/>
  <c r="F107" i="387" s="1"/>
  <c r="E107" i="387" a="1"/>
  <c r="E107" i="387" s="1"/>
  <c r="C107" i="387" a="1"/>
  <c r="C107" i="387" s="1"/>
  <c r="G107" i="387" s="1"/>
  <c r="A107" i="387" a="1"/>
  <c r="A107" i="387" s="1"/>
  <c r="F106" i="387" a="1"/>
  <c r="F106" i="387" s="1"/>
  <c r="E106" i="387" a="1"/>
  <c r="E106" i="387" s="1"/>
  <c r="C106" i="387" a="1"/>
  <c r="C106" i="387" s="1"/>
  <c r="D106" i="387" s="1"/>
  <c r="A106" i="387" a="1"/>
  <c r="A106" i="387" s="1"/>
  <c r="F105" i="387" a="1"/>
  <c r="F105" i="387" s="1"/>
  <c r="E105" i="387" a="1"/>
  <c r="E105" i="387" s="1"/>
  <c r="C105" i="387" a="1"/>
  <c r="C105" i="387" s="1"/>
  <c r="G105" i="387" s="1"/>
  <c r="A105" i="387" a="1"/>
  <c r="A105" i="387" s="1"/>
  <c r="F104" i="387" a="1"/>
  <c r="F104" i="387" s="1"/>
  <c r="E104" i="387" a="1"/>
  <c r="E104" i="387" s="1"/>
  <c r="C104" i="387" a="1"/>
  <c r="C104" i="387" s="1"/>
  <c r="D104" i="387" s="1"/>
  <c r="A104" i="387" a="1"/>
  <c r="A104" i="387" s="1"/>
  <c r="F103" i="387" a="1"/>
  <c r="F103" i="387" s="1"/>
  <c r="E103" i="387" a="1"/>
  <c r="E103" i="387" s="1"/>
  <c r="C103" i="387" a="1"/>
  <c r="C103" i="387" s="1"/>
  <c r="G103" i="387" s="1"/>
  <c r="A103" i="387" a="1"/>
  <c r="A103" i="387" s="1"/>
  <c r="F102" i="387" a="1"/>
  <c r="F102" i="387" s="1"/>
  <c r="E102" i="387" a="1"/>
  <c r="E102" i="387" s="1"/>
  <c r="C102" i="387" a="1"/>
  <c r="C102" i="387" s="1"/>
  <c r="D102" i="387" s="1"/>
  <c r="A102" i="387" a="1"/>
  <c r="A102" i="387" s="1"/>
  <c r="F101" i="387" a="1"/>
  <c r="F101" i="387" s="1"/>
  <c r="E101" i="387" a="1"/>
  <c r="E101" i="387" s="1"/>
  <c r="C101" i="387" a="1"/>
  <c r="C101" i="387" s="1"/>
  <c r="G101" i="387" s="1"/>
  <c r="A101" i="387" a="1"/>
  <c r="A101" i="387" s="1"/>
  <c r="F100" i="387" a="1"/>
  <c r="F100" i="387" s="1"/>
  <c r="E100" i="387" a="1"/>
  <c r="E100" i="387" s="1"/>
  <c r="C100" i="387" a="1"/>
  <c r="C100" i="387" s="1"/>
  <c r="D100" i="387" s="1"/>
  <c r="A100" i="387" a="1"/>
  <c r="A100" i="387" s="1"/>
  <c r="F99" i="387" a="1"/>
  <c r="F99" i="387" s="1"/>
  <c r="E99" i="387" a="1"/>
  <c r="E99" i="387" s="1"/>
  <c r="C99" i="387" a="1"/>
  <c r="C99" i="387" s="1"/>
  <c r="G99" i="387" s="1"/>
  <c r="A99" i="387" a="1"/>
  <c r="A99" i="387" s="1"/>
  <c r="F98" i="387" a="1"/>
  <c r="F98" i="387" s="1"/>
  <c r="E98" i="387" a="1"/>
  <c r="E98" i="387" s="1"/>
  <c r="C98" i="387" a="1"/>
  <c r="C98" i="387" s="1"/>
  <c r="D98" i="387" s="1"/>
  <c r="A98" i="387" a="1"/>
  <c r="A98" i="387" s="1"/>
  <c r="F97" i="387" a="1"/>
  <c r="F97" i="387" s="1"/>
  <c r="E97" i="387" a="1"/>
  <c r="E97" i="387" s="1"/>
  <c r="C97" i="387" a="1"/>
  <c r="C97" i="387" s="1"/>
  <c r="G97" i="387" s="1"/>
  <c r="A97" i="387" a="1"/>
  <c r="A97" i="387" s="1"/>
  <c r="F96" i="387" a="1"/>
  <c r="F96" i="387" s="1"/>
  <c r="E96" i="387" a="1"/>
  <c r="E96" i="387" s="1"/>
  <c r="C96" i="387" a="1"/>
  <c r="C96" i="387" s="1"/>
  <c r="D96" i="387" s="1"/>
  <c r="A96" i="387" a="1"/>
  <c r="A96" i="387" s="1"/>
  <c r="F95" i="387" a="1"/>
  <c r="F95" i="387" s="1"/>
  <c r="E95" i="387" a="1"/>
  <c r="E95" i="387" s="1"/>
  <c r="C95" i="387" a="1"/>
  <c r="C95" i="387" s="1"/>
  <c r="G95" i="387" s="1"/>
  <c r="A95" i="387" a="1"/>
  <c r="A95" i="387" s="1"/>
  <c r="F94" i="387" a="1"/>
  <c r="F94" i="387" s="1"/>
  <c r="E94" i="387" a="1"/>
  <c r="E94" i="387" s="1"/>
  <c r="C94" i="387" a="1"/>
  <c r="C94" i="387" s="1"/>
  <c r="D94" i="387" s="1"/>
  <c r="A94" i="387" a="1"/>
  <c r="A94" i="387" s="1"/>
  <c r="F93" i="387" a="1"/>
  <c r="F93" i="387" s="1"/>
  <c r="E93" i="387" a="1"/>
  <c r="E93" i="387" s="1"/>
  <c r="C93" i="387" a="1"/>
  <c r="C93" i="387" s="1"/>
  <c r="G93" i="387" s="1"/>
  <c r="A93" i="387" a="1"/>
  <c r="A93" i="387" s="1"/>
  <c r="F92" i="387" a="1"/>
  <c r="F92" i="387" s="1"/>
  <c r="E92" i="387" a="1"/>
  <c r="E92" i="387" s="1"/>
  <c r="C92" i="387" a="1"/>
  <c r="C92" i="387" s="1"/>
  <c r="D92" i="387" s="1"/>
  <c r="A92" i="387" a="1"/>
  <c r="A92" i="387" s="1"/>
  <c r="F91" i="387" a="1"/>
  <c r="F91" i="387" s="1"/>
  <c r="E91" i="387" a="1"/>
  <c r="E91" i="387" s="1"/>
  <c r="C91" i="387" a="1"/>
  <c r="C91" i="387" s="1"/>
  <c r="G91" i="387" s="1"/>
  <c r="A91" i="387" a="1"/>
  <c r="A91" i="387" s="1"/>
  <c r="F90" i="387" a="1"/>
  <c r="F90" i="387" s="1"/>
  <c r="E90" i="387" a="1"/>
  <c r="E90" i="387" s="1"/>
  <c r="C90" i="387" a="1"/>
  <c r="C90" i="387" s="1"/>
  <c r="D90" i="387" s="1"/>
  <c r="A90" i="387" a="1"/>
  <c r="A90" i="387" s="1"/>
  <c r="F89" i="387" a="1"/>
  <c r="F89" i="387" s="1"/>
  <c r="E89" i="387" a="1"/>
  <c r="E89" i="387" s="1"/>
  <c r="C89" i="387" a="1"/>
  <c r="C89" i="387" s="1"/>
  <c r="G89" i="387" s="1"/>
  <c r="A89" i="387" a="1"/>
  <c r="A89" i="387" s="1"/>
  <c r="F88" i="387" a="1"/>
  <c r="F88" i="387" s="1"/>
  <c r="E88" i="387" a="1"/>
  <c r="E88" i="387" s="1"/>
  <c r="C88" i="387" a="1"/>
  <c r="C88" i="387" s="1"/>
  <c r="D88" i="387" s="1"/>
  <c r="A88" i="387" a="1"/>
  <c r="A88" i="387" s="1"/>
  <c r="F87" i="387" a="1"/>
  <c r="F87" i="387" s="1"/>
  <c r="E87" i="387" a="1"/>
  <c r="E87" i="387" s="1"/>
  <c r="C87" i="387" a="1"/>
  <c r="C87" i="387" s="1"/>
  <c r="G87" i="387" s="1"/>
  <c r="A87" i="387" a="1"/>
  <c r="A87" i="387" s="1"/>
  <c r="F86" i="387" a="1"/>
  <c r="F86" i="387" s="1"/>
  <c r="E86" i="387" a="1"/>
  <c r="E86" i="387" s="1"/>
  <c r="C86" i="387" a="1"/>
  <c r="C86" i="387" s="1"/>
  <c r="D86" i="387" s="1"/>
  <c r="A86" i="387" a="1"/>
  <c r="A86" i="387" s="1"/>
  <c r="F85" i="387" a="1"/>
  <c r="F85" i="387" s="1"/>
  <c r="E85" i="387" a="1"/>
  <c r="E85" i="387" s="1"/>
  <c r="C85" i="387" a="1"/>
  <c r="C85" i="387" s="1"/>
  <c r="G85" i="387" s="1"/>
  <c r="A85" i="387" a="1"/>
  <c r="A85" i="387" s="1"/>
  <c r="F84" i="387" a="1"/>
  <c r="F84" i="387" s="1"/>
  <c r="E84" i="387" a="1"/>
  <c r="E84" i="387" s="1"/>
  <c r="C84" i="387" a="1"/>
  <c r="C84" i="387" s="1"/>
  <c r="D84" i="387" s="1"/>
  <c r="A84" i="387" a="1"/>
  <c r="A84" i="387" s="1"/>
  <c r="F83" i="387" a="1"/>
  <c r="F83" i="387" s="1"/>
  <c r="E83" i="387" a="1"/>
  <c r="E83" i="387" s="1"/>
  <c r="C83" i="387" a="1"/>
  <c r="C83" i="387" s="1"/>
  <c r="G83" i="387" s="1"/>
  <c r="A83" i="387" a="1"/>
  <c r="A83" i="387" s="1"/>
  <c r="F82" i="387" a="1"/>
  <c r="F82" i="387" s="1"/>
  <c r="E82" i="387" a="1"/>
  <c r="E82" i="387" s="1"/>
  <c r="C82" i="387" a="1"/>
  <c r="C82" i="387" s="1"/>
  <c r="D82" i="387" s="1"/>
  <c r="A82" i="387" a="1"/>
  <c r="A82" i="387" s="1"/>
  <c r="F81" i="387" a="1"/>
  <c r="F81" i="387" s="1"/>
  <c r="E81" i="387" a="1"/>
  <c r="E81" i="387" s="1"/>
  <c r="C81" i="387" a="1"/>
  <c r="C81" i="387" s="1"/>
  <c r="G81" i="387" s="1"/>
  <c r="A81" i="387" a="1"/>
  <c r="A81" i="387" s="1"/>
  <c r="F80" i="387" a="1"/>
  <c r="F80" i="387" s="1"/>
  <c r="E80" i="387" a="1"/>
  <c r="E80" i="387" s="1"/>
  <c r="C80" i="387" a="1"/>
  <c r="C80" i="387" s="1"/>
  <c r="D80" i="387" s="1"/>
  <c r="A80" i="387" a="1"/>
  <c r="A80" i="387"/>
  <c r="F79" i="387" a="1"/>
  <c r="F79" i="387" s="1"/>
  <c r="C79" i="387" a="1"/>
  <c r="C79" i="387"/>
  <c r="G79" i="387" s="1"/>
  <c r="A79" i="387" a="1"/>
  <c r="A79" i="387" s="1"/>
  <c r="C78" i="387" a="1"/>
  <c r="C78" i="387" s="1"/>
  <c r="D78" i="387" s="1"/>
  <c r="A78" i="387" a="1"/>
  <c r="A78" i="387" s="1"/>
  <c r="C77" i="387" a="1"/>
  <c r="C77" i="387" s="1"/>
  <c r="G77" i="387" s="1"/>
  <c r="A77" i="387" a="1"/>
  <c r="A77" i="387" s="1"/>
  <c r="C76" i="387" a="1"/>
  <c r="C76" i="387" s="1"/>
  <c r="D76" i="387" s="1"/>
  <c r="A76" i="387" a="1"/>
  <c r="A76" i="387" s="1"/>
  <c r="C75" i="387" a="1"/>
  <c r="C75" i="387" s="1"/>
  <c r="G75" i="387" s="1"/>
  <c r="A75" i="387" a="1"/>
  <c r="A75" i="387" s="1"/>
  <c r="C74" i="387" a="1"/>
  <c r="C74" i="387" s="1"/>
  <c r="D74" i="387" s="1"/>
  <c r="A74" i="387" a="1"/>
  <c r="A74" i="387" s="1"/>
  <c r="C73" i="387" a="1"/>
  <c r="C73" i="387" s="1"/>
  <c r="G73" i="387" s="1"/>
  <c r="A73" i="387" a="1"/>
  <c r="A73" i="387" s="1"/>
  <c r="C72" i="387" a="1"/>
  <c r="C72" i="387" s="1"/>
  <c r="G72" i="387" s="1"/>
  <c r="A72" i="387" a="1"/>
  <c r="A72" i="387" s="1"/>
  <c r="C71" i="387" a="1"/>
  <c r="C71" i="387" s="1"/>
  <c r="G71" i="387" s="1"/>
  <c r="A71" i="387" a="1"/>
  <c r="A71" i="387" s="1"/>
  <c r="C70" i="387" a="1"/>
  <c r="C70" i="387" s="1"/>
  <c r="G70" i="387" s="1"/>
  <c r="A70" i="387" a="1"/>
  <c r="A70" i="387" s="1"/>
  <c r="C69" i="387" a="1"/>
  <c r="C69" i="387" s="1"/>
  <c r="G69" i="387" s="1"/>
  <c r="A69" i="387" a="1"/>
  <c r="A69" i="387" s="1"/>
  <c r="C68" i="387" a="1"/>
  <c r="C68" i="387" s="1"/>
  <c r="G68" i="387" s="1"/>
  <c r="A68" i="387" a="1"/>
  <c r="A68" i="387" s="1"/>
  <c r="C67" i="387" a="1"/>
  <c r="C67" i="387" s="1"/>
  <c r="G67" i="387" s="1"/>
  <c r="A67" i="387" a="1"/>
  <c r="A67" i="387" s="1"/>
  <c r="C66" i="387" a="1"/>
  <c r="C66" i="387" s="1"/>
  <c r="G66" i="387" s="1"/>
  <c r="A66" i="387" a="1"/>
  <c r="A66" i="387" s="1"/>
  <c r="C65" i="387" a="1"/>
  <c r="C65" i="387" s="1"/>
  <c r="G65" i="387" s="1"/>
  <c r="A65" i="387" a="1"/>
  <c r="A65" i="387" s="1"/>
  <c r="F64" i="387" a="1"/>
  <c r="F64" i="387" s="1"/>
  <c r="C64" i="387" a="1"/>
  <c r="C64" i="387" s="1"/>
  <c r="G64" i="387" s="1"/>
  <c r="A64" i="387" a="1"/>
  <c r="A64" i="387" s="1"/>
  <c r="F63" i="387" a="1"/>
  <c r="F63" i="387" s="1"/>
  <c r="C63" i="387" a="1"/>
  <c r="C63" i="387" s="1"/>
  <c r="G63" i="387" s="1"/>
  <c r="A63" i="387" a="1"/>
  <c r="A63" i="387" s="1"/>
  <c r="C62" i="387" a="1"/>
  <c r="C62" i="387" s="1"/>
  <c r="G62" i="387" s="1"/>
  <c r="A62" i="387" a="1"/>
  <c r="A62" i="387" s="1"/>
  <c r="C61" i="387" a="1"/>
  <c r="C61" i="387" s="1"/>
  <c r="G61" i="387" s="1"/>
  <c r="A61" i="387" a="1"/>
  <c r="A61" i="387" s="1"/>
  <c r="F60" i="387" a="1"/>
  <c r="F60" i="387" s="1"/>
  <c r="C60" i="387" a="1"/>
  <c r="C60" i="387" s="1"/>
  <c r="G60" i="387" s="1"/>
  <c r="A60" i="387" a="1"/>
  <c r="A60" i="387" s="1"/>
  <c r="C59" i="387" a="1"/>
  <c r="C59" i="387" s="1"/>
  <c r="G59" i="387" s="1"/>
  <c r="A59" i="387" a="1"/>
  <c r="A59" i="387" s="1"/>
  <c r="C58" i="387" a="1"/>
  <c r="C58" i="387" s="1"/>
  <c r="G58" i="387" s="1"/>
  <c r="A58" i="387" a="1"/>
  <c r="A58" i="387" s="1"/>
  <c r="E57" i="387" a="1"/>
  <c r="E57" i="387" s="1"/>
  <c r="C57" i="387" a="1"/>
  <c r="C57" i="387" s="1"/>
  <c r="G57" i="387" s="1"/>
  <c r="A57" i="387" a="1"/>
  <c r="A57" i="387" s="1"/>
  <c r="E56" i="387" a="1"/>
  <c r="E56" i="387" s="1"/>
  <c r="C56" i="387" a="1"/>
  <c r="C56" i="387" s="1"/>
  <c r="G56" i="387" s="1"/>
  <c r="A56" i="387" a="1"/>
  <c r="A56" i="387" s="1"/>
  <c r="C55" i="387" a="1"/>
  <c r="C55" i="387" s="1"/>
  <c r="G55" i="387" s="1"/>
  <c r="A55" i="387" a="1"/>
  <c r="A55" i="387" s="1"/>
  <c r="C54" i="387" a="1"/>
  <c r="C54" i="387" s="1"/>
  <c r="G54" i="387" s="1"/>
  <c r="A54" i="387" a="1"/>
  <c r="A54" i="387" s="1"/>
  <c r="E53" i="387" a="1"/>
  <c r="E53" i="387" s="1"/>
  <c r="C53" i="387" a="1"/>
  <c r="C53" i="387" s="1"/>
  <c r="G53" i="387" s="1"/>
  <c r="A53" i="387" a="1"/>
  <c r="A53" i="387" s="1"/>
  <c r="E52" i="387" a="1"/>
  <c r="E52" i="387" s="1"/>
  <c r="C52" i="387" a="1"/>
  <c r="C52" i="387" s="1"/>
  <c r="G52" i="387" s="1"/>
  <c r="A52" i="387" a="1"/>
  <c r="A52" i="387" s="1"/>
  <c r="C51" i="387" a="1"/>
  <c r="C51" i="387" s="1"/>
  <c r="G51" i="387" s="1"/>
  <c r="A51" i="387" a="1"/>
  <c r="A51" i="387" s="1"/>
  <c r="C50" i="387" a="1"/>
  <c r="C50" i="387" s="1"/>
  <c r="G50" i="387" s="1"/>
  <c r="A50" i="387" a="1"/>
  <c r="A50" i="387" s="1"/>
  <c r="E49" i="387" a="1"/>
  <c r="E49" i="387" s="1"/>
  <c r="C49" i="387" a="1"/>
  <c r="C49" i="387" s="1"/>
  <c r="G49" i="387" s="1"/>
  <c r="A49" i="387" a="1"/>
  <c r="A49" i="387" s="1"/>
  <c r="E48" i="387" a="1"/>
  <c r="E48" i="387" s="1"/>
  <c r="C48" i="387" a="1"/>
  <c r="C48" i="387" s="1"/>
  <c r="G48" i="387" s="1"/>
  <c r="A48" i="387" a="1"/>
  <c r="A48" i="387" s="1"/>
  <c r="C47" i="387" a="1"/>
  <c r="C47" i="387" s="1"/>
  <c r="G47" i="387" s="1"/>
  <c r="A47" i="387" a="1"/>
  <c r="A47" i="387" s="1"/>
  <c r="C46" i="387" a="1"/>
  <c r="C46" i="387" s="1"/>
  <c r="G46" i="387" s="1"/>
  <c r="A46" i="387" a="1"/>
  <c r="A46" i="387" s="1"/>
  <c r="E45" i="387" a="1"/>
  <c r="E45" i="387" s="1"/>
  <c r="C45" i="387" a="1"/>
  <c r="C45" i="387" s="1"/>
  <c r="G45" i="387" s="1"/>
  <c r="A45" i="387" a="1"/>
  <c r="A45" i="387" s="1"/>
  <c r="E44" i="387" a="1"/>
  <c r="E44" i="387" s="1"/>
  <c r="C44" i="387" a="1"/>
  <c r="C44" i="387" s="1"/>
  <c r="G44" i="387" s="1"/>
  <c r="A44" i="387" a="1"/>
  <c r="A44" i="387" s="1"/>
  <c r="C43" i="387" a="1"/>
  <c r="C43" i="387" s="1"/>
  <c r="G43" i="387" s="1"/>
  <c r="A43" i="387" a="1"/>
  <c r="A43" i="387" s="1"/>
  <c r="C42" i="387" a="1"/>
  <c r="C42" i="387" s="1"/>
  <c r="G42" i="387" s="1"/>
  <c r="A42" i="387" a="1"/>
  <c r="A42" i="387" s="1"/>
  <c r="E41" i="387" a="1"/>
  <c r="E41" i="387" s="1"/>
  <c r="C41" i="387" a="1"/>
  <c r="C41" i="387" s="1"/>
  <c r="G41" i="387" s="1"/>
  <c r="A41" i="387" a="1"/>
  <c r="A41" i="387" s="1"/>
  <c r="E40" i="387" a="1"/>
  <c r="E40" i="387" s="1"/>
  <c r="C40" i="387" a="1"/>
  <c r="C40" i="387" s="1"/>
  <c r="G40" i="387" s="1"/>
  <c r="A40" i="387" a="1"/>
  <c r="A40" i="387" s="1"/>
  <c r="C39" i="387" a="1"/>
  <c r="C39" i="387" s="1"/>
  <c r="G39" i="387" s="1"/>
  <c r="A39" i="387" a="1"/>
  <c r="A39" i="387" s="1"/>
  <c r="C38" i="387" a="1"/>
  <c r="C38" i="387" s="1"/>
  <c r="D38" i="387" s="1"/>
  <c r="A38" i="387" a="1"/>
  <c r="A38" i="387" s="1"/>
  <c r="E37" i="387" a="1"/>
  <c r="E37" i="387" s="1"/>
  <c r="C37" i="387" a="1"/>
  <c r="C37" i="387" s="1"/>
  <c r="G37" i="387" s="1"/>
  <c r="A37" i="387" a="1"/>
  <c r="A37" i="387" s="1"/>
  <c r="E36" i="387" a="1"/>
  <c r="E36" i="387" s="1"/>
  <c r="C36" i="387" a="1"/>
  <c r="C36" i="387" s="1"/>
  <c r="G36" i="387" s="1"/>
  <c r="A36" i="387" a="1"/>
  <c r="A36" i="387" s="1"/>
  <c r="C35" i="387" a="1"/>
  <c r="C35" i="387" s="1"/>
  <c r="G35" i="387" s="1"/>
  <c r="A35" i="387" a="1"/>
  <c r="A35" i="387" s="1"/>
  <c r="C34" i="387" a="1"/>
  <c r="C34" i="387" s="1"/>
  <c r="G34" i="387" s="1"/>
  <c r="A34" i="387" a="1"/>
  <c r="A34" i="387" s="1"/>
  <c r="E33" i="387" a="1"/>
  <c r="E33" i="387" s="1"/>
  <c r="C33" i="387" a="1"/>
  <c r="C33" i="387" s="1"/>
  <c r="G33" i="387" s="1"/>
  <c r="A33" i="387" a="1"/>
  <c r="A33" i="387" s="1"/>
  <c r="E32" i="387" a="1"/>
  <c r="E32" i="387" s="1"/>
  <c r="C32" i="387" a="1"/>
  <c r="C32" i="387" s="1"/>
  <c r="G32" i="387" s="1"/>
  <c r="A32" i="387" a="1"/>
  <c r="A32" i="387" s="1"/>
  <c r="C31" i="387" a="1"/>
  <c r="C31" i="387" s="1"/>
  <c r="G31" i="387" s="1"/>
  <c r="A31" i="387" a="1"/>
  <c r="A31" i="387" s="1"/>
  <c r="C30" i="387" a="1"/>
  <c r="C30" i="387" s="1"/>
  <c r="G30" i="387" s="1"/>
  <c r="A30" i="387" a="1"/>
  <c r="A30" i="387" s="1"/>
  <c r="E29" i="387" a="1"/>
  <c r="E29" i="387" s="1"/>
  <c r="C29" i="387" a="1"/>
  <c r="C29" i="387" s="1"/>
  <c r="G29" i="387" s="1"/>
  <c r="A29" i="387" a="1"/>
  <c r="A29" i="387" s="1"/>
  <c r="E28" i="387" a="1"/>
  <c r="E28" i="387" s="1"/>
  <c r="C28" i="387" a="1"/>
  <c r="C28" i="387" s="1"/>
  <c r="G28" i="387" s="1"/>
  <c r="A28" i="387" a="1"/>
  <c r="A28" i="387" s="1"/>
  <c r="C27" i="387" a="1"/>
  <c r="C27" i="387" s="1"/>
  <c r="G27" i="387" s="1"/>
  <c r="A27" i="387" a="1"/>
  <c r="A27" i="387" s="1"/>
  <c r="C26" i="387" a="1"/>
  <c r="C26" i="387" s="1"/>
  <c r="G26" i="387" s="1"/>
  <c r="A26" i="387" a="1"/>
  <c r="A26" i="387" s="1"/>
  <c r="E25" i="387" a="1"/>
  <c r="E25" i="387" s="1"/>
  <c r="C25" i="387" a="1"/>
  <c r="C25" i="387" s="1"/>
  <c r="G25" i="387" s="1"/>
  <c r="A25" i="387" a="1"/>
  <c r="A25" i="387" s="1"/>
  <c r="E24" i="387" a="1"/>
  <c r="E24" i="387" s="1"/>
  <c r="C24" i="387" a="1"/>
  <c r="C24" i="387" s="1"/>
  <c r="G24" i="387" s="1"/>
  <c r="A24" i="387" a="1"/>
  <c r="A24" i="387" s="1"/>
  <c r="C23" i="387" a="1"/>
  <c r="C23" i="387" s="1"/>
  <c r="G23" i="387" s="1"/>
  <c r="A23" i="387" a="1"/>
  <c r="A23" i="387" s="1"/>
  <c r="C22" i="387" a="1"/>
  <c r="C22" i="387" s="1"/>
  <c r="G22" i="387" s="1"/>
  <c r="A22" i="387" a="1"/>
  <c r="A22" i="387" s="1"/>
  <c r="E21" i="387" a="1"/>
  <c r="E21" i="387" s="1"/>
  <c r="C21" i="387" a="1"/>
  <c r="C21" i="387" s="1"/>
  <c r="G21" i="387" s="1"/>
  <c r="A21" i="387" a="1"/>
  <c r="A21" i="387" s="1"/>
  <c r="E20" i="387" a="1"/>
  <c r="E20" i="387" s="1"/>
  <c r="C20" i="387" a="1"/>
  <c r="C20" i="387" s="1"/>
  <c r="G20" i="387" s="1"/>
  <c r="A20" i="387" a="1"/>
  <c r="A20" i="387" s="1"/>
  <c r="C19" i="387" a="1"/>
  <c r="C19" i="387" s="1"/>
  <c r="G19" i="387" s="1"/>
  <c r="A19" i="387" a="1"/>
  <c r="A19" i="387" s="1"/>
  <c r="C18" i="387" a="1"/>
  <c r="C18" i="387" s="1"/>
  <c r="G18" i="387" s="1"/>
  <c r="A18" i="387" a="1"/>
  <c r="A18" i="387" s="1"/>
  <c r="E17" i="387" a="1"/>
  <c r="E17" i="387" s="1"/>
  <c r="C17" i="387" a="1"/>
  <c r="C17" i="387" s="1"/>
  <c r="G17" i="387" s="1"/>
  <c r="A17" i="387" a="1"/>
  <c r="A17" i="387" s="1"/>
  <c r="E16" i="387" a="1"/>
  <c r="E16" i="387" s="1"/>
  <c r="C16" i="387" a="1"/>
  <c r="C16" i="387" s="1"/>
  <c r="G16" i="387" s="1"/>
  <c r="A16" i="387" a="1"/>
  <c r="A16" i="387" s="1"/>
  <c r="E15" i="387" a="1"/>
  <c r="E15" i="387" s="1"/>
  <c r="C15" i="387" a="1"/>
  <c r="C15" i="387" s="1"/>
  <c r="G15" i="387" s="1"/>
  <c r="A15" i="387" a="1"/>
  <c r="A15" i="387" s="1"/>
  <c r="E14" i="387" a="1"/>
  <c r="E14" i="387" s="1"/>
  <c r="C14" i="387" a="1"/>
  <c r="C14" i="387" s="1"/>
  <c r="G14" i="387" s="1"/>
  <c r="A14" i="387" a="1"/>
  <c r="A14" i="387" s="1"/>
  <c r="E13" i="387" a="1"/>
  <c r="E13" i="387" s="1"/>
  <c r="C13" i="387" a="1"/>
  <c r="C13" i="387" s="1"/>
  <c r="G13" i="387" s="1"/>
  <c r="A13" i="387" a="1"/>
  <c r="A13" i="387" s="1"/>
  <c r="E12" i="387" a="1"/>
  <c r="E12" i="387" s="1"/>
  <c r="C12" i="387" a="1"/>
  <c r="C12" i="387" s="1"/>
  <c r="G12" i="387" s="1"/>
  <c r="A12" i="387" a="1"/>
  <c r="A12" i="387" s="1"/>
  <c r="E11" i="387" a="1"/>
  <c r="E11" i="387" s="1"/>
  <c r="C11" i="387" a="1"/>
  <c r="C11" i="387" s="1"/>
  <c r="G11" i="387" s="1"/>
  <c r="A11" i="387" a="1"/>
  <c r="A11" i="387" s="1"/>
  <c r="E10" i="387" a="1"/>
  <c r="E10" i="387" s="1"/>
  <c r="C10" i="387" a="1"/>
  <c r="C10" i="387" s="1"/>
  <c r="G10" i="387" s="1"/>
  <c r="A10" i="387" a="1"/>
  <c r="A10" i="387" s="1"/>
  <c r="A6" i="387"/>
  <c r="F321" i="335"/>
  <c r="E321" i="335"/>
  <c r="C321" i="335" a="1"/>
  <c r="C321" i="335" s="1"/>
  <c r="G321" i="335" s="1"/>
  <c r="A321" i="335" a="1"/>
  <c r="A321" i="335" s="1"/>
  <c r="F320" i="335"/>
  <c r="E320" i="335"/>
  <c r="C320" i="335" a="1"/>
  <c r="C320" i="335" s="1"/>
  <c r="G320" i="335" s="1"/>
  <c r="A320" i="335" a="1"/>
  <c r="A320" i="335" s="1"/>
  <c r="F319" i="335"/>
  <c r="E319" i="335"/>
  <c r="C319" i="335" a="1"/>
  <c r="C319" i="335" s="1"/>
  <c r="G319" i="335" s="1"/>
  <c r="A319" i="335" a="1"/>
  <c r="A319" i="335" s="1"/>
  <c r="F318" i="335"/>
  <c r="E318" i="335"/>
  <c r="C318" i="335" a="1"/>
  <c r="C318" i="335" s="1"/>
  <c r="G318" i="335" s="1"/>
  <c r="A318" i="335" a="1"/>
  <c r="A318" i="335" s="1"/>
  <c r="F317" i="335"/>
  <c r="E317" i="335"/>
  <c r="C317" i="335" a="1"/>
  <c r="C317" i="335" s="1"/>
  <c r="G317" i="335" s="1"/>
  <c r="A317" i="335" a="1"/>
  <c r="A317" i="335" s="1"/>
  <c r="F316" i="335"/>
  <c r="E316" i="335"/>
  <c r="C316" i="335" a="1"/>
  <c r="C316" i="335" s="1"/>
  <c r="G316" i="335" s="1"/>
  <c r="A316" i="335" a="1"/>
  <c r="A316" i="335" s="1"/>
  <c r="F315" i="335"/>
  <c r="E315" i="335"/>
  <c r="C315" i="335" a="1"/>
  <c r="C315" i="335" s="1"/>
  <c r="G315" i="335" s="1"/>
  <c r="A315" i="335" a="1"/>
  <c r="A315" i="335" s="1"/>
  <c r="F314" i="335"/>
  <c r="E314" i="335"/>
  <c r="C314" i="335" a="1"/>
  <c r="C314" i="335" s="1"/>
  <c r="G314" i="335" s="1"/>
  <c r="A314" i="335" a="1"/>
  <c r="A314" i="335" s="1"/>
  <c r="F313" i="335"/>
  <c r="E313" i="335"/>
  <c r="C313" i="335" a="1"/>
  <c r="C313" i="335" s="1"/>
  <c r="G313" i="335" s="1"/>
  <c r="A313" i="335" a="1"/>
  <c r="A313" i="335" s="1"/>
  <c r="F312" i="335"/>
  <c r="E312" i="335"/>
  <c r="C312" i="335" a="1"/>
  <c r="C312" i="335" s="1"/>
  <c r="G312" i="335" s="1"/>
  <c r="A312" i="335" a="1"/>
  <c r="A312" i="335" s="1"/>
  <c r="F311" i="335"/>
  <c r="E311" i="335"/>
  <c r="C311" i="335" a="1"/>
  <c r="C311" i="335" s="1"/>
  <c r="G311" i="335" s="1"/>
  <c r="A311" i="335" a="1"/>
  <c r="A311" i="335" s="1"/>
  <c r="F310" i="335"/>
  <c r="E310" i="335"/>
  <c r="C310" i="335" a="1"/>
  <c r="C310" i="335" s="1"/>
  <c r="G310" i="335" s="1"/>
  <c r="A310" i="335" a="1"/>
  <c r="A310" i="335" s="1"/>
  <c r="F309" i="335"/>
  <c r="E309" i="335"/>
  <c r="C309" i="335" a="1"/>
  <c r="C309" i="335" s="1"/>
  <c r="G309" i="335" s="1"/>
  <c r="A309" i="335" a="1"/>
  <c r="A309" i="335" s="1"/>
  <c r="F308" i="335"/>
  <c r="E308" i="335"/>
  <c r="C308" i="335" a="1"/>
  <c r="C308" i="335" s="1"/>
  <c r="G308" i="335" s="1"/>
  <c r="A308" i="335" a="1"/>
  <c r="A308" i="335" s="1"/>
  <c r="F307" i="335"/>
  <c r="E307" i="335"/>
  <c r="C307" i="335" a="1"/>
  <c r="C307" i="335" s="1"/>
  <c r="G307" i="335" s="1"/>
  <c r="A307" i="335" a="1"/>
  <c r="A307" i="335" s="1"/>
  <c r="F306" i="335"/>
  <c r="E306" i="335"/>
  <c r="C306" i="335" a="1"/>
  <c r="C306" i="335" s="1"/>
  <c r="G306" i="335" s="1"/>
  <c r="A306" i="335" a="1"/>
  <c r="A306" i="335" s="1"/>
  <c r="F305" i="335"/>
  <c r="E305" i="335"/>
  <c r="C305" i="335" a="1"/>
  <c r="C305" i="335" s="1"/>
  <c r="G305" i="335" s="1"/>
  <c r="A305" i="335" a="1"/>
  <c r="A305" i="335" s="1"/>
  <c r="F304" i="335"/>
  <c r="E304" i="335"/>
  <c r="C304" i="335" a="1"/>
  <c r="C304" i="335" s="1"/>
  <c r="G304" i="335" s="1"/>
  <c r="A304" i="335" a="1"/>
  <c r="A304" i="335" s="1"/>
  <c r="F303" i="335"/>
  <c r="E303" i="335"/>
  <c r="C303" i="335" a="1"/>
  <c r="C303" i="335" s="1"/>
  <c r="G303" i="335" s="1"/>
  <c r="A303" i="335" a="1"/>
  <c r="A303" i="335" s="1"/>
  <c r="F302" i="335"/>
  <c r="E302" i="335"/>
  <c r="C302" i="335" a="1"/>
  <c r="C302" i="335" s="1"/>
  <c r="G302" i="335" s="1"/>
  <c r="A302" i="335" a="1"/>
  <c r="A302" i="335" s="1"/>
  <c r="F301" i="335"/>
  <c r="E301" i="335"/>
  <c r="C301" i="335" a="1"/>
  <c r="C301" i="335" s="1"/>
  <c r="G301" i="335" s="1"/>
  <c r="A301" i="335" a="1"/>
  <c r="A301" i="335" s="1"/>
  <c r="F300" i="335"/>
  <c r="E300" i="335"/>
  <c r="C300" i="335" a="1"/>
  <c r="C300" i="335" s="1"/>
  <c r="G300" i="335" s="1"/>
  <c r="A300" i="335" a="1"/>
  <c r="A300" i="335" s="1"/>
  <c r="F299" i="335"/>
  <c r="E299" i="335"/>
  <c r="C299" i="335" a="1"/>
  <c r="C299" i="335" s="1"/>
  <c r="G299" i="335" s="1"/>
  <c r="A299" i="335" a="1"/>
  <c r="A299" i="335" s="1"/>
  <c r="F298" i="335"/>
  <c r="E298" i="335"/>
  <c r="C298" i="335" a="1"/>
  <c r="C298" i="335" s="1"/>
  <c r="G298" i="335" s="1"/>
  <c r="A298" i="335" a="1"/>
  <c r="A298" i="335" s="1"/>
  <c r="F297" i="335"/>
  <c r="E297" i="335"/>
  <c r="C297" i="335" a="1"/>
  <c r="C297" i="335" s="1"/>
  <c r="G297" i="335" s="1"/>
  <c r="A297" i="335" a="1"/>
  <c r="A297" i="335" s="1"/>
  <c r="F296" i="335"/>
  <c r="E296" i="335"/>
  <c r="C296" i="335" a="1"/>
  <c r="C296" i="335" s="1"/>
  <c r="A296" i="335" a="1"/>
  <c r="A296" i="335" s="1"/>
  <c r="F295" i="335"/>
  <c r="E295" i="335"/>
  <c r="C295" i="335" a="1"/>
  <c r="C295" i="335" s="1"/>
  <c r="G295" i="335" s="1"/>
  <c r="A295" i="335" a="1"/>
  <c r="A295" i="335" s="1"/>
  <c r="F294" i="335"/>
  <c r="E294" i="335"/>
  <c r="C294" i="335" a="1"/>
  <c r="C294" i="335" s="1"/>
  <c r="G294" i="335" s="1"/>
  <c r="A294" i="335" a="1"/>
  <c r="A294" i="335" s="1"/>
  <c r="F293" i="335"/>
  <c r="E293" i="335"/>
  <c r="C293" i="335" a="1"/>
  <c r="C293" i="335" s="1"/>
  <c r="G293" i="335" s="1"/>
  <c r="A293" i="335" a="1"/>
  <c r="A293" i="335" s="1"/>
  <c r="F292" i="335"/>
  <c r="E292" i="335"/>
  <c r="C292" i="335" a="1"/>
  <c r="C292" i="335" s="1"/>
  <c r="G292" i="335" s="1"/>
  <c r="A292" i="335" a="1"/>
  <c r="A292" i="335" s="1"/>
  <c r="F291" i="335"/>
  <c r="E291" i="335"/>
  <c r="C291" i="335" a="1"/>
  <c r="C291" i="335" s="1"/>
  <c r="G291" i="335" s="1"/>
  <c r="A291" i="335" a="1"/>
  <c r="A291" i="335" s="1"/>
  <c r="F290" i="335"/>
  <c r="E290" i="335"/>
  <c r="C290" i="335" a="1"/>
  <c r="C290" i="335" s="1"/>
  <c r="A290" i="335" a="1"/>
  <c r="A290" i="335" s="1"/>
  <c r="F289" i="335"/>
  <c r="E289" i="335"/>
  <c r="C289" i="335" a="1"/>
  <c r="C289" i="335" s="1"/>
  <c r="G289" i="335" s="1"/>
  <c r="A289" i="335" a="1"/>
  <c r="A289" i="335" s="1"/>
  <c r="F288" i="335"/>
  <c r="E288" i="335"/>
  <c r="C288" i="335" a="1"/>
  <c r="C288" i="335" s="1"/>
  <c r="G288" i="335" s="1"/>
  <c r="A288" i="335" a="1"/>
  <c r="A288" i="335" s="1"/>
  <c r="F287" i="335"/>
  <c r="E287" i="335"/>
  <c r="C287" i="335" a="1"/>
  <c r="C287" i="335" s="1"/>
  <c r="G287" i="335" s="1"/>
  <c r="A287" i="335" a="1"/>
  <c r="A287" i="335" s="1"/>
  <c r="F286" i="335"/>
  <c r="E286" i="335"/>
  <c r="C286" i="335" a="1"/>
  <c r="C286" i="335" s="1"/>
  <c r="G286" i="335" s="1"/>
  <c r="A286" i="335" a="1"/>
  <c r="A286" i="335" s="1"/>
  <c r="F285" i="335"/>
  <c r="E285" i="335"/>
  <c r="C285" i="335" a="1"/>
  <c r="C285" i="335" s="1"/>
  <c r="G285" i="335" s="1"/>
  <c r="A285" i="335" a="1"/>
  <c r="A285" i="335" s="1"/>
  <c r="F284" i="335"/>
  <c r="E284" i="335"/>
  <c r="C284" i="335" a="1"/>
  <c r="C284" i="335" s="1"/>
  <c r="G284" i="335" s="1"/>
  <c r="A284" i="335" a="1"/>
  <c r="A284" i="335" s="1"/>
  <c r="F283" i="335"/>
  <c r="E283" i="335"/>
  <c r="C283" i="335" a="1"/>
  <c r="C283" i="335" s="1"/>
  <c r="A283" i="335" a="1"/>
  <c r="A283" i="335" s="1"/>
  <c r="F282" i="335"/>
  <c r="E282" i="335"/>
  <c r="C282" i="335" a="1"/>
  <c r="C282" i="335" s="1"/>
  <c r="G282" i="335" s="1"/>
  <c r="A282" i="335" a="1"/>
  <c r="A282" i="335" s="1"/>
  <c r="F281" i="335"/>
  <c r="E281" i="335"/>
  <c r="C281" i="335" a="1"/>
  <c r="C281" i="335" s="1"/>
  <c r="G281" i="335" s="1"/>
  <c r="A281" i="335" a="1"/>
  <c r="A281" i="335" s="1"/>
  <c r="F280" i="335"/>
  <c r="E280" i="335"/>
  <c r="C280" i="335" a="1"/>
  <c r="C280" i="335" s="1"/>
  <c r="G280" i="335" s="1"/>
  <c r="A280" i="335" a="1"/>
  <c r="A280" i="335" s="1"/>
  <c r="F279" i="335"/>
  <c r="E279" i="335"/>
  <c r="C279" i="335" a="1"/>
  <c r="C279" i="335" s="1"/>
  <c r="G279" i="335" s="1"/>
  <c r="A279" i="335" a="1"/>
  <c r="A279" i="335" s="1"/>
  <c r="F278" i="335"/>
  <c r="E278" i="335"/>
  <c r="C278" i="335" a="1"/>
  <c r="C278" i="335" s="1"/>
  <c r="G278" i="335" s="1"/>
  <c r="A278" i="335" a="1"/>
  <c r="A278" i="335" s="1"/>
  <c r="F277" i="335"/>
  <c r="E277" i="335"/>
  <c r="C277" i="335" a="1"/>
  <c r="C277" i="335" s="1"/>
  <c r="G277" i="335" s="1"/>
  <c r="A277" i="335" a="1"/>
  <c r="A277" i="335" s="1"/>
  <c r="F276" i="335"/>
  <c r="E276" i="335"/>
  <c r="C276" i="335" a="1"/>
  <c r="C276" i="335" s="1"/>
  <c r="G276" i="335" s="1"/>
  <c r="A276" i="335" a="1"/>
  <c r="A276" i="335" s="1"/>
  <c r="F275" i="335"/>
  <c r="E275" i="335"/>
  <c r="C275" i="335" a="1"/>
  <c r="C275" i="335" s="1"/>
  <c r="G275" i="335" s="1"/>
  <c r="A275" i="335" a="1"/>
  <c r="A275" i="335" s="1"/>
  <c r="F274" i="335"/>
  <c r="E274" i="335"/>
  <c r="C274" i="335" a="1"/>
  <c r="C274" i="335" s="1"/>
  <c r="G274" i="335" s="1"/>
  <c r="A274" i="335" a="1"/>
  <c r="A274" i="335" s="1"/>
  <c r="F273" i="335"/>
  <c r="E273" i="335"/>
  <c r="C273" i="335" a="1"/>
  <c r="C273" i="335" s="1"/>
  <c r="G273" i="335" s="1"/>
  <c r="A273" i="335" a="1"/>
  <c r="A273" i="335" s="1"/>
  <c r="F272" i="335"/>
  <c r="E272" i="335"/>
  <c r="C272" i="335" a="1"/>
  <c r="C272" i="335" s="1"/>
  <c r="G272" i="335" s="1"/>
  <c r="A272" i="335" a="1"/>
  <c r="A272" i="335" s="1"/>
  <c r="F271" i="335"/>
  <c r="E271" i="335"/>
  <c r="C271" i="335" a="1"/>
  <c r="C271" i="335" s="1"/>
  <c r="G271" i="335" s="1"/>
  <c r="A271" i="335" a="1"/>
  <c r="A271" i="335" s="1"/>
  <c r="F270" i="335"/>
  <c r="E270" i="335"/>
  <c r="C270" i="335" a="1"/>
  <c r="C270" i="335" s="1"/>
  <c r="G270" i="335" s="1"/>
  <c r="A270" i="335" a="1"/>
  <c r="A270" i="335" s="1"/>
  <c r="F269" i="335"/>
  <c r="E269" i="335"/>
  <c r="C269" i="335" a="1"/>
  <c r="C269" i="335" s="1"/>
  <c r="G269" i="335" s="1"/>
  <c r="A269" i="335" a="1"/>
  <c r="A269" i="335" s="1"/>
  <c r="F268" i="335"/>
  <c r="E268" i="335"/>
  <c r="C268" i="335" a="1"/>
  <c r="C268" i="335" s="1"/>
  <c r="G268" i="335" s="1"/>
  <c r="A268" i="335" a="1"/>
  <c r="A268" i="335" s="1"/>
  <c r="F267" i="335"/>
  <c r="E267" i="335"/>
  <c r="C267" i="335" a="1"/>
  <c r="C267" i="335" s="1"/>
  <c r="G267" i="335" s="1"/>
  <c r="A267" i="335" a="1"/>
  <c r="A267" i="335" s="1"/>
  <c r="F266" i="335"/>
  <c r="E266" i="335"/>
  <c r="C266" i="335" a="1"/>
  <c r="C266" i="335" s="1"/>
  <c r="G266" i="335" s="1"/>
  <c r="A266" i="335" a="1"/>
  <c r="A266" i="335" s="1"/>
  <c r="F265" i="335"/>
  <c r="E265" i="335"/>
  <c r="C265" i="335" a="1"/>
  <c r="C265" i="335" s="1"/>
  <c r="G265" i="335" s="1"/>
  <c r="A265" i="335" a="1"/>
  <c r="A265" i="335" s="1"/>
  <c r="F264" i="335"/>
  <c r="E264" i="335"/>
  <c r="C264" i="335" a="1"/>
  <c r="C264" i="335" s="1"/>
  <c r="G264" i="335" s="1"/>
  <c r="A264" i="335" a="1"/>
  <c r="A264" i="335" s="1"/>
  <c r="F263" i="335"/>
  <c r="E263" i="335"/>
  <c r="C263" i="335" a="1"/>
  <c r="C263" i="335" s="1"/>
  <c r="G263" i="335" s="1"/>
  <c r="A263" i="335" a="1"/>
  <c r="A263" i="335" s="1"/>
  <c r="F262" i="335"/>
  <c r="E262" i="335"/>
  <c r="C262" i="335" a="1"/>
  <c r="C262" i="335" s="1"/>
  <c r="G262" i="335" s="1"/>
  <c r="A262" i="335" a="1"/>
  <c r="A262" i="335" s="1"/>
  <c r="F261" i="335"/>
  <c r="E261" i="335"/>
  <c r="C261" i="335" a="1"/>
  <c r="C261" i="335" s="1"/>
  <c r="G261" i="335" s="1"/>
  <c r="A261" i="335" a="1"/>
  <c r="A261" i="335" s="1"/>
  <c r="F260" i="335"/>
  <c r="E260" i="335"/>
  <c r="C260" i="335" a="1"/>
  <c r="C260" i="335" s="1"/>
  <c r="G260" i="335" s="1"/>
  <c r="A260" i="335" a="1"/>
  <c r="A260" i="335" s="1"/>
  <c r="F259" i="335"/>
  <c r="E259" i="335"/>
  <c r="C259" i="335" a="1"/>
  <c r="C259" i="335" s="1"/>
  <c r="G259" i="335" s="1"/>
  <c r="A259" i="335" a="1"/>
  <c r="A259" i="335" s="1"/>
  <c r="F258" i="335"/>
  <c r="E258" i="335"/>
  <c r="C258" i="335" a="1"/>
  <c r="C258" i="335" s="1"/>
  <c r="G258" i="335" s="1"/>
  <c r="A258" i="335" a="1"/>
  <c r="A258" i="335" s="1"/>
  <c r="F257" i="335"/>
  <c r="E257" i="335"/>
  <c r="C257" i="335" a="1"/>
  <c r="C257" i="335" s="1"/>
  <c r="G257" i="335" s="1"/>
  <c r="A257" i="335" a="1"/>
  <c r="A257" i="335" s="1"/>
  <c r="F256" i="335"/>
  <c r="E256" i="335"/>
  <c r="C256" i="335" a="1"/>
  <c r="C256" i="335" s="1"/>
  <c r="G256" i="335" s="1"/>
  <c r="A256" i="335" a="1"/>
  <c r="A256" i="335" s="1"/>
  <c r="F255" i="335"/>
  <c r="E255" i="335"/>
  <c r="C255" i="335" a="1"/>
  <c r="C255" i="335" s="1"/>
  <c r="G255" i="335" s="1"/>
  <c r="A255" i="335" a="1"/>
  <c r="A255" i="335" s="1"/>
  <c r="F254" i="335"/>
  <c r="E254" i="335"/>
  <c r="C254" i="335" a="1"/>
  <c r="C254" i="335" s="1"/>
  <c r="G254" i="335" s="1"/>
  <c r="A254" i="335" a="1"/>
  <c r="A254" i="335" s="1"/>
  <c r="F253" i="335"/>
  <c r="E253" i="335"/>
  <c r="C253" i="335" a="1"/>
  <c r="C253" i="335" s="1"/>
  <c r="G253" i="335" s="1"/>
  <c r="A253" i="335" a="1"/>
  <c r="A253" i="335" s="1"/>
  <c r="F252" i="335"/>
  <c r="E252" i="335"/>
  <c r="C252" i="335" a="1"/>
  <c r="C252" i="335" s="1"/>
  <c r="G252" i="335" s="1"/>
  <c r="A252" i="335" a="1"/>
  <c r="A252" i="335" s="1"/>
  <c r="F251" i="335"/>
  <c r="E251" i="335"/>
  <c r="C251" i="335" a="1"/>
  <c r="C251" i="335" s="1"/>
  <c r="G251" i="335" s="1"/>
  <c r="A251" i="335" a="1"/>
  <c r="A251" i="335" s="1"/>
  <c r="F250" i="335"/>
  <c r="E250" i="335"/>
  <c r="C250" i="335" a="1"/>
  <c r="C250" i="335" s="1"/>
  <c r="G250" i="335" s="1"/>
  <c r="A250" i="335" a="1"/>
  <c r="A250" i="335" s="1"/>
  <c r="F249" i="335"/>
  <c r="E249" i="335"/>
  <c r="C249" i="335" a="1"/>
  <c r="C249" i="335" s="1"/>
  <c r="G249" i="335" s="1"/>
  <c r="A249" i="335" a="1"/>
  <c r="A249" i="335" s="1"/>
  <c r="F248" i="335"/>
  <c r="E248" i="335"/>
  <c r="C248" i="335" a="1"/>
  <c r="C248" i="335" s="1"/>
  <c r="G248" i="335" s="1"/>
  <c r="A248" i="335" a="1"/>
  <c r="A248" i="335" s="1"/>
  <c r="F247" i="335"/>
  <c r="E247" i="335"/>
  <c r="C247" i="335" a="1"/>
  <c r="C247" i="335" s="1"/>
  <c r="G247" i="335" s="1"/>
  <c r="A247" i="335" a="1"/>
  <c r="A247" i="335" s="1"/>
  <c r="F246" i="335"/>
  <c r="E246" i="335"/>
  <c r="C246" i="335" a="1"/>
  <c r="C246" i="335" s="1"/>
  <c r="G246" i="335" s="1"/>
  <c r="A246" i="335" a="1"/>
  <c r="A246" i="335" s="1"/>
  <c r="F245" i="335"/>
  <c r="E245" i="335"/>
  <c r="C245" i="335" a="1"/>
  <c r="C245" i="335" s="1"/>
  <c r="G245" i="335" s="1"/>
  <c r="A245" i="335" a="1"/>
  <c r="A245" i="335" s="1"/>
  <c r="F244" i="335"/>
  <c r="E244" i="335"/>
  <c r="C244" i="335" a="1"/>
  <c r="C244" i="335" s="1"/>
  <c r="G244" i="335" s="1"/>
  <c r="A244" i="335" a="1"/>
  <c r="A244" i="335" s="1"/>
  <c r="F243" i="335"/>
  <c r="E243" i="335"/>
  <c r="C243" i="335" a="1"/>
  <c r="C243" i="335" s="1"/>
  <c r="G243" i="335" s="1"/>
  <c r="A243" i="335" a="1"/>
  <c r="A243" i="335" s="1"/>
  <c r="F242" i="335"/>
  <c r="E242" i="335"/>
  <c r="C242" i="335" a="1"/>
  <c r="C242" i="335" s="1"/>
  <c r="G242" i="335" s="1"/>
  <c r="A242" i="335" a="1"/>
  <c r="A242" i="335" s="1"/>
  <c r="F241" i="335"/>
  <c r="E241" i="335"/>
  <c r="C241" i="335" a="1"/>
  <c r="C241" i="335" s="1"/>
  <c r="G241" i="335" s="1"/>
  <c r="A241" i="335" a="1"/>
  <c r="A241" i="335" s="1"/>
  <c r="F240" i="335"/>
  <c r="E240" i="335"/>
  <c r="C240" i="335" a="1"/>
  <c r="C240" i="335" s="1"/>
  <c r="G240" i="335" s="1"/>
  <c r="A240" i="335" a="1"/>
  <c r="A240" i="335" s="1"/>
  <c r="F239" i="335"/>
  <c r="E239" i="335"/>
  <c r="C239" i="335" a="1"/>
  <c r="C239" i="335" s="1"/>
  <c r="G239" i="335" s="1"/>
  <c r="A239" i="335" a="1"/>
  <c r="A239" i="335" s="1"/>
  <c r="F238" i="335"/>
  <c r="E238" i="335"/>
  <c r="C238" i="335" a="1"/>
  <c r="C238" i="335" s="1"/>
  <c r="G238" i="335" s="1"/>
  <c r="A238" i="335" a="1"/>
  <c r="A238" i="335" s="1"/>
  <c r="F237" i="335"/>
  <c r="E237" i="335"/>
  <c r="C237" i="335" a="1"/>
  <c r="C237" i="335" s="1"/>
  <c r="G237" i="335" s="1"/>
  <c r="A237" i="335" a="1"/>
  <c r="A237" i="335" s="1"/>
  <c r="F236" i="335"/>
  <c r="E236" i="335"/>
  <c r="C236" i="335" a="1"/>
  <c r="C236" i="335" s="1"/>
  <c r="G236" i="335" s="1"/>
  <c r="A236" i="335" a="1"/>
  <c r="A236" i="335" s="1"/>
  <c r="F235" i="335"/>
  <c r="E235" i="335"/>
  <c r="C235" i="335" a="1"/>
  <c r="C235" i="335" s="1"/>
  <c r="G235" i="335" s="1"/>
  <c r="A235" i="335" a="1"/>
  <c r="A235" i="335" s="1"/>
  <c r="F234" i="335"/>
  <c r="E234" i="335"/>
  <c r="C234" i="335" a="1"/>
  <c r="C234" i="335" s="1"/>
  <c r="G234" i="335" s="1"/>
  <c r="A234" i="335" a="1"/>
  <c r="A234" i="335" s="1"/>
  <c r="F233" i="335"/>
  <c r="E233" i="335"/>
  <c r="C233" i="335" a="1"/>
  <c r="C233" i="335" s="1"/>
  <c r="G233" i="335" s="1"/>
  <c r="A233" i="335" a="1"/>
  <c r="A233" i="335" s="1"/>
  <c r="F232" i="335"/>
  <c r="E232" i="335"/>
  <c r="C232" i="335" a="1"/>
  <c r="C232" i="335" s="1"/>
  <c r="G232" i="335" s="1"/>
  <c r="A232" i="335" a="1"/>
  <c r="A232" i="335" s="1"/>
  <c r="F231" i="335"/>
  <c r="E231" i="335"/>
  <c r="C231" i="335" a="1"/>
  <c r="C231" i="335" s="1"/>
  <c r="G231" i="335" s="1"/>
  <c r="A231" i="335" a="1"/>
  <c r="A231" i="335" s="1"/>
  <c r="F230" i="335"/>
  <c r="E230" i="335"/>
  <c r="C230" i="335" a="1"/>
  <c r="C230" i="335" s="1"/>
  <c r="A230" i="335" a="1"/>
  <c r="A230" i="335" s="1"/>
  <c r="F229" i="335"/>
  <c r="E229" i="335"/>
  <c r="C229" i="335" a="1"/>
  <c r="C229" i="335" s="1"/>
  <c r="G229" i="335" s="1"/>
  <c r="A229" i="335" a="1"/>
  <c r="A229" i="335" s="1"/>
  <c r="F228" i="335"/>
  <c r="E228" i="335"/>
  <c r="C228" i="335" a="1"/>
  <c r="C228" i="335" s="1"/>
  <c r="G228" i="335" s="1"/>
  <c r="A228" i="335" a="1"/>
  <c r="A228" i="335" s="1"/>
  <c r="F227" i="335"/>
  <c r="E227" i="335"/>
  <c r="C227" i="335" a="1"/>
  <c r="C227" i="335" s="1"/>
  <c r="G227" i="335" s="1"/>
  <c r="A227" i="335" a="1"/>
  <c r="A227" i="335" s="1"/>
  <c r="F226" i="335"/>
  <c r="E226" i="335"/>
  <c r="C226" i="335" a="1"/>
  <c r="C226" i="335" s="1"/>
  <c r="G226" i="335" s="1"/>
  <c r="A226" i="335" a="1"/>
  <c r="A226" i="335" s="1"/>
  <c r="F225" i="335"/>
  <c r="E225" i="335"/>
  <c r="C225" i="335" a="1"/>
  <c r="C225" i="335" s="1"/>
  <c r="G225" i="335" s="1"/>
  <c r="A225" i="335" a="1"/>
  <c r="A225" i="335" s="1"/>
  <c r="F224" i="335"/>
  <c r="E224" i="335"/>
  <c r="C224" i="335" a="1"/>
  <c r="C224" i="335" s="1"/>
  <c r="G224" i="335" s="1"/>
  <c r="A224" i="335" a="1"/>
  <c r="A224" i="335" s="1"/>
  <c r="F223" i="335"/>
  <c r="E223" i="335"/>
  <c r="C223" i="335" a="1"/>
  <c r="C223" i="335" s="1"/>
  <c r="G223" i="335" s="1"/>
  <c r="A223" i="335" a="1"/>
  <c r="A223" i="335" s="1"/>
  <c r="F222" i="335"/>
  <c r="E222" i="335"/>
  <c r="C222" i="335" a="1"/>
  <c r="C222" i="335" s="1"/>
  <c r="G222" i="335" s="1"/>
  <c r="A222" i="335" a="1"/>
  <c r="A222" i="335" s="1"/>
  <c r="F221" i="335"/>
  <c r="E221" i="335"/>
  <c r="C221" i="335" a="1"/>
  <c r="C221" i="335" s="1"/>
  <c r="G221" i="335" s="1"/>
  <c r="A221" i="335" a="1"/>
  <c r="A221" i="335" s="1"/>
  <c r="F220" i="335"/>
  <c r="E220" i="335"/>
  <c r="C220" i="335" a="1"/>
  <c r="C220" i="335" s="1"/>
  <c r="G220" i="335" s="1"/>
  <c r="A220" i="335" a="1"/>
  <c r="A220" i="335" s="1"/>
  <c r="F219" i="335"/>
  <c r="E219" i="335"/>
  <c r="C219" i="335" a="1"/>
  <c r="C219" i="335" s="1"/>
  <c r="G219" i="335" s="1"/>
  <c r="A219" i="335" a="1"/>
  <c r="A219" i="335" s="1"/>
  <c r="F218" i="335"/>
  <c r="E218" i="335"/>
  <c r="C218" i="335" a="1"/>
  <c r="C218" i="335" s="1"/>
  <c r="G218" i="335" s="1"/>
  <c r="A218" i="335" a="1"/>
  <c r="A218" i="335" s="1"/>
  <c r="F217" i="335"/>
  <c r="E217" i="335"/>
  <c r="C217" i="335" a="1"/>
  <c r="C217" i="335" s="1"/>
  <c r="G217" i="335" s="1"/>
  <c r="A217" i="335" a="1"/>
  <c r="A217" i="335" s="1"/>
  <c r="F216" i="335"/>
  <c r="E216" i="335"/>
  <c r="C216" i="335" a="1"/>
  <c r="C216" i="335" s="1"/>
  <c r="G216" i="335" s="1"/>
  <c r="A216" i="335" a="1"/>
  <c r="A216" i="335" s="1"/>
  <c r="F215" i="335"/>
  <c r="E215" i="335"/>
  <c r="C215" i="335" a="1"/>
  <c r="C215" i="335" s="1"/>
  <c r="G215" i="335" s="1"/>
  <c r="A215" i="335" a="1"/>
  <c r="A215" i="335" s="1"/>
  <c r="F214" i="335"/>
  <c r="E214" i="335"/>
  <c r="C214" i="335" a="1"/>
  <c r="C214" i="335" s="1"/>
  <c r="G214" i="335" s="1"/>
  <c r="A214" i="335" a="1"/>
  <c r="A214" i="335" s="1"/>
  <c r="F213" i="335"/>
  <c r="E213" i="335"/>
  <c r="C213" i="335" a="1"/>
  <c r="C213" i="335" s="1"/>
  <c r="G213" i="335" s="1"/>
  <c r="A213" i="335" a="1"/>
  <c r="A213" i="335" s="1"/>
  <c r="F212" i="335"/>
  <c r="E212" i="335"/>
  <c r="C212" i="335" a="1"/>
  <c r="C212" i="335" s="1"/>
  <c r="A212" i="335" a="1"/>
  <c r="A212" i="335" s="1"/>
  <c r="F211" i="335"/>
  <c r="E211" i="335"/>
  <c r="C211" i="335" a="1"/>
  <c r="C211" i="335" s="1"/>
  <c r="G211" i="335" s="1"/>
  <c r="A211" i="335" a="1"/>
  <c r="A211" i="335" s="1"/>
  <c r="F210" i="335"/>
  <c r="E210" i="335"/>
  <c r="C210" i="335" a="1"/>
  <c r="C210" i="335" s="1"/>
  <c r="G210" i="335" s="1"/>
  <c r="A210" i="335" a="1"/>
  <c r="A210" i="335" s="1"/>
  <c r="F209" i="335"/>
  <c r="E209" i="335"/>
  <c r="C209" i="335" a="1"/>
  <c r="C209" i="335" s="1"/>
  <c r="G209" i="335" s="1"/>
  <c r="A209" i="335" a="1"/>
  <c r="A209" i="335" s="1"/>
  <c r="F208" i="335"/>
  <c r="E208" i="335"/>
  <c r="C208" i="335" a="1"/>
  <c r="C208" i="335" s="1"/>
  <c r="G208" i="335" s="1"/>
  <c r="A208" i="335" a="1"/>
  <c r="A208" i="335" s="1"/>
  <c r="F207" i="335"/>
  <c r="E207" i="335"/>
  <c r="C207" i="335" a="1"/>
  <c r="C207" i="335" s="1"/>
  <c r="G207" i="335" s="1"/>
  <c r="A207" i="335" a="1"/>
  <c r="A207" i="335" s="1"/>
  <c r="F206" i="335"/>
  <c r="E206" i="335"/>
  <c r="C206" i="335" a="1"/>
  <c r="C206" i="335" s="1"/>
  <c r="G206" i="335" s="1"/>
  <c r="A206" i="335" a="1"/>
  <c r="A206" i="335" s="1"/>
  <c r="F205" i="335"/>
  <c r="E205" i="335"/>
  <c r="C205" i="335" a="1"/>
  <c r="C205" i="335" s="1"/>
  <c r="D205" i="335" s="1"/>
  <c r="A205" i="335" a="1"/>
  <c r="A205" i="335" s="1"/>
  <c r="F204" i="335"/>
  <c r="E204" i="335"/>
  <c r="C204" i="335" a="1"/>
  <c r="C204" i="335" s="1"/>
  <c r="D204" i="335" s="1"/>
  <c r="A204" i="335" a="1"/>
  <c r="A204" i="335" s="1"/>
  <c r="F202" i="335"/>
  <c r="E202" i="335"/>
  <c r="C202" i="335" a="1"/>
  <c r="C202" i="335" s="1"/>
  <c r="D202" i="335" s="1"/>
  <c r="A202" i="335" a="1"/>
  <c r="A202" i="335" s="1"/>
  <c r="F201" i="335"/>
  <c r="E201" i="335"/>
  <c r="C201" i="335" a="1"/>
  <c r="C201" i="335" s="1"/>
  <c r="D201" i="335" s="1"/>
  <c r="A201" i="335" a="1"/>
  <c r="A201" i="335" s="1"/>
  <c r="F200" i="335"/>
  <c r="E200" i="335"/>
  <c r="C200" i="335" a="1"/>
  <c r="C200" i="335" s="1"/>
  <c r="D200" i="335" s="1"/>
  <c r="A200" i="335" a="1"/>
  <c r="A200" i="335" s="1"/>
  <c r="F199" i="335"/>
  <c r="E199" i="335"/>
  <c r="C199" i="335" a="1"/>
  <c r="C199" i="335" s="1"/>
  <c r="D199" i="335" s="1"/>
  <c r="A199" i="335" a="1"/>
  <c r="A199" i="335" s="1"/>
  <c r="F198" i="335"/>
  <c r="E198" i="335"/>
  <c r="C198" i="335" a="1"/>
  <c r="C198" i="335" s="1"/>
  <c r="D198" i="335" s="1"/>
  <c r="A198" i="335" a="1"/>
  <c r="A198" i="335" s="1"/>
  <c r="F197" i="335"/>
  <c r="E197" i="335"/>
  <c r="C197" i="335" a="1"/>
  <c r="C197" i="335" s="1"/>
  <c r="D197" i="335" s="1"/>
  <c r="A197" i="335" a="1"/>
  <c r="A197" i="335" s="1"/>
  <c r="F196" i="335"/>
  <c r="E196" i="335"/>
  <c r="C196" i="335" a="1"/>
  <c r="C196" i="335" s="1"/>
  <c r="D196" i="335" s="1"/>
  <c r="A196" i="335" a="1"/>
  <c r="A196" i="335" s="1"/>
  <c r="F195" i="335"/>
  <c r="E195" i="335"/>
  <c r="C195" i="335" a="1"/>
  <c r="C195" i="335" s="1"/>
  <c r="D195" i="335" s="1"/>
  <c r="A195" i="335" a="1"/>
  <c r="A195" i="335" s="1"/>
  <c r="F194" i="335"/>
  <c r="E194" i="335"/>
  <c r="C194" i="335" a="1"/>
  <c r="C194" i="335" s="1"/>
  <c r="D194" i="335" s="1"/>
  <c r="A194" i="335" a="1"/>
  <c r="A194" i="335" s="1"/>
  <c r="F193" i="335"/>
  <c r="E193" i="335"/>
  <c r="C193" i="335" a="1"/>
  <c r="C193" i="335" s="1"/>
  <c r="D193" i="335" s="1"/>
  <c r="A193" i="335" a="1"/>
  <c r="A193" i="335" s="1"/>
  <c r="F192" i="335"/>
  <c r="E192" i="335"/>
  <c r="C192" i="335" a="1"/>
  <c r="C192" i="335" s="1"/>
  <c r="D192" i="335" s="1"/>
  <c r="A192" i="335" a="1"/>
  <c r="A192" i="335" s="1"/>
  <c r="F191" i="335"/>
  <c r="E191" i="335"/>
  <c r="C191" i="335" a="1"/>
  <c r="C191" i="335" s="1"/>
  <c r="D191" i="335" s="1"/>
  <c r="A191" i="335" a="1"/>
  <c r="A191" i="335" s="1"/>
  <c r="F190" i="335"/>
  <c r="E190" i="335"/>
  <c r="C190" i="335" a="1"/>
  <c r="C190" i="335" s="1"/>
  <c r="D190" i="335" s="1"/>
  <c r="A190" i="335" a="1"/>
  <c r="A190" i="335" s="1"/>
  <c r="F189" i="335"/>
  <c r="E189" i="335"/>
  <c r="C189" i="335" a="1"/>
  <c r="C189" i="335" s="1"/>
  <c r="D189" i="335" s="1"/>
  <c r="A189" i="335" a="1"/>
  <c r="A189" i="335" s="1"/>
  <c r="F187" i="335"/>
  <c r="E187" i="335"/>
  <c r="C187" i="335" a="1"/>
  <c r="C187" i="335" s="1"/>
  <c r="D187" i="335" s="1"/>
  <c r="A187" i="335" a="1"/>
  <c r="A187" i="335" s="1"/>
  <c r="F186" i="335"/>
  <c r="E186" i="335"/>
  <c r="C186" i="335" a="1"/>
  <c r="C186" i="335" s="1"/>
  <c r="D186" i="335" s="1"/>
  <c r="A186" i="335" a="1"/>
  <c r="A186" i="335" s="1"/>
  <c r="F185" i="335"/>
  <c r="E185" i="335"/>
  <c r="C185" i="335" a="1"/>
  <c r="C185" i="335" s="1"/>
  <c r="D185" i="335" s="1"/>
  <c r="A185" i="335" a="1"/>
  <c r="A185" i="335" s="1"/>
  <c r="F184" i="335"/>
  <c r="E184" i="335"/>
  <c r="C184" i="335" a="1"/>
  <c r="C184" i="335" s="1"/>
  <c r="D184" i="335" s="1"/>
  <c r="A184" i="335" a="1"/>
  <c r="A184" i="335" s="1"/>
  <c r="F183" i="335"/>
  <c r="E183" i="335"/>
  <c r="C183" i="335" a="1"/>
  <c r="C183" i="335" s="1"/>
  <c r="D183" i="335" s="1"/>
  <c r="A183" i="335" a="1"/>
  <c r="A183" i="335" s="1"/>
  <c r="F182" i="335"/>
  <c r="E182" i="335"/>
  <c r="C182" i="335" a="1"/>
  <c r="C182" i="335" s="1"/>
  <c r="D182" i="335" s="1"/>
  <c r="A182" i="335" a="1"/>
  <c r="A182" i="335" s="1"/>
  <c r="F181" i="335"/>
  <c r="E181" i="335"/>
  <c r="C181" i="335" a="1"/>
  <c r="C181" i="335" s="1"/>
  <c r="D181" i="335" s="1"/>
  <c r="A181" i="335" a="1"/>
  <c r="A181" i="335" s="1"/>
  <c r="F180" i="335"/>
  <c r="E180" i="335"/>
  <c r="C180" i="335" a="1"/>
  <c r="C180" i="335" s="1"/>
  <c r="D180" i="335" s="1"/>
  <c r="A180" i="335" a="1"/>
  <c r="A180" i="335" s="1"/>
  <c r="F179" i="335"/>
  <c r="E179" i="335"/>
  <c r="C179" i="335" a="1"/>
  <c r="C179" i="335" s="1"/>
  <c r="D179" i="335" s="1"/>
  <c r="A179" i="335" a="1"/>
  <c r="A179" i="335" s="1"/>
  <c r="F178" i="335"/>
  <c r="E178" i="335"/>
  <c r="C178" i="335" a="1"/>
  <c r="C178" i="335" s="1"/>
  <c r="D178" i="335" s="1"/>
  <c r="A178" i="335" a="1"/>
  <c r="A178" i="335" s="1"/>
  <c r="F177" i="335"/>
  <c r="E177" i="335"/>
  <c r="C177" i="335" a="1"/>
  <c r="C177" i="335" s="1"/>
  <c r="D177" i="335" s="1"/>
  <c r="A177" i="335" a="1"/>
  <c r="A177" i="335" s="1"/>
  <c r="F176" i="335"/>
  <c r="E176" i="335"/>
  <c r="C176" i="335" a="1"/>
  <c r="C176" i="335" s="1"/>
  <c r="D176" i="335" s="1"/>
  <c r="A176" i="335" a="1"/>
  <c r="A176" i="335" s="1"/>
  <c r="F175" i="335"/>
  <c r="E175" i="335"/>
  <c r="C175" i="335" a="1"/>
  <c r="C175" i="335" s="1"/>
  <c r="D175" i="335" s="1"/>
  <c r="A175" i="335" a="1"/>
  <c r="A175" i="335" s="1"/>
  <c r="F174" i="335"/>
  <c r="E174" i="335"/>
  <c r="C174" i="335" a="1"/>
  <c r="C174" i="335" s="1"/>
  <c r="D174" i="335" s="1"/>
  <c r="A174" i="335" a="1"/>
  <c r="A174" i="335" s="1"/>
  <c r="F173" i="335"/>
  <c r="E173" i="335"/>
  <c r="C173" i="335" a="1"/>
  <c r="C173" i="335" s="1"/>
  <c r="D173" i="335" s="1"/>
  <c r="A173" i="335" a="1"/>
  <c r="A173" i="335" s="1"/>
  <c r="F172" i="335"/>
  <c r="E172" i="335"/>
  <c r="C172" i="335" a="1"/>
  <c r="C172" i="335" s="1"/>
  <c r="D172" i="335" s="1"/>
  <c r="A172" i="335" a="1"/>
  <c r="A172" i="335" s="1"/>
  <c r="F171" i="335"/>
  <c r="E171" i="335"/>
  <c r="C171" i="335" a="1"/>
  <c r="C171" i="335" s="1"/>
  <c r="D171" i="335" s="1"/>
  <c r="A171" i="335" a="1"/>
  <c r="A171" i="335" s="1"/>
  <c r="F170" i="335"/>
  <c r="E170" i="335"/>
  <c r="C170" i="335" a="1"/>
  <c r="C170" i="335" s="1"/>
  <c r="D170" i="335" s="1"/>
  <c r="A170" i="335" a="1"/>
  <c r="A170" i="335" s="1"/>
  <c r="F169" i="335"/>
  <c r="E169" i="335"/>
  <c r="C169" i="335" a="1"/>
  <c r="C169" i="335" s="1"/>
  <c r="D169" i="335" s="1"/>
  <c r="A169" i="335" a="1"/>
  <c r="A169" i="335" s="1"/>
  <c r="F168" i="335"/>
  <c r="E168" i="335"/>
  <c r="C168" i="335" a="1"/>
  <c r="C168" i="335" s="1"/>
  <c r="D168" i="335" s="1"/>
  <c r="A168" i="335" a="1"/>
  <c r="A168" i="335" s="1"/>
  <c r="F167" i="335"/>
  <c r="E167" i="335"/>
  <c r="C167" i="335" a="1"/>
  <c r="C167" i="335" s="1"/>
  <c r="D167" i="335" s="1"/>
  <c r="A167" i="335" a="1"/>
  <c r="A167" i="335" s="1"/>
  <c r="F166" i="335"/>
  <c r="E166" i="335"/>
  <c r="C166" i="335" a="1"/>
  <c r="C166" i="335" s="1"/>
  <c r="D166" i="335" s="1"/>
  <c r="A166" i="335" a="1"/>
  <c r="A166" i="335" s="1"/>
  <c r="F165" i="335"/>
  <c r="E165" i="335"/>
  <c r="C165" i="335" a="1"/>
  <c r="C165" i="335" s="1"/>
  <c r="D165" i="335" s="1"/>
  <c r="A165" i="335" a="1"/>
  <c r="A165" i="335" s="1"/>
  <c r="F164" i="335"/>
  <c r="E164" i="335"/>
  <c r="C164" i="335" a="1"/>
  <c r="C164" i="335" s="1"/>
  <c r="D164" i="335" s="1"/>
  <c r="A164" i="335" a="1"/>
  <c r="A164" i="335" s="1"/>
  <c r="F163" i="335"/>
  <c r="E163" i="335"/>
  <c r="C163" i="335" a="1"/>
  <c r="C163" i="335" s="1"/>
  <c r="D163" i="335" s="1"/>
  <c r="A163" i="335" a="1"/>
  <c r="A163" i="335" s="1"/>
  <c r="F162" i="335"/>
  <c r="E162" i="335"/>
  <c r="C162" i="335" a="1"/>
  <c r="C162" i="335" s="1"/>
  <c r="D162" i="335" s="1"/>
  <c r="A162" i="335" a="1"/>
  <c r="A162" i="335" s="1"/>
  <c r="F161" i="335"/>
  <c r="E161" i="335"/>
  <c r="C161" i="335" a="1"/>
  <c r="C161" i="335" s="1"/>
  <c r="D161" i="335" s="1"/>
  <c r="A161" i="335" a="1"/>
  <c r="A161" i="335" s="1"/>
  <c r="F160" i="335"/>
  <c r="E160" i="335"/>
  <c r="C160" i="335" a="1"/>
  <c r="C160" i="335" s="1"/>
  <c r="D160" i="335" s="1"/>
  <c r="A160" i="335" a="1"/>
  <c r="A160" i="335" s="1"/>
  <c r="F159" i="335"/>
  <c r="E159" i="335"/>
  <c r="C159" i="335" a="1"/>
  <c r="C159" i="335" s="1"/>
  <c r="D159" i="335" s="1"/>
  <c r="A159" i="335" a="1"/>
  <c r="A159" i="335" s="1"/>
  <c r="F158" i="335"/>
  <c r="E158" i="335"/>
  <c r="C158" i="335" a="1"/>
  <c r="C158" i="335" s="1"/>
  <c r="D158" i="335" s="1"/>
  <c r="A158" i="335" a="1"/>
  <c r="A158" i="335" s="1"/>
  <c r="F157" i="335"/>
  <c r="E157" i="335"/>
  <c r="C157" i="335" a="1"/>
  <c r="C157" i="335" s="1"/>
  <c r="D157" i="335" s="1"/>
  <c r="A157" i="335" a="1"/>
  <c r="A157" i="335" s="1"/>
  <c r="F156" i="335"/>
  <c r="E156" i="335"/>
  <c r="C156" i="335" a="1"/>
  <c r="C156" i="335" s="1"/>
  <c r="D156" i="335" s="1"/>
  <c r="A156" i="335" a="1"/>
  <c r="A156" i="335" s="1"/>
  <c r="F155" i="335"/>
  <c r="E155" i="335"/>
  <c r="C155" i="335" a="1"/>
  <c r="C155" i="335" s="1"/>
  <c r="D155" i="335" s="1"/>
  <c r="A155" i="335" a="1"/>
  <c r="A155" i="335" s="1"/>
  <c r="F154" i="335"/>
  <c r="E154" i="335"/>
  <c r="C154" i="335" a="1"/>
  <c r="C154" i="335" s="1"/>
  <c r="D154" i="335" s="1"/>
  <c r="A154" i="335" a="1"/>
  <c r="A154" i="335" s="1"/>
  <c r="F153" i="335"/>
  <c r="E153" i="335"/>
  <c r="C153" i="335" a="1"/>
  <c r="C153" i="335" s="1"/>
  <c r="D153" i="335" s="1"/>
  <c r="A153" i="335" a="1"/>
  <c r="A153" i="335" s="1"/>
  <c r="F152" i="335"/>
  <c r="E152" i="335"/>
  <c r="C152" i="335" a="1"/>
  <c r="C152" i="335" s="1"/>
  <c r="D152" i="335" s="1"/>
  <c r="A152" i="335" a="1"/>
  <c r="A152" i="335" s="1"/>
  <c r="F151" i="335"/>
  <c r="E151" i="335"/>
  <c r="C151" i="335" a="1"/>
  <c r="C151" i="335" s="1"/>
  <c r="D151" i="335" s="1"/>
  <c r="A151" i="335" a="1"/>
  <c r="A151" i="335" s="1"/>
  <c r="F150" i="335"/>
  <c r="E150" i="335"/>
  <c r="C150" i="335" a="1"/>
  <c r="C150" i="335" s="1"/>
  <c r="D150" i="335" s="1"/>
  <c r="A150" i="335" a="1"/>
  <c r="A150" i="335" s="1"/>
  <c r="F144" i="335"/>
  <c r="E144" i="335"/>
  <c r="C144" i="335" a="1"/>
  <c r="C144" i="335" s="1"/>
  <c r="D144" i="335" s="1"/>
  <c r="A144" i="335" a="1"/>
  <c r="A144" i="335" s="1"/>
  <c r="F143" i="335"/>
  <c r="E143" i="335"/>
  <c r="C143" i="335" a="1"/>
  <c r="C143" i="335" s="1"/>
  <c r="D143" i="335" s="1"/>
  <c r="A143" i="335" a="1"/>
  <c r="A143" i="335" s="1"/>
  <c r="F142" i="335"/>
  <c r="E142" i="335"/>
  <c r="C142" i="335" a="1"/>
  <c r="C142" i="335" s="1"/>
  <c r="D142" i="335" s="1"/>
  <c r="A142" i="335" a="1"/>
  <c r="A142" i="335" s="1"/>
  <c r="F141" i="335"/>
  <c r="E141" i="335"/>
  <c r="C141" i="335" a="1"/>
  <c r="C141" i="335" s="1"/>
  <c r="D141" i="335" s="1"/>
  <c r="A141" i="335" a="1"/>
  <c r="A141" i="335" s="1"/>
  <c r="F140" i="335"/>
  <c r="E140" i="335"/>
  <c r="C140" i="335" a="1"/>
  <c r="C140" i="335" s="1"/>
  <c r="D140" i="335" s="1"/>
  <c r="A140" i="335" a="1"/>
  <c r="A140" i="335" s="1"/>
  <c r="F139" i="335"/>
  <c r="E139" i="335"/>
  <c r="C139" i="335" a="1"/>
  <c r="C139" i="335" s="1"/>
  <c r="D139" i="335" s="1"/>
  <c r="A139" i="335" a="1"/>
  <c r="A139" i="335" s="1"/>
  <c r="F138" i="335"/>
  <c r="E138" i="335"/>
  <c r="C138" i="335" a="1"/>
  <c r="C138" i="335" s="1"/>
  <c r="D138" i="335" s="1"/>
  <c r="A138" i="335" a="1"/>
  <c r="A138" i="335" s="1"/>
  <c r="F137" i="335"/>
  <c r="E137" i="335"/>
  <c r="C137" i="335" a="1"/>
  <c r="C137" i="335" s="1"/>
  <c r="D137" i="335" s="1"/>
  <c r="A137" i="335" a="1"/>
  <c r="A137" i="335" s="1"/>
  <c r="F136" i="335"/>
  <c r="E136" i="335"/>
  <c r="C136" i="335" a="1"/>
  <c r="C136" i="335" s="1"/>
  <c r="G136" i="335" s="1"/>
  <c r="A136" i="335" a="1"/>
  <c r="A136" i="335" s="1"/>
  <c r="F135" i="335"/>
  <c r="E135" i="335"/>
  <c r="C135" i="335" a="1"/>
  <c r="C135" i="335" s="1"/>
  <c r="G135" i="335" s="1"/>
  <c r="A135" i="335" a="1"/>
  <c r="A135" i="335" s="1"/>
  <c r="F134" i="335"/>
  <c r="E134" i="335"/>
  <c r="C134" i="335" a="1"/>
  <c r="C134" i="335" s="1"/>
  <c r="G134" i="335" s="1"/>
  <c r="A134" i="335" a="1"/>
  <c r="A134" i="335" s="1"/>
  <c r="F133" i="335"/>
  <c r="E133" i="335"/>
  <c r="C133" i="335" a="1"/>
  <c r="C133" i="335" s="1"/>
  <c r="G133" i="335" s="1"/>
  <c r="A133" i="335" a="1"/>
  <c r="A133" i="335" s="1"/>
  <c r="F132" i="335"/>
  <c r="E132" i="335"/>
  <c r="C132" i="335" a="1"/>
  <c r="C132" i="335" s="1"/>
  <c r="G132" i="335" s="1"/>
  <c r="A132" i="335" a="1"/>
  <c r="A132" i="335" s="1"/>
  <c r="F131" i="335"/>
  <c r="E131" i="335"/>
  <c r="C131" i="335" a="1"/>
  <c r="C131" i="335" s="1"/>
  <c r="G131" i="335" s="1"/>
  <c r="A131" i="335" a="1"/>
  <c r="A131" i="335" s="1"/>
  <c r="F130" i="335"/>
  <c r="E130" i="335"/>
  <c r="C130" i="335" a="1"/>
  <c r="C130" i="335" s="1"/>
  <c r="G130" i="335" s="1"/>
  <c r="A130" i="335" a="1"/>
  <c r="A130" i="335" s="1"/>
  <c r="F129" i="335"/>
  <c r="E129" i="335"/>
  <c r="C129" i="335" a="1"/>
  <c r="C129" i="335" s="1"/>
  <c r="G129" i="335" s="1"/>
  <c r="A129" i="335" a="1"/>
  <c r="A129" i="335" s="1"/>
  <c r="F128" i="335"/>
  <c r="E128" i="335"/>
  <c r="C128" i="335" a="1"/>
  <c r="C128" i="335" s="1"/>
  <c r="G128" i="335" s="1"/>
  <c r="A128" i="335" a="1"/>
  <c r="A128" i="335" s="1"/>
  <c r="F127" i="335"/>
  <c r="E127" i="335"/>
  <c r="C127" i="335" a="1"/>
  <c r="C127" i="335" s="1"/>
  <c r="G127" i="335" s="1"/>
  <c r="A127" i="335" a="1"/>
  <c r="A127" i="335" s="1"/>
  <c r="F126" i="335"/>
  <c r="E126" i="335"/>
  <c r="C126" i="335" a="1"/>
  <c r="C126" i="335" s="1"/>
  <c r="G126" i="335" s="1"/>
  <c r="A126" i="335" a="1"/>
  <c r="A126" i="335" s="1"/>
  <c r="F125" i="335"/>
  <c r="E125" i="335"/>
  <c r="C125" i="335" a="1"/>
  <c r="C125" i="335" s="1"/>
  <c r="G125" i="335" s="1"/>
  <c r="A125" i="335" a="1"/>
  <c r="A125" i="335" s="1"/>
  <c r="F124" i="335"/>
  <c r="E124" i="335"/>
  <c r="C124" i="335" a="1"/>
  <c r="C124" i="335" s="1"/>
  <c r="D124" i="335" s="1"/>
  <c r="A124" i="335" a="1"/>
  <c r="A124" i="335" s="1"/>
  <c r="F123" i="335"/>
  <c r="E123" i="335"/>
  <c r="C123" i="335" a="1"/>
  <c r="C123" i="335" s="1"/>
  <c r="G123" i="335" s="1"/>
  <c r="A123" i="335" a="1"/>
  <c r="A123" i="335" s="1"/>
  <c r="F122" i="335"/>
  <c r="E122" i="335"/>
  <c r="C122" i="335" a="1"/>
  <c r="C122" i="335" s="1"/>
  <c r="D122" i="335" s="1"/>
  <c r="A122" i="335" a="1"/>
  <c r="A122" i="335" s="1"/>
  <c r="F121" i="335"/>
  <c r="E121" i="335"/>
  <c r="C121" i="335" a="1"/>
  <c r="C121" i="335" s="1"/>
  <c r="G121" i="335" s="1"/>
  <c r="A121" i="335" a="1"/>
  <c r="A121" i="335" s="1"/>
  <c r="F120" i="335"/>
  <c r="E120" i="335"/>
  <c r="C120" i="335" a="1"/>
  <c r="C120" i="335" s="1"/>
  <c r="D120" i="335" s="1"/>
  <c r="A120" i="335" a="1"/>
  <c r="A120" i="335" s="1"/>
  <c r="F119" i="335"/>
  <c r="E119" i="335"/>
  <c r="C119" i="335" a="1"/>
  <c r="C119" i="335" s="1"/>
  <c r="G119" i="335" s="1"/>
  <c r="A119" i="335" a="1"/>
  <c r="A119" i="335" s="1"/>
  <c r="F118" i="335"/>
  <c r="E118" i="335"/>
  <c r="C118" i="335" a="1"/>
  <c r="C118" i="335" s="1"/>
  <c r="D118" i="335" s="1"/>
  <c r="A118" i="335" a="1"/>
  <c r="A118" i="335" s="1"/>
  <c r="F117" i="335"/>
  <c r="E117" i="335"/>
  <c r="C117" i="335" a="1"/>
  <c r="C117" i="335" s="1"/>
  <c r="G117" i="335" s="1"/>
  <c r="A117" i="335" a="1"/>
  <c r="A117" i="335" s="1"/>
  <c r="F116" i="335"/>
  <c r="E116" i="335"/>
  <c r="C116" i="335" a="1"/>
  <c r="C116" i="335" s="1"/>
  <c r="D116" i="335" s="1"/>
  <c r="A116" i="335" a="1"/>
  <c r="A116" i="335" s="1"/>
  <c r="F115" i="335"/>
  <c r="E115" i="335"/>
  <c r="C115" i="335" a="1"/>
  <c r="C115" i="335" s="1"/>
  <c r="G115" i="335" s="1"/>
  <c r="A115" i="335" a="1"/>
  <c r="A115" i="335" s="1"/>
  <c r="F114" i="335"/>
  <c r="E114" i="335"/>
  <c r="C114" i="335" a="1"/>
  <c r="C114" i="335" s="1"/>
  <c r="D114" i="335" s="1"/>
  <c r="A114" i="335" a="1"/>
  <c r="A114" i="335" s="1"/>
  <c r="F113" i="335"/>
  <c r="E113" i="335"/>
  <c r="C113" i="335" a="1"/>
  <c r="C113" i="335" s="1"/>
  <c r="G113" i="335" s="1"/>
  <c r="A113" i="335" a="1"/>
  <c r="A113" i="335" s="1"/>
  <c r="F112" i="335"/>
  <c r="E112" i="335"/>
  <c r="C112" i="335" a="1"/>
  <c r="C112" i="335" s="1"/>
  <c r="D112" i="335" s="1"/>
  <c r="A112" i="335" a="1"/>
  <c r="A112" i="335" s="1"/>
  <c r="F111" i="335"/>
  <c r="E111" i="335"/>
  <c r="C111" i="335" a="1"/>
  <c r="C111" i="335" s="1"/>
  <c r="G111" i="335" s="1"/>
  <c r="A111" i="335" a="1"/>
  <c r="A111" i="335" s="1"/>
  <c r="F110" i="335"/>
  <c r="E110" i="335"/>
  <c r="C110" i="335" a="1"/>
  <c r="C110" i="335" s="1"/>
  <c r="D110" i="335" s="1"/>
  <c r="A110" i="335" a="1"/>
  <c r="A110" i="335" s="1"/>
  <c r="F109" i="335"/>
  <c r="E109" i="335"/>
  <c r="C109" i="335" a="1"/>
  <c r="C109" i="335" s="1"/>
  <c r="G109" i="335" s="1"/>
  <c r="A109" i="335" a="1"/>
  <c r="A109" i="335" s="1"/>
  <c r="F108" i="335"/>
  <c r="E108" i="335"/>
  <c r="C108" i="335" a="1"/>
  <c r="C108" i="335" s="1"/>
  <c r="D108" i="335" s="1"/>
  <c r="A108" i="335" a="1"/>
  <c r="A108" i="335" s="1"/>
  <c r="F107" i="335"/>
  <c r="E107" i="335"/>
  <c r="C107" i="335" a="1"/>
  <c r="C107" i="335" s="1"/>
  <c r="G107" i="335" s="1"/>
  <c r="A107" i="335" a="1"/>
  <c r="A107" i="335" s="1"/>
  <c r="F106" i="335"/>
  <c r="E106" i="335"/>
  <c r="C106" i="335" a="1"/>
  <c r="C106" i="335" s="1"/>
  <c r="D106" i="335" s="1"/>
  <c r="A106" i="335" a="1"/>
  <c r="A106" i="335" s="1"/>
  <c r="F105" i="335"/>
  <c r="E105" i="335"/>
  <c r="C105" i="335" a="1"/>
  <c r="C105" i="335" s="1"/>
  <c r="G105" i="335" s="1"/>
  <c r="A105" i="335" a="1"/>
  <c r="A105" i="335" s="1"/>
  <c r="F104" i="335"/>
  <c r="E104" i="335"/>
  <c r="C104" i="335" a="1"/>
  <c r="C104" i="335" s="1"/>
  <c r="D104" i="335" s="1"/>
  <c r="A104" i="335" a="1"/>
  <c r="A104" i="335" s="1"/>
  <c r="F103" i="335"/>
  <c r="E103" i="335"/>
  <c r="C103" i="335" a="1"/>
  <c r="C103" i="335" s="1"/>
  <c r="G103" i="335" s="1"/>
  <c r="A103" i="335" a="1"/>
  <c r="A103" i="335" s="1"/>
  <c r="F102" i="335"/>
  <c r="E102" i="335"/>
  <c r="C102" i="335" a="1"/>
  <c r="C102" i="335" s="1"/>
  <c r="D102" i="335" s="1"/>
  <c r="A102" i="335" a="1"/>
  <c r="A102" i="335" s="1"/>
  <c r="F101" i="335"/>
  <c r="E101" i="335"/>
  <c r="C101" i="335" a="1"/>
  <c r="C101" i="335" s="1"/>
  <c r="G101" i="335" s="1"/>
  <c r="A101" i="335" a="1"/>
  <c r="A101" i="335" s="1"/>
  <c r="F100" i="335"/>
  <c r="E100" i="335"/>
  <c r="C100" i="335" a="1"/>
  <c r="C100" i="335" s="1"/>
  <c r="D100" i="335" s="1"/>
  <c r="A100" i="335" a="1"/>
  <c r="A100" i="335" s="1"/>
  <c r="F99" i="335"/>
  <c r="E99" i="335"/>
  <c r="C99" i="335" a="1"/>
  <c r="C99" i="335" s="1"/>
  <c r="G99" i="335" s="1"/>
  <c r="A99" i="335" a="1"/>
  <c r="A99" i="335" s="1"/>
  <c r="F98" i="335"/>
  <c r="E98" i="335"/>
  <c r="C98" i="335" a="1"/>
  <c r="C98" i="335" s="1"/>
  <c r="D98" i="335" s="1"/>
  <c r="A98" i="335" a="1"/>
  <c r="A98" i="335" s="1"/>
  <c r="F97" i="335"/>
  <c r="E97" i="335"/>
  <c r="C97" i="335" a="1"/>
  <c r="C97" i="335" s="1"/>
  <c r="G97" i="335" s="1"/>
  <c r="A97" i="335" a="1"/>
  <c r="A97" i="335" s="1"/>
  <c r="F96" i="335"/>
  <c r="E96" i="335"/>
  <c r="C96" i="335" a="1"/>
  <c r="C96" i="335" s="1"/>
  <c r="D96" i="335" s="1"/>
  <c r="A96" i="335" a="1"/>
  <c r="A96" i="335" s="1"/>
  <c r="F95" i="335"/>
  <c r="E95" i="335"/>
  <c r="C95" i="335" a="1"/>
  <c r="C95" i="335" s="1"/>
  <c r="G95" i="335" s="1"/>
  <c r="A95" i="335" a="1"/>
  <c r="A95" i="335" s="1"/>
  <c r="F94" i="335"/>
  <c r="E94" i="335"/>
  <c r="C94" i="335" a="1"/>
  <c r="C94" i="335" s="1"/>
  <c r="D94" i="335" s="1"/>
  <c r="A94" i="335" a="1"/>
  <c r="A94" i="335" s="1"/>
  <c r="F93" i="335"/>
  <c r="E93" i="335"/>
  <c r="C93" i="335" a="1"/>
  <c r="C93" i="335" s="1"/>
  <c r="G93" i="335" s="1"/>
  <c r="A93" i="335" a="1"/>
  <c r="A93" i="335" s="1"/>
  <c r="F92" i="335"/>
  <c r="E92" i="335"/>
  <c r="C92" i="335" a="1"/>
  <c r="C92" i="335" s="1"/>
  <c r="D92" i="335" s="1"/>
  <c r="A92" i="335" a="1"/>
  <c r="A92" i="335" s="1"/>
  <c r="F91" i="335"/>
  <c r="E91" i="335"/>
  <c r="C91" i="335" a="1"/>
  <c r="C91" i="335" s="1"/>
  <c r="G91" i="335" s="1"/>
  <c r="A91" i="335" a="1"/>
  <c r="A91" i="335" s="1"/>
  <c r="F90" i="335"/>
  <c r="E90" i="335"/>
  <c r="C90" i="335" a="1"/>
  <c r="C90" i="335" s="1"/>
  <c r="D90" i="335" s="1"/>
  <c r="A90" i="335" a="1"/>
  <c r="A90" i="335" s="1"/>
  <c r="F89" i="335"/>
  <c r="E89" i="335"/>
  <c r="C89" i="335" a="1"/>
  <c r="C89" i="335" s="1"/>
  <c r="G89" i="335" s="1"/>
  <c r="A89" i="335" a="1"/>
  <c r="A89" i="335" s="1"/>
  <c r="F88" i="335"/>
  <c r="E88" i="335"/>
  <c r="C88" i="335" a="1"/>
  <c r="C88" i="335" s="1"/>
  <c r="D88" i="335" s="1"/>
  <c r="A88" i="335" a="1"/>
  <c r="A88" i="335" s="1"/>
  <c r="F87" i="335"/>
  <c r="E87" i="335"/>
  <c r="C87" i="335" a="1"/>
  <c r="C87" i="335" s="1"/>
  <c r="G87" i="335" s="1"/>
  <c r="A87" i="335" a="1"/>
  <c r="A87" i="335" s="1"/>
  <c r="F86" i="335"/>
  <c r="E86" i="335"/>
  <c r="C86" i="335" a="1"/>
  <c r="C86" i="335" s="1"/>
  <c r="D86" i="335" s="1"/>
  <c r="A86" i="335" a="1"/>
  <c r="A86" i="335" s="1"/>
  <c r="F85" i="335"/>
  <c r="E85" i="335"/>
  <c r="C85" i="335" a="1"/>
  <c r="C85" i="335" s="1"/>
  <c r="G85" i="335" s="1"/>
  <c r="A85" i="335" a="1"/>
  <c r="A85" i="335" s="1"/>
  <c r="F84" i="335"/>
  <c r="E84" i="335"/>
  <c r="C84" i="335" a="1"/>
  <c r="C84" i="335" s="1"/>
  <c r="D84" i="335" s="1"/>
  <c r="A84" i="335" a="1"/>
  <c r="A84" i="335" s="1"/>
  <c r="F83" i="335"/>
  <c r="E83" i="335"/>
  <c r="C83" i="335" a="1"/>
  <c r="C83" i="335" s="1"/>
  <c r="G83" i="335" s="1"/>
  <c r="A83" i="335" a="1"/>
  <c r="A83" i="335" s="1"/>
  <c r="F82" i="335"/>
  <c r="E82" i="335"/>
  <c r="C82" i="335" a="1"/>
  <c r="C82" i="335" s="1"/>
  <c r="D82" i="335" s="1"/>
  <c r="A82" i="335" a="1"/>
  <c r="A82" i="335" s="1"/>
  <c r="F81" i="335"/>
  <c r="E81" i="335"/>
  <c r="C81" i="335" a="1"/>
  <c r="C81" i="335" s="1"/>
  <c r="G81" i="335" s="1"/>
  <c r="A81" i="335" a="1"/>
  <c r="A81" i="335" s="1"/>
  <c r="F80" i="335"/>
  <c r="E80" i="335"/>
  <c r="C80" i="335" a="1"/>
  <c r="C80" i="335" s="1"/>
  <c r="D80" i="335" s="1"/>
  <c r="A80" i="335" a="1"/>
  <c r="A80" i="335" s="1"/>
  <c r="F79" i="335"/>
  <c r="E79" i="335"/>
  <c r="C79" i="335" a="1"/>
  <c r="C79" i="335" s="1"/>
  <c r="G79" i="335" s="1"/>
  <c r="A79" i="335" a="1"/>
  <c r="A79" i="335" s="1"/>
  <c r="F78" i="335"/>
  <c r="E78" i="335"/>
  <c r="C78" i="335" a="1"/>
  <c r="C78" i="335" s="1"/>
  <c r="D78" i="335" s="1"/>
  <c r="A78" i="335" a="1"/>
  <c r="A78" i="335" s="1"/>
  <c r="F77" i="335"/>
  <c r="E77" i="335"/>
  <c r="C77" i="335" a="1"/>
  <c r="C77" i="335" s="1"/>
  <c r="G77" i="335" s="1"/>
  <c r="A77" i="335" a="1"/>
  <c r="A77" i="335" s="1"/>
  <c r="F76" i="335"/>
  <c r="E76" i="335"/>
  <c r="C76" i="335" a="1"/>
  <c r="C76" i="335" s="1"/>
  <c r="D76" i="335" s="1"/>
  <c r="A76" i="335" a="1"/>
  <c r="A76" i="335" s="1"/>
  <c r="F75" i="335"/>
  <c r="E75" i="335"/>
  <c r="C75" i="335" a="1"/>
  <c r="C75" i="335" s="1"/>
  <c r="G75" i="335" s="1"/>
  <c r="A75" i="335" a="1"/>
  <c r="A75" i="335" s="1"/>
  <c r="F74" i="335"/>
  <c r="E74" i="335"/>
  <c r="C74" i="335" a="1"/>
  <c r="C74" i="335" s="1"/>
  <c r="D74" i="335" s="1"/>
  <c r="A74" i="335" a="1"/>
  <c r="A74" i="335" s="1"/>
  <c r="F73" i="335"/>
  <c r="E73" i="335"/>
  <c r="C73" i="335" a="1"/>
  <c r="C73" i="335" s="1"/>
  <c r="G73" i="335" s="1"/>
  <c r="A73" i="335" a="1"/>
  <c r="A73" i="335" s="1"/>
  <c r="F72" i="335"/>
  <c r="E72" i="335"/>
  <c r="C72" i="335" a="1"/>
  <c r="C72" i="335" s="1"/>
  <c r="G72" i="335" s="1"/>
  <c r="A72" i="335" a="1"/>
  <c r="A72" i="335" s="1"/>
  <c r="F71" i="335"/>
  <c r="E71" i="335"/>
  <c r="C71" i="335" a="1"/>
  <c r="C71" i="335" s="1"/>
  <c r="G71" i="335" s="1"/>
  <c r="A71" i="335" a="1"/>
  <c r="A71" i="335" s="1"/>
  <c r="F70" i="335"/>
  <c r="E70" i="335"/>
  <c r="C70" i="335" a="1"/>
  <c r="C70" i="335" s="1"/>
  <c r="G70" i="335" s="1"/>
  <c r="A70" i="335" a="1"/>
  <c r="A70" i="335" s="1"/>
  <c r="F69" i="335"/>
  <c r="E69" i="335"/>
  <c r="C69" i="335" a="1"/>
  <c r="C69" i="335" s="1"/>
  <c r="G69" i="335" s="1"/>
  <c r="A69" i="335" a="1"/>
  <c r="A69" i="335" s="1"/>
  <c r="F68" i="335"/>
  <c r="E68" i="335"/>
  <c r="C68" i="335" a="1"/>
  <c r="C68" i="335" s="1"/>
  <c r="G68" i="335" s="1"/>
  <c r="A68" i="335" a="1"/>
  <c r="A68" i="335" s="1"/>
  <c r="F67" i="335"/>
  <c r="E67" i="335"/>
  <c r="C67" i="335" a="1"/>
  <c r="C67" i="335" s="1"/>
  <c r="G67" i="335" s="1"/>
  <c r="A67" i="335" a="1"/>
  <c r="A67" i="335" s="1"/>
  <c r="F66" i="335"/>
  <c r="E66" i="335"/>
  <c r="C66" i="335" a="1"/>
  <c r="C66" i="335" s="1"/>
  <c r="G66" i="335" s="1"/>
  <c r="A66" i="335" a="1"/>
  <c r="A66" i="335" s="1"/>
  <c r="F65" i="335"/>
  <c r="E65" i="335"/>
  <c r="C65" i="335" a="1"/>
  <c r="C65" i="335" s="1"/>
  <c r="G65" i="335" s="1"/>
  <c r="A65" i="335" a="1"/>
  <c r="A65" i="335" s="1"/>
  <c r="F64" i="335"/>
  <c r="E64" i="335"/>
  <c r="C64" i="335" a="1"/>
  <c r="C64" i="335" s="1"/>
  <c r="G64" i="335" s="1"/>
  <c r="A64" i="335" a="1"/>
  <c r="A64" i="335" s="1"/>
  <c r="F63" i="335"/>
  <c r="E63" i="335"/>
  <c r="C63" i="335" a="1"/>
  <c r="C63" i="335" s="1"/>
  <c r="G63" i="335" s="1"/>
  <c r="A63" i="335" a="1"/>
  <c r="A63" i="335" s="1"/>
  <c r="F62" i="335"/>
  <c r="E62" i="335"/>
  <c r="C62" i="335" a="1"/>
  <c r="C62" i="335" s="1"/>
  <c r="G62" i="335" s="1"/>
  <c r="A62" i="335" a="1"/>
  <c r="A62" i="335" s="1"/>
  <c r="F61" i="335"/>
  <c r="E61" i="335"/>
  <c r="C61" i="335" a="1"/>
  <c r="C61" i="335" s="1"/>
  <c r="G61" i="335" s="1"/>
  <c r="A61" i="335" a="1"/>
  <c r="A61" i="335" s="1"/>
  <c r="F60" i="335"/>
  <c r="E60" i="335"/>
  <c r="C60" i="335" a="1"/>
  <c r="C60" i="335" s="1"/>
  <c r="G60" i="335" s="1"/>
  <c r="A60" i="335" a="1"/>
  <c r="A60" i="335" s="1"/>
  <c r="F59" i="335"/>
  <c r="E59" i="335"/>
  <c r="C59" i="335" a="1"/>
  <c r="C59" i="335" s="1"/>
  <c r="G59" i="335" s="1"/>
  <c r="A59" i="335" a="1"/>
  <c r="A59" i="335" s="1"/>
  <c r="F58" i="335"/>
  <c r="E58" i="335"/>
  <c r="C58" i="335" a="1"/>
  <c r="C58" i="335" s="1"/>
  <c r="G58" i="335" s="1"/>
  <c r="A58" i="335" a="1"/>
  <c r="A58" i="335" s="1"/>
  <c r="F57" i="335"/>
  <c r="E57" i="335"/>
  <c r="C57" i="335" a="1"/>
  <c r="C57" i="335" s="1"/>
  <c r="G57" i="335" s="1"/>
  <c r="A57" i="335" a="1"/>
  <c r="A57" i="335" s="1"/>
  <c r="F56" i="335"/>
  <c r="E56" i="335"/>
  <c r="C56" i="335" a="1"/>
  <c r="C56" i="335" s="1"/>
  <c r="G56" i="335" s="1"/>
  <c r="A56" i="335" a="1"/>
  <c r="A56" i="335" s="1"/>
  <c r="F55" i="335"/>
  <c r="E55" i="335"/>
  <c r="C55" i="335" a="1"/>
  <c r="C55" i="335" s="1"/>
  <c r="G55" i="335" s="1"/>
  <c r="A55" i="335" a="1"/>
  <c r="A55" i="335" s="1"/>
  <c r="F54" i="335"/>
  <c r="E54" i="335"/>
  <c r="C54" i="335" a="1"/>
  <c r="C54" i="335" s="1"/>
  <c r="G54" i="335" s="1"/>
  <c r="A54" i="335" a="1"/>
  <c r="A54" i="335" s="1"/>
  <c r="F53" i="335"/>
  <c r="E53" i="335"/>
  <c r="C53" i="335" a="1"/>
  <c r="C53" i="335" s="1"/>
  <c r="G53" i="335" s="1"/>
  <c r="A53" i="335" a="1"/>
  <c r="A53" i="335" s="1"/>
  <c r="F52" i="335"/>
  <c r="E52" i="335"/>
  <c r="C52" i="335" a="1"/>
  <c r="C52" i="335" s="1"/>
  <c r="G52" i="335" s="1"/>
  <c r="A52" i="335" a="1"/>
  <c r="A52" i="335" s="1"/>
  <c r="F51" i="335"/>
  <c r="E51" i="335"/>
  <c r="C51" i="335" a="1"/>
  <c r="C51" i="335" s="1"/>
  <c r="G51" i="335" s="1"/>
  <c r="A51" i="335" a="1"/>
  <c r="A51" i="335" s="1"/>
  <c r="F50" i="335"/>
  <c r="E50" i="335"/>
  <c r="C50" i="335" a="1"/>
  <c r="C50" i="335" s="1"/>
  <c r="G50" i="335" s="1"/>
  <c r="A50" i="335" a="1"/>
  <c r="A50" i="335" s="1"/>
  <c r="F49" i="335"/>
  <c r="E49" i="335"/>
  <c r="C49" i="335" a="1"/>
  <c r="C49" i="335" s="1"/>
  <c r="G49" i="335" s="1"/>
  <c r="A49" i="335" a="1"/>
  <c r="A49" i="335" s="1"/>
  <c r="F48" i="335"/>
  <c r="E48" i="335"/>
  <c r="C48" i="335" a="1"/>
  <c r="C48" i="335" s="1"/>
  <c r="G48" i="335" s="1"/>
  <c r="A48" i="335" a="1"/>
  <c r="A48" i="335" s="1"/>
  <c r="F47" i="335"/>
  <c r="E47" i="335"/>
  <c r="C47" i="335" a="1"/>
  <c r="C47" i="335" s="1"/>
  <c r="G47" i="335" s="1"/>
  <c r="A47" i="335" a="1"/>
  <c r="A47" i="335" s="1"/>
  <c r="F46" i="335"/>
  <c r="E46" i="335"/>
  <c r="C46" i="335" a="1"/>
  <c r="C46" i="335" s="1"/>
  <c r="G46" i="335" s="1"/>
  <c r="A46" i="335" a="1"/>
  <c r="A46" i="335" s="1"/>
  <c r="F45" i="335"/>
  <c r="E45" i="335"/>
  <c r="C45" i="335" a="1"/>
  <c r="C45" i="335" s="1"/>
  <c r="G45" i="335" s="1"/>
  <c r="A45" i="335" a="1"/>
  <c r="A45" i="335" s="1"/>
  <c r="F44" i="335"/>
  <c r="E44" i="335"/>
  <c r="C44" i="335" a="1"/>
  <c r="C44" i="335" s="1"/>
  <c r="G44" i="335" s="1"/>
  <c r="A44" i="335" a="1"/>
  <c r="A44" i="335" s="1"/>
  <c r="F43" i="335"/>
  <c r="E43" i="335"/>
  <c r="C43" i="335" a="1"/>
  <c r="C43" i="335" s="1"/>
  <c r="G43" i="335" s="1"/>
  <c r="A43" i="335" a="1"/>
  <c r="A43" i="335" s="1"/>
  <c r="F42" i="335"/>
  <c r="E42" i="335"/>
  <c r="C42" i="335" a="1"/>
  <c r="C42" i="335" s="1"/>
  <c r="G42" i="335" s="1"/>
  <c r="A42" i="335" a="1"/>
  <c r="A42" i="335" s="1"/>
  <c r="F41" i="335"/>
  <c r="E41" i="335"/>
  <c r="C41" i="335" a="1"/>
  <c r="C41" i="335" s="1"/>
  <c r="G41" i="335" s="1"/>
  <c r="A41" i="335" a="1"/>
  <c r="A41" i="335" s="1"/>
  <c r="F40" i="335"/>
  <c r="E40" i="335"/>
  <c r="C40" i="335" a="1"/>
  <c r="C40" i="335" s="1"/>
  <c r="G40" i="335" s="1"/>
  <c r="A40" i="335" a="1"/>
  <c r="A40" i="335" s="1"/>
  <c r="F39" i="335"/>
  <c r="E39" i="335"/>
  <c r="C39" i="335" a="1"/>
  <c r="C39" i="335" s="1"/>
  <c r="G39" i="335" s="1"/>
  <c r="A39" i="335" a="1"/>
  <c r="A39" i="335" s="1"/>
  <c r="F38" i="335"/>
  <c r="E38" i="335"/>
  <c r="C38" i="335" a="1"/>
  <c r="C38" i="335" s="1"/>
  <c r="D38" i="335" s="1"/>
  <c r="A38" i="335" a="1"/>
  <c r="A38" i="335" s="1"/>
  <c r="F37" i="335"/>
  <c r="E37" i="335"/>
  <c r="C37" i="335" a="1"/>
  <c r="C37" i="335" s="1"/>
  <c r="G37" i="335" s="1"/>
  <c r="A37" i="335" a="1"/>
  <c r="A37" i="335" s="1"/>
  <c r="F36" i="335"/>
  <c r="E36" i="335"/>
  <c r="C36" i="335" a="1"/>
  <c r="C36" i="335" s="1"/>
  <c r="G36" i="335" s="1"/>
  <c r="A36" i="335" a="1"/>
  <c r="A36" i="335" s="1"/>
  <c r="F35" i="335"/>
  <c r="E35" i="335"/>
  <c r="C35" i="335" a="1"/>
  <c r="C35" i="335" s="1"/>
  <c r="G35" i="335" s="1"/>
  <c r="A35" i="335" a="1"/>
  <c r="A35" i="335" s="1"/>
  <c r="F34" i="335"/>
  <c r="E34" i="335"/>
  <c r="C34" i="335" a="1"/>
  <c r="C34" i="335" s="1"/>
  <c r="G34" i="335" s="1"/>
  <c r="A34" i="335" a="1"/>
  <c r="A34" i="335" s="1"/>
  <c r="F33" i="335"/>
  <c r="E33" i="335"/>
  <c r="C33" i="335" a="1"/>
  <c r="C33" i="335" s="1"/>
  <c r="G33" i="335" s="1"/>
  <c r="A33" i="335" a="1"/>
  <c r="A33" i="335" s="1"/>
  <c r="F32" i="335"/>
  <c r="E32" i="335"/>
  <c r="C32" i="335" a="1"/>
  <c r="C32" i="335" s="1"/>
  <c r="G32" i="335" s="1"/>
  <c r="A32" i="335" a="1"/>
  <c r="A32" i="335" s="1"/>
  <c r="F31" i="335"/>
  <c r="E31" i="335"/>
  <c r="C31" i="335" a="1"/>
  <c r="C31" i="335" s="1"/>
  <c r="G31" i="335" s="1"/>
  <c r="A31" i="335" a="1"/>
  <c r="A31" i="335" s="1"/>
  <c r="F30" i="335"/>
  <c r="E30" i="335"/>
  <c r="C30" i="335" a="1"/>
  <c r="C30" i="335" s="1"/>
  <c r="G30" i="335" s="1"/>
  <c r="A30" i="335" a="1"/>
  <c r="A30" i="335" s="1"/>
  <c r="F29" i="335"/>
  <c r="E29" i="335"/>
  <c r="C29" i="335" a="1"/>
  <c r="C29" i="335" s="1"/>
  <c r="G29" i="335" s="1"/>
  <c r="A29" i="335" a="1"/>
  <c r="A29" i="335" s="1"/>
  <c r="F28" i="335"/>
  <c r="E28" i="335"/>
  <c r="C28" i="335" a="1"/>
  <c r="C28" i="335" s="1"/>
  <c r="G28" i="335" s="1"/>
  <c r="A28" i="335" a="1"/>
  <c r="A28" i="335" s="1"/>
  <c r="F27" i="335"/>
  <c r="E27" i="335"/>
  <c r="C27" i="335" a="1"/>
  <c r="C27" i="335" s="1"/>
  <c r="G27" i="335" s="1"/>
  <c r="A27" i="335" a="1"/>
  <c r="A27" i="335" s="1"/>
  <c r="F26" i="335"/>
  <c r="E26" i="335"/>
  <c r="C26" i="335" a="1"/>
  <c r="C26" i="335" s="1"/>
  <c r="G26" i="335" s="1"/>
  <c r="A26" i="335" a="1"/>
  <c r="A26" i="335" s="1"/>
  <c r="F25" i="335"/>
  <c r="E25" i="335"/>
  <c r="C25" i="335" a="1"/>
  <c r="C25" i="335" s="1"/>
  <c r="G25" i="335" s="1"/>
  <c r="A25" i="335" a="1"/>
  <c r="A25" i="335" s="1"/>
  <c r="F24" i="335"/>
  <c r="E24" i="335"/>
  <c r="C24" i="335" a="1"/>
  <c r="C24" i="335" s="1"/>
  <c r="G24" i="335" s="1"/>
  <c r="A24" i="335" a="1"/>
  <c r="A24" i="335" s="1"/>
  <c r="F23" i="335"/>
  <c r="E23" i="335"/>
  <c r="C23" i="335" a="1"/>
  <c r="C23" i="335" s="1"/>
  <c r="G23" i="335" s="1"/>
  <c r="A23" i="335" a="1"/>
  <c r="A23" i="335" s="1"/>
  <c r="F22" i="335"/>
  <c r="E22" i="335"/>
  <c r="C22" i="335" a="1"/>
  <c r="C22" i="335" s="1"/>
  <c r="G22" i="335" s="1"/>
  <c r="A22" i="335" a="1"/>
  <c r="A22" i="335" s="1"/>
  <c r="F21" i="335"/>
  <c r="E21" i="335"/>
  <c r="C21" i="335" a="1"/>
  <c r="C21" i="335" s="1"/>
  <c r="G21" i="335" s="1"/>
  <c r="A21" i="335" a="1"/>
  <c r="A21" i="335" s="1"/>
  <c r="F20" i="335"/>
  <c r="E20" i="335"/>
  <c r="C20" i="335" a="1"/>
  <c r="C20" i="335" s="1"/>
  <c r="G20" i="335" s="1"/>
  <c r="A20" i="335" a="1"/>
  <c r="A20" i="335" s="1"/>
  <c r="F19" i="335"/>
  <c r="E19" i="335"/>
  <c r="C19" i="335" a="1"/>
  <c r="C19" i="335" s="1"/>
  <c r="G19" i="335" s="1"/>
  <c r="A19" i="335" a="1"/>
  <c r="A19" i="335" s="1"/>
  <c r="F18" i="335"/>
  <c r="E18" i="335"/>
  <c r="C18" i="335" a="1"/>
  <c r="C18" i="335" s="1"/>
  <c r="G18" i="335" s="1"/>
  <c r="A18" i="335" a="1"/>
  <c r="A18" i="335" s="1"/>
  <c r="F17" i="335"/>
  <c r="E17" i="335"/>
  <c r="C17" i="335" a="1"/>
  <c r="C17" i="335" s="1"/>
  <c r="G17" i="335" s="1"/>
  <c r="A17" i="335" a="1"/>
  <c r="A17" i="335" s="1"/>
  <c r="F16" i="335"/>
  <c r="E16" i="335"/>
  <c r="C16" i="335" a="1"/>
  <c r="C16" i="335" s="1"/>
  <c r="G16" i="335" s="1"/>
  <c r="A16" i="335" a="1"/>
  <c r="A16" i="335" s="1"/>
  <c r="F15" i="335"/>
  <c r="E15" i="335"/>
  <c r="C15" i="335" a="1"/>
  <c r="C15" i="335" s="1"/>
  <c r="G15" i="335" s="1"/>
  <c r="A15" i="335" a="1"/>
  <c r="A15" i="335" s="1"/>
  <c r="F14" i="335"/>
  <c r="E14" i="335"/>
  <c r="C14" i="335" a="1"/>
  <c r="C14" i="335" s="1"/>
  <c r="G14" i="335" s="1"/>
  <c r="A14" i="335" a="1"/>
  <c r="A14" i="335" s="1"/>
  <c r="F13" i="335"/>
  <c r="E13" i="335"/>
  <c r="C13" i="335" a="1"/>
  <c r="C13" i="335" s="1"/>
  <c r="G13" i="335" s="1"/>
  <c r="A13" i="335" a="1"/>
  <c r="A13" i="335" s="1"/>
  <c r="F12" i="335"/>
  <c r="E12" i="335"/>
  <c r="C12" i="335" a="1"/>
  <c r="C12" i="335" s="1"/>
  <c r="G12" i="335" s="1"/>
  <c r="A12" i="335" a="1"/>
  <c r="A12" i="335" s="1"/>
  <c r="F11" i="335"/>
  <c r="E11" i="335"/>
  <c r="C11" i="335" a="1"/>
  <c r="C11" i="335" s="1"/>
  <c r="G11" i="335" s="1"/>
  <c r="A11" i="335" a="1"/>
  <c r="A11" i="335" s="1"/>
  <c r="F10" i="335"/>
  <c r="E10" i="335"/>
  <c r="C10" i="335" a="1"/>
  <c r="C10" i="335" s="1"/>
  <c r="G10" i="335" s="1"/>
  <c r="A10" i="335" a="1"/>
  <c r="A10" i="335" s="1"/>
  <c r="A7" i="335"/>
  <c r="A6" i="335"/>
  <c r="C21" i="394"/>
  <c r="C11" i="412" a="1"/>
  <c r="C11" i="412" s="1"/>
  <c r="C81" i="412" a="1"/>
  <c r="C81" i="412" s="1"/>
  <c r="U35" i="391"/>
  <c r="E35" i="391"/>
  <c r="E37" i="391" s="1"/>
  <c r="C13" i="417" a="1"/>
  <c r="C13" i="417" s="1"/>
  <c r="E20" i="391"/>
  <c r="C53" i="417" a="1"/>
  <c r="C53" i="417" s="1"/>
  <c r="C29" i="392"/>
  <c r="E58" i="391"/>
  <c r="C11" i="403"/>
  <c r="A12" i="421" a="1"/>
  <c r="A12" i="421" s="1"/>
  <c r="G12" i="421" a="1"/>
  <c r="G12" i="421" s="1"/>
  <c r="E22" i="392" a="1"/>
  <c r="E22" i="392" s="1"/>
  <c r="C66" i="416" a="1"/>
  <c r="C66" i="416" s="1"/>
  <c r="E14" i="392" a="1"/>
  <c r="E14" i="392" s="1"/>
  <c r="E18" i="392" a="1"/>
  <c r="E18" i="392" s="1"/>
  <c r="E10" i="395" a="1"/>
  <c r="E10" i="395" s="1"/>
  <c r="E14" i="395" a="1"/>
  <c r="E14" i="395" s="1"/>
  <c r="E18" i="395" a="1"/>
  <c r="E18" i="395" s="1"/>
  <c r="E14" i="397" a="1"/>
  <c r="E14" i="397" s="1"/>
  <c r="E54" i="391"/>
  <c r="C11" i="416" a="1"/>
  <c r="C11" i="416" s="1"/>
  <c r="C96" i="416" a="1"/>
  <c r="C96" i="416" s="1"/>
  <c r="E57" i="397" a="1"/>
  <c r="E57" i="397" s="1"/>
  <c r="C11" i="398"/>
  <c r="C9" i="398" s="1"/>
  <c r="C24" i="398" s="1"/>
  <c r="T59" i="391"/>
  <c r="E36" i="391"/>
  <c r="C19" i="416" a="1"/>
  <c r="C19" i="416" s="1"/>
  <c r="C106" i="416" a="1"/>
  <c r="C106" i="416" s="1"/>
  <c r="E16" i="397" a="1"/>
  <c r="E16" i="397" s="1"/>
  <c r="C55" i="416" a="1"/>
  <c r="C55" i="416" s="1"/>
  <c r="C136" i="416" a="1"/>
  <c r="C136" i="416" s="1"/>
  <c r="O12" i="365" a="1"/>
  <c r="O12" i="365" s="1"/>
  <c r="E13" i="399" a="1"/>
  <c r="E13" i="399" s="1"/>
  <c r="E23" i="399" a="1"/>
  <c r="E23" i="399" s="1"/>
  <c r="V20" i="391"/>
  <c r="C116" i="413" a="1"/>
  <c r="C116" i="413" s="1"/>
  <c r="C65" i="412" a="1"/>
  <c r="C65" i="412" s="1"/>
  <c r="E35" i="395" a="1"/>
  <c r="E35" i="395" s="1"/>
  <c r="C21" i="396"/>
  <c r="C19" i="396" s="1"/>
  <c r="E39" i="397" a="1"/>
  <c r="E39" i="397" s="1"/>
  <c r="E41" i="397" a="1"/>
  <c r="E41" i="397" s="1"/>
  <c r="E31" i="399" a="1"/>
  <c r="E31" i="399" s="1"/>
  <c r="C139" i="396"/>
  <c r="E14" i="399" a="1"/>
  <c r="E14" i="399" s="1"/>
  <c r="E17" i="399" a="1"/>
  <c r="E17" i="399" s="1"/>
  <c r="E18" i="401" a="1"/>
  <c r="E18" i="401" s="1"/>
  <c r="E23" i="401" a="1"/>
  <c r="E23" i="401" s="1"/>
  <c r="E35" i="401" a="1"/>
  <c r="E35" i="401" s="1"/>
  <c r="E84" i="401" a="1"/>
  <c r="E84" i="401" s="1"/>
  <c r="E21" i="391"/>
  <c r="D37" i="391"/>
  <c r="U53" i="391"/>
  <c r="C30" i="413" a="1"/>
  <c r="C30" i="413" s="1"/>
  <c r="C34" i="416" a="1"/>
  <c r="C34" i="416" s="1"/>
  <c r="C78" i="416" a="1"/>
  <c r="C78" i="416" s="1"/>
  <c r="C114" i="416" a="1"/>
  <c r="C114" i="416" s="1"/>
  <c r="C97" i="417" a="1"/>
  <c r="C97" i="417" s="1"/>
  <c r="C33" i="412" a="1"/>
  <c r="C33" i="412" s="1"/>
  <c r="C109" i="412" a="1"/>
  <c r="C109" i="412" s="1"/>
  <c r="E22" i="395" a="1"/>
  <c r="E22" i="395" s="1"/>
  <c r="C29" i="395"/>
  <c r="E40" i="397" a="1"/>
  <c r="E40" i="397" s="1"/>
  <c r="D59" i="391"/>
  <c r="C71" i="413" a="1"/>
  <c r="C71" i="413" s="1"/>
  <c r="C48" i="416" a="1"/>
  <c r="C48" i="416" s="1"/>
  <c r="C85" i="416" a="1"/>
  <c r="C85" i="416" s="1"/>
  <c r="C125" i="416" a="1"/>
  <c r="C125" i="416" s="1"/>
  <c r="C50" i="412" a="1"/>
  <c r="C50" i="412" s="1"/>
  <c r="C137" i="412" a="1"/>
  <c r="C137" i="412" s="1"/>
  <c r="E13" i="392" a="1"/>
  <c r="E13" i="392" s="1"/>
  <c r="E23" i="392" a="1"/>
  <c r="E23" i="392" s="1"/>
  <c r="E53" i="392" a="1"/>
  <c r="E53" i="392" s="1"/>
  <c r="E59" i="392" a="1"/>
  <c r="E59" i="392" s="1"/>
  <c r="C21" i="389"/>
  <c r="E10" i="392" a="1"/>
  <c r="E10" i="392" s="1"/>
  <c r="C21" i="392"/>
  <c r="E31" i="392" a="1"/>
  <c r="E31" i="392" s="1"/>
  <c r="E34" i="392" a="1"/>
  <c r="E34" i="392" s="1"/>
  <c r="E44" i="392" a="1"/>
  <c r="E44" i="392" s="1"/>
  <c r="E160" i="392" a="1"/>
  <c r="E160" i="392" s="1"/>
  <c r="E66" i="392" a="1"/>
  <c r="E66" i="392" s="1"/>
  <c r="E52" i="392" a="1"/>
  <c r="E52" i="392" s="1"/>
  <c r="E45" i="392" a="1"/>
  <c r="E45" i="392" s="1"/>
  <c r="E43" i="392" a="1"/>
  <c r="E43" i="392" s="1"/>
  <c r="E41" i="392" a="1"/>
  <c r="E41" i="392" s="1"/>
  <c r="E38" i="392" a="1"/>
  <c r="E38" i="392" s="1"/>
  <c r="E35" i="392" a="1"/>
  <c r="E35" i="392" s="1"/>
  <c r="E55" i="392" a="1"/>
  <c r="E55" i="392" s="1"/>
  <c r="E71" i="392" a="1"/>
  <c r="E71" i="392" s="1"/>
  <c r="E12" i="397" a="1"/>
  <c r="E12" i="397" s="1"/>
  <c r="E18" i="397" a="1"/>
  <c r="E18" i="397" s="1"/>
  <c r="E30" i="397" a="1"/>
  <c r="E30" i="397" s="1"/>
  <c r="E45" i="397" a="1"/>
  <c r="E45" i="397" s="1"/>
  <c r="C21" i="398"/>
  <c r="C21" i="399"/>
  <c r="E28" i="399" a="1"/>
  <c r="E28" i="399" s="1"/>
  <c r="C29" i="401"/>
  <c r="E91" i="394" a="1"/>
  <c r="E91" i="394" s="1"/>
  <c r="E94" i="394" a="1"/>
  <c r="E94" i="394" s="1"/>
  <c r="E18" i="404" a="1"/>
  <c r="E18" i="404" s="1"/>
  <c r="E34" i="404" a="1"/>
  <c r="E34" i="404" s="1"/>
  <c r="E44" i="404" a="1"/>
  <c r="E44" i="404" s="1"/>
  <c r="E55" i="404" a="1"/>
  <c r="E55" i="404" s="1"/>
  <c r="E57" i="404" a="1"/>
  <c r="E57" i="404" s="1"/>
  <c r="E66" i="404" a="1"/>
  <c r="E66" i="404" s="1"/>
  <c r="E68" i="404" a="1"/>
  <c r="E68" i="404" s="1"/>
  <c r="D60" i="391"/>
  <c r="D61" i="391" s="1"/>
  <c r="D55" i="391"/>
  <c r="C15" i="416" a="1"/>
  <c r="C15" i="416" s="1"/>
  <c r="C37" i="416" a="1"/>
  <c r="C37" i="416" s="1"/>
  <c r="C62" i="416" a="1"/>
  <c r="C62" i="416" s="1"/>
  <c r="C82" i="416" a="1"/>
  <c r="C82" i="416" s="1"/>
  <c r="C100" i="416" a="1"/>
  <c r="C100" i="416" s="1"/>
  <c r="C121" i="416" a="1"/>
  <c r="C121" i="416" s="1"/>
  <c r="C34" i="417" a="1"/>
  <c r="C34" i="417" s="1"/>
  <c r="C111" i="417" a="1"/>
  <c r="C111" i="417" s="1"/>
  <c r="C21" i="412" a="1"/>
  <c r="C21" i="412" s="1"/>
  <c r="C58" i="412" a="1"/>
  <c r="C58" i="412" s="1"/>
  <c r="C88" i="412" a="1"/>
  <c r="C88" i="412" s="1"/>
  <c r="C116" i="412" a="1"/>
  <c r="C116" i="412" s="1"/>
  <c r="E137" i="401" a="1"/>
  <c r="E137" i="401" s="1"/>
  <c r="E63" i="394" a="1"/>
  <c r="E63" i="394" s="1"/>
  <c r="E70" i="394" a="1"/>
  <c r="E70" i="394" s="1"/>
  <c r="E16" i="404" a="1"/>
  <c r="E16" i="404" s="1"/>
  <c r="E60" i="404" a="1"/>
  <c r="E60" i="404" s="1"/>
  <c r="E62" i="404" a="1"/>
  <c r="E62" i="404" s="1"/>
  <c r="C95" i="412" a="1"/>
  <c r="C95" i="412" s="1"/>
  <c r="C124" i="412" a="1"/>
  <c r="C124" i="412" s="1"/>
  <c r="G12" i="365" a="1"/>
  <c r="G12" i="365" s="1"/>
  <c r="E12" i="395" a="1"/>
  <c r="E12" i="395" s="1"/>
  <c r="E23" i="395" a="1"/>
  <c r="E23" i="395" s="1"/>
  <c r="E34" i="395" a="1"/>
  <c r="E34" i="395" s="1"/>
  <c r="E39" i="395" a="1"/>
  <c r="E39" i="395" s="1"/>
  <c r="E10" i="397" a="1"/>
  <c r="E10" i="397" s="1"/>
  <c r="E20" i="397" a="1"/>
  <c r="E20" i="397" s="1"/>
  <c r="E44" i="397" a="1"/>
  <c r="E44" i="397" s="1"/>
  <c r="E59" i="397" a="1"/>
  <c r="E59" i="397" s="1"/>
  <c r="E10" i="399" a="1"/>
  <c r="E10" i="399" s="1"/>
  <c r="E12" i="401" a="1"/>
  <c r="E12" i="401" s="1"/>
  <c r="E40" i="401" a="1"/>
  <c r="E40" i="401" s="1"/>
  <c r="E26" i="404" a="1"/>
  <c r="E26" i="404" s="1"/>
  <c r="E56" i="404" a="1"/>
  <c r="E56" i="404" s="1"/>
  <c r="E65" i="404" a="1"/>
  <c r="E65" i="404" s="1"/>
  <c r="E69" i="404" a="1"/>
  <c r="E69" i="404" s="1"/>
  <c r="E72" i="404" a="1"/>
  <c r="E72" i="404" s="1"/>
  <c r="E19" i="391"/>
  <c r="V53" i="391"/>
  <c r="C29" i="416" a="1"/>
  <c r="C29" i="416" s="1"/>
  <c r="C51" i="416" a="1"/>
  <c r="C51" i="416" s="1"/>
  <c r="C70" i="416" a="1"/>
  <c r="C70" i="416" s="1"/>
  <c r="C93" i="416" a="1"/>
  <c r="C93" i="416" s="1"/>
  <c r="C110" i="416" a="1"/>
  <c r="C110" i="416" s="1"/>
  <c r="C128" i="416" a="1"/>
  <c r="C128" i="416" s="1"/>
  <c r="C83" i="417" a="1"/>
  <c r="C83" i="417" s="1"/>
  <c r="C40" i="412" a="1"/>
  <c r="C40" i="412" s="1"/>
  <c r="C71" i="412" a="1"/>
  <c r="C71" i="412" s="1"/>
  <c r="C103" i="412" a="1"/>
  <c r="C103" i="412" s="1"/>
  <c r="C131" i="412" a="1"/>
  <c r="C131" i="412" s="1"/>
  <c r="E10" i="404" a="1"/>
  <c r="E10" i="404" s="1"/>
  <c r="E22" i="404" a="1"/>
  <c r="E22" i="404" s="1"/>
  <c r="E37" i="404" a="1"/>
  <c r="E37" i="404" s="1"/>
  <c r="E59" i="404" a="1"/>
  <c r="E59" i="404" s="1"/>
  <c r="E63" i="404" a="1"/>
  <c r="E63" i="404" s="1"/>
  <c r="K12" i="365" a="1"/>
  <c r="K12" i="365" s="1"/>
  <c r="K31" i="365" a="1"/>
  <c r="K31" i="365" s="1"/>
  <c r="I14" i="422" a="1"/>
  <c r="I14" i="422" s="1"/>
  <c r="E18" i="389" a="1"/>
  <c r="E18" i="389" s="1"/>
  <c r="C19" i="389"/>
  <c r="E35" i="389" a="1"/>
  <c r="E35" i="389" s="1"/>
  <c r="E42" i="389" a="1"/>
  <c r="E42" i="389" s="1"/>
  <c r="E65" i="389" a="1"/>
  <c r="E65" i="389" s="1"/>
  <c r="E83" i="389" a="1"/>
  <c r="E83" i="389" s="1"/>
  <c r="E96" i="389" a="1"/>
  <c r="E96" i="389" s="1"/>
  <c r="E102" i="389" a="1"/>
  <c r="E102" i="389" s="1"/>
  <c r="E107" i="389" a="1"/>
  <c r="E107" i="389" s="1"/>
  <c r="E115" i="389" a="1"/>
  <c r="E115" i="389" s="1"/>
  <c r="E123" i="389" a="1"/>
  <c r="E123" i="389" s="1"/>
  <c r="C21" i="407"/>
  <c r="C19" i="392"/>
  <c r="C32" i="392"/>
  <c r="E64" i="392" a="1"/>
  <c r="E64" i="392" s="1"/>
  <c r="E69" i="392" a="1"/>
  <c r="E69" i="392" s="1"/>
  <c r="E84" i="392" a="1"/>
  <c r="E84" i="392" s="1"/>
  <c r="E86" i="392" a="1"/>
  <c r="E86" i="392" s="1"/>
  <c r="E94" i="392" a="1"/>
  <c r="E94" i="392" s="1"/>
  <c r="E96" i="392" a="1"/>
  <c r="E96" i="392" s="1"/>
  <c r="E107" i="392" a="1"/>
  <c r="E107" i="392" s="1"/>
  <c r="E122" i="392" a="1"/>
  <c r="E122" i="392" s="1"/>
  <c r="E133" i="392" a="1"/>
  <c r="E133" i="392" s="1"/>
  <c r="E142" i="392" a="1"/>
  <c r="E142" i="392" s="1"/>
  <c r="E145" i="392" a="1"/>
  <c r="E145" i="392" s="1"/>
  <c r="E155" i="392" a="1"/>
  <c r="E155" i="392" s="1"/>
  <c r="E161" i="392" a="1"/>
  <c r="E161" i="392" s="1"/>
  <c r="E42" i="395" a="1"/>
  <c r="E42" i="395" s="1"/>
  <c r="E58" i="395" a="1"/>
  <c r="E58" i="395" s="1"/>
  <c r="E65" i="395" a="1"/>
  <c r="E65" i="395" s="1"/>
  <c r="E101" i="395" a="1"/>
  <c r="E101" i="395" s="1"/>
  <c r="E103" i="395" a="1"/>
  <c r="E103" i="395" s="1"/>
  <c r="E16" i="389" a="1"/>
  <c r="E16" i="389" s="1"/>
  <c r="E30" i="389" a="1"/>
  <c r="E30" i="389" s="1"/>
  <c r="E33" i="389" a="1"/>
  <c r="E33" i="389" s="1"/>
  <c r="E55" i="389" a="1"/>
  <c r="E55" i="389" s="1"/>
  <c r="E63" i="389" a="1"/>
  <c r="E63" i="389" s="1"/>
  <c r="E68" i="389" a="1"/>
  <c r="E68" i="389" s="1"/>
  <c r="E74" i="389" a="1"/>
  <c r="E74" i="389" s="1"/>
  <c r="E91" i="389" a="1"/>
  <c r="E91" i="389" s="1"/>
  <c r="E110" i="389" a="1"/>
  <c r="E110" i="389" s="1"/>
  <c r="E157" i="389" a="1"/>
  <c r="E157" i="389" s="1"/>
  <c r="C29" i="407"/>
  <c r="E12" i="392" a="1"/>
  <c r="E12" i="392" s="1"/>
  <c r="E17" i="392" a="1"/>
  <c r="E17" i="392" s="1"/>
  <c r="E20" i="392" a="1"/>
  <c r="E20" i="392" s="1"/>
  <c r="E26" i="392" a="1"/>
  <c r="E26" i="392" s="1"/>
  <c r="E30" i="392" a="1"/>
  <c r="E30" i="392" s="1"/>
  <c r="E33" i="392" a="1"/>
  <c r="E33" i="392" s="1"/>
  <c r="E40" i="392" a="1"/>
  <c r="E40" i="392" s="1"/>
  <c r="E42" i="392" a="1"/>
  <c r="E42" i="392" s="1"/>
  <c r="E54" i="392" a="1"/>
  <c r="E54" i="392" s="1"/>
  <c r="E58" i="392" a="1"/>
  <c r="E58" i="392" s="1"/>
  <c r="E63" i="392" a="1"/>
  <c r="E63" i="392" s="1"/>
  <c r="E83" i="392" a="1"/>
  <c r="E83" i="392" s="1"/>
  <c r="E93" i="392" a="1"/>
  <c r="E93" i="392" s="1"/>
  <c r="E101" i="392" a="1"/>
  <c r="E101" i="392" s="1"/>
  <c r="E104" i="392" a="1"/>
  <c r="E104" i="392" s="1"/>
  <c r="E106" i="392" a="1"/>
  <c r="E106" i="392" s="1"/>
  <c r="E120" i="392" a="1"/>
  <c r="E120" i="392" s="1"/>
  <c r="E131" i="392" a="1"/>
  <c r="E131" i="392" s="1"/>
  <c r="E136" i="392" a="1"/>
  <c r="E136" i="392" s="1"/>
  <c r="E159" i="392" a="1"/>
  <c r="E159" i="392" s="1"/>
  <c r="E160" i="395" a="1"/>
  <c r="E160" i="395" s="1"/>
  <c r="E175" i="395" a="1"/>
  <c r="E175" i="395" s="1"/>
  <c r="E177" i="395" s="1"/>
  <c r="E162" i="395" a="1"/>
  <c r="E162" i="395" s="1"/>
  <c r="E135" i="395" a="1"/>
  <c r="E135" i="395" s="1"/>
  <c r="E133" i="395" a="1"/>
  <c r="E133" i="395" s="1"/>
  <c r="E129" i="395" a="1"/>
  <c r="E129" i="395" s="1"/>
  <c r="E127" i="395" a="1"/>
  <c r="E127" i="395" s="1"/>
  <c r="E121" i="395" a="1"/>
  <c r="E121" i="395" s="1"/>
  <c r="E115" i="395" a="1"/>
  <c r="E115" i="395" s="1"/>
  <c r="E113" i="395" a="1"/>
  <c r="E113" i="395" s="1"/>
  <c r="E107" i="395" a="1"/>
  <c r="E107" i="395" s="1"/>
  <c r="E100" i="395" a="1"/>
  <c r="E100" i="395" s="1"/>
  <c r="E95" i="395" a="1"/>
  <c r="E95" i="395" s="1"/>
  <c r="E89" i="395" a="1"/>
  <c r="E89" i="395" s="1"/>
  <c r="E72" i="395" a="1"/>
  <c r="E72" i="395" s="1"/>
  <c r="E67" i="395" a="1"/>
  <c r="E67" i="395" s="1"/>
  <c r="E61" i="395" a="1"/>
  <c r="E61" i="395" s="1"/>
  <c r="E159" i="395" a="1"/>
  <c r="E159" i="395" s="1"/>
  <c r="E145" i="395" a="1"/>
  <c r="E145" i="395" s="1"/>
  <c r="E142" i="395" a="1"/>
  <c r="E142" i="395" s="1"/>
  <c r="E122" i="395" a="1"/>
  <c r="E122" i="395" s="1"/>
  <c r="E136" i="395" a="1"/>
  <c r="E136" i="395" s="1"/>
  <c r="E132" i="395" a="1"/>
  <c r="E132" i="395" s="1"/>
  <c r="E124" i="395" a="1"/>
  <c r="E124" i="395" s="1"/>
  <c r="E118" i="395" a="1"/>
  <c r="E118" i="395" s="1"/>
  <c r="E156" i="395" a="1"/>
  <c r="E156" i="395" s="1"/>
  <c r="E17" i="395" a="1"/>
  <c r="E17" i="395" s="1"/>
  <c r="E28" i="395" a="1"/>
  <c r="E28" i="395" s="1"/>
  <c r="E31" i="395" a="1"/>
  <c r="E31" i="395" s="1"/>
  <c r="E41" i="395" a="1"/>
  <c r="E41" i="395" s="1"/>
  <c r="E68" i="395" a="1"/>
  <c r="E68" i="395" s="1"/>
  <c r="E87" i="395" a="1"/>
  <c r="E87" i="395" s="1"/>
  <c r="E110" i="395" a="1"/>
  <c r="E110" i="395" s="1"/>
  <c r="E126" i="395" a="1"/>
  <c r="E126" i="395" s="1"/>
  <c r="E14" i="389" a="1"/>
  <c r="E14" i="389" s="1"/>
  <c r="E23" i="389" a="1"/>
  <c r="E23" i="389" s="1"/>
  <c r="E28" i="389" a="1"/>
  <c r="E28" i="389" s="1"/>
  <c r="C29" i="389"/>
  <c r="C27" i="389" s="1"/>
  <c r="C47" i="389" s="1"/>
  <c r="E39" i="389" a="1"/>
  <c r="E39" i="389" s="1"/>
  <c r="E45" i="389" a="1"/>
  <c r="E45" i="389" s="1"/>
  <c r="E86" i="389" a="1"/>
  <c r="E86" i="389" s="1"/>
  <c r="E99" i="389" a="1"/>
  <c r="E99" i="389" s="1"/>
  <c r="E133" i="389" a="1"/>
  <c r="E133" i="389" s="1"/>
  <c r="E142" i="389" a="1"/>
  <c r="E142" i="389" s="1"/>
  <c r="E155" i="389" a="1"/>
  <c r="E155" i="389" s="1"/>
  <c r="E56" i="392" a="1"/>
  <c r="E56" i="392" s="1"/>
  <c r="E61" i="392" a="1"/>
  <c r="E61" i="392" s="1"/>
  <c r="E72" i="392" a="1"/>
  <c r="E72" i="392" s="1"/>
  <c r="E74" i="392" a="1"/>
  <c r="E74" i="392" s="1"/>
  <c r="E81" i="392" a="1"/>
  <c r="E81" i="392" s="1"/>
  <c r="E89" i="392" a="1"/>
  <c r="E89" i="392" s="1"/>
  <c r="E91" i="392" a="1"/>
  <c r="E91" i="392" s="1"/>
  <c r="E99" i="392" a="1"/>
  <c r="E99" i="392" s="1"/>
  <c r="E114" i="392" a="1"/>
  <c r="E114" i="392" s="1"/>
  <c r="E125" i="392" a="1"/>
  <c r="E125" i="392" s="1"/>
  <c r="E130" i="392" a="1"/>
  <c r="E130" i="392" s="1"/>
  <c r="E158" i="392" a="1"/>
  <c r="E158" i="392" s="1"/>
  <c r="E175" i="392" a="1"/>
  <c r="E175" i="392" s="1"/>
  <c r="C21" i="395"/>
  <c r="E45" i="395" a="1"/>
  <c r="E45" i="395" s="1"/>
  <c r="E52" i="395" a="1"/>
  <c r="E52" i="395" s="1"/>
  <c r="E64" i="395" a="1"/>
  <c r="E64" i="395" s="1"/>
  <c r="E71" i="395" a="1"/>
  <c r="E71" i="395" s="1"/>
  <c r="E79" i="395" a="1"/>
  <c r="E79" i="395" s="1"/>
  <c r="E85" i="395" a="1"/>
  <c r="E85" i="395" s="1"/>
  <c r="E90" i="395" a="1"/>
  <c r="E90" i="395" s="1"/>
  <c r="E92" i="395" a="1"/>
  <c r="E92" i="395" s="1"/>
  <c r="E106" i="395" a="1"/>
  <c r="E106" i="395" s="1"/>
  <c r="E12" i="389" a="1"/>
  <c r="E12" i="389" s="1"/>
  <c r="E20" i="389" a="1"/>
  <c r="E20" i="389" s="1"/>
  <c r="E44" i="389" a="1"/>
  <c r="E44" i="389" s="1"/>
  <c r="E52" i="389" a="1"/>
  <c r="E52" i="389" s="1"/>
  <c r="E71" i="389" a="1"/>
  <c r="E71" i="389" s="1"/>
  <c r="E104" i="389" a="1"/>
  <c r="E104" i="389" s="1"/>
  <c r="E120" i="389" a="1"/>
  <c r="E120" i="389" s="1"/>
  <c r="E125" i="389" a="1"/>
  <c r="E125" i="389" s="1"/>
  <c r="E98" i="392" a="1"/>
  <c r="E98" i="392" s="1"/>
  <c r="E109" i="392" a="1"/>
  <c r="E109" i="392" s="1"/>
  <c r="E112" i="392" a="1"/>
  <c r="E112" i="392" s="1"/>
  <c r="E117" i="392" a="1"/>
  <c r="E117" i="392" s="1"/>
  <c r="E123" i="392" a="1"/>
  <c r="E123" i="392" s="1"/>
  <c r="E128" i="392" a="1"/>
  <c r="E128" i="392" s="1"/>
  <c r="E156" i="392" a="1"/>
  <c r="E156" i="392" s="1"/>
  <c r="E162" i="392" a="1"/>
  <c r="E162" i="392" s="1"/>
  <c r="C11" i="395"/>
  <c r="E38" i="395" a="1"/>
  <c r="E38" i="395" s="1"/>
  <c r="E44" i="395" a="1"/>
  <c r="E44" i="395" s="1"/>
  <c r="E55" i="395" a="1"/>
  <c r="E55" i="395" s="1"/>
  <c r="E74" i="395" a="1"/>
  <c r="E74" i="395" s="1"/>
  <c r="C78" i="395"/>
  <c r="C77" i="395" s="1"/>
  <c r="E82" i="395" a="1"/>
  <c r="E82" i="395" s="1"/>
  <c r="E84" i="395" a="1"/>
  <c r="E84" i="395" s="1"/>
  <c r="E98" i="395" a="1"/>
  <c r="E98" i="395" s="1"/>
  <c r="E104" i="395" a="1"/>
  <c r="E104" i="395" s="1"/>
  <c r="E70" i="397" a="1"/>
  <c r="E70" i="397" s="1"/>
  <c r="E85" i="397" a="1"/>
  <c r="E85" i="397" s="1"/>
  <c r="E90" i="397" a="1"/>
  <c r="E90" i="397" s="1"/>
  <c r="E99" i="397" a="1"/>
  <c r="E99" i="397" s="1"/>
  <c r="E112" i="397" a="1"/>
  <c r="E112" i="397" s="1"/>
  <c r="E116" i="397" a="1"/>
  <c r="E116" i="397" s="1"/>
  <c r="E121" i="397" a="1"/>
  <c r="E121" i="397" s="1"/>
  <c r="E126" i="397" a="1"/>
  <c r="E126" i="397" s="1"/>
  <c r="E10" i="393" a="1"/>
  <c r="E10" i="393" s="1"/>
  <c r="E13" i="393" a="1"/>
  <c r="E13" i="393" s="1"/>
  <c r="E18" i="393" a="1"/>
  <c r="E18" i="393" s="1"/>
  <c r="E53" i="393" a="1"/>
  <c r="E53" i="393" s="1"/>
  <c r="E61" i="393" a="1"/>
  <c r="E61" i="393" s="1"/>
  <c r="E67" i="393" a="1"/>
  <c r="E67" i="393" s="1"/>
  <c r="E72" i="393" a="1"/>
  <c r="E72" i="393" s="1"/>
  <c r="E74" i="393" a="1"/>
  <c r="E74" i="393" s="1"/>
  <c r="E98" i="393" a="1"/>
  <c r="E98" i="393" s="1"/>
  <c r="E13" i="398" a="1"/>
  <c r="E13" i="398" s="1"/>
  <c r="E41" i="398" a="1"/>
  <c r="E41" i="398" s="1"/>
  <c r="E44" i="398" a="1"/>
  <c r="E44" i="398" s="1"/>
  <c r="E23" i="397" a="1"/>
  <c r="E23" i="397" s="1"/>
  <c r="E28" i="397" a="1"/>
  <c r="E28" i="397" s="1"/>
  <c r="E37" i="397" a="1"/>
  <c r="E37" i="397" s="1"/>
  <c r="E52" i="397" a="1"/>
  <c r="E52" i="397" s="1"/>
  <c r="E54" i="397" a="1"/>
  <c r="E54" i="397" s="1"/>
  <c r="E56" i="397" a="1"/>
  <c r="E56" i="397" s="1"/>
  <c r="E68" i="397" a="1"/>
  <c r="E68" i="397" s="1"/>
  <c r="E79" i="397" a="1"/>
  <c r="E79" i="397" s="1"/>
  <c r="E88" i="397" a="1"/>
  <c r="E88" i="397" s="1"/>
  <c r="E93" i="397" a="1"/>
  <c r="E93" i="397" s="1"/>
  <c r="E95" i="397" a="1"/>
  <c r="E95" i="397" s="1"/>
  <c r="E102" i="397" a="1"/>
  <c r="E102" i="397" s="1"/>
  <c r="E104" i="397" a="1"/>
  <c r="E104" i="397" s="1"/>
  <c r="E124" i="397" a="1"/>
  <c r="E124" i="397" s="1"/>
  <c r="E129" i="397" a="1"/>
  <c r="E129" i="397" s="1"/>
  <c r="E159" i="397" a="1"/>
  <c r="E159" i="397" s="1"/>
  <c r="E16" i="393" a="1"/>
  <c r="E16" i="393" s="1"/>
  <c r="E23" i="393" a="1"/>
  <c r="E23" i="393" s="1"/>
  <c r="E31" i="393" a="1"/>
  <c r="E31" i="393" s="1"/>
  <c r="E34" i="393" a="1"/>
  <c r="E34" i="393" s="1"/>
  <c r="E40" i="393" a="1"/>
  <c r="E40" i="393" s="1"/>
  <c r="E44" i="393" a="1"/>
  <c r="E44" i="393" s="1"/>
  <c r="E57" i="393" a="1"/>
  <c r="E57" i="393" s="1"/>
  <c r="E63" i="393" a="1"/>
  <c r="E63" i="393" s="1"/>
  <c r="E70" i="393" a="1"/>
  <c r="E70" i="393" s="1"/>
  <c r="E81" i="393" a="1"/>
  <c r="E81" i="393" s="1"/>
  <c r="E89" i="393" a="1"/>
  <c r="E89" i="393" s="1"/>
  <c r="E112" i="393" a="1"/>
  <c r="E112" i="393" s="1"/>
  <c r="C29" i="398"/>
  <c r="E39" i="398" a="1"/>
  <c r="E39" i="398" s="1"/>
  <c r="E12" i="396" a="1"/>
  <c r="E12" i="396" s="1"/>
  <c r="E62" i="397" a="1"/>
  <c r="E62" i="397" s="1"/>
  <c r="E82" i="397" a="1"/>
  <c r="E82" i="397" s="1"/>
  <c r="E98" i="397" a="1"/>
  <c r="E98" i="397" s="1"/>
  <c r="E107" i="397" a="1"/>
  <c r="E107" i="397" s="1"/>
  <c r="E109" i="397" a="1"/>
  <c r="E109" i="397" s="1"/>
  <c r="E113" i="397" a="1"/>
  <c r="E113" i="397" s="1"/>
  <c r="E115" i="397" a="1"/>
  <c r="E115" i="397" s="1"/>
  <c r="E127" i="397" a="1"/>
  <c r="E127" i="397" s="1"/>
  <c r="E134" i="397" a="1"/>
  <c r="E134" i="397" s="1"/>
  <c r="E142" i="397" a="1"/>
  <c r="E142" i="397" s="1"/>
  <c r="E157" i="397" a="1"/>
  <c r="E157" i="397" s="1"/>
  <c r="E28" i="393" a="1"/>
  <c r="E28" i="393" s="1"/>
  <c r="E38" i="393" a="1"/>
  <c r="E38" i="393" s="1"/>
  <c r="E54" i="393" a="1"/>
  <c r="E54" i="393" s="1"/>
  <c r="E56" i="393" a="1"/>
  <c r="E56" i="393" s="1"/>
  <c r="E60" i="393" a="1"/>
  <c r="E60" i="393" s="1"/>
  <c r="E62" i="393" a="1"/>
  <c r="E62" i="393" s="1"/>
  <c r="E66" i="393" a="1"/>
  <c r="E66" i="393" s="1"/>
  <c r="E84" i="393" a="1"/>
  <c r="E84" i="393" s="1"/>
  <c r="E92" i="393" a="1"/>
  <c r="E92" i="393" s="1"/>
  <c r="E110" i="393" a="1"/>
  <c r="E110" i="393" s="1"/>
  <c r="E12" i="398" a="1"/>
  <c r="E12" i="398" s="1"/>
  <c r="C15" i="398"/>
  <c r="E26" i="397" a="1"/>
  <c r="E26" i="397" s="1"/>
  <c r="E33" i="397" a="1"/>
  <c r="E33" i="397" s="1"/>
  <c r="E35" i="397" a="1"/>
  <c r="E35" i="397" s="1"/>
  <c r="E42" i="397" a="1"/>
  <c r="E42" i="397" s="1"/>
  <c r="E55" i="397" a="1"/>
  <c r="E55" i="397" s="1"/>
  <c r="E60" i="397" a="1"/>
  <c r="E60" i="397" s="1"/>
  <c r="E65" i="397" a="1"/>
  <c r="E65" i="397" s="1"/>
  <c r="E67" i="397" a="1"/>
  <c r="E67" i="397" s="1"/>
  <c r="E72" i="397" a="1"/>
  <c r="E72" i="397" s="1"/>
  <c r="E74" i="397" a="1"/>
  <c r="E74" i="397" s="1"/>
  <c r="E87" i="397" a="1"/>
  <c r="E87" i="397" s="1"/>
  <c r="E92" i="397" a="1"/>
  <c r="E92" i="397" s="1"/>
  <c r="E96" i="397" a="1"/>
  <c r="E96" i="397" s="1"/>
  <c r="E105" i="397" a="1"/>
  <c r="E105" i="397" s="1"/>
  <c r="E118" i="397" a="1"/>
  <c r="E118" i="397" s="1"/>
  <c r="E123" i="397" a="1"/>
  <c r="E123" i="397" s="1"/>
  <c r="E132" i="397" a="1"/>
  <c r="E132" i="397" s="1"/>
  <c r="E137" i="397" a="1"/>
  <c r="E137" i="397" s="1"/>
  <c r="E140" i="397" a="1"/>
  <c r="E140" i="397" s="1"/>
  <c r="E155" i="397" a="1"/>
  <c r="E155" i="397" s="1"/>
  <c r="E14" i="393" a="1"/>
  <c r="E14" i="393" s="1"/>
  <c r="E22" i="393" a="1"/>
  <c r="E22" i="393" s="1"/>
  <c r="E26" i="393" a="1"/>
  <c r="E26" i="393" s="1"/>
  <c r="E33" i="393" a="1"/>
  <c r="E33" i="393" s="1"/>
  <c r="E35" i="393" a="1"/>
  <c r="E35" i="393" s="1"/>
  <c r="E41" i="393" a="1"/>
  <c r="E41" i="393" s="1"/>
  <c r="E43" i="393" a="1"/>
  <c r="E43" i="393" s="1"/>
  <c r="E45" i="393" a="1"/>
  <c r="E45" i="393" s="1"/>
  <c r="E58" i="393" a="1"/>
  <c r="E58" i="393" s="1"/>
  <c r="E64" i="393" a="1"/>
  <c r="E64" i="393" s="1"/>
  <c r="E69" i="393" a="1"/>
  <c r="E69" i="393" s="1"/>
  <c r="E80" i="393" a="1"/>
  <c r="E80" i="393" s="1"/>
  <c r="E95" i="393" a="1"/>
  <c r="E95" i="393" s="1"/>
  <c r="E103" i="393" a="1"/>
  <c r="E103" i="393" s="1"/>
  <c r="E10" i="398" a="1"/>
  <c r="E10" i="398" s="1"/>
  <c r="E34" i="398" a="1"/>
  <c r="E34" i="398" s="1"/>
  <c r="E163" i="401" a="1"/>
  <c r="E163" i="401" s="1"/>
  <c r="E156" i="401" a="1"/>
  <c r="E156" i="401" s="1"/>
  <c r="E135" i="401" a="1"/>
  <c r="E135" i="401" s="1"/>
  <c r="E130" i="401" a="1"/>
  <c r="E130" i="401" s="1"/>
  <c r="E104" i="401" a="1"/>
  <c r="E104" i="401" s="1"/>
  <c r="E85" i="401" a="1"/>
  <c r="E85" i="401" s="1"/>
  <c r="E81" i="401" a="1"/>
  <c r="E81" i="401" s="1"/>
  <c r="E70" i="401" a="1"/>
  <c r="E70" i="401" s="1"/>
  <c r="E68" i="401" a="1"/>
  <c r="E68" i="401" s="1"/>
  <c r="E61" i="401" a="1"/>
  <c r="E61" i="401" s="1"/>
  <c r="E59" i="401" a="1"/>
  <c r="E59" i="401" s="1"/>
  <c r="E57" i="401" a="1"/>
  <c r="E57" i="401" s="1"/>
  <c r="E55" i="401" a="1"/>
  <c r="E55" i="401" s="1"/>
  <c r="E53" i="401" a="1"/>
  <c r="E53" i="401" s="1"/>
  <c r="E43" i="401" a="1"/>
  <c r="E43" i="401" s="1"/>
  <c r="E41" i="401" a="1"/>
  <c r="E41" i="401" s="1"/>
  <c r="E37" i="401" a="1"/>
  <c r="E37" i="401" s="1"/>
  <c r="E34" i="401" a="1"/>
  <c r="E34" i="401" s="1"/>
  <c r="E26" i="401" a="1"/>
  <c r="E26" i="401" s="1"/>
  <c r="E22" i="401" a="1"/>
  <c r="E22" i="401" s="1"/>
  <c r="E16" i="401" a="1"/>
  <c r="E16" i="401" s="1"/>
  <c r="E10" i="401" a="1"/>
  <c r="E10" i="401" s="1"/>
  <c r="E38" i="401" a="1"/>
  <c r="E38" i="401" s="1"/>
  <c r="E54" i="401" a="1"/>
  <c r="E54" i="401" s="1"/>
  <c r="E62" i="401" a="1"/>
  <c r="E62" i="401" s="1"/>
  <c r="E65" i="401" a="1"/>
  <c r="E65" i="401" s="1"/>
  <c r="E73" i="401" a="1"/>
  <c r="E73" i="401" s="1"/>
  <c r="E82" i="401" a="1"/>
  <c r="E82" i="401" s="1"/>
  <c r="E91" i="401" a="1"/>
  <c r="E91" i="401" s="1"/>
  <c r="E109" i="401" a="1"/>
  <c r="E109" i="401" s="1"/>
  <c r="E118" i="401" a="1"/>
  <c r="E118" i="401" s="1"/>
  <c r="E132" i="401" a="1"/>
  <c r="E132" i="401" s="1"/>
  <c r="E160" i="394" a="1"/>
  <c r="E160" i="394" s="1"/>
  <c r="E156" i="394" a="1"/>
  <c r="E156" i="394" s="1"/>
  <c r="E128" i="394" a="1"/>
  <c r="E128" i="394" s="1"/>
  <c r="E120" i="394" a="1"/>
  <c r="E120" i="394" s="1"/>
  <c r="E115" i="394" a="1"/>
  <c r="E115" i="394" s="1"/>
  <c r="E110" i="394" a="1"/>
  <c r="E110" i="394" s="1"/>
  <c r="E105" i="394" a="1"/>
  <c r="E105" i="394" s="1"/>
  <c r="E73" i="394" a="1"/>
  <c r="E73" i="394" s="1"/>
  <c r="E68" i="394" a="1"/>
  <c r="E68" i="394" s="1"/>
  <c r="E44" i="394" a="1"/>
  <c r="E44" i="394" s="1"/>
  <c r="E31" i="394" a="1"/>
  <c r="E31" i="394" s="1"/>
  <c r="E10" i="394" a="1"/>
  <c r="E10" i="394" s="1"/>
  <c r="E22" i="394" a="1"/>
  <c r="E22" i="394" s="1"/>
  <c r="E26" i="394" a="1"/>
  <c r="E26" i="394" s="1"/>
  <c r="E39" i="394" a="1"/>
  <c r="E39" i="394" s="1"/>
  <c r="E45" i="394" a="1"/>
  <c r="E45" i="394" s="1"/>
  <c r="E61" i="394" a="1"/>
  <c r="E61" i="394" s="1"/>
  <c r="E80" i="394" a="1"/>
  <c r="E80" i="394" s="1"/>
  <c r="E83" i="394" a="1"/>
  <c r="E83" i="394" s="1"/>
  <c r="E112" i="394" a="1"/>
  <c r="E112" i="394" s="1"/>
  <c r="E161" i="394" a="1"/>
  <c r="E161" i="394" s="1"/>
  <c r="E14" i="402" a="1"/>
  <c r="E14" i="402" s="1"/>
  <c r="E39" i="402" a="1"/>
  <c r="E39" i="402" s="1"/>
  <c r="E41" i="402" a="1"/>
  <c r="E41" i="402" s="1"/>
  <c r="E43" i="402" a="1"/>
  <c r="E43" i="402" s="1"/>
  <c r="E45" i="402" a="1"/>
  <c r="E45" i="402" s="1"/>
  <c r="E52" i="402" a="1"/>
  <c r="E52" i="402" s="1"/>
  <c r="E68" i="402" a="1"/>
  <c r="E68" i="402" s="1"/>
  <c r="E12" i="403" a="1"/>
  <c r="E12" i="403" s="1"/>
  <c r="E14" i="403" a="1"/>
  <c r="E14" i="403" s="1"/>
  <c r="E17" i="403" a="1"/>
  <c r="E17" i="403" s="1"/>
  <c r="E20" i="403" a="1"/>
  <c r="E20" i="403" s="1"/>
  <c r="E28" i="403" a="1"/>
  <c r="E28" i="403" s="1"/>
  <c r="E52" i="403" a="1"/>
  <c r="E52" i="403" s="1"/>
  <c r="E65" i="403" a="1"/>
  <c r="E65" i="403" s="1"/>
  <c r="E68" i="403" a="1"/>
  <c r="E68" i="403" s="1"/>
  <c r="E26" i="405" a="1"/>
  <c r="E26" i="405" s="1"/>
  <c r="E34" i="405" a="1"/>
  <c r="E34" i="405" s="1"/>
  <c r="E42" i="405" a="1"/>
  <c r="E42" i="405" s="1"/>
  <c r="E57" i="405" a="1"/>
  <c r="E57" i="405" s="1"/>
  <c r="E65" i="405" a="1"/>
  <c r="E65" i="405" s="1"/>
  <c r="E81" i="405" a="1"/>
  <c r="E81" i="405" s="1"/>
  <c r="E86" i="405" a="1"/>
  <c r="E86" i="405" s="1"/>
  <c r="E107" i="405" a="1"/>
  <c r="E107" i="405" s="1"/>
  <c r="C164" i="405"/>
  <c r="C32" i="388"/>
  <c r="C32" i="399"/>
  <c r="E98" i="401" a="1"/>
  <c r="E98" i="401" s="1"/>
  <c r="E101" i="401" a="1"/>
  <c r="E101" i="401" s="1"/>
  <c r="E116" i="401" a="1"/>
  <c r="E116" i="401" s="1"/>
  <c r="E121" i="401" a="1"/>
  <c r="E121" i="401" s="1"/>
  <c r="E124" i="401" a="1"/>
  <c r="E124" i="401" s="1"/>
  <c r="E141" i="401" a="1"/>
  <c r="E141" i="401" s="1"/>
  <c r="E56" i="394" a="1"/>
  <c r="E56" i="394" s="1"/>
  <c r="E107" i="394" a="1"/>
  <c r="E107" i="394" s="1"/>
  <c r="E118" i="394" a="1"/>
  <c r="E118" i="394" s="1"/>
  <c r="E142" i="394" a="1"/>
  <c r="E142" i="394" s="1"/>
  <c r="E55" i="402" a="1"/>
  <c r="E55" i="402" s="1"/>
  <c r="E63" i="402" a="1"/>
  <c r="E63" i="402" s="1"/>
  <c r="E71" i="402" a="1"/>
  <c r="E71" i="402" s="1"/>
  <c r="E74" i="402" a="1"/>
  <c r="E74" i="402" s="1"/>
  <c r="E10" i="403" a="1"/>
  <c r="E10" i="403" s="1"/>
  <c r="E37" i="403" a="1"/>
  <c r="E37" i="403" s="1"/>
  <c r="E39" i="403" a="1"/>
  <c r="E39" i="403" s="1"/>
  <c r="E55" i="403" a="1"/>
  <c r="E55" i="403" s="1"/>
  <c r="E60" i="403" a="1"/>
  <c r="E60" i="403" s="1"/>
  <c r="E63" i="403" a="1"/>
  <c r="E63" i="403" s="1"/>
  <c r="E74" i="403" a="1"/>
  <c r="E74" i="403" s="1"/>
  <c r="E97" i="403" a="1"/>
  <c r="E97" i="403" s="1"/>
  <c r="E102" i="403" a="1"/>
  <c r="E102" i="403" s="1"/>
  <c r="E105" i="403" a="1"/>
  <c r="E105" i="403" s="1"/>
  <c r="E14" i="405" a="1"/>
  <c r="E14" i="405" s="1"/>
  <c r="E17" i="405" a="1"/>
  <c r="E17" i="405" s="1"/>
  <c r="E20" i="405" a="1"/>
  <c r="E20" i="405" s="1"/>
  <c r="E23" i="405" a="1"/>
  <c r="E23" i="405" s="1"/>
  <c r="E40" i="405" a="1"/>
  <c r="E40" i="405" s="1"/>
  <c r="E53" i="405" a="1"/>
  <c r="E53" i="405" s="1"/>
  <c r="E63" i="405" a="1"/>
  <c r="E63" i="405" s="1"/>
  <c r="E71" i="405" a="1"/>
  <c r="E71" i="405" s="1"/>
  <c r="E73" i="405" a="1"/>
  <c r="E73" i="405" s="1"/>
  <c r="E92" i="405" a="1"/>
  <c r="E92" i="405" s="1"/>
  <c r="E113" i="405" a="1"/>
  <c r="E113" i="405" s="1"/>
  <c r="E18" i="388" a="1"/>
  <c r="E18" i="388" s="1"/>
  <c r="E52" i="388" a="1"/>
  <c r="E52" i="388" s="1"/>
  <c r="E52" i="391"/>
  <c r="E14" i="401" a="1"/>
  <c r="E14" i="401" s="1"/>
  <c r="E33" i="401" a="1"/>
  <c r="E33" i="401" s="1"/>
  <c r="E42" i="401" a="1"/>
  <c r="E42" i="401" s="1"/>
  <c r="E58" i="401" a="1"/>
  <c r="E58" i="401" s="1"/>
  <c r="E74" i="401" a="1"/>
  <c r="E74" i="401" s="1"/>
  <c r="E86" i="401" a="1"/>
  <c r="E86" i="401" s="1"/>
  <c r="E145" i="401" a="1"/>
  <c r="E145" i="401" s="1"/>
  <c r="E14" i="394" a="1"/>
  <c r="E14" i="394" s="1"/>
  <c r="E17" i="394" a="1"/>
  <c r="E17" i="394" s="1"/>
  <c r="E20" i="394" a="1"/>
  <c r="E20" i="394" s="1"/>
  <c r="E23" i="394" a="1"/>
  <c r="E23" i="394" s="1"/>
  <c r="E33" i="394" a="1"/>
  <c r="E33" i="394" s="1"/>
  <c r="E88" i="394" a="1"/>
  <c r="E88" i="394" s="1"/>
  <c r="E96" i="394" a="1"/>
  <c r="E96" i="394" s="1"/>
  <c r="E99" i="394" a="1"/>
  <c r="E99" i="394" s="1"/>
  <c r="E125" i="394" a="1"/>
  <c r="E125" i="394" s="1"/>
  <c r="E16" i="402" a="1"/>
  <c r="E16" i="402" s="1"/>
  <c r="E42" i="402" a="1"/>
  <c r="E42" i="402" s="1"/>
  <c r="E13" i="403" a="1"/>
  <c r="E13" i="403" s="1"/>
  <c r="E16" i="403" a="1"/>
  <c r="E16" i="403" s="1"/>
  <c r="E22" i="403" a="1"/>
  <c r="E22" i="403" s="1"/>
  <c r="E26" i="403" a="1"/>
  <c r="E26" i="403" s="1"/>
  <c r="E30" i="403" a="1"/>
  <c r="E30" i="403" s="1"/>
  <c r="E58" i="403" a="1"/>
  <c r="E58" i="403" s="1"/>
  <c r="E81" i="403" a="1"/>
  <c r="E81" i="403" s="1"/>
  <c r="E86" i="403" a="1"/>
  <c r="E86" i="403" s="1"/>
  <c r="E92" i="403" a="1"/>
  <c r="E92" i="403" s="1"/>
  <c r="E12" i="405" a="1"/>
  <c r="E12" i="405" s="1"/>
  <c r="E66" i="405" a="1"/>
  <c r="E66" i="405" s="1"/>
  <c r="E69" i="405" a="1"/>
  <c r="E69" i="405" s="1"/>
  <c r="E82" i="405" a="1"/>
  <c r="E82" i="405" s="1"/>
  <c r="E41" i="388" a="1"/>
  <c r="E41" i="388" s="1"/>
  <c r="E35" i="402" a="1"/>
  <c r="E35" i="402" s="1"/>
  <c r="E22" i="402" a="1"/>
  <c r="E22" i="402" s="1"/>
  <c r="E20" i="402" a="1"/>
  <c r="E20" i="402" s="1"/>
  <c r="E31" i="402" a="1"/>
  <c r="E31" i="402" s="1"/>
  <c r="E163" i="403" a="1"/>
  <c r="E163" i="403" s="1"/>
  <c r="E71" i="403" a="1"/>
  <c r="E71" i="403" s="1"/>
  <c r="E45" i="403" a="1"/>
  <c r="E45" i="403" s="1"/>
  <c r="E42" i="403" a="1"/>
  <c r="E42" i="403" s="1"/>
  <c r="E35" i="403" a="1"/>
  <c r="E35" i="403" s="1"/>
  <c r="E33" i="403" a="1"/>
  <c r="E33" i="403" s="1"/>
  <c r="E40" i="403" a="1"/>
  <c r="E40" i="403" s="1"/>
  <c r="E84" i="403" a="1"/>
  <c r="E84" i="403" s="1"/>
  <c r="E163" i="405" a="1"/>
  <c r="E163" i="405" s="1"/>
  <c r="E110" i="405" a="1"/>
  <c r="E110" i="405" s="1"/>
  <c r="E101" i="405" a="1"/>
  <c r="E101" i="405" s="1"/>
  <c r="E89" i="405" a="1"/>
  <c r="E89" i="405" s="1"/>
  <c r="E79" i="405" a="1"/>
  <c r="E79" i="405" s="1"/>
  <c r="E68" i="405" a="1"/>
  <c r="E68" i="405" s="1"/>
  <c r="E62" i="405" a="1"/>
  <c r="E62" i="405" s="1"/>
  <c r="E60" i="405" a="1"/>
  <c r="E60" i="405" s="1"/>
  <c r="E56" i="405" a="1"/>
  <c r="E56" i="405" s="1"/>
  <c r="E54" i="405" a="1"/>
  <c r="E54" i="405" s="1"/>
  <c r="E45" i="405" a="1"/>
  <c r="E45" i="405" s="1"/>
  <c r="E43" i="405" a="1"/>
  <c r="E43" i="405" s="1"/>
  <c r="E39" i="405" a="1"/>
  <c r="E39" i="405" s="1"/>
  <c r="E37" i="405" a="1"/>
  <c r="E37" i="405" s="1"/>
  <c r="E31" i="405" a="1"/>
  <c r="E31" i="405" s="1"/>
  <c r="E10" i="405" a="1"/>
  <c r="E10" i="405" s="1"/>
  <c r="E16" i="405" a="1"/>
  <c r="E16" i="405" s="1"/>
  <c r="E22" i="405" a="1"/>
  <c r="E22" i="405" s="1"/>
  <c r="E30" i="405" a="1"/>
  <c r="E30" i="405" s="1"/>
  <c r="E35" i="405" a="1"/>
  <c r="E35" i="405" s="1"/>
  <c r="E59" i="405" a="1"/>
  <c r="E59" i="405" s="1"/>
  <c r="E72" i="405" a="1"/>
  <c r="E72" i="405" s="1"/>
  <c r="E74" i="405" a="1"/>
  <c r="E74" i="405" s="1"/>
  <c r="C40" i="413" a="1"/>
  <c r="C40" i="413" s="1"/>
  <c r="C84" i="413" a="1"/>
  <c r="C84" i="413" s="1"/>
  <c r="C127" i="413" a="1"/>
  <c r="C127" i="413" s="1"/>
  <c r="C23" i="416" a="1"/>
  <c r="C23" i="416" s="1"/>
  <c r="C41" i="416" a="1"/>
  <c r="C41" i="416" s="1"/>
  <c r="C59" i="416" a="1"/>
  <c r="C59" i="416" s="1"/>
  <c r="C72" i="416" a="1"/>
  <c r="C72" i="416" s="1"/>
  <c r="C89" i="416" a="1"/>
  <c r="C89" i="416" s="1"/>
  <c r="C104" i="416" a="1"/>
  <c r="C104" i="416" s="1"/>
  <c r="C117" i="416" a="1"/>
  <c r="C117" i="416" s="1"/>
  <c r="C66" i="417" a="1"/>
  <c r="C66" i="417" s="1"/>
  <c r="C125" i="417" a="1"/>
  <c r="C125" i="417" s="1"/>
  <c r="C17" i="412" a="1"/>
  <c r="C17" i="412" s="1"/>
  <c r="C36" i="412" a="1"/>
  <c r="C36" i="412" s="1"/>
  <c r="C54" i="412" a="1"/>
  <c r="C54" i="412" s="1"/>
  <c r="C69" i="412" a="1"/>
  <c r="C69" i="412" s="1"/>
  <c r="C84" i="412" a="1"/>
  <c r="C84" i="412" s="1"/>
  <c r="C99" i="412" a="1"/>
  <c r="C99" i="412" s="1"/>
  <c r="C113" i="412" a="1"/>
  <c r="C113" i="412" s="1"/>
  <c r="C127" i="412" a="1"/>
  <c r="C127" i="412" s="1"/>
  <c r="E26" i="399" a="1"/>
  <c r="E26" i="399" s="1"/>
  <c r="E33" i="399" a="1"/>
  <c r="E33" i="399" s="1"/>
  <c r="C19" i="394"/>
  <c r="C15" i="403"/>
  <c r="C29" i="403"/>
  <c r="C27" i="403" s="1"/>
  <c r="C47" i="403" s="1"/>
  <c r="E12" i="404" a="1"/>
  <c r="E12" i="404" s="1"/>
  <c r="E14" i="404" a="1"/>
  <c r="E14" i="404" s="1"/>
  <c r="E20" i="404" a="1"/>
  <c r="E20" i="404" s="1"/>
  <c r="E23" i="404" a="1"/>
  <c r="E23" i="404" s="1"/>
  <c r="E33" i="404" a="1"/>
  <c r="E33" i="404" s="1"/>
  <c r="E38" i="404" a="1"/>
  <c r="E38" i="404" s="1"/>
  <c r="E40" i="404" a="1"/>
  <c r="E40" i="404" s="1"/>
  <c r="E52" i="404" a="1"/>
  <c r="E52" i="404" s="1"/>
  <c r="E73" i="404" a="1"/>
  <c r="E73" i="404" s="1"/>
  <c r="C29" i="405"/>
  <c r="C36" i="388"/>
  <c r="U20" i="391"/>
  <c r="U59" i="391" s="1"/>
  <c r="E13" i="391"/>
  <c r="E16" i="391"/>
  <c r="S59" i="391"/>
  <c r="V59" i="391" s="1"/>
  <c r="E28" i="391"/>
  <c r="E31" i="391"/>
  <c r="E34" i="391"/>
  <c r="V35" i="391"/>
  <c r="E40" i="391"/>
  <c r="E43" i="391"/>
  <c r="E46" i="391"/>
  <c r="E49" i="391"/>
  <c r="C51" i="413" a="1"/>
  <c r="C51" i="413" s="1"/>
  <c r="C95" i="413" a="1"/>
  <c r="C95" i="413" s="1"/>
  <c r="C137" i="413" a="1"/>
  <c r="C137" i="413" s="1"/>
  <c r="C18" i="413" a="1"/>
  <c r="C18" i="413" s="1"/>
  <c r="C61" i="413" a="1"/>
  <c r="C61" i="413" s="1"/>
  <c r="C27" i="412" a="1"/>
  <c r="C27" i="412" s="1"/>
  <c r="C44" i="412" a="1"/>
  <c r="C44" i="412" s="1"/>
  <c r="C61" i="412" a="1"/>
  <c r="C61" i="412" s="1"/>
  <c r="C77" i="412" a="1"/>
  <c r="C77" i="412" s="1"/>
  <c r="C92" i="412" a="1"/>
  <c r="C92" i="412" s="1"/>
  <c r="C105" i="412" a="1"/>
  <c r="C105" i="412" s="1"/>
  <c r="C120" i="412" a="1"/>
  <c r="C120" i="412" s="1"/>
  <c r="C13" i="421"/>
  <c r="Q12" i="421" a="1"/>
  <c r="Q12" i="421" s="1"/>
  <c r="F7" i="345" a="1"/>
  <c r="F7" i="345" s="1"/>
  <c r="F9" i="345" a="1"/>
  <c r="F9" i="345" s="1"/>
  <c r="F11" i="345" a="1"/>
  <c r="F11" i="345" s="1"/>
  <c r="F13" i="345" a="1"/>
  <c r="F13" i="345" s="1"/>
  <c r="F15" i="345" a="1"/>
  <c r="F15" i="345" s="1"/>
  <c r="N14" i="422" a="1"/>
  <c r="N14" i="422" s="1"/>
  <c r="G8" i="345" a="1"/>
  <c r="G8" i="345" s="1"/>
  <c r="G10" i="345" a="1"/>
  <c r="G10" i="345" s="1"/>
  <c r="G12" i="345" a="1"/>
  <c r="G12" i="345" s="1"/>
  <c r="G14" i="345" a="1"/>
  <c r="G14" i="345" s="1"/>
  <c r="G16" i="345" a="1"/>
  <c r="G16" i="345" s="1"/>
  <c r="F17" i="345" a="1"/>
  <c r="F17" i="345" s="1"/>
  <c r="G18" i="345" a="1"/>
  <c r="G18" i="345" s="1"/>
  <c r="A14" i="422" a="1"/>
  <c r="A14" i="422" s="1"/>
  <c r="C139" i="360"/>
  <c r="C139" i="389"/>
  <c r="E13" i="407" a="1"/>
  <c r="E13" i="407" s="1"/>
  <c r="E20" i="407" a="1"/>
  <c r="E20" i="407" s="1"/>
  <c r="E22" i="407" a="1"/>
  <c r="E22" i="407" s="1"/>
  <c r="E28" i="407" a="1"/>
  <c r="E28" i="407" s="1"/>
  <c r="E30" i="407" a="1"/>
  <c r="E30" i="407" s="1"/>
  <c r="C32" i="407"/>
  <c r="E34" i="407" a="1"/>
  <c r="E34" i="407" s="1"/>
  <c r="E41" i="407" a="1"/>
  <c r="E41" i="407" s="1"/>
  <c r="E54" i="407" a="1"/>
  <c r="E54" i="407" s="1"/>
  <c r="E57" i="407" a="1"/>
  <c r="E57" i="407" s="1"/>
  <c r="E60" i="407" a="1"/>
  <c r="E60" i="407" s="1"/>
  <c r="E71" i="407" a="1"/>
  <c r="E71" i="407" s="1"/>
  <c r="E74" i="407" a="1"/>
  <c r="E74" i="407" s="1"/>
  <c r="E83" i="407" a="1"/>
  <c r="E83" i="407" s="1"/>
  <c r="E86" i="407" a="1"/>
  <c r="E86" i="407" s="1"/>
  <c r="E91" i="407" a="1"/>
  <c r="E91" i="407" s="1"/>
  <c r="E94" i="407" a="1"/>
  <c r="E94" i="407" s="1"/>
  <c r="E99" i="407" a="1"/>
  <c r="E99" i="407" s="1"/>
  <c r="E107" i="407" a="1"/>
  <c r="E107" i="407" s="1"/>
  <c r="E118" i="407" a="1"/>
  <c r="E118" i="407" s="1"/>
  <c r="E120" i="407" a="1"/>
  <c r="E120" i="407" s="1"/>
  <c r="E131" i="407" a="1"/>
  <c r="E131" i="407" s="1"/>
  <c r="E142" i="407" a="1"/>
  <c r="E142" i="407" s="1"/>
  <c r="E155" i="407" a="1"/>
  <c r="E155" i="407" s="1"/>
  <c r="E157" i="407" a="1"/>
  <c r="E157" i="407" s="1"/>
  <c r="E162" i="407" a="1"/>
  <c r="E162" i="407" s="1"/>
  <c r="E162" i="408" a="1"/>
  <c r="E162" i="408" s="1"/>
  <c r="E159" i="408" a="1"/>
  <c r="E159" i="408" s="1"/>
  <c r="E157" i="408" a="1"/>
  <c r="E157" i="408" s="1"/>
  <c r="E142" i="408" a="1"/>
  <c r="E142" i="408" s="1"/>
  <c r="E133" i="408" a="1"/>
  <c r="E133" i="408" s="1"/>
  <c r="E125" i="408" a="1"/>
  <c r="E125" i="408" s="1"/>
  <c r="E123" i="408" a="1"/>
  <c r="E123" i="408" s="1"/>
  <c r="E120" i="408" a="1"/>
  <c r="E120" i="408" s="1"/>
  <c r="E117" i="408" a="1"/>
  <c r="E117" i="408" s="1"/>
  <c r="E115" i="408" a="1"/>
  <c r="E115" i="408" s="1"/>
  <c r="E112" i="408" a="1"/>
  <c r="E112" i="408" s="1"/>
  <c r="E109" i="408" a="1"/>
  <c r="E109" i="408" s="1"/>
  <c r="E107" i="408" a="1"/>
  <c r="E107" i="408" s="1"/>
  <c r="E104" i="408" a="1"/>
  <c r="E104" i="408" s="1"/>
  <c r="E101" i="408" a="1"/>
  <c r="E101" i="408" s="1"/>
  <c r="E99" i="408" a="1"/>
  <c r="E99" i="408" s="1"/>
  <c r="E96" i="408" a="1"/>
  <c r="E96" i="408" s="1"/>
  <c r="E93" i="408" a="1"/>
  <c r="E93" i="408" s="1"/>
  <c r="E90" i="408" a="1"/>
  <c r="E90" i="408" s="1"/>
  <c r="E85" i="408" a="1"/>
  <c r="E85" i="408" s="1"/>
  <c r="E83" i="408" a="1"/>
  <c r="E83" i="408" s="1"/>
  <c r="E80" i="408" a="1"/>
  <c r="E80" i="408" s="1"/>
  <c r="E71" i="408" a="1"/>
  <c r="E71" i="408" s="1"/>
  <c r="E68" i="408" a="1"/>
  <c r="E68" i="408" s="1"/>
  <c r="E66" i="408" a="1"/>
  <c r="E66" i="408" s="1"/>
  <c r="E18" i="408" a="1"/>
  <c r="E18" i="408" s="1"/>
  <c r="E28" i="408" a="1"/>
  <c r="E28" i="408" s="1"/>
  <c r="C29" i="408"/>
  <c r="C27" i="408"/>
  <c r="E33" i="408" a="1"/>
  <c r="E33" i="408" s="1"/>
  <c r="C32" i="408"/>
  <c r="E37" i="408" a="1"/>
  <c r="E37" i="408" s="1"/>
  <c r="E39" i="408" a="1"/>
  <c r="E39" i="408" s="1"/>
  <c r="E42" i="408" a="1"/>
  <c r="E42" i="408" s="1"/>
  <c r="E52" i="408" a="1"/>
  <c r="E52" i="408" s="1"/>
  <c r="E57" i="408" a="1"/>
  <c r="E57" i="408" s="1"/>
  <c r="E60" i="408" a="1"/>
  <c r="E60" i="408" s="1"/>
  <c r="E65" i="408" a="1"/>
  <c r="E65" i="408" s="1"/>
  <c r="E67" i="408" a="1"/>
  <c r="E67" i="408" s="1"/>
  <c r="E69" i="408" a="1"/>
  <c r="E69" i="408" s="1"/>
  <c r="E73" i="408" a="1"/>
  <c r="E73" i="408" s="1"/>
  <c r="E81" i="408" a="1"/>
  <c r="E81" i="408" s="1"/>
  <c r="E87" i="408" a="1"/>
  <c r="E87" i="408" s="1"/>
  <c r="E92" i="408" a="1"/>
  <c r="E92" i="408" s="1"/>
  <c r="E130" i="408" a="1"/>
  <c r="E130" i="408" s="1"/>
  <c r="E132" i="408" a="1"/>
  <c r="E132" i="408" s="1"/>
  <c r="E137" i="408" a="1"/>
  <c r="E137" i="408" s="1"/>
  <c r="E143" i="408" a="1"/>
  <c r="E143" i="408" s="1"/>
  <c r="E161" i="408" a="1"/>
  <c r="E161" i="408" s="1"/>
  <c r="E163" i="408" a="1"/>
  <c r="E163" i="408" s="1"/>
  <c r="E175" i="408" a="1"/>
  <c r="E175" i="408" s="1"/>
  <c r="C11" i="360"/>
  <c r="C9" i="360"/>
  <c r="E10" i="389" a="1"/>
  <c r="E10" i="389" s="1"/>
  <c r="E22" i="389" a="1"/>
  <c r="E22" i="389" s="1"/>
  <c r="E26" i="389" a="1"/>
  <c r="E26" i="389" s="1"/>
  <c r="E31" i="389" a="1"/>
  <c r="E31" i="389" s="1"/>
  <c r="E38" i="389" a="1"/>
  <c r="E38" i="389" s="1"/>
  <c r="E41" i="389" a="1"/>
  <c r="E41" i="389" s="1"/>
  <c r="E54" i="389" a="1"/>
  <c r="E54" i="389" s="1"/>
  <c r="E57" i="389" a="1"/>
  <c r="E57" i="389" s="1"/>
  <c r="E60" i="389" a="1"/>
  <c r="E60" i="389" s="1"/>
  <c r="E62" i="389" a="1"/>
  <c r="E62" i="389" s="1"/>
  <c r="E70" i="389" a="1"/>
  <c r="E70" i="389" s="1"/>
  <c r="E73" i="389" a="1"/>
  <c r="E73" i="389" s="1"/>
  <c r="E80" i="389" a="1"/>
  <c r="E80" i="389" s="1"/>
  <c r="E85" i="389" a="1"/>
  <c r="E85" i="389" s="1"/>
  <c r="E88" i="389" a="1"/>
  <c r="E88" i="389" s="1"/>
  <c r="E93" i="389" a="1"/>
  <c r="E93" i="389" s="1"/>
  <c r="E98" i="389" a="1"/>
  <c r="E98" i="389" s="1"/>
  <c r="E101" i="389" a="1"/>
  <c r="E101" i="389" s="1"/>
  <c r="E109" i="389" a="1"/>
  <c r="E109" i="389" s="1"/>
  <c r="E112" i="389" a="1"/>
  <c r="E112" i="389" s="1"/>
  <c r="E114" i="389" a="1"/>
  <c r="E114" i="389" s="1"/>
  <c r="E117" i="389" a="1"/>
  <c r="E117" i="389" s="1"/>
  <c r="E122" i="389" a="1"/>
  <c r="E122" i="389" s="1"/>
  <c r="E127" i="389" a="1"/>
  <c r="E127" i="389" s="1"/>
  <c r="E130" i="389" a="1"/>
  <c r="E130" i="389" s="1"/>
  <c r="E132" i="389" a="1"/>
  <c r="E132" i="389" s="1"/>
  <c r="E135" i="389" a="1"/>
  <c r="E135" i="389" s="1"/>
  <c r="E141" i="389" a="1"/>
  <c r="E141" i="389" s="1"/>
  <c r="E159" i="389" a="1"/>
  <c r="E159" i="389" s="1"/>
  <c r="E162" i="389" a="1"/>
  <c r="E162" i="389" s="1"/>
  <c r="G162" i="389" s="1"/>
  <c r="E12" i="407" a="1"/>
  <c r="E12" i="407" s="1"/>
  <c r="C11" i="407"/>
  <c r="E16" i="407" a="1"/>
  <c r="E16" i="407" s="1"/>
  <c r="E33" i="407" a="1"/>
  <c r="E33" i="407" s="1"/>
  <c r="E38" i="407" a="1"/>
  <c r="E38" i="407" s="1"/>
  <c r="E40" i="407" a="1"/>
  <c r="E40" i="407" s="1"/>
  <c r="E43" i="407" a="1"/>
  <c r="E43" i="407" s="1"/>
  <c r="E53" i="407" a="1"/>
  <c r="E53" i="407" s="1"/>
  <c r="E56" i="407" a="1"/>
  <c r="E56" i="407" s="1"/>
  <c r="E59" i="407" a="1"/>
  <c r="E59" i="407" s="1"/>
  <c r="E62" i="407" a="1"/>
  <c r="E62" i="407" s="1"/>
  <c r="E65" i="407" a="1"/>
  <c r="E65" i="407" s="1"/>
  <c r="E68" i="407" a="1"/>
  <c r="E68" i="407" s="1"/>
  <c r="E73" i="407" a="1"/>
  <c r="E73" i="407" s="1"/>
  <c r="C78" i="407"/>
  <c r="C77" i="407" s="1"/>
  <c r="E80" i="407" a="1"/>
  <c r="E80" i="407" s="1"/>
  <c r="E85" i="407" a="1"/>
  <c r="E85" i="407" s="1"/>
  <c r="E88" i="407" a="1"/>
  <c r="E88" i="407" s="1"/>
  <c r="E93" i="407" a="1"/>
  <c r="E93" i="407" s="1"/>
  <c r="E96" i="407" a="1"/>
  <c r="E96" i="407" s="1"/>
  <c r="E98" i="407" a="1"/>
  <c r="E98" i="407" s="1"/>
  <c r="E101" i="407" a="1"/>
  <c r="E101" i="407" s="1"/>
  <c r="E104" i="407" a="1"/>
  <c r="E104" i="407" s="1"/>
  <c r="E106" i="407" a="1"/>
  <c r="E106" i="407" s="1"/>
  <c r="E109" i="407" a="1"/>
  <c r="E109" i="407" s="1"/>
  <c r="E112" i="407" a="1"/>
  <c r="E112" i="407" s="1"/>
  <c r="E115" i="407" a="1"/>
  <c r="E115" i="407" s="1"/>
  <c r="E117" i="407" a="1"/>
  <c r="E117" i="407" s="1"/>
  <c r="E122" i="407" a="1"/>
  <c r="E122" i="407" s="1"/>
  <c r="E125" i="407" a="1"/>
  <c r="E125" i="407" s="1"/>
  <c r="E128" i="407" a="1"/>
  <c r="E128" i="407" s="1"/>
  <c r="E130" i="407" a="1"/>
  <c r="E130" i="407" s="1"/>
  <c r="E133" i="407" a="1"/>
  <c r="E133" i="407" s="1"/>
  <c r="E136" i="407" a="1"/>
  <c r="E136" i="407" s="1"/>
  <c r="E159" i="407" a="1"/>
  <c r="E159" i="407" s="1"/>
  <c r="E12" i="408" a="1"/>
  <c r="E12" i="408" s="1"/>
  <c r="E14" i="408" a="1"/>
  <c r="E14" i="408" s="1"/>
  <c r="E17" i="408" a="1"/>
  <c r="E17" i="408" s="1"/>
  <c r="E22" i="408" a="1"/>
  <c r="E22" i="408" s="1"/>
  <c r="E31" i="408" a="1"/>
  <c r="E31" i="408" s="1"/>
  <c r="E35" i="408" a="1"/>
  <c r="E35" i="408" s="1"/>
  <c r="E44" i="408" a="1"/>
  <c r="E44" i="408" s="1"/>
  <c r="E54" i="408" a="1"/>
  <c r="E54" i="408" s="1"/>
  <c r="E59" i="408" a="1"/>
  <c r="E59" i="408" s="1"/>
  <c r="E62" i="408" a="1"/>
  <c r="E62" i="408" s="1"/>
  <c r="E79" i="408" a="1"/>
  <c r="E79" i="408" s="1"/>
  <c r="E89" i="408" a="1"/>
  <c r="E89" i="408" s="1"/>
  <c r="E91" i="408" a="1"/>
  <c r="E91" i="408" s="1"/>
  <c r="E95" i="408" a="1"/>
  <c r="E95" i="408" s="1"/>
  <c r="E97" i="408" a="1"/>
  <c r="E97" i="408" s="1"/>
  <c r="E105" i="408" a="1"/>
  <c r="E105" i="408" s="1"/>
  <c r="E113" i="408" a="1"/>
  <c r="E113" i="408" s="1"/>
  <c r="E121" i="408" a="1"/>
  <c r="E121" i="408" s="1"/>
  <c r="E127" i="408" a="1"/>
  <c r="E127" i="408" s="1"/>
  <c r="E134" i="408" a="1"/>
  <c r="E134" i="408" s="1"/>
  <c r="E136" i="408" a="1"/>
  <c r="E136" i="408" s="1"/>
  <c r="E140" i="408" a="1"/>
  <c r="E140" i="408" s="1"/>
  <c r="E156" i="408" a="1"/>
  <c r="E156" i="408" s="1"/>
  <c r="E158" i="408" a="1"/>
  <c r="E158" i="408" s="1"/>
  <c r="E160" i="408" a="1"/>
  <c r="E160" i="408" s="1"/>
  <c r="C78" i="396"/>
  <c r="C77" i="396" s="1"/>
  <c r="C76" i="396" s="1"/>
  <c r="C19" i="398"/>
  <c r="C21" i="360"/>
  <c r="C19" i="360" s="1"/>
  <c r="C32" i="360"/>
  <c r="C36" i="360"/>
  <c r="E13" i="389" a="1"/>
  <c r="E13" i="389" s="1"/>
  <c r="E17" i="389" a="1"/>
  <c r="E17" i="389" s="1"/>
  <c r="E34" i="389" a="1"/>
  <c r="E34" i="389" s="1"/>
  <c r="E37" i="389" a="1"/>
  <c r="E37" i="389" s="1"/>
  <c r="E40" i="389" a="1"/>
  <c r="E40" i="389" s="1"/>
  <c r="E43" i="389" a="1"/>
  <c r="E43" i="389" s="1"/>
  <c r="E53" i="389" a="1"/>
  <c r="E53" i="389" s="1"/>
  <c r="E56" i="389" a="1"/>
  <c r="E56" i="389" s="1"/>
  <c r="E59" i="389" a="1"/>
  <c r="E59" i="389" s="1"/>
  <c r="E64" i="389" a="1"/>
  <c r="E64" i="389" s="1"/>
  <c r="E67" i="389" a="1"/>
  <c r="E67" i="389" s="1"/>
  <c r="E72" i="389" a="1"/>
  <c r="E72" i="389" s="1"/>
  <c r="E82" i="389" a="1"/>
  <c r="E82" i="389" s="1"/>
  <c r="E87" i="389" a="1"/>
  <c r="E87" i="389" s="1"/>
  <c r="E90" i="389" a="1"/>
  <c r="E90" i="389" s="1"/>
  <c r="E92" i="389" a="1"/>
  <c r="E92" i="389" s="1"/>
  <c r="E95" i="389" a="1"/>
  <c r="E95" i="389" s="1"/>
  <c r="E97" i="389" a="1"/>
  <c r="E97" i="389" s="1"/>
  <c r="E100" i="389" a="1"/>
  <c r="E100" i="389" s="1"/>
  <c r="E103" i="389" a="1"/>
  <c r="E103" i="389" s="1"/>
  <c r="E106" i="389" a="1"/>
  <c r="E106" i="389" s="1"/>
  <c r="E108" i="389" a="1"/>
  <c r="E108" i="389" s="1"/>
  <c r="E111" i="389" a="1"/>
  <c r="E111" i="389" s="1"/>
  <c r="E119" i="389" a="1"/>
  <c r="E119" i="389" s="1"/>
  <c r="E121" i="389" a="1"/>
  <c r="E121" i="389" s="1"/>
  <c r="E124" i="389" a="1"/>
  <c r="E124" i="389" s="1"/>
  <c r="E129" i="389" a="1"/>
  <c r="E129" i="389" s="1"/>
  <c r="E137" i="389" a="1"/>
  <c r="E137" i="389" s="1"/>
  <c r="E145" i="389" a="1"/>
  <c r="E145" i="389" s="1"/>
  <c r="E156" i="389" a="1"/>
  <c r="E156" i="389" s="1"/>
  <c r="E161" i="389" a="1"/>
  <c r="E161" i="389" s="1"/>
  <c r="E10" i="407" a="1"/>
  <c r="E10" i="407" s="1"/>
  <c r="E14" i="407" a="1"/>
  <c r="E14" i="407" s="1"/>
  <c r="C15" i="407"/>
  <c r="E18" i="407" a="1"/>
  <c r="E18" i="407" s="1"/>
  <c r="E26" i="407" a="1"/>
  <c r="E26" i="407" s="1"/>
  <c r="E37" i="407" a="1"/>
  <c r="E37" i="407" s="1"/>
  <c r="E45" i="407" a="1"/>
  <c r="E45" i="407" s="1"/>
  <c r="E58" i="407" a="1"/>
  <c r="E58" i="407" s="1"/>
  <c r="E61" i="407" a="1"/>
  <c r="E61" i="407" s="1"/>
  <c r="E64" i="407" a="1"/>
  <c r="E64" i="407" s="1"/>
  <c r="E67" i="407" a="1"/>
  <c r="E67" i="407" s="1"/>
  <c r="E70" i="407" a="1"/>
  <c r="E70" i="407" s="1"/>
  <c r="E79" i="407" a="1"/>
  <c r="E79" i="407" s="1"/>
  <c r="E82" i="407" a="1"/>
  <c r="E82" i="407" s="1"/>
  <c r="E84" i="407" a="1"/>
  <c r="E84" i="407" s="1"/>
  <c r="E87" i="407" a="1"/>
  <c r="E87" i="407" s="1"/>
  <c r="E90" i="407" a="1"/>
  <c r="E90" i="407" s="1"/>
  <c r="E92" i="407" a="1"/>
  <c r="E92" i="407" s="1"/>
  <c r="E95" i="407" a="1"/>
  <c r="E95" i="407" s="1"/>
  <c r="E103" i="407" a="1"/>
  <c r="E103" i="407" s="1"/>
  <c r="E111" i="407" a="1"/>
  <c r="E111" i="407" s="1"/>
  <c r="E114" i="407" a="1"/>
  <c r="E114" i="407" s="1"/>
  <c r="E119" i="407" a="1"/>
  <c r="E119" i="407" s="1"/>
  <c r="E124" i="407" a="1"/>
  <c r="E124" i="407" s="1"/>
  <c r="E127" i="407" a="1"/>
  <c r="E127" i="407" s="1"/>
  <c r="E135" i="407" a="1"/>
  <c r="E135" i="407" s="1"/>
  <c r="E141" i="407" a="1"/>
  <c r="E141" i="407" s="1"/>
  <c r="E143" i="407" a="1"/>
  <c r="E143" i="407" s="1"/>
  <c r="E145" i="407" a="1"/>
  <c r="E145" i="407" s="1"/>
  <c r="E156" i="407" a="1"/>
  <c r="E156" i="407" s="1"/>
  <c r="E161" i="407" a="1"/>
  <c r="E161" i="407" s="1"/>
  <c r="E10" i="408" a="1"/>
  <c r="E10" i="408" s="1"/>
  <c r="C11" i="408"/>
  <c r="C15" i="408"/>
  <c r="E20" i="408" a="1"/>
  <c r="E20" i="408" s="1"/>
  <c r="C21" i="408"/>
  <c r="E26" i="408" a="1"/>
  <c r="E26" i="408" s="1"/>
  <c r="E38" i="408" a="1"/>
  <c r="E38" i="408" s="1"/>
  <c r="E41" i="408" a="1"/>
  <c r="E41" i="408" s="1"/>
  <c r="E43" i="408" a="1"/>
  <c r="E43" i="408" s="1"/>
  <c r="E53" i="408" a="1"/>
  <c r="E53" i="408" s="1"/>
  <c r="E56" i="408" a="1"/>
  <c r="E56" i="408" s="1"/>
  <c r="E58" i="408" a="1"/>
  <c r="E58" i="408" s="1"/>
  <c r="E61" i="408" a="1"/>
  <c r="E61" i="408" s="1"/>
  <c r="E64" i="408" a="1"/>
  <c r="E64" i="408" s="1"/>
  <c r="E70" i="408" a="1"/>
  <c r="E70" i="408" s="1"/>
  <c r="E72" i="408" a="1"/>
  <c r="E72" i="408" s="1"/>
  <c r="E74" i="408" a="1"/>
  <c r="E74" i="408" s="1"/>
  <c r="E82" i="408" a="1"/>
  <c r="E82" i="408" s="1"/>
  <c r="E84" i="408" a="1"/>
  <c r="E84" i="408" s="1"/>
  <c r="E86" i="408" a="1"/>
  <c r="E86" i="408" s="1"/>
  <c r="E88" i="408" a="1"/>
  <c r="E88" i="408" s="1"/>
  <c r="E103" i="408" a="1"/>
  <c r="E103" i="408" s="1"/>
  <c r="E111" i="408" a="1"/>
  <c r="E111" i="408" s="1"/>
  <c r="E119" i="408" a="1"/>
  <c r="E119" i="408" s="1"/>
  <c r="E129" i="408" a="1"/>
  <c r="E129" i="408" s="1"/>
  <c r="E131" i="408" a="1"/>
  <c r="E131" i="408" s="1"/>
  <c r="E145" i="408" a="1"/>
  <c r="E145" i="408" s="1"/>
  <c r="E144" i="408" s="1"/>
  <c r="C164" i="408"/>
  <c r="C11" i="392"/>
  <c r="C9" i="392" s="1"/>
  <c r="C15" i="389"/>
  <c r="E58" i="389" a="1"/>
  <c r="E58" i="389" s="1"/>
  <c r="E61" i="389" a="1"/>
  <c r="E61" i="389" s="1"/>
  <c r="E66" i="389" a="1"/>
  <c r="E66" i="389" s="1"/>
  <c r="E69" i="389" a="1"/>
  <c r="E69" i="389" s="1"/>
  <c r="E79" i="389" a="1"/>
  <c r="E79" i="389" s="1"/>
  <c r="E81" i="389" a="1"/>
  <c r="E81" i="389" s="1"/>
  <c r="E84" i="389" a="1"/>
  <c r="E84" i="389" s="1"/>
  <c r="E89" i="389" a="1"/>
  <c r="E89" i="389" s="1"/>
  <c r="E94" i="389" a="1"/>
  <c r="E94" i="389" s="1"/>
  <c r="E105" i="389" a="1"/>
  <c r="E105" i="389" s="1"/>
  <c r="E113" i="389" a="1"/>
  <c r="E113" i="389" s="1"/>
  <c r="E116" i="389" a="1"/>
  <c r="E116" i="389" s="1"/>
  <c r="E118" i="389" a="1"/>
  <c r="E118" i="389" s="1"/>
  <c r="E126" i="389" a="1"/>
  <c r="E126" i="389" s="1"/>
  <c r="E128" i="389" a="1"/>
  <c r="E128" i="389" s="1"/>
  <c r="E131" i="389" a="1"/>
  <c r="E131" i="389" s="1"/>
  <c r="E134" i="389" a="1"/>
  <c r="E134" i="389" s="1"/>
  <c r="E136" i="389" a="1"/>
  <c r="E136" i="389" s="1"/>
  <c r="E140" i="389" a="1"/>
  <c r="E140" i="389" s="1"/>
  <c r="E143" i="389" a="1"/>
  <c r="E143" i="389" s="1"/>
  <c r="E158" i="389" a="1"/>
  <c r="E158" i="389" s="1"/>
  <c r="E160" i="389" a="1"/>
  <c r="E160" i="389" s="1"/>
  <c r="E163" i="389" a="1"/>
  <c r="E163" i="389" s="1"/>
  <c r="E17" i="407" a="1"/>
  <c r="E17" i="407" s="1"/>
  <c r="C19" i="407"/>
  <c r="E23" i="407" a="1"/>
  <c r="E23" i="407" s="1"/>
  <c r="C27" i="407"/>
  <c r="E31" i="407" a="1"/>
  <c r="E31" i="407" s="1"/>
  <c r="E35" i="407" a="1"/>
  <c r="E35" i="407" s="1"/>
  <c r="E39" i="407" a="1"/>
  <c r="E39" i="407" s="1"/>
  <c r="E42" i="407" a="1"/>
  <c r="E42" i="407" s="1"/>
  <c r="E44" i="407" a="1"/>
  <c r="E44" i="407" s="1"/>
  <c r="E52" i="407" a="1"/>
  <c r="E52" i="407" s="1"/>
  <c r="E55" i="407" a="1"/>
  <c r="E55" i="407" s="1"/>
  <c r="E63" i="407" a="1"/>
  <c r="E63" i="407" s="1"/>
  <c r="E66" i="407" a="1"/>
  <c r="E66" i="407" s="1"/>
  <c r="E69" i="407" a="1"/>
  <c r="E69" i="407" s="1"/>
  <c r="E72" i="407" a="1"/>
  <c r="E72" i="407" s="1"/>
  <c r="E81" i="407" a="1"/>
  <c r="E81" i="407" s="1"/>
  <c r="E89" i="407" a="1"/>
  <c r="E89" i="407" s="1"/>
  <c r="E97" i="407" a="1"/>
  <c r="E97" i="407" s="1"/>
  <c r="E100" i="407" a="1"/>
  <c r="E100" i="407" s="1"/>
  <c r="E102" i="407" a="1"/>
  <c r="E102" i="407" s="1"/>
  <c r="E105" i="407" a="1"/>
  <c r="E105" i="407" s="1"/>
  <c r="E108" i="407" a="1"/>
  <c r="E108" i="407" s="1"/>
  <c r="E110" i="407" a="1"/>
  <c r="E110" i="407" s="1"/>
  <c r="E113" i="407" a="1"/>
  <c r="E113" i="407" s="1"/>
  <c r="E116" i="407" a="1"/>
  <c r="E116" i="407" s="1"/>
  <c r="E121" i="407" a="1"/>
  <c r="E121" i="407" s="1"/>
  <c r="E123" i="407" a="1"/>
  <c r="E123" i="407" s="1"/>
  <c r="E126" i="407" a="1"/>
  <c r="E126" i="407" s="1"/>
  <c r="E129" i="407" a="1"/>
  <c r="E129" i="407" s="1"/>
  <c r="E132" i="407" a="1"/>
  <c r="E132" i="407" s="1"/>
  <c r="E134" i="407" a="1"/>
  <c r="E134" i="407" s="1"/>
  <c r="E137" i="407" a="1"/>
  <c r="E137" i="407" s="1"/>
  <c r="E140" i="407" a="1"/>
  <c r="E140" i="407" s="1"/>
  <c r="E158" i="407" a="1"/>
  <c r="E158" i="407" s="1"/>
  <c r="E160" i="407" a="1"/>
  <c r="E160" i="407" s="1"/>
  <c r="E163" i="407" a="1"/>
  <c r="E163" i="407" s="1"/>
  <c r="E13" i="408" a="1"/>
  <c r="E13" i="408" s="1"/>
  <c r="E16" i="408" a="1"/>
  <c r="E16" i="408" s="1"/>
  <c r="E23" i="408" a="1"/>
  <c r="E23" i="408" s="1"/>
  <c r="E30" i="408" a="1"/>
  <c r="E30" i="408" s="1"/>
  <c r="E34" i="408" a="1"/>
  <c r="E34" i="408" s="1"/>
  <c r="E40" i="408" a="1"/>
  <c r="E40" i="408" s="1"/>
  <c r="E45" i="408" a="1"/>
  <c r="E45" i="408" s="1"/>
  <c r="E55" i="408" a="1"/>
  <c r="E55" i="408" s="1"/>
  <c r="E63" i="408" a="1"/>
  <c r="E63" i="408" s="1"/>
  <c r="E94" i="408" a="1"/>
  <c r="E94" i="408" s="1"/>
  <c r="E98" i="408" a="1"/>
  <c r="E98" i="408" s="1"/>
  <c r="E100" i="408" a="1"/>
  <c r="E100" i="408" s="1"/>
  <c r="E102" i="408" a="1"/>
  <c r="E102" i="408" s="1"/>
  <c r="E106" i="408" a="1"/>
  <c r="E106" i="408" s="1"/>
  <c r="E108" i="408" a="1"/>
  <c r="E108" i="408" s="1"/>
  <c r="E110" i="408" a="1"/>
  <c r="E110" i="408" s="1"/>
  <c r="E114" i="408" a="1"/>
  <c r="E114" i="408" s="1"/>
  <c r="E116" i="408" a="1"/>
  <c r="E116" i="408" s="1"/>
  <c r="E118" i="408" a="1"/>
  <c r="E118" i="408" s="1"/>
  <c r="E122" i="408" a="1"/>
  <c r="E122" i="408" s="1"/>
  <c r="E124" i="408" a="1"/>
  <c r="E124" i="408" s="1"/>
  <c r="E126" i="408" a="1"/>
  <c r="E126" i="408" s="1"/>
  <c r="E128" i="408" a="1"/>
  <c r="E128" i="408" s="1"/>
  <c r="E135" i="408" a="1"/>
  <c r="E135" i="408" s="1"/>
  <c r="E141" i="408" a="1"/>
  <c r="E141" i="408" s="1"/>
  <c r="E155" i="408" a="1"/>
  <c r="E155" i="408" s="1"/>
  <c r="C15" i="392"/>
  <c r="C27" i="392"/>
  <c r="C164" i="392"/>
  <c r="C32" i="398"/>
  <c r="C9" i="395"/>
  <c r="C19" i="395"/>
  <c r="E16" i="396" a="1"/>
  <c r="E16" i="396" s="1"/>
  <c r="E20" i="396" a="1"/>
  <c r="E20" i="396" s="1"/>
  <c r="E22" i="396" a="1"/>
  <c r="E22" i="396" s="1"/>
  <c r="E33" i="396" a="1"/>
  <c r="E33" i="396" s="1"/>
  <c r="E39" i="396" a="1"/>
  <c r="E39" i="396" s="1"/>
  <c r="E42" i="396" a="1"/>
  <c r="E42" i="396" s="1"/>
  <c r="E52" i="396" a="1"/>
  <c r="E52" i="396" s="1"/>
  <c r="E55" i="396" a="1"/>
  <c r="E55" i="396" s="1"/>
  <c r="E57" i="396" a="1"/>
  <c r="E57" i="396" s="1"/>
  <c r="E60" i="396" a="1"/>
  <c r="E60" i="396" s="1"/>
  <c r="E65" i="396" a="1"/>
  <c r="E65" i="396" s="1"/>
  <c r="E68" i="396" a="1"/>
  <c r="E68" i="396" s="1"/>
  <c r="E70" i="396" a="1"/>
  <c r="E70" i="396" s="1"/>
  <c r="E79" i="396" a="1"/>
  <c r="E79" i="396" s="1"/>
  <c r="E82" i="396" a="1"/>
  <c r="E82" i="396" s="1"/>
  <c r="E92" i="396" a="1"/>
  <c r="E92" i="396" s="1"/>
  <c r="E97" i="396" a="1"/>
  <c r="E97" i="396" s="1"/>
  <c r="E102" i="396" a="1"/>
  <c r="E102" i="396" s="1"/>
  <c r="E105" i="396" a="1"/>
  <c r="E105" i="396" s="1"/>
  <c r="E108" i="396" a="1"/>
  <c r="E108" i="396" s="1"/>
  <c r="E111" i="396" a="1"/>
  <c r="E111" i="396" s="1"/>
  <c r="E114" i="396" a="1"/>
  <c r="E114" i="396" s="1"/>
  <c r="E117" i="396" a="1"/>
  <c r="E117" i="396" s="1"/>
  <c r="E122" i="396" a="1"/>
  <c r="E122" i="396" s="1"/>
  <c r="E127" i="396" a="1"/>
  <c r="E127" i="396" s="1"/>
  <c r="E130" i="396" a="1"/>
  <c r="E130" i="396" s="1"/>
  <c r="E132" i="396" a="1"/>
  <c r="E132" i="396" s="1"/>
  <c r="E135" i="396" a="1"/>
  <c r="E135" i="396" s="1"/>
  <c r="E157" i="396" a="1"/>
  <c r="E157" i="396" s="1"/>
  <c r="E163" i="396" a="1"/>
  <c r="E163" i="396" s="1"/>
  <c r="C21" i="397"/>
  <c r="C32" i="397"/>
  <c r="C51" i="397"/>
  <c r="C50" i="397" s="1"/>
  <c r="E160" i="397" a="1"/>
  <c r="E160" i="397" s="1"/>
  <c r="E163" i="397" a="1"/>
  <c r="E163" i="397" s="1"/>
  <c r="C21" i="393"/>
  <c r="C19" i="393" s="1"/>
  <c r="C24" i="393" s="1"/>
  <c r="C48" i="393" s="1"/>
  <c r="E115" i="393" a="1"/>
  <c r="E115" i="393" s="1"/>
  <c r="E118" i="393" a="1"/>
  <c r="E118" i="393" s="1"/>
  <c r="E121" i="393" a="1"/>
  <c r="E121" i="393" s="1"/>
  <c r="E124" i="393" a="1"/>
  <c r="E124" i="393" s="1"/>
  <c r="E132" i="393" a="1"/>
  <c r="E132" i="393" s="1"/>
  <c r="E135" i="393" a="1"/>
  <c r="E135" i="393" s="1"/>
  <c r="E141" i="393" a="1"/>
  <c r="E141" i="393" s="1"/>
  <c r="C164" i="393"/>
  <c r="E160" i="393" a="1"/>
  <c r="E160" i="393" s="1"/>
  <c r="E163" i="393" a="1"/>
  <c r="E163" i="393" s="1"/>
  <c r="E58" i="398" a="1"/>
  <c r="E58" i="398" s="1"/>
  <c r="E61" i="398" a="1"/>
  <c r="E61" i="398" s="1"/>
  <c r="E63" i="398" a="1"/>
  <c r="E63" i="398" s="1"/>
  <c r="E66" i="398" a="1"/>
  <c r="E66" i="398" s="1"/>
  <c r="E70" i="398" a="1"/>
  <c r="E70" i="398" s="1"/>
  <c r="E73" i="398" a="1"/>
  <c r="E73" i="398" s="1"/>
  <c r="E82" i="398" a="1"/>
  <c r="E82" i="398" s="1"/>
  <c r="E85" i="398" a="1"/>
  <c r="E85" i="398" s="1"/>
  <c r="E90" i="398" a="1"/>
  <c r="E90" i="398" s="1"/>
  <c r="E92" i="398" a="1"/>
  <c r="E92" i="398" s="1"/>
  <c r="E97" i="398" a="1"/>
  <c r="E97" i="398" s="1"/>
  <c r="E102" i="398" a="1"/>
  <c r="E102" i="398" s="1"/>
  <c r="E108" i="398" a="1"/>
  <c r="E108" i="398" s="1"/>
  <c r="E113" i="398" a="1"/>
  <c r="E113" i="398" s="1"/>
  <c r="E118" i="398" a="1"/>
  <c r="E118" i="398" s="1"/>
  <c r="E124" i="398" a="1"/>
  <c r="E124" i="398" s="1"/>
  <c r="E128" i="398" a="1"/>
  <c r="E128" i="398" s="1"/>
  <c r="E130" i="398" a="1"/>
  <c r="E130" i="398" s="1"/>
  <c r="E133" i="398" a="1"/>
  <c r="E133" i="398" s="1"/>
  <c r="E135" i="398" a="1"/>
  <c r="E135" i="398" s="1"/>
  <c r="E155" i="398" a="1"/>
  <c r="E155" i="398" s="1"/>
  <c r="E158" i="398" a="1"/>
  <c r="E158" i="398" s="1"/>
  <c r="E161" i="398" a="1"/>
  <c r="E161" i="398" s="1"/>
  <c r="E163" i="398" a="1"/>
  <c r="E163" i="398" s="1"/>
  <c r="C29" i="399"/>
  <c r="E40" i="399" a="1"/>
  <c r="E40" i="399" s="1"/>
  <c r="E42" i="399" a="1"/>
  <c r="E42" i="399" s="1"/>
  <c r="E45" i="399" a="1"/>
  <c r="E45" i="399" s="1"/>
  <c r="E53" i="399" a="1"/>
  <c r="E53" i="399" s="1"/>
  <c r="E58" i="399" a="1"/>
  <c r="E58" i="399" s="1"/>
  <c r="E60" i="399" a="1"/>
  <c r="E60" i="399" s="1"/>
  <c r="E67" i="399" a="1"/>
  <c r="E67" i="399" s="1"/>
  <c r="E70" i="399" a="1"/>
  <c r="E70" i="399" s="1"/>
  <c r="E72" i="399" a="1"/>
  <c r="E72" i="399" s="1"/>
  <c r="E100" i="399" a="1"/>
  <c r="E100" i="399" s="1"/>
  <c r="E117" i="399" a="1"/>
  <c r="E117" i="399" s="1"/>
  <c r="E119" i="399" a="1"/>
  <c r="E119" i="399" s="1"/>
  <c r="E123" i="399" a="1"/>
  <c r="E123" i="399" s="1"/>
  <c r="E125" i="399" a="1"/>
  <c r="E125" i="399" s="1"/>
  <c r="E127" i="399" a="1"/>
  <c r="E127" i="399" s="1"/>
  <c r="E141" i="399" a="1"/>
  <c r="E141" i="399" s="1"/>
  <c r="E156" i="399" a="1"/>
  <c r="E156" i="399" s="1"/>
  <c r="E160" i="399" a="1"/>
  <c r="E160" i="399" s="1"/>
  <c r="E14" i="396" a="1"/>
  <c r="E14" i="396" s="1"/>
  <c r="C15" i="396"/>
  <c r="E18" i="396" a="1"/>
  <c r="E18" i="396" s="1"/>
  <c r="E28" i="396" a="1"/>
  <c r="E28" i="396" s="1"/>
  <c r="E35" i="396" a="1"/>
  <c r="E35" i="396" s="1"/>
  <c r="E41" i="396" a="1"/>
  <c r="E41" i="396" s="1"/>
  <c r="E44" i="396" a="1"/>
  <c r="E44" i="396" s="1"/>
  <c r="C51" i="396"/>
  <c r="C50" i="396"/>
  <c r="E54" i="396" a="1"/>
  <c r="E54" i="396" s="1"/>
  <c r="E59" i="396" a="1"/>
  <c r="E59" i="396" s="1"/>
  <c r="E62" i="396" a="1"/>
  <c r="E62" i="396" s="1"/>
  <c r="E64" i="396" a="1"/>
  <c r="E64" i="396" s="1"/>
  <c r="E67" i="396" a="1"/>
  <c r="E67" i="396" s="1"/>
  <c r="E72" i="396" a="1"/>
  <c r="E72" i="396" s="1"/>
  <c r="E84" i="396" a="1"/>
  <c r="E84" i="396" s="1"/>
  <c r="E86" i="396" a="1"/>
  <c r="E86" i="396" s="1"/>
  <c r="E89" i="396" a="1"/>
  <c r="E89" i="396" s="1"/>
  <c r="E94" i="396" a="1"/>
  <c r="E94" i="396" s="1"/>
  <c r="E96" i="396" a="1"/>
  <c r="E96" i="396" s="1"/>
  <c r="E99" i="396" a="1"/>
  <c r="E99" i="396" s="1"/>
  <c r="E101" i="396" a="1"/>
  <c r="E101" i="396" s="1"/>
  <c r="E104" i="396" a="1"/>
  <c r="E104" i="396" s="1"/>
  <c r="E107" i="396" a="1"/>
  <c r="E107" i="396" s="1"/>
  <c r="E113" i="396" a="1"/>
  <c r="E113" i="396" s="1"/>
  <c r="E119" i="396" a="1"/>
  <c r="E119" i="396" s="1"/>
  <c r="E124" i="396" a="1"/>
  <c r="E124" i="396" s="1"/>
  <c r="E129" i="396" a="1"/>
  <c r="E129" i="396" s="1"/>
  <c r="E137" i="396" a="1"/>
  <c r="E137" i="396" s="1"/>
  <c r="E141" i="396" a="1"/>
  <c r="E141" i="396" s="1"/>
  <c r="E145" i="396" a="1"/>
  <c r="E145" i="396" s="1"/>
  <c r="E144" i="396" s="1"/>
  <c r="E156" i="396" a="1"/>
  <c r="E156" i="396" s="1"/>
  <c r="C164" i="396"/>
  <c r="E159" i="396" a="1"/>
  <c r="E159" i="396" s="1"/>
  <c r="E162" i="396" a="1"/>
  <c r="E162" i="396" s="1"/>
  <c r="C32" i="393"/>
  <c r="E83" i="393" a="1"/>
  <c r="E83" i="393" s="1"/>
  <c r="E86" i="393" a="1"/>
  <c r="E86" i="393" s="1"/>
  <c r="E94" i="393" a="1"/>
  <c r="E94" i="393" s="1"/>
  <c r="E97" i="393" a="1"/>
  <c r="E97" i="393" s="1"/>
  <c r="E100" i="393" a="1"/>
  <c r="E100" i="393" s="1"/>
  <c r="E106" i="393" a="1"/>
  <c r="E106" i="393" s="1"/>
  <c r="E109" i="393" a="1"/>
  <c r="E109" i="393" s="1"/>
  <c r="E117" i="393" a="1"/>
  <c r="E117" i="393" s="1"/>
  <c r="E120" i="393" a="1"/>
  <c r="E120" i="393" s="1"/>
  <c r="E123" i="393" a="1"/>
  <c r="E123" i="393" s="1"/>
  <c r="E126" i="393" a="1"/>
  <c r="E126" i="393" s="1"/>
  <c r="E129" i="393" a="1"/>
  <c r="E129" i="393" s="1"/>
  <c r="E134" i="393" a="1"/>
  <c r="E134" i="393" s="1"/>
  <c r="C139" i="393"/>
  <c r="E145" i="393" a="1"/>
  <c r="E145" i="393" s="1"/>
  <c r="E144" i="393" s="1"/>
  <c r="E157" i="393" a="1"/>
  <c r="E157" i="393" s="1"/>
  <c r="E159" i="393" a="1"/>
  <c r="E159" i="393" s="1"/>
  <c r="E162" i="393" a="1"/>
  <c r="E162" i="393" s="1"/>
  <c r="E18" i="398" a="1"/>
  <c r="E18" i="398" s="1"/>
  <c r="E20" i="398" a="1"/>
  <c r="E20" i="398" s="1"/>
  <c r="E22" i="398" a="1"/>
  <c r="E22" i="398" s="1"/>
  <c r="E26" i="398" a="1"/>
  <c r="E26" i="398" s="1"/>
  <c r="E31" i="398" a="1"/>
  <c r="E31" i="398" s="1"/>
  <c r="E33" i="398" a="1"/>
  <c r="E33" i="398" s="1"/>
  <c r="E38" i="398" a="1"/>
  <c r="E38" i="398" s="1"/>
  <c r="E53" i="398" a="1"/>
  <c r="E53" i="398" s="1"/>
  <c r="E55" i="398" a="1"/>
  <c r="E55" i="398" s="1"/>
  <c r="E60" i="398" a="1"/>
  <c r="E60" i="398" s="1"/>
  <c r="E65" i="398" a="1"/>
  <c r="E65" i="398" s="1"/>
  <c r="E69" i="398" a="1"/>
  <c r="E69" i="398" s="1"/>
  <c r="E79" i="398" a="1"/>
  <c r="E79" i="398" s="1"/>
  <c r="E87" i="398" a="1"/>
  <c r="E87" i="398" s="1"/>
  <c r="E89" i="398" a="1"/>
  <c r="E89" i="398" s="1"/>
  <c r="E94" i="398" a="1"/>
  <c r="E94" i="398" s="1"/>
  <c r="E96" i="398" a="1"/>
  <c r="E96" i="398" s="1"/>
  <c r="E99" i="398" a="1"/>
  <c r="E99" i="398" s="1"/>
  <c r="E105" i="398" a="1"/>
  <c r="E105" i="398" s="1"/>
  <c r="E107" i="398" a="1"/>
  <c r="E107" i="398" s="1"/>
  <c r="E110" i="398" a="1"/>
  <c r="E110" i="398" s="1"/>
  <c r="E112" i="398" a="1"/>
  <c r="E112" i="398" s="1"/>
  <c r="E115" i="398" a="1"/>
  <c r="E115" i="398" s="1"/>
  <c r="E121" i="398" a="1"/>
  <c r="E121" i="398" s="1"/>
  <c r="E123" i="398" a="1"/>
  <c r="E123" i="398" s="1"/>
  <c r="E127" i="398" a="1"/>
  <c r="E127" i="398" s="1"/>
  <c r="E137" i="398" a="1"/>
  <c r="E137" i="398" s="1"/>
  <c r="E141" i="398" a="1"/>
  <c r="E141" i="398" s="1"/>
  <c r="E160" i="398" a="1"/>
  <c r="E160" i="398" s="1"/>
  <c r="E18" i="399" a="1"/>
  <c r="E18" i="399" s="1"/>
  <c r="E30" i="399" a="1"/>
  <c r="E30" i="399" s="1"/>
  <c r="E37" i="399" a="1"/>
  <c r="E37" i="399" s="1"/>
  <c r="C36" i="399"/>
  <c r="E44" i="399" a="1"/>
  <c r="E44" i="399" s="1"/>
  <c r="E52" i="399" a="1"/>
  <c r="E52" i="399" s="1"/>
  <c r="E55" i="399" a="1"/>
  <c r="E55" i="399" s="1"/>
  <c r="E57" i="399" a="1"/>
  <c r="E57" i="399" s="1"/>
  <c r="E64" i="399" a="1"/>
  <c r="E64" i="399" s="1"/>
  <c r="E69" i="399" a="1"/>
  <c r="E69" i="399" s="1"/>
  <c r="E80" i="399" a="1"/>
  <c r="E80" i="399" s="1"/>
  <c r="E83" i="399" a="1"/>
  <c r="E83" i="399" s="1"/>
  <c r="E89" i="399" a="1"/>
  <c r="E89" i="399" s="1"/>
  <c r="E91" i="399" a="1"/>
  <c r="E91" i="399" s="1"/>
  <c r="E95" i="399" a="1"/>
  <c r="E95" i="399" s="1"/>
  <c r="E105" i="399" a="1"/>
  <c r="E105" i="399" s="1"/>
  <c r="E109" i="399" a="1"/>
  <c r="E109" i="399" s="1"/>
  <c r="E111" i="399" a="1"/>
  <c r="E111" i="399" s="1"/>
  <c r="E134" i="399" a="1"/>
  <c r="E134" i="399" s="1"/>
  <c r="E163" i="399" a="1"/>
  <c r="E163" i="399" s="1"/>
  <c r="E60" i="392" a="1"/>
  <c r="E60" i="392" s="1"/>
  <c r="E65" i="392" a="1"/>
  <c r="E65" i="392" s="1"/>
  <c r="E68" i="392" a="1"/>
  <c r="E68" i="392" s="1"/>
  <c r="E73" i="392" a="1"/>
  <c r="E73" i="392" s="1"/>
  <c r="E80" i="392" a="1"/>
  <c r="E80" i="392" s="1"/>
  <c r="E85" i="392" a="1"/>
  <c r="E85" i="392" s="1"/>
  <c r="E90" i="392" a="1"/>
  <c r="E90" i="392" s="1"/>
  <c r="E95" i="392" a="1"/>
  <c r="E95" i="392" s="1"/>
  <c r="E100" i="392" a="1"/>
  <c r="E100" i="392" s="1"/>
  <c r="E103" i="392" a="1"/>
  <c r="E103" i="392" s="1"/>
  <c r="E105" i="392" a="1"/>
  <c r="E105" i="392" s="1"/>
  <c r="E108" i="392" a="1"/>
  <c r="E108" i="392" s="1"/>
  <c r="E111" i="392" a="1"/>
  <c r="E111" i="392" s="1"/>
  <c r="E116" i="392" a="1"/>
  <c r="E116" i="392" s="1"/>
  <c r="E119" i="392" a="1"/>
  <c r="E119" i="392" s="1"/>
  <c r="E127" i="392" a="1"/>
  <c r="E127" i="392" s="1"/>
  <c r="E135" i="392" a="1"/>
  <c r="E135" i="392" s="1"/>
  <c r="E141" i="392" a="1"/>
  <c r="E141" i="392" s="1"/>
  <c r="E163" i="392" a="1"/>
  <c r="E163" i="392" s="1"/>
  <c r="E13" i="395" a="1"/>
  <c r="E13" i="395" s="1"/>
  <c r="C15" i="395"/>
  <c r="E26" i="395" a="1"/>
  <c r="E26" i="395" s="1"/>
  <c r="E30" i="395" a="1"/>
  <c r="E30" i="395" s="1"/>
  <c r="C32" i="395"/>
  <c r="E37" i="395" a="1"/>
  <c r="E37" i="395" s="1"/>
  <c r="E54" i="395" a="1"/>
  <c r="E54" i="395" s="1"/>
  <c r="E57" i="395" a="1"/>
  <c r="E57" i="395" s="1"/>
  <c r="E60" i="395" a="1"/>
  <c r="E60" i="395" s="1"/>
  <c r="E63" i="395" a="1"/>
  <c r="E63" i="395" s="1"/>
  <c r="E70" i="395" a="1"/>
  <c r="E70" i="395" s="1"/>
  <c r="E81" i="395" a="1"/>
  <c r="E81" i="395" s="1"/>
  <c r="E83" i="395" a="1"/>
  <c r="E83" i="395" s="1"/>
  <c r="E86" i="395" a="1"/>
  <c r="E86" i="395" s="1"/>
  <c r="E91" i="395" a="1"/>
  <c r="E91" i="395" s="1"/>
  <c r="E94" i="395" a="1"/>
  <c r="E94" i="395" s="1"/>
  <c r="E97" i="395" a="1"/>
  <c r="E97" i="395" s="1"/>
  <c r="E102" i="395" a="1"/>
  <c r="E102" i="395" s="1"/>
  <c r="E109" i="395" a="1"/>
  <c r="E109" i="395" s="1"/>
  <c r="E111" i="395" a="1"/>
  <c r="E111" i="395" s="1"/>
  <c r="E114" i="395" a="1"/>
  <c r="E114" i="395" s="1"/>
  <c r="E117" i="395" a="1"/>
  <c r="E117" i="395" s="1"/>
  <c r="E120" i="395" a="1"/>
  <c r="E120" i="395" s="1"/>
  <c r="E123" i="395" a="1"/>
  <c r="E123" i="395" s="1"/>
  <c r="E128" i="395" a="1"/>
  <c r="E128" i="395" s="1"/>
  <c r="E131" i="395" a="1"/>
  <c r="E131" i="395" s="1"/>
  <c r="E134" i="395" a="1"/>
  <c r="E134" i="395" s="1"/>
  <c r="C139" i="395"/>
  <c r="E141" i="395" a="1"/>
  <c r="E141" i="395" s="1"/>
  <c r="E155" i="395" a="1"/>
  <c r="E155" i="395" s="1"/>
  <c r="E158" i="395" a="1"/>
  <c r="E158" i="395" s="1"/>
  <c r="E161" i="395" a="1"/>
  <c r="E161" i="395" s="1"/>
  <c r="E163" i="395" a="1"/>
  <c r="E163" i="395" s="1"/>
  <c r="E10" i="396" a="1"/>
  <c r="E10" i="396" s="1"/>
  <c r="C11" i="396"/>
  <c r="C9" i="396" s="1"/>
  <c r="C24" i="396" s="1"/>
  <c r="E17" i="396" a="1"/>
  <c r="E17" i="396" s="1"/>
  <c r="E26" i="396" a="1"/>
  <c r="E26" i="396" s="1"/>
  <c r="C29" i="396"/>
  <c r="C27" i="396" s="1"/>
  <c r="C47" i="396" s="1"/>
  <c r="E31" i="396" a="1"/>
  <c r="E31" i="396" s="1"/>
  <c r="E34" i="396" a="1"/>
  <c r="E34" i="396" s="1"/>
  <c r="E38" i="396" a="1"/>
  <c r="E38" i="396" s="1"/>
  <c r="E43" i="396" a="1"/>
  <c r="E43" i="396" s="1"/>
  <c r="E53" i="396" a="1"/>
  <c r="E53" i="396" s="1"/>
  <c r="E56" i="396" a="1"/>
  <c r="E56" i="396" s="1"/>
  <c r="E66" i="396" a="1"/>
  <c r="E66" i="396" s="1"/>
  <c r="E69" i="396" a="1"/>
  <c r="E69" i="396" s="1"/>
  <c r="E71" i="396" a="1"/>
  <c r="E71" i="396" s="1"/>
  <c r="E74" i="396" a="1"/>
  <c r="E74" i="396" s="1"/>
  <c r="E81" i="396" a="1"/>
  <c r="E81" i="396" s="1"/>
  <c r="E83" i="396" a="1"/>
  <c r="E83" i="396" s="1"/>
  <c r="E88" i="396" a="1"/>
  <c r="E88" i="396" s="1"/>
  <c r="E91" i="396" a="1"/>
  <c r="E91" i="396" s="1"/>
  <c r="E103" i="396" a="1"/>
  <c r="E103" i="396" s="1"/>
  <c r="E110" i="396" a="1"/>
  <c r="E110" i="396" s="1"/>
  <c r="E116" i="396" a="1"/>
  <c r="E116" i="396" s="1"/>
  <c r="E118" i="396" a="1"/>
  <c r="E118" i="396" s="1"/>
  <c r="E121" i="396" a="1"/>
  <c r="E121" i="396" s="1"/>
  <c r="E126" i="396" a="1"/>
  <c r="E126" i="396" s="1"/>
  <c r="E131" i="396" a="1"/>
  <c r="E131" i="396" s="1"/>
  <c r="E134" i="396" a="1"/>
  <c r="E134" i="396" s="1"/>
  <c r="E140" i="396" a="1"/>
  <c r="E140" i="396" s="1"/>
  <c r="E158" i="396" a="1"/>
  <c r="E158" i="396" s="1"/>
  <c r="E161" i="396" a="1"/>
  <c r="E161" i="396" s="1"/>
  <c r="C29" i="397"/>
  <c r="E64" i="397" a="1"/>
  <c r="E64" i="397" s="1"/>
  <c r="E66" i="397" a="1"/>
  <c r="E66" i="397" s="1"/>
  <c r="E69" i="397" a="1"/>
  <c r="E69" i="397" s="1"/>
  <c r="E71" i="397" a="1"/>
  <c r="E71" i="397" s="1"/>
  <c r="E73" i="397" a="1"/>
  <c r="E73" i="397" s="1"/>
  <c r="E81" i="397" a="1"/>
  <c r="E81" i="397" s="1"/>
  <c r="E84" i="397" a="1"/>
  <c r="E84" i="397" s="1"/>
  <c r="E94" i="397" a="1"/>
  <c r="E94" i="397" s="1"/>
  <c r="E101" i="397" a="1"/>
  <c r="E101" i="397" s="1"/>
  <c r="E103" i="397" a="1"/>
  <c r="E103" i="397" s="1"/>
  <c r="E106" i="397" a="1"/>
  <c r="E106" i="397" s="1"/>
  <c r="E108" i="397" a="1"/>
  <c r="E108" i="397" s="1"/>
  <c r="E111" i="397" a="1"/>
  <c r="E111" i="397" s="1"/>
  <c r="E114" i="397" a="1"/>
  <c r="E114" i="397" s="1"/>
  <c r="E120" i="397" a="1"/>
  <c r="E120" i="397" s="1"/>
  <c r="E131" i="397" a="1"/>
  <c r="E131" i="397" s="1"/>
  <c r="E136" i="397" a="1"/>
  <c r="E136" i="397" s="1"/>
  <c r="E141" i="397" a="1"/>
  <c r="E141" i="397" s="1"/>
  <c r="E162" i="397" a="1"/>
  <c r="E162" i="397" s="1"/>
  <c r="C11" i="393"/>
  <c r="C9" i="393"/>
  <c r="C29" i="393"/>
  <c r="C27" i="393" s="1"/>
  <c r="E71" i="393" a="1"/>
  <c r="E71" i="393" s="1"/>
  <c r="E73" i="393" a="1"/>
  <c r="E73" i="393" s="1"/>
  <c r="E82" i="393" a="1"/>
  <c r="E82" i="393" s="1"/>
  <c r="E85" i="393" a="1"/>
  <c r="E85" i="393" s="1"/>
  <c r="E88" i="393" a="1"/>
  <c r="E88" i="393" s="1"/>
  <c r="E91" i="393" a="1"/>
  <c r="E91" i="393" s="1"/>
  <c r="E96" i="393" a="1"/>
  <c r="E96" i="393" s="1"/>
  <c r="E99" i="393" a="1"/>
  <c r="E99" i="393" s="1"/>
  <c r="E102" i="393" a="1"/>
  <c r="E102" i="393" s="1"/>
  <c r="E105" i="393" a="1"/>
  <c r="E105" i="393" s="1"/>
  <c r="E108" i="393" a="1"/>
  <c r="E108" i="393" s="1"/>
  <c r="E111" i="393" a="1"/>
  <c r="E111" i="393" s="1"/>
  <c r="E114" i="393" a="1"/>
  <c r="E114" i="393" s="1"/>
  <c r="E119" i="393" a="1"/>
  <c r="E119" i="393" s="1"/>
  <c r="E128" i="393" a="1"/>
  <c r="E128" i="393" s="1"/>
  <c r="E131" i="393" a="1"/>
  <c r="E131" i="393" s="1"/>
  <c r="E137" i="393" a="1"/>
  <c r="E137" i="393" s="1"/>
  <c r="E140" i="393" a="1"/>
  <c r="E140" i="393" s="1"/>
  <c r="E156" i="393" a="1"/>
  <c r="E156" i="393" s="1"/>
  <c r="E17" i="398" a="1"/>
  <c r="E17" i="398" s="1"/>
  <c r="E30" i="398" a="1"/>
  <c r="E30" i="398" s="1"/>
  <c r="E37" i="398" a="1"/>
  <c r="E37" i="398" s="1"/>
  <c r="E40" i="398" a="1"/>
  <c r="E40" i="398" s="1"/>
  <c r="E43" i="398" a="1"/>
  <c r="E43" i="398" s="1"/>
  <c r="E45" i="398" a="1"/>
  <c r="E45" i="398" s="1"/>
  <c r="E57" i="398" a="1"/>
  <c r="E57" i="398" s="1"/>
  <c r="E59" i="398" a="1"/>
  <c r="E59" i="398" s="1"/>
  <c r="E62" i="398" a="1"/>
  <c r="E62" i="398" s="1"/>
  <c r="E68" i="398" a="1"/>
  <c r="E68" i="398" s="1"/>
  <c r="E72" i="398" a="1"/>
  <c r="E72" i="398" s="1"/>
  <c r="E81" i="398" a="1"/>
  <c r="E81" i="398" s="1"/>
  <c r="E84" i="398" a="1"/>
  <c r="E84" i="398" s="1"/>
  <c r="E86" i="398" a="1"/>
  <c r="E86" i="398" s="1"/>
  <c r="E91" i="398" a="1"/>
  <c r="E91" i="398" s="1"/>
  <c r="E98" i="398" a="1"/>
  <c r="E98" i="398" s="1"/>
  <c r="E101" i="398" a="1"/>
  <c r="E101" i="398" s="1"/>
  <c r="E104" i="398" a="1"/>
  <c r="E104" i="398" s="1"/>
  <c r="E114" i="398" a="1"/>
  <c r="E114" i="398" s="1"/>
  <c r="E117" i="398" a="1"/>
  <c r="E117" i="398" s="1"/>
  <c r="E120" i="398" a="1"/>
  <c r="E120" i="398" s="1"/>
  <c r="E126" i="398" a="1"/>
  <c r="E126" i="398" s="1"/>
  <c r="E129" i="398" a="1"/>
  <c r="E129" i="398" s="1"/>
  <c r="E132" i="398" a="1"/>
  <c r="E132" i="398" s="1"/>
  <c r="E134" i="398" a="1"/>
  <c r="E134" i="398" s="1"/>
  <c r="E140" i="398" a="1"/>
  <c r="E140" i="398" s="1"/>
  <c r="E145" i="398" a="1"/>
  <c r="E145" i="398" s="1"/>
  <c r="E144" i="398" s="1"/>
  <c r="E157" i="398" a="1"/>
  <c r="E157" i="398" s="1"/>
  <c r="E159" i="398" a="1"/>
  <c r="E159" i="398" s="1"/>
  <c r="E162" i="398" a="1"/>
  <c r="E162" i="398" s="1"/>
  <c r="C11" i="399"/>
  <c r="C15" i="399"/>
  <c r="E35" i="399" a="1"/>
  <c r="E35" i="399" s="1"/>
  <c r="E39" i="399" a="1"/>
  <c r="E39" i="399" s="1"/>
  <c r="E41" i="399" a="1"/>
  <c r="E41" i="399" s="1"/>
  <c r="E54" i="399" a="1"/>
  <c r="E54" i="399" s="1"/>
  <c r="E59" i="399" a="1"/>
  <c r="E59" i="399" s="1"/>
  <c r="E66" i="399" a="1"/>
  <c r="E66" i="399" s="1"/>
  <c r="E71" i="399" a="1"/>
  <c r="E71" i="399" s="1"/>
  <c r="E82" i="399" a="1"/>
  <c r="E82" i="399" s="1"/>
  <c r="E101" i="399" a="1"/>
  <c r="E101" i="399" s="1"/>
  <c r="E114" i="399" a="1"/>
  <c r="E114" i="399" s="1"/>
  <c r="E116" i="399" a="1"/>
  <c r="E116" i="399" s="1"/>
  <c r="E120" i="399" a="1"/>
  <c r="E120" i="399" s="1"/>
  <c r="E122" i="399" a="1"/>
  <c r="E122" i="399" s="1"/>
  <c r="E124" i="399" a="1"/>
  <c r="E124" i="399" s="1"/>
  <c r="E126" i="399" a="1"/>
  <c r="E126" i="399" s="1"/>
  <c r="E128" i="399" a="1"/>
  <c r="E128" i="399" s="1"/>
  <c r="C139" i="399"/>
  <c r="E145" i="399" a="1"/>
  <c r="E145" i="399" s="1"/>
  <c r="C164" i="399"/>
  <c r="E157" i="399" a="1"/>
  <c r="E157" i="399" s="1"/>
  <c r="C139" i="408"/>
  <c r="E16" i="392" a="1"/>
  <c r="E16" i="392" s="1"/>
  <c r="E28" i="392" a="1"/>
  <c r="E28" i="392" s="1"/>
  <c r="E37" i="392" a="1"/>
  <c r="E37" i="392" s="1"/>
  <c r="E39" i="392" a="1"/>
  <c r="E39" i="392" s="1"/>
  <c r="E57" i="392" a="1"/>
  <c r="E57" i="392" s="1"/>
  <c r="E62" i="392" a="1"/>
  <c r="E62" i="392" s="1"/>
  <c r="E67" i="392" a="1"/>
  <c r="E67" i="392" s="1"/>
  <c r="E70" i="392" a="1"/>
  <c r="E70" i="392" s="1"/>
  <c r="E79" i="392" a="1"/>
  <c r="E79" i="392" s="1"/>
  <c r="E82" i="392" a="1"/>
  <c r="E82" i="392" s="1"/>
  <c r="E87" i="392" a="1"/>
  <c r="E87" i="392" s="1"/>
  <c r="E92" i="392" a="1"/>
  <c r="E92" i="392" s="1"/>
  <c r="E97" i="392" a="1"/>
  <c r="E97" i="392" s="1"/>
  <c r="E102" i="392" a="1"/>
  <c r="E102" i="392" s="1"/>
  <c r="E110" i="392" a="1"/>
  <c r="E110" i="392" s="1"/>
  <c r="E113" i="392" a="1"/>
  <c r="E113" i="392" s="1"/>
  <c r="E115" i="392" a="1"/>
  <c r="E115" i="392" s="1"/>
  <c r="E118" i="392" a="1"/>
  <c r="E118" i="392" s="1"/>
  <c r="E121" i="392" a="1"/>
  <c r="E121" i="392" s="1"/>
  <c r="E124" i="392" a="1"/>
  <c r="E124" i="392" s="1"/>
  <c r="E126" i="392" a="1"/>
  <c r="E126" i="392" s="1"/>
  <c r="E129" i="392" a="1"/>
  <c r="E129" i="392" s="1"/>
  <c r="E132" i="392" a="1"/>
  <c r="E132" i="392" s="1"/>
  <c r="E134" i="392" a="1"/>
  <c r="E134" i="392" s="1"/>
  <c r="E137" i="392" a="1"/>
  <c r="E137" i="392" s="1"/>
  <c r="E140" i="392" a="1"/>
  <c r="E140" i="392" s="1"/>
  <c r="E157" i="392" a="1"/>
  <c r="E157" i="392" s="1"/>
  <c r="E16" i="395" a="1"/>
  <c r="E16" i="395" s="1"/>
  <c r="E20" i="395" a="1"/>
  <c r="E20" i="395" s="1"/>
  <c r="C27" i="395"/>
  <c r="E33" i="395" a="1"/>
  <c r="E33" i="395" s="1"/>
  <c r="E40" i="395" a="1"/>
  <c r="E40" i="395" s="1"/>
  <c r="E43" i="395" a="1"/>
  <c r="E43" i="395" s="1"/>
  <c r="E53" i="395" a="1"/>
  <c r="E53" i="395" s="1"/>
  <c r="E56" i="395" a="1"/>
  <c r="E56" i="395" s="1"/>
  <c r="E59" i="395" a="1"/>
  <c r="E59" i="395" s="1"/>
  <c r="E62" i="395" a="1"/>
  <c r="E62" i="395" s="1"/>
  <c r="E66" i="395" a="1"/>
  <c r="E66" i="395" s="1"/>
  <c r="E69" i="395" a="1"/>
  <c r="E69" i="395" s="1"/>
  <c r="E73" i="395" a="1"/>
  <c r="E73" i="395" s="1"/>
  <c r="E80" i="395" a="1"/>
  <c r="E80" i="395" s="1"/>
  <c r="E88" i="395" a="1"/>
  <c r="E88" i="395" s="1"/>
  <c r="E93" i="395" a="1"/>
  <c r="E93" i="395" s="1"/>
  <c r="E96" i="395" a="1"/>
  <c r="E96" i="395" s="1"/>
  <c r="E99" i="395" a="1"/>
  <c r="E99" i="395" s="1"/>
  <c r="E105" i="395" a="1"/>
  <c r="E105" i="395" s="1"/>
  <c r="E108" i="395" a="1"/>
  <c r="E108" i="395" s="1"/>
  <c r="E116" i="395" a="1"/>
  <c r="E116" i="395" s="1"/>
  <c r="E119" i="395" a="1"/>
  <c r="E119" i="395" s="1"/>
  <c r="E125" i="395" a="1"/>
  <c r="E125" i="395" s="1"/>
  <c r="E130" i="395" a="1"/>
  <c r="E130" i="395" s="1"/>
  <c r="E137" i="395" a="1"/>
  <c r="E137" i="395" s="1"/>
  <c r="E140" i="395" a="1"/>
  <c r="E140" i="395" s="1"/>
  <c r="E157" i="395" a="1"/>
  <c r="E157" i="395" s="1"/>
  <c r="E13" i="396" a="1"/>
  <c r="E13" i="396" s="1"/>
  <c r="E23" i="396" a="1"/>
  <c r="E23" i="396" s="1"/>
  <c r="E30" i="396" a="1"/>
  <c r="E30" i="396" s="1"/>
  <c r="C32" i="396"/>
  <c r="E37" i="396" a="1"/>
  <c r="E37" i="396" s="1"/>
  <c r="E40" i="396" a="1"/>
  <c r="E40" i="396" s="1"/>
  <c r="E45" i="396" a="1"/>
  <c r="E45" i="396" s="1"/>
  <c r="E58" i="396" a="1"/>
  <c r="E58" i="396" s="1"/>
  <c r="E61" i="396" a="1"/>
  <c r="E61" i="396" s="1"/>
  <c r="E63" i="396" a="1"/>
  <c r="E63" i="396" s="1"/>
  <c r="E73" i="396" a="1"/>
  <c r="E73" i="396" s="1"/>
  <c r="E80" i="396" a="1"/>
  <c r="E80" i="396" s="1"/>
  <c r="E85" i="396" a="1"/>
  <c r="E85" i="396" s="1"/>
  <c r="E87" i="396" a="1"/>
  <c r="E87" i="396" s="1"/>
  <c r="E90" i="396" a="1"/>
  <c r="E90" i="396" s="1"/>
  <c r="E93" i="396" a="1"/>
  <c r="E93" i="396" s="1"/>
  <c r="E95" i="396" a="1"/>
  <c r="E95" i="396" s="1"/>
  <c r="E98" i="396" a="1"/>
  <c r="E98" i="396" s="1"/>
  <c r="E100" i="396" a="1"/>
  <c r="E100" i="396" s="1"/>
  <c r="E106" i="396" a="1"/>
  <c r="E106" i="396" s="1"/>
  <c r="E109" i="396" a="1"/>
  <c r="E109" i="396" s="1"/>
  <c r="E112" i="396" a="1"/>
  <c r="E112" i="396" s="1"/>
  <c r="E115" i="396" a="1"/>
  <c r="E115" i="396" s="1"/>
  <c r="E120" i="396" a="1"/>
  <c r="E120" i="396" s="1"/>
  <c r="E123" i="396" a="1"/>
  <c r="E123" i="396" s="1"/>
  <c r="E125" i="396" a="1"/>
  <c r="E125" i="396" s="1"/>
  <c r="E128" i="396" a="1"/>
  <c r="E128" i="396" s="1"/>
  <c r="E133" i="396" a="1"/>
  <c r="E133" i="396" s="1"/>
  <c r="E136" i="396" a="1"/>
  <c r="E136" i="396" s="1"/>
  <c r="E142" i="396" a="1"/>
  <c r="E142" i="396" s="1"/>
  <c r="E155" i="396" a="1"/>
  <c r="E155" i="396" s="1"/>
  <c r="E160" i="396" a="1"/>
  <c r="E160" i="396" s="1"/>
  <c r="E13" i="397" a="1"/>
  <c r="E13" i="397" s="1"/>
  <c r="E17" i="397" a="1"/>
  <c r="E17" i="397" s="1"/>
  <c r="C19" i="397"/>
  <c r="E22" i="397" a="1"/>
  <c r="E22" i="397" s="1"/>
  <c r="E31" i="397" a="1"/>
  <c r="E31" i="397" s="1"/>
  <c r="E34" i="397" a="1"/>
  <c r="E34" i="397" s="1"/>
  <c r="E38" i="397" a="1"/>
  <c r="E38" i="397" s="1"/>
  <c r="E43" i="397" a="1"/>
  <c r="E43" i="397" s="1"/>
  <c r="E53" i="397" a="1"/>
  <c r="E53" i="397" s="1"/>
  <c r="E58" i="397" a="1"/>
  <c r="E58" i="397" s="1"/>
  <c r="E61" i="397" a="1"/>
  <c r="E61" i="397" s="1"/>
  <c r="E63" i="397" a="1"/>
  <c r="E63" i="397" s="1"/>
  <c r="E80" i="397" a="1"/>
  <c r="E80" i="397" s="1"/>
  <c r="E83" i="397" a="1"/>
  <c r="E83" i="397" s="1"/>
  <c r="E86" i="397" a="1"/>
  <c r="E86" i="397" s="1"/>
  <c r="E89" i="397" a="1"/>
  <c r="E89" i="397" s="1"/>
  <c r="E91" i="397" a="1"/>
  <c r="E91" i="397" s="1"/>
  <c r="E97" i="397" a="1"/>
  <c r="E97" i="397" s="1"/>
  <c r="E100" i="397" a="1"/>
  <c r="E100" i="397" s="1"/>
  <c r="E110" i="397" a="1"/>
  <c r="E110" i="397" s="1"/>
  <c r="E117" i="397" a="1"/>
  <c r="E117" i="397" s="1"/>
  <c r="E119" i="397" a="1"/>
  <c r="E119" i="397" s="1"/>
  <c r="E122" i="397" a="1"/>
  <c r="E122" i="397" s="1"/>
  <c r="E125" i="397" a="1"/>
  <c r="E125" i="397" s="1"/>
  <c r="E128" i="397" a="1"/>
  <c r="E128" i="397" s="1"/>
  <c r="E130" i="397" a="1"/>
  <c r="E130" i="397" s="1"/>
  <c r="E133" i="397" a="1"/>
  <c r="E133" i="397" s="1"/>
  <c r="E135" i="397" a="1"/>
  <c r="E135" i="397" s="1"/>
  <c r="E145" i="397" a="1"/>
  <c r="E145" i="397" s="1"/>
  <c r="E156" i="397" a="1"/>
  <c r="E156" i="397" s="1"/>
  <c r="E158" i="397" a="1"/>
  <c r="E158" i="397" s="1"/>
  <c r="E161" i="397" a="1"/>
  <c r="E161" i="397" s="1"/>
  <c r="E12" i="393" a="1"/>
  <c r="E12" i="393" s="1"/>
  <c r="E17" i="393" a="1"/>
  <c r="E17" i="393" s="1"/>
  <c r="E20" i="393" a="1"/>
  <c r="E20" i="393" s="1"/>
  <c r="E30" i="393" a="1"/>
  <c r="E30" i="393" s="1"/>
  <c r="E37" i="393" a="1"/>
  <c r="E37" i="393" s="1"/>
  <c r="E39" i="393" a="1"/>
  <c r="E39" i="393" s="1"/>
  <c r="E42" i="393" a="1"/>
  <c r="E42" i="393" s="1"/>
  <c r="E52" i="393" a="1"/>
  <c r="E52" i="393" s="1"/>
  <c r="E55" i="393" a="1"/>
  <c r="E55" i="393" s="1"/>
  <c r="E59" i="393" a="1"/>
  <c r="E59" i="393" s="1"/>
  <c r="E65" i="393" a="1"/>
  <c r="E65" i="393" s="1"/>
  <c r="E68" i="393" a="1"/>
  <c r="E68" i="393" s="1"/>
  <c r="E79" i="393" a="1"/>
  <c r="E79" i="393" s="1"/>
  <c r="E87" i="393" a="1"/>
  <c r="E87" i="393" s="1"/>
  <c r="E90" i="393" a="1"/>
  <c r="E90" i="393" s="1"/>
  <c r="E93" i="393" a="1"/>
  <c r="E93" i="393" s="1"/>
  <c r="E101" i="393" a="1"/>
  <c r="E101" i="393" s="1"/>
  <c r="E104" i="393" a="1"/>
  <c r="E104" i="393" s="1"/>
  <c r="E107" i="393" a="1"/>
  <c r="E107" i="393" s="1"/>
  <c r="E113" i="393" a="1"/>
  <c r="E113" i="393" s="1"/>
  <c r="E116" i="393" a="1"/>
  <c r="E116" i="393" s="1"/>
  <c r="E122" i="393" a="1"/>
  <c r="E122" i="393" s="1"/>
  <c r="E125" i="393" a="1"/>
  <c r="E125" i="393" s="1"/>
  <c r="E127" i="393" a="1"/>
  <c r="E127" i="393" s="1"/>
  <c r="E130" i="393" a="1"/>
  <c r="E130" i="393" s="1"/>
  <c r="E133" i="393" a="1"/>
  <c r="E133" i="393" s="1"/>
  <c r="E136" i="393" a="1"/>
  <c r="E136" i="393" s="1"/>
  <c r="E142" i="393" a="1"/>
  <c r="E142" i="393" s="1"/>
  <c r="E155" i="393" a="1"/>
  <c r="E155" i="393" s="1"/>
  <c r="E158" i="393" a="1"/>
  <c r="E158" i="393" s="1"/>
  <c r="E161" i="393" a="1"/>
  <c r="E161" i="393" s="1"/>
  <c r="E14" i="398" a="1"/>
  <c r="E14" i="398" s="1"/>
  <c r="E16" i="398" a="1"/>
  <c r="E16" i="398" s="1"/>
  <c r="E23" i="398" a="1"/>
  <c r="E23" i="398" s="1"/>
  <c r="E28" i="398" a="1"/>
  <c r="E28" i="398" s="1"/>
  <c r="E35" i="398" a="1"/>
  <c r="E35" i="398" s="1"/>
  <c r="C36" i="398"/>
  <c r="E42" i="398" a="1"/>
  <c r="E42" i="398" s="1"/>
  <c r="E52" i="398" a="1"/>
  <c r="E52" i="398" s="1"/>
  <c r="E54" i="398" a="1"/>
  <c r="E54" i="398" s="1"/>
  <c r="E56" i="398" a="1"/>
  <c r="E56" i="398" s="1"/>
  <c r="E64" i="398" a="1"/>
  <c r="E64" i="398" s="1"/>
  <c r="E67" i="398" a="1"/>
  <c r="E67" i="398" s="1"/>
  <c r="E71" i="398" a="1"/>
  <c r="E71" i="398" s="1"/>
  <c r="E74" i="398" a="1"/>
  <c r="E74" i="398" s="1"/>
  <c r="E80" i="398" a="1"/>
  <c r="E80" i="398" s="1"/>
  <c r="E83" i="398" a="1"/>
  <c r="E83" i="398" s="1"/>
  <c r="E88" i="398" a="1"/>
  <c r="E88" i="398" s="1"/>
  <c r="E93" i="398" a="1"/>
  <c r="E93" i="398" s="1"/>
  <c r="E95" i="398" a="1"/>
  <c r="E95" i="398" s="1"/>
  <c r="E100" i="398" a="1"/>
  <c r="E100" i="398" s="1"/>
  <c r="E103" i="398" a="1"/>
  <c r="E103" i="398" s="1"/>
  <c r="E106" i="398" a="1"/>
  <c r="E106" i="398" s="1"/>
  <c r="E109" i="398" a="1"/>
  <c r="E109" i="398" s="1"/>
  <c r="E111" i="398" a="1"/>
  <c r="E111" i="398" s="1"/>
  <c r="E116" i="398" a="1"/>
  <c r="E116" i="398" s="1"/>
  <c r="E119" i="398" a="1"/>
  <c r="E119" i="398" s="1"/>
  <c r="E122" i="398" a="1"/>
  <c r="E122" i="398" s="1"/>
  <c r="E125" i="398" a="1"/>
  <c r="E125" i="398" s="1"/>
  <c r="E131" i="398" a="1"/>
  <c r="E131" i="398" s="1"/>
  <c r="E136" i="398" a="1"/>
  <c r="E136" i="398" s="1"/>
  <c r="E142" i="398" a="1"/>
  <c r="E142" i="398" s="1"/>
  <c r="E156" i="398" a="1"/>
  <c r="E156" i="398" s="1"/>
  <c r="E162" i="399" a="1"/>
  <c r="E162" i="399" s="1"/>
  <c r="G162" i="399" s="1"/>
  <c r="E142" i="399" a="1"/>
  <c r="E142" i="399" s="1"/>
  <c r="E132" i="399" a="1"/>
  <c r="E132" i="399" s="1"/>
  <c r="E129" i="399" a="1"/>
  <c r="E129" i="399" s="1"/>
  <c r="E113" i="399" a="1"/>
  <c r="E113" i="399" s="1"/>
  <c r="E103" i="399" a="1"/>
  <c r="E103" i="399" s="1"/>
  <c r="E98" i="399" a="1"/>
  <c r="E98" i="399" s="1"/>
  <c r="E96" i="399" a="1"/>
  <c r="E96" i="399" s="1"/>
  <c r="E93" i="399" a="1"/>
  <c r="E93" i="399" s="1"/>
  <c r="E90" i="399" a="1"/>
  <c r="E90" i="399" s="1"/>
  <c r="E87" i="399" a="1"/>
  <c r="E87" i="399" s="1"/>
  <c r="E85" i="399" a="1"/>
  <c r="E85" i="399" s="1"/>
  <c r="E81" i="399" a="1"/>
  <c r="E81" i="399" s="1"/>
  <c r="E74" i="399" a="1"/>
  <c r="E74" i="399" s="1"/>
  <c r="E68" i="399" a="1"/>
  <c r="E68" i="399" s="1"/>
  <c r="E65" i="399" a="1"/>
  <c r="E65" i="399" s="1"/>
  <c r="E62" i="399" a="1"/>
  <c r="E62" i="399" s="1"/>
  <c r="E161" i="399" a="1"/>
  <c r="E161" i="399" s="1"/>
  <c r="E158" i="399" a="1"/>
  <c r="E158" i="399" s="1"/>
  <c r="E155" i="399" a="1"/>
  <c r="E155" i="399" s="1"/>
  <c r="E140" i="399" a="1"/>
  <c r="E140" i="399" s="1"/>
  <c r="E136" i="399" a="1"/>
  <c r="E136" i="399" s="1"/>
  <c r="E130" i="399" a="1"/>
  <c r="E130" i="399" s="1"/>
  <c r="E121" i="399" a="1"/>
  <c r="E121" i="399" s="1"/>
  <c r="E118" i="399" a="1"/>
  <c r="E118" i="399" s="1"/>
  <c r="E115" i="399" a="1"/>
  <c r="E115" i="399" s="1"/>
  <c r="E112" i="399" a="1"/>
  <c r="E112" i="399" s="1"/>
  <c r="E107" i="399" a="1"/>
  <c r="E107" i="399" s="1"/>
  <c r="E102" i="399" a="1"/>
  <c r="E102" i="399" s="1"/>
  <c r="E99" i="399" a="1"/>
  <c r="E99" i="399" s="1"/>
  <c r="E97" i="399" a="1"/>
  <c r="E97" i="399" s="1"/>
  <c r="E12" i="399" a="1"/>
  <c r="E12" i="399" s="1"/>
  <c r="E16" i="399" a="1"/>
  <c r="E16" i="399" s="1"/>
  <c r="E20" i="399" a="1"/>
  <c r="E20" i="399" s="1"/>
  <c r="E22" i="399" a="1"/>
  <c r="E22" i="399" s="1"/>
  <c r="E34" i="399" a="1"/>
  <c r="E34" i="399" s="1"/>
  <c r="E38" i="399" a="1"/>
  <c r="E38" i="399" s="1"/>
  <c r="E43" i="399" a="1"/>
  <c r="E43" i="399" s="1"/>
  <c r="E56" i="399" a="1"/>
  <c r="E56" i="399" s="1"/>
  <c r="E61" i="399" a="1"/>
  <c r="E61" i="399" s="1"/>
  <c r="E63" i="399" a="1"/>
  <c r="E63" i="399" s="1"/>
  <c r="E73" i="399" a="1"/>
  <c r="E73" i="399" s="1"/>
  <c r="E79" i="399" a="1"/>
  <c r="E79" i="399" s="1"/>
  <c r="E84" i="399" a="1"/>
  <c r="E84" i="399" s="1"/>
  <c r="E86" i="399" a="1"/>
  <c r="E86" i="399" s="1"/>
  <c r="E88" i="399" a="1"/>
  <c r="E88" i="399" s="1"/>
  <c r="E92" i="399" a="1"/>
  <c r="E92" i="399" s="1"/>
  <c r="E94" i="399" a="1"/>
  <c r="E94" i="399" s="1"/>
  <c r="E104" i="399" a="1"/>
  <c r="E104" i="399" s="1"/>
  <c r="E106" i="399" a="1"/>
  <c r="E106" i="399" s="1"/>
  <c r="E108" i="399" a="1"/>
  <c r="E108" i="399" s="1"/>
  <c r="E110" i="399" a="1"/>
  <c r="E110" i="399" s="1"/>
  <c r="E131" i="399" a="1"/>
  <c r="E131" i="399" s="1"/>
  <c r="E133" i="399" a="1"/>
  <c r="E133" i="399" s="1"/>
  <c r="E135" i="399" a="1"/>
  <c r="E135" i="399" s="1"/>
  <c r="E137" i="399" a="1"/>
  <c r="E137" i="399" s="1"/>
  <c r="E175" i="399" a="1"/>
  <c r="E175" i="399" s="1"/>
  <c r="E177" i="399" s="1"/>
  <c r="E28" i="401" a="1"/>
  <c r="E28" i="401" s="1"/>
  <c r="E31" i="401" a="1"/>
  <c r="E31" i="401" s="1"/>
  <c r="C32" i="401"/>
  <c r="E45" i="401" a="1"/>
  <c r="E45" i="401" s="1"/>
  <c r="E52" i="401" a="1"/>
  <c r="E52" i="401" s="1"/>
  <c r="E60" i="401" a="1"/>
  <c r="E60" i="401" s="1"/>
  <c r="E63" i="401" a="1"/>
  <c r="E63" i="401" s="1"/>
  <c r="E66" i="401" a="1"/>
  <c r="E66" i="401" s="1"/>
  <c r="E69" i="401" a="1"/>
  <c r="E69" i="401" s="1"/>
  <c r="E72" i="401" a="1"/>
  <c r="E72" i="401" s="1"/>
  <c r="E79" i="401" a="1"/>
  <c r="E79" i="401" s="1"/>
  <c r="E87" i="401" a="1"/>
  <c r="E87" i="401" s="1"/>
  <c r="E89" i="401" a="1"/>
  <c r="E89" i="401" s="1"/>
  <c r="E92" i="401" a="1"/>
  <c r="E92" i="401" s="1"/>
  <c r="E94" i="401" a="1"/>
  <c r="E94" i="401" s="1"/>
  <c r="E96" i="401" a="1"/>
  <c r="E96" i="401" s="1"/>
  <c r="E99" i="401" a="1"/>
  <c r="E99" i="401" s="1"/>
  <c r="E107" i="401" a="1"/>
  <c r="E107" i="401" s="1"/>
  <c r="E110" i="401" a="1"/>
  <c r="E110" i="401" s="1"/>
  <c r="E113" i="401" a="1"/>
  <c r="E113" i="401" s="1"/>
  <c r="E119" i="401" a="1"/>
  <c r="E119" i="401" s="1"/>
  <c r="E122" i="401" a="1"/>
  <c r="E122" i="401" s="1"/>
  <c r="E127" i="401" a="1"/>
  <c r="E127" i="401" s="1"/>
  <c r="E133" i="401" a="1"/>
  <c r="E133" i="401" s="1"/>
  <c r="E157" i="401" a="1"/>
  <c r="E157" i="401" s="1"/>
  <c r="E159" i="401" a="1"/>
  <c r="E159" i="401" s="1"/>
  <c r="E162" i="401" a="1"/>
  <c r="E162" i="401" s="1"/>
  <c r="E12" i="394" a="1"/>
  <c r="E12" i="394" s="1"/>
  <c r="E16" i="394" a="1"/>
  <c r="E16" i="394" s="1"/>
  <c r="E30" i="394" a="1"/>
  <c r="E30" i="394" s="1"/>
  <c r="E34" i="394" a="1"/>
  <c r="E34" i="394" s="1"/>
  <c r="E37" i="394" a="1"/>
  <c r="E37" i="394" s="1"/>
  <c r="E40" i="394" a="1"/>
  <c r="E40" i="394" s="1"/>
  <c r="E42" i="394" a="1"/>
  <c r="E42" i="394" s="1"/>
  <c r="E52" i="394" a="1"/>
  <c r="E52" i="394" s="1"/>
  <c r="E54" i="394" a="1"/>
  <c r="E54" i="394" s="1"/>
  <c r="E59" i="394" a="1"/>
  <c r="E59" i="394" s="1"/>
  <c r="E66" i="394" a="1"/>
  <c r="E66" i="394" s="1"/>
  <c r="E71" i="394" a="1"/>
  <c r="E71" i="394" s="1"/>
  <c r="E74" i="394" a="1"/>
  <c r="E74" i="394" s="1"/>
  <c r="E84" i="394" a="1"/>
  <c r="E84" i="394" s="1"/>
  <c r="E86" i="394" a="1"/>
  <c r="E86" i="394" s="1"/>
  <c r="E89" i="394" a="1"/>
  <c r="E89" i="394" s="1"/>
  <c r="E92" i="394" a="1"/>
  <c r="E92" i="394" s="1"/>
  <c r="E97" i="394" a="1"/>
  <c r="E97" i="394" s="1"/>
  <c r="E102" i="394" a="1"/>
  <c r="E102" i="394" s="1"/>
  <c r="E108" i="394" a="1"/>
  <c r="E108" i="394" s="1"/>
  <c r="E113" i="394" a="1"/>
  <c r="E113" i="394" s="1"/>
  <c r="E123" i="394" a="1"/>
  <c r="E123" i="394" s="1"/>
  <c r="E126" i="394" a="1"/>
  <c r="E126" i="394" s="1"/>
  <c r="E129" i="394" a="1"/>
  <c r="E129" i="394" s="1"/>
  <c r="E132" i="394" a="1"/>
  <c r="E132" i="394" s="1"/>
  <c r="E135" i="394" a="1"/>
  <c r="E135" i="394" s="1"/>
  <c r="E137" i="394" a="1"/>
  <c r="E137" i="394" s="1"/>
  <c r="E140" i="394" a="1"/>
  <c r="E140" i="394" s="1"/>
  <c r="C164" i="394"/>
  <c r="E159" i="394" a="1"/>
  <c r="E159" i="394" s="1"/>
  <c r="E162" i="394" a="1"/>
  <c r="E162" i="394" s="1"/>
  <c r="E162" i="402" a="1"/>
  <c r="E162" i="402" s="1"/>
  <c r="E160" i="402" a="1"/>
  <c r="E160" i="402" s="1"/>
  <c r="E145" i="402" a="1"/>
  <c r="E145" i="402" s="1"/>
  <c r="E140" i="402" a="1"/>
  <c r="E140" i="402" s="1"/>
  <c r="E137" i="402" a="1"/>
  <c r="E137" i="402" s="1"/>
  <c r="E134" i="402" a="1"/>
  <c r="E134" i="402" s="1"/>
  <c r="E132" i="402" a="1"/>
  <c r="E132" i="402" s="1"/>
  <c r="E12" i="402" a="1"/>
  <c r="E12" i="402" s="1"/>
  <c r="E18" i="402" a="1"/>
  <c r="E18" i="402" s="1"/>
  <c r="E23" i="402" a="1"/>
  <c r="E23" i="402" s="1"/>
  <c r="E28" i="402" a="1"/>
  <c r="E28" i="402" s="1"/>
  <c r="E33" i="402" a="1"/>
  <c r="E33" i="402" s="1"/>
  <c r="E37" i="402" a="1"/>
  <c r="E37" i="402" s="1"/>
  <c r="E40" i="402" a="1"/>
  <c r="E40" i="402" s="1"/>
  <c r="E53" i="402" a="1"/>
  <c r="E53" i="402" s="1"/>
  <c r="E59" i="402" a="1"/>
  <c r="E59" i="402" s="1"/>
  <c r="E61" i="402" a="1"/>
  <c r="E61" i="402" s="1"/>
  <c r="E66" i="402" a="1"/>
  <c r="E66" i="402" s="1"/>
  <c r="E69" i="402" a="1"/>
  <c r="E69" i="402" s="1"/>
  <c r="E72" i="402" a="1"/>
  <c r="E72" i="402" s="1"/>
  <c r="E79" i="402" a="1"/>
  <c r="E79" i="402" s="1"/>
  <c r="E81" i="402" a="1"/>
  <c r="E81" i="402" s="1"/>
  <c r="E84" i="402" a="1"/>
  <c r="E84" i="402" s="1"/>
  <c r="E86" i="402" a="1"/>
  <c r="E86" i="402" s="1"/>
  <c r="E89" i="402" a="1"/>
  <c r="E89" i="402" s="1"/>
  <c r="E93" i="402" a="1"/>
  <c r="E93" i="402" s="1"/>
  <c r="E96" i="402" a="1"/>
  <c r="E96" i="402" s="1"/>
  <c r="E99" i="402" a="1"/>
  <c r="E99" i="402" s="1"/>
  <c r="E107" i="402" a="1"/>
  <c r="E107" i="402" s="1"/>
  <c r="E110" i="402" a="1"/>
  <c r="E110" i="402" s="1"/>
  <c r="E113" i="402" a="1"/>
  <c r="E113" i="402" s="1"/>
  <c r="E119" i="402" a="1"/>
  <c r="E119" i="402" s="1"/>
  <c r="E130" i="402" a="1"/>
  <c r="E130" i="402" s="1"/>
  <c r="C139" i="402"/>
  <c r="E158" i="402" a="1"/>
  <c r="E158" i="402" s="1"/>
  <c r="C139" i="405"/>
  <c r="C139" i="401"/>
  <c r="E175" i="394" a="1"/>
  <c r="E175" i="394" s="1"/>
  <c r="E177" i="394" s="1"/>
  <c r="C29" i="402"/>
  <c r="C27" i="402" s="1"/>
  <c r="C32" i="402"/>
  <c r="E88" i="402" a="1"/>
  <c r="E88" i="402" s="1"/>
  <c r="E92" i="402" a="1"/>
  <c r="E92" i="402" s="1"/>
  <c r="E95" i="402" a="1"/>
  <c r="E95" i="402" s="1"/>
  <c r="E98" i="402" a="1"/>
  <c r="E98" i="402" s="1"/>
  <c r="E101" i="402" a="1"/>
  <c r="E101" i="402" s="1"/>
  <c r="E104" i="402" a="1"/>
  <c r="E104" i="402" s="1"/>
  <c r="E106" i="402" a="1"/>
  <c r="E106" i="402" s="1"/>
  <c r="E109" i="402" a="1"/>
  <c r="E109" i="402" s="1"/>
  <c r="E116" i="402" a="1"/>
  <c r="E116" i="402" s="1"/>
  <c r="E118" i="402" a="1"/>
  <c r="E118" i="402" s="1"/>
  <c r="E121" i="402" a="1"/>
  <c r="E121" i="402" s="1"/>
  <c r="E124" i="402" a="1"/>
  <c r="E124" i="402" s="1"/>
  <c r="E127" i="402" a="1"/>
  <c r="E127" i="402" s="1"/>
  <c r="E129" i="402" a="1"/>
  <c r="E129" i="402" s="1"/>
  <c r="E135" i="402" a="1"/>
  <c r="E135" i="402" s="1"/>
  <c r="E155" i="402" a="1"/>
  <c r="E155" i="402" s="1"/>
  <c r="E157" i="402" a="1"/>
  <c r="E157" i="402" s="1"/>
  <c r="E163" i="402" a="1"/>
  <c r="E163" i="402" s="1"/>
  <c r="E13" i="401" a="1"/>
  <c r="E13" i="401" s="1"/>
  <c r="C15" i="401"/>
  <c r="E20" i="401" a="1"/>
  <c r="E20" i="401" s="1"/>
  <c r="E30" i="401" a="1"/>
  <c r="E30" i="401" s="1"/>
  <c r="E39" i="401" a="1"/>
  <c r="E39" i="401" s="1"/>
  <c r="E44" i="401" a="1"/>
  <c r="E44" i="401" s="1"/>
  <c r="C51" i="401"/>
  <c r="C50" i="401"/>
  <c r="E56" i="401" a="1"/>
  <c r="E56" i="401" s="1"/>
  <c r="E64" i="401" a="1"/>
  <c r="E64" i="401" s="1"/>
  <c r="E67" i="401" a="1"/>
  <c r="E67" i="401" s="1"/>
  <c r="E71" i="401" a="1"/>
  <c r="E71" i="401" s="1"/>
  <c r="E80" i="401" a="1"/>
  <c r="E80" i="401" s="1"/>
  <c r="E83" i="401" a="1"/>
  <c r="E83" i="401" s="1"/>
  <c r="E88" i="401" a="1"/>
  <c r="E88" i="401" s="1"/>
  <c r="E90" i="401" a="1"/>
  <c r="E90" i="401" s="1"/>
  <c r="E93" i="401" a="1"/>
  <c r="E93" i="401" s="1"/>
  <c r="E95" i="401" a="1"/>
  <c r="E95" i="401" s="1"/>
  <c r="E97" i="401" a="1"/>
  <c r="E97" i="401" s="1"/>
  <c r="E103" i="401" a="1"/>
  <c r="E103" i="401" s="1"/>
  <c r="E106" i="401" a="1"/>
  <c r="E106" i="401" s="1"/>
  <c r="E112" i="401" a="1"/>
  <c r="E112" i="401" s="1"/>
  <c r="E115" i="401" a="1"/>
  <c r="E115" i="401" s="1"/>
  <c r="E120" i="401" a="1"/>
  <c r="E120" i="401" s="1"/>
  <c r="E126" i="401" a="1"/>
  <c r="E126" i="401" s="1"/>
  <c r="E129" i="401" a="1"/>
  <c r="E129" i="401" s="1"/>
  <c r="E140" i="401" a="1"/>
  <c r="E140" i="401" s="1"/>
  <c r="E158" i="401" a="1"/>
  <c r="E158" i="401" s="1"/>
  <c r="E161" i="401" a="1"/>
  <c r="E161" i="401" s="1"/>
  <c r="E175" i="401" a="1"/>
  <c r="E175" i="401" s="1"/>
  <c r="E177" i="401" s="1"/>
  <c r="E13" i="394" a="1"/>
  <c r="E13" i="394" s="1"/>
  <c r="E18" i="394" a="1"/>
  <c r="E18" i="394" s="1"/>
  <c r="E28" i="394" a="1"/>
  <c r="E28" i="394" s="1"/>
  <c r="E35" i="394" a="1"/>
  <c r="E35" i="394" s="1"/>
  <c r="E38" i="394" a="1"/>
  <c r="E38" i="394" s="1"/>
  <c r="E41" i="394" a="1"/>
  <c r="E41" i="394" s="1"/>
  <c r="E43" i="394" a="1"/>
  <c r="E43" i="394" s="1"/>
  <c r="E53" i="394" a="1"/>
  <c r="E53" i="394" s="1"/>
  <c r="E58" i="394" a="1"/>
  <c r="E58" i="394" s="1"/>
  <c r="E65" i="394" a="1"/>
  <c r="E65" i="394" s="1"/>
  <c r="E72" i="394" a="1"/>
  <c r="E72" i="394" s="1"/>
  <c r="E79" i="394" a="1"/>
  <c r="E79" i="394" s="1"/>
  <c r="E82" i="394" a="1"/>
  <c r="E82" i="394" s="1"/>
  <c r="E85" i="394" a="1"/>
  <c r="E85" i="394" s="1"/>
  <c r="E98" i="394" a="1"/>
  <c r="E98" i="394" s="1"/>
  <c r="E101" i="394" a="1"/>
  <c r="E101" i="394" s="1"/>
  <c r="E104" i="394" a="1"/>
  <c r="E104" i="394" s="1"/>
  <c r="E117" i="394" a="1"/>
  <c r="E117" i="394" s="1"/>
  <c r="E122" i="394" a="1"/>
  <c r="E122" i="394" s="1"/>
  <c r="E127" i="394" a="1"/>
  <c r="E127" i="394" s="1"/>
  <c r="E131" i="394" a="1"/>
  <c r="E131" i="394" s="1"/>
  <c r="E133" i="394" a="1"/>
  <c r="E133" i="394" s="1"/>
  <c r="E136" i="394" a="1"/>
  <c r="E136" i="394" s="1"/>
  <c r="E141" i="394" a="1"/>
  <c r="E141" i="394" s="1"/>
  <c r="E145" i="394" a="1"/>
  <c r="E145" i="394" s="1"/>
  <c r="E144" i="394" s="1"/>
  <c r="E158" i="394" a="1"/>
  <c r="E158" i="394" s="1"/>
  <c r="E163" i="394" a="1"/>
  <c r="E163" i="394" s="1"/>
  <c r="E10" i="402" a="1"/>
  <c r="E10" i="402" s="1"/>
  <c r="E13" i="402" a="1"/>
  <c r="E13" i="402" s="1"/>
  <c r="C15" i="402"/>
  <c r="E17" i="402" a="1"/>
  <c r="E17" i="402" s="1"/>
  <c r="E26" i="402" a="1"/>
  <c r="E26" i="402" s="1"/>
  <c r="E30" i="402" a="1"/>
  <c r="E30" i="402" s="1"/>
  <c r="E34" i="402" a="1"/>
  <c r="E34" i="402" s="1"/>
  <c r="E38" i="402" a="1"/>
  <c r="E38" i="402" s="1"/>
  <c r="E44" i="402" a="1"/>
  <c r="E44" i="402" s="1"/>
  <c r="E57" i="402" a="1"/>
  <c r="E57" i="402" s="1"/>
  <c r="E60" i="402" a="1"/>
  <c r="E60" i="402" s="1"/>
  <c r="E65" i="402" a="1"/>
  <c r="E65" i="402" s="1"/>
  <c r="E70" i="402" a="1"/>
  <c r="E70" i="402" s="1"/>
  <c r="E80" i="402" a="1"/>
  <c r="E80" i="402" s="1"/>
  <c r="E83" i="402" a="1"/>
  <c r="E83" i="402" s="1"/>
  <c r="E85" i="402" a="1"/>
  <c r="E85" i="402" s="1"/>
  <c r="E87" i="402" a="1"/>
  <c r="E87" i="402" s="1"/>
  <c r="E91" i="402" a="1"/>
  <c r="E91" i="402" s="1"/>
  <c r="E94" i="402" a="1"/>
  <c r="E94" i="402" s="1"/>
  <c r="E97" i="402" a="1"/>
  <c r="E97" i="402" s="1"/>
  <c r="E103" i="402" a="1"/>
  <c r="E103" i="402" s="1"/>
  <c r="E112" i="402" a="1"/>
  <c r="E112" i="402" s="1"/>
  <c r="E115" i="402" a="1"/>
  <c r="E115" i="402" s="1"/>
  <c r="E123" i="402" a="1"/>
  <c r="E123" i="402" s="1"/>
  <c r="E126" i="402" a="1"/>
  <c r="E126" i="402" s="1"/>
  <c r="E131" i="402" a="1"/>
  <c r="E131" i="402" s="1"/>
  <c r="E133" i="402" a="1"/>
  <c r="E133" i="402" s="1"/>
  <c r="E142" i="402" a="1"/>
  <c r="E142" i="402" s="1"/>
  <c r="E159" i="402" a="1"/>
  <c r="E159" i="402" s="1"/>
  <c r="E161" i="402" a="1"/>
  <c r="E161" i="402" s="1"/>
  <c r="C21" i="403"/>
  <c r="C51" i="403"/>
  <c r="C50" i="403"/>
  <c r="C21" i="401"/>
  <c r="C27" i="401"/>
  <c r="E100" i="401" a="1"/>
  <c r="E100" i="401" s="1"/>
  <c r="E102" i="401" a="1"/>
  <c r="E102" i="401" s="1"/>
  <c r="E105" i="401" a="1"/>
  <c r="E105" i="401" s="1"/>
  <c r="E108" i="401" a="1"/>
  <c r="E108" i="401" s="1"/>
  <c r="E111" i="401" a="1"/>
  <c r="E111" i="401" s="1"/>
  <c r="E114" i="401" a="1"/>
  <c r="E114" i="401" s="1"/>
  <c r="E117" i="401" a="1"/>
  <c r="E117" i="401" s="1"/>
  <c r="E123" i="401" a="1"/>
  <c r="E123" i="401" s="1"/>
  <c r="E125" i="401" a="1"/>
  <c r="E125" i="401" s="1"/>
  <c r="E128" i="401" a="1"/>
  <c r="E128" i="401" s="1"/>
  <c r="E131" i="401" a="1"/>
  <c r="E131" i="401" s="1"/>
  <c r="E134" i="401" a="1"/>
  <c r="E134" i="401" s="1"/>
  <c r="E136" i="401" a="1"/>
  <c r="E136" i="401" s="1"/>
  <c r="E142" i="401" a="1"/>
  <c r="E142" i="401" s="1"/>
  <c r="E155" i="401" a="1"/>
  <c r="E155" i="401" s="1"/>
  <c r="E160" i="401" a="1"/>
  <c r="E160" i="401" s="1"/>
  <c r="C11" i="394"/>
  <c r="C9" i="394"/>
  <c r="C15" i="394"/>
  <c r="C29" i="394"/>
  <c r="C27" i="394" s="1"/>
  <c r="C36" i="394"/>
  <c r="E55" i="394" a="1"/>
  <c r="E55" i="394" s="1"/>
  <c r="E57" i="394" a="1"/>
  <c r="E57" i="394" s="1"/>
  <c r="E60" i="394" a="1"/>
  <c r="E60" i="394" s="1"/>
  <c r="E62" i="394" a="1"/>
  <c r="E62" i="394" s="1"/>
  <c r="E64" i="394" a="1"/>
  <c r="E64" i="394" s="1"/>
  <c r="E67" i="394" a="1"/>
  <c r="E67" i="394" s="1"/>
  <c r="E69" i="394" a="1"/>
  <c r="E69" i="394" s="1"/>
  <c r="E81" i="394" a="1"/>
  <c r="E81" i="394" s="1"/>
  <c r="E87" i="394" a="1"/>
  <c r="E87" i="394" s="1"/>
  <c r="E90" i="394" a="1"/>
  <c r="E90" i="394" s="1"/>
  <c r="E93" i="394" a="1"/>
  <c r="E93" i="394" s="1"/>
  <c r="E95" i="394" a="1"/>
  <c r="E95" i="394" s="1"/>
  <c r="E100" i="394" a="1"/>
  <c r="E100" i="394" s="1"/>
  <c r="E103" i="394" a="1"/>
  <c r="E103" i="394" s="1"/>
  <c r="E106" i="394" a="1"/>
  <c r="E106" i="394" s="1"/>
  <c r="E109" i="394" a="1"/>
  <c r="E109" i="394" s="1"/>
  <c r="E111" i="394" a="1"/>
  <c r="E111" i="394" s="1"/>
  <c r="E114" i="394" a="1"/>
  <c r="E114" i="394" s="1"/>
  <c r="E116" i="394" a="1"/>
  <c r="E116" i="394" s="1"/>
  <c r="E119" i="394" a="1"/>
  <c r="E119" i="394" s="1"/>
  <c r="E121" i="394" a="1"/>
  <c r="E121" i="394" s="1"/>
  <c r="E124" i="394" a="1"/>
  <c r="E124" i="394" s="1"/>
  <c r="E130" i="394" a="1"/>
  <c r="E130" i="394" s="1"/>
  <c r="C139" i="394"/>
  <c r="E155" i="394" a="1"/>
  <c r="E155" i="394" s="1"/>
  <c r="E157" i="394" a="1"/>
  <c r="E157" i="394" s="1"/>
  <c r="E54" i="402" a="1"/>
  <c r="E54" i="402" s="1"/>
  <c r="E56" i="402" a="1"/>
  <c r="E56" i="402" s="1"/>
  <c r="E62" i="402" a="1"/>
  <c r="E62" i="402" s="1"/>
  <c r="E64" i="402" a="1"/>
  <c r="E64" i="402" s="1"/>
  <c r="E67" i="402" a="1"/>
  <c r="E67" i="402" s="1"/>
  <c r="E73" i="402" a="1"/>
  <c r="E73" i="402" s="1"/>
  <c r="E82" i="402" a="1"/>
  <c r="E82" i="402" s="1"/>
  <c r="E90" i="402" a="1"/>
  <c r="E90" i="402" s="1"/>
  <c r="E100" i="402" a="1"/>
  <c r="E100" i="402" s="1"/>
  <c r="E102" i="402" a="1"/>
  <c r="E102" i="402" s="1"/>
  <c r="E105" i="402" a="1"/>
  <c r="E105" i="402" s="1"/>
  <c r="E108" i="402" a="1"/>
  <c r="E108" i="402" s="1"/>
  <c r="E111" i="402" a="1"/>
  <c r="E111" i="402" s="1"/>
  <c r="E114" i="402" a="1"/>
  <c r="E114" i="402" s="1"/>
  <c r="E117" i="402" a="1"/>
  <c r="E117" i="402" s="1"/>
  <c r="E120" i="402" a="1"/>
  <c r="E120" i="402" s="1"/>
  <c r="E122" i="402" a="1"/>
  <c r="E122" i="402" s="1"/>
  <c r="E125" i="402" a="1"/>
  <c r="E125" i="402" s="1"/>
  <c r="E128" i="402" a="1"/>
  <c r="E128" i="402" s="1"/>
  <c r="E136" i="402" a="1"/>
  <c r="E136" i="402" s="1"/>
  <c r="E141" i="402" a="1"/>
  <c r="E141" i="402" s="1"/>
  <c r="E156" i="402" a="1"/>
  <c r="E156" i="402" s="1"/>
  <c r="E175" i="402" a="1"/>
  <c r="E175" i="402" s="1"/>
  <c r="E177" i="402" s="1"/>
  <c r="C36" i="405"/>
  <c r="E43" i="403" a="1"/>
  <c r="E43" i="403" s="1"/>
  <c r="E53" i="403" a="1"/>
  <c r="E53" i="403" s="1"/>
  <c r="E56" i="403" a="1"/>
  <c r="E56" i="403" s="1"/>
  <c r="E59" i="403" a="1"/>
  <c r="E59" i="403" s="1"/>
  <c r="E64" i="403" a="1"/>
  <c r="E64" i="403" s="1"/>
  <c r="E67" i="403" a="1"/>
  <c r="E67" i="403" s="1"/>
  <c r="E72" i="403" a="1"/>
  <c r="E72" i="403" s="1"/>
  <c r="C78" i="403"/>
  <c r="C77" i="403" s="1"/>
  <c r="E80" i="403" a="1"/>
  <c r="E80" i="403" s="1"/>
  <c r="E82" i="403" a="1"/>
  <c r="E82" i="403" s="1"/>
  <c r="E85" i="403" a="1"/>
  <c r="E85" i="403" s="1"/>
  <c r="E90" i="403" a="1"/>
  <c r="E90" i="403" s="1"/>
  <c r="E96" i="403" a="1"/>
  <c r="E96" i="403" s="1"/>
  <c r="E98" i="403" a="1"/>
  <c r="E98" i="403" s="1"/>
  <c r="E101" i="403" a="1"/>
  <c r="E101" i="403" s="1"/>
  <c r="E104" i="403" a="1"/>
  <c r="E104" i="403" s="1"/>
  <c r="E107" i="403" a="1"/>
  <c r="E107" i="403" s="1"/>
  <c r="E110" i="403" a="1"/>
  <c r="E110" i="403" s="1"/>
  <c r="E113" i="403" a="1"/>
  <c r="E113" i="403" s="1"/>
  <c r="E116" i="403" a="1"/>
  <c r="E116" i="403" s="1"/>
  <c r="E118" i="403" a="1"/>
  <c r="E118" i="403" s="1"/>
  <c r="E121" i="403" a="1"/>
  <c r="E121" i="403" s="1"/>
  <c r="E128" i="403" a="1"/>
  <c r="E128" i="403" s="1"/>
  <c r="E130" i="403" a="1"/>
  <c r="E130" i="403" s="1"/>
  <c r="E133" i="403" a="1"/>
  <c r="E133" i="403" s="1"/>
  <c r="E136" i="403" a="1"/>
  <c r="E136" i="403" s="1"/>
  <c r="E155" i="403" a="1"/>
  <c r="E155" i="403" s="1"/>
  <c r="E157" i="403" a="1"/>
  <c r="E157" i="403" s="1"/>
  <c r="E160" i="403" a="1"/>
  <c r="E160" i="403" s="1"/>
  <c r="E162" i="403" a="1"/>
  <c r="E162" i="403" s="1"/>
  <c r="E81" i="404" a="1"/>
  <c r="E81" i="404" s="1"/>
  <c r="E90" i="404" a="1"/>
  <c r="E90" i="404" s="1"/>
  <c r="E96" i="404" a="1"/>
  <c r="E96" i="404" s="1"/>
  <c r="E98" i="404" a="1"/>
  <c r="E98" i="404" s="1"/>
  <c r="E101" i="404" a="1"/>
  <c r="E101" i="404" s="1"/>
  <c r="E104" i="404" a="1"/>
  <c r="E104" i="404" s="1"/>
  <c r="E107" i="404" a="1"/>
  <c r="E107" i="404" s="1"/>
  <c r="E110" i="404" a="1"/>
  <c r="E110" i="404" s="1"/>
  <c r="E113" i="404" a="1"/>
  <c r="E113" i="404" s="1"/>
  <c r="E116" i="404" a="1"/>
  <c r="E116" i="404" s="1"/>
  <c r="E118" i="404" a="1"/>
  <c r="E118" i="404" s="1"/>
  <c r="E121" i="404" a="1"/>
  <c r="E121" i="404" s="1"/>
  <c r="E128" i="404" a="1"/>
  <c r="E128" i="404" s="1"/>
  <c r="E130" i="404" a="1"/>
  <c r="E130" i="404" s="1"/>
  <c r="E133" i="404" a="1"/>
  <c r="E133" i="404" s="1"/>
  <c r="E136" i="404" a="1"/>
  <c r="E136" i="404" s="1"/>
  <c r="E155" i="404" a="1"/>
  <c r="E155" i="404" s="1"/>
  <c r="E157" i="404" a="1"/>
  <c r="E157" i="404" s="1"/>
  <c r="E160" i="404" a="1"/>
  <c r="E160" i="404" s="1"/>
  <c r="E163" i="404" a="1"/>
  <c r="E163" i="404" s="1"/>
  <c r="C15" i="405"/>
  <c r="E91" i="405" a="1"/>
  <c r="E91" i="405" s="1"/>
  <c r="E94" i="405" a="1"/>
  <c r="E94" i="405" s="1"/>
  <c r="E103" i="405" a="1"/>
  <c r="E103" i="405" s="1"/>
  <c r="E112" i="405" a="1"/>
  <c r="E112" i="405" s="1"/>
  <c r="E115" i="405" a="1"/>
  <c r="E115" i="405" s="1"/>
  <c r="E118" i="405" a="1"/>
  <c r="E118" i="405" s="1"/>
  <c r="E121" i="405" a="1"/>
  <c r="E121" i="405" s="1"/>
  <c r="E124" i="405" a="1"/>
  <c r="E124" i="405" s="1"/>
  <c r="E127" i="405" a="1"/>
  <c r="E127" i="405" s="1"/>
  <c r="E130" i="405" a="1"/>
  <c r="E130" i="405" s="1"/>
  <c r="E133" i="405" a="1"/>
  <c r="E133" i="405" s="1"/>
  <c r="E136" i="405" a="1"/>
  <c r="E136" i="405" s="1"/>
  <c r="E141" i="405" a="1"/>
  <c r="E141" i="405" s="1"/>
  <c r="E156" i="405" a="1"/>
  <c r="E156" i="405" s="1"/>
  <c r="E160" i="405" a="1"/>
  <c r="E160" i="405" s="1"/>
  <c r="E162" i="405" a="1"/>
  <c r="E162" i="405" s="1"/>
  <c r="C21" i="388"/>
  <c r="C19" i="388"/>
  <c r="E22" i="391"/>
  <c r="E61" i="403" a="1"/>
  <c r="E61" i="403" s="1"/>
  <c r="E66" i="403" a="1"/>
  <c r="E66" i="403" s="1"/>
  <c r="E69" i="403" a="1"/>
  <c r="E69" i="403" s="1"/>
  <c r="E79" i="403" a="1"/>
  <c r="E79" i="403" s="1"/>
  <c r="E87" i="403" a="1"/>
  <c r="E87" i="403" s="1"/>
  <c r="E89" i="403" a="1"/>
  <c r="E89" i="403" s="1"/>
  <c r="E93" i="403" a="1"/>
  <c r="E93" i="403" s="1"/>
  <c r="E95" i="403" a="1"/>
  <c r="E95" i="403" s="1"/>
  <c r="E103" i="403" a="1"/>
  <c r="E103" i="403" s="1"/>
  <c r="E106" i="403" a="1"/>
  <c r="E106" i="403" s="1"/>
  <c r="E109" i="403" a="1"/>
  <c r="E109" i="403" s="1"/>
  <c r="E115" i="403" a="1"/>
  <c r="E115" i="403" s="1"/>
  <c r="E124" i="403" a="1"/>
  <c r="E124" i="403" s="1"/>
  <c r="E127" i="403" a="1"/>
  <c r="E127" i="403" s="1"/>
  <c r="E135" i="403" a="1"/>
  <c r="E135" i="403" s="1"/>
  <c r="C139" i="403"/>
  <c r="E141" i="403" a="1"/>
  <c r="E141" i="403" s="1"/>
  <c r="E159" i="403" a="1"/>
  <c r="E159" i="403" s="1"/>
  <c r="C11" i="404"/>
  <c r="C9" i="404" s="1"/>
  <c r="E13" i="404" a="1"/>
  <c r="E13" i="404" s="1"/>
  <c r="C15" i="404"/>
  <c r="E17" i="404" a="1"/>
  <c r="E17" i="404" s="1"/>
  <c r="E30" i="404" a="1"/>
  <c r="E30" i="404" s="1"/>
  <c r="E41" i="404" a="1"/>
  <c r="E41" i="404" s="1"/>
  <c r="E43" i="404" a="1"/>
  <c r="E43" i="404" s="1"/>
  <c r="E54" i="404" a="1"/>
  <c r="E54" i="404" s="1"/>
  <c r="E71" i="404" a="1"/>
  <c r="E71" i="404" s="1"/>
  <c r="E74" i="404" a="1"/>
  <c r="E74" i="404" s="1"/>
  <c r="E80" i="404" a="1"/>
  <c r="E80" i="404" s="1"/>
  <c r="E83" i="404" a="1"/>
  <c r="E83" i="404" s="1"/>
  <c r="E86" i="404" a="1"/>
  <c r="E86" i="404" s="1"/>
  <c r="E89" i="404" a="1"/>
  <c r="E89" i="404" s="1"/>
  <c r="E93" i="404" a="1"/>
  <c r="E93" i="404" s="1"/>
  <c r="E95" i="404" a="1"/>
  <c r="E95" i="404" s="1"/>
  <c r="E103" i="404" a="1"/>
  <c r="E103" i="404" s="1"/>
  <c r="E106" i="404" a="1"/>
  <c r="E106" i="404" s="1"/>
  <c r="E109" i="404" a="1"/>
  <c r="E109" i="404" s="1"/>
  <c r="E115" i="404" a="1"/>
  <c r="E115" i="404" s="1"/>
  <c r="E124" i="404" a="1"/>
  <c r="E124" i="404" s="1"/>
  <c r="E127" i="404" a="1"/>
  <c r="E127" i="404" s="1"/>
  <c r="E135" i="404" a="1"/>
  <c r="E135" i="404" s="1"/>
  <c r="C139" i="404"/>
  <c r="E141" i="404" a="1"/>
  <c r="E141" i="404" s="1"/>
  <c r="E162" i="404" a="1"/>
  <c r="E162" i="404" s="1"/>
  <c r="C21" i="405"/>
  <c r="C19" i="405" s="1"/>
  <c r="E84" i="405" a="1"/>
  <c r="E84" i="405" s="1"/>
  <c r="E87" i="405" a="1"/>
  <c r="E87" i="405" s="1"/>
  <c r="E90" i="405" a="1"/>
  <c r="E90" i="405" s="1"/>
  <c r="E93" i="405" a="1"/>
  <c r="E93" i="405" s="1"/>
  <c r="E96" i="405" a="1"/>
  <c r="E96" i="405" s="1"/>
  <c r="E99" i="405" a="1"/>
  <c r="E99" i="405" s="1"/>
  <c r="E102" i="405" a="1"/>
  <c r="E102" i="405" s="1"/>
  <c r="E105" i="405" a="1"/>
  <c r="E105" i="405" s="1"/>
  <c r="E108" i="405" a="1"/>
  <c r="E108" i="405" s="1"/>
  <c r="E111" i="405" a="1"/>
  <c r="E111" i="405" s="1"/>
  <c r="E114" i="405" a="1"/>
  <c r="E114" i="405" s="1"/>
  <c r="E117" i="405" a="1"/>
  <c r="E117" i="405" s="1"/>
  <c r="E123" i="405" a="1"/>
  <c r="E123" i="405" s="1"/>
  <c r="E126" i="405" a="1"/>
  <c r="E126" i="405" s="1"/>
  <c r="E129" i="405" a="1"/>
  <c r="E129" i="405" s="1"/>
  <c r="E132" i="405" a="1"/>
  <c r="E132" i="405" s="1"/>
  <c r="E140" i="405" a="1"/>
  <c r="E140" i="405" s="1"/>
  <c r="E145" i="405" a="1"/>
  <c r="E145" i="405" s="1"/>
  <c r="E144" i="405" s="1"/>
  <c r="E162" i="388" a="1"/>
  <c r="E162" i="388" s="1"/>
  <c r="E158" i="388" a="1"/>
  <c r="E158" i="388" s="1"/>
  <c r="E140" i="388" a="1"/>
  <c r="E140" i="388" s="1"/>
  <c r="E136" i="388" a="1"/>
  <c r="E136" i="388" s="1"/>
  <c r="E133" i="388" a="1"/>
  <c r="E133" i="388" s="1"/>
  <c r="E130" i="388" a="1"/>
  <c r="E130" i="388" s="1"/>
  <c r="E122" i="388" a="1"/>
  <c r="E122" i="388" s="1"/>
  <c r="E119" i="388" a="1"/>
  <c r="E119" i="388" s="1"/>
  <c r="E115" i="388" a="1"/>
  <c r="E115" i="388" s="1"/>
  <c r="E110" i="388" a="1"/>
  <c r="E110" i="388" s="1"/>
  <c r="E107" i="388" a="1"/>
  <c r="E107" i="388" s="1"/>
  <c r="E101" i="388" a="1"/>
  <c r="E101" i="388" s="1"/>
  <c r="E97" i="388" a="1"/>
  <c r="E97" i="388" s="1"/>
  <c r="E92" i="388" a="1"/>
  <c r="E92" i="388" s="1"/>
  <c r="E89" i="388" a="1"/>
  <c r="E89" i="388" s="1"/>
  <c r="E86" i="388" a="1"/>
  <c r="E86" i="388" s="1"/>
  <c r="E82" i="388" a="1"/>
  <c r="E82" i="388" s="1"/>
  <c r="E72" i="388" a="1"/>
  <c r="E72" i="388" s="1"/>
  <c r="E69" i="388" a="1"/>
  <c r="E69" i="388" s="1"/>
  <c r="E66" i="388" a="1"/>
  <c r="E66" i="388" s="1"/>
  <c r="E63" i="388" a="1"/>
  <c r="E63" i="388" s="1"/>
  <c r="E60" i="388" a="1"/>
  <c r="E60" i="388" s="1"/>
  <c r="E57" i="388" a="1"/>
  <c r="E57" i="388" s="1"/>
  <c r="E53" i="388" a="1"/>
  <c r="E53" i="388" s="1"/>
  <c r="E44" i="388" a="1"/>
  <c r="E44" i="388" s="1"/>
  <c r="E31" i="388" a="1"/>
  <c r="E31" i="388" s="1"/>
  <c r="E23" i="388" a="1"/>
  <c r="E23" i="388" s="1"/>
  <c r="E17" i="388" a="1"/>
  <c r="E17" i="388" s="1"/>
  <c r="E12" i="388" a="1"/>
  <c r="E12" i="388" s="1"/>
  <c r="E159" i="388" a="1"/>
  <c r="E159" i="388" s="1"/>
  <c r="E156" i="388" a="1"/>
  <c r="E156" i="388" s="1"/>
  <c r="E137" i="388" a="1"/>
  <c r="E137" i="388" s="1"/>
  <c r="E134" i="388" a="1"/>
  <c r="E134" i="388" s="1"/>
  <c r="E131" i="388" a="1"/>
  <c r="E131" i="388" s="1"/>
  <c r="E128" i="388" a="1"/>
  <c r="E128" i="388" s="1"/>
  <c r="E125" i="388" a="1"/>
  <c r="E125" i="388" s="1"/>
  <c r="E123" i="388" a="1"/>
  <c r="E123" i="388" s="1"/>
  <c r="E120" i="388" a="1"/>
  <c r="E120" i="388" s="1"/>
  <c r="E116" i="388" a="1"/>
  <c r="E116" i="388" s="1"/>
  <c r="E113" i="388" a="1"/>
  <c r="E113" i="388" s="1"/>
  <c r="E104" i="388" a="1"/>
  <c r="E104" i="388" s="1"/>
  <c r="E98" i="388" a="1"/>
  <c r="E98" i="388" s="1"/>
  <c r="E95" i="388" a="1"/>
  <c r="E95" i="388" s="1"/>
  <c r="E87" i="388" a="1"/>
  <c r="E87" i="388" s="1"/>
  <c r="E83" i="388" a="1"/>
  <c r="E83" i="388" s="1"/>
  <c r="E79" i="388" a="1"/>
  <c r="E79" i="388" s="1"/>
  <c r="E70" i="388" a="1"/>
  <c r="E70" i="388" s="1"/>
  <c r="E67" i="388" a="1"/>
  <c r="E67" i="388" s="1"/>
  <c r="E64" i="388" a="1"/>
  <c r="E64" i="388" s="1"/>
  <c r="E54" i="388" a="1"/>
  <c r="E54" i="388" s="1"/>
  <c r="E163" i="388" a="1"/>
  <c r="E163" i="388" s="1"/>
  <c r="E160" i="388" a="1"/>
  <c r="E160" i="388" s="1"/>
  <c r="E157" i="388" a="1"/>
  <c r="E157" i="388" s="1"/>
  <c r="E145" i="388" a="1"/>
  <c r="E145" i="388" s="1"/>
  <c r="E144" i="388" s="1"/>
  <c r="E141" i="388" a="1"/>
  <c r="E141" i="388" s="1"/>
  <c r="E135" i="388" a="1"/>
  <c r="E135" i="388" s="1"/>
  <c r="E129" i="388" a="1"/>
  <c r="E129" i="388" s="1"/>
  <c r="E126" i="388" a="1"/>
  <c r="E126" i="388" s="1"/>
  <c r="E117" i="388" a="1"/>
  <c r="E117" i="388" s="1"/>
  <c r="E114" i="388" a="1"/>
  <c r="E114" i="388" s="1"/>
  <c r="E111" i="388" a="1"/>
  <c r="E111" i="388" s="1"/>
  <c r="E175" i="388" a="1"/>
  <c r="E175" i="388" s="1"/>
  <c r="E161" i="388" a="1"/>
  <c r="E161" i="388" s="1"/>
  <c r="E155" i="388" a="1"/>
  <c r="E155" i="388" s="1"/>
  <c r="E142" i="388" a="1"/>
  <c r="E142" i="388" s="1"/>
  <c r="E132" i="388" a="1"/>
  <c r="E132" i="388" s="1"/>
  <c r="E127" i="388" a="1"/>
  <c r="E127" i="388" s="1"/>
  <c r="E124" i="388" a="1"/>
  <c r="E124" i="388" s="1"/>
  <c r="E121" i="388" a="1"/>
  <c r="E121" i="388" s="1"/>
  <c r="E118" i="388" a="1"/>
  <c r="E118" i="388" s="1"/>
  <c r="E112" i="388" a="1"/>
  <c r="E112" i="388" s="1"/>
  <c r="E109" i="388" a="1"/>
  <c r="E109" i="388" s="1"/>
  <c r="E106" i="388" a="1"/>
  <c r="E106" i="388" s="1"/>
  <c r="E103" i="388" a="1"/>
  <c r="E103" i="388" s="1"/>
  <c r="E100" i="388" a="1"/>
  <c r="E100" i="388" s="1"/>
  <c r="E94" i="388" a="1"/>
  <c r="E94" i="388" s="1"/>
  <c r="E91" i="388" a="1"/>
  <c r="E91" i="388" s="1"/>
  <c r="E88" i="388" a="1"/>
  <c r="E88" i="388" s="1"/>
  <c r="E85" i="388" a="1"/>
  <c r="E85" i="388" s="1"/>
  <c r="E81" i="388" a="1"/>
  <c r="E81" i="388" s="1"/>
  <c r="E74" i="388" a="1"/>
  <c r="E74" i="388" s="1"/>
  <c r="E71" i="388" a="1"/>
  <c r="E71" i="388" s="1"/>
  <c r="E62" i="388" a="1"/>
  <c r="E62" i="388" s="1"/>
  <c r="E59" i="388" a="1"/>
  <c r="E59" i="388" s="1"/>
  <c r="E56" i="388" a="1"/>
  <c r="E56" i="388" s="1"/>
  <c r="E43" i="388" a="1"/>
  <c r="E43" i="388" s="1"/>
  <c r="E40" i="388" a="1"/>
  <c r="E40" i="388" s="1"/>
  <c r="E37" i="388" a="1"/>
  <c r="E37" i="388" s="1"/>
  <c r="E35" i="388" a="1"/>
  <c r="E35" i="388" s="1"/>
  <c r="E30" i="388" a="1"/>
  <c r="E30" i="388" s="1"/>
  <c r="E22" i="388" a="1"/>
  <c r="E22" i="388" s="1"/>
  <c r="E16" i="388" a="1"/>
  <c r="E16" i="388" s="1"/>
  <c r="E10" i="388" a="1"/>
  <c r="E10" i="388" s="1"/>
  <c r="E26" i="388" a="1"/>
  <c r="E26" i="388" s="1"/>
  <c r="C29" i="388"/>
  <c r="C27" i="388" s="1"/>
  <c r="C47" i="388" s="1"/>
  <c r="E34" i="388" a="1"/>
  <c r="E34" i="388" s="1"/>
  <c r="E39" i="388" a="1"/>
  <c r="E39" i="388" s="1"/>
  <c r="E45" i="388" a="1"/>
  <c r="E45" i="388" s="1"/>
  <c r="C51" i="388"/>
  <c r="C50" i="388"/>
  <c r="E65" i="388" a="1"/>
  <c r="E65" i="388" s="1"/>
  <c r="E112" i="403" a="1"/>
  <c r="E112" i="403" s="1"/>
  <c r="E114" i="403" a="1"/>
  <c r="E114" i="403" s="1"/>
  <c r="E117" i="403" a="1"/>
  <c r="E117" i="403" s="1"/>
  <c r="E120" i="403" a="1"/>
  <c r="E120" i="403" s="1"/>
  <c r="E123" i="403" a="1"/>
  <c r="E123" i="403" s="1"/>
  <c r="E126" i="403" a="1"/>
  <c r="E126" i="403" s="1"/>
  <c r="E129" i="403" a="1"/>
  <c r="E129" i="403" s="1"/>
  <c r="E132" i="403" a="1"/>
  <c r="E132" i="403" s="1"/>
  <c r="E134" i="403" a="1"/>
  <c r="E134" i="403" s="1"/>
  <c r="E137" i="403" a="1"/>
  <c r="E137" i="403" s="1"/>
  <c r="E140" i="403" a="1"/>
  <c r="E140" i="403" s="1"/>
  <c r="E145" i="403" a="1"/>
  <c r="E145" i="403" s="1"/>
  <c r="E144" i="403" s="1"/>
  <c r="E156" i="403" a="1"/>
  <c r="E156" i="403" s="1"/>
  <c r="E158" i="403" a="1"/>
  <c r="E158" i="403" s="1"/>
  <c r="E161" i="403" a="1"/>
  <c r="E161" i="403" s="1"/>
  <c r="E175" i="403" a="1"/>
  <c r="E175" i="403" s="1"/>
  <c r="E177" i="403" s="1"/>
  <c r="E85" i="404" a="1"/>
  <c r="E85" i="404" s="1"/>
  <c r="E88" i="404" a="1"/>
  <c r="E88" i="404" s="1"/>
  <c r="E92" i="404" a="1"/>
  <c r="E92" i="404" s="1"/>
  <c r="E97" i="404" a="1"/>
  <c r="E97" i="404" s="1"/>
  <c r="E100" i="404" a="1"/>
  <c r="E100" i="404" s="1"/>
  <c r="E102" i="404" a="1"/>
  <c r="E102" i="404" s="1"/>
  <c r="E105" i="404" a="1"/>
  <c r="E105" i="404" s="1"/>
  <c r="E112" i="404" a="1"/>
  <c r="E112" i="404" s="1"/>
  <c r="E114" i="404" a="1"/>
  <c r="E114" i="404" s="1"/>
  <c r="E117" i="404" a="1"/>
  <c r="E117" i="404" s="1"/>
  <c r="E120" i="404" a="1"/>
  <c r="E120" i="404" s="1"/>
  <c r="E123" i="404" a="1"/>
  <c r="E123" i="404" s="1"/>
  <c r="E126" i="404" a="1"/>
  <c r="E126" i="404" s="1"/>
  <c r="E129" i="404" a="1"/>
  <c r="E129" i="404" s="1"/>
  <c r="E132" i="404" a="1"/>
  <c r="E132" i="404" s="1"/>
  <c r="E134" i="404" a="1"/>
  <c r="E134" i="404" s="1"/>
  <c r="E137" i="404" a="1"/>
  <c r="E137" i="404" s="1"/>
  <c r="E140" i="404" a="1"/>
  <c r="E140" i="404" s="1"/>
  <c r="E145" i="404" a="1"/>
  <c r="E145" i="404" s="1"/>
  <c r="E144" i="404" s="1"/>
  <c r="E156" i="404" a="1"/>
  <c r="E156" i="404" s="1"/>
  <c r="E159" i="404" a="1"/>
  <c r="E159" i="404" s="1"/>
  <c r="E161" i="404" a="1"/>
  <c r="E161" i="404" s="1"/>
  <c r="C32" i="405"/>
  <c r="E120" i="405" a="1"/>
  <c r="E120" i="405" s="1"/>
  <c r="E122" i="405" a="1"/>
  <c r="E122" i="405" s="1"/>
  <c r="E125" i="405" a="1"/>
  <c r="E125" i="405" s="1"/>
  <c r="E128" i="405" a="1"/>
  <c r="E128" i="405" s="1"/>
  <c r="E135" i="405" a="1"/>
  <c r="E135" i="405" s="1"/>
  <c r="E159" i="405" a="1"/>
  <c r="E159" i="405" s="1"/>
  <c r="C11" i="388"/>
  <c r="E14" i="388" a="1"/>
  <c r="E14" i="388" s="1"/>
  <c r="E33" i="388" a="1"/>
  <c r="E33" i="388" s="1"/>
  <c r="E38" i="388" a="1"/>
  <c r="E38" i="388" s="1"/>
  <c r="E55" i="388" a="1"/>
  <c r="E55" i="388" s="1"/>
  <c r="E58" i="388" a="1"/>
  <c r="E58" i="388" s="1"/>
  <c r="E61" i="388" a="1"/>
  <c r="E61" i="388" s="1"/>
  <c r="E73" i="388" a="1"/>
  <c r="E73" i="388" s="1"/>
  <c r="E84" i="388" a="1"/>
  <c r="E84" i="388" s="1"/>
  <c r="E90" i="388" a="1"/>
  <c r="E90" i="388" s="1"/>
  <c r="E93" i="388" a="1"/>
  <c r="E93" i="388" s="1"/>
  <c r="E96" i="388" a="1"/>
  <c r="E96" i="388" s="1"/>
  <c r="E18" i="403" a="1"/>
  <c r="E18" i="403" s="1"/>
  <c r="E23" i="403" a="1"/>
  <c r="E23" i="403" s="1"/>
  <c r="E31" i="403" a="1"/>
  <c r="E31" i="403" s="1"/>
  <c r="E34" i="403" a="1"/>
  <c r="E34" i="403" s="1"/>
  <c r="E38" i="403" a="1"/>
  <c r="E38" i="403" s="1"/>
  <c r="E41" i="403" a="1"/>
  <c r="E41" i="403" s="1"/>
  <c r="E44" i="403" a="1"/>
  <c r="E44" i="403" s="1"/>
  <c r="E54" i="403" a="1"/>
  <c r="E54" i="403" s="1"/>
  <c r="E57" i="403" a="1"/>
  <c r="E57" i="403" s="1"/>
  <c r="E62" i="403" a="1"/>
  <c r="E62" i="403" s="1"/>
  <c r="E70" i="403" a="1"/>
  <c r="E70" i="403" s="1"/>
  <c r="E73" i="403" a="1"/>
  <c r="E73" i="403" s="1"/>
  <c r="E83" i="403" a="1"/>
  <c r="E83" i="403" s="1"/>
  <c r="E88" i="403" a="1"/>
  <c r="E88" i="403" s="1"/>
  <c r="E91" i="403" a="1"/>
  <c r="E91" i="403" s="1"/>
  <c r="E94" i="403" a="1"/>
  <c r="E94" i="403" s="1"/>
  <c r="E99" i="403" a="1"/>
  <c r="E99" i="403" s="1"/>
  <c r="E108" i="403" a="1"/>
  <c r="E108" i="403" s="1"/>
  <c r="E111" i="403" a="1"/>
  <c r="E111" i="403" s="1"/>
  <c r="E119" i="403" a="1"/>
  <c r="E119" i="403" s="1"/>
  <c r="E122" i="403" a="1"/>
  <c r="E122" i="403" s="1"/>
  <c r="E125" i="403" a="1"/>
  <c r="E125" i="403" s="1"/>
  <c r="E131" i="403" a="1"/>
  <c r="E131" i="403" s="1"/>
  <c r="E142" i="403" a="1"/>
  <c r="E142" i="403" s="1"/>
  <c r="E28" i="404" a="1"/>
  <c r="E28" i="404" s="1"/>
  <c r="E31" i="404" a="1"/>
  <c r="E31" i="404" s="1"/>
  <c r="C32" i="404"/>
  <c r="E35" i="404" a="1"/>
  <c r="E35" i="404" s="1"/>
  <c r="E39" i="404" a="1"/>
  <c r="E39" i="404" s="1"/>
  <c r="E42" i="404" a="1"/>
  <c r="E42" i="404" s="1"/>
  <c r="E45" i="404" a="1"/>
  <c r="E45" i="404" s="1"/>
  <c r="E53" i="404" a="1"/>
  <c r="E53" i="404" s="1"/>
  <c r="E58" i="404" a="1"/>
  <c r="E58" i="404" s="1"/>
  <c r="E61" i="404" a="1"/>
  <c r="E61" i="404" s="1"/>
  <c r="G61" i="404" s="1"/>
  <c r="E64" i="404" a="1"/>
  <c r="E64" i="404" s="1"/>
  <c r="E67" i="404" a="1"/>
  <c r="E67" i="404" s="1"/>
  <c r="E70" i="404" a="1"/>
  <c r="E70" i="404" s="1"/>
  <c r="E79" i="404" a="1"/>
  <c r="E79" i="404" s="1"/>
  <c r="E82" i="404" a="1"/>
  <c r="E82" i="404" s="1"/>
  <c r="E84" i="404" a="1"/>
  <c r="E84" i="404" s="1"/>
  <c r="E87" i="404" a="1"/>
  <c r="E87" i="404" s="1"/>
  <c r="E91" i="404" a="1"/>
  <c r="E91" i="404" s="1"/>
  <c r="E94" i="404" a="1"/>
  <c r="E94" i="404" s="1"/>
  <c r="E99" i="404" a="1"/>
  <c r="E99" i="404" s="1"/>
  <c r="E108" i="404" a="1"/>
  <c r="E108" i="404" s="1"/>
  <c r="E111" i="404" a="1"/>
  <c r="E111" i="404" s="1"/>
  <c r="E119" i="404" a="1"/>
  <c r="E119" i="404" s="1"/>
  <c r="E122" i="404" a="1"/>
  <c r="E122" i="404" s="1"/>
  <c r="E125" i="404" a="1"/>
  <c r="E125" i="404" s="1"/>
  <c r="E131" i="404" a="1"/>
  <c r="E131" i="404" s="1"/>
  <c r="E142" i="404" a="1"/>
  <c r="E142" i="404" s="1"/>
  <c r="C164" i="404"/>
  <c r="E158" i="404" a="1"/>
  <c r="E158" i="404" s="1"/>
  <c r="E161" i="405" a="1"/>
  <c r="E161" i="405" s="1"/>
  <c r="E158" i="405" a="1"/>
  <c r="E158" i="405" s="1"/>
  <c r="E155" i="405" a="1"/>
  <c r="E155" i="405" s="1"/>
  <c r="E175" i="405" a="1"/>
  <c r="E175" i="405" s="1"/>
  <c r="E157" i="405" a="1"/>
  <c r="E157" i="405" s="1"/>
  <c r="C11" i="405"/>
  <c r="C9" i="405"/>
  <c r="E13" i="405" a="1"/>
  <c r="E13" i="405" s="1"/>
  <c r="E18" i="405" a="1"/>
  <c r="E18" i="405" s="1"/>
  <c r="E28" i="405" a="1"/>
  <c r="E28" i="405" s="1"/>
  <c r="E33" i="405" a="1"/>
  <c r="E33" i="405" s="1"/>
  <c r="E38" i="405" a="1"/>
  <c r="E38" i="405" s="1"/>
  <c r="E41" i="405" a="1"/>
  <c r="E41" i="405" s="1"/>
  <c r="E44" i="405" a="1"/>
  <c r="E44" i="405" s="1"/>
  <c r="E52" i="405" a="1"/>
  <c r="E52" i="405" s="1"/>
  <c r="E55" i="405" a="1"/>
  <c r="E55" i="405" s="1"/>
  <c r="E58" i="405" a="1"/>
  <c r="E58" i="405" s="1"/>
  <c r="E61" i="405" a="1"/>
  <c r="E61" i="405" s="1"/>
  <c r="E64" i="405" a="1"/>
  <c r="E64" i="405" s="1"/>
  <c r="E67" i="405" a="1"/>
  <c r="E67" i="405" s="1"/>
  <c r="E70" i="405" a="1"/>
  <c r="E70" i="405" s="1"/>
  <c r="E80" i="405" a="1"/>
  <c r="E80" i="405" s="1"/>
  <c r="E83" i="405" a="1"/>
  <c r="E83" i="405" s="1"/>
  <c r="E85" i="405" a="1"/>
  <c r="E85" i="405" s="1"/>
  <c r="E88" i="405" a="1"/>
  <c r="E88" i="405" s="1"/>
  <c r="E95" i="405" a="1"/>
  <c r="E95" i="405" s="1"/>
  <c r="E97" i="405" a="1"/>
  <c r="E97" i="405" s="1"/>
  <c r="E100" i="405" a="1"/>
  <c r="E100" i="405" s="1"/>
  <c r="E104" i="405" a="1"/>
  <c r="E104" i="405" s="1"/>
  <c r="E106" i="405" a="1"/>
  <c r="E106" i="405" s="1"/>
  <c r="E109" i="405" a="1"/>
  <c r="E109" i="405" s="1"/>
  <c r="E116" i="405" a="1"/>
  <c r="E116" i="405" s="1"/>
  <c r="E119" i="405" a="1"/>
  <c r="E119" i="405" s="1"/>
  <c r="E131" i="405" a="1"/>
  <c r="E131" i="405" s="1"/>
  <c r="E134" i="405" a="1"/>
  <c r="E134" i="405" s="1"/>
  <c r="E137" i="405" a="1"/>
  <c r="E137" i="405" s="1"/>
  <c r="E142" i="405" a="1"/>
  <c r="E142" i="405" s="1"/>
  <c r="E13" i="388" a="1"/>
  <c r="E13" i="388" s="1"/>
  <c r="C15" i="388"/>
  <c r="E20" i="388" a="1"/>
  <c r="E20" i="388" s="1"/>
  <c r="E42" i="388" a="1"/>
  <c r="E42" i="388" s="1"/>
  <c r="E68" i="388" a="1"/>
  <c r="E68" i="388" s="1"/>
  <c r="E80" i="388" a="1"/>
  <c r="E80" i="388" s="1"/>
  <c r="E99" i="388" a="1"/>
  <c r="E99" i="388" s="1"/>
  <c r="E102" i="388" a="1"/>
  <c r="E102" i="388" s="1"/>
  <c r="E105" i="388" a="1"/>
  <c r="E105" i="388" s="1"/>
  <c r="E108" i="388" a="1"/>
  <c r="E108" i="388" s="1"/>
  <c r="D22" i="391"/>
  <c r="E53" i="391"/>
  <c r="E55" i="391" s="1"/>
  <c r="C135" i="418" a="1"/>
  <c r="C135" i="418" s="1"/>
  <c r="C131" i="418" a="1"/>
  <c r="C131" i="418" s="1"/>
  <c r="C127" i="418" a="1"/>
  <c r="C127" i="418" s="1"/>
  <c r="C123" i="418" a="1"/>
  <c r="C123" i="418" s="1"/>
  <c r="C119" i="418" a="1"/>
  <c r="C119" i="418" s="1"/>
  <c r="C115" i="418" a="1"/>
  <c r="C115" i="418" s="1"/>
  <c r="C111" i="418" a="1"/>
  <c r="C111" i="418" s="1"/>
  <c r="C107" i="418" a="1"/>
  <c r="C107" i="418" s="1"/>
  <c r="C103" i="418" a="1"/>
  <c r="C103" i="418" s="1"/>
  <c r="C99" i="418" a="1"/>
  <c r="C99" i="418" s="1"/>
  <c r="C95" i="418" a="1"/>
  <c r="C95" i="418" s="1"/>
  <c r="C91" i="418" a="1"/>
  <c r="C91" i="418" s="1"/>
  <c r="C15" i="418" a="1"/>
  <c r="C15" i="418" s="1"/>
  <c r="C21" i="418" a="1"/>
  <c r="C21" i="418" s="1"/>
  <c r="C27" i="418" a="1"/>
  <c r="C27" i="418" s="1"/>
  <c r="C33" i="418" a="1"/>
  <c r="C33" i="418" s="1"/>
  <c r="C38" i="418" a="1"/>
  <c r="C38" i="418" s="1"/>
  <c r="C42" i="418" a="1"/>
  <c r="C42" i="418" s="1"/>
  <c r="C49" i="418" a="1"/>
  <c r="C49" i="418" s="1"/>
  <c r="C53" i="418" a="1"/>
  <c r="C53" i="418" s="1"/>
  <c r="C57" i="418" a="1"/>
  <c r="C57" i="418" s="1"/>
  <c r="C61" i="418" a="1"/>
  <c r="C61" i="418" s="1"/>
  <c r="C65" i="418" a="1"/>
  <c r="C65" i="418" s="1"/>
  <c r="C69" i="418" a="1"/>
  <c r="C69" i="418" s="1"/>
  <c r="C75" i="418" a="1"/>
  <c r="C75" i="418" s="1"/>
  <c r="C79" i="418" a="1"/>
  <c r="C79" i="418" s="1"/>
  <c r="C83" i="418" a="1"/>
  <c r="C83" i="418" s="1"/>
  <c r="C87" i="418" a="1"/>
  <c r="C87" i="418" s="1"/>
  <c r="C92" i="418" a="1"/>
  <c r="C92" i="418" s="1"/>
  <c r="C97" i="418" a="1"/>
  <c r="C97" i="418" s="1"/>
  <c r="C102" i="418" a="1"/>
  <c r="C102" i="418" s="1"/>
  <c r="C108" i="418" a="1"/>
  <c r="C108" i="418" s="1"/>
  <c r="C113" i="418" a="1"/>
  <c r="C113" i="418" s="1"/>
  <c r="C118" i="418" a="1"/>
  <c r="C118" i="418" s="1"/>
  <c r="C124" i="418" a="1"/>
  <c r="C124" i="418" s="1"/>
  <c r="C129" i="418" a="1"/>
  <c r="C129" i="418" s="1"/>
  <c r="C134" i="418" a="1"/>
  <c r="C134" i="418" s="1"/>
  <c r="C139" i="388"/>
  <c r="E10" i="391"/>
  <c r="C11" i="418" a="1"/>
  <c r="C11" i="418" s="1"/>
  <c r="C17" i="418" a="1"/>
  <c r="C17" i="418" s="1"/>
  <c r="C23" i="418" a="1"/>
  <c r="C23" i="418" s="1"/>
  <c r="C29" i="418" a="1"/>
  <c r="C29" i="418" s="1"/>
  <c r="C34" i="418" a="1"/>
  <c r="C34" i="418" s="1"/>
  <c r="C39" i="418" a="1"/>
  <c r="C39" i="418" s="1"/>
  <c r="C43" i="418" a="1"/>
  <c r="C43" i="418" s="1"/>
  <c r="C50" i="418" a="1"/>
  <c r="C50" i="418" s="1"/>
  <c r="C54" i="418" a="1"/>
  <c r="C54" i="418" s="1"/>
  <c r="C58" i="418" a="1"/>
  <c r="C58" i="418" s="1"/>
  <c r="C62" i="418" a="1"/>
  <c r="C62" i="418" s="1"/>
  <c r="C66" i="418" a="1"/>
  <c r="C66" i="418" s="1"/>
  <c r="C70" i="418" a="1"/>
  <c r="C70" i="418" s="1"/>
  <c r="C76" i="418" a="1"/>
  <c r="C76" i="418" s="1"/>
  <c r="C80" i="418" a="1"/>
  <c r="C80" i="418" s="1"/>
  <c r="C84" i="418" a="1"/>
  <c r="C84" i="418" s="1"/>
  <c r="C88" i="418" a="1"/>
  <c r="C88" i="418" s="1"/>
  <c r="C93" i="418" a="1"/>
  <c r="C93" i="418" s="1"/>
  <c r="C98" i="418" a="1"/>
  <c r="C98" i="418" s="1"/>
  <c r="C104" i="418" a="1"/>
  <c r="C104" i="418" s="1"/>
  <c r="C109" i="418" a="1"/>
  <c r="C109" i="418" s="1"/>
  <c r="C114" i="418" a="1"/>
  <c r="C114" i="418" s="1"/>
  <c r="C120" i="418" a="1"/>
  <c r="C120" i="418" s="1"/>
  <c r="C125" i="418" a="1"/>
  <c r="C125" i="418" s="1"/>
  <c r="C130" i="418" a="1"/>
  <c r="C130" i="418" s="1"/>
  <c r="C136" i="418" a="1"/>
  <c r="C136" i="418" s="1"/>
  <c r="C134" i="413" a="1"/>
  <c r="C134" i="413" s="1"/>
  <c r="C130" i="413" a="1"/>
  <c r="C130" i="413" s="1"/>
  <c r="C126" i="413" a="1"/>
  <c r="C126" i="413" s="1"/>
  <c r="C122" i="413" a="1"/>
  <c r="C122" i="413" s="1"/>
  <c r="C118" i="413" a="1"/>
  <c r="C118" i="413" s="1"/>
  <c r="C114" i="413" a="1"/>
  <c r="C114" i="413" s="1"/>
  <c r="C110" i="413" a="1"/>
  <c r="C110" i="413" s="1"/>
  <c r="C106" i="413" a="1"/>
  <c r="C106" i="413" s="1"/>
  <c r="C102" i="413" a="1"/>
  <c r="C102" i="413" s="1"/>
  <c r="C98" i="413" a="1"/>
  <c r="C98" i="413" s="1"/>
  <c r="C94" i="413" a="1"/>
  <c r="C94" i="413" s="1"/>
  <c r="C90" i="413" a="1"/>
  <c r="C90" i="413" s="1"/>
  <c r="C86" i="413" a="1"/>
  <c r="C86" i="413" s="1"/>
  <c r="C82" i="413" a="1"/>
  <c r="C82" i="413" s="1"/>
  <c r="C78" i="413" a="1"/>
  <c r="C78" i="413" s="1"/>
  <c r="C72" i="413" a="1"/>
  <c r="C72" i="413" s="1"/>
  <c r="C68" i="413" a="1"/>
  <c r="C68" i="413" s="1"/>
  <c r="C64" i="413" a="1"/>
  <c r="C64" i="413" s="1"/>
  <c r="C60" i="413" a="1"/>
  <c r="C60" i="413" s="1"/>
  <c r="C56" i="413" a="1"/>
  <c r="C56" i="413" s="1"/>
  <c r="C133" i="413" a="1"/>
  <c r="C133" i="413" s="1"/>
  <c r="C128" i="413" a="1"/>
  <c r="C128" i="413" s="1"/>
  <c r="C123" i="413" a="1"/>
  <c r="C123" i="413" s="1"/>
  <c r="C117" i="413" a="1"/>
  <c r="C117" i="413" s="1"/>
  <c r="C112" i="413" a="1"/>
  <c r="C112" i="413" s="1"/>
  <c r="C107" i="413" a="1"/>
  <c r="C107" i="413" s="1"/>
  <c r="C101" i="413" a="1"/>
  <c r="C101" i="413" s="1"/>
  <c r="C96" i="413" a="1"/>
  <c r="C96" i="413" s="1"/>
  <c r="C91" i="413" a="1"/>
  <c r="C91" i="413" s="1"/>
  <c r="C85" i="413" a="1"/>
  <c r="C85" i="413" s="1"/>
  <c r="C80" i="413" a="1"/>
  <c r="C80" i="413" s="1"/>
  <c r="C75" i="413" a="1"/>
  <c r="C75" i="413" s="1"/>
  <c r="C67" i="413" a="1"/>
  <c r="C67" i="413" s="1"/>
  <c r="C62" i="413" a="1"/>
  <c r="C62" i="413" s="1"/>
  <c r="C57" i="413" a="1"/>
  <c r="C57" i="413" s="1"/>
  <c r="C52" i="413" a="1"/>
  <c r="C52" i="413" s="1"/>
  <c r="C48" i="413" a="1"/>
  <c r="C48" i="413" s="1"/>
  <c r="C41" i="413" a="1"/>
  <c r="C41" i="413" s="1"/>
  <c r="C37" i="413" a="1"/>
  <c r="C37" i="413" s="1"/>
  <c r="C32" i="413" a="1"/>
  <c r="C32" i="413" s="1"/>
  <c r="C25" i="413" a="1"/>
  <c r="C25" i="413" s="1"/>
  <c r="C19" i="413" a="1"/>
  <c r="C19" i="413" s="1"/>
  <c r="C14" i="413" a="1"/>
  <c r="C14" i="413" s="1"/>
  <c r="C136" i="413" a="1"/>
  <c r="C136" i="413" s="1"/>
  <c r="C131" i="413" a="1"/>
  <c r="C131" i="413" s="1"/>
  <c r="C125" i="413" a="1"/>
  <c r="C125" i="413" s="1"/>
  <c r="C120" i="413" a="1"/>
  <c r="C120" i="413" s="1"/>
  <c r="C115" i="413" a="1"/>
  <c r="C115" i="413" s="1"/>
  <c r="C109" i="413" a="1"/>
  <c r="C109" i="413" s="1"/>
  <c r="C104" i="413" a="1"/>
  <c r="C104" i="413" s="1"/>
  <c r="C99" i="413" a="1"/>
  <c r="C99" i="413" s="1"/>
  <c r="C93" i="413" a="1"/>
  <c r="C93" i="413" s="1"/>
  <c r="C88" i="413" a="1"/>
  <c r="C88" i="413" s="1"/>
  <c r="C83" i="413" a="1"/>
  <c r="C83" i="413" s="1"/>
  <c r="C77" i="413" a="1"/>
  <c r="C77" i="413" s="1"/>
  <c r="C70" i="413" a="1"/>
  <c r="C70" i="413" s="1"/>
  <c r="C65" i="413" a="1"/>
  <c r="C65" i="413" s="1"/>
  <c r="C59" i="413" a="1"/>
  <c r="C59" i="413" s="1"/>
  <c r="C54" i="413" a="1"/>
  <c r="C54" i="413" s="1"/>
  <c r="C50" i="413" a="1"/>
  <c r="C50" i="413" s="1"/>
  <c r="C43" i="413" a="1"/>
  <c r="C43" i="413" s="1"/>
  <c r="C39" i="413" a="1"/>
  <c r="C39" i="413" s="1"/>
  <c r="C34" i="413" a="1"/>
  <c r="C34" i="413" s="1"/>
  <c r="C29" i="413" a="1"/>
  <c r="C29" i="413" s="1"/>
  <c r="C28" i="413" s="1"/>
  <c r="C23" i="413" a="1"/>
  <c r="C23" i="413" s="1"/>
  <c r="C17" i="413" a="1"/>
  <c r="C17" i="413" s="1"/>
  <c r="C11" i="413" a="1"/>
  <c r="C11" i="413" s="1"/>
  <c r="C21" i="413" a="1"/>
  <c r="C21" i="413" s="1"/>
  <c r="C33" i="413" a="1"/>
  <c r="C33" i="413" s="1"/>
  <c r="C42" i="413" a="1"/>
  <c r="C42" i="413" s="1"/>
  <c r="C53" i="413" a="1"/>
  <c r="C53" i="413" s="1"/>
  <c r="C63" i="413" a="1"/>
  <c r="C63" i="413" s="1"/>
  <c r="C76" i="413" a="1"/>
  <c r="C76" i="413" s="1"/>
  <c r="C87" i="413" a="1"/>
  <c r="C87" i="413" s="1"/>
  <c r="C97" i="413" a="1"/>
  <c r="C97" i="413" s="1"/>
  <c r="C108" i="413" a="1"/>
  <c r="C108" i="413" s="1"/>
  <c r="C119" i="413" a="1"/>
  <c r="C119" i="413" s="1"/>
  <c r="C129" i="413" a="1"/>
  <c r="C129" i="413" s="1"/>
  <c r="C18" i="417" a="1"/>
  <c r="C18" i="417" s="1"/>
  <c r="C39" i="417" a="1"/>
  <c r="C39" i="417" s="1"/>
  <c r="C55" i="417" a="1"/>
  <c r="C55" i="417" s="1"/>
  <c r="C70" i="417" a="1"/>
  <c r="C70" i="417" s="1"/>
  <c r="C87" i="417" a="1"/>
  <c r="C87" i="417" s="1"/>
  <c r="C100" i="417" a="1"/>
  <c r="C100" i="417" s="1"/>
  <c r="C115" i="417" a="1"/>
  <c r="C115" i="417" s="1"/>
  <c r="C129" i="417" a="1"/>
  <c r="C129" i="417" s="1"/>
  <c r="E25" i="391"/>
  <c r="C13" i="418" a="1"/>
  <c r="C13" i="418" s="1"/>
  <c r="C18" i="418" a="1"/>
  <c r="C18" i="418" s="1"/>
  <c r="C24" i="418" a="1"/>
  <c r="C24" i="418" s="1"/>
  <c r="C30" i="418" a="1"/>
  <c r="C30" i="418" s="1"/>
  <c r="C36" i="418" a="1"/>
  <c r="C36" i="418" s="1"/>
  <c r="C40" i="418" a="1"/>
  <c r="C40" i="418" s="1"/>
  <c r="C44" i="418" a="1"/>
  <c r="C44" i="418" s="1"/>
  <c r="C51" i="418" a="1"/>
  <c r="C51" i="418" s="1"/>
  <c r="C55" i="418" a="1"/>
  <c r="C55" i="418" s="1"/>
  <c r="C59" i="418" a="1"/>
  <c r="C59" i="418" s="1"/>
  <c r="C63" i="418" a="1"/>
  <c r="C63" i="418" s="1"/>
  <c r="C67" i="418" a="1"/>
  <c r="C67" i="418" s="1"/>
  <c r="C71" i="418" a="1"/>
  <c r="C71" i="418" s="1"/>
  <c r="C77" i="418" a="1"/>
  <c r="C77" i="418" s="1"/>
  <c r="C81" i="418" a="1"/>
  <c r="C81" i="418" s="1"/>
  <c r="C85" i="418" a="1"/>
  <c r="C85" i="418" s="1"/>
  <c r="C89" i="418" a="1"/>
  <c r="C89" i="418" s="1"/>
  <c r="C94" i="418" a="1"/>
  <c r="C94" i="418" s="1"/>
  <c r="C100" i="418" a="1"/>
  <c r="C100" i="418" s="1"/>
  <c r="C105" i="418" a="1"/>
  <c r="C105" i="418" s="1"/>
  <c r="C110" i="418" a="1"/>
  <c r="C110" i="418" s="1"/>
  <c r="C116" i="418" a="1"/>
  <c r="C116" i="418" s="1"/>
  <c r="C121" i="418" a="1"/>
  <c r="C121" i="418" s="1"/>
  <c r="C126" i="418" a="1"/>
  <c r="C126" i="418" s="1"/>
  <c r="C132" i="418" a="1"/>
  <c r="C132" i="418" s="1"/>
  <c r="C137" i="418" a="1"/>
  <c r="C137" i="418" s="1"/>
  <c r="C13" i="413" a="1"/>
  <c r="C13" i="413" s="1"/>
  <c r="C24" i="413" a="1"/>
  <c r="C24" i="413" s="1"/>
  <c r="C36" i="413" a="1"/>
  <c r="C36" i="413" s="1"/>
  <c r="C44" i="413" a="1"/>
  <c r="C44" i="413" s="1"/>
  <c r="C55" i="413" a="1"/>
  <c r="C55" i="413" s="1"/>
  <c r="C66" i="413" a="1"/>
  <c r="C66" i="413" s="1"/>
  <c r="C79" i="413" a="1"/>
  <c r="C79" i="413" s="1"/>
  <c r="C89" i="413" a="1"/>
  <c r="C89" i="413" s="1"/>
  <c r="C100" i="413" a="1"/>
  <c r="C100" i="413" s="1"/>
  <c r="C111" i="413" a="1"/>
  <c r="C111" i="413" s="1"/>
  <c r="C121" i="413" a="1"/>
  <c r="C121" i="413" s="1"/>
  <c r="C132" i="413" a="1"/>
  <c r="C132" i="413" s="1"/>
  <c r="C24" i="417" a="1"/>
  <c r="C24" i="417" s="1"/>
  <c r="C42" i="417" a="1"/>
  <c r="C42" i="417" s="1"/>
  <c r="C59" i="417" a="1"/>
  <c r="C59" i="417" s="1"/>
  <c r="C76" i="417" a="1"/>
  <c r="C76" i="417" s="1"/>
  <c r="C89" i="417" a="1"/>
  <c r="C89" i="417" s="1"/>
  <c r="C104" i="417" a="1"/>
  <c r="C104" i="417" s="1"/>
  <c r="C119" i="417" a="1"/>
  <c r="C119" i="417" s="1"/>
  <c r="C9" i="388"/>
  <c r="L20" i="391"/>
  <c r="C14" i="418" a="1"/>
  <c r="C14" i="418" s="1"/>
  <c r="C19" i="418" a="1"/>
  <c r="C19" i="418" s="1"/>
  <c r="C25" i="418" a="1"/>
  <c r="C25" i="418" s="1"/>
  <c r="C32" i="418" a="1"/>
  <c r="C32" i="418" s="1"/>
  <c r="C37" i="418" a="1"/>
  <c r="C37" i="418" s="1"/>
  <c r="C41" i="418" a="1"/>
  <c r="C41" i="418" s="1"/>
  <c r="C48" i="418" a="1"/>
  <c r="C48" i="418" s="1"/>
  <c r="C52" i="418" a="1"/>
  <c r="C52" i="418" s="1"/>
  <c r="C56" i="418" a="1"/>
  <c r="C56" i="418" s="1"/>
  <c r="C60" i="418" a="1"/>
  <c r="C60" i="418" s="1"/>
  <c r="C64" i="418" a="1"/>
  <c r="C64" i="418" s="1"/>
  <c r="C68" i="418" a="1"/>
  <c r="C68" i="418" s="1"/>
  <c r="C72" i="418" a="1"/>
  <c r="C72" i="418" s="1"/>
  <c r="C78" i="418" a="1"/>
  <c r="C78" i="418" s="1"/>
  <c r="C82" i="418" a="1"/>
  <c r="C82" i="418" s="1"/>
  <c r="C86" i="418" a="1"/>
  <c r="C86" i="418" s="1"/>
  <c r="C90" i="418" a="1"/>
  <c r="C90" i="418" s="1"/>
  <c r="C96" i="418" a="1"/>
  <c r="C96" i="418" s="1"/>
  <c r="C101" i="418" a="1"/>
  <c r="C101" i="418" s="1"/>
  <c r="C106" i="418" a="1"/>
  <c r="C106" i="418" s="1"/>
  <c r="C112" i="418" a="1"/>
  <c r="C112" i="418" s="1"/>
  <c r="C117" i="418" a="1"/>
  <c r="C117" i="418" s="1"/>
  <c r="C122" i="418" a="1"/>
  <c r="C122" i="418" s="1"/>
  <c r="C128" i="418" a="1"/>
  <c r="C128" i="418" s="1"/>
  <c r="C133" i="418" a="1"/>
  <c r="C133" i="418" s="1"/>
  <c r="C15" i="413" a="1"/>
  <c r="C15" i="413" s="1"/>
  <c r="C27" i="413" a="1"/>
  <c r="C27" i="413" s="1"/>
  <c r="C38" i="413" a="1"/>
  <c r="C38" i="413" s="1"/>
  <c r="C49" i="413" a="1"/>
  <c r="C49" i="413" s="1"/>
  <c r="C58" i="413" a="1"/>
  <c r="C58" i="413" s="1"/>
  <c r="C69" i="413" a="1"/>
  <c r="C69" i="413" s="1"/>
  <c r="C81" i="413" a="1"/>
  <c r="C81" i="413" s="1"/>
  <c r="C92" i="413" a="1"/>
  <c r="C92" i="413" s="1"/>
  <c r="C103" i="413" a="1"/>
  <c r="C103" i="413" s="1"/>
  <c r="C113" i="413" a="1"/>
  <c r="C113" i="413" s="1"/>
  <c r="C124" i="413" a="1"/>
  <c r="C124" i="413" s="1"/>
  <c r="C135" i="413" a="1"/>
  <c r="C135" i="413" s="1"/>
  <c r="C134" i="417" a="1"/>
  <c r="C134" i="417" s="1"/>
  <c r="C130" i="417" a="1"/>
  <c r="C130" i="417" s="1"/>
  <c r="C126" i="417" a="1"/>
  <c r="C126" i="417" s="1"/>
  <c r="C122" i="417" a="1"/>
  <c r="C122" i="417" s="1"/>
  <c r="C118" i="417" a="1"/>
  <c r="C118" i="417" s="1"/>
  <c r="C114" i="417" a="1"/>
  <c r="C114" i="417" s="1"/>
  <c r="C110" i="417" a="1"/>
  <c r="C110" i="417" s="1"/>
  <c r="C106" i="417" a="1"/>
  <c r="C106" i="417" s="1"/>
  <c r="C102" i="417" a="1"/>
  <c r="C102" i="417" s="1"/>
  <c r="C98" i="417" a="1"/>
  <c r="C98" i="417" s="1"/>
  <c r="C94" i="417" a="1"/>
  <c r="C94" i="417" s="1"/>
  <c r="C90" i="417" a="1"/>
  <c r="C90" i="417" s="1"/>
  <c r="C86" i="417" a="1"/>
  <c r="C86" i="417" s="1"/>
  <c r="C82" i="417" a="1"/>
  <c r="C82" i="417" s="1"/>
  <c r="C78" i="417" a="1"/>
  <c r="C78" i="417" s="1"/>
  <c r="C72" i="417" a="1"/>
  <c r="C72" i="417" s="1"/>
  <c r="C68" i="417" a="1"/>
  <c r="C68" i="417" s="1"/>
  <c r="C64" i="417" a="1"/>
  <c r="C64" i="417" s="1"/>
  <c r="C60" i="417" a="1"/>
  <c r="C60" i="417" s="1"/>
  <c r="C56" i="417" a="1"/>
  <c r="C56" i="417" s="1"/>
  <c r="C52" i="417" a="1"/>
  <c r="C52" i="417" s="1"/>
  <c r="C48" i="417" a="1"/>
  <c r="C48" i="417" s="1"/>
  <c r="C41" i="417" a="1"/>
  <c r="C41" i="417" s="1"/>
  <c r="C37" i="417" a="1"/>
  <c r="C37" i="417" s="1"/>
  <c r="C32" i="417" a="1"/>
  <c r="C32" i="417" s="1"/>
  <c r="C25" i="417" a="1"/>
  <c r="C25" i="417" s="1"/>
  <c r="C19" i="417" a="1"/>
  <c r="C19" i="417" s="1"/>
  <c r="C14" i="417" a="1"/>
  <c r="C14" i="417" s="1"/>
  <c r="C133" i="417" a="1"/>
  <c r="C133" i="417" s="1"/>
  <c r="C128" i="417" a="1"/>
  <c r="C128" i="417" s="1"/>
  <c r="C123" i="417" a="1"/>
  <c r="C123" i="417" s="1"/>
  <c r="C117" i="417" a="1"/>
  <c r="C117" i="417" s="1"/>
  <c r="C112" i="417" a="1"/>
  <c r="C112" i="417" s="1"/>
  <c r="C107" i="417" a="1"/>
  <c r="C107" i="417" s="1"/>
  <c r="C101" i="417" a="1"/>
  <c r="C101" i="417" s="1"/>
  <c r="C96" i="417" a="1"/>
  <c r="C96" i="417" s="1"/>
  <c r="C91" i="417" a="1"/>
  <c r="C91" i="417" s="1"/>
  <c r="C85" i="417" a="1"/>
  <c r="C85" i="417" s="1"/>
  <c r="C80" i="417" a="1"/>
  <c r="C80" i="417" s="1"/>
  <c r="C75" i="417" a="1"/>
  <c r="C75" i="417" s="1"/>
  <c r="C67" i="417" a="1"/>
  <c r="C67" i="417" s="1"/>
  <c r="C62" i="417" a="1"/>
  <c r="C62" i="417" s="1"/>
  <c r="C57" i="417" a="1"/>
  <c r="C57" i="417" s="1"/>
  <c r="C51" i="417" a="1"/>
  <c r="C51" i="417" s="1"/>
  <c r="C43" i="417" a="1"/>
  <c r="C43" i="417" s="1"/>
  <c r="C38" i="417" a="1"/>
  <c r="C38" i="417" s="1"/>
  <c r="C30" i="417" a="1"/>
  <c r="C30" i="417" s="1"/>
  <c r="C23" i="417" a="1"/>
  <c r="C23" i="417" s="1"/>
  <c r="C15" i="417" a="1"/>
  <c r="C15" i="417" s="1"/>
  <c r="C137" i="417" a="1"/>
  <c r="C137" i="417" s="1"/>
  <c r="E137" i="417" s="1"/>
  <c r="C131" i="417" a="1"/>
  <c r="C131" i="417" s="1"/>
  <c r="C124" i="417" a="1"/>
  <c r="C124" i="417" s="1"/>
  <c r="C116" i="417" a="1"/>
  <c r="C116" i="417" s="1"/>
  <c r="C109" i="417" a="1"/>
  <c r="C109" i="417" s="1"/>
  <c r="C103" i="417" a="1"/>
  <c r="C103" i="417" s="1"/>
  <c r="C95" i="417" a="1"/>
  <c r="C95" i="417" s="1"/>
  <c r="C88" i="417" a="1"/>
  <c r="C88" i="417" s="1"/>
  <c r="C81" i="417" a="1"/>
  <c r="C81" i="417" s="1"/>
  <c r="C71" i="417" a="1"/>
  <c r="C71" i="417" s="1"/>
  <c r="C65" i="417" a="1"/>
  <c r="C65" i="417" s="1"/>
  <c r="C58" i="417" a="1"/>
  <c r="C58" i="417" s="1"/>
  <c r="C50" i="417" a="1"/>
  <c r="C50" i="417" s="1"/>
  <c r="C40" i="417" a="1"/>
  <c r="C40" i="417" s="1"/>
  <c r="C33" i="417" a="1"/>
  <c r="C33" i="417" s="1"/>
  <c r="C21" i="417" a="1"/>
  <c r="C21" i="417" s="1"/>
  <c r="C11" i="417" a="1"/>
  <c r="C11" i="417" s="1"/>
  <c r="C135" i="417" a="1"/>
  <c r="C135" i="417" s="1"/>
  <c r="C127" i="417" a="1"/>
  <c r="C127" i="417" s="1"/>
  <c r="C120" i="417" a="1"/>
  <c r="C120" i="417" s="1"/>
  <c r="C113" i="417" a="1"/>
  <c r="C113" i="417" s="1"/>
  <c r="C105" i="417" a="1"/>
  <c r="C105" i="417" s="1"/>
  <c r="C99" i="417" a="1"/>
  <c r="C99" i="417" s="1"/>
  <c r="C92" i="417" a="1"/>
  <c r="C92" i="417" s="1"/>
  <c r="C84" i="417" a="1"/>
  <c r="C84" i="417" s="1"/>
  <c r="C77" i="417" a="1"/>
  <c r="C77" i="417" s="1"/>
  <c r="C69" i="417" a="1"/>
  <c r="C69" i="417" s="1"/>
  <c r="C61" i="417" a="1"/>
  <c r="C61" i="417" s="1"/>
  <c r="C54" i="417" a="1"/>
  <c r="C54" i="417" s="1"/>
  <c r="C44" i="417" a="1"/>
  <c r="C44" i="417" s="1"/>
  <c r="C36" i="417" a="1"/>
  <c r="C36" i="417" s="1"/>
  <c r="C27" i="417" a="1"/>
  <c r="C27" i="417" s="1"/>
  <c r="C17" i="417" a="1"/>
  <c r="C17" i="417" s="1"/>
  <c r="C29" i="417" a="1"/>
  <c r="C29" i="417" s="1"/>
  <c r="C49" i="417" a="1"/>
  <c r="C49" i="417" s="1"/>
  <c r="C63" i="417" a="1"/>
  <c r="C63" i="417" s="1"/>
  <c r="C79" i="417" a="1"/>
  <c r="C79" i="417" s="1"/>
  <c r="C93" i="417" a="1"/>
  <c r="C93" i="417" s="1"/>
  <c r="C108" i="417" a="1"/>
  <c r="C108" i="417" s="1"/>
  <c r="C121" i="417" a="1"/>
  <c r="C121" i="417" s="1"/>
  <c r="C136" i="417" a="1"/>
  <c r="C136" i="417" s="1"/>
  <c r="C135" i="416" a="1"/>
  <c r="C135" i="416" s="1"/>
  <c r="C131" i="416" a="1"/>
  <c r="C131" i="416" s="1"/>
  <c r="C127" i="416" a="1"/>
  <c r="C127" i="416" s="1"/>
  <c r="C123" i="416" a="1"/>
  <c r="C123" i="416" s="1"/>
  <c r="C119" i="416" a="1"/>
  <c r="C119" i="416" s="1"/>
  <c r="C115" i="416" a="1"/>
  <c r="C115" i="416" s="1"/>
  <c r="C111" i="416" a="1"/>
  <c r="C111" i="416" s="1"/>
  <c r="C107" i="416" a="1"/>
  <c r="C107" i="416" s="1"/>
  <c r="C103" i="416" a="1"/>
  <c r="C103" i="416" s="1"/>
  <c r="C99" i="416" a="1"/>
  <c r="C99" i="416" s="1"/>
  <c r="C95" i="416" a="1"/>
  <c r="C95" i="416" s="1"/>
  <c r="C91" i="416" a="1"/>
  <c r="C91" i="416" s="1"/>
  <c r="C87" i="416" a="1"/>
  <c r="C87" i="416" s="1"/>
  <c r="C83" i="416" a="1"/>
  <c r="C83" i="416" s="1"/>
  <c r="C79" i="416" a="1"/>
  <c r="C79" i="416" s="1"/>
  <c r="C75" i="416" a="1"/>
  <c r="C75" i="416" s="1"/>
  <c r="C69" i="416" a="1"/>
  <c r="C69" i="416" s="1"/>
  <c r="C65" i="416" a="1"/>
  <c r="C65" i="416" s="1"/>
  <c r="C61" i="416" a="1"/>
  <c r="C61" i="416" s="1"/>
  <c r="C57" i="416" a="1"/>
  <c r="C57" i="416" s="1"/>
  <c r="C53" i="416" a="1"/>
  <c r="C53" i="416" s="1"/>
  <c r="C49" i="416" a="1"/>
  <c r="C49" i="416" s="1"/>
  <c r="C42" i="416" a="1"/>
  <c r="C42" i="416" s="1"/>
  <c r="C38" i="416" a="1"/>
  <c r="C38" i="416" s="1"/>
  <c r="C33" i="416" a="1"/>
  <c r="C33" i="416" s="1"/>
  <c r="C27" i="416" a="1"/>
  <c r="C27" i="416" s="1"/>
  <c r="C134" i="416" a="1"/>
  <c r="C134" i="416" s="1"/>
  <c r="C129" i="416" a="1"/>
  <c r="C129" i="416" s="1"/>
  <c r="C124" i="416" a="1"/>
  <c r="C124" i="416" s="1"/>
  <c r="C118" i="416" a="1"/>
  <c r="C118" i="416" s="1"/>
  <c r="C113" i="416" a="1"/>
  <c r="C113" i="416" s="1"/>
  <c r="C108" i="416" a="1"/>
  <c r="C108" i="416" s="1"/>
  <c r="C102" i="416" a="1"/>
  <c r="C102" i="416" s="1"/>
  <c r="C97" i="416" a="1"/>
  <c r="C97" i="416" s="1"/>
  <c r="C92" i="416" a="1"/>
  <c r="C92" i="416" s="1"/>
  <c r="C86" i="416" a="1"/>
  <c r="C86" i="416" s="1"/>
  <c r="C81" i="416" a="1"/>
  <c r="C81" i="416" s="1"/>
  <c r="C76" i="416" a="1"/>
  <c r="C76" i="416" s="1"/>
  <c r="C68" i="416" a="1"/>
  <c r="C68" i="416" s="1"/>
  <c r="C63" i="416" a="1"/>
  <c r="C63" i="416" s="1"/>
  <c r="C58" i="416" a="1"/>
  <c r="C58" i="416" s="1"/>
  <c r="C52" i="416" a="1"/>
  <c r="C52" i="416" s="1"/>
  <c r="C44" i="416" a="1"/>
  <c r="C44" i="416" s="1"/>
  <c r="C39" i="416" a="1"/>
  <c r="C39" i="416" s="1"/>
  <c r="C32" i="416" a="1"/>
  <c r="C32" i="416" s="1"/>
  <c r="C24" i="416" a="1"/>
  <c r="C24" i="416" s="1"/>
  <c r="C22" i="416" s="1"/>
  <c r="C18" i="416" a="1"/>
  <c r="C18" i="416" s="1"/>
  <c r="C13" i="416" a="1"/>
  <c r="C13" i="416" s="1"/>
  <c r="C17" i="416" a="1"/>
  <c r="C17" i="416" s="1"/>
  <c r="C25" i="416" a="1"/>
  <c r="C25" i="416" s="1"/>
  <c r="C36" i="416" a="1"/>
  <c r="C36" i="416" s="1"/>
  <c r="C43" i="416" a="1"/>
  <c r="C43" i="416" s="1"/>
  <c r="C54" i="416" a="1"/>
  <c r="C54" i="416" s="1"/>
  <c r="C60" i="416" a="1"/>
  <c r="C60" i="416" s="1"/>
  <c r="C67" i="416" a="1"/>
  <c r="C67" i="416" s="1"/>
  <c r="C77" i="416" a="1"/>
  <c r="C77" i="416" s="1"/>
  <c r="C84" i="416" a="1"/>
  <c r="C84" i="416" s="1"/>
  <c r="C90" i="416" a="1"/>
  <c r="C90" i="416" s="1"/>
  <c r="C98" i="416" a="1"/>
  <c r="C98" i="416" s="1"/>
  <c r="C105" i="416" a="1"/>
  <c r="C105" i="416" s="1"/>
  <c r="C112" i="416" a="1"/>
  <c r="C112" i="416" s="1"/>
  <c r="C120" i="416" a="1"/>
  <c r="C120" i="416" s="1"/>
  <c r="C126" i="416" a="1"/>
  <c r="C126" i="416" s="1"/>
  <c r="C133" i="416" a="1"/>
  <c r="C133" i="416" s="1"/>
  <c r="C134" i="412" a="1"/>
  <c r="C134" i="412" s="1"/>
  <c r="C130" i="412" a="1"/>
  <c r="C130" i="412" s="1"/>
  <c r="C126" i="412" a="1"/>
  <c r="C126" i="412" s="1"/>
  <c r="C122" i="412" a="1"/>
  <c r="C122" i="412" s="1"/>
  <c r="C118" i="412" a="1"/>
  <c r="C118" i="412" s="1"/>
  <c r="C114" i="412" a="1"/>
  <c r="C114" i="412" s="1"/>
  <c r="C110" i="412" a="1"/>
  <c r="C110" i="412" s="1"/>
  <c r="C106" i="412" a="1"/>
  <c r="C106" i="412" s="1"/>
  <c r="C102" i="412" a="1"/>
  <c r="C102" i="412" s="1"/>
  <c r="C98" i="412" a="1"/>
  <c r="C98" i="412" s="1"/>
  <c r="C94" i="412" a="1"/>
  <c r="C94" i="412" s="1"/>
  <c r="C90" i="412" a="1"/>
  <c r="C90" i="412" s="1"/>
  <c r="C86" i="412" a="1"/>
  <c r="C86" i="412" s="1"/>
  <c r="C82" i="412" a="1"/>
  <c r="C82" i="412" s="1"/>
  <c r="C78" i="412" a="1"/>
  <c r="C78" i="412" s="1"/>
  <c r="C72" i="412" a="1"/>
  <c r="C72" i="412" s="1"/>
  <c r="C68" i="412" a="1"/>
  <c r="C68" i="412" s="1"/>
  <c r="C64" i="412" a="1"/>
  <c r="C64" i="412" s="1"/>
  <c r="C60" i="412" a="1"/>
  <c r="C60" i="412" s="1"/>
  <c r="C56" i="412" a="1"/>
  <c r="C56" i="412" s="1"/>
  <c r="C52" i="412" a="1"/>
  <c r="C52" i="412" s="1"/>
  <c r="C48" i="412" a="1"/>
  <c r="C48" i="412" s="1"/>
  <c r="C41" i="412" a="1"/>
  <c r="C41" i="412" s="1"/>
  <c r="C37" i="412" a="1"/>
  <c r="C37" i="412" s="1"/>
  <c r="C32" i="412" a="1"/>
  <c r="C32" i="412" s="1"/>
  <c r="C25" i="412" a="1"/>
  <c r="C25" i="412" s="1"/>
  <c r="C19" i="412" a="1"/>
  <c r="C19" i="412" s="1"/>
  <c r="C14" i="412" a="1"/>
  <c r="C14" i="412" s="1"/>
  <c r="C133" i="412" a="1"/>
  <c r="C133" i="412" s="1"/>
  <c r="C128" i="412" a="1"/>
  <c r="C128" i="412" s="1"/>
  <c r="C123" i="412" a="1"/>
  <c r="C123" i="412" s="1"/>
  <c r="C117" i="412" a="1"/>
  <c r="C117" i="412" s="1"/>
  <c r="C112" i="412" a="1"/>
  <c r="C112" i="412" s="1"/>
  <c r="C107" i="412" a="1"/>
  <c r="C107" i="412" s="1"/>
  <c r="C101" i="412" a="1"/>
  <c r="C101" i="412" s="1"/>
  <c r="C96" i="412" a="1"/>
  <c r="C96" i="412" s="1"/>
  <c r="C91" i="412" a="1"/>
  <c r="C91" i="412" s="1"/>
  <c r="C85" i="412" a="1"/>
  <c r="C85" i="412" s="1"/>
  <c r="C80" i="412" a="1"/>
  <c r="C80" i="412" s="1"/>
  <c r="C75" i="412" a="1"/>
  <c r="C75" i="412" s="1"/>
  <c r="C67" i="412" a="1"/>
  <c r="C67" i="412" s="1"/>
  <c r="C62" i="412" a="1"/>
  <c r="C62" i="412" s="1"/>
  <c r="C57" i="412" a="1"/>
  <c r="C57" i="412" s="1"/>
  <c r="C51" i="412" a="1"/>
  <c r="C51" i="412" s="1"/>
  <c r="C43" i="412" a="1"/>
  <c r="C43" i="412" s="1"/>
  <c r="C38" i="412" a="1"/>
  <c r="C38" i="412" s="1"/>
  <c r="C30" i="412" a="1"/>
  <c r="C30" i="412" s="1"/>
  <c r="C23" i="412" a="1"/>
  <c r="C23" i="412" s="1"/>
  <c r="C15" i="412" a="1"/>
  <c r="C15" i="412" s="1"/>
  <c r="C18" i="412" a="1"/>
  <c r="C18" i="412" s="1"/>
  <c r="C29" i="412" a="1"/>
  <c r="C29" i="412" s="1"/>
  <c r="C39" i="412" a="1"/>
  <c r="C39" i="412" s="1"/>
  <c r="C49" i="412" a="1"/>
  <c r="C49" i="412" s="1"/>
  <c r="C55" i="412" a="1"/>
  <c r="C55" i="412" s="1"/>
  <c r="C63" i="412" a="1"/>
  <c r="C63" i="412" s="1"/>
  <c r="C70" i="412" a="1"/>
  <c r="C70" i="412" s="1"/>
  <c r="C79" i="412" a="1"/>
  <c r="C79" i="412" s="1"/>
  <c r="C87" i="412" a="1"/>
  <c r="C87" i="412" s="1"/>
  <c r="C93" i="412" a="1"/>
  <c r="C93" i="412" s="1"/>
  <c r="C100" i="412" a="1"/>
  <c r="C100" i="412" s="1"/>
  <c r="C108" i="412" a="1"/>
  <c r="C108" i="412" s="1"/>
  <c r="C115" i="412" a="1"/>
  <c r="C115" i="412" s="1"/>
  <c r="C121" i="412" a="1"/>
  <c r="C121" i="412" s="1"/>
  <c r="C129" i="412" a="1"/>
  <c r="C129" i="412" s="1"/>
  <c r="C136" i="412" a="1"/>
  <c r="C136" i="412" s="1"/>
  <c r="E136" i="412" s="1"/>
  <c r="C14" i="416" a="1"/>
  <c r="C14" i="416" s="1"/>
  <c r="C21" i="416" a="1"/>
  <c r="C21" i="416" s="1"/>
  <c r="C30" i="416" a="1"/>
  <c r="C30" i="416" s="1"/>
  <c r="C40" i="416" a="1"/>
  <c r="C40" i="416" s="1"/>
  <c r="C50" i="416" a="1"/>
  <c r="C50" i="416" s="1"/>
  <c r="C56" i="416" a="1"/>
  <c r="C56" i="416" s="1"/>
  <c r="C64" i="416" a="1"/>
  <c r="C64" i="416" s="1"/>
  <c r="C71" i="416" a="1"/>
  <c r="C71" i="416" s="1"/>
  <c r="C80" i="416" a="1"/>
  <c r="C80" i="416" s="1"/>
  <c r="C88" i="416" a="1"/>
  <c r="C88" i="416" s="1"/>
  <c r="C94" i="416" a="1"/>
  <c r="C94" i="416" s="1"/>
  <c r="C101" i="416" a="1"/>
  <c r="C101" i="416" s="1"/>
  <c r="C109" i="416" a="1"/>
  <c r="C109" i="416" s="1"/>
  <c r="C116" i="416" a="1"/>
  <c r="C116" i="416" s="1"/>
  <c r="C122" i="416" a="1"/>
  <c r="C122" i="416" s="1"/>
  <c r="C130" i="416" a="1"/>
  <c r="C130" i="416" s="1"/>
  <c r="C137" i="416" a="1"/>
  <c r="C137" i="416" s="1"/>
  <c r="C13" i="412" a="1"/>
  <c r="C13" i="412" s="1"/>
  <c r="C24" i="412" a="1"/>
  <c r="C24" i="412" s="1"/>
  <c r="C34" i="412" a="1"/>
  <c r="C34" i="412" s="1"/>
  <c r="C42" i="412" a="1"/>
  <c r="C42" i="412" s="1"/>
  <c r="C53" i="412" a="1"/>
  <c r="C53" i="412" s="1"/>
  <c r="C59" i="412" a="1"/>
  <c r="C59" i="412" s="1"/>
  <c r="C66" i="412" a="1"/>
  <c r="C66" i="412" s="1"/>
  <c r="C76" i="412" a="1"/>
  <c r="C76" i="412" s="1"/>
  <c r="C83" i="412" a="1"/>
  <c r="C83" i="412" s="1"/>
  <c r="C89" i="412" a="1"/>
  <c r="C89" i="412" s="1"/>
  <c r="C97" i="412" a="1"/>
  <c r="C97" i="412" s="1"/>
  <c r="C104" i="412" a="1"/>
  <c r="C104" i="412" s="1"/>
  <c r="C111" i="412" a="1"/>
  <c r="C111" i="412" s="1"/>
  <c r="C119" i="412" a="1"/>
  <c r="C119" i="412" s="1"/>
  <c r="C125" i="412" a="1"/>
  <c r="C125" i="412" s="1"/>
  <c r="C132" i="412" a="1"/>
  <c r="C132" i="412" s="1"/>
  <c r="J14" i="422" a="1"/>
  <c r="J14" i="422"/>
  <c r="O14" i="422" a="1"/>
  <c r="O14" i="422"/>
  <c r="C15" i="422"/>
  <c r="G14" i="422" a="1"/>
  <c r="G14" i="422" s="1"/>
  <c r="L14" i="422" a="1"/>
  <c r="L14" i="422" s="1"/>
  <c r="P14" i="422" a="1"/>
  <c r="P14" i="422" s="1"/>
  <c r="H14" i="422" a="1"/>
  <c r="H14" i="422" s="1"/>
  <c r="F8" i="353" a="1"/>
  <c r="F8" i="353" s="1"/>
  <c r="D66" i="324" a="1"/>
  <c r="D66" i="324" s="1"/>
  <c r="D65" i="324" a="1"/>
  <c r="D65" i="324" s="1"/>
  <c r="D67" i="324" a="1"/>
  <c r="D67" i="324" s="1"/>
  <c r="D15" i="324" a="1"/>
  <c r="D15" i="324" s="1"/>
  <c r="D18" i="324" a="1"/>
  <c r="D18" i="324" s="1"/>
  <c r="D7" i="397"/>
  <c r="D52" i="397" s="1" a="1"/>
  <c r="D52" i="397" s="1"/>
  <c r="E11" i="353" a="1"/>
  <c r="E11" i="353" s="1"/>
  <c r="F16" i="353" a="1"/>
  <c r="F16" i="353" s="1"/>
  <c r="E7" i="353" a="1"/>
  <c r="E7" i="353" s="1"/>
  <c r="E15" i="353" a="1"/>
  <c r="E15" i="353" s="1"/>
  <c r="F12" i="353" a="1"/>
  <c r="F12" i="353" s="1"/>
  <c r="F10" i="353" a="1"/>
  <c r="F10" i="353" s="1"/>
  <c r="F14" i="353" a="1"/>
  <c r="F14" i="353" s="1"/>
  <c r="F18" i="353" a="1"/>
  <c r="F18" i="353" s="1"/>
  <c r="F9" i="353" a="1"/>
  <c r="F9" i="353" s="1"/>
  <c r="F13" i="353" a="1"/>
  <c r="F13" i="353" s="1"/>
  <c r="F17" i="353" a="1"/>
  <c r="F17" i="353" s="1"/>
  <c r="C60" i="339" a="1"/>
  <c r="C60" i="339" s="1"/>
  <c r="C61" i="339" s="1"/>
  <c r="D58" i="339" a="1"/>
  <c r="D58" i="339" s="1"/>
  <c r="D60" i="339" a="1"/>
  <c r="D60" i="339" s="1"/>
  <c r="E63" i="346" a="1"/>
  <c r="E63" i="346" s="1"/>
  <c r="C16" i="354" a="1"/>
  <c r="C16" i="354" s="1"/>
  <c r="C9" i="339" a="1"/>
  <c r="C9" i="339" s="1"/>
  <c r="C15" i="339" a="1"/>
  <c r="C15" i="339" s="1"/>
  <c r="E48" i="346" a="1"/>
  <c r="E48" i="346" s="1"/>
  <c r="F44" i="405" a="1"/>
  <c r="F44" i="405" s="1"/>
  <c r="F45" i="405" a="1"/>
  <c r="F45" i="405" s="1"/>
  <c r="F28" i="393" a="1"/>
  <c r="F28" i="393" s="1"/>
  <c r="G28" i="393" s="1"/>
  <c r="F111" i="399" a="1"/>
  <c r="F111" i="399" s="1"/>
  <c r="F112" i="399" a="1"/>
  <c r="F112" i="399" s="1"/>
  <c r="D10" i="324" a="1"/>
  <c r="D10" i="324" s="1"/>
  <c r="C32" i="339" a="1"/>
  <c r="C32" i="339" s="1"/>
  <c r="C66" i="339" a="1"/>
  <c r="C66" i="339" s="1"/>
  <c r="E15" i="346" a="1"/>
  <c r="E15" i="346" s="1"/>
  <c r="A19" i="354"/>
  <c r="A20" i="354" s="1"/>
  <c r="C72" i="354" a="1"/>
  <c r="C72" i="354" s="1"/>
  <c r="D29" i="324" a="1"/>
  <c r="D29" i="324" s="1"/>
  <c r="C45" i="324" a="1"/>
  <c r="C45" i="324" s="1"/>
  <c r="C51" i="324" a="1"/>
  <c r="C51" i="324" s="1"/>
  <c r="C64" i="339" a="1"/>
  <c r="C64" i="339" s="1"/>
  <c r="F102" i="392" a="1"/>
  <c r="F102" i="392" s="1"/>
  <c r="D70" i="416" a="1"/>
  <c r="D70" i="416" s="1"/>
  <c r="F72" i="395" a="1"/>
  <c r="F72" i="395" s="1"/>
  <c r="F80" i="395" a="1"/>
  <c r="F80" i="395" s="1"/>
  <c r="F116" i="399" a="1"/>
  <c r="F116" i="399" s="1"/>
  <c r="C44" i="354" a="1"/>
  <c r="C44" i="354" s="1"/>
  <c r="D29" i="339" a="1"/>
  <c r="D29" i="339" s="1"/>
  <c r="F23" i="392" a="1"/>
  <c r="F23" i="392" s="1"/>
  <c r="G23" i="392" s="1"/>
  <c r="F26" i="392" a="1"/>
  <c r="F26" i="392" s="1"/>
  <c r="F28" i="392" a="1"/>
  <c r="F28" i="392" s="1"/>
  <c r="F10" i="398" a="1"/>
  <c r="F10" i="398" s="1"/>
  <c r="F92" i="398" a="1"/>
  <c r="F92" i="398" s="1"/>
  <c r="F93" i="398" a="1"/>
  <c r="F93" i="398" s="1"/>
  <c r="F145" i="398" a="1"/>
  <c r="F145" i="398" s="1"/>
  <c r="F144" i="398" s="1"/>
  <c r="A47" i="354"/>
  <c r="A48" i="354" s="1"/>
  <c r="C10" i="254" a="1"/>
  <c r="C10" i="254" s="1"/>
  <c r="C30" i="254" a="1"/>
  <c r="C30" i="254" s="1"/>
  <c r="D85" i="254" a="1"/>
  <c r="D85" i="254" s="1"/>
  <c r="D88" i="254" a="1"/>
  <c r="D88" i="254" s="1"/>
  <c r="C11" i="324" a="1"/>
  <c r="C11" i="324" s="1"/>
  <c r="D16" i="339" a="1"/>
  <c r="D16" i="339" s="1"/>
  <c r="D19" i="339" s="1"/>
  <c r="C25" i="339" a="1"/>
  <c r="C25" i="339" s="1"/>
  <c r="D57" i="339" a="1"/>
  <c r="D57" i="339" s="1"/>
  <c r="D59" i="339" a="1"/>
  <c r="D59" i="339" s="1"/>
  <c r="C65" i="339" a="1"/>
  <c r="C65" i="339" s="1"/>
  <c r="E31" i="346" a="1"/>
  <c r="E31" i="346" s="1"/>
  <c r="E95" i="346" a="1"/>
  <c r="E95" i="346" s="1"/>
  <c r="F35" i="392" a="1"/>
  <c r="F35" i="392" s="1"/>
  <c r="F37" i="392" a="1"/>
  <c r="F37" i="392" s="1"/>
  <c r="F86" i="392" a="1"/>
  <c r="F86" i="392" s="1"/>
  <c r="G86" i="392" s="1"/>
  <c r="F57" i="395" a="1"/>
  <c r="F57" i="395" s="1"/>
  <c r="F132" i="393" a="1"/>
  <c r="F132" i="393" s="1"/>
  <c r="F133" i="393" a="1"/>
  <c r="F133" i="393" s="1"/>
  <c r="F26" i="398" a="1"/>
  <c r="F26" i="398" s="1"/>
  <c r="F73" i="398" a="1"/>
  <c r="F73" i="398" s="1"/>
  <c r="F74" i="398" a="1"/>
  <c r="F74" i="398" s="1"/>
  <c r="F99" i="399" a="1"/>
  <c r="F99" i="399" s="1"/>
  <c r="F155" i="399" a="1"/>
  <c r="F155" i="399" s="1"/>
  <c r="F159" i="399" a="1"/>
  <c r="F159" i="399" s="1"/>
  <c r="G159" i="399" s="1"/>
  <c r="D43" i="416" a="1"/>
  <c r="D43" i="416" s="1"/>
  <c r="A12" i="324"/>
  <c r="A13" i="324" s="1"/>
  <c r="E16" i="346" a="1"/>
  <c r="E16" i="346" s="1"/>
  <c r="E80" i="346" a="1"/>
  <c r="E80" i="346" s="1"/>
  <c r="F82" i="392" a="1"/>
  <c r="F82" i="392" s="1"/>
  <c r="F107" i="392" a="1"/>
  <c r="F107" i="392" s="1"/>
  <c r="F105" i="393" a="1"/>
  <c r="F105" i="393" s="1"/>
  <c r="F64" i="405" a="1"/>
  <c r="F64" i="405" s="1"/>
  <c r="F65" i="405" a="1"/>
  <c r="F65" i="405" s="1"/>
  <c r="F68" i="405" a="1"/>
  <c r="F68" i="405" s="1"/>
  <c r="G68" i="405" s="1"/>
  <c r="F12" i="405" a="1"/>
  <c r="F12" i="405" s="1"/>
  <c r="G12" i="405" s="1"/>
  <c r="F13" i="405" a="1"/>
  <c r="F13" i="405" s="1"/>
  <c r="F14" i="405" a="1"/>
  <c r="F14" i="405" s="1"/>
  <c r="G14" i="405" s="1"/>
  <c r="F16" i="405" a="1"/>
  <c r="F16" i="405" s="1"/>
  <c r="F17" i="405" a="1"/>
  <c r="F17" i="405" s="1"/>
  <c r="G17" i="405" s="1"/>
  <c r="F18" i="405" a="1"/>
  <c r="F18" i="405" s="1"/>
  <c r="E47" i="346" a="1"/>
  <c r="E47" i="346" s="1"/>
  <c r="E79" i="346" a="1"/>
  <c r="E79" i="346" s="1"/>
  <c r="F10" i="389" a="1"/>
  <c r="F10" i="389" s="1"/>
  <c r="G10" i="389" s="1"/>
  <c r="F116" i="393" a="1"/>
  <c r="F116" i="393" s="1"/>
  <c r="F143" i="393" a="1"/>
  <c r="F143" i="393" s="1"/>
  <c r="E143" i="393" s="1"/>
  <c r="F161" i="393" a="1"/>
  <c r="F161" i="393" s="1"/>
  <c r="F42" i="401" a="1"/>
  <c r="F42" i="401" s="1"/>
  <c r="F6" i="404"/>
  <c r="F31" i="404" a="1"/>
  <c r="F31" i="404" s="1"/>
  <c r="F54" i="388" a="1"/>
  <c r="F54" i="388" s="1"/>
  <c r="F67" i="388" a="1"/>
  <c r="F67" i="388" s="1"/>
  <c r="F68" i="388" a="1"/>
  <c r="F68" i="388" s="1"/>
  <c r="F72" i="388" a="1"/>
  <c r="F72" i="388" s="1"/>
  <c r="F80" i="388" a="1"/>
  <c r="F80" i="388" s="1"/>
  <c r="D59" i="254" a="1"/>
  <c r="D59" i="254" s="1"/>
  <c r="C24" i="324" a="1"/>
  <c r="C24" i="324" s="1"/>
  <c r="C64" i="324" a="1"/>
  <c r="C64" i="324" s="1"/>
  <c r="D73" i="324" a="1"/>
  <c r="D73" i="324" s="1"/>
  <c r="D78" i="324" a="1"/>
  <c r="D78" i="324" s="1"/>
  <c r="D81" i="324" a="1"/>
  <c r="D81" i="324" s="1"/>
  <c r="C52" i="339" a="1"/>
  <c r="C52" i="339" s="1"/>
  <c r="C81" i="339" a="1"/>
  <c r="C81" i="339" s="1"/>
  <c r="E32" i="346" a="1"/>
  <c r="E32" i="346" s="1"/>
  <c r="E64" i="346" a="1"/>
  <c r="E64" i="346" s="1"/>
  <c r="E96" i="346" a="1"/>
  <c r="E96" i="346" s="1"/>
  <c r="F70" i="392" a="1"/>
  <c r="F70" i="392" s="1"/>
  <c r="F80" i="392" a="1"/>
  <c r="F80" i="392" s="1"/>
  <c r="F84" i="392" a="1"/>
  <c r="F84" i="392" s="1"/>
  <c r="G84" i="392" s="1"/>
  <c r="F59" i="395" a="1"/>
  <c r="F59" i="395" s="1"/>
  <c r="F82" i="395" a="1"/>
  <c r="F82" i="395" s="1"/>
  <c r="G82" i="395" s="1"/>
  <c r="F23" i="396" a="1"/>
  <c r="F23" i="396" s="1"/>
  <c r="F43" i="396" a="1"/>
  <c r="F43" i="396" s="1"/>
  <c r="F53" i="397" a="1"/>
  <c r="F53" i="397" s="1"/>
  <c r="F81" i="397" a="1"/>
  <c r="F81" i="397" s="1"/>
  <c r="F55" i="393" a="1"/>
  <c r="F55" i="393" s="1"/>
  <c r="F62" i="393" a="1"/>
  <c r="F62" i="393" s="1"/>
  <c r="D7" i="405"/>
  <c r="D134" i="405" s="1" a="1"/>
  <c r="D134" i="405" s="1"/>
  <c r="I134" i="405" s="1"/>
  <c r="F33" i="405" a="1"/>
  <c r="F33" i="405" s="1"/>
  <c r="F34" i="405" a="1"/>
  <c r="F34" i="405" s="1"/>
  <c r="F35" i="405" a="1"/>
  <c r="F35" i="405" s="1"/>
  <c r="G35" i="405" s="1"/>
  <c r="F37" i="405" a="1"/>
  <c r="F37" i="405" s="1"/>
  <c r="G37" i="405" s="1"/>
  <c r="F38" i="405" a="1"/>
  <c r="F38" i="405" s="1"/>
  <c r="F54" i="405" a="1"/>
  <c r="F54" i="405" s="1"/>
  <c r="F55" i="405" a="1"/>
  <c r="F55" i="405" s="1"/>
  <c r="F56" i="405" a="1"/>
  <c r="F56" i="405" s="1"/>
  <c r="F57" i="405" a="1"/>
  <c r="F57" i="405" s="1"/>
  <c r="F72" i="405" a="1"/>
  <c r="F72" i="405" s="1"/>
  <c r="F140" i="405" a="1"/>
  <c r="F140" i="405" s="1"/>
  <c r="F141" i="405" a="1"/>
  <c r="F141" i="405" s="1"/>
  <c r="F155" i="405" a="1"/>
  <c r="F155" i="405" s="1"/>
  <c r="F162" i="405" a="1"/>
  <c r="F162" i="405" s="1"/>
  <c r="F163" i="405" a="1"/>
  <c r="F163" i="405" s="1"/>
  <c r="F175" i="405" a="1"/>
  <c r="F175" i="405" s="1"/>
  <c r="F177" i="405" s="1"/>
  <c r="F18" i="388" a="1"/>
  <c r="F18" i="388" s="1"/>
  <c r="G18" i="388" s="1"/>
  <c r="F91" i="388" a="1"/>
  <c r="F91" i="388" s="1"/>
  <c r="D58" i="416" a="1"/>
  <c r="D58" i="416" s="1"/>
  <c r="F80" i="404" a="1"/>
  <c r="F80" i="404" s="1"/>
  <c r="F81" i="404" a="1"/>
  <c r="F81" i="404" s="1"/>
  <c r="F84" i="404" a="1"/>
  <c r="F84" i="404" s="1"/>
  <c r="F85" i="404" a="1"/>
  <c r="F85" i="404" s="1"/>
  <c r="F106" i="404" a="1"/>
  <c r="F106" i="404" s="1"/>
  <c r="F107" i="404" a="1"/>
  <c r="F107" i="404" s="1"/>
  <c r="F45" i="388" a="1"/>
  <c r="F45" i="388" s="1"/>
  <c r="F52" i="388" a="1"/>
  <c r="F52" i="388" s="1"/>
  <c r="G52" i="388" s="1"/>
  <c r="F64" i="388" a="1"/>
  <c r="F64" i="388" s="1"/>
  <c r="F65" i="388" a="1"/>
  <c r="F65" i="388" s="1"/>
  <c r="F70" i="388" a="1"/>
  <c r="F70" i="388" s="1"/>
  <c r="F74" i="388" a="1"/>
  <c r="F74" i="388" s="1"/>
  <c r="F100" i="388" a="1"/>
  <c r="F100" i="388" s="1"/>
  <c r="D30" i="354" a="1"/>
  <c r="D30" i="354" s="1"/>
  <c r="D58" i="354" a="1"/>
  <c r="D58" i="354" s="1"/>
  <c r="A75" i="354"/>
  <c r="A76" i="354" s="1"/>
  <c r="D58" i="254" a="1"/>
  <c r="D58" i="254" s="1"/>
  <c r="D60" i="254" a="1"/>
  <c r="D60" i="254" s="1"/>
  <c r="C66" i="254" a="1"/>
  <c r="C66" i="254" s="1"/>
  <c r="C74" i="324" a="1"/>
  <c r="C74" i="324" s="1"/>
  <c r="C85" i="324" a="1"/>
  <c r="C85" i="324" s="1"/>
  <c r="C37" i="339" a="1"/>
  <c r="C37" i="339" s="1"/>
  <c r="C80" i="339" a="1"/>
  <c r="C80" i="339" s="1"/>
  <c r="F17" i="393" a="1"/>
  <c r="F17" i="393" s="1"/>
  <c r="F55" i="401" a="1"/>
  <c r="F55" i="401" s="1"/>
  <c r="G55" i="401" s="1"/>
  <c r="F54" i="404" a="1"/>
  <c r="F54" i="404" s="1"/>
  <c r="F55" i="404" a="1"/>
  <c r="F55" i="404" s="1"/>
  <c r="G55" i="404" s="1"/>
  <c r="F101" i="405" a="1"/>
  <c r="F101" i="405" s="1"/>
  <c r="G101" i="405" s="1"/>
  <c r="F102" i="405" a="1"/>
  <c r="F102" i="405" s="1"/>
  <c r="F103" i="405" a="1"/>
  <c r="F103" i="405" s="1"/>
  <c r="F106" i="405" a="1"/>
  <c r="F106" i="405" s="1"/>
  <c r="F107" i="405" a="1"/>
  <c r="F107" i="405" s="1"/>
  <c r="F114" i="405" a="1"/>
  <c r="F114" i="405" s="1"/>
  <c r="F115" i="405" a="1"/>
  <c r="F115" i="405" s="1"/>
  <c r="F6" i="388"/>
  <c r="F59" i="388" a="1"/>
  <c r="F59" i="388" s="1"/>
  <c r="F89" i="388" a="1"/>
  <c r="F89" i="388" s="1"/>
  <c r="F124" i="388" a="1"/>
  <c r="F124" i="388" s="1"/>
  <c r="D34" i="416" a="1"/>
  <c r="D34" i="416" s="1"/>
  <c r="E34" i="416" s="1"/>
  <c r="C74" i="254" a="1"/>
  <c r="C74" i="254" s="1"/>
  <c r="D74" i="254" a="1"/>
  <c r="D74" i="254" s="1"/>
  <c r="A54" i="324"/>
  <c r="A55" i="324" s="1"/>
  <c r="C53" i="324" a="1"/>
  <c r="C53" i="324" s="1"/>
  <c r="D78" i="339" a="1"/>
  <c r="D78" i="339" s="1"/>
  <c r="C78" i="339" a="1"/>
  <c r="C78" i="339" s="1"/>
  <c r="D88" i="354" a="1"/>
  <c r="D88" i="354" s="1"/>
  <c r="A89" i="354"/>
  <c r="A90" i="354" s="1"/>
  <c r="D18" i="254" a="1"/>
  <c r="D18" i="254" s="1"/>
  <c r="A19" i="254"/>
  <c r="A20" i="254" s="1"/>
  <c r="C25" i="254" a="1"/>
  <c r="C25" i="254" s="1"/>
  <c r="D25" i="254" a="1"/>
  <c r="D25" i="254" s="1"/>
  <c r="C31" i="254" a="1"/>
  <c r="C31" i="254" s="1"/>
  <c r="D31" i="254" a="1"/>
  <c r="D31" i="254" s="1"/>
  <c r="C38" i="254" a="1"/>
  <c r="C38" i="254" s="1"/>
  <c r="D38" i="254" a="1"/>
  <c r="D38" i="254" s="1"/>
  <c r="C51" i="254" a="1"/>
  <c r="C51" i="254" s="1"/>
  <c r="D51" i="254" a="1"/>
  <c r="D51" i="254" s="1"/>
  <c r="D57" i="254" a="1"/>
  <c r="D57" i="254" s="1"/>
  <c r="C71" i="254" a="1"/>
  <c r="C71" i="254" s="1"/>
  <c r="D71" i="254" a="1"/>
  <c r="D71" i="254" s="1"/>
  <c r="C43" i="324" a="1"/>
  <c r="C43" i="324" s="1"/>
  <c r="D43" i="324" a="1"/>
  <c r="D43" i="324" s="1"/>
  <c r="D47" i="324" s="1"/>
  <c r="C86" i="324" a="1"/>
  <c r="C86" i="324" s="1"/>
  <c r="D86" i="324" a="1"/>
  <c r="D86" i="324" s="1"/>
  <c r="D43" i="339" a="1"/>
  <c r="D43" i="339" s="1"/>
  <c r="C43" i="339" a="1"/>
  <c r="C43" i="339" s="1"/>
  <c r="A19" i="346"/>
  <c r="A20" i="346" s="1"/>
  <c r="F18" i="346" a="1"/>
  <c r="F18" i="346" s="1"/>
  <c r="A35" i="346"/>
  <c r="A36" i="346" s="1"/>
  <c r="F34" i="346" a="1"/>
  <c r="F34" i="346" s="1"/>
  <c r="A51" i="346"/>
  <c r="A52" i="346" s="1"/>
  <c r="F50" i="346" a="1"/>
  <c r="F50" i="346" s="1"/>
  <c r="A67" i="346"/>
  <c r="A68" i="346" s="1"/>
  <c r="F66" i="346" a="1"/>
  <c r="F66" i="346" s="1"/>
  <c r="A83" i="346"/>
  <c r="A84" i="346" s="1"/>
  <c r="F82" i="346" a="1"/>
  <c r="F82" i="346" s="1"/>
  <c r="A99" i="346"/>
  <c r="A100" i="346" s="1"/>
  <c r="F98" i="346" a="1"/>
  <c r="F98" i="346" s="1"/>
  <c r="D13" i="397" a="1"/>
  <c r="D13" i="397" s="1"/>
  <c r="I13" i="397" s="1"/>
  <c r="F158" i="402" a="1"/>
  <c r="F158" i="402" s="1"/>
  <c r="F111" i="402" a="1"/>
  <c r="F111" i="402" s="1"/>
  <c r="F107" i="402" a="1"/>
  <c r="F107" i="402" s="1"/>
  <c r="F106" i="402" a="1"/>
  <c r="F106" i="402" s="1"/>
  <c r="F103" i="402" a="1"/>
  <c r="F103" i="402" s="1"/>
  <c r="F102" i="402" a="1"/>
  <c r="F102" i="402" s="1"/>
  <c r="F73" i="402" a="1"/>
  <c r="F73" i="402" s="1"/>
  <c r="F72" i="402" a="1"/>
  <c r="F72" i="402" s="1"/>
  <c r="F52" i="402" a="1"/>
  <c r="F52" i="402" s="1"/>
  <c r="G52" i="402" s="1"/>
  <c r="F33" i="402" a="1"/>
  <c r="F33" i="402" s="1"/>
  <c r="F55" i="402" a="1"/>
  <c r="F55" i="402" s="1"/>
  <c r="F23" i="402" a="1"/>
  <c r="F23" i="402" s="1"/>
  <c r="F13" i="402" a="1"/>
  <c r="F13" i="402" s="1"/>
  <c r="F163" i="402" a="1"/>
  <c r="F163" i="402" s="1"/>
  <c r="F95" i="402" a="1"/>
  <c r="F95" i="402" s="1"/>
  <c r="F85" i="402" a="1"/>
  <c r="F85" i="402" s="1"/>
  <c r="F69" i="402" a="1"/>
  <c r="F69" i="402" s="1"/>
  <c r="F68" i="402" a="1"/>
  <c r="F68" i="402" s="1"/>
  <c r="F16" i="402" a="1"/>
  <c r="F16" i="402" s="1"/>
  <c r="F63" i="402" a="1"/>
  <c r="F63" i="402" s="1"/>
  <c r="G63" i="402" s="1"/>
  <c r="F43" i="402" a="1"/>
  <c r="F43" i="402" s="1"/>
  <c r="F40" i="402" a="1"/>
  <c r="F40" i="402" s="1"/>
  <c r="C24" i="254" a="1"/>
  <c r="C24" i="254" s="1"/>
  <c r="C22" i="254" a="1"/>
  <c r="C22" i="254" s="1"/>
  <c r="C23" i="254" a="1"/>
  <c r="C23" i="254" s="1"/>
  <c r="D24" i="254" a="1"/>
  <c r="D24" i="254" s="1"/>
  <c r="A89" i="324"/>
  <c r="A90" i="324" s="1"/>
  <c r="C88" i="324" a="1"/>
  <c r="C88" i="324" s="1"/>
  <c r="D32" i="354" a="1"/>
  <c r="D32" i="354" s="1"/>
  <c r="A33" i="354"/>
  <c r="A34" i="354" s="1"/>
  <c r="D60" i="354" a="1"/>
  <c r="D60" i="354" s="1"/>
  <c r="A61" i="354"/>
  <c r="A62" i="354" s="1"/>
  <c r="C15" i="254" a="1"/>
  <c r="C15" i="254" s="1"/>
  <c r="D15" i="254" a="1"/>
  <c r="D15" i="254" s="1"/>
  <c r="D22" i="254" a="1"/>
  <c r="D22" i="254" s="1"/>
  <c r="A33" i="254"/>
  <c r="A34" i="254" s="1"/>
  <c r="C32" i="254" a="1"/>
  <c r="C32" i="254" s="1"/>
  <c r="A40" i="254"/>
  <c r="A41" i="254" s="1"/>
  <c r="C39" i="254" a="1"/>
  <c r="C39" i="254" s="1"/>
  <c r="C52" i="254" a="1"/>
  <c r="C52" i="254" s="1"/>
  <c r="D52" i="254" a="1"/>
  <c r="D52" i="254" s="1"/>
  <c r="C72" i="254" a="1"/>
  <c r="C72" i="254" s="1"/>
  <c r="C75" i="254" s="1"/>
  <c r="D72" i="254" a="1"/>
  <c r="D72" i="254" s="1"/>
  <c r="C31" i="324" a="1"/>
  <c r="C31" i="324" s="1"/>
  <c r="D31" i="324" a="1"/>
  <c r="D31" i="324" s="1"/>
  <c r="C38" i="324" a="1"/>
  <c r="C38" i="324" s="1"/>
  <c r="D38" i="324" a="1"/>
  <c r="D38" i="324" s="1"/>
  <c r="C52" i="324" a="1"/>
  <c r="C52" i="324" s="1"/>
  <c r="D52" i="324" a="1"/>
  <c r="D52" i="324" s="1"/>
  <c r="D23" i="339" a="1"/>
  <c r="D23" i="339" s="1"/>
  <c r="C23" i="339" a="1"/>
  <c r="C23" i="339" s="1"/>
  <c r="D44" i="339" a="1"/>
  <c r="D44" i="339" s="1"/>
  <c r="C44" i="339" a="1"/>
  <c r="C44" i="339" s="1"/>
  <c r="E14" i="346" a="1"/>
  <c r="E14" i="346" s="1"/>
  <c r="E30" i="346" a="1"/>
  <c r="E30" i="346" s="1"/>
  <c r="E46" i="346" a="1"/>
  <c r="E46" i="346" s="1"/>
  <c r="E62" i="346" a="1"/>
  <c r="E62" i="346" s="1"/>
  <c r="E78" i="346" a="1"/>
  <c r="E78" i="346" s="1"/>
  <c r="E94" i="346" a="1"/>
  <c r="E94" i="346" s="1"/>
  <c r="F118" i="402" a="1"/>
  <c r="F118" i="402" s="1"/>
  <c r="F119" i="402" a="1"/>
  <c r="F119" i="402" s="1"/>
  <c r="F134" i="402" a="1"/>
  <c r="F134" i="402" s="1"/>
  <c r="D86" i="354" a="1"/>
  <c r="D86" i="354" s="1"/>
  <c r="D23" i="254" a="1"/>
  <c r="D23" i="254" s="1"/>
  <c r="D39" i="254" a="1"/>
  <c r="D39" i="254" s="1"/>
  <c r="C53" i="254" a="1"/>
  <c r="C53" i="254" s="1"/>
  <c r="D53" i="254" a="1"/>
  <c r="D53" i="254" s="1"/>
  <c r="C73" i="254" a="1"/>
  <c r="C73" i="254" s="1"/>
  <c r="D73" i="254" a="1"/>
  <c r="D73" i="254" s="1"/>
  <c r="D80" i="254" a="1"/>
  <c r="D80" i="254" s="1"/>
  <c r="C80" i="254" a="1"/>
  <c r="C80" i="254" s="1"/>
  <c r="A33" i="324"/>
  <c r="A34" i="324" s="1"/>
  <c r="C32" i="324" a="1"/>
  <c r="C32" i="324" s="1"/>
  <c r="A40" i="324"/>
  <c r="A41" i="324" s="1"/>
  <c r="C39" i="324" a="1"/>
  <c r="C39" i="324" s="1"/>
  <c r="D59" i="324" a="1"/>
  <c r="D59" i="324" s="1"/>
  <c r="D61" i="324" s="1"/>
  <c r="C59" i="324" a="1"/>
  <c r="C59" i="324" s="1"/>
  <c r="A19" i="339"/>
  <c r="A20" i="339" s="1"/>
  <c r="C18" i="339" a="1"/>
  <c r="C18" i="339" s="1"/>
  <c r="A68" i="339"/>
  <c r="A69" i="339" s="1"/>
  <c r="C67" i="339" a="1"/>
  <c r="C67" i="339" s="1"/>
  <c r="D86" i="339" a="1"/>
  <c r="D86" i="339" s="1"/>
  <c r="D89" i="339" s="1"/>
  <c r="C86" i="339" a="1"/>
  <c r="C86" i="339" s="1"/>
  <c r="E18" i="346" a="1"/>
  <c r="E18" i="346" s="1"/>
  <c r="E34" i="346" a="1"/>
  <c r="E34" i="346" s="1"/>
  <c r="E50" i="346" a="1"/>
  <c r="E50" i="346" s="1"/>
  <c r="E66" i="346" a="1"/>
  <c r="E66" i="346" s="1"/>
  <c r="E82" i="346" a="1"/>
  <c r="E82" i="346" s="1"/>
  <c r="E98" i="346" a="1"/>
  <c r="E98" i="346" s="1"/>
  <c r="F140" i="396" a="1"/>
  <c r="F140" i="396" s="1"/>
  <c r="F125" i="396" a="1"/>
  <c r="F125" i="396" s="1"/>
  <c r="F102" i="396" a="1"/>
  <c r="F102" i="396" s="1"/>
  <c r="F96" i="396" a="1"/>
  <c r="F96" i="396" s="1"/>
  <c r="F90" i="396" a="1"/>
  <c r="F90" i="396" s="1"/>
  <c r="F54" i="396" a="1"/>
  <c r="F54" i="396" s="1"/>
  <c r="F53" i="396" a="1"/>
  <c r="F53" i="396" s="1"/>
  <c r="F58" i="396" a="1"/>
  <c r="F58" i="396" s="1"/>
  <c r="F129" i="396" a="1"/>
  <c r="F129" i="396" s="1"/>
  <c r="F143" i="396" a="1"/>
  <c r="F143" i="396" s="1"/>
  <c r="F155" i="396" a="1"/>
  <c r="F155" i="396" s="1"/>
  <c r="F158" i="396" a="1"/>
  <c r="F158" i="396" s="1"/>
  <c r="C39" i="339" a="1"/>
  <c r="C39" i="339" s="1"/>
  <c r="D39" i="339" a="1"/>
  <c r="D39" i="339" s="1"/>
  <c r="D40" i="339" s="1"/>
  <c r="D45" i="339" a="1"/>
  <c r="D45" i="339" s="1"/>
  <c r="C45" i="339" a="1"/>
  <c r="C45" i="339" s="1"/>
  <c r="C46" i="339" a="1"/>
  <c r="C46" i="339" s="1"/>
  <c r="D92" i="394" a="1"/>
  <c r="D92" i="394" s="1"/>
  <c r="I92" i="394" s="1"/>
  <c r="D58" i="394" a="1"/>
  <c r="D58" i="394" s="1"/>
  <c r="I58" i="394" s="1"/>
  <c r="D57" i="394" a="1"/>
  <c r="D57" i="394" s="1"/>
  <c r="I57" i="394" s="1"/>
  <c r="D44" i="394" a="1"/>
  <c r="D44" i="394" s="1"/>
  <c r="I44" i="394" s="1"/>
  <c r="F73" i="394" a="1"/>
  <c r="F73" i="394" s="1"/>
  <c r="F43" i="394" a="1"/>
  <c r="F43" i="394" s="1"/>
  <c r="F34" i="394" a="1"/>
  <c r="F34" i="394" s="1"/>
  <c r="F20" i="394" a="1"/>
  <c r="F20" i="394" s="1"/>
  <c r="G20" i="394" s="1"/>
  <c r="F18" i="394" a="1"/>
  <c r="F18" i="394" s="1"/>
  <c r="F17" i="394" a="1"/>
  <c r="F17" i="394" s="1"/>
  <c r="F35" i="394" a="1"/>
  <c r="F35" i="394" s="1"/>
  <c r="F175" i="404" a="1"/>
  <c r="F175" i="404" s="1"/>
  <c r="F177" i="404" s="1"/>
  <c r="F162" i="404" a="1"/>
  <c r="F162" i="404" s="1"/>
  <c r="F161" i="404" a="1"/>
  <c r="F161" i="404" s="1"/>
  <c r="F158" i="404" a="1"/>
  <c r="F158" i="404" s="1"/>
  <c r="F157" i="404" a="1"/>
  <c r="F157" i="404" s="1"/>
  <c r="F143" i="404" a="1"/>
  <c r="F143" i="404" s="1"/>
  <c r="E143" i="404" s="1"/>
  <c r="F140" i="404" a="1"/>
  <c r="F140" i="404" s="1"/>
  <c r="F74" i="404" a="1"/>
  <c r="F74" i="404" s="1"/>
  <c r="F64" i="404" a="1"/>
  <c r="F64" i="404" s="1"/>
  <c r="F63" i="404" a="1"/>
  <c r="F63" i="404" s="1"/>
  <c r="G63" i="404" s="1"/>
  <c r="F52" i="404" a="1"/>
  <c r="F52" i="404" s="1"/>
  <c r="F28" i="404" a="1"/>
  <c r="F28" i="404" s="1"/>
  <c r="F10" i="404" a="1"/>
  <c r="F10" i="404" s="1"/>
  <c r="G10" i="404" s="1"/>
  <c r="F13" i="404" a="1"/>
  <c r="F13" i="404" s="1"/>
  <c r="F14" i="404" a="1"/>
  <c r="F14" i="404" s="1"/>
  <c r="F23" i="404" a="1"/>
  <c r="F23" i="404" s="1"/>
  <c r="F91" i="404" a="1"/>
  <c r="F91" i="404" s="1"/>
  <c r="F92" i="404" a="1"/>
  <c r="F92" i="404" s="1"/>
  <c r="F95" i="404" a="1"/>
  <c r="F95" i="404" s="1"/>
  <c r="F96" i="404" a="1"/>
  <c r="F96" i="404" s="1"/>
  <c r="F122" i="404" a="1"/>
  <c r="F122" i="404" s="1"/>
  <c r="F123" i="404" a="1"/>
  <c r="F123" i="404" s="1"/>
  <c r="F12" i="395" a="1"/>
  <c r="F12" i="395" s="1"/>
  <c r="F16" i="397" a="1"/>
  <c r="F16" i="397" s="1"/>
  <c r="G16" i="397" s="1"/>
  <c r="F30" i="397" a="1"/>
  <c r="F30" i="397" s="1"/>
  <c r="G30" i="397" s="1"/>
  <c r="F70" i="397" a="1"/>
  <c r="F70" i="397" s="1"/>
  <c r="G70" i="397" s="1"/>
  <c r="F6" i="393"/>
  <c r="F10" i="393" a="1"/>
  <c r="F10" i="393" s="1"/>
  <c r="G10" i="393" s="1"/>
  <c r="F20" i="393" a="1"/>
  <c r="F20" i="393" s="1"/>
  <c r="F40" i="393" a="1"/>
  <c r="F40" i="393" s="1"/>
  <c r="F52" i="393" a="1"/>
  <c r="F52" i="393" s="1"/>
  <c r="F128" i="399" a="1"/>
  <c r="F128" i="399" s="1"/>
  <c r="F43" i="399" a="1"/>
  <c r="F43" i="399" s="1"/>
  <c r="D13" i="416" a="1"/>
  <c r="D13" i="416" s="1"/>
  <c r="D15" i="416" a="1"/>
  <c r="D15" i="416" s="1"/>
  <c r="D18" i="416" a="1"/>
  <c r="D18" i="416" s="1"/>
  <c r="D21" i="416" a="1"/>
  <c r="D21" i="416" s="1"/>
  <c r="D39" i="416" a="1"/>
  <c r="D39" i="416" s="1"/>
  <c r="D32" i="339" a="1"/>
  <c r="D32" i="339" s="1"/>
  <c r="F12" i="392" a="1"/>
  <c r="F12" i="392" s="1"/>
  <c r="F31" i="392" a="1"/>
  <c r="F31" i="392" s="1"/>
  <c r="G31" i="392" s="1"/>
  <c r="F53" i="392" a="1"/>
  <c r="F53" i="392" s="1"/>
  <c r="F59" i="392" a="1"/>
  <c r="F59" i="392" s="1"/>
  <c r="G59" i="392" s="1"/>
  <c r="F67" i="392" a="1"/>
  <c r="F67" i="392" s="1"/>
  <c r="F96" i="392" a="1"/>
  <c r="F96" i="392" s="1"/>
  <c r="F6" i="397"/>
  <c r="F12" i="397" a="1"/>
  <c r="F12" i="397" s="1"/>
  <c r="F20" i="397" a="1"/>
  <c r="F20" i="397" s="1"/>
  <c r="F22" i="397" a="1"/>
  <c r="F22" i="397" s="1"/>
  <c r="F35" i="397" a="1"/>
  <c r="F35" i="397" s="1"/>
  <c r="G35" i="397" s="1"/>
  <c r="F39" i="397" a="1"/>
  <c r="F39" i="397" s="1"/>
  <c r="F57" i="397" a="1"/>
  <c r="F57" i="397" s="1"/>
  <c r="G57" i="397" s="1"/>
  <c r="F163" i="393" a="1"/>
  <c r="F163" i="393" s="1"/>
  <c r="F136" i="393" a="1"/>
  <c r="F136" i="393" s="1"/>
  <c r="F131" i="393" a="1"/>
  <c r="F131" i="393" s="1"/>
  <c r="F127" i="393" a="1"/>
  <c r="F127" i="393" s="1"/>
  <c r="F121" i="393" a="1"/>
  <c r="F121" i="393" s="1"/>
  <c r="F114" i="393" a="1"/>
  <c r="F114" i="393" s="1"/>
  <c r="F98" i="393" a="1"/>
  <c r="F98" i="393" s="1"/>
  <c r="F93" i="393" a="1"/>
  <c r="F93" i="393" s="1"/>
  <c r="F81" i="393" a="1"/>
  <c r="F81" i="393" s="1"/>
  <c r="G81" i="393" s="1"/>
  <c r="F80" i="393" a="1"/>
  <c r="F80" i="393" s="1"/>
  <c r="G80" i="393" s="1"/>
  <c r="F53" i="393" a="1"/>
  <c r="F53" i="393" s="1"/>
  <c r="F38" i="393" a="1"/>
  <c r="F38" i="393" s="1"/>
  <c r="F45" i="393" a="1"/>
  <c r="F45" i="393" s="1"/>
  <c r="F94" i="393" a="1"/>
  <c r="F94" i="393" s="1"/>
  <c r="F95" i="393" a="1"/>
  <c r="F95" i="393" s="1"/>
  <c r="F55" i="394" a="1"/>
  <c r="F55" i="394" s="1"/>
  <c r="F66" i="394" a="1"/>
  <c r="F66" i="394" s="1"/>
  <c r="F67" i="394" a="1"/>
  <c r="F67" i="394" s="1"/>
  <c r="F20" i="404" a="1"/>
  <c r="F20" i="404" s="1"/>
  <c r="G20" i="404" s="1"/>
  <c r="F35" i="404" a="1"/>
  <c r="F35" i="404" s="1"/>
  <c r="F70" i="404" a="1"/>
  <c r="F70" i="404" s="1"/>
  <c r="F110" i="404" a="1"/>
  <c r="F110" i="404" s="1"/>
  <c r="F111" i="404" a="1"/>
  <c r="F111" i="404" s="1"/>
  <c r="F114" i="404" a="1"/>
  <c r="F114" i="404" s="1"/>
  <c r="F115" i="404" a="1"/>
  <c r="F115" i="404" s="1"/>
  <c r="F118" i="404" a="1"/>
  <c r="F118" i="404" s="1"/>
  <c r="F119" i="404" a="1"/>
  <c r="F119" i="404" s="1"/>
  <c r="D137" i="416" a="1"/>
  <c r="D137" i="416" s="1"/>
  <c r="D66" i="416" a="1"/>
  <c r="D66" i="416" s="1"/>
  <c r="D50" i="416" a="1"/>
  <c r="D50" i="416" s="1"/>
  <c r="D29" i="416" a="1"/>
  <c r="D29" i="416" s="1"/>
  <c r="E29" i="416" s="1"/>
  <c r="D11" i="416" a="1"/>
  <c r="D11" i="416" s="1"/>
  <c r="E11" i="416" s="1"/>
  <c r="D14" i="416" a="1"/>
  <c r="D14" i="416" s="1"/>
  <c r="D17" i="416" a="1"/>
  <c r="D17" i="416" s="1"/>
  <c r="D19" i="416" a="1"/>
  <c r="D19" i="416" s="1"/>
  <c r="E19" i="416" s="1"/>
  <c r="D23" i="416" a="1"/>
  <c r="D23" i="416" s="1"/>
  <c r="E23" i="416" s="1"/>
  <c r="D54" i="416" a="1"/>
  <c r="D54" i="416" s="1"/>
  <c r="E32" i="365" a="1"/>
  <c r="E32" i="365" s="1"/>
  <c r="E30" i="365" s="1"/>
  <c r="E36" i="365" a="1"/>
  <c r="E36" i="365" s="1"/>
  <c r="E33" i="365" a="1"/>
  <c r="E33" i="365" s="1"/>
  <c r="E35" i="365" a="1"/>
  <c r="E35" i="365" s="1"/>
  <c r="I36" i="365" a="1"/>
  <c r="I36" i="365" s="1"/>
  <c r="I33" i="365" a="1"/>
  <c r="I33" i="365" s="1"/>
  <c r="I31" i="365" a="1"/>
  <c r="I31" i="365" s="1"/>
  <c r="I30" i="365" s="1"/>
  <c r="M31" i="365" a="1"/>
  <c r="M31" i="365" s="1"/>
  <c r="M32" i="365" a="1"/>
  <c r="M32" i="365" s="1"/>
  <c r="M33" i="365" a="1"/>
  <c r="M33" i="365" s="1"/>
  <c r="F96" i="398" a="1"/>
  <c r="F96" i="398" s="1"/>
  <c r="F97" i="398" a="1"/>
  <c r="F97" i="398" s="1"/>
  <c r="F159" i="398" a="1"/>
  <c r="F159" i="398" s="1"/>
  <c r="F160" i="398" a="1"/>
  <c r="F160" i="398" s="1"/>
  <c r="F40" i="405" a="1"/>
  <c r="F40" i="405" s="1"/>
  <c r="F41" i="405" a="1"/>
  <c r="F41" i="405" s="1"/>
  <c r="F42" i="405" a="1"/>
  <c r="F42" i="405" s="1"/>
  <c r="F52" i="405" a="1"/>
  <c r="F52" i="405" s="1"/>
  <c r="F89" i="405" a="1"/>
  <c r="F89" i="405" s="1"/>
  <c r="F90" i="405" a="1"/>
  <c r="F90" i="405" s="1"/>
  <c r="F126" i="405" a="1"/>
  <c r="F126" i="405" s="1"/>
  <c r="F133" i="405" a="1"/>
  <c r="F133" i="405" s="1"/>
  <c r="F134" i="405" a="1"/>
  <c r="F134" i="405" s="1"/>
  <c r="F33" i="388" a="1"/>
  <c r="F33" i="388" s="1"/>
  <c r="F84" i="388" a="1"/>
  <c r="F84" i="388" s="1"/>
  <c r="F105" i="388" a="1"/>
  <c r="F105" i="388" s="1"/>
  <c r="F109" i="388" a="1"/>
  <c r="F109" i="388" s="1"/>
  <c r="F122" i="388" a="1"/>
  <c r="F122" i="388" s="1"/>
  <c r="E15" i="386" a="1"/>
  <c r="E15" i="386" s="1"/>
  <c r="I31" i="386" a="1"/>
  <c r="I31" i="386" s="1"/>
  <c r="A12" i="354"/>
  <c r="A13" i="354" s="1"/>
  <c r="A26" i="354"/>
  <c r="A27" i="354" s="1"/>
  <c r="A40" i="354"/>
  <c r="A41" i="354" s="1"/>
  <c r="A54" i="354"/>
  <c r="A55" i="354" s="1"/>
  <c r="A68" i="354"/>
  <c r="A69" i="354" s="1"/>
  <c r="A82" i="354"/>
  <c r="A83" i="354" s="1"/>
  <c r="E8" i="353" a="1"/>
  <c r="E8" i="353" s="1"/>
  <c r="E9" i="353" a="1"/>
  <c r="E9" i="353" s="1"/>
  <c r="G11" i="345" a="1"/>
  <c r="G11" i="345" s="1"/>
  <c r="D7" i="407"/>
  <c r="D162" i="407" s="1" a="1"/>
  <c r="D162" i="407" s="1"/>
  <c r="F145" i="407" a="1"/>
  <c r="F145" i="407" s="1"/>
  <c r="F144" i="407" s="1"/>
  <c r="F13" i="392" a="1"/>
  <c r="F13" i="392" s="1"/>
  <c r="F14" i="392" a="1"/>
  <c r="F14" i="392" s="1"/>
  <c r="G14" i="392" s="1"/>
  <c r="F22" i="392" a="1"/>
  <c r="F22" i="392" s="1"/>
  <c r="F30" i="392" a="1"/>
  <c r="F30" i="392" s="1"/>
  <c r="F33" i="392" a="1"/>
  <c r="F33" i="392" s="1"/>
  <c r="F34" i="392" a="1"/>
  <c r="F34" i="392" s="1"/>
  <c r="F39" i="392" a="1"/>
  <c r="F39" i="392" s="1"/>
  <c r="F40" i="392" a="1"/>
  <c r="F40" i="392" s="1"/>
  <c r="G40" i="392" s="1"/>
  <c r="F44" i="392" a="1"/>
  <c r="F44" i="392" s="1"/>
  <c r="G44" i="392" s="1"/>
  <c r="F62" i="392" a="1"/>
  <c r="F62" i="392" s="1"/>
  <c r="F72" i="392" a="1"/>
  <c r="F72" i="392" s="1"/>
  <c r="F89" i="392" a="1"/>
  <c r="F89" i="392" s="1"/>
  <c r="F106" i="392" a="1"/>
  <c r="F106" i="392" s="1"/>
  <c r="G106" i="392" s="1"/>
  <c r="F111" i="392" a="1"/>
  <c r="F111" i="392" s="1"/>
  <c r="F127" i="392" a="1"/>
  <c r="F127" i="392" s="1"/>
  <c r="F132" i="392" a="1"/>
  <c r="F132" i="392" s="1"/>
  <c r="F141" i="392" a="1"/>
  <c r="F141" i="392" s="1"/>
  <c r="F13" i="395" a="1"/>
  <c r="F13" i="395" s="1"/>
  <c r="F14" i="395" a="1"/>
  <c r="F14" i="395" s="1"/>
  <c r="F23" i="395" a="1"/>
  <c r="F23" i="395" s="1"/>
  <c r="F35" i="395" a="1"/>
  <c r="F35" i="395" s="1"/>
  <c r="G35" i="395" s="1"/>
  <c r="F54" i="395" a="1"/>
  <c r="F54" i="395" s="1"/>
  <c r="F56" i="395" a="1"/>
  <c r="F56" i="395" s="1"/>
  <c r="F65" i="395" a="1"/>
  <c r="F65" i="395" s="1"/>
  <c r="F70" i="395" a="1"/>
  <c r="F70" i="395" s="1"/>
  <c r="F88" i="395" a="1"/>
  <c r="F88" i="395" s="1"/>
  <c r="F118" i="395" a="1"/>
  <c r="F118" i="395" s="1"/>
  <c r="F143" i="395" a="1"/>
  <c r="F143" i="395" s="1"/>
  <c r="E143" i="395" s="1"/>
  <c r="F145" i="395" a="1"/>
  <c r="F145" i="395" s="1"/>
  <c r="F144" i="395" s="1"/>
  <c r="F159" i="395" a="1"/>
  <c r="F159" i="395" s="1"/>
  <c r="F161" i="395" a="1"/>
  <c r="F161" i="395" s="1"/>
  <c r="F44" i="397" a="1"/>
  <c r="F44" i="397" s="1"/>
  <c r="D54" i="397" a="1"/>
  <c r="D54" i="397" s="1"/>
  <c r="I54" i="397" s="1"/>
  <c r="F59" i="397" a="1"/>
  <c r="F59" i="397" s="1"/>
  <c r="F60" i="397" a="1"/>
  <c r="F60" i="397" s="1"/>
  <c r="D97" i="397" a="1"/>
  <c r="D97" i="397" s="1"/>
  <c r="I97" i="397" s="1"/>
  <c r="F122" i="397" a="1"/>
  <c r="F122" i="397" s="1"/>
  <c r="F116" i="392" a="1"/>
  <c r="F116" i="392" s="1"/>
  <c r="F123" i="392" a="1"/>
  <c r="F123" i="392" s="1"/>
  <c r="F128" i="392" a="1"/>
  <c r="F128" i="392" s="1"/>
  <c r="G128" i="392" s="1"/>
  <c r="F156" i="392" a="1"/>
  <c r="F156" i="392" s="1"/>
  <c r="F162" i="392" a="1"/>
  <c r="F162" i="392" s="1"/>
  <c r="G162" i="392" s="1"/>
  <c r="F100" i="395" a="1"/>
  <c r="F100" i="395" s="1"/>
  <c r="F128" i="395" a="1"/>
  <c r="F128" i="395" s="1"/>
  <c r="F141" i="395" a="1"/>
  <c r="F141" i="395" s="1"/>
  <c r="F175" i="395" a="1"/>
  <c r="F175" i="395" s="1"/>
  <c r="F177" i="395" s="1"/>
  <c r="F108" i="397" a="1"/>
  <c r="F108" i="397" s="1"/>
  <c r="G13" i="345" a="1"/>
  <c r="G13" i="345" s="1"/>
  <c r="F16" i="407" a="1"/>
  <c r="F16" i="407" s="1"/>
  <c r="F30" i="407" a="1"/>
  <c r="F30" i="407" s="1"/>
  <c r="F31" i="407" a="1"/>
  <c r="F31" i="407" s="1"/>
  <c r="G31" i="407" s="1"/>
  <c r="F52" i="407" a="1"/>
  <c r="F52" i="407" s="1"/>
  <c r="F57" i="407" a="1"/>
  <c r="F57" i="407" s="1"/>
  <c r="G57" i="407" s="1"/>
  <c r="F62" i="407" a="1"/>
  <c r="F62" i="407" s="1"/>
  <c r="F67" i="407" a="1"/>
  <c r="F67" i="407" s="1"/>
  <c r="F68" i="407" a="1"/>
  <c r="F68" i="407" s="1"/>
  <c r="F72" i="407" a="1"/>
  <c r="F72" i="407" s="1"/>
  <c r="F80" i="407" a="1"/>
  <c r="F80" i="407" s="1"/>
  <c r="F88" i="407" a="1"/>
  <c r="F88" i="407" s="1"/>
  <c r="F96" i="407" a="1"/>
  <c r="F96" i="407" s="1"/>
  <c r="F99" i="407" a="1"/>
  <c r="F99" i="407" s="1"/>
  <c r="G99" i="407" s="1"/>
  <c r="F100" i="407" a="1"/>
  <c r="F100" i="407" s="1"/>
  <c r="G100" i="407" s="1"/>
  <c r="F103" i="407" a="1"/>
  <c r="F103" i="407" s="1"/>
  <c r="G103" i="407" s="1"/>
  <c r="F104" i="407" a="1"/>
  <c r="F104" i="407" s="1"/>
  <c r="G104" i="407" s="1"/>
  <c r="F107" i="407" a="1"/>
  <c r="F107" i="407" s="1"/>
  <c r="G107" i="407" s="1"/>
  <c r="F108" i="407" a="1"/>
  <c r="F108" i="407" s="1"/>
  <c r="F111" i="407" a="1"/>
  <c r="F111" i="407" s="1"/>
  <c r="F112" i="407" a="1"/>
  <c r="F112" i="407" s="1"/>
  <c r="F127" i="407" a="1"/>
  <c r="F127" i="407" s="1"/>
  <c r="G127" i="407" s="1"/>
  <c r="F128" i="407" a="1"/>
  <c r="F128" i="407" s="1"/>
  <c r="G128" i="407" s="1"/>
  <c r="F131" i="407" a="1"/>
  <c r="F131" i="407" s="1"/>
  <c r="F132" i="407" a="1"/>
  <c r="F132" i="407" s="1"/>
  <c r="F135" i="407" a="1"/>
  <c r="F135" i="407" s="1"/>
  <c r="F136" i="407" a="1"/>
  <c r="F136" i="407" s="1"/>
  <c r="F163" i="407" a="1"/>
  <c r="F163" i="407" s="1"/>
  <c r="D8" i="354" a="1"/>
  <c r="D8" i="354" s="1"/>
  <c r="C11" i="354" a="1"/>
  <c r="C11" i="354" s="1"/>
  <c r="D17" i="354" a="1"/>
  <c r="D17" i="354" s="1"/>
  <c r="D22" i="354" a="1"/>
  <c r="D22" i="354" s="1"/>
  <c r="D26" i="354" s="1"/>
  <c r="C25" i="354" a="1"/>
  <c r="C25" i="354" s="1"/>
  <c r="D31" i="354" a="1"/>
  <c r="D31" i="354" s="1"/>
  <c r="D36" i="354" a="1"/>
  <c r="D36" i="354" s="1"/>
  <c r="C39" i="354" a="1"/>
  <c r="C39" i="354" s="1"/>
  <c r="D45" i="354" a="1"/>
  <c r="D45" i="354" s="1"/>
  <c r="D50" i="354" a="1"/>
  <c r="D50" i="354" s="1"/>
  <c r="C53" i="354" a="1"/>
  <c r="C53" i="354" s="1"/>
  <c r="D59" i="354" a="1"/>
  <c r="D59" i="354" s="1"/>
  <c r="D64" i="354" a="1"/>
  <c r="D64" i="354" s="1"/>
  <c r="C67" i="354" a="1"/>
  <c r="C67" i="354" s="1"/>
  <c r="D73" i="354" a="1"/>
  <c r="D73" i="354" s="1"/>
  <c r="D78" i="354" a="1"/>
  <c r="D78" i="354" s="1"/>
  <c r="C81" i="354" a="1"/>
  <c r="C81" i="354" s="1"/>
  <c r="D87" i="354" a="1"/>
  <c r="D87" i="354" s="1"/>
  <c r="C9" i="254" a="1"/>
  <c r="C9" i="254" s="1"/>
  <c r="D32" i="254" a="1"/>
  <c r="D32" i="254" s="1"/>
  <c r="D33" i="254" s="1"/>
  <c r="C37" i="254" a="1"/>
  <c r="C37" i="254" s="1"/>
  <c r="C50" i="254" a="1"/>
  <c r="C50" i="254" s="1"/>
  <c r="A54" i="254"/>
  <c r="A55" i="254" s="1"/>
  <c r="C65" i="254" a="1"/>
  <c r="C65" i="254" s="1"/>
  <c r="C79" i="254" a="1"/>
  <c r="C79" i="254" s="1"/>
  <c r="C9" i="324" a="1"/>
  <c r="C9" i="324" s="1"/>
  <c r="D17" i="324" a="1"/>
  <c r="D17" i="324" s="1"/>
  <c r="D32" i="324" a="1"/>
  <c r="D32" i="324" s="1"/>
  <c r="D36" i="324" a="1"/>
  <c r="D36" i="324" s="1"/>
  <c r="C50" i="324" a="1"/>
  <c r="C50" i="324" s="1"/>
  <c r="C58" i="324" a="1"/>
  <c r="C58" i="324" s="1"/>
  <c r="C67" i="324" a="1"/>
  <c r="C67" i="324" s="1"/>
  <c r="C72" i="324" a="1"/>
  <c r="C72" i="324" s="1"/>
  <c r="A82" i="324"/>
  <c r="A83" i="324" s="1"/>
  <c r="D87" i="324" a="1"/>
  <c r="D87" i="324" s="1"/>
  <c r="D88" i="324" a="1"/>
  <c r="D88" i="324" s="1"/>
  <c r="C10" i="339" a="1"/>
  <c r="C10" i="339" s="1"/>
  <c r="D17" i="339" a="1"/>
  <c r="D17" i="339" s="1"/>
  <c r="C24" i="339" a="1"/>
  <c r="C24" i="339" s="1"/>
  <c r="D31" i="339" a="1"/>
  <c r="D31" i="339" s="1"/>
  <c r="D50" i="339" a="1"/>
  <c r="D50" i="339" s="1"/>
  <c r="D54" i="339" s="1"/>
  <c r="D71" i="339" a="1"/>
  <c r="D71" i="339" s="1"/>
  <c r="D74" i="339" a="1"/>
  <c r="D74" i="339" s="1"/>
  <c r="C79" i="339" a="1"/>
  <c r="C79" i="339" s="1"/>
  <c r="C87" i="339" a="1"/>
  <c r="C87" i="339" s="1"/>
  <c r="F15" i="353" a="1"/>
  <c r="F15" i="353" s="1"/>
  <c r="E16" i="353" a="1"/>
  <c r="E16" i="353" s="1"/>
  <c r="E17" i="353" a="1"/>
  <c r="E17" i="353" s="1"/>
  <c r="G7" i="345" a="1"/>
  <c r="G7" i="345" s="1"/>
  <c r="G15" i="345" a="1"/>
  <c r="G15" i="345" s="1"/>
  <c r="F22" i="407" a="1"/>
  <c r="F22" i="407" s="1"/>
  <c r="F23" i="407" a="1"/>
  <c r="F23" i="407" s="1"/>
  <c r="F26" i="407" a="1"/>
  <c r="F26" i="407" s="1"/>
  <c r="F6" i="392"/>
  <c r="F54" i="392" a="1"/>
  <c r="F54" i="392" s="1"/>
  <c r="G54" i="392" s="1"/>
  <c r="F56" i="392" a="1"/>
  <c r="F56" i="392" s="1"/>
  <c r="G56" i="392" s="1"/>
  <c r="F68" i="392" a="1"/>
  <c r="F68" i="392" s="1"/>
  <c r="F74" i="392" a="1"/>
  <c r="F74" i="392" s="1"/>
  <c r="G74" i="392" s="1"/>
  <c r="F94" i="392" a="1"/>
  <c r="F94" i="392" s="1"/>
  <c r="G94" i="392" s="1"/>
  <c r="F103" i="392" a="1"/>
  <c r="F103" i="392" s="1"/>
  <c r="F117" i="392" a="1"/>
  <c r="F117" i="392" s="1"/>
  <c r="F119" i="392" a="1"/>
  <c r="F119" i="392" s="1"/>
  <c r="F124" i="392" a="1"/>
  <c r="F124" i="392" s="1"/>
  <c r="F135" i="392" a="1"/>
  <c r="F135" i="392" s="1"/>
  <c r="F143" i="392" a="1"/>
  <c r="F143" i="392" s="1"/>
  <c r="E143" i="392" s="1"/>
  <c r="F157" i="392" a="1"/>
  <c r="F157" i="392" s="1"/>
  <c r="F159" i="392" a="1"/>
  <c r="F159" i="392" s="1"/>
  <c r="F6" i="395"/>
  <c r="F20" i="395" a="1"/>
  <c r="F20" i="395" s="1"/>
  <c r="F31" i="395" a="1"/>
  <c r="F31" i="395" s="1"/>
  <c r="G31" i="395" s="1"/>
  <c r="F38" i="395" a="1"/>
  <c r="F38" i="395" s="1"/>
  <c r="G38" i="395" s="1"/>
  <c r="F42" i="395" a="1"/>
  <c r="F42" i="395" s="1"/>
  <c r="G42" i="395" s="1"/>
  <c r="F60" i="395" a="1"/>
  <c r="F60" i="395" s="1"/>
  <c r="F62" i="395" a="1"/>
  <c r="F62" i="395" s="1"/>
  <c r="F81" i="395" a="1"/>
  <c r="F81" i="395" s="1"/>
  <c r="F85" i="395" a="1"/>
  <c r="F85" i="395" s="1"/>
  <c r="G85" i="395" s="1"/>
  <c r="F93" i="395" a="1"/>
  <c r="F93" i="395" s="1"/>
  <c r="F95" i="395" a="1"/>
  <c r="F95" i="395" s="1"/>
  <c r="G95" i="395" s="1"/>
  <c r="F97" i="395" a="1"/>
  <c r="F97" i="395" s="1"/>
  <c r="F99" i="395" a="1"/>
  <c r="F99" i="395" s="1"/>
  <c r="F101" i="395" a="1"/>
  <c r="F101" i="395" s="1"/>
  <c r="F111" i="395" a="1"/>
  <c r="F111" i="395" s="1"/>
  <c r="F114" i="395" a="1"/>
  <c r="F114" i="395" s="1"/>
  <c r="F124" i="395" a="1"/>
  <c r="F124" i="395" s="1"/>
  <c r="F127" i="395" a="1"/>
  <c r="F127" i="395" s="1"/>
  <c r="F129" i="395" a="1"/>
  <c r="F129" i="395" s="1"/>
  <c r="G129" i="395" s="1"/>
  <c r="F155" i="395" a="1"/>
  <c r="F155" i="395" s="1"/>
  <c r="F81" i="396" a="1"/>
  <c r="F81" i="396" s="1"/>
  <c r="F89" i="396" a="1"/>
  <c r="F89" i="396" s="1"/>
  <c r="D143" i="397" a="1"/>
  <c r="D143" i="397" s="1"/>
  <c r="I143" i="397" s="1"/>
  <c r="D118" i="397" a="1"/>
  <c r="D118" i="397" s="1"/>
  <c r="I118" i="397" s="1"/>
  <c r="D113" i="397" a="1"/>
  <c r="D113" i="397" s="1"/>
  <c r="I113" i="397" s="1"/>
  <c r="D100" i="397" a="1"/>
  <c r="D100" i="397" s="1"/>
  <c r="I100" i="397" s="1"/>
  <c r="D133" i="397" a="1"/>
  <c r="D133" i="397" s="1"/>
  <c r="I133" i="397" s="1"/>
  <c r="D131" i="397" a="1"/>
  <c r="D131" i="397" s="1"/>
  <c r="I131" i="397" s="1"/>
  <c r="D122" i="397" a="1"/>
  <c r="D122" i="397" s="1"/>
  <c r="I122" i="397" s="1"/>
  <c r="D116" i="397" a="1"/>
  <c r="D116" i="397" s="1"/>
  <c r="I116" i="397" s="1"/>
  <c r="D81" i="397" a="1"/>
  <c r="D81" i="397" s="1"/>
  <c r="I81" i="397" s="1"/>
  <c r="D59" i="397" a="1"/>
  <c r="D59" i="397" s="1"/>
  <c r="I59" i="397" s="1"/>
  <c r="D57" i="397" a="1"/>
  <c r="D57" i="397" s="1"/>
  <c r="I57" i="397" s="1"/>
  <c r="D33" i="397" a="1"/>
  <c r="D33" i="397" s="1"/>
  <c r="I33" i="397" s="1"/>
  <c r="D140" i="397" a="1"/>
  <c r="D140" i="397" s="1"/>
  <c r="I140" i="397" s="1"/>
  <c r="D136" i="397" a="1"/>
  <c r="D136" i="397" s="1"/>
  <c r="I136" i="397" s="1"/>
  <c r="D127" i="397" a="1"/>
  <c r="D127" i="397" s="1"/>
  <c r="I127" i="397" s="1"/>
  <c r="D125" i="397" a="1"/>
  <c r="D125" i="397" s="1"/>
  <c r="I125" i="397" s="1"/>
  <c r="D90" i="397" a="1"/>
  <c r="D90" i="397" s="1"/>
  <c r="I90" i="397" s="1"/>
  <c r="D88" i="397" a="1"/>
  <c r="D88" i="397" s="1"/>
  <c r="I88" i="397" s="1"/>
  <c r="D86" i="397" a="1"/>
  <c r="D86" i="397" s="1"/>
  <c r="I86" i="397" s="1"/>
  <c r="D30" i="397" a="1"/>
  <c r="D30" i="397" s="1"/>
  <c r="I30" i="397" s="1"/>
  <c r="D35" i="397" a="1"/>
  <c r="D35" i="397" s="1"/>
  <c r="I35" i="397" s="1"/>
  <c r="F38" i="397" a="1"/>
  <c r="F38" i="397" s="1"/>
  <c r="F40" i="397" a="1"/>
  <c r="F40" i="397" s="1"/>
  <c r="G40" i="397" s="1"/>
  <c r="D68" i="397" a="1"/>
  <c r="D68" i="397" s="1"/>
  <c r="F72" i="397" a="1"/>
  <c r="F72" i="397" s="1"/>
  <c r="F111" i="397" a="1"/>
  <c r="F111" i="397" s="1"/>
  <c r="F112" i="397" a="1"/>
  <c r="F112" i="397" s="1"/>
  <c r="F116" i="397" a="1"/>
  <c r="F116" i="397" s="1"/>
  <c r="G116" i="397" s="1"/>
  <c r="F119" i="397" a="1"/>
  <c r="F119" i="397" s="1"/>
  <c r="F120" i="397" a="1"/>
  <c r="F120" i="397" s="1"/>
  <c r="F128" i="397" a="1"/>
  <c r="F128" i="397" s="1"/>
  <c r="F157" i="397" a="1"/>
  <c r="F157" i="397" s="1"/>
  <c r="F11" i="353" a="1"/>
  <c r="F11" i="353" s="1"/>
  <c r="E12" i="353" a="1"/>
  <c r="E12" i="353" s="1"/>
  <c r="E13" i="353" a="1"/>
  <c r="E13" i="353" s="1"/>
  <c r="G9" i="345" a="1"/>
  <c r="G9" i="345" s="1"/>
  <c r="G17" i="345" a="1"/>
  <c r="G17" i="345" s="1"/>
  <c r="F6" i="407"/>
  <c r="F12" i="407" a="1"/>
  <c r="F12" i="407" s="1"/>
  <c r="G12" i="407" s="1"/>
  <c r="F13" i="407" a="1"/>
  <c r="F13" i="407" s="1"/>
  <c r="G13" i="407" s="1"/>
  <c r="F18" i="407" a="1"/>
  <c r="F18" i="407" s="1"/>
  <c r="F34" i="407" a="1"/>
  <c r="F34" i="407" s="1"/>
  <c r="G34" i="407" s="1"/>
  <c r="F35" i="407" a="1"/>
  <c r="F35" i="407" s="1"/>
  <c r="F37" i="407" a="1"/>
  <c r="F37" i="407" s="1"/>
  <c r="F38" i="407" a="1"/>
  <c r="F38" i="407" s="1"/>
  <c r="F41" i="407" a="1"/>
  <c r="F41" i="407" s="1"/>
  <c r="F42" i="407" a="1"/>
  <c r="F42" i="407" s="1"/>
  <c r="F45" i="407" a="1"/>
  <c r="F45" i="407" s="1"/>
  <c r="G45" i="407" s="1"/>
  <c r="F54" i="407" a="1"/>
  <c r="F54" i="407" s="1"/>
  <c r="F55" i="407" a="1"/>
  <c r="F55" i="407" s="1"/>
  <c r="F59" i="407" a="1"/>
  <c r="F59" i="407" s="1"/>
  <c r="F60" i="407" a="1"/>
  <c r="F60" i="407" s="1"/>
  <c r="F64" i="407" a="1"/>
  <c r="F64" i="407" s="1"/>
  <c r="F65" i="407" a="1"/>
  <c r="F65" i="407" s="1"/>
  <c r="F70" i="407" a="1"/>
  <c r="F70" i="407" s="1"/>
  <c r="F74" i="407" a="1"/>
  <c r="F74" i="407" s="1"/>
  <c r="G74" i="407" s="1"/>
  <c r="F82" i="407" a="1"/>
  <c r="F82" i="407" s="1"/>
  <c r="G82" i="407" s="1"/>
  <c r="F85" i="407" a="1"/>
  <c r="F85" i="407" s="1"/>
  <c r="F86" i="407" a="1"/>
  <c r="F86" i="407" s="1"/>
  <c r="F90" i="407" a="1"/>
  <c r="F90" i="407" s="1"/>
  <c r="G90" i="407" s="1"/>
  <c r="F93" i="407" a="1"/>
  <c r="F93" i="407" s="1"/>
  <c r="G93" i="407" s="1"/>
  <c r="F94" i="407" a="1"/>
  <c r="F94" i="407" s="1"/>
  <c r="F114" i="407" a="1"/>
  <c r="F114" i="407" s="1"/>
  <c r="F115" i="407" a="1"/>
  <c r="F115" i="407" s="1"/>
  <c r="F118" i="407" a="1"/>
  <c r="F118" i="407" s="1"/>
  <c r="F121" i="407" a="1"/>
  <c r="F121" i="407" s="1"/>
  <c r="G121" i="407" s="1"/>
  <c r="F124" i="407" a="1"/>
  <c r="F124" i="407" s="1"/>
  <c r="F125" i="407" a="1"/>
  <c r="F125" i="407" s="1"/>
  <c r="F141" i="407" a="1"/>
  <c r="F141" i="407" s="1"/>
  <c r="F155" i="407" a="1"/>
  <c r="F155" i="407" s="1"/>
  <c r="F158" i="407" a="1"/>
  <c r="F158" i="407" s="1"/>
  <c r="F161" i="407" a="1"/>
  <c r="F161" i="407" s="1"/>
  <c r="G161" i="407" s="1"/>
  <c r="D7" i="392"/>
  <c r="D28" i="392" s="1" a="1"/>
  <c r="D28" i="392" s="1"/>
  <c r="F17" i="392" a="1"/>
  <c r="F17" i="392" s="1"/>
  <c r="G17" i="392" s="1"/>
  <c r="F18" i="392" a="1"/>
  <c r="F18" i="392" s="1"/>
  <c r="F42" i="392" a="1"/>
  <c r="F42" i="392" s="1"/>
  <c r="F43" i="392" a="1"/>
  <c r="F43" i="392" s="1"/>
  <c r="G43" i="392" s="1"/>
  <c r="F45" i="392" a="1"/>
  <c r="F45" i="392" s="1"/>
  <c r="F64" i="392" a="1"/>
  <c r="F64" i="392" s="1"/>
  <c r="F91" i="392" a="1"/>
  <c r="F91" i="392" s="1"/>
  <c r="G91" i="392" s="1"/>
  <c r="F99" i="392" a="1"/>
  <c r="F99" i="392" s="1"/>
  <c r="F110" i="392" a="1"/>
  <c r="F110" i="392" s="1"/>
  <c r="F113" i="392" a="1"/>
  <c r="F113" i="392" s="1"/>
  <c r="G113" i="392" s="1"/>
  <c r="F120" i="392" a="1"/>
  <c r="F120" i="392" s="1"/>
  <c r="F131" i="392" a="1"/>
  <c r="F131" i="392" s="1"/>
  <c r="G131" i="392" s="1"/>
  <c r="F136" i="392" a="1"/>
  <c r="F136" i="392" s="1"/>
  <c r="F160" i="392" a="1"/>
  <c r="F160" i="392" s="1"/>
  <c r="D7" i="395"/>
  <c r="F39" i="395" a="1"/>
  <c r="F39" i="395" s="1"/>
  <c r="F43" i="395" a="1"/>
  <c r="F43" i="395" s="1"/>
  <c r="F45" i="395" a="1"/>
  <c r="F45" i="395" s="1"/>
  <c r="F53" i="395" a="1"/>
  <c r="F53" i="395" s="1"/>
  <c r="F64" i="395" a="1"/>
  <c r="F64" i="395" s="1"/>
  <c r="F68" i="395" a="1"/>
  <c r="F68" i="395" s="1"/>
  <c r="G68" i="395" s="1"/>
  <c r="F87" i="395" a="1"/>
  <c r="F87" i="395" s="1"/>
  <c r="G87" i="395" s="1"/>
  <c r="F89" i="395" a="1"/>
  <c r="F89" i="395" s="1"/>
  <c r="F92" i="395" a="1"/>
  <c r="F92" i="395" s="1"/>
  <c r="G92" i="395" s="1"/>
  <c r="F94" i="395" a="1"/>
  <c r="F94" i="395" s="1"/>
  <c r="F104" i="395" a="1"/>
  <c r="F104" i="395" s="1"/>
  <c r="G104" i="395" s="1"/>
  <c r="F113" i="395" a="1"/>
  <c r="F113" i="395" s="1"/>
  <c r="G113" i="395" s="1"/>
  <c r="F115" i="395" a="1"/>
  <c r="F115" i="395" s="1"/>
  <c r="F132" i="395" a="1"/>
  <c r="F132" i="395" s="1"/>
  <c r="G132" i="395" s="1"/>
  <c r="F156" i="395" a="1"/>
  <c r="F156" i="395" s="1"/>
  <c r="G156" i="395" s="1"/>
  <c r="F162" i="395" a="1"/>
  <c r="F162" i="395" s="1"/>
  <c r="F59" i="396" a="1"/>
  <c r="F59" i="396" s="1"/>
  <c r="F65" i="396" a="1"/>
  <c r="F65" i="396" s="1"/>
  <c r="G65" i="396" s="1"/>
  <c r="F163" i="397" a="1"/>
  <c r="F163" i="397" s="1"/>
  <c r="G163" i="397" s="1"/>
  <c r="F158" i="397" a="1"/>
  <c r="F158" i="397" s="1"/>
  <c r="F136" i="397" a="1"/>
  <c r="F136" i="397" s="1"/>
  <c r="F134" i="397" a="1"/>
  <c r="F134" i="397" s="1"/>
  <c r="F130" i="397" a="1"/>
  <c r="F130" i="397" s="1"/>
  <c r="F127" i="397" a="1"/>
  <c r="F127" i="397" s="1"/>
  <c r="F125" i="397" a="1"/>
  <c r="F125" i="397" s="1"/>
  <c r="F121" i="397" a="1"/>
  <c r="F121" i="397" s="1"/>
  <c r="G121" i="397" s="1"/>
  <c r="F115" i="397" a="1"/>
  <c r="F115" i="397" s="1"/>
  <c r="G115" i="397" s="1"/>
  <c r="F89" i="397" a="1"/>
  <c r="F89" i="397" s="1"/>
  <c r="F88" i="397" a="1"/>
  <c r="F88" i="397" s="1"/>
  <c r="F85" i="397" a="1"/>
  <c r="F85" i="397" s="1"/>
  <c r="F84" i="397" a="1"/>
  <c r="F84" i="397" s="1"/>
  <c r="G84" i="397" s="1"/>
  <c r="F80" i="397" a="1"/>
  <c r="F80" i="397" s="1"/>
  <c r="F79" i="397" a="1"/>
  <c r="F79" i="397" s="1"/>
  <c r="G79" i="397" s="1"/>
  <c r="F74" i="397" a="1"/>
  <c r="F74" i="397" s="1"/>
  <c r="F65" i="397" a="1"/>
  <c r="F65" i="397" s="1"/>
  <c r="G65" i="397" s="1"/>
  <c r="F64" i="397" a="1"/>
  <c r="F64" i="397" s="1"/>
  <c r="F62" i="397" a="1"/>
  <c r="F62" i="397" s="1"/>
  <c r="G62" i="397" s="1"/>
  <c r="F56" i="397" a="1"/>
  <c r="F56" i="397" s="1"/>
  <c r="F42" i="397" a="1"/>
  <c r="F42" i="397" s="1"/>
  <c r="F162" i="397" a="1"/>
  <c r="F162" i="397" s="1"/>
  <c r="F145" i="397" a="1"/>
  <c r="F145" i="397" s="1"/>
  <c r="F135" i="397" a="1"/>
  <c r="F135" i="397" s="1"/>
  <c r="F126" i="397" a="1"/>
  <c r="F126" i="397" s="1"/>
  <c r="F124" i="397" a="1"/>
  <c r="F124" i="397" s="1"/>
  <c r="G124" i="397" s="1"/>
  <c r="F105" i="397" a="1"/>
  <c r="F105" i="397" s="1"/>
  <c r="G105" i="397" s="1"/>
  <c r="F104" i="397" a="1"/>
  <c r="F104" i="397" s="1"/>
  <c r="G104" i="397" s="1"/>
  <c r="F101" i="397" a="1"/>
  <c r="F101" i="397" s="1"/>
  <c r="F97" i="397" a="1"/>
  <c r="F97" i="397" s="1"/>
  <c r="F93" i="397" a="1"/>
  <c r="F93" i="397" s="1"/>
  <c r="G93" i="397" s="1"/>
  <c r="F91" i="397" a="1"/>
  <c r="F91" i="397" s="1"/>
  <c r="F87" i="397" a="1"/>
  <c r="F87" i="397" s="1"/>
  <c r="F83" i="397" a="1"/>
  <c r="F83" i="397" s="1"/>
  <c r="F68" i="397" a="1"/>
  <c r="F68" i="397" s="1"/>
  <c r="F63" i="397" a="1"/>
  <c r="F63" i="397" s="1"/>
  <c r="F54" i="397" a="1"/>
  <c r="F54" i="397" s="1"/>
  <c r="G54" i="397" s="1"/>
  <c r="F52" i="397" a="1"/>
  <c r="F52" i="397" s="1"/>
  <c r="G52" i="397" s="1"/>
  <c r="F45" i="397" a="1"/>
  <c r="F45" i="397" s="1"/>
  <c r="F43" i="397" a="1"/>
  <c r="F43" i="397" s="1"/>
  <c r="F34" i="397" a="1"/>
  <c r="F34" i="397" s="1"/>
  <c r="F161" i="397" a="1"/>
  <c r="F161" i="397" s="1"/>
  <c r="F160" i="397" a="1"/>
  <c r="F160" i="397" s="1"/>
  <c r="F155" i="397" a="1"/>
  <c r="F155" i="397" s="1"/>
  <c r="G155" i="397" s="1"/>
  <c r="F141" i="397" a="1"/>
  <c r="F141" i="397" s="1"/>
  <c r="F117" i="397" a="1"/>
  <c r="F117" i="397" s="1"/>
  <c r="F113" i="397" a="1"/>
  <c r="F113" i="397" s="1"/>
  <c r="G113" i="397" s="1"/>
  <c r="F109" i="397" a="1"/>
  <c r="F109" i="397" s="1"/>
  <c r="F107" i="397" a="1"/>
  <c r="F107" i="397" s="1"/>
  <c r="G107" i="397" s="1"/>
  <c r="F103" i="397" a="1"/>
  <c r="F103" i="397" s="1"/>
  <c r="F100" i="397" a="1"/>
  <c r="F100" i="397" s="1"/>
  <c r="F96" i="397" a="1"/>
  <c r="F96" i="397" s="1"/>
  <c r="G96" i="397" s="1"/>
  <c r="F95" i="397" a="1"/>
  <c r="F95" i="397" s="1"/>
  <c r="F92" i="397" a="1"/>
  <c r="F92" i="397" s="1"/>
  <c r="F10" i="397" a="1"/>
  <c r="F10" i="397" s="1"/>
  <c r="F13" i="397" a="1"/>
  <c r="F13" i="397" s="1"/>
  <c r="F14" i="397" a="1"/>
  <c r="F14" i="397" s="1"/>
  <c r="F17" i="397" a="1"/>
  <c r="F17" i="397" s="1"/>
  <c r="F18" i="397" a="1"/>
  <c r="F18" i="397" s="1"/>
  <c r="G18" i="397" s="1"/>
  <c r="F26" i="397" a="1"/>
  <c r="F26" i="397" s="1"/>
  <c r="G26" i="397" s="1"/>
  <c r="F31" i="397" a="1"/>
  <c r="F31" i="397" s="1"/>
  <c r="D45" i="397" a="1"/>
  <c r="D45" i="397" s="1"/>
  <c r="F67" i="397" a="1"/>
  <c r="F67" i="397" s="1"/>
  <c r="G67" i="397" s="1"/>
  <c r="F99" i="397" a="1"/>
  <c r="F99" i="397" s="1"/>
  <c r="G99" i="397" s="1"/>
  <c r="D102" i="397" a="1"/>
  <c r="D102" i="397" s="1"/>
  <c r="I102" i="397" s="1"/>
  <c r="D106" i="397" a="1"/>
  <c r="D106" i="397" s="1"/>
  <c r="I106" i="397" s="1"/>
  <c r="F131" i="397" a="1"/>
  <c r="F131" i="397" s="1"/>
  <c r="F132" i="397" a="1"/>
  <c r="F132" i="397" s="1"/>
  <c r="G132" i="397" s="1"/>
  <c r="F142" i="397" a="1"/>
  <c r="F142" i="397" s="1"/>
  <c r="G142" i="397" s="1"/>
  <c r="D162" i="397" a="1"/>
  <c r="D162" i="397" s="1"/>
  <c r="I162" i="397" s="1"/>
  <c r="D59" i="394" a="1"/>
  <c r="D59" i="394" s="1"/>
  <c r="I59" i="394" s="1"/>
  <c r="D71" i="394" a="1"/>
  <c r="D71" i="394" s="1"/>
  <c r="D72" i="394" a="1"/>
  <c r="D72" i="394" s="1"/>
  <c r="D51" i="394" s="1"/>
  <c r="D50" i="394" s="1"/>
  <c r="D73" i="394" a="1"/>
  <c r="D73" i="394" s="1"/>
  <c r="I73" i="394" s="1"/>
  <c r="D83" i="394" a="1"/>
  <c r="D83" i="394" s="1"/>
  <c r="I83" i="394" s="1"/>
  <c r="D84" i="394" a="1"/>
  <c r="D84" i="394" s="1"/>
  <c r="F162" i="398" a="1"/>
  <c r="F162" i="398" s="1"/>
  <c r="F175" i="398" a="1"/>
  <c r="F175" i="398" s="1"/>
  <c r="F163" i="398" a="1"/>
  <c r="F163" i="398" s="1"/>
  <c r="F141" i="398" a="1"/>
  <c r="F141" i="398" s="1"/>
  <c r="F140" i="398" a="1"/>
  <c r="F140" i="398" s="1"/>
  <c r="F136" i="398" a="1"/>
  <c r="F136" i="398" s="1"/>
  <c r="F135" i="398" a="1"/>
  <c r="F135" i="398" s="1"/>
  <c r="F132" i="398" a="1"/>
  <c r="F132" i="398" s="1"/>
  <c r="F131" i="398" a="1"/>
  <c r="F131" i="398" s="1"/>
  <c r="F130" i="398" a="1"/>
  <c r="F130" i="398" s="1"/>
  <c r="F117" i="398" a="1"/>
  <c r="F117" i="398" s="1"/>
  <c r="F116" i="398" a="1"/>
  <c r="F116" i="398" s="1"/>
  <c r="F111" i="398" a="1"/>
  <c r="F111" i="398" s="1"/>
  <c r="F101" i="398" a="1"/>
  <c r="F101" i="398" s="1"/>
  <c r="G101" i="398" s="1"/>
  <c r="F100" i="398" a="1"/>
  <c r="F100" i="398" s="1"/>
  <c r="F95" i="398" a="1"/>
  <c r="F95" i="398" s="1"/>
  <c r="F90" i="398" a="1"/>
  <c r="F90" i="398" s="1"/>
  <c r="F89" i="398" a="1"/>
  <c r="F89" i="398" s="1"/>
  <c r="F81" i="398" a="1"/>
  <c r="F81" i="398" s="1"/>
  <c r="F80" i="398" a="1"/>
  <c r="F80" i="398" s="1"/>
  <c r="G80" i="398" s="1"/>
  <c r="F61" i="398" a="1"/>
  <c r="F61" i="398" s="1"/>
  <c r="G61" i="398" s="1"/>
  <c r="F60" i="398" a="1"/>
  <c r="F60" i="398" s="1"/>
  <c r="F31" i="398" a="1"/>
  <c r="F31" i="398" s="1"/>
  <c r="F30" i="398" a="1"/>
  <c r="F30" i="398" s="1"/>
  <c r="F20" i="398" a="1"/>
  <c r="F20" i="398" s="1"/>
  <c r="D7" i="398"/>
  <c r="D175" i="398" s="1" a="1"/>
  <c r="D175" i="398" s="1"/>
  <c r="D177" i="398" s="1"/>
  <c r="F12" i="398" a="1"/>
  <c r="F12" i="398" s="1"/>
  <c r="F13" i="398" a="1"/>
  <c r="F13" i="398" s="1"/>
  <c r="G13" i="398" s="1"/>
  <c r="F14" i="398" a="1"/>
  <c r="F14" i="398" s="1"/>
  <c r="F33" i="398" a="1"/>
  <c r="F33" i="398" s="1"/>
  <c r="F34" i="398" a="1"/>
  <c r="F34" i="398" s="1"/>
  <c r="F35" i="398" a="1"/>
  <c r="F35" i="398" s="1"/>
  <c r="F37" i="398" a="1"/>
  <c r="F37" i="398" s="1"/>
  <c r="F38" i="398" a="1"/>
  <c r="F38" i="398" s="1"/>
  <c r="F39" i="398" a="1"/>
  <c r="F39" i="398" s="1"/>
  <c r="F52" i="398" a="1"/>
  <c r="F52" i="398" s="1"/>
  <c r="F55" i="398" a="1"/>
  <c r="F55" i="398" s="1"/>
  <c r="F66" i="398" a="1"/>
  <c r="F66" i="398" s="1"/>
  <c r="G66" i="398" s="1"/>
  <c r="F67" i="398" a="1"/>
  <c r="F67" i="398" s="1"/>
  <c r="F68" i="398" a="1"/>
  <c r="F68" i="398" s="1"/>
  <c r="F69" i="398" a="1"/>
  <c r="F69" i="398" s="1"/>
  <c r="F70" i="398" a="1"/>
  <c r="F70" i="398" s="1"/>
  <c r="F71" i="398" a="1"/>
  <c r="F71" i="398" s="1"/>
  <c r="F72" i="398" a="1"/>
  <c r="F72" i="398" s="1"/>
  <c r="F91" i="398" a="1"/>
  <c r="F91" i="398" s="1"/>
  <c r="F103" i="398" a="1"/>
  <c r="F103" i="398" s="1"/>
  <c r="F104" i="398" a="1"/>
  <c r="F104" i="398" s="1"/>
  <c r="F105" i="398" a="1"/>
  <c r="F105" i="398" s="1"/>
  <c r="F112" i="398" a="1"/>
  <c r="F112" i="398" s="1"/>
  <c r="F113" i="398" a="1"/>
  <c r="F113" i="398" s="1"/>
  <c r="F137" i="399" a="1"/>
  <c r="F137" i="399" s="1"/>
  <c r="F135" i="399" a="1"/>
  <c r="F135" i="399" s="1"/>
  <c r="F125" i="399" a="1"/>
  <c r="F125" i="399" s="1"/>
  <c r="F88" i="399" a="1"/>
  <c r="F88" i="399" s="1"/>
  <c r="F82" i="399" a="1"/>
  <c r="F82" i="399" s="1"/>
  <c r="F71" i="399" a="1"/>
  <c r="F71" i="399" s="1"/>
  <c r="F62" i="399" a="1"/>
  <c r="F62" i="399" s="1"/>
  <c r="F30" i="399" a="1"/>
  <c r="F30" i="399" s="1"/>
  <c r="F87" i="399" a="1"/>
  <c r="F87" i="399" s="1"/>
  <c r="F79" i="399" a="1"/>
  <c r="F79" i="399" s="1"/>
  <c r="F69" i="399" a="1"/>
  <c r="F69" i="399" s="1"/>
  <c r="F59" i="399" a="1"/>
  <c r="F59" i="399" s="1"/>
  <c r="F57" i="399" a="1"/>
  <c r="F57" i="399" s="1"/>
  <c r="G57" i="399" s="1"/>
  <c r="F52" i="399" a="1"/>
  <c r="F52" i="399" s="1"/>
  <c r="G52" i="399" s="1"/>
  <c r="F42" i="399" a="1"/>
  <c r="F42" i="399" s="1"/>
  <c r="F38" i="399" a="1"/>
  <c r="F38" i="399" s="1"/>
  <c r="F26" i="399" a="1"/>
  <c r="F26" i="399" s="1"/>
  <c r="G26" i="399" s="1"/>
  <c r="F13" i="399" a="1"/>
  <c r="F13" i="399" s="1"/>
  <c r="G13" i="399" s="1"/>
  <c r="F6" i="399"/>
  <c r="F12" i="399" a="1"/>
  <c r="F12" i="399" s="1"/>
  <c r="F23" i="399" a="1"/>
  <c r="F23" i="399" s="1"/>
  <c r="F41" i="399" a="1"/>
  <c r="F41" i="399" s="1"/>
  <c r="F54" i="399" a="1"/>
  <c r="F54" i="399" s="1"/>
  <c r="F66" i="399" a="1"/>
  <c r="F66" i="399" s="1"/>
  <c r="F89" i="399" a="1"/>
  <c r="F89" i="399" s="1"/>
  <c r="F98" i="399" a="1"/>
  <c r="F98" i="399" s="1"/>
  <c r="F100" i="399" a="1"/>
  <c r="F100" i="399" s="1"/>
  <c r="F103" i="399" a="1"/>
  <c r="F103" i="399" s="1"/>
  <c r="F106" i="399" a="1"/>
  <c r="F106" i="399" s="1"/>
  <c r="F110" i="399" a="1"/>
  <c r="F110" i="399" s="1"/>
  <c r="F119" i="399" a="1"/>
  <c r="F119" i="399" s="1"/>
  <c r="G119" i="399" s="1"/>
  <c r="D158" i="394" a="1"/>
  <c r="D158" i="394" s="1"/>
  <c r="I158" i="394" s="1"/>
  <c r="D155" i="394" a="1"/>
  <c r="D155" i="394" s="1"/>
  <c r="I155" i="394" s="1"/>
  <c r="D110" i="394" a="1"/>
  <c r="D110" i="394" s="1"/>
  <c r="I110" i="394" s="1"/>
  <c r="D108" i="394" a="1"/>
  <c r="D108" i="394" s="1"/>
  <c r="I108" i="394" s="1"/>
  <c r="D104" i="394" a="1"/>
  <c r="D104" i="394" s="1"/>
  <c r="I104" i="394" s="1"/>
  <c r="D96" i="394" a="1"/>
  <c r="D96" i="394" s="1"/>
  <c r="D85" i="394" a="1"/>
  <c r="D85" i="394" s="1"/>
  <c r="I85" i="394" s="1"/>
  <c r="D67" i="394" a="1"/>
  <c r="D67" i="394" s="1"/>
  <c r="D64" i="394" a="1"/>
  <c r="D64" i="394" s="1"/>
  <c r="I64" i="394" s="1"/>
  <c r="D63" i="394" a="1"/>
  <c r="D63" i="394" s="1"/>
  <c r="D53" i="394" a="1"/>
  <c r="D53" i="394" s="1"/>
  <c r="D52" i="394" a="1"/>
  <c r="D52" i="394" s="1"/>
  <c r="D43" i="394" a="1"/>
  <c r="D43" i="394" s="1"/>
  <c r="I43" i="394" s="1"/>
  <c r="D33" i="394" a="1"/>
  <c r="D33" i="394" s="1"/>
  <c r="D31" i="394" a="1"/>
  <c r="D31" i="394" s="1"/>
  <c r="I31" i="394" s="1"/>
  <c r="D14" i="394" a="1"/>
  <c r="D14" i="394" s="1"/>
  <c r="I14" i="394" s="1"/>
  <c r="D145" i="394" a="1"/>
  <c r="D145" i="394" s="1"/>
  <c r="D119" i="394" a="1"/>
  <c r="D119" i="394" s="1"/>
  <c r="I119" i="394" s="1"/>
  <c r="D126" i="394" a="1"/>
  <c r="D126" i="394" s="1"/>
  <c r="I126" i="394" s="1"/>
  <c r="D94" i="394" a="1"/>
  <c r="D94" i="394" s="1"/>
  <c r="I94" i="394" s="1"/>
  <c r="D87" i="394" a="1"/>
  <c r="D87" i="394" s="1"/>
  <c r="I87" i="394" s="1"/>
  <c r="D80" i="394" a="1"/>
  <c r="D80" i="394" s="1"/>
  <c r="I80" i="394" s="1"/>
  <c r="D162" i="394" a="1"/>
  <c r="D162" i="394" s="1"/>
  <c r="D136" i="394" a="1"/>
  <c r="D136" i="394" s="1"/>
  <c r="I136" i="394" s="1"/>
  <c r="D134" i="394" a="1"/>
  <c r="D134" i="394" s="1"/>
  <c r="I134" i="394" s="1"/>
  <c r="D115" i="394" a="1"/>
  <c r="D115" i="394" s="1"/>
  <c r="I115" i="394" s="1"/>
  <c r="D113" i="394" a="1"/>
  <c r="D113" i="394" s="1"/>
  <c r="I113" i="394" s="1"/>
  <c r="D175" i="394" a="1"/>
  <c r="D175" i="394" s="1"/>
  <c r="D117" i="394" a="1"/>
  <c r="D117" i="394" s="1"/>
  <c r="I117" i="394" s="1"/>
  <c r="D101" i="394" a="1"/>
  <c r="D101" i="394" s="1"/>
  <c r="I101" i="394" s="1"/>
  <c r="D106" i="394" a="1"/>
  <c r="D106" i="394" s="1"/>
  <c r="I106" i="394" s="1"/>
  <c r="D70" i="394" a="1"/>
  <c r="D70" i="394" s="1"/>
  <c r="D41" i="394" a="1"/>
  <c r="D41" i="394" s="1"/>
  <c r="I41" i="394" s="1"/>
  <c r="D20" i="394" a="1"/>
  <c r="D20" i="394" s="1"/>
  <c r="I20" i="394" s="1"/>
  <c r="D10" i="394" a="1"/>
  <c r="D10" i="394" s="1"/>
  <c r="I10" i="394" s="1"/>
  <c r="D13" i="394" a="1"/>
  <c r="D13" i="394" s="1"/>
  <c r="I13" i="394" s="1"/>
  <c r="D23" i="394" a="1"/>
  <c r="D23" i="394" s="1"/>
  <c r="I23" i="394" s="1"/>
  <c r="D69" i="394" a="1"/>
  <c r="D69" i="394" s="1"/>
  <c r="D74" i="394" a="1"/>
  <c r="D74" i="394" s="1"/>
  <c r="I74" i="394" s="1"/>
  <c r="F82" i="394" a="1"/>
  <c r="F82" i="394" s="1"/>
  <c r="F87" i="394" a="1"/>
  <c r="F87" i="394" s="1"/>
  <c r="D90" i="394" a="1"/>
  <c r="D90" i="394" s="1"/>
  <c r="F91" i="394" a="1"/>
  <c r="F91" i="394" s="1"/>
  <c r="G91" i="394" s="1"/>
  <c r="D98" i="394" a="1"/>
  <c r="D98" i="394" s="1"/>
  <c r="I98" i="394" s="1"/>
  <c r="F100" i="394" a="1"/>
  <c r="F100" i="394" s="1"/>
  <c r="F105" i="394" a="1"/>
  <c r="F105" i="394" s="1"/>
  <c r="F159" i="393" a="1"/>
  <c r="F159" i="393" s="1"/>
  <c r="F142" i="393" a="1"/>
  <c r="F142" i="393" s="1"/>
  <c r="F141" i="393" a="1"/>
  <c r="F141" i="393" s="1"/>
  <c r="F129" i="393" a="1"/>
  <c r="F129" i="393" s="1"/>
  <c r="F118" i="393" a="1"/>
  <c r="F118" i="393" s="1"/>
  <c r="F117" i="393" a="1"/>
  <c r="F117" i="393" s="1"/>
  <c r="F112" i="393" a="1"/>
  <c r="F112" i="393" s="1"/>
  <c r="G112" i="393" s="1"/>
  <c r="F102" i="393" a="1"/>
  <c r="F102" i="393" s="1"/>
  <c r="F101" i="393" a="1"/>
  <c r="F101" i="393" s="1"/>
  <c r="F96" i="393" a="1"/>
  <c r="F96" i="393" s="1"/>
  <c r="G96" i="393" s="1"/>
  <c r="F91" i="393" a="1"/>
  <c r="F91" i="393" s="1"/>
  <c r="F86" i="393" a="1"/>
  <c r="F86" i="393" s="1"/>
  <c r="F65" i="393" a="1"/>
  <c r="F65" i="393" s="1"/>
  <c r="F60" i="393" a="1"/>
  <c r="F60" i="393" s="1"/>
  <c r="G60" i="393" s="1"/>
  <c r="F35" i="393" a="1"/>
  <c r="F35" i="393" s="1"/>
  <c r="G35" i="393" s="1"/>
  <c r="F31" i="393" a="1"/>
  <c r="F31" i="393" s="1"/>
  <c r="G31" i="393" s="1"/>
  <c r="F70" i="393" a="1"/>
  <c r="F70" i="393" s="1"/>
  <c r="G70" i="393" s="1"/>
  <c r="F84" i="393" a="1"/>
  <c r="F84" i="393" s="1"/>
  <c r="G84" i="393" s="1"/>
  <c r="F87" i="393" a="1"/>
  <c r="F87" i="393" s="1"/>
  <c r="F88" i="393" a="1"/>
  <c r="F88" i="393" s="1"/>
  <c r="F100" i="393" a="1"/>
  <c r="F100" i="393" s="1"/>
  <c r="G100" i="393" s="1"/>
  <c r="F16" i="398" a="1"/>
  <c r="F16" i="398" s="1"/>
  <c r="F17" i="398" a="1"/>
  <c r="F17" i="398" s="1"/>
  <c r="F18" i="398" a="1"/>
  <c r="F18" i="398" s="1"/>
  <c r="F41" i="398" a="1"/>
  <c r="F41" i="398" s="1"/>
  <c r="G41" i="398" s="1"/>
  <c r="F42" i="398" a="1"/>
  <c r="F42" i="398" s="1"/>
  <c r="F43" i="398" a="1"/>
  <c r="F43" i="398" s="1"/>
  <c r="F54" i="398" a="1"/>
  <c r="F54" i="398" s="1"/>
  <c r="F58" i="398" a="1"/>
  <c r="F58" i="398" s="1"/>
  <c r="F83" i="398" a="1"/>
  <c r="F83" i="398" s="1"/>
  <c r="G83" i="398" s="1"/>
  <c r="F84" i="398" a="1"/>
  <c r="F84" i="398" s="1"/>
  <c r="F99" i="398" a="1"/>
  <c r="F99" i="398" s="1"/>
  <c r="F107" i="398" a="1"/>
  <c r="F107" i="398" s="1"/>
  <c r="F108" i="398" a="1"/>
  <c r="F108" i="398" s="1"/>
  <c r="F109" i="398" a="1"/>
  <c r="F109" i="398" s="1"/>
  <c r="G109" i="398" s="1"/>
  <c r="F119" i="398" a="1"/>
  <c r="F119" i="398" s="1"/>
  <c r="F120" i="398" a="1"/>
  <c r="F120" i="398" s="1"/>
  <c r="F121" i="398" a="1"/>
  <c r="F121" i="398" s="1"/>
  <c r="F134" i="398" a="1"/>
  <c r="F134" i="398" s="1"/>
  <c r="G134" i="398" s="1"/>
  <c r="F143" i="398" a="1"/>
  <c r="F143" i="398" s="1"/>
  <c r="E143" i="398" s="1"/>
  <c r="F18" i="399" a="1"/>
  <c r="F18" i="399" s="1"/>
  <c r="F37" i="399" a="1"/>
  <c r="F37" i="399" s="1"/>
  <c r="F58" i="399" a="1"/>
  <c r="F58" i="399" s="1"/>
  <c r="F72" i="399" a="1"/>
  <c r="F72" i="399" s="1"/>
  <c r="F80" i="399" a="1"/>
  <c r="F80" i="399" s="1"/>
  <c r="F145" i="399" a="1"/>
  <c r="F145" i="399" s="1"/>
  <c r="F144" i="399" s="1"/>
  <c r="F161" i="401" a="1"/>
  <c r="F161" i="401" s="1"/>
  <c r="F58" i="401" a="1"/>
  <c r="F58" i="401" s="1"/>
  <c r="F44" i="401" a="1"/>
  <c r="F44" i="401" s="1"/>
  <c r="F89" i="401" a="1"/>
  <c r="F89" i="401" s="1"/>
  <c r="D16" i="394" a="1"/>
  <c r="D16" i="394" s="1"/>
  <c r="D17" i="394" a="1"/>
  <c r="D17" i="394" s="1"/>
  <c r="D39" i="394" a="1"/>
  <c r="D39" i="394" s="1"/>
  <c r="I39" i="394" s="1"/>
  <c r="D55" i="394" a="1"/>
  <c r="D55" i="394" s="1"/>
  <c r="F58" i="394" a="1"/>
  <c r="F58" i="394" s="1"/>
  <c r="F65" i="394" a="1"/>
  <c r="F65" i="394" s="1"/>
  <c r="F71" i="394" a="1"/>
  <c r="F71" i="394" s="1"/>
  <c r="D97" i="394" a="1"/>
  <c r="D97" i="394" s="1"/>
  <c r="I97" i="394" s="1"/>
  <c r="F6" i="398"/>
  <c r="F22" i="398" a="1"/>
  <c r="F22" i="398" s="1"/>
  <c r="F45" i="398" a="1"/>
  <c r="F45" i="398" s="1"/>
  <c r="F57" i="398" a="1"/>
  <c r="F57" i="398" s="1"/>
  <c r="F63" i="398" a="1"/>
  <c r="F63" i="398" s="1"/>
  <c r="F64" i="398" a="1"/>
  <c r="F64" i="398" s="1"/>
  <c r="F79" i="398" a="1"/>
  <c r="F79" i="398" s="1"/>
  <c r="F86" i="398" a="1"/>
  <c r="F86" i="398" s="1"/>
  <c r="F87" i="398" a="1"/>
  <c r="F87" i="398" s="1"/>
  <c r="F94" i="398" a="1"/>
  <c r="F94" i="398" s="1"/>
  <c r="F115" i="398" a="1"/>
  <c r="F115" i="398" s="1"/>
  <c r="G115" i="398" s="1"/>
  <c r="F123" i="398" a="1"/>
  <c r="F123" i="398" s="1"/>
  <c r="F124" i="398" a="1"/>
  <c r="F124" i="398" s="1"/>
  <c r="F125" i="398" a="1"/>
  <c r="F125" i="398" s="1"/>
  <c r="F126" i="398" a="1"/>
  <c r="F126" i="398" s="1"/>
  <c r="F127" i="398" a="1"/>
  <c r="F127" i="398" s="1"/>
  <c r="G127" i="398" s="1"/>
  <c r="F128" i="398" a="1"/>
  <c r="F128" i="398" s="1"/>
  <c r="G128" i="398" s="1"/>
  <c r="F155" i="398" a="1"/>
  <c r="F155" i="398" s="1"/>
  <c r="F156" i="398" a="1"/>
  <c r="F156" i="398" s="1"/>
  <c r="F157" i="398" a="1"/>
  <c r="F157" i="398" s="1"/>
  <c r="D7" i="399"/>
  <c r="F16" i="399" a="1"/>
  <c r="F16" i="399" s="1"/>
  <c r="G16" i="399" s="1"/>
  <c r="F34" i="399" a="1"/>
  <c r="F34" i="399" s="1"/>
  <c r="F56" i="399" a="1"/>
  <c r="F56" i="399" s="1"/>
  <c r="F60" i="399" a="1"/>
  <c r="F60" i="399" s="1"/>
  <c r="F61" i="399" a="1"/>
  <c r="F61" i="399" s="1"/>
  <c r="F91" i="399" a="1"/>
  <c r="F91" i="399" s="1"/>
  <c r="G91" i="399" s="1"/>
  <c r="F92" i="399" a="1"/>
  <c r="F92" i="399" s="1"/>
  <c r="F93" i="399" a="1"/>
  <c r="F93" i="399" s="1"/>
  <c r="F124" i="399" a="1"/>
  <c r="F124" i="399" s="1"/>
  <c r="F22" i="401" a="1"/>
  <c r="F22" i="401" s="1"/>
  <c r="G22" i="401" s="1"/>
  <c r="F23" i="401" a="1"/>
  <c r="F23" i="401" s="1"/>
  <c r="G23" i="401" s="1"/>
  <c r="F40" i="401" a="1"/>
  <c r="F40" i="401" s="1"/>
  <c r="F143" i="401" a="1"/>
  <c r="F143" i="401" s="1"/>
  <c r="E143" i="401" s="1"/>
  <c r="F159" i="394" a="1"/>
  <c r="F159" i="394" s="1"/>
  <c r="F163" i="394" a="1"/>
  <c r="F163" i="394" s="1"/>
  <c r="G163" i="394" s="1"/>
  <c r="F161" i="394" a="1"/>
  <c r="F161" i="394" s="1"/>
  <c r="F156" i="394" a="1"/>
  <c r="F156" i="394" s="1"/>
  <c r="G156" i="394" s="1"/>
  <c r="F142" i="394" a="1"/>
  <c r="F142" i="394" s="1"/>
  <c r="F118" i="394" a="1"/>
  <c r="F118" i="394" s="1"/>
  <c r="F117" i="394" a="1"/>
  <c r="F117" i="394" s="1"/>
  <c r="F113" i="394" a="1"/>
  <c r="F113" i="394" s="1"/>
  <c r="F111" i="394" a="1"/>
  <c r="F111" i="394" s="1"/>
  <c r="F93" i="394" a="1"/>
  <c r="F93" i="394" s="1"/>
  <c r="F92" i="394" a="1"/>
  <c r="F92" i="394" s="1"/>
  <c r="F90" i="394" a="1"/>
  <c r="F90" i="394" s="1"/>
  <c r="F86" i="394" a="1"/>
  <c r="F86" i="394" s="1"/>
  <c r="F80" i="394" a="1"/>
  <c r="F80" i="394" s="1"/>
  <c r="G80" i="394" s="1"/>
  <c r="F74" i="394" a="1"/>
  <c r="F74" i="394" s="1"/>
  <c r="G74" i="394" s="1"/>
  <c r="F69" i="394" a="1"/>
  <c r="F69" i="394" s="1"/>
  <c r="F61" i="394" a="1"/>
  <c r="F61" i="394" s="1"/>
  <c r="G61" i="394" s="1"/>
  <c r="F57" i="394" a="1"/>
  <c r="F57" i="394" s="1"/>
  <c r="F56" i="394" a="1"/>
  <c r="F56" i="394" s="1"/>
  <c r="F54" i="394" a="1"/>
  <c r="F54" i="394" s="1"/>
  <c r="F40" i="394" a="1"/>
  <c r="F40" i="394" s="1"/>
  <c r="F39" i="394" a="1"/>
  <c r="F39" i="394" s="1"/>
  <c r="G39" i="394" s="1"/>
  <c r="F10" i="394" a="1"/>
  <c r="F10" i="394" s="1"/>
  <c r="G10" i="394" s="1"/>
  <c r="F140" i="394" a="1"/>
  <c r="F140" i="394" s="1"/>
  <c r="F133" i="394" a="1"/>
  <c r="F133" i="394" s="1"/>
  <c r="F125" i="394" a="1"/>
  <c r="F125" i="394" s="1"/>
  <c r="G125" i="394" s="1"/>
  <c r="F120" i="394" a="1"/>
  <c r="F120" i="394" s="1"/>
  <c r="G120" i="394" s="1"/>
  <c r="F175" i="394" a="1"/>
  <c r="F175" i="394" s="1"/>
  <c r="F158" i="394" a="1"/>
  <c r="F158" i="394" s="1"/>
  <c r="F157" i="394" a="1"/>
  <c r="F157" i="394" s="1"/>
  <c r="F131" i="394" a="1"/>
  <c r="F131" i="394" s="1"/>
  <c r="F130" i="394" a="1"/>
  <c r="F130" i="394" s="1"/>
  <c r="F129" i="394" a="1"/>
  <c r="F129" i="394" s="1"/>
  <c r="F128" i="394" a="1"/>
  <c r="F128" i="394" s="1"/>
  <c r="G128" i="394" s="1"/>
  <c r="F112" i="394" a="1"/>
  <c r="F112" i="394" s="1"/>
  <c r="F101" i="394" a="1"/>
  <c r="F101" i="394" s="1"/>
  <c r="F99" i="394" a="1"/>
  <c r="F99" i="394" s="1"/>
  <c r="F97" i="394" a="1"/>
  <c r="F97" i="394" s="1"/>
  <c r="F95" i="394" a="1"/>
  <c r="F95" i="394" s="1"/>
  <c r="G95" i="394" s="1"/>
  <c r="F89" i="394" a="1"/>
  <c r="F89" i="394" s="1"/>
  <c r="F83" i="394" a="1"/>
  <c r="F83" i="394" s="1"/>
  <c r="F143" i="394" a="1"/>
  <c r="F143" i="394" s="1"/>
  <c r="E143" i="394" s="1"/>
  <c r="F137" i="394" a="1"/>
  <c r="F137" i="394" s="1"/>
  <c r="F124" i="394" a="1"/>
  <c r="F124" i="394" s="1"/>
  <c r="F116" i="394" a="1"/>
  <c r="F116" i="394" s="1"/>
  <c r="F160" i="394" a="1"/>
  <c r="F160" i="394" s="1"/>
  <c r="F126" i="394" a="1"/>
  <c r="F126" i="394" s="1"/>
  <c r="F104" i="394" a="1"/>
  <c r="F104" i="394" s="1"/>
  <c r="G104" i="394" s="1"/>
  <c r="F103" i="394" a="1"/>
  <c r="F103" i="394" s="1"/>
  <c r="F162" i="394" a="1"/>
  <c r="F162" i="394" s="1"/>
  <c r="F135" i="394" a="1"/>
  <c r="F135" i="394" s="1"/>
  <c r="F134" i="394" a="1"/>
  <c r="F134" i="394" s="1"/>
  <c r="G134" i="394" s="1"/>
  <c r="F122" i="394" a="1"/>
  <c r="F122" i="394" s="1"/>
  <c r="F121" i="394" a="1"/>
  <c r="F121" i="394" s="1"/>
  <c r="F114" i="394" a="1"/>
  <c r="F114" i="394" s="1"/>
  <c r="F109" i="394" a="1"/>
  <c r="F109" i="394" s="1"/>
  <c r="F108" i="394" a="1"/>
  <c r="F108" i="394" s="1"/>
  <c r="F107" i="394" a="1"/>
  <c r="F107" i="394" s="1"/>
  <c r="F84" i="394" a="1"/>
  <c r="F84" i="394" s="1"/>
  <c r="F79" i="394" a="1"/>
  <c r="F79" i="394" s="1"/>
  <c r="F60" i="394" a="1"/>
  <c r="F60" i="394" s="1"/>
  <c r="F44" i="394" a="1"/>
  <c r="F44" i="394" s="1"/>
  <c r="F42" i="394" a="1"/>
  <c r="F42" i="394" s="1"/>
  <c r="F28" i="394" a="1"/>
  <c r="F28" i="394" s="1"/>
  <c r="F26" i="394" a="1"/>
  <c r="F26" i="394" s="1"/>
  <c r="F16" i="394" a="1"/>
  <c r="F16" i="394" s="1"/>
  <c r="F6" i="394"/>
  <c r="F12" i="394" a="1"/>
  <c r="F12" i="394" s="1"/>
  <c r="F13" i="394" a="1"/>
  <c r="F13" i="394" s="1"/>
  <c r="F14" i="394" a="1"/>
  <c r="F14" i="394" s="1"/>
  <c r="F22" i="394" a="1"/>
  <c r="F22" i="394" s="1"/>
  <c r="F23" i="394" a="1"/>
  <c r="F23" i="394" s="1"/>
  <c r="G23" i="394" s="1"/>
  <c r="F30" i="394" a="1"/>
  <c r="F30" i="394" s="1"/>
  <c r="F31" i="394" a="1"/>
  <c r="F31" i="394" s="1"/>
  <c r="G31" i="394" s="1"/>
  <c r="D37" i="394" a="1"/>
  <c r="D37" i="394" s="1"/>
  <c r="I37" i="394" s="1"/>
  <c r="F38" i="394" a="1"/>
  <c r="F38" i="394" s="1"/>
  <c r="D45" i="394" a="1"/>
  <c r="D45" i="394" s="1"/>
  <c r="F52" i="394" a="1"/>
  <c r="F52" i="394" s="1"/>
  <c r="G52" i="394" s="1"/>
  <c r="F63" i="394" a="1"/>
  <c r="F63" i="394" s="1"/>
  <c r="G63" i="394" s="1"/>
  <c r="F96" i="394" a="1"/>
  <c r="F96" i="394" s="1"/>
  <c r="G96" i="394" s="1"/>
  <c r="D137" i="413" a="1"/>
  <c r="D137" i="413" s="1"/>
  <c r="E137" i="413" s="1"/>
  <c r="D136" i="413" a="1"/>
  <c r="D136" i="413" s="1"/>
  <c r="D128" i="413" a="1"/>
  <c r="D128" i="413" s="1"/>
  <c r="D96" i="413" a="1"/>
  <c r="D96" i="413" s="1"/>
  <c r="D62" i="413" a="1"/>
  <c r="D62" i="413" s="1"/>
  <c r="D23" i="413" a="1"/>
  <c r="D23" i="413" s="1"/>
  <c r="D132" i="413" a="1"/>
  <c r="D132" i="413" s="1"/>
  <c r="D112" i="413" a="1"/>
  <c r="D112" i="413" s="1"/>
  <c r="D80" i="413" a="1"/>
  <c r="D80" i="413" s="1"/>
  <c r="D43" i="413" a="1"/>
  <c r="D43" i="413" s="1"/>
  <c r="D11" i="413" a="1"/>
  <c r="D11" i="413" s="1"/>
  <c r="D88" i="413" a="1"/>
  <c r="D88" i="413" s="1"/>
  <c r="D34" i="413" a="1"/>
  <c r="D34" i="413" s="1"/>
  <c r="D104" i="413" a="1"/>
  <c r="D104" i="413" s="1"/>
  <c r="D130" i="413" a="1"/>
  <c r="D130" i="413" s="1"/>
  <c r="D54" i="413" a="1"/>
  <c r="D54" i="413" s="1"/>
  <c r="D120" i="413" a="1"/>
  <c r="D120" i="413" s="1"/>
  <c r="D134" i="413" a="1"/>
  <c r="D134" i="413" s="1"/>
  <c r="F28" i="402" a="1"/>
  <c r="F28" i="402" s="1"/>
  <c r="F64" i="402" a="1"/>
  <c r="F64" i="402" s="1"/>
  <c r="F65" i="402" a="1"/>
  <c r="F65" i="402" s="1"/>
  <c r="F70" i="402" a="1"/>
  <c r="F70" i="402" s="1"/>
  <c r="F83" i="402" a="1"/>
  <c r="F83" i="402" s="1"/>
  <c r="F86" i="402" a="1"/>
  <c r="F86" i="402" s="1"/>
  <c r="F92" i="402" a="1"/>
  <c r="F92" i="402" s="1"/>
  <c r="F123" i="402" a="1"/>
  <c r="F123" i="402" s="1"/>
  <c r="F130" i="402" a="1"/>
  <c r="F130" i="402" s="1"/>
  <c r="F10" i="405" a="1"/>
  <c r="F10" i="405" s="1"/>
  <c r="G10" i="405" s="1"/>
  <c r="F26" i="405" a="1"/>
  <c r="F26" i="405" s="1"/>
  <c r="F62" i="405" a="1"/>
  <c r="F62" i="405" s="1"/>
  <c r="F93" i="405" a="1"/>
  <c r="F93" i="405" s="1"/>
  <c r="F94" i="405" a="1"/>
  <c r="F94" i="405" s="1"/>
  <c r="F97" i="405" a="1"/>
  <c r="F97" i="405" s="1"/>
  <c r="F98" i="405" a="1"/>
  <c r="F98" i="405" s="1"/>
  <c r="G98" i="405" s="1"/>
  <c r="F118" i="405" a="1"/>
  <c r="F118" i="405" s="1"/>
  <c r="F119" i="405" a="1"/>
  <c r="F119" i="405" s="1"/>
  <c r="F122" i="405" a="1"/>
  <c r="F122" i="405" s="1"/>
  <c r="F123" i="405" a="1"/>
  <c r="F123" i="405" s="1"/>
  <c r="F137" i="405" a="1"/>
  <c r="F137" i="405" s="1"/>
  <c r="F143" i="405" a="1"/>
  <c r="F143" i="405" s="1"/>
  <c r="E143" i="405" s="1"/>
  <c r="F13" i="388" a="1"/>
  <c r="F13" i="388" s="1"/>
  <c r="F14" i="388" a="1"/>
  <c r="F14" i="388" s="1"/>
  <c r="F16" i="388" a="1"/>
  <c r="F16" i="388" s="1"/>
  <c r="F37" i="388" a="1"/>
  <c r="F37" i="388" s="1"/>
  <c r="F42" i="388" a="1"/>
  <c r="F42" i="388" s="1"/>
  <c r="F43" i="388" a="1"/>
  <c r="F43" i="388" s="1"/>
  <c r="F56" i="388" a="1"/>
  <c r="F56" i="388" s="1"/>
  <c r="F86" i="388" a="1"/>
  <c r="F86" i="388" s="1"/>
  <c r="F94" i="388" a="1"/>
  <c r="F94" i="388" s="1"/>
  <c r="F98" i="388" a="1"/>
  <c r="F98" i="388" s="1"/>
  <c r="F116" i="388" a="1"/>
  <c r="F116" i="388" s="1"/>
  <c r="D25" i="416" a="1"/>
  <c r="D25" i="416" s="1"/>
  <c r="D37" i="416" a="1"/>
  <c r="D37" i="416" s="1"/>
  <c r="E37" i="416" s="1"/>
  <c r="D48" i="416" a="1"/>
  <c r="D48" i="416" s="1"/>
  <c r="E48" i="416" s="1"/>
  <c r="D56" i="416" a="1"/>
  <c r="D56" i="416" s="1"/>
  <c r="D64" i="416" a="1"/>
  <c r="D64" i="416" s="1"/>
  <c r="J31" i="365" a="1"/>
  <c r="J31" i="365" s="1"/>
  <c r="O31" i="365" a="1"/>
  <c r="O31" i="365" s="1"/>
  <c r="K32" i="365" a="1"/>
  <c r="K32" i="365" s="1"/>
  <c r="G33" i="365" a="1"/>
  <c r="G33" i="365" s="1"/>
  <c r="O33" i="365" a="1"/>
  <c r="O33" i="365" s="1"/>
  <c r="D33" i="365" a="1"/>
  <c r="D33" i="365" s="1"/>
  <c r="F33" i="365" a="1"/>
  <c r="F33" i="365" s="1"/>
  <c r="H33" i="365" a="1"/>
  <c r="H33" i="365" s="1"/>
  <c r="J33" i="365" a="1"/>
  <c r="J33" i="365" s="1"/>
  <c r="K33" i="365" a="1"/>
  <c r="K33" i="365" s="1"/>
  <c r="L33" i="365" a="1"/>
  <c r="L33" i="365" s="1"/>
  <c r="N33" i="365" a="1"/>
  <c r="N33" i="365" s="1"/>
  <c r="O35" i="365" a="1"/>
  <c r="O35" i="365" s="1"/>
  <c r="K36" i="365" a="1"/>
  <c r="K36" i="365" s="1"/>
  <c r="K38" i="365" a="1"/>
  <c r="K38" i="365" s="1"/>
  <c r="J12" i="385" a="1"/>
  <c r="J12" i="385" s="1"/>
  <c r="H14" i="385" a="1"/>
  <c r="H14" i="385" s="1"/>
  <c r="D31" i="385" a="1"/>
  <c r="D31" i="385" s="1"/>
  <c r="G66" i="386" a="1"/>
  <c r="G66" i="386" s="1"/>
  <c r="G63" i="386" a="1"/>
  <c r="G63" i="386" s="1"/>
  <c r="G61" i="386" a="1"/>
  <c r="G61" i="386" s="1"/>
  <c r="G59" i="386" a="1"/>
  <c r="G59" i="386" s="1"/>
  <c r="G57" i="386" a="1"/>
  <c r="G57" i="386" s="1"/>
  <c r="G55" i="386" a="1"/>
  <c r="G55" i="386" s="1"/>
  <c r="G53" i="386" a="1"/>
  <c r="G53" i="386" s="1"/>
  <c r="G51" i="386" a="1"/>
  <c r="G51" i="386" s="1"/>
  <c r="G48" i="386" a="1"/>
  <c r="G48" i="386" s="1"/>
  <c r="G42" i="386" a="1"/>
  <c r="G42" i="386" s="1"/>
  <c r="G40" i="386" a="1"/>
  <c r="G40" i="386" s="1"/>
  <c r="G64" i="386" a="1"/>
  <c r="G64" i="386" s="1"/>
  <c r="G62" i="386" a="1"/>
  <c r="G62" i="386" s="1"/>
  <c r="G60" i="386" a="1"/>
  <c r="G60" i="386" s="1"/>
  <c r="G58" i="386" a="1"/>
  <c r="G58" i="386" s="1"/>
  <c r="G56" i="386" a="1"/>
  <c r="G56" i="386" s="1"/>
  <c r="G54" i="386" a="1"/>
  <c r="G54" i="386" s="1"/>
  <c r="G52" i="386" a="1"/>
  <c r="G52" i="386" s="1"/>
  <c r="G49" i="386" a="1"/>
  <c r="G49" i="386" s="1"/>
  <c r="G41" i="386" a="1"/>
  <c r="G41" i="386" s="1"/>
  <c r="G39" i="386" a="1"/>
  <c r="G39" i="386" s="1"/>
  <c r="G68" i="386" a="1"/>
  <c r="G68" i="386" s="1"/>
  <c r="K64" i="386" a="1"/>
  <c r="K64" i="386" s="1"/>
  <c r="K62" i="386" a="1"/>
  <c r="K62" i="386" s="1"/>
  <c r="K60" i="386" a="1"/>
  <c r="K60" i="386" s="1"/>
  <c r="K58" i="386" a="1"/>
  <c r="K58" i="386" s="1"/>
  <c r="K56" i="386" a="1"/>
  <c r="K56" i="386" s="1"/>
  <c r="K54" i="386" a="1"/>
  <c r="K54" i="386" s="1"/>
  <c r="K52" i="386" a="1"/>
  <c r="K52" i="386" s="1"/>
  <c r="K49" i="386" a="1"/>
  <c r="K49" i="386" s="1"/>
  <c r="K41" i="386" a="1"/>
  <c r="K41" i="386" s="1"/>
  <c r="K39" i="386" a="1"/>
  <c r="K39" i="386" s="1"/>
  <c r="K68" i="386" a="1"/>
  <c r="K68" i="386" s="1"/>
  <c r="K66" i="386" a="1"/>
  <c r="K66" i="386" s="1"/>
  <c r="K63" i="386" a="1"/>
  <c r="K63" i="386" s="1"/>
  <c r="K61" i="386" a="1"/>
  <c r="K61" i="386" s="1"/>
  <c r="K59" i="386" a="1"/>
  <c r="K59" i="386" s="1"/>
  <c r="K57" i="386" a="1"/>
  <c r="K57" i="386" s="1"/>
  <c r="K55" i="386" a="1"/>
  <c r="K55" i="386" s="1"/>
  <c r="K53" i="386" a="1"/>
  <c r="K53" i="386" s="1"/>
  <c r="K51" i="386" a="1"/>
  <c r="K51" i="386" s="1"/>
  <c r="K48" i="386" a="1"/>
  <c r="K48" i="386" s="1"/>
  <c r="K42" i="386" a="1"/>
  <c r="K42" i="386" s="1"/>
  <c r="K40" i="386" a="1"/>
  <c r="K40" i="386" s="1"/>
  <c r="O66" i="386" a="1"/>
  <c r="O66" i="386" s="1"/>
  <c r="O63" i="386" a="1"/>
  <c r="O63" i="386" s="1"/>
  <c r="O61" i="386" a="1"/>
  <c r="O61" i="386" s="1"/>
  <c r="O59" i="386" a="1"/>
  <c r="O59" i="386" s="1"/>
  <c r="O57" i="386" a="1"/>
  <c r="O57" i="386" s="1"/>
  <c r="O55" i="386" a="1"/>
  <c r="O55" i="386" s="1"/>
  <c r="O53" i="386" a="1"/>
  <c r="O53" i="386" s="1"/>
  <c r="O51" i="386" a="1"/>
  <c r="O51" i="386" s="1"/>
  <c r="O48" i="386" a="1"/>
  <c r="O48" i="386" s="1"/>
  <c r="O42" i="386" a="1"/>
  <c r="O42" i="386" s="1"/>
  <c r="O40" i="386" a="1"/>
  <c r="O40" i="386" s="1"/>
  <c r="O38" i="386" a="1"/>
  <c r="O38" i="386" s="1"/>
  <c r="O64" i="386" a="1"/>
  <c r="O64" i="386" s="1"/>
  <c r="O62" i="386" a="1"/>
  <c r="O62" i="386" s="1"/>
  <c r="O60" i="386" a="1"/>
  <c r="O60" i="386" s="1"/>
  <c r="O58" i="386" a="1"/>
  <c r="O58" i="386" s="1"/>
  <c r="O56" i="386" a="1"/>
  <c r="O56" i="386" s="1"/>
  <c r="O54" i="386" a="1"/>
  <c r="O54" i="386" s="1"/>
  <c r="O52" i="386" a="1"/>
  <c r="O52" i="386" s="1"/>
  <c r="O49" i="386" a="1"/>
  <c r="O49" i="386" s="1"/>
  <c r="O41" i="386" a="1"/>
  <c r="O41" i="386" s="1"/>
  <c r="O39" i="386" a="1"/>
  <c r="O39" i="386" s="1"/>
  <c r="O68" i="386" a="1"/>
  <c r="O68" i="386" s="1"/>
  <c r="D32" i="386" a="1"/>
  <c r="D32" i="386" s="1"/>
  <c r="I32" i="386" a="1"/>
  <c r="I32" i="386" s="1"/>
  <c r="O32" i="386" a="1"/>
  <c r="O32" i="386" s="1"/>
  <c r="K33" i="386" a="1"/>
  <c r="K33" i="386" s="1"/>
  <c r="G35" i="386" a="1"/>
  <c r="G35" i="386" s="1"/>
  <c r="O35" i="386" a="1"/>
  <c r="O35" i="386" s="1"/>
  <c r="H36" i="386" a="1"/>
  <c r="H36" i="386" s="1"/>
  <c r="M36" i="386" a="1"/>
  <c r="M36" i="386" s="1"/>
  <c r="I37" i="386" a="1"/>
  <c r="I37" i="386" s="1"/>
  <c r="E38" i="386" a="1"/>
  <c r="E38" i="386" s="1"/>
  <c r="M38" i="386" a="1"/>
  <c r="M38" i="386" s="1"/>
  <c r="I40" i="386" a="1"/>
  <c r="I40" i="386" s="1"/>
  <c r="F31" i="365" a="1"/>
  <c r="F31" i="365" s="1"/>
  <c r="O38" i="365" a="1"/>
  <c r="O38" i="365" s="1"/>
  <c r="D12" i="385" a="1"/>
  <c r="D12" i="385" s="1"/>
  <c r="H31" i="385" a="1"/>
  <c r="H31" i="385" s="1"/>
  <c r="K31" i="386" a="1"/>
  <c r="K31" i="386" s="1"/>
  <c r="E32" i="386" a="1"/>
  <c r="E32" i="386" s="1"/>
  <c r="K32" i="386" a="1"/>
  <c r="K32" i="386" s="1"/>
  <c r="E33" i="386" a="1"/>
  <c r="E33" i="386" s="1"/>
  <c r="I35" i="386" a="1"/>
  <c r="I35" i="386" s="1"/>
  <c r="D36" i="386" a="1"/>
  <c r="D36" i="386" s="1"/>
  <c r="O36" i="386" a="1"/>
  <c r="O36" i="386" s="1"/>
  <c r="K37" i="386" a="1"/>
  <c r="K37" i="386" s="1"/>
  <c r="G38" i="386" a="1"/>
  <c r="G38" i="386" s="1"/>
  <c r="E39" i="386" a="1"/>
  <c r="E39" i="386" s="1"/>
  <c r="F6" i="402"/>
  <c r="F10" i="402" a="1"/>
  <c r="F10" i="402" s="1"/>
  <c r="F37" i="402" a="1"/>
  <c r="F37" i="402" s="1"/>
  <c r="F45" i="402" a="1"/>
  <c r="F45" i="402" s="1"/>
  <c r="F54" i="402" a="1"/>
  <c r="F54" i="402" s="1"/>
  <c r="F58" i="402" a="1"/>
  <c r="F58" i="402" s="1"/>
  <c r="G58" i="402" s="1"/>
  <c r="F61" i="402" a="1"/>
  <c r="F61" i="402" s="1"/>
  <c r="F62" i="402" a="1"/>
  <c r="F62" i="402" s="1"/>
  <c r="F67" i="402" a="1"/>
  <c r="F67" i="402" s="1"/>
  <c r="F88" i="402" a="1"/>
  <c r="F88" i="402" s="1"/>
  <c r="F89" i="402" a="1"/>
  <c r="F89" i="402" s="1"/>
  <c r="F98" i="402" a="1"/>
  <c r="F98" i="402" s="1"/>
  <c r="F114" i="402" a="1"/>
  <c r="F114" i="402" s="1"/>
  <c r="F135" i="402" a="1"/>
  <c r="F135" i="402" s="1"/>
  <c r="F16" i="404" a="1"/>
  <c r="F16" i="404" s="1"/>
  <c r="F17" i="404" a="1"/>
  <c r="F17" i="404" s="1"/>
  <c r="F39" i="404" a="1"/>
  <c r="F39" i="404" s="1"/>
  <c r="F40" i="404" a="1"/>
  <c r="F40" i="404" s="1"/>
  <c r="F43" i="404" a="1"/>
  <c r="F43" i="404" s="1"/>
  <c r="F44" i="404" a="1"/>
  <c r="F44" i="404" s="1"/>
  <c r="F57" i="404" a="1"/>
  <c r="F57" i="404" s="1"/>
  <c r="F58" i="404" a="1"/>
  <c r="F58" i="404" s="1"/>
  <c r="F67" i="404" a="1"/>
  <c r="F67" i="404" s="1"/>
  <c r="F68" i="404" a="1"/>
  <c r="F68" i="404" s="1"/>
  <c r="F72" i="404" a="1"/>
  <c r="F72" i="404" s="1"/>
  <c r="F88" i="404" a="1"/>
  <c r="F88" i="404" s="1"/>
  <c r="F89" i="404" a="1"/>
  <c r="F89" i="404" s="1"/>
  <c r="F98" i="404" a="1"/>
  <c r="F98" i="404" s="1"/>
  <c r="F99" i="404" a="1"/>
  <c r="F99" i="404" s="1"/>
  <c r="F102" i="404" a="1"/>
  <c r="F102" i="404" s="1"/>
  <c r="F103" i="404" a="1"/>
  <c r="F103" i="404" s="1"/>
  <c r="F126" i="404" a="1"/>
  <c r="F126" i="404" s="1"/>
  <c r="F127" i="404" a="1"/>
  <c r="F127" i="404" s="1"/>
  <c r="F130" i="404" a="1"/>
  <c r="F130" i="404" s="1"/>
  <c r="F131" i="404" a="1"/>
  <c r="F131" i="404" s="1"/>
  <c r="F134" i="404" a="1"/>
  <c r="F134" i="404" s="1"/>
  <c r="F135" i="404" a="1"/>
  <c r="F135" i="404" s="1"/>
  <c r="F6" i="405"/>
  <c r="F20" i="405" a="1"/>
  <c r="F20" i="405" s="1"/>
  <c r="F22" i="405" a="1"/>
  <c r="F22" i="405" s="1"/>
  <c r="G22" i="405" s="1"/>
  <c r="F30" i="405" a="1"/>
  <c r="F30" i="405" s="1"/>
  <c r="F31" i="405" a="1"/>
  <c r="F31" i="405" s="1"/>
  <c r="G31" i="405" s="1"/>
  <c r="F59" i="405" a="1"/>
  <c r="F59" i="405" s="1"/>
  <c r="G59" i="405" s="1"/>
  <c r="F60" i="405" a="1"/>
  <c r="F60" i="405" s="1"/>
  <c r="G60" i="405" s="1"/>
  <c r="F70" i="405" a="1"/>
  <c r="F70" i="405" s="1"/>
  <c r="F81" i="405" a="1"/>
  <c r="F81" i="405" s="1"/>
  <c r="G81" i="405" s="1"/>
  <c r="F82" i="405" a="1"/>
  <c r="F82" i="405" s="1"/>
  <c r="F85" i="405" a="1"/>
  <c r="F85" i="405" s="1"/>
  <c r="F86" i="405" a="1"/>
  <c r="F86" i="405" s="1"/>
  <c r="F110" i="405" a="1"/>
  <c r="F110" i="405" s="1"/>
  <c r="G110" i="405" s="1"/>
  <c r="F111" i="405" a="1"/>
  <c r="F111" i="405" s="1"/>
  <c r="F129" i="405" a="1"/>
  <c r="F129" i="405" s="1"/>
  <c r="F130" i="405" a="1"/>
  <c r="F130" i="405" s="1"/>
  <c r="F145" i="405" a="1"/>
  <c r="F145" i="405" s="1"/>
  <c r="F144" i="405" s="1"/>
  <c r="F158" i="405" a="1"/>
  <c r="F158" i="405" s="1"/>
  <c r="F159" i="405" a="1"/>
  <c r="F159" i="405" s="1"/>
  <c r="D7" i="388"/>
  <c r="F22" i="388" a="1"/>
  <c r="F22" i="388" s="1"/>
  <c r="F23" i="388" a="1"/>
  <c r="F23" i="388" s="1"/>
  <c r="F26" i="388" a="1"/>
  <c r="F26" i="388" s="1"/>
  <c r="F28" i="388" a="1"/>
  <c r="F28" i="388" s="1"/>
  <c r="G28" i="388" s="1"/>
  <c r="F30" i="388" a="1"/>
  <c r="F30" i="388" s="1"/>
  <c r="F34" i="388" a="1"/>
  <c r="F34" i="388" s="1"/>
  <c r="F39" i="388" a="1"/>
  <c r="F39" i="388" s="1"/>
  <c r="F40" i="388" a="1"/>
  <c r="F40" i="388" s="1"/>
  <c r="F62" i="388" a="1"/>
  <c r="F62" i="388" s="1"/>
  <c r="F82" i="388" a="1"/>
  <c r="F82" i="388" s="1"/>
  <c r="F96" i="388" a="1"/>
  <c r="F96" i="388" s="1"/>
  <c r="F119" i="388" a="1"/>
  <c r="F119" i="388" s="1"/>
  <c r="F127" i="388" a="1"/>
  <c r="F127" i="388" s="1"/>
  <c r="F130" i="388" a="1"/>
  <c r="F130" i="388" s="1"/>
  <c r="F156" i="388" a="1"/>
  <c r="F156" i="388" s="1"/>
  <c r="F160" i="388" a="1"/>
  <c r="F160" i="388" s="1"/>
  <c r="D6" i="416"/>
  <c r="D32" i="416" a="1"/>
  <c r="D32" i="416" s="1"/>
  <c r="D41" i="416" a="1"/>
  <c r="D41" i="416" s="1"/>
  <c r="D52" i="416" a="1"/>
  <c r="D52" i="416" s="1"/>
  <c r="D60" i="416" a="1"/>
  <c r="D60" i="416" s="1"/>
  <c r="D68" i="416" a="1"/>
  <c r="D68" i="416" s="1"/>
  <c r="G31" i="365" a="1"/>
  <c r="G31" i="365" s="1"/>
  <c r="G32" i="365" a="1"/>
  <c r="G32" i="365" s="1"/>
  <c r="O32" i="365" a="1"/>
  <c r="O32" i="365" s="1"/>
  <c r="G35" i="365" a="1"/>
  <c r="G35" i="365" s="1"/>
  <c r="G36" i="365" a="1"/>
  <c r="G36" i="365" s="1"/>
  <c r="O36" i="365" a="1"/>
  <c r="O36" i="365" s="1"/>
  <c r="O37" i="365" a="1"/>
  <c r="O37" i="365" s="1"/>
  <c r="O39" i="365" a="1"/>
  <c r="O39" i="365" s="1"/>
  <c r="O40" i="365" a="1"/>
  <c r="O40" i="365" s="1"/>
  <c r="F12" i="385" a="1"/>
  <c r="F12" i="385" s="1"/>
  <c r="N12" i="385" a="1"/>
  <c r="N12" i="385" s="1"/>
  <c r="E107" i="386" a="1"/>
  <c r="E107" i="386" s="1"/>
  <c r="E103" i="386" a="1"/>
  <c r="E103" i="386" s="1"/>
  <c r="E104" i="386" a="1"/>
  <c r="E104" i="386" s="1"/>
  <c r="E105" i="386" a="1"/>
  <c r="E105" i="386" s="1"/>
  <c r="E106" i="386" a="1"/>
  <c r="E106" i="386" s="1"/>
  <c r="E72" i="386" a="1"/>
  <c r="E72" i="386" s="1"/>
  <c r="E68" i="386" a="1"/>
  <c r="E68" i="386" s="1"/>
  <c r="E66" i="386" a="1"/>
  <c r="E66" i="386"/>
  <c r="E63" i="386" a="1"/>
  <c r="E63" i="386" s="1"/>
  <c r="E61" i="386" a="1"/>
  <c r="E61" i="386" s="1"/>
  <c r="E59" i="386" a="1"/>
  <c r="E59" i="386" s="1"/>
  <c r="E57" i="386" a="1"/>
  <c r="E57" i="386" s="1"/>
  <c r="E55" i="386" a="1"/>
  <c r="E55" i="386" s="1"/>
  <c r="E53" i="386" a="1"/>
  <c r="E53" i="386" s="1"/>
  <c r="E51" i="386" a="1"/>
  <c r="E51" i="386"/>
  <c r="E52" i="386" a="1"/>
  <c r="E52" i="386" s="1"/>
  <c r="E54" i="386" a="1"/>
  <c r="E54" i="386" s="1"/>
  <c r="E56" i="386" a="1"/>
  <c r="E56" i="386" s="1"/>
  <c r="E58" i="386" a="1"/>
  <c r="E58" i="386" s="1"/>
  <c r="E60" i="386" a="1"/>
  <c r="E60" i="386" s="1"/>
  <c r="E62" i="386" a="1"/>
  <c r="E62" i="386" s="1"/>
  <c r="E64" i="386" a="1"/>
  <c r="E64" i="386" s="1"/>
  <c r="E48" i="386" a="1"/>
  <c r="E48" i="386" s="1"/>
  <c r="E42" i="386" a="1"/>
  <c r="E42" i="386" s="1"/>
  <c r="E40" i="386" a="1"/>
  <c r="E40" i="386" s="1"/>
  <c r="E67" i="386" a="1"/>
  <c r="E67" i="386" s="1"/>
  <c r="E49" i="386" a="1"/>
  <c r="E49" i="386" s="1"/>
  <c r="I98" i="386" a="1"/>
  <c r="I98" i="386" s="1"/>
  <c r="I64" i="386" a="1"/>
  <c r="I64" i="386" s="1"/>
  <c r="I62" i="386" a="1"/>
  <c r="I62" i="386" s="1"/>
  <c r="I60" i="386" a="1"/>
  <c r="I60" i="386" s="1"/>
  <c r="I58" i="386" a="1"/>
  <c r="I58" i="386" s="1"/>
  <c r="I56" i="386" a="1"/>
  <c r="I56" i="386" s="1"/>
  <c r="I54" i="386" a="1"/>
  <c r="I54" i="386" s="1"/>
  <c r="I52" i="386" a="1"/>
  <c r="I52" i="386" s="1"/>
  <c r="I49" i="386" a="1"/>
  <c r="I49" i="386" s="1"/>
  <c r="I41" i="386" a="1"/>
  <c r="I41" i="386" s="1"/>
  <c r="I68" i="386" a="1"/>
  <c r="I68" i="386" s="1"/>
  <c r="I67" i="386" a="1"/>
  <c r="I67" i="386" s="1"/>
  <c r="I66" i="386" a="1"/>
  <c r="I66" i="386" s="1"/>
  <c r="I63" i="386" a="1"/>
  <c r="I63" i="386" s="1"/>
  <c r="I61" i="386" a="1"/>
  <c r="I61" i="386" s="1"/>
  <c r="I51" i="386" a="1"/>
  <c r="I51" i="386" s="1"/>
  <c r="I53" i="386" a="1"/>
  <c r="I53" i="386" s="1"/>
  <c r="I55" i="386" a="1"/>
  <c r="I55" i="386" s="1"/>
  <c r="I57" i="386" a="1"/>
  <c r="I57" i="386" s="1"/>
  <c r="I59" i="386" a="1"/>
  <c r="I59" i="386" s="1"/>
  <c r="I48" i="386" a="1"/>
  <c r="I48" i="386" s="1"/>
  <c r="I47" i="386" s="1"/>
  <c r="I69" i="386" a="1"/>
  <c r="I69" i="386" s="1"/>
  <c r="I75" i="386" a="1"/>
  <c r="I75" i="386" s="1"/>
  <c r="I78" i="386" a="1"/>
  <c r="I78" i="386" s="1"/>
  <c r="I79" i="386" a="1"/>
  <c r="I79" i="386" s="1"/>
  <c r="I42" i="386" a="1"/>
  <c r="I42" i="386" s="1"/>
  <c r="M96" i="386" a="1"/>
  <c r="M96" i="386" s="1"/>
  <c r="M68" i="386" a="1"/>
  <c r="M68" i="386" s="1"/>
  <c r="M67" i="386" a="1"/>
  <c r="M67" i="386" s="1"/>
  <c r="M66" i="386" a="1"/>
  <c r="M66" i="386" s="1"/>
  <c r="M63" i="386" a="1"/>
  <c r="M63" i="386" s="1"/>
  <c r="M61" i="386" a="1"/>
  <c r="M61" i="386" s="1"/>
  <c r="M59" i="386" a="1"/>
  <c r="M59" i="386" s="1"/>
  <c r="M51" i="386" a="1"/>
  <c r="M51" i="386" s="1"/>
  <c r="M52" i="386" a="1"/>
  <c r="M52" i="386" s="1"/>
  <c r="M53" i="386" a="1"/>
  <c r="M53" i="386" s="1"/>
  <c r="M54" i="386" a="1"/>
  <c r="M55" i="386" a="1"/>
  <c r="M55" i="386" s="1"/>
  <c r="M56" i="386" a="1"/>
  <c r="M56" i="386" s="1"/>
  <c r="M57" i="386" a="1"/>
  <c r="M57" i="386" s="1"/>
  <c r="M58" i="386" a="1"/>
  <c r="M58" i="386" s="1"/>
  <c r="C58" i="386" s="1"/>
  <c r="P58" i="386" s="1"/>
  <c r="M60" i="386" a="1"/>
  <c r="M60" i="386" s="1"/>
  <c r="M62" i="386" a="1"/>
  <c r="M64" i="386" a="1"/>
  <c r="M64" i="386" s="1"/>
  <c r="M54" i="386"/>
  <c r="M62" i="386"/>
  <c r="M48" i="386" a="1"/>
  <c r="M48" i="386" s="1"/>
  <c r="M42" i="386" a="1"/>
  <c r="M42" i="386" s="1"/>
  <c r="C42" i="386" s="1"/>
  <c r="P42" i="386" s="1"/>
  <c r="M40" i="386" a="1"/>
  <c r="M40" i="386" s="1"/>
  <c r="M49" i="386" a="1"/>
  <c r="M49" i="386" s="1"/>
  <c r="M41" i="386" a="1"/>
  <c r="M41" i="386" s="1"/>
  <c r="E31" i="386" a="1"/>
  <c r="E31" i="386" s="1"/>
  <c r="E30" i="386" s="1"/>
  <c r="M31" i="386" a="1"/>
  <c r="M31" i="386" s="1"/>
  <c r="G32" i="386" a="1"/>
  <c r="G32" i="386" s="1"/>
  <c r="L32" i="386" a="1"/>
  <c r="L32" i="386" s="1"/>
  <c r="G33" i="386" a="1"/>
  <c r="G33" i="386" s="1"/>
  <c r="O33" i="386" a="1"/>
  <c r="O33" i="386" s="1"/>
  <c r="K35" i="386" a="1"/>
  <c r="K35" i="386" s="1"/>
  <c r="E36" i="386" a="1"/>
  <c r="E36" i="386" s="1"/>
  <c r="K36" i="386" a="1"/>
  <c r="K36" i="386" s="1"/>
  <c r="E37" i="386" a="1"/>
  <c r="E37" i="386" s="1"/>
  <c r="M37" i="386" a="1"/>
  <c r="M37" i="386" s="1"/>
  <c r="I38" i="386" a="1"/>
  <c r="I38" i="386" s="1"/>
  <c r="I39" i="386" a="1"/>
  <c r="I39" i="386" s="1"/>
  <c r="G14" i="365" a="1"/>
  <c r="G14" i="365" s="1"/>
  <c r="N31" i="365" a="1"/>
  <c r="N31" i="365" s="1"/>
  <c r="K35" i="365" a="1"/>
  <c r="K35" i="365" s="1"/>
  <c r="G38" i="365" a="1"/>
  <c r="G38" i="365" s="1"/>
  <c r="G31" i="386" a="1"/>
  <c r="G31" i="386" s="1"/>
  <c r="O31" i="386" a="1"/>
  <c r="O31" i="386" s="1"/>
  <c r="H32" i="386" a="1"/>
  <c r="H32" i="386" s="1"/>
  <c r="M32" i="386" a="1"/>
  <c r="M32" i="386" s="1"/>
  <c r="I33" i="386" a="1"/>
  <c r="I33" i="386" s="1"/>
  <c r="E35" i="386" a="1"/>
  <c r="E35" i="386" s="1"/>
  <c r="M35" i="386" a="1"/>
  <c r="M35" i="386" s="1"/>
  <c r="G36" i="386" a="1"/>
  <c r="G36" i="386" s="1"/>
  <c r="L36" i="386" a="1"/>
  <c r="L36" i="386" s="1"/>
  <c r="G37" i="386" a="1"/>
  <c r="G37" i="386" s="1"/>
  <c r="O37" i="386" a="1"/>
  <c r="O37" i="386" s="1"/>
  <c r="K38" i="386" a="1"/>
  <c r="K38" i="386" s="1"/>
  <c r="M39" i="386" a="1"/>
  <c r="M39" i="386" s="1"/>
  <c r="E6" i="254"/>
  <c r="S32" i="348"/>
  <c r="P1183" i="328"/>
  <c r="E29" i="360"/>
  <c r="E27" i="360" s="1"/>
  <c r="D47" i="254"/>
  <c r="J65" i="347"/>
  <c r="C51" i="360"/>
  <c r="C50" i="360" s="1"/>
  <c r="C51" i="389"/>
  <c r="C50" i="389" s="1"/>
  <c r="C147" i="389" s="1"/>
  <c r="C78" i="389"/>
  <c r="C77" i="389" s="1"/>
  <c r="C76" i="389" s="1"/>
  <c r="C36" i="407"/>
  <c r="C47" i="407" s="1"/>
  <c r="C164" i="407"/>
  <c r="C78" i="408"/>
  <c r="C77" i="408" s="1"/>
  <c r="C76" i="408" s="1"/>
  <c r="C147" i="408" s="1"/>
  <c r="C165" i="408" s="1"/>
  <c r="C178" i="408" s="1"/>
  <c r="C24" i="395"/>
  <c r="C29" i="360"/>
  <c r="C27" i="360" s="1"/>
  <c r="C47" i="360" s="1"/>
  <c r="C78" i="360"/>
  <c r="C77" i="360" s="1"/>
  <c r="C76" i="360" s="1"/>
  <c r="C164" i="389"/>
  <c r="C9" i="407"/>
  <c r="C24" i="407"/>
  <c r="C139" i="407"/>
  <c r="C51" i="392"/>
  <c r="C50" i="392" s="1"/>
  <c r="C139" i="392"/>
  <c r="C36" i="395"/>
  <c r="C47" i="395"/>
  <c r="C164" i="395"/>
  <c r="C15" i="360"/>
  <c r="C164" i="360"/>
  <c r="C11" i="389"/>
  <c r="C9" i="389" s="1"/>
  <c r="C24" i="389" s="1"/>
  <c r="C32" i="389"/>
  <c r="C36" i="389"/>
  <c r="C51" i="407"/>
  <c r="C50" i="407" s="1"/>
  <c r="C9" i="408"/>
  <c r="C19" i="408"/>
  <c r="C36" i="408"/>
  <c r="C51" i="408"/>
  <c r="C50" i="408"/>
  <c r="C36" i="392"/>
  <c r="C47" i="392"/>
  <c r="C78" i="392"/>
  <c r="C77" i="392"/>
  <c r="C51" i="395"/>
  <c r="C50" i="395"/>
  <c r="C78" i="397"/>
  <c r="C77" i="397"/>
  <c r="C51" i="393"/>
  <c r="C50" i="393"/>
  <c r="C10" i="354" a="1"/>
  <c r="C10" i="354" s="1"/>
  <c r="C15" i="354" a="1"/>
  <c r="C15" i="354" s="1"/>
  <c r="C24" i="354" a="1"/>
  <c r="C24" i="354" s="1"/>
  <c r="C52" i="354" a="1"/>
  <c r="C52" i="354" s="1"/>
  <c r="C80" i="354" a="1"/>
  <c r="C80" i="354" s="1"/>
  <c r="C36" i="254" a="1"/>
  <c r="C36" i="254" s="1"/>
  <c r="C64" i="254" a="1"/>
  <c r="C64" i="254" s="1"/>
  <c r="F10" i="360" a="1"/>
  <c r="F10" i="360" s="1"/>
  <c r="G10" i="360" s="1"/>
  <c r="F14" i="360" a="1"/>
  <c r="F14" i="360" s="1"/>
  <c r="G14" i="360" s="1"/>
  <c r="F20" i="360" a="1"/>
  <c r="F20" i="360" s="1"/>
  <c r="G20" i="360" s="1"/>
  <c r="F28" i="360" a="1"/>
  <c r="F28" i="360" s="1"/>
  <c r="G28" i="360" s="1"/>
  <c r="F63" i="360" a="1"/>
  <c r="F63" i="360" s="1"/>
  <c r="G63" i="360" s="1"/>
  <c r="F67" i="360" a="1"/>
  <c r="F67" i="360" s="1"/>
  <c r="G67" i="360" s="1"/>
  <c r="F74" i="360" a="1"/>
  <c r="F74" i="360" s="1"/>
  <c r="G74" i="360" s="1"/>
  <c r="F82" i="360" a="1"/>
  <c r="F82" i="360" s="1"/>
  <c r="G82" i="360" s="1"/>
  <c r="F94" i="360" a="1"/>
  <c r="F94" i="360" s="1"/>
  <c r="G94" i="360" s="1"/>
  <c r="F97" i="360" a="1"/>
  <c r="F97" i="360" s="1"/>
  <c r="G97" i="360" s="1"/>
  <c r="F104" i="360" a="1"/>
  <c r="F104" i="360" s="1"/>
  <c r="G104" i="360" s="1"/>
  <c r="F121" i="360" a="1"/>
  <c r="F121" i="360" s="1"/>
  <c r="G121" i="360" s="1"/>
  <c r="F127" i="360" a="1"/>
  <c r="F127" i="360" s="1"/>
  <c r="G127" i="360" s="1"/>
  <c r="F135" i="360" a="1"/>
  <c r="F135" i="360" s="1"/>
  <c r="G135" i="360" s="1"/>
  <c r="F142" i="360" a="1"/>
  <c r="F142" i="360" s="1"/>
  <c r="G142" i="360" s="1"/>
  <c r="F38" i="389" a="1"/>
  <c r="F38" i="389" s="1"/>
  <c r="G38" i="389" s="1"/>
  <c r="F54" i="389" a="1"/>
  <c r="F54" i="389" s="1"/>
  <c r="G54" i="389" s="1"/>
  <c r="F73" i="389" a="1"/>
  <c r="F73" i="389" s="1"/>
  <c r="F93" i="389" a="1"/>
  <c r="F93" i="389" s="1"/>
  <c r="F98" i="389" a="1"/>
  <c r="F98" i="389" s="1"/>
  <c r="F101" i="389" a="1"/>
  <c r="F101" i="389" s="1"/>
  <c r="F105" i="389" a="1"/>
  <c r="F105" i="389" s="1"/>
  <c r="G105" i="389" s="1"/>
  <c r="F109" i="389" a="1"/>
  <c r="F109" i="389" s="1"/>
  <c r="G109" i="389" s="1"/>
  <c r="F112" i="389" a="1"/>
  <c r="F112" i="389" s="1"/>
  <c r="G112" i="389" s="1"/>
  <c r="F129" i="389" a="1"/>
  <c r="F129" i="389" s="1"/>
  <c r="G129" i="389" s="1"/>
  <c r="F133" i="389" a="1"/>
  <c r="F133" i="389" s="1"/>
  <c r="G133" i="389" s="1"/>
  <c r="F142" i="389" a="1"/>
  <c r="F142" i="389" s="1"/>
  <c r="G142" i="389" s="1"/>
  <c r="F145" i="389" a="1"/>
  <c r="F145" i="389" s="1"/>
  <c r="F144" i="389" s="1"/>
  <c r="F158" i="389" a="1"/>
  <c r="F158" i="389" s="1"/>
  <c r="F161" i="389" a="1"/>
  <c r="F161" i="389" s="1"/>
  <c r="D23" i="407" a="1"/>
  <c r="D23" i="407" s="1"/>
  <c r="I23" i="407" s="1"/>
  <c r="D80" i="407" a="1"/>
  <c r="D80" i="407" s="1"/>
  <c r="I80" i="407" s="1"/>
  <c r="D86" i="407" a="1"/>
  <c r="D86" i="407" s="1"/>
  <c r="D94" i="407" a="1"/>
  <c r="D94" i="407" s="1"/>
  <c r="D100" i="407" a="1"/>
  <c r="D100" i="407" s="1"/>
  <c r="I100" i="407" s="1"/>
  <c r="D108" i="407" a="1"/>
  <c r="D108" i="407" s="1"/>
  <c r="D112" i="407" a="1"/>
  <c r="D112" i="407" s="1"/>
  <c r="D115" i="407" a="1"/>
  <c r="D115" i="407" s="1"/>
  <c r="I115" i="407" s="1"/>
  <c r="D125" i="407" a="1"/>
  <c r="D125" i="407" s="1"/>
  <c r="D132" i="407" a="1"/>
  <c r="D132" i="407" s="1"/>
  <c r="I132" i="407" s="1"/>
  <c r="D136" i="407" a="1"/>
  <c r="D136" i="407" s="1"/>
  <c r="I136" i="407" s="1"/>
  <c r="D141" i="407" a="1"/>
  <c r="D141" i="407" s="1"/>
  <c r="I141" i="407" s="1"/>
  <c r="D155" i="407" a="1"/>
  <c r="D155" i="407" s="1"/>
  <c r="F33" i="408" a="1"/>
  <c r="F33" i="408" s="1"/>
  <c r="G33" i="408" s="1"/>
  <c r="F40" i="408" a="1"/>
  <c r="F40" i="408" s="1"/>
  <c r="F44" i="408" a="1"/>
  <c r="F44" i="408" s="1"/>
  <c r="F56" i="408" a="1"/>
  <c r="F56" i="408" s="1"/>
  <c r="F59" i="408" a="1"/>
  <c r="F59" i="408" s="1"/>
  <c r="G59" i="408" s="1"/>
  <c r="F62" i="408" a="1"/>
  <c r="F62" i="408" s="1"/>
  <c r="F64" i="408" a="1"/>
  <c r="F64" i="408" s="1"/>
  <c r="F82" i="408" a="1"/>
  <c r="F82" i="408" s="1"/>
  <c r="G82" i="408" s="1"/>
  <c r="F86" i="408" a="1"/>
  <c r="F86" i="408" s="1"/>
  <c r="F89" i="408" a="1"/>
  <c r="F89" i="408" s="1"/>
  <c r="F91" i="408" a="1"/>
  <c r="F91" i="408" s="1"/>
  <c r="F95" i="408" a="1"/>
  <c r="F95" i="408" s="1"/>
  <c r="G95" i="408" s="1"/>
  <c r="F98" i="408" a="1"/>
  <c r="F98" i="408" s="1"/>
  <c r="F102" i="408" a="1"/>
  <c r="F102" i="408" s="1"/>
  <c r="G102" i="408" s="1"/>
  <c r="F106" i="408" a="1"/>
  <c r="F106" i="408" s="1"/>
  <c r="G106" i="408" s="1"/>
  <c r="F110" i="408" a="1"/>
  <c r="F110" i="408" s="1"/>
  <c r="F114" i="408" a="1"/>
  <c r="F114" i="408" s="1"/>
  <c r="F118" i="408" a="1"/>
  <c r="F118" i="408" s="1"/>
  <c r="F122" i="408" a="1"/>
  <c r="F122" i="408" s="1"/>
  <c r="F129" i="408" a="1"/>
  <c r="F129" i="408" s="1"/>
  <c r="G129" i="408" s="1"/>
  <c r="F133" i="408" a="1"/>
  <c r="F133" i="408" s="1"/>
  <c r="G133" i="408" s="1"/>
  <c r="F137" i="408" a="1"/>
  <c r="F137" i="408" s="1"/>
  <c r="G137" i="408" s="1"/>
  <c r="F142" i="408" a="1"/>
  <c r="F142" i="408" s="1"/>
  <c r="G142" i="408" s="1"/>
  <c r="F156" i="408" a="1"/>
  <c r="F156" i="408" s="1"/>
  <c r="F160" i="408" a="1"/>
  <c r="F160" i="408" s="1"/>
  <c r="F163" i="408" a="1"/>
  <c r="F163" i="408" s="1"/>
  <c r="C78" i="393"/>
  <c r="C77" i="393"/>
  <c r="C76" i="393" s="1"/>
  <c r="C38" i="354" a="1"/>
  <c r="C38" i="354" s="1"/>
  <c r="C43" i="354" a="1"/>
  <c r="C43" i="354" s="1"/>
  <c r="C57" i="354" a="1"/>
  <c r="C57" i="354" s="1"/>
  <c r="C29" i="254" a="1"/>
  <c r="C29" i="254" s="1"/>
  <c r="C44" i="254" a="1"/>
  <c r="C44" i="254" s="1"/>
  <c r="C45" i="254" a="1"/>
  <c r="C45" i="254" s="1"/>
  <c r="A47" i="254"/>
  <c r="A48" i="254" s="1"/>
  <c r="C67" i="254" a="1"/>
  <c r="C67" i="254" s="1"/>
  <c r="C78" i="254" a="1"/>
  <c r="C78" i="254" s="1"/>
  <c r="C81" i="254" a="1"/>
  <c r="C81" i="254" s="1"/>
  <c r="C87" i="254" a="1"/>
  <c r="C87" i="254" s="1"/>
  <c r="C8" i="324" a="1"/>
  <c r="C8" i="324" s="1"/>
  <c r="C23" i="324" a="1"/>
  <c r="C23" i="324" s="1"/>
  <c r="C25" i="324" a="1"/>
  <c r="C25" i="324" s="1"/>
  <c r="A61" i="324"/>
  <c r="A62" i="324" s="1"/>
  <c r="A12" i="339"/>
  <c r="A13" i="339" s="1"/>
  <c r="A54" i="339"/>
  <c r="A55" i="339" s="1"/>
  <c r="F7" i="353" a="1"/>
  <c r="F7" i="353" s="1"/>
  <c r="F42" i="360" a="1"/>
  <c r="F42" i="360" s="1"/>
  <c r="G42" i="360" s="1"/>
  <c r="F58" i="360" a="1"/>
  <c r="F58" i="360" s="1"/>
  <c r="G58" i="360" s="1"/>
  <c r="F86" i="360" a="1"/>
  <c r="F86" i="360" s="1"/>
  <c r="G86" i="360" s="1"/>
  <c r="F16" i="389" a="1"/>
  <c r="F16" i="389" s="1"/>
  <c r="F20" i="389" a="1"/>
  <c r="F20" i="389" s="1"/>
  <c r="F52" i="389" a="1"/>
  <c r="F52" i="389" s="1"/>
  <c r="G52" i="389" s="1"/>
  <c r="F59" i="389" a="1"/>
  <c r="F59" i="389" s="1"/>
  <c r="G59" i="389" s="1"/>
  <c r="F71" i="389" a="1"/>
  <c r="F71" i="389" s="1"/>
  <c r="G71" i="389" s="1"/>
  <c r="F79" i="389" a="1"/>
  <c r="F79" i="389" s="1"/>
  <c r="F90" i="389" a="1"/>
  <c r="F90" i="389" s="1"/>
  <c r="G90" i="389" s="1"/>
  <c r="F95" i="389" a="1"/>
  <c r="F95" i="389" s="1"/>
  <c r="F115" i="389" a="1"/>
  <c r="F115" i="389" s="1"/>
  <c r="F122" i="389" a="1"/>
  <c r="F122" i="389" s="1"/>
  <c r="F137" i="389" a="1"/>
  <c r="F137" i="389" s="1"/>
  <c r="D42" i="407" a="1"/>
  <c r="D42" i="407" s="1"/>
  <c r="I42" i="407" s="1"/>
  <c r="D45" i="407" a="1"/>
  <c r="D45" i="407" s="1"/>
  <c r="I45" i="407" s="1"/>
  <c r="D60" i="407" a="1"/>
  <c r="D60" i="407" s="1"/>
  <c r="I60" i="407" s="1"/>
  <c r="C9" i="354" a="1"/>
  <c r="C9" i="354" s="1"/>
  <c r="C18" i="354" a="1"/>
  <c r="C18" i="354" s="1"/>
  <c r="C23" i="354" a="1"/>
  <c r="C23" i="354" s="1"/>
  <c r="D29" i="354" a="1"/>
  <c r="D29" i="354" s="1"/>
  <c r="C32" i="354" a="1"/>
  <c r="C32" i="354" s="1"/>
  <c r="C33" i="354" s="1"/>
  <c r="C37" i="354" a="1"/>
  <c r="C37" i="354" s="1"/>
  <c r="C46" i="354" a="1"/>
  <c r="C46" i="354" s="1"/>
  <c r="C51" i="354" a="1"/>
  <c r="C51" i="354" s="1"/>
  <c r="C60" i="354" a="1"/>
  <c r="C60" i="354" s="1"/>
  <c r="C65" i="354" a="1"/>
  <c r="C65" i="354" s="1"/>
  <c r="D66" i="354" a="1"/>
  <c r="D66" i="354" s="1"/>
  <c r="D71" i="354" a="1"/>
  <c r="D71" i="354" s="1"/>
  <c r="C74" i="354" a="1"/>
  <c r="C74" i="354" s="1"/>
  <c r="C79" i="354" a="1"/>
  <c r="C79" i="354" s="1"/>
  <c r="D85" i="354" a="1"/>
  <c r="D85" i="354" s="1"/>
  <c r="C88" i="354" a="1"/>
  <c r="C88" i="354" s="1"/>
  <c r="D8" i="254" a="1"/>
  <c r="D8" i="254" s="1"/>
  <c r="D11" i="254" a="1"/>
  <c r="D11" i="254" s="1"/>
  <c r="C16" i="254" a="1"/>
  <c r="C16" i="254" s="1"/>
  <c r="C18" i="254" a="1"/>
  <c r="C18" i="254" s="1"/>
  <c r="A26" i="254"/>
  <c r="A27" i="254" s="1"/>
  <c r="C43" i="254" a="1"/>
  <c r="C43" i="254" s="1"/>
  <c r="C46" i="254" a="1"/>
  <c r="C46" i="254" s="1"/>
  <c r="A61" i="254"/>
  <c r="A62" i="254" s="1"/>
  <c r="D67" i="254" a="1"/>
  <c r="D67" i="254" s="1"/>
  <c r="D68" i="254" s="1"/>
  <c r="A75" i="254"/>
  <c r="A76" i="254" s="1"/>
  <c r="C86" i="254" a="1"/>
  <c r="C86" i="254" s="1"/>
  <c r="C88" i="254" a="1"/>
  <c r="C88" i="254" s="1"/>
  <c r="C16" i="324" a="1"/>
  <c r="C16" i="324" s="1"/>
  <c r="C22" i="324" a="1"/>
  <c r="C22" i="324" s="1"/>
  <c r="D25" i="324" a="1"/>
  <c r="D25" i="324" s="1"/>
  <c r="D26" i="324" s="1"/>
  <c r="C30" i="324" a="1"/>
  <c r="C30" i="324" s="1"/>
  <c r="C37" i="324" a="1"/>
  <c r="C37" i="324" s="1"/>
  <c r="C44" i="324" a="1"/>
  <c r="C44" i="324" s="1"/>
  <c r="C46" i="324" a="1"/>
  <c r="C46" i="324" s="1"/>
  <c r="A47" i="324"/>
  <c r="A48" i="324" s="1"/>
  <c r="D53" i="324" a="1"/>
  <c r="D53" i="324" s="1"/>
  <c r="D54" i="324" s="1"/>
  <c r="C57" i="324" a="1"/>
  <c r="C57" i="324" s="1"/>
  <c r="C60" i="324" a="1"/>
  <c r="C60" i="324" s="1"/>
  <c r="C71" i="324" a="1"/>
  <c r="C71" i="324" s="1"/>
  <c r="D74" i="324" a="1"/>
  <c r="D74" i="324" s="1"/>
  <c r="C79" i="324" a="1"/>
  <c r="C79" i="324" s="1"/>
  <c r="C80" i="324" a="1"/>
  <c r="C80" i="324" s="1"/>
  <c r="C8" i="339" a="1"/>
  <c r="C8" i="339" s="1"/>
  <c r="C11" i="339" a="1"/>
  <c r="C11" i="339" s="1"/>
  <c r="C22" i="339" a="1"/>
  <c r="C22" i="339" s="1"/>
  <c r="C30" i="339" a="1"/>
  <c r="C30" i="339" s="1"/>
  <c r="C36" i="339" a="1"/>
  <c r="C36" i="339" s="1"/>
  <c r="C38" i="339" a="1"/>
  <c r="C38" i="339" s="1"/>
  <c r="A40" i="339"/>
  <c r="A41" i="339" s="1"/>
  <c r="C51" i="339" a="1"/>
  <c r="C51" i="339" s="1"/>
  <c r="C53" i="339" a="1"/>
  <c r="C53" i="339" s="1"/>
  <c r="C72" i="339" a="1"/>
  <c r="C72" i="339" s="1"/>
  <c r="C73" i="339" a="1"/>
  <c r="C73" i="339" s="1"/>
  <c r="A75" i="339"/>
  <c r="A76" i="339" s="1"/>
  <c r="D81" i="339" a="1"/>
  <c r="D81" i="339" s="1"/>
  <c r="C85" i="339" a="1"/>
  <c r="C85" i="339" s="1"/>
  <c r="C88" i="339" a="1"/>
  <c r="C88" i="339" s="1"/>
  <c r="E22" i="346" a="1"/>
  <c r="E22" i="346" s="1"/>
  <c r="E23" i="346" a="1"/>
  <c r="E23" i="346" s="1"/>
  <c r="E24" i="346" a="1"/>
  <c r="E24" i="346" s="1"/>
  <c r="E26" i="346" a="1"/>
  <c r="E26" i="346" s="1"/>
  <c r="E38" i="346" a="1"/>
  <c r="E38" i="346" s="1"/>
  <c r="E39" i="346" a="1"/>
  <c r="E39" i="346" s="1"/>
  <c r="E40" i="346" a="1"/>
  <c r="E40" i="346" s="1"/>
  <c r="E42" i="346" a="1"/>
  <c r="E42" i="346" s="1"/>
  <c r="E54" i="346" a="1"/>
  <c r="E54" i="346" s="1"/>
  <c r="E55" i="346" a="1"/>
  <c r="E55" i="346" s="1"/>
  <c r="E56" i="346" a="1"/>
  <c r="E56" i="346" s="1"/>
  <c r="E58" i="346" a="1"/>
  <c r="E58" i="346" s="1"/>
  <c r="E70" i="346" a="1"/>
  <c r="E70" i="346" s="1"/>
  <c r="E71" i="346" a="1"/>
  <c r="E71" i="346" s="1"/>
  <c r="E72" i="346" a="1"/>
  <c r="E72" i="346" s="1"/>
  <c r="E74" i="346" a="1"/>
  <c r="E74" i="346" s="1"/>
  <c r="E86" i="346" a="1"/>
  <c r="E86" i="346" s="1"/>
  <c r="E87" i="346" a="1"/>
  <c r="E87" i="346" s="1"/>
  <c r="E88" i="346" a="1"/>
  <c r="E88" i="346" s="1"/>
  <c r="E90" i="346" a="1"/>
  <c r="E90" i="346" s="1"/>
  <c r="E102" i="346" a="1"/>
  <c r="E102" i="346" s="1"/>
  <c r="E103" i="346" a="1"/>
  <c r="E103" i="346" s="1"/>
  <c r="E104" i="346" a="1"/>
  <c r="E104" i="346" s="1"/>
  <c r="E106" i="346" a="1"/>
  <c r="E106" i="346" s="1"/>
  <c r="F8" i="345" a="1"/>
  <c r="F8" i="345" s="1"/>
  <c r="F10" i="345" a="1"/>
  <c r="F10" i="345" s="1"/>
  <c r="F12" i="345" a="1"/>
  <c r="F12" i="345" s="1"/>
  <c r="F14" i="345" a="1"/>
  <c r="F14" i="345" s="1"/>
  <c r="F16" i="345" a="1"/>
  <c r="F16" i="345" s="1"/>
  <c r="F18" i="345" a="1"/>
  <c r="F18" i="345" s="1"/>
  <c r="F13" i="360" a="1"/>
  <c r="F13" i="360" s="1"/>
  <c r="G13" i="360" s="1"/>
  <c r="F16" i="360" a="1"/>
  <c r="F16" i="360" s="1"/>
  <c r="F23" i="360" a="1"/>
  <c r="F23" i="360" s="1"/>
  <c r="F31" i="360" a="1"/>
  <c r="F31" i="360" s="1"/>
  <c r="G31" i="360" s="1"/>
  <c r="F35" i="360" a="1"/>
  <c r="F35" i="360" s="1"/>
  <c r="G35" i="360" s="1"/>
  <c r="F38" i="360" a="1"/>
  <c r="F38" i="360" s="1"/>
  <c r="G38" i="360" s="1"/>
  <c r="F41" i="360" a="1"/>
  <c r="F41" i="360" s="1"/>
  <c r="G41" i="360" s="1"/>
  <c r="F45" i="360" a="1"/>
  <c r="F45" i="360" s="1"/>
  <c r="G45" i="360" s="1"/>
  <c r="F55" i="360" a="1"/>
  <c r="F55" i="360" s="1"/>
  <c r="G55" i="360" s="1"/>
  <c r="F57" i="360" a="1"/>
  <c r="F57" i="360" s="1"/>
  <c r="G57" i="360" s="1"/>
  <c r="F60" i="360" a="1"/>
  <c r="F60" i="360" s="1"/>
  <c r="G60" i="360" s="1"/>
  <c r="F66" i="360" a="1"/>
  <c r="F66" i="360" s="1"/>
  <c r="G66" i="360" s="1"/>
  <c r="F69" i="360" a="1"/>
  <c r="F69" i="360" s="1"/>
  <c r="G69" i="360" s="1"/>
  <c r="F71" i="360" a="1"/>
  <c r="F71" i="360" s="1"/>
  <c r="G71" i="360" s="1"/>
  <c r="F73" i="360" a="1"/>
  <c r="F73" i="360" s="1"/>
  <c r="G73" i="360" s="1"/>
  <c r="F79" i="360" a="1"/>
  <c r="F79" i="360" s="1"/>
  <c r="G79" i="360" s="1"/>
  <c r="F85" i="360" a="1"/>
  <c r="F85" i="360" s="1"/>
  <c r="G85" i="360" s="1"/>
  <c r="F88" i="360" a="1"/>
  <c r="F88" i="360" s="1"/>
  <c r="G88" i="360" s="1"/>
  <c r="F90" i="360" a="1"/>
  <c r="F90" i="360" s="1"/>
  <c r="G90" i="360" s="1"/>
  <c r="F93" i="360" a="1"/>
  <c r="F93" i="360" s="1"/>
  <c r="G93" i="360" s="1"/>
  <c r="F96" i="360" a="1"/>
  <c r="F96" i="360" s="1"/>
  <c r="G96" i="360" s="1"/>
  <c r="F99" i="360" a="1"/>
  <c r="F99" i="360" s="1"/>
  <c r="G99" i="360" s="1"/>
  <c r="F101" i="360" a="1"/>
  <c r="F101" i="360" s="1"/>
  <c r="G101" i="360" s="1"/>
  <c r="F107" i="360" a="1"/>
  <c r="F107" i="360" s="1"/>
  <c r="G107" i="360" s="1"/>
  <c r="F110" i="360" a="1"/>
  <c r="F110" i="360" s="1"/>
  <c r="G110" i="360" s="1"/>
  <c r="F116" i="360" a="1"/>
  <c r="F116" i="360" s="1"/>
  <c r="G116" i="360" s="1"/>
  <c r="F120" i="360" a="1"/>
  <c r="F120" i="360" s="1"/>
  <c r="G120" i="360" s="1"/>
  <c r="F124" i="360" a="1"/>
  <c r="F124" i="360" s="1"/>
  <c r="G124" i="360" s="1"/>
  <c r="F126" i="360" a="1"/>
  <c r="F126" i="360" s="1"/>
  <c r="G126" i="360" s="1"/>
  <c r="F130" i="360" a="1"/>
  <c r="F130" i="360" s="1"/>
  <c r="G130" i="360" s="1"/>
  <c r="F134" i="360" a="1"/>
  <c r="F134" i="360" s="1"/>
  <c r="G134" i="360" s="1"/>
  <c r="F141" i="360" a="1"/>
  <c r="F141" i="360" s="1"/>
  <c r="G141" i="360" s="1"/>
  <c r="F145" i="360" a="1"/>
  <c r="F145" i="360" s="1"/>
  <c r="F155" i="360" a="1"/>
  <c r="F155" i="360" s="1"/>
  <c r="G155" i="360" s="1"/>
  <c r="F161" i="360" a="1"/>
  <c r="F161" i="360" s="1"/>
  <c r="G161" i="360" s="1"/>
  <c r="F175" i="360" a="1"/>
  <c r="F175" i="360" s="1"/>
  <c r="F177" i="360" s="1"/>
  <c r="F12" i="389" a="1"/>
  <c r="F12" i="389" s="1"/>
  <c r="F23" i="389" a="1"/>
  <c r="F23" i="389" s="1"/>
  <c r="F31" i="389" a="1"/>
  <c r="F31" i="389" s="1"/>
  <c r="F35" i="389" a="1"/>
  <c r="F35" i="389" s="1"/>
  <c r="F44" i="389" a="1"/>
  <c r="F44" i="389" s="1"/>
  <c r="G44" i="389" s="1"/>
  <c r="F56" i="389" a="1"/>
  <c r="F56" i="389" s="1"/>
  <c r="G56" i="389" s="1"/>
  <c r="F62" i="389" a="1"/>
  <c r="F62" i="389" s="1"/>
  <c r="F65" i="389" a="1"/>
  <c r="F65" i="389" s="1"/>
  <c r="G65" i="389" s="1"/>
  <c r="F81" i="389" a="1"/>
  <c r="F81" i="389" s="1"/>
  <c r="G81" i="389" s="1"/>
  <c r="F83" i="389" a="1"/>
  <c r="F83" i="389" s="1"/>
  <c r="F85" i="389" a="1"/>
  <c r="F85" i="389" s="1"/>
  <c r="G85" i="389" s="1"/>
  <c r="F87" i="389" a="1"/>
  <c r="F87" i="389" s="1"/>
  <c r="G87" i="389" s="1"/>
  <c r="F92" i="389" a="1"/>
  <c r="F92" i="389" s="1"/>
  <c r="F97" i="389" a="1"/>
  <c r="F97" i="389" s="1"/>
  <c r="F100" i="389" a="1"/>
  <c r="F100" i="389" s="1"/>
  <c r="F104" i="389" a="1"/>
  <c r="F104" i="389" s="1"/>
  <c r="G104" i="389" s="1"/>
  <c r="F108" i="389" a="1"/>
  <c r="F108" i="389" s="1"/>
  <c r="F114" i="389" a="1"/>
  <c r="F114" i="389" s="1"/>
  <c r="F118" i="389" a="1"/>
  <c r="F118" i="389" s="1"/>
  <c r="G118" i="389" s="1"/>
  <c r="F121" i="389" a="1"/>
  <c r="F121" i="389" s="1"/>
  <c r="F125" i="389" a="1"/>
  <c r="F125" i="389" s="1"/>
  <c r="F128" i="389" a="1"/>
  <c r="F128" i="389" s="1"/>
  <c r="F132" i="389" a="1"/>
  <c r="F132" i="389" s="1"/>
  <c r="G132" i="389" s="1"/>
  <c r="F136" i="389" a="1"/>
  <c r="F136" i="389" s="1"/>
  <c r="G136" i="389" s="1"/>
  <c r="F141" i="389" a="1"/>
  <c r="F141" i="389" s="1"/>
  <c r="F157" i="389" a="1"/>
  <c r="F157" i="389" s="1"/>
  <c r="F160" i="389" a="1"/>
  <c r="F160" i="389" s="1"/>
  <c r="F163" i="389" a="1"/>
  <c r="F163" i="389" s="1"/>
  <c r="D12" i="407" a="1"/>
  <c r="D12" i="407" s="1"/>
  <c r="D13" i="407" a="1"/>
  <c r="D13" i="407" s="1"/>
  <c r="I13" i="407" s="1"/>
  <c r="D14" i="407" a="1"/>
  <c r="D14" i="407" s="1"/>
  <c r="I14" i="407" s="1"/>
  <c r="F17" i="407" a="1"/>
  <c r="F17" i="407" s="1"/>
  <c r="G17" i="407" s="1"/>
  <c r="D18" i="407" a="1"/>
  <c r="D18" i="407" s="1"/>
  <c r="I18" i="407" s="1"/>
  <c r="D22" i="407" a="1"/>
  <c r="D22" i="407" s="1"/>
  <c r="D30" i="407" a="1"/>
  <c r="D30" i="407" s="1"/>
  <c r="F33" i="407" a="1"/>
  <c r="F33" i="407" s="1"/>
  <c r="D34" i="407" a="1"/>
  <c r="D34" i="407" s="1"/>
  <c r="I34" i="407" s="1"/>
  <c r="D37" i="407" a="1"/>
  <c r="D37" i="407" s="1"/>
  <c r="F40" i="407" a="1"/>
  <c r="F40" i="407" s="1"/>
  <c r="D41" i="407" a="1"/>
  <c r="D41" i="407" s="1"/>
  <c r="I41" i="407" s="1"/>
  <c r="F44" i="407" a="1"/>
  <c r="F44" i="407" s="1"/>
  <c r="D52" i="407" a="1"/>
  <c r="D52" i="407" s="1"/>
  <c r="D54" i="407" a="1"/>
  <c r="D54" i="407" s="1"/>
  <c r="I54" i="407" s="1"/>
  <c r="F56" i="407" a="1"/>
  <c r="F56" i="407" s="1"/>
  <c r="D59" i="407" a="1"/>
  <c r="D59" i="407" s="1"/>
  <c r="I59" i="407" s="1"/>
  <c r="D62" i="407" a="1"/>
  <c r="D62" i="407" s="1"/>
  <c r="D64" i="407" a="1"/>
  <c r="D64" i="407" s="1"/>
  <c r="I64" i="407" s="1"/>
  <c r="F66" i="407" a="1"/>
  <c r="F66" i="407" s="1"/>
  <c r="G66" i="407" s="1"/>
  <c r="D67" i="407" a="1"/>
  <c r="D67" i="407" s="1"/>
  <c r="F69" i="407" a="1"/>
  <c r="F69" i="407" s="1"/>
  <c r="F71" i="407" a="1"/>
  <c r="F71" i="407" s="1"/>
  <c r="G71" i="407" s="1"/>
  <c r="F73" i="407" a="1"/>
  <c r="F73" i="407" s="1"/>
  <c r="G73" i="407" s="1"/>
  <c r="D74" i="407" a="1"/>
  <c r="D74" i="407" s="1"/>
  <c r="I74" i="407" s="1"/>
  <c r="F79" i="407" a="1"/>
  <c r="F79" i="407" s="1"/>
  <c r="G79" i="407" s="1"/>
  <c r="D82" i="407" a="1"/>
  <c r="D82" i="407" s="1"/>
  <c r="F84" i="407" a="1"/>
  <c r="F84" i="407" s="1"/>
  <c r="D85" i="407" a="1"/>
  <c r="D85" i="407" s="1"/>
  <c r="I85" i="407" s="1"/>
  <c r="F87" i="407" a="1"/>
  <c r="F87" i="407" s="1"/>
  <c r="D88" i="407" a="1"/>
  <c r="D88" i="407" s="1"/>
  <c r="D90" i="407" a="1"/>
  <c r="D90" i="407" s="1"/>
  <c r="F92" i="407" a="1"/>
  <c r="F92" i="407" s="1"/>
  <c r="D93" i="407" a="1"/>
  <c r="D93" i="407" s="1"/>
  <c r="I93" i="407" s="1"/>
  <c r="F95" i="407" a="1"/>
  <c r="F95" i="407" s="1"/>
  <c r="G95" i="407" s="1"/>
  <c r="F98" i="407" a="1"/>
  <c r="F98" i="407" s="1"/>
  <c r="D99" i="407" a="1"/>
  <c r="D99" i="407" s="1"/>
  <c r="I99" i="407" s="1"/>
  <c r="F102" i="407" a="1"/>
  <c r="F102" i="407" s="1"/>
  <c r="G102" i="407" s="1"/>
  <c r="D103" i="407" a="1"/>
  <c r="D103" i="407" s="1"/>
  <c r="I103" i="407" s="1"/>
  <c r="F106" i="407" a="1"/>
  <c r="F106" i="407" s="1"/>
  <c r="D107" i="407" a="1"/>
  <c r="D107" i="407" s="1"/>
  <c r="I107" i="407" s="1"/>
  <c r="F110" i="407" a="1"/>
  <c r="F110" i="407" s="1"/>
  <c r="D111" i="407" a="1"/>
  <c r="D111" i="407" s="1"/>
  <c r="I111" i="407" s="1"/>
  <c r="F113" i="407" a="1"/>
  <c r="F113" i="407" s="1"/>
  <c r="D114" i="407" a="1"/>
  <c r="D114" i="407" s="1"/>
  <c r="I114" i="407" s="1"/>
  <c r="F117" i="407" a="1"/>
  <c r="F117" i="407" s="1"/>
  <c r="D118" i="407" a="1"/>
  <c r="D118" i="407" s="1"/>
  <c r="F120" i="407" a="1"/>
  <c r="F120" i="407" s="1"/>
  <c r="F123" i="407" a="1"/>
  <c r="F123" i="407" s="1"/>
  <c r="D124" i="407" a="1"/>
  <c r="D124" i="407" s="1"/>
  <c r="I124" i="407" s="1"/>
  <c r="F126" i="407" a="1"/>
  <c r="F126" i="407" s="1"/>
  <c r="D127" i="407" a="1"/>
  <c r="D127" i="407" s="1"/>
  <c r="I127" i="407" s="1"/>
  <c r="F130" i="407" a="1"/>
  <c r="F130" i="407" s="1"/>
  <c r="G130" i="407" s="1"/>
  <c r="D131" i="407" a="1"/>
  <c r="D131" i="407" s="1"/>
  <c r="I131" i="407" s="1"/>
  <c r="F134" i="407" a="1"/>
  <c r="F134" i="407" s="1"/>
  <c r="D135" i="407" a="1"/>
  <c r="D135" i="407" s="1"/>
  <c r="I135" i="407" s="1"/>
  <c r="F140" i="407" a="1"/>
  <c r="F140" i="407" s="1"/>
  <c r="F143" i="407" a="1"/>
  <c r="F143" i="407" s="1"/>
  <c r="G143" i="407" s="1"/>
  <c r="F157" i="407" a="1"/>
  <c r="F157" i="407" s="1"/>
  <c r="G157" i="407" s="1"/>
  <c r="D158" i="407" a="1"/>
  <c r="D158" i="407" s="1"/>
  <c r="F160" i="407" a="1"/>
  <c r="F160" i="407" s="1"/>
  <c r="D163" i="407" a="1"/>
  <c r="D163" i="407" s="1"/>
  <c r="I163" i="407" s="1"/>
  <c r="F175" i="407" a="1"/>
  <c r="F175" i="407" s="1"/>
  <c r="F177" i="407" s="1"/>
  <c r="F10" i="408" a="1"/>
  <c r="F10" i="408" s="1"/>
  <c r="G10" i="408" s="1"/>
  <c r="F14" i="408" a="1"/>
  <c r="F14" i="408" s="1"/>
  <c r="G14" i="408" s="1"/>
  <c r="F17" i="408" a="1"/>
  <c r="F17" i="408" s="1"/>
  <c r="G17" i="408" s="1"/>
  <c r="F20" i="408" a="1"/>
  <c r="F20" i="408" s="1"/>
  <c r="G20" i="408" s="1"/>
  <c r="F28" i="408" a="1"/>
  <c r="F28" i="408" s="1"/>
  <c r="F39" i="408" a="1"/>
  <c r="F39" i="408" s="1"/>
  <c r="G39" i="408" s="1"/>
  <c r="F43" i="408" a="1"/>
  <c r="F43" i="408" s="1"/>
  <c r="F53" i="408" a="1"/>
  <c r="F53" i="408" s="1"/>
  <c r="F58" i="408" a="1"/>
  <c r="F58" i="408" s="1"/>
  <c r="G58" i="408" s="1"/>
  <c r="F68" i="408" a="1"/>
  <c r="F68" i="408" s="1"/>
  <c r="F70" i="408" a="1"/>
  <c r="F70" i="408" s="1"/>
  <c r="G70" i="408" s="1"/>
  <c r="F72" i="408" a="1"/>
  <c r="F72" i="408" s="1"/>
  <c r="G72" i="408" s="1"/>
  <c r="F81" i="408" a="1"/>
  <c r="F81" i="408" s="1"/>
  <c r="G81" i="408" s="1"/>
  <c r="F85" i="408" a="1"/>
  <c r="F85" i="408" s="1"/>
  <c r="F88" i="408" a="1"/>
  <c r="F88" i="408" s="1"/>
  <c r="F94" i="408" a="1"/>
  <c r="F94" i="408" s="1"/>
  <c r="G94" i="408" s="1"/>
  <c r="F97" i="408" a="1"/>
  <c r="F97" i="408" s="1"/>
  <c r="G97" i="408" s="1"/>
  <c r="F101" i="408" a="1"/>
  <c r="F101" i="408" s="1"/>
  <c r="F105" i="408" a="1"/>
  <c r="F105" i="408" s="1"/>
  <c r="G105" i="408" s="1"/>
  <c r="F109" i="408" a="1"/>
  <c r="F109" i="408" s="1"/>
  <c r="F113" i="408" a="1"/>
  <c r="F113" i="408" s="1"/>
  <c r="F117" i="408" a="1"/>
  <c r="F117" i="408" s="1"/>
  <c r="F121" i="408" a="1"/>
  <c r="F121" i="408" s="1"/>
  <c r="G121" i="408" s="1"/>
  <c r="F125" i="408" a="1"/>
  <c r="F125" i="408" s="1"/>
  <c r="F128" i="408" a="1"/>
  <c r="F128" i="408" s="1"/>
  <c r="F132" i="408" a="1"/>
  <c r="F132" i="408" s="1"/>
  <c r="F136" i="408" a="1"/>
  <c r="F136" i="408" s="1"/>
  <c r="G136" i="408" s="1"/>
  <c r="F141" i="408" a="1"/>
  <c r="F141" i="408" s="1"/>
  <c r="F145" i="408" a="1"/>
  <c r="F145" i="408" s="1"/>
  <c r="F144" i="408" s="1"/>
  <c r="F155" i="408" a="1"/>
  <c r="F155" i="408" s="1"/>
  <c r="G155" i="408" s="1"/>
  <c r="F159" i="408" a="1"/>
  <c r="F159" i="408" s="1"/>
  <c r="F175" i="408" a="1"/>
  <c r="F175" i="408" s="1"/>
  <c r="F177" i="408" s="1"/>
  <c r="D18" i="392" a="1"/>
  <c r="D18" i="392" s="1"/>
  <c r="I18" i="392" s="1"/>
  <c r="D22" i="392" a="1"/>
  <c r="D22" i="392" s="1"/>
  <c r="D26" i="392" a="1"/>
  <c r="D26" i="392" s="1"/>
  <c r="D34" i="392" a="1"/>
  <c r="D34" i="392" s="1"/>
  <c r="I34" i="392" s="1"/>
  <c r="D40" i="392" a="1"/>
  <c r="D40" i="392" s="1"/>
  <c r="D43" i="392" a="1"/>
  <c r="D43" i="392" s="1"/>
  <c r="I43" i="392" s="1"/>
  <c r="D53" i="392" a="1"/>
  <c r="D53" i="392" s="1"/>
  <c r="F58" i="392" a="1"/>
  <c r="F58" i="392" s="1"/>
  <c r="G58" i="392" s="1"/>
  <c r="F61" i="392" a="1"/>
  <c r="F61" i="392" s="1"/>
  <c r="F63" i="392" a="1"/>
  <c r="F63" i="392" s="1"/>
  <c r="G63" i="392" s="1"/>
  <c r="F66" i="392" a="1"/>
  <c r="F66" i="392" s="1"/>
  <c r="D67" i="392" a="1"/>
  <c r="D67" i="392" s="1"/>
  <c r="F69" i="392" a="1"/>
  <c r="F69" i="392" s="1"/>
  <c r="G69" i="392" s="1"/>
  <c r="F71" i="392" a="1"/>
  <c r="F71" i="392" s="1"/>
  <c r="G71" i="392" s="1"/>
  <c r="F73" i="392" a="1"/>
  <c r="F73" i="392" s="1"/>
  <c r="D74" i="392" a="1"/>
  <c r="D74" i="392" s="1"/>
  <c r="I74" i="392" s="1"/>
  <c r="F79" i="392" a="1"/>
  <c r="F79" i="392" s="1"/>
  <c r="G79" i="392" s="1"/>
  <c r="D82" i="392" a="1"/>
  <c r="D82" i="392" s="1"/>
  <c r="D84" i="392" a="1"/>
  <c r="D84" i="392" s="1"/>
  <c r="D86" i="392" a="1"/>
  <c r="D86" i="392" s="1"/>
  <c r="F88" i="392" a="1"/>
  <c r="F88" i="392" s="1"/>
  <c r="G88" i="392" s="1"/>
  <c r="F90" i="392" a="1"/>
  <c r="F90" i="392" s="1"/>
  <c r="F93" i="392" a="1"/>
  <c r="F93" i="392" s="1"/>
  <c r="G93" i="392" s="1"/>
  <c r="F95" i="392" a="1"/>
  <c r="F95" i="392" s="1"/>
  <c r="F98" i="392" a="1"/>
  <c r="F98" i="392" s="1"/>
  <c r="G98" i="392" s="1"/>
  <c r="D99" i="392" a="1"/>
  <c r="D99" i="392" s="1"/>
  <c r="F101" i="392" a="1"/>
  <c r="F101" i="392" s="1"/>
  <c r="D102" i="392" a="1"/>
  <c r="D102" i="392" s="1"/>
  <c r="I102" i="392" s="1"/>
  <c r="F105" i="392" a="1"/>
  <c r="F105" i="392" s="1"/>
  <c r="D106" i="392" a="1"/>
  <c r="D106" i="392" s="1"/>
  <c r="I106" i="392" s="1"/>
  <c r="F109" i="392" a="1"/>
  <c r="F109" i="392" s="1"/>
  <c r="D110" i="392" a="1"/>
  <c r="D110" i="392" s="1"/>
  <c r="I110" i="392" s="1"/>
  <c r="F112" i="392" a="1"/>
  <c r="F112" i="392" s="1"/>
  <c r="G112" i="392" s="1"/>
  <c r="F115" i="392" a="1"/>
  <c r="F115" i="392" s="1"/>
  <c r="G115" i="392" s="1"/>
  <c r="D116" i="392" a="1"/>
  <c r="D116" i="392" s="1"/>
  <c r="I116" i="392" s="1"/>
  <c r="D119" i="392" a="1"/>
  <c r="D119" i="392" s="1"/>
  <c r="I119" i="392" s="1"/>
  <c r="F122" i="392" a="1"/>
  <c r="F122" i="392" s="1"/>
  <c r="G122" i="392" s="1"/>
  <c r="D123" i="392" a="1"/>
  <c r="D123" i="392" s="1"/>
  <c r="I123" i="392" s="1"/>
  <c r="F126" i="392" a="1"/>
  <c r="F126" i="392" s="1"/>
  <c r="G126" i="392" s="1"/>
  <c r="D127" i="392" a="1"/>
  <c r="D127" i="392" s="1"/>
  <c r="I127" i="392" s="1"/>
  <c r="F130" i="392" a="1"/>
  <c r="F130" i="392" s="1"/>
  <c r="G130" i="392" s="1"/>
  <c r="D131" i="392" a="1"/>
  <c r="D131" i="392" s="1"/>
  <c r="I131" i="392" s="1"/>
  <c r="F134" i="392" a="1"/>
  <c r="F134" i="392" s="1"/>
  <c r="D135" i="392" a="1"/>
  <c r="D135" i="392" s="1"/>
  <c r="I135" i="392" s="1"/>
  <c r="F140" i="392" a="1"/>
  <c r="F140" i="392" s="1"/>
  <c r="F155" i="392" a="1"/>
  <c r="F155" i="392" s="1"/>
  <c r="G155" i="392" s="1"/>
  <c r="D156" i="392" a="1"/>
  <c r="D156" i="392" s="1"/>
  <c r="D159" i="392" a="1"/>
  <c r="D159" i="392" s="1"/>
  <c r="I159" i="392" s="1"/>
  <c r="F161" i="392" a="1"/>
  <c r="F161" i="392" s="1"/>
  <c r="D162" i="392" a="1"/>
  <c r="D162" i="392" s="1"/>
  <c r="F175" i="392" a="1"/>
  <c r="F175" i="392" s="1"/>
  <c r="F177" i="392" s="1"/>
  <c r="D175" i="395" a="1"/>
  <c r="D175" i="395" s="1"/>
  <c r="D161" i="395" a="1"/>
  <c r="D161" i="395" s="1"/>
  <c r="I161" i="395" s="1"/>
  <c r="D158" i="395" a="1"/>
  <c r="D158" i="395" s="1"/>
  <c r="D135" i="395" a="1"/>
  <c r="D135" i="395" s="1"/>
  <c r="I135" i="395" s="1"/>
  <c r="D131" i="395" a="1"/>
  <c r="D131" i="395" s="1"/>
  <c r="I131" i="395" s="1"/>
  <c r="D127" i="395" a="1"/>
  <c r="D127" i="395" s="1"/>
  <c r="I127" i="395" s="1"/>
  <c r="D124" i="395" a="1"/>
  <c r="D124" i="395" s="1"/>
  <c r="I124" i="395" s="1"/>
  <c r="D120" i="395" a="1"/>
  <c r="D120" i="395" s="1"/>
  <c r="I120" i="395" s="1"/>
  <c r="D117" i="395" a="1"/>
  <c r="D117" i="395" s="1"/>
  <c r="I117" i="395" s="1"/>
  <c r="D113" i="395" a="1"/>
  <c r="D113" i="395" s="1"/>
  <c r="I113" i="395" s="1"/>
  <c r="D111" i="395" a="1"/>
  <c r="D111" i="395" s="1"/>
  <c r="D107" i="395" a="1"/>
  <c r="D107" i="395" s="1"/>
  <c r="I107" i="395" s="1"/>
  <c r="D103" i="395" a="1"/>
  <c r="D103" i="395" s="1"/>
  <c r="I103" i="395" s="1"/>
  <c r="D99" i="395" a="1"/>
  <c r="D99" i="395" s="1"/>
  <c r="I99" i="395" s="1"/>
  <c r="D95" i="395" a="1"/>
  <c r="D95" i="395" s="1"/>
  <c r="I95" i="395" s="1"/>
  <c r="D92" i="395" a="1"/>
  <c r="D92" i="395" s="1"/>
  <c r="I92" i="395" s="1"/>
  <c r="D89" i="395" a="1"/>
  <c r="D89" i="395" s="1"/>
  <c r="I89" i="395" s="1"/>
  <c r="D84" i="395" a="1"/>
  <c r="D84" i="395" s="1"/>
  <c r="I84" i="395" s="1"/>
  <c r="D14" i="395" a="1"/>
  <c r="D14" i="395" s="1"/>
  <c r="I14" i="395" s="1"/>
  <c r="F17" i="395" a="1"/>
  <c r="F17" i="395" s="1"/>
  <c r="D18" i="395" a="1"/>
  <c r="D18" i="395" s="1"/>
  <c r="I18" i="395" s="1"/>
  <c r="F18" i="395" a="1"/>
  <c r="F18" i="395" s="1"/>
  <c r="G18" i="395" s="1"/>
  <c r="F22" i="395" a="1"/>
  <c r="F22" i="395" s="1"/>
  <c r="G22" i="395" s="1"/>
  <c r="D23" i="395" a="1"/>
  <c r="D23" i="395" s="1"/>
  <c r="I23" i="395" s="1"/>
  <c r="F26" i="395" a="1"/>
  <c r="F26" i="395" s="1"/>
  <c r="G26" i="395" s="1"/>
  <c r="D31" i="395" a="1"/>
  <c r="D31" i="395" s="1"/>
  <c r="F34" i="395" a="1"/>
  <c r="F34" i="395" s="1"/>
  <c r="G34" i="395" s="1"/>
  <c r="D35" i="395" a="1"/>
  <c r="D35" i="395" s="1"/>
  <c r="I35" i="395" s="1"/>
  <c r="F37" i="395" a="1"/>
  <c r="F37" i="395" s="1"/>
  <c r="D38" i="395" a="1"/>
  <c r="D38" i="395" s="1"/>
  <c r="F41" i="395" a="1"/>
  <c r="F41" i="395" s="1"/>
  <c r="D42" i="395" a="1"/>
  <c r="D42" i="395" s="1"/>
  <c r="I42" i="395" s="1"/>
  <c r="D45" i="395" a="1"/>
  <c r="D45" i="395" s="1"/>
  <c r="I45" i="395" s="1"/>
  <c r="D53" i="395" a="1"/>
  <c r="D53" i="395" s="1"/>
  <c r="D56" i="395" a="1"/>
  <c r="D56" i="395" s="1"/>
  <c r="I56" i="395" s="1"/>
  <c r="D59" i="395" a="1"/>
  <c r="D59" i="395" s="1"/>
  <c r="I59" i="395" s="1"/>
  <c r="D62" i="395" a="1"/>
  <c r="D62" i="395" s="1"/>
  <c r="D64" i="395" a="1"/>
  <c r="D64" i="395" s="1"/>
  <c r="I64" i="395" s="1"/>
  <c r="F67" i="395" a="1"/>
  <c r="F67" i="395" s="1"/>
  <c r="G67" i="395" s="1"/>
  <c r="D68" i="395" a="1"/>
  <c r="D68" i="395" s="1"/>
  <c r="D70" i="395" a="1"/>
  <c r="D70" i="395" s="1"/>
  <c r="D72" i="395" a="1"/>
  <c r="D72" i="395" s="1"/>
  <c r="F74" i="395" a="1"/>
  <c r="F74" i="395" s="1"/>
  <c r="D80" i="395" a="1"/>
  <c r="D80" i="395" s="1"/>
  <c r="D85" i="395" a="1"/>
  <c r="D85" i="395" s="1"/>
  <c r="D86" i="395" a="1"/>
  <c r="D86" i="395" s="1"/>
  <c r="F90" i="395" a="1"/>
  <c r="F90" i="395" s="1"/>
  <c r="G90" i="395" s="1"/>
  <c r="F96" i="395" a="1"/>
  <c r="F96" i="395" s="1"/>
  <c r="D97" i="395" a="1"/>
  <c r="D97" i="395" s="1"/>
  <c r="I97" i="395" s="1"/>
  <c r="D104" i="395" a="1"/>
  <c r="D104" i="395" s="1"/>
  <c r="I104" i="395" s="1"/>
  <c r="D106" i="395" a="1"/>
  <c r="D106" i="395" s="1"/>
  <c r="I106" i="395" s="1"/>
  <c r="F107" i="395" a="1"/>
  <c r="F107" i="395" s="1"/>
  <c r="G107" i="395" s="1"/>
  <c r="F109" i="395" a="1"/>
  <c r="F109" i="395" s="1"/>
  <c r="D118" i="395" a="1"/>
  <c r="D118" i="395" s="1"/>
  <c r="D119" i="395" a="1"/>
  <c r="D119" i="395" s="1"/>
  <c r="I119" i="395" s="1"/>
  <c r="F120" i="395" a="1"/>
  <c r="F120" i="395" s="1"/>
  <c r="G120" i="395" s="1"/>
  <c r="F122" i="395" a="1"/>
  <c r="F122" i="395" s="1"/>
  <c r="F125" i="395" a="1"/>
  <c r="F125" i="395" s="1"/>
  <c r="D132" i="395" a="1"/>
  <c r="D132" i="395" s="1"/>
  <c r="I132" i="395" s="1"/>
  <c r="D134" i="395" a="1"/>
  <c r="D134" i="395" s="1"/>
  <c r="I134" i="395" s="1"/>
  <c r="F135" i="395" a="1"/>
  <c r="F135" i="395" s="1"/>
  <c r="G135" i="395" s="1"/>
  <c r="D141" i="395" a="1"/>
  <c r="D141" i="395" s="1"/>
  <c r="I141" i="395" s="1"/>
  <c r="D143" i="395" a="1"/>
  <c r="D143" i="395" s="1"/>
  <c r="I143" i="395" s="1"/>
  <c r="D159" i="395" a="1"/>
  <c r="D159" i="395" s="1"/>
  <c r="I159" i="395" s="1"/>
  <c r="D7" i="396"/>
  <c r="F10" i="396" a="1"/>
  <c r="F10" i="396" s="1"/>
  <c r="F14" i="396" a="1"/>
  <c r="F14" i="396" s="1"/>
  <c r="F18" i="396" a="1"/>
  <c r="F18" i="396" s="1"/>
  <c r="F22" i="396" a="1"/>
  <c r="F22" i="396" s="1"/>
  <c r="F31" i="396" a="1"/>
  <c r="F31" i="396" s="1"/>
  <c r="G31" i="396" s="1"/>
  <c r="F70" i="396" a="1"/>
  <c r="F70" i="396" s="1"/>
  <c r="F83" i="396" a="1"/>
  <c r="F83" i="396" s="1"/>
  <c r="F106" i="396" a="1"/>
  <c r="F106" i="396" s="1"/>
  <c r="G106" i="396" s="1"/>
  <c r="F112" i="396" a="1"/>
  <c r="F112" i="396" s="1"/>
  <c r="F118" i="396" a="1"/>
  <c r="F118" i="396" s="1"/>
  <c r="F122" i="396" a="1"/>
  <c r="F122" i="396" s="1"/>
  <c r="G122" i="396" s="1"/>
  <c r="F134" i="396" a="1"/>
  <c r="F134" i="396" s="1"/>
  <c r="C36" i="393"/>
  <c r="C51" i="398"/>
  <c r="C50" i="398" s="1"/>
  <c r="C78" i="398"/>
  <c r="C77" i="398" s="1"/>
  <c r="C78" i="399"/>
  <c r="C77" i="399" s="1"/>
  <c r="C76" i="399" s="1"/>
  <c r="C78" i="401"/>
  <c r="C77" i="401" s="1"/>
  <c r="C76" i="401" s="1"/>
  <c r="C11" i="254" a="1"/>
  <c r="C11" i="254" s="1"/>
  <c r="C17" i="254" a="1"/>
  <c r="C17" i="254" s="1"/>
  <c r="A89" i="339"/>
  <c r="A90" i="339" s="1"/>
  <c r="F39" i="360" a="1"/>
  <c r="F39" i="360" s="1"/>
  <c r="G39" i="360" s="1"/>
  <c r="F53" i="360" a="1"/>
  <c r="F53" i="360" s="1"/>
  <c r="G53" i="360" s="1"/>
  <c r="F61" i="360" a="1"/>
  <c r="F61" i="360" s="1"/>
  <c r="G61" i="360" s="1"/>
  <c r="F102" i="360" a="1"/>
  <c r="F102" i="360" s="1"/>
  <c r="G102" i="360" s="1"/>
  <c r="F108" i="360" a="1"/>
  <c r="F108" i="360" s="1"/>
  <c r="G108" i="360" s="1"/>
  <c r="F111" i="360" a="1"/>
  <c r="F111" i="360" s="1"/>
  <c r="G111" i="360" s="1"/>
  <c r="F114" i="360" a="1"/>
  <c r="F114" i="360" s="1"/>
  <c r="G114" i="360" s="1"/>
  <c r="F117" i="360" a="1"/>
  <c r="F117" i="360" s="1"/>
  <c r="G117" i="360" s="1"/>
  <c r="F131" i="360" a="1"/>
  <c r="F131" i="360" s="1"/>
  <c r="G131" i="360" s="1"/>
  <c r="F156" i="360" a="1"/>
  <c r="F156" i="360" s="1"/>
  <c r="G156" i="360" s="1"/>
  <c r="F159" i="360" a="1"/>
  <c r="F159" i="360" s="1"/>
  <c r="F162" i="360" a="1"/>
  <c r="F162" i="360" s="1"/>
  <c r="G162" i="360" s="1"/>
  <c r="F41" i="389" a="1"/>
  <c r="F41" i="389" s="1"/>
  <c r="F63" i="389" a="1"/>
  <c r="F63" i="389" s="1"/>
  <c r="F66" i="389" a="1"/>
  <c r="F66" i="389" s="1"/>
  <c r="F69" i="389" a="1"/>
  <c r="F69" i="389" s="1"/>
  <c r="F88" i="389" a="1"/>
  <c r="F88" i="389" s="1"/>
  <c r="G88" i="389" s="1"/>
  <c r="D16" i="407" a="1"/>
  <c r="D16" i="407" s="1"/>
  <c r="D17" i="407" a="1"/>
  <c r="D17" i="407" s="1"/>
  <c r="I17" i="407" s="1"/>
  <c r="D38" i="407" a="1"/>
  <c r="D38" i="407" s="1"/>
  <c r="I38" i="407" s="1"/>
  <c r="D55" i="407" a="1"/>
  <c r="D55" i="407" s="1"/>
  <c r="D57" i="407" a="1"/>
  <c r="D57" i="407" s="1"/>
  <c r="I57" i="407" s="1"/>
  <c r="D65" i="407" a="1"/>
  <c r="D65" i="407" s="1"/>
  <c r="D68" i="407" a="1"/>
  <c r="D68" i="407" s="1"/>
  <c r="D72" i="407" a="1"/>
  <c r="D72" i="407" s="1"/>
  <c r="D81" i="254" a="1"/>
  <c r="D81" i="254" s="1"/>
  <c r="C18" i="324" a="1"/>
  <c r="C18" i="324" s="1"/>
  <c r="D25" i="339" a="1"/>
  <c r="D25" i="339" s="1"/>
  <c r="D46" i="339" a="1"/>
  <c r="D46" i="339" s="1"/>
  <c r="D67" i="339" a="1"/>
  <c r="D67" i="339" s="1"/>
  <c r="D68" i="339" s="1"/>
  <c r="F26" i="346" a="1"/>
  <c r="F26" i="346" s="1"/>
  <c r="F42" i="346" a="1"/>
  <c r="F42" i="346" s="1"/>
  <c r="F58" i="346" a="1"/>
  <c r="F58" i="346" s="1"/>
  <c r="F74" i="346" a="1"/>
  <c r="F74" i="346" s="1"/>
  <c r="F90" i="346" a="1"/>
  <c r="F90" i="346" s="1"/>
  <c r="F106" i="346" a="1"/>
  <c r="F106" i="346" s="1"/>
  <c r="E10" i="353" a="1"/>
  <c r="E10" i="353" s="1"/>
  <c r="E14" i="353" a="1"/>
  <c r="E14" i="353" s="1"/>
  <c r="E18" i="353" a="1"/>
  <c r="E18" i="353" s="1"/>
  <c r="F6" i="360"/>
  <c r="F12" i="360" a="1"/>
  <c r="F12" i="360" s="1"/>
  <c r="F18" i="360" a="1"/>
  <c r="F18" i="360" s="1"/>
  <c r="G18" i="360" s="1"/>
  <c r="F22" i="360" a="1"/>
  <c r="F22" i="360" s="1"/>
  <c r="G22" i="360" s="1"/>
  <c r="F26" i="360" a="1"/>
  <c r="F26" i="360" s="1"/>
  <c r="G26" i="360" s="1"/>
  <c r="F30" i="360" a="1"/>
  <c r="F30" i="360" s="1"/>
  <c r="F34" i="360" a="1"/>
  <c r="F34" i="360" s="1"/>
  <c r="G34" i="360" s="1"/>
  <c r="F37" i="360" a="1"/>
  <c r="F37" i="360" s="1"/>
  <c r="G37" i="360" s="1"/>
  <c r="F44" i="360" a="1"/>
  <c r="F44" i="360" s="1"/>
  <c r="G44" i="360" s="1"/>
  <c r="F52" i="360" a="1"/>
  <c r="F52" i="360" s="1"/>
  <c r="G52" i="360" s="1"/>
  <c r="F54" i="360" a="1"/>
  <c r="F54" i="360" s="1"/>
  <c r="G54" i="360" s="1"/>
  <c r="F59" i="360" a="1"/>
  <c r="F59" i="360" s="1"/>
  <c r="G59" i="360" s="1"/>
  <c r="F62" i="360" a="1"/>
  <c r="F62" i="360" s="1"/>
  <c r="G62" i="360" s="1"/>
  <c r="F65" i="360" a="1"/>
  <c r="F65" i="360" s="1"/>
  <c r="G65" i="360" s="1"/>
  <c r="F81" i="360" a="1"/>
  <c r="F81" i="360" s="1"/>
  <c r="G81" i="360" s="1"/>
  <c r="F84" i="360" a="1"/>
  <c r="F84" i="360" s="1"/>
  <c r="G84" i="360" s="1"/>
  <c r="F87" i="360" a="1"/>
  <c r="F87" i="360" s="1"/>
  <c r="G87" i="360" s="1"/>
  <c r="F92" i="360" a="1"/>
  <c r="F92" i="360" s="1"/>
  <c r="G92" i="360" s="1"/>
  <c r="F95" i="360" a="1"/>
  <c r="F95" i="360" s="1"/>
  <c r="G95" i="360" s="1"/>
  <c r="F103" i="360" a="1"/>
  <c r="F103" i="360" s="1"/>
  <c r="G103" i="360" s="1"/>
  <c r="F106" i="360" a="1"/>
  <c r="F106" i="360" s="1"/>
  <c r="G106" i="360" s="1"/>
  <c r="F113" i="360" a="1"/>
  <c r="F113" i="360" s="1"/>
  <c r="G113" i="360" s="1"/>
  <c r="F115" i="360" a="1"/>
  <c r="F115" i="360" s="1"/>
  <c r="G115" i="360" s="1"/>
  <c r="F119" i="360" a="1"/>
  <c r="F119" i="360" s="1"/>
  <c r="G119" i="360" s="1"/>
  <c r="F123" i="360" a="1"/>
  <c r="F123" i="360" s="1"/>
  <c r="G123" i="360" s="1"/>
  <c r="F129" i="360" a="1"/>
  <c r="F129" i="360" s="1"/>
  <c r="G129" i="360" s="1"/>
  <c r="F133" i="360" a="1"/>
  <c r="F133" i="360" s="1"/>
  <c r="G133" i="360" s="1"/>
  <c r="F137" i="360" a="1"/>
  <c r="F137" i="360" s="1"/>
  <c r="G137" i="360" s="1"/>
  <c r="F140" i="360" a="1"/>
  <c r="F140" i="360" s="1"/>
  <c r="G140" i="360" s="1"/>
  <c r="F143" i="360" a="1"/>
  <c r="F143" i="360" s="1"/>
  <c r="E143" i="360" s="1"/>
  <c r="E139" i="360" s="1"/>
  <c r="F158" i="360" a="1"/>
  <c r="F158" i="360" s="1"/>
  <c r="G158" i="360" s="1"/>
  <c r="F163" i="360" a="1"/>
  <c r="F163" i="360" s="1"/>
  <c r="G163" i="360" s="1"/>
  <c r="F6" i="389"/>
  <c r="F14" i="389" a="1"/>
  <c r="F14" i="389" s="1"/>
  <c r="G14" i="389" s="1"/>
  <c r="F18" i="389" a="1"/>
  <c r="F18" i="389" s="1"/>
  <c r="F22" i="389" a="1"/>
  <c r="F22" i="389" s="1"/>
  <c r="G22" i="389" s="1"/>
  <c r="F34" i="389" a="1"/>
  <c r="F34" i="389" s="1"/>
  <c r="G34" i="389" s="1"/>
  <c r="F37" i="389" a="1"/>
  <c r="F37" i="389" s="1"/>
  <c r="F40" i="389" a="1"/>
  <c r="F40" i="389" s="1"/>
  <c r="F43" i="389" a="1"/>
  <c r="F43" i="389" s="1"/>
  <c r="F53" i="389" a="1"/>
  <c r="F53" i="389" s="1"/>
  <c r="F58" i="389" a="1"/>
  <c r="F58" i="389" s="1"/>
  <c r="G58" i="389" s="1"/>
  <c r="F61" i="389" a="1"/>
  <c r="F61" i="389" s="1"/>
  <c r="F64" i="389" a="1"/>
  <c r="F64" i="389" s="1"/>
  <c r="G64" i="389" s="1"/>
  <c r="F68" i="389" a="1"/>
  <c r="F68" i="389" s="1"/>
  <c r="G68" i="389" s="1"/>
  <c r="F70" i="389" a="1"/>
  <c r="F70" i="389" s="1"/>
  <c r="G70" i="389" s="1"/>
  <c r="F72" i="389" a="1"/>
  <c r="F72" i="389" s="1"/>
  <c r="G72" i="389" s="1"/>
  <c r="F80" i="389" a="1"/>
  <c r="F80" i="389" s="1"/>
  <c r="G80" i="389" s="1"/>
  <c r="F89" i="389" a="1"/>
  <c r="F89" i="389" s="1"/>
  <c r="G89" i="389" s="1"/>
  <c r="F91" i="389" a="1"/>
  <c r="F91" i="389" s="1"/>
  <c r="G91" i="389" s="1"/>
  <c r="F94" i="389" a="1"/>
  <c r="F94" i="389" s="1"/>
  <c r="F96" i="389" a="1"/>
  <c r="F96" i="389" s="1"/>
  <c r="G96" i="389" s="1"/>
  <c r="F103" i="389" a="1"/>
  <c r="F103" i="389" s="1"/>
  <c r="G103" i="389" s="1"/>
  <c r="F107" i="389" a="1"/>
  <c r="F107" i="389" s="1"/>
  <c r="F111" i="389" a="1"/>
  <c r="F111" i="389" s="1"/>
  <c r="G111" i="389" s="1"/>
  <c r="F113" i="389" a="1"/>
  <c r="F113" i="389" s="1"/>
  <c r="F117" i="389" a="1"/>
  <c r="F117" i="389" s="1"/>
  <c r="F120" i="389" a="1"/>
  <c r="F120" i="389" s="1"/>
  <c r="G120" i="389" s="1"/>
  <c r="F124" i="389" a="1"/>
  <c r="F124" i="389" s="1"/>
  <c r="G124" i="389" s="1"/>
  <c r="F127" i="389" a="1"/>
  <c r="F127" i="389" s="1"/>
  <c r="G127" i="389" s="1"/>
  <c r="F131" i="389" a="1"/>
  <c r="F131" i="389" s="1"/>
  <c r="F135" i="389" a="1"/>
  <c r="F135" i="389" s="1"/>
  <c r="F156" i="389" a="1"/>
  <c r="F156" i="389" s="1"/>
  <c r="G156" i="389" s="1"/>
  <c r="F159" i="389" a="1"/>
  <c r="F159" i="389" s="1"/>
  <c r="G159" i="389" s="1"/>
  <c r="F175" i="389" a="1"/>
  <c r="F175" i="389" s="1"/>
  <c r="F177" i="389" s="1"/>
  <c r="F10" i="407" a="1"/>
  <c r="F10" i="407" s="1"/>
  <c r="G10" i="407" s="1"/>
  <c r="F14" i="407" a="1"/>
  <c r="F14" i="407" s="1"/>
  <c r="G14" i="407" s="1"/>
  <c r="F20" i="407" a="1"/>
  <c r="F20" i="407" s="1"/>
  <c r="F28" i="407" a="1"/>
  <c r="F28" i="407" s="1"/>
  <c r="G28" i="407" s="1"/>
  <c r="D33" i="407" a="1"/>
  <c r="D33" i="407" s="1"/>
  <c r="F39" i="407" a="1"/>
  <c r="F39" i="407" s="1"/>
  <c r="G39" i="407" s="1"/>
  <c r="D40" i="407" a="1"/>
  <c r="D40" i="407" s="1"/>
  <c r="I40" i="407" s="1"/>
  <c r="F43" i="407" a="1"/>
  <c r="F43" i="407" s="1"/>
  <c r="G43" i="407" s="1"/>
  <c r="D44" i="407" a="1"/>
  <c r="D44" i="407" s="1"/>
  <c r="F53" i="407" a="1"/>
  <c r="F53" i="407" s="1"/>
  <c r="G53" i="407" s="1"/>
  <c r="D56" i="407" a="1"/>
  <c r="D56" i="407" s="1"/>
  <c r="F58" i="407" a="1"/>
  <c r="F58" i="407" s="1"/>
  <c r="G58" i="407" s="1"/>
  <c r="F61" i="407" a="1"/>
  <c r="F61" i="407" s="1"/>
  <c r="F63" i="407" a="1"/>
  <c r="F63" i="407" s="1"/>
  <c r="D66" i="407" a="1"/>
  <c r="D66" i="407" s="1"/>
  <c r="D69" i="407" a="1"/>
  <c r="D69" i="407" s="1"/>
  <c r="D71" i="407" a="1"/>
  <c r="D71" i="407" s="1"/>
  <c r="D73" i="407" a="1"/>
  <c r="D73" i="407" s="1"/>
  <c r="I73" i="407" s="1"/>
  <c r="D79" i="407" a="1"/>
  <c r="D79" i="407" s="1"/>
  <c r="F81" i="407" a="1"/>
  <c r="F81" i="407" s="1"/>
  <c r="G81" i="407" s="1"/>
  <c r="F83" i="407" a="1"/>
  <c r="F83" i="407" s="1"/>
  <c r="D84" i="407" a="1"/>
  <c r="D84" i="407" s="1"/>
  <c r="I84" i="407" s="1"/>
  <c r="D87" i="407" a="1"/>
  <c r="D87" i="407" s="1"/>
  <c r="I87" i="407" s="1"/>
  <c r="F89" i="407" a="1"/>
  <c r="F89" i="407" s="1"/>
  <c r="G89" i="407" s="1"/>
  <c r="F91" i="407" a="1"/>
  <c r="F91" i="407" s="1"/>
  <c r="G91" i="407" s="1"/>
  <c r="D92" i="407" a="1"/>
  <c r="D92" i="407" s="1"/>
  <c r="I92" i="407" s="1"/>
  <c r="D95" i="407" a="1"/>
  <c r="D95" i="407" s="1"/>
  <c r="F97" i="407" a="1"/>
  <c r="F97" i="407" s="1"/>
  <c r="D98" i="407" a="1"/>
  <c r="D98" i="407" s="1"/>
  <c r="I98" i="407" s="1"/>
  <c r="F101" i="407" a="1"/>
  <c r="F101" i="407" s="1"/>
  <c r="D102" i="407" a="1"/>
  <c r="D102" i="407" s="1"/>
  <c r="I102" i="407" s="1"/>
  <c r="F105" i="407" a="1"/>
  <c r="F105" i="407" s="1"/>
  <c r="G105" i="407" s="1"/>
  <c r="D106" i="407" a="1"/>
  <c r="D106" i="407" s="1"/>
  <c r="I106" i="407" s="1"/>
  <c r="F109" i="407" a="1"/>
  <c r="F109" i="407" s="1"/>
  <c r="G109" i="407" s="1"/>
  <c r="D110" i="407" a="1"/>
  <c r="D110" i="407" s="1"/>
  <c r="I110" i="407" s="1"/>
  <c r="D113" i="407" a="1"/>
  <c r="D113" i="407" s="1"/>
  <c r="I113" i="407" s="1"/>
  <c r="F116" i="407" a="1"/>
  <c r="F116" i="407" s="1"/>
  <c r="G116" i="407" s="1"/>
  <c r="D117" i="407" a="1"/>
  <c r="D117" i="407" s="1"/>
  <c r="I117" i="407" s="1"/>
  <c r="F119" i="407" a="1"/>
  <c r="F119" i="407" s="1"/>
  <c r="G119" i="407" s="1"/>
  <c r="D120" i="407" a="1"/>
  <c r="D120" i="407" s="1"/>
  <c r="F122" i="407" a="1"/>
  <c r="F122" i="407" s="1"/>
  <c r="G122" i="407" s="1"/>
  <c r="D123" i="407" a="1"/>
  <c r="D123" i="407" s="1"/>
  <c r="I123" i="407" s="1"/>
  <c r="D126" i="407" a="1"/>
  <c r="D126" i="407" s="1"/>
  <c r="I126" i="407" s="1"/>
  <c r="F129" i="407" a="1"/>
  <c r="F129" i="407" s="1"/>
  <c r="D130" i="407" a="1"/>
  <c r="D130" i="407" s="1"/>
  <c r="I130" i="407" s="1"/>
  <c r="F133" i="407" a="1"/>
  <c r="F133" i="407" s="1"/>
  <c r="G133" i="407" s="1"/>
  <c r="D134" i="407" a="1"/>
  <c r="D134" i="407" s="1"/>
  <c r="I134" i="407" s="1"/>
  <c r="F137" i="407" a="1"/>
  <c r="F137" i="407" s="1"/>
  <c r="G137" i="407" s="1"/>
  <c r="D140" i="407" a="1"/>
  <c r="D140" i="407" s="1"/>
  <c r="F142" i="407" a="1"/>
  <c r="F142" i="407" s="1"/>
  <c r="D143" i="407" a="1"/>
  <c r="D143" i="407" s="1"/>
  <c r="I143" i="407" s="1"/>
  <c r="F156" i="407" a="1"/>
  <c r="F156" i="407" s="1"/>
  <c r="D157" i="407" a="1"/>
  <c r="D157" i="407" s="1"/>
  <c r="F159" i="407" a="1"/>
  <c r="F159" i="407" s="1"/>
  <c r="G159" i="407" s="1"/>
  <c r="D160" i="407" a="1"/>
  <c r="D160" i="407" s="1"/>
  <c r="D175" i="407" a="1"/>
  <c r="D175" i="407" s="1"/>
  <c r="D177" i="407" s="1"/>
  <c r="F6" i="408"/>
  <c r="F13" i="408" a="1"/>
  <c r="F13" i="408" s="1"/>
  <c r="G13" i="408" s="1"/>
  <c r="F16" i="408" a="1"/>
  <c r="F16" i="408" s="1"/>
  <c r="G16" i="408" s="1"/>
  <c r="F23" i="408" a="1"/>
  <c r="F23" i="408" s="1"/>
  <c r="F31" i="408" a="1"/>
  <c r="F31" i="408" s="1"/>
  <c r="F35" i="408" a="1"/>
  <c r="F35" i="408" s="1"/>
  <c r="G35" i="408" s="1"/>
  <c r="F38" i="408" a="1"/>
  <c r="F38" i="408" s="1"/>
  <c r="G38" i="408" s="1"/>
  <c r="F42" i="408" a="1"/>
  <c r="F42" i="408" s="1"/>
  <c r="F45" i="408" a="1"/>
  <c r="F45" i="408" s="1"/>
  <c r="G45" i="408" s="1"/>
  <c r="F55" i="408" a="1"/>
  <c r="F55" i="408" s="1"/>
  <c r="G55" i="408" s="1"/>
  <c r="F57" i="408" a="1"/>
  <c r="F57" i="408" s="1"/>
  <c r="G57" i="408" s="1"/>
  <c r="F61" i="408" a="1"/>
  <c r="F61" i="408" s="1"/>
  <c r="G61" i="408" s="1"/>
  <c r="F63" i="408" a="1"/>
  <c r="F63" i="408" s="1"/>
  <c r="F67" i="408" a="1"/>
  <c r="F67" i="408" s="1"/>
  <c r="G67" i="408" s="1"/>
  <c r="F74" i="408" a="1"/>
  <c r="F74" i="408" s="1"/>
  <c r="F80" i="408" a="1"/>
  <c r="F80" i="408" s="1"/>
  <c r="G80" i="408" s="1"/>
  <c r="F84" i="408" a="1"/>
  <c r="F84" i="408" s="1"/>
  <c r="G84" i="408" s="1"/>
  <c r="F87" i="408" a="1"/>
  <c r="F87" i="408" s="1"/>
  <c r="F90" i="408" a="1"/>
  <c r="F90" i="408" s="1"/>
  <c r="F93" i="408" a="1"/>
  <c r="F93" i="408" s="1"/>
  <c r="F100" i="408" a="1"/>
  <c r="F100" i="408" s="1"/>
  <c r="F104" i="408" a="1"/>
  <c r="F104" i="408" s="1"/>
  <c r="F108" i="408" a="1"/>
  <c r="F108" i="408" s="1"/>
  <c r="F112" i="408" a="1"/>
  <c r="F112" i="408" s="1"/>
  <c r="G112" i="408" s="1"/>
  <c r="F116" i="408" a="1"/>
  <c r="F116" i="408" s="1"/>
  <c r="G116" i="408" s="1"/>
  <c r="F120" i="408" a="1"/>
  <c r="F120" i="408" s="1"/>
  <c r="F124" i="408" a="1"/>
  <c r="F124" i="408" s="1"/>
  <c r="F127" i="408" a="1"/>
  <c r="F127" i="408" s="1"/>
  <c r="F131" i="408" a="1"/>
  <c r="F131" i="408" s="1"/>
  <c r="G131" i="408" s="1"/>
  <c r="F135" i="408" a="1"/>
  <c r="F135" i="408" s="1"/>
  <c r="G135" i="408" s="1"/>
  <c r="F158" i="408" a="1"/>
  <c r="F158" i="408" s="1"/>
  <c r="F162" i="408" a="1"/>
  <c r="F162" i="408" s="1"/>
  <c r="F10" i="392" a="1"/>
  <c r="F10" i="392" s="1"/>
  <c r="G10" i="392" s="1"/>
  <c r="D13" i="392" a="1"/>
  <c r="D13" i="392" s="1"/>
  <c r="I13" i="392" s="1"/>
  <c r="F16" i="392" a="1"/>
  <c r="F16" i="392" s="1"/>
  <c r="D17" i="392" a="1"/>
  <c r="D17" i="392" s="1"/>
  <c r="I17" i="392" s="1"/>
  <c r="F20" i="392" a="1"/>
  <c r="F20" i="392" s="1"/>
  <c r="G20" i="392" s="1"/>
  <c r="D30" i="392" a="1"/>
  <c r="D30" i="392" s="1"/>
  <c r="D33" i="392" a="1"/>
  <c r="D33" i="392" s="1"/>
  <c r="F38" i="392" a="1"/>
  <c r="F38" i="392" s="1"/>
  <c r="G38" i="392" s="1"/>
  <c r="D39" i="392" a="1"/>
  <c r="D39" i="392" s="1"/>
  <c r="I39" i="392" s="1"/>
  <c r="F41" i="392" a="1"/>
  <c r="F41" i="392" s="1"/>
  <c r="G41" i="392" s="1"/>
  <c r="D42" i="392" a="1"/>
  <c r="D42" i="392" s="1"/>
  <c r="I42" i="392" s="1"/>
  <c r="D45" i="392" a="1"/>
  <c r="D45" i="392" s="1"/>
  <c r="I45" i="392" s="1"/>
  <c r="F52" i="392" a="1"/>
  <c r="F52" i="392" s="1"/>
  <c r="G52" i="392" s="1"/>
  <c r="F55" i="392" a="1"/>
  <c r="F55" i="392" s="1"/>
  <c r="G55" i="392" s="1"/>
  <c r="F57" i="392" a="1"/>
  <c r="F57" i="392" s="1"/>
  <c r="D58" i="392" a="1"/>
  <c r="D58" i="392" s="1"/>
  <c r="F60" i="392" a="1"/>
  <c r="F60" i="392" s="1"/>
  <c r="D61" i="392" a="1"/>
  <c r="D61" i="392" s="1"/>
  <c r="D63" i="392" a="1"/>
  <c r="D63" i="392" s="1"/>
  <c r="F65" i="392" a="1"/>
  <c r="F65" i="392" s="1"/>
  <c r="G65" i="392" s="1"/>
  <c r="D66" i="392" a="1"/>
  <c r="D66" i="392" s="1"/>
  <c r="I66" i="392" s="1"/>
  <c r="D69" i="392" a="1"/>
  <c r="D69" i="392" s="1"/>
  <c r="D71" i="392" a="1"/>
  <c r="D71" i="392" s="1"/>
  <c r="D73" i="392" a="1"/>
  <c r="D73" i="392" s="1"/>
  <c r="I73" i="392" s="1"/>
  <c r="D79" i="392" a="1"/>
  <c r="D79" i="392" s="1"/>
  <c r="F81" i="392" a="1"/>
  <c r="F81" i="392" s="1"/>
  <c r="G81" i="392" s="1"/>
  <c r="F83" i="392" a="1"/>
  <c r="F83" i="392" s="1"/>
  <c r="G83" i="392" s="1"/>
  <c r="F85" i="392" a="1"/>
  <c r="F85" i="392" s="1"/>
  <c r="G85" i="392" s="1"/>
  <c r="F87" i="392" a="1"/>
  <c r="F87" i="392" s="1"/>
  <c r="D88" i="392" a="1"/>
  <c r="D88" i="392" s="1"/>
  <c r="D90" i="392" a="1"/>
  <c r="D90" i="392" s="1"/>
  <c r="F92" i="392" a="1"/>
  <c r="F92" i="392" s="1"/>
  <c r="D93" i="392" a="1"/>
  <c r="D93" i="392" s="1"/>
  <c r="D95" i="392" a="1"/>
  <c r="D95" i="392" s="1"/>
  <c r="F97" i="392" a="1"/>
  <c r="F97" i="392" s="1"/>
  <c r="D98" i="392" a="1"/>
  <c r="D98" i="392" s="1"/>
  <c r="I98" i="392" s="1"/>
  <c r="F100" i="392" a="1"/>
  <c r="F100" i="392" s="1"/>
  <c r="D101" i="392" a="1"/>
  <c r="D101" i="392" s="1"/>
  <c r="I101" i="392" s="1"/>
  <c r="F104" i="392" a="1"/>
  <c r="F104" i="392" s="1"/>
  <c r="G104" i="392" s="1"/>
  <c r="D105" i="392" a="1"/>
  <c r="D105" i="392" s="1"/>
  <c r="I105" i="392" s="1"/>
  <c r="F108" i="392" a="1"/>
  <c r="F108" i="392" s="1"/>
  <c r="D109" i="392" a="1"/>
  <c r="D109" i="392" s="1"/>
  <c r="I109" i="392" s="1"/>
  <c r="D112" i="392" a="1"/>
  <c r="D112" i="392" s="1"/>
  <c r="F114" i="392" a="1"/>
  <c r="F114" i="392" s="1"/>
  <c r="D115" i="392" a="1"/>
  <c r="D115" i="392" s="1"/>
  <c r="I115" i="392" s="1"/>
  <c r="F118" i="392" a="1"/>
  <c r="F118" i="392" s="1"/>
  <c r="F121" i="392" a="1"/>
  <c r="F121" i="392" s="1"/>
  <c r="G121" i="392" s="1"/>
  <c r="D122" i="392" a="1"/>
  <c r="D122" i="392" s="1"/>
  <c r="I122" i="392" s="1"/>
  <c r="F125" i="392" a="1"/>
  <c r="F125" i="392" s="1"/>
  <c r="G125" i="392" s="1"/>
  <c r="D126" i="392" a="1"/>
  <c r="D126" i="392" s="1"/>
  <c r="I126" i="392" s="1"/>
  <c r="F129" i="392" a="1"/>
  <c r="F129" i="392" s="1"/>
  <c r="D130" i="392" a="1"/>
  <c r="D130" i="392" s="1"/>
  <c r="I130" i="392" s="1"/>
  <c r="F133" i="392" a="1"/>
  <c r="F133" i="392" s="1"/>
  <c r="G133" i="392" s="1"/>
  <c r="D134" i="392" a="1"/>
  <c r="D134" i="392" s="1"/>
  <c r="I134" i="392" s="1"/>
  <c r="F137" i="392" a="1"/>
  <c r="F137" i="392" s="1"/>
  <c r="G137" i="392" s="1"/>
  <c r="D140" i="392" a="1"/>
  <c r="D140" i="392" s="1"/>
  <c r="F142" i="392" a="1"/>
  <c r="F142" i="392" s="1"/>
  <c r="D143" i="392" a="1"/>
  <c r="D143" i="392" s="1"/>
  <c r="I143" i="392" s="1"/>
  <c r="F145" i="392" a="1"/>
  <c r="F145" i="392" s="1"/>
  <c r="F144" i="392" s="1"/>
  <c r="D155" i="392" a="1"/>
  <c r="D155" i="392" s="1"/>
  <c r="F158" i="392" a="1"/>
  <c r="F158" i="392" s="1"/>
  <c r="D161" i="392" a="1"/>
  <c r="D161" i="392" s="1"/>
  <c r="I161" i="392" s="1"/>
  <c r="F163" i="395" a="1"/>
  <c r="F163" i="395" s="1"/>
  <c r="G163" i="395" s="1"/>
  <c r="F160" i="395" a="1"/>
  <c r="F160" i="395" s="1"/>
  <c r="G160" i="395" s="1"/>
  <c r="F157" i="395" a="1"/>
  <c r="F157" i="395" s="1"/>
  <c r="F140" i="395" a="1"/>
  <c r="F140" i="395" s="1"/>
  <c r="G140" i="395" s="1"/>
  <c r="F134" i="395" a="1"/>
  <c r="F134" i="395" s="1"/>
  <c r="F130" i="395" a="1"/>
  <c r="F130" i="395" s="1"/>
  <c r="F126" i="395" a="1"/>
  <c r="F126" i="395" s="1"/>
  <c r="F123" i="395" a="1"/>
  <c r="F123" i="395" s="1"/>
  <c r="G123" i="395" s="1"/>
  <c r="F119" i="395" a="1"/>
  <c r="F119" i="395" s="1"/>
  <c r="G119" i="395" s="1"/>
  <c r="F116" i="395" a="1"/>
  <c r="F116" i="395" s="1"/>
  <c r="F110" i="395" a="1"/>
  <c r="F110" i="395" s="1"/>
  <c r="F106" i="395" a="1"/>
  <c r="F106" i="395" s="1"/>
  <c r="G106" i="395" s="1"/>
  <c r="F102" i="395" a="1"/>
  <c r="F102" i="395" s="1"/>
  <c r="F98" i="395" a="1"/>
  <c r="F98" i="395" s="1"/>
  <c r="F91" i="395" a="1"/>
  <c r="F91" i="395" s="1"/>
  <c r="F86" i="395" a="1"/>
  <c r="F86" i="395" s="1"/>
  <c r="F83" i="395" a="1"/>
  <c r="F83" i="395" s="1"/>
  <c r="G83" i="395" s="1"/>
  <c r="F10" i="395" a="1"/>
  <c r="F10" i="395" s="1"/>
  <c r="G10" i="395" s="1"/>
  <c r="D13" i="395" a="1"/>
  <c r="D13" i="395" s="1"/>
  <c r="I13" i="395" s="1"/>
  <c r="F16" i="395" a="1"/>
  <c r="F16" i="395" s="1"/>
  <c r="G16" i="395" s="1"/>
  <c r="D17" i="395" a="1"/>
  <c r="D17" i="395" s="1"/>
  <c r="I17" i="395" s="1"/>
  <c r="D22" i="395" a="1"/>
  <c r="D22" i="395" s="1"/>
  <c r="D26" i="395" a="1"/>
  <c r="D26" i="395" s="1"/>
  <c r="F28" i="395" a="1"/>
  <c r="F28" i="395" s="1"/>
  <c r="G28" i="395" s="1"/>
  <c r="F30" i="395" a="1"/>
  <c r="F30" i="395" s="1"/>
  <c r="F33" i="395" a="1"/>
  <c r="F33" i="395" s="1"/>
  <c r="D34" i="395" a="1"/>
  <c r="D34" i="395" s="1"/>
  <c r="I34" i="395" s="1"/>
  <c r="D37" i="395" a="1"/>
  <c r="D37" i="395" s="1"/>
  <c r="F40" i="395" a="1"/>
  <c r="F40" i="395" s="1"/>
  <c r="D41" i="395" a="1"/>
  <c r="D41" i="395" s="1"/>
  <c r="I41" i="395" s="1"/>
  <c r="F44" i="395" a="1"/>
  <c r="F44" i="395" s="1"/>
  <c r="D52" i="395" a="1"/>
  <c r="D52" i="395" s="1"/>
  <c r="F52" i="395" a="1"/>
  <c r="F52" i="395" s="1"/>
  <c r="G52" i="395" s="1"/>
  <c r="F55" i="395" a="1"/>
  <c r="F55" i="395" s="1"/>
  <c r="G55" i="395" s="1"/>
  <c r="F58" i="395" a="1"/>
  <c r="F58" i="395" s="1"/>
  <c r="G58" i="395" s="1"/>
  <c r="F61" i="395" a="1"/>
  <c r="F61" i="395" s="1"/>
  <c r="G61" i="395" s="1"/>
  <c r="F63" i="395" a="1"/>
  <c r="F63" i="395" s="1"/>
  <c r="F66" i="395" a="1"/>
  <c r="F66" i="395" s="1"/>
  <c r="D67" i="395" a="1"/>
  <c r="D67" i="395" s="1"/>
  <c r="F69" i="395" a="1"/>
  <c r="F69" i="395" s="1"/>
  <c r="G69" i="395" s="1"/>
  <c r="F71" i="395" a="1"/>
  <c r="F71" i="395" s="1"/>
  <c r="F73" i="395" a="1"/>
  <c r="F73" i="395" s="1"/>
  <c r="G73" i="395" s="1"/>
  <c r="D74" i="395" a="1"/>
  <c r="D74" i="395" s="1"/>
  <c r="I74" i="395" s="1"/>
  <c r="F79" i="395" a="1"/>
  <c r="F79" i="395" s="1"/>
  <c r="G79" i="395" s="1"/>
  <c r="D82" i="395" a="1"/>
  <c r="D82" i="395" s="1"/>
  <c r="D83" i="395" a="1"/>
  <c r="D83" i="395" s="1"/>
  <c r="I83" i="395" s="1"/>
  <c r="F84" i="395" a="1"/>
  <c r="F84" i="395" s="1"/>
  <c r="G84" i="395" s="1"/>
  <c r="D87" i="395" a="1"/>
  <c r="D87" i="395" s="1"/>
  <c r="I87" i="395" s="1"/>
  <c r="D93" i="395" a="1"/>
  <c r="D93" i="395" s="1"/>
  <c r="I93" i="395" s="1"/>
  <c r="D100" i="395" a="1"/>
  <c r="D100" i="395" s="1"/>
  <c r="I100" i="395" s="1"/>
  <c r="D102" i="395" a="1"/>
  <c r="D102" i="395" s="1"/>
  <c r="I102" i="395" s="1"/>
  <c r="F103" i="395" a="1"/>
  <c r="F103" i="395" s="1"/>
  <c r="G103" i="395" s="1"/>
  <c r="F105" i="395" a="1"/>
  <c r="F105" i="395" s="1"/>
  <c r="G105" i="395" s="1"/>
  <c r="F108" i="395" a="1"/>
  <c r="F108" i="395" s="1"/>
  <c r="D109" i="395" a="1"/>
  <c r="D109" i="395" s="1"/>
  <c r="I109" i="395" s="1"/>
  <c r="F112" i="395" a="1"/>
  <c r="F112" i="395" s="1"/>
  <c r="G112" i="395" s="1"/>
  <c r="D114" i="395" a="1"/>
  <c r="D114" i="395" s="1"/>
  <c r="I114" i="395" s="1"/>
  <c r="D116" i="395" a="1"/>
  <c r="D116" i="395" s="1"/>
  <c r="I116" i="395" s="1"/>
  <c r="F117" i="395" a="1"/>
  <c r="F117" i="395" s="1"/>
  <c r="G117" i="395" s="1"/>
  <c r="F121" i="395" a="1"/>
  <c r="F121" i="395" s="1"/>
  <c r="G121" i="395" s="1"/>
  <c r="D122" i="395" a="1"/>
  <c r="D122" i="395" s="1"/>
  <c r="I122" i="395" s="1"/>
  <c r="D128" i="395" a="1"/>
  <c r="D128" i="395" s="1"/>
  <c r="I128" i="395" s="1"/>
  <c r="D130" i="395" a="1"/>
  <c r="D130" i="395" s="1"/>
  <c r="I130" i="395" s="1"/>
  <c r="F131" i="395" a="1"/>
  <c r="F131" i="395" s="1"/>
  <c r="F133" i="395" a="1"/>
  <c r="F133" i="395" s="1"/>
  <c r="G133" i="395" s="1"/>
  <c r="F136" i="395" a="1"/>
  <c r="F136" i="395" s="1"/>
  <c r="G136" i="395" s="1"/>
  <c r="D137" i="395" a="1"/>
  <c r="D137" i="395" s="1"/>
  <c r="I137" i="395" s="1"/>
  <c r="F142" i="395" a="1"/>
  <c r="F142" i="395" s="1"/>
  <c r="G142" i="395" s="1"/>
  <c r="D145" i="395" a="1"/>
  <c r="D145" i="395" s="1"/>
  <c r="D155" i="395" a="1"/>
  <c r="D155" i="395" s="1"/>
  <c r="D157" i="395" a="1"/>
  <c r="D157" i="395" s="1"/>
  <c r="I157" i="395" s="1"/>
  <c r="F158" i="395" a="1"/>
  <c r="F158" i="395" s="1"/>
  <c r="D162" i="395" a="1"/>
  <c r="D162" i="395" s="1"/>
  <c r="D156" i="395" a="1"/>
  <c r="D156" i="395" s="1"/>
  <c r="D160" i="395" a="1"/>
  <c r="D160" i="395" s="1"/>
  <c r="D163" i="395" a="1"/>
  <c r="D163" i="395" s="1"/>
  <c r="I163" i="395" s="1"/>
  <c r="F12" i="396" a="1"/>
  <c r="F12" i="396" s="1"/>
  <c r="G12" i="396" s="1"/>
  <c r="F16" i="396" a="1"/>
  <c r="F16" i="396" s="1"/>
  <c r="F20" i="396" a="1"/>
  <c r="F20" i="396" s="1"/>
  <c r="G20" i="396" s="1"/>
  <c r="F40" i="396" a="1"/>
  <c r="F40" i="396" s="1"/>
  <c r="F61" i="396" a="1"/>
  <c r="F61" i="396" s="1"/>
  <c r="F67" i="396" a="1"/>
  <c r="F67" i="396" s="1"/>
  <c r="G67" i="396" s="1"/>
  <c r="F68" i="396" a="1"/>
  <c r="F68" i="396" s="1"/>
  <c r="G68" i="396" s="1"/>
  <c r="F74" i="396" a="1"/>
  <c r="F74" i="396" s="1"/>
  <c r="G74" i="396" s="1"/>
  <c r="F91" i="396" a="1"/>
  <c r="F91" i="396" s="1"/>
  <c r="F98" i="396" a="1"/>
  <c r="F98" i="396" s="1"/>
  <c r="F104" i="396" a="1"/>
  <c r="F104" i="396" s="1"/>
  <c r="G104" i="396" s="1"/>
  <c r="F105" i="396" a="1"/>
  <c r="F105" i="396" s="1"/>
  <c r="F115" i="396" a="1"/>
  <c r="F115" i="396" s="1"/>
  <c r="F126" i="396" a="1"/>
  <c r="F126" i="396" s="1"/>
  <c r="G126" i="396" s="1"/>
  <c r="F136" i="396" a="1"/>
  <c r="F136" i="396" s="1"/>
  <c r="F137" i="396" a="1"/>
  <c r="F137" i="396" s="1"/>
  <c r="C11" i="397"/>
  <c r="C9" i="397" s="1"/>
  <c r="C164" i="397"/>
  <c r="D7" i="360"/>
  <c r="F17" i="360" a="1"/>
  <c r="F17" i="360" s="1"/>
  <c r="G17" i="360" s="1"/>
  <c r="F33" i="360" a="1"/>
  <c r="F33" i="360" s="1"/>
  <c r="F40" i="360" a="1"/>
  <c r="F40" i="360" s="1"/>
  <c r="G40" i="360" s="1"/>
  <c r="F43" i="360" a="1"/>
  <c r="F43" i="360" s="1"/>
  <c r="G43" i="360" s="1"/>
  <c r="F56" i="360" a="1"/>
  <c r="F56" i="360" s="1"/>
  <c r="G56" i="360" s="1"/>
  <c r="F64" i="360" a="1"/>
  <c r="F64" i="360" s="1"/>
  <c r="G64" i="360" s="1"/>
  <c r="F68" i="360" a="1"/>
  <c r="F68" i="360" s="1"/>
  <c r="G68" i="360" s="1"/>
  <c r="F70" i="360" a="1"/>
  <c r="F70" i="360" s="1"/>
  <c r="G70" i="360" s="1"/>
  <c r="F72" i="360" a="1"/>
  <c r="F72" i="360" s="1"/>
  <c r="G72" i="360" s="1"/>
  <c r="F80" i="360" a="1"/>
  <c r="F80" i="360" s="1"/>
  <c r="G80" i="360" s="1"/>
  <c r="F83" i="360" a="1"/>
  <c r="F83" i="360" s="1"/>
  <c r="G83" i="360" s="1"/>
  <c r="F89" i="360" a="1"/>
  <c r="F89" i="360" s="1"/>
  <c r="G89" i="360" s="1"/>
  <c r="F91" i="360" a="1"/>
  <c r="F91" i="360" s="1"/>
  <c r="G91" i="360" s="1"/>
  <c r="F98" i="360" a="1"/>
  <c r="F98" i="360" s="1"/>
  <c r="G98" i="360" s="1"/>
  <c r="F100" i="360" a="1"/>
  <c r="F100" i="360" s="1"/>
  <c r="G100" i="360" s="1"/>
  <c r="F105" i="360" a="1"/>
  <c r="F105" i="360" s="1"/>
  <c r="G105" i="360" s="1"/>
  <c r="F109" i="360" a="1"/>
  <c r="F109" i="360" s="1"/>
  <c r="G109" i="360" s="1"/>
  <c r="F112" i="360" a="1"/>
  <c r="F112" i="360" s="1"/>
  <c r="G112" i="360" s="1"/>
  <c r="F118" i="360" a="1"/>
  <c r="F118" i="360" s="1"/>
  <c r="G118" i="360" s="1"/>
  <c r="F122" i="360" a="1"/>
  <c r="F122" i="360" s="1"/>
  <c r="G122" i="360" s="1"/>
  <c r="F125" i="360" a="1"/>
  <c r="F125" i="360" s="1"/>
  <c r="G125" i="360" s="1"/>
  <c r="F128" i="360" a="1"/>
  <c r="F128" i="360" s="1"/>
  <c r="G128" i="360" s="1"/>
  <c r="F132" i="360" a="1"/>
  <c r="F132" i="360" s="1"/>
  <c r="G132" i="360" s="1"/>
  <c r="F136" i="360" a="1"/>
  <c r="F136" i="360" s="1"/>
  <c r="G136" i="360" s="1"/>
  <c r="F157" i="360" a="1"/>
  <c r="F157" i="360" s="1"/>
  <c r="G157" i="360" s="1"/>
  <c r="D7" i="389"/>
  <c r="F13" i="389" a="1"/>
  <c r="F13" i="389" s="1"/>
  <c r="F17" i="389" a="1"/>
  <c r="F17" i="389" s="1"/>
  <c r="G17" i="389" s="1"/>
  <c r="F26" i="389" a="1"/>
  <c r="F26" i="389" s="1"/>
  <c r="F28" i="389" a="1"/>
  <c r="F28" i="389" s="1"/>
  <c r="G28" i="389" s="1"/>
  <c r="F30" i="389" a="1"/>
  <c r="F30" i="389" s="1"/>
  <c r="G30" i="389" s="1"/>
  <c r="F33" i="389" a="1"/>
  <c r="F33" i="389" s="1"/>
  <c r="F39" i="389" a="1"/>
  <c r="F39" i="389" s="1"/>
  <c r="G39" i="389" s="1"/>
  <c r="F42" i="389" a="1"/>
  <c r="F42" i="389" s="1"/>
  <c r="G42" i="389" s="1"/>
  <c r="F45" i="389" a="1"/>
  <c r="F45" i="389" s="1"/>
  <c r="F55" i="389" a="1"/>
  <c r="F55" i="389" s="1"/>
  <c r="G55" i="389" s="1"/>
  <c r="F57" i="389" a="1"/>
  <c r="F57" i="389" s="1"/>
  <c r="G57" i="389" s="1"/>
  <c r="F60" i="389" a="1"/>
  <c r="F60" i="389" s="1"/>
  <c r="G60" i="389" s="1"/>
  <c r="F67" i="389" a="1"/>
  <c r="F67" i="389" s="1"/>
  <c r="F74" i="389" a="1"/>
  <c r="F74" i="389" s="1"/>
  <c r="F82" i="389" a="1"/>
  <c r="F82" i="389" s="1"/>
  <c r="G82" i="389" s="1"/>
  <c r="F84" i="389" a="1"/>
  <c r="F84" i="389" s="1"/>
  <c r="F86" i="389" a="1"/>
  <c r="F86" i="389" s="1"/>
  <c r="G86" i="389" s="1"/>
  <c r="F99" i="389" a="1"/>
  <c r="F99" i="389" s="1"/>
  <c r="F102" i="389" a="1"/>
  <c r="F102" i="389" s="1"/>
  <c r="G102" i="389" s="1"/>
  <c r="F106" i="389" a="1"/>
  <c r="F106" i="389" s="1"/>
  <c r="F110" i="389" a="1"/>
  <c r="F110" i="389" s="1"/>
  <c r="G110" i="389" s="1"/>
  <c r="F116" i="389" a="1"/>
  <c r="F116" i="389" s="1"/>
  <c r="G116" i="389" s="1"/>
  <c r="F119" i="389" a="1"/>
  <c r="F119" i="389" s="1"/>
  <c r="G119" i="389" s="1"/>
  <c r="F123" i="389" a="1"/>
  <c r="F123" i="389" s="1"/>
  <c r="G123" i="389" s="1"/>
  <c r="F126" i="389" a="1"/>
  <c r="F126" i="389" s="1"/>
  <c r="F130" i="389" a="1"/>
  <c r="F130" i="389" s="1"/>
  <c r="G130" i="389" s="1"/>
  <c r="F134" i="389" a="1"/>
  <c r="F134" i="389" s="1"/>
  <c r="F140" i="389" a="1"/>
  <c r="F140" i="389" s="1"/>
  <c r="F143" i="389" a="1"/>
  <c r="F143" i="389" s="1"/>
  <c r="F155" i="389" a="1"/>
  <c r="F155" i="389" s="1"/>
  <c r="G155" i="389" s="1"/>
  <c r="D10" i="407" a="1"/>
  <c r="D10" i="407" s="1"/>
  <c r="D20" i="407" a="1"/>
  <c r="D20" i="407" s="1"/>
  <c r="D28" i="407" a="1"/>
  <c r="D28" i="407" s="1"/>
  <c r="D39" i="407" a="1"/>
  <c r="D39" i="407" s="1"/>
  <c r="D43" i="407" a="1"/>
  <c r="D43" i="407" s="1"/>
  <c r="I43" i="407" s="1"/>
  <c r="D53" i="407" a="1"/>
  <c r="D53" i="407" s="1"/>
  <c r="D58" i="407" a="1"/>
  <c r="D58" i="407" s="1"/>
  <c r="D61" i="407" a="1"/>
  <c r="D61" i="407" s="1"/>
  <c r="D63" i="407" a="1"/>
  <c r="D63" i="407" s="1"/>
  <c r="D81" i="407" a="1"/>
  <c r="D81" i="407" s="1"/>
  <c r="D83" i="407" a="1"/>
  <c r="D83" i="407" s="1"/>
  <c r="I83" i="407" s="1"/>
  <c r="D89" i="407" a="1"/>
  <c r="D89" i="407" s="1"/>
  <c r="D91" i="407" a="1"/>
  <c r="D91" i="407" s="1"/>
  <c r="I91" i="407" s="1"/>
  <c r="D97" i="407" a="1"/>
  <c r="D97" i="407" s="1"/>
  <c r="I97" i="407" s="1"/>
  <c r="D101" i="407" a="1"/>
  <c r="D101" i="407" s="1"/>
  <c r="I101" i="407" s="1"/>
  <c r="D105" i="407" a="1"/>
  <c r="D105" i="407" s="1"/>
  <c r="I105" i="407" s="1"/>
  <c r="D109" i="407" a="1"/>
  <c r="D109" i="407" s="1"/>
  <c r="I109" i="407" s="1"/>
  <c r="D116" i="407" a="1"/>
  <c r="D116" i="407" s="1"/>
  <c r="I116" i="407" s="1"/>
  <c r="D119" i="407" a="1"/>
  <c r="D119" i="407" s="1"/>
  <c r="I119" i="407" s="1"/>
  <c r="D122" i="407" a="1"/>
  <c r="D122" i="407" s="1"/>
  <c r="I122" i="407" s="1"/>
  <c r="D129" i="407" a="1"/>
  <c r="D129" i="407" s="1"/>
  <c r="I129" i="407" s="1"/>
  <c r="D133" i="407" a="1"/>
  <c r="D133" i="407" s="1"/>
  <c r="I133" i="407" s="1"/>
  <c r="D137" i="407" a="1"/>
  <c r="D137" i="407" s="1"/>
  <c r="I137" i="407" s="1"/>
  <c r="D142" i="407" a="1"/>
  <c r="D142" i="407" s="1"/>
  <c r="I142" i="407" s="1"/>
  <c r="D156" i="407" a="1"/>
  <c r="D156" i="407" s="1"/>
  <c r="D159" i="407" a="1"/>
  <c r="D159" i="407" s="1"/>
  <c r="I159" i="407" s="1"/>
  <c r="D7" i="408"/>
  <c r="F12" i="408" a="1"/>
  <c r="F12" i="408" s="1"/>
  <c r="F18" i="408" a="1"/>
  <c r="F18" i="408" s="1"/>
  <c r="F22" i="408" a="1"/>
  <c r="F22" i="408" s="1"/>
  <c r="F26" i="408" a="1"/>
  <c r="F26" i="408" s="1"/>
  <c r="G26" i="408" s="1"/>
  <c r="F30" i="408" a="1"/>
  <c r="F30" i="408" s="1"/>
  <c r="F34" i="408" a="1"/>
  <c r="F34" i="408" s="1"/>
  <c r="F37" i="408" a="1"/>
  <c r="F37" i="408" s="1"/>
  <c r="F41" i="408" a="1"/>
  <c r="F41" i="408" s="1"/>
  <c r="F52" i="408" a="1"/>
  <c r="F52" i="408" s="1"/>
  <c r="G52" i="408" s="1"/>
  <c r="F54" i="408" a="1"/>
  <c r="F54" i="408" s="1"/>
  <c r="G54" i="408" s="1"/>
  <c r="F60" i="408" a="1"/>
  <c r="F60" i="408" s="1"/>
  <c r="G60" i="408" s="1"/>
  <c r="F65" i="408" a="1"/>
  <c r="F65" i="408" s="1"/>
  <c r="F66" i="408" a="1"/>
  <c r="F66" i="408" s="1"/>
  <c r="F69" i="408" a="1"/>
  <c r="F69" i="408" s="1"/>
  <c r="G69" i="408" s="1"/>
  <c r="F71" i="408" a="1"/>
  <c r="F71" i="408" s="1"/>
  <c r="G71" i="408" s="1"/>
  <c r="F73" i="408" a="1"/>
  <c r="F73" i="408" s="1"/>
  <c r="G73" i="408" s="1"/>
  <c r="F79" i="408" a="1"/>
  <c r="F79" i="408" s="1"/>
  <c r="G79" i="408" s="1"/>
  <c r="F83" i="408" a="1"/>
  <c r="F83" i="408" s="1"/>
  <c r="F92" i="408" a="1"/>
  <c r="F92" i="408" s="1"/>
  <c r="G92" i="408" s="1"/>
  <c r="F96" i="408" a="1"/>
  <c r="F96" i="408" s="1"/>
  <c r="G96" i="408" s="1"/>
  <c r="F99" i="408" a="1"/>
  <c r="F99" i="408" s="1"/>
  <c r="G99" i="408" s="1"/>
  <c r="F103" i="408" a="1"/>
  <c r="F103" i="408" s="1"/>
  <c r="F107" i="408" a="1"/>
  <c r="F107" i="408" s="1"/>
  <c r="F111" i="408" a="1"/>
  <c r="F111" i="408" s="1"/>
  <c r="G111" i="408" s="1"/>
  <c r="F115" i="408" a="1"/>
  <c r="F115" i="408" s="1"/>
  <c r="G115" i="408" s="1"/>
  <c r="F119" i="408" a="1"/>
  <c r="F119" i="408" s="1"/>
  <c r="G119" i="408" s="1"/>
  <c r="F123" i="408" a="1"/>
  <c r="F123" i="408" s="1"/>
  <c r="G123" i="408" s="1"/>
  <c r="F126" i="408" a="1"/>
  <c r="F126" i="408" s="1"/>
  <c r="G126" i="408" s="1"/>
  <c r="F130" i="408" a="1"/>
  <c r="F130" i="408" s="1"/>
  <c r="G130" i="408" s="1"/>
  <c r="F134" i="408" a="1"/>
  <c r="F134" i="408" s="1"/>
  <c r="G134" i="408" s="1"/>
  <c r="F140" i="408" a="1"/>
  <c r="F140" i="408" s="1"/>
  <c r="F143" i="408" a="1"/>
  <c r="F143" i="408" s="1"/>
  <c r="F157" i="408" a="1"/>
  <c r="F157" i="408" s="1"/>
  <c r="F160" i="396" a="1"/>
  <c r="F160" i="396" s="1"/>
  <c r="F156" i="396" a="1"/>
  <c r="F156" i="396" s="1"/>
  <c r="G156" i="396" s="1"/>
  <c r="F142" i="396" a="1"/>
  <c r="F142" i="396" s="1"/>
  <c r="F135" i="396" a="1"/>
  <c r="F135" i="396" s="1"/>
  <c r="F131" i="396" a="1"/>
  <c r="F131" i="396" s="1"/>
  <c r="F127" i="396" a="1"/>
  <c r="F127" i="396" s="1"/>
  <c r="F124" i="396" a="1"/>
  <c r="F124" i="396" s="1"/>
  <c r="G124" i="396" s="1"/>
  <c r="F120" i="396" a="1"/>
  <c r="F120" i="396" s="1"/>
  <c r="F117" i="396" a="1"/>
  <c r="F117" i="396" s="1"/>
  <c r="F113" i="396" a="1"/>
  <c r="F113" i="396" s="1"/>
  <c r="G113" i="396" s="1"/>
  <c r="F111" i="396" a="1"/>
  <c r="F111" i="396" s="1"/>
  <c r="F107" i="396" a="1"/>
  <c r="F107" i="396" s="1"/>
  <c r="F103" i="396" a="1"/>
  <c r="F103" i="396" s="1"/>
  <c r="F99" i="396" a="1"/>
  <c r="F99" i="396" s="1"/>
  <c r="F95" i="396" a="1"/>
  <c r="F95" i="396" s="1"/>
  <c r="G95" i="396" s="1"/>
  <c r="F92" i="396" a="1"/>
  <c r="F92" i="396" s="1"/>
  <c r="F87" i="396" a="1"/>
  <c r="F87" i="396" s="1"/>
  <c r="F85" i="396" a="1"/>
  <c r="F85" i="396" s="1"/>
  <c r="G85" i="396" s="1"/>
  <c r="F82" i="396" a="1"/>
  <c r="F82" i="396" s="1"/>
  <c r="G82" i="396" s="1"/>
  <c r="F79" i="396" a="1"/>
  <c r="F79" i="396" s="1"/>
  <c r="F73" i="396" a="1"/>
  <c r="F73" i="396" s="1"/>
  <c r="F71" i="396" a="1"/>
  <c r="F71" i="396" s="1"/>
  <c r="F69" i="396" a="1"/>
  <c r="F69" i="396" s="1"/>
  <c r="G69" i="396" s="1"/>
  <c r="F66" i="396" a="1"/>
  <c r="F66" i="396" s="1"/>
  <c r="F62" i="396" a="1"/>
  <c r="F62" i="396" s="1"/>
  <c r="F45" i="396" a="1"/>
  <c r="F45" i="396" s="1"/>
  <c r="G45" i="396" s="1"/>
  <c r="F41" i="396" a="1"/>
  <c r="F41" i="396" s="1"/>
  <c r="F37" i="396" a="1"/>
  <c r="F37" i="396" s="1"/>
  <c r="F33" i="396" a="1"/>
  <c r="F33" i="396" s="1"/>
  <c r="F30" i="396" a="1"/>
  <c r="F30" i="396" s="1"/>
  <c r="G30" i="396" s="1"/>
  <c r="H30" i="396" s="1"/>
  <c r="F28" i="396" a="1"/>
  <c r="F28" i="396" s="1"/>
  <c r="G28" i="396" s="1"/>
  <c r="F163" i="396" a="1"/>
  <c r="F163" i="396" s="1"/>
  <c r="G163" i="396" s="1"/>
  <c r="F161" i="396" a="1"/>
  <c r="F161" i="396" s="1"/>
  <c r="F145" i="396" a="1"/>
  <c r="F145" i="396" s="1"/>
  <c r="F144" i="396" s="1"/>
  <c r="F141" i="396" a="1"/>
  <c r="F141" i="396" s="1"/>
  <c r="F133" i="396" a="1"/>
  <c r="F133" i="396" s="1"/>
  <c r="G133" i="396" s="1"/>
  <c r="F130" i="396" a="1"/>
  <c r="F130" i="396" s="1"/>
  <c r="F128" i="396" a="1"/>
  <c r="F128" i="396" s="1"/>
  <c r="F123" i="396" a="1"/>
  <c r="F123" i="396" s="1"/>
  <c r="G123" i="396" s="1"/>
  <c r="F121" i="396" a="1"/>
  <c r="F121" i="396" s="1"/>
  <c r="F116" i="396" a="1"/>
  <c r="F116" i="396" s="1"/>
  <c r="F114" i="396" a="1"/>
  <c r="F114" i="396" s="1"/>
  <c r="G114" i="396" s="1"/>
  <c r="F110" i="396" a="1"/>
  <c r="F110" i="396" s="1"/>
  <c r="G110" i="396" s="1"/>
  <c r="F108" i="396" a="1"/>
  <c r="F108" i="396" s="1"/>
  <c r="G108" i="396" s="1"/>
  <c r="F97" i="396" a="1"/>
  <c r="F97" i="396" s="1"/>
  <c r="F93" i="396" a="1"/>
  <c r="F93" i="396" s="1"/>
  <c r="G93" i="396" s="1"/>
  <c r="F88" i="396" a="1"/>
  <c r="F88" i="396" s="1"/>
  <c r="G88" i="396" s="1"/>
  <c r="F84" i="396" a="1"/>
  <c r="F84" i="396" s="1"/>
  <c r="F80" i="396" a="1"/>
  <c r="F80" i="396" s="1"/>
  <c r="G80" i="396" s="1"/>
  <c r="F72" i="396" a="1"/>
  <c r="F72" i="396" s="1"/>
  <c r="F60" i="396" a="1"/>
  <c r="F60" i="396" s="1"/>
  <c r="F52" i="396" a="1"/>
  <c r="F52" i="396" s="1"/>
  <c r="F44" i="396" a="1"/>
  <c r="F44" i="396" s="1"/>
  <c r="G44" i="396" s="1"/>
  <c r="F42" i="396" a="1"/>
  <c r="F42" i="396" s="1"/>
  <c r="F35" i="396" a="1"/>
  <c r="F35" i="396" s="1"/>
  <c r="F17" i="396" a="1"/>
  <c r="F17" i="396" s="1"/>
  <c r="G17" i="396" s="1"/>
  <c r="F13" i="396" a="1"/>
  <c r="F13" i="396" s="1"/>
  <c r="G13" i="396" s="1"/>
  <c r="F6" i="396"/>
  <c r="F175" i="396" a="1"/>
  <c r="F175" i="396" s="1"/>
  <c r="F177" i="396" s="1"/>
  <c r="F162" i="396" a="1"/>
  <c r="F162" i="396" s="1"/>
  <c r="F159" i="396" a="1"/>
  <c r="F159" i="396" s="1"/>
  <c r="F157" i="396" a="1"/>
  <c r="F157" i="396" s="1"/>
  <c r="F26" i="396" a="1"/>
  <c r="F26" i="396" s="1"/>
  <c r="G26" i="396" s="1"/>
  <c r="F34" i="396" a="1"/>
  <c r="F34" i="396" s="1"/>
  <c r="F38" i="396" a="1"/>
  <c r="F38" i="396" s="1"/>
  <c r="F39" i="396" a="1"/>
  <c r="F39" i="396" s="1"/>
  <c r="G39" i="396" s="1"/>
  <c r="F55" i="396" a="1"/>
  <c r="F55" i="396" s="1"/>
  <c r="F56" i="396" a="1"/>
  <c r="F56" i="396" s="1"/>
  <c r="G56" i="396" s="1"/>
  <c r="F57" i="396" a="1"/>
  <c r="F57" i="396" s="1"/>
  <c r="F63" i="396" a="1"/>
  <c r="F63" i="396" s="1"/>
  <c r="G63" i="396" s="1"/>
  <c r="F64" i="396" a="1"/>
  <c r="F64" i="396" s="1"/>
  <c r="G64" i="396" s="1"/>
  <c r="F86" i="396" a="1"/>
  <c r="F86" i="396" s="1"/>
  <c r="F100" i="396" a="1"/>
  <c r="F100" i="396" s="1"/>
  <c r="F101" i="396" a="1"/>
  <c r="F101" i="396" s="1"/>
  <c r="G101" i="396" s="1"/>
  <c r="H101" i="396" s="1"/>
  <c r="F109" i="396" a="1"/>
  <c r="F109" i="396" s="1"/>
  <c r="F119" i="396" a="1"/>
  <c r="F119" i="396" s="1"/>
  <c r="F132" i="396" a="1"/>
  <c r="F132" i="396" s="1"/>
  <c r="C15" i="397"/>
  <c r="C164" i="398"/>
  <c r="D160" i="397" a="1"/>
  <c r="D160" i="397" s="1"/>
  <c r="I160" i="397" s="1"/>
  <c r="D157" i="397" a="1"/>
  <c r="D157" i="397" s="1"/>
  <c r="I157" i="397" s="1"/>
  <c r="D145" i="397" a="1"/>
  <c r="D145" i="397" s="1"/>
  <c r="D141" i="397" a="1"/>
  <c r="D141" i="397" s="1"/>
  <c r="I141" i="397" s="1"/>
  <c r="D134" i="397" a="1"/>
  <c r="D134" i="397" s="1"/>
  <c r="I134" i="397" s="1"/>
  <c r="D130" i="397" a="1"/>
  <c r="D130" i="397" s="1"/>
  <c r="I130" i="397" s="1"/>
  <c r="D124" i="397" a="1"/>
  <c r="D124" i="397" s="1"/>
  <c r="I124" i="397" s="1"/>
  <c r="D120" i="397" a="1"/>
  <c r="D120" i="397" s="1"/>
  <c r="I120" i="397" s="1"/>
  <c r="D119" i="397" a="1"/>
  <c r="D119" i="397" s="1"/>
  <c r="I119" i="397" s="1"/>
  <c r="D115" i="397" a="1"/>
  <c r="D115" i="397" s="1"/>
  <c r="I115" i="397" s="1"/>
  <c r="D111" i="397" a="1"/>
  <c r="D111" i="397" s="1"/>
  <c r="I111" i="397" s="1"/>
  <c r="D107" i="397" a="1"/>
  <c r="D107" i="397" s="1"/>
  <c r="I107" i="397" s="1"/>
  <c r="D103" i="397" a="1"/>
  <c r="D103" i="397" s="1"/>
  <c r="I103" i="397" s="1"/>
  <c r="D99" i="397" a="1"/>
  <c r="D99" i="397" s="1"/>
  <c r="I99" i="397" s="1"/>
  <c r="D95" i="397" a="1"/>
  <c r="D95" i="397" s="1"/>
  <c r="I95" i="397" s="1"/>
  <c r="D91" i="397" a="1"/>
  <c r="D91" i="397" s="1"/>
  <c r="I91" i="397" s="1"/>
  <c r="D87" i="397" a="1"/>
  <c r="D87" i="397" s="1"/>
  <c r="I87" i="397" s="1"/>
  <c r="D83" i="397" a="1"/>
  <c r="D83" i="397" s="1"/>
  <c r="I83" i="397" s="1"/>
  <c r="D79" i="397" a="1"/>
  <c r="D79" i="397" s="1"/>
  <c r="D74" i="397" a="1"/>
  <c r="D74" i="397" s="1"/>
  <c r="I74" i="397" s="1"/>
  <c r="D67" i="397" a="1"/>
  <c r="D67" i="397" s="1"/>
  <c r="D62" i="397" a="1"/>
  <c r="D62" i="397" s="1"/>
  <c r="I62" i="397" s="1"/>
  <c r="D53" i="397" a="1"/>
  <c r="D53" i="397" s="1"/>
  <c r="D43" i="397" a="1"/>
  <c r="D43" i="397" s="1"/>
  <c r="I43" i="397" s="1"/>
  <c r="D42" i="397" a="1"/>
  <c r="D42" i="397" s="1"/>
  <c r="I42" i="397" s="1"/>
  <c r="D38" i="397" a="1"/>
  <c r="D38" i="397" s="1"/>
  <c r="I38" i="397" s="1"/>
  <c r="D34" i="397" a="1"/>
  <c r="D34" i="397" s="1"/>
  <c r="I34" i="397" s="1"/>
  <c r="D20" i="397" a="1"/>
  <c r="D20" i="397" s="1"/>
  <c r="D16" i="397" a="1"/>
  <c r="D16" i="397" s="1"/>
  <c r="D12" i="397" a="1"/>
  <c r="D12" i="397" s="1"/>
  <c r="D22" i="397" a="1"/>
  <c r="D22" i="397" s="1"/>
  <c r="C27" i="397"/>
  <c r="D37" i="397" a="1"/>
  <c r="D37" i="397" s="1"/>
  <c r="D44" i="397" a="1"/>
  <c r="D44" i="397" s="1"/>
  <c r="I44" i="397" s="1"/>
  <c r="D56" i="397" a="1"/>
  <c r="D56" i="397" s="1"/>
  <c r="I56" i="397" s="1"/>
  <c r="D58" i="397" a="1"/>
  <c r="D58" i="397" s="1"/>
  <c r="D63" i="397" a="1"/>
  <c r="D63" i="397" s="1"/>
  <c r="I63" i="397" s="1"/>
  <c r="D65" i="397" a="1"/>
  <c r="D65" i="397" s="1"/>
  <c r="I65" i="397" s="1"/>
  <c r="D72" i="397" a="1"/>
  <c r="D72" i="397" s="1"/>
  <c r="D73" i="397" a="1"/>
  <c r="D73" i="397" s="1"/>
  <c r="I73" i="397" s="1"/>
  <c r="D85" i="397" a="1"/>
  <c r="D85" i="397" s="1"/>
  <c r="I85" i="397" s="1"/>
  <c r="D92" i="397" a="1"/>
  <c r="D92" i="397" s="1"/>
  <c r="I92" i="397" s="1"/>
  <c r="D94" i="397" a="1"/>
  <c r="D94" i="397" s="1"/>
  <c r="I94" i="397" s="1"/>
  <c r="D101" i="397" a="1"/>
  <c r="D101" i="397" s="1"/>
  <c r="I101" i="397" s="1"/>
  <c r="D108" i="397" a="1"/>
  <c r="D108" i="397" s="1"/>
  <c r="I108" i="397" s="1"/>
  <c r="D110" i="397" a="1"/>
  <c r="D110" i="397" s="1"/>
  <c r="I110" i="397" s="1"/>
  <c r="D117" i="397" a="1"/>
  <c r="D117" i="397" s="1"/>
  <c r="I117" i="397" s="1"/>
  <c r="D126" i="397" a="1"/>
  <c r="D126" i="397" s="1"/>
  <c r="I126" i="397" s="1"/>
  <c r="D128" i="397" a="1"/>
  <c r="D128" i="397" s="1"/>
  <c r="I128" i="397" s="1"/>
  <c r="D135" i="397" a="1"/>
  <c r="D135" i="397" s="1"/>
  <c r="I135" i="397" s="1"/>
  <c r="D137" i="397" a="1"/>
  <c r="D137" i="397" s="1"/>
  <c r="I137" i="397" s="1"/>
  <c r="C139" i="397"/>
  <c r="D142" i="397" a="1"/>
  <c r="D142" i="397" s="1"/>
  <c r="I142" i="397" s="1"/>
  <c r="D158" i="397" a="1"/>
  <c r="D158" i="397" s="1"/>
  <c r="D159" i="397" a="1"/>
  <c r="D159" i="397" s="1"/>
  <c r="I159" i="397" s="1"/>
  <c r="D175" i="397" a="1"/>
  <c r="D175" i="397" s="1"/>
  <c r="F162" i="393" a="1"/>
  <c r="F162" i="393" s="1"/>
  <c r="F158" i="393" a="1"/>
  <c r="F158" i="393" s="1"/>
  <c r="G158" i="393" s="1"/>
  <c r="F140" i="393" a="1"/>
  <c r="F140" i="393" s="1"/>
  <c r="F134" i="393" a="1"/>
  <c r="F134" i="393" s="1"/>
  <c r="G134" i="393" s="1"/>
  <c r="F130" i="393" a="1"/>
  <c r="F130" i="393" s="1"/>
  <c r="G130" i="393" s="1"/>
  <c r="F126" i="393" a="1"/>
  <c r="F126" i="393" s="1"/>
  <c r="F123" i="393" a="1"/>
  <c r="F123" i="393" s="1"/>
  <c r="F119" i="393" a="1"/>
  <c r="F119" i="393" s="1"/>
  <c r="F115" i="393" a="1"/>
  <c r="F115" i="393" s="1"/>
  <c r="F111" i="393" a="1"/>
  <c r="F111" i="393" s="1"/>
  <c r="G111" i="393" s="1"/>
  <c r="F107" i="393" a="1"/>
  <c r="F107" i="393" s="1"/>
  <c r="G107" i="393" s="1"/>
  <c r="F103" i="393" a="1"/>
  <c r="F103" i="393" s="1"/>
  <c r="G103" i="393" s="1"/>
  <c r="F99" i="393" a="1"/>
  <c r="F99" i="393" s="1"/>
  <c r="G99" i="393" s="1"/>
  <c r="F92" i="393" a="1"/>
  <c r="F92" i="393" s="1"/>
  <c r="G92" i="393" s="1"/>
  <c r="F89" i="393" a="1"/>
  <c r="F89" i="393" s="1"/>
  <c r="G89" i="393" s="1"/>
  <c r="F85" i="393" a="1"/>
  <c r="F85" i="393" s="1"/>
  <c r="G85" i="393" s="1"/>
  <c r="F82" i="393" a="1"/>
  <c r="F82" i="393" s="1"/>
  <c r="F79" i="393" a="1"/>
  <c r="F79" i="393" s="1"/>
  <c r="G79" i="393" s="1"/>
  <c r="F73" i="393" a="1"/>
  <c r="F73" i="393" s="1"/>
  <c r="F71" i="393" a="1"/>
  <c r="F71" i="393" s="1"/>
  <c r="G71" i="393" s="1"/>
  <c r="F69" i="393" a="1"/>
  <c r="F69" i="393" s="1"/>
  <c r="G69" i="393" s="1"/>
  <c r="F66" i="393" a="1"/>
  <c r="F66" i="393" s="1"/>
  <c r="G66" i="393" s="1"/>
  <c r="F44" i="393" a="1"/>
  <c r="F44" i="393" s="1"/>
  <c r="G44" i="393" s="1"/>
  <c r="F39" i="393" a="1"/>
  <c r="F39" i="393" s="1"/>
  <c r="F34" i="393" a="1"/>
  <c r="F34" i="393" s="1"/>
  <c r="F30" i="393" a="1"/>
  <c r="F30" i="393" s="1"/>
  <c r="G30" i="393" s="1"/>
  <c r="G29" i="393" s="1"/>
  <c r="G27" i="393" s="1"/>
  <c r="F26" i="393" a="1"/>
  <c r="F26" i="393" s="1"/>
  <c r="G26" i="393" s="1"/>
  <c r="F22" i="393" a="1"/>
  <c r="F22" i="393" s="1"/>
  <c r="F18" i="393" a="1"/>
  <c r="F18" i="393" s="1"/>
  <c r="F12" i="393" a="1"/>
  <c r="F12" i="393" s="1"/>
  <c r="D7" i="393"/>
  <c r="F14" i="393" a="1"/>
  <c r="F14" i="393" s="1"/>
  <c r="G14" i="393" s="1"/>
  <c r="C15" i="393"/>
  <c r="F42" i="393" a="1"/>
  <c r="F42" i="393" s="1"/>
  <c r="G42" i="393" s="1"/>
  <c r="F57" i="393" a="1"/>
  <c r="F57" i="393" s="1"/>
  <c r="F59" i="393" a="1"/>
  <c r="F59" i="393" s="1"/>
  <c r="G59" i="393" s="1"/>
  <c r="F61" i="393" a="1"/>
  <c r="F61" i="393" s="1"/>
  <c r="G61" i="393" s="1"/>
  <c r="F64" i="393" a="1"/>
  <c r="F64" i="393" s="1"/>
  <c r="G64" i="393" s="1"/>
  <c r="F68" i="393" a="1"/>
  <c r="F68" i="393" s="1"/>
  <c r="F74" i="393" a="1"/>
  <c r="F74" i="393" s="1"/>
  <c r="G74" i="393" s="1"/>
  <c r="F104" i="393" a="1"/>
  <c r="F104" i="393" s="1"/>
  <c r="G104" i="393" s="1"/>
  <c r="F106" i="393" a="1"/>
  <c r="F106" i="393" s="1"/>
  <c r="G106" i="393" s="1"/>
  <c r="F109" i="393" a="1"/>
  <c r="F109" i="393" s="1"/>
  <c r="G109" i="393" s="1"/>
  <c r="F120" i="393" a="1"/>
  <c r="F120" i="393" s="1"/>
  <c r="G120" i="393" s="1"/>
  <c r="F122" i="393" a="1"/>
  <c r="F122" i="393" s="1"/>
  <c r="G122" i="393" s="1"/>
  <c r="F125" i="393" a="1"/>
  <c r="F125" i="393" s="1"/>
  <c r="G125" i="393" s="1"/>
  <c r="F135" i="393" a="1"/>
  <c r="F135" i="393" s="1"/>
  <c r="G135" i="393" s="1"/>
  <c r="H135" i="393" s="1"/>
  <c r="F137" i="393" a="1"/>
  <c r="F137" i="393" s="1"/>
  <c r="F145" i="393" a="1"/>
  <c r="F145" i="393" s="1"/>
  <c r="F144" i="393" s="1"/>
  <c r="F156" i="393" a="1"/>
  <c r="F156" i="393" s="1"/>
  <c r="F175" i="393" a="1"/>
  <c r="F175" i="393" s="1"/>
  <c r="F177" i="393" s="1"/>
  <c r="D23" i="398" a="1"/>
  <c r="D23" i="398" s="1"/>
  <c r="I23" i="398" s="1"/>
  <c r="D26" i="398" a="1"/>
  <c r="D26" i="398" s="1"/>
  <c r="D43" i="398" a="1"/>
  <c r="D43" i="398" s="1"/>
  <c r="I43" i="398" s="1"/>
  <c r="D58" i="398" a="1"/>
  <c r="D58" i="398" s="1"/>
  <c r="D59" i="398" a="1"/>
  <c r="D59" i="398" s="1"/>
  <c r="I59" i="398" s="1"/>
  <c r="D63" i="398" a="1"/>
  <c r="D63" i="398" s="1"/>
  <c r="I63" i="398" s="1"/>
  <c r="D65" i="398" a="1"/>
  <c r="D65" i="398" s="1"/>
  <c r="I65" i="398" s="1"/>
  <c r="D70" i="398" a="1"/>
  <c r="D70" i="398" s="1"/>
  <c r="D84" i="398" a="1"/>
  <c r="D84" i="398" s="1"/>
  <c r="I84" i="398" s="1"/>
  <c r="D100" i="398" a="1"/>
  <c r="D100" i="398" s="1"/>
  <c r="I100" i="398" s="1"/>
  <c r="D102" i="398" a="1"/>
  <c r="D102" i="398" s="1"/>
  <c r="I102" i="398" s="1"/>
  <c r="D109" i="398" a="1"/>
  <c r="D109" i="398" s="1"/>
  <c r="I109" i="398" s="1"/>
  <c r="D116" i="398" a="1"/>
  <c r="D116" i="398" s="1"/>
  <c r="I116" i="398" s="1"/>
  <c r="D118" i="398" a="1"/>
  <c r="D118" i="398" s="1"/>
  <c r="I118" i="398" s="1"/>
  <c r="D125" i="398" a="1"/>
  <c r="D125" i="398" s="1"/>
  <c r="D132" i="398" a="1"/>
  <c r="D132" i="398" s="1"/>
  <c r="I132" i="398" s="1"/>
  <c r="D161" i="398" a="1"/>
  <c r="D161" i="398" s="1"/>
  <c r="I161" i="398" s="1"/>
  <c r="F175" i="399" a="1"/>
  <c r="F175" i="399" s="1"/>
  <c r="F177" i="399" s="1"/>
  <c r="F160" i="399" a="1"/>
  <c r="F160" i="399" s="1"/>
  <c r="G160" i="399" s="1"/>
  <c r="F157" i="399" a="1"/>
  <c r="F157" i="399" s="1"/>
  <c r="G157" i="399" s="1"/>
  <c r="F140" i="399" a="1"/>
  <c r="F140" i="399" s="1"/>
  <c r="F134" i="399" a="1"/>
  <c r="F134" i="399" s="1"/>
  <c r="G134" i="399" s="1"/>
  <c r="F130" i="399" a="1"/>
  <c r="F130" i="399" s="1"/>
  <c r="F126" i="399" a="1"/>
  <c r="F126" i="399" s="1"/>
  <c r="G126" i="399" s="1"/>
  <c r="H126" i="399" s="1"/>
  <c r="F123" i="399" a="1"/>
  <c r="F123" i="399" s="1"/>
  <c r="G123" i="399" s="1"/>
  <c r="F120" i="399" a="1"/>
  <c r="F120" i="399" s="1"/>
  <c r="F117" i="399" a="1"/>
  <c r="F117" i="399" s="1"/>
  <c r="G117" i="399" s="1"/>
  <c r="F113" i="399" a="1"/>
  <c r="F113" i="399" s="1"/>
  <c r="G113" i="399" s="1"/>
  <c r="H113" i="399" s="1"/>
  <c r="F109" i="399" a="1"/>
  <c r="F109" i="399" s="1"/>
  <c r="F105" i="399" a="1"/>
  <c r="F105" i="399" s="1"/>
  <c r="G105" i="399" s="1"/>
  <c r="F101" i="399" a="1"/>
  <c r="F101" i="399" s="1"/>
  <c r="F97" i="399" a="1"/>
  <c r="F97" i="399" s="1"/>
  <c r="G97" i="399" s="1"/>
  <c r="H97" i="399" s="1"/>
  <c r="F94" i="399" a="1"/>
  <c r="F94" i="399" s="1"/>
  <c r="G94" i="399" s="1"/>
  <c r="F86" i="399" a="1"/>
  <c r="F86" i="399" s="1"/>
  <c r="F74" i="399" a="1"/>
  <c r="F74" i="399" s="1"/>
  <c r="G74" i="399" s="1"/>
  <c r="F67" i="399" a="1"/>
  <c r="F67" i="399" s="1"/>
  <c r="G67" i="399" s="1"/>
  <c r="F64" i="399" a="1"/>
  <c r="F64" i="399" s="1"/>
  <c r="G64" i="399" s="1"/>
  <c r="F44" i="399" a="1"/>
  <c r="F44" i="399" s="1"/>
  <c r="F40" i="399" a="1"/>
  <c r="F40" i="399" s="1"/>
  <c r="G40" i="399" s="1"/>
  <c r="F163" i="399" a="1"/>
  <c r="F163" i="399" s="1"/>
  <c r="G163" i="399" s="1"/>
  <c r="F161" i="399" a="1"/>
  <c r="F161" i="399" s="1"/>
  <c r="G161" i="399" s="1"/>
  <c r="F156" i="399" a="1"/>
  <c r="F156" i="399" s="1"/>
  <c r="F143" i="399" a="1"/>
  <c r="F143" i="399" s="1"/>
  <c r="E143" i="399" s="1"/>
  <c r="E139" i="399" s="1"/>
  <c r="F141" i="399" a="1"/>
  <c r="F141" i="399" s="1"/>
  <c r="F132" i="399" a="1"/>
  <c r="F132" i="399" s="1"/>
  <c r="G132" i="399" s="1"/>
  <c r="F129" i="399" a="1"/>
  <c r="F129" i="399" s="1"/>
  <c r="G129" i="399" s="1"/>
  <c r="F127" i="399" a="1"/>
  <c r="F127" i="399" s="1"/>
  <c r="F158" i="399" a="1"/>
  <c r="F158" i="399" s="1"/>
  <c r="G158" i="399" s="1"/>
  <c r="H158" i="399" s="1"/>
  <c r="F142" i="399" a="1"/>
  <c r="F142" i="399" s="1"/>
  <c r="G142" i="399" s="1"/>
  <c r="F136" i="399" a="1"/>
  <c r="F136" i="399" s="1"/>
  <c r="G136" i="399" s="1"/>
  <c r="F133" i="399" a="1"/>
  <c r="F133" i="399" s="1"/>
  <c r="F131" i="399" a="1"/>
  <c r="F131" i="399" s="1"/>
  <c r="G131" i="399" s="1"/>
  <c r="H131" i="399" s="1"/>
  <c r="F121" i="399" a="1"/>
  <c r="F121" i="399" s="1"/>
  <c r="F118" i="399" a="1"/>
  <c r="F118" i="399" s="1"/>
  <c r="G118" i="399" s="1"/>
  <c r="F107" i="399" a="1"/>
  <c r="F107" i="399" s="1"/>
  <c r="F104" i="399" a="1"/>
  <c r="F104" i="399" s="1"/>
  <c r="G104" i="399" s="1"/>
  <c r="H104" i="399" s="1"/>
  <c r="F102" i="399" a="1"/>
  <c r="F102" i="399" s="1"/>
  <c r="G102" i="399" s="1"/>
  <c r="F95" i="399" a="1"/>
  <c r="F95" i="399" s="1"/>
  <c r="F90" i="399" a="1"/>
  <c r="F90" i="399" s="1"/>
  <c r="F85" i="399" a="1"/>
  <c r="F85" i="399" s="1"/>
  <c r="F83" i="399" a="1"/>
  <c r="F83" i="399" s="1"/>
  <c r="G83" i="399" s="1"/>
  <c r="F81" i="399" a="1"/>
  <c r="F81" i="399" s="1"/>
  <c r="G81" i="399" s="1"/>
  <c r="F70" i="399" a="1"/>
  <c r="F70" i="399" s="1"/>
  <c r="F65" i="399" a="1"/>
  <c r="F65" i="399" s="1"/>
  <c r="G65" i="399" s="1"/>
  <c r="I65" i="399" s="1"/>
  <c r="F55" i="399" a="1"/>
  <c r="F55" i="399" s="1"/>
  <c r="G55" i="399" s="1"/>
  <c r="F53" i="399" a="1"/>
  <c r="F53" i="399" s="1"/>
  <c r="F45" i="399" a="1"/>
  <c r="F45" i="399" s="1"/>
  <c r="F28" i="399" a="1"/>
  <c r="F28" i="399" s="1"/>
  <c r="G28" i="399" s="1"/>
  <c r="F20" i="399" a="1"/>
  <c r="F20" i="399" s="1"/>
  <c r="F14" i="399" a="1"/>
  <c r="F14" i="399" s="1"/>
  <c r="G14" i="399" s="1"/>
  <c r="F10" i="399" a="1"/>
  <c r="F10" i="399" s="1"/>
  <c r="D10" i="399" a="1"/>
  <c r="D10" i="399" s="1"/>
  <c r="D12" i="399" a="1"/>
  <c r="D12" i="399" s="1"/>
  <c r="D14" i="399" a="1"/>
  <c r="D14" i="399" s="1"/>
  <c r="I14" i="399" s="1"/>
  <c r="D16" i="399" a="1"/>
  <c r="D16" i="399" s="1"/>
  <c r="I16" i="399" s="1"/>
  <c r="F17" i="399" a="1"/>
  <c r="F17" i="399" s="1"/>
  <c r="F22" i="399" a="1"/>
  <c r="F22" i="399" s="1"/>
  <c r="D23" i="399" a="1"/>
  <c r="D23" i="399" s="1"/>
  <c r="I23" i="399" s="1"/>
  <c r="D26" i="399" a="1"/>
  <c r="D26" i="399" s="1"/>
  <c r="F31" i="399" a="1"/>
  <c r="F31" i="399" s="1"/>
  <c r="G31" i="399" s="1"/>
  <c r="H31" i="399" s="1"/>
  <c r="F33" i="399" a="1"/>
  <c r="F33" i="399" s="1"/>
  <c r="G33" i="399" s="1"/>
  <c r="F35" i="399" a="1"/>
  <c r="F35" i="399" s="1"/>
  <c r="G35" i="399" s="1"/>
  <c r="F39" i="399" a="1"/>
  <c r="F39" i="399" s="1"/>
  <c r="G39" i="399" s="1"/>
  <c r="D61" i="399" a="1"/>
  <c r="D61" i="399" s="1"/>
  <c r="F63" i="399" a="1"/>
  <c r="F63" i="399" s="1"/>
  <c r="G63" i="399" s="1"/>
  <c r="D66" i="399" a="1"/>
  <c r="D66" i="399" s="1"/>
  <c r="I66" i="399" s="1"/>
  <c r="F68" i="399" a="1"/>
  <c r="F68" i="399" s="1"/>
  <c r="D71" i="399" a="1"/>
  <c r="D71" i="399" s="1"/>
  <c r="F73" i="399" a="1"/>
  <c r="F73" i="399" s="1"/>
  <c r="G73" i="399" s="1"/>
  <c r="D81" i="399" a="1"/>
  <c r="D81" i="399" s="1"/>
  <c r="I81" i="399" s="1"/>
  <c r="F84" i="399" a="1"/>
  <c r="F84" i="399" s="1"/>
  <c r="G84" i="399" s="1"/>
  <c r="D85" i="399" a="1"/>
  <c r="D85" i="399" s="1"/>
  <c r="I85" i="399" s="1"/>
  <c r="D90" i="399" a="1"/>
  <c r="D90" i="399" s="1"/>
  <c r="F96" i="399" a="1"/>
  <c r="F96" i="399" s="1"/>
  <c r="D105" i="399" a="1"/>
  <c r="D105" i="399" s="1"/>
  <c r="I105" i="399" s="1"/>
  <c r="F108" i="399" a="1"/>
  <c r="F108" i="399" s="1"/>
  <c r="G108" i="399" s="1"/>
  <c r="D112" i="399" a="1"/>
  <c r="D112" i="399" s="1"/>
  <c r="I112" i="399" s="1"/>
  <c r="F114" i="399" a="1"/>
  <c r="F114" i="399" s="1"/>
  <c r="F115" i="399" a="1"/>
  <c r="F115" i="399" s="1"/>
  <c r="D116" i="399" a="1"/>
  <c r="D116" i="399" s="1"/>
  <c r="I116" i="399" s="1"/>
  <c r="D120" i="399" a="1"/>
  <c r="D120" i="399" s="1"/>
  <c r="F122" i="399" a="1"/>
  <c r="F122" i="399" s="1"/>
  <c r="G122" i="399" s="1"/>
  <c r="D140" i="399" a="1"/>
  <c r="D140" i="399" s="1"/>
  <c r="F14" i="401" a="1"/>
  <c r="F14" i="401" s="1"/>
  <c r="G14" i="401" s="1"/>
  <c r="F17" i="401" a="1"/>
  <c r="F17" i="401" s="1"/>
  <c r="G17" i="401" s="1"/>
  <c r="C36" i="401"/>
  <c r="C47" i="401"/>
  <c r="F63" i="401" a="1"/>
  <c r="F63" i="401" s="1"/>
  <c r="G63" i="401" s="1"/>
  <c r="F66" i="401" a="1"/>
  <c r="F66" i="401" s="1"/>
  <c r="G66" i="401" s="1"/>
  <c r="F69" i="401" a="1"/>
  <c r="F69" i="401" s="1"/>
  <c r="G69" i="401" s="1"/>
  <c r="F72" i="401" a="1"/>
  <c r="F72" i="401" s="1"/>
  <c r="G72" i="401" s="1"/>
  <c r="F79" i="401" a="1"/>
  <c r="F79" i="401" s="1"/>
  <c r="F95" i="401" a="1"/>
  <c r="F95" i="401" s="1"/>
  <c r="G95" i="401" s="1"/>
  <c r="F102" i="401" a="1"/>
  <c r="F102" i="401" s="1"/>
  <c r="F104" i="401" a="1"/>
  <c r="F104" i="401" s="1"/>
  <c r="G104" i="401" s="1"/>
  <c r="F106" i="401" a="1"/>
  <c r="F106" i="401" s="1"/>
  <c r="G106" i="401" s="1"/>
  <c r="F108" i="401" a="1"/>
  <c r="F108" i="401" s="1"/>
  <c r="G108" i="401" s="1"/>
  <c r="F111" i="401" a="1"/>
  <c r="F111" i="401" s="1"/>
  <c r="G111" i="401" s="1"/>
  <c r="F112" i="401" a="1"/>
  <c r="F112" i="401" s="1"/>
  <c r="F125" i="401" a="1"/>
  <c r="F125" i="401" s="1"/>
  <c r="F137" i="401" a="1"/>
  <c r="F137" i="401" s="1"/>
  <c r="C51" i="394"/>
  <c r="C50" i="394"/>
  <c r="C78" i="394"/>
  <c r="C77" i="394"/>
  <c r="C76" i="394" s="1"/>
  <c r="C51" i="405"/>
  <c r="C50" i="405" s="1"/>
  <c r="D10" i="398" a="1"/>
  <c r="D10" i="398" s="1"/>
  <c r="D14" i="398" a="1"/>
  <c r="D14" i="398" s="1"/>
  <c r="I14" i="398" s="1"/>
  <c r="D18" i="398" a="1"/>
  <c r="D18" i="398" s="1"/>
  <c r="I18" i="398" s="1"/>
  <c r="D31" i="398" a="1"/>
  <c r="D31" i="398" s="1"/>
  <c r="I31" i="398" s="1"/>
  <c r="D35" i="398" a="1"/>
  <c r="D35" i="398" s="1"/>
  <c r="I35" i="398" s="1"/>
  <c r="D39" i="398" a="1"/>
  <c r="D39" i="398" s="1"/>
  <c r="I39" i="398" s="1"/>
  <c r="D55" i="398" a="1"/>
  <c r="D55" i="398" s="1"/>
  <c r="D56" i="398" a="1"/>
  <c r="D56" i="398" s="1"/>
  <c r="I56" i="398" s="1"/>
  <c r="D68" i="398" a="1"/>
  <c r="D68" i="398" s="1"/>
  <c r="D80" i="398" a="1"/>
  <c r="D80" i="398" s="1"/>
  <c r="I80" i="398" s="1"/>
  <c r="D82" i="398" a="1"/>
  <c r="D82" i="398" s="1"/>
  <c r="D87" i="398" a="1"/>
  <c r="D87" i="398" s="1"/>
  <c r="I87" i="398" s="1"/>
  <c r="D92" i="398" a="1"/>
  <c r="D92" i="398" s="1"/>
  <c r="I92" i="398" s="1"/>
  <c r="D94" i="398" a="1"/>
  <c r="D94" i="398" s="1"/>
  <c r="D96" i="398" a="1"/>
  <c r="D96" i="398" s="1"/>
  <c r="I96" i="398" s="1"/>
  <c r="D98" i="398" a="1"/>
  <c r="D98" i="398" s="1"/>
  <c r="I98" i="398" s="1"/>
  <c r="D105" i="398" a="1"/>
  <c r="D105" i="398" s="1"/>
  <c r="I105" i="398" s="1"/>
  <c r="D112" i="398" a="1"/>
  <c r="D112" i="398" s="1"/>
  <c r="I112" i="398" s="1"/>
  <c r="D114" i="398" a="1"/>
  <c r="D114" i="398" s="1"/>
  <c r="I114" i="398" s="1"/>
  <c r="D121" i="398" a="1"/>
  <c r="D121" i="398" s="1"/>
  <c r="I121" i="398" s="1"/>
  <c r="D128" i="398" a="1"/>
  <c r="D128" i="398" s="1"/>
  <c r="I128" i="398" s="1"/>
  <c r="D135" i="398" a="1"/>
  <c r="D135" i="398" s="1"/>
  <c r="I135" i="398" s="1"/>
  <c r="D137" i="398" a="1"/>
  <c r="D137" i="398" s="1"/>
  <c r="I137" i="398" s="1"/>
  <c r="C139" i="398"/>
  <c r="D142" i="398" a="1"/>
  <c r="D142" i="398" s="1"/>
  <c r="D157" i="398" a="1"/>
  <c r="D157" i="398" s="1"/>
  <c r="C19" i="399"/>
  <c r="D86" i="399" a="1"/>
  <c r="D86" i="399" s="1"/>
  <c r="D103" i="399" a="1"/>
  <c r="D103" i="399" s="1"/>
  <c r="I103" i="399" s="1"/>
  <c r="D107" i="399" a="1"/>
  <c r="D107" i="399" s="1"/>
  <c r="I107" i="399" s="1"/>
  <c r="D113" i="399" a="1"/>
  <c r="D113" i="399" s="1"/>
  <c r="I113" i="399" s="1"/>
  <c r="D121" i="399" a="1"/>
  <c r="D121" i="399" s="1"/>
  <c r="I121" i="399" s="1"/>
  <c r="D129" i="399" a="1"/>
  <c r="D129" i="399" s="1"/>
  <c r="I129" i="399" s="1"/>
  <c r="D141" i="399" a="1"/>
  <c r="D141" i="399" s="1"/>
  <c r="I141" i="399" s="1"/>
  <c r="D143" i="399" a="1"/>
  <c r="D143" i="399" s="1"/>
  <c r="I143" i="399" s="1"/>
  <c r="D163" i="399" a="1"/>
  <c r="D163" i="399" s="1"/>
  <c r="I163" i="399" s="1"/>
  <c r="F43" i="401" a="1"/>
  <c r="F43" i="401" s="1"/>
  <c r="G43" i="401" s="1"/>
  <c r="F45" i="401" a="1"/>
  <c r="F45" i="401" s="1"/>
  <c r="F71" i="401" a="1"/>
  <c r="F71" i="401" s="1"/>
  <c r="G71" i="401" s="1"/>
  <c r="F92" i="401" a="1"/>
  <c r="F92" i="401" s="1"/>
  <c r="F94" i="401" a="1"/>
  <c r="F94" i="401" s="1"/>
  <c r="F132" i="401" a="1"/>
  <c r="F132" i="401" s="1"/>
  <c r="G132" i="401" s="1"/>
  <c r="H132" i="401" s="1"/>
  <c r="F134" i="401" a="1"/>
  <c r="F134" i="401" s="1"/>
  <c r="F136" i="401" a="1"/>
  <c r="F136" i="401" s="1"/>
  <c r="G136" i="401" s="1"/>
  <c r="F155" i="401" a="1"/>
  <c r="F155" i="401" s="1"/>
  <c r="F158" i="401" a="1"/>
  <c r="F158" i="401" s="1"/>
  <c r="C36" i="402"/>
  <c r="D163" i="398" a="1"/>
  <c r="D163" i="398" s="1"/>
  <c r="I163" i="398" s="1"/>
  <c r="D159" i="398" a="1"/>
  <c r="D159" i="398" s="1"/>
  <c r="I159" i="398" s="1"/>
  <c r="D155" i="398" a="1"/>
  <c r="D155" i="398" s="1"/>
  <c r="D143" i="398" a="1"/>
  <c r="D143" i="398" s="1"/>
  <c r="I143" i="398" s="1"/>
  <c r="D140" i="398" a="1"/>
  <c r="D140" i="398" s="1"/>
  <c r="D134" i="398" a="1"/>
  <c r="D134" i="398" s="1"/>
  <c r="I134" i="398" s="1"/>
  <c r="D130" i="398" a="1"/>
  <c r="D130" i="398" s="1"/>
  <c r="I130" i="398" s="1"/>
  <c r="D126" i="398" a="1"/>
  <c r="D126" i="398" s="1"/>
  <c r="I126" i="398" s="1"/>
  <c r="D123" i="398" a="1"/>
  <c r="D123" i="398" s="1"/>
  <c r="I123" i="398" s="1"/>
  <c r="D119" i="398" a="1"/>
  <c r="D119" i="398" s="1"/>
  <c r="I119" i="398" s="1"/>
  <c r="D115" i="398" a="1"/>
  <c r="D115" i="398" s="1"/>
  <c r="I115" i="398" s="1"/>
  <c r="D111" i="398" a="1"/>
  <c r="D111" i="398" s="1"/>
  <c r="I111" i="398" s="1"/>
  <c r="D107" i="398" a="1"/>
  <c r="D107" i="398" s="1"/>
  <c r="I107" i="398" s="1"/>
  <c r="D103" i="398" a="1"/>
  <c r="D103" i="398" s="1"/>
  <c r="I103" i="398" s="1"/>
  <c r="D99" i="398" a="1"/>
  <c r="D99" i="398" s="1"/>
  <c r="I99" i="398" s="1"/>
  <c r="D95" i="398" a="1"/>
  <c r="D95" i="398" s="1"/>
  <c r="I95" i="398" s="1"/>
  <c r="D91" i="398" a="1"/>
  <c r="D91" i="398" s="1"/>
  <c r="I91" i="398" s="1"/>
  <c r="D89" i="398" a="1"/>
  <c r="D89" i="398" s="1"/>
  <c r="D86" i="398" a="1"/>
  <c r="D86" i="398" s="1"/>
  <c r="D79" i="398" a="1"/>
  <c r="D79" i="398" s="1"/>
  <c r="D73" i="398" a="1"/>
  <c r="D73" i="398" s="1"/>
  <c r="I73" i="398" s="1"/>
  <c r="D71" i="398" a="1"/>
  <c r="D71" i="398" s="1"/>
  <c r="D69" i="398" a="1"/>
  <c r="D69" i="398"/>
  <c r="D66" i="398" a="1"/>
  <c r="D66" i="398" s="1"/>
  <c r="I66" i="398" s="1"/>
  <c r="D60" i="398" a="1"/>
  <c r="D60" i="398" s="1"/>
  <c r="I60" i="398" s="1"/>
  <c r="D57" i="398" a="1"/>
  <c r="D57" i="398" s="1"/>
  <c r="I57" i="398" s="1"/>
  <c r="D54" i="398" a="1"/>
  <c r="D54" i="398" s="1"/>
  <c r="D45" i="398" a="1"/>
  <c r="D45" i="398" s="1"/>
  <c r="D41" i="398" a="1"/>
  <c r="D41" i="398" s="1"/>
  <c r="I41" i="398" s="1"/>
  <c r="D37" i="398" a="1"/>
  <c r="D37" i="398" s="1"/>
  <c r="D33" i="398" a="1"/>
  <c r="D33" i="398" s="1"/>
  <c r="D20" i="398" a="1"/>
  <c r="D20" i="398" s="1"/>
  <c r="D16" i="398" a="1"/>
  <c r="D16" i="398" s="1"/>
  <c r="D12" i="398" a="1"/>
  <c r="D12" i="398" s="1"/>
  <c r="D22" i="398" a="1"/>
  <c r="D22" i="398" s="1"/>
  <c r="C27" i="398"/>
  <c r="C47" i="398" s="1"/>
  <c r="D42" i="398" a="1"/>
  <c r="D42" i="398" s="1"/>
  <c r="I42" i="398" s="1"/>
  <c r="D44" i="398" a="1"/>
  <c r="D44" i="398" s="1"/>
  <c r="I44" i="398" s="1"/>
  <c r="D52" i="398" a="1"/>
  <c r="D52" i="398" s="1"/>
  <c r="D53" i="398" a="1"/>
  <c r="D53" i="398" s="1"/>
  <c r="I53" i="398" s="1"/>
  <c r="D64" i="398" a="1"/>
  <c r="D64" i="398" s="1"/>
  <c r="I64" i="398" s="1"/>
  <c r="D74" i="398" a="1"/>
  <c r="D74" i="398" s="1"/>
  <c r="I74" i="398" s="1"/>
  <c r="D83" i="398" a="1"/>
  <c r="D83" i="398" s="1"/>
  <c r="I83" i="398" s="1"/>
  <c r="D85" i="398" a="1"/>
  <c r="D85" i="398" s="1"/>
  <c r="I85" i="398" s="1"/>
  <c r="D90" i="398" a="1"/>
  <c r="D90" i="398" s="1"/>
  <c r="D101" i="398" a="1"/>
  <c r="D101" i="398" s="1"/>
  <c r="D108" i="398" a="1"/>
  <c r="D108" i="398" s="1"/>
  <c r="I108" i="398" s="1"/>
  <c r="D110" i="398" a="1"/>
  <c r="D110" i="398" s="1"/>
  <c r="I110" i="398" s="1"/>
  <c r="D117" i="398" a="1"/>
  <c r="D117" i="398" s="1"/>
  <c r="I117" i="398" s="1"/>
  <c r="D124" i="398" a="1"/>
  <c r="D124" i="398" s="1"/>
  <c r="I124" i="398" s="1"/>
  <c r="D131" i="398" a="1"/>
  <c r="D131" i="398" s="1"/>
  <c r="I131" i="398" s="1"/>
  <c r="D133" i="398" a="1"/>
  <c r="D133" i="398" s="1"/>
  <c r="I133" i="398" s="1"/>
  <c r="D160" i="398" a="1"/>
  <c r="D160" i="398" s="1"/>
  <c r="I160" i="398" s="1"/>
  <c r="D162" i="398" a="1"/>
  <c r="D162" i="398" s="1"/>
  <c r="I162" i="398" s="1"/>
  <c r="C27" i="399"/>
  <c r="C47" i="399" s="1"/>
  <c r="C164" i="401"/>
  <c r="I145" i="394"/>
  <c r="D144" i="394"/>
  <c r="I144" i="394" s="1"/>
  <c r="G137" i="395"/>
  <c r="C36" i="396"/>
  <c r="D10" i="397" a="1"/>
  <c r="D10" i="397" s="1"/>
  <c r="D14" i="397" a="1"/>
  <c r="D14" i="397" s="1"/>
  <c r="I14" i="397" s="1"/>
  <c r="D18" i="397" a="1"/>
  <c r="D18" i="397" s="1"/>
  <c r="D31" i="397" a="1"/>
  <c r="D31" i="397" s="1"/>
  <c r="I31" i="397" s="1"/>
  <c r="C36" i="397"/>
  <c r="D39" i="397" a="1"/>
  <c r="D39" i="397" s="1"/>
  <c r="I39" i="397" s="1"/>
  <c r="D41" i="397" a="1"/>
  <c r="D41" i="397" s="1"/>
  <c r="I41" i="397" s="1"/>
  <c r="D55" i="397" a="1"/>
  <c r="D55" i="397" s="1"/>
  <c r="D60" i="397" a="1"/>
  <c r="D60" i="397" s="1"/>
  <c r="I60" i="397" s="1"/>
  <c r="D66" i="397" a="1"/>
  <c r="D66" i="397" s="1"/>
  <c r="I66" i="397" s="1"/>
  <c r="D70" i="397" a="1"/>
  <c r="D70" i="397" s="1"/>
  <c r="D71" i="397" a="1"/>
  <c r="D71" i="397" s="1"/>
  <c r="D80" i="397" a="1"/>
  <c r="D80" i="397" s="1"/>
  <c r="I80" i="397" s="1"/>
  <c r="D82" i="397" a="1"/>
  <c r="D82" i="397" s="1"/>
  <c r="I82" i="397" s="1"/>
  <c r="D89" i="397" a="1"/>
  <c r="D89" i="397" s="1"/>
  <c r="I89" i="397" s="1"/>
  <c r="D96" i="397" a="1"/>
  <c r="D96" i="397" s="1"/>
  <c r="I96" i="397" s="1"/>
  <c r="D98" i="397" a="1"/>
  <c r="D98" i="397" s="1"/>
  <c r="I98" i="397" s="1"/>
  <c r="D105" i="397" a="1"/>
  <c r="D105" i="397" s="1"/>
  <c r="D112" i="397" a="1"/>
  <c r="D112" i="397" s="1"/>
  <c r="I112" i="397" s="1"/>
  <c r="D114" i="397" a="1"/>
  <c r="D114" i="397" s="1"/>
  <c r="I114" i="397" s="1"/>
  <c r="D121" i="397" a="1"/>
  <c r="D121" i="397" s="1"/>
  <c r="I121" i="397" s="1"/>
  <c r="D123" i="397" a="1"/>
  <c r="D123" i="397" s="1"/>
  <c r="I123" i="397" s="1"/>
  <c r="D132" i="397" a="1"/>
  <c r="D132" i="397" s="1"/>
  <c r="I132" i="397" s="1"/>
  <c r="D155" i="397" a="1"/>
  <c r="D155" i="397" s="1"/>
  <c r="D161" i="397" a="1"/>
  <c r="D161" i="397" s="1"/>
  <c r="I161" i="397" s="1"/>
  <c r="D163" i="397" a="1"/>
  <c r="D163" i="397" s="1"/>
  <c r="I163" i="397" s="1"/>
  <c r="F13" i="393" a="1"/>
  <c r="F13" i="393" s="1"/>
  <c r="G13" i="393" s="1"/>
  <c r="F16" i="393" a="1"/>
  <c r="F16" i="393" s="1"/>
  <c r="G16" i="393" s="1"/>
  <c r="F23" i="393" a="1"/>
  <c r="F23" i="393" s="1"/>
  <c r="G23" i="393" s="1"/>
  <c r="F33" i="393" a="1"/>
  <c r="F33" i="393" s="1"/>
  <c r="F37" i="393" a="1"/>
  <c r="F37" i="393" s="1"/>
  <c r="F41" i="393" a="1"/>
  <c r="F41" i="393" s="1"/>
  <c r="G41" i="393" s="1"/>
  <c r="F43" i="393" a="1"/>
  <c r="F43" i="393" s="1"/>
  <c r="G43" i="393" s="1"/>
  <c r="F54" i="393" a="1"/>
  <c r="F54" i="393" s="1"/>
  <c r="G54" i="393" s="1"/>
  <c r="F56" i="393" a="1"/>
  <c r="F56" i="393" s="1"/>
  <c r="G56" i="393" s="1"/>
  <c r="F58" i="393" a="1"/>
  <c r="F58" i="393" s="1"/>
  <c r="G58" i="393" s="1"/>
  <c r="F63" i="393" a="1"/>
  <c r="F63" i="393" s="1"/>
  <c r="G63" i="393" s="1"/>
  <c r="F67" i="393" a="1"/>
  <c r="F67" i="393" s="1"/>
  <c r="G67" i="393" s="1"/>
  <c r="F83" i="393" a="1"/>
  <c r="F83" i="393" s="1"/>
  <c r="G83" i="393" s="1"/>
  <c r="F90" i="393" a="1"/>
  <c r="F90" i="393" s="1"/>
  <c r="G90" i="393" s="1"/>
  <c r="F97" i="393" a="1"/>
  <c r="F97" i="393" s="1"/>
  <c r="F108" i="393" a="1"/>
  <c r="F108" i="393" s="1"/>
  <c r="G108" i="393" s="1"/>
  <c r="F110" i="393" a="1"/>
  <c r="F110" i="393" s="1"/>
  <c r="G110" i="393" s="1"/>
  <c r="F113" i="393" a="1"/>
  <c r="F113" i="393" s="1"/>
  <c r="G113" i="393" s="1"/>
  <c r="F124" i="393" a="1"/>
  <c r="F124" i="393" s="1"/>
  <c r="G124" i="393" s="1"/>
  <c r="F128" i="393" a="1"/>
  <c r="F128" i="393" s="1"/>
  <c r="G128" i="393" s="1"/>
  <c r="F155" i="393" a="1"/>
  <c r="F155" i="393" s="1"/>
  <c r="F157" i="393" a="1"/>
  <c r="F157" i="393" s="1"/>
  <c r="G157" i="393" s="1"/>
  <c r="F160" i="393" a="1"/>
  <c r="F160" i="393" s="1"/>
  <c r="G160" i="393" s="1"/>
  <c r="D13" i="398" a="1"/>
  <c r="D13" i="398" s="1"/>
  <c r="I13" i="398" s="1"/>
  <c r="D17" i="398" a="1"/>
  <c r="D17" i="398" s="1"/>
  <c r="I17" i="398" s="1"/>
  <c r="D28" i="398" a="1"/>
  <c r="D28" i="398" s="1"/>
  <c r="D30" i="398" a="1"/>
  <c r="D30" i="398" s="1"/>
  <c r="D34" i="398" a="1"/>
  <c r="D34" i="398" s="1"/>
  <c r="I34" i="398" s="1"/>
  <c r="D38" i="398" a="1"/>
  <c r="D38" i="398" s="1"/>
  <c r="I38" i="398" s="1"/>
  <c r="D40" i="398" a="1"/>
  <c r="D40" i="398" s="1"/>
  <c r="I40" i="398" s="1"/>
  <c r="D61" i="398" a="1"/>
  <c r="D61" i="398" s="1"/>
  <c r="D62" i="398" a="1"/>
  <c r="D62" i="398" s="1"/>
  <c r="D67" i="398" a="1"/>
  <c r="D67" i="398" s="1"/>
  <c r="D72" i="398" a="1"/>
  <c r="D72" i="398" s="1"/>
  <c r="D81" i="398" a="1"/>
  <c r="D81" i="398" s="1"/>
  <c r="I81" i="398" s="1"/>
  <c r="D88" i="398" a="1"/>
  <c r="D88" i="398" s="1"/>
  <c r="I88" i="398" s="1"/>
  <c r="D93" i="398" a="1"/>
  <c r="D93" i="398" s="1"/>
  <c r="I93" i="398" s="1"/>
  <c r="D97" i="398" a="1"/>
  <c r="D97" i="398" s="1"/>
  <c r="I97" i="398" s="1"/>
  <c r="D104" i="398" a="1"/>
  <c r="D104" i="398" s="1"/>
  <c r="I104" i="398" s="1"/>
  <c r="D106" i="398" a="1"/>
  <c r="D106" i="398" s="1"/>
  <c r="I106" i="398" s="1"/>
  <c r="D113" i="398" a="1"/>
  <c r="D113" i="398" s="1"/>
  <c r="I113" i="398" s="1"/>
  <c r="D120" i="398" a="1"/>
  <c r="D120" i="398" s="1"/>
  <c r="I120" i="398" s="1"/>
  <c r="D122" i="398" a="1"/>
  <c r="D122" i="398" s="1"/>
  <c r="I122" i="398" s="1"/>
  <c r="D127" i="398" a="1"/>
  <c r="D127" i="398" s="1"/>
  <c r="I127" i="398" s="1"/>
  <c r="D129" i="398" a="1"/>
  <c r="D129" i="398" s="1"/>
  <c r="I129" i="398" s="1"/>
  <c r="D136" i="398" a="1"/>
  <c r="D136" i="398" s="1"/>
  <c r="I136" i="398" s="1"/>
  <c r="D141" i="398" a="1"/>
  <c r="D141" i="398" s="1"/>
  <c r="I141" i="398" s="1"/>
  <c r="D145" i="398" a="1"/>
  <c r="D145" i="398" s="1"/>
  <c r="D156" i="398" a="1"/>
  <c r="D156" i="398" s="1"/>
  <c r="D164" i="398" s="1"/>
  <c r="D158" i="398" a="1"/>
  <c r="D158" i="398" s="1"/>
  <c r="I158" i="398" s="1"/>
  <c r="D161" i="399" a="1"/>
  <c r="D161" i="399" s="1"/>
  <c r="I161" i="399" s="1"/>
  <c r="D158" i="399" a="1"/>
  <c r="D158" i="399" s="1"/>
  <c r="D135" i="399" a="1"/>
  <c r="D135" i="399" s="1"/>
  <c r="I135" i="399" s="1"/>
  <c r="D131" i="399" a="1"/>
  <c r="D131" i="399" s="1"/>
  <c r="I131" i="399" s="1"/>
  <c r="D127" i="399" a="1"/>
  <c r="D127" i="399" s="1"/>
  <c r="I127" i="399" s="1"/>
  <c r="D124" i="399" a="1"/>
  <c r="D124" i="399" s="1"/>
  <c r="I124" i="399" s="1"/>
  <c r="D118" i="399" a="1"/>
  <c r="D118" i="399" s="1"/>
  <c r="D114" i="399" a="1"/>
  <c r="D114" i="399" s="1"/>
  <c r="I114" i="399" s="1"/>
  <c r="D110" i="399" a="1"/>
  <c r="D110" i="399" s="1"/>
  <c r="I110" i="399" s="1"/>
  <c r="D106" i="399" a="1"/>
  <c r="D106" i="399" s="1"/>
  <c r="I106" i="399" s="1"/>
  <c r="D102" i="399" a="1"/>
  <c r="D102" i="399" s="1"/>
  <c r="I102" i="399" s="1"/>
  <c r="D98" i="399" a="1"/>
  <c r="D98" i="399" s="1"/>
  <c r="I98" i="399" s="1"/>
  <c r="D95" i="399" a="1"/>
  <c r="D95" i="399" s="1"/>
  <c r="D91" i="399" a="1"/>
  <c r="D91" i="399" s="1"/>
  <c r="I91" i="399" s="1"/>
  <c r="D89" i="399" a="1"/>
  <c r="D89" i="399" s="1"/>
  <c r="D83" i="399" a="1"/>
  <c r="D83" i="399"/>
  <c r="I83" i="399" s="1"/>
  <c r="D80" i="399" a="1"/>
  <c r="D80" i="399" s="1"/>
  <c r="I80" i="399" s="1"/>
  <c r="D72" i="399" a="1"/>
  <c r="D72" i="399" s="1"/>
  <c r="D70" i="399" a="1"/>
  <c r="D70" i="399" s="1"/>
  <c r="D68" i="399" a="1"/>
  <c r="D68" i="399" s="1"/>
  <c r="D65" i="399" a="1"/>
  <c r="D65" i="399" s="1"/>
  <c r="D62" i="399" a="1"/>
  <c r="D62" i="399" s="1"/>
  <c r="D59" i="399" a="1"/>
  <c r="D59" i="399" s="1"/>
  <c r="I59" i="399" s="1"/>
  <c r="D56" i="399" a="1"/>
  <c r="D56" i="399" s="1"/>
  <c r="I56" i="399" s="1"/>
  <c r="D53" i="399" a="1"/>
  <c r="D53" i="399" s="1"/>
  <c r="I53" i="399" s="1"/>
  <c r="D45" i="399" a="1"/>
  <c r="D45" i="399" s="1"/>
  <c r="I45" i="399" s="1"/>
  <c r="D41" i="399" a="1"/>
  <c r="D41" i="399" s="1"/>
  <c r="I41" i="399" s="1"/>
  <c r="D37" i="399" a="1"/>
  <c r="D37" i="399" s="1"/>
  <c r="D175" i="399" a="1"/>
  <c r="D175" i="399" s="1"/>
  <c r="D177" i="399" s="1"/>
  <c r="D160" i="399" a="1"/>
  <c r="D160" i="399" s="1"/>
  <c r="I160" i="399" s="1"/>
  <c r="D142" i="399" a="1"/>
  <c r="D142" i="399" s="1"/>
  <c r="I142" i="399" s="1"/>
  <c r="D133" i="399" a="1"/>
  <c r="D133" i="399" s="1"/>
  <c r="I133" i="399" s="1"/>
  <c r="D162" i="399" a="1"/>
  <c r="D162" i="399" s="1"/>
  <c r="D157" i="399" a="1"/>
  <c r="D157" i="399" s="1"/>
  <c r="D155" i="399" a="1"/>
  <c r="D155" i="399" s="1"/>
  <c r="D145" i="399" a="1"/>
  <c r="D145" i="399" s="1"/>
  <c r="D137" i="399" a="1"/>
  <c r="D137" i="399" s="1"/>
  <c r="I137" i="399" s="1"/>
  <c r="D130" i="399" a="1"/>
  <c r="D130" i="399" s="1"/>
  <c r="I130" i="399" s="1"/>
  <c r="D128" i="399" a="1"/>
  <c r="D128" i="399" s="1"/>
  <c r="I128" i="399" s="1"/>
  <c r="D122" i="399" a="1"/>
  <c r="D122" i="399" s="1"/>
  <c r="I122" i="399" s="1"/>
  <c r="D117" i="399" a="1"/>
  <c r="D117" i="399" s="1"/>
  <c r="I117" i="399" s="1"/>
  <c r="D115" i="399" a="1"/>
  <c r="D115" i="399" s="1"/>
  <c r="I115" i="399" s="1"/>
  <c r="D108" i="399" a="1"/>
  <c r="D108" i="399" s="1"/>
  <c r="I108" i="399" s="1"/>
  <c r="D101" i="399" a="1"/>
  <c r="D101" i="399" s="1"/>
  <c r="I101" i="399" s="1"/>
  <c r="D99" i="399" a="1"/>
  <c r="D99" i="399" s="1"/>
  <c r="I99" i="399" s="1"/>
  <c r="D94" i="399" a="1"/>
  <c r="D94" i="399" s="1"/>
  <c r="I94" i="399" s="1"/>
  <c r="D92" i="399" a="1"/>
  <c r="D92" i="399" s="1"/>
  <c r="I92" i="399" s="1"/>
  <c r="D87" i="399" a="1"/>
  <c r="D87" i="399" s="1"/>
  <c r="I87" i="399" s="1"/>
  <c r="D82" i="399" a="1"/>
  <c r="D82" i="399" s="1"/>
  <c r="D74" i="399" a="1"/>
  <c r="D74" i="399" s="1"/>
  <c r="I74" i="399" s="1"/>
  <c r="D69" i="399" a="1"/>
  <c r="D69" i="399" s="1"/>
  <c r="D64" i="399" a="1"/>
  <c r="D64" i="399" s="1"/>
  <c r="I64" i="399" s="1"/>
  <c r="D57" i="399" a="1"/>
  <c r="D57" i="399" s="1"/>
  <c r="I57" i="399" s="1"/>
  <c r="D52" i="399" a="1"/>
  <c r="D52" i="399" s="1"/>
  <c r="H52" i="399" s="1"/>
  <c r="D44" i="399" a="1"/>
  <c r="D44" i="399" s="1"/>
  <c r="I44" i="399" s="1"/>
  <c r="D42" i="399" a="1"/>
  <c r="D42" i="399" s="1"/>
  <c r="I42" i="399" s="1"/>
  <c r="D33" i="399" a="1"/>
  <c r="D33" i="399" s="1"/>
  <c r="D17" i="399" a="1"/>
  <c r="D17" i="399" s="1"/>
  <c r="I17" i="399" s="1"/>
  <c r="C9" i="399"/>
  <c r="D18" i="399" a="1"/>
  <c r="D18" i="399" s="1"/>
  <c r="D28" i="399" a="1"/>
  <c r="D28" i="399" s="1"/>
  <c r="D30" i="399" a="1"/>
  <c r="D30" i="399" s="1"/>
  <c r="D34" i="399" a="1"/>
  <c r="D34" i="399" s="1"/>
  <c r="I34" i="399" s="1"/>
  <c r="D40" i="399" a="1"/>
  <c r="D40" i="399" s="1"/>
  <c r="I40" i="399" s="1"/>
  <c r="C51" i="399"/>
  <c r="C50" i="399" s="1"/>
  <c r="C147" i="399" s="1"/>
  <c r="D55" i="399" a="1"/>
  <c r="D55" i="399" s="1"/>
  <c r="D60" i="399" a="1"/>
  <c r="D60" i="399" s="1"/>
  <c r="I60" i="399" s="1"/>
  <c r="D79" i="399" a="1"/>
  <c r="D79" i="399" s="1"/>
  <c r="D93" i="399" a="1"/>
  <c r="D93" i="399" s="1"/>
  <c r="I93" i="399" s="1"/>
  <c r="D97" i="399" a="1"/>
  <c r="D97" i="399" s="1"/>
  <c r="I97" i="399" s="1"/>
  <c r="D104" i="399" a="1"/>
  <c r="D104" i="399" s="1"/>
  <c r="I104" i="399" s="1"/>
  <c r="D111" i="399" a="1"/>
  <c r="D111" i="399" s="1"/>
  <c r="I111" i="399" s="1"/>
  <c r="D119" i="399" a="1"/>
  <c r="D119" i="399" s="1"/>
  <c r="I119" i="399" s="1"/>
  <c r="D125" i="399" a="1"/>
  <c r="D125" i="399" s="1"/>
  <c r="D126" i="399" a="1"/>
  <c r="D126" i="399" s="1"/>
  <c r="I126" i="399" s="1"/>
  <c r="D159" i="399" a="1"/>
  <c r="D159" i="399" s="1"/>
  <c r="I159" i="399" s="1"/>
  <c r="F162" i="401" a="1"/>
  <c r="F162" i="401" s="1"/>
  <c r="F159" i="401" a="1"/>
  <c r="F159" i="401" s="1"/>
  <c r="G159" i="401" s="1"/>
  <c r="F156" i="401" a="1"/>
  <c r="F156" i="401" s="1"/>
  <c r="G156" i="401" s="1"/>
  <c r="F142" i="401" a="1"/>
  <c r="F142" i="401" s="1"/>
  <c r="G142" i="401" s="1"/>
  <c r="F135" i="401" a="1"/>
  <c r="F135" i="401" s="1"/>
  <c r="G135" i="401" s="1"/>
  <c r="F131" i="401" a="1"/>
  <c r="F131" i="401" s="1"/>
  <c r="F127" i="401" a="1"/>
  <c r="F127" i="401" s="1"/>
  <c r="G127" i="401" s="1"/>
  <c r="F124" i="401" a="1"/>
  <c r="F124" i="401" s="1"/>
  <c r="F120" i="401" a="1"/>
  <c r="F120" i="401" s="1"/>
  <c r="F117" i="401" a="1"/>
  <c r="F117" i="401" s="1"/>
  <c r="G117" i="401" s="1"/>
  <c r="F113" i="401" a="1"/>
  <c r="F113" i="401" s="1"/>
  <c r="F109" i="401" a="1"/>
  <c r="F109" i="401" s="1"/>
  <c r="G109" i="401" s="1"/>
  <c r="F105" i="401" a="1"/>
  <c r="F105" i="401" s="1"/>
  <c r="G105" i="401" s="1"/>
  <c r="F101" i="401" a="1"/>
  <c r="F101" i="401" s="1"/>
  <c r="G101" i="401" s="1"/>
  <c r="F97" i="401" a="1"/>
  <c r="F97" i="401" s="1"/>
  <c r="F93" i="401" a="1"/>
  <c r="F93" i="401" s="1"/>
  <c r="G93" i="401" s="1"/>
  <c r="H93" i="401" s="1"/>
  <c r="F90" i="401" a="1"/>
  <c r="F90" i="401" s="1"/>
  <c r="G90" i="401" s="1"/>
  <c r="F88" i="401" a="1"/>
  <c r="F88" i="401" s="1"/>
  <c r="G88" i="401" s="1"/>
  <c r="F85" i="401" a="1"/>
  <c r="F85" i="401" s="1"/>
  <c r="F82" i="401" a="1"/>
  <c r="F82" i="401" s="1"/>
  <c r="G82" i="401" s="1"/>
  <c r="I82" i="401" s="1"/>
  <c r="F74" i="401" a="1"/>
  <c r="F74" i="401" s="1"/>
  <c r="G74" i="401" s="1"/>
  <c r="F67" i="401" a="1"/>
  <c r="F67" i="401" s="1"/>
  <c r="G67" i="401" s="1"/>
  <c r="F64" i="401" a="1"/>
  <c r="F64" i="401" s="1"/>
  <c r="G64" i="401" s="1"/>
  <c r="F62" i="401" a="1"/>
  <c r="F62" i="401" s="1"/>
  <c r="G62" i="401" s="1"/>
  <c r="H62" i="401" s="1"/>
  <c r="F59" i="401" a="1"/>
  <c r="F59" i="401" s="1"/>
  <c r="G59" i="401" s="1"/>
  <c r="F54" i="401" a="1"/>
  <c r="F54" i="401" s="1"/>
  <c r="G54" i="401" s="1"/>
  <c r="F52" i="401" a="1"/>
  <c r="F52" i="401" s="1"/>
  <c r="F41" i="401" a="1"/>
  <c r="F41" i="401" s="1"/>
  <c r="G41" i="401" s="1"/>
  <c r="F37" i="401" a="1"/>
  <c r="F37" i="401" s="1"/>
  <c r="G37" i="401" s="1"/>
  <c r="F34" i="401" a="1"/>
  <c r="F34" i="401" s="1"/>
  <c r="G34" i="401" s="1"/>
  <c r="F30" i="401" a="1"/>
  <c r="F30" i="401" s="1"/>
  <c r="F26" i="401" a="1"/>
  <c r="F26" i="401" s="1"/>
  <c r="G26" i="401" s="1"/>
  <c r="H26" i="401" s="1"/>
  <c r="F20" i="401" a="1"/>
  <c r="F20" i="401" s="1"/>
  <c r="G20" i="401" s="1"/>
  <c r="F16" i="401" a="1"/>
  <c r="F16" i="401" s="1"/>
  <c r="G16" i="401" s="1"/>
  <c r="F12" i="401" a="1"/>
  <c r="F12" i="401" s="1"/>
  <c r="G12" i="401" s="1"/>
  <c r="D7" i="401"/>
  <c r="F157" i="401" a="1"/>
  <c r="F157" i="401" s="1"/>
  <c r="G157" i="401" s="1"/>
  <c r="H157" i="401" s="1"/>
  <c r="F140" i="401" a="1"/>
  <c r="F140" i="401" s="1"/>
  <c r="G140" i="401" s="1"/>
  <c r="F129" i="401" a="1"/>
  <c r="F129" i="401" s="1"/>
  <c r="G129" i="401" s="1"/>
  <c r="F126" i="401" a="1"/>
  <c r="F126" i="401" s="1"/>
  <c r="G126" i="401" s="1"/>
  <c r="H126" i="401" s="1"/>
  <c r="F122" i="401" a="1"/>
  <c r="F122" i="401" s="1"/>
  <c r="G122" i="401" s="1"/>
  <c r="F119" i="401" a="1"/>
  <c r="F119" i="401" s="1"/>
  <c r="G119" i="401" s="1"/>
  <c r="F115" i="401" a="1"/>
  <c r="F115" i="401" s="1"/>
  <c r="F110" i="401" a="1"/>
  <c r="F110" i="401" s="1"/>
  <c r="G110" i="401" s="1"/>
  <c r="H110" i="401" s="1"/>
  <c r="F99" i="401" a="1"/>
  <c r="F99" i="401" s="1"/>
  <c r="G99" i="401" s="1"/>
  <c r="H99" i="401" s="1"/>
  <c r="F96" i="401" a="1"/>
  <c r="F96" i="401" s="1"/>
  <c r="G96" i="401" s="1"/>
  <c r="F87" i="401" a="1"/>
  <c r="F87" i="401" s="1"/>
  <c r="G87" i="401" s="1"/>
  <c r="F83" i="401" a="1"/>
  <c r="F83" i="401" s="1"/>
  <c r="G83" i="401" s="1"/>
  <c r="F73" i="401" a="1"/>
  <c r="F73" i="401" s="1"/>
  <c r="G73" i="401" s="1"/>
  <c r="H73" i="401" s="1"/>
  <c r="F68" i="401" a="1"/>
  <c r="F68" i="401" s="1"/>
  <c r="G68" i="401" s="1"/>
  <c r="F61" i="401" a="1"/>
  <c r="F61" i="401" s="1"/>
  <c r="G61" i="401" s="1"/>
  <c r="F57" i="401" a="1"/>
  <c r="F57" i="401" s="1"/>
  <c r="G57" i="401" s="1"/>
  <c r="F13" i="401" a="1"/>
  <c r="F13" i="401" s="1"/>
  <c r="G13" i="401" s="1"/>
  <c r="H13" i="401" s="1"/>
  <c r="F175" i="401" a="1"/>
  <c r="F175" i="401" s="1"/>
  <c r="F177" i="401" s="1"/>
  <c r="F163" i="401" a="1"/>
  <c r="F163" i="401" s="1"/>
  <c r="G163" i="401" s="1"/>
  <c r="F160" i="401" a="1"/>
  <c r="F160" i="401" s="1"/>
  <c r="G160" i="401" s="1"/>
  <c r="H160" i="401" s="1"/>
  <c r="F145" i="401" a="1"/>
  <c r="F145" i="401" s="1"/>
  <c r="F144" i="401" s="1"/>
  <c r="F141" i="401" a="1"/>
  <c r="F141" i="401" s="1"/>
  <c r="G141" i="401" s="1"/>
  <c r="F133" i="401" a="1"/>
  <c r="F133" i="401" s="1"/>
  <c r="G133" i="401" s="1"/>
  <c r="F130" i="401" a="1"/>
  <c r="F130" i="401" s="1"/>
  <c r="G130" i="401" s="1"/>
  <c r="H130" i="401" s="1"/>
  <c r="F128" i="401" a="1"/>
  <c r="F128" i="401" s="1"/>
  <c r="G128" i="401" s="1"/>
  <c r="F123" i="401" a="1"/>
  <c r="F123" i="401" s="1"/>
  <c r="F121" i="401" a="1"/>
  <c r="F121" i="401" s="1"/>
  <c r="G121" i="401" s="1"/>
  <c r="F116" i="401" a="1"/>
  <c r="F116" i="401" s="1"/>
  <c r="G116" i="401" s="1"/>
  <c r="H116" i="401" s="1"/>
  <c r="F114" i="401" a="1"/>
  <c r="F114" i="401" s="1"/>
  <c r="F103" i="401" a="1"/>
  <c r="F103" i="401" s="1"/>
  <c r="G103" i="401" s="1"/>
  <c r="F100" i="401" a="1"/>
  <c r="F100" i="401" s="1"/>
  <c r="G100" i="401" s="1"/>
  <c r="F98" i="401" a="1"/>
  <c r="F98" i="401" s="1"/>
  <c r="G98" i="401" s="1"/>
  <c r="H98" i="401" s="1"/>
  <c r="F91" i="401" a="1"/>
  <c r="F91" i="401" s="1"/>
  <c r="G91" i="401" s="1"/>
  <c r="F84" i="401" a="1"/>
  <c r="F84" i="401" s="1"/>
  <c r="G84" i="401" s="1"/>
  <c r="F81" i="401" a="1"/>
  <c r="F81" i="401" s="1"/>
  <c r="G81" i="401" s="1"/>
  <c r="F70" i="401" a="1"/>
  <c r="F70" i="401" s="1"/>
  <c r="G70" i="401" s="1"/>
  <c r="H70" i="401" s="1"/>
  <c r="F65" i="401" a="1"/>
  <c r="F65" i="401" s="1"/>
  <c r="G65" i="401" s="1"/>
  <c r="F60" i="401" a="1"/>
  <c r="F60" i="401" s="1"/>
  <c r="G60" i="401" s="1"/>
  <c r="F56" i="401" a="1"/>
  <c r="F56" i="401" s="1"/>
  <c r="F53" i="401" a="1"/>
  <c r="F53" i="401" s="1"/>
  <c r="G53" i="401" s="1"/>
  <c r="H53" i="401" s="1"/>
  <c r="F39" i="401" a="1"/>
  <c r="F39" i="401" s="1"/>
  <c r="G39" i="401" s="1"/>
  <c r="F33" i="401" a="1"/>
  <c r="F33" i="401" s="1"/>
  <c r="G33" i="401" s="1"/>
  <c r="F18" i="401" a="1"/>
  <c r="F18" i="401" s="1"/>
  <c r="G18" i="401" s="1"/>
  <c r="F10" i="401" a="1"/>
  <c r="F10" i="401" s="1"/>
  <c r="G10" i="401" s="1"/>
  <c r="H10" i="401" s="1"/>
  <c r="F6" i="401"/>
  <c r="F28" i="401" a="1"/>
  <c r="F28" i="401" s="1"/>
  <c r="F31" i="401" a="1"/>
  <c r="F31" i="401" s="1"/>
  <c r="F35" i="401" a="1"/>
  <c r="F35" i="401" s="1"/>
  <c r="G35" i="401" s="1"/>
  <c r="H35" i="401" s="1"/>
  <c r="F80" i="401" a="1"/>
  <c r="F80" i="401" s="1"/>
  <c r="G80" i="401" s="1"/>
  <c r="H80" i="401" s="1"/>
  <c r="F86" i="401" a="1"/>
  <c r="F86" i="401" s="1"/>
  <c r="G86" i="401" s="1"/>
  <c r="F107" i="401" a="1"/>
  <c r="F107" i="401" s="1"/>
  <c r="G107" i="401" s="1"/>
  <c r="F118" i="401" a="1"/>
  <c r="F118" i="401" s="1"/>
  <c r="G118" i="401" s="1"/>
  <c r="I118" i="401" s="1"/>
  <c r="C51" i="402"/>
  <c r="C50" i="402" s="1"/>
  <c r="C147" i="402" s="1"/>
  <c r="C165" i="402" s="1"/>
  <c r="C178" i="402" s="1"/>
  <c r="C78" i="402"/>
  <c r="C77" i="402" s="1"/>
  <c r="C76" i="402" s="1"/>
  <c r="C78" i="405"/>
  <c r="C77" i="405" s="1"/>
  <c r="C76" i="405" s="1"/>
  <c r="C11" i="402"/>
  <c r="C9" i="402"/>
  <c r="C164" i="402"/>
  <c r="F160" i="403" a="1"/>
  <c r="F160" i="403" s="1"/>
  <c r="G160" i="403" s="1"/>
  <c r="F155" i="403" a="1"/>
  <c r="F155" i="403" s="1"/>
  <c r="G155" i="403" s="1"/>
  <c r="F145" i="403" a="1"/>
  <c r="F145" i="403" s="1"/>
  <c r="F144" i="403" s="1"/>
  <c r="F141" i="403" a="1"/>
  <c r="F141" i="403" s="1"/>
  <c r="G141" i="403" s="1"/>
  <c r="F136" i="403" a="1"/>
  <c r="F136" i="403" s="1"/>
  <c r="G136" i="403" s="1"/>
  <c r="F132" i="403" a="1"/>
  <c r="F132" i="403" s="1"/>
  <c r="G132" i="403" s="1"/>
  <c r="F128" i="403" a="1"/>
  <c r="F128" i="403" s="1"/>
  <c r="G128" i="403" s="1"/>
  <c r="F124" i="403" a="1"/>
  <c r="F124" i="403" s="1"/>
  <c r="F120" i="403" a="1"/>
  <c r="F120" i="403" s="1"/>
  <c r="G120" i="403" s="1"/>
  <c r="F116" i="403" a="1"/>
  <c r="F116" i="403" s="1"/>
  <c r="F112" i="403" a="1"/>
  <c r="F112" i="403" s="1"/>
  <c r="F108" i="403" a="1"/>
  <c r="F108" i="403" s="1"/>
  <c r="G108" i="403" s="1"/>
  <c r="F104" i="403" a="1"/>
  <c r="F104" i="403" s="1"/>
  <c r="G104" i="403" s="1"/>
  <c r="F100" i="403" a="1"/>
  <c r="F100" i="403" s="1"/>
  <c r="G100" i="403" s="1"/>
  <c r="H100" i="403" s="1"/>
  <c r="F93" i="403" a="1"/>
  <c r="F93" i="403" s="1"/>
  <c r="G93" i="403" s="1"/>
  <c r="H93" i="403" s="1"/>
  <c r="F90" i="403" a="1"/>
  <c r="F90" i="403" s="1"/>
  <c r="G90" i="403" s="1"/>
  <c r="F87" i="403" a="1"/>
  <c r="F87" i="403" s="1"/>
  <c r="G87" i="403" s="1"/>
  <c r="F84" i="403" a="1"/>
  <c r="F84" i="403" s="1"/>
  <c r="G84" i="403" s="1"/>
  <c r="F80" i="403" a="1"/>
  <c r="F80" i="403" s="1"/>
  <c r="G80" i="403" s="1"/>
  <c r="F74" i="403" a="1"/>
  <c r="F74" i="403" s="1"/>
  <c r="G74" i="403" s="1"/>
  <c r="F67" i="403" a="1"/>
  <c r="F67" i="403" s="1"/>
  <c r="G67" i="403" s="1"/>
  <c r="F58" i="403" a="1"/>
  <c r="F58" i="403" s="1"/>
  <c r="G58" i="403" s="1"/>
  <c r="H58" i="403" s="1"/>
  <c r="F55" i="403" a="1"/>
  <c r="F55" i="403" s="1"/>
  <c r="G55" i="403" s="1"/>
  <c r="H55" i="403" s="1"/>
  <c r="F44" i="403" a="1"/>
  <c r="F44" i="403" s="1"/>
  <c r="F40" i="403" a="1"/>
  <c r="F40" i="403" s="1"/>
  <c r="G40" i="403" s="1"/>
  <c r="F28" i="403" a="1"/>
  <c r="F28" i="403" s="1"/>
  <c r="G28" i="403" s="1"/>
  <c r="H28" i="403" s="1"/>
  <c r="F23" i="403" a="1"/>
  <c r="F23" i="403" s="1"/>
  <c r="G23" i="403" s="1"/>
  <c r="F16" i="403" a="1"/>
  <c r="F16" i="403" s="1"/>
  <c r="G16" i="403" s="1"/>
  <c r="F13" i="403" a="1"/>
  <c r="F13" i="403" s="1"/>
  <c r="G13" i="403" s="1"/>
  <c r="F6" i="403"/>
  <c r="F161" i="403" a="1"/>
  <c r="F161" i="403" s="1"/>
  <c r="G161" i="403" s="1"/>
  <c r="F156" i="403" a="1"/>
  <c r="F156" i="403" s="1"/>
  <c r="F142" i="403" a="1"/>
  <c r="F142" i="403" s="1"/>
  <c r="G142" i="403" s="1"/>
  <c r="F137" i="403" a="1"/>
  <c r="F137" i="403" s="1"/>
  <c r="G137" i="403" s="1"/>
  <c r="H137" i="403" s="1"/>
  <c r="F133" i="403" a="1"/>
  <c r="F133" i="403" s="1"/>
  <c r="G133" i="403" s="1"/>
  <c r="F129" i="403" a="1"/>
  <c r="F129" i="403" s="1"/>
  <c r="G129" i="403" s="1"/>
  <c r="F125" i="403" a="1"/>
  <c r="F125" i="403" s="1"/>
  <c r="G125" i="403" s="1"/>
  <c r="F121" i="403" a="1"/>
  <c r="F121" i="403" s="1"/>
  <c r="G121" i="403" s="1"/>
  <c r="H121" i="403" s="1"/>
  <c r="F117" i="403" a="1"/>
  <c r="F117" i="403" s="1"/>
  <c r="G117" i="403" s="1"/>
  <c r="H117" i="403" s="1"/>
  <c r="F113" i="403" a="1"/>
  <c r="F113" i="403" s="1"/>
  <c r="G113" i="403" s="1"/>
  <c r="F109" i="403" a="1"/>
  <c r="F109" i="403" s="1"/>
  <c r="G109" i="403" s="1"/>
  <c r="F105" i="403" a="1"/>
  <c r="F105" i="403" s="1"/>
  <c r="G105" i="403" s="1"/>
  <c r="H105" i="403" s="1"/>
  <c r="F101" i="403" a="1"/>
  <c r="F101" i="403" s="1"/>
  <c r="G101" i="403" s="1"/>
  <c r="H101" i="403" s="1"/>
  <c r="F97" i="403" a="1"/>
  <c r="F97" i="403" s="1"/>
  <c r="G97" i="403" s="1"/>
  <c r="F94" i="403" a="1"/>
  <c r="F94" i="403" s="1"/>
  <c r="G94" i="403" s="1"/>
  <c r="F88" i="403" a="1"/>
  <c r="F88" i="403" s="1"/>
  <c r="G88" i="403" s="1"/>
  <c r="H88" i="403" s="1"/>
  <c r="F85" i="403" a="1"/>
  <c r="F85" i="403" s="1"/>
  <c r="G85" i="403" s="1"/>
  <c r="H85" i="403" s="1"/>
  <c r="F81" i="403" a="1"/>
  <c r="F81" i="403" s="1"/>
  <c r="G81" i="403" s="1"/>
  <c r="F72" i="403" a="1"/>
  <c r="F72" i="403" s="1"/>
  <c r="G72" i="403" s="1"/>
  <c r="F70" i="403" a="1"/>
  <c r="F70" i="403" s="1"/>
  <c r="G70" i="403" s="1"/>
  <c r="H70" i="403" s="1"/>
  <c r="F68" i="403" a="1"/>
  <c r="F68" i="403" s="1"/>
  <c r="G68" i="403" s="1"/>
  <c r="F64" i="403" a="1"/>
  <c r="F64" i="403" s="1"/>
  <c r="G64" i="403" s="1"/>
  <c r="F62" i="403" a="1"/>
  <c r="F62" i="403" s="1"/>
  <c r="G62" i="403" s="1"/>
  <c r="F59" i="403" a="1"/>
  <c r="F59" i="403" s="1"/>
  <c r="G59" i="403" s="1"/>
  <c r="H59" i="403" s="1"/>
  <c r="F53" i="403" a="1"/>
  <c r="F53" i="403" s="1"/>
  <c r="G53" i="403" s="1"/>
  <c r="I53" i="403" s="1"/>
  <c r="F45" i="403" a="1"/>
  <c r="F45" i="403" s="1"/>
  <c r="F41" i="403" a="1"/>
  <c r="F41" i="403" s="1"/>
  <c r="G41" i="403" s="1"/>
  <c r="F37" i="403" a="1"/>
  <c r="F37" i="403" s="1"/>
  <c r="G37" i="403" s="1"/>
  <c r="H37" i="403" s="1"/>
  <c r="F33" i="403" a="1"/>
  <c r="F33" i="403" s="1"/>
  <c r="G33" i="403" s="1"/>
  <c r="F20" i="403" a="1"/>
  <c r="F20" i="403" s="1"/>
  <c r="G20" i="403" s="1"/>
  <c r="F17" i="403" a="1"/>
  <c r="F17" i="403" s="1"/>
  <c r="F14" i="403" a="1"/>
  <c r="F14" i="403" s="1"/>
  <c r="G14" i="403" s="1"/>
  <c r="H14" i="403" s="1"/>
  <c r="F10" i="403" a="1"/>
  <c r="F10" i="403" s="1"/>
  <c r="G10" i="403" s="1"/>
  <c r="F18" i="403" a="1"/>
  <c r="F18" i="403" s="1"/>
  <c r="G18" i="403" s="1"/>
  <c r="F22" i="403" a="1"/>
  <c r="F22" i="403" s="1"/>
  <c r="G22" i="403" s="1"/>
  <c r="F26" i="403" a="1"/>
  <c r="F26" i="403" s="1"/>
  <c r="G26" i="403" s="1"/>
  <c r="H26" i="403" s="1"/>
  <c r="F35" i="403" a="1"/>
  <c r="F35" i="403" s="1"/>
  <c r="G35" i="403" s="1"/>
  <c r="H35" i="403" s="1"/>
  <c r="F42" i="403" a="1"/>
  <c r="F42" i="403" s="1"/>
  <c r="G42" i="403" s="1"/>
  <c r="F56" i="403" a="1"/>
  <c r="F56" i="403" s="1"/>
  <c r="F61" i="403" a="1"/>
  <c r="F61" i="403" s="1"/>
  <c r="G61" i="403" s="1"/>
  <c r="I61" i="403" s="1"/>
  <c r="F63" i="403" a="1"/>
  <c r="F63" i="403" s="1"/>
  <c r="G63" i="403" s="1"/>
  <c r="F66" i="403" a="1"/>
  <c r="F66" i="403" s="1"/>
  <c r="G66" i="403" s="1"/>
  <c r="F82" i="403" a="1"/>
  <c r="F82" i="403" s="1"/>
  <c r="G82" i="403" s="1"/>
  <c r="F89" i="403" a="1"/>
  <c r="F89" i="403" s="1"/>
  <c r="G89" i="403" s="1"/>
  <c r="I89" i="403" s="1"/>
  <c r="F95" i="403" a="1"/>
  <c r="F95" i="403" s="1"/>
  <c r="G95" i="403" s="1"/>
  <c r="F98" i="403" a="1"/>
  <c r="F98" i="403" s="1"/>
  <c r="G98" i="403" s="1"/>
  <c r="F103" i="403" a="1"/>
  <c r="F103" i="403" s="1"/>
  <c r="G103" i="403" s="1"/>
  <c r="F114" i="403" a="1"/>
  <c r="F114" i="403" s="1"/>
  <c r="G114" i="403" s="1"/>
  <c r="F119" i="403" a="1"/>
  <c r="F119" i="403" s="1"/>
  <c r="G119" i="403" s="1"/>
  <c r="F130" i="403" a="1"/>
  <c r="F130" i="403" s="1"/>
  <c r="F135" i="403" a="1"/>
  <c r="F135" i="403" s="1"/>
  <c r="G135" i="403" s="1"/>
  <c r="F140" i="403" a="1"/>
  <c r="F140" i="403" s="1"/>
  <c r="G140" i="403" s="1"/>
  <c r="F143" i="403" a="1"/>
  <c r="F143" i="403" s="1"/>
  <c r="E143" i="403" s="1"/>
  <c r="E139" i="403" s="1"/>
  <c r="F157" i="403" a="1"/>
  <c r="F157" i="403" s="1"/>
  <c r="G157" i="403" s="1"/>
  <c r="F158" i="403" a="1"/>
  <c r="F158" i="403" s="1"/>
  <c r="G158" i="403" s="1"/>
  <c r="F163" i="403" a="1"/>
  <c r="F163" i="403" s="1"/>
  <c r="G163" i="403" s="1"/>
  <c r="F175" i="403" a="1"/>
  <c r="F175" i="403" s="1"/>
  <c r="F177" i="403" s="1"/>
  <c r="C51" i="404"/>
  <c r="C50" i="404"/>
  <c r="D55" i="405" a="1"/>
  <c r="D55" i="405" s="1"/>
  <c r="D60" i="405" a="1"/>
  <c r="D60" i="405" s="1"/>
  <c r="D65" i="405" a="1"/>
  <c r="D65" i="405" s="1"/>
  <c r="I65" i="405" s="1"/>
  <c r="D71" i="405" a="1"/>
  <c r="D71" i="405" s="1"/>
  <c r="D87" i="405" a="1"/>
  <c r="D87" i="405" s="1"/>
  <c r="D94" i="405" a="1"/>
  <c r="D94" i="405" s="1"/>
  <c r="I94" i="405" s="1"/>
  <c r="D103" i="405" a="1"/>
  <c r="D103" i="405" s="1"/>
  <c r="I103" i="405" s="1"/>
  <c r="D112" i="405" a="1"/>
  <c r="D112" i="405" s="1"/>
  <c r="I112" i="405" s="1"/>
  <c r="D119" i="405" a="1"/>
  <c r="D119" i="405" s="1"/>
  <c r="I119" i="405" s="1"/>
  <c r="D127" i="405" a="1"/>
  <c r="D127" i="405" s="1"/>
  <c r="I127" i="405" s="1"/>
  <c r="D72" i="388" a="1"/>
  <c r="D72" i="388" s="1"/>
  <c r="D96" i="388" a="1"/>
  <c r="D96" i="388" s="1"/>
  <c r="D112" i="388" a="1"/>
  <c r="D112" i="388" s="1"/>
  <c r="D117" i="388" a="1"/>
  <c r="D117" i="388" s="1"/>
  <c r="I117" i="388" s="1"/>
  <c r="D122" i="394" a="1"/>
  <c r="D122" i="394" s="1"/>
  <c r="I122" i="394" s="1"/>
  <c r="D129" i="394" a="1"/>
  <c r="D129" i="394" s="1"/>
  <c r="I129" i="394" s="1"/>
  <c r="D132" i="394" a="1"/>
  <c r="D132" i="394" s="1"/>
  <c r="I132" i="394" s="1"/>
  <c r="D143" i="394" a="1"/>
  <c r="D143" i="394" s="1"/>
  <c r="F136" i="402" a="1"/>
  <c r="F136" i="402" s="1"/>
  <c r="G136" i="402" s="1"/>
  <c r="F143" i="402" a="1"/>
  <c r="F143" i="402" s="1"/>
  <c r="E143" i="402" s="1"/>
  <c r="E139" i="402" s="1"/>
  <c r="F145" i="402" a="1"/>
  <c r="F145" i="402" s="1"/>
  <c r="F144" i="402" s="1"/>
  <c r="C9" i="403"/>
  <c r="F30" i="403" a="1"/>
  <c r="F30" i="403" s="1"/>
  <c r="G30" i="403" s="1"/>
  <c r="C32" i="403"/>
  <c r="F38" i="403" a="1"/>
  <c r="F38" i="403" s="1"/>
  <c r="F43" i="403" a="1"/>
  <c r="F43" i="403" s="1"/>
  <c r="G43" i="403" s="1"/>
  <c r="F57" i="403" a="1"/>
  <c r="F57" i="403" s="1"/>
  <c r="G57" i="403" s="1"/>
  <c r="F83" i="403" a="1"/>
  <c r="F83" i="403" s="1"/>
  <c r="F91" i="403" a="1"/>
  <c r="F91" i="403" s="1"/>
  <c r="G91" i="403" s="1"/>
  <c r="F96" i="403" a="1"/>
  <c r="F96" i="403" s="1"/>
  <c r="G96" i="403" s="1"/>
  <c r="I96" i="403" s="1"/>
  <c r="F99" i="403" a="1"/>
  <c r="F99" i="403" s="1"/>
  <c r="G99" i="403" s="1"/>
  <c r="F110" i="403" a="1"/>
  <c r="F110" i="403" s="1"/>
  <c r="G110" i="403" s="1"/>
  <c r="F115" i="403" a="1"/>
  <c r="F115" i="403" s="1"/>
  <c r="G115" i="403" s="1"/>
  <c r="F126" i="403" a="1"/>
  <c r="F126" i="403" s="1"/>
  <c r="G126" i="403" s="1"/>
  <c r="F131" i="403" a="1"/>
  <c r="F131" i="403" s="1"/>
  <c r="C164" i="403"/>
  <c r="F159" i="403" a="1"/>
  <c r="F159" i="403" s="1"/>
  <c r="G159" i="403" s="1"/>
  <c r="H159" i="403" s="1"/>
  <c r="C21" i="404"/>
  <c r="C19" i="404"/>
  <c r="C29" i="404"/>
  <c r="C27" i="404"/>
  <c r="D160" i="405" a="1"/>
  <c r="D160" i="405" s="1"/>
  <c r="I160" i="405" s="1"/>
  <c r="D156" i="405" a="1"/>
  <c r="D156" i="405" s="1"/>
  <c r="D142" i="405" a="1"/>
  <c r="D142" i="405" s="1"/>
  <c r="I142" i="405" s="1"/>
  <c r="D135" i="405" a="1"/>
  <c r="D135" i="405" s="1"/>
  <c r="I135" i="405" s="1"/>
  <c r="D161" i="405" a="1"/>
  <c r="D161" i="405" s="1"/>
  <c r="I161" i="405" s="1"/>
  <c r="D157" i="405" a="1"/>
  <c r="D157" i="405" s="1"/>
  <c r="D143" i="405" a="1"/>
  <c r="D143" i="405" s="1"/>
  <c r="I143" i="405" s="1"/>
  <c r="D136" i="405" a="1"/>
  <c r="D136" i="405" s="1"/>
  <c r="I136" i="405" s="1"/>
  <c r="D132" i="405" a="1"/>
  <c r="D132" i="405" s="1"/>
  <c r="I132" i="405" s="1"/>
  <c r="D128" i="405" a="1"/>
  <c r="D128" i="405" s="1"/>
  <c r="I128" i="405" s="1"/>
  <c r="D125" i="405" a="1"/>
  <c r="D125" i="405" s="1"/>
  <c r="D121" i="405" a="1"/>
  <c r="D121" i="405" s="1"/>
  <c r="I121" i="405" s="1"/>
  <c r="D117" i="405" a="1"/>
  <c r="D117" i="405" s="1"/>
  <c r="I117" i="405" s="1"/>
  <c r="D113" i="405" a="1"/>
  <c r="D113" i="405" s="1"/>
  <c r="I113" i="405" s="1"/>
  <c r="D109" i="405" a="1"/>
  <c r="D109" i="405" s="1"/>
  <c r="I109" i="405" s="1"/>
  <c r="D105" i="405" a="1"/>
  <c r="D105" i="405" s="1"/>
  <c r="I105" i="405" s="1"/>
  <c r="D100" i="405" a="1"/>
  <c r="D100" i="405" s="1"/>
  <c r="I100" i="405" s="1"/>
  <c r="D96" i="405" a="1"/>
  <c r="D96" i="405" s="1"/>
  <c r="I96" i="405" s="1"/>
  <c r="D92" i="405" a="1"/>
  <c r="D92" i="405" s="1"/>
  <c r="I92" i="405" s="1"/>
  <c r="D88" i="405" a="1"/>
  <c r="D88" i="405" s="1"/>
  <c r="I88" i="405" s="1"/>
  <c r="D84" i="405" a="1"/>
  <c r="D84" i="405" s="1"/>
  <c r="D80" i="405" a="1"/>
  <c r="D80" i="405" s="1"/>
  <c r="I80" i="405" s="1"/>
  <c r="D74" i="405" a="1"/>
  <c r="D74" i="405" s="1"/>
  <c r="I74" i="405" s="1"/>
  <c r="D67" i="405" a="1"/>
  <c r="D67" i="405" s="1"/>
  <c r="D58" i="405" a="1"/>
  <c r="D58" i="405" s="1"/>
  <c r="I58" i="405" s="1"/>
  <c r="D53" i="405" a="1"/>
  <c r="D53" i="405" s="1"/>
  <c r="D43" i="405" a="1"/>
  <c r="D43" i="405" s="1"/>
  <c r="I43" i="405" s="1"/>
  <c r="D39" i="405" a="1"/>
  <c r="D39" i="405" s="1"/>
  <c r="I39" i="405" s="1"/>
  <c r="D28" i="405" a="1"/>
  <c r="D28" i="405" s="1"/>
  <c r="D23" i="405" a="1"/>
  <c r="D23" i="405" s="1"/>
  <c r="I23" i="405" s="1"/>
  <c r="D162" i="405" a="1"/>
  <c r="D162" i="405" s="1"/>
  <c r="I162" i="405" s="1"/>
  <c r="D158" i="405" a="1"/>
  <c r="D158" i="405" s="1"/>
  <c r="I158" i="405" s="1"/>
  <c r="D140" i="405" a="1"/>
  <c r="D140" i="405" s="1"/>
  <c r="D137" i="405" a="1"/>
  <c r="D137" i="405" s="1"/>
  <c r="I137" i="405" s="1"/>
  <c r="D133" i="405" a="1"/>
  <c r="D133" i="405" s="1"/>
  <c r="I133" i="405" s="1"/>
  <c r="D129" i="405" a="1"/>
  <c r="D129" i="405" s="1"/>
  <c r="I129" i="405" s="1"/>
  <c r="D122" i="405" a="1"/>
  <c r="D122" i="405" s="1"/>
  <c r="I122" i="405" s="1"/>
  <c r="D118" i="405" a="1"/>
  <c r="D118" i="405" s="1"/>
  <c r="I118" i="405" s="1"/>
  <c r="D114" i="405" a="1"/>
  <c r="D114" i="405" s="1"/>
  <c r="I114" i="405" s="1"/>
  <c r="D110" i="405" a="1"/>
  <c r="D110" i="405" s="1"/>
  <c r="I110" i="405" s="1"/>
  <c r="D106" i="405" a="1"/>
  <c r="D106" i="405" s="1"/>
  <c r="I106" i="405" s="1"/>
  <c r="D101" i="405" a="1"/>
  <c r="D101" i="405" s="1"/>
  <c r="I101" i="405" s="1"/>
  <c r="D97" i="405" a="1"/>
  <c r="D97" i="405" s="1"/>
  <c r="I97" i="405" s="1"/>
  <c r="D93" i="405" a="1"/>
  <c r="D93" i="405" s="1"/>
  <c r="I93" i="405" s="1"/>
  <c r="D89" i="405" a="1"/>
  <c r="D89" i="405" s="1"/>
  <c r="I89" i="405" s="1"/>
  <c r="D85" i="405" a="1"/>
  <c r="D85" i="405" s="1"/>
  <c r="I85" i="405" s="1"/>
  <c r="D81" i="405" a="1"/>
  <c r="D81" i="405" s="1"/>
  <c r="I81" i="405" s="1"/>
  <c r="D72" i="405" a="1"/>
  <c r="D72" i="405" s="1"/>
  <c r="D70" i="405" a="1"/>
  <c r="D70" i="405" s="1"/>
  <c r="D68" i="405" a="1"/>
  <c r="D68" i="405" s="1"/>
  <c r="D64" i="405" a="1"/>
  <c r="D64" i="405" s="1"/>
  <c r="I64" i="405" s="1"/>
  <c r="D62" i="405" a="1"/>
  <c r="D62" i="405" s="1"/>
  <c r="D59" i="405" a="1"/>
  <c r="D59" i="405" s="1"/>
  <c r="D56" i="405" a="1"/>
  <c r="D56" i="405" s="1"/>
  <c r="D44" i="405" a="1"/>
  <c r="D44" i="405" s="1"/>
  <c r="D40" i="405" a="1"/>
  <c r="D40" i="405" s="1"/>
  <c r="I40" i="405" s="1"/>
  <c r="D33" i="405" a="1"/>
  <c r="D33" i="405" s="1"/>
  <c r="D20" i="405" a="1"/>
  <c r="D20" i="405" s="1"/>
  <c r="D16" i="405" a="1"/>
  <c r="D16" i="405" s="1"/>
  <c r="D12" i="405" a="1"/>
  <c r="D12" i="405" s="1"/>
  <c r="D14" i="405" a="1"/>
  <c r="D14" i="405" s="1"/>
  <c r="I14" i="405" s="1"/>
  <c r="D17" i="405" a="1"/>
  <c r="D17" i="405" s="1"/>
  <c r="I17" i="405" s="1"/>
  <c r="D22" i="405" a="1"/>
  <c r="D22" i="405" s="1"/>
  <c r="D26" i="405" a="1"/>
  <c r="D26" i="405" s="1"/>
  <c r="D30" i="405" a="1"/>
  <c r="D30" i="405" s="1"/>
  <c r="D35" i="405" a="1"/>
  <c r="D35" i="405" s="1"/>
  <c r="I35" i="405" s="1"/>
  <c r="D37" i="405" a="1"/>
  <c r="D37" i="405" s="1"/>
  <c r="D41" i="405" a="1"/>
  <c r="D41" i="405" s="1"/>
  <c r="D45" i="405" a="1"/>
  <c r="D45" i="405" s="1"/>
  <c r="I45" i="405" s="1"/>
  <c r="D73" i="405" a="1"/>
  <c r="D73" i="405" s="1"/>
  <c r="I73" i="405" s="1"/>
  <c r="D83" i="405" a="1"/>
  <c r="D83" i="405" s="1"/>
  <c r="I83" i="405" s="1"/>
  <c r="D90" i="405" a="1"/>
  <c r="D90" i="405" s="1"/>
  <c r="I90" i="405" s="1"/>
  <c r="D99" i="405" a="1"/>
  <c r="D99" i="405" s="1"/>
  <c r="I99" i="405" s="1"/>
  <c r="D108" i="405" a="1"/>
  <c r="D108" i="405" s="1"/>
  <c r="I108" i="405" s="1"/>
  <c r="D115" i="405" a="1"/>
  <c r="D115" i="405" s="1"/>
  <c r="I115" i="405" s="1"/>
  <c r="D124" i="405" a="1"/>
  <c r="D124" i="405" s="1"/>
  <c r="I124" i="405" s="1"/>
  <c r="D130" i="405" a="1"/>
  <c r="D130" i="405" s="1"/>
  <c r="I130" i="405" s="1"/>
  <c r="D54" i="388" a="1"/>
  <c r="D54" i="388" s="1"/>
  <c r="I54" i="388" s="1"/>
  <c r="D59" i="388" a="1"/>
  <c r="D59" i="388" s="1"/>
  <c r="I59" i="388" s="1"/>
  <c r="D62" i="388" a="1"/>
  <c r="D62" i="388" s="1"/>
  <c r="D70" i="388" a="1"/>
  <c r="D70" i="388" s="1"/>
  <c r="D91" i="388" a="1"/>
  <c r="D91" i="388" s="1"/>
  <c r="I91" i="388" s="1"/>
  <c r="D94" i="388" a="1"/>
  <c r="D94" i="388" s="1"/>
  <c r="D103" i="388" a="1"/>
  <c r="D103" i="388" s="1"/>
  <c r="D120" i="388" a="1"/>
  <c r="D120" i="388" s="1"/>
  <c r="F23" i="397" a="1"/>
  <c r="F23" i="397" s="1"/>
  <c r="G23" i="397" s="1"/>
  <c r="F28" i="397" a="1"/>
  <c r="F28" i="397" s="1"/>
  <c r="G28" i="397" s="1"/>
  <c r="F33" i="397" a="1"/>
  <c r="F33" i="397" s="1"/>
  <c r="G33" i="397" s="1"/>
  <c r="H33" i="397" s="1"/>
  <c r="F37" i="397" a="1"/>
  <c r="F37" i="397" s="1"/>
  <c r="G37" i="397" s="1"/>
  <c r="H37" i="397" s="1"/>
  <c r="F41" i="397" a="1"/>
  <c r="F41" i="397" s="1"/>
  <c r="F55" i="397" a="1"/>
  <c r="F55" i="397" s="1"/>
  <c r="G55" i="397" s="1"/>
  <c r="I55" i="397" s="1"/>
  <c r="F58" i="397" a="1"/>
  <c r="F58" i="397" s="1"/>
  <c r="G58" i="397" s="1"/>
  <c r="I58" i="397" s="1"/>
  <c r="F61" i="397" a="1"/>
  <c r="F61" i="397" s="1"/>
  <c r="G61" i="397" s="1"/>
  <c r="F66" i="397" a="1"/>
  <c r="F66" i="397" s="1"/>
  <c r="G66" i="397" s="1"/>
  <c r="F69" i="397" a="1"/>
  <c r="F69" i="397" s="1"/>
  <c r="F71" i="397" a="1"/>
  <c r="F71" i="397" s="1"/>
  <c r="G71" i="397" s="1"/>
  <c r="I71" i="397" s="1"/>
  <c r="F73" i="397" a="1"/>
  <c r="F73" i="397" s="1"/>
  <c r="G73" i="397" s="1"/>
  <c r="H73" i="397" s="1"/>
  <c r="F82" i="397" a="1"/>
  <c r="F82" i="397" s="1"/>
  <c r="F86" i="397" a="1"/>
  <c r="F86" i="397" s="1"/>
  <c r="G86" i="397" s="1"/>
  <c r="H86" i="397" s="1"/>
  <c r="F90" i="397" a="1"/>
  <c r="F90" i="397" s="1"/>
  <c r="G90" i="397" s="1"/>
  <c r="H90" i="397" s="1"/>
  <c r="F94" i="397" a="1"/>
  <c r="F94" i="397" s="1"/>
  <c r="G94" i="397" s="1"/>
  <c r="H94" i="397" s="1"/>
  <c r="F98" i="397" a="1"/>
  <c r="F98" i="397" s="1"/>
  <c r="G98" i="397" s="1"/>
  <c r="H98" i="397" s="1"/>
  <c r="F102" i="397" a="1"/>
  <c r="F102" i="397" s="1"/>
  <c r="G102" i="397" s="1"/>
  <c r="H102" i="397" s="1"/>
  <c r="F106" i="397" a="1"/>
  <c r="F106" i="397" s="1"/>
  <c r="G106" i="397" s="1"/>
  <c r="H106" i="397" s="1"/>
  <c r="F110" i="397" a="1"/>
  <c r="F110" i="397" s="1"/>
  <c r="G110" i="397" s="1"/>
  <c r="H110" i="397" s="1"/>
  <c r="F114" i="397" a="1"/>
  <c r="F114" i="397" s="1"/>
  <c r="G114" i="397" s="1"/>
  <c r="F118" i="397" a="1"/>
  <c r="F118" i="397" s="1"/>
  <c r="G118" i="397" s="1"/>
  <c r="H118" i="397" s="1"/>
  <c r="F123" i="397" a="1"/>
  <c r="F123" i="397" s="1"/>
  <c r="F129" i="397" a="1"/>
  <c r="F129" i="397" s="1"/>
  <c r="G129" i="397" s="1"/>
  <c r="F133" i="397" a="1"/>
  <c r="F133" i="397" s="1"/>
  <c r="G133" i="397" s="1"/>
  <c r="H133" i="397" s="1"/>
  <c r="F137" i="397" a="1"/>
  <c r="F137" i="397" s="1"/>
  <c r="G137" i="397" s="1"/>
  <c r="H137" i="397" s="1"/>
  <c r="F140" i="397" a="1"/>
  <c r="F140" i="397" s="1"/>
  <c r="G140" i="397" s="1"/>
  <c r="H140" i="397" s="1"/>
  <c r="F143" i="397" a="1"/>
  <c r="F143" i="397" s="1"/>
  <c r="E143" i="397" s="1"/>
  <c r="E139" i="397" s="1"/>
  <c r="F156" i="397" a="1"/>
  <c r="F156" i="397" s="1"/>
  <c r="G156" i="397" s="1"/>
  <c r="F159" i="397" a="1"/>
  <c r="F159" i="397" s="1"/>
  <c r="G159" i="397" s="1"/>
  <c r="H159" i="397" s="1"/>
  <c r="F23" i="398" a="1"/>
  <c r="F23" i="398" s="1"/>
  <c r="F21" i="398" s="1"/>
  <c r="F19" i="398" s="1"/>
  <c r="F28" i="398" a="1"/>
  <c r="F28" i="398" s="1"/>
  <c r="G28" i="398" s="1"/>
  <c r="H28" i="398" s="1"/>
  <c r="F40" i="398" a="1"/>
  <c r="F40" i="398" s="1"/>
  <c r="G40" i="398" s="1"/>
  <c r="H40" i="398" s="1"/>
  <c r="F44" i="398" a="1"/>
  <c r="F44" i="398" s="1"/>
  <c r="G44" i="398" s="1"/>
  <c r="F53" i="398" a="1"/>
  <c r="F53" i="398" s="1"/>
  <c r="G53" i="398" s="1"/>
  <c r="H53" i="398" s="1"/>
  <c r="F56" i="398" a="1"/>
  <c r="F56" i="398" s="1"/>
  <c r="G56" i="398" s="1"/>
  <c r="H56" i="398" s="1"/>
  <c r="F59" i="398" a="1"/>
  <c r="F59" i="398" s="1"/>
  <c r="G59" i="398" s="1"/>
  <c r="H59" i="398" s="1"/>
  <c r="F62" i="398" a="1"/>
  <c r="F62" i="398" s="1"/>
  <c r="G62" i="398" s="1"/>
  <c r="F65" i="398" a="1"/>
  <c r="F65" i="398" s="1"/>
  <c r="G65" i="398" s="1"/>
  <c r="H65" i="398" s="1"/>
  <c r="F82" i="398" a="1"/>
  <c r="F82" i="398" s="1"/>
  <c r="G82" i="398" s="1"/>
  <c r="F85" i="398" a="1"/>
  <c r="F85" i="398" s="1"/>
  <c r="G85" i="398" s="1"/>
  <c r="H85" i="398" s="1"/>
  <c r="F88" i="398" a="1"/>
  <c r="F88" i="398" s="1"/>
  <c r="G88" i="398" s="1"/>
  <c r="H88" i="398" s="1"/>
  <c r="F98" i="398" a="1"/>
  <c r="F98" i="398" s="1"/>
  <c r="G98" i="398" s="1"/>
  <c r="H98" i="398" s="1"/>
  <c r="F102" i="398" a="1"/>
  <c r="F102" i="398" s="1"/>
  <c r="G102" i="398" s="1"/>
  <c r="H102" i="398" s="1"/>
  <c r="F106" i="398" a="1"/>
  <c r="F106" i="398" s="1"/>
  <c r="G106" i="398" s="1"/>
  <c r="H106" i="398" s="1"/>
  <c r="F110" i="398" a="1"/>
  <c r="F110" i="398" s="1"/>
  <c r="G110" i="398" s="1"/>
  <c r="H110" i="398" s="1"/>
  <c r="F114" i="398" a="1"/>
  <c r="F114" i="398" s="1"/>
  <c r="G114" i="398" s="1"/>
  <c r="H114" i="398" s="1"/>
  <c r="F118" i="398" a="1"/>
  <c r="F118" i="398" s="1"/>
  <c r="G118" i="398" s="1"/>
  <c r="H118" i="398" s="1"/>
  <c r="F122" i="398" a="1"/>
  <c r="F122" i="398" s="1"/>
  <c r="G122" i="398" s="1"/>
  <c r="F129" i="398" a="1"/>
  <c r="F129" i="398" s="1"/>
  <c r="G129" i="398" s="1"/>
  <c r="F133" i="398" a="1"/>
  <c r="F133" i="398" s="1"/>
  <c r="G133" i="398" s="1"/>
  <c r="H133" i="398" s="1"/>
  <c r="F137" i="398" a="1"/>
  <c r="F137" i="398" s="1"/>
  <c r="G137" i="398" s="1"/>
  <c r="H137" i="398" s="1"/>
  <c r="F142" i="398" a="1"/>
  <c r="F142" i="398" s="1"/>
  <c r="G142" i="398" s="1"/>
  <c r="F158" i="398" a="1"/>
  <c r="F158" i="398" s="1"/>
  <c r="G158" i="398" s="1"/>
  <c r="H158" i="398" s="1"/>
  <c r="C11" i="401"/>
  <c r="C9" i="401"/>
  <c r="C24" i="401" s="1"/>
  <c r="C48" i="401" s="1"/>
  <c r="C19" i="401"/>
  <c r="D163" i="394" a="1"/>
  <c r="D163" i="394" s="1"/>
  <c r="I163" i="394" s="1"/>
  <c r="D160" i="394" a="1"/>
  <c r="D160" i="394" s="1"/>
  <c r="I160" i="394" s="1"/>
  <c r="D156" i="394" a="1"/>
  <c r="D156" i="394" s="1"/>
  <c r="D142" i="394" a="1"/>
  <c r="D142" i="394" s="1"/>
  <c r="I142" i="394" s="1"/>
  <c r="D137" i="394" a="1"/>
  <c r="D137" i="394" s="1"/>
  <c r="I137" i="394" s="1"/>
  <c r="D133" i="394" a="1"/>
  <c r="D133" i="394" s="1"/>
  <c r="I133" i="394" s="1"/>
  <c r="D128" i="394" a="1"/>
  <c r="D128" i="394" s="1"/>
  <c r="D124" i="394" a="1"/>
  <c r="D124" i="394" s="1"/>
  <c r="I124" i="394" s="1"/>
  <c r="D120" i="394" a="1"/>
  <c r="D120" i="394" s="1"/>
  <c r="I120" i="394" s="1"/>
  <c r="D116" i="394" a="1"/>
  <c r="D116" i="394" s="1"/>
  <c r="I116" i="394" s="1"/>
  <c r="D111" i="394" a="1"/>
  <c r="D111" i="394" s="1"/>
  <c r="I111" i="394" s="1"/>
  <c r="D107" i="394" a="1"/>
  <c r="D107" i="394" s="1"/>
  <c r="I107" i="394" s="1"/>
  <c r="D103" i="394" a="1"/>
  <c r="D103" i="394" s="1"/>
  <c r="I103" i="394" s="1"/>
  <c r="D99" i="394" a="1"/>
  <c r="D99" i="394" s="1"/>
  <c r="I99" i="394" s="1"/>
  <c r="D95" i="394" a="1"/>
  <c r="D95" i="394" s="1"/>
  <c r="I95" i="394" s="1"/>
  <c r="D91" i="394" a="1"/>
  <c r="D91" i="394" s="1"/>
  <c r="D89" i="394" a="1"/>
  <c r="D89" i="394" s="1"/>
  <c r="D86" i="394" a="1"/>
  <c r="D86" i="394" s="1"/>
  <c r="D82" i="394" a="1"/>
  <c r="D82" i="394" s="1"/>
  <c r="I82" i="394" s="1"/>
  <c r="D65" i="394" a="1"/>
  <c r="D65" i="394" s="1"/>
  <c r="I65" i="394" s="1"/>
  <c r="D60" i="394" a="1"/>
  <c r="D60" i="394" s="1"/>
  <c r="I60" i="394" s="1"/>
  <c r="D56" i="394" a="1"/>
  <c r="D56" i="394" s="1"/>
  <c r="I56" i="394" s="1"/>
  <c r="D42" i="394" a="1"/>
  <c r="D42" i="394" s="1"/>
  <c r="I42" i="394" s="1"/>
  <c r="D38" i="394" a="1"/>
  <c r="D38" i="394" s="1"/>
  <c r="I38" i="394" s="1"/>
  <c r="D34" i="394" a="1"/>
  <c r="D34" i="394" s="1"/>
  <c r="D30" i="394" a="1"/>
  <c r="D30" i="394" s="1"/>
  <c r="D26" i="394" a="1"/>
  <c r="D26" i="394" s="1"/>
  <c r="D22" i="394" a="1"/>
  <c r="D22" i="394" s="1"/>
  <c r="D18" i="394" a="1"/>
  <c r="D18" i="394" s="1"/>
  <c r="I18" i="394" s="1"/>
  <c r="D12" i="394" a="1"/>
  <c r="D12" i="394" s="1"/>
  <c r="D28" i="394" a="1"/>
  <c r="D28" i="394" s="1"/>
  <c r="C32" i="394"/>
  <c r="D35" i="394" a="1"/>
  <c r="D35" i="394" s="1"/>
  <c r="I35" i="394" s="1"/>
  <c r="D40" i="394" a="1"/>
  <c r="D40" i="394" s="1"/>
  <c r="I40" i="394" s="1"/>
  <c r="D54" i="394" a="1"/>
  <c r="D54" i="394" s="1"/>
  <c r="I54" i="394" s="1"/>
  <c r="D61" i="394" a="1"/>
  <c r="D61" i="394" s="1"/>
  <c r="D62" i="394" a="1"/>
  <c r="D62" i="394" s="1"/>
  <c r="D66" i="394" a="1"/>
  <c r="D66" i="394" s="1"/>
  <c r="I66" i="394" s="1"/>
  <c r="D68" i="394" a="1"/>
  <c r="D68" i="394" s="1"/>
  <c r="D79" i="394" a="1"/>
  <c r="D79" i="394" s="1"/>
  <c r="D81" i="394" a="1"/>
  <c r="D81" i="394" s="1"/>
  <c r="I81" i="394" s="1"/>
  <c r="D88" i="394" a="1"/>
  <c r="D88" i="394" s="1"/>
  <c r="I88" i="394" s="1"/>
  <c r="D93" i="394" a="1"/>
  <c r="D93" i="394" s="1"/>
  <c r="I93" i="394" s="1"/>
  <c r="D100" i="394" a="1"/>
  <c r="D100" i="394" s="1"/>
  <c r="I100" i="394" s="1"/>
  <c r="D102" i="394" a="1"/>
  <c r="D102" i="394"/>
  <c r="I102" i="394" s="1"/>
  <c r="D109" i="394" a="1"/>
  <c r="D109" i="394" s="1"/>
  <c r="I109" i="394" s="1"/>
  <c r="D118" i="394" a="1"/>
  <c r="D118" i="394" s="1"/>
  <c r="I118" i="394" s="1"/>
  <c r="D125" i="394" a="1"/>
  <c r="D125" i="394" s="1"/>
  <c r="I125" i="394" s="1"/>
  <c r="D127" i="394" a="1"/>
  <c r="D127" i="394" s="1"/>
  <c r="I127" i="394" s="1"/>
  <c r="D135" i="394" a="1"/>
  <c r="D135" i="394" s="1"/>
  <c r="I135" i="394" s="1"/>
  <c r="D140" i="394" a="1"/>
  <c r="D140" i="394" s="1"/>
  <c r="D141" i="394" a="1"/>
  <c r="D141" i="394" s="1"/>
  <c r="I141" i="394" s="1"/>
  <c r="D161" i="394" a="1"/>
  <c r="D161" i="394" s="1"/>
  <c r="I161" i="394" s="1"/>
  <c r="F160" i="402" a="1"/>
  <c r="F160" i="402" s="1"/>
  <c r="G160" i="402" s="1"/>
  <c r="F156" i="402" a="1"/>
  <c r="F156" i="402" s="1"/>
  <c r="G156" i="402" s="1"/>
  <c r="F142" i="402" a="1"/>
  <c r="F142" i="402" s="1"/>
  <c r="G142" i="402" s="1"/>
  <c r="F137" i="402" a="1"/>
  <c r="F137" i="402" s="1"/>
  <c r="G137" i="402" s="1"/>
  <c r="F132" i="402" a="1"/>
  <c r="F132" i="402" s="1"/>
  <c r="G132" i="402" s="1"/>
  <c r="F128" i="402" a="1"/>
  <c r="F128" i="402" s="1"/>
  <c r="G128" i="402" s="1"/>
  <c r="F124" i="402" a="1"/>
  <c r="F124" i="402" s="1"/>
  <c r="G124" i="402" s="1"/>
  <c r="F120" i="402" a="1"/>
  <c r="F120" i="402" s="1"/>
  <c r="G120" i="402" s="1"/>
  <c r="F116" i="402" a="1"/>
  <c r="F116" i="402" s="1"/>
  <c r="G116" i="402" s="1"/>
  <c r="F112" i="402" a="1"/>
  <c r="F112" i="402" s="1"/>
  <c r="G112" i="402" s="1"/>
  <c r="F108" i="402" a="1"/>
  <c r="F108" i="402" s="1"/>
  <c r="G108" i="402" s="1"/>
  <c r="F104" i="402" a="1"/>
  <c r="F104" i="402" s="1"/>
  <c r="G104" i="402" s="1"/>
  <c r="F100" i="402" a="1"/>
  <c r="F100" i="402" s="1"/>
  <c r="G100" i="402" s="1"/>
  <c r="F93" i="402" a="1"/>
  <c r="F93" i="402" s="1"/>
  <c r="F90" i="402" a="1"/>
  <c r="F90" i="402" s="1"/>
  <c r="G90" i="402" s="1"/>
  <c r="F175" i="402" a="1"/>
  <c r="F175" i="402" s="1"/>
  <c r="F177" i="402" s="1"/>
  <c r="F162" i="402" a="1"/>
  <c r="F162" i="402" s="1"/>
  <c r="F161" i="402" a="1"/>
  <c r="F161" i="402" s="1"/>
  <c r="G161" i="402" s="1"/>
  <c r="F157" i="402" a="1"/>
  <c r="F157" i="402" s="1"/>
  <c r="G157" i="402" s="1"/>
  <c r="F140" i="402" a="1"/>
  <c r="F140" i="402" s="1"/>
  <c r="G140" i="402" s="1"/>
  <c r="F133" i="402" a="1"/>
  <c r="F133" i="402" s="1"/>
  <c r="G133" i="402" s="1"/>
  <c r="F129" i="402" a="1"/>
  <c r="F129" i="402" s="1"/>
  <c r="G129" i="402" s="1"/>
  <c r="F125" i="402" a="1"/>
  <c r="F125" i="402" s="1"/>
  <c r="G125" i="402" s="1"/>
  <c r="F121" i="402" a="1"/>
  <c r="F121" i="402" s="1"/>
  <c r="G121" i="402" s="1"/>
  <c r="F117" i="402" a="1"/>
  <c r="F117" i="402" s="1"/>
  <c r="G117" i="402" s="1"/>
  <c r="F113" i="402" a="1"/>
  <c r="F113" i="402" s="1"/>
  <c r="G113" i="402" s="1"/>
  <c r="F109" i="402" a="1"/>
  <c r="F109" i="402" s="1"/>
  <c r="G109" i="402" s="1"/>
  <c r="F105" i="402" a="1"/>
  <c r="F105" i="402" s="1"/>
  <c r="G105" i="402" s="1"/>
  <c r="F101" i="402" a="1"/>
  <c r="F101" i="402" s="1"/>
  <c r="G101" i="402" s="1"/>
  <c r="F97" i="402" a="1"/>
  <c r="F97" i="402" s="1"/>
  <c r="G97" i="402" s="1"/>
  <c r="F94" i="402" a="1"/>
  <c r="F94" i="402" s="1"/>
  <c r="G94" i="402" s="1"/>
  <c r="F87" i="402" a="1"/>
  <c r="F87" i="402" s="1"/>
  <c r="G87" i="402" s="1"/>
  <c r="F84" i="402" a="1"/>
  <c r="F84" i="402" s="1"/>
  <c r="G84" i="402" s="1"/>
  <c r="F80" i="402" a="1"/>
  <c r="F80" i="402" s="1"/>
  <c r="G80" i="402" s="1"/>
  <c r="F74" i="402" a="1"/>
  <c r="F74" i="402" s="1"/>
  <c r="G74" i="402" s="1"/>
  <c r="F66" i="402" a="1"/>
  <c r="F66" i="402" s="1"/>
  <c r="G66" i="402" s="1"/>
  <c r="F60" i="402" a="1"/>
  <c r="F60" i="402" s="1"/>
  <c r="G60" i="402" s="1"/>
  <c r="F56" i="402" a="1"/>
  <c r="F56" i="402" s="1"/>
  <c r="G56" i="402" s="1"/>
  <c r="F42" i="402" a="1"/>
  <c r="F42" i="402" s="1"/>
  <c r="G42" i="402" s="1"/>
  <c r="F38" i="402" a="1"/>
  <c r="F38" i="402" s="1"/>
  <c r="F34" i="402" a="1"/>
  <c r="F34" i="402" s="1"/>
  <c r="G34" i="402" s="1"/>
  <c r="F30" i="402" a="1"/>
  <c r="F30" i="402" s="1"/>
  <c r="F26" i="402" a="1"/>
  <c r="F26" i="402" s="1"/>
  <c r="G26" i="402" s="1"/>
  <c r="F22" i="402" a="1"/>
  <c r="F22" i="402" s="1"/>
  <c r="F21" i="402" s="1"/>
  <c r="F18" i="402" a="1"/>
  <c r="F18" i="402" s="1"/>
  <c r="F12" i="402" a="1"/>
  <c r="F12" i="402" s="1"/>
  <c r="G12" i="402" s="1"/>
  <c r="D7" i="402"/>
  <c r="F14" i="402" a="1"/>
  <c r="F14" i="402" s="1"/>
  <c r="G14" i="402" s="1"/>
  <c r="F17" i="402" a="1"/>
  <c r="F17" i="402" s="1"/>
  <c r="G17" i="402" s="1"/>
  <c r="F20" i="402" a="1"/>
  <c r="F20" i="402" s="1"/>
  <c r="G20" i="402" s="1"/>
  <c r="C21" i="402"/>
  <c r="C19" i="402"/>
  <c r="F31" i="402" a="1"/>
  <c r="F31" i="402" s="1"/>
  <c r="G31" i="402" s="1"/>
  <c r="F35" i="402" a="1"/>
  <c r="F35" i="402" s="1"/>
  <c r="G35" i="402" s="1"/>
  <c r="F39" i="402" a="1"/>
  <c r="F39" i="402" s="1"/>
  <c r="G39" i="402" s="1"/>
  <c r="F41" i="402" a="1"/>
  <c r="F41" i="402" s="1"/>
  <c r="G41" i="402" s="1"/>
  <c r="F44" i="402" a="1"/>
  <c r="F44" i="402" s="1"/>
  <c r="G44" i="402" s="1"/>
  <c r="F53" i="402" a="1"/>
  <c r="F53" i="402" s="1"/>
  <c r="G53" i="402" s="1"/>
  <c r="F57" i="402" a="1"/>
  <c r="F57" i="402" s="1"/>
  <c r="G57" i="402" s="1"/>
  <c r="F59" i="402" a="1"/>
  <c r="F59" i="402" s="1"/>
  <c r="G59" i="402" s="1"/>
  <c r="F71" i="402" a="1"/>
  <c r="F71" i="402" s="1"/>
  <c r="G71" i="402" s="1"/>
  <c r="F79" i="402" a="1"/>
  <c r="F79" i="402" s="1"/>
  <c r="G79" i="402" s="1"/>
  <c r="F82" i="402" a="1"/>
  <c r="F82" i="402" s="1"/>
  <c r="G82" i="402" s="1"/>
  <c r="F91" i="402" a="1"/>
  <c r="F91" i="402" s="1"/>
  <c r="G91" i="402" s="1"/>
  <c r="F96" i="402" a="1"/>
  <c r="F96" i="402" s="1"/>
  <c r="G96" i="402" s="1"/>
  <c r="F99" i="402" a="1"/>
  <c r="F99" i="402" s="1"/>
  <c r="F110" i="402" a="1"/>
  <c r="F110" i="402" s="1"/>
  <c r="F115" i="402" a="1"/>
  <c r="F115" i="402" s="1"/>
  <c r="G115" i="402" s="1"/>
  <c r="F126" i="402" a="1"/>
  <c r="F126" i="402" s="1"/>
  <c r="G126" i="402" s="1"/>
  <c r="F131" i="402" a="1"/>
  <c r="F131" i="402" s="1"/>
  <c r="G131" i="402" s="1"/>
  <c r="F159" i="402" a="1"/>
  <c r="F159" i="402" s="1"/>
  <c r="G159" i="402" s="1"/>
  <c r="D7" i="403"/>
  <c r="F12" i="403" a="1"/>
  <c r="F12" i="403" s="1"/>
  <c r="G12" i="403" s="1"/>
  <c r="F31" i="403" a="1"/>
  <c r="F31" i="403" s="1"/>
  <c r="G31" i="403" s="1"/>
  <c r="F39" i="403" a="1"/>
  <c r="F39" i="403" s="1"/>
  <c r="G39" i="403" s="1"/>
  <c r="F52" i="403" a="1"/>
  <c r="F52" i="403" s="1"/>
  <c r="G52" i="403" s="1"/>
  <c r="F54" i="403" a="1"/>
  <c r="F54" i="403" s="1"/>
  <c r="G54" i="403" s="1"/>
  <c r="F79" i="403" a="1"/>
  <c r="F79" i="403" s="1"/>
  <c r="G79" i="403" s="1"/>
  <c r="F92" i="403" a="1"/>
  <c r="F92" i="403" s="1"/>
  <c r="G92" i="403" s="1"/>
  <c r="F106" i="403" a="1"/>
  <c r="F106" i="403" s="1"/>
  <c r="G106" i="403" s="1"/>
  <c r="F111" i="403" a="1"/>
  <c r="F111" i="403" s="1"/>
  <c r="G111" i="403" s="1"/>
  <c r="F122" i="403" a="1"/>
  <c r="F122" i="403" s="1"/>
  <c r="F127" i="403" a="1"/>
  <c r="F127" i="403" s="1"/>
  <c r="G127" i="403" s="1"/>
  <c r="C78" i="404"/>
  <c r="C77" i="404" s="1"/>
  <c r="C76" i="404" s="1"/>
  <c r="C147" i="404" s="1"/>
  <c r="C165" i="404" s="1"/>
  <c r="C178" i="404" s="1"/>
  <c r="C27" i="405"/>
  <c r="C47" i="405"/>
  <c r="D52" i="405" a="1"/>
  <c r="D52" i="405" s="1"/>
  <c r="D54" i="405" a="1"/>
  <c r="D54" i="405" s="1"/>
  <c r="I54" i="405" s="1"/>
  <c r="D57" i="405" a="1"/>
  <c r="D57" i="405" s="1"/>
  <c r="I57" i="405" s="1"/>
  <c r="D61" i="405" a="1"/>
  <c r="D63" i="405" a="1"/>
  <c r="D66" i="405" a="1"/>
  <c r="D69" i="405" a="1"/>
  <c r="D61" i="405"/>
  <c r="D63" i="405"/>
  <c r="D66" i="405"/>
  <c r="I66" i="405" s="1"/>
  <c r="D69" i="405"/>
  <c r="D79" i="405" a="1"/>
  <c r="D79" i="405" s="1"/>
  <c r="D86" i="405" a="1"/>
  <c r="D86" i="405" s="1"/>
  <c r="I86" i="405" s="1"/>
  <c r="D95" i="405" a="1"/>
  <c r="D95" i="405" s="1"/>
  <c r="I95" i="405" s="1"/>
  <c r="D102" i="405" a="1"/>
  <c r="D102" i="405" s="1"/>
  <c r="I102" i="405" s="1"/>
  <c r="D104" i="405" a="1"/>
  <c r="D104" i="405" s="1"/>
  <c r="I104" i="405" s="1"/>
  <c r="D111" i="405" a="1"/>
  <c r="D111" i="405" s="1"/>
  <c r="I111" i="405" s="1"/>
  <c r="D120" i="405" a="1"/>
  <c r="D120" i="405" s="1"/>
  <c r="I120" i="405" s="1"/>
  <c r="D126" i="405" a="1"/>
  <c r="D126" i="405" s="1"/>
  <c r="I126" i="405" s="1"/>
  <c r="D145" i="405" a="1"/>
  <c r="D145" i="405" s="1"/>
  <c r="D155" i="405" a="1"/>
  <c r="D155" i="405" s="1"/>
  <c r="D159" i="405" a="1"/>
  <c r="D159" i="405" s="1"/>
  <c r="I159" i="405" s="1"/>
  <c r="D163" i="405" a="1"/>
  <c r="D163" i="405" s="1"/>
  <c r="I163" i="405" s="1"/>
  <c r="D14" i="388" a="1"/>
  <c r="D14" i="388" s="1"/>
  <c r="I14" i="388" s="1"/>
  <c r="D23" i="388" a="1"/>
  <c r="D23" i="388" s="1"/>
  <c r="I23" i="388" s="1"/>
  <c r="D43" i="388" a="1"/>
  <c r="D43" i="388" s="1"/>
  <c r="I43" i="388" s="1"/>
  <c r="D52" i="388" a="1"/>
  <c r="D52" i="388" s="1"/>
  <c r="D68" i="388" a="1"/>
  <c r="D68" i="388" s="1"/>
  <c r="C78" i="388"/>
  <c r="C77" i="388" s="1"/>
  <c r="C76" i="388" s="1"/>
  <c r="C147" i="388" s="1"/>
  <c r="D80" i="388" a="1"/>
  <c r="D80" i="388" s="1"/>
  <c r="I80" i="388" s="1"/>
  <c r="D89" i="388" a="1"/>
  <c r="D89" i="388" s="1"/>
  <c r="D105" i="394" a="1"/>
  <c r="D105" i="394" s="1"/>
  <c r="I105" i="394" s="1"/>
  <c r="D112" i="394" a="1"/>
  <c r="D112" i="394" s="1"/>
  <c r="I112" i="394" s="1"/>
  <c r="D114" i="394" a="1"/>
  <c r="D114" i="394" s="1"/>
  <c r="I114" i="394" s="1"/>
  <c r="D121" i="394" a="1"/>
  <c r="D121" i="394" s="1"/>
  <c r="I121" i="394" s="1"/>
  <c r="D123" i="394" a="1"/>
  <c r="D123" i="394" s="1"/>
  <c r="I123" i="394" s="1"/>
  <c r="D130" i="394" a="1"/>
  <c r="D130" i="394" s="1"/>
  <c r="I130" i="394" s="1"/>
  <c r="D131" i="394" a="1"/>
  <c r="D131" i="394" s="1"/>
  <c r="I131" i="394" s="1"/>
  <c r="D157" i="394" a="1"/>
  <c r="D157" i="394" s="1"/>
  <c r="I157" i="394" s="1"/>
  <c r="D159" i="394" a="1"/>
  <c r="D159" i="394" s="1"/>
  <c r="I159" i="394" s="1"/>
  <c r="F122" i="402" a="1"/>
  <c r="F122" i="402" s="1"/>
  <c r="G122" i="402" s="1"/>
  <c r="F127" i="402" a="1"/>
  <c r="F127" i="402" s="1"/>
  <c r="G127" i="402" s="1"/>
  <c r="F141" i="402" a="1"/>
  <c r="F141" i="402" s="1"/>
  <c r="G141" i="402" s="1"/>
  <c r="F155" i="402" a="1"/>
  <c r="F155" i="402" s="1"/>
  <c r="G155" i="402" s="1"/>
  <c r="C19" i="403"/>
  <c r="F34" i="403" a="1"/>
  <c r="F34" i="403" s="1"/>
  <c r="G34" i="403" s="1"/>
  <c r="C36" i="403"/>
  <c r="F60" i="403" a="1"/>
  <c r="F60" i="403" s="1"/>
  <c r="G60" i="403" s="1"/>
  <c r="F65" i="403" a="1"/>
  <c r="F65" i="403" s="1"/>
  <c r="G65" i="403" s="1"/>
  <c r="F69" i="403" a="1"/>
  <c r="F69" i="403" s="1"/>
  <c r="G69" i="403" s="1"/>
  <c r="F71" i="403" a="1"/>
  <c r="F71" i="403" s="1"/>
  <c r="G71" i="403" s="1"/>
  <c r="F73" i="403" a="1"/>
  <c r="F73" i="403" s="1"/>
  <c r="G73" i="403" s="1"/>
  <c r="F86" i="403" a="1"/>
  <c r="F86" i="403" s="1"/>
  <c r="G86" i="403" s="1"/>
  <c r="F102" i="403" a="1"/>
  <c r="F102" i="403" s="1"/>
  <c r="G102" i="403" s="1"/>
  <c r="F107" i="403" a="1"/>
  <c r="F107" i="403" s="1"/>
  <c r="G107" i="403" s="1"/>
  <c r="F118" i="403" a="1"/>
  <c r="F118" i="403" s="1"/>
  <c r="G118" i="403" s="1"/>
  <c r="F123" i="403" a="1"/>
  <c r="F123" i="403" s="1"/>
  <c r="G123" i="403" s="1"/>
  <c r="F134" i="403" a="1"/>
  <c r="F134" i="403" s="1"/>
  <c r="G134" i="403" s="1"/>
  <c r="F162" i="403" a="1"/>
  <c r="F162" i="403" s="1"/>
  <c r="G162" i="403" s="1"/>
  <c r="C36" i="404"/>
  <c r="D10" i="405" a="1"/>
  <c r="D10" i="405" s="1"/>
  <c r="D13" i="405" a="1"/>
  <c r="D13" i="405" s="1"/>
  <c r="I13" i="405" s="1"/>
  <c r="D18" i="405" a="1"/>
  <c r="D18" i="405" s="1"/>
  <c r="I18" i="405" s="1"/>
  <c r="D31" i="405" a="1"/>
  <c r="D31" i="405" s="1"/>
  <c r="I31" i="405" s="1"/>
  <c r="D34" i="405" a="1"/>
  <c r="D34" i="405" s="1"/>
  <c r="I34" i="405" s="1"/>
  <c r="D38" i="405" a="1"/>
  <c r="D38" i="405" s="1"/>
  <c r="I38" i="405" s="1"/>
  <c r="D42" i="405" a="1"/>
  <c r="D42" i="405" s="1"/>
  <c r="I42" i="405" s="1"/>
  <c r="D82" i="405" a="1"/>
  <c r="D82" i="405" s="1"/>
  <c r="I82" i="405" s="1"/>
  <c r="D91" i="405" a="1"/>
  <c r="D91" i="405" s="1"/>
  <c r="I91" i="405" s="1"/>
  <c r="D98" i="405" a="1"/>
  <c r="D98" i="405" s="1"/>
  <c r="I98" i="405" s="1"/>
  <c r="D107" i="405" a="1"/>
  <c r="D107" i="405" s="1"/>
  <c r="I107" i="405" s="1"/>
  <c r="D116" i="405" a="1"/>
  <c r="D116" i="405" s="1"/>
  <c r="I116" i="405" s="1"/>
  <c r="D123" i="405" a="1"/>
  <c r="D123" i="405" s="1"/>
  <c r="I123" i="405" s="1"/>
  <c r="D131" i="405" a="1"/>
  <c r="D131" i="405" s="1"/>
  <c r="I131" i="405" s="1"/>
  <c r="D141" i="405" a="1"/>
  <c r="D141" i="405" s="1"/>
  <c r="I141" i="405" s="1"/>
  <c r="D175" i="405" a="1"/>
  <c r="D175" i="405" s="1"/>
  <c r="D175" i="388" a="1"/>
  <c r="D175" i="388" s="1"/>
  <c r="D177" i="388" s="1"/>
  <c r="D161" i="388" a="1"/>
  <c r="D161" i="388" s="1"/>
  <c r="D155" i="388" a="1"/>
  <c r="D155" i="388" s="1"/>
  <c r="D145" i="388" a="1"/>
  <c r="D145" i="388" s="1"/>
  <c r="D144" i="388" s="1"/>
  <c r="D142" i="388" a="1"/>
  <c r="D142" i="388" s="1"/>
  <c r="D137" i="388" a="1"/>
  <c r="D137" i="388" s="1"/>
  <c r="I137" i="388" s="1"/>
  <c r="D133" i="388" a="1"/>
  <c r="D133" i="388" s="1"/>
  <c r="I133" i="388" s="1"/>
  <c r="D129" i="388" a="1"/>
  <c r="D129" i="388" s="1"/>
  <c r="I129" i="388" s="1"/>
  <c r="D159" i="388" a="1"/>
  <c r="D159" i="388" s="1"/>
  <c r="I159" i="388" s="1"/>
  <c r="D141" i="388" a="1"/>
  <c r="D141" i="388" s="1"/>
  <c r="I141" i="388" s="1"/>
  <c r="D140" i="388" a="1"/>
  <c r="D140" i="388" s="1"/>
  <c r="D135" i="388" a="1"/>
  <c r="D135" i="388" s="1"/>
  <c r="I135" i="388" s="1"/>
  <c r="D128" i="388" a="1"/>
  <c r="D128" i="388" s="1"/>
  <c r="I128" i="388" s="1"/>
  <c r="D126" i="388" a="1"/>
  <c r="D126" i="388" s="1"/>
  <c r="I126" i="388" s="1"/>
  <c r="D118" i="388" a="1"/>
  <c r="D118" i="388" s="1"/>
  <c r="D110" i="388" a="1"/>
  <c r="D110" i="388" s="1"/>
  <c r="I110" i="388" s="1"/>
  <c r="D107" i="388" a="1"/>
  <c r="D107" i="388" s="1"/>
  <c r="I107" i="388" s="1"/>
  <c r="D101" i="388" a="1"/>
  <c r="D101" i="388" s="1"/>
  <c r="I101" i="388" s="1"/>
  <c r="D99" i="388" a="1"/>
  <c r="D99" i="388" s="1"/>
  <c r="D92" i="388" a="1"/>
  <c r="D92" i="388" s="1"/>
  <c r="I92" i="388" s="1"/>
  <c r="D87" i="388" a="1"/>
  <c r="D87" i="388" s="1"/>
  <c r="I87" i="388" s="1"/>
  <c r="D85" i="388" a="1"/>
  <c r="D85" i="388" s="1"/>
  <c r="D83" i="388" a="1"/>
  <c r="D83" i="388" s="1"/>
  <c r="D81" i="388" a="1"/>
  <c r="D81" i="388" s="1"/>
  <c r="D63" i="388" a="1"/>
  <c r="D63" i="388" s="1"/>
  <c r="D60" i="388" a="1"/>
  <c r="D60" i="388" s="1"/>
  <c r="I60" i="388" s="1"/>
  <c r="D57" i="388" a="1"/>
  <c r="D57" i="388" s="1"/>
  <c r="I57" i="388" s="1"/>
  <c r="D55" i="388" a="1"/>
  <c r="D55" i="388" s="1"/>
  <c r="D44" i="388" a="1"/>
  <c r="D44" i="388" s="1"/>
  <c r="D35" i="388" a="1"/>
  <c r="D35" i="388" s="1"/>
  <c r="I35" i="388" s="1"/>
  <c r="D31" i="388" a="1"/>
  <c r="D31" i="388" s="1"/>
  <c r="I31" i="388" s="1"/>
  <c r="D20" i="388" a="1"/>
  <c r="D20" i="388" s="1"/>
  <c r="D17" i="388" a="1"/>
  <c r="D17" i="388" s="1"/>
  <c r="D12" i="388" a="1"/>
  <c r="D12" i="388" s="1"/>
  <c r="D158" i="388" a="1"/>
  <c r="D158" i="388" s="1"/>
  <c r="D156" i="388" a="1"/>
  <c r="D156" i="388" s="1"/>
  <c r="D143" i="388" a="1"/>
  <c r="D143" i="388" s="1"/>
  <c r="I143" i="388" s="1"/>
  <c r="D132" i="388" a="1"/>
  <c r="D132" i="388" s="1"/>
  <c r="I132" i="388" s="1"/>
  <c r="D130" i="388" a="1"/>
  <c r="D130" i="388" s="1"/>
  <c r="I130" i="388" s="1"/>
  <c r="D125" i="388" a="1"/>
  <c r="D125" i="388" s="1"/>
  <c r="D124" i="388" a="1"/>
  <c r="D124" i="388" s="1"/>
  <c r="D121" i="388" a="1"/>
  <c r="D121" i="388" s="1"/>
  <c r="I121" i="388" s="1"/>
  <c r="D115" i="388" a="1"/>
  <c r="D115" i="388" s="1"/>
  <c r="I115" i="388" s="1"/>
  <c r="D113" i="388" a="1"/>
  <c r="D113" i="388" s="1"/>
  <c r="D111" i="388" a="1"/>
  <c r="D111" i="388" s="1"/>
  <c r="D108" i="388" a="1"/>
  <c r="D108" i="388" s="1"/>
  <c r="D104" i="388" a="1"/>
  <c r="D104" i="388" s="1"/>
  <c r="I104" i="388" s="1"/>
  <c r="D102" i="388" a="1"/>
  <c r="D102" i="388" s="1"/>
  <c r="D97" i="388" a="1"/>
  <c r="D97" i="388" s="1"/>
  <c r="I97" i="388" s="1"/>
  <c r="D95" i="388" a="1"/>
  <c r="D95" i="388" s="1"/>
  <c r="D93" i="388" a="1"/>
  <c r="D93" i="388" s="1"/>
  <c r="D90" i="388" a="1"/>
  <c r="D90" i="388" s="1"/>
  <c r="D88" i="388" a="1"/>
  <c r="D88" i="388" s="1"/>
  <c r="D79" i="388" a="1"/>
  <c r="D79" i="388" s="1"/>
  <c r="D73" i="388" a="1"/>
  <c r="D73" i="388" s="1"/>
  <c r="I73" i="388" s="1"/>
  <c r="D71" i="388" a="1"/>
  <c r="D71" i="388" s="1"/>
  <c r="D69" i="388" a="1"/>
  <c r="D69" i="388" s="1"/>
  <c r="D66" i="388" a="1"/>
  <c r="D66" i="388" s="1"/>
  <c r="I66" i="388" s="1"/>
  <c r="D61" i="388" a="1"/>
  <c r="D61" i="388" s="1"/>
  <c r="D58" i="388" a="1"/>
  <c r="D58" i="388" s="1"/>
  <c r="D53" i="388" a="1"/>
  <c r="D53" i="388" s="1"/>
  <c r="D41" i="388" a="1"/>
  <c r="D41" i="388" s="1"/>
  <c r="I41" i="388" s="1"/>
  <c r="D38" i="388" a="1"/>
  <c r="D38" i="388" s="1"/>
  <c r="I38" i="388" s="1"/>
  <c r="D10" i="388" a="1"/>
  <c r="D10" i="388" s="1"/>
  <c r="D160" i="388" a="1"/>
  <c r="D160" i="388" s="1"/>
  <c r="D136" i="388" a="1"/>
  <c r="D136" i="388" s="1"/>
  <c r="I136" i="388" s="1"/>
  <c r="D134" i="388" a="1"/>
  <c r="D134" i="388" s="1"/>
  <c r="I134" i="388" s="1"/>
  <c r="D127" i="388" a="1"/>
  <c r="D127" i="388" s="1"/>
  <c r="I127" i="388" s="1"/>
  <c r="D122" i="388" a="1"/>
  <c r="D122" i="388" s="1"/>
  <c r="I122" i="388" s="1"/>
  <c r="D119" i="388" a="1"/>
  <c r="D119" i="388" s="1"/>
  <c r="I119" i="388" s="1"/>
  <c r="D116" i="388" a="1"/>
  <c r="D116" i="388" s="1"/>
  <c r="I116" i="388" s="1"/>
  <c r="D109" i="388" a="1"/>
  <c r="D109" i="388" s="1"/>
  <c r="D105" i="388" a="1"/>
  <c r="D105" i="388" s="1"/>
  <c r="I105" i="388" s="1"/>
  <c r="D100" i="388" a="1"/>
  <c r="D100" i="388" s="1"/>
  <c r="D98" i="388" a="1"/>
  <c r="D98" i="388" s="1"/>
  <c r="D86" i="388" a="1"/>
  <c r="D86" i="388" s="1"/>
  <c r="D84" i="388" a="1"/>
  <c r="D84" i="388" s="1"/>
  <c r="D82" i="388" a="1"/>
  <c r="D82" i="388" s="1"/>
  <c r="D74" i="388" a="1"/>
  <c r="D74" i="388" s="1"/>
  <c r="I74" i="388" s="1"/>
  <c r="D67" i="388" a="1"/>
  <c r="D67" i="388" s="1"/>
  <c r="D64" i="388" a="1"/>
  <c r="D64" i="388" s="1"/>
  <c r="I64" i="388" s="1"/>
  <c r="D56" i="388" a="1"/>
  <c r="D56" i="388" s="1"/>
  <c r="D45" i="388" a="1"/>
  <c r="D45" i="388" s="1"/>
  <c r="I45" i="388" s="1"/>
  <c r="D42" i="388" a="1"/>
  <c r="D42" i="388" s="1"/>
  <c r="I42" i="388" s="1"/>
  <c r="D39" i="388" a="1"/>
  <c r="D39" i="388" s="1"/>
  <c r="I39" i="388" s="1"/>
  <c r="D33" i="388" a="1"/>
  <c r="D33" i="388" s="1"/>
  <c r="D30" i="388" a="1"/>
  <c r="D30" i="388" s="1"/>
  <c r="D28" i="388" a="1"/>
  <c r="D28" i="388" s="1"/>
  <c r="D26" i="388" a="1"/>
  <c r="D26" i="388" s="1"/>
  <c r="D22" i="388" a="1"/>
  <c r="D22" i="388" s="1"/>
  <c r="D18" i="388" a="1"/>
  <c r="D18" i="388" s="1"/>
  <c r="I18" i="388" s="1"/>
  <c r="D16" i="388" a="1"/>
  <c r="D16" i="388" s="1"/>
  <c r="D13" i="388" a="1"/>
  <c r="D13" i="388" s="1"/>
  <c r="I13" i="388" s="1"/>
  <c r="D163" i="388" a="1"/>
  <c r="D163" i="388" s="1"/>
  <c r="I163" i="388" s="1"/>
  <c r="D162" i="388" a="1"/>
  <c r="D162" i="388" s="1"/>
  <c r="D157" i="388" a="1"/>
  <c r="D157" i="388" s="1"/>
  <c r="D131" i="388" a="1"/>
  <c r="D131" i="388" s="1"/>
  <c r="I131" i="388" s="1"/>
  <c r="D123" i="388" a="1"/>
  <c r="D123" i="388" s="1"/>
  <c r="I123" i="388" s="1"/>
  <c r="D40" i="388" a="1"/>
  <c r="D40" i="388" s="1"/>
  <c r="D65" i="388" a="1"/>
  <c r="D65" i="388" s="1"/>
  <c r="D106" i="388" a="1"/>
  <c r="D106" i="388" s="1"/>
  <c r="I106" i="388" s="1"/>
  <c r="C164" i="388"/>
  <c r="D137" i="418" a="1"/>
  <c r="D137" i="418" s="1"/>
  <c r="E137" i="418" s="1"/>
  <c r="D135" i="418" a="1"/>
  <c r="D135" i="418" s="1"/>
  <c r="E135" i="418" s="1"/>
  <c r="D133" i="418" a="1"/>
  <c r="D133" i="418" s="1"/>
  <c r="E133" i="418" s="1"/>
  <c r="D131" i="418" a="1"/>
  <c r="D131" i="418" s="1"/>
  <c r="E131" i="418" s="1"/>
  <c r="D129" i="418" a="1"/>
  <c r="D129" i="418" s="1"/>
  <c r="E129" i="418" s="1"/>
  <c r="D127" i="418" a="1"/>
  <c r="D127" i="418" s="1"/>
  <c r="E127" i="418" s="1"/>
  <c r="D125" i="418" a="1"/>
  <c r="D125" i="418" s="1"/>
  <c r="E125" i="418" s="1"/>
  <c r="D123" i="418" a="1"/>
  <c r="D123" i="418" s="1"/>
  <c r="E123" i="418" s="1"/>
  <c r="D121" i="418" a="1"/>
  <c r="D121" i="418" s="1"/>
  <c r="E121" i="418" s="1"/>
  <c r="D119" i="418" a="1"/>
  <c r="D119" i="418" s="1"/>
  <c r="E119" i="418" s="1"/>
  <c r="D117" i="418" a="1"/>
  <c r="D117" i="418" s="1"/>
  <c r="D115" i="418" a="1"/>
  <c r="D115" i="418" s="1"/>
  <c r="E115" i="418" s="1"/>
  <c r="D113" i="418" a="1"/>
  <c r="D113" i="418" s="1"/>
  <c r="E113" i="418" s="1"/>
  <c r="D111" i="418" a="1"/>
  <c r="D111" i="418" s="1"/>
  <c r="E111" i="418" s="1"/>
  <c r="D109" i="418" a="1"/>
  <c r="D109" i="418" s="1"/>
  <c r="E109" i="418" s="1"/>
  <c r="D107" i="418" a="1"/>
  <c r="D107" i="418" s="1"/>
  <c r="E107" i="418" s="1"/>
  <c r="D105" i="418" a="1"/>
  <c r="D105" i="418" s="1"/>
  <c r="E105" i="418" s="1"/>
  <c r="D103" i="418" a="1"/>
  <c r="D103" i="418" s="1"/>
  <c r="E103" i="418" s="1"/>
  <c r="D101" i="418" a="1"/>
  <c r="D101" i="418" s="1"/>
  <c r="E101" i="418" s="1"/>
  <c r="D99" i="418" a="1"/>
  <c r="D99" i="418" s="1"/>
  <c r="E99" i="418" s="1"/>
  <c r="D97" i="418" a="1"/>
  <c r="D97" i="418" s="1"/>
  <c r="E97" i="418" s="1"/>
  <c r="D95" i="418" a="1"/>
  <c r="D95" i="418" s="1"/>
  <c r="E95" i="418" s="1"/>
  <c r="D93" i="418" a="1"/>
  <c r="D93" i="418" s="1"/>
  <c r="E93" i="418" s="1"/>
  <c r="D91" i="418" a="1"/>
  <c r="D91" i="418" s="1"/>
  <c r="E91" i="418" s="1"/>
  <c r="D89" i="418" a="1"/>
  <c r="D89" i="418" s="1"/>
  <c r="E89" i="418" s="1"/>
  <c r="D87" i="418" a="1"/>
  <c r="D87" i="418" s="1"/>
  <c r="E87" i="418" s="1"/>
  <c r="D85" i="418" a="1"/>
  <c r="D85" i="418" s="1"/>
  <c r="E85" i="418" s="1"/>
  <c r="D83" i="418" a="1"/>
  <c r="D83" i="418" s="1"/>
  <c r="E83" i="418" s="1"/>
  <c r="D81" i="418" a="1"/>
  <c r="D81" i="418" s="1"/>
  <c r="E81" i="418" s="1"/>
  <c r="D79" i="418" a="1"/>
  <c r="D79" i="418" s="1"/>
  <c r="E79" i="418" s="1"/>
  <c r="D77" i="418" a="1"/>
  <c r="D77" i="418" s="1"/>
  <c r="E77" i="418" s="1"/>
  <c r="D75" i="418" a="1"/>
  <c r="D75" i="418" s="1"/>
  <c r="E75" i="418" s="1"/>
  <c r="D71" i="418" a="1"/>
  <c r="D71" i="418" s="1"/>
  <c r="E71" i="418" s="1"/>
  <c r="D69" i="418" a="1"/>
  <c r="D69" i="418" s="1"/>
  <c r="E69" i="418" s="1"/>
  <c r="D67" i="418" a="1"/>
  <c r="D67" i="418" s="1"/>
  <c r="E67" i="418" s="1"/>
  <c r="D65" i="418" a="1"/>
  <c r="D65" i="418" s="1"/>
  <c r="E65" i="418" s="1"/>
  <c r="D63" i="418" a="1"/>
  <c r="D63" i="418" s="1"/>
  <c r="E63" i="418" s="1"/>
  <c r="D61" i="418" a="1"/>
  <c r="D61" i="418" s="1"/>
  <c r="E61" i="418" s="1"/>
  <c r="D59" i="418" a="1"/>
  <c r="D59" i="418" s="1"/>
  <c r="E59" i="418" s="1"/>
  <c r="D57" i="418" a="1"/>
  <c r="D57" i="418" s="1"/>
  <c r="E57" i="418" s="1"/>
  <c r="D55" i="418" a="1"/>
  <c r="D55" i="418" s="1"/>
  <c r="E55" i="418" s="1"/>
  <c r="D53" i="418" a="1"/>
  <c r="D53" i="418" s="1"/>
  <c r="E53" i="418" s="1"/>
  <c r="D51" i="418" a="1"/>
  <c r="D51" i="418" s="1"/>
  <c r="E51" i="418" s="1"/>
  <c r="D49" i="418" a="1"/>
  <c r="D49" i="418" s="1"/>
  <c r="E49" i="418" s="1"/>
  <c r="D44" i="418" a="1"/>
  <c r="D44" i="418" s="1"/>
  <c r="E44" i="418" s="1"/>
  <c r="D42" i="418" a="1"/>
  <c r="D42" i="418" s="1"/>
  <c r="E42" i="418" s="1"/>
  <c r="D40" i="418" a="1"/>
  <c r="D40" i="418" s="1"/>
  <c r="E40" i="418" s="1"/>
  <c r="D38" i="418" a="1"/>
  <c r="D38" i="418" s="1"/>
  <c r="E38" i="418" s="1"/>
  <c r="D36" i="418" a="1"/>
  <c r="D36" i="418" s="1"/>
  <c r="E36" i="418" s="1"/>
  <c r="D33" i="418" a="1"/>
  <c r="D33" i="418" s="1"/>
  <c r="E33" i="418" s="1"/>
  <c r="D30" i="418" a="1"/>
  <c r="D30" i="418" s="1"/>
  <c r="E30" i="418" s="1"/>
  <c r="D27" i="418" a="1"/>
  <c r="D27" i="418" s="1"/>
  <c r="E27" i="418" s="1"/>
  <c r="D24" i="418" a="1"/>
  <c r="D24" i="418" s="1"/>
  <c r="E24" i="418" s="1"/>
  <c r="D21" i="418" a="1"/>
  <c r="D21" i="418" s="1"/>
  <c r="E21" i="418" s="1"/>
  <c r="D18" i="418" a="1"/>
  <c r="D18" i="418" s="1"/>
  <c r="E18" i="418" s="1"/>
  <c r="D15" i="418" a="1"/>
  <c r="D15" i="418" s="1"/>
  <c r="E15" i="418" s="1"/>
  <c r="D13" i="418" a="1"/>
  <c r="D13" i="418" s="1"/>
  <c r="E13" i="418" s="1"/>
  <c r="D14" i="418" a="1"/>
  <c r="D14" i="418" s="1"/>
  <c r="E14" i="418" s="1"/>
  <c r="D25" i="418" a="1"/>
  <c r="D25" i="418" s="1"/>
  <c r="E25" i="418" s="1"/>
  <c r="D37" i="418" a="1"/>
  <c r="D37" i="418" s="1"/>
  <c r="E37" i="418" s="1"/>
  <c r="D48" i="418" a="1"/>
  <c r="D48" i="418" s="1"/>
  <c r="E48" i="418" s="1"/>
  <c r="D56" i="418" a="1"/>
  <c r="D56" i="418" s="1"/>
  <c r="E56" i="418" s="1"/>
  <c r="D64" i="418" a="1"/>
  <c r="D64" i="418" s="1"/>
  <c r="E64" i="418" s="1"/>
  <c r="D72" i="418" a="1"/>
  <c r="D72" i="418" s="1"/>
  <c r="E72" i="418" s="1"/>
  <c r="D82" i="418" a="1"/>
  <c r="D82" i="418" s="1"/>
  <c r="E82" i="418" s="1"/>
  <c r="D90" i="418" a="1"/>
  <c r="D90" i="418" s="1"/>
  <c r="E90" i="418" s="1"/>
  <c r="D98" i="418" a="1"/>
  <c r="D98" i="418" s="1"/>
  <c r="E98" i="418" s="1"/>
  <c r="D106" i="418" a="1"/>
  <c r="D106" i="418" s="1"/>
  <c r="E106" i="418" s="1"/>
  <c r="D114" i="418" a="1"/>
  <c r="D114" i="418" s="1"/>
  <c r="E114" i="418" s="1"/>
  <c r="D122" i="418" a="1"/>
  <c r="D122" i="418" s="1"/>
  <c r="E122" i="418" s="1"/>
  <c r="D130" i="418" a="1"/>
  <c r="D130" i="418" s="1"/>
  <c r="E130" i="418" s="1"/>
  <c r="F33" i="394" a="1"/>
  <c r="F33" i="394" s="1"/>
  <c r="G33" i="394" s="1"/>
  <c r="F37" i="394" a="1"/>
  <c r="F37" i="394" s="1"/>
  <c r="G37" i="394" s="1"/>
  <c r="H37" i="394" s="1"/>
  <c r="F41" i="394" a="1"/>
  <c r="F41" i="394" s="1"/>
  <c r="G41" i="394" s="1"/>
  <c r="H41" i="394" s="1"/>
  <c r="F45" i="394" a="1"/>
  <c r="F45" i="394" s="1"/>
  <c r="G45" i="394" s="1"/>
  <c r="H45" i="394" s="1"/>
  <c r="F53" i="394" a="1"/>
  <c r="F53" i="394" s="1"/>
  <c r="G53" i="394" s="1"/>
  <c r="H53" i="394" s="1"/>
  <c r="F59" i="394" a="1"/>
  <c r="F59" i="394" s="1"/>
  <c r="G59" i="394" s="1"/>
  <c r="H59" i="394" s="1"/>
  <c r="F62" i="394" a="1"/>
  <c r="F62" i="394" s="1"/>
  <c r="G62" i="394" s="1"/>
  <c r="F64" i="394" a="1"/>
  <c r="F64" i="394" s="1"/>
  <c r="G64" i="394" s="1"/>
  <c r="H64" i="394" s="1"/>
  <c r="F68" i="394" a="1"/>
  <c r="F68" i="394" s="1"/>
  <c r="G68" i="394" s="1"/>
  <c r="F70" i="394" a="1"/>
  <c r="F70" i="394" s="1"/>
  <c r="F72" i="394" a="1"/>
  <c r="F72" i="394" s="1"/>
  <c r="G72" i="394" s="1"/>
  <c r="F81" i="394" a="1"/>
  <c r="F81" i="394" s="1"/>
  <c r="G81" i="394" s="1"/>
  <c r="F85" i="394" a="1"/>
  <c r="F85" i="394" s="1"/>
  <c r="G85" i="394" s="1"/>
  <c r="H85" i="394" s="1"/>
  <c r="F88" i="394" a="1"/>
  <c r="F88" i="394" s="1"/>
  <c r="G88" i="394" s="1"/>
  <c r="F94" i="394" a="1"/>
  <c r="F94" i="394" s="1"/>
  <c r="G94" i="394" s="1"/>
  <c r="H94" i="394" s="1"/>
  <c r="F98" i="394" a="1"/>
  <c r="F98" i="394" s="1"/>
  <c r="G98" i="394" s="1"/>
  <c r="H98" i="394" s="1"/>
  <c r="F102" i="394" a="1"/>
  <c r="F102" i="394" s="1"/>
  <c r="G102" i="394" s="1"/>
  <c r="H102" i="394" s="1"/>
  <c r="F106" i="394" a="1"/>
  <c r="F106" i="394" s="1"/>
  <c r="G106" i="394" s="1"/>
  <c r="F110" i="394" a="1"/>
  <c r="F110" i="394" s="1"/>
  <c r="G110" i="394" s="1"/>
  <c r="H110" i="394" s="1"/>
  <c r="F115" i="394" a="1"/>
  <c r="F115" i="394" s="1"/>
  <c r="G115" i="394" s="1"/>
  <c r="H115" i="394" s="1"/>
  <c r="F119" i="394" a="1"/>
  <c r="F119" i="394" s="1"/>
  <c r="G119" i="394" s="1"/>
  <c r="H119" i="394" s="1"/>
  <c r="F123" i="394" a="1"/>
  <c r="F123" i="394" s="1"/>
  <c r="G123" i="394" s="1"/>
  <c r="F127" i="394" a="1"/>
  <c r="F127" i="394" s="1"/>
  <c r="G127" i="394" s="1"/>
  <c r="F132" i="394" a="1"/>
  <c r="F132" i="394" s="1"/>
  <c r="G132" i="394" s="1"/>
  <c r="H132" i="394" s="1"/>
  <c r="F136" i="394" a="1"/>
  <c r="F136" i="394" s="1"/>
  <c r="G136" i="394" s="1"/>
  <c r="H136" i="394" s="1"/>
  <c r="F141" i="394" a="1"/>
  <c r="F141" i="394" s="1"/>
  <c r="G141" i="394" s="1"/>
  <c r="F145" i="394" a="1"/>
  <c r="F145" i="394" s="1"/>
  <c r="F144" i="394" s="1"/>
  <c r="F155" i="394" a="1"/>
  <c r="F155" i="394" s="1"/>
  <c r="G155" i="394" s="1"/>
  <c r="H155" i="394" s="1"/>
  <c r="D7" i="404"/>
  <c r="F12" i="404" a="1"/>
  <c r="F12" i="404" s="1"/>
  <c r="F18" i="404" a="1"/>
  <c r="F18" i="404" s="1"/>
  <c r="G18" i="404" s="1"/>
  <c r="F22" i="404" a="1"/>
  <c r="F22" i="404" s="1"/>
  <c r="F21" i="404" s="1"/>
  <c r="F19" i="404" s="1"/>
  <c r="F26" i="404" a="1"/>
  <c r="F26" i="404" s="1"/>
  <c r="G26" i="404" s="1"/>
  <c r="F30" i="404" a="1"/>
  <c r="F30" i="404" s="1"/>
  <c r="F29" i="404" s="1"/>
  <c r="F27" i="404" s="1"/>
  <c r="F34" i="404" a="1"/>
  <c r="F34" i="404" s="1"/>
  <c r="G34" i="404" s="1"/>
  <c r="F38" i="404" a="1"/>
  <c r="F38" i="404" s="1"/>
  <c r="G38" i="404" s="1"/>
  <c r="F42" i="404" a="1"/>
  <c r="F42" i="404" s="1"/>
  <c r="G42" i="404" s="1"/>
  <c r="F56" i="404" a="1"/>
  <c r="F56" i="404" s="1"/>
  <c r="G56" i="404" s="1"/>
  <c r="F60" i="404" a="1"/>
  <c r="F60" i="404" s="1"/>
  <c r="F66" i="404" a="1"/>
  <c r="F66" i="404" s="1"/>
  <c r="G66" i="404" s="1"/>
  <c r="F69" i="404" a="1"/>
  <c r="F69" i="404" s="1"/>
  <c r="G69" i="404" s="1"/>
  <c r="F71" i="404" a="1"/>
  <c r="F71" i="404" s="1"/>
  <c r="G71" i="404" s="1"/>
  <c r="F73" i="404" a="1"/>
  <c r="F73" i="404" s="1"/>
  <c r="G73" i="404" s="1"/>
  <c r="F79" i="404" a="1"/>
  <c r="F79" i="404" s="1"/>
  <c r="G79" i="404" s="1"/>
  <c r="F83" i="404" a="1"/>
  <c r="F83" i="404" s="1"/>
  <c r="G83" i="404" s="1"/>
  <c r="F87" i="404" a="1"/>
  <c r="F87" i="404" s="1"/>
  <c r="G87" i="404" s="1"/>
  <c r="F94" i="404" a="1"/>
  <c r="F94" i="404" s="1"/>
  <c r="G94" i="404" s="1"/>
  <c r="F97" i="404" a="1"/>
  <c r="F97" i="404" s="1"/>
  <c r="G97" i="404" s="1"/>
  <c r="F101" i="404" a="1"/>
  <c r="F101" i="404" s="1"/>
  <c r="G101" i="404" s="1"/>
  <c r="F105" i="404" a="1"/>
  <c r="F105" i="404" s="1"/>
  <c r="G105" i="404" s="1"/>
  <c r="F109" i="404" a="1"/>
  <c r="F109" i="404" s="1"/>
  <c r="G109" i="404" s="1"/>
  <c r="F113" i="404" a="1"/>
  <c r="F113" i="404" s="1"/>
  <c r="G113" i="404" s="1"/>
  <c r="F117" i="404" a="1"/>
  <c r="F117" i="404" s="1"/>
  <c r="G117" i="404" s="1"/>
  <c r="F121" i="404" a="1"/>
  <c r="F121" i="404" s="1"/>
  <c r="G121" i="404" s="1"/>
  <c r="F125" i="404" a="1"/>
  <c r="F125" i="404" s="1"/>
  <c r="G125" i="404" s="1"/>
  <c r="F129" i="404" a="1"/>
  <c r="F129" i="404" s="1"/>
  <c r="G129" i="404" s="1"/>
  <c r="F133" i="404" a="1"/>
  <c r="F133" i="404" s="1"/>
  <c r="G133" i="404" s="1"/>
  <c r="F137" i="404" a="1"/>
  <c r="F137" i="404" s="1"/>
  <c r="G137" i="404" s="1"/>
  <c r="F142" i="404" a="1"/>
  <c r="F142" i="404" s="1"/>
  <c r="G142" i="404" s="1"/>
  <c r="F156" i="404" a="1"/>
  <c r="F156" i="404" s="1"/>
  <c r="G156" i="404" s="1"/>
  <c r="F160" i="404" a="1"/>
  <c r="F160" i="404" s="1"/>
  <c r="G160" i="404" s="1"/>
  <c r="F23" i="405" a="1"/>
  <c r="F23" i="405" s="1"/>
  <c r="G23" i="405" s="1"/>
  <c r="G21" i="405" s="1"/>
  <c r="F28" i="405" a="1"/>
  <c r="F28" i="405" s="1"/>
  <c r="G28" i="405" s="1"/>
  <c r="H28" i="405" s="1"/>
  <c r="F39" i="405" a="1"/>
  <c r="F39" i="405" s="1"/>
  <c r="G39" i="405" s="1"/>
  <c r="F43" i="405" a="1"/>
  <c r="F43" i="405" s="1"/>
  <c r="G43" i="405" s="1"/>
  <c r="H43" i="405" s="1"/>
  <c r="F53" i="405" a="1"/>
  <c r="F53" i="405" s="1"/>
  <c r="G53" i="405" s="1"/>
  <c r="H53" i="405" s="1"/>
  <c r="F58" i="405" a="1"/>
  <c r="F58" i="405" s="1"/>
  <c r="G58" i="405" s="1"/>
  <c r="F67" i="405" a="1"/>
  <c r="F67" i="405" s="1"/>
  <c r="G67" i="405" s="1"/>
  <c r="I67" i="405" s="1"/>
  <c r="F74" i="405" a="1"/>
  <c r="F74" i="405" s="1"/>
  <c r="G74" i="405" s="1"/>
  <c r="H74" i="405" s="1"/>
  <c r="F80" i="405" a="1"/>
  <c r="F80" i="405" s="1"/>
  <c r="G80" i="405" s="1"/>
  <c r="F84" i="405" a="1"/>
  <c r="F84" i="405" s="1"/>
  <c r="G84" i="405" s="1"/>
  <c r="H84" i="405" s="1"/>
  <c r="F88" i="405" a="1"/>
  <c r="F88" i="405" s="1"/>
  <c r="G88" i="405" s="1"/>
  <c r="F92" i="405" a="1"/>
  <c r="F92" i="405" s="1"/>
  <c r="G92" i="405" s="1"/>
  <c r="H92" i="405" s="1"/>
  <c r="F96" i="405" a="1"/>
  <c r="F96" i="405" s="1"/>
  <c r="G96" i="405" s="1"/>
  <c r="F100" i="405" a="1"/>
  <c r="F100" i="405" s="1"/>
  <c r="G100" i="405" s="1"/>
  <c r="H100" i="405" s="1"/>
  <c r="F105" i="405" a="1"/>
  <c r="F105" i="405" s="1"/>
  <c r="G105" i="405" s="1"/>
  <c r="H105" i="405" s="1"/>
  <c r="F109" i="405" a="1"/>
  <c r="F109" i="405" s="1"/>
  <c r="G109" i="405" s="1"/>
  <c r="F113" i="405" a="1"/>
  <c r="F113" i="405" s="1"/>
  <c r="G113" i="405" s="1"/>
  <c r="F117" i="405" a="1"/>
  <c r="F117" i="405" s="1"/>
  <c r="G117" i="405" s="1"/>
  <c r="F121" i="405" a="1"/>
  <c r="F121" i="405" s="1"/>
  <c r="G121" i="405" s="1"/>
  <c r="H121" i="405" s="1"/>
  <c r="F125" i="405" a="1"/>
  <c r="F125" i="405" s="1"/>
  <c r="G125" i="405" s="1"/>
  <c r="F128" i="405" a="1"/>
  <c r="F128" i="405" s="1"/>
  <c r="G128" i="405" s="1"/>
  <c r="H128" i="405" s="1"/>
  <c r="F132" i="405" a="1"/>
  <c r="F132" i="405" s="1"/>
  <c r="G132" i="405" s="1"/>
  <c r="H132" i="405" s="1"/>
  <c r="F136" i="405" a="1"/>
  <c r="F136" i="405" s="1"/>
  <c r="G136" i="405" s="1"/>
  <c r="F157" i="405" a="1"/>
  <c r="F157" i="405" s="1"/>
  <c r="G157" i="405" s="1"/>
  <c r="F161" i="405" a="1"/>
  <c r="F161" i="405" s="1"/>
  <c r="G161" i="405" s="1"/>
  <c r="H161" i="405" s="1"/>
  <c r="F10" i="388" a="1"/>
  <c r="F10" i="388" s="1"/>
  <c r="G10" i="388" s="1"/>
  <c r="F38" i="388" a="1"/>
  <c r="F38" i="388" s="1"/>
  <c r="G38" i="388" s="1"/>
  <c r="F41" i="388" a="1"/>
  <c r="F41" i="388" s="1"/>
  <c r="G41" i="388" s="1"/>
  <c r="H41" i="388" s="1"/>
  <c r="F53" i="388" a="1"/>
  <c r="F53" i="388" s="1"/>
  <c r="G53" i="388" s="1"/>
  <c r="F58" i="388" a="1"/>
  <c r="F58" i="388" s="1"/>
  <c r="G58" i="388" s="1"/>
  <c r="H58" i="388" s="1"/>
  <c r="F61" i="388" a="1"/>
  <c r="F61" i="388" s="1"/>
  <c r="G61" i="388" s="1"/>
  <c r="H61" i="388" s="1"/>
  <c r="F66" i="388" a="1"/>
  <c r="F66" i="388" s="1"/>
  <c r="G66" i="388" s="1"/>
  <c r="H66" i="388" s="1"/>
  <c r="F69" i="388" a="1"/>
  <c r="F69" i="388" s="1"/>
  <c r="G69" i="388" s="1"/>
  <c r="H69" i="388" s="1"/>
  <c r="F71" i="388" a="1"/>
  <c r="F71" i="388" s="1"/>
  <c r="G71" i="388" s="1"/>
  <c r="I71" i="388" s="1"/>
  <c r="F73" i="388" a="1"/>
  <c r="F73" i="388" s="1"/>
  <c r="G73" i="388" s="1"/>
  <c r="F79" i="388" a="1"/>
  <c r="F79" i="388" s="1"/>
  <c r="G79" i="388" s="1"/>
  <c r="I79" i="388" s="1"/>
  <c r="F88" i="388" a="1"/>
  <c r="F88" i="388" s="1"/>
  <c r="G88" i="388" s="1"/>
  <c r="F90" i="388" a="1"/>
  <c r="F90" i="388" s="1"/>
  <c r="G90" i="388" s="1"/>
  <c r="H90" i="388" s="1"/>
  <c r="F93" i="388" a="1"/>
  <c r="F93" i="388" s="1"/>
  <c r="G93" i="388" s="1"/>
  <c r="H93" i="388" s="1"/>
  <c r="F95" i="388" a="1"/>
  <c r="F95" i="388" s="1"/>
  <c r="G95" i="388" s="1"/>
  <c r="H95" i="388" s="1"/>
  <c r="F97" i="388" a="1"/>
  <c r="F97" i="388" s="1"/>
  <c r="G97" i="388" s="1"/>
  <c r="F102" i="388" a="1"/>
  <c r="F102" i="388" s="1"/>
  <c r="G102" i="388" s="1"/>
  <c r="F104" i="388" a="1"/>
  <c r="F104" i="388" s="1"/>
  <c r="G104" i="388" s="1"/>
  <c r="F108" i="388" a="1"/>
  <c r="F108" i="388" s="1"/>
  <c r="G108" i="388" s="1"/>
  <c r="F111" i="388" a="1"/>
  <c r="F111" i="388" s="1"/>
  <c r="G111" i="388" s="1"/>
  <c r="H111" i="388" s="1"/>
  <c r="F113" i="388" a="1"/>
  <c r="F113" i="388" s="1"/>
  <c r="G113" i="388" s="1"/>
  <c r="F115" i="388" a="1"/>
  <c r="F115" i="388" s="1"/>
  <c r="G115" i="388" s="1"/>
  <c r="F121" i="388" a="1"/>
  <c r="F121" i="388" s="1"/>
  <c r="G121" i="388" s="1"/>
  <c r="F126" i="388" a="1"/>
  <c r="F126" i="388" s="1"/>
  <c r="G126" i="388" s="1"/>
  <c r="H126" i="388" s="1"/>
  <c r="F137" i="388" a="1"/>
  <c r="F137" i="388" s="1"/>
  <c r="G137" i="388" s="1"/>
  <c r="H137" i="388" s="1"/>
  <c r="F140" i="388" a="1"/>
  <c r="F140" i="388" s="1"/>
  <c r="G140" i="388" s="1"/>
  <c r="I140" i="388" s="1"/>
  <c r="F159" i="388" a="1"/>
  <c r="F159" i="388" s="1"/>
  <c r="G159" i="388" s="1"/>
  <c r="H159" i="388" s="1"/>
  <c r="F161" i="388" a="1"/>
  <c r="F161" i="388" s="1"/>
  <c r="G161" i="388" s="1"/>
  <c r="H161" i="388" s="1"/>
  <c r="D11" i="418" a="1"/>
  <c r="D11" i="418" s="1"/>
  <c r="E11" i="418" s="1"/>
  <c r="D23" i="418" a="1"/>
  <c r="D23" i="418" s="1"/>
  <c r="E23" i="418" s="1"/>
  <c r="D34" i="418" a="1"/>
  <c r="D34" i="418" s="1"/>
  <c r="E34" i="418" s="1"/>
  <c r="D43" i="418" a="1"/>
  <c r="D43" i="418" s="1"/>
  <c r="E43" i="418" s="1"/>
  <c r="D54" i="418" a="1"/>
  <c r="D54" i="418" s="1"/>
  <c r="E54" i="418" s="1"/>
  <c r="D62" i="418" a="1"/>
  <c r="D62" i="418" s="1"/>
  <c r="E62" i="418" s="1"/>
  <c r="D70" i="418" a="1"/>
  <c r="D70" i="418" s="1"/>
  <c r="E70" i="418" s="1"/>
  <c r="D80" i="418" a="1"/>
  <c r="D80" i="418" s="1"/>
  <c r="E80" i="418" s="1"/>
  <c r="D88" i="418" a="1"/>
  <c r="D88" i="418" s="1"/>
  <c r="E88" i="418" s="1"/>
  <c r="D96" i="418" a="1"/>
  <c r="D96" i="418" s="1"/>
  <c r="E96" i="418" s="1"/>
  <c r="D104" i="418" a="1"/>
  <c r="D104" i="418" s="1"/>
  <c r="E104" i="418" s="1"/>
  <c r="D112" i="418" a="1"/>
  <c r="D112" i="418" s="1"/>
  <c r="E112" i="418" s="1"/>
  <c r="D120" i="418" a="1"/>
  <c r="D120" i="418" s="1"/>
  <c r="E120" i="418" s="1"/>
  <c r="D128" i="418" a="1"/>
  <c r="D128" i="418" s="1"/>
  <c r="E128" i="418" s="1"/>
  <c r="D136" i="418" a="1"/>
  <c r="D136" i="418" s="1"/>
  <c r="E136" i="418" s="1"/>
  <c r="D6" i="413"/>
  <c r="D19" i="413" a="1"/>
  <c r="D19" i="413" s="1"/>
  <c r="E19" i="413" s="1"/>
  <c r="D32" i="413" a="1"/>
  <c r="D32" i="413" s="1"/>
  <c r="E32" i="413" s="1"/>
  <c r="D41" i="413" a="1"/>
  <c r="D41" i="413" s="1"/>
  <c r="E41" i="413" s="1"/>
  <c r="D52" i="413" a="1"/>
  <c r="D52" i="413" s="1"/>
  <c r="E52" i="413" s="1"/>
  <c r="D60" i="413" a="1"/>
  <c r="D60" i="413" s="1"/>
  <c r="E60" i="413" s="1"/>
  <c r="D68" i="413" a="1"/>
  <c r="D68" i="413" s="1"/>
  <c r="E68" i="413" s="1"/>
  <c r="D78" i="413" a="1"/>
  <c r="D78" i="413" s="1"/>
  <c r="E78" i="413" s="1"/>
  <c r="D86" i="413" a="1"/>
  <c r="D86" i="413" s="1"/>
  <c r="E86" i="413" s="1"/>
  <c r="D94" i="413" a="1"/>
  <c r="D94" i="413" s="1"/>
  <c r="E94" i="413" s="1"/>
  <c r="D102" i="413" a="1"/>
  <c r="D102" i="413" s="1"/>
  <c r="E102" i="413" s="1"/>
  <c r="D110" i="413" a="1"/>
  <c r="D110" i="413" s="1"/>
  <c r="E110" i="413" s="1"/>
  <c r="D118" i="413" a="1"/>
  <c r="D118" i="413" s="1"/>
  <c r="E118" i="413" s="1"/>
  <c r="D125" i="413" a="1"/>
  <c r="D125" i="413" s="1"/>
  <c r="E125" i="413" s="1"/>
  <c r="D127" i="413" a="1"/>
  <c r="D127" i="413" s="1"/>
  <c r="E127" i="413" s="1"/>
  <c r="F33" i="404" a="1"/>
  <c r="F33" i="404" s="1"/>
  <c r="G33" i="404" s="1"/>
  <c r="F37" i="404" a="1"/>
  <c r="F37" i="404" s="1"/>
  <c r="F41" i="404" a="1"/>
  <c r="F41" i="404" s="1"/>
  <c r="G41" i="404" s="1"/>
  <c r="F45" i="404" a="1"/>
  <c r="F45" i="404" s="1"/>
  <c r="G45" i="404" s="1"/>
  <c r="F53" i="404" a="1"/>
  <c r="F53" i="404" s="1"/>
  <c r="G53" i="404" s="1"/>
  <c r="F59" i="404" a="1"/>
  <c r="F59" i="404" s="1"/>
  <c r="G59" i="404" s="1"/>
  <c r="F62" i="404" a="1"/>
  <c r="F62" i="404" s="1"/>
  <c r="G62" i="404" s="1"/>
  <c r="F65" i="404" a="1"/>
  <c r="F65" i="404" s="1"/>
  <c r="G65" i="404" s="1"/>
  <c r="F82" i="404" a="1"/>
  <c r="F82" i="404" s="1"/>
  <c r="G82" i="404" s="1"/>
  <c r="F86" i="404" a="1"/>
  <c r="F86" i="404" s="1"/>
  <c r="G86" i="404" s="1"/>
  <c r="F90" i="404" a="1"/>
  <c r="F90" i="404" s="1"/>
  <c r="G90" i="404" s="1"/>
  <c r="F93" i="404" a="1"/>
  <c r="F93" i="404" s="1"/>
  <c r="G93" i="404" s="1"/>
  <c r="F100" i="404" a="1"/>
  <c r="F100" i="404" s="1"/>
  <c r="G100" i="404" s="1"/>
  <c r="F104" i="404" a="1"/>
  <c r="F104" i="404" s="1"/>
  <c r="G104" i="404" s="1"/>
  <c r="F108" i="404" a="1"/>
  <c r="F108" i="404" s="1"/>
  <c r="G108" i="404" s="1"/>
  <c r="F112" i="404" a="1"/>
  <c r="F112" i="404" s="1"/>
  <c r="G112" i="404" s="1"/>
  <c r="F116" i="404" a="1"/>
  <c r="F116" i="404" s="1"/>
  <c r="G116" i="404" s="1"/>
  <c r="F120" i="404" a="1"/>
  <c r="F120" i="404" s="1"/>
  <c r="G120" i="404" s="1"/>
  <c r="F124" i="404" a="1"/>
  <c r="F124" i="404" s="1"/>
  <c r="G124" i="404" s="1"/>
  <c r="F128" i="404" a="1"/>
  <c r="F128" i="404" s="1"/>
  <c r="G128" i="404" s="1"/>
  <c r="F132" i="404" a="1"/>
  <c r="F132" i="404" s="1"/>
  <c r="G132" i="404" s="1"/>
  <c r="F136" i="404" a="1"/>
  <c r="F136" i="404" s="1"/>
  <c r="G136" i="404" s="1"/>
  <c r="F141" i="404" a="1"/>
  <c r="F141" i="404" s="1"/>
  <c r="G141" i="404" s="1"/>
  <c r="F145" i="404" a="1"/>
  <c r="F145" i="404" s="1"/>
  <c r="F144" i="404" s="1"/>
  <c r="F155" i="404" a="1"/>
  <c r="F155" i="404" s="1"/>
  <c r="G155" i="404" s="1"/>
  <c r="F159" i="404" a="1"/>
  <c r="F159" i="404" s="1"/>
  <c r="G159" i="404" s="1"/>
  <c r="F163" i="404" a="1"/>
  <c r="F163" i="404" s="1"/>
  <c r="G163" i="404" s="1"/>
  <c r="F61" i="405" a="1"/>
  <c r="F61" i="405" s="1"/>
  <c r="G61" i="405" s="1"/>
  <c r="H61" i="405" s="1"/>
  <c r="F63" i="405" a="1"/>
  <c r="F63" i="405" s="1"/>
  <c r="G63" i="405" s="1"/>
  <c r="I63" i="405" s="1"/>
  <c r="F66" i="405" a="1"/>
  <c r="F66" i="405" s="1"/>
  <c r="G66" i="405" s="1"/>
  <c r="H66" i="405" s="1"/>
  <c r="F69" i="405" a="1"/>
  <c r="F69" i="405" s="1"/>
  <c r="G69" i="405" s="1"/>
  <c r="H69" i="405" s="1"/>
  <c r="F71" i="405" a="1"/>
  <c r="F71" i="405" s="1"/>
  <c r="G71" i="405" s="1"/>
  <c r="H71" i="405" s="1"/>
  <c r="F73" i="405" a="1"/>
  <c r="F73" i="405" s="1"/>
  <c r="G73" i="405" s="1"/>
  <c r="F79" i="405" a="1"/>
  <c r="F79" i="405" s="1"/>
  <c r="G79" i="405" s="1"/>
  <c r="F83" i="405" a="1"/>
  <c r="F83" i="405" s="1"/>
  <c r="G83" i="405" s="1"/>
  <c r="H83" i="405" s="1"/>
  <c r="F87" i="405" a="1"/>
  <c r="F87" i="405" s="1"/>
  <c r="G87" i="405" s="1"/>
  <c r="F91" i="405" a="1"/>
  <c r="F91" i="405" s="1"/>
  <c r="G91" i="405" s="1"/>
  <c r="F95" i="405" a="1"/>
  <c r="F95" i="405" s="1"/>
  <c r="G95" i="405" s="1"/>
  <c r="F99" i="405" a="1"/>
  <c r="F99" i="405" s="1"/>
  <c r="G99" i="405" s="1"/>
  <c r="F104" i="405" a="1"/>
  <c r="F104" i="405" s="1"/>
  <c r="G104" i="405" s="1"/>
  <c r="F108" i="405" a="1"/>
  <c r="F108" i="405" s="1"/>
  <c r="G108" i="405" s="1"/>
  <c r="F112" i="405" a="1"/>
  <c r="F112" i="405" s="1"/>
  <c r="G112" i="405" s="1"/>
  <c r="H112" i="405" s="1"/>
  <c r="F116" i="405" a="1"/>
  <c r="F116" i="405" s="1"/>
  <c r="G116" i="405" s="1"/>
  <c r="F120" i="405" a="1"/>
  <c r="F120" i="405" s="1"/>
  <c r="G120" i="405" s="1"/>
  <c r="F124" i="405" a="1"/>
  <c r="F124" i="405" s="1"/>
  <c r="G124" i="405" s="1"/>
  <c r="F127" i="405" a="1"/>
  <c r="F127" i="405" s="1"/>
  <c r="G127" i="405" s="1"/>
  <c r="F131" i="405" a="1"/>
  <c r="F131" i="405" s="1"/>
  <c r="G131" i="405" s="1"/>
  <c r="F135" i="405" a="1"/>
  <c r="F135" i="405" s="1"/>
  <c r="G135" i="405" s="1"/>
  <c r="H135" i="405" s="1"/>
  <c r="F142" i="405" a="1"/>
  <c r="F142" i="405" s="1"/>
  <c r="F139" i="405" s="1"/>
  <c r="F156" i="405" a="1"/>
  <c r="F156" i="405" s="1"/>
  <c r="G156" i="405" s="1"/>
  <c r="F163" i="388" a="1"/>
  <c r="F163" i="388" s="1"/>
  <c r="G163" i="388" s="1"/>
  <c r="F158" i="388" a="1"/>
  <c r="F158" i="388" s="1"/>
  <c r="G158" i="388" s="1"/>
  <c r="F141" i="388" a="1"/>
  <c r="F141" i="388" s="1"/>
  <c r="G141" i="388" s="1"/>
  <c r="F136" i="388" a="1"/>
  <c r="F136" i="388" s="1"/>
  <c r="G136" i="388" s="1"/>
  <c r="F132" i="388" a="1"/>
  <c r="F132" i="388" s="1"/>
  <c r="G132" i="388" s="1"/>
  <c r="F128" i="388" a="1"/>
  <c r="F128" i="388" s="1"/>
  <c r="G128" i="388" s="1"/>
  <c r="H128" i="388" s="1"/>
  <c r="F125" i="388" a="1"/>
  <c r="F125" i="388" s="1"/>
  <c r="G125" i="388" s="1"/>
  <c r="F12" i="388" a="1"/>
  <c r="F12" i="388" s="1"/>
  <c r="F17" i="388" a="1"/>
  <c r="F17" i="388" s="1"/>
  <c r="F20" i="388" a="1"/>
  <c r="F20" i="388" s="1"/>
  <c r="G20" i="388" s="1"/>
  <c r="F31" i="388" a="1"/>
  <c r="F31" i="388" s="1"/>
  <c r="F29" i="388" s="1"/>
  <c r="F27" i="388" s="1"/>
  <c r="F35" i="388" a="1"/>
  <c r="F35" i="388" s="1"/>
  <c r="G35" i="388" s="1"/>
  <c r="F44" i="388" a="1"/>
  <c r="F44" i="388" s="1"/>
  <c r="G44" i="388" s="1"/>
  <c r="F55" i="388" a="1"/>
  <c r="F55" i="388" s="1"/>
  <c r="G55" i="388" s="1"/>
  <c r="F57" i="388" a="1"/>
  <c r="F57" i="388" s="1"/>
  <c r="G57" i="388" s="1"/>
  <c r="F60" i="388" a="1"/>
  <c r="F60" i="388" s="1"/>
  <c r="G60" i="388" s="1"/>
  <c r="H60" i="388" s="1"/>
  <c r="F63" i="388" a="1"/>
  <c r="F63" i="388" s="1"/>
  <c r="G63" i="388" s="1"/>
  <c r="F81" i="388" a="1"/>
  <c r="F81" i="388" s="1"/>
  <c r="F83" i="388" a="1"/>
  <c r="F83" i="388" s="1"/>
  <c r="G83" i="388" s="1"/>
  <c r="I83" i="388" s="1"/>
  <c r="F85" i="388" a="1"/>
  <c r="F85" i="388" s="1"/>
  <c r="G85" i="388" s="1"/>
  <c r="F87" i="388" a="1"/>
  <c r="F87" i="388" s="1"/>
  <c r="G87" i="388" s="1"/>
  <c r="F92" i="388" a="1"/>
  <c r="F92" i="388" s="1"/>
  <c r="G92" i="388" s="1"/>
  <c r="F99" i="388" a="1"/>
  <c r="F99" i="388" s="1"/>
  <c r="G99" i="388" s="1"/>
  <c r="F101" i="388" a="1"/>
  <c r="F101" i="388" s="1"/>
  <c r="G101" i="388" s="1"/>
  <c r="F107" i="388" a="1"/>
  <c r="F107" i="388" s="1"/>
  <c r="G107" i="388" s="1"/>
  <c r="H107" i="388" s="1"/>
  <c r="F110" i="388" a="1"/>
  <c r="F110" i="388" s="1"/>
  <c r="G110" i="388" s="1"/>
  <c r="F118" i="388" a="1"/>
  <c r="F118" i="388" s="1"/>
  <c r="G118" i="388" s="1"/>
  <c r="I118" i="388" s="1"/>
  <c r="F133" i="388" a="1"/>
  <c r="F133" i="388" s="1"/>
  <c r="G133" i="388" s="1"/>
  <c r="F135" i="388" a="1"/>
  <c r="F135" i="388" s="1"/>
  <c r="F162" i="388" a="1"/>
  <c r="F162" i="388" s="1"/>
  <c r="G162" i="388" s="1"/>
  <c r="I162" i="388" s="1"/>
  <c r="D6" i="418"/>
  <c r="D19" i="418" a="1"/>
  <c r="D19" i="418" s="1"/>
  <c r="E19" i="418" s="1"/>
  <c r="D32" i="418" a="1"/>
  <c r="D32" i="418" s="1"/>
  <c r="E32" i="418" s="1"/>
  <c r="D41" i="418" a="1"/>
  <c r="D41" i="418" s="1"/>
  <c r="E41" i="418" s="1"/>
  <c r="D52" i="418" a="1"/>
  <c r="D52" i="418" s="1"/>
  <c r="E52" i="418" s="1"/>
  <c r="D60" i="418" a="1"/>
  <c r="D60" i="418" s="1"/>
  <c r="E60" i="418" s="1"/>
  <c r="D68" i="418" a="1"/>
  <c r="D68" i="418" s="1"/>
  <c r="E68" i="418" s="1"/>
  <c r="D78" i="418" a="1"/>
  <c r="D78" i="418" s="1"/>
  <c r="E78" i="418" s="1"/>
  <c r="D86" i="418" a="1"/>
  <c r="D86" i="418" s="1"/>
  <c r="E86" i="418" s="1"/>
  <c r="D94" i="418" a="1"/>
  <c r="D94" i="418" s="1"/>
  <c r="E94" i="418" s="1"/>
  <c r="D102" i="418" a="1"/>
  <c r="D102" i="418" s="1"/>
  <c r="E102" i="418" s="1"/>
  <c r="D110" i="418" a="1"/>
  <c r="D110" i="418" s="1"/>
  <c r="E110" i="418" s="1"/>
  <c r="D118" i="418" a="1"/>
  <c r="D118" i="418" s="1"/>
  <c r="E118" i="418" s="1"/>
  <c r="D126" i="418" a="1"/>
  <c r="D126" i="418" s="1"/>
  <c r="E126" i="418" s="1"/>
  <c r="D134" i="418" a="1"/>
  <c r="D134" i="418" s="1"/>
  <c r="E134" i="418" s="1"/>
  <c r="D17" i="413" a="1"/>
  <c r="D17" i="413" s="1"/>
  <c r="E17" i="413" s="1"/>
  <c r="D29" i="413" a="1"/>
  <c r="D29" i="413" s="1"/>
  <c r="E29" i="413" s="1"/>
  <c r="D39" i="413" a="1"/>
  <c r="D39" i="413" s="1"/>
  <c r="E39" i="413" s="1"/>
  <c r="D50" i="413" a="1"/>
  <c r="D50" i="413" s="1"/>
  <c r="E50" i="413" s="1"/>
  <c r="D58" i="413" a="1"/>
  <c r="D58" i="413" s="1"/>
  <c r="E58" i="413" s="1"/>
  <c r="D66" i="413" a="1"/>
  <c r="D66" i="413" s="1"/>
  <c r="E66" i="413" s="1"/>
  <c r="D76" i="413" a="1"/>
  <c r="D76" i="413" s="1"/>
  <c r="E76" i="413" s="1"/>
  <c r="D84" i="413" a="1"/>
  <c r="D84" i="413" s="1"/>
  <c r="E84" i="413" s="1"/>
  <c r="D92" i="413" a="1"/>
  <c r="D92" i="413" s="1"/>
  <c r="E92" i="413" s="1"/>
  <c r="D100" i="413" a="1"/>
  <c r="D100" i="413" s="1"/>
  <c r="E100" i="413" s="1"/>
  <c r="D108" i="413" a="1"/>
  <c r="D108" i="413" s="1"/>
  <c r="E108" i="413" s="1"/>
  <c r="D116" i="413" a="1"/>
  <c r="D116" i="413" s="1"/>
  <c r="E116" i="413" s="1"/>
  <c r="D129" i="413" a="1"/>
  <c r="D129" i="413" s="1"/>
  <c r="E129" i="413" s="1"/>
  <c r="D131" i="413" a="1"/>
  <c r="D131" i="413" s="1"/>
  <c r="E131" i="413" s="1"/>
  <c r="D133" i="413" a="1"/>
  <c r="D133" i="413" s="1"/>
  <c r="E133" i="413" s="1"/>
  <c r="D135" i="413" a="1"/>
  <c r="D135" i="413" s="1"/>
  <c r="E135" i="413" s="1"/>
  <c r="F103" i="388" a="1"/>
  <c r="F103" i="388" s="1"/>
  <c r="G103" i="388" s="1"/>
  <c r="F106" i="388" a="1"/>
  <c r="F106" i="388" s="1"/>
  <c r="G106" i="388" s="1"/>
  <c r="F112" i="388" a="1"/>
  <c r="F112" i="388" s="1"/>
  <c r="G112" i="388" s="1"/>
  <c r="I112" i="388" s="1"/>
  <c r="F114" i="388" a="1"/>
  <c r="F114" i="388" s="1"/>
  <c r="G114" i="388" s="1"/>
  <c r="F117" i="388" a="1"/>
  <c r="F117" i="388" s="1"/>
  <c r="G117" i="388" s="1"/>
  <c r="F120" i="388" a="1"/>
  <c r="F120" i="388" s="1"/>
  <c r="G120" i="388" s="1"/>
  <c r="F123" i="388" a="1"/>
  <c r="F123" i="388" s="1"/>
  <c r="G123" i="388" s="1"/>
  <c r="F129" i="388" a="1"/>
  <c r="F129" i="388" s="1"/>
  <c r="G129" i="388" s="1"/>
  <c r="F131" i="388" a="1"/>
  <c r="F131" i="388" s="1"/>
  <c r="G131" i="388" s="1"/>
  <c r="F134" i="388" a="1"/>
  <c r="F134" i="388" s="1"/>
  <c r="G134" i="388" s="1"/>
  <c r="F142" i="388" a="1"/>
  <c r="F142" i="388" s="1"/>
  <c r="G142" i="388" s="1"/>
  <c r="F143" i="388" a="1"/>
  <c r="F143" i="388" s="1"/>
  <c r="E143" i="388" s="1"/>
  <c r="E139" i="388" s="1"/>
  <c r="F145" i="388" a="1"/>
  <c r="F145" i="388" s="1"/>
  <c r="G145" i="388" s="1"/>
  <c r="G144" i="388" s="1"/>
  <c r="F155" i="388" a="1"/>
  <c r="F155" i="388" s="1"/>
  <c r="F157" i="388" a="1"/>
  <c r="F157" i="388" s="1"/>
  <c r="G157" i="388" s="1"/>
  <c r="D17" i="418" a="1"/>
  <c r="D17" i="418" s="1"/>
  <c r="E17" i="418" s="1"/>
  <c r="D29" i="418" a="1"/>
  <c r="D29" i="418" s="1"/>
  <c r="D39" i="418" a="1"/>
  <c r="D39" i="418" s="1"/>
  <c r="E39" i="418" s="1"/>
  <c r="D50" i="418" a="1"/>
  <c r="D50" i="418" s="1"/>
  <c r="E50" i="418" s="1"/>
  <c r="D58" i="418" a="1"/>
  <c r="D58" i="418" s="1"/>
  <c r="E58" i="418" s="1"/>
  <c r="D66" i="418" a="1"/>
  <c r="D66" i="418" s="1"/>
  <c r="E66" i="418" s="1"/>
  <c r="D76" i="418" a="1"/>
  <c r="D76" i="418" s="1"/>
  <c r="E76" i="418" s="1"/>
  <c r="D84" i="418" a="1"/>
  <c r="D84" i="418" s="1"/>
  <c r="E84" i="418" s="1"/>
  <c r="D92" i="418" a="1"/>
  <c r="D92" i="418" s="1"/>
  <c r="E92" i="418" s="1"/>
  <c r="D100" i="418" a="1"/>
  <c r="D100" i="418" s="1"/>
  <c r="E100" i="418" s="1"/>
  <c r="D108" i="418" a="1"/>
  <c r="D108" i="418" s="1"/>
  <c r="E108" i="418" s="1"/>
  <c r="D116" i="418" a="1"/>
  <c r="D116" i="418" s="1"/>
  <c r="E116" i="418" s="1"/>
  <c r="D124" i="418" a="1"/>
  <c r="D124" i="418" s="1"/>
  <c r="E124" i="418" s="1"/>
  <c r="D132" i="418" a="1"/>
  <c r="D132" i="418" s="1"/>
  <c r="E132" i="418" s="1"/>
  <c r="D123" i="413" a="1"/>
  <c r="D123" i="413" s="1"/>
  <c r="E123" i="413" s="1"/>
  <c r="D121" i="413" a="1"/>
  <c r="D121" i="413" s="1"/>
  <c r="E121" i="413" s="1"/>
  <c r="D119" i="413" a="1"/>
  <c r="D119" i="413" s="1"/>
  <c r="E119" i="413" s="1"/>
  <c r="D117" i="413" a="1"/>
  <c r="D117" i="413" s="1"/>
  <c r="E117" i="413" s="1"/>
  <c r="D115" i="413" a="1"/>
  <c r="D115" i="413" s="1"/>
  <c r="E115" i="413" s="1"/>
  <c r="D113" i="413" a="1"/>
  <c r="D113" i="413" s="1"/>
  <c r="E113" i="413" s="1"/>
  <c r="D111" i="413" a="1"/>
  <c r="D111" i="413" s="1"/>
  <c r="E111" i="413" s="1"/>
  <c r="D109" i="413" a="1"/>
  <c r="D109" i="413" s="1"/>
  <c r="E109" i="413" s="1"/>
  <c r="D107" i="413" a="1"/>
  <c r="D107" i="413" s="1"/>
  <c r="E107" i="413" s="1"/>
  <c r="D105" i="413" a="1"/>
  <c r="D105" i="413" s="1"/>
  <c r="E105" i="413" s="1"/>
  <c r="D103" i="413" a="1"/>
  <c r="D103" i="413" s="1"/>
  <c r="E103" i="413" s="1"/>
  <c r="D101" i="413" a="1"/>
  <c r="D101" i="413" s="1"/>
  <c r="E101" i="413" s="1"/>
  <c r="D99" i="413" a="1"/>
  <c r="D99" i="413" s="1"/>
  <c r="E99" i="413" s="1"/>
  <c r="D97" i="413" a="1"/>
  <c r="D97" i="413" s="1"/>
  <c r="E97" i="413" s="1"/>
  <c r="D95" i="413" a="1"/>
  <c r="D95" i="413" s="1"/>
  <c r="E95" i="413" s="1"/>
  <c r="D93" i="413" a="1"/>
  <c r="D93" i="413" s="1"/>
  <c r="E93" i="413" s="1"/>
  <c r="D91" i="413" a="1"/>
  <c r="D91" i="413" s="1"/>
  <c r="E91" i="413" s="1"/>
  <c r="D89" i="413" a="1"/>
  <c r="D89" i="413" s="1"/>
  <c r="E89" i="413" s="1"/>
  <c r="D87" i="413" a="1"/>
  <c r="D87" i="413" s="1"/>
  <c r="E87" i="413" s="1"/>
  <c r="D85" i="413" a="1"/>
  <c r="D85" i="413" s="1"/>
  <c r="E85" i="413" s="1"/>
  <c r="D83" i="413" a="1"/>
  <c r="D83" i="413" s="1"/>
  <c r="E83" i="413" s="1"/>
  <c r="D81" i="413" a="1"/>
  <c r="D81" i="413" s="1"/>
  <c r="E81" i="413" s="1"/>
  <c r="D79" i="413" a="1"/>
  <c r="D79" i="413" s="1"/>
  <c r="E79" i="413" s="1"/>
  <c r="D77" i="413" a="1"/>
  <c r="D77" i="413" s="1"/>
  <c r="E77" i="413" s="1"/>
  <c r="D75" i="413" a="1"/>
  <c r="D75" i="413" s="1"/>
  <c r="E75" i="413" s="1"/>
  <c r="D71" i="413" a="1"/>
  <c r="D71" i="413" s="1"/>
  <c r="E71" i="413" s="1"/>
  <c r="D69" i="413" a="1"/>
  <c r="D69" i="413" s="1"/>
  <c r="E69" i="413" s="1"/>
  <c r="D67" i="413" a="1"/>
  <c r="D67" i="413" s="1"/>
  <c r="E67" i="413" s="1"/>
  <c r="D65" i="413" a="1"/>
  <c r="D65" i="413" s="1"/>
  <c r="E65" i="413" s="1"/>
  <c r="D63" i="413" a="1"/>
  <c r="D63" i="413" s="1"/>
  <c r="E63" i="413" s="1"/>
  <c r="D61" i="413" a="1"/>
  <c r="D61" i="413" s="1"/>
  <c r="E61" i="413" s="1"/>
  <c r="D59" i="413" a="1"/>
  <c r="D59" i="413" s="1"/>
  <c r="E59" i="413" s="1"/>
  <c r="D57" i="413" a="1"/>
  <c r="D57" i="413" s="1"/>
  <c r="E57" i="413" s="1"/>
  <c r="D55" i="413" a="1"/>
  <c r="D55" i="413" s="1"/>
  <c r="E55" i="413" s="1"/>
  <c r="D53" i="413" a="1"/>
  <c r="D53" i="413" s="1"/>
  <c r="E53" i="413" s="1"/>
  <c r="D51" i="413" a="1"/>
  <c r="D51" i="413" s="1"/>
  <c r="E51" i="413" s="1"/>
  <c r="D49" i="413" a="1"/>
  <c r="D49" i="413" s="1"/>
  <c r="E49" i="413" s="1"/>
  <c r="D44" i="413" a="1"/>
  <c r="D44" i="413" s="1"/>
  <c r="E44" i="413" s="1"/>
  <c r="D42" i="413" a="1"/>
  <c r="D42" i="413" s="1"/>
  <c r="E42" i="413" s="1"/>
  <c r="D40" i="413" a="1"/>
  <c r="D40" i="413" s="1"/>
  <c r="E40" i="413" s="1"/>
  <c r="D38" i="413" a="1"/>
  <c r="D38" i="413" s="1"/>
  <c r="E38" i="413" s="1"/>
  <c r="D36" i="413" a="1"/>
  <c r="D36" i="413" s="1"/>
  <c r="E36" i="413" s="1"/>
  <c r="D33" i="413" a="1"/>
  <c r="D33" i="413" s="1"/>
  <c r="E33" i="413" s="1"/>
  <c r="D30" i="413" a="1"/>
  <c r="D30" i="413" s="1"/>
  <c r="E30" i="413" s="1"/>
  <c r="D27" i="413" a="1"/>
  <c r="D27" i="413" s="1"/>
  <c r="D24" i="413" a="1"/>
  <c r="D24" i="413" s="1"/>
  <c r="D21" i="413" a="1"/>
  <c r="D21" i="413" s="1"/>
  <c r="E21" i="413" s="1"/>
  <c r="D18" i="413" a="1"/>
  <c r="D18" i="413" s="1"/>
  <c r="E18" i="413" s="1"/>
  <c r="D15" i="413" a="1"/>
  <c r="D15" i="413" s="1"/>
  <c r="E15" i="413" s="1"/>
  <c r="D13" i="413" a="1"/>
  <c r="D13" i="413" s="1"/>
  <c r="E13" i="413" s="1"/>
  <c r="D14" i="413" a="1"/>
  <c r="D14" i="413" s="1"/>
  <c r="E14" i="413" s="1"/>
  <c r="D25" i="413" a="1"/>
  <c r="D25" i="413" s="1"/>
  <c r="E25" i="413" s="1"/>
  <c r="D37" i="413" a="1"/>
  <c r="D37" i="413" s="1"/>
  <c r="E37" i="413" s="1"/>
  <c r="D48" i="413" a="1"/>
  <c r="D48" i="413" s="1"/>
  <c r="E48" i="413" s="1"/>
  <c r="D56" i="413" a="1"/>
  <c r="D56" i="413" s="1"/>
  <c r="E56" i="413" s="1"/>
  <c r="D64" i="413" a="1"/>
  <c r="D64" i="413" s="1"/>
  <c r="E64" i="413" s="1"/>
  <c r="D72" i="413" a="1"/>
  <c r="D72" i="413" s="1"/>
  <c r="E72" i="413" s="1"/>
  <c r="D82" i="413" a="1"/>
  <c r="D82" i="413" s="1"/>
  <c r="E82" i="413" s="1"/>
  <c r="D90" i="413" a="1"/>
  <c r="D90" i="413" s="1"/>
  <c r="E90" i="413" s="1"/>
  <c r="D98" i="413" a="1"/>
  <c r="D98" i="413" s="1"/>
  <c r="E98" i="413" s="1"/>
  <c r="D106" i="413" a="1"/>
  <c r="D106" i="413" s="1"/>
  <c r="E106" i="413" s="1"/>
  <c r="D114" i="413" a="1"/>
  <c r="D114" i="413" s="1"/>
  <c r="E114" i="413" s="1"/>
  <c r="D122" i="413" a="1"/>
  <c r="D122" i="413" s="1"/>
  <c r="E122" i="413" s="1"/>
  <c r="D124" i="413" a="1"/>
  <c r="D124" i="413" s="1"/>
  <c r="E124" i="413" s="1"/>
  <c r="D126" i="413" a="1"/>
  <c r="D126" i="413" s="1"/>
  <c r="E126" i="413" s="1"/>
  <c r="D72" i="416" a="1"/>
  <c r="D72" i="416" s="1"/>
  <c r="E72" i="416" s="1"/>
  <c r="D76" i="416" a="1"/>
  <c r="D76" i="416" s="1"/>
  <c r="E76" i="416" s="1"/>
  <c r="D78" i="416" a="1"/>
  <c r="D78" i="416" s="1"/>
  <c r="E78" i="416" s="1"/>
  <c r="D80" i="416" a="1"/>
  <c r="D80" i="416" s="1"/>
  <c r="E80" i="416" s="1"/>
  <c r="D82" i="416" a="1"/>
  <c r="D82" i="416" s="1"/>
  <c r="E82" i="416" s="1"/>
  <c r="D84" i="416" a="1"/>
  <c r="D84" i="416" s="1"/>
  <c r="E84" i="416" s="1"/>
  <c r="D86" i="416" a="1"/>
  <c r="D86" i="416" s="1"/>
  <c r="E86" i="416" s="1"/>
  <c r="D88" i="416" a="1"/>
  <c r="D88" i="416" s="1"/>
  <c r="E88" i="416" s="1"/>
  <c r="D90" i="416" a="1"/>
  <c r="D90" i="416" s="1"/>
  <c r="E90" i="416" s="1"/>
  <c r="D92" i="416" a="1"/>
  <c r="D92" i="416" s="1"/>
  <c r="E92" i="416" s="1"/>
  <c r="D94" i="416" a="1"/>
  <c r="D94" i="416" s="1"/>
  <c r="E94" i="416" s="1"/>
  <c r="D96" i="416" a="1"/>
  <c r="D96" i="416" s="1"/>
  <c r="D98" i="416" a="1"/>
  <c r="D98" i="416" s="1"/>
  <c r="E98" i="416" s="1"/>
  <c r="D100" i="416" a="1"/>
  <c r="D100" i="416" s="1"/>
  <c r="D102" i="416" a="1"/>
  <c r="D102" i="416" s="1"/>
  <c r="E102" i="416" s="1"/>
  <c r="D104" i="416" a="1"/>
  <c r="D104" i="416" s="1"/>
  <c r="E104" i="416" s="1"/>
  <c r="D106" i="416" a="1"/>
  <c r="D106" i="416" s="1"/>
  <c r="E106" i="416" s="1"/>
  <c r="D108" i="416" a="1"/>
  <c r="D108" i="416" s="1"/>
  <c r="E108" i="416" s="1"/>
  <c r="D110" i="416" a="1"/>
  <c r="D110" i="416" s="1"/>
  <c r="E110" i="416" s="1"/>
  <c r="D112" i="416" a="1"/>
  <c r="D112" i="416" s="1"/>
  <c r="E112" i="416" s="1"/>
  <c r="D114" i="416" a="1"/>
  <c r="D114" i="416" s="1"/>
  <c r="E114" i="416" s="1"/>
  <c r="D116" i="416" a="1"/>
  <c r="D116" i="416" s="1"/>
  <c r="E116" i="416" s="1"/>
  <c r="D118" i="416" a="1"/>
  <c r="D118" i="416" s="1"/>
  <c r="E118" i="416" s="1"/>
  <c r="D120" i="416" a="1"/>
  <c r="D120" i="416" s="1"/>
  <c r="E120" i="416" s="1"/>
  <c r="D122" i="416" a="1"/>
  <c r="D122" i="416" s="1"/>
  <c r="E122" i="416" s="1"/>
  <c r="D124" i="416" a="1"/>
  <c r="D124" i="416" s="1"/>
  <c r="E124" i="416" s="1"/>
  <c r="D126" i="416" a="1"/>
  <c r="D126" i="416" s="1"/>
  <c r="E126" i="416" s="1"/>
  <c r="D128" i="416" a="1"/>
  <c r="D128" i="416" s="1"/>
  <c r="E128" i="416" s="1"/>
  <c r="D130" i="416" a="1"/>
  <c r="D130" i="416" s="1"/>
  <c r="E130" i="416" s="1"/>
  <c r="D132" i="416" a="1"/>
  <c r="D132" i="416" s="1"/>
  <c r="E132" i="416" s="1"/>
  <c r="D134" i="416" a="1"/>
  <c r="D134" i="416" s="1"/>
  <c r="E134" i="416" s="1"/>
  <c r="D136" i="416" a="1"/>
  <c r="D136" i="416" s="1"/>
  <c r="E136" i="416" s="1"/>
  <c r="D11" i="417" a="1"/>
  <c r="D11" i="417" s="1"/>
  <c r="E11" i="417" s="1"/>
  <c r="D14" i="417" a="1"/>
  <c r="D14" i="417" s="1"/>
  <c r="E14" i="417" s="1"/>
  <c r="D17" i="417" a="1"/>
  <c r="D17" i="417" s="1"/>
  <c r="E17" i="417" s="1"/>
  <c r="D19" i="417" a="1"/>
  <c r="D19" i="417" s="1"/>
  <c r="E19" i="417" s="1"/>
  <c r="D23" i="417" a="1"/>
  <c r="D23" i="417" s="1"/>
  <c r="E23" i="417" s="1"/>
  <c r="D25" i="417" a="1"/>
  <c r="D25" i="417" s="1"/>
  <c r="E25" i="417" s="1"/>
  <c r="D29" i="417" a="1"/>
  <c r="D29" i="417" s="1"/>
  <c r="E29" i="417" s="1"/>
  <c r="D32" i="417" a="1"/>
  <c r="D32" i="417" s="1"/>
  <c r="E32" i="417" s="1"/>
  <c r="D34" i="417" a="1"/>
  <c r="D34" i="417" s="1"/>
  <c r="D37" i="417" a="1"/>
  <c r="D37" i="417" s="1"/>
  <c r="E37" i="417" s="1"/>
  <c r="D39" i="417" a="1"/>
  <c r="D39" i="417" s="1"/>
  <c r="E39" i="417" s="1"/>
  <c r="D41" i="417" a="1"/>
  <c r="D41" i="417" s="1"/>
  <c r="E41" i="417" s="1"/>
  <c r="D43" i="417" a="1"/>
  <c r="D43" i="417" s="1"/>
  <c r="E43" i="417" s="1"/>
  <c r="D48" i="417" a="1"/>
  <c r="D48" i="417" s="1"/>
  <c r="E48" i="417" s="1"/>
  <c r="D50" i="417" a="1"/>
  <c r="D50" i="417" s="1"/>
  <c r="E50" i="417" s="1"/>
  <c r="D52" i="417" a="1"/>
  <c r="D52" i="417" s="1"/>
  <c r="E52" i="417" s="1"/>
  <c r="D54" i="417" a="1"/>
  <c r="D54" i="417" s="1"/>
  <c r="E54" i="417" s="1"/>
  <c r="D56" i="417" a="1"/>
  <c r="D56" i="417" s="1"/>
  <c r="E56" i="417" s="1"/>
  <c r="D58" i="417" a="1"/>
  <c r="D58" i="417" s="1"/>
  <c r="E58" i="417" s="1"/>
  <c r="D60" i="417" a="1"/>
  <c r="D60" i="417" s="1"/>
  <c r="E60" i="417" s="1"/>
  <c r="D62" i="417" a="1"/>
  <c r="D62" i="417" s="1"/>
  <c r="E62" i="417" s="1"/>
  <c r="D64" i="417" a="1"/>
  <c r="D64" i="417" s="1"/>
  <c r="E64" i="417" s="1"/>
  <c r="D66" i="417" a="1"/>
  <c r="D66" i="417" s="1"/>
  <c r="E66" i="417" s="1"/>
  <c r="D68" i="417" a="1"/>
  <c r="D68" i="417" s="1"/>
  <c r="E68" i="417" s="1"/>
  <c r="D70" i="417" a="1"/>
  <c r="D70" i="417" s="1"/>
  <c r="E70" i="417" s="1"/>
  <c r="D72" i="417" a="1"/>
  <c r="D72" i="417" s="1"/>
  <c r="E72" i="417" s="1"/>
  <c r="D76" i="417" a="1"/>
  <c r="D76" i="417" s="1"/>
  <c r="E76" i="417" s="1"/>
  <c r="D78" i="417" a="1"/>
  <c r="D78" i="417" s="1"/>
  <c r="E78" i="417" s="1"/>
  <c r="D80" i="417" a="1"/>
  <c r="D80" i="417" s="1"/>
  <c r="E80" i="417" s="1"/>
  <c r="D82" i="417" a="1"/>
  <c r="D82" i="417" s="1"/>
  <c r="E82" i="417" s="1"/>
  <c r="D84" i="417" a="1"/>
  <c r="D84" i="417" s="1"/>
  <c r="E84" i="417" s="1"/>
  <c r="D86" i="417" a="1"/>
  <c r="D86" i="417" s="1"/>
  <c r="E86" i="417" s="1"/>
  <c r="D88" i="417" a="1"/>
  <c r="D88" i="417" s="1"/>
  <c r="E88" i="417" s="1"/>
  <c r="D90" i="417" a="1"/>
  <c r="D90" i="417" s="1"/>
  <c r="E90" i="417" s="1"/>
  <c r="D92" i="417" a="1"/>
  <c r="D92" i="417" s="1"/>
  <c r="E92" i="417" s="1"/>
  <c r="D94" i="417" a="1"/>
  <c r="D94" i="417" s="1"/>
  <c r="E94" i="417" s="1"/>
  <c r="D96" i="417" a="1"/>
  <c r="D96" i="417" s="1"/>
  <c r="E96" i="417" s="1"/>
  <c r="D98" i="417" a="1"/>
  <c r="D98" i="417" s="1"/>
  <c r="E98" i="417" s="1"/>
  <c r="D100" i="417" a="1"/>
  <c r="D100" i="417" s="1"/>
  <c r="E100" i="417" s="1"/>
  <c r="D102" i="417" a="1"/>
  <c r="D102" i="417" s="1"/>
  <c r="E102" i="417" s="1"/>
  <c r="D104" i="417" a="1"/>
  <c r="D104" i="417" s="1"/>
  <c r="E104" i="417" s="1"/>
  <c r="D106" i="417" a="1"/>
  <c r="D106" i="417" s="1"/>
  <c r="E106" i="417" s="1"/>
  <c r="D108" i="417" a="1"/>
  <c r="D108" i="417" s="1"/>
  <c r="E108" i="417" s="1"/>
  <c r="D110" i="417" a="1"/>
  <c r="D110" i="417" s="1"/>
  <c r="E110" i="417" s="1"/>
  <c r="D112" i="417" a="1"/>
  <c r="D112" i="417" s="1"/>
  <c r="E112" i="417" s="1"/>
  <c r="D114" i="417" a="1"/>
  <c r="D114" i="417" s="1"/>
  <c r="E114" i="417" s="1"/>
  <c r="D116" i="417" a="1"/>
  <c r="D116" i="417" s="1"/>
  <c r="E116" i="417" s="1"/>
  <c r="D118" i="417" a="1"/>
  <c r="D118" i="417" s="1"/>
  <c r="E118" i="417" s="1"/>
  <c r="D120" i="417" a="1"/>
  <c r="D120" i="417" s="1"/>
  <c r="E120" i="417" s="1"/>
  <c r="D122" i="417" a="1"/>
  <c r="D122" i="417" s="1"/>
  <c r="E122" i="417" s="1"/>
  <c r="D124" i="417" a="1"/>
  <c r="D124" i="417" s="1"/>
  <c r="E124" i="417" s="1"/>
  <c r="D126" i="417" a="1"/>
  <c r="D126" i="417" s="1"/>
  <c r="E126" i="417" s="1"/>
  <c r="D128" i="417" a="1"/>
  <c r="D128" i="417" s="1"/>
  <c r="E128" i="417" s="1"/>
  <c r="D130" i="417" a="1"/>
  <c r="D130" i="417" s="1"/>
  <c r="E130" i="417" s="1"/>
  <c r="D132" i="417" a="1"/>
  <c r="D132" i="417" s="1"/>
  <c r="E132" i="417" s="1"/>
  <c r="D134" i="417" a="1"/>
  <c r="D134" i="417" s="1"/>
  <c r="E134" i="417" s="1"/>
  <c r="D136" i="417" a="1"/>
  <c r="D136" i="417" s="1"/>
  <c r="E136" i="417" s="1"/>
  <c r="D6" i="412"/>
  <c r="E160" i="365" a="1"/>
  <c r="E160" i="365" s="1"/>
  <c r="E158" i="365" a="1"/>
  <c r="E158" i="365" s="1"/>
  <c r="E156" i="365" a="1"/>
  <c r="E156" i="365" s="1"/>
  <c r="E149" i="365" a="1"/>
  <c r="E149" i="365" s="1"/>
  <c r="E147" i="365" a="1"/>
  <c r="E147" i="365" s="1"/>
  <c r="E145" i="365" a="1"/>
  <c r="E145" i="365" s="1"/>
  <c r="E143" i="365" a="1"/>
  <c r="E143" i="365" s="1"/>
  <c r="E139" i="365" a="1"/>
  <c r="E139" i="365" s="1"/>
  <c r="E135" i="365" a="1"/>
  <c r="E135" i="365" s="1"/>
  <c r="E133" i="365" a="1"/>
  <c r="E133" i="365" s="1"/>
  <c r="E166" i="365" a="1"/>
  <c r="E166" i="365" s="1"/>
  <c r="E78" i="365" a="1"/>
  <c r="E78" i="365" s="1"/>
  <c r="E74" i="365" a="1"/>
  <c r="E74" i="365" s="1"/>
  <c r="E72" i="365" a="1"/>
  <c r="E72" i="365" s="1"/>
  <c r="E68" i="365" a="1"/>
  <c r="E68" i="365" s="1"/>
  <c r="E66" i="365" a="1"/>
  <c r="E66" i="365" s="1"/>
  <c r="E64" i="365" a="1"/>
  <c r="E64" i="365" s="1"/>
  <c r="E62" i="365" a="1"/>
  <c r="E62" i="365" s="1"/>
  <c r="E60" i="365" a="1"/>
  <c r="E60" i="365" s="1"/>
  <c r="E58" i="365" a="1"/>
  <c r="E58" i="365" s="1"/>
  <c r="E56" i="365" a="1"/>
  <c r="E56" i="365" s="1"/>
  <c r="E159" i="365" a="1"/>
  <c r="E159" i="365" s="1"/>
  <c r="E157" i="365" a="1"/>
  <c r="E157" i="365" s="1"/>
  <c r="E155" i="365" a="1"/>
  <c r="E155" i="365" s="1"/>
  <c r="E150" i="365" a="1"/>
  <c r="E150" i="365" s="1"/>
  <c r="E148" i="365" a="1"/>
  <c r="E148" i="365" s="1"/>
  <c r="E144" i="365" a="1"/>
  <c r="E144" i="365" s="1"/>
  <c r="E142" i="365" a="1"/>
  <c r="E142" i="365" s="1"/>
  <c r="E140" i="365" a="1"/>
  <c r="E140" i="365" s="1"/>
  <c r="E138" i="365" a="1"/>
  <c r="E138" i="365" s="1"/>
  <c r="E136" i="365" a="1"/>
  <c r="E136" i="365" s="1"/>
  <c r="E132" i="365" a="1"/>
  <c r="E132" i="365" s="1"/>
  <c r="E130" i="365" a="1"/>
  <c r="E130" i="365" s="1"/>
  <c r="E79" i="365" a="1"/>
  <c r="E79" i="365" s="1"/>
  <c r="E75" i="365" a="1"/>
  <c r="E75" i="365" s="1"/>
  <c r="E73" i="365" a="1"/>
  <c r="E73" i="365" s="1"/>
  <c r="E71" i="365" a="1"/>
  <c r="E71" i="365" s="1"/>
  <c r="E69" i="365" a="1"/>
  <c r="E69" i="365" s="1"/>
  <c r="E67" i="365" a="1"/>
  <c r="E67" i="365" s="1"/>
  <c r="E63" i="365" a="1"/>
  <c r="E63" i="365" s="1"/>
  <c r="E61" i="365" a="1"/>
  <c r="E61" i="365" s="1"/>
  <c r="E59" i="365" a="1"/>
  <c r="E59" i="365" s="1"/>
  <c r="E57" i="365" a="1"/>
  <c r="E57" i="365" s="1"/>
  <c r="E55" i="365" a="1"/>
  <c r="E55" i="365" s="1"/>
  <c r="E53" i="365" a="1"/>
  <c r="E53" i="365" s="1"/>
  <c r="I160" i="365" a="1"/>
  <c r="I160" i="365" s="1"/>
  <c r="I158" i="365" a="1"/>
  <c r="I158" i="365" s="1"/>
  <c r="I156" i="365" a="1"/>
  <c r="I156" i="365" s="1"/>
  <c r="I149" i="365" a="1"/>
  <c r="I149" i="365" s="1"/>
  <c r="I147" i="365" a="1"/>
  <c r="I147" i="365" s="1"/>
  <c r="I145" i="365" a="1"/>
  <c r="I145" i="365" s="1"/>
  <c r="I143" i="365" a="1"/>
  <c r="I143" i="365" s="1"/>
  <c r="I139" i="365" a="1"/>
  <c r="I139" i="365" s="1"/>
  <c r="I135" i="365" a="1"/>
  <c r="I135" i="365" s="1"/>
  <c r="I133" i="365" a="1"/>
  <c r="I133" i="365" s="1"/>
  <c r="I131" i="365" a="1"/>
  <c r="I131" i="365" s="1"/>
  <c r="I166" i="365" a="1"/>
  <c r="I166" i="365" s="1"/>
  <c r="I78" i="365" a="1"/>
  <c r="I78" i="365" s="1"/>
  <c r="I74" i="365" a="1"/>
  <c r="I74" i="365" s="1"/>
  <c r="I72" i="365" a="1"/>
  <c r="I72" i="365" s="1"/>
  <c r="I68" i="365" a="1"/>
  <c r="I68" i="365" s="1"/>
  <c r="I66" i="365" a="1"/>
  <c r="I66" i="365" s="1"/>
  <c r="I64" i="365" a="1"/>
  <c r="I64" i="365" s="1"/>
  <c r="I62" i="365" a="1"/>
  <c r="I62" i="365" s="1"/>
  <c r="I60" i="365" a="1"/>
  <c r="I60" i="365" s="1"/>
  <c r="I58" i="365" a="1"/>
  <c r="I58" i="365" s="1"/>
  <c r="I56" i="365" a="1"/>
  <c r="I56" i="365" s="1"/>
  <c r="I159" i="365" a="1"/>
  <c r="I159" i="365" s="1"/>
  <c r="I157" i="365" a="1"/>
  <c r="I157" i="365" s="1"/>
  <c r="I155" i="365" a="1"/>
  <c r="I155" i="365" s="1"/>
  <c r="I150" i="365" a="1"/>
  <c r="I150" i="365" s="1"/>
  <c r="I148" i="365" a="1"/>
  <c r="I148" i="365" s="1"/>
  <c r="I144" i="365" a="1"/>
  <c r="I144" i="365" s="1"/>
  <c r="I142" i="365" a="1"/>
  <c r="I142" i="365" s="1"/>
  <c r="I140" i="365" a="1"/>
  <c r="I140" i="365" s="1"/>
  <c r="I138" i="365" a="1"/>
  <c r="I138" i="365" s="1"/>
  <c r="I136" i="365" a="1"/>
  <c r="I136" i="365" s="1"/>
  <c r="I132" i="365" a="1"/>
  <c r="I132" i="365" s="1"/>
  <c r="I130" i="365" a="1"/>
  <c r="I130" i="365" s="1"/>
  <c r="I79" i="365" a="1"/>
  <c r="I79" i="365" s="1"/>
  <c r="I75" i="365" a="1"/>
  <c r="I75" i="365" s="1"/>
  <c r="I73" i="365" a="1"/>
  <c r="I73" i="365" s="1"/>
  <c r="I71" i="365" a="1"/>
  <c r="I71" i="365" s="1"/>
  <c r="I69" i="365" a="1"/>
  <c r="I69" i="365" s="1"/>
  <c r="I67" i="365" a="1"/>
  <c r="I67" i="365" s="1"/>
  <c r="I63" i="365" a="1"/>
  <c r="I63" i="365" s="1"/>
  <c r="I61" i="365" a="1"/>
  <c r="I61" i="365" s="1"/>
  <c r="I59" i="365" a="1"/>
  <c r="I59" i="365" s="1"/>
  <c r="I57" i="365" a="1"/>
  <c r="I57" i="365" s="1"/>
  <c r="I55" i="365" a="1"/>
  <c r="I55" i="365" s="1"/>
  <c r="I53" i="365" a="1"/>
  <c r="I53" i="365" s="1"/>
  <c r="I51" i="365" a="1"/>
  <c r="I51" i="365" s="1"/>
  <c r="M160" i="365" a="1"/>
  <c r="M160" i="365" s="1"/>
  <c r="M158" i="365" a="1"/>
  <c r="M158" i="365" s="1"/>
  <c r="M156" i="365" a="1"/>
  <c r="M156" i="365" s="1"/>
  <c r="M149" i="365" a="1"/>
  <c r="M149" i="365" s="1"/>
  <c r="M147" i="365" a="1"/>
  <c r="M147" i="365" s="1"/>
  <c r="M145" i="365" a="1"/>
  <c r="M145" i="365" s="1"/>
  <c r="M143" i="365" a="1"/>
  <c r="M143" i="365" s="1"/>
  <c r="M139" i="365" a="1"/>
  <c r="M139" i="365" s="1"/>
  <c r="M135" i="365" a="1"/>
  <c r="M135" i="365" s="1"/>
  <c r="M133" i="365" a="1"/>
  <c r="M133" i="365" s="1"/>
  <c r="M131" i="365" a="1"/>
  <c r="M131" i="365" s="1"/>
  <c r="M166" i="365" a="1"/>
  <c r="M166" i="365" s="1"/>
  <c r="M78" i="365" a="1"/>
  <c r="M78" i="365" s="1"/>
  <c r="M74" i="365" a="1"/>
  <c r="M74" i="365" s="1"/>
  <c r="M72" i="365" a="1"/>
  <c r="M72" i="365" s="1"/>
  <c r="M68" i="365" a="1"/>
  <c r="M68" i="365" s="1"/>
  <c r="M66" i="365" a="1"/>
  <c r="M66" i="365" s="1"/>
  <c r="M64" i="365" a="1"/>
  <c r="M64" i="365" s="1"/>
  <c r="M62" i="365" a="1"/>
  <c r="M62" i="365" s="1"/>
  <c r="M60" i="365" a="1"/>
  <c r="M60" i="365" s="1"/>
  <c r="M58" i="365" a="1"/>
  <c r="M58" i="365" s="1"/>
  <c r="M56" i="365" a="1"/>
  <c r="M56" i="365" s="1"/>
  <c r="M54" i="365" a="1"/>
  <c r="M54" i="365" s="1"/>
  <c r="M159" i="365" a="1"/>
  <c r="M159" i="365" s="1"/>
  <c r="M157" i="365" a="1"/>
  <c r="M157" i="365" s="1"/>
  <c r="M155" i="365" a="1"/>
  <c r="M155" i="365" s="1"/>
  <c r="M150" i="365" a="1"/>
  <c r="M150" i="365" s="1"/>
  <c r="M148" i="365" a="1"/>
  <c r="M148" i="365" s="1"/>
  <c r="M144" i="365" a="1"/>
  <c r="M144" i="365" s="1"/>
  <c r="M142" i="365" a="1"/>
  <c r="M142" i="365" s="1"/>
  <c r="M140" i="365" a="1"/>
  <c r="M140" i="365" s="1"/>
  <c r="M138" i="365" a="1"/>
  <c r="M138" i="365" s="1"/>
  <c r="M136" i="365" a="1"/>
  <c r="M136" i="365" s="1"/>
  <c r="M132" i="365" a="1"/>
  <c r="M132" i="365" s="1"/>
  <c r="M130" i="365" a="1"/>
  <c r="M130" i="365" s="1"/>
  <c r="M128" i="365" a="1"/>
  <c r="M128" i="365" s="1"/>
  <c r="M79" i="365" a="1"/>
  <c r="M79" i="365" s="1"/>
  <c r="M75" i="365" a="1"/>
  <c r="M75" i="365" s="1"/>
  <c r="M73" i="365" a="1"/>
  <c r="M73" i="365" s="1"/>
  <c r="M71" i="365" a="1"/>
  <c r="M71" i="365" s="1"/>
  <c r="M69" i="365" a="1"/>
  <c r="M69" i="365" s="1"/>
  <c r="M67" i="365" a="1"/>
  <c r="M67" i="365" s="1"/>
  <c r="M63" i="365" a="1"/>
  <c r="M63" i="365" s="1"/>
  <c r="M61" i="365" a="1"/>
  <c r="M61" i="365" s="1"/>
  <c r="M59" i="365" a="1"/>
  <c r="M59" i="365" s="1"/>
  <c r="M57" i="365" a="1"/>
  <c r="M57" i="365" s="1"/>
  <c r="M55" i="365" a="1"/>
  <c r="M55" i="365" s="1"/>
  <c r="M53" i="365" a="1"/>
  <c r="M53" i="365" s="1"/>
  <c r="M51" i="365" a="1"/>
  <c r="M51" i="365" s="1"/>
  <c r="E12" i="365" a="1"/>
  <c r="E12" i="365" s="1"/>
  <c r="I12" i="365" a="1"/>
  <c r="I12" i="365" s="1"/>
  <c r="M12" i="365" a="1"/>
  <c r="M12" i="365" s="1"/>
  <c r="E14" i="365" a="1"/>
  <c r="E14" i="365" s="1"/>
  <c r="I14" i="365" a="1"/>
  <c r="I14" i="365" s="1"/>
  <c r="K14" i="365" a="1"/>
  <c r="K14" i="365" s="1"/>
  <c r="M14" i="365" a="1"/>
  <c r="M14" i="365" s="1"/>
  <c r="O14" i="365" a="1"/>
  <c r="O14" i="365" s="1"/>
  <c r="D15" i="365" a="1"/>
  <c r="D15" i="365" s="1"/>
  <c r="F15" i="365" a="1"/>
  <c r="F15" i="365" s="1"/>
  <c r="H15" i="365" a="1"/>
  <c r="H15" i="365" s="1"/>
  <c r="J15" i="365" a="1"/>
  <c r="J15" i="365" s="1"/>
  <c r="L15" i="365" a="1"/>
  <c r="L15" i="365" s="1"/>
  <c r="N15" i="365" a="1"/>
  <c r="N15" i="365" s="1"/>
  <c r="E16" i="365" a="1"/>
  <c r="E16" i="365" s="1"/>
  <c r="G16" i="365" a="1"/>
  <c r="G16" i="365" s="1"/>
  <c r="I16" i="365" a="1"/>
  <c r="I16" i="365" s="1"/>
  <c r="K16" i="365" a="1"/>
  <c r="K16" i="365" s="1"/>
  <c r="M16" i="365" a="1"/>
  <c r="M16" i="365" s="1"/>
  <c r="O16" i="365" a="1"/>
  <c r="O16" i="365" s="1"/>
  <c r="E18" i="365" a="1"/>
  <c r="E18" i="365" s="1"/>
  <c r="G18" i="365" a="1"/>
  <c r="G18" i="365" s="1"/>
  <c r="I18" i="365" a="1"/>
  <c r="I18" i="365" s="1"/>
  <c r="K18" i="365" a="1"/>
  <c r="K18" i="365" s="1"/>
  <c r="M18" i="365" a="1"/>
  <c r="M18" i="365" s="1"/>
  <c r="O18" i="365" a="1"/>
  <c r="O18" i="365" s="1"/>
  <c r="D19" i="365" a="1"/>
  <c r="D19" i="365" s="1"/>
  <c r="F19" i="365" a="1"/>
  <c r="F19" i="365" s="1"/>
  <c r="H19" i="365" a="1"/>
  <c r="H19" i="365" s="1"/>
  <c r="J19" i="365" a="1"/>
  <c r="J19" i="365" s="1"/>
  <c r="L19" i="365" a="1"/>
  <c r="L19" i="365" s="1"/>
  <c r="N19" i="365" a="1"/>
  <c r="N19" i="365" s="1"/>
  <c r="D21" i="365" a="1"/>
  <c r="D21" i="365" s="1"/>
  <c r="F21" i="365" a="1"/>
  <c r="F21" i="365" s="1"/>
  <c r="H21" i="365" a="1"/>
  <c r="H21" i="365" s="1"/>
  <c r="J21" i="365" a="1"/>
  <c r="J21" i="365" s="1"/>
  <c r="L21" i="365" a="1"/>
  <c r="L21" i="365" s="1"/>
  <c r="N21" i="365" a="1"/>
  <c r="N21" i="365" s="1"/>
  <c r="E22" i="365" a="1"/>
  <c r="E22" i="365" s="1"/>
  <c r="G22" i="365" a="1"/>
  <c r="G22" i="365" s="1"/>
  <c r="I22" i="365" a="1"/>
  <c r="I22" i="365" s="1"/>
  <c r="K22" i="365" a="1"/>
  <c r="K22" i="365" s="1"/>
  <c r="M22" i="365" a="1"/>
  <c r="M22" i="365" s="1"/>
  <c r="O22" i="365" a="1"/>
  <c r="O22" i="365" s="1"/>
  <c r="H51" i="365" a="1"/>
  <c r="H51" i="365" s="1"/>
  <c r="K52" i="365" a="1"/>
  <c r="K52" i="365" s="1"/>
  <c r="F53" i="365" a="1"/>
  <c r="F53" i="365" s="1"/>
  <c r="N53" i="365" a="1"/>
  <c r="N53" i="365" s="1"/>
  <c r="I54" i="365" a="1"/>
  <c r="I54" i="365" s="1"/>
  <c r="G87" i="365" a="1"/>
  <c r="G87" i="365" s="1"/>
  <c r="K87" i="365" a="1"/>
  <c r="K87" i="365" s="1"/>
  <c r="O87" i="365" a="1"/>
  <c r="O87" i="365" s="1"/>
  <c r="F88" i="365" a="1"/>
  <c r="F88" i="365" s="1"/>
  <c r="J88" i="365" a="1"/>
  <c r="J88" i="365" s="1"/>
  <c r="N88" i="365" a="1"/>
  <c r="N88" i="365" s="1"/>
  <c r="F90" i="365" a="1"/>
  <c r="F90" i="365" s="1"/>
  <c r="J90" i="365" a="1"/>
  <c r="J90" i="365" s="1"/>
  <c r="N90" i="365" a="1"/>
  <c r="N90" i="365" s="1"/>
  <c r="E91" i="365" a="1"/>
  <c r="E91" i="365" s="1"/>
  <c r="I91" i="365" a="1"/>
  <c r="I91" i="365" s="1"/>
  <c r="M91" i="365" a="1"/>
  <c r="M91" i="365" s="1"/>
  <c r="D92" i="365" a="1"/>
  <c r="D92" i="365" s="1"/>
  <c r="H92" i="365" a="1"/>
  <c r="H92" i="365" s="1"/>
  <c r="L92" i="365" a="1"/>
  <c r="L92" i="365" s="1"/>
  <c r="G93" i="365" a="1"/>
  <c r="G93" i="365" s="1"/>
  <c r="K93" i="365" a="1"/>
  <c r="K93" i="365" s="1"/>
  <c r="O93" i="365" a="1"/>
  <c r="O93" i="365" s="1"/>
  <c r="F94" i="365" a="1"/>
  <c r="F94" i="365" s="1"/>
  <c r="J94" i="365" a="1"/>
  <c r="J94" i="365" s="1"/>
  <c r="N94" i="365" a="1"/>
  <c r="N94" i="365" s="1"/>
  <c r="E95" i="365" a="1"/>
  <c r="E95" i="365" s="1"/>
  <c r="I95" i="365" a="1"/>
  <c r="I95" i="365" s="1"/>
  <c r="M95" i="365" a="1"/>
  <c r="M95" i="365" s="1"/>
  <c r="D96" i="365" a="1"/>
  <c r="D96" i="365" s="1"/>
  <c r="H96" i="365" a="1"/>
  <c r="H96" i="365" s="1"/>
  <c r="L96" i="365" a="1"/>
  <c r="L96" i="365" s="1"/>
  <c r="D98" i="365" a="1"/>
  <c r="D98" i="365" s="1"/>
  <c r="H98" i="365" a="1"/>
  <c r="H98" i="365" s="1"/>
  <c r="L98" i="365" a="1"/>
  <c r="L98" i="365" s="1"/>
  <c r="D100" i="365" a="1"/>
  <c r="D100" i="365" s="1"/>
  <c r="H100" i="365" a="1"/>
  <c r="H100" i="365" s="1"/>
  <c r="L100" i="365" a="1"/>
  <c r="L100" i="365" s="1"/>
  <c r="G101" i="365" a="1"/>
  <c r="G101" i="365" s="1"/>
  <c r="K101" i="365" a="1"/>
  <c r="K101" i="365" s="1"/>
  <c r="O101" i="365" a="1"/>
  <c r="O101" i="365" s="1"/>
  <c r="G103" i="365" a="1"/>
  <c r="G103" i="365" s="1"/>
  <c r="K103" i="365" a="1"/>
  <c r="K103" i="365" s="1"/>
  <c r="O103" i="365" a="1"/>
  <c r="O103" i="365" s="1"/>
  <c r="F104" i="365" a="1"/>
  <c r="F104" i="365" s="1"/>
  <c r="J104" i="365" a="1"/>
  <c r="J104" i="365" s="1"/>
  <c r="N104" i="365" a="1"/>
  <c r="N104" i="365" s="1"/>
  <c r="E105" i="365" a="1"/>
  <c r="E105" i="365" s="1"/>
  <c r="I105" i="365" a="1"/>
  <c r="I105" i="365" s="1"/>
  <c r="M105" i="365" a="1"/>
  <c r="M105" i="365" s="1"/>
  <c r="D106" i="365" a="1"/>
  <c r="D106" i="365" s="1"/>
  <c r="H106" i="365" a="1"/>
  <c r="H106" i="365" s="1"/>
  <c r="L106" i="365" a="1"/>
  <c r="L106" i="365" s="1"/>
  <c r="G107" i="365" a="1"/>
  <c r="G107" i="365" s="1"/>
  <c r="K107" i="365" a="1"/>
  <c r="K107" i="365" s="1"/>
  <c r="O107" i="365" a="1"/>
  <c r="O107" i="365" s="1"/>
  <c r="D109" i="365" a="1"/>
  <c r="D109" i="365" s="1"/>
  <c r="H109" i="365" a="1"/>
  <c r="H109" i="365" s="1"/>
  <c r="L109" i="365" a="1"/>
  <c r="L109" i="365" s="1"/>
  <c r="G110" i="365" a="1"/>
  <c r="G110" i="365" s="1"/>
  <c r="K110" i="365" a="1"/>
  <c r="K110" i="365" s="1"/>
  <c r="O110" i="365" a="1"/>
  <c r="O110" i="365" s="1"/>
  <c r="F111" i="365" a="1"/>
  <c r="F111" i="365" s="1"/>
  <c r="J111" i="365" a="1"/>
  <c r="J111" i="365" s="1"/>
  <c r="N111" i="365" a="1"/>
  <c r="N111" i="365" s="1"/>
  <c r="E112" i="365" a="1"/>
  <c r="E112" i="365" s="1"/>
  <c r="I112" i="365" a="1"/>
  <c r="I112" i="365" s="1"/>
  <c r="M112" i="365" a="1"/>
  <c r="M112" i="365" s="1"/>
  <c r="D113" i="365" a="1"/>
  <c r="D113" i="365" s="1"/>
  <c r="H113" i="365" a="1"/>
  <c r="H113" i="365" s="1"/>
  <c r="L113" i="365" a="1"/>
  <c r="L113" i="365" s="1"/>
  <c r="G114" i="365" a="1"/>
  <c r="G114" i="365" s="1"/>
  <c r="K114" i="365" a="1"/>
  <c r="K114" i="365" s="1"/>
  <c r="O114" i="365" a="1"/>
  <c r="O114" i="365" s="1"/>
  <c r="F115" i="365" a="1"/>
  <c r="F115" i="365" s="1"/>
  <c r="J115" i="365" a="1"/>
  <c r="J115" i="365" s="1"/>
  <c r="N115" i="365" a="1"/>
  <c r="N115" i="365" s="1"/>
  <c r="E116" i="365" a="1"/>
  <c r="E116" i="365" s="1"/>
  <c r="I116" i="365" a="1"/>
  <c r="I116" i="365" s="1"/>
  <c r="M116" i="365" a="1"/>
  <c r="M116" i="365" s="1"/>
  <c r="E118" i="365" a="1"/>
  <c r="E118" i="365" s="1"/>
  <c r="I118" i="365" a="1"/>
  <c r="I118" i="365" s="1"/>
  <c r="M118" i="365" a="1"/>
  <c r="M118" i="365" s="1"/>
  <c r="D119" i="365" a="1"/>
  <c r="D119" i="365" s="1"/>
  <c r="H119" i="365" a="1"/>
  <c r="H119" i="365" s="1"/>
  <c r="L119" i="365" a="1"/>
  <c r="L119" i="365" s="1"/>
  <c r="G120" i="365" a="1"/>
  <c r="G120" i="365" s="1"/>
  <c r="K120" i="365" a="1"/>
  <c r="K120" i="365" s="1"/>
  <c r="O120" i="365" a="1"/>
  <c r="O120" i="365" s="1"/>
  <c r="F121" i="365" a="1"/>
  <c r="F121" i="365" s="1"/>
  <c r="J121" i="365" a="1"/>
  <c r="J121" i="365" s="1"/>
  <c r="N121" i="365" a="1"/>
  <c r="N121" i="365" s="1"/>
  <c r="E122" i="365" a="1"/>
  <c r="E122" i="365" s="1"/>
  <c r="I122" i="365" a="1"/>
  <c r="I122" i="365" s="1"/>
  <c r="M122" i="365" a="1"/>
  <c r="M122" i="365" s="1"/>
  <c r="D123" i="365" a="1"/>
  <c r="D123" i="365" s="1"/>
  <c r="H123" i="365" a="1"/>
  <c r="H123" i="365" s="1"/>
  <c r="L123" i="365" a="1"/>
  <c r="L123" i="365" s="1"/>
  <c r="G124" i="365" a="1"/>
  <c r="G124" i="365" s="1"/>
  <c r="K124" i="365" a="1"/>
  <c r="K124" i="365" s="1"/>
  <c r="O124" i="365" a="1"/>
  <c r="O124" i="365" s="1"/>
  <c r="F125" i="365" a="1"/>
  <c r="F125" i="365" s="1"/>
  <c r="J125" i="365" a="1"/>
  <c r="J125" i="365" s="1"/>
  <c r="N125" i="365" a="1"/>
  <c r="N125" i="365" s="1"/>
  <c r="N127" i="365" a="1"/>
  <c r="N127" i="365" s="1"/>
  <c r="E128" i="365" a="1"/>
  <c r="E128" i="365" s="1"/>
  <c r="I128" i="365" a="1"/>
  <c r="I128" i="365" s="1"/>
  <c r="I129" i="365" a="1"/>
  <c r="I129" i="365" s="1"/>
  <c r="D130" i="365" a="1"/>
  <c r="D130" i="365" s="1"/>
  <c r="L130" i="365" a="1"/>
  <c r="L130" i="365" s="1"/>
  <c r="G131" i="365" a="1"/>
  <c r="G131" i="365" s="1"/>
  <c r="D6" i="417"/>
  <c r="D13" i="412" a="1"/>
  <c r="D13" i="412" s="1"/>
  <c r="E13" i="412" s="1"/>
  <c r="D15" i="412" a="1"/>
  <c r="D15" i="412" s="1"/>
  <c r="E15" i="412" s="1"/>
  <c r="D18" i="412" a="1"/>
  <c r="D18" i="412" s="1"/>
  <c r="E18" i="412" s="1"/>
  <c r="D21" i="412" a="1"/>
  <c r="D21" i="412" s="1"/>
  <c r="E21" i="412" s="1"/>
  <c r="D24" i="412" a="1"/>
  <c r="D24" i="412" s="1"/>
  <c r="E24" i="412" s="1"/>
  <c r="D27" i="412" a="1"/>
  <c r="D27" i="412" s="1"/>
  <c r="E27" i="412" s="1"/>
  <c r="D30" i="412" a="1"/>
  <c r="D30" i="412" s="1"/>
  <c r="E30" i="412" s="1"/>
  <c r="D33" i="412" a="1"/>
  <c r="D33" i="412" s="1"/>
  <c r="E33" i="412" s="1"/>
  <c r="D36" i="412" a="1"/>
  <c r="D36" i="412" s="1"/>
  <c r="E36" i="412" s="1"/>
  <c r="D38" i="412" a="1"/>
  <c r="D38" i="412" s="1"/>
  <c r="E38" i="412" s="1"/>
  <c r="D40" i="412" a="1"/>
  <c r="D40" i="412" s="1"/>
  <c r="E40" i="412" s="1"/>
  <c r="D42" i="412" a="1"/>
  <c r="D42" i="412" s="1"/>
  <c r="E42" i="412" s="1"/>
  <c r="D44" i="412" a="1"/>
  <c r="D44" i="412" s="1"/>
  <c r="E44" i="412" s="1"/>
  <c r="D49" i="412" a="1"/>
  <c r="D49" i="412" s="1"/>
  <c r="E49" i="412" s="1"/>
  <c r="D51" i="412" a="1"/>
  <c r="D51" i="412" s="1"/>
  <c r="E51" i="412" s="1"/>
  <c r="D53" i="412" a="1"/>
  <c r="D53" i="412" s="1"/>
  <c r="E53" i="412" s="1"/>
  <c r="D55" i="412" a="1"/>
  <c r="D55" i="412" s="1"/>
  <c r="E55" i="412" s="1"/>
  <c r="D57" i="412" a="1"/>
  <c r="D57" i="412" s="1"/>
  <c r="E57" i="412" s="1"/>
  <c r="D59" i="412" a="1"/>
  <c r="D59" i="412" s="1"/>
  <c r="E59" i="412" s="1"/>
  <c r="D61" i="412" a="1"/>
  <c r="D61" i="412" s="1"/>
  <c r="E61" i="412" s="1"/>
  <c r="D63" i="412" a="1"/>
  <c r="D63" i="412" s="1"/>
  <c r="E63" i="412" s="1"/>
  <c r="D65" i="412" a="1"/>
  <c r="D65" i="412" s="1"/>
  <c r="E65" i="412" s="1"/>
  <c r="D67" i="412" a="1"/>
  <c r="D67" i="412" s="1"/>
  <c r="E67" i="412" s="1"/>
  <c r="D69" i="412" a="1"/>
  <c r="D69" i="412" s="1"/>
  <c r="E69" i="412" s="1"/>
  <c r="D71" i="412" a="1"/>
  <c r="D71" i="412" s="1"/>
  <c r="E71" i="412" s="1"/>
  <c r="D75" i="412" a="1"/>
  <c r="D75" i="412" s="1"/>
  <c r="E75" i="412" s="1"/>
  <c r="D77" i="412" a="1"/>
  <c r="D77" i="412" s="1"/>
  <c r="E77" i="412" s="1"/>
  <c r="D79" i="412" a="1"/>
  <c r="D79" i="412" s="1"/>
  <c r="E79" i="412" s="1"/>
  <c r="D81" i="412" a="1"/>
  <c r="D81" i="412" s="1"/>
  <c r="E81" i="412" s="1"/>
  <c r="D83" i="412" a="1"/>
  <c r="D83" i="412" s="1"/>
  <c r="E83" i="412" s="1"/>
  <c r="D85" i="412" a="1"/>
  <c r="D85" i="412" s="1"/>
  <c r="E85" i="412" s="1"/>
  <c r="D87" i="412" a="1"/>
  <c r="D87" i="412" s="1"/>
  <c r="E87" i="412" s="1"/>
  <c r="D89" i="412" a="1"/>
  <c r="D89" i="412" s="1"/>
  <c r="E89" i="412" s="1"/>
  <c r="D91" i="412" a="1"/>
  <c r="D91" i="412" s="1"/>
  <c r="E91" i="412" s="1"/>
  <c r="D93" i="412" a="1"/>
  <c r="D93" i="412" s="1"/>
  <c r="E93" i="412" s="1"/>
  <c r="D95" i="412" a="1"/>
  <c r="D95" i="412" s="1"/>
  <c r="E95" i="412" s="1"/>
  <c r="D97" i="412" a="1"/>
  <c r="D97" i="412" s="1"/>
  <c r="E97" i="412" s="1"/>
  <c r="D99" i="412" a="1"/>
  <c r="D99" i="412" s="1"/>
  <c r="E99" i="412" s="1"/>
  <c r="D101" i="412" a="1"/>
  <c r="D101" i="412" s="1"/>
  <c r="E101" i="412" s="1"/>
  <c r="D103" i="412" a="1"/>
  <c r="D103" i="412" s="1"/>
  <c r="E103" i="412" s="1"/>
  <c r="D105" i="412" a="1"/>
  <c r="D105" i="412" s="1"/>
  <c r="E105" i="412" s="1"/>
  <c r="D107" i="412" a="1"/>
  <c r="D107" i="412" s="1"/>
  <c r="D109" i="412" a="1"/>
  <c r="D109" i="412" s="1"/>
  <c r="E109" i="412" s="1"/>
  <c r="D111" i="412" a="1"/>
  <c r="D111" i="412" s="1"/>
  <c r="E111" i="412" s="1"/>
  <c r="D113" i="412" a="1"/>
  <c r="D113" i="412" s="1"/>
  <c r="E113" i="412" s="1"/>
  <c r="D115" i="412" a="1"/>
  <c r="D115" i="412" s="1"/>
  <c r="E115" i="412" s="1"/>
  <c r="D117" i="412" a="1"/>
  <c r="D117" i="412" s="1"/>
  <c r="E117" i="412" s="1"/>
  <c r="D119" i="412" a="1"/>
  <c r="D119" i="412" s="1"/>
  <c r="E119" i="412" s="1"/>
  <c r="D121" i="412" a="1"/>
  <c r="D121" i="412" s="1"/>
  <c r="E121" i="412" s="1"/>
  <c r="D123" i="412" a="1"/>
  <c r="D123" i="412" s="1"/>
  <c r="E123" i="412" s="1"/>
  <c r="D125" i="412" a="1"/>
  <c r="D125" i="412" s="1"/>
  <c r="E125" i="412" s="1"/>
  <c r="D127" i="412" a="1"/>
  <c r="D127" i="412" s="1"/>
  <c r="E127" i="412" s="1"/>
  <c r="D129" i="412" a="1"/>
  <c r="D129" i="412" s="1"/>
  <c r="E129" i="412" s="1"/>
  <c r="D131" i="412" a="1"/>
  <c r="D131" i="412" s="1"/>
  <c r="E131" i="412" s="1"/>
  <c r="D133" i="412" a="1"/>
  <c r="D133" i="412" s="1"/>
  <c r="E133" i="412" s="1"/>
  <c r="D135" i="412" a="1"/>
  <c r="D135" i="412" s="1"/>
  <c r="E135" i="412" s="1"/>
  <c r="D137" i="412" a="1"/>
  <c r="D137" i="412" s="1"/>
  <c r="E137" i="412" s="1"/>
  <c r="F159" i="365" a="1"/>
  <c r="F159" i="365" s="1"/>
  <c r="F157" i="365" a="1"/>
  <c r="F157" i="365" s="1"/>
  <c r="F155" i="365" a="1"/>
  <c r="F155" i="365" s="1"/>
  <c r="F150" i="365" a="1"/>
  <c r="F150" i="365" s="1"/>
  <c r="F148" i="365" a="1"/>
  <c r="F148" i="365" s="1"/>
  <c r="F144" i="365" a="1"/>
  <c r="F144" i="365" s="1"/>
  <c r="F142" i="365" a="1"/>
  <c r="F142" i="365" s="1"/>
  <c r="F140" i="365" a="1"/>
  <c r="F140" i="365" s="1"/>
  <c r="F138" i="365" a="1"/>
  <c r="F138" i="365" s="1"/>
  <c r="F136" i="365" a="1"/>
  <c r="F136" i="365" s="1"/>
  <c r="F132" i="365" a="1"/>
  <c r="F132" i="365" s="1"/>
  <c r="F79" i="365" a="1"/>
  <c r="F79" i="365" s="1"/>
  <c r="F75" i="365" a="1"/>
  <c r="F75" i="365" s="1"/>
  <c r="F73" i="365" a="1"/>
  <c r="F73" i="365" s="1"/>
  <c r="F71" i="365" a="1"/>
  <c r="F71" i="365" s="1"/>
  <c r="F69" i="365" a="1"/>
  <c r="F69" i="365" s="1"/>
  <c r="F67" i="365" a="1"/>
  <c r="F67" i="365" s="1"/>
  <c r="F63" i="365" a="1"/>
  <c r="F63" i="365" s="1"/>
  <c r="F61" i="365" a="1"/>
  <c r="F61" i="365" s="1"/>
  <c r="F59" i="365" a="1"/>
  <c r="F59" i="365" s="1"/>
  <c r="F57" i="365" a="1"/>
  <c r="F57" i="365" s="1"/>
  <c r="F55" i="365" a="1"/>
  <c r="F55" i="365" s="1"/>
  <c r="F160" i="365" a="1"/>
  <c r="F160" i="365" s="1"/>
  <c r="F158" i="365" a="1"/>
  <c r="F158" i="365" s="1"/>
  <c r="F156" i="365" a="1"/>
  <c r="F156" i="365" s="1"/>
  <c r="F149" i="365" a="1"/>
  <c r="F149" i="365" s="1"/>
  <c r="F147" i="365" a="1"/>
  <c r="F147" i="365" s="1"/>
  <c r="F145" i="365" a="1"/>
  <c r="F145" i="365" s="1"/>
  <c r="F143" i="365" a="1"/>
  <c r="F143" i="365" s="1"/>
  <c r="F139" i="365" a="1"/>
  <c r="F139" i="365" s="1"/>
  <c r="F135" i="365" a="1"/>
  <c r="F135" i="365" s="1"/>
  <c r="F133" i="365" a="1"/>
  <c r="F133" i="365" s="1"/>
  <c r="F131" i="365" a="1"/>
  <c r="F131" i="365" s="1"/>
  <c r="F129" i="365" a="1"/>
  <c r="F129" i="365" s="1"/>
  <c r="F166" i="365" a="1"/>
  <c r="F166" i="365" s="1"/>
  <c r="F78" i="365" a="1"/>
  <c r="F78" i="365" s="1"/>
  <c r="F77" i="365" s="1"/>
  <c r="F74" i="365" a="1"/>
  <c r="F74" i="365" s="1"/>
  <c r="F72" i="365" a="1"/>
  <c r="F72" i="365" s="1"/>
  <c r="F68" i="365" a="1"/>
  <c r="F68" i="365" s="1"/>
  <c r="D68" i="365" a="1"/>
  <c r="D68" i="365" s="1"/>
  <c r="G68" i="365" a="1"/>
  <c r="G68" i="365" s="1"/>
  <c r="H68" i="365" a="1"/>
  <c r="H68" i="365" s="1"/>
  <c r="J68" i="365" a="1"/>
  <c r="J68" i="365" s="1"/>
  <c r="K68" i="365" a="1"/>
  <c r="K68" i="365" s="1"/>
  <c r="L68" i="365" a="1"/>
  <c r="L68" i="365" s="1"/>
  <c r="N68" i="365" a="1"/>
  <c r="N68" i="365" s="1"/>
  <c r="O68" i="365" a="1"/>
  <c r="O68" i="365" s="1"/>
  <c r="F66" i="365" a="1"/>
  <c r="F66" i="365" s="1"/>
  <c r="F64" i="365" a="1"/>
  <c r="F64" i="365" s="1"/>
  <c r="F62" i="365" a="1"/>
  <c r="F62" i="365" s="1"/>
  <c r="F60" i="365" a="1"/>
  <c r="F60" i="365" s="1"/>
  <c r="D60" i="365" a="1"/>
  <c r="D60" i="365" s="1"/>
  <c r="G60" i="365" a="1"/>
  <c r="G60" i="365" s="1"/>
  <c r="H60" i="365" a="1"/>
  <c r="H60" i="365" s="1"/>
  <c r="J60" i="365" a="1"/>
  <c r="J60" i="365" s="1"/>
  <c r="K60" i="365" a="1"/>
  <c r="K60" i="365" s="1"/>
  <c r="L60" i="365" a="1"/>
  <c r="L60" i="365" s="1"/>
  <c r="N60" i="365" a="1"/>
  <c r="N60" i="365" s="1"/>
  <c r="O60" i="365" a="1"/>
  <c r="O60" i="365" s="1"/>
  <c r="F58" i="365" a="1"/>
  <c r="F58" i="365" s="1"/>
  <c r="D58" i="365" a="1"/>
  <c r="D58" i="365" s="1"/>
  <c r="G58" i="365" a="1"/>
  <c r="G58" i="365" s="1"/>
  <c r="H58" i="365" a="1"/>
  <c r="H58" i="365" s="1"/>
  <c r="J58" i="365" a="1"/>
  <c r="J58" i="365" s="1"/>
  <c r="K58" i="365" a="1"/>
  <c r="K58" i="365" s="1"/>
  <c r="L58" i="365" a="1"/>
  <c r="L58" i="365" s="1"/>
  <c r="N58" i="365" a="1"/>
  <c r="N58" i="365" s="1"/>
  <c r="O58" i="365" a="1"/>
  <c r="O58" i="365" s="1"/>
  <c r="F56" i="365" a="1"/>
  <c r="F56" i="365" s="1"/>
  <c r="F54" i="365" a="1"/>
  <c r="F54" i="365" s="1"/>
  <c r="F52" i="365" a="1"/>
  <c r="F52" i="365" s="1"/>
  <c r="J159" i="365" a="1"/>
  <c r="J159" i="365" s="1"/>
  <c r="J157" i="365" a="1"/>
  <c r="J157" i="365" s="1"/>
  <c r="J155" i="365" a="1"/>
  <c r="J155" i="365" s="1"/>
  <c r="J150" i="365" a="1"/>
  <c r="J150" i="365" s="1"/>
  <c r="J148" i="365" a="1"/>
  <c r="J148" i="365" s="1"/>
  <c r="J144" i="365" a="1"/>
  <c r="J144" i="365" s="1"/>
  <c r="J142" i="365" a="1"/>
  <c r="J142" i="365" s="1"/>
  <c r="J140" i="365" a="1"/>
  <c r="J140" i="365" s="1"/>
  <c r="J138" i="365" a="1"/>
  <c r="J138" i="365" s="1"/>
  <c r="J136" i="365" a="1"/>
  <c r="J136" i="365" s="1"/>
  <c r="J132" i="365" a="1"/>
  <c r="J132" i="365" s="1"/>
  <c r="J79" i="365" a="1"/>
  <c r="J79" i="365" s="1"/>
  <c r="J75" i="365" a="1"/>
  <c r="J75" i="365" s="1"/>
  <c r="J73" i="365" a="1"/>
  <c r="J73" i="365" s="1"/>
  <c r="J71" i="365" a="1"/>
  <c r="J71" i="365" s="1"/>
  <c r="J69" i="365" a="1"/>
  <c r="J69" i="365" s="1"/>
  <c r="J67" i="365" a="1"/>
  <c r="J67" i="365" s="1"/>
  <c r="J63" i="365" a="1"/>
  <c r="J63" i="365" s="1"/>
  <c r="J61" i="365" a="1"/>
  <c r="J61" i="365" s="1"/>
  <c r="J59" i="365" a="1"/>
  <c r="J59" i="365" s="1"/>
  <c r="J57" i="365" a="1"/>
  <c r="J57" i="365" s="1"/>
  <c r="J55" i="365" a="1"/>
  <c r="J55" i="365" s="1"/>
  <c r="J160" i="365" a="1"/>
  <c r="J160" i="365" s="1"/>
  <c r="J158" i="365" a="1"/>
  <c r="J158" i="365" s="1"/>
  <c r="J156" i="365" a="1"/>
  <c r="J156" i="365" s="1"/>
  <c r="J149" i="365" a="1"/>
  <c r="J149" i="365" s="1"/>
  <c r="J147" i="365" a="1"/>
  <c r="J147" i="365" s="1"/>
  <c r="J145" i="365" a="1"/>
  <c r="J145" i="365" s="1"/>
  <c r="J143" i="365" a="1"/>
  <c r="J143" i="365" s="1"/>
  <c r="J139" i="365" a="1"/>
  <c r="J139" i="365" s="1"/>
  <c r="J135" i="365" a="1"/>
  <c r="J135" i="365" s="1"/>
  <c r="J133" i="365" a="1"/>
  <c r="J133" i="365" s="1"/>
  <c r="J131" i="365" a="1"/>
  <c r="J131" i="365" s="1"/>
  <c r="J129" i="365" a="1"/>
  <c r="J129" i="365" s="1"/>
  <c r="J166" i="365" a="1"/>
  <c r="J166" i="365" s="1"/>
  <c r="J78" i="365" a="1"/>
  <c r="J78" i="365" s="1"/>
  <c r="J77" i="365" s="1"/>
  <c r="J74" i="365" a="1"/>
  <c r="J74" i="365" s="1"/>
  <c r="J72" i="365" a="1"/>
  <c r="J72" i="365" s="1"/>
  <c r="J66" i="365" a="1"/>
  <c r="J66" i="365" s="1"/>
  <c r="J64" i="365" a="1"/>
  <c r="J64" i="365" s="1"/>
  <c r="J62" i="365" a="1"/>
  <c r="J62" i="365" s="1"/>
  <c r="J56" i="365" a="1"/>
  <c r="J56" i="365" s="1"/>
  <c r="J54" i="365" a="1"/>
  <c r="J54" i="365" s="1"/>
  <c r="J52" i="365" a="1"/>
  <c r="J52" i="365" s="1"/>
  <c r="N159" i="365" a="1"/>
  <c r="N159" i="365" s="1"/>
  <c r="N157" i="365" a="1"/>
  <c r="N157" i="365" s="1"/>
  <c r="N155" i="365" a="1"/>
  <c r="N155" i="365" s="1"/>
  <c r="N150" i="365" a="1"/>
  <c r="N150" i="365" s="1"/>
  <c r="N148" i="365" a="1"/>
  <c r="N148" i="365" s="1"/>
  <c r="N144" i="365" a="1"/>
  <c r="N144" i="365" s="1"/>
  <c r="N142" i="365" a="1"/>
  <c r="N142" i="365" s="1"/>
  <c r="N140" i="365" a="1"/>
  <c r="N140" i="365" s="1"/>
  <c r="N138" i="365" a="1"/>
  <c r="N138" i="365" s="1"/>
  <c r="N136" i="365" a="1"/>
  <c r="N136" i="365" s="1"/>
  <c r="N132" i="365" a="1"/>
  <c r="N132" i="365" s="1"/>
  <c r="N79" i="365" a="1"/>
  <c r="N79" i="365" s="1"/>
  <c r="N75" i="365" a="1"/>
  <c r="N75" i="365" s="1"/>
  <c r="N73" i="365" a="1"/>
  <c r="N73" i="365" s="1"/>
  <c r="N71" i="365" a="1"/>
  <c r="N71" i="365" s="1"/>
  <c r="N69" i="365" a="1"/>
  <c r="N69" i="365" s="1"/>
  <c r="N67" i="365" a="1"/>
  <c r="N67" i="365" s="1"/>
  <c r="N63" i="365" a="1"/>
  <c r="N63" i="365" s="1"/>
  <c r="N61" i="365" a="1"/>
  <c r="N61" i="365" s="1"/>
  <c r="N59" i="365" a="1"/>
  <c r="N59" i="365" s="1"/>
  <c r="N57" i="365" a="1"/>
  <c r="N57" i="365" s="1"/>
  <c r="N55" i="365" a="1"/>
  <c r="N55" i="365" s="1"/>
  <c r="N160" i="365" a="1"/>
  <c r="N160" i="365" s="1"/>
  <c r="N158" i="365" a="1"/>
  <c r="N158" i="365" s="1"/>
  <c r="N156" i="365" a="1"/>
  <c r="N156" i="365" s="1"/>
  <c r="N149" i="365" a="1"/>
  <c r="N149" i="365" s="1"/>
  <c r="N147" i="365" a="1"/>
  <c r="N147" i="365" s="1"/>
  <c r="N145" i="365" a="1"/>
  <c r="N145" i="365" s="1"/>
  <c r="N143" i="365" a="1"/>
  <c r="N143" i="365" s="1"/>
  <c r="N139" i="365" a="1"/>
  <c r="N139" i="365" s="1"/>
  <c r="N135" i="365" a="1"/>
  <c r="N135" i="365" s="1"/>
  <c r="N133" i="365" a="1"/>
  <c r="N133" i="365" s="1"/>
  <c r="N131" i="365" a="1"/>
  <c r="N131" i="365" s="1"/>
  <c r="N129" i="365" a="1"/>
  <c r="N129" i="365" s="1"/>
  <c r="N166" i="365" a="1"/>
  <c r="N166" i="365" s="1"/>
  <c r="N78" i="365" a="1"/>
  <c r="N78" i="365" s="1"/>
  <c r="N77" i="365" s="1"/>
  <c r="N74" i="365" a="1"/>
  <c r="N74" i="365" s="1"/>
  <c r="N72" i="365" a="1"/>
  <c r="N72" i="365" s="1"/>
  <c r="N66" i="365" a="1"/>
  <c r="N66" i="365" s="1"/>
  <c r="N64" i="365" a="1"/>
  <c r="N64" i="365" s="1"/>
  <c r="N62" i="365" a="1"/>
  <c r="N62" i="365" s="1"/>
  <c r="N56" i="365" a="1"/>
  <c r="N56" i="365" s="1"/>
  <c r="N54" i="365" a="1"/>
  <c r="N54" i="365" s="1"/>
  <c r="N52" i="365" a="1"/>
  <c r="N52" i="365" s="1"/>
  <c r="D32" i="365" a="1"/>
  <c r="D32" i="365" s="1"/>
  <c r="F32" i="365" a="1"/>
  <c r="F32" i="365" s="1"/>
  <c r="F30" i="365" s="1"/>
  <c r="H32" i="365" a="1"/>
  <c r="H32" i="365" s="1"/>
  <c r="J32" i="365" a="1"/>
  <c r="J32" i="365" s="1"/>
  <c r="J30" i="365" s="1"/>
  <c r="L32" i="365" a="1"/>
  <c r="L32" i="365" s="1"/>
  <c r="N32" i="365" a="1"/>
  <c r="N32" i="365" s="1"/>
  <c r="N30" i="365" s="1"/>
  <c r="I35" i="365" a="1"/>
  <c r="I35" i="365" s="1"/>
  <c r="M35" i="365" a="1"/>
  <c r="M35" i="365" s="1"/>
  <c r="D36" i="365" a="1"/>
  <c r="D36" i="365" s="1"/>
  <c r="F36" i="365" a="1"/>
  <c r="F36" i="365" s="1"/>
  <c r="H36" i="365" a="1"/>
  <c r="H36" i="365" s="1"/>
  <c r="J36" i="365" a="1"/>
  <c r="J36" i="365" s="1"/>
  <c r="L36" i="365" a="1"/>
  <c r="L36" i="365" s="1"/>
  <c r="N36" i="365" a="1"/>
  <c r="N36" i="365" s="1"/>
  <c r="E37" i="365" a="1"/>
  <c r="E37" i="365" s="1"/>
  <c r="G37" i="365" a="1"/>
  <c r="G37" i="365" s="1"/>
  <c r="I37" i="365" a="1"/>
  <c r="I37" i="365" s="1"/>
  <c r="K37" i="365" a="1"/>
  <c r="K37" i="365" s="1"/>
  <c r="M37" i="365" a="1"/>
  <c r="M37" i="365" s="1"/>
  <c r="D38" i="365" a="1"/>
  <c r="D38" i="365" s="1"/>
  <c r="F38" i="365" a="1"/>
  <c r="F38" i="365" s="1"/>
  <c r="H38" i="365" a="1"/>
  <c r="H38" i="365" s="1"/>
  <c r="J38" i="365" a="1"/>
  <c r="J38" i="365" s="1"/>
  <c r="L38" i="365" a="1"/>
  <c r="L38" i="365" s="1"/>
  <c r="N38" i="365" a="1"/>
  <c r="N38" i="365" s="1"/>
  <c r="E39" i="365" a="1"/>
  <c r="E39" i="365" s="1"/>
  <c r="G39" i="365" a="1"/>
  <c r="G39" i="365" s="1"/>
  <c r="I39" i="365" a="1"/>
  <c r="I39" i="365" s="1"/>
  <c r="K39" i="365" a="1"/>
  <c r="K39" i="365" s="1"/>
  <c r="M39" i="365" a="1"/>
  <c r="M39" i="365" s="1"/>
  <c r="D40" i="365" a="1"/>
  <c r="D40" i="365" s="1"/>
  <c r="F40" i="365" a="1"/>
  <c r="F40" i="365" s="1"/>
  <c r="H40" i="365" a="1"/>
  <c r="H40" i="365" s="1"/>
  <c r="J40" i="365" a="1"/>
  <c r="J40" i="365" s="1"/>
  <c r="L40" i="365" a="1"/>
  <c r="L40" i="365" s="1"/>
  <c r="N40" i="365" a="1"/>
  <c r="N40" i="365" s="1"/>
  <c r="E41" i="365" a="1"/>
  <c r="E41" i="365" s="1"/>
  <c r="G41" i="365" a="1"/>
  <c r="G41" i="365" s="1"/>
  <c r="I41" i="365" a="1"/>
  <c r="I41" i="365" s="1"/>
  <c r="K41" i="365" a="1"/>
  <c r="K41" i="365" s="1"/>
  <c r="M41" i="365" a="1"/>
  <c r="M41" i="365" s="1"/>
  <c r="O41" i="365" a="1"/>
  <c r="O41" i="365" s="1"/>
  <c r="D42" i="365" a="1"/>
  <c r="D42" i="365" s="1"/>
  <c r="F42" i="365" a="1"/>
  <c r="F42" i="365" s="1"/>
  <c r="H42" i="365" a="1"/>
  <c r="H42" i="365" s="1"/>
  <c r="J42" i="365" a="1"/>
  <c r="J42" i="365" s="1"/>
  <c r="L42" i="365" a="1"/>
  <c r="L42" i="365" s="1"/>
  <c r="N42" i="365" a="1"/>
  <c r="N42" i="365" s="1"/>
  <c r="E48" i="365" a="1"/>
  <c r="E48" i="365" s="1"/>
  <c r="G48" i="365" a="1"/>
  <c r="G48" i="365" s="1"/>
  <c r="I48" i="365" a="1"/>
  <c r="I48" i="365" s="1"/>
  <c r="K48" i="365" a="1"/>
  <c r="K48" i="365" s="1"/>
  <c r="M48" i="365" a="1"/>
  <c r="M48" i="365" s="1"/>
  <c r="O48" i="365" a="1"/>
  <c r="O48" i="365" s="1"/>
  <c r="D49" i="365" a="1"/>
  <c r="D49" i="365" s="1"/>
  <c r="F49" i="365" a="1"/>
  <c r="F49" i="365" s="1"/>
  <c r="H49" i="365" a="1"/>
  <c r="H49" i="365" s="1"/>
  <c r="J49" i="365" a="1"/>
  <c r="J49" i="365" s="1"/>
  <c r="L49" i="365" a="1"/>
  <c r="L49" i="365" s="1"/>
  <c r="N49" i="365" a="1"/>
  <c r="N49" i="365" s="1"/>
  <c r="D51" i="365" a="1"/>
  <c r="D51" i="365" s="1"/>
  <c r="F51" i="365" a="1"/>
  <c r="F51" i="365" s="1"/>
  <c r="N51" i="365" a="1"/>
  <c r="N51" i="365" s="1"/>
  <c r="I52" i="365" a="1"/>
  <c r="I52" i="365" s="1"/>
  <c r="D53" i="365" a="1"/>
  <c r="D53" i="365" s="1"/>
  <c r="L53" i="365" a="1"/>
  <c r="L53" i="365" s="1"/>
  <c r="G54" i="365" a="1"/>
  <c r="G54" i="365" s="1"/>
  <c r="D87" i="365" a="1"/>
  <c r="D87" i="365" s="1"/>
  <c r="H87" i="365" a="1"/>
  <c r="H87" i="365" s="1"/>
  <c r="L87" i="365" a="1"/>
  <c r="L87" i="365" s="1"/>
  <c r="G88" i="365" a="1"/>
  <c r="G88" i="365" s="1"/>
  <c r="K88" i="365" a="1"/>
  <c r="K88" i="365" s="1"/>
  <c r="O88" i="365" a="1"/>
  <c r="O88" i="365" s="1"/>
  <c r="G90" i="365" a="1"/>
  <c r="G90" i="365" s="1"/>
  <c r="K90" i="365" a="1"/>
  <c r="K90" i="365" s="1"/>
  <c r="O90" i="365" a="1"/>
  <c r="O90" i="365" s="1"/>
  <c r="F91" i="365" a="1"/>
  <c r="F91" i="365" s="1"/>
  <c r="J91" i="365" a="1"/>
  <c r="J91" i="365" s="1"/>
  <c r="N91" i="365" a="1"/>
  <c r="N91" i="365" s="1"/>
  <c r="E92" i="365" a="1"/>
  <c r="E92" i="365" s="1"/>
  <c r="I92" i="365" a="1"/>
  <c r="I92" i="365" s="1"/>
  <c r="M92" i="365" a="1"/>
  <c r="M92" i="365" s="1"/>
  <c r="D93" i="365" a="1"/>
  <c r="D93" i="365" s="1"/>
  <c r="H93" i="365" a="1"/>
  <c r="H93" i="365" s="1"/>
  <c r="L93" i="365" a="1"/>
  <c r="L93" i="365" s="1"/>
  <c r="G94" i="365" a="1"/>
  <c r="G94" i="365" s="1"/>
  <c r="K94" i="365" a="1"/>
  <c r="K94" i="365" s="1"/>
  <c r="O94" i="365" a="1"/>
  <c r="O94" i="365" s="1"/>
  <c r="F95" i="365" a="1"/>
  <c r="F95" i="365" s="1"/>
  <c r="J95" i="365" a="1"/>
  <c r="J95" i="365" s="1"/>
  <c r="N95" i="365" a="1"/>
  <c r="N95" i="365" s="1"/>
  <c r="E96" i="365" a="1"/>
  <c r="E96" i="365" s="1"/>
  <c r="I96" i="365" a="1"/>
  <c r="I96" i="365" s="1"/>
  <c r="M96" i="365" a="1"/>
  <c r="M96" i="365" s="1"/>
  <c r="E98" i="365" a="1"/>
  <c r="E98" i="365" s="1"/>
  <c r="I98" i="365" a="1"/>
  <c r="I98" i="365" s="1"/>
  <c r="M98" i="365" a="1"/>
  <c r="M98" i="365" s="1"/>
  <c r="E100" i="365" a="1"/>
  <c r="E100" i="365" s="1"/>
  <c r="I100" i="365" a="1"/>
  <c r="I100" i="365" s="1"/>
  <c r="M100" i="365" a="1"/>
  <c r="M100" i="365" s="1"/>
  <c r="D101" i="365" a="1"/>
  <c r="D101" i="365" s="1"/>
  <c r="H101" i="365" a="1"/>
  <c r="H101" i="365" s="1"/>
  <c r="L101" i="365" a="1"/>
  <c r="L101" i="365" s="1"/>
  <c r="D103" i="365" a="1"/>
  <c r="D103" i="365" s="1"/>
  <c r="H103" i="365" a="1"/>
  <c r="H103" i="365" s="1"/>
  <c r="L103" i="365" a="1"/>
  <c r="L103" i="365" s="1"/>
  <c r="G104" i="365" a="1"/>
  <c r="G104" i="365" s="1"/>
  <c r="K104" i="365" a="1"/>
  <c r="K104" i="365" s="1"/>
  <c r="O104" i="365" a="1"/>
  <c r="O104" i="365" s="1"/>
  <c r="F105" i="365" a="1"/>
  <c r="F105" i="365" s="1"/>
  <c r="J105" i="365" a="1"/>
  <c r="J105" i="365" s="1"/>
  <c r="N105" i="365" a="1"/>
  <c r="N105" i="365" s="1"/>
  <c r="E106" i="365" a="1"/>
  <c r="E106" i="365" s="1"/>
  <c r="I106" i="365" a="1"/>
  <c r="I106" i="365" s="1"/>
  <c r="M106" i="365" a="1"/>
  <c r="M106" i="365" s="1"/>
  <c r="D107" i="365" a="1"/>
  <c r="D107" i="365" s="1"/>
  <c r="H107" i="365" a="1"/>
  <c r="H107" i="365" s="1"/>
  <c r="L107" i="365" a="1"/>
  <c r="L107" i="365" s="1"/>
  <c r="E109" i="365" a="1"/>
  <c r="E109" i="365" s="1"/>
  <c r="I109" i="365" a="1"/>
  <c r="I109" i="365" s="1"/>
  <c r="M109" i="365" a="1"/>
  <c r="M109" i="365" s="1"/>
  <c r="D110" i="365" a="1"/>
  <c r="D110" i="365" s="1"/>
  <c r="H110" i="365" a="1"/>
  <c r="H110" i="365" s="1"/>
  <c r="L110" i="365" a="1"/>
  <c r="L110" i="365" s="1"/>
  <c r="G111" i="365" a="1"/>
  <c r="G111" i="365" s="1"/>
  <c r="K111" i="365" a="1"/>
  <c r="K111" i="365" s="1"/>
  <c r="O111" i="365" a="1"/>
  <c r="O111" i="365" s="1"/>
  <c r="F112" i="365" a="1"/>
  <c r="F112" i="365" s="1"/>
  <c r="J112" i="365" a="1"/>
  <c r="J112" i="365" s="1"/>
  <c r="N112" i="365" a="1"/>
  <c r="N112" i="365" s="1"/>
  <c r="E113" i="365" a="1"/>
  <c r="E113" i="365" s="1"/>
  <c r="I113" i="365" a="1"/>
  <c r="I113" i="365" s="1"/>
  <c r="M113" i="365" a="1"/>
  <c r="M113" i="365" s="1"/>
  <c r="D114" i="365" a="1"/>
  <c r="D114" i="365" s="1"/>
  <c r="H114" i="365" a="1"/>
  <c r="H114" i="365" s="1"/>
  <c r="L114" i="365" a="1"/>
  <c r="L114" i="365" s="1"/>
  <c r="G115" i="365" a="1"/>
  <c r="G115" i="365" s="1"/>
  <c r="K115" i="365" a="1"/>
  <c r="K115" i="365" s="1"/>
  <c r="O115" i="365" a="1"/>
  <c r="O115" i="365" s="1"/>
  <c r="F116" i="365" a="1"/>
  <c r="F116" i="365" s="1"/>
  <c r="J116" i="365" a="1"/>
  <c r="J116" i="365" s="1"/>
  <c r="N116" i="365" a="1"/>
  <c r="N116" i="365" s="1"/>
  <c r="F118" i="365" a="1"/>
  <c r="F118" i="365" s="1"/>
  <c r="J118" i="365" a="1"/>
  <c r="J118" i="365" s="1"/>
  <c r="N118" i="365" a="1"/>
  <c r="N118" i="365" s="1"/>
  <c r="E119" i="365" a="1"/>
  <c r="E119" i="365" s="1"/>
  <c r="I119" i="365" a="1"/>
  <c r="I119" i="365" s="1"/>
  <c r="M119" i="365" a="1"/>
  <c r="M119" i="365" s="1"/>
  <c r="D120" i="365" a="1"/>
  <c r="D120" i="365" s="1"/>
  <c r="H120" i="365" a="1"/>
  <c r="H120" i="365" s="1"/>
  <c r="L120" i="365" a="1"/>
  <c r="L120" i="365" s="1"/>
  <c r="G121" i="365" a="1"/>
  <c r="G121" i="365" s="1"/>
  <c r="K121" i="365" a="1"/>
  <c r="K121" i="365" s="1"/>
  <c r="O121" i="365" a="1"/>
  <c r="O121" i="365" s="1"/>
  <c r="F122" i="365" a="1"/>
  <c r="F122" i="365" s="1"/>
  <c r="J122" i="365" a="1"/>
  <c r="J122" i="365" s="1"/>
  <c r="N122" i="365" a="1"/>
  <c r="N122" i="365" s="1"/>
  <c r="E123" i="365" a="1"/>
  <c r="E123" i="365" s="1"/>
  <c r="I123" i="365" a="1"/>
  <c r="I123" i="365" s="1"/>
  <c r="M123" i="365" a="1"/>
  <c r="M123" i="365" s="1"/>
  <c r="D124" i="365" a="1"/>
  <c r="D124" i="365" s="1"/>
  <c r="H124" i="365" a="1"/>
  <c r="H124" i="365" s="1"/>
  <c r="L124" i="365" a="1"/>
  <c r="L124" i="365" s="1"/>
  <c r="G125" i="365" a="1"/>
  <c r="G125" i="365" s="1"/>
  <c r="K125" i="365" a="1"/>
  <c r="K125" i="365" s="1"/>
  <c r="O125" i="365" a="1"/>
  <c r="O125" i="365" s="1"/>
  <c r="K127" i="365" a="1"/>
  <c r="K127" i="365" s="1"/>
  <c r="F128" i="365" a="1"/>
  <c r="F128" i="365" s="1"/>
  <c r="J128" i="365" a="1"/>
  <c r="J128" i="365" s="1"/>
  <c r="F130" i="365" a="1"/>
  <c r="F130" i="365" s="1"/>
  <c r="N130" i="365" a="1"/>
  <c r="N130" i="365" s="1"/>
  <c r="D24" i="416" a="1"/>
  <c r="D24" i="416" s="1"/>
  <c r="D22" i="416" s="1"/>
  <c r="D20" i="416" s="1"/>
  <c r="D27" i="416" a="1"/>
  <c r="D27" i="416" s="1"/>
  <c r="E27" i="416" s="1"/>
  <c r="D30" i="416" a="1"/>
  <c r="D30" i="416" s="1"/>
  <c r="D28" i="416" s="1"/>
  <c r="D33" i="416" a="1"/>
  <c r="D33" i="416" s="1"/>
  <c r="D31" i="416" s="1"/>
  <c r="D36" i="416" a="1"/>
  <c r="D36" i="416" s="1"/>
  <c r="E36" i="416" s="1"/>
  <c r="D38" i="416" a="1"/>
  <c r="D38" i="416" s="1"/>
  <c r="E38" i="416" s="1"/>
  <c r="D40" i="416" a="1"/>
  <c r="D40" i="416" s="1"/>
  <c r="E40" i="416" s="1"/>
  <c r="D42" i="416" a="1"/>
  <c r="D42" i="416" s="1"/>
  <c r="E42" i="416" s="1"/>
  <c r="D44" i="416" a="1"/>
  <c r="D44" i="416" s="1"/>
  <c r="E44" i="416" s="1"/>
  <c r="D49" i="416" a="1"/>
  <c r="D49" i="416" s="1"/>
  <c r="E49" i="416" s="1"/>
  <c r="D51" i="416" a="1"/>
  <c r="D51" i="416" s="1"/>
  <c r="E51" i="416" s="1"/>
  <c r="D53" i="416" a="1"/>
  <c r="D53" i="416" s="1"/>
  <c r="E53" i="416" s="1"/>
  <c r="D55" i="416" a="1"/>
  <c r="D55" i="416" s="1"/>
  <c r="E55" i="416" s="1"/>
  <c r="D57" i="416" a="1"/>
  <c r="D57" i="416" s="1"/>
  <c r="E57" i="416" s="1"/>
  <c r="D59" i="416" a="1"/>
  <c r="D59" i="416" s="1"/>
  <c r="E59" i="416" s="1"/>
  <c r="D61" i="416" a="1"/>
  <c r="D61" i="416" s="1"/>
  <c r="E61" i="416" s="1"/>
  <c r="D63" i="416" a="1"/>
  <c r="D63" i="416" s="1"/>
  <c r="E63" i="416" s="1"/>
  <c r="D65" i="416" a="1"/>
  <c r="D65" i="416" s="1"/>
  <c r="E65" i="416" s="1"/>
  <c r="D67" i="416" a="1"/>
  <c r="D67" i="416" s="1"/>
  <c r="E67" i="416" s="1"/>
  <c r="D69" i="416" a="1"/>
  <c r="D69" i="416" s="1"/>
  <c r="E69" i="416" s="1"/>
  <c r="D71" i="416" a="1"/>
  <c r="D71" i="416" s="1"/>
  <c r="E71" i="416" s="1"/>
  <c r="D75" i="416" a="1"/>
  <c r="D75" i="416" s="1"/>
  <c r="E75" i="416" s="1"/>
  <c r="D77" i="416" a="1"/>
  <c r="D77" i="416" s="1"/>
  <c r="E77" i="416" s="1"/>
  <c r="D79" i="416" a="1"/>
  <c r="D79" i="416" s="1"/>
  <c r="E79" i="416" s="1"/>
  <c r="D81" i="416" a="1"/>
  <c r="D81" i="416" s="1"/>
  <c r="E81" i="416" s="1"/>
  <c r="D83" i="416" a="1"/>
  <c r="D83" i="416" s="1"/>
  <c r="E83" i="416" s="1"/>
  <c r="D85" i="416" a="1"/>
  <c r="D85" i="416" s="1"/>
  <c r="E85" i="416" s="1"/>
  <c r="D87" i="416" a="1"/>
  <c r="D87" i="416" s="1"/>
  <c r="E87" i="416" s="1"/>
  <c r="D89" i="416" a="1"/>
  <c r="D89" i="416" s="1"/>
  <c r="E89" i="416" s="1"/>
  <c r="D91" i="416" a="1"/>
  <c r="D91" i="416" s="1"/>
  <c r="E91" i="416" s="1"/>
  <c r="D93" i="416" a="1"/>
  <c r="D93" i="416" s="1"/>
  <c r="E93" i="416" s="1"/>
  <c r="D95" i="416" a="1"/>
  <c r="D95" i="416" s="1"/>
  <c r="E95" i="416" s="1"/>
  <c r="D97" i="416" a="1"/>
  <c r="D97" i="416" s="1"/>
  <c r="E97" i="416" s="1"/>
  <c r="D99" i="416" a="1"/>
  <c r="D99" i="416" s="1"/>
  <c r="E99" i="416" s="1"/>
  <c r="D101" i="416" a="1"/>
  <c r="D101" i="416" s="1"/>
  <c r="E101" i="416" s="1"/>
  <c r="D103" i="416" a="1"/>
  <c r="D103" i="416" s="1"/>
  <c r="E103" i="416" s="1"/>
  <c r="D105" i="416" a="1"/>
  <c r="D105" i="416" s="1"/>
  <c r="D107" i="416" a="1"/>
  <c r="D107" i="416" s="1"/>
  <c r="E107" i="416" s="1"/>
  <c r="D109" i="416" a="1"/>
  <c r="D109" i="416" s="1"/>
  <c r="E109" i="416" s="1"/>
  <c r="D111" i="416" a="1"/>
  <c r="D111" i="416" s="1"/>
  <c r="E111" i="416" s="1"/>
  <c r="D113" i="416" a="1"/>
  <c r="D113" i="416" s="1"/>
  <c r="E113" i="416" s="1"/>
  <c r="D115" i="416" a="1"/>
  <c r="D115" i="416" s="1"/>
  <c r="E115" i="416" s="1"/>
  <c r="D117" i="416" a="1"/>
  <c r="D117" i="416" s="1"/>
  <c r="E117" i="416" s="1"/>
  <c r="D119" i="416" a="1"/>
  <c r="D119" i="416" s="1"/>
  <c r="E119" i="416" s="1"/>
  <c r="D121" i="416" a="1"/>
  <c r="D121" i="416" s="1"/>
  <c r="E121" i="416" s="1"/>
  <c r="D123" i="416" a="1"/>
  <c r="D123" i="416" s="1"/>
  <c r="E123" i="416" s="1"/>
  <c r="D125" i="416" a="1"/>
  <c r="D125" i="416" s="1"/>
  <c r="E125" i="416" s="1"/>
  <c r="D127" i="416" a="1"/>
  <c r="D127" i="416" s="1"/>
  <c r="E127" i="416" s="1"/>
  <c r="D129" i="416" a="1"/>
  <c r="D129" i="416" s="1"/>
  <c r="E129" i="416" s="1"/>
  <c r="D131" i="416" a="1"/>
  <c r="D131" i="416" s="1"/>
  <c r="E131" i="416" s="1"/>
  <c r="D133" i="416" a="1"/>
  <c r="D133" i="416" s="1"/>
  <c r="E133" i="416" s="1"/>
  <c r="D135" i="416" a="1"/>
  <c r="D135" i="416" s="1"/>
  <c r="E135" i="416" s="1"/>
  <c r="D13" i="417" a="1"/>
  <c r="D13" i="417" s="1"/>
  <c r="E13" i="417" s="1"/>
  <c r="D15" i="417" a="1"/>
  <c r="D15" i="417" s="1"/>
  <c r="E15" i="417" s="1"/>
  <c r="D18" i="417" a="1"/>
  <c r="D18" i="417" s="1"/>
  <c r="D21" i="417" a="1"/>
  <c r="D21" i="417" s="1"/>
  <c r="E21" i="417" s="1"/>
  <c r="D24" i="417" a="1"/>
  <c r="D24" i="417" s="1"/>
  <c r="E24" i="417" s="1"/>
  <c r="D27" i="417" a="1"/>
  <c r="D27" i="417" s="1"/>
  <c r="E27" i="417" s="1"/>
  <c r="D30" i="417" a="1"/>
  <c r="D30" i="417" s="1"/>
  <c r="E30" i="417" s="1"/>
  <c r="D33" i="417" a="1"/>
  <c r="D33" i="417" s="1"/>
  <c r="D36" i="417" a="1"/>
  <c r="D36" i="417" s="1"/>
  <c r="E36" i="417" s="1"/>
  <c r="D38" i="417" a="1"/>
  <c r="D38" i="417" s="1"/>
  <c r="E38" i="417" s="1"/>
  <c r="D40" i="417" a="1"/>
  <c r="D40" i="417" s="1"/>
  <c r="E40" i="417" s="1"/>
  <c r="D42" i="417" a="1"/>
  <c r="D42" i="417" s="1"/>
  <c r="E42" i="417" s="1"/>
  <c r="D44" i="417" a="1"/>
  <c r="D44" i="417" s="1"/>
  <c r="E44" i="417" s="1"/>
  <c r="D49" i="417" a="1"/>
  <c r="D49" i="417" s="1"/>
  <c r="E49" i="417" s="1"/>
  <c r="D51" i="417" a="1"/>
  <c r="D51" i="417" s="1"/>
  <c r="E51" i="417" s="1"/>
  <c r="D53" i="417" a="1"/>
  <c r="D53" i="417" s="1"/>
  <c r="E53" i="417" s="1"/>
  <c r="D55" i="417" a="1"/>
  <c r="D55" i="417" s="1"/>
  <c r="E55" i="417" s="1"/>
  <c r="D57" i="417" a="1"/>
  <c r="D57" i="417" s="1"/>
  <c r="E57" i="417" s="1"/>
  <c r="D59" i="417" a="1"/>
  <c r="D59" i="417" s="1"/>
  <c r="E59" i="417" s="1"/>
  <c r="D61" i="417" a="1"/>
  <c r="D61" i="417" s="1"/>
  <c r="E61" i="417" s="1"/>
  <c r="D63" i="417" a="1"/>
  <c r="D63" i="417" s="1"/>
  <c r="E63" i="417" s="1"/>
  <c r="D65" i="417" a="1"/>
  <c r="D65" i="417" s="1"/>
  <c r="E65" i="417" s="1"/>
  <c r="D67" i="417" a="1"/>
  <c r="D67" i="417" s="1"/>
  <c r="E67" i="417" s="1"/>
  <c r="D69" i="417" a="1"/>
  <c r="D69" i="417" s="1"/>
  <c r="E69" i="417" s="1"/>
  <c r="D71" i="417" a="1"/>
  <c r="D71" i="417" s="1"/>
  <c r="E71" i="417" s="1"/>
  <c r="D75" i="417" a="1"/>
  <c r="D75" i="417" s="1"/>
  <c r="E75" i="417" s="1"/>
  <c r="D77" i="417" a="1"/>
  <c r="D77" i="417" s="1"/>
  <c r="E77" i="417" s="1"/>
  <c r="D79" i="417" a="1"/>
  <c r="D79" i="417" s="1"/>
  <c r="E79" i="417" s="1"/>
  <c r="D81" i="417" a="1"/>
  <c r="D81" i="417" s="1"/>
  <c r="E81" i="417" s="1"/>
  <c r="D83" i="417" a="1"/>
  <c r="D83" i="417" s="1"/>
  <c r="E83" i="417" s="1"/>
  <c r="D85" i="417" a="1"/>
  <c r="D85" i="417" s="1"/>
  <c r="E85" i="417" s="1"/>
  <c r="D87" i="417" a="1"/>
  <c r="D87" i="417" s="1"/>
  <c r="E87" i="417" s="1"/>
  <c r="D89" i="417" a="1"/>
  <c r="D89" i="417" s="1"/>
  <c r="E89" i="417" s="1"/>
  <c r="D91" i="417" a="1"/>
  <c r="D91" i="417" s="1"/>
  <c r="E91" i="417" s="1"/>
  <c r="D93" i="417" a="1"/>
  <c r="D93" i="417" s="1"/>
  <c r="E93" i="417" s="1"/>
  <c r="D95" i="417" a="1"/>
  <c r="D95" i="417" s="1"/>
  <c r="E95" i="417" s="1"/>
  <c r="D97" i="417" a="1"/>
  <c r="D97" i="417" s="1"/>
  <c r="E97" i="417" s="1"/>
  <c r="D99" i="417" a="1"/>
  <c r="D99" i="417" s="1"/>
  <c r="E99" i="417" s="1"/>
  <c r="D101" i="417" a="1"/>
  <c r="D101" i="417" s="1"/>
  <c r="E101" i="417" s="1"/>
  <c r="D103" i="417" a="1"/>
  <c r="D103" i="417" s="1"/>
  <c r="E103" i="417" s="1"/>
  <c r="D105" i="417" a="1"/>
  <c r="D105" i="417" s="1"/>
  <c r="E105" i="417" s="1"/>
  <c r="D107" i="417" a="1"/>
  <c r="D107" i="417" s="1"/>
  <c r="E107" i="417" s="1"/>
  <c r="D109" i="417" a="1"/>
  <c r="D109" i="417" s="1"/>
  <c r="D111" i="417" a="1"/>
  <c r="D111" i="417" s="1"/>
  <c r="E111" i="417" s="1"/>
  <c r="D113" i="417" a="1"/>
  <c r="D113" i="417" s="1"/>
  <c r="E113" i="417" s="1"/>
  <c r="D115" i="417" a="1"/>
  <c r="D115" i="417" s="1"/>
  <c r="E115" i="417" s="1"/>
  <c r="D117" i="417" a="1"/>
  <c r="D117" i="417" s="1"/>
  <c r="E117" i="417" s="1"/>
  <c r="D119" i="417" a="1"/>
  <c r="D119" i="417" s="1"/>
  <c r="E119" i="417" s="1"/>
  <c r="D121" i="417" a="1"/>
  <c r="D121" i="417" s="1"/>
  <c r="E121" i="417" s="1"/>
  <c r="D123" i="417" a="1"/>
  <c r="D123" i="417" s="1"/>
  <c r="E123" i="417" s="1"/>
  <c r="D125" i="417" a="1"/>
  <c r="D125" i="417" s="1"/>
  <c r="E125" i="417" s="1"/>
  <c r="D127" i="417" a="1"/>
  <c r="D127" i="417" s="1"/>
  <c r="E127" i="417" s="1"/>
  <c r="D129" i="417" a="1"/>
  <c r="D129" i="417" s="1"/>
  <c r="E129" i="417" s="1"/>
  <c r="D131" i="417" a="1"/>
  <c r="D131" i="417" s="1"/>
  <c r="E131" i="417" s="1"/>
  <c r="D133" i="417" a="1"/>
  <c r="D133" i="417" s="1"/>
  <c r="E133" i="417" s="1"/>
  <c r="D135" i="417" a="1"/>
  <c r="D135" i="417" s="1"/>
  <c r="E135" i="417" s="1"/>
  <c r="G160" i="365" a="1"/>
  <c r="G160" i="365" s="1"/>
  <c r="G158" i="365" a="1"/>
  <c r="G158" i="365" s="1"/>
  <c r="G156" i="365" a="1"/>
  <c r="G156" i="365" s="1"/>
  <c r="G149" i="365" a="1"/>
  <c r="G149" i="365" s="1"/>
  <c r="G147" i="365" a="1"/>
  <c r="G147" i="365" s="1"/>
  <c r="G145" i="365" a="1"/>
  <c r="G145" i="365" s="1"/>
  <c r="G143" i="365" a="1"/>
  <c r="G143" i="365" s="1"/>
  <c r="G139" i="365" a="1"/>
  <c r="G139" i="365" s="1"/>
  <c r="G135" i="365" a="1"/>
  <c r="G135" i="365" s="1"/>
  <c r="G133" i="365" a="1"/>
  <c r="G133" i="365" s="1"/>
  <c r="G166" i="365" a="1"/>
  <c r="G166" i="365" s="1"/>
  <c r="G78" i="365" a="1"/>
  <c r="G78" i="365" s="1"/>
  <c r="G74" i="365" a="1"/>
  <c r="G74" i="365" s="1"/>
  <c r="G72" i="365" a="1"/>
  <c r="G72" i="365" s="1"/>
  <c r="G66" i="365" a="1"/>
  <c r="G66" i="365" s="1"/>
  <c r="G64" i="365" a="1"/>
  <c r="G64" i="365" s="1"/>
  <c r="G62" i="365" a="1"/>
  <c r="G62" i="365" s="1"/>
  <c r="G56" i="365" a="1"/>
  <c r="G56" i="365" s="1"/>
  <c r="G159" i="365" a="1"/>
  <c r="G159" i="365" s="1"/>
  <c r="G157" i="365" a="1"/>
  <c r="G157" i="365" s="1"/>
  <c r="G155" i="365" a="1"/>
  <c r="G155" i="365" s="1"/>
  <c r="G150" i="365" a="1"/>
  <c r="G150" i="365" s="1"/>
  <c r="G148" i="365" a="1"/>
  <c r="G148" i="365" s="1"/>
  <c r="G144" i="365" a="1"/>
  <c r="G144" i="365" s="1"/>
  <c r="G142" i="365" a="1"/>
  <c r="G142" i="365" s="1"/>
  <c r="G140" i="365" a="1"/>
  <c r="G140" i="365" s="1"/>
  <c r="G138" i="365" a="1"/>
  <c r="G138" i="365" s="1"/>
  <c r="G136" i="365" a="1"/>
  <c r="G136" i="365" s="1"/>
  <c r="G132" i="365" a="1"/>
  <c r="G132" i="365" s="1"/>
  <c r="G130" i="365" a="1"/>
  <c r="G130" i="365" s="1"/>
  <c r="G79" i="365" a="1"/>
  <c r="G79" i="365" s="1"/>
  <c r="G75" i="365" a="1"/>
  <c r="G75" i="365" s="1"/>
  <c r="G73" i="365" a="1"/>
  <c r="G73" i="365" s="1"/>
  <c r="G71" i="365" a="1"/>
  <c r="G71" i="365" s="1"/>
  <c r="G69" i="365" a="1"/>
  <c r="G69" i="365" s="1"/>
  <c r="G67" i="365" a="1"/>
  <c r="G67" i="365" s="1"/>
  <c r="G63" i="365" a="1"/>
  <c r="G63" i="365" s="1"/>
  <c r="G61" i="365" a="1"/>
  <c r="G61" i="365" s="1"/>
  <c r="G59" i="365" a="1"/>
  <c r="G59" i="365" s="1"/>
  <c r="G57" i="365" a="1"/>
  <c r="G57" i="365" s="1"/>
  <c r="G55" i="365" a="1"/>
  <c r="G55" i="365" s="1"/>
  <c r="G53" i="365" a="1"/>
  <c r="G53" i="365" s="1"/>
  <c r="G51" i="365" a="1"/>
  <c r="G51" i="365" s="1"/>
  <c r="K160" i="365" a="1"/>
  <c r="K160" i="365" s="1"/>
  <c r="K158" i="365" a="1"/>
  <c r="K158" i="365" s="1"/>
  <c r="K156" i="365" a="1"/>
  <c r="K156" i="365" s="1"/>
  <c r="K149" i="365" a="1"/>
  <c r="K149" i="365" s="1"/>
  <c r="K147" i="365" a="1"/>
  <c r="K147" i="365" s="1"/>
  <c r="K145" i="365" a="1"/>
  <c r="K145" i="365" s="1"/>
  <c r="K143" i="365" a="1"/>
  <c r="K143" i="365" s="1"/>
  <c r="K139" i="365" a="1"/>
  <c r="K139" i="365" s="1"/>
  <c r="K135" i="365" a="1"/>
  <c r="K135" i="365" s="1"/>
  <c r="K133" i="365" a="1"/>
  <c r="K133" i="365" s="1"/>
  <c r="K131" i="365" a="1"/>
  <c r="K131" i="365" s="1"/>
  <c r="K166" i="365" a="1"/>
  <c r="K166" i="365" s="1"/>
  <c r="K78" i="365" a="1"/>
  <c r="K78" i="365" s="1"/>
  <c r="K74" i="365" a="1"/>
  <c r="K74" i="365" s="1"/>
  <c r="K72" i="365" a="1"/>
  <c r="K72" i="365" s="1"/>
  <c r="K66" i="365" a="1"/>
  <c r="K66" i="365" s="1"/>
  <c r="K64" i="365" a="1"/>
  <c r="K64" i="365" s="1"/>
  <c r="K62" i="365" a="1"/>
  <c r="K62" i="365" s="1"/>
  <c r="K56" i="365" a="1"/>
  <c r="K56" i="365" s="1"/>
  <c r="K54" i="365" a="1"/>
  <c r="K54" i="365" s="1"/>
  <c r="K159" i="365" a="1"/>
  <c r="K159" i="365" s="1"/>
  <c r="K157" i="365" a="1"/>
  <c r="K157" i="365" s="1"/>
  <c r="K155" i="365" a="1"/>
  <c r="K155" i="365" s="1"/>
  <c r="K150" i="365" a="1"/>
  <c r="K150" i="365" s="1"/>
  <c r="K148" i="365" a="1"/>
  <c r="K148" i="365" s="1"/>
  <c r="K144" i="365" a="1"/>
  <c r="K144" i="365" s="1"/>
  <c r="K142" i="365" a="1"/>
  <c r="K142" i="365" s="1"/>
  <c r="K140" i="365" a="1"/>
  <c r="K140" i="365" s="1"/>
  <c r="K138" i="365" a="1"/>
  <c r="K138" i="365" s="1"/>
  <c r="K136" i="365" a="1"/>
  <c r="K136" i="365" s="1"/>
  <c r="K132" i="365" a="1"/>
  <c r="K132" i="365" s="1"/>
  <c r="K130" i="365" a="1"/>
  <c r="K130" i="365" s="1"/>
  <c r="K79" i="365" a="1"/>
  <c r="K79" i="365" s="1"/>
  <c r="K75" i="365" a="1"/>
  <c r="K75" i="365" s="1"/>
  <c r="K73" i="365" a="1"/>
  <c r="K73" i="365" s="1"/>
  <c r="K71" i="365" a="1"/>
  <c r="K71" i="365" s="1"/>
  <c r="K69" i="365" a="1"/>
  <c r="K69" i="365" s="1"/>
  <c r="K67" i="365" a="1"/>
  <c r="K67" i="365" s="1"/>
  <c r="K63" i="365" a="1"/>
  <c r="K63" i="365" s="1"/>
  <c r="K61" i="365" a="1"/>
  <c r="K61" i="365" s="1"/>
  <c r="K59" i="365" a="1"/>
  <c r="K59" i="365" s="1"/>
  <c r="K57" i="365" a="1"/>
  <c r="K57" i="365" s="1"/>
  <c r="K55" i="365" a="1"/>
  <c r="K55" i="365" s="1"/>
  <c r="K53" i="365" a="1"/>
  <c r="K53" i="365" s="1"/>
  <c r="K51" i="365" a="1"/>
  <c r="K51" i="365" s="1"/>
  <c r="O160" i="365" a="1"/>
  <c r="O160" i="365" s="1"/>
  <c r="O158" i="365" a="1"/>
  <c r="O158" i="365" s="1"/>
  <c r="O156" i="365" a="1"/>
  <c r="O156" i="365" s="1"/>
  <c r="O149" i="365" a="1"/>
  <c r="O149" i="365" s="1"/>
  <c r="O147" i="365" a="1"/>
  <c r="O147" i="365" s="1"/>
  <c r="O145" i="365" a="1"/>
  <c r="O145" i="365" s="1"/>
  <c r="O143" i="365" a="1"/>
  <c r="O143" i="365" s="1"/>
  <c r="O139" i="365" a="1"/>
  <c r="O139" i="365" s="1"/>
  <c r="O135" i="365" a="1"/>
  <c r="O135" i="365" s="1"/>
  <c r="O133" i="365" a="1"/>
  <c r="O133" i="365" s="1"/>
  <c r="O131" i="365" a="1"/>
  <c r="O131" i="365" s="1"/>
  <c r="O166" i="365" a="1"/>
  <c r="O166" i="365" s="1"/>
  <c r="O78" i="365" a="1"/>
  <c r="O78" i="365" s="1"/>
  <c r="O74" i="365" a="1"/>
  <c r="O74" i="365" s="1"/>
  <c r="O72" i="365" a="1"/>
  <c r="O72" i="365" s="1"/>
  <c r="O66" i="365" a="1"/>
  <c r="O66" i="365" s="1"/>
  <c r="O64" i="365" a="1"/>
  <c r="O64" i="365" s="1"/>
  <c r="O62" i="365" a="1"/>
  <c r="O62" i="365" s="1"/>
  <c r="O56" i="365" a="1"/>
  <c r="O56" i="365" s="1"/>
  <c r="O54" i="365" a="1"/>
  <c r="O54" i="365" s="1"/>
  <c r="O159" i="365" a="1"/>
  <c r="O159" i="365" s="1"/>
  <c r="O157" i="365" a="1"/>
  <c r="O157" i="365" s="1"/>
  <c r="O155" i="365" a="1"/>
  <c r="O155" i="365" s="1"/>
  <c r="O150" i="365" a="1"/>
  <c r="O150" i="365" s="1"/>
  <c r="O148" i="365" a="1"/>
  <c r="O148" i="365" s="1"/>
  <c r="O144" i="365" a="1"/>
  <c r="O144" i="365" s="1"/>
  <c r="O142" i="365" a="1"/>
  <c r="O142" i="365" s="1"/>
  <c r="O140" i="365" a="1"/>
  <c r="O140" i="365" s="1"/>
  <c r="O138" i="365" a="1"/>
  <c r="O138" i="365" s="1"/>
  <c r="O136" i="365" a="1"/>
  <c r="O136" i="365" s="1"/>
  <c r="O132" i="365" a="1"/>
  <c r="O132" i="365" s="1"/>
  <c r="O130" i="365" a="1"/>
  <c r="O130" i="365" s="1"/>
  <c r="O128" i="365" a="1"/>
  <c r="O128" i="365" s="1"/>
  <c r="O79" i="365" a="1"/>
  <c r="O79" i="365" s="1"/>
  <c r="O75" i="365" a="1"/>
  <c r="O75" i="365" s="1"/>
  <c r="O73" i="365" a="1"/>
  <c r="O73" i="365" s="1"/>
  <c r="O71" i="365" a="1"/>
  <c r="O71" i="365" s="1"/>
  <c r="O69" i="365" a="1"/>
  <c r="O69" i="365" s="1"/>
  <c r="O67" i="365" a="1"/>
  <c r="O67" i="365" s="1"/>
  <c r="O63" i="365" a="1"/>
  <c r="O63" i="365" s="1"/>
  <c r="O61" i="365" a="1"/>
  <c r="O61" i="365" s="1"/>
  <c r="O59" i="365" a="1"/>
  <c r="O59" i="365" s="1"/>
  <c r="O57" i="365" a="1"/>
  <c r="O57" i="365" s="1"/>
  <c r="O55" i="365" a="1"/>
  <c r="O55" i="365" s="1"/>
  <c r="O53" i="365" a="1"/>
  <c r="O53" i="365" s="1"/>
  <c r="O51" i="365" a="1"/>
  <c r="O51" i="365" s="1"/>
  <c r="D12" i="365" a="1"/>
  <c r="D12" i="365" s="1"/>
  <c r="F12" i="365" a="1"/>
  <c r="F12" i="365" s="1"/>
  <c r="H12" i="365" a="1"/>
  <c r="H12" i="365" s="1"/>
  <c r="J12" i="365" a="1"/>
  <c r="J12" i="365" s="1"/>
  <c r="L12" i="365" a="1"/>
  <c r="L12" i="365" s="1"/>
  <c r="N12" i="365" a="1"/>
  <c r="N12" i="365" s="1"/>
  <c r="D14" i="365" a="1"/>
  <c r="D14" i="365" s="1"/>
  <c r="F14" i="365" a="1"/>
  <c r="F14" i="365" s="1"/>
  <c r="H14" i="365" a="1"/>
  <c r="H14" i="365" s="1"/>
  <c r="J14" i="365" a="1"/>
  <c r="J14" i="365" s="1"/>
  <c r="L14" i="365" a="1"/>
  <c r="L14" i="365" s="1"/>
  <c r="N14" i="365" a="1"/>
  <c r="N14" i="365" s="1"/>
  <c r="E15" i="365" a="1"/>
  <c r="E15" i="365" s="1"/>
  <c r="G15" i="365" a="1"/>
  <c r="G15" i="365" s="1"/>
  <c r="G13" i="365" s="1"/>
  <c r="G11" i="365" s="1"/>
  <c r="I15" i="365" a="1"/>
  <c r="I15" i="365" s="1"/>
  <c r="K15" i="365" a="1"/>
  <c r="K15" i="365" s="1"/>
  <c r="M15" i="365" a="1"/>
  <c r="M15" i="365" s="1"/>
  <c r="O15" i="365" a="1"/>
  <c r="O15" i="365" s="1"/>
  <c r="D16" i="365" a="1"/>
  <c r="D16" i="365" s="1"/>
  <c r="F16" i="365" a="1"/>
  <c r="F16" i="365" s="1"/>
  <c r="H16" i="365" a="1"/>
  <c r="H16" i="365" s="1"/>
  <c r="J16" i="365" a="1"/>
  <c r="J16" i="365" s="1"/>
  <c r="L16" i="365" a="1"/>
  <c r="L16" i="365" s="1"/>
  <c r="N16" i="365" a="1"/>
  <c r="N16" i="365" s="1"/>
  <c r="D18" i="365" a="1"/>
  <c r="D18" i="365" s="1"/>
  <c r="F18" i="365" a="1"/>
  <c r="F18" i="365" s="1"/>
  <c r="F17" i="365" s="1"/>
  <c r="H18" i="365" a="1"/>
  <c r="H18" i="365" s="1"/>
  <c r="J18" i="365" a="1"/>
  <c r="J18" i="365" s="1"/>
  <c r="J17" i="365" s="1"/>
  <c r="L18" i="365" a="1"/>
  <c r="L18" i="365" s="1"/>
  <c r="L17" i="365" s="1"/>
  <c r="N18" i="365" a="1"/>
  <c r="N18" i="365" s="1"/>
  <c r="N17" i="365" s="1"/>
  <c r="E19" i="365" a="1"/>
  <c r="E19" i="365" s="1"/>
  <c r="G19" i="365" a="1"/>
  <c r="G19" i="365" s="1"/>
  <c r="I19" i="365" a="1"/>
  <c r="I19" i="365" s="1"/>
  <c r="K19" i="365" a="1"/>
  <c r="K19" i="365" s="1"/>
  <c r="M19" i="365" a="1"/>
  <c r="M19" i="365" s="1"/>
  <c r="O19" i="365" a="1"/>
  <c r="O19" i="365" s="1"/>
  <c r="E21" i="365" a="1"/>
  <c r="E21" i="365" s="1"/>
  <c r="E20" i="365" s="1"/>
  <c r="G21" i="365" a="1"/>
  <c r="G21" i="365" s="1"/>
  <c r="G20" i="365" s="1"/>
  <c r="I21" i="365" a="1"/>
  <c r="I21" i="365" s="1"/>
  <c r="K21" i="365" a="1"/>
  <c r="K21" i="365" s="1"/>
  <c r="K20" i="365" s="1"/>
  <c r="M21" i="365" a="1"/>
  <c r="M21" i="365" s="1"/>
  <c r="M20" i="365" s="1"/>
  <c r="O21" i="365" a="1"/>
  <c r="O21" i="365" s="1"/>
  <c r="O20" i="365" s="1"/>
  <c r="D22" i="365" a="1"/>
  <c r="D22" i="365" s="1"/>
  <c r="F22" i="365" a="1"/>
  <c r="F22" i="365" s="1"/>
  <c r="H22" i="365" a="1"/>
  <c r="H22" i="365" s="1"/>
  <c r="J22" i="365" a="1"/>
  <c r="J22" i="365" s="1"/>
  <c r="L22" i="365" a="1"/>
  <c r="L22" i="365" s="1"/>
  <c r="N22" i="365" a="1"/>
  <c r="N22" i="365" s="1"/>
  <c r="L51" i="365" a="1"/>
  <c r="L51" i="365" s="1"/>
  <c r="G52" i="365" a="1"/>
  <c r="G52" i="365" s="1"/>
  <c r="O52" i="365" a="1"/>
  <c r="O52" i="365" s="1"/>
  <c r="J53" i="365" a="1"/>
  <c r="J53" i="365" s="1"/>
  <c r="E54" i="365" a="1"/>
  <c r="E54" i="365" s="1"/>
  <c r="E87" i="365" a="1"/>
  <c r="E87" i="365" s="1"/>
  <c r="I87" i="365" a="1"/>
  <c r="I87" i="365" s="1"/>
  <c r="M87" i="365" a="1"/>
  <c r="M87" i="365" s="1"/>
  <c r="D88" i="365" a="1"/>
  <c r="D88" i="365" s="1"/>
  <c r="H88" i="365" a="1"/>
  <c r="H88" i="365" s="1"/>
  <c r="L88" i="365" a="1"/>
  <c r="L88" i="365" s="1"/>
  <c r="D90" i="365" a="1"/>
  <c r="D90" i="365" s="1"/>
  <c r="H90" i="365" a="1"/>
  <c r="H90" i="365" s="1"/>
  <c r="L90" i="365" a="1"/>
  <c r="L90" i="365" s="1"/>
  <c r="G91" i="365" a="1"/>
  <c r="G91" i="365" s="1"/>
  <c r="K91" i="365" a="1"/>
  <c r="K91" i="365" s="1"/>
  <c r="O91" i="365" a="1"/>
  <c r="O91" i="365" s="1"/>
  <c r="F92" i="365" a="1"/>
  <c r="F92" i="365" s="1"/>
  <c r="J92" i="365" a="1"/>
  <c r="J92" i="365" s="1"/>
  <c r="N92" i="365" a="1"/>
  <c r="N92" i="365" s="1"/>
  <c r="E93" i="365" a="1"/>
  <c r="E93" i="365" s="1"/>
  <c r="I93" i="365" a="1"/>
  <c r="I93" i="365" s="1"/>
  <c r="M93" i="365" a="1"/>
  <c r="M93" i="365" s="1"/>
  <c r="D94" i="365" a="1"/>
  <c r="D94" i="365" s="1"/>
  <c r="H94" i="365" a="1"/>
  <c r="H94" i="365" s="1"/>
  <c r="L94" i="365" a="1"/>
  <c r="L94" i="365" s="1"/>
  <c r="G95" i="365" a="1"/>
  <c r="G95" i="365" s="1"/>
  <c r="K95" i="365" a="1"/>
  <c r="K95" i="365" s="1"/>
  <c r="O95" i="365" a="1"/>
  <c r="O95" i="365" s="1"/>
  <c r="F96" i="365" a="1"/>
  <c r="F96" i="365" s="1"/>
  <c r="J96" i="365" a="1"/>
  <c r="J96" i="365" s="1"/>
  <c r="N96" i="365" a="1"/>
  <c r="N96" i="365" s="1"/>
  <c r="F98" i="365" a="1"/>
  <c r="F98" i="365" s="1"/>
  <c r="J98" i="365" a="1"/>
  <c r="J98" i="365" s="1"/>
  <c r="N98" i="365" a="1"/>
  <c r="N98" i="365" s="1"/>
  <c r="F100" i="365" a="1"/>
  <c r="F100" i="365" s="1"/>
  <c r="J100" i="365" a="1"/>
  <c r="J100" i="365" s="1"/>
  <c r="N100" i="365" a="1"/>
  <c r="N100" i="365" s="1"/>
  <c r="E101" i="365" a="1"/>
  <c r="E101" i="365" s="1"/>
  <c r="I101" i="365" a="1"/>
  <c r="I101" i="365" s="1"/>
  <c r="M101" i="365" a="1"/>
  <c r="M101" i="365" s="1"/>
  <c r="E103" i="365" a="1"/>
  <c r="E103" i="365" s="1"/>
  <c r="I103" i="365" a="1"/>
  <c r="I103" i="365" s="1"/>
  <c r="M103" i="365" a="1"/>
  <c r="M103" i="365" s="1"/>
  <c r="D104" i="365" a="1"/>
  <c r="D104" i="365" s="1"/>
  <c r="H104" i="365" a="1"/>
  <c r="H104" i="365" s="1"/>
  <c r="L104" i="365" a="1"/>
  <c r="L104" i="365" s="1"/>
  <c r="G105" i="365" a="1"/>
  <c r="G105" i="365" s="1"/>
  <c r="K105" i="365" a="1"/>
  <c r="K105" i="365" s="1"/>
  <c r="O105" i="365" a="1"/>
  <c r="O105" i="365" s="1"/>
  <c r="F106" i="365" a="1"/>
  <c r="F106" i="365" s="1"/>
  <c r="J106" i="365" a="1"/>
  <c r="J106" i="365" s="1"/>
  <c r="N106" i="365" a="1"/>
  <c r="N106" i="365" s="1"/>
  <c r="E107" i="365" a="1"/>
  <c r="E107" i="365" s="1"/>
  <c r="I107" i="365" a="1"/>
  <c r="I107" i="365" s="1"/>
  <c r="M107" i="365" a="1"/>
  <c r="M107" i="365" s="1"/>
  <c r="F109" i="365" a="1"/>
  <c r="F109" i="365" s="1"/>
  <c r="J109" i="365" a="1"/>
  <c r="J109" i="365" s="1"/>
  <c r="N109" i="365" a="1"/>
  <c r="N109" i="365" s="1"/>
  <c r="E110" i="365" a="1"/>
  <c r="E110" i="365" s="1"/>
  <c r="I110" i="365" a="1"/>
  <c r="I110" i="365" s="1"/>
  <c r="M110" i="365" a="1"/>
  <c r="M110" i="365" s="1"/>
  <c r="D111" i="365" a="1"/>
  <c r="D111" i="365" s="1"/>
  <c r="H111" i="365" a="1"/>
  <c r="H111" i="365" s="1"/>
  <c r="L111" i="365" a="1"/>
  <c r="L111" i="365" s="1"/>
  <c r="G112" i="365" a="1"/>
  <c r="G112" i="365" s="1"/>
  <c r="K112" i="365" a="1"/>
  <c r="K112" i="365" s="1"/>
  <c r="O112" i="365" a="1"/>
  <c r="O112" i="365" s="1"/>
  <c r="F113" i="365" a="1"/>
  <c r="F113" i="365" s="1"/>
  <c r="J113" i="365" a="1"/>
  <c r="J113" i="365" s="1"/>
  <c r="N113" i="365" a="1"/>
  <c r="N113" i="365" s="1"/>
  <c r="E114" i="365" a="1"/>
  <c r="E114" i="365" s="1"/>
  <c r="I114" i="365" a="1"/>
  <c r="I114" i="365" s="1"/>
  <c r="M114" i="365" a="1"/>
  <c r="M114" i="365" s="1"/>
  <c r="D115" i="365" a="1"/>
  <c r="D115" i="365" s="1"/>
  <c r="H115" i="365" a="1"/>
  <c r="H115" i="365" s="1"/>
  <c r="L115" i="365" a="1"/>
  <c r="L115" i="365" s="1"/>
  <c r="G116" i="365" a="1"/>
  <c r="G116" i="365" s="1"/>
  <c r="K116" i="365" a="1"/>
  <c r="K116" i="365" s="1"/>
  <c r="O116" i="365" a="1"/>
  <c r="O116" i="365" s="1"/>
  <c r="G118" i="365" a="1"/>
  <c r="G118" i="365" s="1"/>
  <c r="K118" i="365" a="1"/>
  <c r="K118" i="365" s="1"/>
  <c r="O118" i="365" a="1"/>
  <c r="O118" i="365" s="1"/>
  <c r="F119" i="365" a="1"/>
  <c r="F119" i="365" s="1"/>
  <c r="J119" i="365" a="1"/>
  <c r="J119" i="365" s="1"/>
  <c r="N119" i="365" a="1"/>
  <c r="N119" i="365" s="1"/>
  <c r="E120" i="365" a="1"/>
  <c r="E120" i="365" s="1"/>
  <c r="I120" i="365" a="1"/>
  <c r="I120" i="365" s="1"/>
  <c r="M120" i="365" a="1"/>
  <c r="M120" i="365" s="1"/>
  <c r="D121" i="365" a="1"/>
  <c r="D121" i="365" s="1"/>
  <c r="H121" i="365" a="1"/>
  <c r="H121" i="365" s="1"/>
  <c r="L121" i="365" a="1"/>
  <c r="L121" i="365" s="1"/>
  <c r="G122" i="365" a="1"/>
  <c r="G122" i="365" s="1"/>
  <c r="K122" i="365" a="1"/>
  <c r="K122" i="365" s="1"/>
  <c r="O122" i="365" a="1"/>
  <c r="O122" i="365" s="1"/>
  <c r="F123" i="365" a="1"/>
  <c r="F123" i="365" s="1"/>
  <c r="J123" i="365" a="1"/>
  <c r="J123" i="365" s="1"/>
  <c r="N123" i="365" a="1"/>
  <c r="N123" i="365" s="1"/>
  <c r="E124" i="365" a="1"/>
  <c r="E124" i="365" s="1"/>
  <c r="I124" i="365" a="1"/>
  <c r="I124" i="365" s="1"/>
  <c r="M124" i="365" a="1"/>
  <c r="M124" i="365" s="1"/>
  <c r="D125" i="365" a="1"/>
  <c r="D125" i="365" s="1"/>
  <c r="H125" i="365" a="1"/>
  <c r="H125" i="365" s="1"/>
  <c r="L125" i="365" a="1"/>
  <c r="L125" i="365" s="1"/>
  <c r="H127" i="365" a="1"/>
  <c r="H127" i="365" s="1"/>
  <c r="G128" i="365" a="1"/>
  <c r="G128" i="365" s="1"/>
  <c r="K128" i="365" a="1"/>
  <c r="K128" i="365" s="1"/>
  <c r="E129" i="365" a="1"/>
  <c r="E129" i="365" s="1"/>
  <c r="M129" i="365" a="1"/>
  <c r="M129" i="365" s="1"/>
  <c r="D11" i="412" a="1"/>
  <c r="D11" i="412" s="1"/>
  <c r="D14" i="412" a="1"/>
  <c r="D14" i="412" s="1"/>
  <c r="E14" i="412" s="1"/>
  <c r="D17" i="412" a="1"/>
  <c r="D17" i="412" s="1"/>
  <c r="D19" i="412" a="1"/>
  <c r="D19" i="412" s="1"/>
  <c r="E19" i="412" s="1"/>
  <c r="D23" i="412" a="1"/>
  <c r="D23" i="412" s="1"/>
  <c r="D25" i="412" a="1"/>
  <c r="D25" i="412" s="1"/>
  <c r="E25" i="412" s="1"/>
  <c r="D29" i="412" a="1"/>
  <c r="D29" i="412" s="1"/>
  <c r="D32" i="412" a="1"/>
  <c r="D32" i="412" s="1"/>
  <c r="D34" i="412" a="1"/>
  <c r="D34" i="412" s="1"/>
  <c r="E34" i="412" s="1"/>
  <c r="D37" i="412" a="1"/>
  <c r="D37" i="412" s="1"/>
  <c r="E37" i="412" s="1"/>
  <c r="D39" i="412" a="1"/>
  <c r="D39" i="412" s="1"/>
  <c r="E39" i="412" s="1"/>
  <c r="D41" i="412" a="1"/>
  <c r="D41" i="412" s="1"/>
  <c r="E41" i="412" s="1"/>
  <c r="D43" i="412" a="1"/>
  <c r="D43" i="412" s="1"/>
  <c r="E43" i="412" s="1"/>
  <c r="D48" i="412" a="1"/>
  <c r="D48" i="412" s="1"/>
  <c r="E48" i="412" s="1"/>
  <c r="D50" i="412" a="1"/>
  <c r="D50" i="412" s="1"/>
  <c r="E50" i="412" s="1"/>
  <c r="D52" i="412" a="1"/>
  <c r="D52" i="412" s="1"/>
  <c r="E52" i="412" s="1"/>
  <c r="D54" i="412" a="1"/>
  <c r="D54" i="412" s="1"/>
  <c r="E54" i="412" s="1"/>
  <c r="D56" i="412" a="1"/>
  <c r="D56" i="412" s="1"/>
  <c r="E56" i="412" s="1"/>
  <c r="D58" i="412" a="1"/>
  <c r="D58" i="412" s="1"/>
  <c r="E58" i="412" s="1"/>
  <c r="D60" i="412" a="1"/>
  <c r="D60" i="412" s="1"/>
  <c r="E60" i="412" s="1"/>
  <c r="D62" i="412" a="1"/>
  <c r="D62" i="412" s="1"/>
  <c r="E62" i="412" s="1"/>
  <c r="D64" i="412" a="1"/>
  <c r="D64" i="412" s="1"/>
  <c r="E64" i="412" s="1"/>
  <c r="D66" i="412" a="1"/>
  <c r="D66" i="412" s="1"/>
  <c r="E66" i="412" s="1"/>
  <c r="D68" i="412" a="1"/>
  <c r="D68" i="412" s="1"/>
  <c r="E68" i="412" s="1"/>
  <c r="D70" i="412" a="1"/>
  <c r="D70" i="412" s="1"/>
  <c r="D72" i="412" a="1"/>
  <c r="D72" i="412" s="1"/>
  <c r="E72" i="412" s="1"/>
  <c r="D76" i="412" a="1"/>
  <c r="D76" i="412" s="1"/>
  <c r="E76" i="412" s="1"/>
  <c r="D78" i="412" a="1"/>
  <c r="D78" i="412" s="1"/>
  <c r="E78" i="412" s="1"/>
  <c r="D80" i="412" a="1"/>
  <c r="D80" i="412" s="1"/>
  <c r="E80" i="412" s="1"/>
  <c r="D82" i="412" a="1"/>
  <c r="D82" i="412" s="1"/>
  <c r="E82" i="412" s="1"/>
  <c r="D84" i="412" a="1"/>
  <c r="D84" i="412" s="1"/>
  <c r="E84" i="412" s="1"/>
  <c r="D86" i="412" a="1"/>
  <c r="D86" i="412" s="1"/>
  <c r="E86" i="412" s="1"/>
  <c r="D88" i="412" a="1"/>
  <c r="D88" i="412" s="1"/>
  <c r="E88" i="412" s="1"/>
  <c r="D90" i="412" a="1"/>
  <c r="D90" i="412" s="1"/>
  <c r="E90" i="412" s="1"/>
  <c r="D92" i="412" a="1"/>
  <c r="D92" i="412" s="1"/>
  <c r="E92" i="412" s="1"/>
  <c r="D94" i="412" a="1"/>
  <c r="D94" i="412" s="1"/>
  <c r="E94" i="412" s="1"/>
  <c r="D96" i="412" a="1"/>
  <c r="D96" i="412" s="1"/>
  <c r="E96" i="412" s="1"/>
  <c r="D98" i="412" a="1"/>
  <c r="D98" i="412" s="1"/>
  <c r="E98" i="412" s="1"/>
  <c r="D100" i="412" a="1"/>
  <c r="D100" i="412" s="1"/>
  <c r="E100" i="412" s="1"/>
  <c r="D102" i="412" a="1"/>
  <c r="D102" i="412" s="1"/>
  <c r="E102" i="412" s="1"/>
  <c r="D104" i="412" a="1"/>
  <c r="D104" i="412" s="1"/>
  <c r="D106" i="412" a="1"/>
  <c r="D106" i="412" s="1"/>
  <c r="E106" i="412" s="1"/>
  <c r="D108" i="412" a="1"/>
  <c r="D108" i="412" s="1"/>
  <c r="E108" i="412" s="1"/>
  <c r="D110" i="412" a="1"/>
  <c r="D110" i="412" s="1"/>
  <c r="E110" i="412" s="1"/>
  <c r="D112" i="412" a="1"/>
  <c r="D112" i="412" s="1"/>
  <c r="E112" i="412" s="1"/>
  <c r="D114" i="412" a="1"/>
  <c r="D114" i="412" s="1"/>
  <c r="E114" i="412" s="1"/>
  <c r="D116" i="412" a="1"/>
  <c r="D116" i="412" s="1"/>
  <c r="E116" i="412" s="1"/>
  <c r="D118" i="412" a="1"/>
  <c r="D118" i="412" s="1"/>
  <c r="E118" i="412" s="1"/>
  <c r="D120" i="412" a="1"/>
  <c r="D120" i="412" s="1"/>
  <c r="E120" i="412" s="1"/>
  <c r="D122" i="412" a="1"/>
  <c r="D122" i="412" s="1"/>
  <c r="E122" i="412" s="1"/>
  <c r="D124" i="412" a="1"/>
  <c r="D124" i="412" s="1"/>
  <c r="E124" i="412" s="1"/>
  <c r="D126" i="412" a="1"/>
  <c r="D126" i="412" s="1"/>
  <c r="E126" i="412" s="1"/>
  <c r="D128" i="412" a="1"/>
  <c r="D128" i="412" s="1"/>
  <c r="E128" i="412" s="1"/>
  <c r="D130" i="412" a="1"/>
  <c r="D130" i="412" s="1"/>
  <c r="E130" i="412" s="1"/>
  <c r="D132" i="412" a="1"/>
  <c r="D132" i="412" s="1"/>
  <c r="E132" i="412" s="1"/>
  <c r="D134" i="412" a="1"/>
  <c r="D134" i="412" s="1"/>
  <c r="E134" i="412" s="1"/>
  <c r="D159" i="365" a="1"/>
  <c r="D159" i="365" s="1"/>
  <c r="D157" i="365" a="1"/>
  <c r="D157" i="365" s="1"/>
  <c r="D155" i="365" a="1"/>
  <c r="D155" i="365" s="1"/>
  <c r="D150" i="365" a="1"/>
  <c r="D150" i="365" s="1"/>
  <c r="D148" i="365" a="1"/>
  <c r="D148" i="365" s="1"/>
  <c r="D144" i="365" a="1"/>
  <c r="D144" i="365" s="1"/>
  <c r="D142" i="365" a="1"/>
  <c r="D142" i="365" s="1"/>
  <c r="D140" i="365" a="1"/>
  <c r="D140" i="365" s="1"/>
  <c r="D138" i="365" a="1"/>
  <c r="D138" i="365" s="1"/>
  <c r="D136" i="365" a="1"/>
  <c r="D136" i="365" s="1"/>
  <c r="D132" i="365" a="1"/>
  <c r="D132" i="365" s="1"/>
  <c r="D79" i="365" a="1"/>
  <c r="D79" i="365" s="1"/>
  <c r="D75" i="365" a="1"/>
  <c r="D75" i="365" s="1"/>
  <c r="D73" i="365" a="1"/>
  <c r="D73" i="365" s="1"/>
  <c r="D71" i="365" a="1"/>
  <c r="D71" i="365" s="1"/>
  <c r="D69" i="365" a="1"/>
  <c r="D69" i="365" s="1"/>
  <c r="D67" i="365" a="1"/>
  <c r="D67" i="365" s="1"/>
  <c r="D63" i="365" a="1"/>
  <c r="D63" i="365" s="1"/>
  <c r="D61" i="365" a="1"/>
  <c r="D61" i="365" s="1"/>
  <c r="D59" i="365" a="1"/>
  <c r="D59" i="365" s="1"/>
  <c r="D57" i="365" a="1"/>
  <c r="D57" i="365" s="1"/>
  <c r="D55" i="365" a="1"/>
  <c r="D55" i="365" s="1"/>
  <c r="D160" i="365" a="1"/>
  <c r="D160" i="365" s="1"/>
  <c r="D158" i="365" a="1"/>
  <c r="D158" i="365" s="1"/>
  <c r="D156" i="365" a="1"/>
  <c r="D156" i="365" s="1"/>
  <c r="D149" i="365" a="1"/>
  <c r="D149" i="365" s="1"/>
  <c r="D147" i="365" a="1"/>
  <c r="D147" i="365" s="1"/>
  <c r="D145" i="365" a="1"/>
  <c r="D145" i="365" s="1"/>
  <c r="D143" i="365" a="1"/>
  <c r="D143" i="365" s="1"/>
  <c r="D139" i="365" a="1"/>
  <c r="D139" i="365" s="1"/>
  <c r="D135" i="365" a="1"/>
  <c r="D135" i="365" s="1"/>
  <c r="D133" i="365" a="1"/>
  <c r="D133" i="365" s="1"/>
  <c r="D131" i="365" a="1"/>
  <c r="D131" i="365" s="1"/>
  <c r="D129" i="365" a="1"/>
  <c r="D129" i="365" s="1"/>
  <c r="D166" i="365" a="1"/>
  <c r="D166" i="365" s="1"/>
  <c r="D78" i="365" a="1"/>
  <c r="D78" i="365" s="1"/>
  <c r="D74" i="365" a="1"/>
  <c r="D74" i="365" s="1"/>
  <c r="D72" i="365" a="1"/>
  <c r="D72" i="365" s="1"/>
  <c r="D66" i="365" a="1"/>
  <c r="D66" i="365" s="1"/>
  <c r="D64" i="365" a="1"/>
  <c r="D64" i="365" s="1"/>
  <c r="D62" i="365" a="1"/>
  <c r="D62" i="365" s="1"/>
  <c r="D56" i="365" a="1"/>
  <c r="D56" i="365" s="1"/>
  <c r="D54" i="365" a="1"/>
  <c r="D54" i="365" s="1"/>
  <c r="D52" i="365" a="1"/>
  <c r="D52" i="365" s="1"/>
  <c r="H159" i="365" a="1"/>
  <c r="H159" i="365" s="1"/>
  <c r="H157" i="365" a="1"/>
  <c r="H157" i="365" s="1"/>
  <c r="H155" i="365" a="1"/>
  <c r="H155" i="365" s="1"/>
  <c r="H150" i="365" a="1"/>
  <c r="H150" i="365" s="1"/>
  <c r="H148" i="365" a="1"/>
  <c r="H148" i="365" s="1"/>
  <c r="H144" i="365" a="1"/>
  <c r="H144" i="365" s="1"/>
  <c r="H142" i="365" a="1"/>
  <c r="H142" i="365" s="1"/>
  <c r="H140" i="365" a="1"/>
  <c r="H140" i="365" s="1"/>
  <c r="H138" i="365" a="1"/>
  <c r="H138" i="365" s="1"/>
  <c r="H136" i="365" a="1"/>
  <c r="H136" i="365" s="1"/>
  <c r="H132" i="365" a="1"/>
  <c r="H132" i="365" s="1"/>
  <c r="H79" i="365" a="1"/>
  <c r="H79" i="365" s="1"/>
  <c r="H75" i="365" a="1"/>
  <c r="H75" i="365" s="1"/>
  <c r="H73" i="365" a="1"/>
  <c r="H73" i="365" s="1"/>
  <c r="H71" i="365" a="1"/>
  <c r="H71" i="365" s="1"/>
  <c r="H69" i="365" a="1"/>
  <c r="H69" i="365" s="1"/>
  <c r="H67" i="365" a="1"/>
  <c r="H67" i="365" s="1"/>
  <c r="H63" i="365" a="1"/>
  <c r="H63" i="365" s="1"/>
  <c r="H61" i="365" a="1"/>
  <c r="H61" i="365" s="1"/>
  <c r="H59" i="365" a="1"/>
  <c r="H59" i="365" s="1"/>
  <c r="H57" i="365" a="1"/>
  <c r="H57" i="365" s="1"/>
  <c r="H55" i="365" a="1"/>
  <c r="H55" i="365" s="1"/>
  <c r="H160" i="365" a="1"/>
  <c r="H160" i="365" s="1"/>
  <c r="H158" i="365" a="1"/>
  <c r="H158" i="365" s="1"/>
  <c r="H156" i="365" a="1"/>
  <c r="H156" i="365" s="1"/>
  <c r="H149" i="365" a="1"/>
  <c r="H149" i="365" s="1"/>
  <c r="H147" i="365" a="1"/>
  <c r="H147" i="365" s="1"/>
  <c r="H145" i="365" a="1"/>
  <c r="H145" i="365" s="1"/>
  <c r="H143" i="365" a="1"/>
  <c r="H143" i="365" s="1"/>
  <c r="H139" i="365" a="1"/>
  <c r="H139" i="365" s="1"/>
  <c r="H135" i="365" a="1"/>
  <c r="H135" i="365" s="1"/>
  <c r="H133" i="365" a="1"/>
  <c r="H133" i="365" s="1"/>
  <c r="H131" i="365" a="1"/>
  <c r="H131" i="365" s="1"/>
  <c r="H129" i="365" a="1"/>
  <c r="H129" i="365" s="1"/>
  <c r="H166" i="365" a="1"/>
  <c r="H166" i="365" s="1"/>
  <c r="H78" i="365" a="1"/>
  <c r="H78" i="365" s="1"/>
  <c r="H77" i="365" s="1"/>
  <c r="H74" i="365" a="1"/>
  <c r="H74" i="365" s="1"/>
  <c r="H72" i="365" a="1"/>
  <c r="H72" i="365" s="1"/>
  <c r="L72" i="365" a="1"/>
  <c r="L72" i="365" s="1"/>
  <c r="H66" i="365" a="1"/>
  <c r="H66" i="365" s="1"/>
  <c r="H64" i="365" a="1"/>
  <c r="H64" i="365" s="1"/>
  <c r="H62" i="365" a="1"/>
  <c r="H62" i="365" s="1"/>
  <c r="H56" i="365" a="1"/>
  <c r="H56" i="365" s="1"/>
  <c r="H54" i="365" a="1"/>
  <c r="H54" i="365" s="1"/>
  <c r="H52" i="365" a="1"/>
  <c r="H52" i="365" s="1"/>
  <c r="L159" i="365" a="1"/>
  <c r="L159" i="365" s="1"/>
  <c r="L157" i="365" a="1"/>
  <c r="L157" i="365" s="1"/>
  <c r="L155" i="365" a="1"/>
  <c r="L155" i="365" s="1"/>
  <c r="L150" i="365" a="1"/>
  <c r="L150" i="365" s="1"/>
  <c r="L148" i="365" a="1"/>
  <c r="L148" i="365" s="1"/>
  <c r="L144" i="365" a="1"/>
  <c r="L144" i="365" s="1"/>
  <c r="L142" i="365" a="1"/>
  <c r="L142" i="365" s="1"/>
  <c r="L140" i="365" a="1"/>
  <c r="L140" i="365" s="1"/>
  <c r="L138" i="365" a="1"/>
  <c r="L138" i="365" s="1"/>
  <c r="L136" i="365" a="1"/>
  <c r="L136" i="365" s="1"/>
  <c r="L132" i="365" a="1"/>
  <c r="L132" i="365" s="1"/>
  <c r="L79" i="365" a="1"/>
  <c r="L79" i="365" s="1"/>
  <c r="L75" i="365" a="1"/>
  <c r="L75" i="365" s="1"/>
  <c r="L73" i="365" a="1"/>
  <c r="L73" i="365" s="1"/>
  <c r="L71" i="365" a="1"/>
  <c r="L71" i="365" s="1"/>
  <c r="L69" i="365" a="1"/>
  <c r="L69" i="365" s="1"/>
  <c r="L67" i="365" a="1"/>
  <c r="L67" i="365" s="1"/>
  <c r="L63" i="365" a="1"/>
  <c r="L63" i="365" s="1"/>
  <c r="L61" i="365" a="1"/>
  <c r="L61" i="365" s="1"/>
  <c r="L59" i="365" a="1"/>
  <c r="L59" i="365" s="1"/>
  <c r="L57" i="365" a="1"/>
  <c r="L57" i="365" s="1"/>
  <c r="L55" i="365" a="1"/>
  <c r="L55" i="365" s="1"/>
  <c r="L160" i="365" a="1"/>
  <c r="L160" i="365" s="1"/>
  <c r="L158" i="365" a="1"/>
  <c r="L158" i="365" s="1"/>
  <c r="L156" i="365" a="1"/>
  <c r="L156" i="365" s="1"/>
  <c r="L149" i="365" a="1"/>
  <c r="L149" i="365" s="1"/>
  <c r="L147" i="365" a="1"/>
  <c r="L147" i="365" s="1"/>
  <c r="L145" i="365" a="1"/>
  <c r="L145" i="365" s="1"/>
  <c r="L143" i="365" a="1"/>
  <c r="L143" i="365" s="1"/>
  <c r="L139" i="365" a="1"/>
  <c r="L139" i="365" s="1"/>
  <c r="L135" i="365" a="1"/>
  <c r="L135" i="365" s="1"/>
  <c r="L133" i="365" a="1"/>
  <c r="L133" i="365" s="1"/>
  <c r="L131" i="365" a="1"/>
  <c r="L131" i="365" s="1"/>
  <c r="L129" i="365" a="1"/>
  <c r="L129" i="365" s="1"/>
  <c r="L166" i="365" a="1"/>
  <c r="L166" i="365" s="1"/>
  <c r="L78" i="365" a="1"/>
  <c r="L78" i="365" s="1"/>
  <c r="L77" i="365" s="1"/>
  <c r="L74" i="365" a="1"/>
  <c r="L74" i="365" s="1"/>
  <c r="L66" i="365" a="1"/>
  <c r="L66" i="365" s="1"/>
  <c r="L64" i="365" a="1"/>
  <c r="L64" i="365" s="1"/>
  <c r="L62" i="365" a="1"/>
  <c r="L62" i="365" s="1"/>
  <c r="L56" i="365" a="1"/>
  <c r="L56" i="365" s="1"/>
  <c r="L54" i="365" a="1"/>
  <c r="L54" i="365" s="1"/>
  <c r="L52" i="365" a="1"/>
  <c r="L52" i="365" s="1"/>
  <c r="D31" i="365" a="1"/>
  <c r="D31" i="365" s="1"/>
  <c r="H31" i="365" a="1"/>
  <c r="H31" i="365" s="1"/>
  <c r="H30" i="365" s="1"/>
  <c r="L31" i="365" a="1"/>
  <c r="L31" i="365" s="1"/>
  <c r="D35" i="365" a="1"/>
  <c r="D35" i="365" s="1"/>
  <c r="F35" i="365" a="1"/>
  <c r="F35" i="365" s="1"/>
  <c r="H35" i="365" a="1"/>
  <c r="H35" i="365" s="1"/>
  <c r="J35" i="365" a="1"/>
  <c r="J35" i="365" s="1"/>
  <c r="L35" i="365" a="1"/>
  <c r="L35" i="365" s="1"/>
  <c r="N35" i="365" a="1"/>
  <c r="N35" i="365" s="1"/>
  <c r="D37" i="365" a="1"/>
  <c r="D37" i="365" s="1"/>
  <c r="F37" i="365" a="1"/>
  <c r="F37" i="365" s="1"/>
  <c r="H37" i="365" a="1"/>
  <c r="H37" i="365" s="1"/>
  <c r="J37" i="365" a="1"/>
  <c r="J37" i="365" s="1"/>
  <c r="L37" i="365" a="1"/>
  <c r="L37" i="365" s="1"/>
  <c r="N37" i="365" a="1"/>
  <c r="N37" i="365" s="1"/>
  <c r="E38" i="365" a="1"/>
  <c r="E38" i="365" s="1"/>
  <c r="I38" i="365" a="1"/>
  <c r="I38" i="365" s="1"/>
  <c r="M38" i="365" a="1"/>
  <c r="M38" i="365" s="1"/>
  <c r="D39" i="365" a="1"/>
  <c r="D39" i="365" s="1"/>
  <c r="F39" i="365" a="1"/>
  <c r="F39" i="365" s="1"/>
  <c r="H39" i="365" a="1"/>
  <c r="H39" i="365" s="1"/>
  <c r="J39" i="365" a="1"/>
  <c r="J39" i="365" s="1"/>
  <c r="L39" i="365" a="1"/>
  <c r="L39" i="365" s="1"/>
  <c r="N39" i="365" a="1"/>
  <c r="N39" i="365" s="1"/>
  <c r="E40" i="365" a="1"/>
  <c r="E40" i="365" s="1"/>
  <c r="G40" i="365" a="1"/>
  <c r="G40" i="365" s="1"/>
  <c r="I40" i="365" a="1"/>
  <c r="I40" i="365" s="1"/>
  <c r="K40" i="365" a="1"/>
  <c r="K40" i="365" s="1"/>
  <c r="M40" i="365" a="1"/>
  <c r="M40" i="365" s="1"/>
  <c r="D41" i="365" a="1"/>
  <c r="D41" i="365" s="1"/>
  <c r="F41" i="365" a="1"/>
  <c r="F41" i="365" s="1"/>
  <c r="H41" i="365" a="1"/>
  <c r="H41" i="365" s="1"/>
  <c r="J41" i="365" a="1"/>
  <c r="J41" i="365" s="1"/>
  <c r="L41" i="365" a="1"/>
  <c r="L41" i="365" s="1"/>
  <c r="N41" i="365" a="1"/>
  <c r="N41" i="365" s="1"/>
  <c r="E42" i="365" a="1"/>
  <c r="E42" i="365" s="1"/>
  <c r="G42" i="365" a="1"/>
  <c r="G42" i="365" s="1"/>
  <c r="I42" i="365" a="1"/>
  <c r="I42" i="365" s="1"/>
  <c r="K42" i="365" a="1"/>
  <c r="K42" i="365" s="1"/>
  <c r="M42" i="365" a="1"/>
  <c r="M42" i="365" s="1"/>
  <c r="O42" i="365" a="1"/>
  <c r="O42" i="365" s="1"/>
  <c r="D48" i="365" a="1"/>
  <c r="D48" i="365" s="1"/>
  <c r="F48" i="365" a="1"/>
  <c r="F48" i="365" s="1"/>
  <c r="F47" i="365" s="1"/>
  <c r="H48" i="365" a="1"/>
  <c r="H48" i="365" s="1"/>
  <c r="H47" i="365" s="1"/>
  <c r="J48" i="365" a="1"/>
  <c r="J48" i="365" s="1"/>
  <c r="J47" i="365" s="1"/>
  <c r="L48" i="365" a="1"/>
  <c r="L48" i="365" s="1"/>
  <c r="N48" i="365" a="1"/>
  <c r="N48" i="365" s="1"/>
  <c r="N47" i="365" s="1"/>
  <c r="E49" i="365" a="1"/>
  <c r="E49" i="365" s="1"/>
  <c r="G49" i="365" a="1"/>
  <c r="G49" i="365" s="1"/>
  <c r="I49" i="365" a="1"/>
  <c r="I49" i="365" s="1"/>
  <c r="K49" i="365" a="1"/>
  <c r="K49" i="365" s="1"/>
  <c r="M49" i="365" a="1"/>
  <c r="M49" i="365" s="1"/>
  <c r="O49" i="365" a="1"/>
  <c r="O49" i="365" s="1"/>
  <c r="E51" i="365" a="1"/>
  <c r="E51" i="365" s="1"/>
  <c r="J51" i="365" a="1"/>
  <c r="J51" i="365" s="1"/>
  <c r="E52" i="365" a="1"/>
  <c r="E52" i="365" s="1"/>
  <c r="M52" i="365" a="1"/>
  <c r="M52" i="365" s="1"/>
  <c r="M50" i="365" s="1"/>
  <c r="H53" i="365" a="1"/>
  <c r="H53" i="365" s="1"/>
  <c r="F87" i="365" a="1"/>
  <c r="F87" i="365" s="1"/>
  <c r="J87" i="365" a="1"/>
  <c r="J87" i="365" s="1"/>
  <c r="N87" i="365" a="1"/>
  <c r="N87" i="365"/>
  <c r="E88" i="365" a="1"/>
  <c r="E88" i="365" s="1"/>
  <c r="I88" i="365" a="1"/>
  <c r="I88" i="365" s="1"/>
  <c r="M88" i="365" a="1"/>
  <c r="M88" i="365" s="1"/>
  <c r="E90" i="365" a="1"/>
  <c r="E90" i="365" s="1"/>
  <c r="I90" i="365" a="1"/>
  <c r="I90" i="365" s="1"/>
  <c r="M90" i="365" a="1"/>
  <c r="M90" i="365" s="1"/>
  <c r="D91" i="365" a="1"/>
  <c r="D91" i="365" s="1"/>
  <c r="H91" i="365" a="1"/>
  <c r="H91" i="365" s="1"/>
  <c r="L91" i="365" a="1"/>
  <c r="L91" i="365" s="1"/>
  <c r="G92" i="365" a="1"/>
  <c r="G92" i="365" s="1"/>
  <c r="K92" i="365" a="1"/>
  <c r="K92" i="365" s="1"/>
  <c r="O92" i="365" a="1"/>
  <c r="O92" i="365" s="1"/>
  <c r="F93" i="365" a="1"/>
  <c r="F93" i="365" s="1"/>
  <c r="J93" i="365" a="1"/>
  <c r="J93" i="365" s="1"/>
  <c r="N93" i="365" a="1"/>
  <c r="N93" i="365" s="1"/>
  <c r="E94" i="365" a="1"/>
  <c r="E94" i="365" s="1"/>
  <c r="I94" i="365" a="1"/>
  <c r="I94" i="365" s="1"/>
  <c r="M94" i="365" a="1"/>
  <c r="M94" i="365" s="1"/>
  <c r="D95" i="365" a="1"/>
  <c r="D95" i="365" s="1"/>
  <c r="H95" i="365" a="1"/>
  <c r="H95" i="365" s="1"/>
  <c r="L95" i="365" a="1"/>
  <c r="L95" i="365" s="1"/>
  <c r="G96" i="365" a="1"/>
  <c r="G96" i="365" s="1"/>
  <c r="K96" i="365" a="1"/>
  <c r="K96" i="365" s="1"/>
  <c r="O96" i="365" a="1"/>
  <c r="O96" i="365" s="1"/>
  <c r="G98" i="365" a="1"/>
  <c r="G98" i="365" s="1"/>
  <c r="K98" i="365" a="1"/>
  <c r="K98" i="365" s="1"/>
  <c r="O98" i="365" a="1"/>
  <c r="O98" i="365" s="1"/>
  <c r="G100" i="365" a="1"/>
  <c r="G100" i="365" s="1"/>
  <c r="G99" i="365" s="1"/>
  <c r="K100" i="365" a="1"/>
  <c r="K100" i="365" s="1"/>
  <c r="K99" i="365" s="1"/>
  <c r="O100" i="365" a="1"/>
  <c r="O100" i="365" s="1"/>
  <c r="O99" i="365" s="1"/>
  <c r="F101" i="365" a="1"/>
  <c r="F101" i="365" s="1"/>
  <c r="J101" i="365" a="1"/>
  <c r="J101" i="365" s="1"/>
  <c r="N101" i="365" a="1"/>
  <c r="N101" i="365" s="1"/>
  <c r="F103" i="365" a="1"/>
  <c r="F103" i="365" s="1"/>
  <c r="J103" i="365" a="1"/>
  <c r="J103" i="365" s="1"/>
  <c r="N103" i="365" a="1"/>
  <c r="N103" i="365" s="1"/>
  <c r="E104" i="365" a="1"/>
  <c r="E104" i="365" s="1"/>
  <c r="I104" i="365" a="1"/>
  <c r="I104" i="365" s="1"/>
  <c r="M104" i="365" a="1"/>
  <c r="M104" i="365" s="1"/>
  <c r="D105" i="365" a="1"/>
  <c r="D105" i="365" s="1"/>
  <c r="H105" i="365" a="1"/>
  <c r="H105" i="365" s="1"/>
  <c r="L105" i="365" a="1"/>
  <c r="L105" i="365" s="1"/>
  <c r="G106" i="365" a="1"/>
  <c r="G106" i="365" s="1"/>
  <c r="K106" i="365" a="1"/>
  <c r="K106" i="365" s="1"/>
  <c r="O106" i="365" a="1"/>
  <c r="O106" i="365" s="1"/>
  <c r="F107" i="365" a="1"/>
  <c r="F107" i="365" s="1"/>
  <c r="J107" i="365" a="1"/>
  <c r="J107" i="365" s="1"/>
  <c r="N107" i="365" a="1"/>
  <c r="N107" i="365" s="1"/>
  <c r="G109" i="365" a="1"/>
  <c r="G109" i="365" s="1"/>
  <c r="K109" i="365" a="1"/>
  <c r="K109" i="365" s="1"/>
  <c r="O109" i="365" a="1"/>
  <c r="O109" i="365" s="1"/>
  <c r="F110" i="365" a="1"/>
  <c r="F110" i="365" s="1"/>
  <c r="J110" i="365" a="1"/>
  <c r="J110" i="365" s="1"/>
  <c r="N110" i="365" a="1"/>
  <c r="N110" i="365" s="1"/>
  <c r="E111" i="365" a="1"/>
  <c r="E111" i="365" s="1"/>
  <c r="I111" i="365" a="1"/>
  <c r="I111" i="365" s="1"/>
  <c r="M111" i="365" a="1"/>
  <c r="M111" i="365" s="1"/>
  <c r="D112" i="365" a="1"/>
  <c r="D112" i="365" s="1"/>
  <c r="H112" i="365" a="1"/>
  <c r="H112" i="365" s="1"/>
  <c r="L112" i="365" a="1"/>
  <c r="L112" i="365" s="1"/>
  <c r="G113" i="365" a="1"/>
  <c r="G113" i="365" s="1"/>
  <c r="K113" i="365" a="1"/>
  <c r="K113" i="365" s="1"/>
  <c r="O113" i="365" a="1"/>
  <c r="O113" i="365" s="1"/>
  <c r="F114" i="365" a="1"/>
  <c r="F114" i="365" s="1"/>
  <c r="J114" i="365" a="1"/>
  <c r="J114" i="365" s="1"/>
  <c r="N114" i="365" a="1"/>
  <c r="N114" i="365" s="1"/>
  <c r="E115" i="365" a="1"/>
  <c r="E115" i="365" s="1"/>
  <c r="I115" i="365" a="1"/>
  <c r="I115" i="365" s="1"/>
  <c r="M115" i="365" a="1"/>
  <c r="M115" i="365" s="1"/>
  <c r="D116" i="365" a="1"/>
  <c r="D116" i="365" s="1"/>
  <c r="H116" i="365" a="1"/>
  <c r="H116" i="365" s="1"/>
  <c r="L116" i="365" a="1"/>
  <c r="L116" i="365" s="1"/>
  <c r="D118" i="365" a="1"/>
  <c r="D118" i="365" s="1"/>
  <c r="H118" i="365" a="1"/>
  <c r="H118" i="365" s="1"/>
  <c r="L118" i="365" a="1"/>
  <c r="L118" i="365" s="1"/>
  <c r="G119" i="365" a="1"/>
  <c r="G119" i="365" s="1"/>
  <c r="K119" i="365" a="1"/>
  <c r="K119" i="365" s="1"/>
  <c r="O119" i="365" a="1"/>
  <c r="O119" i="365" s="1"/>
  <c r="F120" i="365" a="1"/>
  <c r="F120" i="365" s="1"/>
  <c r="J120" i="365" a="1"/>
  <c r="J120" i="365" s="1"/>
  <c r="N120" i="365" a="1"/>
  <c r="N120" i="365" s="1"/>
  <c r="E121" i="365" a="1"/>
  <c r="E121" i="365" s="1"/>
  <c r="I121" i="365" a="1"/>
  <c r="I121" i="365" s="1"/>
  <c r="M121" i="365" a="1"/>
  <c r="M121" i="365" s="1"/>
  <c r="D122" i="365" a="1"/>
  <c r="D122" i="365" s="1"/>
  <c r="H122" i="365" a="1"/>
  <c r="H122" i="365" s="1"/>
  <c r="L122" i="365" a="1"/>
  <c r="L122" i="365" s="1"/>
  <c r="G123" i="365" a="1"/>
  <c r="G123" i="365" s="1"/>
  <c r="K123" i="365" a="1"/>
  <c r="K123" i="365" s="1"/>
  <c r="O123" i="365" a="1"/>
  <c r="O123" i="365" s="1"/>
  <c r="F124" i="365" a="1"/>
  <c r="F124" i="365" s="1"/>
  <c r="J124" i="365" a="1"/>
  <c r="J124" i="365" s="1"/>
  <c r="N124" i="365" a="1"/>
  <c r="N124" i="365" s="1"/>
  <c r="E125" i="365" a="1"/>
  <c r="E125" i="365" s="1"/>
  <c r="I125" i="365" a="1"/>
  <c r="I125" i="365" s="1"/>
  <c r="M125" i="365" a="1"/>
  <c r="M125" i="365" s="1"/>
  <c r="E127" i="365" a="1"/>
  <c r="E127" i="365" s="1"/>
  <c r="I127" i="365" a="1"/>
  <c r="I127" i="365" s="1"/>
  <c r="I126" i="365" s="1"/>
  <c r="M127" i="365" a="1"/>
  <c r="M127" i="365" s="1"/>
  <c r="D128" i="365" a="1"/>
  <c r="D128" i="365" s="1"/>
  <c r="H128" i="365" a="1"/>
  <c r="H128" i="365" s="1"/>
  <c r="L128" i="365" a="1"/>
  <c r="L128" i="365" s="1"/>
  <c r="G129" i="365" a="1"/>
  <c r="G129" i="365" s="1"/>
  <c r="O129" i="365" a="1"/>
  <c r="O129" i="365" s="1"/>
  <c r="J130" i="365" a="1"/>
  <c r="J130" i="365" s="1"/>
  <c r="E131" i="365" a="1"/>
  <c r="E131" i="365" s="1"/>
  <c r="D160" i="385" a="1"/>
  <c r="D160" i="385" s="1"/>
  <c r="D158" i="385" a="1"/>
  <c r="D158" i="385" s="1"/>
  <c r="D156" i="385" a="1"/>
  <c r="D156" i="385" s="1"/>
  <c r="D149" i="385" a="1"/>
  <c r="D149" i="385" s="1"/>
  <c r="D147" i="385" a="1"/>
  <c r="D147" i="385" s="1"/>
  <c r="D145" i="385" a="1"/>
  <c r="D145" i="385" s="1"/>
  <c r="D143" i="385" a="1"/>
  <c r="D143" i="385" s="1"/>
  <c r="D139" i="385" a="1"/>
  <c r="D139" i="385" s="1"/>
  <c r="D135" i="385" a="1"/>
  <c r="D135" i="385" s="1"/>
  <c r="D133" i="385" a="1"/>
  <c r="D133" i="385" s="1"/>
  <c r="D131" i="385" a="1"/>
  <c r="D131" i="385" s="1"/>
  <c r="D129" i="385" a="1"/>
  <c r="D129" i="385" s="1"/>
  <c r="D127" i="385" a="1"/>
  <c r="D127" i="385" s="1"/>
  <c r="D125" i="385" a="1"/>
  <c r="D125" i="385" s="1"/>
  <c r="D123" i="385" a="1"/>
  <c r="D123" i="385" s="1"/>
  <c r="D121" i="385" a="1"/>
  <c r="D121" i="385" s="1"/>
  <c r="D159" i="385" a="1"/>
  <c r="D159" i="385" s="1"/>
  <c r="D157" i="385" a="1"/>
  <c r="D157" i="385" s="1"/>
  <c r="D155" i="385" a="1"/>
  <c r="D155" i="385" s="1"/>
  <c r="D150" i="385" a="1"/>
  <c r="D150" i="385" s="1"/>
  <c r="D148" i="385" a="1"/>
  <c r="D148" i="385" s="1"/>
  <c r="D144" i="385" a="1"/>
  <c r="D144" i="385" s="1"/>
  <c r="D142" i="385" a="1"/>
  <c r="D142" i="385" s="1"/>
  <c r="D140" i="385" a="1"/>
  <c r="D140" i="385" s="1"/>
  <c r="D138" i="385" a="1"/>
  <c r="D138" i="385" s="1"/>
  <c r="D136" i="385" a="1"/>
  <c r="D136" i="385" s="1"/>
  <c r="D132" i="385" a="1"/>
  <c r="D132" i="385" s="1"/>
  <c r="D130" i="385" a="1"/>
  <c r="D130" i="385" s="1"/>
  <c r="D128" i="385" a="1"/>
  <c r="D128" i="385" s="1"/>
  <c r="D124" i="385" a="1"/>
  <c r="D124" i="385" s="1"/>
  <c r="D122" i="385" a="1"/>
  <c r="D122" i="385" s="1"/>
  <c r="D120" i="385" a="1"/>
  <c r="D120" i="385" s="1"/>
  <c r="D118" i="385" a="1"/>
  <c r="D118" i="385" s="1"/>
  <c r="D116" i="385" a="1"/>
  <c r="D116" i="385" s="1"/>
  <c r="D114" i="385" a="1"/>
  <c r="D114" i="385" s="1"/>
  <c r="D112" i="385" a="1"/>
  <c r="D112" i="385" s="1"/>
  <c r="D110" i="385" a="1"/>
  <c r="D110" i="385" s="1"/>
  <c r="D106" i="385" a="1"/>
  <c r="D106" i="385" s="1"/>
  <c r="D104" i="385" a="1"/>
  <c r="D104" i="385" s="1"/>
  <c r="D100" i="385" a="1"/>
  <c r="D100" i="385" s="1"/>
  <c r="D98" i="385" a="1"/>
  <c r="D98" i="385" s="1"/>
  <c r="D96" i="385" a="1"/>
  <c r="D96" i="385" s="1"/>
  <c r="D94" i="385" a="1"/>
  <c r="D94" i="385" s="1"/>
  <c r="D92" i="385" a="1"/>
  <c r="D92" i="385" s="1"/>
  <c r="D90" i="385" a="1"/>
  <c r="D90" i="385" s="1"/>
  <c r="D88" i="385" a="1"/>
  <c r="D88" i="385" s="1"/>
  <c r="D22" i="385" a="1"/>
  <c r="D22" i="385" s="1"/>
  <c r="D18" i="385" a="1"/>
  <c r="D18" i="385" s="1"/>
  <c r="D16" i="385" a="1"/>
  <c r="D16" i="385" s="1"/>
  <c r="D166" i="385" a="1"/>
  <c r="D166" i="385" s="1"/>
  <c r="D79" i="385" a="1"/>
  <c r="D79" i="385" s="1"/>
  <c r="D75" i="385" a="1"/>
  <c r="D75" i="385" s="1"/>
  <c r="D73" i="385" a="1"/>
  <c r="D73" i="385" s="1"/>
  <c r="D71" i="385" a="1"/>
  <c r="D71" i="385" s="1"/>
  <c r="D69" i="385" a="1"/>
  <c r="D69" i="385" s="1"/>
  <c r="D67" i="385" a="1"/>
  <c r="D67" i="385" s="1"/>
  <c r="D63" i="385" a="1"/>
  <c r="D63" i="385" s="1"/>
  <c r="D61" i="385" a="1"/>
  <c r="D61" i="385" s="1"/>
  <c r="D59" i="385" a="1"/>
  <c r="D59" i="385" s="1"/>
  <c r="D57" i="385" a="1"/>
  <c r="D57" i="385" s="1"/>
  <c r="D55" i="385" a="1"/>
  <c r="D55" i="385" s="1"/>
  <c r="D53" i="385" a="1"/>
  <c r="D53" i="385" s="1"/>
  <c r="D51" i="385" a="1"/>
  <c r="D51" i="385" s="1"/>
  <c r="D49" i="385" a="1"/>
  <c r="D49" i="385" s="1"/>
  <c r="D42" i="385" a="1"/>
  <c r="D42" i="385" s="1"/>
  <c r="D40" i="385" a="1"/>
  <c r="D40" i="385" s="1"/>
  <c r="D38" i="385" a="1"/>
  <c r="D38" i="385" s="1"/>
  <c r="D119" i="385" a="1"/>
  <c r="D119" i="385" s="1"/>
  <c r="D115" i="385" a="1"/>
  <c r="D115" i="385" s="1"/>
  <c r="D113" i="385" a="1"/>
  <c r="D113" i="385" s="1"/>
  <c r="D111" i="385" a="1"/>
  <c r="D111" i="385" s="1"/>
  <c r="D109" i="385" a="1"/>
  <c r="D109" i="385" s="1"/>
  <c r="D107" i="385" a="1"/>
  <c r="D107" i="385" s="1"/>
  <c r="D105" i="385" a="1"/>
  <c r="D105" i="385" s="1"/>
  <c r="D103" i="385" a="1"/>
  <c r="D103" i="385" s="1"/>
  <c r="D101" i="385" a="1"/>
  <c r="D101" i="385" s="1"/>
  <c r="D95" i="385" a="1"/>
  <c r="D95" i="385" s="1"/>
  <c r="D93" i="385" a="1"/>
  <c r="D93" i="385" s="1"/>
  <c r="D91" i="385" a="1"/>
  <c r="D91" i="385" s="1"/>
  <c r="D87" i="385" a="1"/>
  <c r="D87" i="385" s="1"/>
  <c r="D21" i="385" a="1"/>
  <c r="D21" i="385" s="1"/>
  <c r="D19" i="385" a="1"/>
  <c r="D19" i="385" s="1"/>
  <c r="D15" i="385" a="1"/>
  <c r="D15" i="385" s="1"/>
  <c r="D78" i="385" a="1"/>
  <c r="D78" i="385" s="1"/>
  <c r="D74" i="385" a="1"/>
  <c r="D74" i="385" s="1"/>
  <c r="D72" i="385" a="1"/>
  <c r="D72" i="385" s="1"/>
  <c r="D68" i="385" a="1"/>
  <c r="D68" i="385" s="1"/>
  <c r="D66" i="385" a="1"/>
  <c r="D66" i="385" s="1"/>
  <c r="D64" i="385" a="1"/>
  <c r="D64" i="385" s="1"/>
  <c r="D62" i="385" a="1"/>
  <c r="D62" i="385" s="1"/>
  <c r="D60" i="385" a="1"/>
  <c r="D60" i="385" s="1"/>
  <c r="D58" i="385" a="1"/>
  <c r="D58" i="385" s="1"/>
  <c r="D56" i="385" a="1"/>
  <c r="D56" i="385" s="1"/>
  <c r="D54" i="385" a="1"/>
  <c r="D54" i="385" s="1"/>
  <c r="D52" i="385" a="1"/>
  <c r="D52" i="385" s="1"/>
  <c r="D48" i="385" a="1"/>
  <c r="D48" i="385" s="1"/>
  <c r="D41" i="385" a="1"/>
  <c r="D41" i="385" s="1"/>
  <c r="D39" i="385" a="1"/>
  <c r="D39" i="385" s="1"/>
  <c r="D37" i="385" a="1"/>
  <c r="D37" i="385" s="1"/>
  <c r="D35" i="385" a="1"/>
  <c r="D35" i="385" s="1"/>
  <c r="D33" i="385" a="1"/>
  <c r="D33" i="385" s="1"/>
  <c r="H160" i="385" a="1"/>
  <c r="H160" i="385" s="1"/>
  <c r="H158" i="385" a="1"/>
  <c r="H158" i="385" s="1"/>
  <c r="H156" i="385" a="1"/>
  <c r="H156" i="385" s="1"/>
  <c r="H149" i="385" a="1"/>
  <c r="H149" i="385" s="1"/>
  <c r="H147" i="385" a="1"/>
  <c r="H147" i="385" s="1"/>
  <c r="H145" i="385" a="1"/>
  <c r="H145" i="385" s="1"/>
  <c r="H143" i="385" a="1"/>
  <c r="H143" i="385" s="1"/>
  <c r="H139" i="385" a="1"/>
  <c r="H139" i="385" s="1"/>
  <c r="H135" i="385" a="1"/>
  <c r="H135" i="385" s="1"/>
  <c r="H133" i="385" a="1"/>
  <c r="H133" i="385" s="1"/>
  <c r="H131" i="385" a="1"/>
  <c r="H131" i="385" s="1"/>
  <c r="H129" i="385" a="1"/>
  <c r="H129" i="385" s="1"/>
  <c r="H127" i="385" a="1"/>
  <c r="H127" i="385" s="1"/>
  <c r="H125" i="385" a="1"/>
  <c r="H125" i="385" s="1"/>
  <c r="H123" i="385" a="1"/>
  <c r="H123" i="385" s="1"/>
  <c r="H121" i="385" a="1"/>
  <c r="H121" i="385" s="1"/>
  <c r="H159" i="385" a="1"/>
  <c r="H159" i="385" s="1"/>
  <c r="H157" i="385" a="1"/>
  <c r="H157" i="385" s="1"/>
  <c r="H155" i="385" a="1"/>
  <c r="H155" i="385" s="1"/>
  <c r="H150" i="385" a="1"/>
  <c r="H150" i="385" s="1"/>
  <c r="H148" i="385" a="1"/>
  <c r="H148" i="385" s="1"/>
  <c r="H144" i="385" a="1"/>
  <c r="H144" i="385" s="1"/>
  <c r="H142" i="385" a="1"/>
  <c r="H142" i="385" s="1"/>
  <c r="H140" i="385" a="1"/>
  <c r="H140" i="385" s="1"/>
  <c r="H138" i="385" a="1"/>
  <c r="H138" i="385" s="1"/>
  <c r="H136" i="385" a="1"/>
  <c r="H136" i="385" s="1"/>
  <c r="H132" i="385" a="1"/>
  <c r="H132" i="385" s="1"/>
  <c r="H130" i="385" a="1"/>
  <c r="H130" i="385" s="1"/>
  <c r="H128" i="385" a="1"/>
  <c r="H128" i="385" s="1"/>
  <c r="H124" i="385" a="1"/>
  <c r="H124" i="385" s="1"/>
  <c r="H122" i="385" a="1"/>
  <c r="H122" i="385" s="1"/>
  <c r="H120" i="385" a="1"/>
  <c r="H120" i="385" s="1"/>
  <c r="H118" i="385" a="1"/>
  <c r="H118" i="385" s="1"/>
  <c r="H116" i="385" a="1"/>
  <c r="H116" i="385" s="1"/>
  <c r="H114" i="385" a="1"/>
  <c r="H114" i="385" s="1"/>
  <c r="H112" i="385" a="1"/>
  <c r="H112" i="385" s="1"/>
  <c r="H110" i="385" a="1"/>
  <c r="H110" i="385" s="1"/>
  <c r="H106" i="385" a="1"/>
  <c r="H106" i="385" s="1"/>
  <c r="H104" i="385" a="1"/>
  <c r="H104" i="385" s="1"/>
  <c r="H100" i="385" a="1"/>
  <c r="H100" i="385" s="1"/>
  <c r="H98" i="385" a="1"/>
  <c r="H98" i="385" s="1"/>
  <c r="H96" i="385" a="1"/>
  <c r="H96" i="385" s="1"/>
  <c r="H94" i="385" a="1"/>
  <c r="H94" i="385" s="1"/>
  <c r="H92" i="385" a="1"/>
  <c r="H92" i="385" s="1"/>
  <c r="H90" i="385" a="1"/>
  <c r="H90" i="385" s="1"/>
  <c r="H88" i="385" a="1"/>
  <c r="H88" i="385" s="1"/>
  <c r="H22" i="385" a="1"/>
  <c r="H22" i="385" s="1"/>
  <c r="H18" i="385" a="1"/>
  <c r="H18" i="385" s="1"/>
  <c r="H16" i="385" a="1"/>
  <c r="H16" i="385" s="1"/>
  <c r="H166" i="385" a="1"/>
  <c r="H166" i="385" s="1"/>
  <c r="H79" i="385" a="1"/>
  <c r="H79" i="385" s="1"/>
  <c r="H75" i="385" a="1"/>
  <c r="H75" i="385" s="1"/>
  <c r="H73" i="385" a="1"/>
  <c r="H73" i="385" s="1"/>
  <c r="H71" i="385" a="1"/>
  <c r="H71" i="385" s="1"/>
  <c r="H69" i="385" a="1"/>
  <c r="H69" i="385" s="1"/>
  <c r="H67" i="385" a="1"/>
  <c r="H67" i="385" s="1"/>
  <c r="H63" i="385" a="1"/>
  <c r="H63" i="385" s="1"/>
  <c r="H61" i="385" a="1"/>
  <c r="H61" i="385" s="1"/>
  <c r="H59" i="385" a="1"/>
  <c r="H59" i="385" s="1"/>
  <c r="H57" i="385" a="1"/>
  <c r="H57" i="385" s="1"/>
  <c r="H55" i="385" a="1"/>
  <c r="H55" i="385" s="1"/>
  <c r="H53" i="385" a="1"/>
  <c r="H53" i="385" s="1"/>
  <c r="H51" i="385" a="1"/>
  <c r="H51" i="385" s="1"/>
  <c r="H49" i="385" a="1"/>
  <c r="H49" i="385" s="1"/>
  <c r="H42" i="385" a="1"/>
  <c r="H42" i="385" s="1"/>
  <c r="H40" i="385" a="1"/>
  <c r="H40" i="385" s="1"/>
  <c r="H38" i="385" a="1"/>
  <c r="H38" i="385" s="1"/>
  <c r="H119" i="385" a="1"/>
  <c r="H119" i="385" s="1"/>
  <c r="H115" i="385" a="1"/>
  <c r="H115" i="385" s="1"/>
  <c r="H113" i="385" a="1"/>
  <c r="H113" i="385" s="1"/>
  <c r="H111" i="385" a="1"/>
  <c r="H111" i="385" s="1"/>
  <c r="H109" i="385" a="1"/>
  <c r="H109" i="385" s="1"/>
  <c r="H107" i="385" a="1"/>
  <c r="H107" i="385" s="1"/>
  <c r="H105" i="385" a="1"/>
  <c r="H105" i="385" s="1"/>
  <c r="H103" i="385" a="1"/>
  <c r="H103" i="385" s="1"/>
  <c r="H101" i="385" a="1"/>
  <c r="H101" i="385" s="1"/>
  <c r="H95" i="385" a="1"/>
  <c r="H95" i="385" s="1"/>
  <c r="H93" i="385" a="1"/>
  <c r="H93" i="385" s="1"/>
  <c r="H91" i="385" a="1"/>
  <c r="H91" i="385" s="1"/>
  <c r="H87" i="385" a="1"/>
  <c r="H87" i="385" s="1"/>
  <c r="H21" i="385" a="1"/>
  <c r="H21" i="385" s="1"/>
  <c r="H19" i="385" a="1"/>
  <c r="H19" i="385" s="1"/>
  <c r="H15" i="385" a="1"/>
  <c r="H15" i="385" s="1"/>
  <c r="H78" i="385" a="1"/>
  <c r="H78" i="385" s="1"/>
  <c r="H74" i="385" a="1"/>
  <c r="H74" i="385" s="1"/>
  <c r="H72" i="385" a="1"/>
  <c r="H72" i="385" s="1"/>
  <c r="H68" i="385" a="1"/>
  <c r="H68" i="385" s="1"/>
  <c r="H66" i="385" a="1"/>
  <c r="H66" i="385" s="1"/>
  <c r="H64" i="385" a="1"/>
  <c r="H64" i="385" s="1"/>
  <c r="H62" i="385" a="1"/>
  <c r="H62" i="385" s="1"/>
  <c r="H60" i="385" a="1"/>
  <c r="H60" i="385" s="1"/>
  <c r="H58" i="385" a="1"/>
  <c r="H58" i="385" s="1"/>
  <c r="H56" i="385" a="1"/>
  <c r="H56" i="385" s="1"/>
  <c r="H54" i="385" a="1"/>
  <c r="H54" i="385" s="1"/>
  <c r="H52" i="385" a="1"/>
  <c r="H52" i="385" s="1"/>
  <c r="H48" i="385" a="1"/>
  <c r="H48" i="385" s="1"/>
  <c r="H41" i="385" a="1"/>
  <c r="H41" i="385" s="1"/>
  <c r="H39" i="385" a="1"/>
  <c r="H39" i="385" s="1"/>
  <c r="H37" i="385" a="1"/>
  <c r="H37" i="385" s="1"/>
  <c r="H35" i="385" a="1"/>
  <c r="H35" i="385" s="1"/>
  <c r="H33" i="385" a="1"/>
  <c r="H33" i="385" s="1"/>
  <c r="L160" i="385" a="1"/>
  <c r="L160" i="385" s="1"/>
  <c r="L158" i="385" a="1"/>
  <c r="L158" i="385" s="1"/>
  <c r="L156" i="385" a="1"/>
  <c r="L156" i="385" s="1"/>
  <c r="L149" i="385" a="1"/>
  <c r="L149" i="385" s="1"/>
  <c r="L147" i="385" a="1"/>
  <c r="L147" i="385" s="1"/>
  <c r="L145" i="385" a="1"/>
  <c r="L145" i="385" s="1"/>
  <c r="L143" i="385" a="1"/>
  <c r="L143" i="385" s="1"/>
  <c r="L139" i="385" a="1"/>
  <c r="L139" i="385" s="1"/>
  <c r="L135" i="385" a="1"/>
  <c r="L135" i="385" s="1"/>
  <c r="L133" i="385" a="1"/>
  <c r="L133" i="385" s="1"/>
  <c r="L131" i="385" a="1"/>
  <c r="L131" i="385" s="1"/>
  <c r="L129" i="385" a="1"/>
  <c r="L129" i="385" s="1"/>
  <c r="L127" i="385" a="1"/>
  <c r="L127" i="385" s="1"/>
  <c r="L125" i="385" a="1"/>
  <c r="L125" i="385" s="1"/>
  <c r="L123" i="385" a="1"/>
  <c r="L123" i="385" s="1"/>
  <c r="L121" i="385" a="1"/>
  <c r="L121" i="385" s="1"/>
  <c r="L166" i="385" a="1"/>
  <c r="L166" i="385" s="1"/>
  <c r="L159" i="385" a="1"/>
  <c r="L159" i="385" s="1"/>
  <c r="L157" i="385" a="1"/>
  <c r="L157" i="385" s="1"/>
  <c r="L155" i="385" a="1"/>
  <c r="L155" i="385" s="1"/>
  <c r="L150" i="385" a="1"/>
  <c r="L150" i="385" s="1"/>
  <c r="L148" i="385" a="1"/>
  <c r="L148" i="385" s="1"/>
  <c r="L144" i="385" a="1"/>
  <c r="L144" i="385" s="1"/>
  <c r="L142" i="385" a="1"/>
  <c r="L142" i="385" s="1"/>
  <c r="L140" i="385" a="1"/>
  <c r="L140" i="385" s="1"/>
  <c r="L138" i="385" a="1"/>
  <c r="L138" i="385" s="1"/>
  <c r="L136" i="385" a="1"/>
  <c r="L136" i="385" s="1"/>
  <c r="L132" i="385" a="1"/>
  <c r="L132" i="385" s="1"/>
  <c r="L130" i="385" a="1"/>
  <c r="L130" i="385" s="1"/>
  <c r="L128" i="385" a="1"/>
  <c r="L128" i="385" s="1"/>
  <c r="L124" i="385" a="1"/>
  <c r="L124" i="385" s="1"/>
  <c r="L122" i="385" a="1"/>
  <c r="L122" i="385" s="1"/>
  <c r="L120" i="385" a="1"/>
  <c r="L120" i="385" s="1"/>
  <c r="L118" i="385" a="1"/>
  <c r="L118" i="385" s="1"/>
  <c r="L116" i="385" a="1"/>
  <c r="L116" i="385" s="1"/>
  <c r="L114" i="385" a="1"/>
  <c r="L114" i="385" s="1"/>
  <c r="L112" i="385" a="1"/>
  <c r="L112" i="385" s="1"/>
  <c r="L110" i="385" a="1"/>
  <c r="L110" i="385" s="1"/>
  <c r="L106" i="385" a="1"/>
  <c r="L106" i="385" s="1"/>
  <c r="L104" i="385" a="1"/>
  <c r="L104" i="385" s="1"/>
  <c r="L100" i="385" a="1"/>
  <c r="L100" i="385" s="1"/>
  <c r="L98" i="385" a="1"/>
  <c r="L98" i="385" s="1"/>
  <c r="L96" i="385" a="1"/>
  <c r="L96" i="385" s="1"/>
  <c r="L94" i="385" a="1"/>
  <c r="L94" i="385" s="1"/>
  <c r="L92" i="385" a="1"/>
  <c r="L92" i="385" s="1"/>
  <c r="L90" i="385" a="1"/>
  <c r="L90" i="385" s="1"/>
  <c r="L88" i="385" a="1"/>
  <c r="L88" i="385" s="1"/>
  <c r="L22" i="385" a="1"/>
  <c r="L22" i="385" s="1"/>
  <c r="L18" i="385" a="1"/>
  <c r="L18" i="385" s="1"/>
  <c r="L16" i="385" a="1"/>
  <c r="L16" i="385" s="1"/>
  <c r="L14" i="385" a="1"/>
  <c r="L14" i="385" s="1"/>
  <c r="L79" i="385" a="1"/>
  <c r="L79" i="385" s="1"/>
  <c r="L75" i="385" a="1"/>
  <c r="L75" i="385" s="1"/>
  <c r="L73" i="385" a="1"/>
  <c r="L73" i="385" s="1"/>
  <c r="L71" i="385" a="1"/>
  <c r="L71" i="385" s="1"/>
  <c r="L69" i="385" a="1"/>
  <c r="L69" i="385" s="1"/>
  <c r="L67" i="385" a="1"/>
  <c r="L67" i="385" s="1"/>
  <c r="L63" i="385" a="1"/>
  <c r="L63" i="385" s="1"/>
  <c r="L61" i="385" a="1"/>
  <c r="L61" i="385" s="1"/>
  <c r="L59" i="385" a="1"/>
  <c r="L59" i="385" s="1"/>
  <c r="L57" i="385" a="1"/>
  <c r="L57" i="385" s="1"/>
  <c r="L55" i="385" a="1"/>
  <c r="L55" i="385" s="1"/>
  <c r="L53" i="385" a="1"/>
  <c r="L53" i="385" s="1"/>
  <c r="L51" i="385" a="1"/>
  <c r="L51" i="385" s="1"/>
  <c r="L49" i="385" a="1"/>
  <c r="L49" i="385" s="1"/>
  <c r="L42" i="385" a="1"/>
  <c r="L42" i="385" s="1"/>
  <c r="L40" i="385" a="1"/>
  <c r="L40" i="385" s="1"/>
  <c r="L38" i="385" a="1"/>
  <c r="L38" i="385" s="1"/>
  <c r="L115" i="385" a="1"/>
  <c r="L115" i="385" s="1"/>
  <c r="L113" i="385" a="1"/>
  <c r="L113" i="385" s="1"/>
  <c r="L111" i="385" a="1"/>
  <c r="L111" i="385" s="1"/>
  <c r="L109" i="385" a="1"/>
  <c r="L109" i="385" s="1"/>
  <c r="L107" i="385" a="1"/>
  <c r="L107" i="385" s="1"/>
  <c r="L105" i="385" a="1"/>
  <c r="L105" i="385" s="1"/>
  <c r="L103" i="385" a="1"/>
  <c r="L103" i="385" s="1"/>
  <c r="L101" i="385" a="1"/>
  <c r="L101" i="385" s="1"/>
  <c r="L95" i="385" a="1"/>
  <c r="L95" i="385" s="1"/>
  <c r="L93" i="385" a="1"/>
  <c r="L93" i="385" s="1"/>
  <c r="L91" i="385" a="1"/>
  <c r="L91" i="385" s="1"/>
  <c r="L87" i="385" a="1"/>
  <c r="L87" i="385" s="1"/>
  <c r="L21" i="385" a="1"/>
  <c r="L21" i="385" s="1"/>
  <c r="L19" i="385" a="1"/>
  <c r="L19" i="385" s="1"/>
  <c r="L15" i="385" a="1"/>
  <c r="L15" i="385" s="1"/>
  <c r="L119" i="385" a="1"/>
  <c r="L119" i="385" s="1"/>
  <c r="L78" i="385" a="1"/>
  <c r="L78" i="385" s="1"/>
  <c r="L74" i="385" a="1"/>
  <c r="L74" i="385" s="1"/>
  <c r="L72" i="385" a="1"/>
  <c r="L72" i="385" s="1"/>
  <c r="L68" i="385" a="1"/>
  <c r="L68" i="385" s="1"/>
  <c r="L66" i="385" a="1"/>
  <c r="L66" i="385" s="1"/>
  <c r="L64" i="385" a="1"/>
  <c r="L64" i="385" s="1"/>
  <c r="L62" i="385" a="1"/>
  <c r="L62" i="385" s="1"/>
  <c r="L60" i="385" a="1"/>
  <c r="L60" i="385" s="1"/>
  <c r="L58" i="385" a="1"/>
  <c r="L58" i="385" s="1"/>
  <c r="L56" i="385" a="1"/>
  <c r="L56" i="385" s="1"/>
  <c r="L54" i="385" a="1"/>
  <c r="L54" i="385" s="1"/>
  <c r="L52" i="385" a="1"/>
  <c r="L52" i="385" s="1"/>
  <c r="L48" i="385" a="1"/>
  <c r="L48" i="385" s="1"/>
  <c r="L41" i="385" a="1"/>
  <c r="L41" i="385" s="1"/>
  <c r="L39" i="385" a="1"/>
  <c r="L39" i="385" s="1"/>
  <c r="L37" i="385" a="1"/>
  <c r="L37" i="385" s="1"/>
  <c r="L35" i="385" a="1"/>
  <c r="L35" i="385" s="1"/>
  <c r="L33" i="385" a="1"/>
  <c r="L33" i="385" s="1"/>
  <c r="L31" i="385" a="1"/>
  <c r="L31" i="385" s="1"/>
  <c r="F31" i="385" a="1"/>
  <c r="F31" i="385" s="1"/>
  <c r="F30" i="385" s="1"/>
  <c r="D32" i="385" a="1"/>
  <c r="D32" i="385" s="1"/>
  <c r="L32" i="385" a="1"/>
  <c r="L32" i="385" s="1"/>
  <c r="G33" i="385" a="1"/>
  <c r="G33" i="385" s="1"/>
  <c r="O33" i="385" a="1"/>
  <c r="O33" i="385" s="1"/>
  <c r="K35" i="385" a="1"/>
  <c r="K35" i="385" s="1"/>
  <c r="F36" i="385" a="1"/>
  <c r="F36" i="385" s="1"/>
  <c r="N36" i="385" a="1"/>
  <c r="N36" i="385" s="1"/>
  <c r="E159" i="385" a="1"/>
  <c r="E159" i="385" s="1"/>
  <c r="E157" i="385" a="1"/>
  <c r="E157" i="385" s="1"/>
  <c r="E155" i="385" a="1"/>
  <c r="E155" i="385" s="1"/>
  <c r="E150" i="385" a="1"/>
  <c r="E150" i="385" s="1"/>
  <c r="E148" i="385" a="1"/>
  <c r="E148" i="385" s="1"/>
  <c r="E144" i="385" a="1"/>
  <c r="E144" i="385" s="1"/>
  <c r="E142" i="385" a="1"/>
  <c r="E142" i="385" s="1"/>
  <c r="E140" i="385" a="1"/>
  <c r="E140" i="385" s="1"/>
  <c r="E138" i="385" a="1"/>
  <c r="E138" i="385" s="1"/>
  <c r="E136" i="385" a="1"/>
  <c r="E136" i="385" s="1"/>
  <c r="E132" i="385" a="1"/>
  <c r="E132" i="385" s="1"/>
  <c r="E130" i="385" a="1"/>
  <c r="E130" i="385" s="1"/>
  <c r="E128" i="385" a="1"/>
  <c r="E128" i="385" s="1"/>
  <c r="E124" i="385" a="1"/>
  <c r="E124" i="385" s="1"/>
  <c r="E122" i="385" a="1"/>
  <c r="E122" i="385" s="1"/>
  <c r="E160" i="385" a="1"/>
  <c r="E160" i="385" s="1"/>
  <c r="E158" i="385" a="1"/>
  <c r="E158" i="385" s="1"/>
  <c r="E156" i="385" a="1"/>
  <c r="E156" i="385" s="1"/>
  <c r="E149" i="385" a="1"/>
  <c r="E149" i="385" s="1"/>
  <c r="E147" i="385" a="1"/>
  <c r="E147" i="385" s="1"/>
  <c r="E145" i="385" a="1"/>
  <c r="E145" i="385" s="1"/>
  <c r="E143" i="385" a="1"/>
  <c r="E143" i="385" s="1"/>
  <c r="E139" i="385" a="1"/>
  <c r="E139" i="385" s="1"/>
  <c r="E135" i="385" a="1"/>
  <c r="E135" i="385" s="1"/>
  <c r="E133" i="385" a="1"/>
  <c r="E133" i="385" s="1"/>
  <c r="E131" i="385" a="1"/>
  <c r="E131" i="385" s="1"/>
  <c r="E129" i="385" a="1"/>
  <c r="E129" i="385" s="1"/>
  <c r="E127" i="385" a="1"/>
  <c r="E127" i="385" s="1"/>
  <c r="E125" i="385" a="1"/>
  <c r="E125" i="385" s="1"/>
  <c r="E123" i="385" a="1"/>
  <c r="E123" i="385" s="1"/>
  <c r="E121" i="385" a="1"/>
  <c r="E121" i="385" s="1"/>
  <c r="E166" i="385" a="1"/>
  <c r="E166" i="385" s="1"/>
  <c r="E119" i="385" a="1"/>
  <c r="E119" i="385" s="1"/>
  <c r="E115" i="385" a="1"/>
  <c r="E115" i="385" s="1"/>
  <c r="E113" i="385" a="1"/>
  <c r="E113" i="385" s="1"/>
  <c r="E111" i="385" a="1"/>
  <c r="E111" i="385" s="1"/>
  <c r="E109" i="385" a="1"/>
  <c r="E109" i="385" s="1"/>
  <c r="E107" i="385" a="1"/>
  <c r="E107" i="385" s="1"/>
  <c r="E105" i="385" a="1"/>
  <c r="E105" i="385" s="1"/>
  <c r="E103" i="385" a="1"/>
  <c r="E103" i="385" s="1"/>
  <c r="E101" i="385" a="1"/>
  <c r="E101" i="385" s="1"/>
  <c r="E95" i="385" a="1"/>
  <c r="E95" i="385" s="1"/>
  <c r="E93" i="385" a="1"/>
  <c r="E93" i="385" s="1"/>
  <c r="E91" i="385" a="1"/>
  <c r="E91" i="385" s="1"/>
  <c r="E87" i="385" a="1"/>
  <c r="E87" i="385" s="1"/>
  <c r="E21" i="385" a="1"/>
  <c r="E21" i="385" s="1"/>
  <c r="E19" i="385" a="1"/>
  <c r="E19" i="385" s="1"/>
  <c r="E15" i="385" a="1"/>
  <c r="E15" i="385" s="1"/>
  <c r="E78" i="385" a="1"/>
  <c r="E78" i="385" s="1"/>
  <c r="E74" i="385" a="1"/>
  <c r="E74" i="385" s="1"/>
  <c r="E72" i="385" a="1"/>
  <c r="E72" i="385" s="1"/>
  <c r="E68" i="385" a="1"/>
  <c r="E68" i="385" s="1"/>
  <c r="E66" i="385" a="1"/>
  <c r="E66" i="385" s="1"/>
  <c r="E64" i="385" a="1"/>
  <c r="E64" i="385" s="1"/>
  <c r="E62" i="385" a="1"/>
  <c r="E62" i="385" s="1"/>
  <c r="E60" i="385" a="1"/>
  <c r="E60" i="385" s="1"/>
  <c r="E58" i="385" a="1"/>
  <c r="E58" i="385" s="1"/>
  <c r="E56" i="385" a="1"/>
  <c r="E56" i="385" s="1"/>
  <c r="E54" i="385" a="1"/>
  <c r="E54" i="385" s="1"/>
  <c r="E52" i="385" a="1"/>
  <c r="E52" i="385" s="1"/>
  <c r="E48" i="385" a="1"/>
  <c r="E48" i="385" s="1"/>
  <c r="E41" i="385" a="1"/>
  <c r="E41" i="385" s="1"/>
  <c r="E39" i="385" a="1"/>
  <c r="E39" i="385" s="1"/>
  <c r="E37" i="385" a="1"/>
  <c r="E37" i="385" s="1"/>
  <c r="E120" i="385" a="1"/>
  <c r="E120" i="385" s="1"/>
  <c r="E118" i="385" a="1"/>
  <c r="E118" i="385" s="1"/>
  <c r="E116" i="385" a="1"/>
  <c r="E116" i="385" s="1"/>
  <c r="E114" i="385" a="1"/>
  <c r="E114" i="385" s="1"/>
  <c r="E112" i="385" a="1"/>
  <c r="E112" i="385" s="1"/>
  <c r="E110" i="385" a="1"/>
  <c r="E110" i="385" s="1"/>
  <c r="E106" i="385" a="1"/>
  <c r="E106" i="385" s="1"/>
  <c r="E104" i="385" a="1"/>
  <c r="E104" i="385" s="1"/>
  <c r="E100" i="385" a="1"/>
  <c r="E100" i="385" s="1"/>
  <c r="E98" i="385" a="1"/>
  <c r="E98" i="385" s="1"/>
  <c r="E96" i="385" a="1"/>
  <c r="E96" i="385" s="1"/>
  <c r="E94" i="385" a="1"/>
  <c r="E94" i="385" s="1"/>
  <c r="E92" i="385" a="1"/>
  <c r="E92" i="385" s="1"/>
  <c r="E90" i="385" a="1"/>
  <c r="E90" i="385" s="1"/>
  <c r="E88" i="385" a="1"/>
  <c r="E88" i="385" s="1"/>
  <c r="E22" i="385" a="1"/>
  <c r="E22" i="385" s="1"/>
  <c r="E18" i="385" a="1"/>
  <c r="E18" i="385" s="1"/>
  <c r="E16" i="385" a="1"/>
  <c r="E16" i="385" s="1"/>
  <c r="E79" i="385" a="1"/>
  <c r="E79" i="385" s="1"/>
  <c r="E75" i="385" a="1"/>
  <c r="E75" i="385" s="1"/>
  <c r="E73" i="385" a="1"/>
  <c r="E73" i="385" s="1"/>
  <c r="E71" i="385" a="1"/>
  <c r="E71" i="385" s="1"/>
  <c r="E69" i="385" a="1"/>
  <c r="E69" i="385" s="1"/>
  <c r="E67" i="385" a="1"/>
  <c r="E67" i="385" s="1"/>
  <c r="E63" i="385" a="1"/>
  <c r="E63" i="385" s="1"/>
  <c r="E61" i="385" a="1"/>
  <c r="E61" i="385" s="1"/>
  <c r="E59" i="385" a="1"/>
  <c r="E59" i="385" s="1"/>
  <c r="E57" i="385" a="1"/>
  <c r="E57" i="385" s="1"/>
  <c r="E55" i="385" a="1"/>
  <c r="E55" i="385" s="1"/>
  <c r="E53" i="385" a="1"/>
  <c r="E53" i="385" s="1"/>
  <c r="E51" i="385" a="1"/>
  <c r="E51" i="385" s="1"/>
  <c r="E49" i="385" a="1"/>
  <c r="E49" i="385" s="1"/>
  <c r="E42" i="385" a="1"/>
  <c r="E42" i="385" s="1"/>
  <c r="E40" i="385" a="1"/>
  <c r="E40" i="385" s="1"/>
  <c r="E38" i="385" a="1"/>
  <c r="E38" i="385" s="1"/>
  <c r="E36" i="385" a="1"/>
  <c r="E36" i="385" s="1"/>
  <c r="E32" i="385" a="1"/>
  <c r="E32" i="385" s="1"/>
  <c r="I159" i="385" a="1"/>
  <c r="I159" i="385" s="1"/>
  <c r="I157" i="385" a="1"/>
  <c r="I157" i="385" s="1"/>
  <c r="I155" i="385" a="1"/>
  <c r="I155" i="385" s="1"/>
  <c r="I150" i="385" a="1"/>
  <c r="I150" i="385" s="1"/>
  <c r="I148" i="385" a="1"/>
  <c r="I148" i="385" s="1"/>
  <c r="I144" i="385" a="1"/>
  <c r="I144" i="385" s="1"/>
  <c r="I142" i="385" a="1"/>
  <c r="I142" i="385" s="1"/>
  <c r="I140" i="385" a="1"/>
  <c r="I140" i="385" s="1"/>
  <c r="I138" i="385" a="1"/>
  <c r="I138" i="385" s="1"/>
  <c r="I136" i="385" a="1"/>
  <c r="I136" i="385" s="1"/>
  <c r="I132" i="385" a="1"/>
  <c r="I132" i="385" s="1"/>
  <c r="I130" i="385" a="1"/>
  <c r="I130" i="385" s="1"/>
  <c r="I128" i="385" a="1"/>
  <c r="I128" i="385" s="1"/>
  <c r="I124" i="385" a="1"/>
  <c r="I124" i="385" s="1"/>
  <c r="I122" i="385" a="1"/>
  <c r="I122" i="385" s="1"/>
  <c r="I160" i="385" a="1"/>
  <c r="I160" i="385" s="1"/>
  <c r="I158" i="385" a="1"/>
  <c r="I158" i="385" s="1"/>
  <c r="I156" i="385" a="1"/>
  <c r="I156" i="385" s="1"/>
  <c r="I149" i="385" a="1"/>
  <c r="I149" i="385" s="1"/>
  <c r="I147" i="385" a="1"/>
  <c r="I147" i="385" s="1"/>
  <c r="I145" i="385" a="1"/>
  <c r="I145" i="385" s="1"/>
  <c r="I143" i="385" a="1"/>
  <c r="I143" i="385" s="1"/>
  <c r="I139" i="385" a="1"/>
  <c r="I139" i="385" s="1"/>
  <c r="I135" i="385" a="1"/>
  <c r="I135" i="385" s="1"/>
  <c r="I133" i="385" a="1"/>
  <c r="I133" i="385" s="1"/>
  <c r="I131" i="385" a="1"/>
  <c r="I131" i="385" s="1"/>
  <c r="I129" i="385" a="1"/>
  <c r="I129" i="385" s="1"/>
  <c r="I127" i="385" a="1"/>
  <c r="I127" i="385" s="1"/>
  <c r="I125" i="385" a="1"/>
  <c r="I125" i="385" s="1"/>
  <c r="I123" i="385" a="1"/>
  <c r="I123" i="385" s="1"/>
  <c r="I121" i="385" a="1"/>
  <c r="I121" i="385" s="1"/>
  <c r="I166" i="385" a="1"/>
  <c r="I166" i="385" s="1"/>
  <c r="I120" i="385" a="1"/>
  <c r="I120" i="385" s="1"/>
  <c r="I119" i="385" a="1"/>
  <c r="I119" i="385" s="1"/>
  <c r="I115" i="385" a="1"/>
  <c r="I115" i="385" s="1"/>
  <c r="I113" i="385" a="1"/>
  <c r="I113" i="385" s="1"/>
  <c r="I111" i="385" a="1"/>
  <c r="I111" i="385" s="1"/>
  <c r="I109" i="385" a="1"/>
  <c r="I109" i="385" s="1"/>
  <c r="I107" i="385" a="1"/>
  <c r="I107" i="385" s="1"/>
  <c r="I105" i="385" a="1"/>
  <c r="I105" i="385" s="1"/>
  <c r="I103" i="385" a="1"/>
  <c r="I103" i="385" s="1"/>
  <c r="I101" i="385" a="1"/>
  <c r="I101" i="385" s="1"/>
  <c r="I95" i="385" a="1"/>
  <c r="I95" i="385" s="1"/>
  <c r="I93" i="385" a="1"/>
  <c r="I93" i="385" s="1"/>
  <c r="I91" i="385" a="1"/>
  <c r="I91" i="385" s="1"/>
  <c r="I87" i="385" a="1"/>
  <c r="I87" i="385" s="1"/>
  <c r="I21" i="385" a="1"/>
  <c r="I21" i="385" s="1"/>
  <c r="I19" i="385" a="1"/>
  <c r="I19" i="385" s="1"/>
  <c r="I15" i="385" a="1"/>
  <c r="I15" i="385" s="1"/>
  <c r="I78" i="385" a="1"/>
  <c r="I78" i="385" s="1"/>
  <c r="I74" i="385" a="1"/>
  <c r="I74" i="385" s="1"/>
  <c r="I72" i="385" a="1"/>
  <c r="I72" i="385" s="1"/>
  <c r="I68" i="385" a="1"/>
  <c r="I68" i="385" s="1"/>
  <c r="I66" i="385" a="1"/>
  <c r="I66" i="385" s="1"/>
  <c r="I64" i="385" a="1"/>
  <c r="I64" i="385" s="1"/>
  <c r="I62" i="385" a="1"/>
  <c r="I62" i="385" s="1"/>
  <c r="I60" i="385" a="1"/>
  <c r="I60" i="385" s="1"/>
  <c r="I58" i="385" a="1"/>
  <c r="I58" i="385" s="1"/>
  <c r="I56" i="385" a="1"/>
  <c r="I56" i="385" s="1"/>
  <c r="I54" i="385" a="1"/>
  <c r="I54" i="385" s="1"/>
  <c r="I52" i="385" a="1"/>
  <c r="I52" i="385" s="1"/>
  <c r="I48" i="385" a="1"/>
  <c r="I48" i="385" s="1"/>
  <c r="I41" i="385" a="1"/>
  <c r="I41" i="385" s="1"/>
  <c r="I39" i="385" a="1"/>
  <c r="I39" i="385" s="1"/>
  <c r="I35" i="385" a="1"/>
  <c r="I35" i="385" s="1"/>
  <c r="I36" i="385" a="1"/>
  <c r="I36" i="385" s="1"/>
  <c r="I37" i="385" a="1"/>
  <c r="I37" i="385" s="1"/>
  <c r="I38" i="385" a="1"/>
  <c r="I38" i="385" s="1"/>
  <c r="I40" i="385" a="1"/>
  <c r="I40" i="385" s="1"/>
  <c r="I31" i="385" a="1"/>
  <c r="I31" i="385" s="1"/>
  <c r="I32" i="385" a="1"/>
  <c r="I32" i="385" s="1"/>
  <c r="I33" i="385" a="1"/>
  <c r="I33" i="385" s="1"/>
  <c r="I118" i="385" a="1"/>
  <c r="I118" i="385" s="1"/>
  <c r="I116" i="385" a="1"/>
  <c r="I116" i="385" s="1"/>
  <c r="I114" i="385" a="1"/>
  <c r="I114" i="385" s="1"/>
  <c r="I112" i="385" a="1"/>
  <c r="I112" i="385" s="1"/>
  <c r="I110" i="385" a="1"/>
  <c r="I110" i="385" s="1"/>
  <c r="I106" i="385" a="1"/>
  <c r="I106" i="385" s="1"/>
  <c r="I104" i="385" a="1"/>
  <c r="I104" i="385" s="1"/>
  <c r="I100" i="385" a="1"/>
  <c r="I100" i="385" s="1"/>
  <c r="I98" i="385" a="1"/>
  <c r="I98" i="385" s="1"/>
  <c r="I96" i="385" a="1"/>
  <c r="I96" i="385" s="1"/>
  <c r="I94" i="385" a="1"/>
  <c r="I94" i="385" s="1"/>
  <c r="I92" i="385" a="1"/>
  <c r="I92" i="385" s="1"/>
  <c r="I90" i="385" a="1"/>
  <c r="I90" i="385" s="1"/>
  <c r="I88" i="385" a="1"/>
  <c r="I88" i="385" s="1"/>
  <c r="I22" i="385" a="1"/>
  <c r="I22" i="385" s="1"/>
  <c r="I18" i="385" a="1"/>
  <c r="I18" i="385" s="1"/>
  <c r="I16" i="385" a="1"/>
  <c r="I16" i="385" s="1"/>
  <c r="I79" i="385" a="1"/>
  <c r="I79" i="385" s="1"/>
  <c r="I75" i="385" a="1"/>
  <c r="I75" i="385" s="1"/>
  <c r="I73" i="385" a="1"/>
  <c r="I73" i="385" s="1"/>
  <c r="I71" i="385" a="1"/>
  <c r="I71" i="385" s="1"/>
  <c r="I69" i="385" a="1"/>
  <c r="I69" i="385" s="1"/>
  <c r="I67" i="385" a="1"/>
  <c r="I67" i="385" s="1"/>
  <c r="I63" i="385" a="1"/>
  <c r="I63" i="385" s="1"/>
  <c r="I61" i="385" a="1"/>
  <c r="I61" i="385" s="1"/>
  <c r="I59" i="385" a="1"/>
  <c r="I59" i="385" s="1"/>
  <c r="I57" i="385" a="1"/>
  <c r="I57" i="385" s="1"/>
  <c r="I55" i="385" a="1"/>
  <c r="I55" i="385" s="1"/>
  <c r="I53" i="385" a="1"/>
  <c r="I53" i="385" s="1"/>
  <c r="I51" i="385" a="1"/>
  <c r="I51" i="385" s="1"/>
  <c r="I49" i="385" a="1"/>
  <c r="I49" i="385" s="1"/>
  <c r="I42" i="385" a="1"/>
  <c r="I42" i="385" s="1"/>
  <c r="M159" i="385" a="1"/>
  <c r="M159" i="385" s="1"/>
  <c r="M157" i="385" a="1"/>
  <c r="M157" i="385" s="1"/>
  <c r="M155" i="385" a="1"/>
  <c r="M155" i="385" s="1"/>
  <c r="M150" i="385" a="1"/>
  <c r="M150" i="385" s="1"/>
  <c r="M148" i="385" a="1"/>
  <c r="M148" i="385" s="1"/>
  <c r="M144" i="385" a="1"/>
  <c r="M144" i="385" s="1"/>
  <c r="M142" i="385" a="1"/>
  <c r="M142" i="385" s="1"/>
  <c r="M140" i="385" a="1"/>
  <c r="M140" i="385" s="1"/>
  <c r="M138" i="385" a="1"/>
  <c r="M138" i="385" s="1"/>
  <c r="M136" i="385" a="1"/>
  <c r="M136" i="385" s="1"/>
  <c r="M132" i="385" a="1"/>
  <c r="M132" i="385" s="1"/>
  <c r="M130" i="385" a="1"/>
  <c r="M130" i="385" s="1"/>
  <c r="M128" i="385" a="1"/>
  <c r="M128" i="385" s="1"/>
  <c r="M124" i="385" a="1"/>
  <c r="M124" i="385" s="1"/>
  <c r="M122" i="385" a="1"/>
  <c r="M122" i="385" s="1"/>
  <c r="M120" i="385" a="1"/>
  <c r="M120" i="385" s="1"/>
  <c r="M160" i="385" a="1"/>
  <c r="M160" i="385" s="1"/>
  <c r="M158" i="385" a="1"/>
  <c r="M158" i="385" s="1"/>
  <c r="M156" i="385" a="1"/>
  <c r="M156" i="385" s="1"/>
  <c r="M149" i="385" a="1"/>
  <c r="M149" i="385" s="1"/>
  <c r="M147" i="385" a="1"/>
  <c r="M147" i="385" s="1"/>
  <c r="M145" i="385" a="1"/>
  <c r="M145" i="385" s="1"/>
  <c r="M143" i="385" a="1"/>
  <c r="M143" i="385" s="1"/>
  <c r="M139" i="385" a="1"/>
  <c r="M139" i="385" s="1"/>
  <c r="M135" i="385" a="1"/>
  <c r="M135" i="385" s="1"/>
  <c r="M133" i="385" a="1"/>
  <c r="M133" i="385" s="1"/>
  <c r="M131" i="385" a="1"/>
  <c r="M131" i="385" s="1"/>
  <c r="M129" i="385" a="1"/>
  <c r="M129" i="385" s="1"/>
  <c r="M127" i="385" a="1"/>
  <c r="M127" i="385" s="1"/>
  <c r="M125" i="385" a="1"/>
  <c r="M125" i="385" s="1"/>
  <c r="M123" i="385" a="1"/>
  <c r="M123" i="385" s="1"/>
  <c r="M121" i="385" a="1"/>
  <c r="M121" i="385" s="1"/>
  <c r="M119" i="385" a="1"/>
  <c r="M119" i="385" s="1"/>
  <c r="M115" i="385" a="1"/>
  <c r="M115" i="385" s="1"/>
  <c r="M113" i="385" a="1"/>
  <c r="M113" i="385" s="1"/>
  <c r="M111" i="385" a="1"/>
  <c r="M111" i="385" s="1"/>
  <c r="M109" i="385" a="1"/>
  <c r="M109" i="385" s="1"/>
  <c r="M107" i="385" a="1"/>
  <c r="M107" i="385" s="1"/>
  <c r="M105" i="385" a="1"/>
  <c r="M105" i="385" s="1"/>
  <c r="M103" i="385" a="1"/>
  <c r="M103" i="385" s="1"/>
  <c r="M101" i="385" a="1"/>
  <c r="M101" i="385" s="1"/>
  <c r="M95" i="385" a="1"/>
  <c r="M95" i="385" s="1"/>
  <c r="M93" i="385" a="1"/>
  <c r="M93" i="385" s="1"/>
  <c r="M91" i="385" a="1"/>
  <c r="M91" i="385" s="1"/>
  <c r="M87" i="385" a="1"/>
  <c r="M87" i="385" s="1"/>
  <c r="M21" i="385" a="1"/>
  <c r="M21" i="385" s="1"/>
  <c r="M19" i="385" a="1"/>
  <c r="M19" i="385" s="1"/>
  <c r="M15" i="385" a="1"/>
  <c r="M15" i="385" s="1"/>
  <c r="M166" i="385" a="1"/>
  <c r="M166" i="385" s="1"/>
  <c r="M78" i="385" a="1"/>
  <c r="M78" i="385" s="1"/>
  <c r="M74" i="385" a="1"/>
  <c r="M74" i="385" s="1"/>
  <c r="M72" i="385" a="1"/>
  <c r="M72" i="385" s="1"/>
  <c r="M68" i="385" a="1"/>
  <c r="M68" i="385" s="1"/>
  <c r="M66" i="385" a="1"/>
  <c r="M66" i="385" s="1"/>
  <c r="M64" i="385" a="1"/>
  <c r="M64" i="385" s="1"/>
  <c r="M62" i="385" a="1"/>
  <c r="M62" i="385" s="1"/>
  <c r="M60" i="385" a="1"/>
  <c r="M60" i="385" s="1"/>
  <c r="M58" i="385" a="1"/>
  <c r="M58" i="385" s="1"/>
  <c r="M56" i="385" a="1"/>
  <c r="M56" i="385" s="1"/>
  <c r="M54" i="385" a="1"/>
  <c r="M54" i="385" s="1"/>
  <c r="M52" i="385" a="1"/>
  <c r="M52" i="385" s="1"/>
  <c r="M48" i="385" a="1"/>
  <c r="M48" i="385" s="1"/>
  <c r="M41" i="385" a="1"/>
  <c r="M41" i="385" s="1"/>
  <c r="M39" i="385" a="1"/>
  <c r="M39" i="385" s="1"/>
  <c r="M37" i="385" a="1"/>
  <c r="M37" i="385" s="1"/>
  <c r="M118" i="385" a="1"/>
  <c r="M118" i="385" s="1"/>
  <c r="M116" i="385" a="1"/>
  <c r="M116" i="385" s="1"/>
  <c r="M114" i="385" a="1"/>
  <c r="M114" i="385" s="1"/>
  <c r="M112" i="385" a="1"/>
  <c r="M112" i="385" s="1"/>
  <c r="M110" i="385" a="1"/>
  <c r="M110" i="385" s="1"/>
  <c r="M106" i="385" a="1"/>
  <c r="M106" i="385" s="1"/>
  <c r="M104" i="385" a="1"/>
  <c r="M104" i="385" s="1"/>
  <c r="M100" i="385" a="1"/>
  <c r="M100" i="385" s="1"/>
  <c r="M98" i="385" a="1"/>
  <c r="M98" i="385" s="1"/>
  <c r="M96" i="385" a="1"/>
  <c r="M96" i="385" s="1"/>
  <c r="M94" i="385" a="1"/>
  <c r="M94" i="385" s="1"/>
  <c r="M92" i="385" a="1"/>
  <c r="M92" i="385" s="1"/>
  <c r="M90" i="385" a="1"/>
  <c r="M90" i="385" s="1"/>
  <c r="M88" i="385" a="1"/>
  <c r="M88" i="385" s="1"/>
  <c r="M22" i="385" a="1"/>
  <c r="M22" i="385" s="1"/>
  <c r="M18" i="385" a="1"/>
  <c r="M18" i="385" s="1"/>
  <c r="M16" i="385" a="1"/>
  <c r="M16" i="385" s="1"/>
  <c r="M14" i="385" a="1"/>
  <c r="M14" i="385" s="1"/>
  <c r="M79" i="385" a="1"/>
  <c r="M79" i="385" s="1"/>
  <c r="M75" i="385" a="1"/>
  <c r="M75" i="385" s="1"/>
  <c r="M73" i="385" a="1"/>
  <c r="M73" i="385" s="1"/>
  <c r="M71" i="385" a="1"/>
  <c r="M71" i="385" s="1"/>
  <c r="M69" i="385" a="1"/>
  <c r="M69" i="385" s="1"/>
  <c r="M67" i="385" a="1"/>
  <c r="M67" i="385" s="1"/>
  <c r="M63" i="385" a="1"/>
  <c r="M63" i="385" s="1"/>
  <c r="M61" i="385" a="1"/>
  <c r="M61" i="385" s="1"/>
  <c r="M59" i="385" a="1"/>
  <c r="M59" i="385" s="1"/>
  <c r="M57" i="385" a="1"/>
  <c r="M57" i="385" s="1"/>
  <c r="M55" i="385" a="1"/>
  <c r="M55" i="385" s="1"/>
  <c r="M53" i="385" a="1"/>
  <c r="M53" i="385" s="1"/>
  <c r="M51" i="385" a="1"/>
  <c r="M51" i="385" s="1"/>
  <c r="M49" i="385" a="1"/>
  <c r="M49" i="385" s="1"/>
  <c r="M42" i="385" a="1"/>
  <c r="M42" i="385" s="1"/>
  <c r="M40" i="385" a="1"/>
  <c r="M40" i="385" s="1"/>
  <c r="M38" i="385" a="1"/>
  <c r="M38" i="385" s="1"/>
  <c r="M36" i="385" a="1"/>
  <c r="M36" i="385" s="1"/>
  <c r="M32" i="385" a="1"/>
  <c r="M32" i="385" s="1"/>
  <c r="E12" i="385" a="1"/>
  <c r="E12" i="385" s="1"/>
  <c r="G12" i="385" a="1"/>
  <c r="G12" i="385" s="1"/>
  <c r="I12" i="385" a="1"/>
  <c r="I12" i="385" s="1"/>
  <c r="K12" i="385" a="1"/>
  <c r="K12" i="385" s="1"/>
  <c r="M12" i="385" a="1"/>
  <c r="M12" i="385" s="1"/>
  <c r="O12" i="385" a="1"/>
  <c r="O12" i="385" s="1"/>
  <c r="E14" i="385" a="1"/>
  <c r="E14" i="385" s="1"/>
  <c r="G14" i="385" a="1"/>
  <c r="G14" i="385" s="1"/>
  <c r="I14" i="385" a="1"/>
  <c r="I14" i="385" s="1"/>
  <c r="G31" i="385" a="1"/>
  <c r="G31" i="385" s="1"/>
  <c r="K31" i="385" a="1"/>
  <c r="K31" i="385" s="1"/>
  <c r="E35" i="385" a="1"/>
  <c r="E35" i="385" s="1"/>
  <c r="M35" i="385" a="1"/>
  <c r="M35" i="385" s="1"/>
  <c r="H36" i="385" a="1"/>
  <c r="H36" i="385" s="1"/>
  <c r="F160" i="385" a="1"/>
  <c r="F160" i="385" s="1"/>
  <c r="F158" i="385" a="1"/>
  <c r="F158" i="385" s="1"/>
  <c r="F156" i="385" a="1"/>
  <c r="F156" i="385" s="1"/>
  <c r="F149" i="385" a="1"/>
  <c r="F149" i="385" s="1"/>
  <c r="F147" i="385" a="1"/>
  <c r="F147" i="385" s="1"/>
  <c r="F145" i="385" a="1"/>
  <c r="F145" i="385" s="1"/>
  <c r="F143" i="385" a="1"/>
  <c r="F143" i="385" s="1"/>
  <c r="F139" i="385" a="1"/>
  <c r="F139" i="385" s="1"/>
  <c r="F135" i="385" a="1"/>
  <c r="F135" i="385" s="1"/>
  <c r="F133" i="385" a="1"/>
  <c r="F133" i="385" s="1"/>
  <c r="F131" i="385" a="1"/>
  <c r="F131" i="385" s="1"/>
  <c r="F129" i="385" a="1"/>
  <c r="F129" i="385" s="1"/>
  <c r="F127" i="385" a="1"/>
  <c r="F127" i="385" s="1"/>
  <c r="F125" i="385" a="1"/>
  <c r="F125" i="385" s="1"/>
  <c r="F123" i="385" a="1"/>
  <c r="F123" i="385" s="1"/>
  <c r="F121" i="385" a="1"/>
  <c r="F121" i="385" s="1"/>
  <c r="F159" i="385" a="1"/>
  <c r="F159" i="385" s="1"/>
  <c r="F157" i="385" a="1"/>
  <c r="F157" i="385" s="1"/>
  <c r="F155" i="385" a="1"/>
  <c r="F155" i="385" s="1"/>
  <c r="F150" i="385" a="1"/>
  <c r="F150" i="385" s="1"/>
  <c r="F148" i="385" a="1"/>
  <c r="F148" i="385" s="1"/>
  <c r="F144" i="385" a="1"/>
  <c r="F144" i="385" s="1"/>
  <c r="F142" i="385" a="1"/>
  <c r="F142" i="385" s="1"/>
  <c r="F140" i="385" a="1"/>
  <c r="F140" i="385" s="1"/>
  <c r="F138" i="385" a="1"/>
  <c r="F138" i="385" s="1"/>
  <c r="F136" i="385" a="1"/>
  <c r="F136" i="385" s="1"/>
  <c r="F132" i="385" a="1"/>
  <c r="F132" i="385" s="1"/>
  <c r="F130" i="385" a="1"/>
  <c r="F130" i="385" s="1"/>
  <c r="F128" i="385" a="1"/>
  <c r="F128" i="385" s="1"/>
  <c r="F124" i="385" a="1"/>
  <c r="F124" i="385" s="1"/>
  <c r="F122" i="385" a="1"/>
  <c r="F122" i="385" s="1"/>
  <c r="F120" i="385" a="1"/>
  <c r="F120" i="385" s="1"/>
  <c r="F118" i="385" a="1"/>
  <c r="F118" i="385" s="1"/>
  <c r="F116" i="385" a="1"/>
  <c r="F116" i="385" s="1"/>
  <c r="F114" i="385" a="1"/>
  <c r="F114" i="385" s="1"/>
  <c r="F112" i="385" a="1"/>
  <c r="F112" i="385" s="1"/>
  <c r="F110" i="385" a="1"/>
  <c r="F110" i="385" s="1"/>
  <c r="F106" i="385" a="1"/>
  <c r="F106" i="385" s="1"/>
  <c r="G106" i="385" a="1"/>
  <c r="G106" i="385" s="1"/>
  <c r="J106" i="385" a="1"/>
  <c r="J106" i="385" s="1"/>
  <c r="K106" i="385" a="1"/>
  <c r="K106" i="385" s="1"/>
  <c r="N106" i="385" a="1"/>
  <c r="N106" i="385" s="1"/>
  <c r="O106" i="385" a="1"/>
  <c r="O106" i="385" s="1"/>
  <c r="F104" i="385" a="1"/>
  <c r="F104" i="385" s="1"/>
  <c r="F100" i="385" a="1"/>
  <c r="F100" i="385" s="1"/>
  <c r="F98" i="385" a="1"/>
  <c r="F98" i="385" s="1"/>
  <c r="F96" i="385" a="1"/>
  <c r="F96" i="385" s="1"/>
  <c r="F94" i="385" a="1"/>
  <c r="F94" i="385" s="1"/>
  <c r="F92" i="385" a="1"/>
  <c r="F92" i="385" s="1"/>
  <c r="F90" i="385" a="1"/>
  <c r="F90" i="385" s="1"/>
  <c r="F88" i="385" a="1"/>
  <c r="F88" i="385" s="1"/>
  <c r="F22" i="385" a="1"/>
  <c r="F22" i="385" s="1"/>
  <c r="F18" i="385" a="1"/>
  <c r="F18" i="385" s="1"/>
  <c r="F16" i="385" a="1"/>
  <c r="F16" i="385" s="1"/>
  <c r="F79" i="385" a="1"/>
  <c r="F79" i="385" s="1"/>
  <c r="F75" i="385" a="1"/>
  <c r="F75" i="385" s="1"/>
  <c r="F73" i="385" a="1"/>
  <c r="F73" i="385" s="1"/>
  <c r="F71" i="385" a="1"/>
  <c r="F71" i="385" s="1"/>
  <c r="F69" i="385" a="1"/>
  <c r="F69" i="385" s="1"/>
  <c r="F67" i="385" a="1"/>
  <c r="F67" i="385" s="1"/>
  <c r="F63" i="385" a="1"/>
  <c r="F63" i="385" s="1"/>
  <c r="F61" i="385" a="1"/>
  <c r="F61" i="385" s="1"/>
  <c r="F59" i="385" a="1"/>
  <c r="F59" i="385" s="1"/>
  <c r="F57" i="385" a="1"/>
  <c r="F57" i="385" s="1"/>
  <c r="F55" i="385" a="1"/>
  <c r="F55" i="385" s="1"/>
  <c r="F53" i="385" a="1"/>
  <c r="F53" i="385" s="1"/>
  <c r="F51" i="385" a="1"/>
  <c r="F51" i="385" s="1"/>
  <c r="F49" i="385" a="1"/>
  <c r="F49" i="385" s="1"/>
  <c r="F42" i="385" a="1"/>
  <c r="F42" i="385" s="1"/>
  <c r="F40" i="385" a="1"/>
  <c r="F40" i="385" s="1"/>
  <c r="F38" i="385" a="1"/>
  <c r="F38" i="385" s="1"/>
  <c r="F119" i="385" a="1"/>
  <c r="F119" i="385" s="1"/>
  <c r="F115" i="385" a="1"/>
  <c r="F115" i="385" s="1"/>
  <c r="F113" i="385" a="1"/>
  <c r="F113" i="385" s="1"/>
  <c r="F111" i="385" a="1"/>
  <c r="F111" i="385" s="1"/>
  <c r="F109" i="385" a="1"/>
  <c r="F109" i="385" s="1"/>
  <c r="F107" i="385" a="1"/>
  <c r="F107" i="385" s="1"/>
  <c r="F105" i="385" a="1"/>
  <c r="F105" i="385" s="1"/>
  <c r="F103" i="385" a="1"/>
  <c r="F103" i="385" s="1"/>
  <c r="F101" i="385" a="1"/>
  <c r="F101" i="385" s="1"/>
  <c r="F95" i="385" a="1"/>
  <c r="F95" i="385" s="1"/>
  <c r="F93" i="385" a="1"/>
  <c r="F93" i="385" s="1"/>
  <c r="F91" i="385" a="1"/>
  <c r="F91" i="385" s="1"/>
  <c r="F87" i="385" a="1"/>
  <c r="F87" i="385" s="1"/>
  <c r="F21" i="385" a="1"/>
  <c r="F21" i="385" s="1"/>
  <c r="F19" i="385" a="1"/>
  <c r="F19" i="385" s="1"/>
  <c r="F15" i="385" a="1"/>
  <c r="F15" i="385" s="1"/>
  <c r="F166" i="385" a="1"/>
  <c r="F166" i="385" s="1"/>
  <c r="F78" i="385" a="1"/>
  <c r="F78" i="385" s="1"/>
  <c r="F74" i="385" a="1"/>
  <c r="F74" i="385" s="1"/>
  <c r="F72" i="385" a="1"/>
  <c r="F72" i="385" s="1"/>
  <c r="F68" i="385" a="1"/>
  <c r="F68" i="385" s="1"/>
  <c r="F66" i="385" a="1"/>
  <c r="F66" i="385" s="1"/>
  <c r="F64" i="385" a="1"/>
  <c r="F64" i="385" s="1"/>
  <c r="F62" i="385" a="1"/>
  <c r="F62" i="385" s="1"/>
  <c r="F60" i="385" a="1"/>
  <c r="F60" i="385" s="1"/>
  <c r="F58" i="385" a="1"/>
  <c r="F58" i="385" s="1"/>
  <c r="F56" i="385" a="1"/>
  <c r="F56" i="385" s="1"/>
  <c r="F54" i="385" a="1"/>
  <c r="F54" i="385" s="1"/>
  <c r="F52" i="385" a="1"/>
  <c r="F52" i="385" s="1"/>
  <c r="F48" i="385" a="1"/>
  <c r="F48" i="385" s="1"/>
  <c r="F41" i="385" a="1"/>
  <c r="F41" i="385" s="1"/>
  <c r="F39" i="385" a="1"/>
  <c r="F39" i="385" s="1"/>
  <c r="F37" i="385" a="1"/>
  <c r="F37" i="385" s="1"/>
  <c r="F35" i="385" a="1"/>
  <c r="F35" i="385" s="1"/>
  <c r="F33" i="385" a="1"/>
  <c r="F33" i="385" s="1"/>
  <c r="J160" i="385" a="1"/>
  <c r="J160" i="385" s="1"/>
  <c r="J158" i="385" a="1"/>
  <c r="J158" i="385" s="1"/>
  <c r="J156" i="385" a="1"/>
  <c r="J156" i="385" s="1"/>
  <c r="J149" i="385" a="1"/>
  <c r="J149" i="385" s="1"/>
  <c r="J147" i="385" a="1"/>
  <c r="J147" i="385" s="1"/>
  <c r="J145" i="385" a="1"/>
  <c r="J145" i="385" s="1"/>
  <c r="J143" i="385" a="1"/>
  <c r="J143" i="385" s="1"/>
  <c r="J139" i="385" a="1"/>
  <c r="J139" i="385" s="1"/>
  <c r="J135" i="385" a="1"/>
  <c r="J135" i="385" s="1"/>
  <c r="J133" i="385" a="1"/>
  <c r="J133" i="385" s="1"/>
  <c r="J131" i="385" a="1"/>
  <c r="J131" i="385" s="1"/>
  <c r="J129" i="385" a="1"/>
  <c r="J129" i="385" s="1"/>
  <c r="J127" i="385" a="1"/>
  <c r="J127" i="385" s="1"/>
  <c r="J125" i="385" a="1"/>
  <c r="J125" i="385" s="1"/>
  <c r="J123" i="385" a="1"/>
  <c r="J123" i="385" s="1"/>
  <c r="J121" i="385" a="1"/>
  <c r="J121" i="385" s="1"/>
  <c r="J159" i="385" a="1"/>
  <c r="J159" i="385" s="1"/>
  <c r="J157" i="385" a="1"/>
  <c r="J157" i="385" s="1"/>
  <c r="J155" i="385" a="1"/>
  <c r="J155" i="385" s="1"/>
  <c r="J150" i="385" a="1"/>
  <c r="J150" i="385" s="1"/>
  <c r="J148" i="385" a="1"/>
  <c r="J148" i="385" s="1"/>
  <c r="J144" i="385" a="1"/>
  <c r="J144" i="385" s="1"/>
  <c r="J142" i="385" a="1"/>
  <c r="J142" i="385" s="1"/>
  <c r="J140" i="385" a="1"/>
  <c r="J140" i="385" s="1"/>
  <c r="J138" i="385" a="1"/>
  <c r="J138" i="385" s="1"/>
  <c r="J136" i="385" a="1"/>
  <c r="J136" i="385" s="1"/>
  <c r="J132" i="385" a="1"/>
  <c r="J132" i="385" s="1"/>
  <c r="J130" i="385" a="1"/>
  <c r="J130" i="385" s="1"/>
  <c r="J128" i="385" a="1"/>
  <c r="J128" i="385" s="1"/>
  <c r="J124" i="385" a="1"/>
  <c r="J124" i="385" s="1"/>
  <c r="J122" i="385" a="1"/>
  <c r="J122" i="385" s="1"/>
  <c r="J120" i="385" a="1"/>
  <c r="J120" i="385" s="1"/>
  <c r="J118" i="385" a="1"/>
  <c r="J118" i="385" s="1"/>
  <c r="J116" i="385" a="1"/>
  <c r="J116" i="385" s="1"/>
  <c r="J114" i="385" a="1"/>
  <c r="J114" i="385" s="1"/>
  <c r="J112" i="385" a="1"/>
  <c r="J112" i="385" s="1"/>
  <c r="J110" i="385" a="1"/>
  <c r="J110" i="385" s="1"/>
  <c r="J104" i="385" a="1"/>
  <c r="J104" i="385" s="1"/>
  <c r="J100" i="385" a="1"/>
  <c r="J100" i="385" s="1"/>
  <c r="J98" i="385" a="1"/>
  <c r="J98" i="385" s="1"/>
  <c r="J96" i="385" a="1"/>
  <c r="J96" i="385" s="1"/>
  <c r="J94" i="385" a="1"/>
  <c r="J94" i="385" s="1"/>
  <c r="J92" i="385" a="1"/>
  <c r="J92" i="385" s="1"/>
  <c r="J90" i="385" a="1"/>
  <c r="J90" i="385" s="1"/>
  <c r="J88" i="385" a="1"/>
  <c r="J88" i="385" s="1"/>
  <c r="J22" i="385" a="1"/>
  <c r="J22" i="385" s="1"/>
  <c r="J18" i="385" a="1"/>
  <c r="J18" i="385" s="1"/>
  <c r="J16" i="385" a="1"/>
  <c r="J16" i="385" s="1"/>
  <c r="J14" i="385" a="1"/>
  <c r="J14" i="385" s="1"/>
  <c r="J79" i="385" a="1"/>
  <c r="J79" i="385" s="1"/>
  <c r="J75" i="385" a="1"/>
  <c r="J75" i="385" s="1"/>
  <c r="J73" i="385" a="1"/>
  <c r="J73" i="385" s="1"/>
  <c r="J71" i="385" a="1"/>
  <c r="J71" i="385" s="1"/>
  <c r="J69" i="385" a="1"/>
  <c r="J69" i="385" s="1"/>
  <c r="J67" i="385" a="1"/>
  <c r="J67" i="385" s="1"/>
  <c r="J63" i="385" a="1"/>
  <c r="J63" i="385" s="1"/>
  <c r="J61" i="385" a="1"/>
  <c r="J61" i="385" s="1"/>
  <c r="J59" i="385" a="1"/>
  <c r="J59" i="385" s="1"/>
  <c r="J57" i="385" a="1"/>
  <c r="J57" i="385" s="1"/>
  <c r="J55" i="385" a="1"/>
  <c r="J55" i="385" s="1"/>
  <c r="J53" i="385" a="1"/>
  <c r="J53" i="385" s="1"/>
  <c r="J51" i="385" a="1"/>
  <c r="J51" i="385" s="1"/>
  <c r="J49" i="385" a="1"/>
  <c r="J49" i="385" s="1"/>
  <c r="J42" i="385" a="1"/>
  <c r="J42" i="385" s="1"/>
  <c r="J40" i="385" a="1"/>
  <c r="J40" i="385" s="1"/>
  <c r="J38" i="385" a="1"/>
  <c r="J38" i="385" s="1"/>
  <c r="J119" i="385" a="1"/>
  <c r="J119" i="385" s="1"/>
  <c r="J115" i="385" a="1"/>
  <c r="J115" i="385" s="1"/>
  <c r="J113" i="385" a="1"/>
  <c r="J113" i="385" s="1"/>
  <c r="J111" i="385" a="1"/>
  <c r="J111" i="385" s="1"/>
  <c r="J109" i="385" a="1"/>
  <c r="J109" i="385" s="1"/>
  <c r="J107" i="385" a="1"/>
  <c r="J107" i="385" s="1"/>
  <c r="J105" i="385" a="1"/>
  <c r="J105" i="385" s="1"/>
  <c r="J103" i="385" a="1"/>
  <c r="J103" i="385" s="1"/>
  <c r="J101" i="385" a="1"/>
  <c r="J101" i="385" s="1"/>
  <c r="J95" i="385" a="1"/>
  <c r="J95" i="385" s="1"/>
  <c r="J93" i="385" a="1"/>
  <c r="J93" i="385" s="1"/>
  <c r="J91" i="385" a="1"/>
  <c r="J91" i="385" s="1"/>
  <c r="J87" i="385" a="1"/>
  <c r="J87" i="385" s="1"/>
  <c r="J21" i="385" a="1"/>
  <c r="J21" i="385" s="1"/>
  <c r="J19" i="385" a="1"/>
  <c r="J19" i="385" s="1"/>
  <c r="J15" i="385" a="1"/>
  <c r="J15" i="385" s="1"/>
  <c r="J166" i="385" a="1"/>
  <c r="J166" i="385" s="1"/>
  <c r="J78" i="385" a="1"/>
  <c r="J78" i="385" s="1"/>
  <c r="J74" i="385" a="1"/>
  <c r="J74" i="385" s="1"/>
  <c r="J72" i="385" a="1"/>
  <c r="J72" i="385" s="1"/>
  <c r="J68" i="385" a="1"/>
  <c r="J68" i="385" s="1"/>
  <c r="J66" i="385" a="1"/>
  <c r="J66" i="385" s="1"/>
  <c r="J64" i="385" a="1"/>
  <c r="J64" i="385" s="1"/>
  <c r="J62" i="385" a="1"/>
  <c r="J62" i="385" s="1"/>
  <c r="J60" i="385" a="1"/>
  <c r="J60" i="385" s="1"/>
  <c r="J58" i="385" a="1"/>
  <c r="J58" i="385" s="1"/>
  <c r="J56" i="385" a="1"/>
  <c r="J56" i="385" s="1"/>
  <c r="J54" i="385" a="1"/>
  <c r="J54" i="385" s="1"/>
  <c r="J52" i="385" a="1"/>
  <c r="J52" i="385" s="1"/>
  <c r="J48" i="385" a="1"/>
  <c r="J48" i="385" s="1"/>
  <c r="J41" i="385" a="1"/>
  <c r="J41" i="385" s="1"/>
  <c r="J39" i="385" a="1"/>
  <c r="J39" i="385" s="1"/>
  <c r="J37" i="385" a="1"/>
  <c r="J37" i="385" s="1"/>
  <c r="J35" i="385" a="1"/>
  <c r="J35" i="385" s="1"/>
  <c r="J33" i="385" a="1"/>
  <c r="J33" i="385" s="1"/>
  <c r="N160" i="385" a="1"/>
  <c r="N160" i="385" s="1"/>
  <c r="N158" i="385" a="1"/>
  <c r="N158" i="385" s="1"/>
  <c r="N156" i="385" a="1"/>
  <c r="N156" i="385" s="1"/>
  <c r="N149" i="385" a="1"/>
  <c r="N149" i="385" s="1"/>
  <c r="N147" i="385" a="1"/>
  <c r="N147" i="385" s="1"/>
  <c r="N145" i="385" a="1"/>
  <c r="N145" i="385" s="1"/>
  <c r="N143" i="385" a="1"/>
  <c r="N143" i="385" s="1"/>
  <c r="N139" i="385" a="1"/>
  <c r="N139" i="385" s="1"/>
  <c r="N135" i="385" a="1"/>
  <c r="N135" i="385" s="1"/>
  <c r="N133" i="385" a="1"/>
  <c r="N133" i="385" s="1"/>
  <c r="N131" i="385" a="1"/>
  <c r="N131" i="385" s="1"/>
  <c r="N129" i="385" a="1"/>
  <c r="N129" i="385" s="1"/>
  <c r="N127" i="385" a="1"/>
  <c r="N127" i="385" s="1"/>
  <c r="N125" i="385" a="1"/>
  <c r="N125" i="385" s="1"/>
  <c r="N123" i="385" a="1"/>
  <c r="N123" i="385" s="1"/>
  <c r="N121" i="385" a="1"/>
  <c r="N121" i="385" s="1"/>
  <c r="N166" i="385" a="1"/>
  <c r="N166" i="385" s="1"/>
  <c r="N159" i="385" a="1"/>
  <c r="N159" i="385" s="1"/>
  <c r="N157" i="385" a="1"/>
  <c r="N157" i="385" s="1"/>
  <c r="N155" i="385" a="1"/>
  <c r="N155" i="385" s="1"/>
  <c r="N150" i="385" a="1"/>
  <c r="N150" i="385" s="1"/>
  <c r="N148" i="385" a="1"/>
  <c r="N148" i="385" s="1"/>
  <c r="N144" i="385" a="1"/>
  <c r="N144" i="385" s="1"/>
  <c r="N142" i="385" a="1"/>
  <c r="N142" i="385" s="1"/>
  <c r="N140" i="385" a="1"/>
  <c r="N140" i="385" s="1"/>
  <c r="N138" i="385" a="1"/>
  <c r="N138" i="385" s="1"/>
  <c r="N136" i="385" a="1"/>
  <c r="N136" i="385" s="1"/>
  <c r="N132" i="385" a="1"/>
  <c r="N132" i="385" s="1"/>
  <c r="N130" i="385" a="1"/>
  <c r="N130" i="385" s="1"/>
  <c r="N128" i="385" a="1"/>
  <c r="N128" i="385" s="1"/>
  <c r="N124" i="385" a="1"/>
  <c r="N124" i="385" s="1"/>
  <c r="N122" i="385" a="1"/>
  <c r="N122" i="385" s="1"/>
  <c r="N120" i="385" a="1"/>
  <c r="N120" i="385" s="1"/>
  <c r="N119" i="385" a="1"/>
  <c r="N119" i="385" s="1"/>
  <c r="N118" i="385" a="1"/>
  <c r="N118" i="385" s="1"/>
  <c r="N116" i="385" a="1"/>
  <c r="N116" i="385" s="1"/>
  <c r="N114" i="385" a="1"/>
  <c r="N114" i="385" s="1"/>
  <c r="N112" i="385" a="1"/>
  <c r="N112" i="385" s="1"/>
  <c r="N110" i="385" a="1"/>
  <c r="N110" i="385" s="1"/>
  <c r="N104" i="385" a="1"/>
  <c r="N104" i="385" s="1"/>
  <c r="N100" i="385" a="1"/>
  <c r="N100" i="385" s="1"/>
  <c r="N98" i="385" a="1"/>
  <c r="N98" i="385" s="1"/>
  <c r="N96" i="385" a="1"/>
  <c r="N96" i="385" s="1"/>
  <c r="N94" i="385" a="1"/>
  <c r="N94" i="385" s="1"/>
  <c r="N92" i="385" a="1"/>
  <c r="N92" i="385" s="1"/>
  <c r="N90" i="385" a="1"/>
  <c r="N90" i="385" s="1"/>
  <c r="N88" i="385" a="1"/>
  <c r="N88" i="385" s="1"/>
  <c r="N22" i="385" a="1"/>
  <c r="N22" i="385" s="1"/>
  <c r="N18" i="385" a="1"/>
  <c r="N18" i="385" s="1"/>
  <c r="N16" i="385" a="1"/>
  <c r="N16" i="385" s="1"/>
  <c r="N14" i="385" a="1"/>
  <c r="N14" i="385" s="1"/>
  <c r="N79" i="385" a="1"/>
  <c r="N79" i="385" s="1"/>
  <c r="N75" i="385" a="1"/>
  <c r="N75" i="385" s="1"/>
  <c r="N73" i="385" a="1"/>
  <c r="N73" i="385" s="1"/>
  <c r="N71" i="385" a="1"/>
  <c r="N71" i="385" s="1"/>
  <c r="N69" i="385" a="1"/>
  <c r="N69" i="385" s="1"/>
  <c r="N67" i="385" a="1"/>
  <c r="N67" i="385" s="1"/>
  <c r="N63" i="385" a="1"/>
  <c r="N63" i="385" s="1"/>
  <c r="N61" i="385" a="1"/>
  <c r="N61" i="385" s="1"/>
  <c r="N59" i="385" a="1"/>
  <c r="N59" i="385" s="1"/>
  <c r="N57" i="385" a="1"/>
  <c r="N57" i="385" s="1"/>
  <c r="N55" i="385" a="1"/>
  <c r="N55" i="385" s="1"/>
  <c r="N53" i="385" a="1"/>
  <c r="N53" i="385" s="1"/>
  <c r="N51" i="385" a="1"/>
  <c r="N51" i="385" s="1"/>
  <c r="N49" i="385" a="1"/>
  <c r="N49" i="385" s="1"/>
  <c r="N42" i="385" a="1"/>
  <c r="N42" i="385" s="1"/>
  <c r="N40" i="385" a="1"/>
  <c r="N40" i="385" s="1"/>
  <c r="N38" i="385" a="1"/>
  <c r="N38" i="385" s="1"/>
  <c r="N115" i="385" a="1"/>
  <c r="N115" i="385" s="1"/>
  <c r="N113" i="385" a="1"/>
  <c r="N113" i="385" s="1"/>
  <c r="N111" i="385" a="1"/>
  <c r="N111" i="385" s="1"/>
  <c r="N109" i="385" a="1"/>
  <c r="N109" i="385" s="1"/>
  <c r="N107" i="385" a="1"/>
  <c r="N107" i="385" s="1"/>
  <c r="N105" i="385" a="1"/>
  <c r="N105" i="385" s="1"/>
  <c r="N103" i="385" a="1"/>
  <c r="N103" i="385" s="1"/>
  <c r="N101" i="385" a="1"/>
  <c r="N101" i="385" s="1"/>
  <c r="N95" i="385" a="1"/>
  <c r="N95" i="385" s="1"/>
  <c r="N93" i="385" a="1"/>
  <c r="N93" i="385" s="1"/>
  <c r="N91" i="385" a="1"/>
  <c r="N91" i="385" s="1"/>
  <c r="N87" i="385" a="1"/>
  <c r="N87" i="385" s="1"/>
  <c r="N21" i="385" a="1"/>
  <c r="N21" i="385" s="1"/>
  <c r="N19" i="385" a="1"/>
  <c r="N19" i="385" s="1"/>
  <c r="N15" i="385" a="1"/>
  <c r="N15" i="385" s="1"/>
  <c r="N78" i="385" a="1"/>
  <c r="N78" i="385" s="1"/>
  <c r="N74" i="385" a="1"/>
  <c r="N74" i="385" s="1"/>
  <c r="N72" i="385" a="1"/>
  <c r="N72" i="385" s="1"/>
  <c r="N68" i="385" a="1"/>
  <c r="N68" i="385" s="1"/>
  <c r="N66" i="385" a="1"/>
  <c r="N66" i="385" s="1"/>
  <c r="N64" i="385" a="1"/>
  <c r="N64" i="385" s="1"/>
  <c r="N62" i="385" a="1"/>
  <c r="N62" i="385" s="1"/>
  <c r="N60" i="385" a="1"/>
  <c r="N60" i="385" s="1"/>
  <c r="N58" i="385" a="1"/>
  <c r="N58" i="385" s="1"/>
  <c r="N56" i="385" a="1"/>
  <c r="N56" i="385" s="1"/>
  <c r="N54" i="385" a="1"/>
  <c r="N54" i="385" s="1"/>
  <c r="N52" i="385" a="1"/>
  <c r="N52" i="385" s="1"/>
  <c r="N48" i="385" a="1"/>
  <c r="N48" i="385" s="1"/>
  <c r="N41" i="385" a="1"/>
  <c r="N41" i="385" s="1"/>
  <c r="N39" i="385" a="1"/>
  <c r="N39" i="385" s="1"/>
  <c r="N37" i="385" a="1"/>
  <c r="N37" i="385" s="1"/>
  <c r="N35" i="385" a="1"/>
  <c r="N35" i="385" s="1"/>
  <c r="N33" i="385" a="1"/>
  <c r="N33" i="385" s="1"/>
  <c r="N31" i="385" a="1"/>
  <c r="N31" i="385" s="1"/>
  <c r="N30" i="385" s="1"/>
  <c r="M31" i="385" a="1"/>
  <c r="M31" i="385" s="1"/>
  <c r="H32" i="385" a="1"/>
  <c r="H32" i="385" s="1"/>
  <c r="H30" i="385" s="1"/>
  <c r="J36" i="385" a="1"/>
  <c r="J36" i="385" s="1"/>
  <c r="G159" i="385" a="1"/>
  <c r="G159" i="385" s="1"/>
  <c r="G157" i="385" a="1"/>
  <c r="G157" i="385" s="1"/>
  <c r="K157" i="385" a="1"/>
  <c r="K157" i="385" s="1"/>
  <c r="O157" i="385" a="1"/>
  <c r="O157" i="385" s="1"/>
  <c r="G155" i="385" a="1"/>
  <c r="G155" i="385" s="1"/>
  <c r="G150" i="385" a="1"/>
  <c r="G150" i="385" s="1"/>
  <c r="G148" i="385" a="1"/>
  <c r="G148" i="385" s="1"/>
  <c r="G144" i="385" a="1"/>
  <c r="G144" i="385" s="1"/>
  <c r="G142" i="385" a="1"/>
  <c r="G142" i="385" s="1"/>
  <c r="G140" i="385" a="1"/>
  <c r="G140" i="385" s="1"/>
  <c r="G138" i="385" a="1"/>
  <c r="G138" i="385" s="1"/>
  <c r="G136" i="385" a="1"/>
  <c r="G136" i="385" s="1"/>
  <c r="G132" i="385" a="1"/>
  <c r="G132" i="385" s="1"/>
  <c r="G130" i="385" a="1"/>
  <c r="G130" i="385" s="1"/>
  <c r="G128" i="385" a="1"/>
  <c r="G128" i="385" s="1"/>
  <c r="G124" i="385" a="1"/>
  <c r="G124" i="385" s="1"/>
  <c r="G122" i="385" a="1"/>
  <c r="G122" i="385" s="1"/>
  <c r="G160" i="385" a="1"/>
  <c r="G160" i="385" s="1"/>
  <c r="G158" i="385" a="1"/>
  <c r="G158" i="385" s="1"/>
  <c r="G156" i="385" a="1"/>
  <c r="G156" i="385" s="1"/>
  <c r="G149" i="385" a="1"/>
  <c r="G149" i="385" s="1"/>
  <c r="G147" i="385" a="1"/>
  <c r="G147" i="385" s="1"/>
  <c r="G145" i="385" a="1"/>
  <c r="G145" i="385" s="1"/>
  <c r="G143" i="385" a="1"/>
  <c r="G143" i="385" s="1"/>
  <c r="G139" i="385" a="1"/>
  <c r="G139" i="385" s="1"/>
  <c r="G135" i="385" a="1"/>
  <c r="G135" i="385" s="1"/>
  <c r="G133" i="385" a="1"/>
  <c r="G133" i="385" s="1"/>
  <c r="G131" i="385" a="1"/>
  <c r="G131" i="385" s="1"/>
  <c r="G129" i="385" a="1"/>
  <c r="G129" i="385" s="1"/>
  <c r="G127" i="385" a="1"/>
  <c r="G127" i="385" s="1"/>
  <c r="G125" i="385" a="1"/>
  <c r="G125" i="385" s="1"/>
  <c r="G123" i="385" a="1"/>
  <c r="G123" i="385" s="1"/>
  <c r="G121" i="385" a="1"/>
  <c r="G121" i="385" s="1"/>
  <c r="G119" i="385" a="1"/>
  <c r="G119" i="385" s="1"/>
  <c r="G115" i="385" a="1"/>
  <c r="G115" i="385" s="1"/>
  <c r="G113" i="385" a="1"/>
  <c r="G113" i="385" s="1"/>
  <c r="G111" i="385" a="1"/>
  <c r="G111" i="385" s="1"/>
  <c r="G109" i="385" a="1"/>
  <c r="G109" i="385" s="1"/>
  <c r="G107" i="385" a="1"/>
  <c r="G107" i="385" s="1"/>
  <c r="G105" i="385" a="1"/>
  <c r="G105" i="385" s="1"/>
  <c r="G103" i="385" a="1"/>
  <c r="G103" i="385" s="1"/>
  <c r="G101" i="385" a="1"/>
  <c r="G101" i="385" s="1"/>
  <c r="G95" i="385" a="1"/>
  <c r="G95" i="385" s="1"/>
  <c r="G93" i="385" a="1"/>
  <c r="G93" i="385" s="1"/>
  <c r="G91" i="385" a="1"/>
  <c r="G91" i="385" s="1"/>
  <c r="G87" i="385" a="1"/>
  <c r="G87" i="385" s="1"/>
  <c r="G21" i="385" a="1"/>
  <c r="G21" i="385" s="1"/>
  <c r="G19" i="385" a="1"/>
  <c r="G19" i="385" s="1"/>
  <c r="G15" i="385" a="1"/>
  <c r="G15" i="385" s="1"/>
  <c r="G78" i="385" a="1"/>
  <c r="G78" i="385" s="1"/>
  <c r="G74" i="385" a="1"/>
  <c r="G74" i="385" s="1"/>
  <c r="G72" i="385" a="1"/>
  <c r="G72" i="385" s="1"/>
  <c r="G68" i="385" a="1"/>
  <c r="G68" i="385" s="1"/>
  <c r="G66" i="385" a="1"/>
  <c r="G66" i="385" s="1"/>
  <c r="G64" i="385" a="1"/>
  <c r="G64" i="385" s="1"/>
  <c r="G62" i="385" a="1"/>
  <c r="G62" i="385" s="1"/>
  <c r="G60" i="385" a="1"/>
  <c r="G60" i="385" s="1"/>
  <c r="G58" i="385" a="1"/>
  <c r="G58" i="385" s="1"/>
  <c r="G56" i="385" a="1"/>
  <c r="G56" i="385" s="1"/>
  <c r="G54" i="385" a="1"/>
  <c r="G54" i="385" s="1"/>
  <c r="G52" i="385" a="1"/>
  <c r="G52" i="385" s="1"/>
  <c r="G48" i="385" a="1"/>
  <c r="G48" i="385" s="1"/>
  <c r="G41" i="385" a="1"/>
  <c r="G41" i="385" s="1"/>
  <c r="G39" i="385" a="1"/>
  <c r="G39" i="385" s="1"/>
  <c r="G37" i="385" a="1"/>
  <c r="G37" i="385" s="1"/>
  <c r="G166" i="385" a="1"/>
  <c r="G166" i="385" s="1"/>
  <c r="G118" i="385" a="1"/>
  <c r="G118" i="385" s="1"/>
  <c r="G116" i="385" a="1"/>
  <c r="G116" i="385" s="1"/>
  <c r="G114" i="385" a="1"/>
  <c r="G114" i="385" s="1"/>
  <c r="G112" i="385" a="1"/>
  <c r="G112" i="385" s="1"/>
  <c r="G110" i="385" a="1"/>
  <c r="G110" i="385" s="1"/>
  <c r="G104" i="385" a="1"/>
  <c r="G104" i="385" s="1"/>
  <c r="G100" i="385" a="1"/>
  <c r="G100" i="385" s="1"/>
  <c r="G98" i="385" a="1"/>
  <c r="G98" i="385" s="1"/>
  <c r="G96" i="385" a="1"/>
  <c r="G96" i="385" s="1"/>
  <c r="G94" i="385" a="1"/>
  <c r="G94" i="385" s="1"/>
  <c r="G92" i="385" a="1"/>
  <c r="G92" i="385" s="1"/>
  <c r="G90" i="385" a="1"/>
  <c r="G90" i="385" s="1"/>
  <c r="G88" i="385" a="1"/>
  <c r="G88" i="385" s="1"/>
  <c r="G22" i="385" a="1"/>
  <c r="G22" i="385" s="1"/>
  <c r="G18" i="385" a="1"/>
  <c r="G18" i="385" s="1"/>
  <c r="G16" i="385" a="1"/>
  <c r="G16" i="385" s="1"/>
  <c r="G120" i="385" a="1"/>
  <c r="G120" i="385" s="1"/>
  <c r="G79" i="385" a="1"/>
  <c r="G79" i="385" s="1"/>
  <c r="G75" i="385" a="1"/>
  <c r="G75" i="385" s="1"/>
  <c r="G73" i="385" a="1"/>
  <c r="G73" i="385" s="1"/>
  <c r="G71" i="385" a="1"/>
  <c r="G71" i="385" s="1"/>
  <c r="G69" i="385" a="1"/>
  <c r="G69" i="385" s="1"/>
  <c r="G67" i="385" a="1"/>
  <c r="G67" i="385" s="1"/>
  <c r="G63" i="385" a="1"/>
  <c r="G63" i="385" s="1"/>
  <c r="G61" i="385" a="1"/>
  <c r="G61" i="385" s="1"/>
  <c r="G59" i="385" a="1"/>
  <c r="G59" i="385" s="1"/>
  <c r="G57" i="385" a="1"/>
  <c r="G57" i="385" s="1"/>
  <c r="G55" i="385" a="1"/>
  <c r="G55" i="385" s="1"/>
  <c r="G53" i="385" a="1"/>
  <c r="G53" i="385" s="1"/>
  <c r="G51" i="385" a="1"/>
  <c r="G51" i="385" s="1"/>
  <c r="G49" i="385" a="1"/>
  <c r="G49" i="385" s="1"/>
  <c r="G42" i="385" a="1"/>
  <c r="G42" i="385" s="1"/>
  <c r="G40" i="385" a="1"/>
  <c r="G40" i="385" s="1"/>
  <c r="G38" i="385" a="1"/>
  <c r="G38" i="385" s="1"/>
  <c r="G36" i="385" a="1"/>
  <c r="G36" i="385" s="1"/>
  <c r="G32" i="385" a="1"/>
  <c r="G32" i="385" s="1"/>
  <c r="K159" i="385" a="1"/>
  <c r="K159" i="385" s="1"/>
  <c r="K155" i="385" a="1"/>
  <c r="K155" i="385" s="1"/>
  <c r="K150" i="385" a="1"/>
  <c r="K150" i="385" s="1"/>
  <c r="K148" i="385" a="1"/>
  <c r="K148" i="385" s="1"/>
  <c r="K144" i="385" a="1"/>
  <c r="K144" i="385" s="1"/>
  <c r="K142" i="385" a="1"/>
  <c r="K142" i="385" s="1"/>
  <c r="K140" i="385" a="1"/>
  <c r="K140" i="385" s="1"/>
  <c r="K138" i="385" a="1"/>
  <c r="K138" i="385" s="1"/>
  <c r="K136" i="385" a="1"/>
  <c r="K136" i="385" s="1"/>
  <c r="K132" i="385" a="1"/>
  <c r="K132" i="385" s="1"/>
  <c r="K130" i="385" a="1"/>
  <c r="K130" i="385" s="1"/>
  <c r="K128" i="385" a="1"/>
  <c r="K128" i="385" s="1"/>
  <c r="K124" i="385" a="1"/>
  <c r="K124" i="385" s="1"/>
  <c r="K122" i="385" a="1"/>
  <c r="K122" i="385" s="1"/>
  <c r="K120" i="385" a="1"/>
  <c r="K120" i="385" s="1"/>
  <c r="K160" i="385" a="1"/>
  <c r="K160" i="385" s="1"/>
  <c r="K158" i="385" a="1"/>
  <c r="K158" i="385" s="1"/>
  <c r="K156" i="385" a="1"/>
  <c r="K156" i="385" s="1"/>
  <c r="K149" i="385" a="1"/>
  <c r="K149" i="385" s="1"/>
  <c r="K147" i="385" a="1"/>
  <c r="K147" i="385" s="1"/>
  <c r="K145" i="385" a="1"/>
  <c r="K145" i="385" s="1"/>
  <c r="K143" i="385" a="1"/>
  <c r="K143" i="385" s="1"/>
  <c r="K139" i="385" a="1"/>
  <c r="K139" i="385" s="1"/>
  <c r="K135" i="385" a="1"/>
  <c r="K135" i="385" s="1"/>
  <c r="K133" i="385" a="1"/>
  <c r="K133" i="385" s="1"/>
  <c r="K131" i="385" a="1"/>
  <c r="K131" i="385" s="1"/>
  <c r="K129" i="385" a="1"/>
  <c r="K129" i="385" s="1"/>
  <c r="K127" i="385" a="1"/>
  <c r="K127" i="385" s="1"/>
  <c r="K125" i="385" a="1"/>
  <c r="K125" i="385" s="1"/>
  <c r="K123" i="385" a="1"/>
  <c r="K123" i="385" s="1"/>
  <c r="K121" i="385" a="1"/>
  <c r="K121" i="385" s="1"/>
  <c r="K119" i="385" a="1"/>
  <c r="K119" i="385" s="1"/>
  <c r="K115" i="385" a="1"/>
  <c r="K115" i="385" s="1"/>
  <c r="K113" i="385" a="1"/>
  <c r="K113" i="385" s="1"/>
  <c r="K111" i="385" a="1"/>
  <c r="K111" i="385" s="1"/>
  <c r="K109" i="385" a="1"/>
  <c r="K109" i="385" s="1"/>
  <c r="K107" i="385" a="1"/>
  <c r="K107" i="385" s="1"/>
  <c r="K105" i="385" a="1"/>
  <c r="K105" i="385" s="1"/>
  <c r="K103" i="385" a="1"/>
  <c r="K103" i="385" s="1"/>
  <c r="K101" i="385" a="1"/>
  <c r="K101" i="385" s="1"/>
  <c r="K95" i="385" a="1"/>
  <c r="K95" i="385" s="1"/>
  <c r="K93" i="385" a="1"/>
  <c r="K93" i="385" s="1"/>
  <c r="K91" i="385" a="1"/>
  <c r="K91" i="385" s="1"/>
  <c r="K87" i="385" a="1"/>
  <c r="K87" i="385" s="1"/>
  <c r="K21" i="385" a="1"/>
  <c r="K21" i="385" s="1"/>
  <c r="K19" i="385" a="1"/>
  <c r="K19" i="385" s="1"/>
  <c r="K15" i="385" a="1"/>
  <c r="K15" i="385" s="1"/>
  <c r="K78" i="385" a="1"/>
  <c r="K78" i="385" s="1"/>
  <c r="K74" i="385" a="1"/>
  <c r="K74" i="385" s="1"/>
  <c r="K72" i="385" a="1"/>
  <c r="K72" i="385" s="1"/>
  <c r="K68" i="385" a="1"/>
  <c r="K68" i="385" s="1"/>
  <c r="K66" i="385" a="1"/>
  <c r="K66" i="385" s="1"/>
  <c r="K64" i="385" a="1"/>
  <c r="K64" i="385" s="1"/>
  <c r="K62" i="385" a="1"/>
  <c r="K62" i="385" s="1"/>
  <c r="K60" i="385" a="1"/>
  <c r="K60" i="385" s="1"/>
  <c r="K58" i="385" a="1"/>
  <c r="K58" i="385" s="1"/>
  <c r="K56" i="385" a="1"/>
  <c r="K56" i="385" s="1"/>
  <c r="K54" i="385" a="1"/>
  <c r="K54" i="385" s="1"/>
  <c r="K52" i="385" a="1"/>
  <c r="K52" i="385" s="1"/>
  <c r="K48" i="385" a="1"/>
  <c r="K48" i="385" s="1"/>
  <c r="K41" i="385" a="1"/>
  <c r="K41" i="385" s="1"/>
  <c r="K39" i="385" a="1"/>
  <c r="K39" i="385" s="1"/>
  <c r="K37" i="385" a="1"/>
  <c r="K37" i="385" s="1"/>
  <c r="K166" i="385" a="1"/>
  <c r="K166" i="385" s="1"/>
  <c r="K118" i="385" a="1"/>
  <c r="K118" i="385" s="1"/>
  <c r="K116" i="385" a="1"/>
  <c r="K116" i="385" s="1"/>
  <c r="K114" i="385" a="1"/>
  <c r="K114" i="385" s="1"/>
  <c r="K112" i="385" a="1"/>
  <c r="K112" i="385" s="1"/>
  <c r="K110" i="385" a="1"/>
  <c r="K110" i="385" s="1"/>
  <c r="K104" i="385" a="1"/>
  <c r="K104" i="385" s="1"/>
  <c r="K100" i="385" a="1"/>
  <c r="K100" i="385" s="1"/>
  <c r="K98" i="385" a="1"/>
  <c r="K98" i="385" s="1"/>
  <c r="K96" i="385" a="1"/>
  <c r="K96" i="385" s="1"/>
  <c r="K94" i="385" a="1"/>
  <c r="K94" i="385" s="1"/>
  <c r="K92" i="385" a="1"/>
  <c r="K92" i="385" s="1"/>
  <c r="K90" i="385" a="1"/>
  <c r="K90" i="385" s="1"/>
  <c r="K88" i="385" a="1"/>
  <c r="K88" i="385" s="1"/>
  <c r="K22" i="385" a="1"/>
  <c r="K22" i="385" s="1"/>
  <c r="K18" i="385" a="1"/>
  <c r="K18" i="385" s="1"/>
  <c r="K16" i="385" a="1"/>
  <c r="K16" i="385" s="1"/>
  <c r="K14" i="385" a="1"/>
  <c r="K14" i="385" s="1"/>
  <c r="K79" i="385" a="1"/>
  <c r="K79" i="385" s="1"/>
  <c r="K75" i="385" a="1"/>
  <c r="K75" i="385" s="1"/>
  <c r="K73" i="385" a="1"/>
  <c r="K73" i="385" s="1"/>
  <c r="K71" i="385" a="1"/>
  <c r="K71" i="385" s="1"/>
  <c r="K69" i="385" a="1"/>
  <c r="K69" i="385" s="1"/>
  <c r="K67" i="385" a="1"/>
  <c r="K67" i="385" s="1"/>
  <c r="K63" i="385" a="1"/>
  <c r="K63" i="385" s="1"/>
  <c r="K61" i="385" a="1"/>
  <c r="K61" i="385" s="1"/>
  <c r="K59" i="385" a="1"/>
  <c r="K59" i="385" s="1"/>
  <c r="K57" i="385" a="1"/>
  <c r="K57" i="385" s="1"/>
  <c r="K55" i="385" a="1"/>
  <c r="K55" i="385" s="1"/>
  <c r="K53" i="385" a="1"/>
  <c r="K53" i="385" s="1"/>
  <c r="K51" i="385" a="1"/>
  <c r="K51" i="385" s="1"/>
  <c r="K49" i="385" a="1"/>
  <c r="K49" i="385" s="1"/>
  <c r="K42" i="385" a="1"/>
  <c r="K42" i="385" s="1"/>
  <c r="K40" i="385" a="1"/>
  <c r="K40" i="385" s="1"/>
  <c r="K38" i="385" a="1"/>
  <c r="K38" i="385" s="1"/>
  <c r="K36" i="385" a="1"/>
  <c r="K36" i="385" s="1"/>
  <c r="K32" i="385" a="1"/>
  <c r="K32" i="385" s="1"/>
  <c r="O159" i="385" a="1"/>
  <c r="O159" i="385" s="1"/>
  <c r="O155" i="385" a="1"/>
  <c r="O155" i="385" s="1"/>
  <c r="O150" i="385" a="1"/>
  <c r="O150" i="385" s="1"/>
  <c r="O148" i="385" a="1"/>
  <c r="O148" i="385" s="1"/>
  <c r="O144" i="385" a="1"/>
  <c r="O144" i="385" s="1"/>
  <c r="O142" i="385" a="1"/>
  <c r="O142" i="385" s="1"/>
  <c r="O140" i="385" a="1"/>
  <c r="O140" i="385" s="1"/>
  <c r="O138" i="385" a="1"/>
  <c r="O138" i="385" s="1"/>
  <c r="O136" i="385" a="1"/>
  <c r="O136" i="385" s="1"/>
  <c r="O132" i="385" a="1"/>
  <c r="O132" i="385" s="1"/>
  <c r="O130" i="385" a="1"/>
  <c r="O130" i="385" s="1"/>
  <c r="O128" i="385" a="1"/>
  <c r="O128" i="385" s="1"/>
  <c r="O124" i="385" a="1"/>
  <c r="O124" i="385" s="1"/>
  <c r="O122" i="385" a="1"/>
  <c r="O122" i="385" s="1"/>
  <c r="O120" i="385" a="1"/>
  <c r="O120" i="385" s="1"/>
  <c r="O160" i="385" a="1"/>
  <c r="O160" i="385" s="1"/>
  <c r="O158" i="385" a="1"/>
  <c r="O158" i="385" s="1"/>
  <c r="O156" i="385" a="1"/>
  <c r="O156" i="385" s="1"/>
  <c r="O149" i="385" a="1"/>
  <c r="O149" i="385" s="1"/>
  <c r="O147" i="385" a="1"/>
  <c r="O147" i="385" s="1"/>
  <c r="O145" i="385" a="1"/>
  <c r="O145" i="385" s="1"/>
  <c r="O143" i="385" a="1"/>
  <c r="O143" i="385" s="1"/>
  <c r="O139" i="385" a="1"/>
  <c r="O139" i="385" s="1"/>
  <c r="O135" i="385" a="1"/>
  <c r="O135" i="385" s="1"/>
  <c r="O133" i="385" a="1"/>
  <c r="O133" i="385" s="1"/>
  <c r="O131" i="385" a="1"/>
  <c r="O131" i="385" s="1"/>
  <c r="O129" i="385" a="1"/>
  <c r="O129" i="385" s="1"/>
  <c r="O127" i="385" a="1"/>
  <c r="O127" i="385" s="1"/>
  <c r="O125" i="385" a="1"/>
  <c r="O125" i="385" s="1"/>
  <c r="O123" i="385" a="1"/>
  <c r="O123" i="385" s="1"/>
  <c r="O121" i="385" a="1"/>
  <c r="O121" i="385" s="1"/>
  <c r="O119" i="385" a="1"/>
  <c r="O119" i="385" s="1"/>
  <c r="O166" i="385" a="1"/>
  <c r="O166" i="385" s="1"/>
  <c r="O115" i="385" a="1"/>
  <c r="O115" i="385" s="1"/>
  <c r="O113" i="385" a="1"/>
  <c r="O113" i="385" s="1"/>
  <c r="O111" i="385" a="1"/>
  <c r="O111" i="385" s="1"/>
  <c r="O109" i="385" a="1"/>
  <c r="O109" i="385" s="1"/>
  <c r="O107" i="385" a="1"/>
  <c r="O107" i="385" s="1"/>
  <c r="O105" i="385" a="1"/>
  <c r="O105" i="385" s="1"/>
  <c r="O103" i="385" a="1"/>
  <c r="O103" i="385" s="1"/>
  <c r="O101" i="385" a="1"/>
  <c r="O101" i="385" s="1"/>
  <c r="O95" i="385" a="1"/>
  <c r="O95" i="385" s="1"/>
  <c r="O93" i="385" a="1"/>
  <c r="O93" i="385" s="1"/>
  <c r="O91" i="385" a="1"/>
  <c r="O91" i="385" s="1"/>
  <c r="O87" i="385" a="1"/>
  <c r="O87" i="385" s="1"/>
  <c r="O21" i="385" a="1"/>
  <c r="O21" i="385" s="1"/>
  <c r="O19" i="385" a="1"/>
  <c r="O19" i="385" s="1"/>
  <c r="O15" i="385" a="1"/>
  <c r="O15" i="385" s="1"/>
  <c r="O78" i="385" a="1"/>
  <c r="O78" i="385" s="1"/>
  <c r="O74" i="385" a="1"/>
  <c r="O74" i="385" s="1"/>
  <c r="O72" i="385" a="1"/>
  <c r="O72" i="385" s="1"/>
  <c r="O68" i="385" a="1"/>
  <c r="O68" i="385" s="1"/>
  <c r="O66" i="385" a="1"/>
  <c r="O66" i="385" s="1"/>
  <c r="O64" i="385" a="1"/>
  <c r="O64" i="385" s="1"/>
  <c r="O62" i="385" a="1"/>
  <c r="O62" i="385" s="1"/>
  <c r="O60" i="385" a="1"/>
  <c r="O60" i="385" s="1"/>
  <c r="O58" i="385" a="1"/>
  <c r="O58" i="385" s="1"/>
  <c r="O56" i="385" a="1"/>
  <c r="O56" i="385" s="1"/>
  <c r="O54" i="385" a="1"/>
  <c r="O54" i="385" s="1"/>
  <c r="O52" i="385" a="1"/>
  <c r="O52" i="385" s="1"/>
  <c r="O48" i="385" a="1"/>
  <c r="O48" i="385" s="1"/>
  <c r="O41" i="385" a="1"/>
  <c r="O41" i="385" s="1"/>
  <c r="O39" i="385" a="1"/>
  <c r="O39" i="385" s="1"/>
  <c r="O37" i="385" a="1"/>
  <c r="O37" i="385" s="1"/>
  <c r="O118" i="385" a="1"/>
  <c r="O118" i="385" s="1"/>
  <c r="O116" i="385" a="1"/>
  <c r="O116" i="385" s="1"/>
  <c r="O114" i="385" a="1"/>
  <c r="O114" i="385" s="1"/>
  <c r="O112" i="385" a="1"/>
  <c r="O112" i="385" s="1"/>
  <c r="O110" i="385" a="1"/>
  <c r="O110" i="385" s="1"/>
  <c r="O104" i="385" a="1"/>
  <c r="O104" i="385" s="1"/>
  <c r="O100" i="385" a="1"/>
  <c r="O100" i="385" s="1"/>
  <c r="O98" i="385" a="1"/>
  <c r="O98" i="385" s="1"/>
  <c r="O96" i="385" a="1"/>
  <c r="O96" i="385" s="1"/>
  <c r="O94" i="385" a="1"/>
  <c r="O94" i="385" s="1"/>
  <c r="O92" i="385" a="1"/>
  <c r="O92" i="385" s="1"/>
  <c r="O90" i="385" a="1"/>
  <c r="O90" i="385" s="1"/>
  <c r="O88" i="385" a="1"/>
  <c r="O88" i="385" s="1"/>
  <c r="O22" i="385" a="1"/>
  <c r="O22" i="385" s="1"/>
  <c r="O18" i="385" a="1"/>
  <c r="O18" i="385" s="1"/>
  <c r="O16" i="385" a="1"/>
  <c r="O16" i="385" s="1"/>
  <c r="O14" i="385" a="1"/>
  <c r="O14" i="385" s="1"/>
  <c r="O79" i="385" a="1"/>
  <c r="O79" i="385" s="1"/>
  <c r="O75" i="385" a="1"/>
  <c r="O75" i="385" s="1"/>
  <c r="O73" i="385" a="1"/>
  <c r="O73" i="385" s="1"/>
  <c r="O71" i="385" a="1"/>
  <c r="O71" i="385" s="1"/>
  <c r="O69" i="385" a="1"/>
  <c r="O69" i="385" s="1"/>
  <c r="O67" i="385" a="1"/>
  <c r="O67" i="385" s="1"/>
  <c r="O63" i="385" a="1"/>
  <c r="O63" i="385" s="1"/>
  <c r="O61" i="385" a="1"/>
  <c r="O61" i="385" s="1"/>
  <c r="O59" i="385" a="1"/>
  <c r="O59" i="385" s="1"/>
  <c r="O57" i="385" a="1"/>
  <c r="O57" i="385" s="1"/>
  <c r="O55" i="385" a="1"/>
  <c r="O55" i="385" s="1"/>
  <c r="O53" i="385" a="1"/>
  <c r="O53" i="385" s="1"/>
  <c r="O51" i="385" a="1"/>
  <c r="O51" i="385" s="1"/>
  <c r="O49" i="385" a="1"/>
  <c r="O49" i="385" s="1"/>
  <c r="O42" i="385" a="1"/>
  <c r="O42" i="385" s="1"/>
  <c r="O40" i="385" a="1"/>
  <c r="O40" i="385" s="1"/>
  <c r="O38" i="385" a="1"/>
  <c r="O38" i="385" s="1"/>
  <c r="O36" i="385" a="1"/>
  <c r="O36" i="385" s="1"/>
  <c r="O32" i="385" a="1"/>
  <c r="O32" i="385" s="1"/>
  <c r="F14" i="385" a="1"/>
  <c r="F14" i="385" s="1"/>
  <c r="E31" i="385" a="1"/>
  <c r="E31" i="385" s="1"/>
  <c r="O31" i="385" a="1"/>
  <c r="O31" i="385" s="1"/>
  <c r="J32" i="385" a="1"/>
  <c r="J32" i="385" s="1"/>
  <c r="J30" i="385" s="1"/>
  <c r="E33" i="385" a="1"/>
  <c r="E33" i="385" s="1"/>
  <c r="M33" i="385" a="1"/>
  <c r="M33" i="385" s="1"/>
  <c r="D36" i="385" a="1"/>
  <c r="D36" i="385" s="1"/>
  <c r="L36" i="385" a="1"/>
  <c r="L36" i="385" s="1"/>
  <c r="F160" i="386" a="1"/>
  <c r="F160" i="386" s="1"/>
  <c r="F166" i="386" a="1"/>
  <c r="F166" i="386" s="1"/>
  <c r="F159" i="386" a="1"/>
  <c r="F159" i="386" s="1"/>
  <c r="F155" i="386" a="1"/>
  <c r="F155" i="386" s="1"/>
  <c r="F149" i="386" a="1"/>
  <c r="F149" i="386" s="1"/>
  <c r="F143" i="386" a="1"/>
  <c r="F143" i="386" s="1"/>
  <c r="F135" i="386" a="1"/>
  <c r="F135" i="386" s="1"/>
  <c r="F133" i="386" a="1"/>
  <c r="F133" i="386" s="1"/>
  <c r="F129" i="386" a="1"/>
  <c r="F129" i="386" s="1"/>
  <c r="F123" i="386" a="1"/>
  <c r="F123" i="386" s="1"/>
  <c r="F119" i="386" a="1"/>
  <c r="F119" i="386" s="1"/>
  <c r="F113" i="386" a="1"/>
  <c r="F113" i="386" s="1"/>
  <c r="F110" i="386" a="1"/>
  <c r="F110" i="386" s="1"/>
  <c r="F105" i="386" a="1"/>
  <c r="F105" i="386" s="1"/>
  <c r="F104" i="386" a="1"/>
  <c r="F104" i="386" s="1"/>
  <c r="F158" i="386" a="1"/>
  <c r="F158" i="386" s="1"/>
  <c r="F148" i="386" a="1"/>
  <c r="F148" i="386" s="1"/>
  <c r="F142" i="386" a="1"/>
  <c r="F142" i="386" s="1"/>
  <c r="F140" i="386" a="1"/>
  <c r="F140" i="386" s="1"/>
  <c r="F132" i="386" a="1"/>
  <c r="F132" i="386" s="1"/>
  <c r="F128" i="386" a="1"/>
  <c r="F128" i="386" s="1"/>
  <c r="F122" i="386" a="1"/>
  <c r="F122" i="386" s="1"/>
  <c r="F118" i="386" a="1"/>
  <c r="F118" i="386" s="1"/>
  <c r="F116" i="386" a="1"/>
  <c r="F116" i="386" s="1"/>
  <c r="F112" i="386" a="1"/>
  <c r="F112" i="386" s="1"/>
  <c r="F107" i="386" a="1"/>
  <c r="F107" i="386" s="1"/>
  <c r="F106" i="386" a="1"/>
  <c r="F106" i="386" s="1"/>
  <c r="F101" i="386" a="1"/>
  <c r="F101" i="386" s="1"/>
  <c r="F100" i="386" a="1"/>
  <c r="F100" i="386" s="1"/>
  <c r="F96" i="386" a="1"/>
  <c r="F96" i="386" s="1"/>
  <c r="F157" i="386" a="1"/>
  <c r="F157" i="386" s="1"/>
  <c r="F147" i="386" a="1"/>
  <c r="F147" i="386" s="1"/>
  <c r="F145" i="386" a="1"/>
  <c r="F145" i="386" s="1"/>
  <c r="F139" i="386" a="1"/>
  <c r="F139" i="386" s="1"/>
  <c r="F131" i="386" a="1"/>
  <c r="F131" i="386" s="1"/>
  <c r="F127" i="386" a="1"/>
  <c r="F127" i="386" s="1"/>
  <c r="F125" i="386" a="1"/>
  <c r="F125" i="386" s="1"/>
  <c r="F121" i="386" a="1"/>
  <c r="F121" i="386" s="1"/>
  <c r="F115" i="386" a="1"/>
  <c r="F115" i="386" s="1"/>
  <c r="F111" i="386" a="1"/>
  <c r="F111" i="386" s="1"/>
  <c r="F156" i="386" a="1"/>
  <c r="F156" i="386" s="1"/>
  <c r="F150" i="386" a="1"/>
  <c r="F150" i="386" s="1"/>
  <c r="F144" i="386" a="1"/>
  <c r="F144" i="386" s="1"/>
  <c r="F138" i="386" a="1"/>
  <c r="F138" i="386" s="1"/>
  <c r="F136" i="386" a="1"/>
  <c r="F136" i="386" s="1"/>
  <c r="F130" i="386" a="1"/>
  <c r="F130" i="386" s="1"/>
  <c r="F124" i="386" a="1"/>
  <c r="F124" i="386" s="1"/>
  <c r="F120" i="386" a="1"/>
  <c r="F120" i="386" s="1"/>
  <c r="F114" i="386" a="1"/>
  <c r="F114" i="386" s="1"/>
  <c r="F109" i="386" a="1"/>
  <c r="F109" i="386" s="1"/>
  <c r="F95" i="386" a="1"/>
  <c r="F95" i="386" s="1"/>
  <c r="F91" i="386" a="1"/>
  <c r="F91" i="386" s="1"/>
  <c r="F90" i="386" a="1"/>
  <c r="F90" i="386" s="1"/>
  <c r="F79" i="386" a="1"/>
  <c r="F79" i="386" s="1"/>
  <c r="F75" i="386" a="1"/>
  <c r="F75" i="386" s="1"/>
  <c r="F73" i="386" a="1"/>
  <c r="F73" i="386" s="1"/>
  <c r="F71" i="386" a="1"/>
  <c r="F71" i="386" s="1"/>
  <c r="F69" i="386" a="1"/>
  <c r="F69" i="386" s="1"/>
  <c r="F67" i="386" a="1"/>
  <c r="F67" i="386" s="1"/>
  <c r="F63" i="386" a="1"/>
  <c r="F63" i="386" s="1"/>
  <c r="F61" i="386" a="1"/>
  <c r="F61" i="386" s="1"/>
  <c r="F59" i="386" a="1"/>
  <c r="F59" i="386" s="1"/>
  <c r="F57" i="386" a="1"/>
  <c r="F57" i="386" s="1"/>
  <c r="F55" i="386" a="1"/>
  <c r="F55" i="386" s="1"/>
  <c r="F53" i="386" a="1"/>
  <c r="F53" i="386" s="1"/>
  <c r="F51" i="386" a="1"/>
  <c r="F51" i="386" s="1"/>
  <c r="F49" i="386" a="1"/>
  <c r="F49" i="386" s="1"/>
  <c r="F42" i="386" a="1"/>
  <c r="F42" i="386" s="1"/>
  <c r="F40" i="386" a="1"/>
  <c r="F40" i="386" s="1"/>
  <c r="F38" i="386" a="1"/>
  <c r="F38" i="386" s="1"/>
  <c r="F103" i="386" a="1"/>
  <c r="F103" i="386" s="1"/>
  <c r="F98" i="386" a="1"/>
  <c r="F98" i="386" s="1"/>
  <c r="F93" i="386" a="1"/>
  <c r="F93" i="386" s="1"/>
  <c r="F92" i="386" a="1"/>
  <c r="F92" i="386" s="1"/>
  <c r="F87" i="386" a="1"/>
  <c r="F87" i="386" s="1"/>
  <c r="F21" i="386" a="1"/>
  <c r="F21" i="386" s="1"/>
  <c r="F19" i="386" a="1"/>
  <c r="F19" i="386" s="1"/>
  <c r="F15" i="386" a="1"/>
  <c r="F15" i="386" s="1"/>
  <c r="F88" i="386" a="1"/>
  <c r="F88" i="386" s="1"/>
  <c r="F78" i="386" a="1"/>
  <c r="F78" i="386" s="1"/>
  <c r="F74" i="386" a="1"/>
  <c r="F74" i="386" s="1"/>
  <c r="F72" i="386" a="1"/>
  <c r="F72" i="386" s="1"/>
  <c r="F68" i="386" a="1"/>
  <c r="F68" i="386" s="1"/>
  <c r="F66" i="386" a="1"/>
  <c r="F66" i="386" s="1"/>
  <c r="F64" i="386" a="1"/>
  <c r="F64" i="386" s="1"/>
  <c r="F62" i="386" a="1"/>
  <c r="F62" i="386" s="1"/>
  <c r="F60" i="386" a="1"/>
  <c r="F60" i="386" s="1"/>
  <c r="F58" i="386" a="1"/>
  <c r="F58" i="386" s="1"/>
  <c r="F56" i="386" a="1"/>
  <c r="F56" i="386" s="1"/>
  <c r="F54" i="386" a="1"/>
  <c r="F54" i="386" s="1"/>
  <c r="F52" i="386" a="1"/>
  <c r="F52" i="386"/>
  <c r="F48" i="386" a="1"/>
  <c r="F48" i="386" s="1"/>
  <c r="F41" i="386" a="1"/>
  <c r="F41" i="386" s="1"/>
  <c r="F39" i="386" a="1"/>
  <c r="F39" i="386" s="1"/>
  <c r="F37" i="386" a="1"/>
  <c r="F37" i="386" s="1"/>
  <c r="F35" i="386" a="1"/>
  <c r="F35" i="386" s="1"/>
  <c r="F33" i="386" a="1"/>
  <c r="F33" i="386" s="1"/>
  <c r="F31" i="386" a="1"/>
  <c r="F31" i="386" s="1"/>
  <c r="F94" i="386" a="1"/>
  <c r="F94" i="386" s="1"/>
  <c r="F22" i="386" a="1"/>
  <c r="F22" i="386" s="1"/>
  <c r="F18" i="386" a="1"/>
  <c r="F18" i="386" s="1"/>
  <c r="F16" i="386" a="1"/>
  <c r="F16" i="386" s="1"/>
  <c r="F14" i="386" a="1"/>
  <c r="F14" i="386" s="1"/>
  <c r="F12" i="386" a="1"/>
  <c r="F12" i="386" s="1"/>
  <c r="J160" i="386" a="1"/>
  <c r="J160" i="386" s="1"/>
  <c r="J166" i="386" a="1"/>
  <c r="J166" i="386" s="1"/>
  <c r="J159" i="386" a="1"/>
  <c r="J159" i="386" s="1"/>
  <c r="J155" i="386" a="1"/>
  <c r="J155" i="386" s="1"/>
  <c r="J149" i="386" a="1"/>
  <c r="J149" i="386" s="1"/>
  <c r="J143" i="386" a="1"/>
  <c r="J143" i="386" s="1"/>
  <c r="J135" i="386" a="1"/>
  <c r="J135" i="386" s="1"/>
  <c r="J133" i="386" a="1"/>
  <c r="J133" i="386" s="1"/>
  <c r="J129" i="386" a="1"/>
  <c r="J129" i="386" s="1"/>
  <c r="J123" i="386" a="1"/>
  <c r="J123" i="386" s="1"/>
  <c r="J119" i="386" a="1"/>
  <c r="J119" i="386" s="1"/>
  <c r="J113" i="386" a="1"/>
  <c r="J113" i="386" s="1"/>
  <c r="J158" i="386" a="1"/>
  <c r="J158" i="386" s="1"/>
  <c r="J148" i="386" a="1"/>
  <c r="J148" i="386" s="1"/>
  <c r="J142" i="386" a="1"/>
  <c r="J142" i="386" s="1"/>
  <c r="J140" i="386" a="1"/>
  <c r="J140" i="386" s="1"/>
  <c r="J132" i="386" a="1"/>
  <c r="J132" i="386" s="1"/>
  <c r="J128" i="386" a="1"/>
  <c r="J128" i="386" s="1"/>
  <c r="J122" i="386" a="1"/>
  <c r="J122" i="386" s="1"/>
  <c r="J118" i="386" a="1"/>
  <c r="J118" i="386" s="1"/>
  <c r="J116" i="386" a="1"/>
  <c r="J116" i="386" s="1"/>
  <c r="J112" i="386" a="1"/>
  <c r="J112" i="386" s="1"/>
  <c r="J109" i="386" a="1"/>
  <c r="J109" i="386" s="1"/>
  <c r="J103" i="386" a="1"/>
  <c r="J103" i="386" s="1"/>
  <c r="J98" i="386" a="1"/>
  <c r="J98" i="386" s="1"/>
  <c r="J157" i="386" a="1"/>
  <c r="J157" i="386" s="1"/>
  <c r="J147" i="386" a="1"/>
  <c r="J147" i="386" s="1"/>
  <c r="J145" i="386" a="1"/>
  <c r="J145" i="386" s="1"/>
  <c r="J139" i="386" a="1"/>
  <c r="J139" i="386" s="1"/>
  <c r="J131" i="386" a="1"/>
  <c r="J131" i="386" s="1"/>
  <c r="J127" i="386" a="1"/>
  <c r="J127" i="386" s="1"/>
  <c r="J125" i="386" a="1"/>
  <c r="J125" i="386" s="1"/>
  <c r="J121" i="386" a="1"/>
  <c r="J121" i="386" s="1"/>
  <c r="J115" i="386" a="1"/>
  <c r="J115" i="386" s="1"/>
  <c r="J111" i="386" a="1"/>
  <c r="J111" i="386" s="1"/>
  <c r="J110" i="386" a="1"/>
  <c r="J110" i="386" s="1"/>
  <c r="J105" i="386" a="1"/>
  <c r="J105" i="386" s="1"/>
  <c r="J104" i="386" a="1"/>
  <c r="J104" i="386" s="1"/>
  <c r="J156" i="386" a="1"/>
  <c r="J156" i="386" s="1"/>
  <c r="J150" i="386" a="1"/>
  <c r="J150" i="386" s="1"/>
  <c r="J144" i="386" a="1"/>
  <c r="J144" i="386" s="1"/>
  <c r="J138" i="386" a="1"/>
  <c r="J138" i="386" s="1"/>
  <c r="J136" i="386" a="1"/>
  <c r="J136" i="386" s="1"/>
  <c r="J130" i="386" a="1"/>
  <c r="J130" i="386" s="1"/>
  <c r="J124" i="386" a="1"/>
  <c r="J124" i="386" s="1"/>
  <c r="J120" i="386" a="1"/>
  <c r="J120" i="386" s="1"/>
  <c r="J114" i="386" a="1"/>
  <c r="J114" i="386" s="1"/>
  <c r="J107" i="386" a="1"/>
  <c r="J107" i="386" s="1"/>
  <c r="J88" i="386" a="1"/>
  <c r="J88" i="386" s="1"/>
  <c r="J79" i="386" a="1"/>
  <c r="J79" i="386" s="1"/>
  <c r="J75" i="386" a="1"/>
  <c r="J75" i="386" s="1"/>
  <c r="J73" i="386" a="1"/>
  <c r="J73" i="386" s="1"/>
  <c r="J71" i="386" a="1"/>
  <c r="J71" i="386" s="1"/>
  <c r="J69" i="386" a="1"/>
  <c r="J69" i="386" s="1"/>
  <c r="J67" i="386" a="1"/>
  <c r="J67" i="386" s="1"/>
  <c r="J63" i="386" a="1"/>
  <c r="J63" i="386" s="1"/>
  <c r="J61" i="386" a="1"/>
  <c r="J61" i="386" s="1"/>
  <c r="J59" i="386" a="1"/>
  <c r="J59" i="386" s="1"/>
  <c r="J57" i="386" a="1"/>
  <c r="J57" i="386" s="1"/>
  <c r="J55" i="386" a="1"/>
  <c r="J55" i="386" s="1"/>
  <c r="J53" i="386" a="1"/>
  <c r="J53" i="386" s="1"/>
  <c r="J51" i="386" a="1"/>
  <c r="J51" i="386" s="1"/>
  <c r="J49" i="386" a="1"/>
  <c r="J49" i="386" s="1"/>
  <c r="J42" i="386" a="1"/>
  <c r="J42" i="386" s="1"/>
  <c r="J40" i="386" a="1"/>
  <c r="J40" i="386" s="1"/>
  <c r="J38" i="386" a="1"/>
  <c r="J38" i="386" s="1"/>
  <c r="J106" i="386" a="1"/>
  <c r="J106" i="386" s="1"/>
  <c r="J101" i="386" a="1"/>
  <c r="J101" i="386" s="1"/>
  <c r="J96" i="386" a="1"/>
  <c r="J96" i="386" s="1"/>
  <c r="J21" i="386" a="1"/>
  <c r="J21" i="386" s="1"/>
  <c r="J19" i="386" a="1"/>
  <c r="J19" i="386" s="1"/>
  <c r="J15" i="386" a="1"/>
  <c r="J15" i="386" s="1"/>
  <c r="J94" i="386" a="1"/>
  <c r="J94" i="386" s="1"/>
  <c r="J91" i="386" a="1"/>
  <c r="J91" i="386" s="1"/>
  <c r="J90" i="386" a="1"/>
  <c r="J90" i="386" s="1"/>
  <c r="J78" i="386" a="1"/>
  <c r="J78" i="386" s="1"/>
  <c r="J74" i="386" a="1"/>
  <c r="J74" i="386" s="1"/>
  <c r="J72" i="386" a="1"/>
  <c r="J72" i="386" s="1"/>
  <c r="J68" i="386" a="1"/>
  <c r="J68" i="386" s="1"/>
  <c r="J66" i="386" a="1"/>
  <c r="J66" i="386" s="1"/>
  <c r="J64" i="386" a="1"/>
  <c r="J64" i="386" s="1"/>
  <c r="J62" i="386" a="1"/>
  <c r="J62" i="386" s="1"/>
  <c r="J60" i="386" a="1"/>
  <c r="J60" i="386" s="1"/>
  <c r="J58" i="386" a="1"/>
  <c r="J58" i="386" s="1"/>
  <c r="J56" i="386" a="1"/>
  <c r="J56" i="386" s="1"/>
  <c r="J54" i="386" a="1"/>
  <c r="J54" i="386" s="1"/>
  <c r="J52" i="386" a="1"/>
  <c r="J52" i="386" s="1"/>
  <c r="J48" i="386" a="1"/>
  <c r="J48" i="386" s="1"/>
  <c r="J41" i="386" a="1"/>
  <c r="J41" i="386" s="1"/>
  <c r="J39" i="386" a="1"/>
  <c r="J39" i="386" s="1"/>
  <c r="J37" i="386" a="1"/>
  <c r="J37" i="386" s="1"/>
  <c r="J35" i="386" a="1"/>
  <c r="J35" i="386" s="1"/>
  <c r="J33" i="386" a="1"/>
  <c r="J33" i="386" s="1"/>
  <c r="J31" i="386" a="1"/>
  <c r="J31" i="386" s="1"/>
  <c r="J100" i="386" a="1"/>
  <c r="J100" i="386" s="1"/>
  <c r="J95" i="386" a="1"/>
  <c r="J95" i="386" s="1"/>
  <c r="J93" i="386" a="1"/>
  <c r="J93" i="386" s="1"/>
  <c r="J92" i="386" a="1"/>
  <c r="J92" i="386" s="1"/>
  <c r="J87" i="386" a="1"/>
  <c r="J87" i="386" s="1"/>
  <c r="J22" i="386" a="1"/>
  <c r="J22" i="386" s="1"/>
  <c r="J18" i="386" a="1"/>
  <c r="J18" i="386" s="1"/>
  <c r="J16" i="386" a="1"/>
  <c r="J16" i="386" s="1"/>
  <c r="J14" i="386" a="1"/>
  <c r="J14" i="386" s="1"/>
  <c r="J12" i="386" a="1"/>
  <c r="J12" i="386" s="1"/>
  <c r="N79" i="386" a="1"/>
  <c r="N79" i="386" s="1"/>
  <c r="N160" i="386" a="1"/>
  <c r="N160" i="386" s="1"/>
  <c r="N166" i="386" a="1"/>
  <c r="N166" i="386" s="1"/>
  <c r="N155" i="386" a="1"/>
  <c r="N155" i="386" s="1"/>
  <c r="N149" i="386" a="1"/>
  <c r="N149" i="386" s="1"/>
  <c r="N143" i="386" a="1"/>
  <c r="N143" i="386" s="1"/>
  <c r="N135" i="386" a="1"/>
  <c r="N135" i="386" s="1"/>
  <c r="N133" i="386" a="1"/>
  <c r="N133" i="386" s="1"/>
  <c r="N129" i="386" a="1"/>
  <c r="N129" i="386" s="1"/>
  <c r="N123" i="386" a="1"/>
  <c r="N123" i="386" s="1"/>
  <c r="N119" i="386" a="1"/>
  <c r="N119" i="386" s="1"/>
  <c r="N113" i="386" a="1"/>
  <c r="N113" i="386" s="1"/>
  <c r="N110" i="386" a="1"/>
  <c r="N110" i="386" s="1"/>
  <c r="N105" i="386" a="1"/>
  <c r="N105" i="386" s="1"/>
  <c r="N104" i="386" a="1"/>
  <c r="N104" i="386" s="1"/>
  <c r="N95" i="386" a="1"/>
  <c r="N95" i="386" s="1"/>
  <c r="N159" i="386" a="1"/>
  <c r="N159" i="386" s="1"/>
  <c r="N158" i="386" a="1"/>
  <c r="N158" i="386" s="1"/>
  <c r="N148" i="386" a="1"/>
  <c r="N148" i="386" s="1"/>
  <c r="N142" i="386" a="1"/>
  <c r="N142" i="386" s="1"/>
  <c r="N140" i="386" a="1"/>
  <c r="N140" i="386" s="1"/>
  <c r="N132" i="386" a="1"/>
  <c r="N132" i="386" s="1"/>
  <c r="N128" i="386" a="1"/>
  <c r="N128" i="386" s="1"/>
  <c r="N122" i="386" a="1"/>
  <c r="N122" i="386" s="1"/>
  <c r="N118" i="386" a="1"/>
  <c r="N118" i="386" s="1"/>
  <c r="N116" i="386" a="1"/>
  <c r="N116" i="386" s="1"/>
  <c r="N112" i="386" a="1"/>
  <c r="N112" i="386" s="1"/>
  <c r="N107" i="386" a="1"/>
  <c r="N107" i="386" s="1"/>
  <c r="N106" i="386" a="1"/>
  <c r="N106" i="386" s="1"/>
  <c r="N101" i="386" a="1"/>
  <c r="N101" i="386" s="1"/>
  <c r="N100" i="386" a="1"/>
  <c r="N100" i="386" s="1"/>
  <c r="N98" i="386" a="1"/>
  <c r="N98" i="386" s="1"/>
  <c r="N96" i="386" a="1"/>
  <c r="N96" i="386" s="1"/>
  <c r="N157" i="386" a="1"/>
  <c r="N157" i="386" s="1"/>
  <c r="N147" i="386" a="1"/>
  <c r="N147" i="386" s="1"/>
  <c r="N145" i="386" a="1"/>
  <c r="N145" i="386" s="1"/>
  <c r="N139" i="386" a="1"/>
  <c r="N139" i="386" s="1"/>
  <c r="N131" i="386" a="1"/>
  <c r="N131" i="386" s="1"/>
  <c r="N127" i="386" a="1"/>
  <c r="N127" i="386" s="1"/>
  <c r="N125" i="386" a="1"/>
  <c r="N125" i="386" s="1"/>
  <c r="N121" i="386" a="1"/>
  <c r="N121" i="386" s="1"/>
  <c r="N115" i="386" a="1"/>
  <c r="N115" i="386" s="1"/>
  <c r="N111" i="386" a="1"/>
  <c r="N111" i="386" s="1"/>
  <c r="N156" i="386" a="1"/>
  <c r="N156" i="386" s="1"/>
  <c r="N150" i="386" a="1"/>
  <c r="N150" i="386" s="1"/>
  <c r="N144" i="386" a="1"/>
  <c r="N144" i="386" s="1"/>
  <c r="N138" i="386" a="1"/>
  <c r="N138" i="386" s="1"/>
  <c r="N137" i="386" s="1"/>
  <c r="N136" i="386" a="1"/>
  <c r="N136" i="386" s="1"/>
  <c r="N130" i="386" a="1"/>
  <c r="N130" i="386" s="1"/>
  <c r="N124" i="386" a="1"/>
  <c r="N124" i="386" s="1"/>
  <c r="N120" i="386" a="1"/>
  <c r="N120" i="386" s="1"/>
  <c r="N114" i="386" a="1"/>
  <c r="N114" i="386" s="1"/>
  <c r="N109" i="386" a="1"/>
  <c r="N109" i="386" s="1"/>
  <c r="N91" i="386" a="1"/>
  <c r="N91" i="386" s="1"/>
  <c r="N90" i="386" a="1"/>
  <c r="N90" i="386" s="1"/>
  <c r="N75" i="386" a="1"/>
  <c r="N75" i="386" s="1"/>
  <c r="N73" i="386" a="1"/>
  <c r="N73" i="386" s="1"/>
  <c r="N71" i="386" a="1"/>
  <c r="N71" i="386" s="1"/>
  <c r="N69" i="386" a="1"/>
  <c r="N69" i="386" s="1"/>
  <c r="N67" i="386" a="1"/>
  <c r="N67" i="386" s="1"/>
  <c r="N63" i="386" a="1"/>
  <c r="N63" i="386" s="1"/>
  <c r="N61" i="386" a="1"/>
  <c r="N61" i="386" s="1"/>
  <c r="N59" i="386" a="1"/>
  <c r="N59" i="386" s="1"/>
  <c r="N57" i="386" a="1"/>
  <c r="N57" i="386" s="1"/>
  <c r="N55" i="386" a="1"/>
  <c r="N55" i="386" s="1"/>
  <c r="N53" i="386" a="1"/>
  <c r="N53" i="386" s="1"/>
  <c r="N51" i="386" a="1"/>
  <c r="N51" i="386" s="1"/>
  <c r="N49" i="386" a="1"/>
  <c r="N49" i="386" s="1"/>
  <c r="N42" i="386" a="1"/>
  <c r="N42" i="386" s="1"/>
  <c r="N40" i="386" a="1"/>
  <c r="N40" i="386" s="1"/>
  <c r="N38" i="386" a="1"/>
  <c r="N38" i="386" s="1"/>
  <c r="N93" i="386" a="1"/>
  <c r="N93" i="386" s="1"/>
  <c r="N92" i="386" a="1"/>
  <c r="N92" i="386" s="1"/>
  <c r="N87" i="386" a="1"/>
  <c r="N87" i="386" s="1"/>
  <c r="N21" i="386" a="1"/>
  <c r="N21" i="386" s="1"/>
  <c r="N19" i="386" a="1"/>
  <c r="N19" i="386" s="1"/>
  <c r="N15" i="386" a="1"/>
  <c r="N15" i="386" s="1"/>
  <c r="N94" i="386" a="1"/>
  <c r="N94" i="386" s="1"/>
  <c r="N88" i="386" a="1"/>
  <c r="N88" i="386" s="1"/>
  <c r="N78" i="386" a="1"/>
  <c r="N78" i="386" s="1"/>
  <c r="N74" i="386" a="1"/>
  <c r="N74" i="386" s="1"/>
  <c r="N72" i="386" a="1"/>
  <c r="N72" i="386" s="1"/>
  <c r="N68" i="386" a="1"/>
  <c r="N68" i="386" s="1"/>
  <c r="N66" i="386" a="1"/>
  <c r="N66" i="386" s="1"/>
  <c r="N64" i="386" a="1"/>
  <c r="N64" i="386" s="1"/>
  <c r="N62" i="386" a="1"/>
  <c r="N62" i="386" s="1"/>
  <c r="N60" i="386" a="1"/>
  <c r="N60" i="386" s="1"/>
  <c r="N58" i="386" a="1"/>
  <c r="N58" i="386" s="1"/>
  <c r="N56" i="386" a="1"/>
  <c r="N56" i="386" s="1"/>
  <c r="N54" i="386" a="1"/>
  <c r="N54" i="386" s="1"/>
  <c r="N52" i="386" a="1"/>
  <c r="N52" i="386" s="1"/>
  <c r="N48" i="386" a="1"/>
  <c r="N48" i="386" s="1"/>
  <c r="N41" i="386" a="1"/>
  <c r="N41" i="386" s="1"/>
  <c r="N39" i="386" a="1"/>
  <c r="N39" i="386" s="1"/>
  <c r="N37" i="386" a="1"/>
  <c r="N37" i="386" s="1"/>
  <c r="N35" i="386" a="1"/>
  <c r="N35" i="386" s="1"/>
  <c r="N33" i="386" a="1"/>
  <c r="N33" i="386" s="1"/>
  <c r="N31" i="386" a="1"/>
  <c r="N31" i="386" s="1"/>
  <c r="N103" i="386" a="1"/>
  <c r="N103" i="386" s="1"/>
  <c r="N22" i="386" a="1"/>
  <c r="N22" i="386" s="1"/>
  <c r="N18" i="386" a="1"/>
  <c r="N18" i="386" s="1"/>
  <c r="N16" i="386" a="1"/>
  <c r="N16" i="386" s="1"/>
  <c r="N14" i="386" a="1"/>
  <c r="N14" i="386" s="1"/>
  <c r="N12" i="386" a="1"/>
  <c r="N12" i="386" s="1"/>
  <c r="F32" i="386" a="1"/>
  <c r="F32" i="386" s="1"/>
  <c r="J32" i="386" a="1"/>
  <c r="J32" i="386" s="1"/>
  <c r="N32" i="386" a="1"/>
  <c r="N32" i="386" s="1"/>
  <c r="F36" i="386" a="1"/>
  <c r="F36" i="386" s="1"/>
  <c r="J36" i="386" a="1"/>
  <c r="J36" i="386" s="1"/>
  <c r="N36" i="386" a="1"/>
  <c r="N36" i="386" s="1"/>
  <c r="G166" i="386" a="1"/>
  <c r="G166" i="386" s="1"/>
  <c r="G158" i="386" a="1"/>
  <c r="G158" i="386" s="1"/>
  <c r="G148" i="386" a="1"/>
  <c r="G148" i="386" s="1"/>
  <c r="G142" i="386" a="1"/>
  <c r="G142" i="386" s="1"/>
  <c r="G140" i="386" a="1"/>
  <c r="G140" i="386" s="1"/>
  <c r="G132" i="386" a="1"/>
  <c r="G132" i="386" s="1"/>
  <c r="G128" i="386" a="1"/>
  <c r="G128" i="386" s="1"/>
  <c r="G122" i="386" a="1"/>
  <c r="G122" i="386" s="1"/>
  <c r="G118" i="386" a="1"/>
  <c r="G118" i="386" s="1"/>
  <c r="G116" i="386" a="1"/>
  <c r="G116" i="386" s="1"/>
  <c r="G112" i="386" a="1"/>
  <c r="G112" i="386" s="1"/>
  <c r="G107" i="386" a="1"/>
  <c r="G107" i="386" s="1"/>
  <c r="G101" i="386" a="1"/>
  <c r="G101" i="386" s="1"/>
  <c r="G157" i="386" a="1"/>
  <c r="G157" i="386" s="1"/>
  <c r="G147" i="386" a="1"/>
  <c r="G147" i="386" s="1"/>
  <c r="G145" i="386" a="1"/>
  <c r="G145" i="386" s="1"/>
  <c r="G139" i="386" a="1"/>
  <c r="G139" i="386" s="1"/>
  <c r="G131" i="386" a="1"/>
  <c r="G131" i="386" s="1"/>
  <c r="G127" i="386" a="1"/>
  <c r="G127" i="386" s="1"/>
  <c r="G125" i="386" a="1"/>
  <c r="G125" i="386" s="1"/>
  <c r="G121" i="386" a="1"/>
  <c r="G121" i="386" s="1"/>
  <c r="G115" i="386" a="1"/>
  <c r="G115" i="386" s="1"/>
  <c r="G111" i="386" a="1"/>
  <c r="G111" i="386" s="1"/>
  <c r="G98" i="386" a="1"/>
  <c r="G98" i="386" s="1"/>
  <c r="G160" i="386" a="1"/>
  <c r="G160" i="386" s="1"/>
  <c r="G156" i="386" a="1"/>
  <c r="G156" i="386" s="1"/>
  <c r="G150" i="386" a="1"/>
  <c r="G150" i="386" s="1"/>
  <c r="G144" i="386" a="1"/>
  <c r="G144" i="386" s="1"/>
  <c r="G138" i="386" a="1"/>
  <c r="G138" i="386" s="1"/>
  <c r="G136" i="386" a="1"/>
  <c r="G136" i="386" s="1"/>
  <c r="G130" i="386" a="1"/>
  <c r="G130" i="386" s="1"/>
  <c r="G124" i="386" a="1"/>
  <c r="G124" i="386" s="1"/>
  <c r="G120" i="386" a="1"/>
  <c r="G120" i="386" s="1"/>
  <c r="G114" i="386" a="1"/>
  <c r="G114" i="386" s="1"/>
  <c r="G110" i="386" a="1"/>
  <c r="G110" i="386" s="1"/>
  <c r="G109" i="386" a="1"/>
  <c r="G109" i="386" s="1"/>
  <c r="G104" i="386" a="1"/>
  <c r="G104" i="386" s="1"/>
  <c r="G159" i="386" a="1"/>
  <c r="G159" i="386" s="1"/>
  <c r="G155" i="386" a="1"/>
  <c r="G155" i="386" s="1"/>
  <c r="G149" i="386" a="1"/>
  <c r="G149" i="386" s="1"/>
  <c r="G143" i="386" a="1"/>
  <c r="G143" i="386" s="1"/>
  <c r="G135" i="386" a="1"/>
  <c r="G135" i="386" s="1"/>
  <c r="G133" i="386" a="1"/>
  <c r="G133" i="386" s="1"/>
  <c r="G129" i="386" a="1"/>
  <c r="G129" i="386" s="1"/>
  <c r="G123" i="386" a="1"/>
  <c r="G123" i="386" s="1"/>
  <c r="G119" i="386" a="1"/>
  <c r="G119" i="386" s="1"/>
  <c r="G113" i="386" a="1"/>
  <c r="G113" i="386" s="1"/>
  <c r="K160" i="386" a="1"/>
  <c r="K160" i="386" s="1"/>
  <c r="K166" i="386" a="1"/>
  <c r="K166" i="386" s="1"/>
  <c r="K158" i="386" a="1"/>
  <c r="K158" i="386" s="1"/>
  <c r="K148" i="386" a="1"/>
  <c r="K148" i="386" s="1"/>
  <c r="K142" i="386" a="1"/>
  <c r="K142" i="386" s="1"/>
  <c r="K140" i="386" a="1"/>
  <c r="K140" i="386" s="1"/>
  <c r="K132" i="386" a="1"/>
  <c r="K132" i="386" s="1"/>
  <c r="K128" i="386" a="1"/>
  <c r="K128" i="386" s="1"/>
  <c r="K122" i="386" a="1"/>
  <c r="K122" i="386" s="1"/>
  <c r="K118" i="386" a="1"/>
  <c r="K118" i="386" s="1"/>
  <c r="K116" i="386" a="1"/>
  <c r="K116" i="386" s="1"/>
  <c r="K112" i="386" a="1"/>
  <c r="K112" i="386" s="1"/>
  <c r="K110" i="386" a="1"/>
  <c r="K110" i="386" s="1"/>
  <c r="K109" i="386" a="1"/>
  <c r="K109" i="386" s="1"/>
  <c r="K104" i="386" a="1"/>
  <c r="K104" i="386" s="1"/>
  <c r="K103" i="386" a="1"/>
  <c r="K103" i="386" s="1"/>
  <c r="D103" i="386" a="1"/>
  <c r="D103" i="386" s="1"/>
  <c r="G103" i="386" a="1"/>
  <c r="G103" i="386" s="1"/>
  <c r="H103" i="386" a="1"/>
  <c r="H103" i="386" s="1"/>
  <c r="I103" i="386" a="1"/>
  <c r="I103" i="386" s="1"/>
  <c r="L103" i="386" a="1"/>
  <c r="L103" i="386" s="1"/>
  <c r="M103" i="386" a="1"/>
  <c r="M103" i="386" s="1"/>
  <c r="O103" i="386" a="1"/>
  <c r="O103" i="386" s="1"/>
  <c r="K157" i="386" a="1"/>
  <c r="K157" i="386"/>
  <c r="K147" i="386" a="1"/>
  <c r="K147" i="386" s="1"/>
  <c r="C147" i="386" s="1"/>
  <c r="P147" i="386" s="1"/>
  <c r="K145" i="386" a="1"/>
  <c r="K145" i="386"/>
  <c r="K139" i="386" a="1"/>
  <c r="K139" i="386" s="1"/>
  <c r="K137" i="386" s="1"/>
  <c r="K131" i="386" a="1"/>
  <c r="K131" i="386"/>
  <c r="K127" i="386" a="1"/>
  <c r="K127" i="386" s="1"/>
  <c r="K125" i="386" a="1"/>
  <c r="K125" i="386"/>
  <c r="K121" i="386" a="1"/>
  <c r="K121" i="386" s="1"/>
  <c r="K117" i="386" s="1"/>
  <c r="K115" i="386" a="1"/>
  <c r="K115" i="386"/>
  <c r="K111" i="386" a="1"/>
  <c r="K111" i="386" s="1"/>
  <c r="K106" i="386" a="1"/>
  <c r="K106" i="386"/>
  <c r="K105" i="386" a="1"/>
  <c r="K105" i="386" s="1"/>
  <c r="K100" i="386" a="1"/>
  <c r="K100" i="386"/>
  <c r="K96" i="386" a="1"/>
  <c r="K96" i="386" s="1"/>
  <c r="K89" i="386" s="1"/>
  <c r="K95" i="386" a="1"/>
  <c r="K95" i="386"/>
  <c r="K156" i="386" a="1"/>
  <c r="K156" i="386" s="1"/>
  <c r="K150" i="386" a="1"/>
  <c r="K150" i="386"/>
  <c r="K144" i="386" a="1"/>
  <c r="K144" i="386" s="1"/>
  <c r="K138" i="386" a="1"/>
  <c r="K138" i="386"/>
  <c r="K136" i="386" a="1"/>
  <c r="K136" i="386" s="1"/>
  <c r="C136" i="386" s="1"/>
  <c r="P136" i="386" s="1"/>
  <c r="K130" i="386" a="1"/>
  <c r="K130" i="386"/>
  <c r="K124" i="386" a="1"/>
  <c r="K124" i="386" s="1"/>
  <c r="K120" i="386" a="1"/>
  <c r="K120" i="386"/>
  <c r="K114" i="386" a="1"/>
  <c r="K114" i="386" s="1"/>
  <c r="K107" i="386" a="1"/>
  <c r="K107" i="386"/>
  <c r="K159" i="386" a="1"/>
  <c r="K159" i="386" s="1"/>
  <c r="K155" i="386" a="1"/>
  <c r="K155" i="386" s="1"/>
  <c r="K161" i="386" s="1"/>
  <c r="K149" i="386" a="1"/>
  <c r="K149" i="386" s="1"/>
  <c r="K143" i="386" a="1"/>
  <c r="K143" i="386" s="1"/>
  <c r="K135" i="386" a="1"/>
  <c r="K135" i="386" s="1"/>
  <c r="K133" i="386" a="1"/>
  <c r="K133" i="386"/>
  <c r="K129" i="386" a="1"/>
  <c r="K129" i="386" s="1"/>
  <c r="K123" i="386" a="1"/>
  <c r="K123" i="386"/>
  <c r="K119" i="386" a="1"/>
  <c r="K119" i="386" s="1"/>
  <c r="K113" i="386" a="1"/>
  <c r="K113" i="386" s="1"/>
  <c r="O166" i="386" a="1"/>
  <c r="O166" i="386" s="1"/>
  <c r="O160" i="386" a="1"/>
  <c r="O160" i="386" s="1"/>
  <c r="O159" i="386" a="1"/>
  <c r="O159" i="386" s="1"/>
  <c r="O158" i="386" a="1"/>
  <c r="O158" i="386" s="1"/>
  <c r="O148" i="386" a="1"/>
  <c r="O148" i="386" s="1"/>
  <c r="O142" i="386" a="1"/>
  <c r="O142" i="386" s="1"/>
  <c r="O140" i="386" a="1"/>
  <c r="O140" i="386" s="1"/>
  <c r="O132" i="386" a="1"/>
  <c r="O132" i="386" s="1"/>
  <c r="O128" i="386" a="1"/>
  <c r="O128" i="386" s="1"/>
  <c r="O122" i="386" a="1"/>
  <c r="O122" i="386" s="1"/>
  <c r="O118" i="386" a="1"/>
  <c r="O118" i="386" s="1"/>
  <c r="O116" i="386" a="1"/>
  <c r="O116" i="386" s="1"/>
  <c r="O112" i="386" a="1"/>
  <c r="O112" i="386" s="1"/>
  <c r="O107" i="386" a="1"/>
  <c r="O107" i="386" s="1"/>
  <c r="O101" i="386" a="1"/>
  <c r="O101" i="386" s="1"/>
  <c r="O157" i="386" a="1"/>
  <c r="O157" i="386" s="1"/>
  <c r="O147" i="386" a="1"/>
  <c r="O147" i="386" s="1"/>
  <c r="O145" i="386" a="1"/>
  <c r="O145" i="386" s="1"/>
  <c r="O139" i="386" a="1"/>
  <c r="O139" i="386" s="1"/>
  <c r="O131" i="386" a="1"/>
  <c r="O131" i="386" s="1"/>
  <c r="O127" i="386" a="1"/>
  <c r="O127" i="386" s="1"/>
  <c r="O125" i="386" a="1"/>
  <c r="O125" i="386" s="1"/>
  <c r="O121" i="386" a="1"/>
  <c r="O121" i="386" s="1"/>
  <c r="O115" i="386" a="1"/>
  <c r="O115" i="386" s="1"/>
  <c r="O111" i="386" a="1"/>
  <c r="O111" i="386" s="1"/>
  <c r="O98" i="386" a="1"/>
  <c r="O98" i="386" s="1"/>
  <c r="O156" i="386" a="1"/>
  <c r="O156" i="386" s="1"/>
  <c r="O150" i="386" a="1"/>
  <c r="O150" i="386" s="1"/>
  <c r="O144" i="386" a="1"/>
  <c r="O144" i="386" s="1"/>
  <c r="O138" i="386" a="1"/>
  <c r="O138" i="386" s="1"/>
  <c r="O136" i="386" a="1"/>
  <c r="O136" i="386" s="1"/>
  <c r="O130" i="386" a="1"/>
  <c r="O130" i="386" s="1"/>
  <c r="O124" i="386" a="1"/>
  <c r="O124" i="386" s="1"/>
  <c r="O120" i="386" a="1"/>
  <c r="O120" i="386" s="1"/>
  <c r="O114" i="386" a="1"/>
  <c r="O114" i="386" s="1"/>
  <c r="O110" i="386" a="1"/>
  <c r="O110" i="386" s="1"/>
  <c r="O109" i="386" a="1"/>
  <c r="O109" i="386" s="1"/>
  <c r="O104" i="386" a="1"/>
  <c r="O104" i="386" s="1"/>
  <c r="O155" i="386" a="1"/>
  <c r="O155" i="386" s="1"/>
  <c r="O149" i="386" a="1"/>
  <c r="O149" i="386" s="1"/>
  <c r="O143" i="386" a="1"/>
  <c r="O143" i="386" s="1"/>
  <c r="O135" i="386" a="1"/>
  <c r="O135" i="386" s="1"/>
  <c r="O133" i="386" a="1"/>
  <c r="O133" i="386" s="1"/>
  <c r="O129" i="386" a="1"/>
  <c r="O129" i="386" s="1"/>
  <c r="O123" i="386" a="1"/>
  <c r="O123" i="386" s="1"/>
  <c r="O119" i="386" a="1"/>
  <c r="O119" i="386" s="1"/>
  <c r="O113" i="386" a="1"/>
  <c r="O113" i="386" s="1"/>
  <c r="D12" i="386" a="1"/>
  <c r="D12" i="386" s="1"/>
  <c r="H12" i="386" a="1"/>
  <c r="H12" i="386" s="1"/>
  <c r="L12" i="386" a="1"/>
  <c r="L12" i="386" s="1"/>
  <c r="D14" i="386" a="1"/>
  <c r="D14" i="386" s="1"/>
  <c r="H14" i="386" a="1"/>
  <c r="H14" i="386" s="1"/>
  <c r="L14" i="386" a="1"/>
  <c r="L14" i="386" s="1"/>
  <c r="G15" i="386" a="1"/>
  <c r="G15" i="386" s="1"/>
  <c r="I15" i="386" a="1"/>
  <c r="I15" i="386" s="1"/>
  <c r="K15" i="386" a="1"/>
  <c r="K15" i="386" s="1"/>
  <c r="M15" i="386" a="1"/>
  <c r="M15" i="386" s="1"/>
  <c r="O15" i="386" a="1"/>
  <c r="O15" i="386" s="1"/>
  <c r="D16" i="386" a="1"/>
  <c r="D16" i="386" s="1"/>
  <c r="H16" i="386" a="1"/>
  <c r="H16" i="386" s="1"/>
  <c r="L16" i="386" a="1"/>
  <c r="L16" i="386" s="1"/>
  <c r="D18" i="386" a="1"/>
  <c r="D18" i="386" s="1"/>
  <c r="H18" i="386" a="1"/>
  <c r="H18" i="386" s="1"/>
  <c r="L18" i="386" a="1"/>
  <c r="L18" i="386" s="1"/>
  <c r="E19" i="386" a="1"/>
  <c r="E19" i="386" s="1"/>
  <c r="G19" i="386" a="1"/>
  <c r="G19" i="386" s="1"/>
  <c r="I19" i="386" a="1"/>
  <c r="I19" i="386" s="1"/>
  <c r="K19" i="386" a="1"/>
  <c r="K19" i="386" s="1"/>
  <c r="M19" i="386" a="1"/>
  <c r="M19" i="386" s="1"/>
  <c r="O19" i="386" a="1"/>
  <c r="O19" i="386" s="1"/>
  <c r="E21" i="386" a="1"/>
  <c r="E21" i="386" s="1"/>
  <c r="G21" i="386" a="1"/>
  <c r="G21" i="386" s="1"/>
  <c r="I21" i="386" a="1"/>
  <c r="I21" i="386" s="1"/>
  <c r="K21" i="386" a="1"/>
  <c r="K21" i="386" s="1"/>
  <c r="M21" i="386" a="1"/>
  <c r="M21" i="386" s="1"/>
  <c r="O21" i="386" a="1"/>
  <c r="O21" i="386" s="1"/>
  <c r="D22" i="386" a="1"/>
  <c r="D22" i="386" s="1"/>
  <c r="H22" i="386" a="1"/>
  <c r="H22" i="386" s="1"/>
  <c r="L22" i="386" a="1"/>
  <c r="L22" i="386" s="1"/>
  <c r="M79" i="386" a="1"/>
  <c r="M79" i="386" s="1"/>
  <c r="E87" i="386" a="1"/>
  <c r="E87" i="386" s="1"/>
  <c r="M87" i="386" a="1"/>
  <c r="M87" i="386" s="1"/>
  <c r="E88" i="386" a="1"/>
  <c r="E88" i="386" s="1"/>
  <c r="M88" i="386" a="1"/>
  <c r="M88" i="386" s="1"/>
  <c r="D90" i="386" a="1"/>
  <c r="D90" i="386" s="1"/>
  <c r="I90" i="386" a="1"/>
  <c r="I90" i="386" s="1"/>
  <c r="L90" i="386" a="1"/>
  <c r="L90" i="386" s="1"/>
  <c r="G91" i="386" a="1"/>
  <c r="G91" i="386" s="1"/>
  <c r="O91" i="386" a="1"/>
  <c r="O91" i="386" s="1"/>
  <c r="G92" i="386" a="1"/>
  <c r="G92" i="386" s="1"/>
  <c r="O92" i="386" a="1"/>
  <c r="O92" i="386" s="1"/>
  <c r="E93" i="386" a="1"/>
  <c r="E93" i="386" s="1"/>
  <c r="M93" i="386" a="1"/>
  <c r="M93" i="386" s="1"/>
  <c r="I94" i="386" a="1"/>
  <c r="I94" i="386"/>
  <c r="G95" i="386" a="1"/>
  <c r="G95" i="386" s="1"/>
  <c r="O95" i="386" a="1"/>
  <c r="O95" i="386" s="1"/>
  <c r="G96" i="386" a="1"/>
  <c r="G96" i="386" s="1"/>
  <c r="O100" i="386" a="1"/>
  <c r="O100" i="386" s="1"/>
  <c r="M101" i="386" a="1"/>
  <c r="M101" i="386" s="1"/>
  <c r="I104" i="386" a="1"/>
  <c r="I104" i="386" s="1"/>
  <c r="G105" i="386" a="1"/>
  <c r="G105" i="386" s="1"/>
  <c r="O106" i="386" a="1"/>
  <c r="O106" i="386" s="1"/>
  <c r="D160" i="386" a="1"/>
  <c r="D160" i="386" s="1"/>
  <c r="D166" i="386" a="1"/>
  <c r="D166" i="386" s="1"/>
  <c r="D157" i="386" a="1"/>
  <c r="D157" i="386" s="1"/>
  <c r="D147" i="386" a="1"/>
  <c r="D147" i="386" s="1"/>
  <c r="D145" i="386" a="1"/>
  <c r="D145" i="386" s="1"/>
  <c r="D139" i="386" a="1"/>
  <c r="D139" i="386" s="1"/>
  <c r="D131" i="386" a="1"/>
  <c r="D131" i="386" s="1"/>
  <c r="D127" i="386" a="1"/>
  <c r="D127" i="386" s="1"/>
  <c r="D125" i="386" a="1"/>
  <c r="D125" i="386" s="1"/>
  <c r="D121" i="386" a="1"/>
  <c r="D121" i="386" s="1"/>
  <c r="D115" i="386" a="1"/>
  <c r="D115" i="386" s="1"/>
  <c r="D111" i="386" a="1"/>
  <c r="D111" i="386" s="1"/>
  <c r="D107" i="386" a="1"/>
  <c r="D107" i="386" s="1"/>
  <c r="D106" i="386" a="1"/>
  <c r="D106" i="386" s="1"/>
  <c r="D101" i="386" a="1"/>
  <c r="D101" i="386" s="1"/>
  <c r="D100" i="386" a="1"/>
  <c r="D100" i="386" s="1"/>
  <c r="D96" i="386" a="1"/>
  <c r="D96" i="386" s="1"/>
  <c r="D156" i="386" a="1"/>
  <c r="D156" i="386" s="1"/>
  <c r="D150" i="386" a="1"/>
  <c r="D150" i="386" s="1"/>
  <c r="D144" i="386" a="1"/>
  <c r="D144" i="386" s="1"/>
  <c r="D138" i="386" a="1"/>
  <c r="D138" i="386" s="1"/>
  <c r="D136" i="386" a="1"/>
  <c r="D136" i="386" s="1"/>
  <c r="D130" i="386" a="1"/>
  <c r="D130" i="386" s="1"/>
  <c r="D124" i="386" a="1"/>
  <c r="D124" i="386" s="1"/>
  <c r="C124" i="386" s="1"/>
  <c r="P124" i="386" s="1"/>
  <c r="D120" i="386" a="1"/>
  <c r="D120" i="386" s="1"/>
  <c r="D114" i="386" a="1"/>
  <c r="D114" i="386" s="1"/>
  <c r="D159" i="386" a="1"/>
  <c r="D159" i="386" s="1"/>
  <c r="D155" i="386" a="1"/>
  <c r="D155" i="386" s="1"/>
  <c r="D149" i="386" a="1"/>
  <c r="D149" i="386" s="1"/>
  <c r="D143" i="386" a="1"/>
  <c r="D143" i="386" s="1"/>
  <c r="D135" i="386" a="1"/>
  <c r="D135" i="386" s="1"/>
  <c r="D133" i="386" a="1"/>
  <c r="D133" i="386" s="1"/>
  <c r="D129" i="386" a="1"/>
  <c r="D129" i="386" s="1"/>
  <c r="D123" i="386" a="1"/>
  <c r="D123" i="386" s="1"/>
  <c r="D119" i="386" a="1"/>
  <c r="D119" i="386" s="1"/>
  <c r="D113" i="386" a="1"/>
  <c r="D113" i="386" s="1"/>
  <c r="D109" i="386" a="1"/>
  <c r="D109" i="386" s="1"/>
  <c r="D158" i="386" a="1"/>
  <c r="D158" i="386" s="1"/>
  <c r="D148" i="386" a="1"/>
  <c r="D148" i="386" s="1"/>
  <c r="D142" i="386" a="1"/>
  <c r="D142" i="386" s="1"/>
  <c r="D140" i="386" a="1"/>
  <c r="D140" i="386" s="1"/>
  <c r="D132" i="386" a="1"/>
  <c r="D132" i="386" s="1"/>
  <c r="D128" i="386" a="1"/>
  <c r="D128" i="386" s="1"/>
  <c r="D122" i="386" a="1"/>
  <c r="D122" i="386" s="1"/>
  <c r="D118" i="386" a="1"/>
  <c r="D118" i="386" s="1"/>
  <c r="D116" i="386" a="1"/>
  <c r="D116" i="386" s="1"/>
  <c r="D112" i="386" a="1"/>
  <c r="D112" i="386" s="1"/>
  <c r="D110" i="386" a="1"/>
  <c r="D110" i="386" s="1"/>
  <c r="H160" i="386" a="1"/>
  <c r="H160" i="386" s="1"/>
  <c r="H166" i="386" a="1"/>
  <c r="H166" i="386" s="1"/>
  <c r="H157" i="386" a="1"/>
  <c r="H157" i="386" s="1"/>
  <c r="H147" i="386" a="1"/>
  <c r="H147" i="386" s="1"/>
  <c r="H145" i="386" a="1"/>
  <c r="H145" i="386" s="1"/>
  <c r="H139" i="386" a="1"/>
  <c r="H139" i="386" s="1"/>
  <c r="H131" i="386" a="1"/>
  <c r="H131" i="386" s="1"/>
  <c r="H127" i="386" a="1"/>
  <c r="H127" i="386" s="1"/>
  <c r="H125" i="386" a="1"/>
  <c r="H125" i="386" s="1"/>
  <c r="H121" i="386" a="1"/>
  <c r="H121" i="386" s="1"/>
  <c r="H115" i="386" a="1"/>
  <c r="H115" i="386" s="1"/>
  <c r="H111" i="386" a="1"/>
  <c r="H111" i="386" s="1"/>
  <c r="H109" i="386" a="1"/>
  <c r="H109" i="386" s="1"/>
  <c r="H98" i="386" a="1"/>
  <c r="H98" i="386" s="1"/>
  <c r="H156" i="386" a="1"/>
  <c r="H156" i="386" s="1"/>
  <c r="H150" i="386" a="1"/>
  <c r="H150" i="386" s="1"/>
  <c r="H144" i="386" a="1"/>
  <c r="H144" i="386" s="1"/>
  <c r="H138" i="386" a="1"/>
  <c r="H138" i="386" s="1"/>
  <c r="H136" i="386" a="1"/>
  <c r="H136" i="386" s="1"/>
  <c r="H130" i="386" a="1"/>
  <c r="H130" i="386" s="1"/>
  <c r="H124" i="386" a="1"/>
  <c r="H124" i="386" s="1"/>
  <c r="H120" i="386" a="1"/>
  <c r="H120" i="386" s="1"/>
  <c r="H114" i="386" a="1"/>
  <c r="H114" i="386" s="1"/>
  <c r="H110" i="386" a="1"/>
  <c r="H110" i="386" s="1"/>
  <c r="H105" i="386" a="1"/>
  <c r="H105" i="386" s="1"/>
  <c r="H104" i="386" a="1"/>
  <c r="H104" i="386" s="1"/>
  <c r="H95" i="386" a="1"/>
  <c r="H95" i="386" s="1"/>
  <c r="H94" i="386" a="1"/>
  <c r="H94" i="386" s="1"/>
  <c r="H159" i="386" a="1"/>
  <c r="H159" i="386" s="1"/>
  <c r="H155" i="386" a="1"/>
  <c r="H155" i="386" s="1"/>
  <c r="H149" i="386" a="1"/>
  <c r="H149" i="386" s="1"/>
  <c r="H143" i="386" a="1"/>
  <c r="H143" i="386" s="1"/>
  <c r="H135" i="386" a="1"/>
  <c r="H135" i="386" s="1"/>
  <c r="H133" i="386" a="1"/>
  <c r="H133" i="386" s="1"/>
  <c r="H129" i="386" a="1"/>
  <c r="H129" i="386" s="1"/>
  <c r="H123" i="386" a="1"/>
  <c r="H123" i="386" s="1"/>
  <c r="H119" i="386" a="1"/>
  <c r="H119" i="386" s="1"/>
  <c r="H113" i="386" a="1"/>
  <c r="H113" i="386" s="1"/>
  <c r="H107" i="386" a="1"/>
  <c r="H107" i="386" s="1"/>
  <c r="H106" i="386" a="1"/>
  <c r="H106" i="386" s="1"/>
  <c r="H158" i="386" a="1"/>
  <c r="H158" i="386" s="1"/>
  <c r="H148" i="386" a="1"/>
  <c r="H148" i="386" s="1"/>
  <c r="H146" i="386" s="1"/>
  <c r="H142" i="386" a="1"/>
  <c r="H142" i="386" s="1"/>
  <c r="H140" i="386" a="1"/>
  <c r="H140" i="386" s="1"/>
  <c r="H132" i="386" a="1"/>
  <c r="H132" i="386" s="1"/>
  <c r="H128" i="386" a="1"/>
  <c r="H128" i="386" s="1"/>
  <c r="H122" i="386" a="1"/>
  <c r="H122" i="386" s="1"/>
  <c r="H118" i="386" a="1"/>
  <c r="H118" i="386" s="1"/>
  <c r="H116" i="386" a="1"/>
  <c r="H116" i="386" s="1"/>
  <c r="H112" i="386" a="1"/>
  <c r="H112" i="386" s="1"/>
  <c r="L79" i="386" a="1"/>
  <c r="L79" i="386" s="1"/>
  <c r="L160" i="386" a="1"/>
  <c r="L160" i="386" s="1"/>
  <c r="L166" i="386" a="1"/>
  <c r="L166" i="386" s="1"/>
  <c r="L157" i="386" a="1"/>
  <c r="L157" i="386" s="1"/>
  <c r="L147" i="386" a="1"/>
  <c r="L147" i="386" s="1"/>
  <c r="L145" i="386" a="1"/>
  <c r="L145" i="386" s="1"/>
  <c r="L139" i="386" a="1"/>
  <c r="L139" i="386" s="1"/>
  <c r="L131" i="386" a="1"/>
  <c r="L131" i="386" s="1"/>
  <c r="L127" i="386" a="1"/>
  <c r="L127" i="386" s="1"/>
  <c r="L125" i="386" a="1"/>
  <c r="L125" i="386" s="1"/>
  <c r="L121" i="386" a="1"/>
  <c r="L121" i="386" s="1"/>
  <c r="L115" i="386" a="1"/>
  <c r="L115" i="386" s="1"/>
  <c r="L111" i="386" a="1"/>
  <c r="L111" i="386" s="1"/>
  <c r="L107" i="386" a="1"/>
  <c r="L107" i="386" s="1"/>
  <c r="L106" i="386" a="1"/>
  <c r="L106" i="386" s="1"/>
  <c r="L101" i="386" a="1"/>
  <c r="L101" i="386" s="1"/>
  <c r="L100" i="386" a="1"/>
  <c r="L100" i="386" s="1"/>
  <c r="L96" i="386" a="1"/>
  <c r="L96" i="386" s="1"/>
  <c r="L156" i="386" a="1"/>
  <c r="L156" i="386" s="1"/>
  <c r="L150" i="386" a="1"/>
  <c r="L150" i="386" s="1"/>
  <c r="L144" i="386" a="1"/>
  <c r="L144" i="386" s="1"/>
  <c r="L138" i="386" a="1"/>
  <c r="L138" i="386"/>
  <c r="L136" i="386" a="1"/>
  <c r="L136" i="386" s="1"/>
  <c r="L130" i="386" a="1"/>
  <c r="L130" i="386" s="1"/>
  <c r="L124" i="386" a="1"/>
  <c r="L124" i="386" s="1"/>
  <c r="L120" i="386" a="1"/>
  <c r="L120" i="386" s="1"/>
  <c r="L114" i="386" a="1"/>
  <c r="L114" i="386" s="1"/>
  <c r="L159" i="386" a="1"/>
  <c r="L159" i="386" s="1"/>
  <c r="L155" i="386" a="1"/>
  <c r="L155" i="386" s="1"/>
  <c r="L149" i="386" a="1"/>
  <c r="L149" i="386" s="1"/>
  <c r="L143" i="386" a="1"/>
  <c r="L143" i="386" s="1"/>
  <c r="L135" i="386" a="1"/>
  <c r="L135" i="386" s="1"/>
  <c r="L133" i="386" a="1"/>
  <c r="L133" i="386" s="1"/>
  <c r="L129" i="386" a="1"/>
  <c r="L129" i="386" s="1"/>
  <c r="L123" i="386" a="1"/>
  <c r="L123" i="386" s="1"/>
  <c r="L119" i="386" a="1"/>
  <c r="L119" i="386" s="1"/>
  <c r="L113" i="386" a="1"/>
  <c r="L113" i="386" s="1"/>
  <c r="L109" i="386" a="1"/>
  <c r="L109" i="386" s="1"/>
  <c r="L158" i="386" a="1"/>
  <c r="L158" i="386" s="1"/>
  <c r="L148" i="386" a="1"/>
  <c r="L148" i="386" s="1"/>
  <c r="L142" i="386" a="1"/>
  <c r="L142" i="386" s="1"/>
  <c r="L140" i="386" a="1"/>
  <c r="L140" i="386" s="1"/>
  <c r="L132" i="386" a="1"/>
  <c r="L132" i="386" s="1"/>
  <c r="L128" i="386" a="1"/>
  <c r="L128" i="386" s="1"/>
  <c r="L122" i="386" a="1"/>
  <c r="L122" i="386" s="1"/>
  <c r="L118" i="386" a="1"/>
  <c r="L118" i="386" s="1"/>
  <c r="L116" i="386" a="1"/>
  <c r="L116" i="386" s="1"/>
  <c r="L112" i="386" a="1"/>
  <c r="L112" i="386" s="1"/>
  <c r="L110" i="386" a="1"/>
  <c r="L110" i="386" s="1"/>
  <c r="D31" i="386" a="1"/>
  <c r="D31" i="386" s="1"/>
  <c r="H31" i="386" a="1"/>
  <c r="H31" i="386" s="1"/>
  <c r="H30" i="386" s="1"/>
  <c r="L31" i="386" a="1"/>
  <c r="L31" i="386" s="1"/>
  <c r="L30" i="386" s="1"/>
  <c r="D33" i="386" a="1"/>
  <c r="D33" i="386" s="1"/>
  <c r="H33" i="386" a="1"/>
  <c r="H33" i="386" s="1"/>
  <c r="L33" i="386" a="1"/>
  <c r="L33" i="386" s="1"/>
  <c r="D35" i="386" a="1"/>
  <c r="D35" i="386" s="1"/>
  <c r="H35" i="386" a="1"/>
  <c r="H35" i="386" s="1"/>
  <c r="L35" i="386" a="1"/>
  <c r="L35" i="386" s="1"/>
  <c r="D37" i="386" a="1"/>
  <c r="D37" i="386" s="1"/>
  <c r="H37" i="386" a="1"/>
  <c r="H37" i="386" s="1"/>
  <c r="L37" i="386" a="1"/>
  <c r="L37" i="386" s="1"/>
  <c r="D39" i="386" a="1"/>
  <c r="D39" i="386" s="1"/>
  <c r="H39" i="386" a="1"/>
  <c r="H39" i="386" s="1"/>
  <c r="L39" i="386" a="1"/>
  <c r="L39" i="386" s="1"/>
  <c r="D41" i="386" a="1"/>
  <c r="D41" i="386" s="1"/>
  <c r="H41" i="386" a="1"/>
  <c r="H41" i="386" s="1"/>
  <c r="L41" i="386" a="1"/>
  <c r="L41" i="386" s="1"/>
  <c r="D48" i="386" a="1"/>
  <c r="D48" i="386" s="1"/>
  <c r="H48" i="386" a="1"/>
  <c r="H48" i="386" s="1"/>
  <c r="L48" i="386" a="1"/>
  <c r="L48" i="386" s="1"/>
  <c r="D52" i="386" a="1"/>
  <c r="D52" i="386" s="1"/>
  <c r="H52" i="386" a="1"/>
  <c r="H52" i="386" s="1"/>
  <c r="L52" i="386" a="1"/>
  <c r="L52" i="386" s="1"/>
  <c r="D54" i="386" a="1"/>
  <c r="D54" i="386" s="1"/>
  <c r="H54" i="386" a="1"/>
  <c r="H54" i="386" s="1"/>
  <c r="L54" i="386" a="1"/>
  <c r="L54" i="386" s="1"/>
  <c r="D56" i="386" a="1"/>
  <c r="D56" i="386"/>
  <c r="H56" i="386" a="1"/>
  <c r="H56" i="386" s="1"/>
  <c r="L56" i="386" a="1"/>
  <c r="L56" i="386" s="1"/>
  <c r="D58" i="386" a="1"/>
  <c r="D58" i="386" s="1"/>
  <c r="H58" i="386" a="1"/>
  <c r="H58" i="386" s="1"/>
  <c r="L58" i="386" a="1"/>
  <c r="L58" i="386" s="1"/>
  <c r="D60" i="386" a="1"/>
  <c r="D60" i="386" s="1"/>
  <c r="H60" i="386" a="1"/>
  <c r="H60" i="386" s="1"/>
  <c r="L60" i="386" a="1"/>
  <c r="L60" i="386" s="1"/>
  <c r="D62" i="386" a="1"/>
  <c r="D62" i="386" s="1"/>
  <c r="H62" i="386" a="1"/>
  <c r="H62" i="386" s="1"/>
  <c r="L62" i="386" a="1"/>
  <c r="L62" i="386" s="1"/>
  <c r="D64" i="386" a="1"/>
  <c r="D64" i="386" s="1"/>
  <c r="H64" i="386" a="1"/>
  <c r="H64" i="386" s="1"/>
  <c r="L64" i="386" a="1"/>
  <c r="L64" i="386" s="1"/>
  <c r="D66" i="386" a="1"/>
  <c r="D66" i="386" s="1"/>
  <c r="H66" i="386" a="1"/>
  <c r="H66" i="386" s="1"/>
  <c r="H67" i="386" a="1"/>
  <c r="H67" i="386" s="1"/>
  <c r="H68" i="386" a="1"/>
  <c r="H68" i="386" s="1"/>
  <c r="H69" i="386" a="1"/>
  <c r="H69" i="386" s="1"/>
  <c r="L66" i="386" a="1"/>
  <c r="L66" i="386" s="1"/>
  <c r="G67" i="386" a="1"/>
  <c r="G67" i="386" s="1"/>
  <c r="K67" i="386" a="1"/>
  <c r="K67" i="386" s="1"/>
  <c r="O67" i="386" a="1"/>
  <c r="O67" i="386" s="1"/>
  <c r="D68" i="386" a="1"/>
  <c r="D68" i="386" s="1"/>
  <c r="L68" i="386" a="1"/>
  <c r="L68" i="386" s="1"/>
  <c r="E69" i="386" a="1"/>
  <c r="E69" i="386" s="1"/>
  <c r="E65" i="386" s="1"/>
  <c r="G69" i="386" a="1"/>
  <c r="G69" i="386" s="1"/>
  <c r="K69" i="386" a="1"/>
  <c r="K69" i="386" s="1"/>
  <c r="M69" i="386" a="1"/>
  <c r="M69" i="386" s="1"/>
  <c r="M65" i="386" s="1"/>
  <c r="O69" i="386" a="1"/>
  <c r="O69" i="386" s="1"/>
  <c r="E71" i="386" a="1"/>
  <c r="E71" i="386" s="1"/>
  <c r="G71" i="386" a="1"/>
  <c r="G71" i="386" s="1"/>
  <c r="I71" i="386" a="1"/>
  <c r="I71" i="386" s="1"/>
  <c r="K71" i="386" a="1"/>
  <c r="K71" i="386" s="1"/>
  <c r="M71" i="386" a="1"/>
  <c r="M71" i="386" s="1"/>
  <c r="O71" i="386" a="1"/>
  <c r="O71" i="386" s="1"/>
  <c r="D72" i="386" a="1"/>
  <c r="D72" i="386" s="1"/>
  <c r="H72" i="386" a="1"/>
  <c r="H72" i="386" s="1"/>
  <c r="L72" i="386" a="1"/>
  <c r="L72" i="386" s="1"/>
  <c r="E73" i="386" a="1"/>
  <c r="E73" i="386" s="1"/>
  <c r="G73" i="386" a="1"/>
  <c r="G73" i="386" s="1"/>
  <c r="I73" i="386" a="1"/>
  <c r="I73" i="386" s="1"/>
  <c r="K73" i="386" a="1"/>
  <c r="K73" i="386" s="1"/>
  <c r="M73" i="386" a="1"/>
  <c r="M73" i="386" s="1"/>
  <c r="O73" i="386" a="1"/>
  <c r="O73" i="386" s="1"/>
  <c r="D74" i="386" a="1"/>
  <c r="D74" i="386" s="1"/>
  <c r="H74" i="386" a="1"/>
  <c r="H74" i="386" s="1"/>
  <c r="L74" i="386" a="1"/>
  <c r="L74" i="386" s="1"/>
  <c r="E75" i="386" a="1"/>
  <c r="E75" i="386" s="1"/>
  <c r="G75" i="386" a="1"/>
  <c r="G75" i="386" s="1"/>
  <c r="K75" i="386" a="1"/>
  <c r="K75" i="386" s="1"/>
  <c r="M75" i="386" a="1"/>
  <c r="M75" i="386" s="1"/>
  <c r="O75" i="386" a="1"/>
  <c r="O75" i="386" s="1"/>
  <c r="D78" i="386" a="1"/>
  <c r="D78" i="386" s="1"/>
  <c r="H78" i="386" a="1"/>
  <c r="H78" i="386" s="1"/>
  <c r="L78" i="386" a="1"/>
  <c r="L78" i="386" s="1"/>
  <c r="E79" i="386" a="1"/>
  <c r="E79" i="386" s="1"/>
  <c r="G79" i="386" a="1"/>
  <c r="G79" i="386" s="1"/>
  <c r="K79" i="386" a="1"/>
  <c r="K79" i="386" s="1"/>
  <c r="H87" i="386" a="1"/>
  <c r="H87" i="386" s="1"/>
  <c r="K87" i="386" a="1"/>
  <c r="K87" i="386" s="1"/>
  <c r="K88" i="386" a="1"/>
  <c r="K88" i="386" s="1"/>
  <c r="G90" i="386" a="1"/>
  <c r="G90" i="386" s="1"/>
  <c r="O90" i="386" a="1"/>
  <c r="O90" i="386" s="1"/>
  <c r="E91" i="386" a="1"/>
  <c r="E91" i="386" s="1"/>
  <c r="M91" i="386" a="1"/>
  <c r="M91" i="386" s="1"/>
  <c r="E92" i="386" a="1"/>
  <c r="E92" i="386" s="1"/>
  <c r="H92" i="386" a="1"/>
  <c r="H92" i="386" s="1"/>
  <c r="M92" i="386" a="1"/>
  <c r="M92" i="386" s="1"/>
  <c r="H93" i="386" a="1"/>
  <c r="H93" i="386" s="1"/>
  <c r="K93" i="386" a="1"/>
  <c r="K93" i="386" s="1"/>
  <c r="D95" i="386" a="1"/>
  <c r="D95" i="386" s="1"/>
  <c r="H96" i="386" a="1"/>
  <c r="H96" i="386" s="1"/>
  <c r="D98" i="386" a="1"/>
  <c r="D98" i="386" s="1"/>
  <c r="E100" i="386" a="1"/>
  <c r="E100" i="386" s="1"/>
  <c r="H101" i="386" a="1"/>
  <c r="H101" i="386" s="1"/>
  <c r="L104" i="386" a="1"/>
  <c r="L104" i="386" s="1"/>
  <c r="G106" i="386" a="1"/>
  <c r="G106" i="386" s="1"/>
  <c r="E166" i="386" a="1"/>
  <c r="E166" i="386" s="1"/>
  <c r="E156" i="386" a="1"/>
  <c r="E156" i="386" s="1"/>
  <c r="E150" i="386" a="1"/>
  <c r="E150" i="386" s="1"/>
  <c r="E144" i="386" a="1"/>
  <c r="E144" i="386" s="1"/>
  <c r="E138" i="386" a="1"/>
  <c r="E138" i="386" s="1"/>
  <c r="E136" i="386" a="1"/>
  <c r="E136" i="386" s="1"/>
  <c r="E130" i="386" a="1"/>
  <c r="E130" i="386" s="1"/>
  <c r="E124" i="386" a="1"/>
  <c r="E124" i="386" s="1"/>
  <c r="E120" i="386" a="1"/>
  <c r="E120" i="386" s="1"/>
  <c r="E114" i="386" a="1"/>
  <c r="E114" i="386" s="1"/>
  <c r="E98" i="386" a="1"/>
  <c r="E98" i="386" s="1"/>
  <c r="E159" i="386" a="1"/>
  <c r="E159" i="386" s="1"/>
  <c r="E155" i="386" a="1"/>
  <c r="E155" i="386" s="1"/>
  <c r="E149" i="386" a="1"/>
  <c r="E149" i="386" s="1"/>
  <c r="E143" i="386" a="1"/>
  <c r="E143" i="386" s="1"/>
  <c r="E135" i="386" a="1"/>
  <c r="E135" i="386" s="1"/>
  <c r="E133" i="386" a="1"/>
  <c r="E133" i="386" s="1"/>
  <c r="E129" i="386" a="1"/>
  <c r="E129" i="386" s="1"/>
  <c r="E123" i="386" a="1"/>
  <c r="E123" i="386" s="1"/>
  <c r="E119" i="386" a="1"/>
  <c r="E119" i="386" s="1"/>
  <c r="E113" i="386" a="1"/>
  <c r="E113" i="386" s="1"/>
  <c r="E110" i="386" a="1"/>
  <c r="E110" i="386" s="1"/>
  <c r="E109" i="386" a="1"/>
  <c r="E109" i="386" s="1"/>
  <c r="E94" i="386" a="1"/>
  <c r="E94" i="386" s="1"/>
  <c r="E158" i="386" a="1"/>
  <c r="E158" i="386" s="1"/>
  <c r="E148" i="386" a="1"/>
  <c r="E148" i="386" s="1"/>
  <c r="E142" i="386" a="1"/>
  <c r="E142" i="386" s="1"/>
  <c r="E140" i="386" a="1"/>
  <c r="E140" i="386" s="1"/>
  <c r="E132" i="386" a="1"/>
  <c r="E132" i="386" s="1"/>
  <c r="E128" i="386" a="1"/>
  <c r="E128" i="386" s="1"/>
  <c r="E122" i="386" a="1"/>
  <c r="E122" i="386" s="1"/>
  <c r="E118" i="386" a="1"/>
  <c r="E118" i="386" s="1"/>
  <c r="E116" i="386" a="1"/>
  <c r="E116" i="386" s="1"/>
  <c r="E112" i="386" a="1"/>
  <c r="E112" i="386" s="1"/>
  <c r="E160" i="386" a="1"/>
  <c r="E160" i="386" s="1"/>
  <c r="E157" i="386" a="1"/>
  <c r="E157" i="386" s="1"/>
  <c r="E147" i="386" a="1"/>
  <c r="E147" i="386" s="1"/>
  <c r="E145" i="386" a="1"/>
  <c r="E145" i="386" s="1"/>
  <c r="E139" i="386" a="1"/>
  <c r="E139" i="386" s="1"/>
  <c r="E131" i="386" a="1"/>
  <c r="E131" i="386" s="1"/>
  <c r="E127" i="386" a="1"/>
  <c r="E127" i="386" s="1"/>
  <c r="E125" i="386" a="1"/>
  <c r="E125" i="386" s="1"/>
  <c r="E121" i="386" a="1"/>
  <c r="E121" i="386" s="1"/>
  <c r="E115" i="386" a="1"/>
  <c r="E115" i="386" s="1"/>
  <c r="E111" i="386" a="1"/>
  <c r="E111" i="386" s="1"/>
  <c r="I166" i="386" a="1"/>
  <c r="I166" i="386" s="1"/>
  <c r="I156" i="386" a="1"/>
  <c r="I156" i="386" s="1"/>
  <c r="I150" i="386" a="1"/>
  <c r="I150" i="386" s="1"/>
  <c r="I144" i="386" a="1"/>
  <c r="I144" i="386" s="1"/>
  <c r="I138" i="386" a="1"/>
  <c r="I138" i="386" s="1"/>
  <c r="I136" i="386" a="1"/>
  <c r="I136" i="386" s="1"/>
  <c r="I130" i="386" a="1"/>
  <c r="I130" i="386" s="1"/>
  <c r="I124" i="386" a="1"/>
  <c r="I124" i="386" s="1"/>
  <c r="I120" i="386" a="1"/>
  <c r="I120" i="386" s="1"/>
  <c r="I114" i="386" a="1"/>
  <c r="I114" i="386" s="1"/>
  <c r="I106" i="386" a="1"/>
  <c r="I106" i="386" s="1"/>
  <c r="I105" i="386" a="1"/>
  <c r="I105" i="386" s="1"/>
  <c r="I100" i="386" a="1"/>
  <c r="I100" i="386" s="1"/>
  <c r="I96" i="386" a="1"/>
  <c r="I96" i="386" s="1"/>
  <c r="I160" i="386" a="1"/>
  <c r="I160" i="386" s="1"/>
  <c r="I159" i="386" a="1"/>
  <c r="I159" i="386" s="1"/>
  <c r="I155" i="386" a="1"/>
  <c r="I155" i="386" s="1"/>
  <c r="I149" i="386" a="1"/>
  <c r="I149" i="386" s="1"/>
  <c r="I143" i="386" a="1"/>
  <c r="I143" i="386" s="1"/>
  <c r="I135" i="386" a="1"/>
  <c r="I135" i="386" s="1"/>
  <c r="I133" i="386" a="1"/>
  <c r="I133" i="386" s="1"/>
  <c r="I129" i="386" a="1"/>
  <c r="I129" i="386" s="1"/>
  <c r="I123" i="386" a="1"/>
  <c r="I123" i="386" s="1"/>
  <c r="I119" i="386" a="1"/>
  <c r="I119" i="386" s="1"/>
  <c r="I113" i="386" a="1"/>
  <c r="I113" i="386" s="1"/>
  <c r="I107" i="386" a="1"/>
  <c r="I107" i="386" s="1"/>
  <c r="I101" i="386" a="1"/>
  <c r="I101" i="386" s="1"/>
  <c r="I158" i="386" a="1"/>
  <c r="I158" i="386" s="1"/>
  <c r="I148" i="386" a="1"/>
  <c r="I148" i="386" s="1"/>
  <c r="I142" i="386" a="1"/>
  <c r="I142" i="386" s="1"/>
  <c r="I140" i="386" a="1"/>
  <c r="I140" i="386" s="1"/>
  <c r="I132" i="386" a="1"/>
  <c r="I132" i="386" s="1"/>
  <c r="I128" i="386" a="1"/>
  <c r="I128" i="386" s="1"/>
  <c r="I122" i="386" a="1"/>
  <c r="I122" i="386" s="1"/>
  <c r="I118" i="386" a="1"/>
  <c r="I118" i="386" s="1"/>
  <c r="I116" i="386" a="1"/>
  <c r="I116" i="386" s="1"/>
  <c r="I112" i="386" a="1"/>
  <c r="I112" i="386" s="1"/>
  <c r="I157" i="386" a="1"/>
  <c r="I157" i="386" s="1"/>
  <c r="I147" i="386" a="1"/>
  <c r="I147" i="386" s="1"/>
  <c r="I145" i="386" a="1"/>
  <c r="I145" i="386" s="1"/>
  <c r="I139" i="386" a="1"/>
  <c r="I139" i="386" s="1"/>
  <c r="I131" i="386" a="1"/>
  <c r="I131" i="386" s="1"/>
  <c r="I127" i="386" a="1"/>
  <c r="I127" i="386" s="1"/>
  <c r="I125" i="386" a="1"/>
  <c r="I125" i="386" s="1"/>
  <c r="I121" i="386" a="1"/>
  <c r="I121" i="386" s="1"/>
  <c r="I115" i="386" a="1"/>
  <c r="I115" i="386" s="1"/>
  <c r="I111" i="386" a="1"/>
  <c r="I111" i="386" s="1"/>
  <c r="I110" i="386" a="1"/>
  <c r="I110" i="386" s="1"/>
  <c r="I109" i="386" a="1"/>
  <c r="I109" i="386" s="1"/>
  <c r="M160" i="386" a="1"/>
  <c r="M160" i="386" s="1"/>
  <c r="M166" i="386" a="1"/>
  <c r="M166" i="386" s="1"/>
  <c r="M159" i="386" a="1"/>
  <c r="M159" i="386" s="1"/>
  <c r="M156" i="386" a="1"/>
  <c r="M156" i="386" s="1"/>
  <c r="M150" i="386" a="1"/>
  <c r="M150" i="386" s="1"/>
  <c r="M144" i="386" a="1"/>
  <c r="M144" i="386" s="1"/>
  <c r="M138" i="386" a="1"/>
  <c r="M138" i="386" s="1"/>
  <c r="M136" i="386" a="1"/>
  <c r="M136" i="386" s="1"/>
  <c r="M130" i="386" a="1"/>
  <c r="M130" i="386" s="1"/>
  <c r="M124" i="386" a="1"/>
  <c r="M124" i="386" s="1"/>
  <c r="M120" i="386" a="1"/>
  <c r="M120" i="386" s="1"/>
  <c r="M114" i="386" a="1"/>
  <c r="M114" i="386" s="1"/>
  <c r="M98" i="386" a="1"/>
  <c r="M98" i="386" s="1"/>
  <c r="M155" i="386" a="1"/>
  <c r="M155" i="386" s="1"/>
  <c r="M149" i="386" a="1"/>
  <c r="M149" i="386" s="1"/>
  <c r="M143" i="386" a="1"/>
  <c r="M143" i="386" s="1"/>
  <c r="M135" i="386" a="1"/>
  <c r="M135" i="386" s="1"/>
  <c r="M133" i="386" a="1"/>
  <c r="M133" i="386" s="1"/>
  <c r="M129" i="386" a="1"/>
  <c r="M129" i="386" s="1"/>
  <c r="M123" i="386" a="1"/>
  <c r="M123" i="386" s="1"/>
  <c r="M119" i="386" a="1"/>
  <c r="M119" i="386" s="1"/>
  <c r="M113" i="386" a="1"/>
  <c r="M113" i="386" s="1"/>
  <c r="M110" i="386" a="1"/>
  <c r="M110" i="386" s="1"/>
  <c r="M109" i="386" a="1"/>
  <c r="M109" i="386" s="1"/>
  <c r="M104" i="386" a="1"/>
  <c r="M104" i="386" s="1"/>
  <c r="M94" i="386" a="1"/>
  <c r="M94" i="386" s="1"/>
  <c r="M158" i="386" a="1"/>
  <c r="M158" i="386" s="1"/>
  <c r="M148" i="386" a="1"/>
  <c r="M148" i="386" s="1"/>
  <c r="M142" i="386" a="1"/>
  <c r="M142" i="386" s="1"/>
  <c r="M140" i="386" a="1"/>
  <c r="M140" i="386" s="1"/>
  <c r="M132" i="386" a="1"/>
  <c r="M132" i="386" s="1"/>
  <c r="M128" i="386" a="1"/>
  <c r="M128" i="386" s="1"/>
  <c r="M122" i="386" a="1"/>
  <c r="M122" i="386" s="1"/>
  <c r="M118" i="386" a="1"/>
  <c r="M118" i="386" s="1"/>
  <c r="M116" i="386" a="1"/>
  <c r="M116" i="386" s="1"/>
  <c r="M112" i="386" a="1"/>
  <c r="M112" i="386" s="1"/>
  <c r="M106" i="386" a="1"/>
  <c r="M106" i="386" s="1"/>
  <c r="M105" i="386" a="1"/>
  <c r="M105" i="386" s="1"/>
  <c r="M157" i="386" a="1"/>
  <c r="M157" i="386" s="1"/>
  <c r="M147" i="386" a="1"/>
  <c r="M147" i="386" s="1"/>
  <c r="M146" i="386" s="1"/>
  <c r="M145" i="386" a="1"/>
  <c r="M145" i="386" s="1"/>
  <c r="M139" i="386" a="1"/>
  <c r="M139" i="386" s="1"/>
  <c r="M131" i="386" a="1"/>
  <c r="M131" i="386" s="1"/>
  <c r="M127" i="386" a="1"/>
  <c r="M127" i="386" s="1"/>
  <c r="M125" i="386" a="1"/>
  <c r="M125" i="386" s="1"/>
  <c r="M121" i="386" a="1"/>
  <c r="M121" i="386" s="1"/>
  <c r="M115" i="386" a="1"/>
  <c r="M115" i="386" s="1"/>
  <c r="M111" i="386" a="1"/>
  <c r="M111" i="386" s="1"/>
  <c r="M107" i="386" a="1"/>
  <c r="M107" i="386" s="1"/>
  <c r="E12" i="386" a="1"/>
  <c r="E12" i="386" s="1"/>
  <c r="G12" i="386" a="1"/>
  <c r="G12" i="386" s="1"/>
  <c r="I12" i="386" a="1"/>
  <c r="I12" i="386" s="1"/>
  <c r="K12" i="386" a="1"/>
  <c r="K12" i="386" s="1"/>
  <c r="M12" i="386" a="1"/>
  <c r="M12" i="386" s="1"/>
  <c r="O12" i="386" a="1"/>
  <c r="O12" i="386" s="1"/>
  <c r="E14" i="386" a="1"/>
  <c r="E14" i="386" s="1"/>
  <c r="G14" i="386" a="1"/>
  <c r="G14" i="386" s="1"/>
  <c r="I14" i="386" a="1"/>
  <c r="I14" i="386" s="1"/>
  <c r="K14" i="386" a="1"/>
  <c r="K14" i="386" s="1"/>
  <c r="M14" i="386" a="1"/>
  <c r="M14" i="386" s="1"/>
  <c r="O14" i="386" a="1"/>
  <c r="O14" i="386" s="1"/>
  <c r="D15" i="386" a="1"/>
  <c r="D15" i="386" s="1"/>
  <c r="D13" i="386" s="1"/>
  <c r="H15" i="386" a="1"/>
  <c r="H15" i="386" s="1"/>
  <c r="L15" i="386" a="1"/>
  <c r="L15" i="386" s="1"/>
  <c r="E16" i="386" a="1"/>
  <c r="E16" i="386" s="1"/>
  <c r="G16" i="386" a="1"/>
  <c r="G16" i="386" s="1"/>
  <c r="I16" i="386" a="1"/>
  <c r="I16" i="386" s="1"/>
  <c r="K16" i="386" a="1"/>
  <c r="K16" i="386" s="1"/>
  <c r="M16" i="386" a="1"/>
  <c r="M16" i="386" s="1"/>
  <c r="O16" i="386" a="1"/>
  <c r="O16" i="386" s="1"/>
  <c r="E18" i="386" a="1"/>
  <c r="E18" i="386" s="1"/>
  <c r="E17" i="386" s="1"/>
  <c r="G18" i="386" a="1"/>
  <c r="G18" i="386" s="1"/>
  <c r="G17" i="386" s="1"/>
  <c r="I18" i="386" a="1"/>
  <c r="I18" i="386" s="1"/>
  <c r="I17" i="386" s="1"/>
  <c r="K18" i="386" a="1"/>
  <c r="K18" i="386" s="1"/>
  <c r="K17" i="386" s="1"/>
  <c r="M18" i="386" a="1"/>
  <c r="M18" i="386" s="1"/>
  <c r="O18" i="386" a="1"/>
  <c r="O18" i="386" s="1"/>
  <c r="O17" i="386" s="1"/>
  <c r="D19" i="386" a="1"/>
  <c r="D19" i="386" s="1"/>
  <c r="H19" i="386" a="1"/>
  <c r="H19" i="386" s="1"/>
  <c r="H17" i="386" s="1"/>
  <c r="L19" i="386" a="1"/>
  <c r="L19" i="386" s="1"/>
  <c r="D21" i="386" a="1"/>
  <c r="D21" i="386" s="1"/>
  <c r="D20" i="386" s="1"/>
  <c r="H21" i="386" a="1"/>
  <c r="H21" i="386" s="1"/>
  <c r="L21" i="386" a="1"/>
  <c r="L21" i="386" s="1"/>
  <c r="L20" i="386" s="1"/>
  <c r="E22" i="386" a="1"/>
  <c r="E22" i="386" s="1"/>
  <c r="E20" i="386" s="1"/>
  <c r="G22" i="386" a="1"/>
  <c r="G22" i="386" s="1"/>
  <c r="I22" i="386" a="1"/>
  <c r="I22" i="386" s="1"/>
  <c r="I20" i="386" s="1"/>
  <c r="K22" i="386" a="1"/>
  <c r="K22" i="386" s="1"/>
  <c r="K20" i="386" s="1"/>
  <c r="M22" i="386" a="1"/>
  <c r="M22" i="386" s="1"/>
  <c r="M20" i="386" s="1"/>
  <c r="O22" i="386" a="1"/>
  <c r="O22" i="386" s="1"/>
  <c r="I87" i="386" a="1"/>
  <c r="I87" i="386" s="1"/>
  <c r="D88" i="386" a="1"/>
  <c r="D88" i="386" s="1"/>
  <c r="I88" i="386" a="1"/>
  <c r="I88" i="386" s="1"/>
  <c r="L88" i="386" a="1"/>
  <c r="L88" i="386" s="1"/>
  <c r="E90" i="386" a="1"/>
  <c r="E90" i="386" s="1"/>
  <c r="H90" i="386" a="1"/>
  <c r="H90" i="386" s="1"/>
  <c r="M90" i="386" a="1"/>
  <c r="M90" i="386" s="1"/>
  <c r="H91" i="386" a="1"/>
  <c r="H91" i="386" s="1"/>
  <c r="K91" i="386" a="1"/>
  <c r="K91" i="386" s="1"/>
  <c r="K92" i="386" a="1"/>
  <c r="K92" i="386" s="1"/>
  <c r="I93" i="386" a="1"/>
  <c r="I93" i="386" s="1"/>
  <c r="D94" i="386" a="1"/>
  <c r="D94" i="386" s="1"/>
  <c r="G94" i="386" a="1"/>
  <c r="G94" i="386" s="1"/>
  <c r="K94" i="386" a="1"/>
  <c r="K94" i="386" s="1"/>
  <c r="E95" i="386" a="1"/>
  <c r="E95" i="386" s="1"/>
  <c r="I95" i="386" a="1"/>
  <c r="I95" i="386" s="1"/>
  <c r="L95" i="386" a="1"/>
  <c r="L95" i="386" s="1"/>
  <c r="O96" i="386" a="1"/>
  <c r="O96" i="386" s="1"/>
  <c r="K98" i="386" a="1"/>
  <c r="K98" i="386" s="1"/>
  <c r="G100" i="386" a="1"/>
  <c r="G100" i="386" s="1"/>
  <c r="G99" i="386" s="1"/>
  <c r="G97" i="386" s="1"/>
  <c r="E101" i="386" a="1"/>
  <c r="E101" i="386" s="1"/>
  <c r="D104" i="386" a="1"/>
  <c r="D104" i="386" s="1"/>
  <c r="L105" i="386" a="1"/>
  <c r="L105" i="386" s="1"/>
  <c r="D38" i="386" a="1"/>
  <c r="D38" i="386" s="1"/>
  <c r="H38" i="386" a="1"/>
  <c r="H38" i="386" s="1"/>
  <c r="L38" i="386" a="1"/>
  <c r="L38" i="386" s="1"/>
  <c r="D40" i="386" a="1"/>
  <c r="D40" i="386" s="1"/>
  <c r="H40" i="386" a="1"/>
  <c r="H40" i="386" s="1"/>
  <c r="L40" i="386" a="1"/>
  <c r="L40" i="386" s="1"/>
  <c r="D42" i="386" a="1"/>
  <c r="D42" i="386" s="1"/>
  <c r="H42" i="386" a="1"/>
  <c r="H42" i="386" s="1"/>
  <c r="L42" i="386" a="1"/>
  <c r="L42" i="386" s="1"/>
  <c r="D49" i="386" a="1"/>
  <c r="D49" i="386" s="1"/>
  <c r="D47" i="386" s="1"/>
  <c r="H49" i="386" a="1"/>
  <c r="H49" i="386" s="1"/>
  <c r="L49" i="386" a="1"/>
  <c r="L49" i="386" s="1"/>
  <c r="L47" i="386" s="1"/>
  <c r="D51" i="386" a="1"/>
  <c r="D51" i="386" s="1"/>
  <c r="H51" i="386" a="1"/>
  <c r="H51" i="386" s="1"/>
  <c r="L51" i="386" a="1"/>
  <c r="L51" i="386" s="1"/>
  <c r="D53" i="386" a="1"/>
  <c r="D53" i="386" s="1"/>
  <c r="H53" i="386" a="1"/>
  <c r="H53" i="386" s="1"/>
  <c r="L53" i="386" a="1"/>
  <c r="L53" i="386" s="1"/>
  <c r="D55" i="386" a="1"/>
  <c r="D55" i="386" s="1"/>
  <c r="H55" i="386" a="1"/>
  <c r="H55" i="386" s="1"/>
  <c r="L55" i="386" a="1"/>
  <c r="L55" i="386" s="1"/>
  <c r="D57" i="386" a="1"/>
  <c r="D57" i="386" s="1"/>
  <c r="H57" i="386" a="1"/>
  <c r="H57" i="386" s="1"/>
  <c r="L57" i="386" a="1"/>
  <c r="L57" i="386" s="1"/>
  <c r="D59" i="386" a="1"/>
  <c r="D59" i="386" s="1"/>
  <c r="H59" i="386" a="1"/>
  <c r="H59" i="386" s="1"/>
  <c r="L59" i="386" a="1"/>
  <c r="L59" i="386" s="1"/>
  <c r="D61" i="386" a="1"/>
  <c r="D61" i="386" s="1"/>
  <c r="H61" i="386" a="1"/>
  <c r="H61" i="386" s="1"/>
  <c r="L61" i="386" a="1"/>
  <c r="L61" i="386" s="1"/>
  <c r="D63" i="386" a="1"/>
  <c r="D63" i="386" s="1"/>
  <c r="H63" i="386" a="1"/>
  <c r="H63" i="386" s="1"/>
  <c r="L63" i="386" a="1"/>
  <c r="L63" i="386" s="1"/>
  <c r="D67" i="386" a="1"/>
  <c r="D67" i="386" s="1"/>
  <c r="L67" i="386" a="1"/>
  <c r="L67" i="386" s="1"/>
  <c r="L69" i="386" a="1"/>
  <c r="L69" i="386" s="1"/>
  <c r="D69" i="386" a="1"/>
  <c r="D69" i="386" s="1"/>
  <c r="D71" i="386" a="1"/>
  <c r="D71" i="386" s="1"/>
  <c r="H71" i="386" a="1"/>
  <c r="H71" i="386" s="1"/>
  <c r="L71" i="386" a="1"/>
  <c r="L71" i="386" s="1"/>
  <c r="G72" i="386" a="1"/>
  <c r="G72" i="386" s="1"/>
  <c r="I72" i="386" a="1"/>
  <c r="I72" i="386" s="1"/>
  <c r="K72" i="386" a="1"/>
  <c r="K72" i="386" s="1"/>
  <c r="M72" i="386" a="1"/>
  <c r="M72" i="386" s="1"/>
  <c r="O72" i="386" a="1"/>
  <c r="O72" i="386" s="1"/>
  <c r="D73" i="386" a="1"/>
  <c r="D73" i="386" s="1"/>
  <c r="H73" i="386" a="1"/>
  <c r="H73" i="386" s="1"/>
  <c r="L73" i="386" a="1"/>
  <c r="L73" i="386" s="1"/>
  <c r="E74" i="386" a="1"/>
  <c r="E74" i="386" s="1"/>
  <c r="G74" i="386" a="1"/>
  <c r="G74" i="386" s="1"/>
  <c r="I74" i="386" a="1"/>
  <c r="I74" i="386" s="1"/>
  <c r="K74" i="386" a="1"/>
  <c r="K74" i="386" s="1"/>
  <c r="M74" i="386" a="1"/>
  <c r="M74" i="386" s="1"/>
  <c r="O74" i="386" a="1"/>
  <c r="O74" i="386" s="1"/>
  <c r="D75" i="386" a="1"/>
  <c r="D75" i="386" s="1"/>
  <c r="H75" i="386" a="1"/>
  <c r="H75" i="386" s="1"/>
  <c r="L75" i="386" a="1"/>
  <c r="L75" i="386" s="1"/>
  <c r="E78" i="386" a="1"/>
  <c r="E78" i="386" s="1"/>
  <c r="G78" i="386" a="1"/>
  <c r="G78" i="386" s="1"/>
  <c r="K78" i="386" a="1"/>
  <c r="K78" i="386" s="1"/>
  <c r="M78" i="386" a="1"/>
  <c r="M78" i="386" s="1"/>
  <c r="O78" i="386" a="1"/>
  <c r="O78" i="386" s="1"/>
  <c r="D79" i="386" a="1"/>
  <c r="D79" i="386" s="1"/>
  <c r="H79" i="386" a="1"/>
  <c r="H79" i="386" s="1"/>
  <c r="O79" i="386" a="1"/>
  <c r="O79" i="386" s="1"/>
  <c r="D87" i="386" a="1"/>
  <c r="D87" i="386" s="1"/>
  <c r="G87" i="386" a="1"/>
  <c r="G87" i="386" s="1"/>
  <c r="L87" i="386" a="1"/>
  <c r="L87" i="386" s="1"/>
  <c r="O87" i="386" a="1"/>
  <c r="O87" i="386" s="1"/>
  <c r="G88" i="386" a="1"/>
  <c r="G88" i="386" s="1"/>
  <c r="O88" i="386" a="1"/>
  <c r="O88" i="386" s="1"/>
  <c r="K90" i="386" a="1"/>
  <c r="K90" i="386" s="1"/>
  <c r="I91" i="386" a="1"/>
  <c r="I91" i="386" s="1"/>
  <c r="D92" i="386" a="1"/>
  <c r="D92" i="386" s="1"/>
  <c r="I92" i="386" a="1"/>
  <c r="I92" i="386" s="1"/>
  <c r="L92" i="386" a="1"/>
  <c r="L92" i="386" s="1"/>
  <c r="D93" i="386" a="1"/>
  <c r="D93" i="386" s="1"/>
  <c r="G93" i="386" a="1"/>
  <c r="G93" i="386" s="1"/>
  <c r="L93" i="386" a="1"/>
  <c r="L93" i="386" s="1"/>
  <c r="O93" i="386" a="1"/>
  <c r="O93" i="386" s="1"/>
  <c r="L94" i="386" a="1"/>
  <c r="L94" i="386" s="1"/>
  <c r="O94" i="386" a="1"/>
  <c r="O94" i="386" s="1"/>
  <c r="M95" i="386" a="1"/>
  <c r="M95" i="386" s="1"/>
  <c r="E96" i="386" a="1"/>
  <c r="E96" i="386" s="1"/>
  <c r="L98" i="386" a="1"/>
  <c r="L98" i="386" s="1"/>
  <c r="H100" i="386" a="1"/>
  <c r="H100" i="386" s="1"/>
  <c r="M100" i="386" a="1"/>
  <c r="M100" i="386" s="1"/>
  <c r="M99" i="386" s="1"/>
  <c r="K101" i="386" a="1"/>
  <c r="K101" i="386" s="1"/>
  <c r="D105" i="386" a="1"/>
  <c r="D105" i="386" s="1"/>
  <c r="O105" i="386" a="1"/>
  <c r="O105" i="386" s="1"/>
  <c r="J10" i="347"/>
  <c r="O10" i="347"/>
  <c r="U10" i="347"/>
  <c r="J11" i="347"/>
  <c r="O11" i="347"/>
  <c r="U11" i="347"/>
  <c r="J12" i="347"/>
  <c r="O12" i="347"/>
  <c r="U12" i="347"/>
  <c r="J13" i="347"/>
  <c r="O13" i="347"/>
  <c r="U13" i="347"/>
  <c r="J14" i="347"/>
  <c r="O14" i="347"/>
  <c r="U14" i="347"/>
  <c r="J15" i="347"/>
  <c r="O15" i="347"/>
  <c r="U15" i="347"/>
  <c r="J16" i="347"/>
  <c r="O16" i="347"/>
  <c r="U16" i="347"/>
  <c r="D87" i="410"/>
  <c r="N22" i="348"/>
  <c r="T22" i="348"/>
  <c r="J17" i="347"/>
  <c r="O17" i="347"/>
  <c r="U17" i="347"/>
  <c r="J18" i="347"/>
  <c r="O18" i="347"/>
  <c r="U18" i="347"/>
  <c r="J19" i="347"/>
  <c r="O19" i="347"/>
  <c r="U19" i="347"/>
  <c r="J20" i="347"/>
  <c r="O20" i="347"/>
  <c r="U20" i="347"/>
  <c r="J21" i="347"/>
  <c r="O21" i="347"/>
  <c r="U21" i="347"/>
  <c r="D42" i="410"/>
  <c r="N44" i="348"/>
  <c r="N48" i="348"/>
  <c r="N26" i="348"/>
  <c r="T26" i="348"/>
  <c r="I27" i="348"/>
  <c r="N56" i="348"/>
  <c r="G160" i="360"/>
  <c r="D14" i="410"/>
  <c r="D78" i="406"/>
  <c r="N31" i="348"/>
  <c r="S110" i="347"/>
  <c r="U68" i="347"/>
  <c r="J69" i="347"/>
  <c r="U69" i="347"/>
  <c r="J70" i="347"/>
  <c r="U70" i="347"/>
  <c r="J71" i="347"/>
  <c r="U71" i="347"/>
  <c r="J72" i="347"/>
  <c r="O72" i="347"/>
  <c r="U72" i="347"/>
  <c r="J73" i="347"/>
  <c r="U73" i="347"/>
  <c r="O74" i="347"/>
  <c r="U74" i="347"/>
  <c r="J75" i="347"/>
  <c r="U75" i="347"/>
  <c r="J76" i="347"/>
  <c r="O76" i="347"/>
  <c r="U76" i="347"/>
  <c r="J77" i="347"/>
  <c r="U77" i="347"/>
  <c r="O78" i="347"/>
  <c r="U78" i="347"/>
  <c r="J79" i="347"/>
  <c r="U79" i="347"/>
  <c r="J80" i="347"/>
  <c r="O80" i="347"/>
  <c r="J81" i="347"/>
  <c r="U81" i="347"/>
  <c r="J82" i="347"/>
  <c r="O82" i="347"/>
  <c r="U82" i="347"/>
  <c r="J83" i="347"/>
  <c r="U83" i="347"/>
  <c r="J84" i="347"/>
  <c r="O84" i="347"/>
  <c r="U84" i="347"/>
  <c r="J85" i="347"/>
  <c r="U85" i="347"/>
  <c r="J86" i="347"/>
  <c r="O86" i="347"/>
  <c r="U86" i="347"/>
  <c r="J87" i="347"/>
  <c r="U87" i="347"/>
  <c r="J88" i="347"/>
  <c r="O88" i="347"/>
  <c r="U88" i="347"/>
  <c r="J89" i="347"/>
  <c r="O95" i="347"/>
  <c r="O96" i="347"/>
  <c r="O97" i="347"/>
  <c r="O98" i="347"/>
  <c r="O99" i="347"/>
  <c r="O100" i="347"/>
  <c r="O101" i="347"/>
  <c r="O102" i="347"/>
  <c r="O103" i="347"/>
  <c r="O104" i="347"/>
  <c r="O105" i="347"/>
  <c r="O106" i="347"/>
  <c r="O107" i="347"/>
  <c r="F57" i="348"/>
  <c r="P57" i="348"/>
  <c r="D98" i="411"/>
  <c r="R36" i="347"/>
  <c r="J58" i="347"/>
  <c r="N40" i="348"/>
  <c r="N36" i="347"/>
  <c r="J24" i="347"/>
  <c r="U24" i="347"/>
  <c r="J25" i="347"/>
  <c r="O25" i="347"/>
  <c r="U25" i="347"/>
  <c r="J26" i="347"/>
  <c r="U26" i="347"/>
  <c r="J27" i="347"/>
  <c r="O27" i="347"/>
  <c r="U27" i="347"/>
  <c r="J28" i="347"/>
  <c r="U28" i="347"/>
  <c r="J29" i="347"/>
  <c r="O29" i="347"/>
  <c r="U29" i="347"/>
  <c r="U30" i="347"/>
  <c r="J31" i="347"/>
  <c r="O31" i="347"/>
  <c r="U31" i="347"/>
  <c r="J32" i="347"/>
  <c r="U32" i="347"/>
  <c r="J33" i="347"/>
  <c r="O33" i="347"/>
  <c r="U33" i="347"/>
  <c r="J34" i="347"/>
  <c r="U34" i="347"/>
  <c r="J35" i="347"/>
  <c r="O35" i="347"/>
  <c r="U35" i="347"/>
  <c r="J56" i="347"/>
  <c r="N30" i="348"/>
  <c r="T30" i="348"/>
  <c r="I31" i="348"/>
  <c r="H57" i="348"/>
  <c r="N52" i="348"/>
  <c r="T35" i="348"/>
  <c r="N39" i="348"/>
  <c r="T39" i="348"/>
  <c r="N43" i="348"/>
  <c r="T43" i="348"/>
  <c r="I44" i="348"/>
  <c r="N47" i="348"/>
  <c r="T47" i="348"/>
  <c r="I48" i="348"/>
  <c r="I52" i="348"/>
  <c r="N55" i="348"/>
  <c r="T55" i="348"/>
  <c r="I56" i="348"/>
  <c r="G88" i="395"/>
  <c r="H46" i="397"/>
  <c r="A13" i="420" a="1"/>
  <c r="A13" i="420"/>
  <c r="C14" i="420"/>
  <c r="A14" i="420" a="1"/>
  <c r="A14" i="420" s="1"/>
  <c r="S55" i="328"/>
  <c r="P55" i="328"/>
  <c r="P1136" i="328"/>
  <c r="S1136" i="328"/>
  <c r="S1183" i="328"/>
  <c r="A1153" i="328" s="1"/>
  <c r="D52" i="406"/>
  <c r="N11" i="348"/>
  <c r="D14" i="411"/>
  <c r="D33" i="411"/>
  <c r="D66" i="410"/>
  <c r="N65" i="348"/>
  <c r="N69" i="348"/>
  <c r="N77" i="348"/>
  <c r="N81" i="348"/>
  <c r="N85" i="348"/>
  <c r="N89" i="348"/>
  <c r="D63" i="410"/>
  <c r="D61" i="410" s="1"/>
  <c r="J39" i="347"/>
  <c r="U39" i="347"/>
  <c r="J40" i="347"/>
  <c r="U40" i="347"/>
  <c r="J41" i="347"/>
  <c r="U41" i="347"/>
  <c r="J42" i="347"/>
  <c r="U42" i="347"/>
  <c r="J43" i="347"/>
  <c r="J44" i="347"/>
  <c r="U44" i="347"/>
  <c r="J45" i="347"/>
  <c r="J46" i="347"/>
  <c r="U46" i="347"/>
  <c r="J47" i="347"/>
  <c r="U47" i="347"/>
  <c r="J48" i="347"/>
  <c r="U48" i="347"/>
  <c r="J49" i="347"/>
  <c r="O49" i="347"/>
  <c r="O57" i="347"/>
  <c r="N10" i="348"/>
  <c r="N14" i="348"/>
  <c r="I15" i="348"/>
  <c r="N15" i="348"/>
  <c r="N18" i="348"/>
  <c r="T18" i="348"/>
  <c r="I19" i="348"/>
  <c r="N19" i="348"/>
  <c r="I23" i="348"/>
  <c r="N23" i="348"/>
  <c r="N27" i="348"/>
  <c r="I94" i="348"/>
  <c r="N60" i="348"/>
  <c r="N62" i="348"/>
  <c r="N66" i="348"/>
  <c r="N70" i="348"/>
  <c r="N74" i="348"/>
  <c r="N78" i="348"/>
  <c r="N82" i="348"/>
  <c r="N90" i="348"/>
  <c r="T91" i="348"/>
  <c r="I92" i="348"/>
  <c r="N95" i="348"/>
  <c r="T95" i="348"/>
  <c r="I96" i="348"/>
  <c r="C61" i="254"/>
  <c r="D14" i="406"/>
  <c r="L36" i="347"/>
  <c r="O22" i="347"/>
  <c r="J23" i="347"/>
  <c r="M61" i="347"/>
  <c r="U51" i="347"/>
  <c r="U58" i="347"/>
  <c r="J64" i="347"/>
  <c r="N16" i="348"/>
  <c r="N24" i="348"/>
  <c r="N28" i="348"/>
  <c r="N37" i="348"/>
  <c r="N41" i="348"/>
  <c r="N45" i="348"/>
  <c r="N49" i="348"/>
  <c r="N53" i="348"/>
  <c r="M36" i="347"/>
  <c r="N61" i="347"/>
  <c r="O53" i="347"/>
  <c r="U66" i="347"/>
  <c r="J67" i="347"/>
  <c r="O108" i="347"/>
  <c r="N64" i="348"/>
  <c r="T65" i="348"/>
  <c r="T68" i="348"/>
  <c r="N72" i="348"/>
  <c r="T73" i="348"/>
  <c r="N76" i="348"/>
  <c r="T76" i="348"/>
  <c r="N80" i="348"/>
  <c r="I81" i="348"/>
  <c r="N84" i="348"/>
  <c r="N88" i="348"/>
  <c r="T88" i="348"/>
  <c r="G94" i="396"/>
  <c r="G141" i="395"/>
  <c r="G139" i="395" s="1"/>
  <c r="G161" i="408"/>
  <c r="G163" i="392"/>
  <c r="G118" i="395"/>
  <c r="E144" i="397"/>
  <c r="G105" i="393"/>
  <c r="G38" i="401"/>
  <c r="G92" i="398"/>
  <c r="H92" i="398" s="1"/>
  <c r="G55" i="402"/>
  <c r="G14" i="404"/>
  <c r="G45" i="405"/>
  <c r="H45" i="405" s="1"/>
  <c r="G56" i="405"/>
  <c r="E62" i="416"/>
  <c r="J30" i="347"/>
  <c r="D37" i="406"/>
  <c r="D63" i="406"/>
  <c r="D61" i="406" s="1"/>
  <c r="D98" i="406"/>
  <c r="D42" i="411"/>
  <c r="D87" i="411"/>
  <c r="D33" i="410"/>
  <c r="J53" i="347"/>
  <c r="U53" i="347"/>
  <c r="J54" i="347"/>
  <c r="U54" i="347"/>
  <c r="D18" i="406"/>
  <c r="D66" i="411"/>
  <c r="U23" i="347"/>
  <c r="O38" i="347"/>
  <c r="O39" i="347"/>
  <c r="O40" i="347"/>
  <c r="O41" i="347"/>
  <c r="O42" i="347"/>
  <c r="O43" i="347"/>
  <c r="O44" i="347"/>
  <c r="O45" i="347"/>
  <c r="O46" i="347"/>
  <c r="O47" i="347"/>
  <c r="O48" i="347"/>
  <c r="T61" i="347"/>
  <c r="J51" i="347"/>
  <c r="J55" i="347"/>
  <c r="U57" i="347"/>
  <c r="J59" i="347"/>
  <c r="U89" i="347"/>
  <c r="J90" i="347"/>
  <c r="O90" i="347"/>
  <c r="U90" i="347"/>
  <c r="O91" i="347"/>
  <c r="U91" i="347"/>
  <c r="J92" i="347"/>
  <c r="O92" i="347"/>
  <c r="U92" i="347"/>
  <c r="O93" i="347"/>
  <c r="O94" i="347"/>
  <c r="N86" i="348"/>
  <c r="D37" i="411"/>
  <c r="G36" i="347"/>
  <c r="Q36" i="347"/>
  <c r="G61" i="347"/>
  <c r="U50" i="347"/>
  <c r="U60" i="347"/>
  <c r="F110" i="347"/>
  <c r="N20" i="348"/>
  <c r="I95" i="348"/>
  <c r="J52" i="347"/>
  <c r="O55" i="347"/>
  <c r="U55" i="347"/>
  <c r="J57" i="347"/>
  <c r="O59" i="347"/>
  <c r="U59" i="347"/>
  <c r="O64" i="347"/>
  <c r="U65" i="347"/>
  <c r="J66" i="347"/>
  <c r="O66" i="347"/>
  <c r="U67" i="347"/>
  <c r="J68" i="347"/>
  <c r="O68" i="347"/>
  <c r="E46" i="389"/>
  <c r="H46" i="389"/>
  <c r="D18" i="410"/>
  <c r="I36" i="347"/>
  <c r="S36" i="347"/>
  <c r="I61" i="347"/>
  <c r="S61" i="347"/>
  <c r="O50" i="347"/>
  <c r="J60" i="347"/>
  <c r="O60" i="347"/>
  <c r="H110" i="347"/>
  <c r="N51" i="348"/>
  <c r="K32" i="348"/>
  <c r="K57" i="348"/>
  <c r="M57" i="348"/>
  <c r="R97" i="348"/>
  <c r="E21" i="407"/>
  <c r="E19" i="407" s="1"/>
  <c r="E177" i="408"/>
  <c r="E144" i="392"/>
  <c r="E177" i="392"/>
  <c r="E144" i="395"/>
  <c r="U109" i="347"/>
  <c r="P32" i="348"/>
  <c r="I10" i="348"/>
  <c r="T10" i="348"/>
  <c r="T13" i="348"/>
  <c r="I14" i="348"/>
  <c r="T17" i="348"/>
  <c r="I18" i="348"/>
  <c r="T21" i="348"/>
  <c r="I22" i="348"/>
  <c r="T25" i="348"/>
  <c r="I26" i="348"/>
  <c r="T29" i="348"/>
  <c r="I30" i="348"/>
  <c r="O57" i="348"/>
  <c r="S57" i="348"/>
  <c r="I35" i="348"/>
  <c r="T38" i="348"/>
  <c r="I39" i="348"/>
  <c r="I64" i="348"/>
  <c r="I65" i="348"/>
  <c r="I68" i="348"/>
  <c r="I69" i="348"/>
  <c r="I72" i="348"/>
  <c r="I73" i="348"/>
  <c r="T75" i="348"/>
  <c r="T93" i="348"/>
  <c r="E29" i="392"/>
  <c r="E27" i="392" s="1"/>
  <c r="E15" i="395"/>
  <c r="J93" i="347"/>
  <c r="U93" i="347"/>
  <c r="J94" i="347"/>
  <c r="U94" i="347"/>
  <c r="J95" i="347"/>
  <c r="U95" i="347"/>
  <c r="J96" i="347"/>
  <c r="U96" i="347"/>
  <c r="J97" i="347"/>
  <c r="U97" i="347"/>
  <c r="J98" i="347"/>
  <c r="U98" i="347"/>
  <c r="J99" i="347"/>
  <c r="J100" i="347"/>
  <c r="J101" i="347"/>
  <c r="J102" i="347"/>
  <c r="U102" i="347"/>
  <c r="J103" i="347"/>
  <c r="U103" i="347"/>
  <c r="J104" i="347"/>
  <c r="U104" i="347"/>
  <c r="J105" i="347"/>
  <c r="J106" i="347"/>
  <c r="U106" i="347"/>
  <c r="J107" i="347"/>
  <c r="U107" i="347"/>
  <c r="Q32" i="348"/>
  <c r="T12" i="348"/>
  <c r="I13" i="348"/>
  <c r="N13" i="348"/>
  <c r="T16" i="348"/>
  <c r="I17" i="348"/>
  <c r="N17" i="348"/>
  <c r="T20" i="348"/>
  <c r="I21" i="348"/>
  <c r="N21" i="348"/>
  <c r="T24" i="348"/>
  <c r="I25" i="348"/>
  <c r="N25" i="348"/>
  <c r="T28" i="348"/>
  <c r="I29" i="348"/>
  <c r="N29" i="348"/>
  <c r="L57" i="348"/>
  <c r="N38" i="348"/>
  <c r="T41" i="348"/>
  <c r="I42" i="348"/>
  <c r="N42" i="348"/>
  <c r="N46" i="348"/>
  <c r="N50" i="348"/>
  <c r="N54" i="348"/>
  <c r="T62" i="348"/>
  <c r="I63" i="348"/>
  <c r="N63" i="348"/>
  <c r="T63" i="348"/>
  <c r="T66" i="348"/>
  <c r="I67" i="348"/>
  <c r="N67" i="348"/>
  <c r="T67" i="348"/>
  <c r="T70" i="348"/>
  <c r="I71" i="348"/>
  <c r="N71" i="348"/>
  <c r="T71" i="348"/>
  <c r="T74" i="348"/>
  <c r="I75" i="348"/>
  <c r="N75" i="348"/>
  <c r="T78" i="348"/>
  <c r="N79" i="348"/>
  <c r="T82" i="348"/>
  <c r="I83" i="348"/>
  <c r="N83" i="348"/>
  <c r="T86" i="348"/>
  <c r="I87" i="348"/>
  <c r="N87" i="348"/>
  <c r="N91" i="348"/>
  <c r="T92" i="348"/>
  <c r="T94" i="348"/>
  <c r="E32" i="395"/>
  <c r="U108" i="347"/>
  <c r="O109" i="347"/>
  <c r="G32" i="348"/>
  <c r="M32" i="348"/>
  <c r="R32" i="348"/>
  <c r="T11" i="348"/>
  <c r="I12" i="348"/>
  <c r="T15" i="348"/>
  <c r="I16" i="348"/>
  <c r="T19" i="348"/>
  <c r="I20" i="348"/>
  <c r="T23" i="348"/>
  <c r="I24" i="348"/>
  <c r="T27" i="348"/>
  <c r="I28" i="348"/>
  <c r="T31" i="348"/>
  <c r="G57" i="348"/>
  <c r="Q57" i="348"/>
  <c r="T36" i="348"/>
  <c r="I41" i="348"/>
  <c r="T44" i="348"/>
  <c r="T48" i="348"/>
  <c r="I49" i="348"/>
  <c r="T52" i="348"/>
  <c r="I53" i="348"/>
  <c r="T56" i="348"/>
  <c r="G97" i="348"/>
  <c r="T61" i="348"/>
  <c r="I62" i="348"/>
  <c r="I66" i="348"/>
  <c r="T69" i="348"/>
  <c r="I70" i="348"/>
  <c r="I74" i="348"/>
  <c r="I82" i="348"/>
  <c r="I86" i="348"/>
  <c r="I90" i="348"/>
  <c r="I93" i="348"/>
  <c r="G42" i="407"/>
  <c r="H42" i="407" s="1"/>
  <c r="E46" i="395"/>
  <c r="H46" i="395"/>
  <c r="H46" i="392"/>
  <c r="E11" i="395"/>
  <c r="E9" i="395" s="1"/>
  <c r="G95" i="393"/>
  <c r="G41" i="407"/>
  <c r="H41" i="407" s="1"/>
  <c r="E144" i="407"/>
  <c r="H143" i="392"/>
  <c r="E21" i="395"/>
  <c r="E19" i="395" s="1"/>
  <c r="H143" i="397"/>
  <c r="E15" i="393"/>
  <c r="G162" i="407"/>
  <c r="I162" i="407" s="1"/>
  <c r="G175" i="397"/>
  <c r="H175" i="397" s="1"/>
  <c r="E177" i="397"/>
  <c r="E177" i="393"/>
  <c r="G22" i="392"/>
  <c r="G21" i="392" s="1"/>
  <c r="G72" i="393"/>
  <c r="E11" i="398"/>
  <c r="E9" i="398" s="1"/>
  <c r="E11" i="393"/>
  <c r="E9" i="393" s="1"/>
  <c r="E36" i="393"/>
  <c r="H143" i="405"/>
  <c r="G161" i="398"/>
  <c r="H161" i="398" s="1"/>
  <c r="E144" i="401"/>
  <c r="G41" i="405"/>
  <c r="C28" i="416"/>
  <c r="C26" i="416" s="1"/>
  <c r="L13" i="421" a="1"/>
  <c r="L13" i="421" s="1"/>
  <c r="M12" i="421" a="1"/>
  <c r="M12" i="421" s="1"/>
  <c r="K12" i="421" a="1"/>
  <c r="K12" i="421" s="1"/>
  <c r="N12" i="421" a="1"/>
  <c r="N12" i="421" s="1"/>
  <c r="H12" i="421" a="1"/>
  <c r="H12" i="421" s="1"/>
  <c r="L12" i="421" a="1"/>
  <c r="L12" i="421" s="1"/>
  <c r="I12" i="421" a="1"/>
  <c r="I12" i="421" s="1"/>
  <c r="O12" i="421" a="1"/>
  <c r="O12" i="421" s="1"/>
  <c r="D33" i="406"/>
  <c r="D42" i="406"/>
  <c r="D66" i="406"/>
  <c r="D87" i="406"/>
  <c r="D18" i="411"/>
  <c r="D105" i="411"/>
  <c r="D98" i="410"/>
  <c r="O23" i="347"/>
  <c r="O24" i="347"/>
  <c r="O26" i="347"/>
  <c r="O28" i="347"/>
  <c r="O30" i="347"/>
  <c r="O32" i="347"/>
  <c r="O34" i="347"/>
  <c r="H61" i="347"/>
  <c r="U49" i="347"/>
  <c r="J50" i="347"/>
  <c r="O54" i="347"/>
  <c r="O56" i="347"/>
  <c r="O58" i="347"/>
  <c r="U64" i="347"/>
  <c r="D63" i="411"/>
  <c r="D61" i="411" s="1"/>
  <c r="D37" i="410"/>
  <c r="D52" i="410"/>
  <c r="D105" i="410"/>
  <c r="E36" i="347"/>
  <c r="E61" i="347"/>
  <c r="L61" i="347"/>
  <c r="O51" i="347"/>
  <c r="D78" i="411"/>
  <c r="J9" i="347"/>
  <c r="U9" i="347"/>
  <c r="P36" i="347"/>
  <c r="J38" i="347"/>
  <c r="F61" i="347"/>
  <c r="F111" i="347" s="1"/>
  <c r="P61" i="347"/>
  <c r="U38" i="347"/>
  <c r="Q110" i="347"/>
  <c r="U63" i="347"/>
  <c r="D105" i="406"/>
  <c r="D52" i="411"/>
  <c r="D78" i="410"/>
  <c r="J22" i="347"/>
  <c r="U22" i="347"/>
  <c r="O52" i="347"/>
  <c r="K110" i="347"/>
  <c r="O63" i="347"/>
  <c r="O9" i="347"/>
  <c r="O65" i="347"/>
  <c r="O67" i="347"/>
  <c r="O69" i="347"/>
  <c r="O71" i="347"/>
  <c r="O73" i="347"/>
  <c r="O75" i="347"/>
  <c r="O77" i="347"/>
  <c r="O81" i="347"/>
  <c r="O83" i="347"/>
  <c r="O85" i="347"/>
  <c r="O87" i="347"/>
  <c r="O89" i="347"/>
  <c r="T9" i="348"/>
  <c r="O32" i="348"/>
  <c r="K61" i="347"/>
  <c r="I110" i="347"/>
  <c r="J63" i="347"/>
  <c r="L110" i="347"/>
  <c r="J108" i="347"/>
  <c r="J109" i="347"/>
  <c r="F32" i="348"/>
  <c r="I9" i="348"/>
  <c r="E110" i="347"/>
  <c r="J32" i="348"/>
  <c r="N9" i="348"/>
  <c r="L32" i="348"/>
  <c r="N12" i="348"/>
  <c r="E32" i="348"/>
  <c r="J57" i="348"/>
  <c r="N34" i="348"/>
  <c r="T34" i="348"/>
  <c r="I36" i="348"/>
  <c r="I40" i="348"/>
  <c r="N35" i="348"/>
  <c r="T42" i="348"/>
  <c r="I43" i="348"/>
  <c r="T46" i="348"/>
  <c r="I47" i="348"/>
  <c r="T50" i="348"/>
  <c r="I51" i="348"/>
  <c r="T54" i="348"/>
  <c r="I55" i="348"/>
  <c r="E97" i="348"/>
  <c r="T59" i="348"/>
  <c r="I61" i="348"/>
  <c r="E57" i="348"/>
  <c r="I34" i="348"/>
  <c r="T37" i="348"/>
  <c r="I38" i="348"/>
  <c r="T45" i="348"/>
  <c r="I46" i="348"/>
  <c r="I50" i="348"/>
  <c r="T53" i="348"/>
  <c r="I54" i="348"/>
  <c r="F97" i="348"/>
  <c r="I59" i="348"/>
  <c r="I60" i="348"/>
  <c r="T60" i="348"/>
  <c r="I37" i="348"/>
  <c r="T40" i="348"/>
  <c r="I45" i="348"/>
  <c r="N59" i="348"/>
  <c r="T84" i="348"/>
  <c r="I85" i="348"/>
  <c r="I89" i="348"/>
  <c r="N93" i="348"/>
  <c r="N96" i="348"/>
  <c r="E15" i="360"/>
  <c r="E32" i="360"/>
  <c r="N61" i="348"/>
  <c r="T79" i="348"/>
  <c r="I80" i="348"/>
  <c r="I84" i="348"/>
  <c r="I88" i="348"/>
  <c r="N92" i="348"/>
  <c r="N94" i="348"/>
  <c r="E36" i="360"/>
  <c r="E51" i="360"/>
  <c r="E50" i="360" s="1"/>
  <c r="N73" i="348"/>
  <c r="I79" i="348"/>
  <c r="I91" i="348"/>
  <c r="E78" i="360"/>
  <c r="E77" i="360" s="1"/>
  <c r="E76" i="360" s="1"/>
  <c r="M97" i="348"/>
  <c r="T77" i="348"/>
  <c r="I78" i="348"/>
  <c r="T81" i="348"/>
  <c r="T85" i="348"/>
  <c r="T89" i="348"/>
  <c r="E11" i="360"/>
  <c r="E9" i="360" s="1"/>
  <c r="E21" i="360"/>
  <c r="E19" i="360" s="1"/>
  <c r="H46" i="360"/>
  <c r="E46" i="360"/>
  <c r="E164" i="360"/>
  <c r="E144" i="360"/>
  <c r="E177" i="360"/>
  <c r="E144" i="389"/>
  <c r="E11" i="407"/>
  <c r="E9" i="407" s="1"/>
  <c r="E177" i="389"/>
  <c r="H46" i="407"/>
  <c r="E46" i="407"/>
  <c r="G68" i="407"/>
  <c r="E21" i="408"/>
  <c r="E19" i="408" s="1"/>
  <c r="E15" i="408"/>
  <c r="E177" i="407"/>
  <c r="E32" i="408"/>
  <c r="E46" i="408"/>
  <c r="H46" i="408"/>
  <c r="E139" i="408"/>
  <c r="E11" i="392"/>
  <c r="E9" i="392" s="1"/>
  <c r="E21" i="392"/>
  <c r="E19" i="392" s="1"/>
  <c r="H143" i="395"/>
  <c r="E11" i="396"/>
  <c r="E9" i="396" s="1"/>
  <c r="E15" i="396"/>
  <c r="E46" i="396"/>
  <c r="H46" i="396"/>
  <c r="E15" i="397"/>
  <c r="E29" i="396"/>
  <c r="E27" i="396" s="1"/>
  <c r="E143" i="396"/>
  <c r="E139" i="396" s="1"/>
  <c r="E11" i="397"/>
  <c r="E9" i="397" s="1"/>
  <c r="E21" i="397"/>
  <c r="E19" i="397" s="1"/>
  <c r="E29" i="397"/>
  <c r="E27" i="397" s="1"/>
  <c r="H46" i="393"/>
  <c r="E46" i="393"/>
  <c r="G10" i="398"/>
  <c r="H10" i="398" s="1"/>
  <c r="G37" i="398"/>
  <c r="H46" i="398"/>
  <c r="E46" i="398"/>
  <c r="H143" i="398"/>
  <c r="E11" i="399"/>
  <c r="E9" i="399" s="1"/>
  <c r="E29" i="399"/>
  <c r="E27" i="399" s="1"/>
  <c r="E32" i="399"/>
  <c r="E46" i="399"/>
  <c r="H46" i="399"/>
  <c r="G26" i="398"/>
  <c r="H26" i="398" s="1"/>
  <c r="E15" i="401"/>
  <c r="E21" i="401"/>
  <c r="E19" i="401" s="1"/>
  <c r="E29" i="401"/>
  <c r="E27" i="401" s="1"/>
  <c r="E46" i="394"/>
  <c r="H46" i="394"/>
  <c r="H46" i="401"/>
  <c r="E46" i="401"/>
  <c r="E21" i="394"/>
  <c r="E19" i="394" s="1"/>
  <c r="E11" i="401"/>
  <c r="E9" i="401" s="1"/>
  <c r="H143" i="399"/>
  <c r="E21" i="402"/>
  <c r="E19" i="402" s="1"/>
  <c r="E144" i="399"/>
  <c r="E29" i="394"/>
  <c r="E27" i="394" s="1"/>
  <c r="E46" i="402"/>
  <c r="H46" i="402"/>
  <c r="E11" i="403"/>
  <c r="E9" i="403" s="1"/>
  <c r="E46" i="403"/>
  <c r="H46" i="403"/>
  <c r="E32" i="403"/>
  <c r="E21" i="404"/>
  <c r="E19" i="404" s="1"/>
  <c r="E46" i="404"/>
  <c r="H46" i="404"/>
  <c r="E32" i="404"/>
  <c r="G35" i="404"/>
  <c r="E177" i="404"/>
  <c r="E21" i="405"/>
  <c r="E19" i="405" s="1"/>
  <c r="E46" i="405"/>
  <c r="H46" i="405"/>
  <c r="E177" i="405"/>
  <c r="G80" i="388"/>
  <c r="H80" i="388" s="1"/>
  <c r="C16" i="418"/>
  <c r="C16" i="413"/>
  <c r="E13" i="420" a="1"/>
  <c r="E13" i="420" s="1"/>
  <c r="G13" i="420" a="1"/>
  <c r="G13" i="420" s="1"/>
  <c r="I13" i="420" a="1"/>
  <c r="I13" i="420" s="1"/>
  <c r="K13" i="420" a="1"/>
  <c r="K13" i="420" s="1"/>
  <c r="M13" i="420" a="1"/>
  <c r="M13" i="420" s="1"/>
  <c r="P13" i="420" a="1"/>
  <c r="P13" i="420" s="1"/>
  <c r="R13" i="420" a="1"/>
  <c r="R13" i="420" s="1"/>
  <c r="D13" i="420" a="1"/>
  <c r="D13" i="420" s="1"/>
  <c r="F13" i="420" a="1"/>
  <c r="F13" i="420"/>
  <c r="H13" i="420" a="1"/>
  <c r="H13" i="420"/>
  <c r="J13" i="420" a="1"/>
  <c r="J13" i="420"/>
  <c r="L13" i="420" a="1"/>
  <c r="L13" i="420"/>
  <c r="O13" i="420" a="1"/>
  <c r="O13" i="420"/>
  <c r="G65" i="388"/>
  <c r="E15" i="405"/>
  <c r="D17" i="397" a="1"/>
  <c r="D17" i="397" s="1"/>
  <c r="I17" i="397" s="1"/>
  <c r="D37" i="392" a="1"/>
  <c r="D37" i="392" s="1"/>
  <c r="D14" i="392" a="1"/>
  <c r="D14" i="392" s="1"/>
  <c r="I14" i="392" s="1"/>
  <c r="D26" i="407" a="1"/>
  <c r="D26" i="407" s="1"/>
  <c r="D31" i="407" a="1"/>
  <c r="D31" i="407" s="1"/>
  <c r="I31" i="407" s="1"/>
  <c r="D161" i="407" a="1"/>
  <c r="D161" i="407" s="1"/>
  <c r="D128" i="407" a="1"/>
  <c r="D128" i="407" s="1"/>
  <c r="I128" i="407" s="1"/>
  <c r="D104" i="407" a="1"/>
  <c r="D104" i="407" s="1"/>
  <c r="I104" i="407" s="1"/>
  <c r="D35" i="407" a="1"/>
  <c r="D35" i="407" s="1"/>
  <c r="I35" i="407" s="1"/>
  <c r="D56" i="392" a="1"/>
  <c r="D56" i="392" s="1"/>
  <c r="D70" i="407" a="1"/>
  <c r="D70" i="407" s="1"/>
  <c r="D145" i="407" a="1"/>
  <c r="D145" i="407" s="1"/>
  <c r="D121" i="407" a="1"/>
  <c r="D121" i="407" s="1"/>
  <c r="D96" i="407" a="1"/>
  <c r="D96" i="407" s="1"/>
  <c r="I96" i="407" s="1"/>
  <c r="H103" i="395"/>
  <c r="C24" i="399"/>
  <c r="E29" i="408"/>
  <c r="E27" i="408" s="1"/>
  <c r="G68" i="388"/>
  <c r="I68" i="388" s="1"/>
  <c r="G65" i="394"/>
  <c r="H65" i="394" s="1"/>
  <c r="E29" i="388"/>
  <c r="E27" i="388" s="1"/>
  <c r="G134" i="401"/>
  <c r="G127" i="399"/>
  <c r="H127" i="399" s="1"/>
  <c r="G109" i="399"/>
  <c r="G130" i="399"/>
  <c r="H130" i="399" s="1"/>
  <c r="G118" i="392"/>
  <c r="G83" i="396"/>
  <c r="G124" i="398"/>
  <c r="H124" i="398" s="1"/>
  <c r="G91" i="393"/>
  <c r="G118" i="393"/>
  <c r="G74" i="397"/>
  <c r="H74" i="397" s="1"/>
  <c r="G42" i="397"/>
  <c r="G118" i="394"/>
  <c r="H118" i="394" s="1"/>
  <c r="G26" i="394"/>
  <c r="H26" i="394" s="1"/>
  <c r="E15" i="407"/>
  <c r="E139" i="389"/>
  <c r="E51" i="408"/>
  <c r="E50" i="408" s="1"/>
  <c r="G113" i="408"/>
  <c r="G88" i="408"/>
  <c r="G120" i="407"/>
  <c r="H120" i="407" s="1"/>
  <c r="G87" i="407"/>
  <c r="H87" i="407" s="1"/>
  <c r="G125" i="389"/>
  <c r="G156" i="408"/>
  <c r="G45" i="389"/>
  <c r="G18" i="389"/>
  <c r="G63" i="389"/>
  <c r="G20" i="389"/>
  <c r="G55" i="393"/>
  <c r="G72" i="407"/>
  <c r="I72" i="407" s="1"/>
  <c r="G69" i="402"/>
  <c r="G13" i="394"/>
  <c r="G41" i="399"/>
  <c r="H41" i="399" s="1"/>
  <c r="G89" i="397"/>
  <c r="H89" i="397" s="1"/>
  <c r="G119" i="392"/>
  <c r="H119" i="392" s="1"/>
  <c r="G59" i="395"/>
  <c r="H59" i="395" s="1"/>
  <c r="D30" i="385"/>
  <c r="N77" i="385"/>
  <c r="E99" i="385"/>
  <c r="E97" i="385" s="1"/>
  <c r="E15" i="403"/>
  <c r="H119" i="399"/>
  <c r="H113" i="397"/>
  <c r="G118" i="402"/>
  <c r="G131" i="393"/>
  <c r="G26" i="388"/>
  <c r="I26" i="388" s="1"/>
  <c r="G89" i="399"/>
  <c r="I89" i="399" s="1"/>
  <c r="G13" i="397"/>
  <c r="H13" i="397" s="1"/>
  <c r="G80" i="397"/>
  <c r="H80" i="397" s="1"/>
  <c r="G128" i="397"/>
  <c r="H128" i="397" s="1"/>
  <c r="G157" i="392"/>
  <c r="G55" i="394"/>
  <c r="I55" i="394" s="1"/>
  <c r="G37" i="392"/>
  <c r="G84" i="394"/>
  <c r="H84" i="394" s="1"/>
  <c r="G65" i="393"/>
  <c r="G66" i="399"/>
  <c r="H66" i="399" s="1"/>
  <c r="G64" i="397"/>
  <c r="G110" i="392"/>
  <c r="H110" i="392" s="1"/>
  <c r="H68" i="405"/>
  <c r="D29" i="388"/>
  <c r="H107" i="395"/>
  <c r="E15" i="388"/>
  <c r="C22" i="413"/>
  <c r="C20" i="413" s="1"/>
  <c r="G80" i="404"/>
  <c r="G43" i="394"/>
  <c r="H43" i="394" s="1"/>
  <c r="G62" i="399"/>
  <c r="G17" i="393"/>
  <c r="G22" i="397"/>
  <c r="G21" i="397" s="1"/>
  <c r="C28" i="418"/>
  <c r="C26" i="418" s="1"/>
  <c r="G114" i="401"/>
  <c r="G123" i="393"/>
  <c r="G66" i="408"/>
  <c r="G37" i="408"/>
  <c r="G31" i="408"/>
  <c r="G93" i="389"/>
  <c r="G44" i="403"/>
  <c r="G142" i="396"/>
  <c r="G65" i="408"/>
  <c r="G98" i="396"/>
  <c r="G40" i="396"/>
  <c r="G92" i="392"/>
  <c r="G101" i="407"/>
  <c r="H101" i="407" s="1"/>
  <c r="G66" i="389"/>
  <c r="G43" i="408"/>
  <c r="G117" i="407"/>
  <c r="H117" i="407" s="1"/>
  <c r="G141" i="389"/>
  <c r="G62" i="389"/>
  <c r="G110" i="408"/>
  <c r="G97" i="401"/>
  <c r="G97" i="393"/>
  <c r="G92" i="401"/>
  <c r="G44" i="399"/>
  <c r="H44" i="399" s="1"/>
  <c r="G79" i="396"/>
  <c r="G120" i="396"/>
  <c r="G107" i="408"/>
  <c r="G30" i="408"/>
  <c r="G100" i="392"/>
  <c r="G126" i="407"/>
  <c r="H126" i="407" s="1"/>
  <c r="G82" i="405"/>
  <c r="H82" i="405" s="1"/>
  <c r="G45" i="399"/>
  <c r="H45" i="399" s="1"/>
  <c r="G101" i="399"/>
  <c r="H101" i="399" s="1"/>
  <c r="G55" i="396"/>
  <c r="G159" i="396"/>
  <c r="G130" i="396"/>
  <c r="G131" i="395"/>
  <c r="H131" i="395" s="1"/>
  <c r="G86" i="395"/>
  <c r="I86" i="395" s="1"/>
  <c r="G162" i="408"/>
  <c r="G33" i="407"/>
  <c r="H33" i="407" s="1"/>
  <c r="G95" i="389"/>
  <c r="G163" i="408"/>
  <c r="G45" i="402"/>
  <c r="G140" i="393"/>
  <c r="G84" i="396"/>
  <c r="G67" i="389"/>
  <c r="G90" i="408"/>
  <c r="G117" i="389"/>
  <c r="G94" i="389"/>
  <c r="G128" i="389"/>
  <c r="G20" i="405"/>
  <c r="H20" i="405" s="1"/>
  <c r="G134" i="392"/>
  <c r="H134" i="392" s="1"/>
  <c r="G94" i="398"/>
  <c r="H94" i="398" s="1"/>
  <c r="G72" i="399"/>
  <c r="I72" i="399" s="1"/>
  <c r="G86" i="407"/>
  <c r="H86" i="407" s="1"/>
  <c r="G64" i="407"/>
  <c r="H64" i="407" s="1"/>
  <c r="G18" i="407"/>
  <c r="H18" i="407" s="1"/>
  <c r="G45" i="393"/>
  <c r="E70" i="416"/>
  <c r="G80" i="399"/>
  <c r="H80" i="399" s="1"/>
  <c r="G43" i="398"/>
  <c r="H43" i="398" s="1"/>
  <c r="G60" i="398"/>
  <c r="H60" i="398" s="1"/>
  <c r="G141" i="398"/>
  <c r="G103" i="397"/>
  <c r="H103" i="397" s="1"/>
  <c r="G102" i="404"/>
  <c r="G137" i="405"/>
  <c r="H137" i="405" s="1"/>
  <c r="G135" i="404"/>
  <c r="G114" i="402"/>
  <c r="G109" i="394"/>
  <c r="H109" i="394" s="1"/>
  <c r="G87" i="399"/>
  <c r="G54" i="407"/>
  <c r="H54" i="407" s="1"/>
  <c r="G158" i="396"/>
  <c r="G107" i="405"/>
  <c r="H107" i="405" s="1"/>
  <c r="G80" i="407"/>
  <c r="H80" i="407" s="1"/>
  <c r="G52" i="407"/>
  <c r="H52" i="407" s="1"/>
  <c r="G16" i="405"/>
  <c r="G90" i="394"/>
  <c r="I90" i="394" s="1"/>
  <c r="G92" i="399"/>
  <c r="H92" i="399" s="1"/>
  <c r="G131" i="397"/>
  <c r="H131" i="397" s="1"/>
  <c r="G158" i="407"/>
  <c r="G116" i="403"/>
  <c r="G116" i="395"/>
  <c r="H116" i="395" s="1"/>
  <c r="G18" i="396"/>
  <c r="G130" i="404"/>
  <c r="G126" i="394"/>
  <c r="H126" i="394" s="1"/>
  <c r="G44" i="401"/>
  <c r="G87" i="393"/>
  <c r="G72" i="398"/>
  <c r="G111" i="395"/>
  <c r="H111" i="395" s="1"/>
  <c r="G159" i="398"/>
  <c r="H159" i="398" s="1"/>
  <c r="G73" i="394"/>
  <c r="H73" i="394" s="1"/>
  <c r="G129" i="396"/>
  <c r="E32" i="405"/>
  <c r="G157" i="395"/>
  <c r="H157" i="395" s="1"/>
  <c r="G119" i="388"/>
  <c r="H119" i="388" s="1"/>
  <c r="G112" i="398"/>
  <c r="H112" i="398" s="1"/>
  <c r="G114" i="407"/>
  <c r="H114" i="407" s="1"/>
  <c r="G59" i="407"/>
  <c r="H59" i="407" s="1"/>
  <c r="G22" i="407"/>
  <c r="H22" i="407" s="1"/>
  <c r="G23" i="402"/>
  <c r="G119" i="397"/>
  <c r="H119" i="397" s="1"/>
  <c r="G97" i="394"/>
  <c r="H97" i="394" s="1"/>
  <c r="G16" i="398"/>
  <c r="H16" i="398" s="1"/>
  <c r="G121" i="393"/>
  <c r="G158" i="402"/>
  <c r="G116" i="393"/>
  <c r="G74" i="398"/>
  <c r="H74" i="398" s="1"/>
  <c r="G159" i="394"/>
  <c r="H159" i="394" s="1"/>
  <c r="G91" i="397"/>
  <c r="H91" i="397" s="1"/>
  <c r="G103" i="392"/>
  <c r="G128" i="399"/>
  <c r="H128" i="399" s="1"/>
  <c r="G100" i="398"/>
  <c r="H100" i="398" s="1"/>
  <c r="G31" i="397"/>
  <c r="H31" i="397" s="1"/>
  <c r="G93" i="395"/>
  <c r="H93" i="395" s="1"/>
  <c r="G127" i="392"/>
  <c r="H127" i="392" s="1"/>
  <c r="G160" i="398"/>
  <c r="H160" i="398" s="1"/>
  <c r="G132" i="398"/>
  <c r="H132" i="398" s="1"/>
  <c r="G136" i="393"/>
  <c r="M146" i="385"/>
  <c r="M141" i="385" s="1"/>
  <c r="G133" i="393"/>
  <c r="G43" i="388"/>
  <c r="H43" i="388" s="1"/>
  <c r="C33" i="339"/>
  <c r="G67" i="392"/>
  <c r="D23" i="397" a="1"/>
  <c r="D23" i="397" s="1"/>
  <c r="H31" i="394"/>
  <c r="H134" i="394"/>
  <c r="L14" i="420" a="1"/>
  <c r="L14" i="420" s="1"/>
  <c r="M99" i="385"/>
  <c r="M97" i="385" s="1"/>
  <c r="H23" i="394"/>
  <c r="H104" i="394"/>
  <c r="F14" i="420" a="1"/>
  <c r="F14" i="420" s="1"/>
  <c r="I63" i="394"/>
  <c r="G137" i="386"/>
  <c r="G134" i="386"/>
  <c r="G140" i="404"/>
  <c r="G35" i="394"/>
  <c r="G68" i="398"/>
  <c r="H68" i="398" s="1"/>
  <c r="G155" i="407"/>
  <c r="H155" i="407" s="1"/>
  <c r="G26" i="407"/>
  <c r="G52" i="404"/>
  <c r="G65" i="405"/>
  <c r="H65" i="405" s="1"/>
  <c r="G54" i="404"/>
  <c r="G81" i="404"/>
  <c r="H62" i="397"/>
  <c r="O146" i="386"/>
  <c r="I96" i="394"/>
  <c r="H137" i="395"/>
  <c r="K47" i="386"/>
  <c r="H80" i="394"/>
  <c r="G124" i="394"/>
  <c r="H124" i="394" s="1"/>
  <c r="G62" i="392"/>
  <c r="G116" i="398"/>
  <c r="H116" i="398" s="1"/>
  <c r="G52" i="393"/>
  <c r="G67" i="388"/>
  <c r="G95" i="399"/>
  <c r="I95" i="399" s="1"/>
  <c r="G119" i="396"/>
  <c r="G158" i="389"/>
  <c r="G118" i="396"/>
  <c r="G68" i="392"/>
  <c r="G69" i="407"/>
  <c r="H69" i="407" s="1"/>
  <c r="G66" i="394"/>
  <c r="H66" i="394" s="1"/>
  <c r="C31" i="412"/>
  <c r="C31" i="416"/>
  <c r="E32" i="388"/>
  <c r="G113" i="401"/>
  <c r="G16" i="388"/>
  <c r="I16" i="388" s="1"/>
  <c r="G92" i="394"/>
  <c r="H92" i="394" s="1"/>
  <c r="G136" i="407"/>
  <c r="H136" i="407" s="1"/>
  <c r="G108" i="407"/>
  <c r="G34" i="394"/>
  <c r="H34" i="394" s="1"/>
  <c r="G16" i="402"/>
  <c r="G91" i="398"/>
  <c r="H91" i="398" s="1"/>
  <c r="E11" i="405"/>
  <c r="E9" i="405" s="1"/>
  <c r="G137" i="399"/>
  <c r="H137" i="399" s="1"/>
  <c r="G71" i="398"/>
  <c r="G161" i="395"/>
  <c r="H161" i="395" s="1"/>
  <c r="G90" i="396"/>
  <c r="G34" i="405"/>
  <c r="H34" i="405" s="1"/>
  <c r="G124" i="388"/>
  <c r="I124" i="388" s="1"/>
  <c r="G53" i="393"/>
  <c r="G155" i="396"/>
  <c r="G122" i="394"/>
  <c r="H122" i="394" s="1"/>
  <c r="G71" i="394"/>
  <c r="I71" i="394" s="1"/>
  <c r="G107" i="398"/>
  <c r="H107" i="398" s="1"/>
  <c r="G112" i="407"/>
  <c r="E139" i="395"/>
  <c r="G57" i="394"/>
  <c r="H57" i="394" s="1"/>
  <c r="G135" i="397"/>
  <c r="H135" i="397" s="1"/>
  <c r="G54" i="396"/>
  <c r="G158" i="405"/>
  <c r="H158" i="405" s="1"/>
  <c r="G103" i="404"/>
  <c r="G64" i="405"/>
  <c r="H64" i="405" s="1"/>
  <c r="G57" i="395"/>
  <c r="G157" i="394"/>
  <c r="H157" i="394" s="1"/>
  <c r="G131" i="398"/>
  <c r="H131" i="398" s="1"/>
  <c r="G119" i="404"/>
  <c r="G126" i="405"/>
  <c r="H126" i="405" s="1"/>
  <c r="E29" i="393"/>
  <c r="E27" i="393" s="1"/>
  <c r="G28" i="404"/>
  <c r="H67" i="395"/>
  <c r="H34" i="395"/>
  <c r="H17" i="407"/>
  <c r="H127" i="398"/>
  <c r="H57" i="399"/>
  <c r="H61" i="398"/>
  <c r="H107" i="397"/>
  <c r="H163" i="397"/>
  <c r="H87" i="395"/>
  <c r="H43" i="392"/>
  <c r="H127" i="407"/>
  <c r="H103" i="407"/>
  <c r="H35" i="395"/>
  <c r="H30" i="397"/>
  <c r="H81" i="405"/>
  <c r="H91" i="399"/>
  <c r="H41" i="398"/>
  <c r="H113" i="395"/>
  <c r="H13" i="407"/>
  <c r="I85" i="395"/>
  <c r="H31" i="395"/>
  <c r="H74" i="392"/>
  <c r="H100" i="407"/>
  <c r="H14" i="405"/>
  <c r="H119" i="407"/>
  <c r="H26" i="395"/>
  <c r="H110" i="405"/>
  <c r="H99" i="397"/>
  <c r="H162" i="392"/>
  <c r="H91" i="407"/>
  <c r="I28" i="388"/>
  <c r="H142" i="397"/>
  <c r="H131" i="392"/>
  <c r="H93" i="407"/>
  <c r="H57" i="407"/>
  <c r="K14" i="420" a="1"/>
  <c r="K14" i="420" s="1"/>
  <c r="H31" i="405"/>
  <c r="H128" i="398"/>
  <c r="H115" i="398"/>
  <c r="H13" i="398"/>
  <c r="H132" i="397"/>
  <c r="H155" i="397"/>
  <c r="H124" i="397"/>
  <c r="H121" i="397"/>
  <c r="H132" i="395"/>
  <c r="H45" i="407"/>
  <c r="H34" i="407"/>
  <c r="H95" i="395"/>
  <c r="H42" i="395"/>
  <c r="H35" i="397"/>
  <c r="H52" i="388"/>
  <c r="H35" i="405"/>
  <c r="H17" i="405"/>
  <c r="H86" i="392"/>
  <c r="G119" i="405"/>
  <c r="H119" i="405" s="1"/>
  <c r="C28" i="417"/>
  <c r="C26" i="417" s="1"/>
  <c r="G110" i="404"/>
  <c r="G70" i="404"/>
  <c r="G45" i="388"/>
  <c r="H45" i="388" s="1"/>
  <c r="E15" i="402"/>
  <c r="E32" i="394"/>
  <c r="E36" i="396"/>
  <c r="E36" i="402"/>
  <c r="E164" i="401"/>
  <c r="G89" i="401"/>
  <c r="G53" i="397"/>
  <c r="H53" i="397" s="1"/>
  <c r="G71" i="395"/>
  <c r="G110" i="395"/>
  <c r="G158" i="392"/>
  <c r="G142" i="392"/>
  <c r="G13" i="402"/>
  <c r="C28" i="412"/>
  <c r="C26" i="412" s="1"/>
  <c r="F32" i="405"/>
  <c r="C12" i="412"/>
  <c r="G111" i="402"/>
  <c r="G122" i="395"/>
  <c r="H122" i="395" s="1"/>
  <c r="G121" i="394"/>
  <c r="H121" i="394" s="1"/>
  <c r="E139" i="394"/>
  <c r="G140" i="394"/>
  <c r="I140" i="394" s="1"/>
  <c r="G88" i="393"/>
  <c r="G67" i="398"/>
  <c r="H67" i="398" s="1"/>
  <c r="G115" i="395"/>
  <c r="G118" i="407"/>
  <c r="H118" i="407" s="1"/>
  <c r="G120" i="397"/>
  <c r="H120" i="397" s="1"/>
  <c r="G123" i="392"/>
  <c r="H123" i="392" s="1"/>
  <c r="G95" i="404"/>
  <c r="G162" i="405"/>
  <c r="H162" i="405" s="1"/>
  <c r="G17" i="395"/>
  <c r="G89" i="405"/>
  <c r="H89" i="405" s="1"/>
  <c r="G53" i="392"/>
  <c r="H53" i="392" s="1"/>
  <c r="G40" i="393"/>
  <c r="G44" i="395"/>
  <c r="G157" i="389"/>
  <c r="G134" i="404"/>
  <c r="G98" i="402"/>
  <c r="G30" i="394"/>
  <c r="H30" i="394" s="1"/>
  <c r="G103" i="394"/>
  <c r="H103" i="394" s="1"/>
  <c r="G137" i="394"/>
  <c r="H137" i="394" s="1"/>
  <c r="G86" i="394"/>
  <c r="I86" i="394" s="1"/>
  <c r="G93" i="399"/>
  <c r="H93" i="399" s="1"/>
  <c r="G127" i="393"/>
  <c r="G119" i="402"/>
  <c r="G73" i="402"/>
  <c r="G131" i="403"/>
  <c r="G115" i="401"/>
  <c r="G30" i="401"/>
  <c r="G68" i="393"/>
  <c r="G112" i="396"/>
  <c r="G87" i="398"/>
  <c r="H87" i="398" s="1"/>
  <c r="G120" i="398"/>
  <c r="H120" i="398" s="1"/>
  <c r="G71" i="399"/>
  <c r="G113" i="398"/>
  <c r="H113" i="398" s="1"/>
  <c r="G43" i="396"/>
  <c r="G175" i="404"/>
  <c r="G177" i="404" s="1"/>
  <c r="G130" i="403"/>
  <c r="G60" i="392"/>
  <c r="G14" i="396"/>
  <c r="G90" i="392"/>
  <c r="H90" i="392" s="1"/>
  <c r="G122" i="408"/>
  <c r="G68" i="399"/>
  <c r="G140" i="399"/>
  <c r="H140" i="399" s="1"/>
  <c r="G39" i="393"/>
  <c r="G102" i="395"/>
  <c r="H102" i="395" s="1"/>
  <c r="G129" i="392"/>
  <c r="G134" i="396"/>
  <c r="G37" i="395"/>
  <c r="H37" i="395" s="1"/>
  <c r="G116" i="392"/>
  <c r="H116" i="392" s="1"/>
  <c r="G44" i="407"/>
  <c r="G107" i="404"/>
  <c r="G155" i="405"/>
  <c r="H155" i="405" s="1"/>
  <c r="C16" i="412"/>
  <c r="C12" i="418"/>
  <c r="C10" i="418" s="1"/>
  <c r="E54" i="413"/>
  <c r="G106" i="405"/>
  <c r="H106" i="405" s="1"/>
  <c r="G85" i="405"/>
  <c r="E164" i="388"/>
  <c r="G101" i="394"/>
  <c r="H101" i="394" s="1"/>
  <c r="G52" i="401"/>
  <c r="G155" i="393"/>
  <c r="G158" i="401"/>
  <c r="G120" i="399"/>
  <c r="H120" i="399" s="1"/>
  <c r="G82" i="393"/>
  <c r="G157" i="396"/>
  <c r="G128" i="396"/>
  <c r="G130" i="395"/>
  <c r="H130" i="395" s="1"/>
  <c r="E60" i="416"/>
  <c r="G62" i="388"/>
  <c r="H62" i="388" s="1"/>
  <c r="E120" i="413"/>
  <c r="G133" i="394"/>
  <c r="H133" i="394" s="1"/>
  <c r="G101" i="393"/>
  <c r="G12" i="399"/>
  <c r="G30" i="399"/>
  <c r="H30" i="399" s="1"/>
  <c r="G38" i="398"/>
  <c r="H38" i="398" s="1"/>
  <c r="G158" i="397"/>
  <c r="H158" i="397" s="1"/>
  <c r="E17" i="416"/>
  <c r="G13" i="404"/>
  <c r="G162" i="404"/>
  <c r="G155" i="401"/>
  <c r="G89" i="402"/>
  <c r="G70" i="402"/>
  <c r="G16" i="394"/>
  <c r="H16" i="394" s="1"/>
  <c r="G102" i="393"/>
  <c r="G156" i="403"/>
  <c r="G125" i="401"/>
  <c r="G38" i="396"/>
  <c r="G131" i="396"/>
  <c r="G108" i="392"/>
  <c r="G141" i="408"/>
  <c r="G134" i="407"/>
  <c r="H134" i="407" s="1"/>
  <c r="G37" i="402"/>
  <c r="G125" i="398"/>
  <c r="G86" i="398"/>
  <c r="H86" i="398" s="1"/>
  <c r="G37" i="393"/>
  <c r="G112" i="401"/>
  <c r="G96" i="399"/>
  <c r="G71" i="396"/>
  <c r="G118" i="408"/>
  <c r="G108" i="394"/>
  <c r="H108" i="394" s="1"/>
  <c r="G60" i="399"/>
  <c r="H60" i="399" s="1"/>
  <c r="G79" i="398"/>
  <c r="H79" i="398" s="1"/>
  <c r="G58" i="398"/>
  <c r="G105" i="398"/>
  <c r="H105" i="398" s="1"/>
  <c r="G145" i="389"/>
  <c r="G79" i="401"/>
  <c r="G115" i="399"/>
  <c r="H115" i="399" s="1"/>
  <c r="G109" i="396"/>
  <c r="G97" i="396"/>
  <c r="G41" i="396"/>
  <c r="G117" i="396"/>
  <c r="G61" i="396"/>
  <c r="G123" i="398"/>
  <c r="H123" i="398" s="1"/>
  <c r="E139" i="398"/>
  <c r="G108" i="398"/>
  <c r="H108" i="398" s="1"/>
  <c r="G117" i="398"/>
  <c r="H117" i="398" s="1"/>
  <c r="G140" i="398"/>
  <c r="G100" i="397"/>
  <c r="H100" i="397" s="1"/>
  <c r="G111" i="397"/>
  <c r="H111" i="397" s="1"/>
  <c r="G97" i="395"/>
  <c r="H97" i="395" s="1"/>
  <c r="G54" i="388"/>
  <c r="H54" i="388" s="1"/>
  <c r="G72" i="388"/>
  <c r="H72" i="388" s="1"/>
  <c r="E137" i="416"/>
  <c r="E25" i="416"/>
  <c r="E39" i="416"/>
  <c r="C22" i="417"/>
  <c r="C20" i="417" s="1"/>
  <c r="C12" i="413"/>
  <c r="C10" i="413" s="1"/>
  <c r="E11" i="413"/>
  <c r="C22" i="418"/>
  <c r="C20" i="418" s="1"/>
  <c r="G13" i="388"/>
  <c r="H13" i="388" s="1"/>
  <c r="G44" i="405"/>
  <c r="G72" i="396"/>
  <c r="G99" i="396"/>
  <c r="G26" i="389"/>
  <c r="G158" i="395"/>
  <c r="H158" i="395" s="1"/>
  <c r="G108" i="395"/>
  <c r="G23" i="408"/>
  <c r="G84" i="407"/>
  <c r="H84" i="407" s="1"/>
  <c r="G56" i="407"/>
  <c r="I56" i="407" s="1"/>
  <c r="G92" i="389"/>
  <c r="G12" i="389"/>
  <c r="G156" i="388"/>
  <c r="G56" i="388"/>
  <c r="I56" i="388" s="1"/>
  <c r="G26" i="405"/>
  <c r="H26" i="405" s="1"/>
  <c r="G83" i="402"/>
  <c r="G60" i="394"/>
  <c r="H60" i="394" s="1"/>
  <c r="G117" i="394"/>
  <c r="H117" i="394" s="1"/>
  <c r="G63" i="398"/>
  <c r="H63" i="398" s="1"/>
  <c r="G141" i="393"/>
  <c r="G120" i="392"/>
  <c r="G72" i="397"/>
  <c r="I72" i="397" s="1"/>
  <c r="G59" i="397"/>
  <c r="H59" i="397" s="1"/>
  <c r="G54" i="395"/>
  <c r="G132" i="392"/>
  <c r="G30" i="392"/>
  <c r="H30" i="392" s="1"/>
  <c r="G74" i="404"/>
  <c r="G107" i="399"/>
  <c r="H107" i="399" s="1"/>
  <c r="G136" i="396"/>
  <c r="G124" i="408"/>
  <c r="G95" i="392"/>
  <c r="I95" i="392" s="1"/>
  <c r="G125" i="408"/>
  <c r="G140" i="407"/>
  <c r="I140" i="407" s="1"/>
  <c r="G114" i="389"/>
  <c r="G86" i="408"/>
  <c r="G80" i="395"/>
  <c r="H80" i="395" s="1"/>
  <c r="G175" i="395"/>
  <c r="H175" i="395" s="1"/>
  <c r="G145" i="405"/>
  <c r="H145" i="405" s="1"/>
  <c r="G130" i="405"/>
  <c r="H130" i="405" s="1"/>
  <c r="F29" i="405"/>
  <c r="G54" i="402"/>
  <c r="G79" i="394"/>
  <c r="H79" i="394" s="1"/>
  <c r="G72" i="395"/>
  <c r="I72" i="395" s="1"/>
  <c r="G115" i="393"/>
  <c r="G127" i="396"/>
  <c r="G22" i="408"/>
  <c r="G126" i="389"/>
  <c r="G93" i="408"/>
  <c r="G108" i="389"/>
  <c r="E41" i="416"/>
  <c r="G127" i="388"/>
  <c r="H127" i="388" s="1"/>
  <c r="G39" i="388"/>
  <c r="G22" i="388"/>
  <c r="H22" i="388" s="1"/>
  <c r="G17" i="404"/>
  <c r="G130" i="402"/>
  <c r="E80" i="413"/>
  <c r="G83" i="394"/>
  <c r="H83" i="394" s="1"/>
  <c r="G126" i="398"/>
  <c r="H126" i="398" s="1"/>
  <c r="G87" i="394"/>
  <c r="G110" i="399"/>
  <c r="H110" i="399" s="1"/>
  <c r="G127" i="397"/>
  <c r="H127" i="397" s="1"/>
  <c r="G115" i="407"/>
  <c r="G81" i="396"/>
  <c r="G23" i="407"/>
  <c r="G128" i="395"/>
  <c r="H128" i="395" s="1"/>
  <c r="G23" i="395"/>
  <c r="H23" i="395" s="1"/>
  <c r="G94" i="393"/>
  <c r="G103" i="402"/>
  <c r="G131" i="401"/>
  <c r="G90" i="399"/>
  <c r="G116" i="396"/>
  <c r="G115" i="396"/>
  <c r="G87" i="392"/>
  <c r="G63" i="408"/>
  <c r="G83" i="407"/>
  <c r="H83" i="407" s="1"/>
  <c r="G20" i="407"/>
  <c r="H20" i="407" s="1"/>
  <c r="G68" i="408"/>
  <c r="G123" i="407"/>
  <c r="H123" i="407" s="1"/>
  <c r="G83" i="389"/>
  <c r="G64" i="408"/>
  <c r="G127" i="404"/>
  <c r="G123" i="405"/>
  <c r="H123" i="405" s="1"/>
  <c r="G107" i="394"/>
  <c r="H107" i="394" s="1"/>
  <c r="G160" i="394"/>
  <c r="H160" i="394" s="1"/>
  <c r="G89" i="394"/>
  <c r="H89" i="394" s="1"/>
  <c r="G61" i="399"/>
  <c r="G157" i="398"/>
  <c r="I157" i="398" s="1"/>
  <c r="G22" i="398"/>
  <c r="H22" i="398" s="1"/>
  <c r="G105" i="394"/>
  <c r="H105" i="394" s="1"/>
  <c r="G69" i="399"/>
  <c r="G82" i="399"/>
  <c r="G55" i="398"/>
  <c r="H55" i="398" s="1"/>
  <c r="G111" i="398"/>
  <c r="H111" i="398" s="1"/>
  <c r="G101" i="397"/>
  <c r="H101" i="397" s="1"/>
  <c r="G88" i="397"/>
  <c r="H88" i="397" s="1"/>
  <c r="G141" i="407"/>
  <c r="H141" i="407" s="1"/>
  <c r="G111" i="407"/>
  <c r="H111" i="407" s="1"/>
  <c r="G16" i="407"/>
  <c r="H16" i="407" s="1"/>
  <c r="G98" i="393"/>
  <c r="G12" i="397"/>
  <c r="H12" i="397" s="1"/>
  <c r="G54" i="405"/>
  <c r="H54" i="405" s="1"/>
  <c r="G52" i="396"/>
  <c r="G37" i="396"/>
  <c r="G140" i="408"/>
  <c r="G143" i="389"/>
  <c r="G105" i="396"/>
  <c r="G87" i="408"/>
  <c r="G135" i="389"/>
  <c r="G98" i="407"/>
  <c r="H98" i="407" s="1"/>
  <c r="G62" i="408"/>
  <c r="G44" i="404"/>
  <c r="G88" i="399"/>
  <c r="G89" i="398"/>
  <c r="H89" i="398" s="1"/>
  <c r="G136" i="398"/>
  <c r="G117" i="397"/>
  <c r="H117" i="397" s="1"/>
  <c r="G162" i="395"/>
  <c r="H162" i="395" s="1"/>
  <c r="G112" i="397"/>
  <c r="H112" i="397" s="1"/>
  <c r="G65" i="395"/>
  <c r="G13" i="395"/>
  <c r="H13" i="395" s="1"/>
  <c r="G89" i="392"/>
  <c r="G34" i="392"/>
  <c r="H34" i="392" s="1"/>
  <c r="G23" i="404"/>
  <c r="G43" i="402"/>
  <c r="G20" i="399"/>
  <c r="G70" i="399"/>
  <c r="I70" i="399" s="1"/>
  <c r="G137" i="393"/>
  <c r="G12" i="393"/>
  <c r="G73" i="396"/>
  <c r="G57" i="392"/>
  <c r="G108" i="408"/>
  <c r="G61" i="407"/>
  <c r="G61" i="389"/>
  <c r="G70" i="396"/>
  <c r="G109" i="395"/>
  <c r="H109" i="395" s="1"/>
  <c r="G109" i="408"/>
  <c r="G137" i="389"/>
  <c r="G86" i="405"/>
  <c r="H86" i="405" s="1"/>
  <c r="G124" i="399"/>
  <c r="H124" i="399" s="1"/>
  <c r="G155" i="398"/>
  <c r="H155" i="398" s="1"/>
  <c r="G42" i="399"/>
  <c r="H42" i="399" s="1"/>
  <c r="G125" i="399"/>
  <c r="H125" i="399" s="1"/>
  <c r="G90" i="398"/>
  <c r="I90" i="398" s="1"/>
  <c r="G14" i="397"/>
  <c r="E66" i="416"/>
  <c r="G72" i="405"/>
  <c r="G35" i="398"/>
  <c r="H35" i="398" s="1"/>
  <c r="G161" i="397"/>
  <c r="H161" i="397" s="1"/>
  <c r="G111" i="392"/>
  <c r="G96" i="396"/>
  <c r="G103" i="405"/>
  <c r="H103" i="405" s="1"/>
  <c r="G38" i="394"/>
  <c r="H38" i="394" s="1"/>
  <c r="G37" i="399"/>
  <c r="H37" i="399" s="1"/>
  <c r="G86" i="393"/>
  <c r="G117" i="393"/>
  <c r="G20" i="398"/>
  <c r="H20" i="398" s="1"/>
  <c r="G135" i="398"/>
  <c r="H135" i="398" s="1"/>
  <c r="G130" i="397"/>
  <c r="H130" i="397" s="1"/>
  <c r="G155" i="395"/>
  <c r="H155" i="395" s="1"/>
  <c r="G81" i="395"/>
  <c r="G135" i="407"/>
  <c r="H135" i="407" s="1"/>
  <c r="G39" i="392"/>
  <c r="H39" i="392" s="1"/>
  <c r="G102" i="396"/>
  <c r="G30" i="388"/>
  <c r="I30" i="388" s="1"/>
  <c r="G161" i="401"/>
  <c r="G17" i="397"/>
  <c r="G43" i="397"/>
  <c r="H43" i="397" s="1"/>
  <c r="G83" i="397"/>
  <c r="H83" i="397" s="1"/>
  <c r="G53" i="395"/>
  <c r="G96" i="407"/>
  <c r="G82" i="392"/>
  <c r="I82" i="392" s="1"/>
  <c r="G175" i="407"/>
  <c r="G54" i="394"/>
  <c r="H54" i="394" s="1"/>
  <c r="G113" i="394"/>
  <c r="H113" i="394" s="1"/>
  <c r="G56" i="399"/>
  <c r="H56" i="399" s="1"/>
  <c r="G64" i="398"/>
  <c r="H64" i="398" s="1"/>
  <c r="G67" i="404"/>
  <c r="G20" i="395"/>
  <c r="G115" i="404"/>
  <c r="G70" i="388"/>
  <c r="G91" i="388"/>
  <c r="H91" i="388" s="1"/>
  <c r="G93" i="398"/>
  <c r="H93" i="398" s="1"/>
  <c r="E29" i="402"/>
  <c r="E27" i="402" s="1"/>
  <c r="E32" i="397"/>
  <c r="G96" i="388"/>
  <c r="G159" i="405"/>
  <c r="H159" i="405" s="1"/>
  <c r="G95" i="402"/>
  <c r="G161" i="393"/>
  <c r="E134" i="413"/>
  <c r="G56" i="395"/>
  <c r="H56" i="395" s="1"/>
  <c r="G53" i="396"/>
  <c r="G140" i="396"/>
  <c r="G64" i="388"/>
  <c r="H64" i="388" s="1"/>
  <c r="G122" i="404"/>
  <c r="G86" i="388"/>
  <c r="G111" i="399"/>
  <c r="H111" i="399" s="1"/>
  <c r="E21" i="396"/>
  <c r="E19" i="396" s="1"/>
  <c r="E29" i="395"/>
  <c r="E27" i="395" s="1"/>
  <c r="E11" i="389"/>
  <c r="E9" i="389" s="1"/>
  <c r="E21" i="398"/>
  <c r="E19" i="398" s="1"/>
  <c r="G114" i="404"/>
  <c r="G111" i="404"/>
  <c r="G64" i="404"/>
  <c r="F15" i="405"/>
  <c r="G145" i="395"/>
  <c r="H145" i="395" s="1"/>
  <c r="G88" i="402"/>
  <c r="G121" i="399"/>
  <c r="H121" i="399" s="1"/>
  <c r="E52" i="416"/>
  <c r="G92" i="404"/>
  <c r="E51" i="396"/>
  <c r="E50" i="396" s="1"/>
  <c r="E36" i="407"/>
  <c r="E78" i="396"/>
  <c r="E77" i="396" s="1"/>
  <c r="G99" i="398"/>
  <c r="H99" i="398" s="1"/>
  <c r="E164" i="393"/>
  <c r="E78" i="407"/>
  <c r="E77" i="407" s="1"/>
  <c r="G65" i="407"/>
  <c r="E78" i="408"/>
  <c r="E77" i="408" s="1"/>
  <c r="E11" i="402"/>
  <c r="E9" i="402" s="1"/>
  <c r="G33" i="393"/>
  <c r="G60" i="396"/>
  <c r="G83" i="408"/>
  <c r="G30" i="395"/>
  <c r="G132" i="408"/>
  <c r="G40" i="407"/>
  <c r="G121" i="389"/>
  <c r="G23" i="389"/>
  <c r="G91" i="408"/>
  <c r="G108" i="397"/>
  <c r="H108" i="397" s="1"/>
  <c r="G133" i="405"/>
  <c r="H133" i="405" s="1"/>
  <c r="G97" i="405"/>
  <c r="H97" i="405" s="1"/>
  <c r="G70" i="405"/>
  <c r="I70" i="405" s="1"/>
  <c r="G82" i="394"/>
  <c r="H82" i="394" s="1"/>
  <c r="C31" i="417"/>
  <c r="E29" i="405"/>
  <c r="E27" i="405" s="1"/>
  <c r="E36" i="408"/>
  <c r="E32" i="393"/>
  <c r="G102" i="402"/>
  <c r="G114" i="394"/>
  <c r="H114" i="394" s="1"/>
  <c r="G131" i="394"/>
  <c r="H131" i="394" s="1"/>
  <c r="E32" i="402"/>
  <c r="E36" i="399"/>
  <c r="G103" i="398"/>
  <c r="H103" i="398" s="1"/>
  <c r="G142" i="393"/>
  <c r="E51" i="393"/>
  <c r="E50" i="393" s="1"/>
  <c r="E164" i="397"/>
  <c r="G125" i="397"/>
  <c r="H125" i="397" s="1"/>
  <c r="E164" i="396"/>
  <c r="G70" i="392"/>
  <c r="G28" i="392"/>
  <c r="H28" i="392" s="1"/>
  <c r="G116" i="399"/>
  <c r="H116" i="399" s="1"/>
  <c r="G57" i="398"/>
  <c r="H57" i="398" s="1"/>
  <c r="E15" i="398"/>
  <c r="G141" i="397"/>
  <c r="H141" i="397" s="1"/>
  <c r="E78" i="397"/>
  <c r="E77" i="397" s="1"/>
  <c r="E51" i="395"/>
  <c r="E50" i="395" s="1"/>
  <c r="G80" i="392"/>
  <c r="E51" i="399"/>
  <c r="E50" i="399" s="1"/>
  <c r="E15" i="399"/>
  <c r="G121" i="398"/>
  <c r="H121" i="398" s="1"/>
  <c r="E32" i="398"/>
  <c r="G89" i="396"/>
  <c r="G62" i="396"/>
  <c r="E164" i="399"/>
  <c r="G163" i="398"/>
  <c r="H163" i="398" s="1"/>
  <c r="G130" i="398"/>
  <c r="H130" i="398" s="1"/>
  <c r="G73" i="398"/>
  <c r="H73" i="398" s="1"/>
  <c r="G160" i="397"/>
  <c r="H160" i="397" s="1"/>
  <c r="E32" i="396"/>
  <c r="G163" i="407"/>
  <c r="H163" i="407" s="1"/>
  <c r="G35" i="407"/>
  <c r="E78" i="389"/>
  <c r="E77" i="389" s="1"/>
  <c r="G56" i="408"/>
  <c r="E164" i="407"/>
  <c r="G70" i="407"/>
  <c r="E164" i="389"/>
  <c r="G127" i="408"/>
  <c r="G44" i="408"/>
  <c r="E11" i="408"/>
  <c r="E9" i="408" s="1"/>
  <c r="G88" i="407"/>
  <c r="H88" i="407" s="1"/>
  <c r="G101" i="389"/>
  <c r="E36" i="389"/>
  <c r="G101" i="408"/>
  <c r="E164" i="408"/>
  <c r="E139" i="407"/>
  <c r="E51" i="407"/>
  <c r="E50" i="407" s="1"/>
  <c r="E29" i="407"/>
  <c r="E27" i="407" s="1"/>
  <c r="G40" i="404"/>
  <c r="E11" i="404"/>
  <c r="E9" i="404" s="1"/>
  <c r="E36" i="405"/>
  <c r="G163" i="405"/>
  <c r="H163" i="405" s="1"/>
  <c r="G99" i="394"/>
  <c r="H99" i="394" s="1"/>
  <c r="G40" i="405"/>
  <c r="H40" i="405" s="1"/>
  <c r="E36" i="403"/>
  <c r="G57" i="405"/>
  <c r="H57" i="405" s="1"/>
  <c r="G68" i="402"/>
  <c r="E32" i="401"/>
  <c r="G157" i="397"/>
  <c r="H157" i="397" s="1"/>
  <c r="G109" i="397"/>
  <c r="E36" i="398"/>
  <c r="E21" i="393"/>
  <c r="E19" i="393" s="1"/>
  <c r="E51" i="397"/>
  <c r="E50" i="397" s="1"/>
  <c r="G126" i="397"/>
  <c r="H126" i="397" s="1"/>
  <c r="E51" i="389"/>
  <c r="E50" i="389" s="1"/>
  <c r="G72" i="392"/>
  <c r="E21" i="389"/>
  <c r="E19" i="389" s="1"/>
  <c r="G124" i="395"/>
  <c r="H124" i="395" s="1"/>
  <c r="E164" i="395"/>
  <c r="G159" i="392"/>
  <c r="H159" i="392" s="1"/>
  <c r="E36" i="392"/>
  <c r="E15" i="392"/>
  <c r="E15" i="389"/>
  <c r="E51" i="392"/>
  <c r="E50" i="392" s="1"/>
  <c r="G107" i="389"/>
  <c r="E32" i="389"/>
  <c r="G40" i="401"/>
  <c r="G35" i="392"/>
  <c r="E36" i="397"/>
  <c r="E21" i="399"/>
  <c r="E19" i="399" s="1"/>
  <c r="E164" i="392"/>
  <c r="G81" i="397"/>
  <c r="H81" i="397" s="1"/>
  <c r="G134" i="389"/>
  <c r="G114" i="392"/>
  <c r="G161" i="392"/>
  <c r="H161" i="392" s="1"/>
  <c r="G109" i="392"/>
  <c r="H109" i="392" s="1"/>
  <c r="G106" i="407"/>
  <c r="G73" i="389"/>
  <c r="G44" i="394"/>
  <c r="H44" i="394" s="1"/>
  <c r="G23" i="399"/>
  <c r="G39" i="398"/>
  <c r="H39" i="398" s="1"/>
  <c r="G45" i="397"/>
  <c r="H45" i="397" s="1"/>
  <c r="G64" i="392"/>
  <c r="G39" i="397"/>
  <c r="H39" i="397" s="1"/>
  <c r="G56" i="397"/>
  <c r="H56" i="397" s="1"/>
  <c r="E139" i="392"/>
  <c r="E32" i="392"/>
  <c r="E32" i="407"/>
  <c r="G124" i="401"/>
  <c r="G160" i="396"/>
  <c r="G74" i="389"/>
  <c r="G91" i="396"/>
  <c r="G100" i="408"/>
  <c r="G74" i="408"/>
  <c r="G53" i="389"/>
  <c r="G92" i="407"/>
  <c r="H92" i="407" s="1"/>
  <c r="E164" i="398"/>
  <c r="G85" i="401"/>
  <c r="G157" i="408"/>
  <c r="G13" i="389"/>
  <c r="G42" i="408"/>
  <c r="G156" i="407"/>
  <c r="I156" i="407" s="1"/>
  <c r="G41" i="389"/>
  <c r="G66" i="392"/>
  <c r="H66" i="392" s="1"/>
  <c r="G28" i="408"/>
  <c r="G30" i="405"/>
  <c r="H30" i="405" s="1"/>
  <c r="E78" i="392"/>
  <c r="E77" i="392" s="1"/>
  <c r="G45" i="403"/>
  <c r="G99" i="389"/>
  <c r="G41" i="395"/>
  <c r="H41" i="395" s="1"/>
  <c r="G117" i="408"/>
  <c r="G163" i="389"/>
  <c r="G35" i="389"/>
  <c r="G16" i="389"/>
  <c r="G160" i="408"/>
  <c r="G92" i="397"/>
  <c r="H92" i="397" s="1"/>
  <c r="G85" i="397"/>
  <c r="H85" i="397" s="1"/>
  <c r="G42" i="392"/>
  <c r="G60" i="407"/>
  <c r="G30" i="407"/>
  <c r="G29" i="407" s="1"/>
  <c r="G142" i="407"/>
  <c r="H142" i="407" s="1"/>
  <c r="G113" i="389"/>
  <c r="G101" i="392"/>
  <c r="H101" i="392" s="1"/>
  <c r="G100" i="389"/>
  <c r="G79" i="389"/>
  <c r="F29" i="398"/>
  <c r="E21" i="416"/>
  <c r="C26" i="413"/>
  <c r="E164" i="404"/>
  <c r="E62" i="413"/>
  <c r="G33" i="405"/>
  <c r="G175" i="405"/>
  <c r="H175" i="405" s="1"/>
  <c r="G58" i="404"/>
  <c r="G65" i="402"/>
  <c r="E51" i="401"/>
  <c r="E50" i="401" s="1"/>
  <c r="E36" i="394"/>
  <c r="E11" i="394"/>
  <c r="E9" i="394" s="1"/>
  <c r="E36" i="401"/>
  <c r="G135" i="399"/>
  <c r="H135" i="399" s="1"/>
  <c r="G98" i="399"/>
  <c r="H98" i="399" s="1"/>
  <c r="E51" i="398"/>
  <c r="E50" i="398" s="1"/>
  <c r="G93" i="393"/>
  <c r="G56" i="401"/>
  <c r="G40" i="395"/>
  <c r="G123" i="401"/>
  <c r="E139" i="401"/>
  <c r="E78" i="398"/>
  <c r="E77" i="398" s="1"/>
  <c r="E78" i="393"/>
  <c r="E77" i="393" s="1"/>
  <c r="G45" i="401"/>
  <c r="G156" i="399"/>
  <c r="G107" i="396"/>
  <c r="G97" i="407"/>
  <c r="H97" i="407" s="1"/>
  <c r="G105" i="392"/>
  <c r="H105" i="392" s="1"/>
  <c r="G113" i="407"/>
  <c r="H113" i="407" s="1"/>
  <c r="G175" i="408"/>
  <c r="G177" i="408" s="1"/>
  <c r="G124" i="403"/>
  <c r="G102" i="401"/>
  <c r="G119" i="393"/>
  <c r="G141" i="396"/>
  <c r="G33" i="396"/>
  <c r="G87" i="396"/>
  <c r="G98" i="404"/>
  <c r="G58" i="394"/>
  <c r="G58" i="399"/>
  <c r="G84" i="398"/>
  <c r="H84" i="398" s="1"/>
  <c r="G59" i="399"/>
  <c r="G63" i="397"/>
  <c r="G97" i="397"/>
  <c r="H97" i="397" s="1"/>
  <c r="G135" i="392"/>
  <c r="H135" i="392" s="1"/>
  <c r="G73" i="393"/>
  <c r="G162" i="393"/>
  <c r="G34" i="396"/>
  <c r="G92" i="396"/>
  <c r="G135" i="396"/>
  <c r="G66" i="395"/>
  <c r="G63" i="407"/>
  <c r="H63" i="407" s="1"/>
  <c r="G10" i="396"/>
  <c r="G96" i="395"/>
  <c r="E56" i="416"/>
  <c r="G123" i="404"/>
  <c r="G42" i="388"/>
  <c r="H42" i="388" s="1"/>
  <c r="E130" i="413"/>
  <c r="E128" i="413"/>
  <c r="G84" i="388"/>
  <c r="I84" i="388" s="1"/>
  <c r="E139" i="404"/>
  <c r="E58" i="416"/>
  <c r="G130" i="388"/>
  <c r="H130" i="388" s="1"/>
  <c r="G39" i="404"/>
  <c r="G34" i="388"/>
  <c r="G98" i="388"/>
  <c r="I98" i="388" s="1"/>
  <c r="G111" i="405"/>
  <c r="H111" i="405" s="1"/>
  <c r="G37" i="388"/>
  <c r="G123" i="402"/>
  <c r="G64" i="402"/>
  <c r="G28" i="394"/>
  <c r="H28" i="394" s="1"/>
  <c r="G34" i="398"/>
  <c r="H34" i="398" s="1"/>
  <c r="G124" i="392"/>
  <c r="G100" i="395"/>
  <c r="H100" i="395" s="1"/>
  <c r="G33" i="388"/>
  <c r="H33" i="388" s="1"/>
  <c r="G163" i="393"/>
  <c r="G33" i="402"/>
  <c r="G141" i="405"/>
  <c r="H141" i="405" s="1"/>
  <c r="G23" i="396"/>
  <c r="G42" i="401"/>
  <c r="G107" i="392"/>
  <c r="E21" i="403"/>
  <c r="E19" i="403" s="1"/>
  <c r="G88" i="404"/>
  <c r="G94" i="388"/>
  <c r="G93" i="405"/>
  <c r="G92" i="402"/>
  <c r="G42" i="394"/>
  <c r="G18" i="399"/>
  <c r="H18" i="399" s="1"/>
  <c r="G17" i="398"/>
  <c r="H17" i="398" s="1"/>
  <c r="G38" i="399"/>
  <c r="G79" i="399"/>
  <c r="G94" i="395"/>
  <c r="G125" i="407"/>
  <c r="I125" i="407" s="1"/>
  <c r="G94" i="407"/>
  <c r="I94" i="407" s="1"/>
  <c r="G37" i="407"/>
  <c r="H37" i="407" s="1"/>
  <c r="G132" i="407"/>
  <c r="H132" i="407" s="1"/>
  <c r="G134" i="405"/>
  <c r="H134" i="405" s="1"/>
  <c r="G67" i="394"/>
  <c r="G58" i="396"/>
  <c r="G125" i="396"/>
  <c r="G62" i="393"/>
  <c r="G125" i="395"/>
  <c r="G161" i="389"/>
  <c r="G160" i="388"/>
  <c r="H160" i="388" s="1"/>
  <c r="G43" i="404"/>
  <c r="G86" i="402"/>
  <c r="G12" i="394"/>
  <c r="G162" i="394"/>
  <c r="I162" i="394" s="1"/>
  <c r="G54" i="398"/>
  <c r="H54" i="398" s="1"/>
  <c r="G129" i="393"/>
  <c r="G69" i="398"/>
  <c r="I69" i="398" s="1"/>
  <c r="G124" i="407"/>
  <c r="H124" i="407" s="1"/>
  <c r="G60" i="397"/>
  <c r="H60" i="397" s="1"/>
  <c r="G134" i="402"/>
  <c r="E139" i="393"/>
  <c r="G102" i="392"/>
  <c r="H102" i="392" s="1"/>
  <c r="F21" i="388"/>
  <c r="G40" i="408"/>
  <c r="E139" i="405"/>
  <c r="E96" i="413"/>
  <c r="G13" i="405"/>
  <c r="H13" i="405" s="1"/>
  <c r="H14" i="399"/>
  <c r="H43" i="407"/>
  <c r="H73" i="407"/>
  <c r="H156" i="394"/>
  <c r="H65" i="397"/>
  <c r="H104" i="395"/>
  <c r="H116" i="397"/>
  <c r="H99" i="407"/>
  <c r="H106" i="392"/>
  <c r="H159" i="399"/>
  <c r="H40" i="399"/>
  <c r="H116" i="407"/>
  <c r="H71" i="392"/>
  <c r="H130" i="407"/>
  <c r="I95" i="407"/>
  <c r="I71" i="407"/>
  <c r="H120" i="394"/>
  <c r="H17" i="392"/>
  <c r="H74" i="407"/>
  <c r="H57" i="397"/>
  <c r="H101" i="405"/>
  <c r="H18" i="388"/>
  <c r="I82" i="395"/>
  <c r="H122" i="392"/>
  <c r="H125" i="394"/>
  <c r="H67" i="397"/>
  <c r="H115" i="397"/>
  <c r="H92" i="395"/>
  <c r="H107" i="407"/>
  <c r="H64" i="399"/>
  <c r="H160" i="399"/>
  <c r="H122" i="399"/>
  <c r="H53" i="407"/>
  <c r="H130" i="392"/>
  <c r="H102" i="407"/>
  <c r="H98" i="405"/>
  <c r="G90" i="405"/>
  <c r="H90" i="405" s="1"/>
  <c r="E43" i="413"/>
  <c r="E34" i="413"/>
  <c r="G105" i="388"/>
  <c r="H105" i="388" s="1"/>
  <c r="F11" i="397"/>
  <c r="F9" i="397" s="1"/>
  <c r="G16" i="392"/>
  <c r="G131" i="389"/>
  <c r="G69" i="389"/>
  <c r="G85" i="408"/>
  <c r="G97" i="389"/>
  <c r="G114" i="408"/>
  <c r="G161" i="394"/>
  <c r="H161" i="394" s="1"/>
  <c r="G70" i="398"/>
  <c r="G136" i="392"/>
  <c r="G55" i="407"/>
  <c r="I55" i="407" s="1"/>
  <c r="G62" i="395"/>
  <c r="H62" i="395" s="1"/>
  <c r="G62" i="407"/>
  <c r="G42" i="405"/>
  <c r="H42" i="405" s="1"/>
  <c r="G96" i="398"/>
  <c r="H96" i="398" s="1"/>
  <c r="G114" i="393"/>
  <c r="G12" i="392"/>
  <c r="G137" i="396"/>
  <c r="G12" i="398"/>
  <c r="H12" i="398" s="1"/>
  <c r="E50" i="416"/>
  <c r="E54" i="416"/>
  <c r="G62" i="402"/>
  <c r="G28" i="402"/>
  <c r="G129" i="394"/>
  <c r="H129" i="394" s="1"/>
  <c r="G40" i="394"/>
  <c r="H40" i="394" s="1"/>
  <c r="G156" i="398"/>
  <c r="G103" i="399"/>
  <c r="H103" i="399" s="1"/>
  <c r="G52" i="398"/>
  <c r="G100" i="396"/>
  <c r="E29" i="404"/>
  <c r="E27" i="404" s="1"/>
  <c r="F21" i="399"/>
  <c r="F19" i="399" s="1"/>
  <c r="F29" i="393"/>
  <c r="F27" i="393" s="1"/>
  <c r="E112" i="413"/>
  <c r="G91" i="404"/>
  <c r="G102" i="405"/>
  <c r="H102" i="405" s="1"/>
  <c r="G59" i="388"/>
  <c r="H59" i="388" s="1"/>
  <c r="G22" i="399"/>
  <c r="G18" i="394"/>
  <c r="H18" i="394" s="1"/>
  <c r="G107" i="402"/>
  <c r="G157" i="404"/>
  <c r="G40" i="402"/>
  <c r="E132" i="413"/>
  <c r="G158" i="404"/>
  <c r="G161" i="404"/>
  <c r="G72" i="402"/>
  <c r="C16" i="417"/>
  <c r="C35" i="412"/>
  <c r="G116" i="388"/>
  <c r="H116" i="388" s="1"/>
  <c r="F29" i="397"/>
  <c r="G145" i="408"/>
  <c r="G144" i="408" s="1"/>
  <c r="G118" i="404"/>
  <c r="G89" i="404"/>
  <c r="G67" i="402"/>
  <c r="G94" i="405"/>
  <c r="H94" i="405" s="1"/>
  <c r="G69" i="394"/>
  <c r="I69" i="394" s="1"/>
  <c r="G106" i="399"/>
  <c r="H106" i="399" s="1"/>
  <c r="G38" i="397"/>
  <c r="H38" i="397" s="1"/>
  <c r="G70" i="395"/>
  <c r="I70" i="395" s="1"/>
  <c r="C35" i="416"/>
  <c r="C47" i="416"/>
  <c r="C47" i="418"/>
  <c r="G131" i="404"/>
  <c r="G126" i="404"/>
  <c r="E15" i="394"/>
  <c r="E78" i="401"/>
  <c r="E77" i="401" s="1"/>
  <c r="G106" i="402"/>
  <c r="G34" i="399"/>
  <c r="H34" i="399" s="1"/>
  <c r="G99" i="399"/>
  <c r="H99" i="399" s="1"/>
  <c r="G135" i="402"/>
  <c r="G10" i="402"/>
  <c r="G135" i="394"/>
  <c r="H135" i="394" s="1"/>
  <c r="G116" i="394"/>
  <c r="H116" i="394" s="1"/>
  <c r="G100" i="394"/>
  <c r="H100" i="394" s="1"/>
  <c r="G30" i="398"/>
  <c r="H30" i="398" s="1"/>
  <c r="G162" i="397"/>
  <c r="H162" i="397" s="1"/>
  <c r="G99" i="395"/>
  <c r="H99" i="395" s="1"/>
  <c r="E13" i="416"/>
  <c r="G140" i="405"/>
  <c r="H140" i="405" s="1"/>
  <c r="G38" i="405"/>
  <c r="H38" i="405" s="1"/>
  <c r="F11" i="405"/>
  <c r="F9" i="405" s="1"/>
  <c r="G155" i="399"/>
  <c r="H155" i="399" s="1"/>
  <c r="G132" i="393"/>
  <c r="F21" i="392"/>
  <c r="F19" i="392" s="1"/>
  <c r="G141" i="392"/>
  <c r="G43" i="395"/>
  <c r="G145" i="407"/>
  <c r="F21" i="395"/>
  <c r="F19" i="395" s="1"/>
  <c r="G162" i="401"/>
  <c r="G145" i="398"/>
  <c r="G144" i="398" s="1"/>
  <c r="G94" i="401"/>
  <c r="F15" i="399"/>
  <c r="G133" i="399"/>
  <c r="H133" i="399" s="1"/>
  <c r="G126" i="393"/>
  <c r="G121" i="396"/>
  <c r="G97" i="392"/>
  <c r="G158" i="408"/>
  <c r="G74" i="395"/>
  <c r="H74" i="395" s="1"/>
  <c r="G160" i="407"/>
  <c r="I160" i="407" s="1"/>
  <c r="G98" i="408"/>
  <c r="G158" i="394"/>
  <c r="H158" i="394" s="1"/>
  <c r="G142" i="394"/>
  <c r="H142" i="394" s="1"/>
  <c r="G45" i="398"/>
  <c r="C22" i="412"/>
  <c r="C20" i="412" s="1"/>
  <c r="G14" i="388"/>
  <c r="H14" i="388" s="1"/>
  <c r="G40" i="388"/>
  <c r="H40" i="388" s="1"/>
  <c r="G74" i="388"/>
  <c r="G100" i="388"/>
  <c r="G23" i="388"/>
  <c r="H23" i="388" s="1"/>
  <c r="E51" i="388"/>
  <c r="E50" i="388" s="1"/>
  <c r="G89" i="388"/>
  <c r="H89" i="388" s="1"/>
  <c r="G145" i="401"/>
  <c r="E43" i="416"/>
  <c r="C20" i="416"/>
  <c r="C74" i="417"/>
  <c r="C12" i="417"/>
  <c r="C10" i="417" s="1"/>
  <c r="C47" i="417"/>
  <c r="C47" i="413"/>
  <c r="C35" i="413"/>
  <c r="C35" i="418"/>
  <c r="C31" i="413"/>
  <c r="C31" i="418"/>
  <c r="C74" i="418"/>
  <c r="G55" i="405"/>
  <c r="G99" i="404"/>
  <c r="E78" i="404"/>
  <c r="E77" i="404" s="1"/>
  <c r="E51" i="403"/>
  <c r="E50" i="403" s="1"/>
  <c r="G122" i="405"/>
  <c r="H122" i="405" s="1"/>
  <c r="G85" i="404"/>
  <c r="G129" i="405"/>
  <c r="H129" i="405" s="1"/>
  <c r="E36" i="404"/>
  <c r="G118" i="405"/>
  <c r="H118" i="405" s="1"/>
  <c r="G96" i="404"/>
  <c r="E164" i="403"/>
  <c r="E78" i="403"/>
  <c r="E77" i="403" s="1"/>
  <c r="E78" i="402"/>
  <c r="E77" i="402" s="1"/>
  <c r="G111" i="394"/>
  <c r="H111" i="394" s="1"/>
  <c r="E78" i="394"/>
  <c r="E77" i="394" s="1"/>
  <c r="E51" i="394"/>
  <c r="E50" i="394" s="1"/>
  <c r="G159" i="393"/>
  <c r="G17" i="399"/>
  <c r="G145" i="392"/>
  <c r="F21" i="394"/>
  <c r="F19" i="394" s="1"/>
  <c r="F29" i="395"/>
  <c r="F27" i="395" s="1"/>
  <c r="F29" i="407"/>
  <c r="F27" i="407" s="1"/>
  <c r="F177" i="398"/>
  <c r="G175" i="398"/>
  <c r="G22" i="394"/>
  <c r="G21" i="394" s="1"/>
  <c r="E51" i="405"/>
  <c r="E50" i="405" s="1"/>
  <c r="G31" i="404"/>
  <c r="E51" i="402"/>
  <c r="E50" i="402" s="1"/>
  <c r="E36" i="388"/>
  <c r="E21" i="388"/>
  <c r="E19" i="388" s="1"/>
  <c r="E11" i="388"/>
  <c r="E9" i="388" s="1"/>
  <c r="G132" i="396"/>
  <c r="G111" i="396"/>
  <c r="G18" i="408"/>
  <c r="G15" i="408" s="1"/>
  <c r="F32" i="389"/>
  <c r="G91" i="395"/>
  <c r="G120" i="408"/>
  <c r="G43" i="389"/>
  <c r="G114" i="399"/>
  <c r="H114" i="399" s="1"/>
  <c r="G141" i="399"/>
  <c r="H141" i="399" s="1"/>
  <c r="G57" i="396"/>
  <c r="G161" i="396"/>
  <c r="G34" i="408"/>
  <c r="G129" i="407"/>
  <c r="H129" i="407" s="1"/>
  <c r="G73" i="392"/>
  <c r="H73" i="392" s="1"/>
  <c r="G61" i="392"/>
  <c r="G110" i="407"/>
  <c r="H110" i="407" s="1"/>
  <c r="G160" i="389"/>
  <c r="G98" i="389"/>
  <c r="G57" i="404"/>
  <c r="E64" i="416"/>
  <c r="G93" i="394"/>
  <c r="H93" i="394" s="1"/>
  <c r="G119" i="398"/>
  <c r="H119" i="398" s="1"/>
  <c r="G54" i="399"/>
  <c r="G81" i="398"/>
  <c r="H81" i="398" s="1"/>
  <c r="G162" i="398"/>
  <c r="H162" i="398" s="1"/>
  <c r="G95" i="397"/>
  <c r="H95" i="397" s="1"/>
  <c r="G59" i="396"/>
  <c r="G160" i="392"/>
  <c r="G99" i="392"/>
  <c r="I99" i="392" s="1"/>
  <c r="G38" i="407"/>
  <c r="H38" i="407" s="1"/>
  <c r="G67" i="407"/>
  <c r="H67" i="407" s="1"/>
  <c r="G122" i="397"/>
  <c r="H122" i="397" s="1"/>
  <c r="G97" i="398"/>
  <c r="G20" i="393"/>
  <c r="G106" i="404"/>
  <c r="G53" i="399"/>
  <c r="H53" i="399" s="1"/>
  <c r="G85" i="399"/>
  <c r="H85" i="399" s="1"/>
  <c r="G103" i="408"/>
  <c r="G134" i="395"/>
  <c r="H134" i="395" s="1"/>
  <c r="G104" i="408"/>
  <c r="G159" i="408"/>
  <c r="G128" i="408"/>
  <c r="G122" i="389"/>
  <c r="G89" i="408"/>
  <c r="G72" i="404"/>
  <c r="G87" i="397"/>
  <c r="H87" i="397" s="1"/>
  <c r="G131" i="407"/>
  <c r="H131" i="407" s="1"/>
  <c r="G96" i="392"/>
  <c r="G86" i="396"/>
  <c r="G162" i="396"/>
  <c r="G66" i="396"/>
  <c r="G22" i="396"/>
  <c r="G175" i="389"/>
  <c r="G175" i="393"/>
  <c r="E88" i="413"/>
  <c r="E23" i="413"/>
  <c r="G43" i="399"/>
  <c r="G114" i="405"/>
  <c r="G84" i="404"/>
  <c r="F29" i="360"/>
  <c r="F27" i="360" s="1"/>
  <c r="F15" i="396"/>
  <c r="G16" i="396"/>
  <c r="G61" i="402"/>
  <c r="G130" i="394"/>
  <c r="H130" i="394" s="1"/>
  <c r="G100" i="399"/>
  <c r="G104" i="398"/>
  <c r="H104" i="398" s="1"/>
  <c r="G31" i="398"/>
  <c r="G136" i="397"/>
  <c r="H136" i="397" s="1"/>
  <c r="G60" i="395"/>
  <c r="E32" i="416"/>
  <c r="E104" i="413"/>
  <c r="E136" i="413"/>
  <c r="G52" i="405"/>
  <c r="H52" i="405" s="1"/>
  <c r="G85" i="402"/>
  <c r="E68" i="416"/>
  <c r="G18" i="405"/>
  <c r="H18" i="405" s="1"/>
  <c r="F36" i="395"/>
  <c r="F11" i="394"/>
  <c r="F9" i="394" s="1"/>
  <c r="F15" i="398"/>
  <c r="F29" i="389"/>
  <c r="F27" i="389" s="1"/>
  <c r="F21" i="360"/>
  <c r="F19" i="360" s="1"/>
  <c r="F15" i="392"/>
  <c r="F15" i="407"/>
  <c r="F29" i="392"/>
  <c r="F27" i="392" s="1"/>
  <c r="D12" i="416"/>
  <c r="D10" i="416" s="1"/>
  <c r="F15" i="394"/>
  <c r="F21" i="396"/>
  <c r="F19" i="396" s="1"/>
  <c r="E29" i="398"/>
  <c r="E27" i="398" s="1"/>
  <c r="F29" i="396"/>
  <c r="F27" i="396" s="1"/>
  <c r="F11" i="389"/>
  <c r="F9" i="389" s="1"/>
  <c r="F32" i="407"/>
  <c r="D16" i="416"/>
  <c r="G18" i="392"/>
  <c r="H18" i="392" s="1"/>
  <c r="F11" i="392"/>
  <c r="F15" i="397"/>
  <c r="G31" i="389"/>
  <c r="G29" i="389" s="1"/>
  <c r="G175" i="392"/>
  <c r="F21" i="407"/>
  <c r="F19" i="407" s="1"/>
  <c r="G175" i="399"/>
  <c r="H175" i="399" s="1"/>
  <c r="G33" i="389"/>
  <c r="G37" i="389"/>
  <c r="G14" i="394"/>
  <c r="H14" i="394" s="1"/>
  <c r="F21" i="401"/>
  <c r="G18" i="398"/>
  <c r="H18" i="398" s="1"/>
  <c r="F29" i="394"/>
  <c r="F27" i="394" s="1"/>
  <c r="G33" i="360"/>
  <c r="G32" i="360" s="1"/>
  <c r="F11" i="395"/>
  <c r="F9" i="395" s="1"/>
  <c r="G17" i="394"/>
  <c r="G34" i="397"/>
  <c r="H34" i="397" s="1"/>
  <c r="G12" i="360"/>
  <c r="F139" i="360"/>
  <c r="G23" i="360"/>
  <c r="F144" i="397"/>
  <c r="G145" i="397"/>
  <c r="G144" i="397" s="1"/>
  <c r="G156" i="392"/>
  <c r="H156" i="392" s="1"/>
  <c r="F164" i="392"/>
  <c r="G33" i="392"/>
  <c r="H33" i="392" s="1"/>
  <c r="F32" i="392"/>
  <c r="G14" i="398"/>
  <c r="F11" i="398"/>
  <c r="F9" i="398" s="1"/>
  <c r="G12" i="395"/>
  <c r="G159" i="360"/>
  <c r="F139" i="392"/>
  <c r="G140" i="392"/>
  <c r="I140" i="392" s="1"/>
  <c r="G30" i="360"/>
  <c r="G145" i="399"/>
  <c r="H145" i="399" s="1"/>
  <c r="F139" i="396"/>
  <c r="F15" i="408"/>
  <c r="F15" i="389"/>
  <c r="F32" i="393"/>
  <c r="F11" i="396"/>
  <c r="F9" i="396" s="1"/>
  <c r="F36" i="392"/>
  <c r="G63" i="395"/>
  <c r="G84" i="389"/>
  <c r="G33" i="395"/>
  <c r="G86" i="399"/>
  <c r="H86" i="399" s="1"/>
  <c r="F164" i="395"/>
  <c r="G34" i="393"/>
  <c r="G145" i="393"/>
  <c r="Q14" i="420" a="1"/>
  <c r="Q14" i="420" s="1"/>
  <c r="O146" i="385"/>
  <c r="K146" i="385"/>
  <c r="K141" i="385" s="1"/>
  <c r="K99" i="385"/>
  <c r="K97" i="385" s="1"/>
  <c r="G99" i="385"/>
  <c r="G97" i="385" s="1"/>
  <c r="L47" i="385"/>
  <c r="H47" i="385"/>
  <c r="I30" i="386"/>
  <c r="D26" i="339"/>
  <c r="J50" i="365"/>
  <c r="A13" i="421" a="1"/>
  <c r="A13" i="421" s="1"/>
  <c r="G13" i="421" a="1"/>
  <c r="G13" i="421" s="1"/>
  <c r="R14" i="420" a="1"/>
  <c r="R14" i="420" s="1"/>
  <c r="G14" i="420" a="1"/>
  <c r="G14" i="420" s="1"/>
  <c r="C68" i="339"/>
  <c r="E68" i="339" s="1"/>
  <c r="C12" i="339"/>
  <c r="C54" i="339"/>
  <c r="D75" i="339"/>
  <c r="D47" i="339"/>
  <c r="E30" i="385"/>
  <c r="D19" i="254"/>
  <c r="I145" i="337"/>
  <c r="C24" i="394"/>
  <c r="C75" i="339"/>
  <c r="G19" i="345"/>
  <c r="G20" i="345" s="1"/>
  <c r="F19" i="345"/>
  <c r="D40" i="324"/>
  <c r="C14" i="421"/>
  <c r="F32" i="408"/>
  <c r="K13" i="421" a="1"/>
  <c r="K13" i="421" s="1"/>
  <c r="O13" i="421" a="1"/>
  <c r="O13" i="421" s="1"/>
  <c r="H13" i="421" a="1"/>
  <c r="H13" i="421" s="1"/>
  <c r="I13" i="421" a="1"/>
  <c r="I13" i="421" s="1"/>
  <c r="N13" i="421" a="1"/>
  <c r="N13" i="421" s="1"/>
  <c r="M13" i="421" a="1"/>
  <c r="M13" i="421" s="1"/>
  <c r="F102" i="386"/>
  <c r="C24" i="404"/>
  <c r="C24" i="408"/>
  <c r="D104" i="397" a="1"/>
  <c r="D104" i="397" s="1"/>
  <c r="C47" i="393"/>
  <c r="D64" i="397" a="1"/>
  <c r="D64" i="397" s="1"/>
  <c r="D28" i="397" a="1"/>
  <c r="D28" i="397" s="1"/>
  <c r="I28" i="397" s="1"/>
  <c r="D40" i="397" a="1"/>
  <c r="D40" i="397" s="1"/>
  <c r="I40" i="397" s="1"/>
  <c r="C47" i="408"/>
  <c r="C47" i="394"/>
  <c r="C76" i="392"/>
  <c r="D26" i="397" a="1"/>
  <c r="D26" i="397" s="1"/>
  <c r="I26" i="397" s="1"/>
  <c r="Q13" i="421" a="1"/>
  <c r="Q13" i="421" s="1"/>
  <c r="C19" i="324"/>
  <c r="G163" i="402"/>
  <c r="E14" i="420" a="1"/>
  <c r="E14" i="420" s="1"/>
  <c r="D14" i="420" a="1"/>
  <c r="D14" i="420" s="1"/>
  <c r="I13" i="385"/>
  <c r="I146" i="385"/>
  <c r="E17" i="385"/>
  <c r="L146" i="365"/>
  <c r="G17" i="385"/>
  <c r="C47" i="402"/>
  <c r="C47" i="397"/>
  <c r="E59" i="391"/>
  <c r="C165" i="388"/>
  <c r="C178" i="388" s="1"/>
  <c r="D61" i="397" a="1"/>
  <c r="D61" i="397" s="1"/>
  <c r="I61" i="397" s="1"/>
  <c r="D129" i="397" a="1"/>
  <c r="D129" i="397" s="1"/>
  <c r="I129" i="397" s="1"/>
  <c r="D109" i="397" a="1"/>
  <c r="D109" i="397" s="1"/>
  <c r="I109" i="397" s="1"/>
  <c r="D156" i="397" a="1"/>
  <c r="D156" i="397" s="1"/>
  <c r="D84" i="397" a="1"/>
  <c r="D84" i="397" s="1"/>
  <c r="D93" i="397" a="1"/>
  <c r="D93" i="397" s="1"/>
  <c r="I93" i="397" s="1"/>
  <c r="D69" i="397" a="1"/>
  <c r="D69" i="397" s="1"/>
  <c r="C15" i="420"/>
  <c r="C47" i="404"/>
  <c r="C24" i="402"/>
  <c r="C76" i="403"/>
  <c r="C147" i="403" s="1"/>
  <c r="C165" i="403" s="1"/>
  <c r="C178" i="403" s="1"/>
  <c r="C61" i="324"/>
  <c r="H137" i="407"/>
  <c r="R15" i="422" a="1"/>
  <c r="R15" i="422" s="1"/>
  <c r="M15" i="422" a="1"/>
  <c r="M15" i="422" s="1"/>
  <c r="H15" i="422" a="1"/>
  <c r="H15" i="422" s="1"/>
  <c r="N15" i="422" a="1"/>
  <c r="N15" i="422" s="1"/>
  <c r="P15" i="422" a="1"/>
  <c r="P15" i="422" s="1"/>
  <c r="L15" i="422" a="1"/>
  <c r="L15" i="422" s="1"/>
  <c r="G15" i="422" a="1"/>
  <c r="G15" i="422" s="1"/>
  <c r="I15" i="422" a="1"/>
  <c r="I15" i="422" s="1"/>
  <c r="C16" i="422"/>
  <c r="O15" i="422" a="1"/>
  <c r="O15" i="422" s="1"/>
  <c r="J15" i="422" a="1"/>
  <c r="J15" i="422" s="1"/>
  <c r="A15" i="422" a="1"/>
  <c r="A15" i="422" s="1"/>
  <c r="C40" i="254"/>
  <c r="C75" i="354"/>
  <c r="D75" i="354"/>
  <c r="R1143" i="328"/>
  <c r="C68" i="354"/>
  <c r="C68" i="324"/>
  <c r="I52" i="388"/>
  <c r="F164" i="407"/>
  <c r="F164" i="408"/>
  <c r="F29" i="408"/>
  <c r="F27" i="408" s="1"/>
  <c r="C82" i="254"/>
  <c r="C47" i="254"/>
  <c r="E47" i="254" s="1"/>
  <c r="O30" i="386"/>
  <c r="M126" i="365"/>
  <c r="L126" i="365"/>
  <c r="H20" i="385"/>
  <c r="H61" i="394"/>
  <c r="I61" i="394"/>
  <c r="I156" i="394"/>
  <c r="I67" i="397"/>
  <c r="I67" i="395"/>
  <c r="J47" i="385"/>
  <c r="C128" i="365"/>
  <c r="P128" i="365" s="1"/>
  <c r="J77" i="385"/>
  <c r="J20" i="385"/>
  <c r="I134" i="385"/>
  <c r="I99" i="385"/>
  <c r="I68" i="405"/>
  <c r="I61" i="398"/>
  <c r="J134" i="385"/>
  <c r="G30" i="386"/>
  <c r="I53" i="407"/>
  <c r="E47" i="386"/>
  <c r="I162" i="392"/>
  <c r="H28" i="388"/>
  <c r="J146" i="386"/>
  <c r="F13" i="386"/>
  <c r="F11" i="386" s="1"/>
  <c r="H13" i="385"/>
  <c r="H11" i="385" s="1"/>
  <c r="I86" i="392"/>
  <c r="F47" i="386"/>
  <c r="F77" i="386"/>
  <c r="F137" i="386"/>
  <c r="F126" i="386"/>
  <c r="F146" i="386"/>
  <c r="O34" i="385"/>
  <c r="O17" i="385"/>
  <c r="O99" i="385"/>
  <c r="O97" i="385" s="1"/>
  <c r="O102" i="385"/>
  <c r="O126" i="385"/>
  <c r="O134" i="385"/>
  <c r="O137" i="385"/>
  <c r="K13" i="385"/>
  <c r="G34" i="385"/>
  <c r="G134" i="385"/>
  <c r="G146" i="385"/>
  <c r="N20" i="385"/>
  <c r="F137" i="385"/>
  <c r="L30" i="385"/>
  <c r="H65" i="385"/>
  <c r="H77" i="385"/>
  <c r="N146" i="365"/>
  <c r="N141" i="365" s="1"/>
  <c r="M30" i="365"/>
  <c r="E137" i="365"/>
  <c r="F134" i="365"/>
  <c r="H85" i="395"/>
  <c r="E20" i="385"/>
  <c r="L17" i="385"/>
  <c r="L134" i="385"/>
  <c r="L146" i="385"/>
  <c r="L141" i="385" s="1"/>
  <c r="E126" i="365"/>
  <c r="C122" i="365"/>
  <c r="P122" i="365" s="1"/>
  <c r="E50" i="365"/>
  <c r="H146" i="365"/>
  <c r="H141" i="365" s="1"/>
  <c r="F126" i="365"/>
  <c r="K34" i="365"/>
  <c r="F146" i="365"/>
  <c r="M146" i="365"/>
  <c r="M141" i="365" s="1"/>
  <c r="M47" i="386"/>
  <c r="D114" i="388" a="1"/>
  <c r="D114" i="388" s="1"/>
  <c r="D37" i="388" a="1"/>
  <c r="D37" i="388" s="1"/>
  <c r="D36" i="388" s="1"/>
  <c r="D34" i="388" a="1"/>
  <c r="D34" i="388" s="1"/>
  <c r="D32" i="388" s="1"/>
  <c r="O50" i="386"/>
  <c r="G50" i="386"/>
  <c r="D175" i="392" a="1"/>
  <c r="D175" i="392" s="1"/>
  <c r="D177" i="392" s="1"/>
  <c r="D163" i="392" a="1"/>
  <c r="D163" i="392" s="1"/>
  <c r="I163" i="392" s="1"/>
  <c r="D129" i="392" a="1"/>
  <c r="D129" i="392" s="1"/>
  <c r="I129" i="392" s="1"/>
  <c r="D128" i="392" a="1"/>
  <c r="D128" i="392" s="1"/>
  <c r="D108" i="392" a="1"/>
  <c r="D108" i="392" s="1"/>
  <c r="I108" i="392" s="1"/>
  <c r="D107" i="392" a="1"/>
  <c r="D107" i="392" s="1"/>
  <c r="I107" i="392" s="1"/>
  <c r="D97" i="392" a="1"/>
  <c r="D97" i="392" s="1"/>
  <c r="I97" i="392" s="1"/>
  <c r="D96" i="392" a="1"/>
  <c r="D96" i="392" s="1"/>
  <c r="I96" i="392" s="1"/>
  <c r="D87" i="392" a="1"/>
  <c r="D87" i="392" s="1"/>
  <c r="I87" i="392" s="1"/>
  <c r="D85" i="392" a="1"/>
  <c r="D85" i="392" s="1"/>
  <c r="H85" i="392" s="1"/>
  <c r="D83" i="392" a="1"/>
  <c r="D83" i="392" s="1"/>
  <c r="D81" i="392" a="1"/>
  <c r="D81" i="392" s="1"/>
  <c r="D80" i="392" a="1"/>
  <c r="D80" i="392" s="1"/>
  <c r="I80" i="392" s="1"/>
  <c r="D70" i="392" a="1"/>
  <c r="D70" i="392" s="1"/>
  <c r="D60" i="392" a="1"/>
  <c r="D60" i="392" s="1"/>
  <c r="I60" i="392" s="1"/>
  <c r="D59" i="392" a="1"/>
  <c r="D59" i="392" s="1"/>
  <c r="D52" i="392" a="1"/>
  <c r="D52" i="392" s="1"/>
  <c r="H52" i="392" s="1"/>
  <c r="D38" i="392" a="1"/>
  <c r="D38" i="392" s="1"/>
  <c r="I38" i="392" s="1"/>
  <c r="D35" i="392" a="1"/>
  <c r="D35" i="392" s="1"/>
  <c r="D31" i="392" a="1"/>
  <c r="D31" i="392" s="1"/>
  <c r="I31" i="392" s="1"/>
  <c r="D23" i="392" a="1"/>
  <c r="D23" i="392" s="1"/>
  <c r="D12" i="392" a="1"/>
  <c r="D12" i="392" s="1"/>
  <c r="D145" i="392" a="1"/>
  <c r="D145" i="392" s="1"/>
  <c r="D144" i="392" s="1"/>
  <c r="D142" i="392" a="1"/>
  <c r="D142" i="392" s="1"/>
  <c r="D141" i="392" a="1"/>
  <c r="D141" i="392" s="1"/>
  <c r="D133" i="392" a="1"/>
  <c r="D133" i="392" s="1"/>
  <c r="D132" i="392" a="1"/>
  <c r="D132" i="392" s="1"/>
  <c r="I132" i="392" s="1"/>
  <c r="D111" i="392" a="1"/>
  <c r="D111" i="392" s="1"/>
  <c r="D89" i="392" a="1"/>
  <c r="D89" i="392" s="1"/>
  <c r="D72" i="392" a="1"/>
  <c r="D72" i="392" s="1"/>
  <c r="D62" i="392" a="1"/>
  <c r="D62" i="392" s="1"/>
  <c r="D44" i="392" a="1"/>
  <c r="D44" i="392" s="1"/>
  <c r="I44" i="392" s="1"/>
  <c r="D41" i="392" a="1"/>
  <c r="D41" i="392" s="1"/>
  <c r="D16" i="392" a="1"/>
  <c r="D16" i="392" s="1"/>
  <c r="D10" i="392" a="1"/>
  <c r="D10" i="392" s="1"/>
  <c r="D64" i="392" a="1"/>
  <c r="D64" i="392" s="1"/>
  <c r="I64" i="392" s="1"/>
  <c r="D160" i="392" a="1"/>
  <c r="D160" i="392" s="1"/>
  <c r="D137" i="392" a="1"/>
  <c r="D137" i="392" s="1"/>
  <c r="I137" i="392" s="1"/>
  <c r="D136" i="392" a="1"/>
  <c r="D136" i="392" s="1"/>
  <c r="I136" i="392" s="1"/>
  <c r="D121" i="392" a="1"/>
  <c r="D121" i="392" s="1"/>
  <c r="I121" i="392" s="1"/>
  <c r="D120" i="392" a="1"/>
  <c r="D120" i="392" s="1"/>
  <c r="I120" i="392" s="1"/>
  <c r="D114" i="392" a="1"/>
  <c r="D114" i="392" s="1"/>
  <c r="I114" i="392" s="1"/>
  <c r="D113" i="392" a="1"/>
  <c r="D113" i="392" s="1"/>
  <c r="D100" i="392" a="1"/>
  <c r="D100" i="392" s="1"/>
  <c r="I100" i="392" s="1"/>
  <c r="D92" i="392" a="1"/>
  <c r="D92" i="392" s="1"/>
  <c r="I92" i="392" s="1"/>
  <c r="D91" i="392" a="1"/>
  <c r="D91" i="392" s="1"/>
  <c r="I91" i="392" s="1"/>
  <c r="D65" i="392" a="1"/>
  <c r="D65" i="392" s="1"/>
  <c r="I65" i="392" s="1"/>
  <c r="D20" i="392" a="1"/>
  <c r="D20" i="392" s="1"/>
  <c r="I20" i="392" s="1"/>
  <c r="D158" i="392" a="1"/>
  <c r="D158" i="392" s="1"/>
  <c r="D157" i="392" a="1"/>
  <c r="D157" i="392" s="1"/>
  <c r="D125" i="392" a="1"/>
  <c r="D125" i="392" s="1"/>
  <c r="I125" i="392" s="1"/>
  <c r="D124" i="392" a="1"/>
  <c r="D124" i="392" s="1"/>
  <c r="I124" i="392" s="1"/>
  <c r="D118" i="392" a="1"/>
  <c r="D118" i="392" s="1"/>
  <c r="D117" i="392" a="1"/>
  <c r="D117" i="392" s="1"/>
  <c r="I117" i="392" s="1"/>
  <c r="D104" i="392" a="1"/>
  <c r="D104" i="392" s="1"/>
  <c r="D103" i="392" a="1"/>
  <c r="D103" i="392" s="1"/>
  <c r="I103" i="392" s="1"/>
  <c r="D94" i="392" a="1"/>
  <c r="D94" i="392" s="1"/>
  <c r="I94" i="392" s="1"/>
  <c r="D68" i="392" a="1"/>
  <c r="D68" i="392" s="1"/>
  <c r="D57" i="392" a="1"/>
  <c r="D57" i="392" s="1"/>
  <c r="I57" i="392" s="1"/>
  <c r="D55" i="392" a="1"/>
  <c r="D55" i="392" s="1"/>
  <c r="H55" i="392" s="1"/>
  <c r="D54" i="392" a="1"/>
  <c r="D54" i="392" s="1"/>
  <c r="I54" i="392" s="1"/>
  <c r="O77" i="385"/>
  <c r="G20" i="385"/>
  <c r="N117" i="385"/>
  <c r="J65" i="385"/>
  <c r="J117" i="385"/>
  <c r="J137" i="385"/>
  <c r="I126" i="385"/>
  <c r="E47" i="385"/>
  <c r="E65" i="385"/>
  <c r="E77" i="385"/>
  <c r="E137" i="385"/>
  <c r="L161" i="385"/>
  <c r="H117" i="385"/>
  <c r="H137" i="385"/>
  <c r="H134" i="385"/>
  <c r="H34" i="365"/>
  <c r="H43" i="365" s="1"/>
  <c r="C56" i="365"/>
  <c r="P56" i="365" s="1"/>
  <c r="C64" i="365"/>
  <c r="P64" i="365" s="1"/>
  <c r="C131" i="365"/>
  <c r="P131" i="365" s="1"/>
  <c r="C143" i="365"/>
  <c r="P143" i="365" s="1"/>
  <c r="C156" i="365"/>
  <c r="P156" i="365" s="1"/>
  <c r="C57" i="365"/>
  <c r="P57" i="365" s="1"/>
  <c r="C67" i="365"/>
  <c r="P67" i="365" s="1"/>
  <c r="C75" i="365"/>
  <c r="P75" i="365" s="1"/>
  <c r="C148" i="365"/>
  <c r="P148" i="365" s="1"/>
  <c r="O30" i="365"/>
  <c r="D156" i="399" a="1"/>
  <c r="D156" i="399" s="1"/>
  <c r="D164" i="399" s="1"/>
  <c r="D134" i="399" a="1"/>
  <c r="D134" i="399" s="1"/>
  <c r="D67" i="399" a="1"/>
  <c r="D67" i="399" s="1"/>
  <c r="D38" i="399" a="1"/>
  <c r="D38" i="399" s="1"/>
  <c r="I38" i="399" s="1"/>
  <c r="D35" i="399" a="1"/>
  <c r="D35" i="399" s="1"/>
  <c r="I35" i="399" s="1"/>
  <c r="D136" i="399" a="1"/>
  <c r="D136" i="399" s="1"/>
  <c r="D73" i="399" a="1"/>
  <c r="D73" i="399" s="1"/>
  <c r="I73" i="399" s="1"/>
  <c r="D63" i="399" a="1"/>
  <c r="D63" i="399" s="1"/>
  <c r="D31" i="399" a="1"/>
  <c r="D31" i="399" s="1"/>
  <c r="I31" i="399" s="1"/>
  <c r="D22" i="399" a="1"/>
  <c r="D22" i="399" s="1"/>
  <c r="D132" i="399" a="1"/>
  <c r="D132" i="399" s="1"/>
  <c r="I132" i="399" s="1"/>
  <c r="D123" i="399" a="1"/>
  <c r="D123" i="399" s="1"/>
  <c r="I123" i="399" s="1"/>
  <c r="D100" i="399" a="1"/>
  <c r="D100" i="399" s="1"/>
  <c r="I100" i="399" s="1"/>
  <c r="D96" i="399" a="1"/>
  <c r="D96" i="399" s="1"/>
  <c r="D54" i="399" a="1"/>
  <c r="D54" i="399" s="1"/>
  <c r="I54" i="399" s="1"/>
  <c r="D39" i="399" a="1"/>
  <c r="D39" i="399" s="1"/>
  <c r="I39" i="399" s="1"/>
  <c r="D84" i="399" a="1"/>
  <c r="D84" i="399" s="1"/>
  <c r="I84" i="399" s="1"/>
  <c r="D43" i="399" a="1"/>
  <c r="D43" i="399" s="1"/>
  <c r="D109" i="399" a="1"/>
  <c r="D109" i="399" s="1"/>
  <c r="I109" i="399" s="1"/>
  <c r="D88" i="399" a="1"/>
  <c r="D88" i="399" s="1"/>
  <c r="D58" i="399" a="1"/>
  <c r="D58" i="399" s="1"/>
  <c r="D20" i="399" a="1"/>
  <c r="D20" i="399" s="1"/>
  <c r="I20" i="399" s="1"/>
  <c r="D13" i="399" a="1"/>
  <c r="D13" i="399" s="1"/>
  <c r="D79" i="395" a="1"/>
  <c r="D79" i="395" s="1"/>
  <c r="D71" i="395" a="1"/>
  <c r="D71" i="395" s="1"/>
  <c r="D66" i="395" a="1"/>
  <c r="D66" i="395" s="1"/>
  <c r="I66" i="395" s="1"/>
  <c r="D58" i="395" a="1"/>
  <c r="D58" i="395" s="1"/>
  <c r="D57" i="395" a="1"/>
  <c r="D57" i="395" s="1"/>
  <c r="I57" i="395" s="1"/>
  <c r="D12" i="395" a="1"/>
  <c r="D12" i="395" s="1"/>
  <c r="D11" i="395" s="1"/>
  <c r="D10" i="395" a="1"/>
  <c r="D10" i="395" s="1"/>
  <c r="I160" i="395"/>
  <c r="D133" i="395" a="1"/>
  <c r="D133" i="395" s="1"/>
  <c r="I133" i="395" s="1"/>
  <c r="D123" i="395" a="1"/>
  <c r="D123" i="395" s="1"/>
  <c r="H123" i="395" s="1"/>
  <c r="D110" i="395" a="1"/>
  <c r="D110" i="395" s="1"/>
  <c r="I110" i="395" s="1"/>
  <c r="D105" i="395" a="1"/>
  <c r="D105" i="395" s="1"/>
  <c r="I105" i="395" s="1"/>
  <c r="D90" i="395" a="1"/>
  <c r="D90" i="395" s="1"/>
  <c r="I90" i="395" s="1"/>
  <c r="D88" i="395" a="1"/>
  <c r="D88" i="395" s="1"/>
  <c r="D69" i="395" a="1"/>
  <c r="D69" i="395" s="1"/>
  <c r="D65" i="395" a="1"/>
  <c r="D65" i="395" s="1"/>
  <c r="I65" i="395" s="1"/>
  <c r="D55" i="395" a="1"/>
  <c r="D55" i="395" s="1"/>
  <c r="H55" i="395" s="1"/>
  <c r="D54" i="395" a="1"/>
  <c r="D54" i="395" s="1"/>
  <c r="I54" i="395" s="1"/>
  <c r="D40" i="395" a="1"/>
  <c r="D40" i="395" s="1"/>
  <c r="I40" i="395" s="1"/>
  <c r="D16" i="395" a="1"/>
  <c r="D16" i="395" s="1"/>
  <c r="I156" i="395"/>
  <c r="D125" i="395" a="1"/>
  <c r="D125" i="395" s="1"/>
  <c r="D115" i="395" a="1"/>
  <c r="D115" i="395" s="1"/>
  <c r="I115" i="395" s="1"/>
  <c r="D112" i="395" a="1"/>
  <c r="D112" i="395" s="1"/>
  <c r="I112" i="395" s="1"/>
  <c r="D96" i="395" a="1"/>
  <c r="D96" i="395" s="1"/>
  <c r="I96" i="395" s="1"/>
  <c r="D94" i="395" a="1"/>
  <c r="D94" i="395" s="1"/>
  <c r="D91" i="395" a="1"/>
  <c r="D91" i="395" s="1"/>
  <c r="I91" i="395" s="1"/>
  <c r="D63" i="395" a="1"/>
  <c r="D63" i="395" s="1"/>
  <c r="D44" i="395" a="1"/>
  <c r="D44" i="395" s="1"/>
  <c r="D43" i="395" a="1"/>
  <c r="D43" i="395" s="1"/>
  <c r="I43" i="395" s="1"/>
  <c r="D39" i="395" a="1"/>
  <c r="D39" i="395" s="1"/>
  <c r="I39" i="395" s="1"/>
  <c r="D142" i="395" a="1"/>
  <c r="D142" i="395" s="1"/>
  <c r="D140" i="395" a="1"/>
  <c r="D140" i="395" s="1"/>
  <c r="D136" i="395" a="1"/>
  <c r="D136" i="395" s="1"/>
  <c r="I136" i="395" s="1"/>
  <c r="D129" i="395" a="1"/>
  <c r="D129" i="395" s="1"/>
  <c r="I129" i="395" s="1"/>
  <c r="D126" i="395" a="1"/>
  <c r="D126" i="395" s="1"/>
  <c r="I126" i="395" s="1"/>
  <c r="D121" i="395" a="1"/>
  <c r="D121" i="395" s="1"/>
  <c r="D108" i="395" a="1"/>
  <c r="D108" i="395" s="1"/>
  <c r="I108" i="395" s="1"/>
  <c r="D101" i="395" a="1"/>
  <c r="D101" i="395" s="1"/>
  <c r="I101" i="395" s="1"/>
  <c r="D98" i="395" a="1"/>
  <c r="D98" i="395" s="1"/>
  <c r="I98" i="395" s="1"/>
  <c r="D81" i="395" a="1"/>
  <c r="D81" i="395" s="1"/>
  <c r="I81" i="395" s="1"/>
  <c r="D73" i="395" a="1"/>
  <c r="D73" i="395" s="1"/>
  <c r="I73" i="395" s="1"/>
  <c r="D61" i="395" a="1"/>
  <c r="D61" i="395" s="1"/>
  <c r="D60" i="395" a="1"/>
  <c r="D60" i="395" s="1"/>
  <c r="I60" i="395" s="1"/>
  <c r="D33" i="395" a="1"/>
  <c r="D33" i="395" s="1"/>
  <c r="D32" i="395" s="1"/>
  <c r="I32" i="395" s="1"/>
  <c r="D30" i="395" a="1"/>
  <c r="D30" i="395" s="1"/>
  <c r="D29" i="395" s="1"/>
  <c r="D28" i="395" a="1"/>
  <c r="D28" i="395" s="1"/>
  <c r="D20" i="395" a="1"/>
  <c r="D20" i="395" s="1"/>
  <c r="I20" i="395" s="1"/>
  <c r="F34" i="386"/>
  <c r="G77" i="385"/>
  <c r="N99" i="385"/>
  <c r="M47" i="385"/>
  <c r="O126" i="365"/>
  <c r="L99" i="365"/>
  <c r="L97" i="365" s="1"/>
  <c r="D32" i="397"/>
  <c r="I32" i="397" s="1"/>
  <c r="E34" i="386"/>
  <c r="K34" i="386"/>
  <c r="I34" i="386"/>
  <c r="K30" i="386"/>
  <c r="O34" i="386"/>
  <c r="G126" i="365"/>
  <c r="G134" i="365"/>
  <c r="G146" i="365"/>
  <c r="E34" i="365"/>
  <c r="E43" i="365" s="1"/>
  <c r="J137" i="365"/>
  <c r="M161" i="365"/>
  <c r="I161" i="365"/>
  <c r="I65" i="365"/>
  <c r="I77" i="365"/>
  <c r="I134" i="365"/>
  <c r="I146" i="365"/>
  <c r="I141" i="365" s="1"/>
  <c r="M30" i="386"/>
  <c r="G34" i="386"/>
  <c r="O47" i="386"/>
  <c r="K50" i="386"/>
  <c r="G47" i="386"/>
  <c r="H71" i="407"/>
  <c r="H63" i="394"/>
  <c r="H82" i="407"/>
  <c r="I82" i="407"/>
  <c r="I71" i="392"/>
  <c r="G161" i="386"/>
  <c r="F89" i="386"/>
  <c r="F99" i="386"/>
  <c r="F97" i="386" s="1"/>
  <c r="O89" i="385"/>
  <c r="O117" i="385"/>
  <c r="O47" i="385"/>
  <c r="O65" i="385"/>
  <c r="K50" i="385"/>
  <c r="K102" i="385"/>
  <c r="G89" i="385"/>
  <c r="G137" i="385"/>
  <c r="C31" i="385"/>
  <c r="P31" i="385" s="1"/>
  <c r="N13" i="385"/>
  <c r="N11" i="385" s="1"/>
  <c r="N161" i="385"/>
  <c r="J13" i="385"/>
  <c r="J11" i="385" s="1"/>
  <c r="F161" i="385"/>
  <c r="G30" i="385"/>
  <c r="M102" i="385"/>
  <c r="I17" i="385"/>
  <c r="I102" i="385"/>
  <c r="I137" i="385"/>
  <c r="E89" i="385"/>
  <c r="E117" i="385"/>
  <c r="K34" i="385"/>
  <c r="C32" i="385"/>
  <c r="P32" i="385" s="1"/>
  <c r="L34" i="385"/>
  <c r="L65" i="385"/>
  <c r="L77" i="385"/>
  <c r="L20" i="385"/>
  <c r="L99" i="385"/>
  <c r="L126" i="385"/>
  <c r="C37" i="385"/>
  <c r="P37" i="385" s="1"/>
  <c r="C52" i="385"/>
  <c r="P52" i="385" s="1"/>
  <c r="C60" i="385"/>
  <c r="P60" i="385" s="1"/>
  <c r="C68" i="385"/>
  <c r="P68" i="385" s="1"/>
  <c r="C15" i="385"/>
  <c r="P15" i="385" s="1"/>
  <c r="C91" i="385"/>
  <c r="P91" i="385" s="1"/>
  <c r="D102" i="385"/>
  <c r="C103" i="385"/>
  <c r="P103" i="385"/>
  <c r="C111" i="385"/>
  <c r="P111" i="385" s="1"/>
  <c r="C38" i="385"/>
  <c r="P38" i="385" s="1"/>
  <c r="C51" i="385"/>
  <c r="P51" i="385" s="1"/>
  <c r="D50" i="385"/>
  <c r="C59" i="385"/>
  <c r="P59" i="385" s="1"/>
  <c r="C69" i="385"/>
  <c r="P69" i="385" s="1"/>
  <c r="C79" i="385"/>
  <c r="P79" i="385" s="1"/>
  <c r="C22" i="385"/>
  <c r="P22" i="385" s="1"/>
  <c r="C94" i="385"/>
  <c r="P94" i="385" s="1"/>
  <c r="C104" i="385"/>
  <c r="P104" i="385" s="1"/>
  <c r="C114" i="385"/>
  <c r="P114" i="385" s="1"/>
  <c r="C142" i="385"/>
  <c r="P142" i="385" s="1"/>
  <c r="D161" i="385"/>
  <c r="C123" i="385"/>
  <c r="P123" i="385" s="1"/>
  <c r="C143" i="385"/>
  <c r="P143" i="385" s="1"/>
  <c r="C156" i="385"/>
  <c r="P156" i="385" s="1"/>
  <c r="C118" i="365"/>
  <c r="P118" i="365" s="1"/>
  <c r="D117" i="365"/>
  <c r="G97" i="365"/>
  <c r="I89" i="365"/>
  <c r="D47" i="365"/>
  <c r="C41" i="365"/>
  <c r="P41" i="365" s="1"/>
  <c r="C39" i="365"/>
  <c r="P39" i="365" s="1"/>
  <c r="J34" i="365"/>
  <c r="C31" i="365"/>
  <c r="P31" i="365" s="1"/>
  <c r="D30" i="365"/>
  <c r="L65" i="365"/>
  <c r="H134" i="365"/>
  <c r="H161" i="365"/>
  <c r="C62" i="365"/>
  <c r="P62" i="365" s="1"/>
  <c r="C129" i="365"/>
  <c r="P129" i="365" s="1"/>
  <c r="C139" i="365"/>
  <c r="P139" i="365" s="1"/>
  <c r="C149" i="365"/>
  <c r="P149" i="365" s="1"/>
  <c r="C55" i="365"/>
  <c r="P55" i="365" s="1"/>
  <c r="C63" i="365"/>
  <c r="P63" i="365" s="1"/>
  <c r="C73" i="365"/>
  <c r="P73" i="365" s="1"/>
  <c r="C136" i="365"/>
  <c r="P136" i="365" s="1"/>
  <c r="C144" i="365"/>
  <c r="P144" i="365" s="1"/>
  <c r="C157" i="365"/>
  <c r="P157" i="365" s="1"/>
  <c r="O117" i="365"/>
  <c r="C115" i="365"/>
  <c r="P115" i="365" s="1"/>
  <c r="C111" i="365"/>
  <c r="P111" i="365" s="1"/>
  <c r="I102" i="365"/>
  <c r="C22" i="365"/>
  <c r="P22" i="365" s="1"/>
  <c r="C16" i="365"/>
  <c r="P16" i="365" s="1"/>
  <c r="L13" i="365"/>
  <c r="C14" i="365"/>
  <c r="P14" i="365" s="1"/>
  <c r="D13" i="365"/>
  <c r="D11" i="365" s="1"/>
  <c r="O137" i="365"/>
  <c r="K50" i="365"/>
  <c r="K137" i="365"/>
  <c r="G50" i="365"/>
  <c r="G137" i="365"/>
  <c r="C114" i="365"/>
  <c r="P114" i="365" s="1"/>
  <c r="C110" i="365"/>
  <c r="P110" i="365" s="1"/>
  <c r="L102" i="365"/>
  <c r="E99" i="365"/>
  <c r="G89" i="365"/>
  <c r="O47" i="365"/>
  <c r="M34" i="365"/>
  <c r="M43" i="365" s="1"/>
  <c r="N134" i="365"/>
  <c r="N161" i="365"/>
  <c r="F137" i="365"/>
  <c r="I117" i="365"/>
  <c r="G102" i="365"/>
  <c r="C92" i="365"/>
  <c r="P92" i="365" s="1"/>
  <c r="N89" i="365"/>
  <c r="N20" i="365"/>
  <c r="F20" i="365"/>
  <c r="O17" i="365"/>
  <c r="G17" i="365"/>
  <c r="G23" i="365" s="1"/>
  <c r="K13" i="365"/>
  <c r="K11" i="365" s="1"/>
  <c r="I155" i="388"/>
  <c r="I10" i="405"/>
  <c r="D144" i="405"/>
  <c r="I144" i="405" s="1"/>
  <c r="I145" i="405"/>
  <c r="I79" i="405"/>
  <c r="I28" i="394"/>
  <c r="I26" i="394"/>
  <c r="I26" i="405"/>
  <c r="I33" i="399"/>
  <c r="I30" i="398"/>
  <c r="D29" i="398"/>
  <c r="I29" i="398" s="1"/>
  <c r="I155" i="397"/>
  <c r="I10" i="397"/>
  <c r="I12" i="398"/>
  <c r="D11" i="398"/>
  <c r="I11" i="398" s="1"/>
  <c r="I37" i="398"/>
  <c r="I10" i="398"/>
  <c r="D139" i="399"/>
  <c r="I26" i="399"/>
  <c r="I16" i="397"/>
  <c r="I10" i="407"/>
  <c r="D144" i="395"/>
  <c r="I144" i="395" s="1"/>
  <c r="I145" i="395"/>
  <c r="I155" i="392"/>
  <c r="I80" i="395"/>
  <c r="I22" i="392"/>
  <c r="I22" i="407"/>
  <c r="D21" i="407"/>
  <c r="I21" i="407" s="1"/>
  <c r="I155" i="407"/>
  <c r="D139" i="397"/>
  <c r="I139" i="397" s="1"/>
  <c r="F20" i="386"/>
  <c r="F161" i="386"/>
  <c r="K161" i="385"/>
  <c r="G47" i="385"/>
  <c r="G65" i="385"/>
  <c r="N89" i="385"/>
  <c r="J89" i="385"/>
  <c r="J126" i="385"/>
  <c r="J146" i="385"/>
  <c r="J141" i="385" s="1"/>
  <c r="F50" i="385"/>
  <c r="M161" i="385"/>
  <c r="L50" i="385"/>
  <c r="H89" i="385"/>
  <c r="H126" i="385"/>
  <c r="H146" i="385"/>
  <c r="C54" i="385"/>
  <c r="P54" i="385" s="1"/>
  <c r="C72" i="385"/>
  <c r="P72" i="385" s="1"/>
  <c r="C19" i="385"/>
  <c r="P19" i="385" s="1"/>
  <c r="C93" i="385"/>
  <c r="P93" i="385" s="1"/>
  <c r="C53" i="385"/>
  <c r="P53" i="385" s="1"/>
  <c r="C61" i="385"/>
  <c r="P61" i="385" s="1"/>
  <c r="C71" i="385"/>
  <c r="P71" i="385" s="1"/>
  <c r="C166" i="385"/>
  <c r="P166" i="385" s="1"/>
  <c r="C136" i="385"/>
  <c r="P136" i="385" s="1"/>
  <c r="C133" i="385"/>
  <c r="P133" i="385" s="1"/>
  <c r="C145" i="385"/>
  <c r="P145" i="385" s="1"/>
  <c r="C158" i="385"/>
  <c r="P158" i="385" s="1"/>
  <c r="N102" i="365"/>
  <c r="C37" i="365"/>
  <c r="P37" i="365" s="1"/>
  <c r="C138" i="365"/>
  <c r="P138" i="365" s="1"/>
  <c r="D137" i="365"/>
  <c r="C125" i="365"/>
  <c r="P125" i="365" s="1"/>
  <c r="C121" i="365"/>
  <c r="P121" i="365" s="1"/>
  <c r="K117" i="365"/>
  <c r="E102" i="365"/>
  <c r="N99" i="365"/>
  <c r="N97" i="365" s="1"/>
  <c r="L89" i="365"/>
  <c r="J13" i="365"/>
  <c r="C124" i="365"/>
  <c r="P124" i="365" s="1"/>
  <c r="C120" i="365"/>
  <c r="P120" i="365" s="1"/>
  <c r="N117" i="365"/>
  <c r="H102" i="365"/>
  <c r="C53" i="365"/>
  <c r="P53" i="365" s="1"/>
  <c r="D50" i="365"/>
  <c r="C51" i="365"/>
  <c r="P51" i="365" s="1"/>
  <c r="M47" i="365"/>
  <c r="E47" i="365"/>
  <c r="I34" i="365"/>
  <c r="I43" i="365" s="1"/>
  <c r="C130" i="365"/>
  <c r="P130" i="365" s="1"/>
  <c r="N126" i="365"/>
  <c r="E117" i="365"/>
  <c r="C113" i="365"/>
  <c r="P113" i="365" s="1"/>
  <c r="H99" i="365"/>
  <c r="H97" i="365" s="1"/>
  <c r="C98" i="365"/>
  <c r="P98" i="365" s="1"/>
  <c r="L20" i="365"/>
  <c r="D20" i="365"/>
  <c r="M17" i="365"/>
  <c r="E17" i="365"/>
  <c r="C15" i="365"/>
  <c r="P15" i="365" s="1"/>
  <c r="I13" i="365"/>
  <c r="I11" i="365" s="1"/>
  <c r="D126" i="365"/>
  <c r="I22" i="388"/>
  <c r="D21" i="388"/>
  <c r="I21" i="388" s="1"/>
  <c r="I33" i="388"/>
  <c r="D11" i="388"/>
  <c r="I30" i="394"/>
  <c r="D29" i="394"/>
  <c r="I29" i="394" s="1"/>
  <c r="I37" i="405"/>
  <c r="I22" i="405"/>
  <c r="D21" i="405"/>
  <c r="I21" i="405" s="1"/>
  <c r="I16" i="405"/>
  <c r="D15" i="405"/>
  <c r="I15" i="405" s="1"/>
  <c r="D160" i="401" a="1"/>
  <c r="D160" i="401" s="1"/>
  <c r="I160" i="401" s="1"/>
  <c r="D157" i="401" a="1"/>
  <c r="D157" i="401" s="1"/>
  <c r="D143" i="401" a="1"/>
  <c r="D143" i="401" s="1"/>
  <c r="D136" i="401" a="1"/>
  <c r="D136" i="401" s="1"/>
  <c r="D132" i="401" a="1"/>
  <c r="D132" i="401" s="1"/>
  <c r="I132" i="401" s="1"/>
  <c r="D128" i="401" a="1"/>
  <c r="D128" i="401" s="1"/>
  <c r="I128" i="401" s="1"/>
  <c r="D125" i="401" a="1"/>
  <c r="D125" i="401" s="1"/>
  <c r="D121" i="401" a="1"/>
  <c r="D121" i="401" s="1"/>
  <c r="D118" i="401" a="1"/>
  <c r="D118" i="401" s="1"/>
  <c r="D114" i="401" a="1"/>
  <c r="D114" i="401" s="1"/>
  <c r="I114" i="401" s="1"/>
  <c r="D110" i="401" a="1"/>
  <c r="D110" i="401" s="1"/>
  <c r="I110" i="401" s="1"/>
  <c r="D106" i="401" a="1"/>
  <c r="D106" i="401" s="1"/>
  <c r="I106" i="401" s="1"/>
  <c r="D102" i="401" a="1"/>
  <c r="D102" i="401" s="1"/>
  <c r="I102" i="401" s="1"/>
  <c r="D98" i="401" a="1"/>
  <c r="D98" i="401" s="1"/>
  <c r="I98" i="401" s="1"/>
  <c r="D94" i="401" a="1"/>
  <c r="D94" i="401" s="1"/>
  <c r="D86" i="401" a="1"/>
  <c r="D86" i="401" s="1"/>
  <c r="D80" i="401" a="1"/>
  <c r="D80" i="401" s="1"/>
  <c r="I80" i="401" s="1"/>
  <c r="D72" i="401" a="1"/>
  <c r="D72" i="401" s="1"/>
  <c r="D70" i="401" a="1"/>
  <c r="D70" i="401" s="1"/>
  <c r="D68" i="401" a="1"/>
  <c r="D68" i="401" s="1"/>
  <c r="D65" i="401" a="1"/>
  <c r="D65" i="401" s="1"/>
  <c r="D60" i="401" a="1"/>
  <c r="D60" i="401" s="1"/>
  <c r="D57" i="401" a="1"/>
  <c r="D57" i="401" s="1"/>
  <c r="D55" i="401" a="1"/>
  <c r="D55" i="401" s="1"/>
  <c r="H55" i="401" s="1"/>
  <c r="D45" i="401" a="1"/>
  <c r="D45" i="401" s="1"/>
  <c r="I45" i="401" s="1"/>
  <c r="D42" i="401" a="1"/>
  <c r="D42" i="401" s="1"/>
  <c r="I42" i="401" s="1"/>
  <c r="D38" i="401" a="1"/>
  <c r="D38" i="401" s="1"/>
  <c r="D35" i="401" a="1"/>
  <c r="D35" i="401" s="1"/>
  <c r="D31" i="401" a="1"/>
  <c r="D31" i="401" s="1"/>
  <c r="I31" i="401" s="1"/>
  <c r="D17" i="401" a="1"/>
  <c r="D17" i="401" s="1"/>
  <c r="D13" i="401" a="1"/>
  <c r="D13" i="401" s="1"/>
  <c r="D175" i="401" a="1"/>
  <c r="D175" i="401" s="1"/>
  <c r="D162" i="401" a="1"/>
  <c r="D162" i="401" s="1"/>
  <c r="D156" i="401" a="1"/>
  <c r="D156" i="401" s="1"/>
  <c r="I156" i="401" s="1"/>
  <c r="D145" i="401" a="1"/>
  <c r="D145" i="401" s="1"/>
  <c r="D141" i="401" a="1"/>
  <c r="D141" i="401" s="1"/>
  <c r="D137" i="401" a="1"/>
  <c r="D137" i="401" s="1"/>
  <c r="I137" i="401" s="1"/>
  <c r="D130" i="401" a="1"/>
  <c r="D130" i="401" s="1"/>
  <c r="I130" i="401" s="1"/>
  <c r="D123" i="401" a="1"/>
  <c r="D123" i="401" s="1"/>
  <c r="I123" i="401" s="1"/>
  <c r="D116" i="401" a="1"/>
  <c r="D116" i="401" s="1"/>
  <c r="I116" i="401" s="1"/>
  <c r="D109" i="401" a="1"/>
  <c r="D109" i="401" s="1"/>
  <c r="D107" i="401" a="1"/>
  <c r="D107" i="401" s="1"/>
  <c r="I107" i="401" s="1"/>
  <c r="D100" i="401" a="1"/>
  <c r="D100" i="401" s="1"/>
  <c r="D96" i="401" a="1"/>
  <c r="D96" i="401" s="1"/>
  <c r="I96" i="401" s="1"/>
  <c r="D95" i="401" a="1"/>
  <c r="D95" i="401" s="1"/>
  <c r="D90" i="401" a="1"/>
  <c r="D90" i="401" s="1"/>
  <c r="D89" i="401" a="1"/>
  <c r="D89" i="401" s="1"/>
  <c r="D84" i="401" a="1"/>
  <c r="D84" i="401" s="1"/>
  <c r="D67" i="401" a="1"/>
  <c r="D67" i="401" s="1"/>
  <c r="D56" i="401" a="1"/>
  <c r="D56" i="401" s="1"/>
  <c r="D52" i="401" a="1"/>
  <c r="D52" i="401" s="1"/>
  <c r="D43" i="401" a="1"/>
  <c r="D43" i="401" s="1"/>
  <c r="I43" i="401" s="1"/>
  <c r="D33" i="401" a="1"/>
  <c r="D33" i="401" s="1"/>
  <c r="D22" i="401" a="1"/>
  <c r="D22" i="401" s="1"/>
  <c r="D20" i="401" a="1"/>
  <c r="D20" i="401" s="1"/>
  <c r="I20" i="401" s="1"/>
  <c r="D12" i="401" a="1"/>
  <c r="D12" i="401" s="1"/>
  <c r="D159" i="401" a="1"/>
  <c r="D159" i="401" s="1"/>
  <c r="D158" i="401" a="1"/>
  <c r="D158" i="401" s="1"/>
  <c r="D134" i="401" a="1"/>
  <c r="D134" i="401" s="1"/>
  <c r="I134" i="401" s="1"/>
  <c r="D127" i="401" a="1"/>
  <c r="D127" i="401" s="1"/>
  <c r="D120" i="401" a="1"/>
  <c r="D120" i="401" s="1"/>
  <c r="I120" i="401" s="1"/>
  <c r="D113" i="401" a="1"/>
  <c r="D113" i="401" s="1"/>
  <c r="I113" i="401" s="1"/>
  <c r="D111" i="401" a="1"/>
  <c r="D111" i="401" s="1"/>
  <c r="I111" i="401" s="1"/>
  <c r="D104" i="401" a="1"/>
  <c r="D104" i="401" s="1"/>
  <c r="D97" i="401" a="1"/>
  <c r="D97" i="401" s="1"/>
  <c r="I97" i="401" s="1"/>
  <c r="D92" i="401" a="1"/>
  <c r="D92" i="401" s="1"/>
  <c r="I92" i="401" s="1"/>
  <c r="D88" i="401" a="1"/>
  <c r="D88" i="401" s="1"/>
  <c r="D74" i="401" a="1"/>
  <c r="D74" i="401" s="1"/>
  <c r="D69" i="401" a="1"/>
  <c r="D69" i="401" s="1"/>
  <c r="D64" i="401" a="1"/>
  <c r="D64" i="401" s="1"/>
  <c r="I64" i="401" s="1"/>
  <c r="D63" i="401" a="1"/>
  <c r="D63" i="401" s="1"/>
  <c r="D59" i="401" a="1"/>
  <c r="D59" i="401" s="1"/>
  <c r="H59" i="401" s="1"/>
  <c r="D58" i="401" a="1"/>
  <c r="D58" i="401" s="1"/>
  <c r="D40" i="401" a="1"/>
  <c r="D40" i="401" s="1"/>
  <c r="I40" i="401" s="1"/>
  <c r="D28" i="401" a="1"/>
  <c r="D28" i="401" s="1"/>
  <c r="D26" i="401" a="1"/>
  <c r="D26" i="401" s="1"/>
  <c r="I26" i="401" s="1"/>
  <c r="D14" i="401" a="1"/>
  <c r="D14" i="401" s="1"/>
  <c r="I14" i="401" s="1"/>
  <c r="D161" i="401" a="1"/>
  <c r="D161" i="401" s="1"/>
  <c r="I161" i="401" s="1"/>
  <c r="D155" i="401" a="1"/>
  <c r="D155" i="401" s="1"/>
  <c r="D135" i="401" a="1"/>
  <c r="D135" i="401" s="1"/>
  <c r="D126" i="401" a="1"/>
  <c r="D126" i="401" s="1"/>
  <c r="I126" i="401" s="1"/>
  <c r="D124" i="401" a="1"/>
  <c r="D124" i="401" s="1"/>
  <c r="I124" i="401" s="1"/>
  <c r="D122" i="401" a="1"/>
  <c r="D122" i="401" s="1"/>
  <c r="I122" i="401" s="1"/>
  <c r="D103" i="401" a="1"/>
  <c r="D103" i="401" s="1"/>
  <c r="I103" i="401" s="1"/>
  <c r="D101" i="401" a="1"/>
  <c r="D101" i="401" s="1"/>
  <c r="I101" i="401" s="1"/>
  <c r="D99" i="401" a="1"/>
  <c r="D99" i="401" s="1"/>
  <c r="I99" i="401" s="1"/>
  <c r="D93" i="401" a="1"/>
  <c r="D93" i="401" s="1"/>
  <c r="I93" i="401" s="1"/>
  <c r="D73" i="401" a="1"/>
  <c r="D73" i="401" s="1"/>
  <c r="I73" i="401" s="1"/>
  <c r="D71" i="401" a="1"/>
  <c r="D71" i="401" s="1"/>
  <c r="D62" i="401" a="1"/>
  <c r="D62" i="401" s="1"/>
  <c r="D18" i="401" a="1"/>
  <c r="D18" i="401" s="1"/>
  <c r="I18" i="401" s="1"/>
  <c r="D16" i="401" a="1"/>
  <c r="D16" i="401" s="1"/>
  <c r="I16" i="401" s="1"/>
  <c r="D142" i="401" a="1"/>
  <c r="D142" i="401" s="1"/>
  <c r="I142" i="401" s="1"/>
  <c r="D140" i="401" a="1"/>
  <c r="D140" i="401" s="1"/>
  <c r="D119" i="401" a="1"/>
  <c r="D119" i="401" s="1"/>
  <c r="I119" i="401" s="1"/>
  <c r="D117" i="401" a="1"/>
  <c r="D117" i="401" s="1"/>
  <c r="I117" i="401" s="1"/>
  <c r="D115" i="401" a="1"/>
  <c r="D115" i="401" s="1"/>
  <c r="I115" i="401" s="1"/>
  <c r="D108" i="401" a="1"/>
  <c r="D108" i="401" s="1"/>
  <c r="D105" i="401" a="1"/>
  <c r="D105" i="401" s="1"/>
  <c r="D87" i="401" a="1"/>
  <c r="D87" i="401" s="1"/>
  <c r="D85" i="401" a="1"/>
  <c r="D85" i="401" s="1"/>
  <c r="I85" i="401" s="1"/>
  <c r="D83" i="401" a="1"/>
  <c r="D83" i="401" s="1"/>
  <c r="I83" i="401" s="1"/>
  <c r="D81" i="401" a="1"/>
  <c r="D81" i="401" s="1"/>
  <c r="I81" i="401" s="1"/>
  <c r="D79" i="401" a="1"/>
  <c r="D79" i="401" s="1"/>
  <c r="D66" i="401" a="1"/>
  <c r="D66" i="401" s="1"/>
  <c r="D34" i="401" a="1"/>
  <c r="D34" i="401" s="1"/>
  <c r="I34" i="401" s="1"/>
  <c r="D30" i="401" a="1"/>
  <c r="D30" i="401" s="1"/>
  <c r="D10" i="401" a="1"/>
  <c r="D10" i="401" s="1"/>
  <c r="D82" i="401" a="1"/>
  <c r="D82" i="401" s="1"/>
  <c r="D53" i="401" a="1"/>
  <c r="D53" i="401" s="1"/>
  <c r="D39" i="401" a="1"/>
  <c r="D39" i="401" s="1"/>
  <c r="D37" i="401" a="1"/>
  <c r="D37" i="401" s="1"/>
  <c r="D163" i="401" a="1"/>
  <c r="D163" i="401" s="1"/>
  <c r="I163" i="401" s="1"/>
  <c r="D133" i="401" a="1"/>
  <c r="D133" i="401" s="1"/>
  <c r="D131" i="401" a="1"/>
  <c r="D131" i="401" s="1"/>
  <c r="I131" i="401" s="1"/>
  <c r="D129" i="401" a="1"/>
  <c r="D129" i="401" s="1"/>
  <c r="I129" i="401" s="1"/>
  <c r="D112" i="401" a="1"/>
  <c r="D112" i="401" s="1"/>
  <c r="D91" i="401" a="1"/>
  <c r="D91" i="401" s="1"/>
  <c r="I91" i="401" s="1"/>
  <c r="D61" i="401" a="1"/>
  <c r="D61" i="401" s="1"/>
  <c r="D54" i="401" a="1"/>
  <c r="D54" i="401" s="1"/>
  <c r="I54" i="401" s="1"/>
  <c r="D44" i="401" a="1"/>
  <c r="D44" i="401" s="1"/>
  <c r="D41" i="401" a="1"/>
  <c r="D41" i="401" s="1"/>
  <c r="D23" i="401" a="1"/>
  <c r="D23" i="401" s="1"/>
  <c r="I37" i="399"/>
  <c r="I28" i="398"/>
  <c r="I16" i="398"/>
  <c r="D15" i="398"/>
  <c r="I15" i="398" s="1"/>
  <c r="C147" i="394"/>
  <c r="C165" i="394" s="1"/>
  <c r="C178" i="394" s="1"/>
  <c r="I26" i="398"/>
  <c r="I20" i="397"/>
  <c r="D162" i="408" a="1"/>
  <c r="D162" i="408" s="1"/>
  <c r="D158" i="408" a="1"/>
  <c r="D158" i="408" s="1"/>
  <c r="I158" i="408" s="1"/>
  <c r="D135" i="408" a="1"/>
  <c r="D135" i="408" s="1"/>
  <c r="I135" i="408" s="1"/>
  <c r="D131" i="408" a="1"/>
  <c r="D131" i="408" s="1"/>
  <c r="D127" i="408" a="1"/>
  <c r="D127" i="408" s="1"/>
  <c r="I127" i="408" s="1"/>
  <c r="D124" i="408" a="1"/>
  <c r="D124" i="408" s="1"/>
  <c r="I124" i="408" s="1"/>
  <c r="D120" i="408" a="1"/>
  <c r="D120" i="408" s="1"/>
  <c r="I120" i="408" s="1"/>
  <c r="D116" i="408" a="1"/>
  <c r="D116" i="408" s="1"/>
  <c r="I116" i="408" s="1"/>
  <c r="D112" i="408" a="1"/>
  <c r="D112" i="408" s="1"/>
  <c r="I112" i="408" s="1"/>
  <c r="D108" i="408" a="1"/>
  <c r="D108" i="408" s="1"/>
  <c r="I108" i="408" s="1"/>
  <c r="D104" i="408" a="1"/>
  <c r="D104" i="408" s="1"/>
  <c r="I104" i="408" s="1"/>
  <c r="D100" i="408" a="1"/>
  <c r="D100" i="408" s="1"/>
  <c r="I100" i="408" s="1"/>
  <c r="D93" i="408" a="1"/>
  <c r="D93" i="408" s="1"/>
  <c r="I93" i="408" s="1"/>
  <c r="D90" i="408" a="1"/>
  <c r="D90" i="408" s="1"/>
  <c r="D87" i="408" a="1"/>
  <c r="D87" i="408" s="1"/>
  <c r="I87" i="408" s="1"/>
  <c r="D84" i="408" a="1"/>
  <c r="D84" i="408" s="1"/>
  <c r="D80" i="408" a="1"/>
  <c r="D80" i="408" s="1"/>
  <c r="I80" i="408" s="1"/>
  <c r="D74" i="408" a="1"/>
  <c r="D74" i="408" s="1"/>
  <c r="I74" i="408" s="1"/>
  <c r="D67" i="408" a="1"/>
  <c r="D67" i="408" s="1"/>
  <c r="H67" i="408" s="1"/>
  <c r="D63" i="408" a="1"/>
  <c r="D63" i="408" s="1"/>
  <c r="D61" i="408" a="1"/>
  <c r="D61" i="408" s="1"/>
  <c r="H61" i="408" s="1"/>
  <c r="D57" i="408" a="1"/>
  <c r="D57" i="408" s="1"/>
  <c r="D55" i="408" a="1"/>
  <c r="D55" i="408" s="1"/>
  <c r="H55" i="408" s="1"/>
  <c r="D45" i="408" a="1"/>
  <c r="D45" i="408" s="1"/>
  <c r="D42" i="408" a="1"/>
  <c r="D42" i="408" s="1"/>
  <c r="I42" i="408" s="1"/>
  <c r="D38" i="408" a="1"/>
  <c r="D38" i="408" s="1"/>
  <c r="D35" i="408" a="1"/>
  <c r="D35" i="408" s="1"/>
  <c r="I35" i="408" s="1"/>
  <c r="D31" i="408" a="1"/>
  <c r="D31" i="408"/>
  <c r="I31" i="408" s="1"/>
  <c r="D23" i="408" a="1"/>
  <c r="D23" i="408" s="1"/>
  <c r="I23" i="408" s="1"/>
  <c r="D16" i="408" a="1"/>
  <c r="D16" i="408" s="1"/>
  <c r="D13" i="408" a="1"/>
  <c r="D13" i="408" s="1"/>
  <c r="D175" i="408" a="1"/>
  <c r="D175" i="408" s="1"/>
  <c r="D159" i="408" a="1"/>
  <c r="D159" i="408" s="1"/>
  <c r="I159" i="408" s="1"/>
  <c r="D155" i="408" a="1"/>
  <c r="D155" i="408" s="1"/>
  <c r="D145" i="408" a="1"/>
  <c r="D145" i="408" s="1"/>
  <c r="I145" i="408" s="1"/>
  <c r="D141" i="408" a="1"/>
  <c r="D141" i="408" s="1"/>
  <c r="I141" i="408" s="1"/>
  <c r="D136" i="408" a="1"/>
  <c r="D136" i="408" s="1"/>
  <c r="D132" i="408" a="1"/>
  <c r="D132" i="408" s="1"/>
  <c r="I132" i="408" s="1"/>
  <c r="D128" i="408" a="1"/>
  <c r="D128" i="408" s="1"/>
  <c r="I128" i="408" s="1"/>
  <c r="D125" i="408" a="1"/>
  <c r="D125" i="408" s="1"/>
  <c r="D121" i="408" a="1"/>
  <c r="D121" i="408" s="1"/>
  <c r="D117" i="408" a="1"/>
  <c r="D117" i="408" s="1"/>
  <c r="I117" i="408" s="1"/>
  <c r="D113" i="408" a="1"/>
  <c r="D113" i="408" s="1"/>
  <c r="I113" i="408" s="1"/>
  <c r="D109" i="408" a="1"/>
  <c r="D109" i="408" s="1"/>
  <c r="I109" i="408" s="1"/>
  <c r="D105" i="408" a="1"/>
  <c r="D105" i="408" s="1"/>
  <c r="I105" i="408" s="1"/>
  <c r="D101" i="408" a="1"/>
  <c r="D101" i="408" s="1"/>
  <c r="I101" i="408" s="1"/>
  <c r="D97" i="408" a="1"/>
  <c r="D97" i="408" s="1"/>
  <c r="I97" i="408" s="1"/>
  <c r="D94" i="408" a="1"/>
  <c r="D94" i="408" s="1"/>
  <c r="I94" i="408" s="1"/>
  <c r="D88" i="408" a="1"/>
  <c r="D88" i="408" s="1"/>
  <c r="I88" i="408" s="1"/>
  <c r="D85" i="408" a="1"/>
  <c r="D85" i="408" s="1"/>
  <c r="I85" i="408" s="1"/>
  <c r="D81" i="408" a="1"/>
  <c r="D81" i="408" s="1"/>
  <c r="I81" i="408" s="1"/>
  <c r="D72" i="408" a="1"/>
  <c r="D72" i="408" s="1"/>
  <c r="I72" i="408" s="1"/>
  <c r="D70" i="408" a="1"/>
  <c r="D70" i="408" s="1"/>
  <c r="D68" i="408" a="1"/>
  <c r="D68" i="408" s="1"/>
  <c r="D58" i="408" a="1"/>
  <c r="D58" i="408" s="1"/>
  <c r="D53" i="408" a="1"/>
  <c r="D53" i="408" s="1"/>
  <c r="D43" i="408" a="1"/>
  <c r="D43" i="408" s="1"/>
  <c r="I43" i="408" s="1"/>
  <c r="D39" i="408" a="1"/>
  <c r="D39" i="408" s="1"/>
  <c r="D28" i="408" a="1"/>
  <c r="D28" i="408" s="1"/>
  <c r="D20" i="408" a="1"/>
  <c r="D20" i="408" s="1"/>
  <c r="D17" i="408" a="1"/>
  <c r="D17" i="408" s="1"/>
  <c r="I17" i="408" s="1"/>
  <c r="D14" i="408" a="1"/>
  <c r="D14" i="408" s="1"/>
  <c r="D10" i="408" a="1"/>
  <c r="D10" i="408" s="1"/>
  <c r="D163" i="408" a="1"/>
  <c r="D163" i="408" s="1"/>
  <c r="I163" i="408" s="1"/>
  <c r="D160" i="408" a="1"/>
  <c r="D160" i="408" s="1"/>
  <c r="I160" i="408" s="1"/>
  <c r="D156" i="408" a="1"/>
  <c r="D156" i="408" s="1"/>
  <c r="D142" i="408" a="1"/>
  <c r="D142" i="408" s="1"/>
  <c r="I142" i="408" s="1"/>
  <c r="D137" i="408" a="1"/>
  <c r="D137" i="408" s="1"/>
  <c r="I137" i="408" s="1"/>
  <c r="D133" i="408" a="1"/>
  <c r="D133" i="408" s="1"/>
  <c r="I133" i="408" s="1"/>
  <c r="D129" i="408" a="1"/>
  <c r="D129" i="408" s="1"/>
  <c r="D122" i="408" a="1"/>
  <c r="D122" i="408" s="1"/>
  <c r="I122" i="408" s="1"/>
  <c r="D118" i="408" a="1"/>
  <c r="D118" i="408" s="1"/>
  <c r="I118" i="408" s="1"/>
  <c r="D114" i="408" a="1"/>
  <c r="D114" i="408" s="1"/>
  <c r="I114" i="408" s="1"/>
  <c r="D110" i="408" a="1"/>
  <c r="D110" i="408" s="1"/>
  <c r="I110" i="408" s="1"/>
  <c r="D106" i="408" a="1"/>
  <c r="D106" i="408" s="1"/>
  <c r="I106" i="408" s="1"/>
  <c r="D102" i="408" a="1"/>
  <c r="D102" i="408" s="1"/>
  <c r="I102" i="408" s="1"/>
  <c r="D98" i="408" a="1"/>
  <c r="D98" i="408" s="1"/>
  <c r="D95" i="408" a="1"/>
  <c r="D95" i="408" s="1"/>
  <c r="I95" i="408" s="1"/>
  <c r="D91" i="408" a="1"/>
  <c r="D91" i="408" s="1"/>
  <c r="I91" i="408" s="1"/>
  <c r="D89" i="408" a="1"/>
  <c r="D89" i="408" s="1"/>
  <c r="D86" i="408" a="1"/>
  <c r="D86" i="408" s="1"/>
  <c r="D82" i="408" a="1"/>
  <c r="D82" i="408" s="1"/>
  <c r="I82" i="408" s="1"/>
  <c r="D64" i="408" a="1"/>
  <c r="D64" i="408" s="1"/>
  <c r="I64" i="408" s="1"/>
  <c r="D62" i="408" a="1"/>
  <c r="D62" i="408" s="1"/>
  <c r="D59" i="408" a="1"/>
  <c r="D59" i="408" s="1"/>
  <c r="D56" i="408" a="1"/>
  <c r="D56" i="408" s="1"/>
  <c r="D44" i="408" a="1"/>
  <c r="D44" i="408" s="1"/>
  <c r="D40" i="408" a="1"/>
  <c r="D40" i="408" s="1"/>
  <c r="I40" i="408" s="1"/>
  <c r="D33" i="408" a="1"/>
  <c r="D33" i="408" s="1"/>
  <c r="D161" i="408" a="1"/>
  <c r="D161" i="408" s="1"/>
  <c r="I161" i="408" s="1"/>
  <c r="D157" i="408" a="1"/>
  <c r="D157" i="408" s="1"/>
  <c r="I157" i="408" s="1"/>
  <c r="D143" i="408" a="1"/>
  <c r="D143" i="408" s="1"/>
  <c r="D140" i="408" a="1"/>
  <c r="D140" i="408" s="1"/>
  <c r="D134" i="408" a="1"/>
  <c r="D134" i="408" s="1"/>
  <c r="D130" i="408" a="1"/>
  <c r="D130" i="408" s="1"/>
  <c r="D126" i="408" a="1"/>
  <c r="D126" i="408" s="1"/>
  <c r="I126" i="408" s="1"/>
  <c r="D123" i="408" a="1"/>
  <c r="D123" i="408" s="1"/>
  <c r="D119" i="408" a="1"/>
  <c r="D119" i="408" s="1"/>
  <c r="I119" i="408" s="1"/>
  <c r="D115" i="408" a="1"/>
  <c r="D115" i="408" s="1"/>
  <c r="I115" i="408" s="1"/>
  <c r="D111" i="408" a="1"/>
  <c r="D111" i="408" s="1"/>
  <c r="D107" i="408" a="1"/>
  <c r="D107" i="408" s="1"/>
  <c r="I107" i="408" s="1"/>
  <c r="D103" i="408" a="1"/>
  <c r="D103" i="408" s="1"/>
  <c r="I103" i="408" s="1"/>
  <c r="D99" i="408" a="1"/>
  <c r="D99" i="408" s="1"/>
  <c r="I99" i="408" s="1"/>
  <c r="D96" i="408" a="1"/>
  <c r="D96" i="408" s="1"/>
  <c r="I96" i="408" s="1"/>
  <c r="D92" i="408" a="1"/>
  <c r="D92" i="408" s="1"/>
  <c r="I92" i="408" s="1"/>
  <c r="D83" i="408" a="1"/>
  <c r="D83" i="408" s="1"/>
  <c r="I83" i="408" s="1"/>
  <c r="D79" i="408" a="1"/>
  <c r="D79" i="408" s="1"/>
  <c r="D73" i="408" a="1"/>
  <c r="D73" i="408" s="1"/>
  <c r="I73" i="408" s="1"/>
  <c r="D71" i="408" a="1"/>
  <c r="D71" i="408" s="1"/>
  <c r="D69" i="408" a="1"/>
  <c r="D69" i="408" s="1"/>
  <c r="D66" i="408" a="1"/>
  <c r="D66" i="408" s="1"/>
  <c r="I66" i="408" s="1"/>
  <c r="D65" i="408" a="1"/>
  <c r="D65" i="408" s="1"/>
  <c r="D60" i="408" a="1"/>
  <c r="D60" i="408" s="1"/>
  <c r="I60" i="408" s="1"/>
  <c r="D54" i="408" a="1"/>
  <c r="D54" i="408" s="1"/>
  <c r="I54" i="408" s="1"/>
  <c r="D52" i="408" a="1"/>
  <c r="D52" i="408" s="1"/>
  <c r="D41" i="408" a="1"/>
  <c r="D41" i="408" s="1"/>
  <c r="I41" i="408" s="1"/>
  <c r="D37" i="408" a="1"/>
  <c r="D37" i="408" s="1"/>
  <c r="D34" i="408" a="1"/>
  <c r="D34" i="408" s="1"/>
  <c r="I34" i="408" s="1"/>
  <c r="D30" i="408" a="1"/>
  <c r="D30" i="408" s="1"/>
  <c r="D26" i="408" a="1"/>
  <c r="D26" i="408" s="1"/>
  <c r="D22" i="408" a="1"/>
  <c r="D22" i="408" s="1"/>
  <c r="D18" i="408" a="1"/>
  <c r="D18" i="408" s="1"/>
  <c r="I18" i="408" s="1"/>
  <c r="D12" i="408" a="1"/>
  <c r="D12" i="408" s="1"/>
  <c r="D163" i="360" a="1"/>
  <c r="D163" i="360" s="1"/>
  <c r="D158" i="360" a="1"/>
  <c r="D158" i="360" s="1"/>
  <c r="D140" i="360" a="1"/>
  <c r="D140" i="360" s="1"/>
  <c r="D137" i="360" a="1"/>
  <c r="D137" i="360" s="1"/>
  <c r="D133" i="360" a="1"/>
  <c r="D133" i="360" s="1"/>
  <c r="I133" i="360" s="1"/>
  <c r="D129" i="360" a="1"/>
  <c r="D129" i="360" s="1"/>
  <c r="D123" i="360" a="1"/>
  <c r="D123" i="360" s="1"/>
  <c r="I123" i="360" s="1"/>
  <c r="D119" i="360" a="1"/>
  <c r="D119" i="360" s="1"/>
  <c r="I119" i="360" s="1"/>
  <c r="D115" i="360" a="1"/>
  <c r="D115" i="360" s="1"/>
  <c r="I115" i="360" s="1"/>
  <c r="D113" i="360" a="1"/>
  <c r="D113" i="360" s="1"/>
  <c r="D106" i="360" a="1"/>
  <c r="D106" i="360" s="1"/>
  <c r="D103" i="360" a="1"/>
  <c r="D103" i="360" s="1"/>
  <c r="D95" i="360" a="1"/>
  <c r="D95" i="360" s="1"/>
  <c r="D92" i="360" a="1"/>
  <c r="D92" i="360" s="1"/>
  <c r="I92" i="360" s="1"/>
  <c r="D87" i="360" a="1"/>
  <c r="D87" i="360" s="1"/>
  <c r="D81" i="360" a="1"/>
  <c r="D81" i="360" s="1"/>
  <c r="D65" i="360" a="1"/>
  <c r="D65" i="360" s="1"/>
  <c r="H65" i="360" s="1"/>
  <c r="D62" i="360" a="1"/>
  <c r="D62" i="360" s="1"/>
  <c r="D59" i="360" a="1"/>
  <c r="D59" i="360" s="1"/>
  <c r="I59" i="360" s="1"/>
  <c r="D54" i="360" a="1"/>
  <c r="D54" i="360" s="1"/>
  <c r="D52" i="360" a="1"/>
  <c r="D52" i="360" s="1"/>
  <c r="D44" i="360" a="1"/>
  <c r="D44" i="360" s="1"/>
  <c r="I44" i="360" s="1"/>
  <c r="D37" i="360" a="1"/>
  <c r="D37" i="360" s="1"/>
  <c r="D34" i="360" a="1"/>
  <c r="D34" i="360" s="1"/>
  <c r="D30" i="360" a="1"/>
  <c r="D30" i="360" s="1"/>
  <c r="D31" i="360" a="1"/>
  <c r="D31" i="360" s="1"/>
  <c r="I31" i="360" s="1"/>
  <c r="D26" i="360" a="1"/>
  <c r="D26" i="360" s="1"/>
  <c r="H26" i="360" s="1"/>
  <c r="D22" i="360" a="1"/>
  <c r="D22" i="360" s="1"/>
  <c r="D18" i="360" a="1"/>
  <c r="D18" i="360" s="1"/>
  <c r="D12" i="360" a="1"/>
  <c r="D12" i="360" s="1"/>
  <c r="I12" i="360" s="1"/>
  <c r="D175" i="360" a="1"/>
  <c r="D175" i="360" s="1"/>
  <c r="D161" i="360" a="1"/>
  <c r="D161" i="360" s="1"/>
  <c r="D155" i="360" a="1"/>
  <c r="D155" i="360" s="1"/>
  <c r="D145" i="360" a="1"/>
  <c r="D145" i="360" s="1"/>
  <c r="D141" i="360" a="1"/>
  <c r="D141" i="360" s="1"/>
  <c r="D134" i="360" a="1"/>
  <c r="D134" i="360" s="1"/>
  <c r="D130" i="360" a="1"/>
  <c r="D130" i="360" s="1"/>
  <c r="D126" i="360" a="1"/>
  <c r="D126" i="360" s="1"/>
  <c r="H126" i="360" s="1"/>
  <c r="D124" i="360" a="1"/>
  <c r="D124" i="360" s="1"/>
  <c r="D120" i="360" a="1"/>
  <c r="D120" i="360" s="1"/>
  <c r="D116" i="360" a="1"/>
  <c r="D116" i="360" s="1"/>
  <c r="D110" i="360" a="1"/>
  <c r="D110" i="360" s="1"/>
  <c r="D107" i="360" a="1"/>
  <c r="D107" i="360" s="1"/>
  <c r="I107" i="360" s="1"/>
  <c r="D101" i="360" a="1"/>
  <c r="D101" i="360" s="1"/>
  <c r="H101" i="360" s="1"/>
  <c r="D99" i="360" a="1"/>
  <c r="D99" i="360" s="1"/>
  <c r="I99" i="360" s="1"/>
  <c r="D96" i="360" a="1"/>
  <c r="D96" i="360" s="1"/>
  <c r="D93" i="360" a="1"/>
  <c r="D93" i="360" s="1"/>
  <c r="I93" i="360" s="1"/>
  <c r="D90" i="360" a="1"/>
  <c r="D90" i="360" s="1"/>
  <c r="H90" i="360" s="1"/>
  <c r="D88" i="360" a="1"/>
  <c r="D88" i="360" s="1"/>
  <c r="H88" i="360" s="1"/>
  <c r="D85" i="360" a="1"/>
  <c r="D85" i="360" s="1"/>
  <c r="D84" i="360" a="1"/>
  <c r="D84" i="360" s="1"/>
  <c r="I84" i="360" s="1"/>
  <c r="D79" i="360" a="1"/>
  <c r="D79" i="360" s="1"/>
  <c r="D73" i="360" a="1"/>
  <c r="D73" i="360" s="1"/>
  <c r="H73" i="360" s="1"/>
  <c r="D71" i="360" a="1"/>
  <c r="D71" i="360" s="1"/>
  <c r="D69" i="360" a="1"/>
  <c r="D69" i="360" s="1"/>
  <c r="H69" i="360" s="1"/>
  <c r="D66" i="360" a="1"/>
  <c r="D66" i="360" s="1"/>
  <c r="D60" i="360" a="1"/>
  <c r="D60" i="360" s="1"/>
  <c r="I60" i="360" s="1"/>
  <c r="D57" i="360" a="1"/>
  <c r="D57" i="360" s="1"/>
  <c r="I57" i="360" s="1"/>
  <c r="D55" i="360" a="1"/>
  <c r="D55" i="360" s="1"/>
  <c r="D45" i="360" a="1"/>
  <c r="D45" i="360" s="1"/>
  <c r="D41" i="360" a="1"/>
  <c r="D41" i="360" s="1"/>
  <c r="D38" i="360" a="1"/>
  <c r="D38" i="360" s="1"/>
  <c r="D35" i="360" a="1"/>
  <c r="D35" i="360" s="1"/>
  <c r="I35" i="360" s="1"/>
  <c r="D23" i="360" a="1"/>
  <c r="D23" i="360" s="1"/>
  <c r="D16" i="360" a="1"/>
  <c r="D16" i="360" s="1"/>
  <c r="D13" i="360" a="1"/>
  <c r="D13" i="360" s="1"/>
  <c r="I13" i="360" s="1"/>
  <c r="D160" i="360" a="1"/>
  <c r="D160" i="360" s="1"/>
  <c r="D143" i="360" a="1"/>
  <c r="D143" i="360" s="1"/>
  <c r="D136" i="360" a="1"/>
  <c r="D136" i="360" s="1"/>
  <c r="I136" i="360" s="1"/>
  <c r="D128" i="360" a="1"/>
  <c r="D128" i="360" s="1"/>
  <c r="D109" i="360" a="1"/>
  <c r="D109" i="360" s="1"/>
  <c r="D105" i="360" a="1"/>
  <c r="D105" i="360" s="1"/>
  <c r="D98" i="360" a="1"/>
  <c r="D98" i="360" s="1"/>
  <c r="D83" i="360" a="1"/>
  <c r="D83" i="360" s="1"/>
  <c r="I83" i="360" s="1"/>
  <c r="D80" i="360" a="1"/>
  <c r="D80" i="360" s="1"/>
  <c r="D68" i="360" a="1"/>
  <c r="D68" i="360" s="1"/>
  <c r="D33" i="360" a="1"/>
  <c r="D33" i="360" s="1"/>
  <c r="I33" i="360" s="1"/>
  <c r="D162" i="360" a="1"/>
  <c r="D162" i="360" s="1"/>
  <c r="I162" i="360" s="1"/>
  <c r="D159" i="360" a="1"/>
  <c r="D159" i="360" s="1"/>
  <c r="I159" i="360" s="1"/>
  <c r="D156" i="360" a="1"/>
  <c r="D156" i="360" s="1"/>
  <c r="I156" i="360" s="1"/>
  <c r="D142" i="360" a="1"/>
  <c r="D142" i="360" s="1"/>
  <c r="I142" i="360" s="1"/>
  <c r="D135" i="360" a="1"/>
  <c r="D135" i="360" s="1"/>
  <c r="I135" i="360" s="1"/>
  <c r="D131" i="360" a="1"/>
  <c r="D131" i="360" s="1"/>
  <c r="D127" i="360" a="1"/>
  <c r="D127" i="360" s="1"/>
  <c r="D121" i="360" a="1"/>
  <c r="D121" i="360" s="1"/>
  <c r="D117" i="360" a="1"/>
  <c r="D117" i="360" s="1"/>
  <c r="D114" i="360" a="1"/>
  <c r="D114" i="360" s="1"/>
  <c r="D111" i="360" a="1"/>
  <c r="D111" i="360" s="1"/>
  <c r="I111" i="360" s="1"/>
  <c r="D108" i="360" a="1"/>
  <c r="D108" i="360" s="1"/>
  <c r="I108" i="360" s="1"/>
  <c r="D104" i="360" a="1"/>
  <c r="D104" i="360" s="1"/>
  <c r="I104" i="360" s="1"/>
  <c r="D102" i="360" a="1"/>
  <c r="D102" i="360" s="1"/>
  <c r="I102" i="360" s="1"/>
  <c r="D97" i="360" a="1"/>
  <c r="D97" i="360" s="1"/>
  <c r="D94" i="360" a="1"/>
  <c r="D94" i="360" s="1"/>
  <c r="D86" i="360" a="1"/>
  <c r="D86" i="360" s="1"/>
  <c r="D82" i="360" a="1"/>
  <c r="D82" i="360" s="1"/>
  <c r="H82" i="360" s="1"/>
  <c r="D74" i="360" a="1"/>
  <c r="D74" i="360" s="1"/>
  <c r="D67" i="360" a="1"/>
  <c r="D67" i="360" s="1"/>
  <c r="I67" i="360" s="1"/>
  <c r="D63" i="360" a="1"/>
  <c r="D63" i="360" s="1"/>
  <c r="D61" i="360" a="1"/>
  <c r="D61" i="360" s="1"/>
  <c r="D58" i="360" a="1"/>
  <c r="D58" i="360" s="1"/>
  <c r="I58" i="360" s="1"/>
  <c r="D53" i="360" a="1"/>
  <c r="D53" i="360" s="1"/>
  <c r="D42" i="360" a="1"/>
  <c r="D42" i="360" s="1"/>
  <c r="I42" i="360" s="1"/>
  <c r="D39" i="360" a="1"/>
  <c r="D39" i="360" s="1"/>
  <c r="I39" i="360" s="1"/>
  <c r="D28" i="360" a="1"/>
  <c r="D28" i="360" s="1"/>
  <c r="D20" i="360" a="1"/>
  <c r="D20" i="360" s="1"/>
  <c r="H20" i="360" s="1"/>
  <c r="D14" i="360" a="1"/>
  <c r="D14" i="360" s="1"/>
  <c r="D10" i="360" a="1"/>
  <c r="D10" i="360" s="1"/>
  <c r="D64" i="360" a="1"/>
  <c r="D64" i="360" s="1"/>
  <c r="I64" i="360" s="1"/>
  <c r="D56" i="360" a="1"/>
  <c r="D56" i="360" s="1"/>
  <c r="D43" i="360" a="1"/>
  <c r="D43" i="360" s="1"/>
  <c r="I43" i="360" s="1"/>
  <c r="D40" i="360" a="1"/>
  <c r="D40" i="360" s="1"/>
  <c r="D17" i="360" a="1"/>
  <c r="D17" i="360" s="1"/>
  <c r="D157" i="360" a="1"/>
  <c r="D157" i="360" s="1"/>
  <c r="D132" i="360" a="1"/>
  <c r="D132" i="360" s="1"/>
  <c r="D125" i="360" a="1"/>
  <c r="D125" i="360" s="1"/>
  <c r="I125" i="360" s="1"/>
  <c r="D122" i="360" a="1"/>
  <c r="D122" i="360" s="1"/>
  <c r="D118" i="360" a="1"/>
  <c r="D118" i="360" s="1"/>
  <c r="I118" i="360" s="1"/>
  <c r="D112" i="360" a="1"/>
  <c r="D112" i="360" s="1"/>
  <c r="I112" i="360" s="1"/>
  <c r="D100" i="360" a="1"/>
  <c r="D100" i="360" s="1"/>
  <c r="H100" i="360" s="1"/>
  <c r="D91" i="360" a="1"/>
  <c r="D91" i="360" s="1"/>
  <c r="D89" i="360" a="1"/>
  <c r="D89" i="360" s="1"/>
  <c r="D72" i="360" a="1"/>
  <c r="D72" i="360" s="1"/>
  <c r="D70" i="360" a="1"/>
  <c r="D70" i="360" s="1"/>
  <c r="I70" i="360" s="1"/>
  <c r="I33" i="392"/>
  <c r="D161" i="396" a="1"/>
  <c r="D161" i="396" s="1"/>
  <c r="I161" i="396" s="1"/>
  <c r="D157" i="396" a="1"/>
  <c r="D157" i="396" s="1"/>
  <c r="D143" i="396" a="1"/>
  <c r="D143" i="396" s="1"/>
  <c r="D136" i="396" a="1"/>
  <c r="D136" i="396" s="1"/>
  <c r="I136" i="396" s="1"/>
  <c r="D132" i="396" a="1"/>
  <c r="D132" i="396" s="1"/>
  <c r="I132" i="396" s="1"/>
  <c r="D128" i="396" a="1"/>
  <c r="D128" i="396" s="1"/>
  <c r="I128" i="396" s="1"/>
  <c r="D125" i="396" a="1"/>
  <c r="D125" i="396" s="1"/>
  <c r="D121" i="396" a="1"/>
  <c r="D121" i="396" s="1"/>
  <c r="I121" i="396" s="1"/>
  <c r="D118" i="396" a="1"/>
  <c r="D118" i="396" s="1"/>
  <c r="D114" i="396" a="1"/>
  <c r="D114" i="396" s="1"/>
  <c r="I114" i="396" s="1"/>
  <c r="D108" i="396" a="1"/>
  <c r="D108" i="396" s="1"/>
  <c r="I108" i="396" s="1"/>
  <c r="D104" i="396" a="1"/>
  <c r="D104" i="396" s="1"/>
  <c r="I104" i="396" s="1"/>
  <c r="D100" i="396" a="1"/>
  <c r="D100" i="396" s="1"/>
  <c r="I100" i="396" s="1"/>
  <c r="D96" i="396" a="1"/>
  <c r="D96" i="396" s="1"/>
  <c r="I96" i="396" s="1"/>
  <c r="D93" i="396" a="1"/>
  <c r="D93" i="396" s="1"/>
  <c r="D90" i="396" a="1"/>
  <c r="D90" i="396"/>
  <c r="D88" i="396" a="1"/>
  <c r="D88" i="396" s="1"/>
  <c r="D74" i="396" a="1"/>
  <c r="D74" i="396" s="1"/>
  <c r="D67" i="396" a="1"/>
  <c r="D67" i="396" s="1"/>
  <c r="I67" i="396" s="1"/>
  <c r="D63" i="396" a="1"/>
  <c r="D63" i="396" s="1"/>
  <c r="D59" i="396" a="1"/>
  <c r="D59" i="396" s="1"/>
  <c r="I59" i="396" s="1"/>
  <c r="D56" i="396" a="1"/>
  <c r="D56" i="396" s="1"/>
  <c r="D53" i="396" a="1"/>
  <c r="D53" i="396" s="1"/>
  <c r="I53" i="396" s="1"/>
  <c r="D42" i="396" a="1"/>
  <c r="D42" i="396" s="1"/>
  <c r="I42" i="396" s="1"/>
  <c r="D38" i="396" a="1"/>
  <c r="D38" i="396" s="1"/>
  <c r="I38" i="396" s="1"/>
  <c r="D34" i="396" a="1"/>
  <c r="D34" i="396" s="1"/>
  <c r="I34" i="396" s="1"/>
  <c r="D26" i="396" a="1"/>
  <c r="D26" i="396" s="1"/>
  <c r="D160" i="396" a="1"/>
  <c r="D160" i="396" s="1"/>
  <c r="I160" i="396" s="1"/>
  <c r="D158" i="396" a="1"/>
  <c r="D158" i="396" s="1"/>
  <c r="I158" i="396" s="1"/>
  <c r="D134" i="396" a="1"/>
  <c r="D134" i="396" s="1"/>
  <c r="I134" i="396" s="1"/>
  <c r="D127" i="396" a="1"/>
  <c r="D127" i="396" s="1"/>
  <c r="I127" i="396" s="1"/>
  <c r="D120" i="396" a="1"/>
  <c r="D120" i="396" s="1"/>
  <c r="I120" i="396" s="1"/>
  <c r="D113" i="396" a="1"/>
  <c r="D113" i="396" s="1"/>
  <c r="I113" i="396" s="1"/>
  <c r="D112" i="396" a="1"/>
  <c r="D112" i="396" s="1"/>
  <c r="D107" i="396" a="1"/>
  <c r="D107" i="396" s="1"/>
  <c r="I107" i="396" s="1"/>
  <c r="D105" i="396" a="1"/>
  <c r="D105" i="396" s="1"/>
  <c r="I105" i="396" s="1"/>
  <c r="D98" i="396" a="1"/>
  <c r="D98" i="396" s="1"/>
  <c r="I98" i="396" s="1"/>
  <c r="D92" i="396" a="1"/>
  <c r="D92" i="396" s="1"/>
  <c r="I92" i="396" s="1"/>
  <c r="D87" i="396" a="1"/>
  <c r="D87" i="396" s="1"/>
  <c r="I87" i="396" s="1"/>
  <c r="D86" i="396" a="1"/>
  <c r="D86" i="396" s="1"/>
  <c r="D81" i="396" a="1"/>
  <c r="D81" i="396" s="1"/>
  <c r="I81" i="396" s="1"/>
  <c r="D69" i="396" a="1"/>
  <c r="D69" i="396" s="1"/>
  <c r="D68" i="396" a="1"/>
  <c r="D68" i="396" s="1"/>
  <c r="D61" i="396" a="1"/>
  <c r="D61" i="396" s="1"/>
  <c r="I61" i="396" s="1"/>
  <c r="D54" i="396" a="1"/>
  <c r="D54" i="396" s="1"/>
  <c r="I54" i="396" s="1"/>
  <c r="D41" i="396" a="1"/>
  <c r="D41" i="396" s="1"/>
  <c r="I41" i="396" s="1"/>
  <c r="D39" i="396" a="1"/>
  <c r="D39" i="396" s="1"/>
  <c r="D31" i="396" a="1"/>
  <c r="D31" i="396" s="1"/>
  <c r="I31" i="396" s="1"/>
  <c r="D22" i="396" a="1"/>
  <c r="D22" i="396" s="1"/>
  <c r="D18" i="396" a="1"/>
  <c r="D18" i="396" s="1"/>
  <c r="I18" i="396" s="1"/>
  <c r="D14" i="396" a="1"/>
  <c r="D14" i="396" s="1"/>
  <c r="I14" i="396" s="1"/>
  <c r="D10" i="396" a="1"/>
  <c r="D10" i="396" s="1"/>
  <c r="D163" i="396" a="1"/>
  <c r="D163" i="396" s="1"/>
  <c r="D156" i="396" a="1"/>
  <c r="D156" i="396" s="1"/>
  <c r="D145" i="396" a="1"/>
  <c r="D145" i="396" s="1"/>
  <c r="D144" i="396" s="1"/>
  <c r="D142" i="396" a="1"/>
  <c r="D142" i="396" s="1"/>
  <c r="I142" i="396" s="1"/>
  <c r="D135" i="396" a="1"/>
  <c r="D135" i="396" s="1"/>
  <c r="I135" i="396" s="1"/>
  <c r="D126" i="396" a="1"/>
  <c r="D126" i="396" s="1"/>
  <c r="D122" i="396" a="1"/>
  <c r="D122" i="396" s="1"/>
  <c r="I122" i="396" s="1"/>
  <c r="D117" i="396" a="1"/>
  <c r="D117" i="396" s="1"/>
  <c r="I117" i="396" s="1"/>
  <c r="D110" i="396" a="1"/>
  <c r="D110" i="396" s="1"/>
  <c r="D103" i="396" a="1"/>
  <c r="D103" i="396" s="1"/>
  <c r="I103" i="396" s="1"/>
  <c r="D97" i="396" a="1"/>
  <c r="D97" i="396" s="1"/>
  <c r="I97" i="396" s="1"/>
  <c r="D91" i="396" a="1"/>
  <c r="D91" i="396" s="1"/>
  <c r="I91" i="396" s="1"/>
  <c r="D83" i="396" a="1"/>
  <c r="D83" i="396" s="1"/>
  <c r="I83" i="396" s="1"/>
  <c r="D73" i="396" a="1"/>
  <c r="D73" i="396" s="1"/>
  <c r="I73" i="396" s="1"/>
  <c r="D71" i="396" a="1"/>
  <c r="D71" i="396" s="1"/>
  <c r="D70" i="396" a="1"/>
  <c r="D70" i="396" s="1"/>
  <c r="D66" i="396" a="1"/>
  <c r="D66" i="396" s="1"/>
  <c r="I66" i="396" s="1"/>
  <c r="D60" i="396" a="1"/>
  <c r="D60" i="396" s="1"/>
  <c r="I60" i="396" s="1"/>
  <c r="D40" i="396" a="1"/>
  <c r="D40" i="396" s="1"/>
  <c r="I40" i="396" s="1"/>
  <c r="D28" i="396" a="1"/>
  <c r="D28" i="396" s="1"/>
  <c r="D20" i="396" a="1"/>
  <c r="D20" i="396" s="1"/>
  <c r="I20" i="396" s="1"/>
  <c r="D16" i="396" a="1"/>
  <c r="D16" i="396" s="1"/>
  <c r="D12" i="396" a="1"/>
  <c r="D12" i="396" s="1"/>
  <c r="D155" i="396" a="1"/>
  <c r="D155" i="396" s="1"/>
  <c r="D141" i="396" a="1"/>
  <c r="D141" i="396" s="1"/>
  <c r="I141" i="396" s="1"/>
  <c r="D133" i="396" a="1"/>
  <c r="D133" i="396" s="1"/>
  <c r="I133" i="396" s="1"/>
  <c r="D129" i="396" a="1"/>
  <c r="D129" i="396" s="1"/>
  <c r="I129" i="396" s="1"/>
  <c r="D124" i="396" a="1"/>
  <c r="D124" i="396" s="1"/>
  <c r="D116" i="396" a="1"/>
  <c r="D116" i="396" s="1"/>
  <c r="I116" i="396" s="1"/>
  <c r="D106" i="396" a="1"/>
  <c r="D106" i="396" s="1"/>
  <c r="I106" i="396" s="1"/>
  <c r="D102" i="396" a="1"/>
  <c r="D102" i="396" s="1"/>
  <c r="I102" i="396" s="1"/>
  <c r="D95" i="396" a="1"/>
  <c r="D95" i="396" s="1"/>
  <c r="I95" i="396" s="1"/>
  <c r="D94" i="396" a="1"/>
  <c r="D94" i="396" s="1"/>
  <c r="D89" i="396" a="1"/>
  <c r="D89" i="396" s="1"/>
  <c r="D85" i="396" a="1"/>
  <c r="D85" i="396" s="1"/>
  <c r="D82" i="396" a="1"/>
  <c r="D82" i="396" s="1"/>
  <c r="D65" i="396" a="1"/>
  <c r="D65" i="396" s="1"/>
  <c r="I65" i="396" s="1"/>
  <c r="D58" i="396" a="1"/>
  <c r="D58" i="396" s="1"/>
  <c r="D43" i="396" a="1"/>
  <c r="D43" i="396" s="1"/>
  <c r="I43" i="396" s="1"/>
  <c r="D35" i="396" a="1"/>
  <c r="D35" i="396" s="1"/>
  <c r="I35" i="396" s="1"/>
  <c r="D162" i="396" a="1"/>
  <c r="D162" i="396" s="1"/>
  <c r="I162" i="396" s="1"/>
  <c r="D131" i="396" a="1"/>
  <c r="D131" i="396" s="1"/>
  <c r="I131" i="396" s="1"/>
  <c r="D123" i="396" a="1"/>
  <c r="D123" i="396" s="1"/>
  <c r="D109" i="396" a="1"/>
  <c r="D109" i="396" s="1"/>
  <c r="I109" i="396" s="1"/>
  <c r="D101" i="396" a="1"/>
  <c r="D101" i="396" s="1"/>
  <c r="I101" i="396" s="1"/>
  <c r="D84" i="396" a="1"/>
  <c r="D84" i="396" s="1"/>
  <c r="I84" i="396" s="1"/>
  <c r="D80" i="396" a="1"/>
  <c r="D80" i="396" s="1"/>
  <c r="D64" i="396" a="1"/>
  <c r="D64" i="396" s="1"/>
  <c r="I64" i="396" s="1"/>
  <c r="D57" i="396" a="1"/>
  <c r="D57" i="396" s="1"/>
  <c r="I57" i="396" s="1"/>
  <c r="D52" i="396" a="1"/>
  <c r="D52" i="396" s="1"/>
  <c r="D45" i="396" a="1"/>
  <c r="D45" i="396" s="1"/>
  <c r="D33" i="396" a="1"/>
  <c r="D33" i="396" s="1"/>
  <c r="D23" i="396" a="1"/>
  <c r="D23" i="396" s="1"/>
  <c r="D17" i="396" a="1"/>
  <c r="D17" i="396" s="1"/>
  <c r="I17" i="396" s="1"/>
  <c r="D13" i="396" a="1"/>
  <c r="D13" i="396" s="1"/>
  <c r="D175" i="396" a="1"/>
  <c r="D175" i="396" s="1"/>
  <c r="D159" i="396" a="1"/>
  <c r="D159" i="396" s="1"/>
  <c r="I159" i="396" s="1"/>
  <c r="D140" i="396" a="1"/>
  <c r="D140" i="396" s="1"/>
  <c r="D137" i="396" a="1"/>
  <c r="D137" i="396" s="1"/>
  <c r="I137" i="396" s="1"/>
  <c r="D130" i="396" a="1"/>
  <c r="D130" i="396" s="1"/>
  <c r="I130" i="396" s="1"/>
  <c r="D119" i="396" a="1"/>
  <c r="D119" i="396" s="1"/>
  <c r="I119" i="396" s="1"/>
  <c r="D115" i="396" a="1"/>
  <c r="D115" i="396" s="1"/>
  <c r="I115" i="396" s="1"/>
  <c r="D111" i="396" a="1"/>
  <c r="D111" i="396" s="1"/>
  <c r="D99" i="396" a="1"/>
  <c r="D99" i="396" s="1"/>
  <c r="I99" i="396" s="1"/>
  <c r="D79" i="396" a="1"/>
  <c r="D79" i="396" s="1"/>
  <c r="D72" i="396" a="1"/>
  <c r="D72" i="396" s="1"/>
  <c r="D62" i="396" a="1"/>
  <c r="D62" i="396" s="1"/>
  <c r="I62" i="396" s="1"/>
  <c r="D55" i="396" a="1"/>
  <c r="D55" i="396" s="1"/>
  <c r="D44" i="396" a="1"/>
  <c r="D44" i="396" s="1"/>
  <c r="D37" i="396" a="1"/>
  <c r="D37" i="396" s="1"/>
  <c r="D30" i="396" a="1"/>
  <c r="D30" i="396" s="1"/>
  <c r="I53" i="392"/>
  <c r="C147" i="393"/>
  <c r="C165" i="393" s="1"/>
  <c r="C178" i="393" s="1"/>
  <c r="C48" i="395"/>
  <c r="H133" i="360"/>
  <c r="H42" i="360"/>
  <c r="G13" i="386"/>
  <c r="D30" i="386"/>
  <c r="H43" i="401"/>
  <c r="E13" i="386"/>
  <c r="D99" i="386"/>
  <c r="G117" i="386"/>
  <c r="O50" i="385"/>
  <c r="K89" i="385"/>
  <c r="K117" i="385"/>
  <c r="K20" i="385"/>
  <c r="G50" i="385"/>
  <c r="G102" i="385"/>
  <c r="G141" i="385"/>
  <c r="N17" i="385"/>
  <c r="N137" i="385"/>
  <c r="J17" i="385"/>
  <c r="J99" i="385"/>
  <c r="J97" i="385" s="1"/>
  <c r="F89" i="385"/>
  <c r="F126" i="385"/>
  <c r="F134" i="385"/>
  <c r="F146" i="385"/>
  <c r="G13" i="385"/>
  <c r="G11" i="385" s="1"/>
  <c r="G23" i="385" s="1"/>
  <c r="K11" i="385"/>
  <c r="M117" i="385"/>
  <c r="M65" i="385"/>
  <c r="M77" i="385"/>
  <c r="M20" i="385"/>
  <c r="I50" i="385"/>
  <c r="I20" i="385"/>
  <c r="I141" i="385"/>
  <c r="I161" i="385"/>
  <c r="E102" i="385"/>
  <c r="E126" i="385"/>
  <c r="E134" i="385"/>
  <c r="E146" i="385"/>
  <c r="E141" i="385" s="1"/>
  <c r="L43" i="385"/>
  <c r="L102" i="385"/>
  <c r="L13" i="385"/>
  <c r="L11" i="385" s="1"/>
  <c r="L23" i="385" s="1"/>
  <c r="H34" i="385"/>
  <c r="H43" i="385"/>
  <c r="H17" i="385"/>
  <c r="H99" i="385"/>
  <c r="H97" i="385" s="1"/>
  <c r="C33" i="385"/>
  <c r="P33" i="385" s="1"/>
  <c r="C41" i="385"/>
  <c r="P41" i="385" s="1"/>
  <c r="C64" i="385"/>
  <c r="P64" i="385" s="1"/>
  <c r="D20" i="385"/>
  <c r="C95" i="385"/>
  <c r="P95" i="385" s="1"/>
  <c r="C115" i="385"/>
  <c r="P115" i="385" s="1"/>
  <c r="C55" i="385"/>
  <c r="P55" i="385" s="1"/>
  <c r="C73" i="385"/>
  <c r="P73" i="385" s="1"/>
  <c r="C16" i="385"/>
  <c r="P16" i="385" s="1"/>
  <c r="C90" i="385"/>
  <c r="P90" i="385" s="1"/>
  <c r="D89" i="385"/>
  <c r="C110" i="385"/>
  <c r="P110" i="385" s="1"/>
  <c r="C118" i="385"/>
  <c r="P118" i="385" s="1"/>
  <c r="D117" i="385"/>
  <c r="C128" i="385"/>
  <c r="P128" i="385" s="1"/>
  <c r="D137" i="385"/>
  <c r="C138" i="385"/>
  <c r="P138" i="385" s="1"/>
  <c r="C148" i="385"/>
  <c r="P148" i="385" s="1"/>
  <c r="D126" i="385"/>
  <c r="C127" i="385"/>
  <c r="P127" i="385" s="1"/>
  <c r="D134" i="385"/>
  <c r="C135" i="385"/>
  <c r="P135" i="385" s="1"/>
  <c r="D146" i="385"/>
  <c r="D141" i="385" s="1"/>
  <c r="C147" i="385"/>
  <c r="P147" i="385" s="1"/>
  <c r="C160" i="385"/>
  <c r="P160" i="385" s="1"/>
  <c r="L117" i="365"/>
  <c r="J102" i="365"/>
  <c r="C95" i="365"/>
  <c r="P95" i="365" s="1"/>
  <c r="N34" i="365"/>
  <c r="N43" i="365" s="1"/>
  <c r="F34" i="365"/>
  <c r="F43" i="365" s="1"/>
  <c r="H137" i="365"/>
  <c r="D65" i="365"/>
  <c r="D77" i="365"/>
  <c r="C133" i="365"/>
  <c r="P133" i="365" s="1"/>
  <c r="C145" i="365"/>
  <c r="P145" i="365" s="1"/>
  <c r="C158" i="365"/>
  <c r="P158" i="365" s="1"/>
  <c r="C59" i="365"/>
  <c r="P59" i="365" s="1"/>
  <c r="C69" i="365"/>
  <c r="P69" i="365" s="1"/>
  <c r="C79" i="365"/>
  <c r="P79" i="365" s="1"/>
  <c r="C140" i="365"/>
  <c r="P140" i="365" s="1"/>
  <c r="C150" i="365"/>
  <c r="P150" i="365" s="1"/>
  <c r="H126" i="365"/>
  <c r="G117" i="365"/>
  <c r="C104" i="365"/>
  <c r="P104" i="365" s="1"/>
  <c r="C88" i="365"/>
  <c r="P88" i="365" s="1"/>
  <c r="L50" i="365"/>
  <c r="D17" i="365"/>
  <c r="H13" i="365"/>
  <c r="H11" i="365" s="1"/>
  <c r="L11" i="365"/>
  <c r="L23" i="365" s="1"/>
  <c r="C12" i="365"/>
  <c r="P12" i="365" s="1"/>
  <c r="O161" i="365"/>
  <c r="K161" i="365"/>
  <c r="G141" i="365"/>
  <c r="G161" i="365"/>
  <c r="G65" i="365"/>
  <c r="G77" i="365"/>
  <c r="J117" i="365"/>
  <c r="C107" i="365"/>
  <c r="P107" i="365" s="1"/>
  <c r="C103" i="365"/>
  <c r="P103" i="365" s="1"/>
  <c r="D102" i="365"/>
  <c r="O89" i="365"/>
  <c r="C87" i="365"/>
  <c r="P87" i="365" s="1"/>
  <c r="K47" i="365"/>
  <c r="N137" i="365"/>
  <c r="J65" i="365"/>
  <c r="J76" i="365" s="1"/>
  <c r="J80" i="365" s="1"/>
  <c r="F141" i="365"/>
  <c r="F161" i="365"/>
  <c r="C123" i="365"/>
  <c r="P123" i="365" s="1"/>
  <c r="C119" i="365"/>
  <c r="P119" i="365" s="1"/>
  <c r="O102" i="365"/>
  <c r="D99" i="365"/>
  <c r="F89" i="365"/>
  <c r="J20" i="365"/>
  <c r="K17" i="365"/>
  <c r="O13" i="365"/>
  <c r="O11" i="365" s="1"/>
  <c r="O23" i="365" s="1"/>
  <c r="E13" i="365"/>
  <c r="E11" i="365" s="1"/>
  <c r="E23" i="365" s="1"/>
  <c r="E44" i="365" s="1"/>
  <c r="M65" i="365"/>
  <c r="M77" i="365"/>
  <c r="M134" i="365"/>
  <c r="E134" i="365"/>
  <c r="E146" i="365"/>
  <c r="E141" i="365" s="1"/>
  <c r="C127" i="365"/>
  <c r="P127" i="365" s="1"/>
  <c r="I34" i="394"/>
  <c r="I20" i="405"/>
  <c r="D19" i="405"/>
  <c r="I19" i="405" s="1"/>
  <c r="C48" i="399"/>
  <c r="I155" i="399"/>
  <c r="I20" i="398"/>
  <c r="I79" i="398"/>
  <c r="D164" i="394"/>
  <c r="I12" i="399"/>
  <c r="D177" i="397"/>
  <c r="I177" i="397" s="1"/>
  <c r="I175" i="397"/>
  <c r="I22" i="397"/>
  <c r="I79" i="397"/>
  <c r="I145" i="397"/>
  <c r="D144" i="397"/>
  <c r="I144" i="397" s="1"/>
  <c r="I20" i="407"/>
  <c r="D19" i="407"/>
  <c r="I19" i="407" s="1"/>
  <c r="D29" i="397"/>
  <c r="I37" i="395"/>
  <c r="I31" i="395"/>
  <c r="I28" i="392"/>
  <c r="I30" i="407"/>
  <c r="C76" i="397"/>
  <c r="D11" i="392"/>
  <c r="H142" i="408"/>
  <c r="H81" i="408"/>
  <c r="M161" i="386"/>
  <c r="L137" i="386"/>
  <c r="H107" i="360"/>
  <c r="L126" i="386"/>
  <c r="D161" i="386"/>
  <c r="D146" i="386"/>
  <c r="D11" i="386"/>
  <c r="F117" i="386"/>
  <c r="F134" i="386"/>
  <c r="H96" i="394"/>
  <c r="H82" i="395"/>
  <c r="I161" i="386"/>
  <c r="H77" i="386"/>
  <c r="H161" i="386"/>
  <c r="D134" i="386"/>
  <c r="O99" i="386"/>
  <c r="O97" i="386" s="1"/>
  <c r="O134" i="386"/>
  <c r="O141" i="386"/>
  <c r="K99" i="386"/>
  <c r="K97" i="386" s="1"/>
  <c r="F141" i="386"/>
  <c r="O30" i="385"/>
  <c r="F13" i="385"/>
  <c r="F11" i="385" s="1"/>
  <c r="O13" i="385"/>
  <c r="O11" i="385" s="1"/>
  <c r="O20" i="385"/>
  <c r="O141" i="385"/>
  <c r="O161" i="385"/>
  <c r="K17" i="385"/>
  <c r="K47" i="385"/>
  <c r="K65" i="385"/>
  <c r="K77" i="385"/>
  <c r="K126" i="385"/>
  <c r="K134" i="385"/>
  <c r="K137" i="385"/>
  <c r="M30" i="385"/>
  <c r="N47" i="385"/>
  <c r="N65" i="385"/>
  <c r="N126" i="385"/>
  <c r="N134" i="385"/>
  <c r="N146" i="385"/>
  <c r="N141" i="385" s="1"/>
  <c r="J102" i="385"/>
  <c r="J50" i="385"/>
  <c r="J76" i="385" s="1"/>
  <c r="J80" i="385" s="1"/>
  <c r="J161" i="385"/>
  <c r="F34" i="385"/>
  <c r="F47" i="385"/>
  <c r="F77" i="385"/>
  <c r="F17" i="385"/>
  <c r="F99" i="385"/>
  <c r="F97" i="385" s="1"/>
  <c r="K30" i="385"/>
  <c r="K43" i="385" s="1"/>
  <c r="E13" i="385"/>
  <c r="E11" i="385" s="1"/>
  <c r="I11" i="385"/>
  <c r="M17" i="385"/>
  <c r="M134" i="385"/>
  <c r="M137" i="385"/>
  <c r="I89" i="385"/>
  <c r="I97" i="385"/>
  <c r="I117" i="385"/>
  <c r="I65" i="385"/>
  <c r="I77" i="385"/>
  <c r="E50" i="385"/>
  <c r="E76" i="385" s="1"/>
  <c r="E80" i="385" s="1"/>
  <c r="L89" i="385"/>
  <c r="L97" i="385"/>
  <c r="L117" i="385"/>
  <c r="L137" i="385"/>
  <c r="H102" i="385"/>
  <c r="H50" i="385"/>
  <c r="H76" i="385" s="1"/>
  <c r="H80" i="385" s="1"/>
  <c r="H141" i="385"/>
  <c r="H161" i="385"/>
  <c r="D34" i="385"/>
  <c r="C48" i="385"/>
  <c r="P48" i="385" s="1"/>
  <c r="D47" i="385"/>
  <c r="C58" i="385"/>
  <c r="P58" i="385" s="1"/>
  <c r="D65" i="385"/>
  <c r="C78" i="385"/>
  <c r="P78" i="385" s="1"/>
  <c r="D77" i="385"/>
  <c r="C87" i="385"/>
  <c r="P87" i="385" s="1"/>
  <c r="C101" i="385"/>
  <c r="P101" i="385" s="1"/>
  <c r="C109" i="385"/>
  <c r="P109" i="385" s="1"/>
  <c r="C119" i="385"/>
  <c r="P119" i="385" s="1"/>
  <c r="C57" i="385"/>
  <c r="P57" i="385" s="1"/>
  <c r="C67" i="385"/>
  <c r="P67" i="385" s="1"/>
  <c r="C75" i="385"/>
  <c r="P75" i="385" s="1"/>
  <c r="D17" i="385"/>
  <c r="C18" i="385"/>
  <c r="P18" i="385" s="1"/>
  <c r="C92" i="385"/>
  <c r="P92" i="385" s="1"/>
  <c r="C100" i="385"/>
  <c r="P100" i="385" s="1"/>
  <c r="D99" i="385"/>
  <c r="C112" i="385"/>
  <c r="P112" i="385" s="1"/>
  <c r="C120" i="385"/>
  <c r="P120" i="385" s="1"/>
  <c r="C130" i="385"/>
  <c r="P130" i="385" s="1"/>
  <c r="C140" i="385"/>
  <c r="P140" i="385" s="1"/>
  <c r="C121" i="385"/>
  <c r="P121" i="385" s="1"/>
  <c r="C129" i="385"/>
  <c r="P129" i="385" s="1"/>
  <c r="C139" i="385"/>
  <c r="P139" i="385" s="1"/>
  <c r="D13" i="385"/>
  <c r="H117" i="365"/>
  <c r="C116" i="365"/>
  <c r="P116" i="365" s="1"/>
  <c r="C112" i="365"/>
  <c r="P112" i="365" s="1"/>
  <c r="F102" i="365"/>
  <c r="M89" i="365"/>
  <c r="L34" i="365"/>
  <c r="C35" i="365"/>
  <c r="P35" i="365" s="1"/>
  <c r="D34" i="365"/>
  <c r="L137" i="365"/>
  <c r="H65" i="365"/>
  <c r="C166" i="365"/>
  <c r="P166" i="365" s="1"/>
  <c r="D134" i="365"/>
  <c r="D146" i="365"/>
  <c r="D141" i="365" s="1"/>
  <c r="C61" i="365"/>
  <c r="P61" i="365" s="1"/>
  <c r="D161" i="365"/>
  <c r="C155" i="365"/>
  <c r="P155" i="365" s="1"/>
  <c r="M102" i="365"/>
  <c r="F99" i="365"/>
  <c r="F97" i="365" s="1"/>
  <c r="C94" i="365"/>
  <c r="P94" i="365" s="1"/>
  <c r="D89" i="365"/>
  <c r="N13" i="365"/>
  <c r="N11" i="365" s="1"/>
  <c r="N23" i="365" s="1"/>
  <c r="F13" i="365"/>
  <c r="F11" i="365" s="1"/>
  <c r="J11" i="365"/>
  <c r="O50" i="365"/>
  <c r="O65" i="365"/>
  <c r="O77" i="365"/>
  <c r="O134" i="365"/>
  <c r="O146" i="365"/>
  <c r="O141" i="365" s="1"/>
  <c r="K65" i="365"/>
  <c r="K77" i="365"/>
  <c r="K134" i="365"/>
  <c r="K146" i="365"/>
  <c r="K141" i="365" s="1"/>
  <c r="K126" i="365"/>
  <c r="F117" i="365"/>
  <c r="I99" i="365"/>
  <c r="I97" i="365" s="1"/>
  <c r="I137" i="365"/>
  <c r="E97" i="365"/>
  <c r="C93" i="365"/>
  <c r="P93" i="365" s="1"/>
  <c r="K89" i="365"/>
  <c r="N50" i="365"/>
  <c r="I47" i="365"/>
  <c r="C42" i="365"/>
  <c r="P42" i="365" s="1"/>
  <c r="C40" i="365"/>
  <c r="P40" i="365" s="1"/>
  <c r="C38" i="365"/>
  <c r="P38" i="365" s="1"/>
  <c r="N65" i="365"/>
  <c r="J134" i="365"/>
  <c r="M117" i="365"/>
  <c r="C106" i="365"/>
  <c r="P106" i="365" s="1"/>
  <c r="H20" i="365"/>
  <c r="C19" i="365"/>
  <c r="P19" i="365" s="1"/>
  <c r="I17" i="365"/>
  <c r="M13" i="365"/>
  <c r="M11" i="365" s="1"/>
  <c r="M137" i="365"/>
  <c r="I50" i="365"/>
  <c r="E161" i="365"/>
  <c r="E65" i="365"/>
  <c r="D160" i="404" a="1"/>
  <c r="D160" i="404" s="1"/>
  <c r="I160" i="404" s="1"/>
  <c r="D156" i="404" a="1"/>
  <c r="D156" i="404" s="1"/>
  <c r="D142" i="404" a="1"/>
  <c r="D142" i="404" s="1"/>
  <c r="I142" i="404" s="1"/>
  <c r="D137" i="404" a="1"/>
  <c r="D137" i="404" s="1"/>
  <c r="I137" i="404" s="1"/>
  <c r="D133" i="404" a="1"/>
  <c r="D133" i="404" s="1"/>
  <c r="I133" i="404" s="1"/>
  <c r="D129" i="404" a="1"/>
  <c r="D129" i="404" s="1"/>
  <c r="I129" i="404" s="1"/>
  <c r="D125" i="404" a="1"/>
  <c r="D125" i="404" s="1"/>
  <c r="I125" i="404" s="1"/>
  <c r="D121" i="404" a="1"/>
  <c r="D121" i="404" s="1"/>
  <c r="I121" i="404" s="1"/>
  <c r="D117" i="404" a="1"/>
  <c r="D117" i="404" s="1"/>
  <c r="I117" i="404" s="1"/>
  <c r="D113" i="404" a="1"/>
  <c r="D113" i="404" s="1"/>
  <c r="I113" i="404" s="1"/>
  <c r="D109" i="404" a="1"/>
  <c r="D109" i="404" s="1"/>
  <c r="I109" i="404" s="1"/>
  <c r="D105" i="404" a="1"/>
  <c r="D105" i="404" s="1"/>
  <c r="I105" i="404" s="1"/>
  <c r="D101" i="404" a="1"/>
  <c r="D101" i="404" s="1"/>
  <c r="I101" i="404" s="1"/>
  <c r="D97" i="404" a="1"/>
  <c r="D97" i="404" s="1"/>
  <c r="I97" i="404" s="1"/>
  <c r="D94" i="404" a="1"/>
  <c r="D94" i="404" s="1"/>
  <c r="I94" i="404" s="1"/>
  <c r="D87" i="404" a="1"/>
  <c r="D87" i="404" s="1"/>
  <c r="I87" i="404" s="1"/>
  <c r="D83" i="404" a="1"/>
  <c r="D83" i="404" s="1"/>
  <c r="D79" i="404" a="1"/>
  <c r="D79" i="404" s="1"/>
  <c r="D73" i="404" a="1"/>
  <c r="D73" i="404" s="1"/>
  <c r="I73" i="404" s="1"/>
  <c r="D71" i="404" a="1"/>
  <c r="D71" i="404" s="1"/>
  <c r="D69" i="404" a="1"/>
  <c r="D69" i="404" s="1"/>
  <c r="D66" i="404" a="1"/>
  <c r="D66" i="404" s="1"/>
  <c r="I66" i="404" s="1"/>
  <c r="D60" i="404" a="1"/>
  <c r="D60" i="404" s="1"/>
  <c r="I60" i="404" s="1"/>
  <c r="D56" i="404" a="1"/>
  <c r="D56" i="404" s="1"/>
  <c r="I56" i="404" s="1"/>
  <c r="D42" i="404" a="1"/>
  <c r="D42" i="404" s="1"/>
  <c r="I42" i="404" s="1"/>
  <c r="D38" i="404" a="1"/>
  <c r="D38" i="404" s="1"/>
  <c r="D34" i="404" a="1"/>
  <c r="D34" i="404" s="1"/>
  <c r="D30" i="404" a="1"/>
  <c r="D30" i="404" s="1"/>
  <c r="D26" i="404" a="1"/>
  <c r="D26" i="404" s="1"/>
  <c r="D22" i="404" a="1"/>
  <c r="D22" i="404" s="1"/>
  <c r="I22" i="404" s="1"/>
  <c r="D18" i="404" a="1"/>
  <c r="D18" i="404" s="1"/>
  <c r="I18" i="404" s="1"/>
  <c r="D12" i="404" a="1"/>
  <c r="D12" i="404" s="1"/>
  <c r="D161" i="404" a="1"/>
  <c r="D161" i="404" s="1"/>
  <c r="I161" i="404" s="1"/>
  <c r="D157" i="404" a="1"/>
  <c r="D157" i="404" s="1"/>
  <c r="I157" i="404" s="1"/>
  <c r="D143" i="404" a="1"/>
  <c r="D143" i="404" s="1"/>
  <c r="D140" i="404" a="1"/>
  <c r="D140" i="404" s="1"/>
  <c r="D134" i="404" a="1"/>
  <c r="D134" i="404" s="1"/>
  <c r="I134" i="404" s="1"/>
  <c r="D130" i="404" a="1"/>
  <c r="D130" i="404" s="1"/>
  <c r="I130" i="404" s="1"/>
  <c r="D126" i="404" a="1"/>
  <c r="D126" i="404" s="1"/>
  <c r="I126" i="404" s="1"/>
  <c r="D122" i="404" a="1"/>
  <c r="D122" i="404" s="1"/>
  <c r="I122" i="404" s="1"/>
  <c r="D118" i="404" a="1"/>
  <c r="D118" i="404" s="1"/>
  <c r="I118" i="404" s="1"/>
  <c r="D114" i="404" a="1"/>
  <c r="D114" i="404" s="1"/>
  <c r="I114" i="404" s="1"/>
  <c r="D110" i="404" a="1"/>
  <c r="D110" i="404" s="1"/>
  <c r="I110" i="404" s="1"/>
  <c r="D106" i="404" a="1"/>
  <c r="D106" i="404" s="1"/>
  <c r="I106" i="404" s="1"/>
  <c r="D102" i="404" a="1"/>
  <c r="D102" i="404" s="1"/>
  <c r="I102" i="404" s="1"/>
  <c r="D98" i="404" a="1"/>
  <c r="D98" i="404" s="1"/>
  <c r="I98" i="404" s="1"/>
  <c r="D95" i="404" a="1"/>
  <c r="D95" i="404" s="1"/>
  <c r="I95" i="404" s="1"/>
  <c r="D91" i="404" a="1"/>
  <c r="D91" i="404" s="1"/>
  <c r="I91" i="404" s="1"/>
  <c r="D88" i="404" a="1"/>
  <c r="D88" i="404" s="1"/>
  <c r="I88" i="404" s="1"/>
  <c r="D84" i="404" a="1"/>
  <c r="D84" i="404" s="1"/>
  <c r="I84" i="404" s="1"/>
  <c r="D80" i="404" a="1"/>
  <c r="D80" i="404" s="1"/>
  <c r="I80" i="404" s="1"/>
  <c r="D74" i="404" a="1"/>
  <c r="D74" i="404" s="1"/>
  <c r="I74" i="404" s="1"/>
  <c r="D67" i="404" a="1"/>
  <c r="D67" i="404" s="1"/>
  <c r="D63" i="404" a="1"/>
  <c r="D63" i="404" s="1"/>
  <c r="I63" i="404" s="1"/>
  <c r="D61" i="404" a="1"/>
  <c r="D61" i="404" s="1"/>
  <c r="I61" i="404" s="1"/>
  <c r="D57" i="404" a="1"/>
  <c r="D57" i="404" s="1"/>
  <c r="I57" i="404" s="1"/>
  <c r="D54" i="404" a="1"/>
  <c r="D54" i="404" s="1"/>
  <c r="I54" i="404" s="1"/>
  <c r="D52" i="404" a="1"/>
  <c r="D52" i="404" s="1"/>
  <c r="D43" i="404" a="1"/>
  <c r="D43" i="404" s="1"/>
  <c r="I43" i="404" s="1"/>
  <c r="D39" i="404" a="1"/>
  <c r="D39" i="404" s="1"/>
  <c r="I39" i="404" s="1"/>
  <c r="D35" i="404" a="1"/>
  <c r="D35" i="404" s="1"/>
  <c r="I35" i="404" s="1"/>
  <c r="D31" i="404" a="1"/>
  <c r="D31" i="404" s="1"/>
  <c r="I31" i="404" s="1"/>
  <c r="D23" i="404" a="1"/>
  <c r="D23" i="404" s="1"/>
  <c r="I23" i="404" s="1"/>
  <c r="D16" i="404" a="1"/>
  <c r="D16" i="404" s="1"/>
  <c r="D13" i="404" a="1"/>
  <c r="D13" i="404" s="1"/>
  <c r="D158" i="404" a="1"/>
  <c r="D158" i="404" s="1"/>
  <c r="I158" i="404" s="1"/>
  <c r="D145" i="404" a="1"/>
  <c r="D145" i="404" s="1"/>
  <c r="D141" i="404" a="1"/>
  <c r="D141" i="404" s="1"/>
  <c r="I141" i="404" s="1"/>
  <c r="D131" i="404" a="1"/>
  <c r="D131" i="404" s="1"/>
  <c r="I131" i="404" s="1"/>
  <c r="D124" i="404" a="1"/>
  <c r="D124" i="404" s="1"/>
  <c r="I124" i="404" s="1"/>
  <c r="D115" i="404" a="1"/>
  <c r="D115" i="404" s="1"/>
  <c r="I115" i="404" s="1"/>
  <c r="D108" i="404" a="1"/>
  <c r="D108" i="404" s="1"/>
  <c r="I108" i="404" s="1"/>
  <c r="D99" i="404" a="1"/>
  <c r="D99" i="404" s="1"/>
  <c r="I99" i="404" s="1"/>
  <c r="D96" i="404" a="1"/>
  <c r="D96" i="404" s="1"/>
  <c r="D90" i="404" a="1"/>
  <c r="D90" i="404" s="1"/>
  <c r="D81" i="404" a="1"/>
  <c r="D81" i="404" s="1"/>
  <c r="I81" i="404" s="1"/>
  <c r="D44" i="404" a="1"/>
  <c r="D44" i="404" s="1"/>
  <c r="I44" i="404" s="1"/>
  <c r="D37" i="404" a="1"/>
  <c r="D37" i="404" s="1"/>
  <c r="D162" i="404" a="1"/>
  <c r="D162" i="404" s="1"/>
  <c r="I162" i="404" s="1"/>
  <c r="D155" i="404" a="1"/>
  <c r="D155" i="404" s="1"/>
  <c r="I155" i="404" s="1"/>
  <c r="D135" i="404" a="1"/>
  <c r="D135" i="404" s="1"/>
  <c r="I135" i="404" s="1"/>
  <c r="D128" i="404" a="1"/>
  <c r="D128" i="404" s="1"/>
  <c r="I128" i="404" s="1"/>
  <c r="D119" i="404" a="1"/>
  <c r="D119" i="404" s="1"/>
  <c r="I119" i="404" s="1"/>
  <c r="D112" i="404" a="1"/>
  <c r="D112" i="404" s="1"/>
  <c r="I112" i="404" s="1"/>
  <c r="D103" i="404" a="1"/>
  <c r="D103" i="404" s="1"/>
  <c r="I103" i="404" s="1"/>
  <c r="D93" i="404" a="1"/>
  <c r="D93" i="404" s="1"/>
  <c r="I93" i="404" s="1"/>
  <c r="D85" i="404" a="1"/>
  <c r="D85" i="404" s="1"/>
  <c r="I85" i="404" s="1"/>
  <c r="D64" i="404" a="1"/>
  <c r="D64" i="404" s="1"/>
  <c r="I64" i="404" s="1"/>
  <c r="D58" i="404" a="1"/>
  <c r="D58" i="404" s="1"/>
  <c r="I58" i="404" s="1"/>
  <c r="D55" i="404" a="1"/>
  <c r="D55" i="404" s="1"/>
  <c r="D41" i="404" a="1"/>
  <c r="D41" i="404" s="1"/>
  <c r="I41" i="404" s="1"/>
  <c r="D17" i="404" a="1"/>
  <c r="D17" i="404" s="1"/>
  <c r="D10" i="404" a="1"/>
  <c r="D10" i="404" s="1"/>
  <c r="D175" i="404" a="1"/>
  <c r="D175" i="404" s="1"/>
  <c r="D159" i="404" a="1"/>
  <c r="D159" i="404" s="1"/>
  <c r="D132" i="404" a="1"/>
  <c r="D132" i="404" s="1"/>
  <c r="I132" i="404" s="1"/>
  <c r="D123" i="404" a="1"/>
  <c r="D123" i="404" s="1"/>
  <c r="I123" i="404" s="1"/>
  <c r="D116" i="404" a="1"/>
  <c r="D116" i="404" s="1"/>
  <c r="I116" i="404" s="1"/>
  <c r="D107" i="404" a="1"/>
  <c r="D107" i="404" s="1"/>
  <c r="I107" i="404" s="1"/>
  <c r="D100" i="404" a="1"/>
  <c r="D100" i="404" s="1"/>
  <c r="I100" i="404" s="1"/>
  <c r="D89" i="404" a="1"/>
  <c r="D89" i="404" s="1"/>
  <c r="I89" i="404" s="1"/>
  <c r="D82" i="404" a="1"/>
  <c r="D82" i="404" s="1"/>
  <c r="I82" i="404" s="1"/>
  <c r="D72" i="404" a="1"/>
  <c r="D72" i="404" s="1"/>
  <c r="D70" i="404" a="1"/>
  <c r="D70" i="404"/>
  <c r="D68" i="404" a="1"/>
  <c r="D68" i="404" s="1"/>
  <c r="D62" i="404" a="1"/>
  <c r="D62" i="404" s="1"/>
  <c r="D53" i="404" a="1"/>
  <c r="D53" i="404" s="1"/>
  <c r="D45" i="404" a="1"/>
  <c r="D45" i="404" s="1"/>
  <c r="I45" i="404" s="1"/>
  <c r="D163" i="404" a="1"/>
  <c r="D163" i="404" s="1"/>
  <c r="I163" i="404" s="1"/>
  <c r="D136" i="404" a="1"/>
  <c r="D136" i="404" s="1"/>
  <c r="I136" i="404" s="1"/>
  <c r="D127" i="404" a="1"/>
  <c r="D127" i="404" s="1"/>
  <c r="I127" i="404" s="1"/>
  <c r="D120" i="404" a="1"/>
  <c r="D120" i="404" s="1"/>
  <c r="I120" i="404" s="1"/>
  <c r="D111" i="404" a="1"/>
  <c r="D111" i="404" s="1"/>
  <c r="I111" i="404" s="1"/>
  <c r="D104" i="404" a="1"/>
  <c r="D104" i="404" s="1"/>
  <c r="I104" i="404" s="1"/>
  <c r="D92" i="404" a="1"/>
  <c r="D92" i="404" s="1"/>
  <c r="I92" i="404" s="1"/>
  <c r="D86" i="404" a="1"/>
  <c r="D86" i="404" s="1"/>
  <c r="I86" i="404" s="1"/>
  <c r="D65" i="404" a="1"/>
  <c r="D65" i="404" s="1"/>
  <c r="I65" i="404" s="1"/>
  <c r="D59" i="404" a="1"/>
  <c r="D59" i="404" s="1"/>
  <c r="I59" i="404" s="1"/>
  <c r="D40" i="404" a="1"/>
  <c r="D40" i="404" s="1"/>
  <c r="I40" i="404" s="1"/>
  <c r="D33" i="404" a="1"/>
  <c r="D33" i="404" s="1"/>
  <c r="D28" i="404" a="1"/>
  <c r="D28" i="404" s="1"/>
  <c r="I28" i="404" s="1"/>
  <c r="D20" i="404" a="1"/>
  <c r="D20" i="404" s="1"/>
  <c r="D14" i="404" a="1"/>
  <c r="D14" i="404" s="1"/>
  <c r="I14" i="404" s="1"/>
  <c r="H143" i="388"/>
  <c r="D15" i="388"/>
  <c r="D27" i="388"/>
  <c r="D9" i="388"/>
  <c r="I10" i="388"/>
  <c r="I20" i="388"/>
  <c r="D19" i="388"/>
  <c r="I19" i="388" s="1"/>
  <c r="D177" i="405"/>
  <c r="I177" i="405" s="1"/>
  <c r="I175" i="405"/>
  <c r="I155" i="405"/>
  <c r="D161" i="403" a="1"/>
  <c r="D161" i="403" s="1"/>
  <c r="I161" i="403" s="1"/>
  <c r="D156" i="403" a="1"/>
  <c r="D156" i="403" s="1"/>
  <c r="D142" i="403" a="1"/>
  <c r="D142" i="403" s="1"/>
  <c r="I142" i="403" s="1"/>
  <c r="D137" i="403" a="1"/>
  <c r="D137" i="403" s="1"/>
  <c r="D133" i="403" a="1"/>
  <c r="D133" i="403" s="1"/>
  <c r="I133" i="403" s="1"/>
  <c r="D129" i="403" a="1"/>
  <c r="D129" i="403" s="1"/>
  <c r="I129" i="403" s="1"/>
  <c r="D125" i="403" a="1"/>
  <c r="D125" i="403" s="1"/>
  <c r="I125" i="403" s="1"/>
  <c r="D121" i="403" a="1"/>
  <c r="D121" i="403" s="1"/>
  <c r="I121" i="403" s="1"/>
  <c r="D117" i="403" a="1"/>
  <c r="D117" i="403" s="1"/>
  <c r="I117" i="403" s="1"/>
  <c r="D113" i="403" a="1"/>
  <c r="D113" i="403" s="1"/>
  <c r="I113" i="403" s="1"/>
  <c r="D109" i="403" a="1"/>
  <c r="D109" i="403" s="1"/>
  <c r="I109" i="403" s="1"/>
  <c r="D105" i="403" a="1"/>
  <c r="D105" i="403" s="1"/>
  <c r="I105" i="403" s="1"/>
  <c r="D101" i="403" a="1"/>
  <c r="D101" i="403" s="1"/>
  <c r="I101" i="403" s="1"/>
  <c r="D97" i="403" a="1"/>
  <c r="D97" i="403" s="1"/>
  <c r="I97" i="403" s="1"/>
  <c r="D94" i="403" a="1"/>
  <c r="D94" i="403" s="1"/>
  <c r="I94" i="403" s="1"/>
  <c r="D88" i="403" a="1"/>
  <c r="D88" i="403" s="1"/>
  <c r="I88" i="403" s="1"/>
  <c r="D85" i="403" a="1"/>
  <c r="D85" i="403" s="1"/>
  <c r="I85" i="403" s="1"/>
  <c r="D81" i="403" a="1"/>
  <c r="D81" i="403" s="1"/>
  <c r="D72" i="403" a="1"/>
  <c r="D72" i="403" s="1"/>
  <c r="D70" i="403" a="1"/>
  <c r="D70" i="403" s="1"/>
  <c r="D68" i="403" a="1"/>
  <c r="D68" i="403" s="1"/>
  <c r="D64" i="403" a="1"/>
  <c r="D64" i="403" s="1"/>
  <c r="I64" i="403" s="1"/>
  <c r="D62" i="403" a="1"/>
  <c r="D62" i="403" s="1"/>
  <c r="H62" i="403" s="1"/>
  <c r="D59" i="403" a="1"/>
  <c r="D59" i="403" s="1"/>
  <c r="I59" i="403" s="1"/>
  <c r="D53" i="403" a="1"/>
  <c r="D53" i="403" s="1"/>
  <c r="D45" i="403" a="1"/>
  <c r="D45" i="403" s="1"/>
  <c r="I45" i="403" s="1"/>
  <c r="D41" i="403" a="1"/>
  <c r="D41" i="403" s="1"/>
  <c r="D37" i="403" a="1"/>
  <c r="D37" i="403" s="1"/>
  <c r="D33" i="403" a="1"/>
  <c r="D33" i="403" s="1"/>
  <c r="D20" i="403" a="1"/>
  <c r="D20" i="403" s="1"/>
  <c r="D17" i="403" a="1"/>
  <c r="D17" i="403" s="1"/>
  <c r="D14" i="403" a="1"/>
  <c r="D14" i="403" s="1"/>
  <c r="I14" i="403" s="1"/>
  <c r="D10" i="403" a="1"/>
  <c r="D10" i="403" s="1"/>
  <c r="I10" i="403" s="1"/>
  <c r="D162" i="403" a="1"/>
  <c r="D162" i="403" s="1"/>
  <c r="I162" i="403" s="1"/>
  <c r="D158" i="403" a="1"/>
  <c r="D158" i="403" s="1"/>
  <c r="I158" i="403" s="1"/>
  <c r="D157" i="403" a="1"/>
  <c r="D157" i="403" s="1"/>
  <c r="I157" i="403" s="1"/>
  <c r="D143" i="403" a="1"/>
  <c r="D143" i="403" s="1"/>
  <c r="D140" i="403" a="1"/>
  <c r="D140" i="403" s="1"/>
  <c r="D134" i="403" a="1"/>
  <c r="D134" i="403" s="1"/>
  <c r="I134" i="403" s="1"/>
  <c r="D130" i="403" a="1"/>
  <c r="D130" i="403" s="1"/>
  <c r="I130" i="403" s="1"/>
  <c r="D126" i="403" a="1"/>
  <c r="D126" i="403" s="1"/>
  <c r="I126" i="403" s="1"/>
  <c r="D122" i="403" a="1"/>
  <c r="D122" i="403" s="1"/>
  <c r="I122" i="403" s="1"/>
  <c r="D118" i="403" a="1"/>
  <c r="D118" i="403" s="1"/>
  <c r="I118" i="403" s="1"/>
  <c r="D114" i="403" a="1"/>
  <c r="D114" i="403" s="1"/>
  <c r="D110" i="403" a="1"/>
  <c r="D110" i="403" s="1"/>
  <c r="I110" i="403" s="1"/>
  <c r="D106" i="403" a="1"/>
  <c r="D106" i="403" s="1"/>
  <c r="I106" i="403" s="1"/>
  <c r="D102" i="403" a="1"/>
  <c r="D102" i="403" s="1"/>
  <c r="I102" i="403" s="1"/>
  <c r="D98" i="403" a="1"/>
  <c r="D98" i="403" s="1"/>
  <c r="I98" i="403" s="1"/>
  <c r="D95" i="403" a="1"/>
  <c r="D95" i="403" s="1"/>
  <c r="I95" i="403" s="1"/>
  <c r="D91" i="403" a="1"/>
  <c r="D91" i="403" s="1"/>
  <c r="I91" i="403" s="1"/>
  <c r="D89" i="403" a="1"/>
  <c r="D89" i="403" s="1"/>
  <c r="D86" i="403" a="1"/>
  <c r="D86" i="403" s="1"/>
  <c r="D82" i="403" a="1"/>
  <c r="D82" i="403" s="1"/>
  <c r="I82" i="403" s="1"/>
  <c r="D65" i="403" a="1"/>
  <c r="D65" i="403" s="1"/>
  <c r="I65" i="403" s="1"/>
  <c r="D60" i="403" a="1"/>
  <c r="D60" i="403" s="1"/>
  <c r="I60" i="403" s="1"/>
  <c r="D56" i="403" a="1"/>
  <c r="D56" i="403" s="1"/>
  <c r="I56" i="403" s="1"/>
  <c r="D42" i="403" a="1"/>
  <c r="D42" i="403" s="1"/>
  <c r="I42" i="403" s="1"/>
  <c r="D38" i="403" a="1"/>
  <c r="D38" i="403" s="1"/>
  <c r="I38" i="403" s="1"/>
  <c r="D34" i="403" a="1"/>
  <c r="D34" i="403" s="1"/>
  <c r="I34" i="403" s="1"/>
  <c r="D30" i="403" a="1"/>
  <c r="D30" i="403" s="1"/>
  <c r="D26" i="403" a="1"/>
  <c r="D26" i="403" s="1"/>
  <c r="I26" i="403" s="1"/>
  <c r="D159" i="403" a="1"/>
  <c r="D159" i="403" s="1"/>
  <c r="I159" i="403" s="1"/>
  <c r="D145" i="403" a="1"/>
  <c r="D145" i="403" s="1"/>
  <c r="I145" i="403" s="1"/>
  <c r="D141" i="403" a="1"/>
  <c r="D141" i="403" s="1"/>
  <c r="D131" i="403" a="1"/>
  <c r="D131" i="403" s="1"/>
  <c r="I131" i="403" s="1"/>
  <c r="D124" i="403" a="1"/>
  <c r="D124" i="403" s="1"/>
  <c r="I124" i="403" s="1"/>
  <c r="D115" i="403" a="1"/>
  <c r="D115" i="403" s="1"/>
  <c r="I115" i="403" s="1"/>
  <c r="D108" i="403" a="1"/>
  <c r="D108" i="403" s="1"/>
  <c r="I108" i="403" s="1"/>
  <c r="D99" i="403" a="1"/>
  <c r="D99" i="403" s="1"/>
  <c r="I99" i="403" s="1"/>
  <c r="D96" i="403" a="1"/>
  <c r="D96" i="403" s="1"/>
  <c r="D90" i="403" a="1"/>
  <c r="D90" i="403" s="1"/>
  <c r="D83" i="403" a="1"/>
  <c r="D83" i="403" s="1"/>
  <c r="I83" i="403" s="1"/>
  <c r="D74" i="403" a="1"/>
  <c r="D74" i="403" s="1"/>
  <c r="I74" i="403" s="1"/>
  <c r="D57" i="403" a="1"/>
  <c r="D57" i="403" s="1"/>
  <c r="I57" i="403" s="1"/>
  <c r="D43" i="403" a="1"/>
  <c r="D43" i="403" s="1"/>
  <c r="D175" i="403" a="1"/>
  <c r="D175" i="403" s="1"/>
  <c r="I175" i="403" s="1"/>
  <c r="D163" i="403" a="1"/>
  <c r="D163" i="403" s="1"/>
  <c r="D155" i="403" a="1"/>
  <c r="D155" i="403" s="1"/>
  <c r="D135" i="403" a="1"/>
  <c r="D135" i="403" s="1"/>
  <c r="I135" i="403" s="1"/>
  <c r="D128" i="403" a="1"/>
  <c r="D128" i="403" s="1"/>
  <c r="I128" i="403" s="1"/>
  <c r="D119" i="403" a="1"/>
  <c r="D119" i="403" s="1"/>
  <c r="I119" i="403" s="1"/>
  <c r="D112" i="403" a="1"/>
  <c r="D112" i="403" s="1"/>
  <c r="I112" i="403" s="1"/>
  <c r="D103" i="403" a="1"/>
  <c r="D103" i="403" s="1"/>
  <c r="D93" i="403" a="1"/>
  <c r="D93" i="403" s="1"/>
  <c r="I93" i="403" s="1"/>
  <c r="D87" i="403" a="1"/>
  <c r="D87" i="403" s="1"/>
  <c r="I87" i="403" s="1"/>
  <c r="D80" i="403" a="1"/>
  <c r="D80" i="403" s="1"/>
  <c r="I80" i="403" s="1"/>
  <c r="D66" i="403" a="1"/>
  <c r="D66" i="403" s="1"/>
  <c r="I66" i="403" s="1"/>
  <c r="D63" i="403" a="1"/>
  <c r="D63" i="403" s="1"/>
  <c r="D61" i="403" a="1"/>
  <c r="D61" i="403" s="1"/>
  <c r="D55" i="403" a="1"/>
  <c r="D55" i="403" s="1"/>
  <c r="D40" i="403" a="1"/>
  <c r="D40" i="403" s="1"/>
  <c r="D35" i="403" a="1"/>
  <c r="D35" i="403" s="1"/>
  <c r="I35" i="403" s="1"/>
  <c r="D22" i="403" a="1"/>
  <c r="D22" i="403" s="1"/>
  <c r="D18" i="403" a="1"/>
  <c r="D18" i="403" s="1"/>
  <c r="D13" i="403" a="1"/>
  <c r="D13" i="403" s="1"/>
  <c r="I13" i="403" s="1"/>
  <c r="D160" i="403" a="1"/>
  <c r="D160" i="403" s="1"/>
  <c r="I160" i="403" s="1"/>
  <c r="D132" i="403" a="1"/>
  <c r="D132" i="403" s="1"/>
  <c r="I132" i="403" s="1"/>
  <c r="D123" i="403" a="1"/>
  <c r="D123" i="403" s="1"/>
  <c r="I123" i="403" s="1"/>
  <c r="D116" i="403" a="1"/>
  <c r="D116" i="403" s="1"/>
  <c r="I116" i="403" s="1"/>
  <c r="D107" i="403" a="1"/>
  <c r="D107" i="403" s="1"/>
  <c r="I107" i="403" s="1"/>
  <c r="D100" i="403" a="1"/>
  <c r="D100" i="403" s="1"/>
  <c r="I100" i="403" s="1"/>
  <c r="D84" i="403" a="1"/>
  <c r="D84" i="403" s="1"/>
  <c r="D73" i="403" a="1"/>
  <c r="D73" i="403" s="1"/>
  <c r="I73" i="403" s="1"/>
  <c r="D71" i="403" a="1"/>
  <c r="D71" i="403" s="1"/>
  <c r="D69" i="403" a="1"/>
  <c r="D69" i="403" s="1"/>
  <c r="D58" i="403" a="1"/>
  <c r="D58" i="403" s="1"/>
  <c r="I58" i="403" s="1"/>
  <c r="D44" i="403" a="1"/>
  <c r="D44" i="403" s="1"/>
  <c r="I44" i="403" s="1"/>
  <c r="D28" i="403" a="1"/>
  <c r="D28" i="403" s="1"/>
  <c r="I28" i="403" s="1"/>
  <c r="D16" i="403" a="1"/>
  <c r="D16" i="403" s="1"/>
  <c r="D136" i="403" a="1"/>
  <c r="D136" i="403" s="1"/>
  <c r="I136" i="403" s="1"/>
  <c r="D127" i="403" a="1"/>
  <c r="D127" i="403" s="1"/>
  <c r="I127" i="403" s="1"/>
  <c r="D120" i="403" a="1"/>
  <c r="D120" i="403" s="1"/>
  <c r="I120" i="403" s="1"/>
  <c r="D111" i="403" a="1"/>
  <c r="D111" i="403" s="1"/>
  <c r="I111" i="403" s="1"/>
  <c r="D104" i="403" a="1"/>
  <c r="D104" i="403" s="1"/>
  <c r="I104" i="403" s="1"/>
  <c r="D92" i="403" a="1"/>
  <c r="D92" i="403" s="1"/>
  <c r="I92" i="403" s="1"/>
  <c r="D79" i="403" a="1"/>
  <c r="D79" i="403" s="1"/>
  <c r="I79" i="403" s="1"/>
  <c r="D67" i="403" a="1"/>
  <c r="D67" i="403" s="1"/>
  <c r="D54" i="403" a="1"/>
  <c r="D54" i="403" s="1"/>
  <c r="I54" i="403" s="1"/>
  <c r="D52" i="403" a="1"/>
  <c r="D52" i="403" s="1"/>
  <c r="D39" i="403" a="1"/>
  <c r="D39" i="403" s="1"/>
  <c r="I39" i="403" s="1"/>
  <c r="D31" i="403" a="1"/>
  <c r="D31" i="403" s="1"/>
  <c r="I31" i="403" s="1"/>
  <c r="D23" i="403" a="1"/>
  <c r="D23" i="403" s="1"/>
  <c r="D12" i="403" a="1"/>
  <c r="D12" i="403" s="1"/>
  <c r="D161" i="402" a="1"/>
  <c r="D161" i="402" s="1"/>
  <c r="I161" i="402" s="1"/>
  <c r="D157" i="402" a="1"/>
  <c r="D157" i="402" s="1"/>
  <c r="I157" i="402" s="1"/>
  <c r="D143" i="402" a="1"/>
  <c r="D143" i="402" s="1"/>
  <c r="D140" i="402" a="1"/>
  <c r="D140" i="402" s="1"/>
  <c r="D133" i="402" a="1"/>
  <c r="D133" i="402" s="1"/>
  <c r="I133" i="402" s="1"/>
  <c r="D129" i="402" a="1"/>
  <c r="D129" i="402" s="1"/>
  <c r="I129" i="402" s="1"/>
  <c r="D125" i="402" a="1"/>
  <c r="D125" i="402" s="1"/>
  <c r="I125" i="402" s="1"/>
  <c r="D121" i="402" a="1"/>
  <c r="D121" i="402" s="1"/>
  <c r="I121" i="402" s="1"/>
  <c r="D117" i="402" a="1"/>
  <c r="D117" i="402" s="1"/>
  <c r="I117" i="402" s="1"/>
  <c r="D113" i="402" a="1"/>
  <c r="D113" i="402" s="1"/>
  <c r="D109" i="402" a="1"/>
  <c r="D109" i="402" s="1"/>
  <c r="I109" i="402" s="1"/>
  <c r="D105" i="402" a="1"/>
  <c r="D105" i="402" s="1"/>
  <c r="I105" i="402" s="1"/>
  <c r="D101" i="402" a="1"/>
  <c r="D101" i="402" s="1"/>
  <c r="I101" i="402" s="1"/>
  <c r="D97" i="402" a="1"/>
  <c r="D97" i="402" s="1"/>
  <c r="I97" i="402" s="1"/>
  <c r="D94" i="402" a="1"/>
  <c r="D94" i="402" s="1"/>
  <c r="I94" i="402" s="1"/>
  <c r="D175" i="402" a="1"/>
  <c r="D175" i="402" s="1"/>
  <c r="D163" i="402" a="1"/>
  <c r="D163" i="402" s="1"/>
  <c r="D162" i="402" a="1"/>
  <c r="D162" i="402" s="1"/>
  <c r="D158" i="402" a="1"/>
  <c r="D158" i="402" s="1"/>
  <c r="I158" i="402" s="1"/>
  <c r="D135" i="402" a="1"/>
  <c r="D135" i="402" s="1"/>
  <c r="I135" i="402" s="1"/>
  <c r="D134" i="402" a="1"/>
  <c r="D134" i="402" s="1"/>
  <c r="I134" i="402" s="1"/>
  <c r="D130" i="402" a="1"/>
  <c r="D130" i="402" s="1"/>
  <c r="I130" i="402" s="1"/>
  <c r="D126" i="402" a="1"/>
  <c r="D126" i="402" s="1"/>
  <c r="I126" i="402" s="1"/>
  <c r="D122" i="402" a="1"/>
  <c r="D122" i="402" s="1"/>
  <c r="I122" i="402" s="1"/>
  <c r="D118" i="402" a="1"/>
  <c r="D118" i="402" s="1"/>
  <c r="I118" i="402" s="1"/>
  <c r="D114" i="402" a="1"/>
  <c r="D114" i="402" s="1"/>
  <c r="I114" i="402" s="1"/>
  <c r="D110" i="402" a="1"/>
  <c r="D110" i="402" s="1"/>
  <c r="I110" i="402" s="1"/>
  <c r="D106" i="402" a="1"/>
  <c r="D106" i="402" s="1"/>
  <c r="I106" i="402" s="1"/>
  <c r="D102" i="402" a="1"/>
  <c r="D102" i="402" s="1"/>
  <c r="I102" i="402" s="1"/>
  <c r="D98" i="402" a="1"/>
  <c r="D98" i="402" s="1"/>
  <c r="I98" i="402" s="1"/>
  <c r="D95" i="402" a="1"/>
  <c r="D95" i="402" s="1"/>
  <c r="I95" i="402" s="1"/>
  <c r="D91" i="402" a="1"/>
  <c r="D91" i="402" s="1"/>
  <c r="D88" i="402" a="1"/>
  <c r="D88" i="402" s="1"/>
  <c r="I88" i="402" s="1"/>
  <c r="D85" i="402" a="1"/>
  <c r="D85" i="402" s="1"/>
  <c r="I85" i="402" s="1"/>
  <c r="D81" i="402" a="1"/>
  <c r="D81" i="402" s="1"/>
  <c r="I81" i="402" s="1"/>
  <c r="D72" i="402" a="1"/>
  <c r="D72" i="402" s="1"/>
  <c r="D70" i="402" a="1"/>
  <c r="D70" i="402" s="1"/>
  <c r="D67" i="402" a="1"/>
  <c r="D67" i="402" s="1"/>
  <c r="D63" i="402" a="1"/>
  <c r="D63" i="402" s="1"/>
  <c r="D61" i="402" a="1"/>
  <c r="D61" i="402" s="1"/>
  <c r="D57" i="402" a="1"/>
  <c r="D57" i="402" s="1"/>
  <c r="I57" i="402" s="1"/>
  <c r="D54" i="402" a="1"/>
  <c r="D54" i="402" s="1"/>
  <c r="I54" i="402" s="1"/>
  <c r="D52" i="402" a="1"/>
  <c r="D52" i="402" s="1"/>
  <c r="D43" i="402" a="1"/>
  <c r="D43" i="402" s="1"/>
  <c r="I43" i="402" s="1"/>
  <c r="D39" i="402" a="1"/>
  <c r="D39" i="402" s="1"/>
  <c r="I39" i="402" s="1"/>
  <c r="D35" i="402" a="1"/>
  <c r="D35" i="402" s="1"/>
  <c r="I35" i="402" s="1"/>
  <c r="D31" i="402" a="1"/>
  <c r="D31" i="402" s="1"/>
  <c r="I31" i="402" s="1"/>
  <c r="D23" i="402" a="1"/>
  <c r="D23" i="402" s="1"/>
  <c r="I23" i="402" s="1"/>
  <c r="D16" i="402" a="1"/>
  <c r="D16" i="402" s="1"/>
  <c r="D13" i="402" a="1"/>
  <c r="D13" i="402" s="1"/>
  <c r="I13" i="402" s="1"/>
  <c r="D156" i="402" a="1"/>
  <c r="D156" i="402" s="1"/>
  <c r="D145" i="402" a="1"/>
  <c r="D145" i="402" s="1"/>
  <c r="D142" i="402" a="1"/>
  <c r="D142" i="402" s="1"/>
  <c r="I142" i="402" s="1"/>
  <c r="D136" i="402" a="1"/>
  <c r="D136" i="402" s="1"/>
  <c r="I136" i="402" s="1"/>
  <c r="D128" i="402" a="1"/>
  <c r="D128" i="402" s="1"/>
  <c r="I128" i="402" s="1"/>
  <c r="D119" i="402" a="1"/>
  <c r="D119" i="402" s="1"/>
  <c r="I119" i="402" s="1"/>
  <c r="D112" i="402" a="1"/>
  <c r="D112" i="402" s="1"/>
  <c r="D103" i="402" a="1"/>
  <c r="D103" i="402" s="1"/>
  <c r="I103" i="402" s="1"/>
  <c r="D93" i="402" a="1"/>
  <c r="D93" i="402" s="1"/>
  <c r="I93" i="402" s="1"/>
  <c r="D87" i="402" a="1"/>
  <c r="D87" i="402" s="1"/>
  <c r="I87" i="402" s="1"/>
  <c r="D86" i="402" a="1"/>
  <c r="D86" i="402" s="1"/>
  <c r="D79" i="402" a="1"/>
  <c r="D79" i="402" s="1"/>
  <c r="D71" i="402" a="1"/>
  <c r="D71" i="402" s="1"/>
  <c r="D66" i="402" a="1"/>
  <c r="D66" i="402" s="1"/>
  <c r="I66" i="402" s="1"/>
  <c r="D64" i="402" a="1"/>
  <c r="D64" i="402" s="1"/>
  <c r="I64" i="402" s="1"/>
  <c r="D59" i="402" a="1"/>
  <c r="D59" i="402" s="1"/>
  <c r="I59" i="402" s="1"/>
  <c r="D53" i="402" a="1"/>
  <c r="D53" i="402" s="1"/>
  <c r="D41" i="402" a="1"/>
  <c r="D41" i="402" s="1"/>
  <c r="D28" i="402" a="1"/>
  <c r="D28" i="402" s="1"/>
  <c r="D26" i="402" a="1"/>
  <c r="D26" i="402" s="1"/>
  <c r="D22" i="402" a="1"/>
  <c r="D22" i="402" s="1"/>
  <c r="D21" i="402" s="1"/>
  <c r="D160" i="402" a="1"/>
  <c r="D160" i="402" s="1"/>
  <c r="I160" i="402" s="1"/>
  <c r="D132" i="402" a="1"/>
  <c r="D132" i="402" s="1"/>
  <c r="I132" i="402" s="1"/>
  <c r="D123" i="402" a="1"/>
  <c r="D123" i="402" s="1"/>
  <c r="I123" i="402" s="1"/>
  <c r="D116" i="402" a="1"/>
  <c r="D116" i="402" s="1"/>
  <c r="I116" i="402" s="1"/>
  <c r="D107" i="402" a="1"/>
  <c r="D107" i="402" s="1"/>
  <c r="I107" i="402" s="1"/>
  <c r="D100" i="402" a="1"/>
  <c r="D100" i="402" s="1"/>
  <c r="I100" i="402" s="1"/>
  <c r="D89" i="402" a="1"/>
  <c r="D89" i="402" s="1"/>
  <c r="I89" i="402" s="1"/>
  <c r="D83" i="402" a="1"/>
  <c r="D83" i="402" s="1"/>
  <c r="I83" i="402" s="1"/>
  <c r="D73" i="402" a="1"/>
  <c r="D73" i="402" s="1"/>
  <c r="I73" i="402" s="1"/>
  <c r="D68" i="402" a="1"/>
  <c r="D68" i="402" s="1"/>
  <c r="D56" i="402" a="1"/>
  <c r="D56" i="402" s="1"/>
  <c r="I56" i="402" s="1"/>
  <c r="D55" i="402" a="1"/>
  <c r="D55" i="402" s="1"/>
  <c r="D45" i="402" a="1"/>
  <c r="D45" i="402" s="1"/>
  <c r="I45" i="402" s="1"/>
  <c r="D38" i="402" a="1"/>
  <c r="D38" i="402" s="1"/>
  <c r="I38" i="402" s="1"/>
  <c r="D34" i="402" a="1"/>
  <c r="D34" i="402" s="1"/>
  <c r="I34" i="402" s="1"/>
  <c r="D30" i="402" a="1"/>
  <c r="D30" i="402" s="1"/>
  <c r="I30" i="402" s="1"/>
  <c r="D10" i="402" a="1"/>
  <c r="D10" i="402" s="1"/>
  <c r="D155" i="402" a="1"/>
  <c r="D155" i="402" s="1"/>
  <c r="D141" i="402" a="1"/>
  <c r="D141" i="402" s="1"/>
  <c r="I141" i="402" s="1"/>
  <c r="D137" i="402" a="1"/>
  <c r="D137" i="402" s="1"/>
  <c r="I137" i="402" s="1"/>
  <c r="D127" i="402" a="1"/>
  <c r="D127" i="402" s="1"/>
  <c r="I127" i="402" s="1"/>
  <c r="D120" i="402" a="1"/>
  <c r="D120" i="402" s="1"/>
  <c r="I120" i="402" s="1"/>
  <c r="D111" i="402" a="1"/>
  <c r="D111" i="402" s="1"/>
  <c r="I111" i="402" s="1"/>
  <c r="D104" i="402" a="1"/>
  <c r="D104" i="402" s="1"/>
  <c r="I104" i="402" s="1"/>
  <c r="D92" i="402" a="1"/>
  <c r="D92" i="402" s="1"/>
  <c r="I92" i="402" s="1"/>
  <c r="D80" i="402" a="1"/>
  <c r="D80" i="402" s="1"/>
  <c r="I80" i="402" s="1"/>
  <c r="D65" i="402" a="1"/>
  <c r="D65" i="402" s="1"/>
  <c r="I65" i="402" s="1"/>
  <c r="D60" i="402" a="1"/>
  <c r="D60" i="402" s="1"/>
  <c r="I60" i="402" s="1"/>
  <c r="D58" i="402" a="1"/>
  <c r="D58" i="402" s="1"/>
  <c r="D42" i="402" a="1"/>
  <c r="D42" i="402" s="1"/>
  <c r="I42" i="402" s="1"/>
  <c r="D40" i="402" a="1"/>
  <c r="D40" i="402" s="1"/>
  <c r="I40" i="402" s="1"/>
  <c r="D12" i="402" a="1"/>
  <c r="D12" i="402" s="1"/>
  <c r="D159" i="402" a="1"/>
  <c r="D159" i="402" s="1"/>
  <c r="D131" i="402" a="1"/>
  <c r="D131" i="402" s="1"/>
  <c r="I131" i="402" s="1"/>
  <c r="D124" i="402" a="1"/>
  <c r="D124" i="402" s="1"/>
  <c r="I124" i="402" s="1"/>
  <c r="D115" i="402" a="1"/>
  <c r="D115" i="402" s="1"/>
  <c r="I115" i="402" s="1"/>
  <c r="D108" i="402" a="1"/>
  <c r="D108" i="402" s="1"/>
  <c r="I108" i="402" s="1"/>
  <c r="D99" i="402" a="1"/>
  <c r="D99" i="402" s="1"/>
  <c r="I99" i="402" s="1"/>
  <c r="D96" i="402" a="1"/>
  <c r="D96" i="402" s="1"/>
  <c r="D90" i="402" a="1"/>
  <c r="D90" i="402" s="1"/>
  <c r="D84" i="402" a="1"/>
  <c r="D84" i="402" s="1"/>
  <c r="I84" i="402" s="1"/>
  <c r="D82" i="402" a="1"/>
  <c r="D82" i="402" s="1"/>
  <c r="I82" i="402" s="1"/>
  <c r="D74" i="402" a="1"/>
  <c r="D74" i="402" s="1"/>
  <c r="I74" i="402" s="1"/>
  <c r="D69" i="402" a="1"/>
  <c r="D69" i="402" s="1"/>
  <c r="D62" i="402" a="1"/>
  <c r="D62" i="402" s="1"/>
  <c r="D44" i="402" a="1"/>
  <c r="D44" i="402" s="1"/>
  <c r="I44" i="402" s="1"/>
  <c r="D37" i="402" a="1"/>
  <c r="D37" i="402" s="1"/>
  <c r="D33" i="402" a="1"/>
  <c r="D33" i="402" s="1"/>
  <c r="I33" i="402" s="1"/>
  <c r="D20" i="402" a="1"/>
  <c r="D20" i="402" s="1"/>
  <c r="I20" i="402" s="1"/>
  <c r="D18" i="402" a="1"/>
  <c r="D18" i="402" s="1"/>
  <c r="I18" i="402" s="1"/>
  <c r="D17" i="402" a="1"/>
  <c r="D17" i="402" s="1"/>
  <c r="D14" i="402" a="1"/>
  <c r="D14" i="402" s="1"/>
  <c r="I14" i="402" s="1"/>
  <c r="I79" i="394"/>
  <c r="I22" i="394"/>
  <c r="D21" i="394"/>
  <c r="D29" i="405"/>
  <c r="I30" i="405"/>
  <c r="I33" i="405"/>
  <c r="D32" i="405"/>
  <c r="I32" i="405" s="1"/>
  <c r="I140" i="405"/>
  <c r="D139" i="405"/>
  <c r="I139" i="405" s="1"/>
  <c r="I28" i="405"/>
  <c r="C24" i="403"/>
  <c r="I30" i="399"/>
  <c r="D29" i="399"/>
  <c r="I29" i="399" s="1"/>
  <c r="I145" i="398"/>
  <c r="D144" i="398"/>
  <c r="I144" i="398" s="1"/>
  <c r="I155" i="398"/>
  <c r="C147" i="405"/>
  <c r="C165" i="405" s="1"/>
  <c r="C178" i="405" s="1"/>
  <c r="I10" i="399"/>
  <c r="D175" i="393" a="1"/>
  <c r="D175" i="393" s="1"/>
  <c r="D177" i="393" s="1"/>
  <c r="D163" i="393" a="1"/>
  <c r="D163" i="393" s="1"/>
  <c r="I163" i="393" s="1"/>
  <c r="D159" i="393" a="1"/>
  <c r="D159" i="393" s="1"/>
  <c r="I159" i="393" s="1"/>
  <c r="D155" i="393" a="1"/>
  <c r="D155" i="393" s="1"/>
  <c r="D135" i="393" a="1"/>
  <c r="D135" i="393" s="1"/>
  <c r="I135" i="393" s="1"/>
  <c r="D131" i="393" a="1"/>
  <c r="D131" i="393" s="1"/>
  <c r="I131" i="393" s="1"/>
  <c r="D127" i="393" a="1"/>
  <c r="D127" i="393" s="1"/>
  <c r="I127" i="393" s="1"/>
  <c r="D124" i="393" a="1"/>
  <c r="D124" i="393" s="1"/>
  <c r="D120" i="393" a="1"/>
  <c r="D120" i="393" s="1"/>
  <c r="I120" i="393" s="1"/>
  <c r="D119" i="393" a="1"/>
  <c r="D119" i="393" s="1"/>
  <c r="I119" i="393" s="1"/>
  <c r="D116" i="393" a="1"/>
  <c r="D116" i="393" s="1"/>
  <c r="I116" i="393" s="1"/>
  <c r="D112" i="393" a="1"/>
  <c r="D112" i="393" s="1"/>
  <c r="D108" i="393" a="1"/>
  <c r="D108" i="393" s="1"/>
  <c r="D104" i="393" a="1"/>
  <c r="D104" i="393" s="1"/>
  <c r="D100" i="393" a="1"/>
  <c r="D100" i="393" s="1"/>
  <c r="D96" i="393" a="1"/>
  <c r="D96" i="393" s="1"/>
  <c r="I96" i="393" s="1"/>
  <c r="D93" i="393" a="1"/>
  <c r="D93" i="393" s="1"/>
  <c r="I93" i="393" s="1"/>
  <c r="D86" i="393" a="1"/>
  <c r="D86" i="393" s="1"/>
  <c r="D74" i="393" a="1"/>
  <c r="D74" i="393" s="1"/>
  <c r="D67" i="393" a="1"/>
  <c r="D67" i="393" s="1"/>
  <c r="D64" i="393" a="1"/>
  <c r="D64" i="393" s="1"/>
  <c r="D62" i="393" a="1"/>
  <c r="D62" i="393" s="1"/>
  <c r="D59" i="393" a="1"/>
  <c r="D59" i="393" s="1"/>
  <c r="D56" i="393" a="1"/>
  <c r="D56" i="393" s="1"/>
  <c r="D53" i="393" a="1"/>
  <c r="D53" i="393" s="1"/>
  <c r="I53" i="393" s="1"/>
  <c r="D45" i="393" a="1"/>
  <c r="D45" i="393" s="1"/>
  <c r="I45" i="393" s="1"/>
  <c r="D41" i="393" a="1"/>
  <c r="D41" i="393" s="1"/>
  <c r="H41" i="393" s="1"/>
  <c r="D40" i="393" a="1"/>
  <c r="D40" i="393" s="1"/>
  <c r="I40" i="393" s="1"/>
  <c r="D35" i="393" a="1"/>
  <c r="D35" i="393" s="1"/>
  <c r="I35" i="393" s="1"/>
  <c r="D31" i="393" a="1"/>
  <c r="D31" i="393" s="1"/>
  <c r="D23" i="393" a="1"/>
  <c r="D23" i="393" s="1"/>
  <c r="D16" i="393" a="1"/>
  <c r="D16" i="393" s="1"/>
  <c r="D13" i="393" a="1"/>
  <c r="D13" i="393" s="1"/>
  <c r="I13" i="393" s="1"/>
  <c r="D161" i="393" a="1"/>
  <c r="D161" i="393" s="1"/>
  <c r="I161" i="393" s="1"/>
  <c r="D140" i="393" a="1"/>
  <c r="D140" i="393" s="1"/>
  <c r="D136" i="393" a="1"/>
  <c r="D136" i="393" s="1"/>
  <c r="I136" i="393" s="1"/>
  <c r="D129" i="393" a="1"/>
  <c r="D129" i="393" s="1"/>
  <c r="I129" i="393" s="1"/>
  <c r="D123" i="393" a="1"/>
  <c r="D123" i="393" s="1"/>
  <c r="I123" i="393" s="1"/>
  <c r="D121" i="393" a="1"/>
  <c r="D121" i="393" s="1"/>
  <c r="I121" i="393" s="1"/>
  <c r="D114" i="393" a="1"/>
  <c r="D114" i="393" s="1"/>
  <c r="I114" i="393" s="1"/>
  <c r="D107" i="393" a="1"/>
  <c r="D107" i="393" s="1"/>
  <c r="I107" i="393" s="1"/>
  <c r="D105" i="393" a="1"/>
  <c r="D105" i="393" s="1"/>
  <c r="I105" i="393" s="1"/>
  <c r="D98" i="393" a="1"/>
  <c r="D98" i="393" s="1"/>
  <c r="I98" i="393" s="1"/>
  <c r="D91" i="393" a="1"/>
  <c r="D91" i="393" s="1"/>
  <c r="I91" i="393" s="1"/>
  <c r="D84" i="393" a="1"/>
  <c r="D84" i="393" s="1"/>
  <c r="I84" i="393" s="1"/>
  <c r="D79" i="393" a="1"/>
  <c r="D79" i="393" s="1"/>
  <c r="I79" i="393" s="1"/>
  <c r="D71" i="393" a="1"/>
  <c r="D71" i="393" s="1"/>
  <c r="I71" i="393" s="1"/>
  <c r="D70" i="393" a="1"/>
  <c r="D70" i="393" s="1"/>
  <c r="H70" i="393" s="1"/>
  <c r="D66" i="393" a="1"/>
  <c r="D66" i="393" s="1"/>
  <c r="I66" i="393" s="1"/>
  <c r="D65" i="393" a="1"/>
  <c r="D65" i="393" s="1"/>
  <c r="D60" i="393" a="1"/>
  <c r="D60" i="393" s="1"/>
  <c r="I60" i="393" s="1"/>
  <c r="D55" i="393" a="1"/>
  <c r="D55" i="393" s="1"/>
  <c r="D28" i="393" a="1"/>
  <c r="D28" i="393" s="1"/>
  <c r="D26" i="393" a="1"/>
  <c r="D26" i="393" s="1"/>
  <c r="D22" i="393" a="1"/>
  <c r="D22" i="393" s="1"/>
  <c r="I22" i="393" s="1"/>
  <c r="D12" i="393" a="1"/>
  <c r="D12" i="393" s="1"/>
  <c r="D158" i="393" a="1"/>
  <c r="D158" i="393" s="1"/>
  <c r="I158" i="393" s="1"/>
  <c r="D156" i="393" a="1"/>
  <c r="D156" i="393" s="1"/>
  <c r="D142" i="393" a="1"/>
  <c r="D142" i="393" s="1"/>
  <c r="I142" i="393" s="1"/>
  <c r="D133" i="393" a="1"/>
  <c r="D133" i="393" s="1"/>
  <c r="I133" i="393" s="1"/>
  <c r="D126" i="393" a="1"/>
  <c r="D126" i="393" s="1"/>
  <c r="I126" i="393" s="1"/>
  <c r="D125" i="393" a="1"/>
  <c r="D125" i="393" s="1"/>
  <c r="I125" i="393" s="1"/>
  <c r="D118" i="393" a="1"/>
  <c r="D118" i="393" s="1"/>
  <c r="D162" i="393" a="1"/>
  <c r="D162" i="393" s="1"/>
  <c r="I162" i="393" s="1"/>
  <c r="D160" i="393" a="1"/>
  <c r="D160" i="393" s="1"/>
  <c r="I160" i="393" s="1"/>
  <c r="D145" i="393" a="1"/>
  <c r="D145" i="393" s="1"/>
  <c r="D137" i="393" a="1"/>
  <c r="D137" i="393" s="1"/>
  <c r="I137" i="393" s="1"/>
  <c r="D130" i="393" a="1"/>
  <c r="D130" i="393" s="1"/>
  <c r="D128" i="393" a="1"/>
  <c r="D128" i="393" s="1"/>
  <c r="D122" i="393" a="1"/>
  <c r="D122" i="393" s="1"/>
  <c r="D115" i="393" a="1"/>
  <c r="D115" i="393" s="1"/>
  <c r="I115" i="393" s="1"/>
  <c r="D113" i="393" a="1"/>
  <c r="D113" i="393" s="1"/>
  <c r="D106" i="393" a="1"/>
  <c r="D106" i="393" s="1"/>
  <c r="D99" i="393" a="1"/>
  <c r="D99" i="393" s="1"/>
  <c r="I99" i="393" s="1"/>
  <c r="D97" i="393" a="1"/>
  <c r="D97" i="393"/>
  <c r="I97" i="393" s="1"/>
  <c r="D92" i="393" a="1"/>
  <c r="D92" i="393" s="1"/>
  <c r="D90" i="393" a="1"/>
  <c r="D90" i="393" s="1"/>
  <c r="I90" i="393" s="1"/>
  <c r="D85" i="393" a="1"/>
  <c r="D85" i="393"/>
  <c r="D83" i="393" a="1"/>
  <c r="D83" i="393" s="1"/>
  <c r="D157" i="393" a="1"/>
  <c r="D157" i="393" s="1"/>
  <c r="H157" i="393" s="1"/>
  <c r="D143" i="393" a="1"/>
  <c r="D143" i="393" s="1"/>
  <c r="H143" i="393" s="1"/>
  <c r="D141" i="393" a="1"/>
  <c r="D141" i="393" s="1"/>
  <c r="I141" i="393" s="1"/>
  <c r="D134" i="393" a="1"/>
  <c r="D134" i="393" s="1"/>
  <c r="D132" i="393" a="1"/>
  <c r="D132" i="393" s="1"/>
  <c r="I132" i="393" s="1"/>
  <c r="D117" i="393" a="1"/>
  <c r="D117" i="393" s="1"/>
  <c r="I117" i="393" s="1"/>
  <c r="D110" i="393" a="1"/>
  <c r="D110" i="393" s="1"/>
  <c r="D103" i="393" a="1"/>
  <c r="D103" i="393" s="1"/>
  <c r="I103" i="393" s="1"/>
  <c r="D101" i="393" a="1"/>
  <c r="D101" i="393" s="1"/>
  <c r="I101" i="393" s="1"/>
  <c r="D94" i="393" a="1"/>
  <c r="D94" i="393" s="1"/>
  <c r="I94" i="393" s="1"/>
  <c r="D89" i="393" a="1"/>
  <c r="D89" i="393" s="1"/>
  <c r="D87" i="393" a="1"/>
  <c r="D87" i="393" s="1"/>
  <c r="I87" i="393" s="1"/>
  <c r="D82" i="393" a="1"/>
  <c r="D82" i="393" s="1"/>
  <c r="D80" i="393" a="1"/>
  <c r="D80" i="393" s="1"/>
  <c r="D73" i="393" a="1"/>
  <c r="D73" i="393" s="1"/>
  <c r="I73" i="393" s="1"/>
  <c r="D72" i="393" a="1"/>
  <c r="D72" i="393" s="1"/>
  <c r="D63" i="393" a="1"/>
  <c r="D63" i="393" s="1"/>
  <c r="D58" i="393" a="1"/>
  <c r="D58" i="393" s="1"/>
  <c r="I58" i="393" s="1"/>
  <c r="D43" i="393" a="1"/>
  <c r="D43" i="393" s="1"/>
  <c r="D37" i="393" a="1"/>
  <c r="D37" i="393" s="1"/>
  <c r="D33" i="393" a="1"/>
  <c r="D33" i="393" s="1"/>
  <c r="D20" i="393" a="1"/>
  <c r="D20" i="393" s="1"/>
  <c r="D18" i="393" a="1"/>
  <c r="D18" i="393" s="1"/>
  <c r="I18" i="393" s="1"/>
  <c r="D10" i="393" a="1"/>
  <c r="D10" i="393" s="1"/>
  <c r="D111" i="393" a="1"/>
  <c r="D111" i="393" s="1"/>
  <c r="D81" i="393" a="1"/>
  <c r="D81" i="393" s="1"/>
  <c r="I81" i="393" s="1"/>
  <c r="D68" i="393" a="1"/>
  <c r="D68" i="393" s="1"/>
  <c r="D57" i="393" a="1"/>
  <c r="D57" i="393" s="1"/>
  <c r="I57" i="393" s="1"/>
  <c r="D54" i="393" a="1"/>
  <c r="D54" i="393" s="1"/>
  <c r="D52" i="393" a="1"/>
  <c r="D52" i="393" s="1"/>
  <c r="D39" i="393" a="1"/>
  <c r="D39" i="393" s="1"/>
  <c r="I39" i="393" s="1"/>
  <c r="D14" i="393" a="1"/>
  <c r="D14" i="393" s="1"/>
  <c r="I14" i="393" s="1"/>
  <c r="D102" i="393" a="1"/>
  <c r="D102" i="393" s="1"/>
  <c r="I102" i="393" s="1"/>
  <c r="D69" i="393" a="1"/>
  <c r="D69" i="393" s="1"/>
  <c r="D38" i="393" a="1"/>
  <c r="D38" i="393" s="1"/>
  <c r="D34" i="393" a="1"/>
  <c r="D34" i="393" s="1"/>
  <c r="I34" i="393" s="1"/>
  <c r="D30" i="393" a="1"/>
  <c r="D30" i="393" s="1"/>
  <c r="D109" i="393" a="1"/>
  <c r="D109" i="393" s="1"/>
  <c r="I109" i="393" s="1"/>
  <c r="D95" i="393" a="1"/>
  <c r="D95" i="393" s="1"/>
  <c r="D61" i="393" a="1"/>
  <c r="D61" i="393" s="1"/>
  <c r="I61" i="393" s="1"/>
  <c r="D44" i="393" a="1"/>
  <c r="D44" i="393" s="1"/>
  <c r="D42" i="393" a="1"/>
  <c r="D42" i="393" s="1"/>
  <c r="I42" i="393" s="1"/>
  <c r="D17" i="393" a="1"/>
  <c r="D17" i="393" s="1"/>
  <c r="D88" i="393" a="1"/>
  <c r="D88" i="393" s="1"/>
  <c r="I88" i="393" s="1"/>
  <c r="H96" i="397"/>
  <c r="I37" i="397"/>
  <c r="I12" i="397"/>
  <c r="D11" i="397"/>
  <c r="D175" i="389" a="1"/>
  <c r="D175" i="389" s="1"/>
  <c r="D177" i="389" s="1"/>
  <c r="D159" i="389" a="1"/>
  <c r="D159" i="389" s="1"/>
  <c r="D156" i="389" a="1"/>
  <c r="D156" i="389" s="1"/>
  <c r="D135" i="389" a="1"/>
  <c r="D135" i="389" s="1"/>
  <c r="I135" i="389" s="1"/>
  <c r="D131" i="389" a="1"/>
  <c r="D131" i="389" s="1"/>
  <c r="I131" i="389" s="1"/>
  <c r="D127" i="389" a="1"/>
  <c r="D127" i="389" s="1"/>
  <c r="I127" i="389" s="1"/>
  <c r="D124" i="389" a="1"/>
  <c r="D124" i="389" s="1"/>
  <c r="I124" i="389" s="1"/>
  <c r="D120" i="389" a="1"/>
  <c r="D120" i="389" s="1"/>
  <c r="D117" i="389" a="1"/>
  <c r="D117" i="389" s="1"/>
  <c r="I117" i="389" s="1"/>
  <c r="D113" i="389" a="1"/>
  <c r="D113" i="389" s="1"/>
  <c r="I113" i="389" s="1"/>
  <c r="D111" i="389" a="1"/>
  <c r="D111" i="389" s="1"/>
  <c r="I111" i="389" s="1"/>
  <c r="D107" i="389" a="1"/>
  <c r="D107" i="389" s="1"/>
  <c r="I107" i="389" s="1"/>
  <c r="D103" i="389" a="1"/>
  <c r="D103" i="389" s="1"/>
  <c r="I103" i="389" s="1"/>
  <c r="D96" i="389" a="1"/>
  <c r="D96" i="389" s="1"/>
  <c r="I96" i="389" s="1"/>
  <c r="D94" i="389" a="1"/>
  <c r="D94" i="389" s="1"/>
  <c r="D91" i="389" a="1"/>
  <c r="D91" i="389" s="1"/>
  <c r="I91" i="389" s="1"/>
  <c r="D89" i="389" a="1"/>
  <c r="D89" i="389" s="1"/>
  <c r="D80" i="389" a="1"/>
  <c r="D80" i="389" s="1"/>
  <c r="I80" i="389" s="1"/>
  <c r="D72" i="389" a="1"/>
  <c r="D72" i="389" s="1"/>
  <c r="I72" i="389" s="1"/>
  <c r="D70" i="389" a="1"/>
  <c r="D70" i="389" s="1"/>
  <c r="H70" i="389" s="1"/>
  <c r="D68" i="389" a="1"/>
  <c r="D68" i="389" s="1"/>
  <c r="D64" i="389" a="1"/>
  <c r="D64" i="389" s="1"/>
  <c r="I64" i="389" s="1"/>
  <c r="D61" i="389" a="1"/>
  <c r="D61" i="389" s="1"/>
  <c r="D58" i="389" a="1"/>
  <c r="D58" i="389" s="1"/>
  <c r="I58" i="389" s="1"/>
  <c r="D53" i="389" a="1"/>
  <c r="D53" i="389" s="1"/>
  <c r="D43" i="389" a="1"/>
  <c r="D43" i="389" s="1"/>
  <c r="I43" i="389" s="1"/>
  <c r="D40" i="389" a="1"/>
  <c r="D40" i="389" s="1"/>
  <c r="D37" i="389" a="1"/>
  <c r="D37" i="389" s="1"/>
  <c r="D34" i="389" a="1"/>
  <c r="D34" i="389" s="1"/>
  <c r="D26" i="389" a="1"/>
  <c r="D26" i="389" s="1"/>
  <c r="D22" i="389" a="1"/>
  <c r="D22" i="389" s="1"/>
  <c r="H22" i="389" s="1"/>
  <c r="D18" i="389" a="1"/>
  <c r="D18" i="389" s="1"/>
  <c r="I18" i="389" s="1"/>
  <c r="D14" i="389" a="1"/>
  <c r="D14" i="389" s="1"/>
  <c r="I14" i="389" s="1"/>
  <c r="D163" i="389" a="1"/>
  <c r="D163" i="389" s="1"/>
  <c r="I163" i="389" s="1"/>
  <c r="D160" i="389" a="1"/>
  <c r="D160" i="389" s="1"/>
  <c r="D157" i="389" a="1"/>
  <c r="D157" i="389" s="1"/>
  <c r="I157" i="389" s="1"/>
  <c r="D141" i="389" a="1"/>
  <c r="D141" i="389" s="1"/>
  <c r="D136" i="389" a="1"/>
  <c r="D136" i="389" s="1"/>
  <c r="D132" i="389" a="1"/>
  <c r="D132" i="389" s="1"/>
  <c r="I132" i="389" s="1"/>
  <c r="D128" i="389" a="1"/>
  <c r="D128" i="389" s="1"/>
  <c r="I128" i="389" s="1"/>
  <c r="D125" i="389" a="1"/>
  <c r="D125" i="389" s="1"/>
  <c r="D121" i="389" a="1"/>
  <c r="D121" i="389" s="1"/>
  <c r="I121" i="389" s="1"/>
  <c r="D118" i="389" a="1"/>
  <c r="D118" i="389" s="1"/>
  <c r="D114" i="389" a="1"/>
  <c r="D114" i="389" s="1"/>
  <c r="I114" i="389" s="1"/>
  <c r="D108" i="389" a="1"/>
  <c r="D108" i="389" s="1"/>
  <c r="I108" i="389" s="1"/>
  <c r="D104" i="389" a="1"/>
  <c r="D104" i="389" s="1"/>
  <c r="I104" i="389" s="1"/>
  <c r="D100" i="389" a="1"/>
  <c r="D100" i="389" s="1"/>
  <c r="I100" i="389" s="1"/>
  <c r="D97" i="389" a="1"/>
  <c r="D97" i="389" s="1"/>
  <c r="I97" i="389" s="1"/>
  <c r="D92" i="389" a="1"/>
  <c r="D92" i="389" s="1"/>
  <c r="I92" i="389" s="1"/>
  <c r="D87" i="389" a="1"/>
  <c r="D87" i="389" s="1"/>
  <c r="D85" i="389" a="1"/>
  <c r="D85" i="389" s="1"/>
  <c r="H85" i="389" s="1"/>
  <c r="D83" i="389" a="1"/>
  <c r="D83" i="389" s="1"/>
  <c r="D81" i="389" a="1"/>
  <c r="D81" i="389" s="1"/>
  <c r="I81" i="389" s="1"/>
  <c r="D65" i="389" a="1"/>
  <c r="D65" i="389" s="1"/>
  <c r="I65" i="389" s="1"/>
  <c r="D62" i="389" a="1"/>
  <c r="D62" i="389" s="1"/>
  <c r="D56" i="389" a="1"/>
  <c r="D56" i="389" s="1"/>
  <c r="D44" i="389" a="1"/>
  <c r="D44" i="389" s="1"/>
  <c r="D35" i="389" a="1"/>
  <c r="D35" i="389" s="1"/>
  <c r="I35" i="389" s="1"/>
  <c r="D31" i="389" a="1"/>
  <c r="D31" i="389" s="1"/>
  <c r="D23" i="389" a="1"/>
  <c r="D23" i="389" s="1"/>
  <c r="I23" i="389" s="1"/>
  <c r="D12" i="389" a="1"/>
  <c r="D12" i="389" s="1"/>
  <c r="D116" i="389" a="1"/>
  <c r="D116" i="389" s="1"/>
  <c r="D102" i="389" a="1"/>
  <c r="D102" i="389" s="1"/>
  <c r="I102" i="389" s="1"/>
  <c r="D86" i="389" a="1"/>
  <c r="D86" i="389" s="1"/>
  <c r="I86" i="389" s="1"/>
  <c r="D84" i="389" a="1"/>
  <c r="D84" i="389" s="1"/>
  <c r="D82" i="389" a="1"/>
  <c r="D82" i="389" s="1"/>
  <c r="D74" i="389" a="1"/>
  <c r="D74" i="389" s="1"/>
  <c r="I74" i="389" s="1"/>
  <c r="D45" i="389" a="1"/>
  <c r="D45" i="389" s="1"/>
  <c r="I45" i="389" s="1"/>
  <c r="D30" i="389" a="1"/>
  <c r="D30" i="389" s="1"/>
  <c r="D161" i="389" a="1"/>
  <c r="D161" i="389" s="1"/>
  <c r="I161" i="389" s="1"/>
  <c r="D158" i="389" a="1"/>
  <c r="D158" i="389" s="1"/>
  <c r="D145" i="389" a="1"/>
  <c r="D145" i="389" s="1"/>
  <c r="D144" i="389" s="1"/>
  <c r="D142" i="389" a="1"/>
  <c r="D142" i="389" s="1"/>
  <c r="I142" i="389" s="1"/>
  <c r="D137" i="389" a="1"/>
  <c r="D137" i="389" s="1"/>
  <c r="I137" i="389" s="1"/>
  <c r="D133" i="389" a="1"/>
  <c r="D133" i="389" s="1"/>
  <c r="D129" i="389" a="1"/>
  <c r="D129" i="389" s="1"/>
  <c r="D122" i="389" a="1"/>
  <c r="D122" i="389" s="1"/>
  <c r="I122" i="389" s="1"/>
  <c r="D115" i="389" a="1"/>
  <c r="D115" i="389" s="1"/>
  <c r="I115" i="389" s="1"/>
  <c r="D112" i="389" a="1"/>
  <c r="D112" i="389" s="1"/>
  <c r="I112" i="389" s="1"/>
  <c r="D109" i="389" a="1"/>
  <c r="D109" i="389" s="1"/>
  <c r="D105" i="389" a="1"/>
  <c r="D105" i="389" s="1"/>
  <c r="H105" i="389" s="1"/>
  <c r="D101" i="389" a="1"/>
  <c r="D101" i="389" s="1"/>
  <c r="I101" i="389" s="1"/>
  <c r="D98" i="389" a="1"/>
  <c r="D98" i="389" s="1"/>
  <c r="I98" i="389" s="1"/>
  <c r="D95" i="389" a="1"/>
  <c r="D95" i="389" s="1"/>
  <c r="D93" i="389" a="1"/>
  <c r="D93" i="389" s="1"/>
  <c r="D90" i="389" a="1"/>
  <c r="D90" i="389" s="1"/>
  <c r="D88" i="389" a="1"/>
  <c r="D88" i="389" s="1"/>
  <c r="H88" i="389" s="1"/>
  <c r="D79" i="389" a="1"/>
  <c r="D79" i="389" s="1"/>
  <c r="D73" i="389" a="1"/>
  <c r="D73" i="389" s="1"/>
  <c r="I73" i="389" s="1"/>
  <c r="D71" i="389" a="1"/>
  <c r="D71" i="389" s="1"/>
  <c r="D69" i="389" a="1"/>
  <c r="D69" i="389" s="1"/>
  <c r="D66" i="389" a="1"/>
  <c r="D66" i="389" s="1"/>
  <c r="I66" i="389" s="1"/>
  <c r="D59" i="389" a="1"/>
  <c r="D59" i="389" s="1"/>
  <c r="D54" i="389" a="1"/>
  <c r="D54" i="389" s="1"/>
  <c r="D52" i="389" a="1"/>
  <c r="D52" i="389" s="1"/>
  <c r="H52" i="389" s="1"/>
  <c r="D41" i="389" a="1"/>
  <c r="D41" i="389" s="1"/>
  <c r="I41" i="389" s="1"/>
  <c r="D38" i="389" a="1"/>
  <c r="D38" i="389" s="1"/>
  <c r="D20" i="389" a="1"/>
  <c r="D20" i="389" s="1"/>
  <c r="I20" i="389" s="1"/>
  <c r="D16" i="389" a="1"/>
  <c r="D16" i="389" s="1"/>
  <c r="D10" i="389" a="1"/>
  <c r="D10" i="389" s="1"/>
  <c r="D140" i="389" a="1"/>
  <c r="D140" i="389" s="1"/>
  <c r="D134" i="389" a="1"/>
  <c r="D134" i="389" s="1"/>
  <c r="I134" i="389" s="1"/>
  <c r="D119" i="389" a="1"/>
  <c r="D119" i="389" s="1"/>
  <c r="D110" i="389" a="1"/>
  <c r="D110" i="389" s="1"/>
  <c r="D106" i="389" a="1"/>
  <c r="D106" i="389" s="1"/>
  <c r="I106" i="389" s="1"/>
  <c r="D99" i="389" a="1"/>
  <c r="D99" i="389" s="1"/>
  <c r="D67" i="389" a="1"/>
  <c r="D67" i="389" s="1"/>
  <c r="D63" i="389" a="1"/>
  <c r="D63" i="389" s="1"/>
  <c r="D55" i="389" a="1"/>
  <c r="D55" i="389" s="1"/>
  <c r="I55" i="389" s="1"/>
  <c r="D42" i="389" a="1"/>
  <c r="D42" i="389" s="1"/>
  <c r="D39" i="389" a="1"/>
  <c r="D39" i="389" s="1"/>
  <c r="D33" i="389" a="1"/>
  <c r="D33" i="389" s="1"/>
  <c r="D28" i="389" a="1"/>
  <c r="D28" i="389" s="1"/>
  <c r="D162" i="389" a="1"/>
  <c r="D162" i="389" s="1"/>
  <c r="D155" i="389" a="1"/>
  <c r="D155" i="389" s="1"/>
  <c r="H155" i="389" s="1"/>
  <c r="D143" i="389" a="1"/>
  <c r="D143" i="389" s="1"/>
  <c r="I143" i="389" s="1"/>
  <c r="D130" i="389" a="1"/>
  <c r="D130" i="389" s="1"/>
  <c r="D126" i="389" a="1"/>
  <c r="D126" i="389" s="1"/>
  <c r="I126" i="389" s="1"/>
  <c r="D123" i="389" a="1"/>
  <c r="D123" i="389" s="1"/>
  <c r="I123" i="389" s="1"/>
  <c r="D60" i="389" a="1"/>
  <c r="D60" i="389" s="1"/>
  <c r="D57" i="389" a="1"/>
  <c r="D57" i="389" s="1"/>
  <c r="D17" i="389" a="1"/>
  <c r="D17" i="389" s="1"/>
  <c r="D13" i="389" a="1"/>
  <c r="D13" i="389" s="1"/>
  <c r="I13" i="389" s="1"/>
  <c r="C24" i="397"/>
  <c r="C48" i="397"/>
  <c r="I155" i="395"/>
  <c r="I26" i="395"/>
  <c r="D139" i="407"/>
  <c r="I33" i="407"/>
  <c r="D32" i="407"/>
  <c r="I32" i="407" s="1"/>
  <c r="I175" i="395"/>
  <c r="D177" i="395"/>
  <c r="I177" i="395" s="1"/>
  <c r="I37" i="407"/>
  <c r="I26" i="407"/>
  <c r="I12" i="407"/>
  <c r="C48" i="408"/>
  <c r="C179" i="408" s="1"/>
  <c r="C48" i="407"/>
  <c r="C165" i="389"/>
  <c r="R1002" i="328"/>
  <c r="A119" i="328"/>
  <c r="R1096" i="328"/>
  <c r="A1106" i="328"/>
  <c r="A1059" i="328"/>
  <c r="A636" i="328"/>
  <c r="R814" i="328"/>
  <c r="R673" i="328"/>
  <c r="A307" i="328"/>
  <c r="R1" i="328"/>
  <c r="A11" i="328"/>
  <c r="H112" i="392"/>
  <c r="I40" i="392"/>
  <c r="H40" i="392"/>
  <c r="I79" i="395"/>
  <c r="H52" i="395"/>
  <c r="I52" i="395"/>
  <c r="I28" i="395"/>
  <c r="H28" i="395"/>
  <c r="I84" i="392"/>
  <c r="H84" i="392"/>
  <c r="I55" i="392"/>
  <c r="H162" i="360"/>
  <c r="H118" i="360"/>
  <c r="H58" i="360"/>
  <c r="I69" i="392"/>
  <c r="H69" i="392"/>
  <c r="H22" i="395"/>
  <c r="H79" i="392"/>
  <c r="I79" i="392"/>
  <c r="I88" i="392"/>
  <c r="H88" i="392"/>
  <c r="C15" i="421"/>
  <c r="O14" i="421" a="1"/>
  <c r="O14" i="421" s="1"/>
  <c r="H14" i="421" a="1"/>
  <c r="H14" i="421" s="1"/>
  <c r="N14" i="421" a="1"/>
  <c r="N14" i="421" s="1"/>
  <c r="H10" i="392"/>
  <c r="H33" i="408"/>
  <c r="H10" i="408"/>
  <c r="H20" i="392"/>
  <c r="I79" i="407"/>
  <c r="H79" i="407"/>
  <c r="I86" i="360"/>
  <c r="H86" i="360"/>
  <c r="H96" i="408"/>
  <c r="H12" i="407"/>
  <c r="G11" i="407"/>
  <c r="I94" i="360"/>
  <c r="H94" i="360"/>
  <c r="H22" i="360"/>
  <c r="I52" i="360"/>
  <c r="H52" i="360"/>
  <c r="H155" i="408"/>
  <c r="H26" i="408"/>
  <c r="I55" i="408"/>
  <c r="H37" i="360"/>
  <c r="H72" i="408"/>
  <c r="H113" i="360"/>
  <c r="I113" i="360"/>
  <c r="H140" i="360"/>
  <c r="G139" i="360"/>
  <c r="I103" i="360"/>
  <c r="I62" i="360"/>
  <c r="H62" i="360"/>
  <c r="I79" i="360"/>
  <c r="H10" i="360"/>
  <c r="H10" i="395"/>
  <c r="H155" i="392"/>
  <c r="I52" i="397"/>
  <c r="H52" i="397"/>
  <c r="H79" i="397"/>
  <c r="I70" i="397"/>
  <c r="H70" i="397"/>
  <c r="H26" i="397"/>
  <c r="H16" i="397"/>
  <c r="H10" i="405"/>
  <c r="H22" i="405"/>
  <c r="H37" i="405"/>
  <c r="I52" i="394"/>
  <c r="H52" i="394"/>
  <c r="H20" i="394"/>
  <c r="H12" i="401"/>
  <c r="H10" i="394"/>
  <c r="G21" i="401"/>
  <c r="I52" i="399"/>
  <c r="H26" i="399"/>
  <c r="H16" i="399"/>
  <c r="A15" i="420" a="1"/>
  <c r="A15" i="420"/>
  <c r="R15" i="420" a="1"/>
  <c r="R15" i="420" s="1"/>
  <c r="K15" i="420" a="1"/>
  <c r="K15" i="420" s="1"/>
  <c r="E15" i="420" a="1"/>
  <c r="E15" i="420" s="1"/>
  <c r="Q15" i="420" a="1"/>
  <c r="Q15" i="420"/>
  <c r="O15" i="420" a="1"/>
  <c r="O15" i="420" s="1"/>
  <c r="L15" i="420" a="1"/>
  <c r="L15" i="420" s="1"/>
  <c r="J15" i="420" a="1"/>
  <c r="J15" i="420" s="1"/>
  <c r="H15" i="420" a="1"/>
  <c r="H15" i="420"/>
  <c r="F15" i="420" a="1"/>
  <c r="F15" i="420" s="1"/>
  <c r="D15" i="420" a="1"/>
  <c r="D15" i="420" s="1"/>
  <c r="P15" i="420" a="1"/>
  <c r="P15" i="420" s="1"/>
  <c r="I15" i="420" a="1"/>
  <c r="I15" i="420" s="1"/>
  <c r="C16" i="420"/>
  <c r="Q16" i="420" s="1" a="1"/>
  <c r="Q16" i="420" s="1"/>
  <c r="M15" i="420" a="1"/>
  <c r="M15" i="420"/>
  <c r="G15" i="420" a="1"/>
  <c r="G15" i="420"/>
  <c r="C48" i="396"/>
  <c r="H104" i="407"/>
  <c r="C48" i="404"/>
  <c r="H121" i="407"/>
  <c r="E23" i="385"/>
  <c r="G43" i="386"/>
  <c r="O43" i="385"/>
  <c r="D29" i="407"/>
  <c r="D29" i="392"/>
  <c r="D27" i="392" s="1"/>
  <c r="H99" i="360"/>
  <c r="F23" i="365"/>
  <c r="F44" i="365" s="1"/>
  <c r="I43" i="386"/>
  <c r="H31" i="407"/>
  <c r="H13" i="399"/>
  <c r="H135" i="360"/>
  <c r="H156" i="360"/>
  <c r="H94" i="392"/>
  <c r="H60" i="360"/>
  <c r="H95" i="408"/>
  <c r="D36" i="395"/>
  <c r="D47" i="395" s="1"/>
  <c r="I70" i="389"/>
  <c r="H35" i="360"/>
  <c r="H119" i="408"/>
  <c r="H92" i="360"/>
  <c r="H82" i="408"/>
  <c r="H54" i="408"/>
  <c r="H38" i="392"/>
  <c r="H43" i="360"/>
  <c r="H163" i="360"/>
  <c r="H57" i="360"/>
  <c r="H142" i="360"/>
  <c r="H67" i="360"/>
  <c r="I85" i="392"/>
  <c r="H133" i="395"/>
  <c r="H121" i="392"/>
  <c r="H122" i="396"/>
  <c r="H65" i="396"/>
  <c r="H65" i="399"/>
  <c r="K43" i="386"/>
  <c r="C48" i="402"/>
  <c r="C166" i="402" s="1"/>
  <c r="C170" i="402" s="1"/>
  <c r="C48" i="394"/>
  <c r="A14" i="421" a="1"/>
  <c r="A14" i="421" s="1"/>
  <c r="G14" i="421" a="1"/>
  <c r="G14" i="421" s="1"/>
  <c r="D32" i="399"/>
  <c r="I32" i="399" s="1"/>
  <c r="H31" i="396"/>
  <c r="H35" i="399"/>
  <c r="P19" i="316"/>
  <c r="P20" i="316" s="1"/>
  <c r="P21" i="316" s="1"/>
  <c r="P22" i="316" s="1"/>
  <c r="P23" i="316" s="1"/>
  <c r="P24" i="316" s="1"/>
  <c r="P25" i="316" s="1"/>
  <c r="P26" i="316" s="1"/>
  <c r="P27" i="316" s="1"/>
  <c r="P28" i="316" s="1"/>
  <c r="P29" i="316" s="1"/>
  <c r="P30" i="316" s="1"/>
  <c r="P31" i="316" s="1"/>
  <c r="P32" i="316" s="1"/>
  <c r="P33" i="316" s="1"/>
  <c r="P34" i="316" s="1"/>
  <c r="P35" i="316" s="1"/>
  <c r="P36" i="316" s="1"/>
  <c r="P37" i="316" s="1"/>
  <c r="P38" i="316" s="1"/>
  <c r="P39" i="316" s="1"/>
  <c r="P40" i="316" s="1"/>
  <c r="P41" i="316" s="1"/>
  <c r="P42" i="316" s="1"/>
  <c r="P43" i="316" s="1"/>
  <c r="P44" i="316" s="1"/>
  <c r="P45" i="316" s="1"/>
  <c r="P46" i="316" s="1"/>
  <c r="P47" i="316" s="1"/>
  <c r="P48" i="316" s="1"/>
  <c r="P49" i="316" s="1"/>
  <c r="P50" i="316" s="1"/>
  <c r="P51" i="316" s="1"/>
  <c r="P52" i="316" s="1"/>
  <c r="P53" i="316" s="1"/>
  <c r="P54" i="316" s="1"/>
  <c r="P55" i="316" s="1"/>
  <c r="P56" i="316" s="1"/>
  <c r="P57" i="316" s="1"/>
  <c r="P58" i="316" s="1"/>
  <c r="P59" i="316" s="1"/>
  <c r="P60" i="316" s="1"/>
  <c r="P61" i="316" s="1"/>
  <c r="P62" i="316" s="1"/>
  <c r="P63" i="316" s="1"/>
  <c r="P64" i="316" s="1"/>
  <c r="P65" i="316" s="1"/>
  <c r="P66" i="316" s="1"/>
  <c r="P67" i="316" s="1"/>
  <c r="P68" i="316" s="1"/>
  <c r="P69" i="316" s="1"/>
  <c r="P70" i="316" s="1"/>
  <c r="P71" i="316" s="1"/>
  <c r="P72" i="316" s="1"/>
  <c r="P73" i="316" s="1"/>
  <c r="P74" i="316" s="1"/>
  <c r="P75" i="316" s="1"/>
  <c r="P76" i="316" s="1"/>
  <c r="P77" i="316" s="1"/>
  <c r="P78" i="316" s="1"/>
  <c r="P79" i="316" s="1"/>
  <c r="P80" i="316" s="1"/>
  <c r="P81" i="316" s="1"/>
  <c r="P82" i="316" s="1"/>
  <c r="P83" i="316" s="1"/>
  <c r="P84" i="316" s="1"/>
  <c r="P85" i="316" s="1"/>
  <c r="P86" i="316" s="1"/>
  <c r="P87" i="316" s="1"/>
  <c r="P88" i="316" s="1"/>
  <c r="P89" i="316" s="1"/>
  <c r="P90" i="316" s="1"/>
  <c r="P91" i="316" s="1"/>
  <c r="P92" i="316" s="1"/>
  <c r="P93" i="316" s="1"/>
  <c r="P94" i="316" s="1"/>
  <c r="P95" i="316" s="1"/>
  <c r="P96" i="316" s="1"/>
  <c r="P97" i="316" s="1"/>
  <c r="P98" i="316" s="1"/>
  <c r="P99" i="316" s="1"/>
  <c r="P100" i="316" s="1"/>
  <c r="P101" i="316" s="1"/>
  <c r="P102" i="316" s="1"/>
  <c r="P103" i="316" s="1"/>
  <c r="P104" i="316" s="1"/>
  <c r="P105" i="316" s="1"/>
  <c r="P106" i="316" s="1"/>
  <c r="P107" i="316" s="1"/>
  <c r="P108" i="316" s="1"/>
  <c r="P109" i="316" s="1"/>
  <c r="P110" i="316" s="1"/>
  <c r="I14" i="421" a="1"/>
  <c r="I14" i="421" s="1"/>
  <c r="K14" i="421" a="1"/>
  <c r="K14" i="421" s="1"/>
  <c r="L14" i="421" a="1"/>
  <c r="L14" i="421" s="1"/>
  <c r="M14" i="421" a="1"/>
  <c r="M14" i="421" s="1"/>
  <c r="Q14" i="421" a="1"/>
  <c r="Q14" i="421" s="1"/>
  <c r="H40" i="397"/>
  <c r="C16" i="421"/>
  <c r="G16" i="421" s="1" a="1"/>
  <c r="G16" i="421" s="1"/>
  <c r="H105" i="395"/>
  <c r="H93" i="397"/>
  <c r="R16" i="422" a="1"/>
  <c r="R16" i="422" s="1"/>
  <c r="M16" i="422" a="1"/>
  <c r="M16" i="422" s="1"/>
  <c r="H16" i="422" a="1"/>
  <c r="H16" i="422" s="1"/>
  <c r="N16" i="422" a="1"/>
  <c r="N16" i="422"/>
  <c r="I16" i="422" a="1"/>
  <c r="I16" i="422" s="1"/>
  <c r="P16" i="422" a="1"/>
  <c r="P16" i="422" s="1"/>
  <c r="L16" i="422" a="1"/>
  <c r="L16" i="422" s="1"/>
  <c r="G16" i="422" a="1"/>
  <c r="G16" i="422" s="1"/>
  <c r="C17" i="422"/>
  <c r="O16" i="422" a="1"/>
  <c r="O16" i="422" s="1"/>
  <c r="J16" i="422" a="1"/>
  <c r="J16" i="422"/>
  <c r="A16" i="422" a="1"/>
  <c r="A16" i="422" s="1"/>
  <c r="H17" i="396"/>
  <c r="C99" i="385"/>
  <c r="P99" i="385" s="1"/>
  <c r="C17" i="385"/>
  <c r="P17" i="385" s="1"/>
  <c r="L76" i="385"/>
  <c r="L80" i="385" s="1"/>
  <c r="H151" i="385"/>
  <c r="H164" i="385" s="1"/>
  <c r="H165" i="385" s="1"/>
  <c r="H167" i="385" s="1"/>
  <c r="K151" i="385"/>
  <c r="K164" i="385" s="1"/>
  <c r="N76" i="365"/>
  <c r="N80" i="365" s="1"/>
  <c r="D15" i="395"/>
  <c r="I15" i="395" s="1"/>
  <c r="H132" i="399"/>
  <c r="H84" i="399"/>
  <c r="I55" i="395"/>
  <c r="H73" i="395"/>
  <c r="H156" i="395"/>
  <c r="H31" i="392"/>
  <c r="H23" i="392"/>
  <c r="H129" i="395"/>
  <c r="I76" i="365"/>
  <c r="I80" i="365" s="1"/>
  <c r="F151" i="365"/>
  <c r="F164" i="365" s="1"/>
  <c r="O23" i="385"/>
  <c r="D9" i="398"/>
  <c r="I9" i="398" s="1"/>
  <c r="G151" i="365"/>
  <c r="G164" i="365" s="1"/>
  <c r="I33" i="395"/>
  <c r="H142" i="395"/>
  <c r="H160" i="395"/>
  <c r="H54" i="392"/>
  <c r="I151" i="385"/>
  <c r="I164" i="385" s="1"/>
  <c r="I16" i="392"/>
  <c r="D15" i="392"/>
  <c r="I15" i="392" s="1"/>
  <c r="H91" i="392"/>
  <c r="I70" i="393"/>
  <c r="I155" i="393"/>
  <c r="I37" i="402"/>
  <c r="I16" i="403"/>
  <c r="I22" i="403"/>
  <c r="I143" i="403"/>
  <c r="H143" i="403"/>
  <c r="I33" i="403"/>
  <c r="D32" i="403"/>
  <c r="I32" i="403" s="1"/>
  <c r="D139" i="404"/>
  <c r="I12" i="404"/>
  <c r="I30" i="404"/>
  <c r="D29" i="404"/>
  <c r="D27" i="404" s="1"/>
  <c r="H63" i="404"/>
  <c r="H81" i="393"/>
  <c r="H60" i="393"/>
  <c r="I29" i="397"/>
  <c r="D27" i="397"/>
  <c r="I27" i="397" s="1"/>
  <c r="K76" i="365"/>
  <c r="K80" i="365"/>
  <c r="C134" i="385"/>
  <c r="P134" i="385" s="1"/>
  <c r="K23" i="385"/>
  <c r="K44" i="385" s="1"/>
  <c r="H103" i="393"/>
  <c r="D29" i="396"/>
  <c r="D27" i="396" s="1"/>
  <c r="I30" i="396"/>
  <c r="I144" i="396"/>
  <c r="I145" i="396"/>
  <c r="I26" i="396"/>
  <c r="I143" i="396"/>
  <c r="H143" i="396"/>
  <c r="H70" i="360"/>
  <c r="H40" i="360"/>
  <c r="I10" i="360"/>
  <c r="I61" i="360"/>
  <c r="H61" i="360"/>
  <c r="H102" i="360"/>
  <c r="I22" i="360"/>
  <c r="I37" i="360"/>
  <c r="I140" i="360"/>
  <c r="I26" i="408"/>
  <c r="D177" i="408"/>
  <c r="I177" i="408" s="1"/>
  <c r="I175" i="408"/>
  <c r="I140" i="401"/>
  <c r="D21" i="401"/>
  <c r="H112" i="360"/>
  <c r="D27" i="399"/>
  <c r="I27" i="399" s="1"/>
  <c r="C117" i="365"/>
  <c r="P117" i="365" s="1"/>
  <c r="H13" i="360"/>
  <c r="H125" i="360"/>
  <c r="C148" i="393"/>
  <c r="C152" i="393" s="1"/>
  <c r="C153" i="393"/>
  <c r="H98" i="360"/>
  <c r="I10" i="393"/>
  <c r="I37" i="393"/>
  <c r="D21" i="393"/>
  <c r="I28" i="402"/>
  <c r="I16" i="402"/>
  <c r="I163" i="402"/>
  <c r="D177" i="403"/>
  <c r="I177" i="403" s="1"/>
  <c r="I37" i="403"/>
  <c r="D24" i="388"/>
  <c r="H61" i="404"/>
  <c r="I143" i="404"/>
  <c r="H143" i="404"/>
  <c r="J23" i="365"/>
  <c r="D11" i="385"/>
  <c r="D23" i="385" s="1"/>
  <c r="C77" i="385"/>
  <c r="P77" i="385" s="1"/>
  <c r="I23" i="385"/>
  <c r="H66" i="393"/>
  <c r="H125" i="393"/>
  <c r="C148" i="399"/>
  <c r="C152" i="399" s="1"/>
  <c r="C149" i="399"/>
  <c r="D43" i="385"/>
  <c r="H103" i="389"/>
  <c r="I37" i="396"/>
  <c r="I140" i="396"/>
  <c r="I63" i="360"/>
  <c r="H63" i="360"/>
  <c r="I26" i="360"/>
  <c r="I12" i="408"/>
  <c r="I30" i="408"/>
  <c r="D29" i="408"/>
  <c r="I52" i="408"/>
  <c r="H52" i="408"/>
  <c r="I79" i="408"/>
  <c r="I10" i="408"/>
  <c r="D144" i="408"/>
  <c r="I144" i="408" s="1"/>
  <c r="D97" i="365"/>
  <c r="D151" i="365" s="1"/>
  <c r="D164" i="365" s="1"/>
  <c r="G76" i="385"/>
  <c r="G80" i="385" s="1"/>
  <c r="H14" i="393"/>
  <c r="H99" i="408"/>
  <c r="H156" i="401"/>
  <c r="O76" i="385"/>
  <c r="O80" i="385" s="1"/>
  <c r="H97" i="408"/>
  <c r="H34" i="360"/>
  <c r="H71" i="393"/>
  <c r="H44" i="360"/>
  <c r="C167" i="393"/>
  <c r="I145" i="393"/>
  <c r="D144" i="393"/>
  <c r="I144" i="393" s="1"/>
  <c r="I10" i="402"/>
  <c r="D144" i="403"/>
  <c r="I144" i="403" s="1"/>
  <c r="I62" i="403"/>
  <c r="I20" i="404"/>
  <c r="D177" i="404"/>
  <c r="I177" i="404" s="1"/>
  <c r="I175" i="404"/>
  <c r="H55" i="404"/>
  <c r="I55" i="404"/>
  <c r="I37" i="404"/>
  <c r="D21" i="404"/>
  <c r="I21" i="404" s="1"/>
  <c r="I79" i="404"/>
  <c r="D76" i="385"/>
  <c r="D80" i="385" s="1"/>
  <c r="K76" i="385"/>
  <c r="K80" i="385" s="1"/>
  <c r="K165" i="385" s="1"/>
  <c r="H142" i="389"/>
  <c r="C146" i="385"/>
  <c r="P146" i="385" s="1"/>
  <c r="C137" i="385"/>
  <c r="P137" i="385" s="1"/>
  <c r="I89" i="360"/>
  <c r="H89" i="360"/>
  <c r="I20" i="360"/>
  <c r="I145" i="360"/>
  <c r="D144" i="360"/>
  <c r="I144" i="360" s="1"/>
  <c r="D11" i="360"/>
  <c r="I11" i="360" s="1"/>
  <c r="I30" i="360"/>
  <c r="I16" i="408"/>
  <c r="I37" i="401"/>
  <c r="I10" i="401"/>
  <c r="I12" i="401"/>
  <c r="D177" i="401"/>
  <c r="I177" i="401" s="1"/>
  <c r="I175" i="401"/>
  <c r="I55" i="401"/>
  <c r="E76" i="365"/>
  <c r="C137" i="365"/>
  <c r="P137" i="365" s="1"/>
  <c r="H83" i="360"/>
  <c r="H119" i="360"/>
  <c r="O76" i="365"/>
  <c r="O80" i="365" s="1"/>
  <c r="D43" i="365"/>
  <c r="N23" i="385"/>
  <c r="H104" i="360"/>
  <c r="H35" i="393"/>
  <c r="H112" i="408"/>
  <c r="C166" i="393"/>
  <c r="C170" i="393" s="1"/>
  <c r="C171" i="393"/>
  <c r="H124" i="360"/>
  <c r="I20" i="393"/>
  <c r="I143" i="393"/>
  <c r="I21" i="394"/>
  <c r="D19" i="394"/>
  <c r="I19" i="394" s="1"/>
  <c r="D32" i="402"/>
  <c r="I32" i="402" s="1"/>
  <c r="D29" i="402"/>
  <c r="I29" i="402" s="1"/>
  <c r="I22" i="402"/>
  <c r="I143" i="402"/>
  <c r="D164" i="403"/>
  <c r="I155" i="403"/>
  <c r="I10" i="404"/>
  <c r="I26" i="404"/>
  <c r="H91" i="389"/>
  <c r="H87" i="403"/>
  <c r="D23" i="365"/>
  <c r="D97" i="385"/>
  <c r="D151" i="385" s="1"/>
  <c r="H44" i="393"/>
  <c r="H84" i="393"/>
  <c r="D177" i="396"/>
  <c r="I177" i="396" s="1"/>
  <c r="I175" i="396"/>
  <c r="D32" i="396"/>
  <c r="I32" i="396" s="1"/>
  <c r="I33" i="396"/>
  <c r="I155" i="396"/>
  <c r="I10" i="396"/>
  <c r="I143" i="360"/>
  <c r="H143" i="360"/>
  <c r="I22" i="408"/>
  <c r="D21" i="408"/>
  <c r="I21" i="408" s="1"/>
  <c r="I37" i="408"/>
  <c r="I71" i="408"/>
  <c r="H71" i="408"/>
  <c r="I61" i="408"/>
  <c r="D29" i="401"/>
  <c r="I29" i="401" s="1"/>
  <c r="I30" i="401"/>
  <c r="I155" i="401"/>
  <c r="I28" i="401"/>
  <c r="M76" i="365"/>
  <c r="M80" i="365" s="1"/>
  <c r="H133" i="408"/>
  <c r="H106" i="408"/>
  <c r="D27" i="394"/>
  <c r="I27" i="394" s="1"/>
  <c r="C13" i="365"/>
  <c r="P13" i="365" s="1"/>
  <c r="D76" i="365"/>
  <c r="D80" i="365" s="1"/>
  <c r="C149" i="393"/>
  <c r="N17" i="422" a="1"/>
  <c r="N17" i="422" s="1"/>
  <c r="D26" i="254"/>
  <c r="H86" i="389"/>
  <c r="I96" i="360"/>
  <c r="H96" i="360"/>
  <c r="I133" i="392"/>
  <c r="H133" i="392"/>
  <c r="F65" i="385"/>
  <c r="C65" i="385" s="1"/>
  <c r="P65" i="385" s="1"/>
  <c r="C66" i="385"/>
  <c r="P66" i="385" s="1"/>
  <c r="K102" i="365"/>
  <c r="C102" i="365" s="1"/>
  <c r="P102" i="365" s="1"/>
  <c r="C105" i="365"/>
  <c r="P105" i="365" s="1"/>
  <c r="H17" i="365"/>
  <c r="H23" i="365" s="1"/>
  <c r="C18" i="365"/>
  <c r="P18" i="365" s="1"/>
  <c r="C132" i="365"/>
  <c r="P132" i="365" s="1"/>
  <c r="J126" i="365"/>
  <c r="C126" i="365" s="1"/>
  <c r="P126" i="365" s="1"/>
  <c r="C52" i="365"/>
  <c r="P52" i="365" s="1"/>
  <c r="F50" i="365"/>
  <c r="I18" i="399"/>
  <c r="D15" i="399"/>
  <c r="I93" i="392"/>
  <c r="I108" i="407"/>
  <c r="G30" i="365"/>
  <c r="C32" i="365"/>
  <c r="P32" i="365" s="1"/>
  <c r="I16" i="394"/>
  <c r="D15" i="394"/>
  <c r="I45" i="397"/>
  <c r="D36" i="397"/>
  <c r="H28" i="360"/>
  <c r="I28" i="360"/>
  <c r="C56" i="385"/>
  <c r="P56" i="385" s="1"/>
  <c r="M50" i="385"/>
  <c r="M76" i="385" s="1"/>
  <c r="M80" i="385"/>
  <c r="C159" i="385"/>
  <c r="P159" i="385" s="1"/>
  <c r="E161" i="385"/>
  <c r="C101" i="365"/>
  <c r="P101" i="365"/>
  <c r="M99" i="365"/>
  <c r="M97" i="365" s="1"/>
  <c r="M151" i="365" s="1"/>
  <c r="M164" i="365" s="1"/>
  <c r="J89" i="365"/>
  <c r="C96" i="365"/>
  <c r="P96" i="365" s="1"/>
  <c r="I59" i="405"/>
  <c r="H59" i="405"/>
  <c r="I162" i="399"/>
  <c r="H162" i="399"/>
  <c r="I105" i="397"/>
  <c r="H105" i="397"/>
  <c r="I101" i="398"/>
  <c r="D78" i="398"/>
  <c r="D77" i="398" s="1"/>
  <c r="H58" i="392"/>
  <c r="I58" i="392"/>
  <c r="I38" i="395"/>
  <c r="H38" i="395"/>
  <c r="I175" i="394"/>
  <c r="D177" i="394"/>
  <c r="I177" i="394" s="1"/>
  <c r="D78" i="403"/>
  <c r="D77" i="403" s="1"/>
  <c r="I93" i="396"/>
  <c r="H93" i="396"/>
  <c r="I84" i="408"/>
  <c r="I34" i="388"/>
  <c r="C155" i="385"/>
  <c r="P155" i="385" s="1"/>
  <c r="G161" i="385"/>
  <c r="M126" i="385"/>
  <c r="C131" i="385"/>
  <c r="P131" i="385" s="1"/>
  <c r="L134" i="365"/>
  <c r="C135" i="365"/>
  <c r="P135" i="365" s="1"/>
  <c r="C54" i="365"/>
  <c r="P54" i="365" s="1"/>
  <c r="H50" i="365"/>
  <c r="H76" i="365" s="1"/>
  <c r="H80" i="365" s="1"/>
  <c r="C100" i="365"/>
  <c r="P100" i="365" s="1"/>
  <c r="J99" i="365"/>
  <c r="J97" i="365" s="1"/>
  <c r="I20" i="365"/>
  <c r="C21" i="365"/>
  <c r="P21" i="365" s="1"/>
  <c r="J146" i="365"/>
  <c r="J141" i="365" s="1"/>
  <c r="C147" i="365"/>
  <c r="P147" i="365" s="1"/>
  <c r="E77" i="365"/>
  <c r="C77" i="365" s="1"/>
  <c r="P77" i="365" s="1"/>
  <c r="C78" i="365"/>
  <c r="P78" i="365" s="1"/>
  <c r="I84" i="405"/>
  <c r="D144" i="399"/>
  <c r="I144" i="399" s="1"/>
  <c r="I145" i="399"/>
  <c r="D21" i="398"/>
  <c r="D19" i="398" s="1"/>
  <c r="D24" i="398" s="1"/>
  <c r="I24" i="398" s="1"/>
  <c r="I22" i="398"/>
  <c r="I39" i="407"/>
  <c r="D36" i="407"/>
  <c r="H39" i="407"/>
  <c r="I68" i="395"/>
  <c r="H68" i="395"/>
  <c r="I45" i="394"/>
  <c r="D36" i="394"/>
  <c r="I36" i="394" s="1"/>
  <c r="I84" i="394"/>
  <c r="D78" i="394"/>
  <c r="D77" i="394" s="1"/>
  <c r="H55" i="389"/>
  <c r="H58" i="389"/>
  <c r="I17" i="360"/>
  <c r="D15" i="360"/>
  <c r="H155" i="360"/>
  <c r="I155" i="360"/>
  <c r="C49" i="385"/>
  <c r="P49" i="385" s="1"/>
  <c r="I47" i="385"/>
  <c r="I76" i="385" s="1"/>
  <c r="I80" i="385" s="1"/>
  <c r="L47" i="365"/>
  <c r="L76" i="365" s="1"/>
  <c r="L80" i="365" s="1"/>
  <c r="C48" i="365"/>
  <c r="P48" i="365" s="1"/>
  <c r="L161" i="365"/>
  <c r="C160" i="365"/>
  <c r="P160" i="365" s="1"/>
  <c r="C71" i="365"/>
  <c r="P71" i="365" s="1"/>
  <c r="J161" i="365"/>
  <c r="C159" i="365"/>
  <c r="P159" i="365" s="1"/>
  <c r="C66" i="365"/>
  <c r="P66" i="365" s="1"/>
  <c r="F65" i="365"/>
  <c r="I142" i="388"/>
  <c r="D139" i="388"/>
  <c r="H28" i="407"/>
  <c r="I28" i="407"/>
  <c r="C36" i="365"/>
  <c r="P36" i="365" s="1"/>
  <c r="G34" i="365"/>
  <c r="J43" i="365"/>
  <c r="H23" i="385"/>
  <c r="H44" i="385" s="1"/>
  <c r="M137" i="386"/>
  <c r="N17" i="386"/>
  <c r="C125" i="386"/>
  <c r="P125" i="386" s="1"/>
  <c r="C37" i="386"/>
  <c r="P37" i="386" s="1"/>
  <c r="J161" i="386"/>
  <c r="C150" i="385"/>
  <c r="P150" i="385" s="1"/>
  <c r="C63" i="385"/>
  <c r="P63" i="385" s="1"/>
  <c r="C42" i="385"/>
  <c r="P42" i="385" s="1"/>
  <c r="C125" i="385"/>
  <c r="P125" i="385" s="1"/>
  <c r="C74" i="385"/>
  <c r="P74" i="385" s="1"/>
  <c r="I62" i="401"/>
  <c r="H163" i="399"/>
  <c r="C24" i="388"/>
  <c r="C48" i="388" s="1"/>
  <c r="D139" i="360"/>
  <c r="I139" i="360" s="1"/>
  <c r="L141" i="365"/>
  <c r="C75" i="386"/>
  <c r="P75" i="386" s="1"/>
  <c r="C71" i="386"/>
  <c r="P71" i="386" s="1"/>
  <c r="C55" i="386"/>
  <c r="P55" i="386" s="1"/>
  <c r="L99" i="386"/>
  <c r="L97" i="386" s="1"/>
  <c r="K134" i="386"/>
  <c r="K146" i="386"/>
  <c r="K141" i="386" s="1"/>
  <c r="N20" i="386"/>
  <c r="N34" i="386"/>
  <c r="N89" i="386"/>
  <c r="C123" i="386"/>
  <c r="P123" i="386" s="1"/>
  <c r="C16" i="386"/>
  <c r="P16" i="386" s="1"/>
  <c r="C39" i="386"/>
  <c r="P39" i="386" s="1"/>
  <c r="C38" i="386"/>
  <c r="P38" i="386" s="1"/>
  <c r="C59" i="386"/>
  <c r="P59" i="386" s="1"/>
  <c r="C115" i="386"/>
  <c r="P115" i="386" s="1"/>
  <c r="C98" i="385"/>
  <c r="P98" i="385" s="1"/>
  <c r="C113" i="385"/>
  <c r="P113" i="385" s="1"/>
  <c r="H107" i="401"/>
  <c r="H163" i="401"/>
  <c r="H74" i="399"/>
  <c r="H117" i="399"/>
  <c r="H112" i="395"/>
  <c r="H83" i="395"/>
  <c r="H163" i="395"/>
  <c r="H125" i="392"/>
  <c r="I52" i="392"/>
  <c r="H159" i="407"/>
  <c r="H105" i="407"/>
  <c r="H89" i="407"/>
  <c r="H103" i="360"/>
  <c r="H59" i="360"/>
  <c r="H126" i="392"/>
  <c r="H93" i="392"/>
  <c r="F43" i="385"/>
  <c r="C78" i="386"/>
  <c r="P78" i="386" s="1"/>
  <c r="L102" i="386"/>
  <c r="C22" i="386"/>
  <c r="P22" i="386" s="1"/>
  <c r="C90" i="386"/>
  <c r="P90" i="386" s="1"/>
  <c r="K102" i="386"/>
  <c r="C133" i="386"/>
  <c r="P133" i="386" s="1"/>
  <c r="C131" i="386"/>
  <c r="P131" i="386" s="1"/>
  <c r="C157" i="386"/>
  <c r="P157" i="386" s="1"/>
  <c r="C33" i="386"/>
  <c r="P33" i="386" s="1"/>
  <c r="C149" i="385"/>
  <c r="P149" i="385" s="1"/>
  <c r="H94" i="403"/>
  <c r="H86" i="401"/>
  <c r="I68" i="401"/>
  <c r="H81" i="399"/>
  <c r="H118" i="399"/>
  <c r="H129" i="399"/>
  <c r="H105" i="399"/>
  <c r="H73" i="408"/>
  <c r="H64" i="360"/>
  <c r="H67" i="396"/>
  <c r="H136" i="395"/>
  <c r="I58" i="395"/>
  <c r="H84" i="408"/>
  <c r="H122" i="407"/>
  <c r="I58" i="407"/>
  <c r="H158" i="360"/>
  <c r="H115" i="360"/>
  <c r="H115" i="392"/>
  <c r="I63" i="392"/>
  <c r="H17" i="408"/>
  <c r="H143" i="407"/>
  <c r="H95" i="407"/>
  <c r="H93" i="360"/>
  <c r="H31" i="360"/>
  <c r="D27" i="395"/>
  <c r="O14" i="420" a="1"/>
  <c r="O14" i="420"/>
  <c r="J14" i="420" a="1"/>
  <c r="J14" i="420" s="1"/>
  <c r="K65" i="386"/>
  <c r="K76" i="386" s="1"/>
  <c r="O65" i="386"/>
  <c r="O76" i="386" s="1"/>
  <c r="H134" i="386"/>
  <c r="N13" i="386"/>
  <c r="N11" i="386" s="1"/>
  <c r="C142" i="386"/>
  <c r="P142" i="386" s="1"/>
  <c r="C12" i="386"/>
  <c r="P12" i="386" s="1"/>
  <c r="C116" i="385"/>
  <c r="P116" i="385" s="1"/>
  <c r="H42" i="403"/>
  <c r="H64" i="403"/>
  <c r="H97" i="403"/>
  <c r="H108" i="403"/>
  <c r="H13" i="393"/>
  <c r="H108" i="399"/>
  <c r="H33" i="399"/>
  <c r="H102" i="399"/>
  <c r="H142" i="399"/>
  <c r="H161" i="399"/>
  <c r="H94" i="399"/>
  <c r="H123" i="399"/>
  <c r="H156" i="396"/>
  <c r="H109" i="360"/>
  <c r="H72" i="360"/>
  <c r="C147" i="401"/>
  <c r="C153" i="401" s="1"/>
  <c r="C24" i="360"/>
  <c r="C48" i="360"/>
  <c r="C76" i="395"/>
  <c r="C147" i="395" s="1"/>
  <c r="C148" i="395" s="1"/>
  <c r="E60" i="391"/>
  <c r="E61" i="391" s="1"/>
  <c r="P88" i="330"/>
  <c r="S384" i="328"/>
  <c r="E41" i="346" a="1"/>
  <c r="E41" i="346" s="1"/>
  <c r="E73" i="346" a="1"/>
  <c r="E73" i="346" s="1"/>
  <c r="F32" i="396"/>
  <c r="F21" i="408"/>
  <c r="F19" i="408" s="1"/>
  <c r="F36" i="399"/>
  <c r="G36" i="360"/>
  <c r="F36" i="407"/>
  <c r="H58" i="395"/>
  <c r="H63" i="392"/>
  <c r="I109" i="360"/>
  <c r="F15" i="395"/>
  <c r="F36" i="408"/>
  <c r="F139" i="389"/>
  <c r="F139" i="395"/>
  <c r="H39" i="360"/>
  <c r="G95" i="398"/>
  <c r="H95" i="398" s="1"/>
  <c r="I72" i="360"/>
  <c r="I124" i="360"/>
  <c r="H58" i="407"/>
  <c r="G175" i="360"/>
  <c r="F11" i="393"/>
  <c r="F9" i="393" s="1"/>
  <c r="F78" i="360"/>
  <c r="F77" i="360" s="1"/>
  <c r="F32" i="399"/>
  <c r="F139" i="407"/>
  <c r="F36" i="360"/>
  <c r="F32" i="360"/>
  <c r="I158" i="360"/>
  <c r="F164" i="360"/>
  <c r="F164" i="389"/>
  <c r="E29" i="403"/>
  <c r="E27" i="403" s="1"/>
  <c r="K36" i="347"/>
  <c r="G29" i="396"/>
  <c r="G27" i="396" s="1"/>
  <c r="F78" i="389"/>
  <c r="F77" i="389" s="1"/>
  <c r="G51" i="360"/>
  <c r="G50" i="360" s="1"/>
  <c r="G35" i="396"/>
  <c r="H35" i="396" s="1"/>
  <c r="G41" i="408"/>
  <c r="H41" i="408" s="1"/>
  <c r="H68" i="401"/>
  <c r="F51" i="392"/>
  <c r="F50" i="392" s="1"/>
  <c r="F139" i="408"/>
  <c r="F32" i="395"/>
  <c r="F11" i="360"/>
  <c r="F9" i="360" s="1"/>
  <c r="G140" i="389"/>
  <c r="I98" i="360"/>
  <c r="F78" i="392"/>
  <c r="F77" i="392" s="1"/>
  <c r="I67" i="408"/>
  <c r="F11" i="399"/>
  <c r="F9" i="399" s="1"/>
  <c r="F21" i="389"/>
  <c r="F19" i="389" s="1"/>
  <c r="F139" i="393"/>
  <c r="D132" i="387"/>
  <c r="H132" i="387" s="1"/>
  <c r="G175" i="401"/>
  <c r="G177" i="401" s="1"/>
  <c r="G175" i="396"/>
  <c r="C178" i="389"/>
  <c r="C167" i="404"/>
  <c r="R16" i="420" a="1"/>
  <c r="R16" i="420" s="1"/>
  <c r="C171" i="408"/>
  <c r="C153" i="408"/>
  <c r="C167" i="408"/>
  <c r="C167" i="402"/>
  <c r="H104" i="389"/>
  <c r="H58" i="393"/>
  <c r="I124" i="393"/>
  <c r="I162" i="402"/>
  <c r="I120" i="360"/>
  <c r="H120" i="360"/>
  <c r="I59" i="401"/>
  <c r="H81" i="392"/>
  <c r="C116" i="386"/>
  <c r="P116" i="386" s="1"/>
  <c r="C158" i="386"/>
  <c r="P158" i="386" s="1"/>
  <c r="C112" i="386"/>
  <c r="P112" i="386" s="1"/>
  <c r="J17" i="386"/>
  <c r="C74" i="386"/>
  <c r="P74" i="386" s="1"/>
  <c r="C105" i="386"/>
  <c r="P105" i="386" s="1"/>
  <c r="C132" i="385"/>
  <c r="P132" i="385" s="1"/>
  <c r="G126" i="385"/>
  <c r="N34" i="385"/>
  <c r="N43" i="385" s="1"/>
  <c r="C39" i="385"/>
  <c r="P39" i="385"/>
  <c r="C62" i="385"/>
  <c r="P62" i="385" s="1"/>
  <c r="N50" i="385"/>
  <c r="N76" i="385" s="1"/>
  <c r="N80" i="385" s="1"/>
  <c r="M34" i="385"/>
  <c r="M43" i="385" s="1"/>
  <c r="C40" i="385"/>
  <c r="P40" i="385" s="1"/>
  <c r="H136" i="360"/>
  <c r="I35" i="401"/>
  <c r="I128" i="392"/>
  <c r="H128" i="392"/>
  <c r="I89" i="386"/>
  <c r="J89" i="386"/>
  <c r="C139" i="386"/>
  <c r="P139" i="386" s="1"/>
  <c r="G146" i="386"/>
  <c r="G141" i="386" s="1"/>
  <c r="N161" i="386"/>
  <c r="J34" i="386"/>
  <c r="C35" i="386"/>
  <c r="P35" i="386" s="1"/>
  <c r="J77" i="386"/>
  <c r="C36" i="385"/>
  <c r="P36" i="385" s="1"/>
  <c r="J34" i="385"/>
  <c r="J43" i="385" s="1"/>
  <c r="N102" i="385"/>
  <c r="C105" i="385"/>
  <c r="P105" i="385" s="1"/>
  <c r="C14" i="385"/>
  <c r="P14" i="385" s="1"/>
  <c r="M13" i="385"/>
  <c r="C96" i="385"/>
  <c r="P96" i="385" s="1"/>
  <c r="M89" i="385"/>
  <c r="M151" i="385" s="1"/>
  <c r="M164" i="385" s="1"/>
  <c r="H80" i="396"/>
  <c r="I68" i="396"/>
  <c r="H68" i="396"/>
  <c r="I130" i="408"/>
  <c r="H130" i="408"/>
  <c r="F30" i="386"/>
  <c r="C32" i="386"/>
  <c r="P32" i="386" s="1"/>
  <c r="N65" i="386"/>
  <c r="C57" i="386"/>
  <c r="P57" i="386" s="1"/>
  <c r="J134" i="386"/>
  <c r="C111" i="386"/>
  <c r="P111" i="386" s="1"/>
  <c r="F20" i="385"/>
  <c r="F23" i="385" s="1"/>
  <c r="C21" i="385"/>
  <c r="P21" i="385" s="1"/>
  <c r="C107" i="385"/>
  <c r="P107" i="385" s="1"/>
  <c r="F102" i="385"/>
  <c r="I132" i="360"/>
  <c r="H132" i="360"/>
  <c r="I123" i="395"/>
  <c r="N50" i="386"/>
  <c r="N146" i="386"/>
  <c r="N141" i="386" s="1"/>
  <c r="J137" i="386"/>
  <c r="I29" i="405"/>
  <c r="D27" i="405"/>
  <c r="I27" i="405" s="1"/>
  <c r="I156" i="396"/>
  <c r="I14" i="408"/>
  <c r="H14" i="408"/>
  <c r="S13" i="420"/>
  <c r="C63" i="386"/>
  <c r="P63" i="386" s="1"/>
  <c r="H50" i="386"/>
  <c r="N117" i="386"/>
  <c r="C118" i="386"/>
  <c r="P118" i="386" s="1"/>
  <c r="C93" i="386"/>
  <c r="P93" i="386" s="1"/>
  <c r="C94" i="386"/>
  <c r="P94" i="386" s="1"/>
  <c r="C40" i="386"/>
  <c r="P40" i="386" s="1"/>
  <c r="C61" i="386"/>
  <c r="P61" i="386" s="1"/>
  <c r="J141" i="386"/>
  <c r="C121" i="386"/>
  <c r="P121" i="386" s="1"/>
  <c r="C122" i="385"/>
  <c r="P122" i="385" s="1"/>
  <c r="G117" i="385"/>
  <c r="I143" i="408"/>
  <c r="H102" i="408"/>
  <c r="J47" i="386"/>
  <c r="J65" i="386"/>
  <c r="C107" i="386"/>
  <c r="P107" i="386" s="1"/>
  <c r="C88" i="385"/>
  <c r="P88" i="385" s="1"/>
  <c r="D51" i="402"/>
  <c r="D50" i="402" s="1"/>
  <c r="I137" i="360"/>
  <c r="H137" i="360"/>
  <c r="H137" i="408"/>
  <c r="C53" i="386"/>
  <c r="P53" i="386" s="1"/>
  <c r="N102" i="386"/>
  <c r="N134" i="386"/>
  <c r="C14" i="386"/>
  <c r="P14" i="386" s="1"/>
  <c r="J13" i="386"/>
  <c r="J11" i="386" s="1"/>
  <c r="J99" i="386"/>
  <c r="J97" i="386" s="1"/>
  <c r="C49" i="386"/>
  <c r="P49" i="386" s="1"/>
  <c r="J126" i="386"/>
  <c r="F117" i="385"/>
  <c r="C124" i="385"/>
  <c r="P124" i="385" s="1"/>
  <c r="F141" i="385"/>
  <c r="C144" i="385"/>
  <c r="P144" i="385" s="1"/>
  <c r="I74" i="360"/>
  <c r="H74" i="360"/>
  <c r="I131" i="360"/>
  <c r="H131" i="360"/>
  <c r="I116" i="360"/>
  <c r="H116" i="360"/>
  <c r="H161" i="407"/>
  <c r="D164" i="407"/>
  <c r="G126" i="386"/>
  <c r="N126" i="386"/>
  <c r="J30" i="386"/>
  <c r="C31" i="386"/>
  <c r="P31" i="386" s="1"/>
  <c r="C72" i="386"/>
  <c r="P72" i="386" s="1"/>
  <c r="J20" i="386"/>
  <c r="C21" i="386"/>
  <c r="P21" i="386" s="1"/>
  <c r="C51" i="386"/>
  <c r="P51" i="386" s="1"/>
  <c r="J50" i="386"/>
  <c r="J117" i="386"/>
  <c r="J102" i="386"/>
  <c r="C160" i="386"/>
  <c r="P160" i="386" s="1"/>
  <c r="E34" i="385"/>
  <c r="E43" i="385" s="1"/>
  <c r="C35" i="385"/>
  <c r="P35" i="385" s="1"/>
  <c r="H111" i="360"/>
  <c r="H17" i="360"/>
  <c r="M14" i="420" a="1"/>
  <c r="M14" i="420" s="1"/>
  <c r="N97" i="385"/>
  <c r="H108" i="360"/>
  <c r="H123" i="360"/>
  <c r="I90" i="360"/>
  <c r="E43" i="386"/>
  <c r="R485" i="328"/>
  <c r="H14" i="420" a="1"/>
  <c r="H14" i="420" s="1"/>
  <c r="I88" i="360"/>
  <c r="O43" i="386"/>
  <c r="I14" i="420" a="1"/>
  <c r="I14" i="420" s="1"/>
  <c r="P14" i="420" a="1"/>
  <c r="P14" i="420"/>
  <c r="H14" i="392"/>
  <c r="D117" i="386"/>
  <c r="I134" i="386"/>
  <c r="O151" i="385"/>
  <c r="O164" i="385" s="1"/>
  <c r="N30" i="386"/>
  <c r="L30" i="365"/>
  <c r="L43" i="365" s="1"/>
  <c r="L44" i="365" s="1"/>
  <c r="G274" i="387"/>
  <c r="S88" i="330"/>
  <c r="S243" i="328"/>
  <c r="S572" i="328"/>
  <c r="P243" i="328"/>
  <c r="A213" i="328" s="1"/>
  <c r="S196" i="328"/>
  <c r="S478" i="328"/>
  <c r="A448" i="328" s="1"/>
  <c r="F29" i="401"/>
  <c r="F27" i="401" s="1"/>
  <c r="H16" i="401"/>
  <c r="H74" i="403"/>
  <c r="H101" i="401"/>
  <c r="E333" i="387" a="1"/>
  <c r="E333" i="387" s="1"/>
  <c r="F334" i="387" a="1"/>
  <c r="F334" i="387" s="1"/>
  <c r="E334" i="387" a="1"/>
  <c r="E334" i="387" s="1"/>
  <c r="E325" i="387" a="1"/>
  <c r="E325" i="387" s="1"/>
  <c r="F326" i="387" a="1"/>
  <c r="F326" i="387" s="1"/>
  <c r="E189" i="387" a="1"/>
  <c r="E189" i="387" s="1"/>
  <c r="E326" i="387" a="1"/>
  <c r="E326" i="387" s="1"/>
  <c r="F327" i="387" a="1"/>
  <c r="F327" i="387" s="1"/>
  <c r="E328" i="387" a="1"/>
  <c r="E328" i="387" s="1"/>
  <c r="F328" i="387" a="1"/>
  <c r="F328" i="387" s="1"/>
  <c r="F149" i="387" a="1"/>
  <c r="F149" i="387" s="1"/>
  <c r="E204" i="387" a="1"/>
  <c r="E204" i="387" s="1"/>
  <c r="E330" i="387" a="1"/>
  <c r="E330" i="387" s="1"/>
  <c r="F331" i="387" a="1"/>
  <c r="F331" i="387" s="1"/>
  <c r="F89" i="346" a="1"/>
  <c r="F89" i="346" s="1"/>
  <c r="E89" i="346" a="1"/>
  <c r="E89" i="346" s="1"/>
  <c r="F332" i="387" a="1"/>
  <c r="F332" i="387" s="1"/>
  <c r="F330" i="387" a="1"/>
  <c r="F330" i="387" s="1"/>
  <c r="E332" i="387" a="1"/>
  <c r="E332" i="387" s="1"/>
  <c r="F204" i="387" a="1"/>
  <c r="F204" i="387" s="1"/>
  <c r="E329" i="387" a="1"/>
  <c r="E329" i="387" s="1"/>
  <c r="G41" i="397"/>
  <c r="H41" i="397" s="1"/>
  <c r="I86" i="401"/>
  <c r="F164" i="398"/>
  <c r="F15" i="401"/>
  <c r="D75" i="254"/>
  <c r="D61" i="254"/>
  <c r="D82" i="339"/>
  <c r="C19" i="339"/>
  <c r="I70" i="408"/>
  <c r="H80" i="389"/>
  <c r="I11" i="397"/>
  <c r="D9" i="397"/>
  <c r="I9" i="397" s="1"/>
  <c r="I41" i="393"/>
  <c r="I91" i="402"/>
  <c r="I128" i="360"/>
  <c r="H128" i="360"/>
  <c r="I106" i="360"/>
  <c r="H106" i="360"/>
  <c r="H115" i="408"/>
  <c r="I74" i="401"/>
  <c r="H74" i="401"/>
  <c r="I121" i="395"/>
  <c r="H121" i="395"/>
  <c r="I23" i="403"/>
  <c r="I34" i="404"/>
  <c r="I73" i="360"/>
  <c r="H110" i="360"/>
  <c r="I110" i="360"/>
  <c r="I129" i="408"/>
  <c r="H129" i="408"/>
  <c r="I136" i="408"/>
  <c r="H136" i="408"/>
  <c r="I23" i="401"/>
  <c r="H23" i="401"/>
  <c r="I121" i="401"/>
  <c r="H121" i="401"/>
  <c r="I142" i="395"/>
  <c r="D139" i="395"/>
  <c r="H14" i="389"/>
  <c r="H20" i="403"/>
  <c r="I20" i="403"/>
  <c r="I137" i="403"/>
  <c r="D51" i="396"/>
  <c r="D50" i="396" s="1"/>
  <c r="I100" i="360"/>
  <c r="I40" i="360"/>
  <c r="D36" i="360"/>
  <c r="I41" i="360"/>
  <c r="H41" i="360"/>
  <c r="H130" i="360"/>
  <c r="I130" i="360"/>
  <c r="I59" i="408"/>
  <c r="H59" i="408"/>
  <c r="I13" i="401"/>
  <c r="H80" i="393"/>
  <c r="I23" i="396"/>
  <c r="I110" i="396"/>
  <c r="H110" i="396"/>
  <c r="I157" i="360"/>
  <c r="H157" i="360"/>
  <c r="H127" i="360"/>
  <c r="I127" i="360"/>
  <c r="I69" i="360"/>
  <c r="I101" i="360"/>
  <c r="I129" i="360"/>
  <c r="H129" i="360"/>
  <c r="I58" i="408"/>
  <c r="H58" i="408"/>
  <c r="I57" i="408"/>
  <c r="H57" i="408"/>
  <c r="I87" i="401"/>
  <c r="H87" i="401"/>
  <c r="C19" i="386"/>
  <c r="P19" i="386" s="1"/>
  <c r="I146" i="386"/>
  <c r="I141" i="386" s="1"/>
  <c r="L146" i="386"/>
  <c r="L141" i="386" s="1"/>
  <c r="L13" i="386"/>
  <c r="L11" i="386" s="1"/>
  <c r="H128" i="407"/>
  <c r="I59" i="392"/>
  <c r="H59" i="392"/>
  <c r="G20" i="386"/>
  <c r="I141" i="392"/>
  <c r="H157" i="403"/>
  <c r="H64" i="389"/>
  <c r="C88" i="386"/>
  <c r="P88" i="386" s="1"/>
  <c r="C15" i="386"/>
  <c r="P15" i="386" s="1"/>
  <c r="I13" i="386"/>
  <c r="I11" i="386" s="1"/>
  <c r="I23" i="386" s="1"/>
  <c r="I44" i="386" s="1"/>
  <c r="E126" i="386"/>
  <c r="D77" i="386"/>
  <c r="G65" i="386"/>
  <c r="G76" i="386" s="1"/>
  <c r="D137" i="386"/>
  <c r="H13" i="386"/>
  <c r="H11" i="386" s="1"/>
  <c r="K30" i="365"/>
  <c r="K43" i="365" s="1"/>
  <c r="H120" i="395"/>
  <c r="E33" i="346" a="1"/>
  <c r="E33" i="346" s="1"/>
  <c r="F57" i="346" a="1"/>
  <c r="F57" i="346" s="1"/>
  <c r="F147" i="387" a="1"/>
  <c r="F147" i="387" s="1"/>
  <c r="E150" i="387" a="1"/>
  <c r="E150" i="387" s="1"/>
  <c r="E147" i="387" a="1"/>
  <c r="E147" i="387" s="1"/>
  <c r="E148" i="387" a="1"/>
  <c r="E148" i="387" s="1"/>
  <c r="F146" i="387" a="1"/>
  <c r="F146" i="387" s="1"/>
  <c r="E149" i="387" a="1"/>
  <c r="E149" i="387" s="1"/>
  <c r="F148" i="387" a="1"/>
  <c r="F148" i="387" s="1"/>
  <c r="E146" i="387" a="1"/>
  <c r="E146" i="387" s="1"/>
  <c r="F189" i="387" a="1"/>
  <c r="F189" i="387" s="1"/>
  <c r="E327" i="387" a="1"/>
  <c r="E327" i="387" s="1"/>
  <c r="E331" i="387" a="1"/>
  <c r="E331" i="387" s="1"/>
  <c r="F325" i="387" a="1"/>
  <c r="F325" i="387" s="1"/>
  <c r="F329" i="387" a="1"/>
  <c r="F329" i="387" s="1"/>
  <c r="F333" i="387" a="1"/>
  <c r="F333" i="387" s="1"/>
  <c r="G149" i="335"/>
  <c r="H149" i="335" s="1"/>
  <c r="H102" i="389"/>
  <c r="H81" i="389"/>
  <c r="I44" i="393"/>
  <c r="H28" i="389"/>
  <c r="I29" i="408"/>
  <c r="I120" i="389"/>
  <c r="H120" i="389"/>
  <c r="I21" i="402"/>
  <c r="I29" i="404"/>
  <c r="H65" i="389"/>
  <c r="I105" i="389"/>
  <c r="H44" i="392"/>
  <c r="I64" i="397"/>
  <c r="D51" i="397"/>
  <c r="D50" i="397" s="1"/>
  <c r="I28" i="396"/>
  <c r="H104" i="396"/>
  <c r="H119" i="401"/>
  <c r="I69" i="401"/>
  <c r="H99" i="393"/>
  <c r="H104" i="403"/>
  <c r="H37" i="401"/>
  <c r="H120" i="403"/>
  <c r="H94" i="408"/>
  <c r="H136" i="403"/>
  <c r="H95" i="396"/>
  <c r="H85" i="396"/>
  <c r="H35" i="408"/>
  <c r="H117" i="401"/>
  <c r="H116" i="408"/>
  <c r="H79" i="393"/>
  <c r="I72" i="403"/>
  <c r="H113" i="403"/>
  <c r="H60" i="408"/>
  <c r="H66" i="403"/>
  <c r="H128" i="401"/>
  <c r="H79" i="408"/>
  <c r="H108" i="396"/>
  <c r="H13" i="403"/>
  <c r="H92" i="408"/>
  <c r="H96" i="389"/>
  <c r="I161" i="407"/>
  <c r="H137" i="392"/>
  <c r="H103" i="401"/>
  <c r="H129" i="401"/>
  <c r="H73" i="399"/>
  <c r="I69" i="396"/>
  <c r="H114" i="396"/>
  <c r="H140" i="401"/>
  <c r="H127" i="389"/>
  <c r="H22" i="403"/>
  <c r="H96" i="401"/>
  <c r="H89" i="389"/>
  <c r="H88" i="396"/>
  <c r="H135" i="408"/>
  <c r="H106" i="396"/>
  <c r="H18" i="401"/>
  <c r="H54" i="401"/>
  <c r="H26" i="396"/>
  <c r="H120" i="393"/>
  <c r="H129" i="403"/>
  <c r="H125" i="403"/>
  <c r="H64" i="396"/>
  <c r="H132" i="403"/>
  <c r="H158" i="393"/>
  <c r="H95" i="401"/>
  <c r="H142" i="403"/>
  <c r="H105" i="408"/>
  <c r="I67" i="401"/>
  <c r="H98" i="403"/>
  <c r="H109" i="403"/>
  <c r="D322" i="335"/>
  <c r="H322" i="335" s="1"/>
  <c r="G203" i="335"/>
  <c r="H203" i="335" s="1"/>
  <c r="H111" i="401"/>
  <c r="H39" i="399"/>
  <c r="H42" i="393"/>
  <c r="H113" i="396"/>
  <c r="H160" i="403"/>
  <c r="I67" i="403"/>
  <c r="H70" i="408"/>
  <c r="H126" i="408"/>
  <c r="H20" i="396"/>
  <c r="H136" i="402"/>
  <c r="G230" i="335"/>
  <c r="H66" i="397"/>
  <c r="H83" i="399"/>
  <c r="H133" i="396"/>
  <c r="H10" i="407"/>
  <c r="I65" i="360"/>
  <c r="G283" i="335"/>
  <c r="H39" i="394"/>
  <c r="H163" i="394"/>
  <c r="H109" i="407"/>
  <c r="H14" i="407"/>
  <c r="H135" i="395"/>
  <c r="H101" i="398"/>
  <c r="G28" i="401"/>
  <c r="H28" i="401" s="1"/>
  <c r="H98" i="392"/>
  <c r="H66" i="398"/>
  <c r="H74" i="394"/>
  <c r="H80" i="398"/>
  <c r="F49" i="346" a="1"/>
  <c r="F49" i="346" s="1"/>
  <c r="E49" i="346" a="1"/>
  <c r="E49" i="346" s="1"/>
  <c r="F17" i="346" a="1"/>
  <c r="F17" i="346" s="1"/>
  <c r="E17" i="346" a="1"/>
  <c r="E17" i="346" s="1"/>
  <c r="E81" i="346" a="1"/>
  <c r="E81" i="346" s="1"/>
  <c r="F81" i="346" a="1"/>
  <c r="F81" i="346" s="1"/>
  <c r="G148" i="335"/>
  <c r="H148" i="335" s="1"/>
  <c r="D323" i="335"/>
  <c r="H323" i="335" s="1"/>
  <c r="F65" i="346" a="1"/>
  <c r="F65" i="346" s="1"/>
  <c r="F97" i="346" a="1"/>
  <c r="F97" i="346" s="1"/>
  <c r="G147" i="335"/>
  <c r="H147" i="335" s="1"/>
  <c r="E78" i="399"/>
  <c r="E77" i="399" s="1"/>
  <c r="E76" i="399" s="1"/>
  <c r="E164" i="402"/>
  <c r="G145" i="335"/>
  <c r="H145" i="335" s="1"/>
  <c r="G15" i="401"/>
  <c r="H28" i="396"/>
  <c r="D331" i="335"/>
  <c r="H331" i="335" s="1"/>
  <c r="D327" i="335"/>
  <c r="H327" i="335" s="1"/>
  <c r="D329" i="335"/>
  <c r="H329" i="335" s="1"/>
  <c r="H67" i="403"/>
  <c r="U56" i="347"/>
  <c r="U52" i="347"/>
  <c r="R61" i="347"/>
  <c r="J78" i="347"/>
  <c r="G110" i="347"/>
  <c r="E164" i="405"/>
  <c r="N110" i="347"/>
  <c r="J74" i="347"/>
  <c r="I95" i="401"/>
  <c r="I89" i="407"/>
  <c r="H36" i="347"/>
  <c r="U43" i="347"/>
  <c r="U105" i="347"/>
  <c r="H69" i="396"/>
  <c r="I140" i="395"/>
  <c r="H140" i="395"/>
  <c r="G160" i="405"/>
  <c r="H160" i="405" s="1"/>
  <c r="U45" i="347"/>
  <c r="Q61" i="347"/>
  <c r="T36" i="347"/>
  <c r="F11" i="408"/>
  <c r="F9" i="408" s="1"/>
  <c r="F36" i="347"/>
  <c r="I89" i="389"/>
  <c r="H67" i="401"/>
  <c r="E78" i="405"/>
  <c r="E77" i="405" s="1"/>
  <c r="O70" i="347"/>
  <c r="U99" i="347"/>
  <c r="G78" i="360"/>
  <c r="R110" i="347"/>
  <c r="M110" i="347"/>
  <c r="U80" i="347"/>
  <c r="T14" i="348"/>
  <c r="J91" i="347"/>
  <c r="K97" i="348"/>
  <c r="H69" i="401"/>
  <c r="H14" i="401"/>
  <c r="I85" i="396"/>
  <c r="P110" i="347"/>
  <c r="I157" i="393"/>
  <c r="T110" i="347"/>
  <c r="E78" i="395"/>
  <c r="E77" i="395" s="1"/>
  <c r="G126" i="395"/>
  <c r="N36" i="348"/>
  <c r="F51" i="407"/>
  <c r="F50" i="407" s="1"/>
  <c r="C35" i="417"/>
  <c r="G127" i="395"/>
  <c r="H127" i="395" s="1"/>
  <c r="G188" i="335"/>
  <c r="H188" i="335" s="1"/>
  <c r="G82" i="388"/>
  <c r="H82" i="388" s="1"/>
  <c r="G122" i="388"/>
  <c r="H122" i="388" s="1"/>
  <c r="G45" i="395"/>
  <c r="H45" i="395" s="1"/>
  <c r="H90" i="395"/>
  <c r="I71" i="401"/>
  <c r="H71" i="401"/>
  <c r="H72" i="403"/>
  <c r="H55" i="399"/>
  <c r="I55" i="399"/>
  <c r="H63" i="393"/>
  <c r="I88" i="396"/>
  <c r="E177" i="388"/>
  <c r="G175" i="388"/>
  <c r="G177" i="388" s="1"/>
  <c r="H177" i="388" s="1"/>
  <c r="F144" i="360"/>
  <c r="G145" i="360"/>
  <c r="H145" i="360" s="1"/>
  <c r="G33" i="398"/>
  <c r="H33" i="398" s="1"/>
  <c r="F32" i="398"/>
  <c r="G103" i="396"/>
  <c r="H103" i="396" s="1"/>
  <c r="C74" i="412"/>
  <c r="T49" i="348"/>
  <c r="G89" i="395"/>
  <c r="H89" i="395" s="1"/>
  <c r="T87" i="348"/>
  <c r="G56" i="394"/>
  <c r="H56" i="394" s="1"/>
  <c r="G44" i="397"/>
  <c r="H44" i="397" s="1"/>
  <c r="G115" i="405"/>
  <c r="G134" i="397"/>
  <c r="H134" i="397" s="1"/>
  <c r="R57" i="348"/>
  <c r="H34" i="401"/>
  <c r="G16" i="360"/>
  <c r="H16" i="360" s="1"/>
  <c r="F15" i="360"/>
  <c r="C74" i="413"/>
  <c r="E18" i="416"/>
  <c r="C16" i="416"/>
  <c r="N68" i="348"/>
  <c r="L97" i="348"/>
  <c r="G112" i="399"/>
  <c r="H112" i="399" s="1"/>
  <c r="F78" i="399"/>
  <c r="F77" i="399" s="1"/>
  <c r="E14" i="416"/>
  <c r="C12" i="416"/>
  <c r="C10" i="416" s="1"/>
  <c r="H30" i="393"/>
  <c r="H65" i="392"/>
  <c r="G42" i="396"/>
  <c r="H42" i="396" s="1"/>
  <c r="F36" i="396"/>
  <c r="F36" i="389"/>
  <c r="G12" i="408"/>
  <c r="G11" i="408" s="1"/>
  <c r="I52" i="389"/>
  <c r="I81" i="407"/>
  <c r="H81" i="407"/>
  <c r="F139" i="401"/>
  <c r="F164" i="399"/>
  <c r="G45" i="392"/>
  <c r="H45" i="392" s="1"/>
  <c r="G10" i="397"/>
  <c r="H10" i="397" s="1"/>
  <c r="G64" i="395"/>
  <c r="H64" i="395" s="1"/>
  <c r="G159" i="395"/>
  <c r="H159" i="395" s="1"/>
  <c r="G38" i="393"/>
  <c r="G68" i="404"/>
  <c r="G26" i="392"/>
  <c r="H26" i="392" s="1"/>
  <c r="E15" i="404"/>
  <c r="G16" i="404"/>
  <c r="D325" i="335"/>
  <c r="H325" i="335" s="1"/>
  <c r="D330" i="335"/>
  <c r="H330" i="335" s="1"/>
  <c r="D326" i="335"/>
  <c r="H326" i="335" s="1"/>
  <c r="D328" i="335"/>
  <c r="H328" i="335" s="1"/>
  <c r="D324" i="335"/>
  <c r="H324" i="335" s="1"/>
  <c r="G82" i="397"/>
  <c r="H82" i="397" s="1"/>
  <c r="G17" i="403"/>
  <c r="H17" i="403" s="1"/>
  <c r="F15" i="403"/>
  <c r="G10" i="399"/>
  <c r="H10" i="399" s="1"/>
  <c r="G18" i="393"/>
  <c r="F15" i="393"/>
  <c r="G22" i="393"/>
  <c r="H22" i="393" s="1"/>
  <c r="F21" i="393"/>
  <c r="F19" i="393" s="1"/>
  <c r="F36" i="393"/>
  <c r="I118" i="399"/>
  <c r="G156" i="393"/>
  <c r="F164" i="393"/>
  <c r="G57" i="393"/>
  <c r="H57" i="393" s="1"/>
  <c r="F78" i="395"/>
  <c r="F77" i="395" s="1"/>
  <c r="F51" i="408"/>
  <c r="F50" i="408" s="1"/>
  <c r="F78" i="407"/>
  <c r="F77" i="407" s="1"/>
  <c r="G101" i="395"/>
  <c r="G117" i="392"/>
  <c r="H117" i="392" s="1"/>
  <c r="G14" i="395"/>
  <c r="H14" i="395" s="1"/>
  <c r="H88" i="401"/>
  <c r="I88" i="401"/>
  <c r="G146" i="335"/>
  <c r="H146" i="335" s="1"/>
  <c r="H64" i="401"/>
  <c r="H90" i="393"/>
  <c r="H72" i="401"/>
  <c r="I72" i="401"/>
  <c r="H82" i="396"/>
  <c r="I82" i="396"/>
  <c r="H69" i="408"/>
  <c r="I69" i="408"/>
  <c r="H133" i="407"/>
  <c r="F51" i="389"/>
  <c r="F50" i="389" s="1"/>
  <c r="F78" i="408"/>
  <c r="F77" i="408" s="1"/>
  <c r="F51" i="395"/>
  <c r="F50" i="395" s="1"/>
  <c r="F78" i="396"/>
  <c r="F77" i="396" s="1"/>
  <c r="G98" i="395"/>
  <c r="H98" i="395" s="1"/>
  <c r="F51" i="360"/>
  <c r="F50" i="360" s="1"/>
  <c r="F11" i="407"/>
  <c r="F9" i="407" s="1"/>
  <c r="D121" i="387"/>
  <c r="H121" i="387" s="1"/>
  <c r="H76" i="325" s="1"/>
  <c r="D126" i="387"/>
  <c r="H126" i="387" s="1"/>
  <c r="I101" i="325" s="1"/>
  <c r="D129" i="387"/>
  <c r="H129" i="387" s="1"/>
  <c r="I16" i="325" s="1"/>
  <c r="G56" i="403"/>
  <c r="E29" i="389"/>
  <c r="E27" i="389" s="1"/>
  <c r="C165" i="395"/>
  <c r="C171" i="395" s="1"/>
  <c r="C152" i="395"/>
  <c r="C149" i="395"/>
  <c r="C153" i="395"/>
  <c r="C65" i="365"/>
  <c r="P65" i="365" s="1"/>
  <c r="C47" i="385"/>
  <c r="P47" i="385" s="1"/>
  <c r="C161" i="385"/>
  <c r="P161" i="385" s="1"/>
  <c r="F76" i="385"/>
  <c r="F80" i="385" s="1"/>
  <c r="I21" i="398"/>
  <c r="C141" i="365"/>
  <c r="P141" i="365" s="1"/>
  <c r="L151" i="365"/>
  <c r="L164" i="365" s="1"/>
  <c r="L165" i="365" s="1"/>
  <c r="L169" i="365" s="1"/>
  <c r="C134" i="365"/>
  <c r="P134" i="365" s="1"/>
  <c r="C149" i="401"/>
  <c r="D47" i="388"/>
  <c r="I32" i="388"/>
  <c r="C20" i="385"/>
  <c r="P20" i="385" s="1"/>
  <c r="A542" i="328"/>
  <c r="R532" i="328"/>
  <c r="R438" i="328"/>
  <c r="R203" i="328"/>
  <c r="F43" i="386"/>
  <c r="C50" i="385"/>
  <c r="P50" i="385" s="1"/>
  <c r="C97" i="385"/>
  <c r="P97" i="385" s="1"/>
  <c r="C30" i="365"/>
  <c r="P30" i="365" s="1"/>
  <c r="C167" i="395"/>
  <c r="C178" i="395"/>
  <c r="C179" i="395" s="1"/>
  <c r="F44" i="385"/>
  <c r="D12" i="324" l="1"/>
  <c r="I63" i="393"/>
  <c r="D128" i="387"/>
  <c r="H128" i="387" s="1"/>
  <c r="I57" i="325" s="1"/>
  <c r="D99" i="387"/>
  <c r="H99" i="387" s="1"/>
  <c r="H85" i="325" s="1"/>
  <c r="G84" i="387"/>
  <c r="H84" i="387" s="1"/>
  <c r="G112" i="387"/>
  <c r="H112" i="387" s="1"/>
  <c r="H94" i="325" s="1"/>
  <c r="G139" i="403"/>
  <c r="G21" i="403"/>
  <c r="G19" i="403" s="1"/>
  <c r="G86" i="387"/>
  <c r="H86" i="387" s="1"/>
  <c r="H79" i="325" s="1"/>
  <c r="G102" i="387"/>
  <c r="H102" i="387" s="1"/>
  <c r="G104" i="387"/>
  <c r="G106" i="387"/>
  <c r="H106" i="387" s="1"/>
  <c r="D107" i="387"/>
  <c r="H107" i="387" s="1"/>
  <c r="H89" i="325" s="1"/>
  <c r="D109" i="387"/>
  <c r="H109" i="387" s="1"/>
  <c r="H91" i="325" s="1"/>
  <c r="H104" i="387"/>
  <c r="D15" i="335"/>
  <c r="D16" i="335"/>
  <c r="H16" i="335" s="1"/>
  <c r="D23" i="335"/>
  <c r="D35" i="335"/>
  <c r="D39" i="335"/>
  <c r="D47" i="335"/>
  <c r="D48" i="335"/>
  <c r="H48" i="335" s="1"/>
  <c r="D55" i="335"/>
  <c r="D63" i="335"/>
  <c r="D71" i="335"/>
  <c r="G76" i="335"/>
  <c r="H76" i="335" s="1"/>
  <c r="D83" i="335"/>
  <c r="D87" i="335"/>
  <c r="H87" i="335" s="1"/>
  <c r="D91" i="335"/>
  <c r="G96" i="335"/>
  <c r="H96" i="335" s="1"/>
  <c r="D99" i="335"/>
  <c r="D107" i="335"/>
  <c r="D111" i="335"/>
  <c r="D115" i="335"/>
  <c r="D119" i="335"/>
  <c r="D121" i="335"/>
  <c r="D123" i="335"/>
  <c r="D127" i="335"/>
  <c r="H127" i="335" s="1"/>
  <c r="D129" i="335"/>
  <c r="H129" i="335" s="1"/>
  <c r="D131" i="335"/>
  <c r="D132" i="335"/>
  <c r="H132" i="335" s="1"/>
  <c r="D135" i="335"/>
  <c r="D136" i="335"/>
  <c r="H136" i="335" s="1"/>
  <c r="G139" i="335"/>
  <c r="G140" i="335"/>
  <c r="H140" i="335" s="1"/>
  <c r="G158" i="335"/>
  <c r="H158" i="335" s="1"/>
  <c r="G161" i="335"/>
  <c r="H161" i="335" s="1"/>
  <c r="G162" i="335"/>
  <c r="H162" i="335" s="1"/>
  <c r="G164" i="335"/>
  <c r="G165" i="335"/>
  <c r="H165" i="335" s="1"/>
  <c r="G177" i="335"/>
  <c r="H177" i="335" s="1"/>
  <c r="G178" i="335"/>
  <c r="H178" i="335" s="1"/>
  <c r="G179" i="335"/>
  <c r="H179" i="335" s="1"/>
  <c r="G184" i="335"/>
  <c r="G187" i="335"/>
  <c r="H187" i="335" s="1"/>
  <c r="G190" i="335"/>
  <c r="H190" i="335" s="1"/>
  <c r="G191" i="335"/>
  <c r="H191" i="335" s="1"/>
  <c r="G194" i="335"/>
  <c r="H194" i="335" s="1"/>
  <c r="D206" i="335"/>
  <c r="H206" i="335" s="1"/>
  <c r="D207" i="335"/>
  <c r="H207" i="335" s="1"/>
  <c r="D208" i="335"/>
  <c r="H208" i="335" s="1"/>
  <c r="D210" i="335"/>
  <c r="D211" i="335"/>
  <c r="H211" i="335" s="1"/>
  <c r="D214" i="335"/>
  <c r="D215" i="335"/>
  <c r="H215" i="335" s="1"/>
  <c r="D216" i="335"/>
  <c r="H216" i="335" s="1"/>
  <c r="D218" i="335"/>
  <c r="C12" i="354"/>
  <c r="C13" i="354" s="1"/>
  <c r="C26" i="354"/>
  <c r="E26" i="354" s="1"/>
  <c r="D219" i="335"/>
  <c r="H219" i="335" s="1"/>
  <c r="D222" i="335"/>
  <c r="D223" i="335"/>
  <c r="H223" i="335" s="1"/>
  <c r="D224" i="335"/>
  <c r="H224" i="335" s="1"/>
  <c r="D226" i="335"/>
  <c r="D227" i="335"/>
  <c r="H227" i="335" s="1"/>
  <c r="D228" i="335"/>
  <c r="H228" i="335" s="1"/>
  <c r="D230" i="335"/>
  <c r="H230" i="335" s="1"/>
  <c r="D231" i="335"/>
  <c r="H231" i="335" s="1"/>
  <c r="D232" i="335"/>
  <c r="H232" i="335" s="1"/>
  <c r="D233" i="335"/>
  <c r="D234" i="335"/>
  <c r="H234" i="335" s="1"/>
  <c r="D235" i="335"/>
  <c r="D236" i="335"/>
  <c r="H236" i="335" s="1"/>
  <c r="D237" i="335"/>
  <c r="D238" i="335"/>
  <c r="H238" i="335" s="1"/>
  <c r="D239" i="335"/>
  <c r="H239" i="335" s="1"/>
  <c r="D241" i="335"/>
  <c r="D242" i="335"/>
  <c r="H242" i="335" s="1"/>
  <c r="D245" i="335"/>
  <c r="H245" i="335" s="1"/>
  <c r="D246" i="335"/>
  <c r="H246" i="335" s="1"/>
  <c r="D247" i="335"/>
  <c r="H247" i="335" s="1"/>
  <c r="D249" i="335"/>
  <c r="D250" i="335"/>
  <c r="H250" i="335" s="1"/>
  <c r="D251" i="335"/>
  <c r="H251" i="335" s="1"/>
  <c r="D253" i="335"/>
  <c r="D254" i="335"/>
  <c r="H254" i="335" s="1"/>
  <c r="D255" i="335"/>
  <c r="H255" i="335" s="1"/>
  <c r="D256" i="335"/>
  <c r="H256" i="335" s="1"/>
  <c r="D257" i="335"/>
  <c r="H257" i="335" s="1"/>
  <c r="D258" i="335"/>
  <c r="H258" i="335" s="1"/>
  <c r="D259" i="335"/>
  <c r="H259" i="335" s="1"/>
  <c r="D261" i="335"/>
  <c r="D262" i="335"/>
  <c r="H262" i="335" s="1"/>
  <c r="D263" i="335"/>
  <c r="H263" i="335" s="1"/>
  <c r="D264" i="335"/>
  <c r="H264" i="335" s="1"/>
  <c r="D265" i="335"/>
  <c r="D266" i="335"/>
  <c r="H266" i="335" s="1"/>
  <c r="D267" i="335"/>
  <c r="H267" i="335" s="1"/>
  <c r="D269" i="335"/>
  <c r="D270" i="335"/>
  <c r="H270" i="335" s="1"/>
  <c r="D271" i="335"/>
  <c r="H271" i="335" s="1"/>
  <c r="D273" i="335"/>
  <c r="D274" i="335"/>
  <c r="H274" i="335" s="1"/>
  <c r="D275" i="335"/>
  <c r="H275" i="335" s="1"/>
  <c r="D277" i="335"/>
  <c r="D278" i="335"/>
  <c r="H278" i="335" s="1"/>
  <c r="D279" i="335"/>
  <c r="H279" i="335" s="1"/>
  <c r="D280" i="335"/>
  <c r="H280" i="335" s="1"/>
  <c r="D281" i="335"/>
  <c r="H281" i="335" s="1"/>
  <c r="D282" i="335"/>
  <c r="H282" i="335" s="1"/>
  <c r="D283" i="335"/>
  <c r="D284" i="335"/>
  <c r="H284" i="335" s="1"/>
  <c r="D285" i="335"/>
  <c r="H285" i="335" s="1"/>
  <c r="D286" i="335"/>
  <c r="H286" i="335" s="1"/>
  <c r="D288" i="335"/>
  <c r="H288" i="335" s="1"/>
  <c r="D289" i="335"/>
  <c r="H289" i="335" s="1"/>
  <c r="D292" i="335"/>
  <c r="D293" i="335"/>
  <c r="H293" i="335" s="1"/>
  <c r="D294" i="335"/>
  <c r="H294" i="335" s="1"/>
  <c r="D295" i="335"/>
  <c r="H295" i="335" s="1"/>
  <c r="D297" i="335"/>
  <c r="H297" i="335" s="1"/>
  <c r="D298" i="335"/>
  <c r="H298" i="335" s="1"/>
  <c r="D299" i="335"/>
  <c r="H299" i="335" s="1"/>
  <c r="D300" i="335"/>
  <c r="H300" i="335" s="1"/>
  <c r="D301" i="335"/>
  <c r="H301" i="335" s="1"/>
  <c r="D302" i="335"/>
  <c r="H302" i="335" s="1"/>
  <c r="D303" i="335"/>
  <c r="H303" i="335" s="1"/>
  <c r="D304" i="335"/>
  <c r="H304" i="335" s="1"/>
  <c r="D305" i="335"/>
  <c r="H305" i="335" s="1"/>
  <c r="D306" i="335"/>
  <c r="H306" i="335" s="1"/>
  <c r="D308" i="335"/>
  <c r="H308" i="335" s="1"/>
  <c r="D309" i="335"/>
  <c r="H309" i="335" s="1"/>
  <c r="D310" i="335"/>
  <c r="H310" i="335" s="1"/>
  <c r="D311" i="335"/>
  <c r="D312" i="335"/>
  <c r="H312" i="335" s="1"/>
  <c r="D313" i="335"/>
  <c r="H313" i="335" s="1"/>
  <c r="D314" i="335"/>
  <c r="H314" i="335" s="1"/>
  <c r="D315" i="335"/>
  <c r="H315" i="335" s="1"/>
  <c r="D316" i="335"/>
  <c r="H316" i="335" s="1"/>
  <c r="D317" i="335"/>
  <c r="H317" i="335" s="1"/>
  <c r="D318" i="335"/>
  <c r="H318" i="335" s="1"/>
  <c r="D319" i="335"/>
  <c r="H319" i="335" s="1"/>
  <c r="D320" i="335"/>
  <c r="H320" i="335" s="1"/>
  <c r="D321" i="335"/>
  <c r="H321" i="335" s="1"/>
  <c r="G92" i="387"/>
  <c r="H92" i="387" s="1"/>
  <c r="D93" i="387"/>
  <c r="H93" i="387" s="1"/>
  <c r="G94" i="387"/>
  <c r="H94" i="387" s="1"/>
  <c r="G96" i="387"/>
  <c r="H96" i="387" s="1"/>
  <c r="H82" i="325" s="1"/>
  <c r="D97" i="387"/>
  <c r="H97" i="387" s="1"/>
  <c r="H83" i="325" s="1"/>
  <c r="G98" i="387"/>
  <c r="H98" i="387" s="1"/>
  <c r="H84" i="325" s="1"/>
  <c r="G100" i="387"/>
  <c r="H100" i="387" s="1"/>
  <c r="H86" i="325" s="1"/>
  <c r="G108" i="387"/>
  <c r="H108" i="387" s="1"/>
  <c r="H90" i="325" s="1"/>
  <c r="G110" i="387"/>
  <c r="H110" i="387" s="1"/>
  <c r="H92" i="325" s="1"/>
  <c r="G114" i="387"/>
  <c r="H114" i="387" s="1"/>
  <c r="G124" i="387"/>
  <c r="H124" i="387" s="1"/>
  <c r="D125" i="387"/>
  <c r="H125" i="387" s="1"/>
  <c r="I100" i="325" s="1"/>
  <c r="D130" i="387"/>
  <c r="H130" i="387" s="1"/>
  <c r="I43" i="325" s="1"/>
  <c r="D133" i="387"/>
  <c r="H133" i="387" s="1"/>
  <c r="D134" i="387"/>
  <c r="H134" i="387" s="1"/>
  <c r="H235" i="335"/>
  <c r="D81" i="387"/>
  <c r="H81" i="387" s="1"/>
  <c r="D105" i="387"/>
  <c r="H105" i="387" s="1"/>
  <c r="D111" i="387"/>
  <c r="H111" i="387" s="1"/>
  <c r="H93" i="325" s="1"/>
  <c r="D101" i="387"/>
  <c r="H101" i="387" s="1"/>
  <c r="I88" i="325" s="1"/>
  <c r="D113" i="387"/>
  <c r="H113" i="387" s="1"/>
  <c r="G80" i="387"/>
  <c r="H80" i="387" s="1"/>
  <c r="G82" i="387"/>
  <c r="H82" i="387" s="1"/>
  <c r="G88" i="387"/>
  <c r="H88" i="387" s="1"/>
  <c r="H68" i="325" s="1"/>
  <c r="D89" i="387"/>
  <c r="H89" i="387" s="1"/>
  <c r="H69" i="325" s="1"/>
  <c r="G90" i="387"/>
  <c r="H90" i="387" s="1"/>
  <c r="H70" i="325" s="1"/>
  <c r="D91" i="387"/>
  <c r="H91" i="387" s="1"/>
  <c r="I80" i="325" s="1"/>
  <c r="G181" i="335"/>
  <c r="H181" i="335" s="1"/>
  <c r="D95" i="387"/>
  <c r="H95" i="387" s="1"/>
  <c r="H81" i="325" s="1"/>
  <c r="G189" i="335"/>
  <c r="G144" i="335"/>
  <c r="H144" i="335" s="1"/>
  <c r="G168" i="335"/>
  <c r="G172" i="335"/>
  <c r="G195" i="335"/>
  <c r="H195" i="335" s="1"/>
  <c r="G198" i="335"/>
  <c r="H198" i="335" s="1"/>
  <c r="D85" i="387"/>
  <c r="H85" i="387" s="1"/>
  <c r="H78" i="325" s="1"/>
  <c r="G141" i="335"/>
  <c r="G153" i="335"/>
  <c r="H153" i="335" s="1"/>
  <c r="G173" i="335"/>
  <c r="H173" i="335" s="1"/>
  <c r="G176" i="335"/>
  <c r="G124" i="335"/>
  <c r="H124" i="335" s="1"/>
  <c r="G152" i="335"/>
  <c r="G156" i="335"/>
  <c r="G157" i="335"/>
  <c r="H157" i="335" s="1"/>
  <c r="G160" i="335"/>
  <c r="G170" i="335"/>
  <c r="H170" i="335" s="1"/>
  <c r="G185" i="335"/>
  <c r="H185" i="335" s="1"/>
  <c r="G193" i="335"/>
  <c r="G197" i="335"/>
  <c r="G201" i="335"/>
  <c r="G202" i="335"/>
  <c r="H202" i="335" s="1"/>
  <c r="G108" i="335"/>
  <c r="H108" i="335" s="1"/>
  <c r="G143" i="335"/>
  <c r="G169" i="335"/>
  <c r="H169" i="335" s="1"/>
  <c r="G174" i="335"/>
  <c r="H174" i="335" s="1"/>
  <c r="G180" i="335"/>
  <c r="D13" i="324"/>
  <c r="H23" i="403"/>
  <c r="F21" i="403"/>
  <c r="F19" i="403" s="1"/>
  <c r="F164" i="401"/>
  <c r="I53" i="401"/>
  <c r="F32" i="401"/>
  <c r="I70" i="403"/>
  <c r="G32" i="401"/>
  <c r="I70" i="401"/>
  <c r="H61" i="403"/>
  <c r="H89" i="403"/>
  <c r="F139" i="399"/>
  <c r="F78" i="393"/>
  <c r="F77" i="393" s="1"/>
  <c r="F51" i="393"/>
  <c r="F50" i="393" s="1"/>
  <c r="F51" i="396"/>
  <c r="F50" i="396" s="1"/>
  <c r="F29" i="399"/>
  <c r="F27" i="399" s="1"/>
  <c r="F51" i="399"/>
  <c r="F50" i="399" s="1"/>
  <c r="F164" i="396"/>
  <c r="I157" i="401"/>
  <c r="G145" i="396"/>
  <c r="F36" i="401"/>
  <c r="G175" i="403"/>
  <c r="G177" i="403" s="1"/>
  <c r="H82" i="401"/>
  <c r="H124" i="393"/>
  <c r="I140" i="403"/>
  <c r="H140" i="403"/>
  <c r="F32" i="397"/>
  <c r="D68" i="354"/>
  <c r="C89" i="354"/>
  <c r="D19" i="354"/>
  <c r="D54" i="354"/>
  <c r="D47" i="354"/>
  <c r="D12" i="354"/>
  <c r="D13" i="354" s="1"/>
  <c r="H17" i="389"/>
  <c r="I17" i="389"/>
  <c r="H132" i="389"/>
  <c r="I108" i="388"/>
  <c r="D78" i="388"/>
  <c r="D77" i="388" s="1"/>
  <c r="I85" i="389"/>
  <c r="D27" i="407"/>
  <c r="I29" i="407"/>
  <c r="H18" i="393"/>
  <c r="I163" i="360"/>
  <c r="D164" i="360"/>
  <c r="I157" i="407"/>
  <c r="H157" i="407"/>
  <c r="H133" i="389"/>
  <c r="I133" i="389"/>
  <c r="I113" i="393"/>
  <c r="H113" i="393"/>
  <c r="I130" i="393"/>
  <c r="H130" i="393"/>
  <c r="I131" i="408"/>
  <c r="H131" i="408"/>
  <c r="H83" i="392"/>
  <c r="I83" i="392"/>
  <c r="I18" i="397"/>
  <c r="H18" i="397"/>
  <c r="I56" i="396"/>
  <c r="H56" i="396"/>
  <c r="I28" i="399"/>
  <c r="H28" i="399"/>
  <c r="H17" i="399"/>
  <c r="H96" i="393"/>
  <c r="I72" i="394"/>
  <c r="H39" i="402"/>
  <c r="H109" i="402"/>
  <c r="H90" i="402"/>
  <c r="H126" i="403"/>
  <c r="H96" i="403"/>
  <c r="H119" i="403"/>
  <c r="H33" i="403"/>
  <c r="H53" i="403"/>
  <c r="I68" i="403"/>
  <c r="H161" i="403"/>
  <c r="I55" i="403"/>
  <c r="H80" i="403"/>
  <c r="H65" i="401"/>
  <c r="H91" i="401"/>
  <c r="E70" i="413"/>
  <c r="F10" i="387" a="1"/>
  <c r="F10" i="387" s="1"/>
  <c r="D10" i="387" s="1"/>
  <c r="H10" i="387" s="1"/>
  <c r="I15" i="325" s="1"/>
  <c r="F11" i="387" a="1"/>
  <c r="F11" i="387" s="1"/>
  <c r="F12" i="387" a="1"/>
  <c r="F12" i="387" s="1"/>
  <c r="F13" i="387" a="1"/>
  <c r="F13" i="387" s="1"/>
  <c r="F14" i="387" a="1"/>
  <c r="F14" i="387" s="1"/>
  <c r="D14" i="387" s="1"/>
  <c r="H14" i="387" s="1"/>
  <c r="I21" i="325" s="1"/>
  <c r="F15" i="387" a="1"/>
  <c r="F15" i="387" s="1"/>
  <c r="E19" i="387" a="1"/>
  <c r="E19" i="387" s="1"/>
  <c r="E23" i="387" a="1"/>
  <c r="E23" i="387" s="1"/>
  <c r="E27" i="387" a="1"/>
  <c r="E27" i="387" s="1"/>
  <c r="E31" i="387" a="1"/>
  <c r="E31" i="387" s="1"/>
  <c r="E35" i="387" a="1"/>
  <c r="E35" i="387" s="1"/>
  <c r="E39" i="387" a="1"/>
  <c r="E39" i="387" s="1"/>
  <c r="E43" i="387" a="1"/>
  <c r="E43" i="387" s="1"/>
  <c r="E47" i="387" a="1"/>
  <c r="E47" i="387" s="1"/>
  <c r="E51" i="387" a="1"/>
  <c r="E51" i="387" s="1"/>
  <c r="E55" i="387" a="1"/>
  <c r="E55" i="387" s="1"/>
  <c r="F59" i="387" a="1"/>
  <c r="F59" i="387" s="1"/>
  <c r="F62" i="387" a="1"/>
  <c r="F62" i="387" s="1"/>
  <c r="E138" i="387" a="1"/>
  <c r="E138" i="387" s="1"/>
  <c r="E297" i="387" a="1"/>
  <c r="E297" i="387" s="1"/>
  <c r="E313" i="387" a="1"/>
  <c r="E313" i="387" s="1"/>
  <c r="H84" i="360"/>
  <c r="I156" i="402"/>
  <c r="H23" i="397"/>
  <c r="H115" i="403"/>
  <c r="H118" i="401"/>
  <c r="G81" i="402"/>
  <c r="E18" i="387" a="1"/>
  <c r="E18" i="387" s="1"/>
  <c r="E22" i="387" a="1"/>
  <c r="E22" i="387" s="1"/>
  <c r="E26" i="387" a="1"/>
  <c r="E26" i="387" s="1"/>
  <c r="E30" i="387" a="1"/>
  <c r="E30" i="387" s="1"/>
  <c r="E34" i="387" a="1"/>
  <c r="E34" i="387" s="1"/>
  <c r="E38" i="387" a="1"/>
  <c r="E38" i="387" s="1"/>
  <c r="E42" i="387" a="1"/>
  <c r="E42" i="387" s="1"/>
  <c r="E46" i="387" a="1"/>
  <c r="E46" i="387" s="1"/>
  <c r="E50" i="387" a="1"/>
  <c r="E50" i="387" s="1"/>
  <c r="E54" i="387" a="1"/>
  <c r="E54" i="387" s="1"/>
  <c r="F58" i="387" a="1"/>
  <c r="F58" i="387" s="1"/>
  <c r="E137" i="387" a="1"/>
  <c r="E137" i="387" s="1"/>
  <c r="E285" i="387" a="1"/>
  <c r="E285" i="387" s="1"/>
  <c r="E301" i="387" a="1"/>
  <c r="E301" i="387" s="1"/>
  <c r="H136" i="398"/>
  <c r="H85" i="405"/>
  <c r="H109" i="405"/>
  <c r="H31" i="402"/>
  <c r="I17" i="402"/>
  <c r="H117" i="402"/>
  <c r="H158" i="403"/>
  <c r="H135" i="403"/>
  <c r="H82" i="403"/>
  <c r="E214" i="387" a="1"/>
  <c r="E214" i="387" s="1"/>
  <c r="F213" i="387" a="1"/>
  <c r="F213" i="387" s="1"/>
  <c r="F212" i="387" a="1"/>
  <c r="F212" i="387" s="1"/>
  <c r="F211" i="387" a="1"/>
  <c r="F211" i="387" s="1"/>
  <c r="F210" i="387" a="1"/>
  <c r="F210" i="387" s="1"/>
  <c r="F209" i="387" a="1"/>
  <c r="F209" i="387" s="1"/>
  <c r="F208" i="387" a="1"/>
  <c r="F208" i="387" s="1"/>
  <c r="F207" i="387" a="1"/>
  <c r="F207" i="387" s="1"/>
  <c r="F206" i="387" a="1"/>
  <c r="F206" i="387" s="1"/>
  <c r="F205" i="387" a="1"/>
  <c r="F205" i="387" s="1"/>
  <c r="F203" i="387" a="1"/>
  <c r="F203" i="387" s="1"/>
  <c r="F202" i="387" a="1"/>
  <c r="F202" i="387" s="1"/>
  <c r="F201" i="387" a="1"/>
  <c r="F201" i="387" s="1"/>
  <c r="F200" i="387" a="1"/>
  <c r="F200" i="387" s="1"/>
  <c r="F199" i="387" a="1"/>
  <c r="F199" i="387" s="1"/>
  <c r="F198" i="387" a="1"/>
  <c r="F198" i="387" s="1"/>
  <c r="F197" i="387" a="1"/>
  <c r="F197" i="387" s="1"/>
  <c r="F196" i="387" a="1"/>
  <c r="F196" i="387" s="1"/>
  <c r="F195" i="387" a="1"/>
  <c r="F195" i="387" s="1"/>
  <c r="F194" i="387" a="1"/>
  <c r="F194" i="387" s="1"/>
  <c r="F193" i="387" a="1"/>
  <c r="F193" i="387" s="1"/>
  <c r="F192" i="387" a="1"/>
  <c r="F192" i="387" s="1"/>
  <c r="F191" i="387" a="1"/>
  <c r="F191" i="387" s="1"/>
  <c r="F190" i="387" a="1"/>
  <c r="F190" i="387" s="1"/>
  <c r="F188" i="387" a="1"/>
  <c r="F188" i="387" s="1"/>
  <c r="F187" i="387" a="1"/>
  <c r="F187" i="387" s="1"/>
  <c r="F186" i="387" a="1"/>
  <c r="F186" i="387" s="1"/>
  <c r="F185" i="387" a="1"/>
  <c r="F185" i="387" s="1"/>
  <c r="F184" i="387" a="1"/>
  <c r="F184" i="387" s="1"/>
  <c r="F183" i="387" a="1"/>
  <c r="F183" i="387" s="1"/>
  <c r="F182" i="387" a="1"/>
  <c r="F182" i="387" s="1"/>
  <c r="F181" i="387" a="1"/>
  <c r="F181" i="387" s="1"/>
  <c r="F180" i="387" a="1"/>
  <c r="F180" i="387" s="1"/>
  <c r="F179" i="387" a="1"/>
  <c r="F179" i="387" s="1"/>
  <c r="F178" i="387" a="1"/>
  <c r="F178" i="387" s="1"/>
  <c r="F177" i="387" a="1"/>
  <c r="F177" i="387" s="1"/>
  <c r="F176" i="387" a="1"/>
  <c r="F176" i="387" s="1"/>
  <c r="F175" i="387" a="1"/>
  <c r="F175" i="387" s="1"/>
  <c r="F174" i="387" a="1"/>
  <c r="F174" i="387" s="1"/>
  <c r="F173" i="387" a="1"/>
  <c r="F173" i="387" s="1"/>
  <c r="F172" i="387" a="1"/>
  <c r="F172" i="387" s="1"/>
  <c r="F171" i="387" a="1"/>
  <c r="F171" i="387" s="1"/>
  <c r="F170" i="387" a="1"/>
  <c r="F170" i="387" s="1"/>
  <c r="F169" i="387" a="1"/>
  <c r="F169" i="387" s="1"/>
  <c r="F168" i="387" a="1"/>
  <c r="F168" i="387" s="1"/>
  <c r="F167" i="387" a="1"/>
  <c r="F167" i="387" s="1"/>
  <c r="F166" i="387" a="1"/>
  <c r="F166" i="387" s="1"/>
  <c r="F165" i="387" a="1"/>
  <c r="F165" i="387" s="1"/>
  <c r="F164" i="387" a="1"/>
  <c r="F164" i="387" s="1"/>
  <c r="F163" i="387" a="1"/>
  <c r="F163" i="387" s="1"/>
  <c r="F162" i="387" a="1"/>
  <c r="F162" i="387" s="1"/>
  <c r="F161" i="387" a="1"/>
  <c r="F161" i="387" s="1"/>
  <c r="F160" i="387" a="1"/>
  <c r="F160" i="387" s="1"/>
  <c r="F159" i="387" a="1"/>
  <c r="F159" i="387" s="1"/>
  <c r="F158" i="387" a="1"/>
  <c r="F158" i="387" s="1"/>
  <c r="F157" i="387" a="1"/>
  <c r="F157" i="387" s="1"/>
  <c r="F156" i="387" a="1"/>
  <c r="F156" i="387" s="1"/>
  <c r="F155" i="387" a="1"/>
  <c r="F155" i="387" s="1"/>
  <c r="F154" i="387" a="1"/>
  <c r="F154" i="387" s="1"/>
  <c r="F153" i="387" a="1"/>
  <c r="F153" i="387" s="1"/>
  <c r="F152" i="387" a="1"/>
  <c r="F152" i="387" s="1"/>
  <c r="F151" i="387" a="1"/>
  <c r="F151" i="387" s="1"/>
  <c r="F145" i="387" a="1"/>
  <c r="F145" i="387" s="1"/>
  <c r="F144" i="387" a="1"/>
  <c r="F144" i="387" s="1"/>
  <c r="E79" i="387" a="1"/>
  <c r="E79" i="387" s="1"/>
  <c r="F78" i="387" a="1"/>
  <c r="F78" i="387" s="1"/>
  <c r="F77" i="387" a="1"/>
  <c r="F77" i="387" s="1"/>
  <c r="F76" i="387" a="1"/>
  <c r="F76" i="387" s="1"/>
  <c r="F75" i="387" a="1"/>
  <c r="F75" i="387" s="1"/>
  <c r="F74" i="387" a="1"/>
  <c r="F74" i="387" s="1"/>
  <c r="F73" i="387" a="1"/>
  <c r="F73" i="387" s="1"/>
  <c r="F72" i="387" a="1"/>
  <c r="F72" i="387" s="1"/>
  <c r="F71" i="387" a="1"/>
  <c r="F71" i="387" s="1"/>
  <c r="F70" i="387" a="1"/>
  <c r="F70" i="387" s="1"/>
  <c r="F69" i="387" a="1"/>
  <c r="F69" i="387" s="1"/>
  <c r="F68" i="387" a="1"/>
  <c r="F68" i="387" s="1"/>
  <c r="F67" i="387" a="1"/>
  <c r="F67" i="387" s="1"/>
  <c r="F66" i="387" a="1"/>
  <c r="F66" i="387" s="1"/>
  <c r="E213" i="387" a="1"/>
  <c r="E213" i="387" s="1"/>
  <c r="E212" i="387" a="1"/>
  <c r="E212" i="387" s="1"/>
  <c r="D212" i="387" s="1"/>
  <c r="H212" i="387" s="1"/>
  <c r="I42" i="337" s="1"/>
  <c r="E211" i="387" a="1"/>
  <c r="E211" i="387" s="1"/>
  <c r="D211" i="387" s="1"/>
  <c r="H211" i="387" s="1"/>
  <c r="I41" i="337" s="1"/>
  <c r="E210" i="387" a="1"/>
  <c r="E210" i="387" s="1"/>
  <c r="E209" i="387" a="1"/>
  <c r="E209" i="387" s="1"/>
  <c r="D209" i="387" s="1"/>
  <c r="H209" i="387" s="1"/>
  <c r="I39" i="337" s="1"/>
  <c r="E208" i="387" a="1"/>
  <c r="E208" i="387" s="1"/>
  <c r="D208" i="387" s="1"/>
  <c r="H208" i="387" s="1"/>
  <c r="I37" i="337" s="1"/>
  <c r="E207" i="387" a="1"/>
  <c r="E207" i="387" s="1"/>
  <c r="D207" i="387" s="1"/>
  <c r="H207" i="387" s="1"/>
  <c r="I36" i="337" s="1"/>
  <c r="E206" i="387" a="1"/>
  <c r="E206" i="387" s="1"/>
  <c r="E205" i="387" a="1"/>
  <c r="E205" i="387" s="1"/>
  <c r="E203" i="387" a="1"/>
  <c r="E203" i="387" s="1"/>
  <c r="E202" i="387" a="1"/>
  <c r="E202" i="387" s="1"/>
  <c r="E201" i="387" a="1"/>
  <c r="E201" i="387" s="1"/>
  <c r="E200" i="387" a="1"/>
  <c r="E200" i="387" s="1"/>
  <c r="E199" i="387" a="1"/>
  <c r="E199" i="387" s="1"/>
  <c r="E198" i="387" a="1"/>
  <c r="E198" i="387" s="1"/>
  <c r="E197" i="387" a="1"/>
  <c r="E197" i="387" s="1"/>
  <c r="E196" i="387" a="1"/>
  <c r="E196" i="387" s="1"/>
  <c r="E195" i="387" a="1"/>
  <c r="E195" i="387" s="1"/>
  <c r="E194" i="387" a="1"/>
  <c r="E194" i="387" s="1"/>
  <c r="E193" i="387" a="1"/>
  <c r="E193" i="387" s="1"/>
  <c r="E192" i="387" a="1"/>
  <c r="E192" i="387" s="1"/>
  <c r="E191" i="387" a="1"/>
  <c r="E191" i="387" s="1"/>
  <c r="E190" i="387" a="1"/>
  <c r="E190" i="387" s="1"/>
  <c r="E188" i="387" a="1"/>
  <c r="E188" i="387" s="1"/>
  <c r="E187" i="387" a="1"/>
  <c r="E187" i="387" s="1"/>
  <c r="E186" i="387" a="1"/>
  <c r="E186" i="387" s="1"/>
  <c r="E185" i="387" a="1"/>
  <c r="E185" i="387" s="1"/>
  <c r="E184" i="387" a="1"/>
  <c r="E184" i="387" s="1"/>
  <c r="E183" i="387" a="1"/>
  <c r="E183" i="387" s="1"/>
  <c r="E182" i="387" a="1"/>
  <c r="E182" i="387" s="1"/>
  <c r="E181" i="387" a="1"/>
  <c r="E181" i="387" s="1"/>
  <c r="E180" i="387" a="1"/>
  <c r="E180" i="387" s="1"/>
  <c r="E179" i="387" a="1"/>
  <c r="E179" i="387" s="1"/>
  <c r="E178" i="387" a="1"/>
  <c r="E178" i="387" s="1"/>
  <c r="E177" i="387" a="1"/>
  <c r="E177" i="387" s="1"/>
  <c r="E176" i="387" a="1"/>
  <c r="E176" i="387" s="1"/>
  <c r="E175" i="387" a="1"/>
  <c r="E175" i="387" s="1"/>
  <c r="E174" i="387" a="1"/>
  <c r="E174" i="387" s="1"/>
  <c r="E173" i="387" a="1"/>
  <c r="E173" i="387" s="1"/>
  <c r="E172" i="387" a="1"/>
  <c r="E172" i="387" s="1"/>
  <c r="E171" i="387" a="1"/>
  <c r="E171" i="387" s="1"/>
  <c r="E170" i="387" a="1"/>
  <c r="E170" i="387" s="1"/>
  <c r="E169" i="387" a="1"/>
  <c r="E169" i="387" s="1"/>
  <c r="E168" i="387" a="1"/>
  <c r="E168" i="387" s="1"/>
  <c r="E167" i="387" a="1"/>
  <c r="E167" i="387" s="1"/>
  <c r="E166" i="387" a="1"/>
  <c r="E166" i="387" s="1"/>
  <c r="E165" i="387" a="1"/>
  <c r="E165" i="387" s="1"/>
  <c r="E164" i="387" a="1"/>
  <c r="E164" i="387" s="1"/>
  <c r="E163" i="387" a="1"/>
  <c r="E163" i="387" s="1"/>
  <c r="E162" i="387" a="1"/>
  <c r="E162" i="387" s="1"/>
  <c r="E161" i="387" a="1"/>
  <c r="E161" i="387" s="1"/>
  <c r="E160" i="387" a="1"/>
  <c r="E160" i="387" s="1"/>
  <c r="E159" i="387" a="1"/>
  <c r="E159" i="387" s="1"/>
  <c r="E158" i="387" a="1"/>
  <c r="E158" i="387" s="1"/>
  <c r="E157" i="387" a="1"/>
  <c r="E157" i="387" s="1"/>
  <c r="E156" i="387" a="1"/>
  <c r="E156" i="387" s="1"/>
  <c r="E155" i="387" a="1"/>
  <c r="E155" i="387" s="1"/>
  <c r="E154" i="387" a="1"/>
  <c r="E154" i="387" s="1"/>
  <c r="E153" i="387" a="1"/>
  <c r="E153" i="387" s="1"/>
  <c r="E152" i="387" a="1"/>
  <c r="E152" i="387" s="1"/>
  <c r="E151" i="387" a="1"/>
  <c r="E151" i="387" s="1"/>
  <c r="E145" i="387" a="1"/>
  <c r="E145" i="387" s="1"/>
  <c r="E144" i="387" a="1"/>
  <c r="E144" i="387" s="1"/>
  <c r="F143" i="387" a="1"/>
  <c r="F143" i="387" s="1"/>
  <c r="E78" i="387" a="1"/>
  <c r="E78" i="387" s="1"/>
  <c r="E77" i="387" a="1"/>
  <c r="E77" i="387" s="1"/>
  <c r="E76" i="387" a="1"/>
  <c r="E76" i="387" s="1"/>
  <c r="E75" i="387" a="1"/>
  <c r="E75" i="387" s="1"/>
  <c r="E74" i="387" a="1"/>
  <c r="E74" i="387" s="1"/>
  <c r="E73" i="387" a="1"/>
  <c r="E73" i="387" s="1"/>
  <c r="E72" i="387" a="1"/>
  <c r="E72" i="387" s="1"/>
  <c r="E71" i="387" a="1"/>
  <c r="E71" i="387" s="1"/>
  <c r="E70" i="387" a="1"/>
  <c r="E70" i="387" s="1"/>
  <c r="E69" i="387" a="1"/>
  <c r="E69" i="387" s="1"/>
  <c r="E68" i="387" a="1"/>
  <c r="E68" i="387" s="1"/>
  <c r="E67" i="387" a="1"/>
  <c r="E67" i="387" s="1"/>
  <c r="E66" i="387" a="1"/>
  <c r="E66" i="387" s="1"/>
  <c r="E65" i="387" a="1"/>
  <c r="E65" i="387" s="1"/>
  <c r="E64" i="387" a="1"/>
  <c r="E64" i="387" s="1"/>
  <c r="D64" i="387" s="1"/>
  <c r="H64" i="387" s="1"/>
  <c r="E63" i="387" a="1"/>
  <c r="E63" i="387" s="1"/>
  <c r="E62" i="387" a="1"/>
  <c r="E62" i="387" s="1"/>
  <c r="E61" i="387" a="1"/>
  <c r="E61" i="387" s="1"/>
  <c r="E60" i="387" a="1"/>
  <c r="E60" i="387" s="1"/>
  <c r="D60" i="387" s="1"/>
  <c r="H60" i="387" s="1"/>
  <c r="E59" i="387" a="1"/>
  <c r="E59" i="387" s="1"/>
  <c r="E58" i="387" a="1"/>
  <c r="E58" i="387" s="1"/>
  <c r="F324" i="387" a="1"/>
  <c r="F324" i="387" s="1"/>
  <c r="F323" i="387" a="1"/>
  <c r="F323" i="387" s="1"/>
  <c r="F322" i="387" a="1"/>
  <c r="F322" i="387" s="1"/>
  <c r="F321" i="387" a="1"/>
  <c r="F321" i="387" s="1"/>
  <c r="F320" i="387" a="1"/>
  <c r="F320" i="387" s="1"/>
  <c r="F319" i="387" a="1"/>
  <c r="F319" i="387" s="1"/>
  <c r="F318" i="387" a="1"/>
  <c r="F318" i="387" s="1"/>
  <c r="F317" i="387" a="1"/>
  <c r="F317" i="387" s="1"/>
  <c r="F316" i="387" a="1"/>
  <c r="F316" i="387" s="1"/>
  <c r="F315" i="387" a="1"/>
  <c r="F315" i="387" s="1"/>
  <c r="F314" i="387" a="1"/>
  <c r="F314" i="387" s="1"/>
  <c r="F313" i="387" a="1"/>
  <c r="F313" i="387" s="1"/>
  <c r="F312" i="387" a="1"/>
  <c r="F312" i="387" s="1"/>
  <c r="F311" i="387" a="1"/>
  <c r="F311" i="387" s="1"/>
  <c r="F310" i="387" a="1"/>
  <c r="F310" i="387" s="1"/>
  <c r="F309" i="387" a="1"/>
  <c r="F309" i="387" s="1"/>
  <c r="F308" i="387" a="1"/>
  <c r="F308" i="387" s="1"/>
  <c r="F307" i="387" a="1"/>
  <c r="F307" i="387" s="1"/>
  <c r="F306" i="387" a="1"/>
  <c r="F306" i="387" s="1"/>
  <c r="F305" i="387" a="1"/>
  <c r="F305" i="387" s="1"/>
  <c r="D305" i="387" s="1"/>
  <c r="H305" i="387" s="1"/>
  <c r="F304" i="387" a="1"/>
  <c r="F304" i="387" s="1"/>
  <c r="F303" i="387" a="1"/>
  <c r="F303" i="387" s="1"/>
  <c r="F302" i="387" a="1"/>
  <c r="F302" i="387" s="1"/>
  <c r="F301" i="387" a="1"/>
  <c r="F301" i="387" s="1"/>
  <c r="F300" i="387" a="1"/>
  <c r="F300" i="387" s="1"/>
  <c r="F299" i="387" a="1"/>
  <c r="F299" i="387" s="1"/>
  <c r="F298" i="387" a="1"/>
  <c r="F298" i="387" s="1"/>
  <c r="F297" i="387" a="1"/>
  <c r="F297" i="387" s="1"/>
  <c r="F296" i="387" a="1"/>
  <c r="F296" i="387" s="1"/>
  <c r="F295" i="387" a="1"/>
  <c r="F295" i="387" s="1"/>
  <c r="F294" i="387" a="1"/>
  <c r="F294" i="387" s="1"/>
  <c r="F293" i="387" a="1"/>
  <c r="F293" i="387" s="1"/>
  <c r="D293" i="387" s="1"/>
  <c r="H293" i="387" s="1"/>
  <c r="F292" i="387" a="1"/>
  <c r="F292" i="387" s="1"/>
  <c r="F291" i="387" a="1"/>
  <c r="F291" i="387" s="1"/>
  <c r="F290" i="387" a="1"/>
  <c r="F290" i="387" s="1"/>
  <c r="F289" i="387" a="1"/>
  <c r="F289" i="387" s="1"/>
  <c r="F288" i="387" a="1"/>
  <c r="F288" i="387" s="1"/>
  <c r="F287" i="387" a="1"/>
  <c r="F287" i="387" s="1"/>
  <c r="F286" i="387" a="1"/>
  <c r="F286" i="387" s="1"/>
  <c r="F285" i="387" a="1"/>
  <c r="F285" i="387" s="1"/>
  <c r="F284" i="387" a="1"/>
  <c r="F284" i="387" s="1"/>
  <c r="E322" i="387" a="1"/>
  <c r="E322" i="387" s="1"/>
  <c r="E318" i="387" a="1"/>
  <c r="E318" i="387" s="1"/>
  <c r="D318" i="387" s="1"/>
  <c r="H318" i="387" s="1"/>
  <c r="I143" i="337" s="1"/>
  <c r="E314" i="387" a="1"/>
  <c r="E314" i="387" s="1"/>
  <c r="E310" i="387" a="1"/>
  <c r="E310" i="387" s="1"/>
  <c r="E306" i="387" a="1"/>
  <c r="E306" i="387" s="1"/>
  <c r="E302" i="387" a="1"/>
  <c r="E302" i="387" s="1"/>
  <c r="D302" i="387" s="1"/>
  <c r="H302" i="387" s="1"/>
  <c r="E298" i="387" a="1"/>
  <c r="E298" i="387" s="1"/>
  <c r="E294" i="387" a="1"/>
  <c r="E294" i="387" s="1"/>
  <c r="E290" i="387" a="1"/>
  <c r="E290" i="387" s="1"/>
  <c r="E286" i="387" a="1"/>
  <c r="E286" i="387" s="1"/>
  <c r="F65" i="387" a="1"/>
  <c r="F65" i="387" s="1"/>
  <c r="F61" i="387" a="1"/>
  <c r="F61" i="387" s="1"/>
  <c r="F57" i="387" a="1"/>
  <c r="F57" i="387" s="1"/>
  <c r="D57" i="387" s="1"/>
  <c r="H57" i="387" s="1"/>
  <c r="I51" i="325" s="1"/>
  <c r="F56" i="387" a="1"/>
  <c r="F56" i="387" s="1"/>
  <c r="F55" i="387" a="1"/>
  <c r="F55" i="387" s="1"/>
  <c r="F54" i="387" a="1"/>
  <c r="F54" i="387" s="1"/>
  <c r="F53" i="387" a="1"/>
  <c r="F53" i="387" s="1"/>
  <c r="F52" i="387" a="1"/>
  <c r="F52" i="387" s="1"/>
  <c r="F51" i="387" a="1"/>
  <c r="F51" i="387" s="1"/>
  <c r="F50" i="387" a="1"/>
  <c r="F50" i="387" s="1"/>
  <c r="F49" i="387" a="1"/>
  <c r="F49" i="387" s="1"/>
  <c r="D49" i="387" s="1"/>
  <c r="H49" i="387" s="1"/>
  <c r="I49" i="325" s="1"/>
  <c r="F48" i="387" a="1"/>
  <c r="F48" i="387" s="1"/>
  <c r="D48" i="387" s="1"/>
  <c r="H48" i="387" s="1"/>
  <c r="I48" i="325" s="1"/>
  <c r="F47" i="387" a="1"/>
  <c r="F47" i="387" s="1"/>
  <c r="F46" i="387" a="1"/>
  <c r="F46" i="387" s="1"/>
  <c r="F45" i="387" a="1"/>
  <c r="F45" i="387" s="1"/>
  <c r="D45" i="387" s="1"/>
  <c r="H45" i="387" s="1"/>
  <c r="F44" i="387" a="1"/>
  <c r="F44" i="387" s="1"/>
  <c r="D44" i="387" s="1"/>
  <c r="H44" i="387" s="1"/>
  <c r="I42" i="325" s="1"/>
  <c r="F43" i="387" a="1"/>
  <c r="F43" i="387" s="1"/>
  <c r="F42" i="387" a="1"/>
  <c r="F42" i="387" s="1"/>
  <c r="F41" i="387" a="1"/>
  <c r="F41" i="387" s="1"/>
  <c r="D41" i="387" s="1"/>
  <c r="H41" i="387" s="1"/>
  <c r="F40" i="387" a="1"/>
  <c r="F40" i="387" s="1"/>
  <c r="D40" i="387" s="1"/>
  <c r="H40" i="387" s="1"/>
  <c r="I41" i="325" s="1"/>
  <c r="F39" i="387" a="1"/>
  <c r="F39" i="387" s="1"/>
  <c r="F38" i="387" a="1"/>
  <c r="F38" i="387" s="1"/>
  <c r="G38" i="387" s="1"/>
  <c r="H38" i="387" s="1"/>
  <c r="H36" i="325" s="1"/>
  <c r="F37" i="387" a="1"/>
  <c r="F37" i="387" s="1"/>
  <c r="D37" i="387" s="1"/>
  <c r="H37" i="387" s="1"/>
  <c r="I38" i="325" s="1"/>
  <c r="F36" i="387" a="1"/>
  <c r="F36" i="387" s="1"/>
  <c r="D36" i="387" s="1"/>
  <c r="H36" i="387" s="1"/>
  <c r="I37" i="325" s="1"/>
  <c r="F35" i="387" a="1"/>
  <c r="F35" i="387" s="1"/>
  <c r="F34" i="387" a="1"/>
  <c r="F34" i="387" s="1"/>
  <c r="F33" i="387" a="1"/>
  <c r="F33" i="387" s="1"/>
  <c r="D33" i="387" s="1"/>
  <c r="H33" i="387" s="1"/>
  <c r="F32" i="387" a="1"/>
  <c r="F32" i="387" s="1"/>
  <c r="D32" i="387" s="1"/>
  <c r="H32" i="387" s="1"/>
  <c r="F31" i="387" a="1"/>
  <c r="F31" i="387" s="1"/>
  <c r="F30" i="387" a="1"/>
  <c r="F30" i="387" s="1"/>
  <c r="F29" i="387" a="1"/>
  <c r="F29" i="387" s="1"/>
  <c r="D29" i="387" s="1"/>
  <c r="H29" i="387" s="1"/>
  <c r="F28" i="387" a="1"/>
  <c r="F28" i="387" s="1"/>
  <c r="D28" i="387" s="1"/>
  <c r="H28" i="387" s="1"/>
  <c r="F27" i="387" a="1"/>
  <c r="F27" i="387" s="1"/>
  <c r="F26" i="387" a="1"/>
  <c r="F26" i="387" s="1"/>
  <c r="F25" i="387" a="1"/>
  <c r="F25" i="387" s="1"/>
  <c r="D25" i="387" s="1"/>
  <c r="H25" i="387" s="1"/>
  <c r="F24" i="387" a="1"/>
  <c r="F24" i="387" s="1"/>
  <c r="D24" i="387" s="1"/>
  <c r="H24" i="387" s="1"/>
  <c r="F23" i="387" a="1"/>
  <c r="F23" i="387" s="1"/>
  <c r="F22" i="387" a="1"/>
  <c r="F22" i="387" s="1"/>
  <c r="F21" i="387" a="1"/>
  <c r="F21" i="387" s="1"/>
  <c r="D21" i="387" s="1"/>
  <c r="H21" i="387" s="1"/>
  <c r="I28" i="325" s="1"/>
  <c r="F20" i="387" a="1"/>
  <c r="F20" i="387" s="1"/>
  <c r="D20" i="387" s="1"/>
  <c r="H20" i="387" s="1"/>
  <c r="I27" i="325" s="1"/>
  <c r="F19" i="387" a="1"/>
  <c r="F19" i="387" s="1"/>
  <c r="F18" i="387" a="1"/>
  <c r="F18" i="387" s="1"/>
  <c r="F17" i="387" a="1"/>
  <c r="F17" i="387" s="1"/>
  <c r="F16" i="387" a="1"/>
  <c r="F16" i="387" s="1"/>
  <c r="E323" i="387" a="1"/>
  <c r="E323" i="387" s="1"/>
  <c r="E319" i="387" a="1"/>
  <c r="E319" i="387" s="1"/>
  <c r="D319" i="387" s="1"/>
  <c r="H319" i="387" s="1"/>
  <c r="E315" i="387" a="1"/>
  <c r="E315" i="387" s="1"/>
  <c r="D315" i="387" s="1"/>
  <c r="H315" i="387" s="1"/>
  <c r="E311" i="387" a="1"/>
  <c r="E311" i="387" s="1"/>
  <c r="E307" i="387" a="1"/>
  <c r="E307" i="387" s="1"/>
  <c r="E303" i="387" a="1"/>
  <c r="E303" i="387" s="1"/>
  <c r="D303" i="387" s="1"/>
  <c r="H303" i="387" s="1"/>
  <c r="E299" i="387" a="1"/>
  <c r="E299" i="387" s="1"/>
  <c r="D299" i="387" s="1"/>
  <c r="H299" i="387" s="1"/>
  <c r="I129" i="337" s="1"/>
  <c r="E295" i="387" a="1"/>
  <c r="E295" i="387" s="1"/>
  <c r="E291" i="387" a="1"/>
  <c r="E291" i="387" s="1"/>
  <c r="E287" i="387" a="1"/>
  <c r="E287" i="387" s="1"/>
  <c r="D287" i="387" s="1"/>
  <c r="H287" i="387" s="1"/>
  <c r="F283" i="387" a="1"/>
  <c r="F283" i="387" s="1"/>
  <c r="F282" i="387" a="1"/>
  <c r="F282" i="387" s="1"/>
  <c r="F281" i="387" a="1"/>
  <c r="F281" i="387" s="1"/>
  <c r="F280" i="387" a="1"/>
  <c r="F280" i="387" s="1"/>
  <c r="F279" i="387" a="1"/>
  <c r="F279" i="387" s="1"/>
  <c r="F278" i="387" a="1"/>
  <c r="F278" i="387" s="1"/>
  <c r="F277" i="387" a="1"/>
  <c r="F277" i="387" s="1"/>
  <c r="F276" i="387" a="1"/>
  <c r="F276" i="387" s="1"/>
  <c r="F275" i="387" a="1"/>
  <c r="F275" i="387" s="1"/>
  <c r="F274" i="387" a="1"/>
  <c r="F274" i="387" s="1"/>
  <c r="F273" i="387" a="1"/>
  <c r="F273" i="387" s="1"/>
  <c r="F272" i="387" a="1"/>
  <c r="F272" i="387" s="1"/>
  <c r="F271" i="387" a="1"/>
  <c r="F271" i="387" s="1"/>
  <c r="F270" i="387" a="1"/>
  <c r="F270" i="387" s="1"/>
  <c r="F269" i="387" a="1"/>
  <c r="F269" i="387" s="1"/>
  <c r="F268" i="387" a="1"/>
  <c r="F268" i="387" s="1"/>
  <c r="F267" i="387" a="1"/>
  <c r="F267" i="387" s="1"/>
  <c r="F266" i="387" a="1"/>
  <c r="F266" i="387" s="1"/>
  <c r="F265" i="387" a="1"/>
  <c r="F265" i="387" s="1"/>
  <c r="F264" i="387" a="1"/>
  <c r="F264" i="387" s="1"/>
  <c r="F263" i="387" a="1"/>
  <c r="F263" i="387" s="1"/>
  <c r="F262" i="387" a="1"/>
  <c r="F262" i="387" s="1"/>
  <c r="F261" i="387" a="1"/>
  <c r="F261" i="387" s="1"/>
  <c r="F260" i="387" a="1"/>
  <c r="F260" i="387" s="1"/>
  <c r="F259" i="387" a="1"/>
  <c r="F259" i="387" s="1"/>
  <c r="F258" i="387" a="1"/>
  <c r="F258" i="387" s="1"/>
  <c r="F257" i="387" a="1"/>
  <c r="F257" i="387" s="1"/>
  <c r="F256" i="387" a="1"/>
  <c r="F256" i="387" s="1"/>
  <c r="F255" i="387" a="1"/>
  <c r="F255" i="387" s="1"/>
  <c r="F254" i="387" a="1"/>
  <c r="F254" i="387" s="1"/>
  <c r="F253" i="387" a="1"/>
  <c r="F253" i="387" s="1"/>
  <c r="F252" i="387" a="1"/>
  <c r="F252" i="387" s="1"/>
  <c r="F251" i="387" a="1"/>
  <c r="F251" i="387" s="1"/>
  <c r="F250" i="387" a="1"/>
  <c r="F250" i="387" s="1"/>
  <c r="F249" i="387" a="1"/>
  <c r="F249" i="387" s="1"/>
  <c r="F248" i="387" a="1"/>
  <c r="F248" i="387" s="1"/>
  <c r="F247" i="387" a="1"/>
  <c r="F247" i="387" s="1"/>
  <c r="F246" i="387" a="1"/>
  <c r="F246" i="387" s="1"/>
  <c r="F245" i="387" a="1"/>
  <c r="F245" i="387" s="1"/>
  <c r="F244" i="387" a="1"/>
  <c r="F244" i="387" s="1"/>
  <c r="F243" i="387" a="1"/>
  <c r="F243" i="387" s="1"/>
  <c r="F242" i="387" a="1"/>
  <c r="F242" i="387" s="1"/>
  <c r="F241" i="387" a="1"/>
  <c r="F241" i="387" s="1"/>
  <c r="F240" i="387" a="1"/>
  <c r="F240" i="387" s="1"/>
  <c r="F239" i="387" a="1"/>
  <c r="F239" i="387" s="1"/>
  <c r="F238" i="387" a="1"/>
  <c r="F238" i="387" s="1"/>
  <c r="F237" i="387" a="1"/>
  <c r="F237" i="387" s="1"/>
  <c r="F236" i="387" a="1"/>
  <c r="F236" i="387" s="1"/>
  <c r="F235" i="387" a="1"/>
  <c r="F235" i="387" s="1"/>
  <c r="F234" i="387" a="1"/>
  <c r="F234" i="387" s="1"/>
  <c r="F233" i="387" a="1"/>
  <c r="F233" i="387" s="1"/>
  <c r="F232" i="387" a="1"/>
  <c r="F232" i="387" s="1"/>
  <c r="F231" i="387" a="1"/>
  <c r="F231" i="387" s="1"/>
  <c r="F230" i="387" a="1"/>
  <c r="F230" i="387" s="1"/>
  <c r="F229" i="387" a="1"/>
  <c r="F229" i="387" s="1"/>
  <c r="F228" i="387" a="1"/>
  <c r="F228" i="387" s="1"/>
  <c r="F227" i="387" a="1"/>
  <c r="F227" i="387" s="1"/>
  <c r="F226" i="387" a="1"/>
  <c r="F226" i="387" s="1"/>
  <c r="F225" i="387" a="1"/>
  <c r="F225" i="387" s="1"/>
  <c r="F224" i="387" a="1"/>
  <c r="F224" i="387" s="1"/>
  <c r="F223" i="387" a="1"/>
  <c r="F223" i="387" s="1"/>
  <c r="F222" i="387" a="1"/>
  <c r="F222" i="387" s="1"/>
  <c r="F221" i="387" a="1"/>
  <c r="F221" i="387" s="1"/>
  <c r="F220" i="387" a="1"/>
  <c r="F220" i="387" s="1"/>
  <c r="F219" i="387" a="1"/>
  <c r="F219" i="387" s="1"/>
  <c r="F218" i="387" a="1"/>
  <c r="F218" i="387" s="1"/>
  <c r="F217" i="387" a="1"/>
  <c r="F217" i="387" s="1"/>
  <c r="F216" i="387" a="1"/>
  <c r="F216" i="387" s="1"/>
  <c r="F215" i="387" a="1"/>
  <c r="F215" i="387" s="1"/>
  <c r="E143" i="387" a="1"/>
  <c r="E143" i="387" s="1"/>
  <c r="F142" i="387" a="1"/>
  <c r="F142" i="387" s="1"/>
  <c r="F141" i="387" a="1"/>
  <c r="F141" i="387" s="1"/>
  <c r="F140" i="387" a="1"/>
  <c r="F140" i="387" s="1"/>
  <c r="F139" i="387" a="1"/>
  <c r="F139" i="387" s="1"/>
  <c r="F138" i="387" a="1"/>
  <c r="F138" i="387" s="1"/>
  <c r="G138" i="387" s="1"/>
  <c r="H138" i="387" s="1"/>
  <c r="H99" i="325" s="1"/>
  <c r="F137" i="387" a="1"/>
  <c r="F137" i="387" s="1"/>
  <c r="F136" i="387" a="1"/>
  <c r="F136" i="387" s="1"/>
  <c r="D136" i="387" s="1"/>
  <c r="H136" i="387" s="1"/>
  <c r="I59" i="325" s="1"/>
  <c r="E324" i="387" a="1"/>
  <c r="E324" i="387" s="1"/>
  <c r="D324" i="387" s="1"/>
  <c r="H324" i="387" s="1"/>
  <c r="E320" i="387" a="1"/>
  <c r="E320" i="387" s="1"/>
  <c r="D320" i="387" s="1"/>
  <c r="H320" i="387" s="1"/>
  <c r="E316" i="387" a="1"/>
  <c r="E316" i="387" s="1"/>
  <c r="D316" i="387" s="1"/>
  <c r="H316" i="387" s="1"/>
  <c r="E312" i="387" a="1"/>
  <c r="E312" i="387" s="1"/>
  <c r="E308" i="387" a="1"/>
  <c r="E308" i="387" s="1"/>
  <c r="D308" i="387" s="1"/>
  <c r="H308" i="387" s="1"/>
  <c r="I131" i="337" s="1"/>
  <c r="E304" i="387" a="1"/>
  <c r="E304" i="387" s="1"/>
  <c r="D304" i="387" s="1"/>
  <c r="H304" i="387" s="1"/>
  <c r="I130" i="337" s="1"/>
  <c r="E300" i="387" a="1"/>
  <c r="E300" i="387" s="1"/>
  <c r="D300" i="387" s="1"/>
  <c r="H300" i="387" s="1"/>
  <c r="I99" i="337" s="1"/>
  <c r="E296" i="387" a="1"/>
  <c r="E296" i="387" s="1"/>
  <c r="E292" i="387" a="1"/>
  <c r="E292" i="387" s="1"/>
  <c r="D292" i="387" s="1"/>
  <c r="H292" i="387" s="1"/>
  <c r="I113" i="337" s="1"/>
  <c r="E288" i="387" a="1"/>
  <c r="E288" i="387" s="1"/>
  <c r="E284" i="387" a="1"/>
  <c r="E284" i="387" s="1"/>
  <c r="D284" i="387" s="1"/>
  <c r="H284" i="387" s="1"/>
  <c r="E283" i="387" a="1"/>
  <c r="E283" i="387" s="1"/>
  <c r="E282" i="387" a="1"/>
  <c r="E282" i="387" s="1"/>
  <c r="D282" i="387" s="1"/>
  <c r="H282" i="387" s="1"/>
  <c r="E281" i="387" a="1"/>
  <c r="E281" i="387" s="1"/>
  <c r="D281" i="387" s="1"/>
  <c r="H281" i="387" s="1"/>
  <c r="E280" i="387" a="1"/>
  <c r="E280" i="387" s="1"/>
  <c r="D280" i="387" s="1"/>
  <c r="H280" i="387" s="1"/>
  <c r="E279" i="387" a="1"/>
  <c r="E279" i="387" s="1"/>
  <c r="D279" i="387" s="1"/>
  <c r="H279" i="387" s="1"/>
  <c r="E278" i="387" a="1"/>
  <c r="E278" i="387" s="1"/>
  <c r="D278" i="387" s="1"/>
  <c r="H278" i="387" s="1"/>
  <c r="I109" i="337" s="1"/>
  <c r="E277" i="387" a="1"/>
  <c r="E277" i="387" s="1"/>
  <c r="D277" i="387" s="1"/>
  <c r="H277" i="387" s="1"/>
  <c r="E276" i="387" a="1"/>
  <c r="E276" i="387" s="1"/>
  <c r="D276" i="387" s="1"/>
  <c r="H276" i="387" s="1"/>
  <c r="E275" i="387" a="1"/>
  <c r="E275" i="387" s="1"/>
  <c r="D275" i="387" s="1"/>
  <c r="H275" i="387" s="1"/>
  <c r="I107" i="337" s="1"/>
  <c r="E274" i="387" a="1"/>
  <c r="E274" i="387" s="1"/>
  <c r="D274" i="387" s="1"/>
  <c r="H274" i="387" s="1"/>
  <c r="I108" i="337" s="1"/>
  <c r="E273" i="387" a="1"/>
  <c r="E273" i="387" s="1"/>
  <c r="E272" i="387" a="1"/>
  <c r="E272" i="387" s="1"/>
  <c r="D272" i="387" s="1"/>
  <c r="H272" i="387" s="1"/>
  <c r="I105" i="337" s="1"/>
  <c r="E271" i="387" a="1"/>
  <c r="E271" i="387" s="1"/>
  <c r="E270" i="387" a="1"/>
  <c r="E270" i="387" s="1"/>
  <c r="D270" i="387" s="1"/>
  <c r="H270" i="387" s="1"/>
  <c r="E269" i="387" a="1"/>
  <c r="E269" i="387" s="1"/>
  <c r="D269" i="387" s="1"/>
  <c r="H269" i="387" s="1"/>
  <c r="E268" i="387" a="1"/>
  <c r="E268" i="387" s="1"/>
  <c r="D268" i="387" s="1"/>
  <c r="H268" i="387" s="1"/>
  <c r="E267" i="387" a="1"/>
  <c r="E267" i="387" s="1"/>
  <c r="D267" i="387" s="1"/>
  <c r="H267" i="387" s="1"/>
  <c r="E266" i="387" a="1"/>
  <c r="E266" i="387" s="1"/>
  <c r="D266" i="387" s="1"/>
  <c r="H266" i="387" s="1"/>
  <c r="I102" i="337" s="1"/>
  <c r="E265" i="387" a="1"/>
  <c r="E265" i="387" s="1"/>
  <c r="E264" i="387" a="1"/>
  <c r="E264" i="387" s="1"/>
  <c r="D264" i="387" s="1"/>
  <c r="H264" i="387" s="1"/>
  <c r="E263" i="387" a="1"/>
  <c r="E263" i="387" s="1"/>
  <c r="D263" i="387" s="1"/>
  <c r="H263" i="387" s="1"/>
  <c r="I101" i="337" s="1"/>
  <c r="E262" i="387" a="1"/>
  <c r="E262" i="387" s="1"/>
  <c r="D262" i="387" s="1"/>
  <c r="H262" i="387" s="1"/>
  <c r="E261" i="387" a="1"/>
  <c r="E261" i="387" s="1"/>
  <c r="D261" i="387" s="1"/>
  <c r="H261" i="387" s="1"/>
  <c r="E260" i="387" a="1"/>
  <c r="E260" i="387" s="1"/>
  <c r="E259" i="387" a="1"/>
  <c r="E259" i="387" s="1"/>
  <c r="D259" i="387" s="1"/>
  <c r="H259" i="387" s="1"/>
  <c r="I92" i="337" s="1"/>
  <c r="E258" i="387" a="1"/>
  <c r="E258" i="387" s="1"/>
  <c r="D258" i="387" s="1"/>
  <c r="H258" i="387" s="1"/>
  <c r="I93" i="337" s="1"/>
  <c r="E257" i="387" a="1"/>
  <c r="E257" i="387" s="1"/>
  <c r="E256" i="387" a="1"/>
  <c r="E256" i="387" s="1"/>
  <c r="D256" i="387" s="1"/>
  <c r="H256" i="387" s="1"/>
  <c r="I91" i="337" s="1"/>
  <c r="E255" i="387" a="1"/>
  <c r="E255" i="387" s="1"/>
  <c r="D255" i="387" s="1"/>
  <c r="H255" i="387" s="1"/>
  <c r="I89" i="337" s="1"/>
  <c r="E254" i="387" a="1"/>
  <c r="E254" i="387" s="1"/>
  <c r="D254" i="387" s="1"/>
  <c r="H254" i="387" s="1"/>
  <c r="I87" i="337" s="1"/>
  <c r="E253" i="387" a="1"/>
  <c r="E253" i="387" s="1"/>
  <c r="D253" i="387" s="1"/>
  <c r="H253" i="387" s="1"/>
  <c r="I86" i="337" s="1"/>
  <c r="E252" i="387" a="1"/>
  <c r="E252" i="387" s="1"/>
  <c r="D252" i="387" s="1"/>
  <c r="H252" i="387" s="1"/>
  <c r="I85" i="337" s="1"/>
  <c r="E251" i="387" a="1"/>
  <c r="E251" i="387" s="1"/>
  <c r="D251" i="387" s="1"/>
  <c r="H251" i="387" s="1"/>
  <c r="I81" i="337" s="1"/>
  <c r="E250" i="387" a="1"/>
  <c r="E250" i="387" s="1"/>
  <c r="E249" i="387" a="1"/>
  <c r="E249" i="387" s="1"/>
  <c r="D249" i="387" s="1"/>
  <c r="H249" i="387" s="1"/>
  <c r="I82" i="337" s="1"/>
  <c r="E248" i="387" a="1"/>
  <c r="E248" i="387" s="1"/>
  <c r="D248" i="387" s="1"/>
  <c r="H248" i="387" s="1"/>
  <c r="E247" i="387" a="1"/>
  <c r="E247" i="387" s="1"/>
  <c r="D247" i="387" s="1"/>
  <c r="H247" i="387" s="1"/>
  <c r="I80" i="337" s="1"/>
  <c r="E246" i="387" a="1"/>
  <c r="E246" i="387" s="1"/>
  <c r="E245" i="387" a="1"/>
  <c r="E245" i="387" s="1"/>
  <c r="D245" i="387" s="1"/>
  <c r="H245" i="387" s="1"/>
  <c r="I78" i="337" s="1"/>
  <c r="E244" i="387" a="1"/>
  <c r="E244" i="387" s="1"/>
  <c r="D244" i="387" s="1"/>
  <c r="H244" i="387" s="1"/>
  <c r="I77" i="337" s="1"/>
  <c r="E243" i="387" a="1"/>
  <c r="E243" i="387" s="1"/>
  <c r="D243" i="387" s="1"/>
  <c r="H243" i="387" s="1"/>
  <c r="E242" i="387" a="1"/>
  <c r="E242" i="387" s="1"/>
  <c r="D242" i="387" s="1"/>
  <c r="H242" i="387" s="1"/>
  <c r="I76" i="337" s="1"/>
  <c r="E241" i="387" a="1"/>
  <c r="E241" i="387" s="1"/>
  <c r="D241" i="387" s="1"/>
  <c r="H241" i="387" s="1"/>
  <c r="I75" i="337" s="1"/>
  <c r="E240" i="387" a="1"/>
  <c r="E240" i="387" s="1"/>
  <c r="D240" i="387" s="1"/>
  <c r="H240" i="387" s="1"/>
  <c r="E239" i="387" a="1"/>
  <c r="E239" i="387" s="1"/>
  <c r="D239" i="387" s="1"/>
  <c r="H239" i="387" s="1"/>
  <c r="I73" i="337" s="1"/>
  <c r="J72" i="337" s="1"/>
  <c r="E238" i="387" a="1"/>
  <c r="E238" i="387" s="1"/>
  <c r="D238" i="387" s="1"/>
  <c r="H238" i="387" s="1"/>
  <c r="I71" i="337" s="1"/>
  <c r="E237" i="387" a="1"/>
  <c r="E237" i="387" s="1"/>
  <c r="D237" i="387" s="1"/>
  <c r="H237" i="387" s="1"/>
  <c r="I70" i="337" s="1"/>
  <c r="J69" i="337" s="1"/>
  <c r="E236" i="387" a="1"/>
  <c r="E236" i="387" s="1"/>
  <c r="D236" i="387" s="1"/>
  <c r="H236" i="387" s="1"/>
  <c r="I65" i="337" s="1"/>
  <c r="E235" i="387" a="1"/>
  <c r="E235" i="387" s="1"/>
  <c r="D235" i="387" s="1"/>
  <c r="H235" i="387" s="1"/>
  <c r="I64" i="337" s="1"/>
  <c r="E234" i="387" a="1"/>
  <c r="E234" i="387" s="1"/>
  <c r="D234" i="387" s="1"/>
  <c r="H234" i="387" s="1"/>
  <c r="I63" i="337" s="1"/>
  <c r="E233" i="387" a="1"/>
  <c r="E233" i="387" s="1"/>
  <c r="D233" i="387" s="1"/>
  <c r="H233" i="387" s="1"/>
  <c r="I61" i="337" s="1"/>
  <c r="E232" i="387" a="1"/>
  <c r="E232" i="387" s="1"/>
  <c r="D232" i="387" s="1"/>
  <c r="H232" i="387" s="1"/>
  <c r="I60" i="337" s="1"/>
  <c r="E231" i="387" a="1"/>
  <c r="E231" i="387" s="1"/>
  <c r="D231" i="387" s="1"/>
  <c r="H231" i="387" s="1"/>
  <c r="I59" i="337" s="1"/>
  <c r="E230" i="387" a="1"/>
  <c r="E230" i="387" s="1"/>
  <c r="D230" i="387" s="1"/>
  <c r="H230" i="387" s="1"/>
  <c r="I58" i="337" s="1"/>
  <c r="E229" i="387" a="1"/>
  <c r="E229" i="387" s="1"/>
  <c r="D229" i="387" s="1"/>
  <c r="H229" i="387" s="1"/>
  <c r="I51" i="337" s="1"/>
  <c r="E228" i="387" a="1"/>
  <c r="E228" i="387" s="1"/>
  <c r="D228" i="387" s="1"/>
  <c r="H228" i="387" s="1"/>
  <c r="I49" i="337" s="1"/>
  <c r="E227" i="387" a="1"/>
  <c r="E227" i="387" s="1"/>
  <c r="D227" i="387" s="1"/>
  <c r="H227" i="387" s="1"/>
  <c r="I47" i="337" s="1"/>
  <c r="E226" i="387" a="1"/>
  <c r="E226" i="387" s="1"/>
  <c r="D226" i="387" s="1"/>
  <c r="H226" i="387" s="1"/>
  <c r="I46" i="337" s="1"/>
  <c r="E225" i="387" a="1"/>
  <c r="E225" i="387" s="1"/>
  <c r="D225" i="387" s="1"/>
  <c r="H225" i="387" s="1"/>
  <c r="I45" i="337" s="1"/>
  <c r="E224" i="387" a="1"/>
  <c r="E224" i="387" s="1"/>
  <c r="D224" i="387" s="1"/>
  <c r="H224" i="387" s="1"/>
  <c r="I50" i="337" s="1"/>
  <c r="E223" i="387" a="1"/>
  <c r="E223" i="387" s="1"/>
  <c r="D223" i="387" s="1"/>
  <c r="H223" i="387" s="1"/>
  <c r="I48" i="337" s="1"/>
  <c r="E222" i="387" a="1"/>
  <c r="E222" i="387" s="1"/>
  <c r="D222" i="387" s="1"/>
  <c r="H222" i="387" s="1"/>
  <c r="I55" i="337" s="1"/>
  <c r="E221" i="387" a="1"/>
  <c r="E221" i="387" s="1"/>
  <c r="E220" i="387" a="1"/>
  <c r="E220" i="387" s="1"/>
  <c r="D220" i="387" s="1"/>
  <c r="H220" i="387" s="1"/>
  <c r="I54" i="337" s="1"/>
  <c r="E219" i="387" a="1"/>
  <c r="E219" i="387" s="1"/>
  <c r="D219" i="387" s="1"/>
  <c r="H219" i="387" s="1"/>
  <c r="I53" i="337" s="1"/>
  <c r="E218" i="387" a="1"/>
  <c r="E218" i="387" s="1"/>
  <c r="D218" i="387" s="1"/>
  <c r="H218" i="387" s="1"/>
  <c r="I52" i="337" s="1"/>
  <c r="E217" i="387" a="1"/>
  <c r="E217" i="387" s="1"/>
  <c r="D217" i="387" s="1"/>
  <c r="H217" i="387" s="1"/>
  <c r="E216" i="387" a="1"/>
  <c r="E216" i="387" s="1"/>
  <c r="D216" i="387" s="1"/>
  <c r="H216" i="387" s="1"/>
  <c r="I44" i="337" s="1"/>
  <c r="E215" i="387" a="1"/>
  <c r="E215" i="387" s="1"/>
  <c r="D215" i="387" s="1"/>
  <c r="H215" i="387" s="1"/>
  <c r="F214" i="387" a="1"/>
  <c r="F214" i="387" s="1"/>
  <c r="E142" i="387" a="1"/>
  <c r="E142" i="387" s="1"/>
  <c r="E141" i="387" a="1"/>
  <c r="E141" i="387" s="1"/>
  <c r="E140" i="387" a="1"/>
  <c r="E140" i="387" s="1"/>
  <c r="E139" i="387" a="1"/>
  <c r="E139" i="387" s="1"/>
  <c r="G139" i="387" s="1"/>
  <c r="H139" i="387" s="1"/>
  <c r="I112" i="325" s="1"/>
  <c r="F139" i="402"/>
  <c r="I61" i="388"/>
  <c r="H58" i="397"/>
  <c r="G175" i="402"/>
  <c r="G177" i="402" s="1"/>
  <c r="H177" i="402" s="1"/>
  <c r="F36" i="397"/>
  <c r="E76" i="402"/>
  <c r="H140" i="388"/>
  <c r="G11" i="401"/>
  <c r="G9" i="401" s="1"/>
  <c r="H9" i="401" s="1"/>
  <c r="M53" i="391"/>
  <c r="D22" i="418"/>
  <c r="D20" i="418" s="1"/>
  <c r="H68" i="403"/>
  <c r="F11" i="401"/>
  <c r="F9" i="401" s="1"/>
  <c r="G145" i="403"/>
  <c r="G144" i="403" s="1"/>
  <c r="H144" i="403" s="1"/>
  <c r="I65" i="401"/>
  <c r="F19" i="401"/>
  <c r="F27" i="397"/>
  <c r="F21" i="397"/>
  <c r="F19" i="397" s="1"/>
  <c r="F24" i="397" s="1"/>
  <c r="F139" i="398"/>
  <c r="F78" i="401"/>
  <c r="F77" i="401" s="1"/>
  <c r="F76" i="401" s="1"/>
  <c r="H88" i="388"/>
  <c r="H110" i="393"/>
  <c r="I110" i="393"/>
  <c r="H85" i="393"/>
  <c r="I85" i="393"/>
  <c r="I39" i="396"/>
  <c r="H39" i="396"/>
  <c r="I63" i="399"/>
  <c r="H63" i="399"/>
  <c r="H38" i="393"/>
  <c r="H72" i="389"/>
  <c r="H116" i="389"/>
  <c r="I116" i="389"/>
  <c r="I87" i="389"/>
  <c r="H87" i="389"/>
  <c r="C91" i="365"/>
  <c r="P91" i="365" s="1"/>
  <c r="H89" i="365"/>
  <c r="H151" i="365" s="1"/>
  <c r="H164" i="365" s="1"/>
  <c r="G212" i="335"/>
  <c r="D212" i="335"/>
  <c r="C50" i="365"/>
  <c r="P50" i="365" s="1"/>
  <c r="I83" i="404"/>
  <c r="D78" i="404"/>
  <c r="D77" i="404" s="1"/>
  <c r="I60" i="405"/>
  <c r="H60" i="405"/>
  <c r="D180" i="387"/>
  <c r="G180" i="387"/>
  <c r="H156" i="389"/>
  <c r="I156" i="389"/>
  <c r="H124" i="389"/>
  <c r="C99" i="365"/>
  <c r="P99" i="365" s="1"/>
  <c r="H111" i="389"/>
  <c r="I88" i="389"/>
  <c r="I110" i="389"/>
  <c r="H110" i="389"/>
  <c r="I98" i="408"/>
  <c r="D78" i="408"/>
  <c r="D77" i="408" s="1"/>
  <c r="I87" i="405"/>
  <c r="D78" i="405"/>
  <c r="D77" i="405" s="1"/>
  <c r="D76" i="405" s="1"/>
  <c r="I66" i="407"/>
  <c r="H66" i="407"/>
  <c r="H156" i="398"/>
  <c r="I82" i="360"/>
  <c r="H58" i="394"/>
  <c r="D51" i="407"/>
  <c r="D50" i="407" s="1"/>
  <c r="I56" i="405"/>
  <c r="O137" i="386"/>
  <c r="H87" i="405"/>
  <c r="C117" i="385"/>
  <c r="P117" i="385" s="1"/>
  <c r="C20" i="365"/>
  <c r="P20" i="365" s="1"/>
  <c r="D36" i="389"/>
  <c r="M23" i="365"/>
  <c r="M44" i="365" s="1"/>
  <c r="N151" i="365"/>
  <c r="N164" i="365" s="1"/>
  <c r="I55" i="405"/>
  <c r="L77" i="386"/>
  <c r="F65" i="386"/>
  <c r="D51" i="403"/>
  <c r="D50" i="403" s="1"/>
  <c r="D27" i="398"/>
  <c r="I27" i="398" s="1"/>
  <c r="I96" i="388"/>
  <c r="I88" i="388"/>
  <c r="G43" i="365"/>
  <c r="G44" i="365" s="1"/>
  <c r="C89" i="385"/>
  <c r="P89" i="385" s="1"/>
  <c r="I19" i="398"/>
  <c r="J43" i="386"/>
  <c r="I38" i="393"/>
  <c r="D36" i="393"/>
  <c r="I36" i="393" s="1"/>
  <c r="I43" i="393"/>
  <c r="H43" i="393"/>
  <c r="I34" i="360"/>
  <c r="D32" i="360"/>
  <c r="I32" i="360" s="1"/>
  <c r="I54" i="360"/>
  <c r="H54" i="360"/>
  <c r="H81" i="360"/>
  <c r="I81" i="360"/>
  <c r="D76" i="388"/>
  <c r="I100" i="401"/>
  <c r="H100" i="401"/>
  <c r="H112" i="389"/>
  <c r="E44" i="385"/>
  <c r="H92" i="393"/>
  <c r="I92" i="393"/>
  <c r="I106" i="393"/>
  <c r="H106" i="393"/>
  <c r="I128" i="393"/>
  <c r="H128" i="393"/>
  <c r="D78" i="392"/>
  <c r="D77" i="392" s="1"/>
  <c r="I81" i="392"/>
  <c r="H126" i="386"/>
  <c r="C127" i="386"/>
  <c r="P127" i="386" s="1"/>
  <c r="D17" i="386"/>
  <c r="D23" i="386" s="1"/>
  <c r="J151" i="385"/>
  <c r="J164" i="385" s="1"/>
  <c r="D139" i="408"/>
  <c r="F50" i="386"/>
  <c r="F76" i="386" s="1"/>
  <c r="F80" i="386" s="1"/>
  <c r="C66" i="386"/>
  <c r="P66" i="386" s="1"/>
  <c r="F76" i="365"/>
  <c r="F80" i="365" s="1"/>
  <c r="O44" i="385"/>
  <c r="C146" i="365"/>
  <c r="P146" i="365" s="1"/>
  <c r="C80" i="385"/>
  <c r="P80" i="385" s="1"/>
  <c r="N43" i="386"/>
  <c r="C30" i="386"/>
  <c r="P30" i="386" s="1"/>
  <c r="L44" i="385"/>
  <c r="G43" i="385"/>
  <c r="G44" i="385" s="1"/>
  <c r="L134" i="386"/>
  <c r="O117" i="386"/>
  <c r="C74" i="365"/>
  <c r="P74" i="365" s="1"/>
  <c r="H106" i="394"/>
  <c r="H107" i="403"/>
  <c r="G139" i="402"/>
  <c r="I139" i="402" s="1"/>
  <c r="M34" i="386"/>
  <c r="M43" i="386" s="1"/>
  <c r="D15" i="407"/>
  <c r="D54" i="254"/>
  <c r="C19" i="354"/>
  <c r="E19" i="354" s="1"/>
  <c r="D82" i="254"/>
  <c r="E82" i="254" s="1"/>
  <c r="C54" i="324"/>
  <c r="E54" i="324" s="1"/>
  <c r="F51" i="397"/>
  <c r="F50" i="397" s="1"/>
  <c r="F164" i="397"/>
  <c r="C153" i="388"/>
  <c r="C166" i="388"/>
  <c r="C170" i="388" s="1"/>
  <c r="C184" i="388"/>
  <c r="C148" i="388"/>
  <c r="C152" i="388" s="1"/>
  <c r="C149" i="388"/>
  <c r="C171" i="388"/>
  <c r="C167" i="388"/>
  <c r="C179" i="388"/>
  <c r="C184" i="395"/>
  <c r="G151" i="385"/>
  <c r="G164" i="385" s="1"/>
  <c r="G165" i="385" s="1"/>
  <c r="G167" i="385" s="1"/>
  <c r="D27" i="402"/>
  <c r="I27" i="402" s="1"/>
  <c r="C184" i="408"/>
  <c r="C166" i="408"/>
  <c r="C170" i="408" s="1"/>
  <c r="N23" i="386"/>
  <c r="S14" i="420"/>
  <c r="S15" i="420" s="1"/>
  <c r="C126" i="385"/>
  <c r="P126" i="385" s="1"/>
  <c r="C184" i="402"/>
  <c r="D51" i="389"/>
  <c r="D50" i="389" s="1"/>
  <c r="H90" i="389"/>
  <c r="I90" i="389"/>
  <c r="I112" i="393"/>
  <c r="H112" i="393"/>
  <c r="D51" i="388"/>
  <c r="D50" i="388" s="1"/>
  <c r="I161" i="388"/>
  <c r="D164" i="388"/>
  <c r="D11" i="394"/>
  <c r="I12" i="394"/>
  <c r="I91" i="394"/>
  <c r="H91" i="394"/>
  <c r="I12" i="405"/>
  <c r="D11" i="405"/>
  <c r="H12" i="405"/>
  <c r="I143" i="394"/>
  <c r="H143" i="394"/>
  <c r="D139" i="394"/>
  <c r="D76" i="394" s="1"/>
  <c r="D147" i="394" s="1"/>
  <c r="D165" i="394" s="1"/>
  <c r="D178" i="394" s="1"/>
  <c r="C39" i="391" s="1"/>
  <c r="C165" i="399"/>
  <c r="C153" i="399"/>
  <c r="I45" i="398"/>
  <c r="D36" i="398"/>
  <c r="I36" i="398" s="1"/>
  <c r="I22" i="395"/>
  <c r="D21" i="395"/>
  <c r="C147" i="360"/>
  <c r="I33" i="394"/>
  <c r="D32" i="394"/>
  <c r="C48" i="398"/>
  <c r="A11" i="330"/>
  <c r="R1" i="330"/>
  <c r="A683" i="328"/>
  <c r="R861" i="328"/>
  <c r="A1012" i="328"/>
  <c r="R1049" i="328"/>
  <c r="C148" i="408"/>
  <c r="C152" i="408" s="1"/>
  <c r="C149" i="408"/>
  <c r="H143" i="402"/>
  <c r="D139" i="402"/>
  <c r="I23" i="392"/>
  <c r="D21" i="392"/>
  <c r="I21" i="392" s="1"/>
  <c r="E89" i="365"/>
  <c r="C89" i="365" s="1"/>
  <c r="P89" i="365" s="1"/>
  <c r="C90" i="365"/>
  <c r="P90" i="365" s="1"/>
  <c r="G47" i="365"/>
  <c r="C49" i="365"/>
  <c r="P49" i="365" s="1"/>
  <c r="I128" i="394"/>
  <c r="H128" i="394"/>
  <c r="I41" i="405"/>
  <c r="D36" i="405"/>
  <c r="D47" i="405" s="1"/>
  <c r="I157" i="405"/>
  <c r="D164" i="405"/>
  <c r="D32" i="398"/>
  <c r="I33" i="398"/>
  <c r="I142" i="398"/>
  <c r="D139" i="398"/>
  <c r="D76" i="398" s="1"/>
  <c r="H90" i="407"/>
  <c r="I90" i="407"/>
  <c r="S14" i="422"/>
  <c r="S15" i="422" s="1"/>
  <c r="S102" i="328"/>
  <c r="R62" i="328" s="1"/>
  <c r="P196" i="328"/>
  <c r="S290" i="328"/>
  <c r="A260" i="328" s="1"/>
  <c r="P384" i="328"/>
  <c r="R344" i="328" s="1"/>
  <c r="P431" i="328"/>
  <c r="S619" i="328"/>
  <c r="P619" i="328"/>
  <c r="A589" i="328" s="1"/>
  <c r="R626" i="328"/>
  <c r="S760" i="328"/>
  <c r="R720" i="328" s="1"/>
  <c r="S807" i="328"/>
  <c r="P807" i="328"/>
  <c r="A824" i="328"/>
  <c r="S948" i="328"/>
  <c r="P948" i="328"/>
  <c r="S995" i="328"/>
  <c r="R955" i="328" s="1"/>
  <c r="O165" i="385"/>
  <c r="O167" i="385" s="1"/>
  <c r="S16" i="422"/>
  <c r="C147" i="397"/>
  <c r="H114" i="405"/>
  <c r="H74" i="388"/>
  <c r="H45" i="398"/>
  <c r="H59" i="399"/>
  <c r="H23" i="399"/>
  <c r="I72" i="405"/>
  <c r="H115" i="407"/>
  <c r="I112" i="407"/>
  <c r="H108" i="407"/>
  <c r="H87" i="399"/>
  <c r="H65" i="388"/>
  <c r="H41" i="405"/>
  <c r="O102" i="386"/>
  <c r="H20" i="386"/>
  <c r="H23" i="386" s="1"/>
  <c r="M134" i="386"/>
  <c r="C128" i="386"/>
  <c r="P128" i="386" s="1"/>
  <c r="C140" i="386"/>
  <c r="P140" i="386" s="1"/>
  <c r="C148" i="386"/>
  <c r="P148" i="386" s="1"/>
  <c r="C114" i="386"/>
  <c r="P114" i="386" s="1"/>
  <c r="C156" i="386"/>
  <c r="P156" i="386" s="1"/>
  <c r="C48" i="386"/>
  <c r="P48" i="386" s="1"/>
  <c r="D126" i="386"/>
  <c r="H57" i="388"/>
  <c r="H44" i="388"/>
  <c r="H99" i="405"/>
  <c r="H108" i="388"/>
  <c r="I95" i="388"/>
  <c r="H157" i="405"/>
  <c r="H117" i="405"/>
  <c r="H33" i="394"/>
  <c r="H142" i="398"/>
  <c r="C147" i="396"/>
  <c r="C165" i="396" s="1"/>
  <c r="C76" i="407"/>
  <c r="C147" i="407" s="1"/>
  <c r="C48" i="403"/>
  <c r="D141" i="386"/>
  <c r="D51" i="399"/>
  <c r="D50" i="399" s="1"/>
  <c r="H97" i="398"/>
  <c r="H52" i="398"/>
  <c r="H12" i="394"/>
  <c r="I79" i="399"/>
  <c r="H42" i="394"/>
  <c r="H93" i="405"/>
  <c r="H63" i="397"/>
  <c r="H42" i="392"/>
  <c r="H106" i="407"/>
  <c r="H69" i="399"/>
  <c r="H87" i="394"/>
  <c r="H35" i="394"/>
  <c r="H42" i="397"/>
  <c r="H117" i="388"/>
  <c r="C24" i="405"/>
  <c r="C48" i="405" s="1"/>
  <c r="C24" i="392"/>
  <c r="C48" i="392" s="1"/>
  <c r="E22" i="418"/>
  <c r="E20" i="418" s="1"/>
  <c r="C68" i="254"/>
  <c r="E68" i="254" s="1"/>
  <c r="G119" i="387"/>
  <c r="D119" i="387"/>
  <c r="D156" i="387"/>
  <c r="G156" i="387"/>
  <c r="D188" i="387"/>
  <c r="G188" i="387"/>
  <c r="G290" i="335"/>
  <c r="D290" i="335"/>
  <c r="G296" i="335"/>
  <c r="D296" i="335"/>
  <c r="G135" i="387"/>
  <c r="D135" i="387"/>
  <c r="D172" i="387"/>
  <c r="G172" i="387"/>
  <c r="D206" i="387"/>
  <c r="G206" i="387"/>
  <c r="G317" i="387"/>
  <c r="D317" i="387"/>
  <c r="E54" i="339"/>
  <c r="I82" i="389"/>
  <c r="H82" i="389"/>
  <c r="I30" i="389"/>
  <c r="H30" i="389"/>
  <c r="I119" i="389"/>
  <c r="H119" i="389"/>
  <c r="J76" i="386"/>
  <c r="J80" i="386" s="1"/>
  <c r="H177" i="401"/>
  <c r="D165" i="365"/>
  <c r="D167" i="365" s="1"/>
  <c r="I17" i="393"/>
  <c r="D15" i="393"/>
  <c r="D139" i="393"/>
  <c r="D177" i="360"/>
  <c r="I177" i="360" s="1"/>
  <c r="I175" i="360"/>
  <c r="D9" i="360"/>
  <c r="I9" i="360" s="1"/>
  <c r="N44" i="385"/>
  <c r="N165" i="365"/>
  <c r="N167" i="365" s="1"/>
  <c r="I41" i="403"/>
  <c r="H41" i="403"/>
  <c r="I45" i="360"/>
  <c r="H45" i="360"/>
  <c r="I134" i="408"/>
  <c r="H134" i="408"/>
  <c r="D29" i="393"/>
  <c r="I30" i="393"/>
  <c r="I123" i="408"/>
  <c r="H123" i="408"/>
  <c r="I39" i="401"/>
  <c r="H39" i="401"/>
  <c r="E80" i="365"/>
  <c r="D44" i="385"/>
  <c r="H139" i="360"/>
  <c r="H54" i="389"/>
  <c r="I54" i="389"/>
  <c r="I56" i="389"/>
  <c r="H56" i="389"/>
  <c r="I111" i="393"/>
  <c r="H111" i="393"/>
  <c r="I33" i="393"/>
  <c r="D32" i="393"/>
  <c r="I32" i="393" s="1"/>
  <c r="I45" i="408"/>
  <c r="H45" i="408"/>
  <c r="I41" i="401"/>
  <c r="H41" i="401"/>
  <c r="I133" i="401"/>
  <c r="H133" i="401"/>
  <c r="I157" i="392"/>
  <c r="D164" i="392"/>
  <c r="D36" i="402"/>
  <c r="I36" i="402" s="1"/>
  <c r="N44" i="365"/>
  <c r="D164" i="401"/>
  <c r="D139" i="396"/>
  <c r="I139" i="396" s="1"/>
  <c r="I23" i="365"/>
  <c r="I44" i="365" s="1"/>
  <c r="K23" i="365"/>
  <c r="J23" i="385"/>
  <c r="L151" i="385"/>
  <c r="L164" i="385" s="1"/>
  <c r="L165" i="385" s="1"/>
  <c r="H17" i="397"/>
  <c r="H26" i="407"/>
  <c r="O77" i="386"/>
  <c r="O80" i="386" s="1"/>
  <c r="C102" i="385"/>
  <c r="P102" i="385" s="1"/>
  <c r="H61" i="393"/>
  <c r="J44" i="365"/>
  <c r="I151" i="365"/>
  <c r="I164" i="365" s="1"/>
  <c r="I165" i="365" s="1"/>
  <c r="I167" i="365" s="1"/>
  <c r="D11" i="401"/>
  <c r="F151" i="386"/>
  <c r="F164" i="386" s="1"/>
  <c r="F165" i="386" s="1"/>
  <c r="F167" i="386" s="1"/>
  <c r="N151" i="385"/>
  <c r="N164" i="385" s="1"/>
  <c r="N165" i="385" s="1"/>
  <c r="C110" i="386"/>
  <c r="P110" i="386" s="1"/>
  <c r="C129" i="386"/>
  <c r="P129" i="386" s="1"/>
  <c r="C149" i="386"/>
  <c r="P149" i="386" s="1"/>
  <c r="C101" i="386"/>
  <c r="P101" i="386" s="1"/>
  <c r="C95" i="386"/>
  <c r="P95" i="386" s="1"/>
  <c r="C87" i="386"/>
  <c r="P87" i="386" s="1"/>
  <c r="D102" i="386"/>
  <c r="C132" i="386"/>
  <c r="P132" i="386" s="1"/>
  <c r="C113" i="386"/>
  <c r="P113" i="386" s="1"/>
  <c r="C120" i="386"/>
  <c r="P120" i="386" s="1"/>
  <c r="C138" i="386"/>
  <c r="P138" i="386" s="1"/>
  <c r="C166" i="386"/>
  <c r="P166" i="386" s="1"/>
  <c r="C92" i="386"/>
  <c r="P92" i="386" s="1"/>
  <c r="G89" i="386"/>
  <c r="K77" i="386"/>
  <c r="K80" i="386" s="1"/>
  <c r="C68" i="386"/>
  <c r="P68" i="386" s="1"/>
  <c r="C56" i="386"/>
  <c r="P56" i="386" s="1"/>
  <c r="C41" i="386"/>
  <c r="P41" i="386" s="1"/>
  <c r="N99" i="386"/>
  <c r="N97" i="386" s="1"/>
  <c r="N151" i="386" s="1"/>
  <c r="N164" i="386" s="1"/>
  <c r="N165" i="386" s="1"/>
  <c r="I156" i="405"/>
  <c r="H80" i="405"/>
  <c r="H123" i="394"/>
  <c r="C119" i="386"/>
  <c r="P119" i="386" s="1"/>
  <c r="C159" i="386"/>
  <c r="P159" i="386" s="1"/>
  <c r="C144" i="386"/>
  <c r="P144" i="386" s="1"/>
  <c r="G77" i="386"/>
  <c r="C67" i="386"/>
  <c r="P67" i="386" s="1"/>
  <c r="C62" i="386"/>
  <c r="P62" i="386" s="1"/>
  <c r="H141" i="386"/>
  <c r="F17" i="386"/>
  <c r="F23" i="386" s="1"/>
  <c r="C157" i="385"/>
  <c r="P157" i="385" s="1"/>
  <c r="K13" i="386"/>
  <c r="M13" i="386"/>
  <c r="C122" i="386"/>
  <c r="P122" i="386" s="1"/>
  <c r="C109" i="386"/>
  <c r="P109" i="386" s="1"/>
  <c r="C143" i="386"/>
  <c r="P143" i="386" s="1"/>
  <c r="C130" i="386"/>
  <c r="P130" i="386" s="1"/>
  <c r="C150" i="386"/>
  <c r="P150" i="386" s="1"/>
  <c r="C104" i="386"/>
  <c r="P104" i="386" s="1"/>
  <c r="C96" i="386"/>
  <c r="P96" i="386" s="1"/>
  <c r="H34" i="386"/>
  <c r="H43" i="386" s="1"/>
  <c r="N77" i="386"/>
  <c r="H162" i="388"/>
  <c r="H55" i="388"/>
  <c r="H158" i="388"/>
  <c r="H136" i="405"/>
  <c r="H88" i="405"/>
  <c r="H39" i="405"/>
  <c r="C69" i="386"/>
  <c r="P69" i="386" s="1"/>
  <c r="C60" i="386"/>
  <c r="P60" i="386" s="1"/>
  <c r="C54" i="386"/>
  <c r="P54" i="386" s="1"/>
  <c r="O97" i="365"/>
  <c r="O151" i="365" s="1"/>
  <c r="H63" i="388"/>
  <c r="H131" i="405"/>
  <c r="H58" i="405"/>
  <c r="D40" i="254"/>
  <c r="E40" i="254" s="1"/>
  <c r="H123" i="389"/>
  <c r="M165" i="385"/>
  <c r="M167" i="385" s="1"/>
  <c r="M165" i="365"/>
  <c r="M169" i="365" s="1"/>
  <c r="I23" i="393"/>
  <c r="H23" i="393"/>
  <c r="I112" i="402"/>
  <c r="H112" i="402"/>
  <c r="I33" i="404"/>
  <c r="D32" i="404"/>
  <c r="I32" i="404" s="1"/>
  <c r="I159" i="404"/>
  <c r="D164" i="404"/>
  <c r="I13" i="404"/>
  <c r="D11" i="404"/>
  <c r="I11" i="404" s="1"/>
  <c r="I123" i="396"/>
  <c r="H123" i="396"/>
  <c r="D21" i="396"/>
  <c r="I22" i="396"/>
  <c r="I14" i="360"/>
  <c r="H14" i="360"/>
  <c r="H117" i="360"/>
  <c r="I117" i="360"/>
  <c r="I68" i="360"/>
  <c r="H68" i="360"/>
  <c r="I105" i="360"/>
  <c r="H105" i="360"/>
  <c r="H71" i="360"/>
  <c r="I71" i="360"/>
  <c r="I105" i="401"/>
  <c r="H105" i="401"/>
  <c r="I135" i="401"/>
  <c r="H135" i="401"/>
  <c r="D147" i="388"/>
  <c r="C11" i="365"/>
  <c r="P11" i="365" s="1"/>
  <c r="I61" i="395"/>
  <c r="H61" i="395"/>
  <c r="D51" i="395"/>
  <c r="D50" i="395" s="1"/>
  <c r="I43" i="399"/>
  <c r="D36" i="399"/>
  <c r="I134" i="399"/>
  <c r="H134" i="399"/>
  <c r="I41" i="392"/>
  <c r="H41" i="392"/>
  <c r="D36" i="392"/>
  <c r="I35" i="392"/>
  <c r="D32" i="392"/>
  <c r="I32" i="392" s="1"/>
  <c r="E134" i="386"/>
  <c r="C134" i="386" s="1"/>
  <c r="P134" i="386" s="1"/>
  <c r="C135" i="386"/>
  <c r="P135" i="386" s="1"/>
  <c r="G102" i="386"/>
  <c r="C106" i="386"/>
  <c r="P106" i="386" s="1"/>
  <c r="D97" i="386"/>
  <c r="C98" i="386"/>
  <c r="P98" i="386" s="1"/>
  <c r="D50" i="386"/>
  <c r="C52" i="386"/>
  <c r="P52" i="386" s="1"/>
  <c r="H169" i="385"/>
  <c r="C13" i="385"/>
  <c r="P13" i="385" s="1"/>
  <c r="M11" i="385"/>
  <c r="H168" i="385"/>
  <c r="D19" i="393"/>
  <c r="I19" i="393" s="1"/>
  <c r="I21" i="393"/>
  <c r="H109" i="389"/>
  <c r="I109" i="389"/>
  <c r="D164" i="389"/>
  <c r="I12" i="402"/>
  <c r="D11" i="402"/>
  <c r="D9" i="402" s="1"/>
  <c r="I9" i="402" s="1"/>
  <c r="D15" i="404"/>
  <c r="I16" i="404"/>
  <c r="I38" i="404"/>
  <c r="D36" i="404"/>
  <c r="I36" i="404" s="1"/>
  <c r="I44" i="396"/>
  <c r="H44" i="396"/>
  <c r="I13" i="396"/>
  <c r="H13" i="396"/>
  <c r="I45" i="396"/>
  <c r="H45" i="396"/>
  <c r="I124" i="396"/>
  <c r="H124" i="396"/>
  <c r="I74" i="396"/>
  <c r="H74" i="396"/>
  <c r="I91" i="360"/>
  <c r="H91" i="360"/>
  <c r="I122" i="360"/>
  <c r="H122" i="360"/>
  <c r="I56" i="360"/>
  <c r="H56" i="360"/>
  <c r="I97" i="360"/>
  <c r="H97" i="360"/>
  <c r="H80" i="360"/>
  <c r="I80" i="360"/>
  <c r="I55" i="360"/>
  <c r="H55" i="360"/>
  <c r="H66" i="360"/>
  <c r="I66" i="360"/>
  <c r="I85" i="360"/>
  <c r="H85" i="360"/>
  <c r="I33" i="408"/>
  <c r="D32" i="408"/>
  <c r="I32" i="408" s="1"/>
  <c r="I20" i="408"/>
  <c r="H20" i="408"/>
  <c r="D19" i="408"/>
  <c r="I19" i="408" s="1"/>
  <c r="I13" i="408"/>
  <c r="D11" i="408"/>
  <c r="H13" i="408"/>
  <c r="H108" i="401"/>
  <c r="I108" i="401"/>
  <c r="H22" i="401"/>
  <c r="I22" i="401"/>
  <c r="H141" i="401"/>
  <c r="D139" i="401"/>
  <c r="I139" i="401" s="1"/>
  <c r="I141" i="401"/>
  <c r="I136" i="401"/>
  <c r="H136" i="401"/>
  <c r="I16" i="395"/>
  <c r="H16" i="395"/>
  <c r="I96" i="399"/>
  <c r="D78" i="399"/>
  <c r="D77" i="399" s="1"/>
  <c r="D76" i="399" s="1"/>
  <c r="D147" i="399" s="1"/>
  <c r="D165" i="399" s="1"/>
  <c r="D178" i="399" s="1"/>
  <c r="C30" i="391" s="1"/>
  <c r="I113" i="392"/>
  <c r="H113" i="392"/>
  <c r="I84" i="397"/>
  <c r="H84" i="397"/>
  <c r="D78" i="397"/>
  <c r="I104" i="397"/>
  <c r="H104" i="397"/>
  <c r="D51" i="392"/>
  <c r="D50" i="392" s="1"/>
  <c r="I56" i="392"/>
  <c r="H56" i="392"/>
  <c r="C18" i="386"/>
  <c r="P18" i="386" s="1"/>
  <c r="M17" i="386"/>
  <c r="C145" i="386"/>
  <c r="P145" i="386" s="1"/>
  <c r="E89" i="386"/>
  <c r="C91" i="386"/>
  <c r="P91" i="386" s="1"/>
  <c r="C79" i="386"/>
  <c r="P79" i="386" s="1"/>
  <c r="E77" i="386"/>
  <c r="H65" i="386"/>
  <c r="C64" i="386"/>
  <c r="P64" i="386" s="1"/>
  <c r="C76" i="385"/>
  <c r="P76" i="385" s="1"/>
  <c r="F151" i="385"/>
  <c r="F164" i="385" s="1"/>
  <c r="F165" i="385" s="1"/>
  <c r="F167" i="385" s="1"/>
  <c r="D76" i="404"/>
  <c r="H39" i="389"/>
  <c r="I39" i="389"/>
  <c r="I38" i="389"/>
  <c r="H38" i="389"/>
  <c r="I136" i="389"/>
  <c r="H136" i="389"/>
  <c r="I68" i="389"/>
  <c r="H68" i="389"/>
  <c r="I64" i="393"/>
  <c r="H64" i="393"/>
  <c r="D177" i="402"/>
  <c r="I177" i="402" s="1"/>
  <c r="I175" i="402"/>
  <c r="I113" i="402"/>
  <c r="H113" i="402"/>
  <c r="I81" i="403"/>
  <c r="H81" i="403"/>
  <c r="H20" i="404"/>
  <c r="D19" i="404"/>
  <c r="I19" i="404" s="1"/>
  <c r="D51" i="404"/>
  <c r="D50" i="404" s="1"/>
  <c r="I145" i="404"/>
  <c r="D144" i="404"/>
  <c r="I144" i="404" s="1"/>
  <c r="J165" i="385"/>
  <c r="J167" i="385" s="1"/>
  <c r="D78" i="396"/>
  <c r="D77" i="396" s="1"/>
  <c r="D76" i="396" s="1"/>
  <c r="D147" i="396" s="1"/>
  <c r="I80" i="396"/>
  <c r="H12" i="396"/>
  <c r="I12" i="396"/>
  <c r="D11" i="396"/>
  <c r="I126" i="396"/>
  <c r="H126" i="396"/>
  <c r="I53" i="360"/>
  <c r="D51" i="360"/>
  <c r="D50" i="360" s="1"/>
  <c r="H53" i="360"/>
  <c r="I23" i="360"/>
  <c r="D21" i="360"/>
  <c r="I21" i="360" s="1"/>
  <c r="H134" i="360"/>
  <c r="I134" i="360"/>
  <c r="I161" i="360"/>
  <c r="H161" i="360"/>
  <c r="I111" i="408"/>
  <c r="H111" i="408"/>
  <c r="I28" i="408"/>
  <c r="D27" i="408"/>
  <c r="D164" i="408"/>
  <c r="I155" i="408"/>
  <c r="H16" i="408"/>
  <c r="D15" i="408"/>
  <c r="I15" i="408" s="1"/>
  <c r="I61" i="401"/>
  <c r="H61" i="401"/>
  <c r="I66" i="401"/>
  <c r="H66" i="401"/>
  <c r="I104" i="401"/>
  <c r="H104" i="401"/>
  <c r="I159" i="401"/>
  <c r="H159" i="401"/>
  <c r="I33" i="401"/>
  <c r="D32" i="401"/>
  <c r="I32" i="401" s="1"/>
  <c r="H33" i="401"/>
  <c r="D144" i="401"/>
  <c r="I144" i="401" s="1"/>
  <c r="I145" i="401"/>
  <c r="I38" i="401"/>
  <c r="D36" i="401"/>
  <c r="I143" i="401"/>
  <c r="H143" i="401"/>
  <c r="K44" i="365"/>
  <c r="I22" i="399"/>
  <c r="D21" i="399"/>
  <c r="I104" i="392"/>
  <c r="H104" i="392"/>
  <c r="I142" i="392"/>
  <c r="D139" i="392"/>
  <c r="D76" i="392" s="1"/>
  <c r="I156" i="397"/>
  <c r="D164" i="397"/>
  <c r="H156" i="397"/>
  <c r="I121" i="407"/>
  <c r="D78" i="407"/>
  <c r="D77" i="407" s="1"/>
  <c r="D76" i="407" s="1"/>
  <c r="H89" i="386"/>
  <c r="L50" i="386"/>
  <c r="N44" i="386"/>
  <c r="K169" i="385"/>
  <c r="K167" i="385"/>
  <c r="K168" i="385" s="1"/>
  <c r="D19" i="401"/>
  <c r="I19" i="401" s="1"/>
  <c r="I21" i="401"/>
  <c r="I134" i="393"/>
  <c r="H134" i="393"/>
  <c r="I56" i="393"/>
  <c r="H56" i="393"/>
  <c r="D11" i="403"/>
  <c r="I12" i="403"/>
  <c r="I163" i="403"/>
  <c r="H163" i="403"/>
  <c r="I114" i="403"/>
  <c r="H114" i="403"/>
  <c r="H10" i="404"/>
  <c r="E151" i="385"/>
  <c r="E164" i="385" s="1"/>
  <c r="E165" i="385" s="1"/>
  <c r="E167" i="385" s="1"/>
  <c r="E168" i="385" s="1"/>
  <c r="C141" i="385"/>
  <c r="P141" i="385" s="1"/>
  <c r="D15" i="396"/>
  <c r="I15" i="396" s="1"/>
  <c r="I16" i="396"/>
  <c r="I163" i="396"/>
  <c r="H163" i="396"/>
  <c r="I63" i="396"/>
  <c r="H63" i="396"/>
  <c r="I157" i="396"/>
  <c r="D164" i="396"/>
  <c r="H114" i="360"/>
  <c r="I114" i="360"/>
  <c r="H79" i="360"/>
  <c r="D78" i="360"/>
  <c r="D77" i="360" s="1"/>
  <c r="D76" i="360" s="1"/>
  <c r="I65" i="408"/>
  <c r="D51" i="408"/>
  <c r="D50" i="408" s="1"/>
  <c r="H39" i="408"/>
  <c r="I39" i="408"/>
  <c r="I38" i="408"/>
  <c r="H38" i="408"/>
  <c r="D36" i="408"/>
  <c r="D78" i="401"/>
  <c r="D77" i="401" s="1"/>
  <c r="I127" i="401"/>
  <c r="H127" i="401"/>
  <c r="I11" i="401"/>
  <c r="D9" i="401"/>
  <c r="I84" i="401"/>
  <c r="H84" i="401"/>
  <c r="I109" i="401"/>
  <c r="H109" i="401"/>
  <c r="I17" i="401"/>
  <c r="H17" i="401"/>
  <c r="D15" i="401"/>
  <c r="I15" i="401" s="1"/>
  <c r="I57" i="401"/>
  <c r="D51" i="401"/>
  <c r="D50" i="401" s="1"/>
  <c r="H57" i="401"/>
  <c r="H69" i="395"/>
  <c r="I69" i="395"/>
  <c r="H79" i="395"/>
  <c r="D78" i="395"/>
  <c r="D77" i="395" s="1"/>
  <c r="D76" i="395" s="1"/>
  <c r="D147" i="395" s="1"/>
  <c r="I136" i="399"/>
  <c r="H136" i="399"/>
  <c r="I145" i="407"/>
  <c r="D144" i="407"/>
  <c r="I144" i="407" s="1"/>
  <c r="C155" i="386"/>
  <c r="P155" i="386" s="1"/>
  <c r="E161" i="386"/>
  <c r="C100" i="386"/>
  <c r="P100" i="386" s="1"/>
  <c r="E99" i="386"/>
  <c r="E97" i="386" s="1"/>
  <c r="H101" i="395"/>
  <c r="H126" i="395"/>
  <c r="F44" i="386"/>
  <c r="H156" i="393"/>
  <c r="H16" i="404"/>
  <c r="G80" i="386"/>
  <c r="I155" i="389"/>
  <c r="J23" i="386"/>
  <c r="J44" i="386" s="1"/>
  <c r="G151" i="386"/>
  <c r="G164" i="386" s="1"/>
  <c r="D21" i="403"/>
  <c r="L17" i="386"/>
  <c r="L23" i="386" s="1"/>
  <c r="D19" i="402"/>
  <c r="I19" i="402" s="1"/>
  <c r="H96" i="392"/>
  <c r="H34" i="388"/>
  <c r="I70" i="407"/>
  <c r="H99" i="386"/>
  <c r="H97" i="386" s="1"/>
  <c r="H47" i="386"/>
  <c r="O13" i="386"/>
  <c r="O11" i="386" s="1"/>
  <c r="E146" i="386"/>
  <c r="C146" i="386" s="1"/>
  <c r="P146" i="386" s="1"/>
  <c r="D34" i="386"/>
  <c r="D43" i="386" s="1"/>
  <c r="H165" i="365"/>
  <c r="H167" i="365" s="1"/>
  <c r="D36" i="396"/>
  <c r="L89" i="386"/>
  <c r="D65" i="386"/>
  <c r="D76" i="386" s="1"/>
  <c r="L34" i="386"/>
  <c r="M11" i="386"/>
  <c r="M126" i="386"/>
  <c r="M141" i="386"/>
  <c r="M97" i="386"/>
  <c r="I126" i="386"/>
  <c r="E117" i="386"/>
  <c r="E137" i="386"/>
  <c r="L65" i="386"/>
  <c r="H102" i="386"/>
  <c r="M77" i="386"/>
  <c r="C58" i="365"/>
  <c r="P58" i="365" s="1"/>
  <c r="H68" i="404"/>
  <c r="H11" i="408"/>
  <c r="I140" i="389"/>
  <c r="I27" i="396"/>
  <c r="C161" i="365"/>
  <c r="D44" i="365"/>
  <c r="D168" i="365" s="1"/>
  <c r="D47" i="407"/>
  <c r="D29" i="360"/>
  <c r="C60" i="365"/>
  <c r="P60" i="365" s="1"/>
  <c r="C68" i="365"/>
  <c r="P68" i="365" s="1"/>
  <c r="N47" i="386"/>
  <c r="N76" i="386" s="1"/>
  <c r="N80" i="386" s="1"/>
  <c r="C106" i="385"/>
  <c r="P106" i="385" s="1"/>
  <c r="I120" i="388"/>
  <c r="H118" i="388"/>
  <c r="H83" i="388"/>
  <c r="H124" i="405"/>
  <c r="H155" i="404"/>
  <c r="H132" i="404"/>
  <c r="H160" i="404"/>
  <c r="H133" i="404"/>
  <c r="H101" i="404"/>
  <c r="H83" i="404"/>
  <c r="H68" i="394"/>
  <c r="H35" i="402"/>
  <c r="O161" i="386"/>
  <c r="I30" i="385"/>
  <c r="C30" i="385" s="1"/>
  <c r="P30" i="385" s="1"/>
  <c r="K97" i="365"/>
  <c r="K151" i="365" s="1"/>
  <c r="K164" i="365" s="1"/>
  <c r="H131" i="388"/>
  <c r="I103" i="388"/>
  <c r="H92" i="388"/>
  <c r="H104" i="405"/>
  <c r="H65" i="404"/>
  <c r="H115" i="388"/>
  <c r="I93" i="388"/>
  <c r="H73" i="388"/>
  <c r="H38" i="388"/>
  <c r="H81" i="394"/>
  <c r="H123" i="403"/>
  <c r="H54" i="403"/>
  <c r="H126" i="402"/>
  <c r="H96" i="402"/>
  <c r="H71" i="402"/>
  <c r="H44" i="402"/>
  <c r="H17" i="402"/>
  <c r="H101" i="402"/>
  <c r="H160" i="402"/>
  <c r="L117" i="386"/>
  <c r="C12" i="385"/>
  <c r="P12" i="385" s="1"/>
  <c r="H129" i="388"/>
  <c r="I114" i="388"/>
  <c r="H87" i="388"/>
  <c r="H132" i="388"/>
  <c r="H163" i="388"/>
  <c r="H163" i="404"/>
  <c r="H108" i="404"/>
  <c r="H90" i="404"/>
  <c r="H71" i="388"/>
  <c r="I58" i="388"/>
  <c r="H142" i="404"/>
  <c r="H94" i="404"/>
  <c r="H73" i="404"/>
  <c r="H34" i="404"/>
  <c r="H127" i="394"/>
  <c r="I62" i="394"/>
  <c r="I52" i="403"/>
  <c r="I140" i="402"/>
  <c r="H137" i="402"/>
  <c r="H142" i="388"/>
  <c r="H133" i="388"/>
  <c r="H101" i="388"/>
  <c r="H35" i="388"/>
  <c r="H79" i="405"/>
  <c r="H97" i="388"/>
  <c r="H141" i="394"/>
  <c r="H88" i="394"/>
  <c r="H141" i="402"/>
  <c r="D51" i="405"/>
  <c r="D50" i="405" s="1"/>
  <c r="H127" i="403"/>
  <c r="H92" i="403"/>
  <c r="H39" i="403"/>
  <c r="H18" i="395"/>
  <c r="C19" i="254"/>
  <c r="E19" i="254" s="1"/>
  <c r="D11" i="407"/>
  <c r="C89" i="254"/>
  <c r="E102" i="386"/>
  <c r="D33" i="339"/>
  <c r="E33" i="339" s="1"/>
  <c r="C33" i="324"/>
  <c r="H106" i="395"/>
  <c r="C12" i="254"/>
  <c r="C13" i="254" s="1"/>
  <c r="C82" i="324"/>
  <c r="C54" i="354"/>
  <c r="E54" i="354" s="1"/>
  <c r="C40" i="354"/>
  <c r="C82" i="354"/>
  <c r="D61" i="354"/>
  <c r="M35" i="391"/>
  <c r="C89" i="339"/>
  <c r="E89" i="339" s="1"/>
  <c r="D89" i="254"/>
  <c r="C26" i="324"/>
  <c r="E26" i="324" s="1"/>
  <c r="C47" i="354"/>
  <c r="E47" i="354" s="1"/>
  <c r="D12" i="254"/>
  <c r="D13" i="254" s="1"/>
  <c r="D20" i="254" s="1"/>
  <c r="D27" i="254" s="1"/>
  <c r="D34" i="254" s="1"/>
  <c r="C40" i="339"/>
  <c r="E40" i="339" s="1"/>
  <c r="C54" i="254"/>
  <c r="C26" i="339"/>
  <c r="E26" i="339" s="1"/>
  <c r="D12" i="339"/>
  <c r="D13" i="339" s="1"/>
  <c r="D20" i="339" s="1"/>
  <c r="D27" i="339" s="1"/>
  <c r="C61" i="354"/>
  <c r="C82" i="339"/>
  <c r="E82" i="339" s="1"/>
  <c r="D61" i="339"/>
  <c r="E61" i="339" s="1"/>
  <c r="D40" i="354"/>
  <c r="C89" i="324"/>
  <c r="P59" i="331"/>
  <c r="D82" i="354"/>
  <c r="D68" i="324"/>
  <c r="E68" i="324" s="1"/>
  <c r="C40" i="324"/>
  <c r="E40" i="324" s="1"/>
  <c r="D89" i="324"/>
  <c r="S59" i="331"/>
  <c r="C47" i="324"/>
  <c r="E47" i="324" s="1"/>
  <c r="K20" i="391"/>
  <c r="K59" i="391" s="1"/>
  <c r="I63" i="388"/>
  <c r="F36" i="388"/>
  <c r="F11" i="403"/>
  <c r="F9" i="403" s="1"/>
  <c r="F24" i="403" s="1"/>
  <c r="I53" i="394"/>
  <c r="E76" i="397"/>
  <c r="E147" i="397" s="1"/>
  <c r="E165" i="397" s="1"/>
  <c r="E178" i="397" s="1"/>
  <c r="H103" i="388"/>
  <c r="I158" i="388"/>
  <c r="S74" i="341"/>
  <c r="G31" i="388"/>
  <c r="H31" i="388" s="1"/>
  <c r="P74" i="341"/>
  <c r="F32" i="394"/>
  <c r="H72" i="394"/>
  <c r="H62" i="394"/>
  <c r="G22" i="402"/>
  <c r="H22" i="402" s="1"/>
  <c r="F32" i="388"/>
  <c r="E12" i="418"/>
  <c r="E10" i="418" s="1"/>
  <c r="D12" i="418"/>
  <c r="D10" i="418" s="1"/>
  <c r="F51" i="402"/>
  <c r="F50" i="402" s="1"/>
  <c r="D31" i="418"/>
  <c r="F164" i="403"/>
  <c r="H120" i="388"/>
  <c r="D33" i="324"/>
  <c r="G11" i="403"/>
  <c r="H12" i="403"/>
  <c r="I90" i="404"/>
  <c r="I96" i="402"/>
  <c r="L59" i="391"/>
  <c r="M20" i="391"/>
  <c r="M59" i="391" s="1"/>
  <c r="G32" i="404"/>
  <c r="H32" i="404" s="1"/>
  <c r="G145" i="394"/>
  <c r="H145" i="394" s="1"/>
  <c r="F27" i="405"/>
  <c r="I68" i="394"/>
  <c r="F15" i="404"/>
  <c r="F19" i="353"/>
  <c r="F20" i="353" s="1"/>
  <c r="D19" i="324"/>
  <c r="D20" i="324" s="1"/>
  <c r="C75" i="324"/>
  <c r="E19" i="353"/>
  <c r="E20" i="353" s="1"/>
  <c r="D82" i="324"/>
  <c r="D75" i="324"/>
  <c r="E61" i="324"/>
  <c r="O168" i="385"/>
  <c r="O169" i="385"/>
  <c r="F165" i="365"/>
  <c r="F168" i="385"/>
  <c r="F169" i="385"/>
  <c r="C82" i="385"/>
  <c r="P82" i="385" s="1"/>
  <c r="I27" i="404"/>
  <c r="I165" i="385"/>
  <c r="I167" i="385" s="1"/>
  <c r="C166" i="395"/>
  <c r="C170" i="395" s="1"/>
  <c r="H44" i="365"/>
  <c r="L167" i="365"/>
  <c r="L168" i="365" s="1"/>
  <c r="J151" i="365"/>
  <c r="J164" i="365" s="1"/>
  <c r="C17" i="365"/>
  <c r="P17" i="365" s="1"/>
  <c r="R48" i="330"/>
  <c r="A58" i="330"/>
  <c r="L151" i="386"/>
  <c r="D11" i="389"/>
  <c r="I33" i="389"/>
  <c r="D32" i="389"/>
  <c r="I32" i="389" s="1"/>
  <c r="C179" i="394"/>
  <c r="C148" i="394"/>
  <c r="C152" i="394" s="1"/>
  <c r="C166" i="394"/>
  <c r="C170" i="394" s="1"/>
  <c r="C171" i="394"/>
  <c r="C149" i="394"/>
  <c r="C167" i="394"/>
  <c r="C184" i="394"/>
  <c r="C153" i="394"/>
  <c r="I57" i="389"/>
  <c r="H57" i="389"/>
  <c r="I130" i="389"/>
  <c r="H130" i="389"/>
  <c r="D78" i="389"/>
  <c r="D77" i="389" s="1"/>
  <c r="H162" i="389"/>
  <c r="I162" i="389"/>
  <c r="K165" i="365"/>
  <c r="H17" i="422" a="1"/>
  <c r="H17" i="422" s="1"/>
  <c r="I17" i="422" a="1"/>
  <c r="I17" i="422" s="1"/>
  <c r="J17" i="422" a="1"/>
  <c r="J17" i="422" s="1"/>
  <c r="G17" i="422" a="1"/>
  <c r="G17" i="422" s="1"/>
  <c r="P17" i="422" a="1"/>
  <c r="P17" i="422" s="1"/>
  <c r="C18" i="422"/>
  <c r="L17" i="422" a="1"/>
  <c r="L17" i="422" s="1"/>
  <c r="M17" i="422" a="1"/>
  <c r="M17" i="422" s="1"/>
  <c r="O17" i="422" a="1"/>
  <c r="O17" i="422" s="1"/>
  <c r="R17" i="422" a="1"/>
  <c r="R17" i="422" s="1"/>
  <c r="S17" i="422" s="1"/>
  <c r="A17" i="422" a="1"/>
  <c r="A17" i="422" s="1"/>
  <c r="A16" i="421" a="1"/>
  <c r="A16" i="421" s="1"/>
  <c r="L16" i="421" a="1"/>
  <c r="L16" i="421" s="1"/>
  <c r="C17" i="421"/>
  <c r="I16" i="421" a="1"/>
  <c r="I16" i="421" s="1"/>
  <c r="O16" i="421" a="1"/>
  <c r="O16" i="421" s="1"/>
  <c r="H16" i="421" a="1"/>
  <c r="H16" i="421" s="1"/>
  <c r="Q16" i="421" a="1"/>
  <c r="Q16" i="421" s="1"/>
  <c r="M16" i="421" a="1"/>
  <c r="M16" i="421" s="1"/>
  <c r="N16" i="421" a="1"/>
  <c r="N16" i="421" s="1"/>
  <c r="K16" i="421" a="1"/>
  <c r="K16" i="421" s="1"/>
  <c r="C179" i="404"/>
  <c r="C184" i="404"/>
  <c r="C153" i="404"/>
  <c r="C148" i="404"/>
  <c r="C152" i="404" s="1"/>
  <c r="C166" i="404"/>
  <c r="C170" i="404" s="1"/>
  <c r="C149" i="404"/>
  <c r="C171" i="404"/>
  <c r="A16" i="420" a="1"/>
  <c r="A16" i="420" s="1"/>
  <c r="F16" i="420" a="1"/>
  <c r="F16" i="420" s="1"/>
  <c r="M16" i="420" a="1"/>
  <c r="M16" i="420" s="1"/>
  <c r="G16" i="420" a="1"/>
  <c r="G16" i="420" s="1"/>
  <c r="D16" i="420" a="1"/>
  <c r="D16" i="420" s="1"/>
  <c r="L16" i="420" a="1"/>
  <c r="L16" i="420" s="1"/>
  <c r="H16" i="420" a="1"/>
  <c r="H16" i="420" s="1"/>
  <c r="E16" i="420" a="1"/>
  <c r="E16" i="420" s="1"/>
  <c r="O16" i="420" a="1"/>
  <c r="O16" i="420" s="1"/>
  <c r="I16" i="420" a="1"/>
  <c r="I16" i="420" s="1"/>
  <c r="K16" i="420" a="1"/>
  <c r="K16" i="420" s="1"/>
  <c r="P16" i="420" a="1"/>
  <c r="P16" i="420" s="1"/>
  <c r="Q15" i="421" a="1"/>
  <c r="Q15" i="421" s="1"/>
  <c r="N15" i="421" a="1"/>
  <c r="N15" i="421" s="1"/>
  <c r="L15" i="421" a="1"/>
  <c r="L15" i="421" s="1"/>
  <c r="M15" i="421" a="1"/>
  <c r="M15" i="421" s="1"/>
  <c r="O15" i="421" a="1"/>
  <c r="O15" i="421" s="1"/>
  <c r="H15" i="421" a="1"/>
  <c r="H15" i="421" s="1"/>
  <c r="A15" i="421" a="1"/>
  <c r="A15" i="421" s="1"/>
  <c r="G15" i="421" a="1"/>
  <c r="G15" i="421" s="1"/>
  <c r="I15" i="421" a="1"/>
  <c r="I15" i="421" s="1"/>
  <c r="K15" i="421" a="1"/>
  <c r="K15" i="421" s="1"/>
  <c r="I60" i="389"/>
  <c r="H60" i="389"/>
  <c r="J151" i="386"/>
  <c r="J164" i="386" s="1"/>
  <c r="J16" i="420" a="1"/>
  <c r="J16" i="420" s="1"/>
  <c r="C148" i="405"/>
  <c r="C152" i="405" s="1"/>
  <c r="C179" i="405"/>
  <c r="C184" i="405"/>
  <c r="C166" i="405"/>
  <c r="C170" i="405" s="1"/>
  <c r="I36" i="397"/>
  <c r="D47" i="397"/>
  <c r="I47" i="397" s="1"/>
  <c r="D169" i="365"/>
  <c r="I42" i="389"/>
  <c r="H42" i="389"/>
  <c r="I10" i="389"/>
  <c r="H10" i="389"/>
  <c r="D9" i="389"/>
  <c r="D27" i="401"/>
  <c r="I11" i="402"/>
  <c r="D48" i="388"/>
  <c r="D44" i="386"/>
  <c r="D51" i="393"/>
  <c r="D50" i="393" s="1"/>
  <c r="H10" i="393"/>
  <c r="D78" i="393"/>
  <c r="D77" i="393" s="1"/>
  <c r="I80" i="393"/>
  <c r="I104" i="393"/>
  <c r="H104" i="393"/>
  <c r="D164" i="393"/>
  <c r="I145" i="402"/>
  <c r="D144" i="402"/>
  <c r="I144" i="402" s="1"/>
  <c r="D15" i="402"/>
  <c r="D15" i="403"/>
  <c r="H16" i="403"/>
  <c r="D24" i="402"/>
  <c r="H36" i="360"/>
  <c r="D164" i="385"/>
  <c r="C164" i="385" s="1"/>
  <c r="P164" i="385" s="1"/>
  <c r="C151" i="385"/>
  <c r="N169" i="365"/>
  <c r="H71" i="389"/>
  <c r="I71" i="389"/>
  <c r="I159" i="389"/>
  <c r="H159" i="389"/>
  <c r="H54" i="393"/>
  <c r="I54" i="393"/>
  <c r="I83" i="393"/>
  <c r="H83" i="393"/>
  <c r="I122" i="393"/>
  <c r="H122" i="393"/>
  <c r="H31" i="393"/>
  <c r="I31" i="393"/>
  <c r="I59" i="393"/>
  <c r="H59" i="393"/>
  <c r="I108" i="393"/>
  <c r="H108" i="393"/>
  <c r="I155" i="402"/>
  <c r="D164" i="402"/>
  <c r="I41" i="402"/>
  <c r="H41" i="402"/>
  <c r="D78" i="402"/>
  <c r="D77" i="402" s="1"/>
  <c r="D76" i="402" s="1"/>
  <c r="I79" i="402"/>
  <c r="H84" i="403"/>
  <c r="I84" i="403"/>
  <c r="I103" i="403"/>
  <c r="H103" i="403"/>
  <c r="I90" i="403"/>
  <c r="H90" i="403"/>
  <c r="C179" i="393"/>
  <c r="C184" i="393"/>
  <c r="I16" i="389"/>
  <c r="D15" i="389"/>
  <c r="I15" i="389" s="1"/>
  <c r="I129" i="389"/>
  <c r="H129" i="389"/>
  <c r="D29" i="389"/>
  <c r="D27" i="389" s="1"/>
  <c r="I31" i="389"/>
  <c r="H44" i="389"/>
  <c r="I44" i="389"/>
  <c r="I141" i="389"/>
  <c r="D139" i="389"/>
  <c r="H34" i="389"/>
  <c r="I34" i="389"/>
  <c r="I26" i="393"/>
  <c r="H26" i="393"/>
  <c r="H16" i="393"/>
  <c r="I16" i="393"/>
  <c r="I74" i="393"/>
  <c r="H74" i="393"/>
  <c r="I159" i="402"/>
  <c r="H159" i="402"/>
  <c r="I26" i="402"/>
  <c r="I63" i="403"/>
  <c r="H63" i="403"/>
  <c r="D139" i="403"/>
  <c r="D76" i="403" s="1"/>
  <c r="I141" i="403"/>
  <c r="H141" i="403"/>
  <c r="I30" i="403"/>
  <c r="D29" i="403"/>
  <c r="H30" i="403"/>
  <c r="N168" i="365"/>
  <c r="I27" i="407"/>
  <c r="C165" i="401"/>
  <c r="C148" i="401"/>
  <c r="C152" i="401" s="1"/>
  <c r="J44" i="385"/>
  <c r="C179" i="402"/>
  <c r="C149" i="402"/>
  <c r="C171" i="402"/>
  <c r="C148" i="402"/>
  <c r="C152" i="402" s="1"/>
  <c r="C153" i="402"/>
  <c r="I28" i="389"/>
  <c r="I59" i="389"/>
  <c r="H59" i="389"/>
  <c r="H118" i="389"/>
  <c r="I118" i="389"/>
  <c r="I22" i="389"/>
  <c r="D21" i="389"/>
  <c r="I69" i="393"/>
  <c r="H69" i="393"/>
  <c r="I89" i="393"/>
  <c r="H89" i="393"/>
  <c r="I12" i="393"/>
  <c r="D11" i="393"/>
  <c r="I11" i="393" s="1"/>
  <c r="I28" i="393"/>
  <c r="H28" i="393"/>
  <c r="I100" i="393"/>
  <c r="H100" i="393"/>
  <c r="C179" i="403"/>
  <c r="C148" i="403"/>
  <c r="C152" i="403" s="1"/>
  <c r="C153" i="403"/>
  <c r="I58" i="402"/>
  <c r="H58" i="402"/>
  <c r="I52" i="402"/>
  <c r="H52" i="402"/>
  <c r="I63" i="402"/>
  <c r="H63" i="402"/>
  <c r="I18" i="403"/>
  <c r="H18" i="403"/>
  <c r="H40" i="403"/>
  <c r="I40" i="403"/>
  <c r="D36" i="403"/>
  <c r="I36" i="403" s="1"/>
  <c r="I43" i="403"/>
  <c r="H43" i="403"/>
  <c r="H78" i="360"/>
  <c r="H177" i="403"/>
  <c r="D9" i="392"/>
  <c r="I10" i="392"/>
  <c r="D89" i="386"/>
  <c r="K11" i="386"/>
  <c r="K23" i="386" s="1"/>
  <c r="K44" i="386" s="1"/>
  <c r="M117" i="386"/>
  <c r="M89" i="386"/>
  <c r="I117" i="386"/>
  <c r="I102" i="386"/>
  <c r="H141" i="360"/>
  <c r="I141" i="360"/>
  <c r="I95" i="360"/>
  <c r="H95" i="360"/>
  <c r="I121" i="408"/>
  <c r="H121" i="408"/>
  <c r="H67" i="399"/>
  <c r="I67" i="399"/>
  <c r="D21" i="397"/>
  <c r="I23" i="397"/>
  <c r="M102" i="386"/>
  <c r="H18" i="360"/>
  <c r="I18" i="360"/>
  <c r="H87" i="360"/>
  <c r="I87" i="360"/>
  <c r="I13" i="399"/>
  <c r="D11" i="399"/>
  <c r="O89" i="386"/>
  <c r="G11" i="386"/>
  <c r="G23" i="386" s="1"/>
  <c r="G44" i="386" s="1"/>
  <c r="I99" i="386"/>
  <c r="I137" i="386"/>
  <c r="E141" i="386"/>
  <c r="L161" i="386"/>
  <c r="C161" i="386" s="1"/>
  <c r="H117" i="386"/>
  <c r="O20" i="386"/>
  <c r="O126" i="386"/>
  <c r="I50" i="360"/>
  <c r="H21" i="401"/>
  <c r="H121" i="360"/>
  <c r="I121" i="360"/>
  <c r="I38" i="360"/>
  <c r="H38" i="360"/>
  <c r="I60" i="401"/>
  <c r="H60" i="401"/>
  <c r="I10" i="395"/>
  <c r="D9" i="395"/>
  <c r="C73" i="386"/>
  <c r="P73" i="386" s="1"/>
  <c r="E11" i="386"/>
  <c r="H137" i="386"/>
  <c r="H34" i="393"/>
  <c r="H84" i="389"/>
  <c r="H83" i="401"/>
  <c r="H159" i="360"/>
  <c r="H144" i="397"/>
  <c r="H85" i="402"/>
  <c r="H16" i="396"/>
  <c r="I175" i="393"/>
  <c r="H162" i="396"/>
  <c r="H128" i="408"/>
  <c r="H103" i="408"/>
  <c r="H20" i="393"/>
  <c r="H98" i="389"/>
  <c r="H57" i="396"/>
  <c r="H120" i="408"/>
  <c r="I111" i="396"/>
  <c r="H96" i="404"/>
  <c r="H85" i="404"/>
  <c r="H99" i="404"/>
  <c r="H158" i="408"/>
  <c r="H160" i="393"/>
  <c r="H43" i="395"/>
  <c r="H135" i="402"/>
  <c r="I72" i="402"/>
  <c r="H40" i="402"/>
  <c r="H100" i="396"/>
  <c r="H40" i="408"/>
  <c r="H134" i="402"/>
  <c r="H129" i="393"/>
  <c r="I125" i="395"/>
  <c r="H92" i="402"/>
  <c r="H142" i="401"/>
  <c r="H23" i="396"/>
  <c r="H66" i="395"/>
  <c r="H162" i="393"/>
  <c r="H33" i="396"/>
  <c r="H124" i="403"/>
  <c r="H45" i="401"/>
  <c r="H123" i="401"/>
  <c r="H160" i="408"/>
  <c r="H117" i="408"/>
  <c r="H45" i="403"/>
  <c r="H13" i="389"/>
  <c r="H91" i="396"/>
  <c r="H35" i="392"/>
  <c r="H101" i="389"/>
  <c r="H127" i="408"/>
  <c r="H80" i="392"/>
  <c r="H70" i="392"/>
  <c r="H60" i="396"/>
  <c r="H161" i="393"/>
  <c r="H81" i="395"/>
  <c r="H109" i="408"/>
  <c r="H43" i="402"/>
  <c r="H44" i="404"/>
  <c r="H87" i="408"/>
  <c r="H98" i="393"/>
  <c r="H116" i="396"/>
  <c r="H103" i="402"/>
  <c r="H93" i="408"/>
  <c r="H115" i="393"/>
  <c r="I125" i="408"/>
  <c r="H54" i="395"/>
  <c r="H141" i="393"/>
  <c r="H83" i="402"/>
  <c r="H99" i="396"/>
  <c r="H117" i="396"/>
  <c r="H118" i="408"/>
  <c r="H112" i="401"/>
  <c r="H37" i="402"/>
  <c r="H131" i="396"/>
  <c r="H102" i="393"/>
  <c r="H155" i="401"/>
  <c r="H101" i="393"/>
  <c r="H52" i="401"/>
  <c r="H110" i="403"/>
  <c r="H60" i="392"/>
  <c r="H112" i="396"/>
  <c r="H131" i="403"/>
  <c r="I44" i="395"/>
  <c r="H88" i="393"/>
  <c r="H110" i="395"/>
  <c r="H28" i="404"/>
  <c r="H103" i="404"/>
  <c r="H155" i="396"/>
  <c r="I90" i="396"/>
  <c r="H113" i="401"/>
  <c r="H52" i="393"/>
  <c r="H87" i="393"/>
  <c r="H18" i="396"/>
  <c r="H135" i="404"/>
  <c r="I90" i="408"/>
  <c r="H130" i="396"/>
  <c r="H30" i="408"/>
  <c r="H110" i="408"/>
  <c r="H43" i="408"/>
  <c r="H40" i="396"/>
  <c r="H44" i="403"/>
  <c r="H66" i="408"/>
  <c r="H80" i="404"/>
  <c r="H118" i="402"/>
  <c r="I69" i="402"/>
  <c r="I63" i="389"/>
  <c r="I125" i="389"/>
  <c r="H113" i="408"/>
  <c r="I118" i="393"/>
  <c r="I118" i="392"/>
  <c r="H134" i="401"/>
  <c r="H14" i="404"/>
  <c r="H105" i="393"/>
  <c r="H161" i="408"/>
  <c r="I126" i="360"/>
  <c r="I63" i="395"/>
  <c r="H155" i="403"/>
  <c r="H30" i="360"/>
  <c r="I12" i="395"/>
  <c r="I175" i="392"/>
  <c r="H60" i="395"/>
  <c r="H100" i="399"/>
  <c r="H43" i="399"/>
  <c r="I175" i="389"/>
  <c r="I86" i="396"/>
  <c r="I72" i="404"/>
  <c r="H159" i="408"/>
  <c r="I160" i="389"/>
  <c r="H91" i="395"/>
  <c r="H132" i="396"/>
  <c r="H21" i="394"/>
  <c r="H159" i="393"/>
  <c r="H98" i="408"/>
  <c r="H97" i="392"/>
  <c r="H141" i="392"/>
  <c r="H89" i="404"/>
  <c r="H161" i="404"/>
  <c r="H157" i="404"/>
  <c r="H114" i="393"/>
  <c r="I69" i="389"/>
  <c r="H43" i="404"/>
  <c r="I62" i="393"/>
  <c r="H64" i="402"/>
  <c r="H96" i="395"/>
  <c r="H135" i="396"/>
  <c r="H73" i="393"/>
  <c r="H141" i="396"/>
  <c r="H177" i="408"/>
  <c r="H107" i="396"/>
  <c r="H40" i="395"/>
  <c r="H93" i="393"/>
  <c r="H65" i="402"/>
  <c r="H113" i="389"/>
  <c r="H16" i="389"/>
  <c r="H41" i="389"/>
  <c r="H157" i="408"/>
  <c r="I53" i="389"/>
  <c r="H74" i="389"/>
  <c r="H64" i="392"/>
  <c r="H40" i="401"/>
  <c r="H40" i="404"/>
  <c r="H142" i="393"/>
  <c r="H91" i="408"/>
  <c r="H132" i="408"/>
  <c r="H33" i="393"/>
  <c r="H64" i="404"/>
  <c r="H53" i="396"/>
  <c r="H95" i="402"/>
  <c r="H115" i="404"/>
  <c r="H102" i="396"/>
  <c r="H117" i="393"/>
  <c r="H108" i="408"/>
  <c r="H137" i="393"/>
  <c r="H23" i="404"/>
  <c r="H65" i="395"/>
  <c r="I62" i="408"/>
  <c r="H105" i="396"/>
  <c r="H52" i="396"/>
  <c r="H63" i="408"/>
  <c r="H94" i="393"/>
  <c r="H81" i="396"/>
  <c r="H130" i="402"/>
  <c r="H126" i="389"/>
  <c r="H86" i="408"/>
  <c r="H74" i="404"/>
  <c r="H92" i="389"/>
  <c r="H108" i="395"/>
  <c r="H72" i="396"/>
  <c r="H41" i="396"/>
  <c r="H79" i="401"/>
  <c r="I71" i="396"/>
  <c r="H37" i="393"/>
  <c r="H38" i="396"/>
  <c r="H162" i="404"/>
  <c r="H20" i="401"/>
  <c r="H39" i="393"/>
  <c r="H122" i="408"/>
  <c r="H130" i="403"/>
  <c r="I68" i="393"/>
  <c r="H73" i="402"/>
  <c r="H98" i="402"/>
  <c r="H40" i="393"/>
  <c r="H111" i="402"/>
  <c r="H13" i="402"/>
  <c r="H71" i="395"/>
  <c r="H53" i="393"/>
  <c r="H119" i="396"/>
  <c r="H52" i="404"/>
  <c r="H136" i="393"/>
  <c r="H103" i="392"/>
  <c r="H116" i="393"/>
  <c r="H44" i="401"/>
  <c r="H45" i="393"/>
  <c r="H128" i="389"/>
  <c r="H67" i="389"/>
  <c r="H45" i="402"/>
  <c r="H159" i="396"/>
  <c r="H107" i="408"/>
  <c r="H92" i="401"/>
  <c r="H62" i="389"/>
  <c r="H66" i="389"/>
  <c r="H98" i="396"/>
  <c r="H93" i="389"/>
  <c r="H123" i="393"/>
  <c r="H17" i="393"/>
  <c r="H157" i="392"/>
  <c r="H18" i="389"/>
  <c r="H91" i="393"/>
  <c r="H139" i="395"/>
  <c r="I88" i="395"/>
  <c r="K126" i="386"/>
  <c r="C103" i="386"/>
  <c r="P103" i="386" s="1"/>
  <c r="I34" i="385"/>
  <c r="C34" i="385" s="1"/>
  <c r="P34" i="385" s="1"/>
  <c r="C142" i="365"/>
  <c r="P142" i="365" s="1"/>
  <c r="I54" i="398"/>
  <c r="D51" i="398"/>
  <c r="D50" i="398" s="1"/>
  <c r="H104" i="408"/>
  <c r="H160" i="392"/>
  <c r="H121" i="396"/>
  <c r="H94" i="401"/>
  <c r="H126" i="404"/>
  <c r="H118" i="404"/>
  <c r="H158" i="404"/>
  <c r="H107" i="402"/>
  <c r="H28" i="402"/>
  <c r="H114" i="408"/>
  <c r="H131" i="389"/>
  <c r="H125" i="396"/>
  <c r="H94" i="395"/>
  <c r="H107" i="392"/>
  <c r="H33" i="402"/>
  <c r="H124" i="392"/>
  <c r="H123" i="402"/>
  <c r="H10" i="396"/>
  <c r="H92" i="396"/>
  <c r="H122" i="401"/>
  <c r="H98" i="404"/>
  <c r="H119" i="393"/>
  <c r="H106" i="401"/>
  <c r="H58" i="404"/>
  <c r="I79" i="389"/>
  <c r="H35" i="389"/>
  <c r="H85" i="401"/>
  <c r="H74" i="408"/>
  <c r="H160" i="396"/>
  <c r="H73" i="389"/>
  <c r="H114" i="392"/>
  <c r="H109" i="397"/>
  <c r="H101" i="408"/>
  <c r="H35" i="407"/>
  <c r="H62" i="396"/>
  <c r="H23" i="389"/>
  <c r="H30" i="395"/>
  <c r="H88" i="402"/>
  <c r="H111" i="404"/>
  <c r="H122" i="404"/>
  <c r="H20" i="395"/>
  <c r="H96" i="407"/>
  <c r="I86" i="393"/>
  <c r="H96" i="396"/>
  <c r="I70" i="396"/>
  <c r="H57" i="392"/>
  <c r="H127" i="404"/>
  <c r="H68" i="408"/>
  <c r="H87" i="392"/>
  <c r="I63" i="401"/>
  <c r="H22" i="408"/>
  <c r="H114" i="389"/>
  <c r="H124" i="408"/>
  <c r="H107" i="393"/>
  <c r="H97" i="396"/>
  <c r="H145" i="389"/>
  <c r="H109" i="393"/>
  <c r="I90" i="401"/>
  <c r="H141" i="408"/>
  <c r="I125" i="401"/>
  <c r="H70" i="402"/>
  <c r="H13" i="404"/>
  <c r="H128" i="396"/>
  <c r="I158" i="401"/>
  <c r="H107" i="404"/>
  <c r="H134" i="396"/>
  <c r="H177" i="404"/>
  <c r="H30" i="401"/>
  <c r="H119" i="402"/>
  <c r="H134" i="404"/>
  <c r="H95" i="404"/>
  <c r="H115" i="395"/>
  <c r="H142" i="392"/>
  <c r="I70" i="404"/>
  <c r="H57" i="395"/>
  <c r="H54" i="396"/>
  <c r="H16" i="402"/>
  <c r="I68" i="392"/>
  <c r="H62" i="392"/>
  <c r="H81" i="404"/>
  <c r="H140" i="404"/>
  <c r="H133" i="393"/>
  <c r="H158" i="402"/>
  <c r="H116" i="403"/>
  <c r="H102" i="404"/>
  <c r="H84" i="396"/>
  <c r="H163" i="408"/>
  <c r="H120" i="396"/>
  <c r="H97" i="393"/>
  <c r="H141" i="389"/>
  <c r="H65" i="408"/>
  <c r="H31" i="408"/>
  <c r="H114" i="401"/>
  <c r="H55" i="393"/>
  <c r="H45" i="389"/>
  <c r="H109" i="399"/>
  <c r="H94" i="396"/>
  <c r="C36" i="386"/>
  <c r="P36" i="386" s="1"/>
  <c r="C72" i="365"/>
  <c r="P72" i="365" s="1"/>
  <c r="D15" i="397"/>
  <c r="H163" i="402"/>
  <c r="H84" i="404"/>
  <c r="H66" i="396"/>
  <c r="H122" i="389"/>
  <c r="H106" i="404"/>
  <c r="H59" i="396"/>
  <c r="H54" i="399"/>
  <c r="H57" i="404"/>
  <c r="H161" i="396"/>
  <c r="H43" i="389"/>
  <c r="H31" i="404"/>
  <c r="H145" i="392"/>
  <c r="H126" i="393"/>
  <c r="H144" i="398"/>
  <c r="H132" i="393"/>
  <c r="H10" i="402"/>
  <c r="H106" i="402"/>
  <c r="H131" i="404"/>
  <c r="H144" i="408"/>
  <c r="H91" i="404"/>
  <c r="I62" i="402"/>
  <c r="H137" i="396"/>
  <c r="H136" i="392"/>
  <c r="H97" i="389"/>
  <c r="H16" i="392"/>
  <c r="H161" i="389"/>
  <c r="I58" i="396"/>
  <c r="H88" i="404"/>
  <c r="H42" i="401"/>
  <c r="H163" i="393"/>
  <c r="I37" i="388"/>
  <c r="H39" i="404"/>
  <c r="H123" i="404"/>
  <c r="H34" i="396"/>
  <c r="H87" i="396"/>
  <c r="H102" i="401"/>
  <c r="H100" i="389"/>
  <c r="H29" i="407"/>
  <c r="H163" i="389"/>
  <c r="I67" i="393"/>
  <c r="H28" i="408"/>
  <c r="H42" i="408"/>
  <c r="H100" i="408"/>
  <c r="H124" i="401"/>
  <c r="H134" i="389"/>
  <c r="H107" i="389"/>
  <c r="I44" i="408"/>
  <c r="I89" i="396"/>
  <c r="H102" i="402"/>
  <c r="H121" i="389"/>
  <c r="H83" i="408"/>
  <c r="H92" i="404"/>
  <c r="H114" i="404"/>
  <c r="I67" i="404"/>
  <c r="H161" i="401"/>
  <c r="H137" i="389"/>
  <c r="H61" i="389"/>
  <c r="H73" i="396"/>
  <c r="H20" i="399"/>
  <c r="H88" i="399"/>
  <c r="H135" i="389"/>
  <c r="H64" i="408"/>
  <c r="H115" i="396"/>
  <c r="H131" i="401"/>
  <c r="H108" i="389"/>
  <c r="H127" i="396"/>
  <c r="H54" i="402"/>
  <c r="H136" i="396"/>
  <c r="H132" i="392"/>
  <c r="H120" i="392"/>
  <c r="H133" i="403"/>
  <c r="H61" i="396"/>
  <c r="H109" i="396"/>
  <c r="H96" i="399"/>
  <c r="H128" i="403"/>
  <c r="H108" i="392"/>
  <c r="H89" i="402"/>
  <c r="H157" i="396"/>
  <c r="H155" i="393"/>
  <c r="H129" i="392"/>
  <c r="H43" i="396"/>
  <c r="H115" i="401"/>
  <c r="H127" i="393"/>
  <c r="H110" i="404"/>
  <c r="H119" i="404"/>
  <c r="H121" i="393"/>
  <c r="H23" i="402"/>
  <c r="H129" i="396"/>
  <c r="H130" i="404"/>
  <c r="H158" i="396"/>
  <c r="H114" i="402"/>
  <c r="H117" i="389"/>
  <c r="I140" i="393"/>
  <c r="I95" i="389"/>
  <c r="H100" i="392"/>
  <c r="H97" i="401"/>
  <c r="H92" i="392"/>
  <c r="H142" i="396"/>
  <c r="H64" i="397"/>
  <c r="H131" i="393"/>
  <c r="H20" i="389"/>
  <c r="H88" i="408"/>
  <c r="H83" i="396"/>
  <c r="I72" i="393"/>
  <c r="H163" i="392"/>
  <c r="C109" i="365"/>
  <c r="P109" i="365" s="1"/>
  <c r="H114" i="388"/>
  <c r="I44" i="388"/>
  <c r="H116" i="405"/>
  <c r="H141" i="404"/>
  <c r="H124" i="404"/>
  <c r="H41" i="404"/>
  <c r="I90" i="388"/>
  <c r="H10" i="388"/>
  <c r="H125" i="404"/>
  <c r="H109" i="404"/>
  <c r="H18" i="404"/>
  <c r="H65" i="403"/>
  <c r="H122" i="402"/>
  <c r="H111" i="403"/>
  <c r="I71" i="402"/>
  <c r="H34" i="402"/>
  <c r="H60" i="402"/>
  <c r="H84" i="402"/>
  <c r="H133" i="402"/>
  <c r="H100" i="402"/>
  <c r="H116" i="402"/>
  <c r="H132" i="402"/>
  <c r="H71" i="397"/>
  <c r="D164" i="395"/>
  <c r="I77" i="386"/>
  <c r="C77" i="386" s="1"/>
  <c r="P77" i="386" s="1"/>
  <c r="E50" i="386"/>
  <c r="I157" i="388"/>
  <c r="H123" i="388"/>
  <c r="I85" i="388"/>
  <c r="H136" i="388"/>
  <c r="H127" i="405"/>
  <c r="H95" i="405"/>
  <c r="H159" i="404"/>
  <c r="H136" i="404"/>
  <c r="H120" i="404"/>
  <c r="H104" i="404"/>
  <c r="H86" i="404"/>
  <c r="H59" i="404"/>
  <c r="I111" i="388"/>
  <c r="I69" i="388"/>
  <c r="H113" i="405"/>
  <c r="H96" i="405"/>
  <c r="H21" i="405"/>
  <c r="H137" i="404"/>
  <c r="H121" i="404"/>
  <c r="H105" i="404"/>
  <c r="H87" i="404"/>
  <c r="I71" i="404"/>
  <c r="H56" i="404"/>
  <c r="H118" i="403"/>
  <c r="H73" i="403"/>
  <c r="H60" i="403"/>
  <c r="H155" i="402"/>
  <c r="H106" i="403"/>
  <c r="H52" i="403"/>
  <c r="H115" i="402"/>
  <c r="H91" i="402"/>
  <c r="H59" i="402"/>
  <c r="H66" i="402"/>
  <c r="H87" i="402"/>
  <c r="H105" i="402"/>
  <c r="H121" i="402"/>
  <c r="H140" i="402"/>
  <c r="H104" i="402"/>
  <c r="H120" i="402"/>
  <c r="H129" i="398"/>
  <c r="H44" i="398"/>
  <c r="H55" i="397"/>
  <c r="H28" i="397"/>
  <c r="H99" i="403"/>
  <c r="H57" i="403"/>
  <c r="H95" i="403"/>
  <c r="H10" i="403"/>
  <c r="C76" i="398"/>
  <c r="C147" i="398" s="1"/>
  <c r="C33" i="365"/>
  <c r="P33" i="365" s="1"/>
  <c r="H134" i="388"/>
  <c r="H106" i="388"/>
  <c r="I99" i="388"/>
  <c r="H141" i="388"/>
  <c r="H108" i="405"/>
  <c r="H91" i="405"/>
  <c r="H73" i="405"/>
  <c r="H116" i="404"/>
  <c r="H100" i="404"/>
  <c r="H82" i="404"/>
  <c r="H53" i="404"/>
  <c r="H33" i="404"/>
  <c r="H121" i="388"/>
  <c r="I125" i="405"/>
  <c r="H117" i="404"/>
  <c r="I69" i="404"/>
  <c r="H42" i="404"/>
  <c r="H26" i="404"/>
  <c r="H162" i="403"/>
  <c r="H82" i="402"/>
  <c r="H57" i="402"/>
  <c r="H26" i="402"/>
  <c r="H42" i="402"/>
  <c r="H74" i="402"/>
  <c r="H94" i="402"/>
  <c r="H125" i="402"/>
  <c r="H157" i="402"/>
  <c r="I90" i="402"/>
  <c r="H108" i="402"/>
  <c r="H124" i="402"/>
  <c r="H142" i="402"/>
  <c r="H122" i="398"/>
  <c r="H114" i="397"/>
  <c r="C147" i="392"/>
  <c r="M50" i="386"/>
  <c r="M76" i="386" s="1"/>
  <c r="M80" i="386" s="1"/>
  <c r="I65" i="386"/>
  <c r="O34" i="365"/>
  <c r="H144" i="388"/>
  <c r="H110" i="388"/>
  <c r="H20" i="388"/>
  <c r="H120" i="405"/>
  <c r="H128" i="404"/>
  <c r="H112" i="404"/>
  <c r="H93" i="404"/>
  <c r="H45" i="404"/>
  <c r="H104" i="388"/>
  <c r="H156" i="404"/>
  <c r="H129" i="404"/>
  <c r="H113" i="404"/>
  <c r="H97" i="404"/>
  <c r="H79" i="404"/>
  <c r="H66" i="404"/>
  <c r="H38" i="404"/>
  <c r="H134" i="403"/>
  <c r="H102" i="403"/>
  <c r="H34" i="403"/>
  <c r="H127" i="402"/>
  <c r="H79" i="403"/>
  <c r="H31" i="403"/>
  <c r="H131" i="402"/>
  <c r="H79" i="402"/>
  <c r="I53" i="402"/>
  <c r="H20" i="402"/>
  <c r="H12" i="402"/>
  <c r="H80" i="402"/>
  <c r="H97" i="402"/>
  <c r="H129" i="402"/>
  <c r="H161" i="402"/>
  <c r="H128" i="402"/>
  <c r="H156" i="402"/>
  <c r="H129" i="397"/>
  <c r="H61" i="397"/>
  <c r="H91" i="403"/>
  <c r="H81" i="401"/>
  <c r="C48" i="389"/>
  <c r="I50" i="386"/>
  <c r="I76" i="386" s="1"/>
  <c r="H84" i="395"/>
  <c r="H119" i="395"/>
  <c r="D89" i="354"/>
  <c r="E89" i="354" s="1"/>
  <c r="C33" i="254"/>
  <c r="E33" i="254" s="1"/>
  <c r="H134" i="398"/>
  <c r="H109" i="398"/>
  <c r="C26" i="254"/>
  <c r="E26" i="254" s="1"/>
  <c r="I112" i="392"/>
  <c r="D33" i="354"/>
  <c r="E33" i="354" s="1"/>
  <c r="H95" i="394"/>
  <c r="H83" i="398"/>
  <c r="H81" i="402"/>
  <c r="H117" i="395"/>
  <c r="H80" i="408"/>
  <c r="C12" i="324"/>
  <c r="E12" i="324" s="1"/>
  <c r="C47" i="339"/>
  <c r="E47" i="339" s="1"/>
  <c r="H54" i="397"/>
  <c r="F150" i="387" a="1"/>
  <c r="F150" i="387" s="1"/>
  <c r="G150" i="387" s="1"/>
  <c r="H150" i="387" s="1"/>
  <c r="I118" i="325" s="1"/>
  <c r="F25" i="346" a="1"/>
  <c r="F25" i="346" s="1"/>
  <c r="F27" i="346" s="1"/>
  <c r="F33" i="346" a="1"/>
  <c r="F33" i="346" s="1"/>
  <c r="G33" i="346" s="1"/>
  <c r="F41" i="346" a="1"/>
  <c r="F41" i="346" s="1"/>
  <c r="F43" i="346" s="1"/>
  <c r="F73" i="346" a="1"/>
  <c r="F73" i="346" s="1"/>
  <c r="G73" i="346" s="1"/>
  <c r="F105" i="346" a="1"/>
  <c r="F105" i="346" s="1"/>
  <c r="F107" i="346" s="1"/>
  <c r="H99" i="388"/>
  <c r="I53" i="404"/>
  <c r="H125" i="405"/>
  <c r="H69" i="404"/>
  <c r="F32" i="404"/>
  <c r="F139" i="404"/>
  <c r="H53" i="402"/>
  <c r="H63" i="405"/>
  <c r="H23" i="405"/>
  <c r="F36" i="405"/>
  <c r="F11" i="402"/>
  <c r="F9" i="402" s="1"/>
  <c r="F139" i="397"/>
  <c r="F78" i="398"/>
  <c r="F77" i="398" s="1"/>
  <c r="F36" i="403"/>
  <c r="F164" i="402"/>
  <c r="F32" i="402"/>
  <c r="F78" i="402"/>
  <c r="F77" i="402" s="1"/>
  <c r="F36" i="394"/>
  <c r="F29" i="403"/>
  <c r="F27" i="403" s="1"/>
  <c r="F32" i="403"/>
  <c r="F51" i="388"/>
  <c r="F50" i="388" s="1"/>
  <c r="D35" i="418"/>
  <c r="F144" i="388"/>
  <c r="D31" i="413"/>
  <c r="D16" i="413"/>
  <c r="F36" i="404"/>
  <c r="F164" i="404"/>
  <c r="F164" i="394"/>
  <c r="H71" i="404"/>
  <c r="H67" i="405"/>
  <c r="F51" i="404"/>
  <c r="F50" i="404" s="1"/>
  <c r="F164" i="388"/>
  <c r="H156" i="405"/>
  <c r="H112" i="388"/>
  <c r="D28" i="413"/>
  <c r="D26" i="413" s="1"/>
  <c r="E31" i="418"/>
  <c r="D47" i="418"/>
  <c r="G142" i="405"/>
  <c r="H142" i="405" s="1"/>
  <c r="I61" i="405"/>
  <c r="F139" i="403"/>
  <c r="G29" i="403"/>
  <c r="H29" i="403" s="1"/>
  <c r="G32" i="403"/>
  <c r="H32" i="403" s="1"/>
  <c r="F51" i="403"/>
  <c r="F50" i="403" s="1"/>
  <c r="F78" i="404"/>
  <c r="F77" i="404" s="1"/>
  <c r="F51" i="394"/>
  <c r="F50" i="394" s="1"/>
  <c r="F21" i="405"/>
  <c r="F19" i="405" s="1"/>
  <c r="F24" i="405" s="1"/>
  <c r="I53" i="405"/>
  <c r="F51" i="398"/>
  <c r="F50" i="398" s="1"/>
  <c r="F78" i="403"/>
  <c r="F77" i="403" s="1"/>
  <c r="F78" i="397"/>
  <c r="F77" i="397" s="1"/>
  <c r="I156" i="404"/>
  <c r="F19" i="402"/>
  <c r="I69" i="405"/>
  <c r="G22" i="404"/>
  <c r="H22" i="404" s="1"/>
  <c r="F139" i="394"/>
  <c r="G30" i="404"/>
  <c r="H30" i="404" s="1"/>
  <c r="F27" i="398"/>
  <c r="E28" i="413"/>
  <c r="I55" i="388"/>
  <c r="D16" i="418"/>
  <c r="D74" i="418"/>
  <c r="D138" i="418" s="1"/>
  <c r="H85" i="388"/>
  <c r="F139" i="388"/>
  <c r="G139" i="388"/>
  <c r="I139" i="388" s="1"/>
  <c r="F78" i="405"/>
  <c r="F77" i="405" s="1"/>
  <c r="F76" i="405" s="1"/>
  <c r="F164" i="405"/>
  <c r="I71" i="405"/>
  <c r="E16" i="413"/>
  <c r="D35" i="413"/>
  <c r="E12" i="413"/>
  <c r="E10" i="413" s="1"/>
  <c r="E31" i="413"/>
  <c r="H90" i="401"/>
  <c r="F78" i="388"/>
  <c r="F77" i="388" s="1"/>
  <c r="D47" i="413"/>
  <c r="D74" i="413"/>
  <c r="E35" i="418"/>
  <c r="E47" i="418"/>
  <c r="G145" i="404"/>
  <c r="G144" i="404" s="1"/>
  <c r="H144" i="404" s="1"/>
  <c r="E35" i="413"/>
  <c r="U20" i="348"/>
  <c r="E30" i="416"/>
  <c r="E28" i="416" s="1"/>
  <c r="E26" i="416" s="1"/>
  <c r="D28" i="412"/>
  <c r="D26" i="412" s="1"/>
  <c r="G144" i="395"/>
  <c r="H144" i="395" s="1"/>
  <c r="G144" i="360"/>
  <c r="H144" i="360" s="1"/>
  <c r="I52" i="404"/>
  <c r="G15" i="389"/>
  <c r="I72" i="388"/>
  <c r="H160" i="389"/>
  <c r="H99" i="392"/>
  <c r="H29" i="396"/>
  <c r="H175" i="392"/>
  <c r="I62" i="395"/>
  <c r="H63" i="395"/>
  <c r="G139" i="397"/>
  <c r="H139" i="397" s="1"/>
  <c r="D22" i="417"/>
  <c r="D20" i="417" s="1"/>
  <c r="I63" i="407"/>
  <c r="I51" i="360"/>
  <c r="H67" i="393"/>
  <c r="I156" i="393"/>
  <c r="I29" i="396"/>
  <c r="I140" i="404"/>
  <c r="H70" i="407"/>
  <c r="G15" i="392"/>
  <c r="H15" i="392" s="1"/>
  <c r="I89" i="394"/>
  <c r="H145" i="397"/>
  <c r="H22" i="392"/>
  <c r="I96" i="404"/>
  <c r="H111" i="396"/>
  <c r="I70" i="392"/>
  <c r="D47" i="416"/>
  <c r="H55" i="394"/>
  <c r="E19" i="339"/>
  <c r="E76" i="392"/>
  <c r="E147" i="392" s="1"/>
  <c r="E165" i="392" s="1"/>
  <c r="E178" i="392" s="1"/>
  <c r="V63" i="347"/>
  <c r="V35" i="347"/>
  <c r="H27" i="396"/>
  <c r="I36" i="360"/>
  <c r="F76" i="407"/>
  <c r="F147" i="407" s="1"/>
  <c r="F165" i="407" s="1"/>
  <c r="F178" i="407" s="1"/>
  <c r="G139" i="404"/>
  <c r="I139" i="404" s="1"/>
  <c r="H68" i="392"/>
  <c r="G177" i="393"/>
  <c r="H177" i="393" s="1"/>
  <c r="H62" i="408"/>
  <c r="U12" i="348"/>
  <c r="I140" i="399"/>
  <c r="G144" i="405"/>
  <c r="H144" i="405" s="1"/>
  <c r="I62" i="392"/>
  <c r="I52" i="407"/>
  <c r="G32" i="402"/>
  <c r="H32" i="402" s="1"/>
  <c r="I86" i="399"/>
  <c r="L98" i="348"/>
  <c r="L99" i="348" s="1"/>
  <c r="G29" i="405"/>
  <c r="H29" i="405" s="1"/>
  <c r="I125" i="399"/>
  <c r="H90" i="394"/>
  <c r="H33" i="360"/>
  <c r="H125" i="401"/>
  <c r="I70" i="402"/>
  <c r="F113" i="347"/>
  <c r="H112" i="407"/>
  <c r="H69" i="402"/>
  <c r="I88" i="399"/>
  <c r="E47" i="413"/>
  <c r="E76" i="389"/>
  <c r="E147" i="389" s="1"/>
  <c r="E165" i="389" s="1"/>
  <c r="E178" i="389" s="1"/>
  <c r="G98" i="348"/>
  <c r="G99" i="348" s="1"/>
  <c r="H140" i="389"/>
  <c r="G15" i="397"/>
  <c r="H15" i="397" s="1"/>
  <c r="G29" i="397"/>
  <c r="G27" i="397" s="1"/>
  <c r="H27" i="397" s="1"/>
  <c r="H86" i="395"/>
  <c r="I53" i="397"/>
  <c r="I90" i="392"/>
  <c r="H175" i="404"/>
  <c r="I94" i="396"/>
  <c r="I125" i="396"/>
  <c r="H175" i="403"/>
  <c r="H140" i="392"/>
  <c r="F47" i="399"/>
  <c r="I120" i="407"/>
  <c r="H156" i="407"/>
  <c r="I68" i="408"/>
  <c r="H158" i="401"/>
  <c r="I111" i="395"/>
  <c r="I94" i="395"/>
  <c r="H56" i="388"/>
  <c r="E144" i="402"/>
  <c r="G145" i="402"/>
  <c r="G144" i="402" s="1"/>
  <c r="H70" i="405"/>
  <c r="H12" i="395"/>
  <c r="H125" i="407"/>
  <c r="G29" i="360"/>
  <c r="H29" i="360" s="1"/>
  <c r="I86" i="408"/>
  <c r="I52" i="396"/>
  <c r="F76" i="389"/>
  <c r="F147" i="389" s="1"/>
  <c r="F165" i="389" s="1"/>
  <c r="F178" i="389" s="1"/>
  <c r="E68" i="354"/>
  <c r="U78" i="348"/>
  <c r="I44" i="401"/>
  <c r="E47" i="392"/>
  <c r="G15" i="407"/>
  <c r="I118" i="407"/>
  <c r="H140" i="407"/>
  <c r="H58" i="396"/>
  <c r="H72" i="404"/>
  <c r="G164" i="360"/>
  <c r="H164" i="360" s="1"/>
  <c r="F98" i="348"/>
  <c r="F99" i="348" s="1"/>
  <c r="U82" i="348"/>
  <c r="G58" i="401"/>
  <c r="G51" i="401" s="1"/>
  <c r="I51" i="401" s="1"/>
  <c r="F51" i="401"/>
  <c r="F50" i="401" s="1"/>
  <c r="F177" i="394"/>
  <c r="G175" i="394"/>
  <c r="H175" i="394" s="1"/>
  <c r="T96" i="348"/>
  <c r="U96" i="348" s="1"/>
  <c r="Q97" i="348"/>
  <c r="Q98" i="348" s="1"/>
  <c r="F78" i="394"/>
  <c r="F77" i="394" s="1"/>
  <c r="G112" i="394"/>
  <c r="H112" i="394" s="1"/>
  <c r="G51" i="402"/>
  <c r="G50" i="402" s="1"/>
  <c r="I50" i="402" s="1"/>
  <c r="I55" i="398"/>
  <c r="G177" i="405"/>
  <c r="H177" i="405" s="1"/>
  <c r="I61" i="389"/>
  <c r="H96" i="388"/>
  <c r="H18" i="408"/>
  <c r="I158" i="399"/>
  <c r="H145" i="408"/>
  <c r="E76" i="401"/>
  <c r="E147" i="401" s="1"/>
  <c r="E24" i="398"/>
  <c r="G21" i="408"/>
  <c r="H21" i="408" s="1"/>
  <c r="G139" i="398"/>
  <c r="H139" i="398" s="1"/>
  <c r="V89" i="347"/>
  <c r="U52" i="348"/>
  <c r="U41" i="348"/>
  <c r="V65" i="347"/>
  <c r="U81" i="348"/>
  <c r="V47" i="347"/>
  <c r="V40" i="347"/>
  <c r="U44" i="348"/>
  <c r="V29" i="347"/>
  <c r="F76" i="393"/>
  <c r="F147" i="393" s="1"/>
  <c r="F165" i="393" s="1"/>
  <c r="F178" i="393" s="1"/>
  <c r="G139" i="407"/>
  <c r="I139" i="407" s="1"/>
  <c r="H70" i="395"/>
  <c r="I162" i="395"/>
  <c r="I40" i="388"/>
  <c r="C138" i="413"/>
  <c r="G177" i="399"/>
  <c r="I177" i="399" s="1"/>
  <c r="H44" i="408"/>
  <c r="H145" i="398"/>
  <c r="I156" i="398"/>
  <c r="H69" i="398"/>
  <c r="E76" i="393"/>
  <c r="E147" i="393" s="1"/>
  <c r="E165" i="393" s="1"/>
  <c r="E178" i="393" s="1"/>
  <c r="F24" i="360"/>
  <c r="D74" i="416"/>
  <c r="G27" i="407"/>
  <c r="H27" i="407" s="1"/>
  <c r="H84" i="388"/>
  <c r="H37" i="388"/>
  <c r="G177" i="395"/>
  <c r="H177" i="395" s="1"/>
  <c r="H30" i="407"/>
  <c r="D12" i="417"/>
  <c r="D10" i="417" s="1"/>
  <c r="H62" i="402"/>
  <c r="E51" i="404"/>
  <c r="E50" i="404" s="1"/>
  <c r="E78" i="388"/>
  <c r="E77" i="388" s="1"/>
  <c r="E76" i="388" s="1"/>
  <c r="E147" i="388" s="1"/>
  <c r="E165" i="388" s="1"/>
  <c r="E35" i="416"/>
  <c r="E29" i="412"/>
  <c r="E28" i="412" s="1"/>
  <c r="E26" i="412" s="1"/>
  <c r="H72" i="407"/>
  <c r="I16" i="407"/>
  <c r="H72" i="395"/>
  <c r="H22" i="394"/>
  <c r="G21" i="388"/>
  <c r="G19" i="388" s="1"/>
  <c r="H19" i="388" s="1"/>
  <c r="F47" i="396"/>
  <c r="G32" i="397"/>
  <c r="H32" i="397" s="1"/>
  <c r="H62" i="393"/>
  <c r="H72" i="399"/>
  <c r="G139" i="394"/>
  <c r="H139" i="394" s="1"/>
  <c r="H79" i="399"/>
  <c r="H125" i="389"/>
  <c r="H160" i="407"/>
  <c r="I94" i="401"/>
  <c r="H67" i="404"/>
  <c r="H98" i="388"/>
  <c r="H86" i="396"/>
  <c r="H90" i="398"/>
  <c r="H89" i="396"/>
  <c r="I69" i="407"/>
  <c r="R111" i="347"/>
  <c r="R113" i="347" s="1"/>
  <c r="H63" i="389"/>
  <c r="H95" i="392"/>
  <c r="H175" i="389"/>
  <c r="I71" i="395"/>
  <c r="I72" i="396"/>
  <c r="E24" i="408"/>
  <c r="U61" i="348"/>
  <c r="U9" i="348"/>
  <c r="V72" i="347"/>
  <c r="G135" i="388"/>
  <c r="H135" i="388" s="1"/>
  <c r="G60" i="404"/>
  <c r="H60" i="404" s="1"/>
  <c r="I82" i="388"/>
  <c r="H19" i="345"/>
  <c r="G11" i="405"/>
  <c r="G9" i="405" s="1"/>
  <c r="I156" i="392"/>
  <c r="G51" i="399"/>
  <c r="I51" i="399" s="1"/>
  <c r="H162" i="407"/>
  <c r="H68" i="393"/>
  <c r="G19" i="401"/>
  <c r="H19" i="401" s="1"/>
  <c r="H140" i="394"/>
  <c r="H118" i="393"/>
  <c r="H89" i="399"/>
  <c r="U84" i="348"/>
  <c r="F76" i="395"/>
  <c r="F147" i="395" s="1"/>
  <c r="F165" i="395" s="1"/>
  <c r="G144" i="399"/>
  <c r="H144" i="399" s="1"/>
  <c r="I69" i="399"/>
  <c r="I88" i="407"/>
  <c r="I89" i="388"/>
  <c r="I67" i="407"/>
  <c r="H69" i="394"/>
  <c r="G11" i="402"/>
  <c r="G9" i="402" s="1"/>
  <c r="H9" i="402" s="1"/>
  <c r="H35" i="404"/>
  <c r="E47" i="399"/>
  <c r="U94" i="348"/>
  <c r="U50" i="348"/>
  <c r="U63" i="348"/>
  <c r="U89" i="348"/>
  <c r="U31" i="348"/>
  <c r="E47" i="417"/>
  <c r="H17" i="395"/>
  <c r="G15" i="395"/>
  <c r="H15" i="395" s="1"/>
  <c r="H158" i="389"/>
  <c r="I158" i="389"/>
  <c r="H26" i="388"/>
  <c r="I158" i="397"/>
  <c r="I94" i="398"/>
  <c r="H56" i="405"/>
  <c r="H141" i="398"/>
  <c r="I86" i="398"/>
  <c r="H22" i="397"/>
  <c r="E33" i="416"/>
  <c r="E31" i="416" s="1"/>
  <c r="H44" i="395"/>
  <c r="I55" i="393"/>
  <c r="I112" i="401"/>
  <c r="H124" i="388"/>
  <c r="C138" i="418"/>
  <c r="I53" i="395"/>
  <c r="H53" i="395"/>
  <c r="H111" i="392"/>
  <c r="I111" i="392"/>
  <c r="H26" i="389"/>
  <c r="I26" i="389"/>
  <c r="G29" i="399"/>
  <c r="H29" i="399" s="1"/>
  <c r="D35" i="416"/>
  <c r="G29" i="394"/>
  <c r="H29" i="394" s="1"/>
  <c r="H68" i="388"/>
  <c r="G32" i="407"/>
  <c r="H32" i="407" s="1"/>
  <c r="I65" i="388"/>
  <c r="D35" i="417"/>
  <c r="H71" i="394"/>
  <c r="U14" i="348"/>
  <c r="H90" i="396"/>
  <c r="H95" i="399"/>
  <c r="H70" i="404"/>
  <c r="I61" i="402"/>
  <c r="H61" i="402"/>
  <c r="I68" i="402"/>
  <c r="H68" i="402"/>
  <c r="H58" i="398"/>
  <c r="I58" i="398"/>
  <c r="V49" i="347"/>
  <c r="I16" i="360"/>
  <c r="G19" i="405"/>
  <c r="H19" i="405" s="1"/>
  <c r="D47" i="417"/>
  <c r="G29" i="408"/>
  <c r="G27" i="408" s="1"/>
  <c r="H27" i="408" s="1"/>
  <c r="U68" i="348"/>
  <c r="I52" i="401"/>
  <c r="I52" i="393"/>
  <c r="I86" i="407"/>
  <c r="H90" i="408"/>
  <c r="G144" i="389"/>
  <c r="I145" i="389"/>
  <c r="I71" i="398"/>
  <c r="H71" i="398"/>
  <c r="H62" i="399"/>
  <c r="I62" i="399"/>
  <c r="V48" i="347"/>
  <c r="E76" i="404"/>
  <c r="E47" i="405"/>
  <c r="E47" i="388"/>
  <c r="E24" i="397"/>
  <c r="M98" i="348"/>
  <c r="M99" i="348" s="1"/>
  <c r="U37" i="348"/>
  <c r="E111" i="347"/>
  <c r="E112" i="347" s="1"/>
  <c r="H111" i="347"/>
  <c r="H112" i="347" s="1"/>
  <c r="D118" i="406"/>
  <c r="E118" i="406" s="1"/>
  <c r="U49" i="348"/>
  <c r="U21" i="348"/>
  <c r="T32" i="348"/>
  <c r="V104" i="347"/>
  <c r="V102" i="347"/>
  <c r="V98" i="347"/>
  <c r="V96" i="347"/>
  <c r="V94" i="347"/>
  <c r="K98" i="348"/>
  <c r="K100" i="348" s="1"/>
  <c r="I111" i="347"/>
  <c r="I113" i="347" s="1"/>
  <c r="V92" i="347"/>
  <c r="U88" i="348"/>
  <c r="U24" i="348"/>
  <c r="V51" i="347"/>
  <c r="U95" i="348"/>
  <c r="U23" i="348"/>
  <c r="U18" i="348"/>
  <c r="V46" i="347"/>
  <c r="V44" i="347"/>
  <c r="U30" i="348"/>
  <c r="V32" i="347"/>
  <c r="V25" i="347"/>
  <c r="V86" i="347"/>
  <c r="V81" i="347"/>
  <c r="V19" i="347"/>
  <c r="U22" i="348"/>
  <c r="V16" i="347"/>
  <c r="V12" i="347"/>
  <c r="D26" i="416"/>
  <c r="E28" i="417"/>
  <c r="E26" i="417" s="1"/>
  <c r="U100" i="347"/>
  <c r="V100" i="347" s="1"/>
  <c r="T51" i="348"/>
  <c r="U51" i="348" s="1"/>
  <c r="I77" i="348"/>
  <c r="U77" i="348" s="1"/>
  <c r="T83" i="348"/>
  <c r="U83" i="348" s="1"/>
  <c r="E22" i="417"/>
  <c r="E20" i="417" s="1"/>
  <c r="M111" i="347"/>
  <c r="M113" i="347" s="1"/>
  <c r="E76" i="405"/>
  <c r="E147" i="405" s="1"/>
  <c r="E165" i="405" s="1"/>
  <c r="E47" i="407"/>
  <c r="E24" i="393"/>
  <c r="E76" i="396"/>
  <c r="E147" i="396" s="1"/>
  <c r="E165" i="396" s="1"/>
  <c r="E178" i="396" s="1"/>
  <c r="E24" i="405"/>
  <c r="E24" i="392"/>
  <c r="E47" i="408"/>
  <c r="E24" i="360"/>
  <c r="U91" i="348"/>
  <c r="E47" i="360"/>
  <c r="U42" i="348"/>
  <c r="U25" i="348"/>
  <c r="U69" i="348"/>
  <c r="U39" i="348"/>
  <c r="V50" i="347"/>
  <c r="V66" i="347"/>
  <c r="V53" i="347"/>
  <c r="U53" i="348"/>
  <c r="J110" i="347"/>
  <c r="U15" i="348"/>
  <c r="V42" i="347"/>
  <c r="V56" i="347"/>
  <c r="V31" i="347"/>
  <c r="V26" i="347"/>
  <c r="V24" i="347"/>
  <c r="V58" i="347"/>
  <c r="V87" i="347"/>
  <c r="V73" i="347"/>
  <c r="V71" i="347"/>
  <c r="V21" i="347"/>
  <c r="V17" i="347"/>
  <c r="V14" i="347"/>
  <c r="V13" i="347"/>
  <c r="V10" i="347"/>
  <c r="E12" i="417"/>
  <c r="E10" i="417" s="1"/>
  <c r="E12" i="412"/>
  <c r="J97" i="348"/>
  <c r="J98" i="348" s="1"/>
  <c r="J100" i="348" s="1"/>
  <c r="G19" i="392"/>
  <c r="E47" i="416"/>
  <c r="H158" i="392"/>
  <c r="I158" i="392"/>
  <c r="H55" i="402"/>
  <c r="I55" i="402"/>
  <c r="V97" i="347"/>
  <c r="G77" i="360"/>
  <c r="G76" i="360" s="1"/>
  <c r="E47" i="389"/>
  <c r="F76" i="408"/>
  <c r="F147" i="408" s="1"/>
  <c r="F165" i="408" s="1"/>
  <c r="F178" i="408" s="1"/>
  <c r="H56" i="407"/>
  <c r="G51" i="389"/>
  <c r="G50" i="389" s="1"/>
  <c r="I89" i="398"/>
  <c r="G21" i="395"/>
  <c r="H71" i="396"/>
  <c r="H70" i="399"/>
  <c r="G177" i="389"/>
  <c r="H177" i="389" s="1"/>
  <c r="H86" i="394"/>
  <c r="H55" i="407"/>
  <c r="G19" i="394"/>
  <c r="H19" i="394" s="1"/>
  <c r="H63" i="401"/>
  <c r="G11" i="360"/>
  <c r="H12" i="360"/>
  <c r="U36" i="348"/>
  <c r="V9" i="347"/>
  <c r="V22" i="347"/>
  <c r="U67" i="348"/>
  <c r="V93" i="347"/>
  <c r="I118" i="395"/>
  <c r="H118" i="395"/>
  <c r="V69" i="347"/>
  <c r="E33" i="417"/>
  <c r="D31" i="417"/>
  <c r="G32" i="399"/>
  <c r="H32" i="399" s="1"/>
  <c r="H37" i="389"/>
  <c r="I37" i="389"/>
  <c r="I156" i="399"/>
  <c r="H156" i="399"/>
  <c r="H162" i="408"/>
  <c r="I162" i="408"/>
  <c r="U28" i="348"/>
  <c r="U73" i="348"/>
  <c r="V60" i="347"/>
  <c r="V55" i="347"/>
  <c r="V90" i="347"/>
  <c r="O61" i="347"/>
  <c r="V108" i="347"/>
  <c r="U85" i="348"/>
  <c r="U56" i="348"/>
  <c r="V28" i="347"/>
  <c r="V107" i="347"/>
  <c r="V88" i="347"/>
  <c r="V77" i="347"/>
  <c r="V68" i="347"/>
  <c r="D47" i="410"/>
  <c r="E47" i="410" s="1"/>
  <c r="V20" i="347"/>
  <c r="V18" i="347"/>
  <c r="V15" i="347"/>
  <c r="H14" i="402"/>
  <c r="I62" i="388"/>
  <c r="H141" i="395"/>
  <c r="G139" i="389"/>
  <c r="H17" i="404"/>
  <c r="I17" i="404"/>
  <c r="H71" i="399"/>
  <c r="I71" i="399"/>
  <c r="I65" i="393"/>
  <c r="H65" i="393"/>
  <c r="U46" i="348"/>
  <c r="U17" i="348"/>
  <c r="U65" i="348"/>
  <c r="V59" i="347"/>
  <c r="G21" i="393"/>
  <c r="G19" i="393" s="1"/>
  <c r="I26" i="392"/>
  <c r="G32" i="398"/>
  <c r="H32" i="398" s="1"/>
  <c r="D12" i="412"/>
  <c r="D10" i="412" s="1"/>
  <c r="E35" i="412"/>
  <c r="D28" i="417"/>
  <c r="D26" i="417" s="1"/>
  <c r="I158" i="395"/>
  <c r="I52" i="405"/>
  <c r="G29" i="392"/>
  <c r="G27" i="392" s="1"/>
  <c r="H27" i="392" s="1"/>
  <c r="G177" i="392"/>
  <c r="H177" i="392" s="1"/>
  <c r="H162" i="394"/>
  <c r="R98" i="348"/>
  <c r="R99" i="348" s="1"/>
  <c r="H72" i="405"/>
  <c r="E24" i="416"/>
  <c r="E22" i="416" s="1"/>
  <c r="E20" i="416" s="1"/>
  <c r="I160" i="388"/>
  <c r="G15" i="399"/>
  <c r="H15" i="399" s="1"/>
  <c r="H175" i="393"/>
  <c r="E76" i="395"/>
  <c r="E147" i="395" s="1"/>
  <c r="E165" i="395" s="1"/>
  <c r="E178" i="395" s="1"/>
  <c r="G139" i="399"/>
  <c r="I139" i="399" s="1"/>
  <c r="H79" i="389"/>
  <c r="H143" i="389"/>
  <c r="I67" i="389"/>
  <c r="E75" i="354"/>
  <c r="E75" i="339"/>
  <c r="G144" i="393"/>
  <c r="H144" i="393" s="1"/>
  <c r="H145" i="393"/>
  <c r="G32" i="389"/>
  <c r="H32" i="389" s="1"/>
  <c r="E47" i="398"/>
  <c r="F47" i="360"/>
  <c r="F24" i="394"/>
  <c r="H89" i="392"/>
  <c r="I89" i="392"/>
  <c r="H156" i="388"/>
  <c r="I156" i="388"/>
  <c r="H140" i="398"/>
  <c r="I140" i="398"/>
  <c r="I55" i="396"/>
  <c r="H55" i="396"/>
  <c r="U60" i="348"/>
  <c r="U54" i="348"/>
  <c r="U45" i="348"/>
  <c r="E98" i="348"/>
  <c r="E100" i="348" s="1"/>
  <c r="U55" i="348"/>
  <c r="U47" i="348"/>
  <c r="U34" i="348"/>
  <c r="V85" i="347"/>
  <c r="V75" i="347"/>
  <c r="V67" i="347"/>
  <c r="K111" i="347"/>
  <c r="V38" i="347"/>
  <c r="V34" i="347"/>
  <c r="U74" i="348"/>
  <c r="U62" i="348"/>
  <c r="V109" i="347"/>
  <c r="U79" i="348"/>
  <c r="U66" i="348"/>
  <c r="G13" i="392"/>
  <c r="H13" i="392" s="1"/>
  <c r="T72" i="348"/>
  <c r="U72" i="348" s="1"/>
  <c r="E164" i="394"/>
  <c r="E36" i="395"/>
  <c r="E47" i="395" s="1"/>
  <c r="F24" i="408"/>
  <c r="D12" i="413"/>
  <c r="D10" i="413" s="1"/>
  <c r="E75" i="254"/>
  <c r="C138" i="417"/>
  <c r="G32" i="393"/>
  <c r="H32" i="393" s="1"/>
  <c r="U16" i="348"/>
  <c r="V57" i="347"/>
  <c r="U40" i="348"/>
  <c r="S111" i="347"/>
  <c r="S112" i="347" s="1"/>
  <c r="G32" i="395"/>
  <c r="H32" i="395" s="1"/>
  <c r="H33" i="395"/>
  <c r="G164" i="399"/>
  <c r="H164" i="399" s="1"/>
  <c r="H157" i="399"/>
  <c r="H14" i="398"/>
  <c r="G11" i="398"/>
  <c r="G21" i="360"/>
  <c r="H23" i="360"/>
  <c r="H17" i="394"/>
  <c r="I17" i="394"/>
  <c r="G15" i="394"/>
  <c r="I15" i="394" s="1"/>
  <c r="G27" i="389"/>
  <c r="I29" i="389"/>
  <c r="F47" i="392"/>
  <c r="H22" i="396"/>
  <c r="G21" i="396"/>
  <c r="H21" i="396" s="1"/>
  <c r="I89" i="408"/>
  <c r="H89" i="408"/>
  <c r="H34" i="408"/>
  <c r="G32" i="408"/>
  <c r="H32" i="408" s="1"/>
  <c r="G144" i="396"/>
  <c r="H144" i="396" s="1"/>
  <c r="H145" i="396"/>
  <c r="G177" i="398"/>
  <c r="H177" i="398" s="1"/>
  <c r="I175" i="398"/>
  <c r="H175" i="398"/>
  <c r="G144" i="401"/>
  <c r="H144" i="401" s="1"/>
  <c r="H145" i="401"/>
  <c r="H162" i="401"/>
  <c r="I162" i="401"/>
  <c r="G164" i="401"/>
  <c r="I67" i="402"/>
  <c r="H67" i="402"/>
  <c r="H22" i="399"/>
  <c r="G21" i="399"/>
  <c r="H62" i="407"/>
  <c r="I62" i="407"/>
  <c r="I70" i="398"/>
  <c r="H70" i="398"/>
  <c r="H85" i="408"/>
  <c r="G78" i="408"/>
  <c r="H86" i="402"/>
  <c r="I86" i="402"/>
  <c r="H67" i="394"/>
  <c r="I67" i="394"/>
  <c r="H38" i="399"/>
  <c r="G36" i="399"/>
  <c r="H36" i="399" s="1"/>
  <c r="I58" i="399"/>
  <c r="H58" i="399"/>
  <c r="H33" i="405"/>
  <c r="G32" i="405"/>
  <c r="H32" i="405" s="1"/>
  <c r="H60" i="407"/>
  <c r="G51" i="407"/>
  <c r="G50" i="407" s="1"/>
  <c r="H72" i="392"/>
  <c r="I72" i="392"/>
  <c r="I56" i="408"/>
  <c r="H56" i="408"/>
  <c r="H40" i="407"/>
  <c r="G36" i="407"/>
  <c r="I65" i="407"/>
  <c r="H65" i="407"/>
  <c r="H140" i="396"/>
  <c r="G139" i="396"/>
  <c r="H139" i="396" s="1"/>
  <c r="H70" i="388"/>
  <c r="I70" i="388"/>
  <c r="G177" i="407"/>
  <c r="I175" i="407"/>
  <c r="H175" i="407"/>
  <c r="H14" i="397"/>
  <c r="G11" i="397"/>
  <c r="H11" i="397" s="1"/>
  <c r="H61" i="407"/>
  <c r="I61" i="407"/>
  <c r="G11" i="393"/>
  <c r="H11" i="393" s="1"/>
  <c r="H12" i="393"/>
  <c r="G36" i="396"/>
  <c r="H36" i="396" s="1"/>
  <c r="H37" i="396"/>
  <c r="H82" i="399"/>
  <c r="I82" i="399"/>
  <c r="I83" i="389"/>
  <c r="H83" i="389"/>
  <c r="H23" i="407"/>
  <c r="G21" i="407"/>
  <c r="H39" i="388"/>
  <c r="G36" i="388"/>
  <c r="H12" i="389"/>
  <c r="G11" i="389"/>
  <c r="I11" i="389" s="1"/>
  <c r="H44" i="405"/>
  <c r="I44" i="405"/>
  <c r="H125" i="398"/>
  <c r="I125" i="398"/>
  <c r="H156" i="403"/>
  <c r="G164" i="403"/>
  <c r="H12" i="399"/>
  <c r="G11" i="399"/>
  <c r="C45" i="418"/>
  <c r="H44" i="407"/>
  <c r="I44" i="407"/>
  <c r="I68" i="399"/>
  <c r="H68" i="399"/>
  <c r="G11" i="396"/>
  <c r="H14" i="396"/>
  <c r="G164" i="389"/>
  <c r="H157" i="389"/>
  <c r="I89" i="401"/>
  <c r="H89" i="401"/>
  <c r="H67" i="388"/>
  <c r="I67" i="388"/>
  <c r="H54" i="404"/>
  <c r="H67" i="392"/>
  <c r="I67" i="392"/>
  <c r="I72" i="398"/>
  <c r="H72" i="398"/>
  <c r="I158" i="407"/>
  <c r="H158" i="407"/>
  <c r="H16" i="405"/>
  <c r="G15" i="405"/>
  <c r="H15" i="405" s="1"/>
  <c r="H79" i="396"/>
  <c r="G78" i="396"/>
  <c r="H37" i="408"/>
  <c r="G36" i="408"/>
  <c r="H36" i="408" s="1"/>
  <c r="H37" i="392"/>
  <c r="G36" i="392"/>
  <c r="G11" i="394"/>
  <c r="H11" i="394" s="1"/>
  <c r="H13" i="394"/>
  <c r="I156" i="408"/>
  <c r="G164" i="408"/>
  <c r="H37" i="398"/>
  <c r="E47" i="397"/>
  <c r="E47" i="396"/>
  <c r="I68" i="407"/>
  <c r="H68" i="407"/>
  <c r="E24" i="407"/>
  <c r="N97" i="348"/>
  <c r="O36" i="347"/>
  <c r="U93" i="348"/>
  <c r="U35" i="348"/>
  <c r="I57" i="348"/>
  <c r="V54" i="347"/>
  <c r="H38" i="401"/>
  <c r="G36" i="401"/>
  <c r="I36" i="401" s="1"/>
  <c r="U70" i="348"/>
  <c r="U10" i="348"/>
  <c r="N32" i="348"/>
  <c r="U61" i="347"/>
  <c r="U48" i="348"/>
  <c r="J36" i="347"/>
  <c r="G78" i="399"/>
  <c r="I78" i="399" s="1"/>
  <c r="G36" i="394"/>
  <c r="H36" i="394" s="1"/>
  <c r="G164" i="397"/>
  <c r="H164" i="397" s="1"/>
  <c r="H31" i="389"/>
  <c r="H94" i="407"/>
  <c r="G32" i="388"/>
  <c r="H32" i="388" s="1"/>
  <c r="I156" i="403"/>
  <c r="E12" i="354"/>
  <c r="H95" i="389"/>
  <c r="H125" i="395"/>
  <c r="H175" i="396"/>
  <c r="G177" i="396"/>
  <c r="H177" i="396" s="1"/>
  <c r="G177" i="360"/>
  <c r="H177" i="360" s="1"/>
  <c r="H175" i="360"/>
  <c r="E76" i="407"/>
  <c r="E147" i="407" s="1"/>
  <c r="E165" i="407" s="1"/>
  <c r="E178" i="407" s="1"/>
  <c r="U26" i="348"/>
  <c r="E76" i="403"/>
  <c r="E147" i="403" s="1"/>
  <c r="E165" i="403" s="1"/>
  <c r="F76" i="396"/>
  <c r="F147" i="396" s="1"/>
  <c r="F165" i="396" s="1"/>
  <c r="F178" i="396" s="1"/>
  <c r="G164" i="407"/>
  <c r="H164" i="407" s="1"/>
  <c r="G164" i="392"/>
  <c r="I157" i="399"/>
  <c r="I12" i="392"/>
  <c r="G164" i="396"/>
  <c r="I160" i="392"/>
  <c r="G139" i="401"/>
  <c r="H139" i="401" s="1"/>
  <c r="I12" i="389"/>
  <c r="T111" i="347"/>
  <c r="T112" i="347" s="1"/>
  <c r="H157" i="398"/>
  <c r="V41" i="347"/>
  <c r="U59" i="348"/>
  <c r="U43" i="348"/>
  <c r="U36" i="347"/>
  <c r="L111" i="347"/>
  <c r="L113" i="347" s="1"/>
  <c r="D118" i="410"/>
  <c r="E118" i="410" s="1"/>
  <c r="V30" i="347"/>
  <c r="U29" i="348"/>
  <c r="U13" i="348"/>
  <c r="V39" i="347"/>
  <c r="D47" i="406"/>
  <c r="E47" i="406" s="1"/>
  <c r="V23" i="347"/>
  <c r="U92" i="348"/>
  <c r="U27" i="348"/>
  <c r="U19" i="348"/>
  <c r="V33" i="347"/>
  <c r="H29" i="389"/>
  <c r="V11" i="347"/>
  <c r="G9" i="407"/>
  <c r="G51" i="396"/>
  <c r="H51" i="396" s="1"/>
  <c r="G139" i="392"/>
  <c r="H55" i="405"/>
  <c r="H12" i="392"/>
  <c r="J61" i="347"/>
  <c r="I37" i="392"/>
  <c r="H33" i="389"/>
  <c r="I67" i="398"/>
  <c r="V64" i="347"/>
  <c r="H72" i="402"/>
  <c r="H30" i="388"/>
  <c r="E18" i="417"/>
  <c r="E16" i="417" s="1"/>
  <c r="D16" i="417"/>
  <c r="G15" i="393"/>
  <c r="H15" i="393" s="1"/>
  <c r="G164" i="405"/>
  <c r="H164" i="405" s="1"/>
  <c r="G164" i="395"/>
  <c r="H175" i="401"/>
  <c r="G15" i="404"/>
  <c r="H15" i="404" s="1"/>
  <c r="G36" i="393"/>
  <c r="H36" i="393" s="1"/>
  <c r="I30" i="392"/>
  <c r="E74" i="413"/>
  <c r="G32" i="392"/>
  <c r="H32" i="392" s="1"/>
  <c r="H72" i="397"/>
  <c r="I93" i="389"/>
  <c r="C45" i="417"/>
  <c r="I62" i="389"/>
  <c r="Q111" i="347"/>
  <c r="G29" i="395"/>
  <c r="H29" i="395" s="1"/>
  <c r="V43" i="347"/>
  <c r="V74" i="347"/>
  <c r="H118" i="392"/>
  <c r="H72" i="393"/>
  <c r="H31" i="398"/>
  <c r="G29" i="398"/>
  <c r="I61" i="392"/>
  <c r="H61" i="392"/>
  <c r="I145" i="392"/>
  <c r="G144" i="392"/>
  <c r="H144" i="392" s="1"/>
  <c r="H61" i="399"/>
  <c r="I61" i="399"/>
  <c r="I90" i="399"/>
  <c r="H90" i="399"/>
  <c r="H82" i="393"/>
  <c r="I82" i="393"/>
  <c r="G15" i="398"/>
  <c r="H15" i="398" s="1"/>
  <c r="I160" i="360"/>
  <c r="H160" i="360"/>
  <c r="G11" i="395"/>
  <c r="I11" i="395" s="1"/>
  <c r="V99" i="347"/>
  <c r="H95" i="393"/>
  <c r="I95" i="393"/>
  <c r="U86" i="348"/>
  <c r="V84" i="347"/>
  <c r="I175" i="388"/>
  <c r="G78" i="398"/>
  <c r="H78" i="398" s="1"/>
  <c r="D35" i="412"/>
  <c r="G78" i="393"/>
  <c r="G77" i="393" s="1"/>
  <c r="I77" i="393" s="1"/>
  <c r="G78" i="404"/>
  <c r="G164" i="393"/>
  <c r="G15" i="396"/>
  <c r="H15" i="396" s="1"/>
  <c r="I52" i="398"/>
  <c r="E35" i="417"/>
  <c r="F76" i="399"/>
  <c r="F147" i="399" s="1"/>
  <c r="F165" i="399" s="1"/>
  <c r="F178" i="399" s="1"/>
  <c r="E16" i="416"/>
  <c r="I175" i="399"/>
  <c r="I63" i="408"/>
  <c r="H70" i="396"/>
  <c r="H86" i="393"/>
  <c r="I79" i="401"/>
  <c r="G21" i="389"/>
  <c r="G19" i="389" s="1"/>
  <c r="G177" i="397"/>
  <c r="H177" i="397" s="1"/>
  <c r="H82" i="392"/>
  <c r="I84" i="389"/>
  <c r="I112" i="396"/>
  <c r="I30" i="395"/>
  <c r="G42" i="398"/>
  <c r="H42" i="398" s="1"/>
  <c r="F36" i="398"/>
  <c r="P111" i="347"/>
  <c r="P112" i="347" s="1"/>
  <c r="V91" i="347"/>
  <c r="V70" i="347"/>
  <c r="V52" i="347"/>
  <c r="E117" i="418"/>
  <c r="E74" i="418" s="1"/>
  <c r="G83" i="403"/>
  <c r="H83" i="403" s="1"/>
  <c r="G137" i="401"/>
  <c r="H137" i="401" s="1"/>
  <c r="G109" i="388"/>
  <c r="F9" i="392"/>
  <c r="F24" i="392" s="1"/>
  <c r="V106" i="347"/>
  <c r="V82" i="347"/>
  <c r="G39" i="395"/>
  <c r="H39" i="395" s="1"/>
  <c r="E15" i="416"/>
  <c r="E12" i="416" s="1"/>
  <c r="E10" i="416" s="1"/>
  <c r="O79" i="347"/>
  <c r="V79" i="347" s="1"/>
  <c r="E107" i="412"/>
  <c r="G37" i="404"/>
  <c r="G115" i="389"/>
  <c r="H115" i="389" s="1"/>
  <c r="C47" i="412"/>
  <c r="C138" i="412" s="1"/>
  <c r="G93" i="402"/>
  <c r="H93" i="402" s="1"/>
  <c r="G31" i="401"/>
  <c r="G120" i="401"/>
  <c r="H120" i="401" s="1"/>
  <c r="U101" i="347"/>
  <c r="I82" i="398"/>
  <c r="G78" i="392"/>
  <c r="I78" i="392" s="1"/>
  <c r="G15" i="360"/>
  <c r="I15" i="360" s="1"/>
  <c r="I139" i="395"/>
  <c r="H21" i="403"/>
  <c r="G32" i="394"/>
  <c r="H32" i="394" s="1"/>
  <c r="I78" i="360"/>
  <c r="C45" i="416"/>
  <c r="G36" i="397"/>
  <c r="H36" i="397" s="1"/>
  <c r="I68" i="398"/>
  <c r="H140" i="393"/>
  <c r="H53" i="389"/>
  <c r="I79" i="396"/>
  <c r="H156" i="408"/>
  <c r="D333" i="387"/>
  <c r="H333" i="387" s="1"/>
  <c r="I142" i="337" s="1"/>
  <c r="G36" i="405"/>
  <c r="C74" i="416"/>
  <c r="C138" i="416" s="1"/>
  <c r="H175" i="388"/>
  <c r="F112" i="347"/>
  <c r="G114" i="347" s="1"/>
  <c r="G164" i="404"/>
  <c r="H69" i="389"/>
  <c r="H175" i="408"/>
  <c r="H56" i="401"/>
  <c r="I56" i="401"/>
  <c r="E47" i="402"/>
  <c r="I118" i="396"/>
  <c r="H118" i="396"/>
  <c r="S97" i="348"/>
  <c r="S98" i="348" s="1"/>
  <c r="T64" i="348"/>
  <c r="T80" i="348"/>
  <c r="U80" i="348" s="1"/>
  <c r="P97" i="348"/>
  <c r="P98" i="348" s="1"/>
  <c r="I76" i="348"/>
  <c r="H97" i="348"/>
  <c r="H98" i="348" s="1"/>
  <c r="G51" i="393"/>
  <c r="I68" i="404"/>
  <c r="G144" i="407"/>
  <c r="H145" i="407"/>
  <c r="H140" i="408"/>
  <c r="I140" i="408"/>
  <c r="G62" i="405"/>
  <c r="F51" i="405"/>
  <c r="F50" i="405" s="1"/>
  <c r="I11" i="348"/>
  <c r="H32" i="348"/>
  <c r="O97" i="348"/>
  <c r="O98" i="348" s="1"/>
  <c r="T90" i="348"/>
  <c r="U90" i="348" s="1"/>
  <c r="V105" i="347"/>
  <c r="F19" i="388"/>
  <c r="C10" i="412"/>
  <c r="C45" i="412" s="1"/>
  <c r="E24" i="401"/>
  <c r="U38" i="348"/>
  <c r="E100" i="416"/>
  <c r="G40" i="389"/>
  <c r="G114" i="395"/>
  <c r="E47" i="393"/>
  <c r="U75" i="348"/>
  <c r="U71" i="348"/>
  <c r="V103" i="347"/>
  <c r="V95" i="347"/>
  <c r="D47" i="411"/>
  <c r="E47" i="411" s="1"/>
  <c r="V27" i="347"/>
  <c r="V83" i="347"/>
  <c r="V76" i="347"/>
  <c r="E11" i="412"/>
  <c r="E96" i="416"/>
  <c r="G110" i="402"/>
  <c r="H110" i="402" s="1"/>
  <c r="D20" i="335"/>
  <c r="H20" i="335" s="1"/>
  <c r="D24" i="335"/>
  <c r="H24" i="335" s="1"/>
  <c r="D28" i="335"/>
  <c r="H28" i="335" s="1"/>
  <c r="D32" i="335"/>
  <c r="H32" i="335" s="1"/>
  <c r="D44" i="335"/>
  <c r="H44" i="335" s="1"/>
  <c r="D52" i="335"/>
  <c r="H52" i="335" s="1"/>
  <c r="D56" i="335"/>
  <c r="H56" i="335" s="1"/>
  <c r="D61" i="335"/>
  <c r="H61" i="335" s="1"/>
  <c r="D64" i="335"/>
  <c r="H64" i="335" s="1"/>
  <c r="D68" i="335"/>
  <c r="H68" i="335" s="1"/>
  <c r="D72" i="335"/>
  <c r="H72" i="335" s="1"/>
  <c r="G80" i="335"/>
  <c r="H80" i="335" s="1"/>
  <c r="D81" i="335"/>
  <c r="H81" i="335" s="1"/>
  <c r="G84" i="335"/>
  <c r="H84" i="335" s="1"/>
  <c r="G88" i="335"/>
  <c r="H88" i="335" s="1"/>
  <c r="G92" i="335"/>
  <c r="H92" i="335" s="1"/>
  <c r="G100" i="335"/>
  <c r="H100" i="335" s="1"/>
  <c r="G104" i="335"/>
  <c r="H104" i="335" s="1"/>
  <c r="G112" i="335"/>
  <c r="H112" i="335" s="1"/>
  <c r="G116" i="335"/>
  <c r="H116" i="335" s="1"/>
  <c r="G120" i="335"/>
  <c r="H120" i="335" s="1"/>
  <c r="D128" i="335"/>
  <c r="H128" i="335" s="1"/>
  <c r="D133" i="335"/>
  <c r="H133" i="335" s="1"/>
  <c r="G150" i="335"/>
  <c r="H150" i="335" s="1"/>
  <c r="G154" i="335"/>
  <c r="H154" i="335" s="1"/>
  <c r="G186" i="335"/>
  <c r="H186" i="335" s="1"/>
  <c r="D220" i="335"/>
  <c r="H220" i="335" s="1"/>
  <c r="D243" i="335"/>
  <c r="H243" i="335" s="1"/>
  <c r="H115" i="405"/>
  <c r="G78" i="405"/>
  <c r="I78" i="405" s="1"/>
  <c r="H79" i="388"/>
  <c r="I86" i="388"/>
  <c r="H86" i="388"/>
  <c r="H94" i="389"/>
  <c r="I94" i="389"/>
  <c r="I100" i="388"/>
  <c r="H100" i="388"/>
  <c r="H94" i="388"/>
  <c r="I94" i="388"/>
  <c r="H99" i="389"/>
  <c r="I99" i="389"/>
  <c r="D118" i="411"/>
  <c r="E118" i="411" s="1"/>
  <c r="I120" i="399"/>
  <c r="H23" i="408"/>
  <c r="H125" i="408"/>
  <c r="F24" i="393"/>
  <c r="E24" i="404"/>
  <c r="G51" i="392"/>
  <c r="H51" i="392" s="1"/>
  <c r="H16" i="388"/>
  <c r="U87" i="348"/>
  <c r="G164" i="398"/>
  <c r="H88" i="395"/>
  <c r="N57" i="348"/>
  <c r="V80" i="347"/>
  <c r="V45" i="347"/>
  <c r="G139" i="393"/>
  <c r="N111" i="347"/>
  <c r="G111" i="347"/>
  <c r="E47" i="401"/>
  <c r="V78" i="347"/>
  <c r="E61" i="254"/>
  <c r="F76" i="360"/>
  <c r="F147" i="360" s="1"/>
  <c r="E24" i="389"/>
  <c r="E24" i="395"/>
  <c r="E24" i="388"/>
  <c r="E76" i="394"/>
  <c r="E147" i="394" s="1"/>
  <c r="E47" i="394"/>
  <c r="E105" i="416"/>
  <c r="G99" i="402"/>
  <c r="G162" i="402"/>
  <c r="G69" i="397"/>
  <c r="E34" i="417"/>
  <c r="G70" i="394"/>
  <c r="G51" i="394" s="1"/>
  <c r="G112" i="403"/>
  <c r="G143" i="408"/>
  <c r="H143" i="408" s="1"/>
  <c r="G106" i="389"/>
  <c r="G53" i="408"/>
  <c r="G68" i="397"/>
  <c r="G20" i="397"/>
  <c r="G155" i="388"/>
  <c r="H155" i="388" s="1"/>
  <c r="G122" i="403"/>
  <c r="H122" i="403" s="1"/>
  <c r="G23" i="398"/>
  <c r="G85" i="407"/>
  <c r="G81" i="388"/>
  <c r="G123" i="397"/>
  <c r="H123" i="397" s="1"/>
  <c r="G38" i="403"/>
  <c r="F47" i="389"/>
  <c r="I62" i="404"/>
  <c r="H62" i="404"/>
  <c r="H157" i="388"/>
  <c r="I145" i="388"/>
  <c r="C45" i="413"/>
  <c r="F76" i="392"/>
  <c r="F147" i="392" s="1"/>
  <c r="F165" i="392" s="1"/>
  <c r="F178" i="392" s="1"/>
  <c r="D213" i="335"/>
  <c r="H213" i="335" s="1"/>
  <c r="D217" i="335"/>
  <c r="H217" i="335" s="1"/>
  <c r="D221" i="335"/>
  <c r="H221" i="335" s="1"/>
  <c r="D225" i="335"/>
  <c r="H225" i="335" s="1"/>
  <c r="D229" i="335"/>
  <c r="H229" i="335" s="1"/>
  <c r="D240" i="335"/>
  <c r="H240" i="335" s="1"/>
  <c r="D244" i="335"/>
  <c r="H244" i="335" s="1"/>
  <c r="D248" i="335"/>
  <c r="H248" i="335" s="1"/>
  <c r="D252" i="335"/>
  <c r="H252" i="335" s="1"/>
  <c r="D260" i="335"/>
  <c r="H260" i="335" s="1"/>
  <c r="D268" i="335"/>
  <c r="H268" i="335" s="1"/>
  <c r="D272" i="335"/>
  <c r="H272" i="335" s="1"/>
  <c r="D276" i="335"/>
  <c r="H276" i="335" s="1"/>
  <c r="D287" i="335"/>
  <c r="H287" i="335" s="1"/>
  <c r="D291" i="335"/>
  <c r="H291" i="335" s="1"/>
  <c r="D307" i="335"/>
  <c r="H307" i="335" s="1"/>
  <c r="H56" i="403"/>
  <c r="G51" i="403"/>
  <c r="E76" i="398"/>
  <c r="E147" i="398" s="1"/>
  <c r="E24" i="394"/>
  <c r="F47" i="393"/>
  <c r="E24" i="402"/>
  <c r="F47" i="401"/>
  <c r="H50" i="360"/>
  <c r="E76" i="408"/>
  <c r="E147" i="408" s="1"/>
  <c r="E24" i="403"/>
  <c r="E47" i="403"/>
  <c r="F24" i="395"/>
  <c r="E47" i="404"/>
  <c r="E24" i="399"/>
  <c r="E24" i="396"/>
  <c r="E147" i="360"/>
  <c r="R12" i="421"/>
  <c r="R13" i="421" s="1"/>
  <c r="R14" i="421" s="1"/>
  <c r="D20" i="354"/>
  <c r="D27" i="354" s="1"/>
  <c r="E23" i="412"/>
  <c r="E22" i="412" s="1"/>
  <c r="E20" i="412" s="1"/>
  <c r="D22" i="412"/>
  <c r="D20" i="412" s="1"/>
  <c r="D31" i="412"/>
  <c r="E32" i="412"/>
  <c r="E31" i="412" s="1"/>
  <c r="E109" i="417"/>
  <c r="E74" i="417" s="1"/>
  <c r="D74" i="417"/>
  <c r="E147" i="399"/>
  <c r="E70" i="412"/>
  <c r="E47" i="412" s="1"/>
  <c r="D47" i="412"/>
  <c r="E17" i="412"/>
  <c r="E16" i="412" s="1"/>
  <c r="D16" i="412"/>
  <c r="I53" i="388"/>
  <c r="G51" i="388"/>
  <c r="H53" i="388"/>
  <c r="E104" i="412"/>
  <c r="D74" i="412"/>
  <c r="H145" i="388"/>
  <c r="I17" i="403"/>
  <c r="G164" i="394"/>
  <c r="G51" i="395"/>
  <c r="H12" i="408"/>
  <c r="I177" i="388"/>
  <c r="G32" i="396"/>
  <c r="G15" i="403"/>
  <c r="H139" i="403"/>
  <c r="I139" i="403"/>
  <c r="F47" i="408"/>
  <c r="F47" i="395"/>
  <c r="F24" i="407"/>
  <c r="F47" i="407"/>
  <c r="F24" i="399"/>
  <c r="I144" i="388"/>
  <c r="G51" i="398"/>
  <c r="H82" i="398"/>
  <c r="G9" i="408"/>
  <c r="H56" i="402"/>
  <c r="F24" i="396"/>
  <c r="H125" i="388"/>
  <c r="I125" i="388"/>
  <c r="H69" i="403"/>
  <c r="I69" i="403"/>
  <c r="G38" i="402"/>
  <c r="F36" i="402"/>
  <c r="I84" i="325"/>
  <c r="F24" i="389"/>
  <c r="E24" i="413"/>
  <c r="E22" i="413" s="1"/>
  <c r="E20" i="413" s="1"/>
  <c r="D22" i="413"/>
  <c r="D20" i="413" s="1"/>
  <c r="E29" i="418"/>
  <c r="E28" i="418" s="1"/>
  <c r="E26" i="418" s="1"/>
  <c r="D28" i="418"/>
  <c r="D26" i="418" s="1"/>
  <c r="G12" i="404"/>
  <c r="F11" i="404"/>
  <c r="F9" i="404" s="1"/>
  <c r="F15" i="402"/>
  <c r="G18" i="402"/>
  <c r="F29" i="402"/>
  <c r="F27" i="402" s="1"/>
  <c r="G30" i="402"/>
  <c r="I62" i="398"/>
  <c r="H62" i="398"/>
  <c r="F24" i="398"/>
  <c r="E27" i="413"/>
  <c r="E16" i="418"/>
  <c r="F15" i="388"/>
  <c r="G17" i="388"/>
  <c r="H113" i="388"/>
  <c r="I113" i="388"/>
  <c r="H71" i="403"/>
  <c r="I71" i="403"/>
  <c r="F11" i="388"/>
  <c r="F9" i="388" s="1"/>
  <c r="G12" i="388"/>
  <c r="H102" i="388"/>
  <c r="I102" i="388"/>
  <c r="I86" i="403"/>
  <c r="H86" i="403"/>
  <c r="D27" i="387"/>
  <c r="H27" i="387" s="1"/>
  <c r="D35" i="387"/>
  <c r="H35" i="387" s="1"/>
  <c r="H35" i="325" s="1"/>
  <c r="I36" i="325" s="1"/>
  <c r="D83" i="387"/>
  <c r="H83" i="387" s="1"/>
  <c r="I71" i="325" s="1"/>
  <c r="D213" i="387"/>
  <c r="H213" i="387" s="1"/>
  <c r="I43" i="337" s="1"/>
  <c r="F67" i="346"/>
  <c r="E107" i="346"/>
  <c r="E59" i="346"/>
  <c r="E43" i="346"/>
  <c r="E27" i="346"/>
  <c r="F11" i="346"/>
  <c r="F19" i="346"/>
  <c r="F83" i="346"/>
  <c r="E75" i="346"/>
  <c r="G57" i="346"/>
  <c r="G79" i="346"/>
  <c r="G24" i="346"/>
  <c r="G55" i="346"/>
  <c r="G96" i="346"/>
  <c r="E67" i="346"/>
  <c r="G81" i="346"/>
  <c r="E99" i="346"/>
  <c r="F99" i="346"/>
  <c r="E91" i="346"/>
  <c r="F59" i="346"/>
  <c r="F91" i="346"/>
  <c r="F51" i="346"/>
  <c r="E83" i="346"/>
  <c r="E51" i="346"/>
  <c r="E19" i="346"/>
  <c r="E35" i="346"/>
  <c r="G42" i="346"/>
  <c r="G90" i="346"/>
  <c r="H7" i="346"/>
  <c r="H15" i="346" s="1"/>
  <c r="H23" i="346" s="1"/>
  <c r="H31" i="346" s="1"/>
  <c r="H39" i="346" s="1"/>
  <c r="H47" i="346" s="1"/>
  <c r="H55" i="346" s="1"/>
  <c r="H63" i="346" s="1"/>
  <c r="H71" i="346" s="1"/>
  <c r="H79" i="346" s="1"/>
  <c r="H87" i="346" s="1"/>
  <c r="H95" i="346" s="1"/>
  <c r="H103" i="346" s="1"/>
  <c r="G54" i="346"/>
  <c r="G30" i="346"/>
  <c r="G34" i="346"/>
  <c r="G16" i="346"/>
  <c r="G9" i="346"/>
  <c r="G98" i="346"/>
  <c r="G103" i="346"/>
  <c r="G39" i="346"/>
  <c r="G47" i="346"/>
  <c r="G65" i="346"/>
  <c r="G97" i="346"/>
  <c r="G80" i="346"/>
  <c r="G17" i="346"/>
  <c r="G49" i="346"/>
  <c r="H6" i="346"/>
  <c r="H14" i="346" s="1"/>
  <c r="H22" i="346" s="1"/>
  <c r="H30" i="346" s="1"/>
  <c r="H38" i="346" s="1"/>
  <c r="H46" i="346" s="1"/>
  <c r="H54" i="346" s="1"/>
  <c r="H62" i="346" s="1"/>
  <c r="H70" i="346" s="1"/>
  <c r="H78" i="346" s="1"/>
  <c r="H86" i="346" s="1"/>
  <c r="H94" i="346" s="1"/>
  <c r="H102" i="346" s="1"/>
  <c r="G14" i="346"/>
  <c r="G102" i="346"/>
  <c r="G38" i="346"/>
  <c r="G64" i="346"/>
  <c r="G31" i="346"/>
  <c r="G56" i="346"/>
  <c r="G87" i="346"/>
  <c r="G40" i="346"/>
  <c r="G66" i="346"/>
  <c r="G70" i="346"/>
  <c r="G32" i="346"/>
  <c r="G62" i="346"/>
  <c r="G74" i="346"/>
  <c r="G58" i="346"/>
  <c r="G23" i="346"/>
  <c r="G89" i="346"/>
  <c r="G94" i="346"/>
  <c r="G63" i="346"/>
  <c r="H8" i="346"/>
  <c r="H16" i="346" s="1"/>
  <c r="H24" i="346" s="1"/>
  <c r="H32" i="346" s="1"/>
  <c r="H40" i="346" s="1"/>
  <c r="H48" i="346" s="1"/>
  <c r="H56" i="346" s="1"/>
  <c r="H64" i="346" s="1"/>
  <c r="H72" i="346" s="1"/>
  <c r="H80" i="346" s="1"/>
  <c r="H88" i="346" s="1"/>
  <c r="H96" i="346" s="1"/>
  <c r="H104" i="346" s="1"/>
  <c r="G6" i="346"/>
  <c r="H9" i="346"/>
  <c r="H17" i="346" s="1"/>
  <c r="G104" i="346"/>
  <c r="G106" i="346"/>
  <c r="G86" i="346"/>
  <c r="G22" i="346"/>
  <c r="G82" i="346"/>
  <c r="G72" i="346"/>
  <c r="G15" i="346"/>
  <c r="G88" i="346"/>
  <c r="G8" i="346"/>
  <c r="G71" i="346"/>
  <c r="G46" i="346"/>
  <c r="G26" i="346"/>
  <c r="G95" i="346"/>
  <c r="G48" i="346"/>
  <c r="G78" i="346"/>
  <c r="G18" i="346"/>
  <c r="G50" i="346"/>
  <c r="H121" i="335"/>
  <c r="D51" i="335"/>
  <c r="H51" i="335" s="1"/>
  <c r="D59" i="335"/>
  <c r="H59" i="335" s="1"/>
  <c r="D79" i="335"/>
  <c r="H79" i="335" s="1"/>
  <c r="D52" i="387"/>
  <c r="H52" i="387" s="1"/>
  <c r="D56" i="387"/>
  <c r="H56" i="387" s="1"/>
  <c r="D286" i="387"/>
  <c r="H286" i="387" s="1"/>
  <c r="I111" i="337" s="1"/>
  <c r="H141" i="335"/>
  <c r="G147" i="387"/>
  <c r="H147" i="387" s="1"/>
  <c r="I115" i="325" s="1"/>
  <c r="D12" i="335"/>
  <c r="H12" i="335" s="1"/>
  <c r="D36" i="335"/>
  <c r="H36" i="335" s="1"/>
  <c r="D40" i="335"/>
  <c r="H40" i="335" s="1"/>
  <c r="D60" i="335"/>
  <c r="H60" i="335" s="1"/>
  <c r="D283" i="387"/>
  <c r="H283" i="387" s="1"/>
  <c r="D285" i="387"/>
  <c r="H285" i="387" s="1"/>
  <c r="I110" i="337" s="1"/>
  <c r="F332" i="335"/>
  <c r="D10" i="335"/>
  <c r="H10" i="335" s="1"/>
  <c r="D14" i="335"/>
  <c r="H14" i="335" s="1"/>
  <c r="D18" i="335"/>
  <c r="H18" i="335" s="1"/>
  <c r="D22" i="335"/>
  <c r="H22" i="335" s="1"/>
  <c r="D26" i="335"/>
  <c r="H26" i="335" s="1"/>
  <c r="D30" i="335"/>
  <c r="H30" i="335" s="1"/>
  <c r="D34" i="335"/>
  <c r="H34" i="335" s="1"/>
  <c r="G38" i="335"/>
  <c r="H38" i="335" s="1"/>
  <c r="D42" i="335"/>
  <c r="H42" i="335" s="1"/>
  <c r="D46" i="335"/>
  <c r="H46" i="335" s="1"/>
  <c r="D50" i="335"/>
  <c r="H50" i="335" s="1"/>
  <c r="D54" i="335"/>
  <c r="H54" i="335" s="1"/>
  <c r="D58" i="335"/>
  <c r="H58" i="335" s="1"/>
  <c r="D62" i="335"/>
  <c r="H62" i="335" s="1"/>
  <c r="D66" i="335"/>
  <c r="H66" i="335" s="1"/>
  <c r="D70" i="335"/>
  <c r="H70" i="335" s="1"/>
  <c r="G74" i="335"/>
  <c r="H74" i="335" s="1"/>
  <c r="G78" i="335"/>
  <c r="G82" i="335"/>
  <c r="H82" i="335" s="1"/>
  <c r="G86" i="335"/>
  <c r="H86" i="335" s="1"/>
  <c r="G90" i="335"/>
  <c r="H90" i="335" s="1"/>
  <c r="G94" i="335"/>
  <c r="H94" i="335" s="1"/>
  <c r="G98" i="335"/>
  <c r="H98" i="335" s="1"/>
  <c r="G102" i="335"/>
  <c r="H102" i="335" s="1"/>
  <c r="G106" i="335"/>
  <c r="H106" i="335" s="1"/>
  <c r="G110" i="335"/>
  <c r="H110" i="335" s="1"/>
  <c r="G114" i="335"/>
  <c r="H114" i="335" s="1"/>
  <c r="G118" i="335"/>
  <c r="H118" i="335" s="1"/>
  <c r="G122" i="335"/>
  <c r="H122" i="335" s="1"/>
  <c r="D126" i="335"/>
  <c r="H126" i="335" s="1"/>
  <c r="D130" i="335"/>
  <c r="H130" i="335" s="1"/>
  <c r="D134" i="335"/>
  <c r="H134" i="335" s="1"/>
  <c r="G138" i="335"/>
  <c r="H138" i="335" s="1"/>
  <c r="G142" i="335"/>
  <c r="H142" i="335" s="1"/>
  <c r="G151" i="335"/>
  <c r="H151" i="335" s="1"/>
  <c r="G155" i="335"/>
  <c r="H155" i="335" s="1"/>
  <c r="G159" i="335"/>
  <c r="H159" i="335" s="1"/>
  <c r="G163" i="335"/>
  <c r="H163" i="335" s="1"/>
  <c r="G167" i="335"/>
  <c r="H167" i="335" s="1"/>
  <c r="G171" i="335"/>
  <c r="H171" i="335" s="1"/>
  <c r="G175" i="335"/>
  <c r="H175" i="335" s="1"/>
  <c r="G183" i="335"/>
  <c r="H183" i="335" s="1"/>
  <c r="G192" i="335"/>
  <c r="H192" i="335" s="1"/>
  <c r="G196" i="335"/>
  <c r="L304" i="335" s="1"/>
  <c r="G200" i="335"/>
  <c r="H200" i="335" s="1"/>
  <c r="G205" i="335"/>
  <c r="H205" i="335" s="1"/>
  <c r="D209" i="335"/>
  <c r="H209" i="335" s="1"/>
  <c r="G148" i="387"/>
  <c r="H148" i="387" s="1"/>
  <c r="I116" i="325" s="1"/>
  <c r="D13" i="335"/>
  <c r="H13" i="335" s="1"/>
  <c r="D17" i="335"/>
  <c r="H17" i="335" s="1"/>
  <c r="D21" i="335"/>
  <c r="H21" i="335" s="1"/>
  <c r="D25" i="335"/>
  <c r="H25" i="335" s="1"/>
  <c r="D29" i="335"/>
  <c r="H29" i="335" s="1"/>
  <c r="D33" i="335"/>
  <c r="H33" i="335" s="1"/>
  <c r="D41" i="335"/>
  <c r="H41" i="335" s="1"/>
  <c r="D45" i="335"/>
  <c r="H45" i="335" s="1"/>
  <c r="D53" i="335"/>
  <c r="H53" i="335" s="1"/>
  <c r="D57" i="335"/>
  <c r="H57" i="335" s="1"/>
  <c r="D65" i="335"/>
  <c r="H65" i="335" s="1"/>
  <c r="D69" i="335"/>
  <c r="H69" i="335" s="1"/>
  <c r="D77" i="335"/>
  <c r="H77" i="335" s="1"/>
  <c r="D85" i="335"/>
  <c r="H85" i="335" s="1"/>
  <c r="D89" i="335"/>
  <c r="H89" i="335" s="1"/>
  <c r="D93" i="335"/>
  <c r="H93" i="335" s="1"/>
  <c r="D97" i="335"/>
  <c r="H97" i="335" s="1"/>
  <c r="D101" i="335"/>
  <c r="H101" i="335" s="1"/>
  <c r="D105" i="335"/>
  <c r="H105" i="335" s="1"/>
  <c r="D109" i="335"/>
  <c r="H109" i="335" s="1"/>
  <c r="D113" i="335"/>
  <c r="H113" i="335" s="1"/>
  <c r="D117" i="335"/>
  <c r="H117" i="335" s="1"/>
  <c r="D125" i="335"/>
  <c r="H125" i="335" s="1"/>
  <c r="G137" i="335"/>
  <c r="H137" i="335" s="1"/>
  <c r="G166" i="335"/>
  <c r="H166" i="335" s="1"/>
  <c r="G182" i="335"/>
  <c r="H182" i="335" s="1"/>
  <c r="G199" i="335"/>
  <c r="H199" i="335" s="1"/>
  <c r="L309" i="335" s="1"/>
  <c r="G204" i="335"/>
  <c r="H204" i="335" s="1"/>
  <c r="D328" i="387"/>
  <c r="H328" i="387" s="1"/>
  <c r="D334" i="387"/>
  <c r="H334" i="387" s="1"/>
  <c r="D27" i="335"/>
  <c r="H27" i="335" s="1"/>
  <c r="D43" i="335"/>
  <c r="H43" i="335" s="1"/>
  <c r="D325" i="387"/>
  <c r="H325" i="387" s="1"/>
  <c r="D67" i="387"/>
  <c r="H67" i="387" s="1"/>
  <c r="D131" i="387"/>
  <c r="H131" i="387" s="1"/>
  <c r="I58" i="325" s="1"/>
  <c r="D137" i="387"/>
  <c r="H137" i="387" s="1"/>
  <c r="I104" i="325" s="1"/>
  <c r="G179" i="387"/>
  <c r="H179" i="387" s="1"/>
  <c r="G182" i="387"/>
  <c r="H182" i="387" s="1"/>
  <c r="I14" i="337" s="1"/>
  <c r="G187" i="387"/>
  <c r="H187" i="387" s="1"/>
  <c r="I18" i="337" s="1"/>
  <c r="G191" i="387"/>
  <c r="H191" i="387" s="1"/>
  <c r="I23" i="337" s="1"/>
  <c r="G168" i="387"/>
  <c r="H168" i="387" s="1"/>
  <c r="I127" i="325" s="1"/>
  <c r="D250" i="387"/>
  <c r="H250" i="387" s="1"/>
  <c r="I83" i="337" s="1"/>
  <c r="G201" i="387"/>
  <c r="H201" i="387" s="1"/>
  <c r="D288" i="387"/>
  <c r="H288" i="387" s="1"/>
  <c r="D289" i="387"/>
  <c r="H289" i="387" s="1"/>
  <c r="H180" i="335"/>
  <c r="H15" i="335"/>
  <c r="H201" i="335"/>
  <c r="H292" i="335"/>
  <c r="H241" i="335"/>
  <c r="H160" i="335"/>
  <c r="H184" i="335"/>
  <c r="H214" i="335"/>
  <c r="H111" i="335"/>
  <c r="I94" i="325"/>
  <c r="H99" i="335"/>
  <c r="H277" i="335"/>
  <c r="H249" i="335"/>
  <c r="H135" i="335"/>
  <c r="H233" i="335"/>
  <c r="H156" i="335"/>
  <c r="H35" i="335"/>
  <c r="H176" i="335"/>
  <c r="H131" i="335"/>
  <c r="H47" i="335"/>
  <c r="H210" i="335"/>
  <c r="H189" i="335"/>
  <c r="H107" i="335"/>
  <c r="H71" i="335"/>
  <c r="H218" i="335"/>
  <c r="H139" i="335"/>
  <c r="H115" i="335"/>
  <c r="H193" i="335"/>
  <c r="H164" i="335"/>
  <c r="H119" i="335"/>
  <c r="H265" i="335"/>
  <c r="H269" i="335"/>
  <c r="H91" i="335"/>
  <c r="H39" i="335"/>
  <c r="H152" i="335"/>
  <c r="D329" i="387"/>
  <c r="H329" i="387" s="1"/>
  <c r="H197" i="335"/>
  <c r="H143" i="335"/>
  <c r="H83" i="335"/>
  <c r="H237" i="335"/>
  <c r="H222" i="335"/>
  <c r="H168" i="335"/>
  <c r="H123" i="335"/>
  <c r="H261" i="335"/>
  <c r="H226" i="335"/>
  <c r="H172" i="335"/>
  <c r="H253" i="335"/>
  <c r="H273" i="335"/>
  <c r="D54" i="387"/>
  <c r="H54" i="387" s="1"/>
  <c r="D58" i="387"/>
  <c r="H58" i="387" s="1"/>
  <c r="D55" i="387"/>
  <c r="H55" i="387" s="1"/>
  <c r="I50" i="325" s="1"/>
  <c r="D59" i="387"/>
  <c r="H59" i="387" s="1"/>
  <c r="G116" i="387"/>
  <c r="H116" i="387" s="1"/>
  <c r="H96" i="325" s="1"/>
  <c r="G120" i="387"/>
  <c r="H120" i="387" s="1"/>
  <c r="I82" i="325"/>
  <c r="D11" i="335"/>
  <c r="H11" i="335" s="1"/>
  <c r="D19" i="335"/>
  <c r="D31" i="335"/>
  <c r="H31" i="335" s="1"/>
  <c r="D67" i="335"/>
  <c r="H67" i="335" s="1"/>
  <c r="D75" i="335"/>
  <c r="H75" i="335" s="1"/>
  <c r="D95" i="335"/>
  <c r="H95" i="335" s="1"/>
  <c r="D103" i="335"/>
  <c r="H103" i="335" s="1"/>
  <c r="D17" i="387"/>
  <c r="H17" i="387" s="1"/>
  <c r="I24" i="325" s="1"/>
  <c r="G118" i="387"/>
  <c r="H118" i="387" s="1"/>
  <c r="E6" i="324"/>
  <c r="D332" i="387"/>
  <c r="H332" i="387" s="1"/>
  <c r="I141" i="337" s="1"/>
  <c r="D12" i="387"/>
  <c r="H12" i="387" s="1"/>
  <c r="D16" i="387"/>
  <c r="H16" i="387" s="1"/>
  <c r="I23" i="325" s="1"/>
  <c r="D53" i="387"/>
  <c r="H53" i="387" s="1"/>
  <c r="D61" i="387"/>
  <c r="H61" i="387" s="1"/>
  <c r="D65" i="387"/>
  <c r="H65" i="387" s="1"/>
  <c r="D117" i="387"/>
  <c r="H117" i="387" s="1"/>
  <c r="I97" i="325" s="1"/>
  <c r="I86" i="325"/>
  <c r="D327" i="387"/>
  <c r="H327" i="387" s="1"/>
  <c r="D326" i="387"/>
  <c r="H326" i="387" s="1"/>
  <c r="D37" i="335"/>
  <c r="H37" i="335" s="1"/>
  <c r="D49" i="335"/>
  <c r="H49" i="335" s="1"/>
  <c r="D73" i="335"/>
  <c r="H73" i="335" s="1"/>
  <c r="D11" i="387"/>
  <c r="H11" i="387" s="1"/>
  <c r="I17" i="325" s="1"/>
  <c r="D15" i="387"/>
  <c r="H15" i="387" s="1"/>
  <c r="I22" i="325" s="1"/>
  <c r="K335" i="335"/>
  <c r="G146" i="387"/>
  <c r="H146" i="387" s="1"/>
  <c r="I114" i="325" s="1"/>
  <c r="G204" i="387"/>
  <c r="H204" i="387" s="1"/>
  <c r="I28" i="337" s="1"/>
  <c r="D19" i="387"/>
  <c r="H19" i="387" s="1"/>
  <c r="I26" i="325" s="1"/>
  <c r="D51" i="387"/>
  <c r="H51" i="387" s="1"/>
  <c r="D115" i="387"/>
  <c r="H115" i="387" s="1"/>
  <c r="H95" i="325" s="1"/>
  <c r="D62" i="387"/>
  <c r="H62" i="387" s="1"/>
  <c r="D66" i="387"/>
  <c r="H66" i="387" s="1"/>
  <c r="D13" i="387"/>
  <c r="H13" i="387" s="1"/>
  <c r="I20" i="325" s="1"/>
  <c r="D63" i="387"/>
  <c r="H63" i="387" s="1"/>
  <c r="D330" i="387"/>
  <c r="H330" i="387" s="1"/>
  <c r="D71" i="387"/>
  <c r="H71" i="387" s="1"/>
  <c r="G74" i="387"/>
  <c r="H74" i="387" s="1"/>
  <c r="D79" i="387"/>
  <c r="H79" i="387" s="1"/>
  <c r="H283" i="335"/>
  <c r="J145" i="335"/>
  <c r="D331" i="387"/>
  <c r="H331" i="387" s="1"/>
  <c r="G149" i="387"/>
  <c r="H149" i="387" s="1"/>
  <c r="I117" i="325" s="1"/>
  <c r="G189" i="387"/>
  <c r="H189" i="387" s="1"/>
  <c r="I21" i="337" s="1"/>
  <c r="D23" i="387"/>
  <c r="H23" i="387" s="1"/>
  <c r="G143" i="387"/>
  <c r="H143" i="387" s="1"/>
  <c r="G151" i="387"/>
  <c r="H151" i="387" s="1"/>
  <c r="G152" i="387"/>
  <c r="H152" i="387" s="1"/>
  <c r="I119" i="325" s="1"/>
  <c r="G192" i="387"/>
  <c r="H192" i="387" s="1"/>
  <c r="G196" i="387"/>
  <c r="H196" i="387" s="1"/>
  <c r="I20" i="337" s="1"/>
  <c r="G197" i="387"/>
  <c r="H197" i="387" s="1"/>
  <c r="D257" i="387"/>
  <c r="H257" i="387" s="1"/>
  <c r="I90" i="337" s="1"/>
  <c r="D260" i="387"/>
  <c r="H260" i="387" s="1"/>
  <c r="I95" i="337" s="1"/>
  <c r="J94" i="337" s="1"/>
  <c r="D265" i="387"/>
  <c r="H265" i="387" s="1"/>
  <c r="I103" i="337" s="1"/>
  <c r="D271" i="387"/>
  <c r="H271" i="387" s="1"/>
  <c r="I114" i="337" s="1"/>
  <c r="D47" i="387"/>
  <c r="H47" i="387" s="1"/>
  <c r="I44" i="325" s="1"/>
  <c r="D103" i="387"/>
  <c r="H103" i="387" s="1"/>
  <c r="I87" i="325" s="1"/>
  <c r="G163" i="387"/>
  <c r="H163" i="387" s="1"/>
  <c r="G167" i="387"/>
  <c r="H167" i="387" s="1"/>
  <c r="I125" i="325" s="1"/>
  <c r="G205" i="387"/>
  <c r="H205" i="387" s="1"/>
  <c r="I29" i="337" s="1"/>
  <c r="D210" i="387"/>
  <c r="H210" i="387" s="1"/>
  <c r="I40" i="337" s="1"/>
  <c r="D273" i="387"/>
  <c r="H273" i="387" s="1"/>
  <c r="I106" i="337" s="1"/>
  <c r="D321" i="387"/>
  <c r="H321" i="387" s="1"/>
  <c r="G122" i="387"/>
  <c r="H122" i="387" s="1"/>
  <c r="H77" i="325" s="1"/>
  <c r="I77" i="325" s="1"/>
  <c r="D123" i="387"/>
  <c r="H123" i="387" s="1"/>
  <c r="D127" i="387"/>
  <c r="H127" i="387" s="1"/>
  <c r="I103" i="325" s="1"/>
  <c r="D294" i="387"/>
  <c r="H294" i="387" s="1"/>
  <c r="D295" i="387"/>
  <c r="H295" i="387" s="1"/>
  <c r="I123" i="337" s="1"/>
  <c r="D296" i="387"/>
  <c r="H296" i="387" s="1"/>
  <c r="I124" i="337" s="1"/>
  <c r="D309" i="387"/>
  <c r="H309" i="387" s="1"/>
  <c r="D310" i="387"/>
  <c r="H310" i="387" s="1"/>
  <c r="I134" i="337" s="1"/>
  <c r="D311" i="387"/>
  <c r="H311" i="387" s="1"/>
  <c r="I133" i="337" s="1"/>
  <c r="D312" i="387"/>
  <c r="H312" i="387" s="1"/>
  <c r="I138" i="337" s="1"/>
  <c r="E6" i="354"/>
  <c r="G7" i="346"/>
  <c r="H311" i="335"/>
  <c r="J35" i="337"/>
  <c r="I79" i="325"/>
  <c r="D87" i="387"/>
  <c r="H87" i="387" s="1"/>
  <c r="H67" i="325" s="1"/>
  <c r="I68" i="325" s="1"/>
  <c r="H63" i="335"/>
  <c r="H23" i="335"/>
  <c r="I70" i="325"/>
  <c r="H55" i="335"/>
  <c r="H10" i="346"/>
  <c r="G10" i="346"/>
  <c r="E11" i="346"/>
  <c r="E332" i="335"/>
  <c r="E6" i="339"/>
  <c r="C13" i="339"/>
  <c r="G6" i="353"/>
  <c r="G7" i="353" s="1"/>
  <c r="G8" i="353" s="1"/>
  <c r="G9" i="353" s="1"/>
  <c r="G10" i="353" s="1"/>
  <c r="G11" i="353" s="1"/>
  <c r="G12" i="353" s="1"/>
  <c r="G13" i="353" s="1"/>
  <c r="G14" i="353" s="1"/>
  <c r="G15" i="353" s="1"/>
  <c r="G16" i="353" s="1"/>
  <c r="G17" i="353" s="1"/>
  <c r="G18" i="353" s="1"/>
  <c r="H6" i="345"/>
  <c r="H7" i="345" s="1"/>
  <c r="H8" i="345" s="1"/>
  <c r="H9" i="345" s="1"/>
  <c r="H10" i="345" s="1"/>
  <c r="H11" i="345" s="1"/>
  <c r="H12" i="345" s="1"/>
  <c r="H13" i="345" s="1"/>
  <c r="H14" i="345" s="1"/>
  <c r="H15" i="345" s="1"/>
  <c r="H16" i="345" s="1"/>
  <c r="H17" i="345" s="1"/>
  <c r="H18" i="345" s="1"/>
  <c r="F20" i="345"/>
  <c r="H20" i="345" s="1"/>
  <c r="P96" i="310" l="1"/>
  <c r="P97" i="310" s="1"/>
  <c r="P98" i="310" s="1"/>
  <c r="P99" i="310" s="1"/>
  <c r="P100" i="310" s="1"/>
  <c r="P101" i="310" s="1"/>
  <c r="P102" i="310" s="1"/>
  <c r="P103" i="310" s="1"/>
  <c r="P104" i="310" s="1"/>
  <c r="P105" i="310" s="1"/>
  <c r="P106" i="310" s="1"/>
  <c r="P107" i="310" s="1"/>
  <c r="P108" i="310" s="1"/>
  <c r="P109" i="310" s="1"/>
  <c r="P110" i="310" s="1"/>
  <c r="P111" i="310" s="1"/>
  <c r="P64" i="310"/>
  <c r="P65" i="310" s="1"/>
  <c r="P66" i="310" s="1"/>
  <c r="P67" i="310" s="1"/>
  <c r="P68" i="310" s="1"/>
  <c r="P69" i="310" s="1"/>
  <c r="P70" i="310" s="1"/>
  <c r="P71" i="310" s="1"/>
  <c r="P72" i="310" s="1"/>
  <c r="P73" i="310" s="1"/>
  <c r="P74" i="310" s="1"/>
  <c r="P75" i="310" s="1"/>
  <c r="P76" i="310" s="1"/>
  <c r="P77" i="310" s="1"/>
  <c r="P78" i="310" s="1"/>
  <c r="P79" i="310" s="1"/>
  <c r="P112" i="310"/>
  <c r="P113" i="310" s="1"/>
  <c r="P114" i="310" s="1"/>
  <c r="P115" i="310" s="1"/>
  <c r="P116" i="310" s="1"/>
  <c r="P117" i="310" s="1"/>
  <c r="P118" i="310" s="1"/>
  <c r="P119" i="310" s="1"/>
  <c r="P120" i="310" s="1"/>
  <c r="P121" i="310" s="1"/>
  <c r="P122" i="310" s="1"/>
  <c r="P123" i="310" s="1"/>
  <c r="P124" i="310" s="1"/>
  <c r="P125" i="310" s="1"/>
  <c r="P126" i="310" s="1"/>
  <c r="P127" i="310" s="1"/>
  <c r="P224" i="310"/>
  <c r="P225" i="310" s="1"/>
  <c r="P226" i="310" s="1"/>
  <c r="P227" i="310" s="1"/>
  <c r="P228" i="310" s="1"/>
  <c r="P229" i="310" s="1"/>
  <c r="P230" i="310" s="1"/>
  <c r="P128" i="310"/>
  <c r="P129" i="310" s="1"/>
  <c r="P130" i="310" s="1"/>
  <c r="P131" i="310" s="1"/>
  <c r="P80" i="310"/>
  <c r="P81" i="310" s="1"/>
  <c r="P82" i="310" s="1"/>
  <c r="P83" i="310" s="1"/>
  <c r="P84" i="310" s="1"/>
  <c r="P85" i="310" s="1"/>
  <c r="P86" i="310" s="1"/>
  <c r="P87" i="310" s="1"/>
  <c r="P88" i="310" s="1"/>
  <c r="P89" i="310" s="1"/>
  <c r="P90" i="310" s="1"/>
  <c r="P91" i="310" s="1"/>
  <c r="P92" i="310" s="1"/>
  <c r="P93" i="310" s="1"/>
  <c r="P94" i="310" s="1"/>
  <c r="P95" i="310" s="1"/>
  <c r="P220" i="310"/>
  <c r="P221" i="310" s="1"/>
  <c r="P222" i="310" s="1"/>
  <c r="P223" i="310" s="1"/>
  <c r="P43" i="310"/>
  <c r="P44" i="310" s="1"/>
  <c r="P45" i="310" s="1"/>
  <c r="P46" i="310" s="1"/>
  <c r="P47" i="310" s="1"/>
  <c r="P48" i="310" s="1"/>
  <c r="P49" i="310" s="1"/>
  <c r="P50" i="310" s="1"/>
  <c r="P51" i="310" s="1"/>
  <c r="P52" i="310" s="1"/>
  <c r="P53" i="310" s="1"/>
  <c r="P54" i="310" s="1"/>
  <c r="P55" i="310" s="1"/>
  <c r="P56" i="310" s="1"/>
  <c r="P57" i="310" s="1"/>
  <c r="P58" i="310" s="1"/>
  <c r="P59" i="310" s="1"/>
  <c r="P60" i="310" s="1"/>
  <c r="P61" i="310" s="1"/>
  <c r="P62" i="310" s="1"/>
  <c r="P63" i="310" s="1"/>
  <c r="D246" i="387"/>
  <c r="H246" i="387" s="1"/>
  <c r="I79" i="337" s="1"/>
  <c r="D69" i="387"/>
  <c r="H69" i="387" s="1"/>
  <c r="D73" i="387"/>
  <c r="H73" i="387" s="1"/>
  <c r="D77" i="387"/>
  <c r="H77" i="387" s="1"/>
  <c r="H64" i="325" s="1"/>
  <c r="D68" i="387"/>
  <c r="H68" i="387" s="1"/>
  <c r="I52" i="325" s="1"/>
  <c r="D72" i="387"/>
  <c r="H72" i="387" s="1"/>
  <c r="D70" i="387"/>
  <c r="H70" i="387" s="1"/>
  <c r="I53" i="325" s="1"/>
  <c r="J88" i="337"/>
  <c r="I92" i="325"/>
  <c r="I90" i="325"/>
  <c r="C20" i="354"/>
  <c r="C27" i="354" s="1"/>
  <c r="E13" i="354"/>
  <c r="H317" i="387"/>
  <c r="I140" i="337" s="1"/>
  <c r="J62" i="337"/>
  <c r="C20" i="254"/>
  <c r="C27" i="254" s="1"/>
  <c r="D75" i="387"/>
  <c r="H75" i="387" s="1"/>
  <c r="D291" i="387"/>
  <c r="H291" i="387" s="1"/>
  <c r="D307" i="387"/>
  <c r="H307" i="387" s="1"/>
  <c r="I132" i="337" s="1"/>
  <c r="D323" i="387"/>
  <c r="H323" i="387" s="1"/>
  <c r="E335" i="387"/>
  <c r="J84" i="337"/>
  <c r="D221" i="387"/>
  <c r="H221" i="387" s="1"/>
  <c r="I56" i="337" s="1"/>
  <c r="D306" i="387"/>
  <c r="H306" i="387" s="1"/>
  <c r="D322" i="387"/>
  <c r="H322" i="387" s="1"/>
  <c r="D298" i="387"/>
  <c r="H298" i="387" s="1"/>
  <c r="I96" i="337" s="1"/>
  <c r="D314" i="387"/>
  <c r="H314" i="387" s="1"/>
  <c r="I139" i="337" s="1"/>
  <c r="F76" i="398"/>
  <c r="F147" i="398" s="1"/>
  <c r="F165" i="398" s="1"/>
  <c r="F178" i="398" s="1"/>
  <c r="E147" i="402"/>
  <c r="E165" i="402" s="1"/>
  <c r="E178" i="402" s="1"/>
  <c r="F47" i="397"/>
  <c r="F48" i="397" s="1"/>
  <c r="H145" i="403"/>
  <c r="H11" i="401"/>
  <c r="D290" i="387"/>
  <c r="H290" i="387" s="1"/>
  <c r="I112" i="337" s="1"/>
  <c r="J104" i="337" s="1"/>
  <c r="H175" i="402"/>
  <c r="E61" i="354"/>
  <c r="E54" i="254"/>
  <c r="F76" i="402"/>
  <c r="F147" i="402" s="1"/>
  <c r="F165" i="402" s="1"/>
  <c r="F178" i="402" s="1"/>
  <c r="H139" i="402"/>
  <c r="F24" i="401"/>
  <c r="F48" i="401" s="1"/>
  <c r="H212" i="335"/>
  <c r="H164" i="395"/>
  <c r="I50" i="407"/>
  <c r="I78" i="408"/>
  <c r="H51" i="360"/>
  <c r="H144" i="402"/>
  <c r="H15" i="389"/>
  <c r="D19" i="392"/>
  <c r="I19" i="392" s="1"/>
  <c r="D147" i="403"/>
  <c r="D165" i="403" s="1"/>
  <c r="D178" i="403" s="1"/>
  <c r="C45" i="391" s="1"/>
  <c r="D76" i="393"/>
  <c r="D76" i="401"/>
  <c r="G142" i="387"/>
  <c r="H142" i="387" s="1"/>
  <c r="G145" i="387"/>
  <c r="H145" i="387" s="1"/>
  <c r="G154" i="387"/>
  <c r="H154" i="387" s="1"/>
  <c r="I120" i="325" s="1"/>
  <c r="G158" i="387"/>
  <c r="H158" i="387" s="1"/>
  <c r="G162" i="387"/>
  <c r="H162" i="387" s="1"/>
  <c r="I122" i="325" s="1"/>
  <c r="G166" i="387"/>
  <c r="H166" i="387" s="1"/>
  <c r="I124" i="325" s="1"/>
  <c r="G170" i="387"/>
  <c r="H170" i="387" s="1"/>
  <c r="I128" i="325" s="1"/>
  <c r="G174" i="387"/>
  <c r="H174" i="387" s="1"/>
  <c r="I137" i="325" s="1"/>
  <c r="G178" i="387"/>
  <c r="H178" i="387" s="1"/>
  <c r="I144" i="325" s="1"/>
  <c r="G186" i="387"/>
  <c r="H186" i="387" s="1"/>
  <c r="G195" i="387"/>
  <c r="H195" i="387" s="1"/>
  <c r="I25" i="337" s="1"/>
  <c r="G199" i="387"/>
  <c r="H199" i="387" s="1"/>
  <c r="G203" i="387"/>
  <c r="H203" i="387" s="1"/>
  <c r="I26" i="337" s="1"/>
  <c r="D301" i="387"/>
  <c r="H301" i="387" s="1"/>
  <c r="I97" i="337" s="1"/>
  <c r="D22" i="387"/>
  <c r="H22" i="387" s="1"/>
  <c r="I19" i="325" s="1"/>
  <c r="D313" i="387"/>
  <c r="H313" i="387" s="1"/>
  <c r="I144" i="337" s="1"/>
  <c r="D43" i="387"/>
  <c r="H43" i="387" s="1"/>
  <c r="H51" i="393"/>
  <c r="H21" i="395"/>
  <c r="H15" i="408"/>
  <c r="D165" i="388"/>
  <c r="D178" i="388" s="1"/>
  <c r="G78" i="387"/>
  <c r="H78" i="387" s="1"/>
  <c r="H65" i="325" s="1"/>
  <c r="G155" i="387"/>
  <c r="H155" i="387" s="1"/>
  <c r="G159" i="387"/>
  <c r="H159" i="387" s="1"/>
  <c r="G171" i="387"/>
  <c r="H171" i="387" s="1"/>
  <c r="I130" i="325" s="1"/>
  <c r="G175" i="387"/>
  <c r="H175" i="387" s="1"/>
  <c r="I138" i="325" s="1"/>
  <c r="G183" i="387"/>
  <c r="H183" i="387" s="1"/>
  <c r="I15" i="337" s="1"/>
  <c r="G200" i="387"/>
  <c r="H200" i="387" s="1"/>
  <c r="I151" i="337" s="1"/>
  <c r="I152" i="337" s="1"/>
  <c r="D50" i="387"/>
  <c r="H50" i="387" s="1"/>
  <c r="D34" i="387"/>
  <c r="H34" i="387" s="1"/>
  <c r="D18" i="387"/>
  <c r="H18" i="387" s="1"/>
  <c r="I25" i="325" s="1"/>
  <c r="D297" i="387"/>
  <c r="H297" i="387" s="1"/>
  <c r="D39" i="387"/>
  <c r="H39" i="387" s="1"/>
  <c r="I40" i="325" s="1"/>
  <c r="H19" i="392"/>
  <c r="G140" i="387"/>
  <c r="H140" i="387" s="1"/>
  <c r="I113" i="325" s="1"/>
  <c r="G160" i="387"/>
  <c r="H160" i="387" s="1"/>
  <c r="G164" i="387"/>
  <c r="H164" i="387" s="1"/>
  <c r="I123" i="325" s="1"/>
  <c r="G176" i="387"/>
  <c r="H176" i="387" s="1"/>
  <c r="I131" i="325" s="1"/>
  <c r="G184" i="387"/>
  <c r="H184" i="387" s="1"/>
  <c r="I16" i="337" s="1"/>
  <c r="G193" i="387"/>
  <c r="H193" i="387" s="1"/>
  <c r="D214" i="387"/>
  <c r="H214" i="387" s="1"/>
  <c r="D46" i="387"/>
  <c r="H46" i="387" s="1"/>
  <c r="I39" i="325" s="1"/>
  <c r="D30" i="387"/>
  <c r="H30" i="387" s="1"/>
  <c r="I51" i="403"/>
  <c r="H144" i="407"/>
  <c r="I36" i="405"/>
  <c r="I164" i="408"/>
  <c r="I36" i="392"/>
  <c r="H78" i="396"/>
  <c r="I50" i="389"/>
  <c r="I76" i="360"/>
  <c r="H21" i="392"/>
  <c r="I15" i="407"/>
  <c r="H32" i="360"/>
  <c r="D47" i="389"/>
  <c r="H11" i="403"/>
  <c r="D147" i="405"/>
  <c r="D165" i="405" s="1"/>
  <c r="D178" i="405" s="1"/>
  <c r="C51" i="391" s="1"/>
  <c r="D9" i="404"/>
  <c r="D24" i="404" s="1"/>
  <c r="D48" i="404" s="1"/>
  <c r="D149" i="404" s="1"/>
  <c r="D76" i="408"/>
  <c r="G141" i="387"/>
  <c r="H141" i="387" s="1"/>
  <c r="G76" i="387"/>
  <c r="H76" i="387" s="1"/>
  <c r="G144" i="387"/>
  <c r="H144" i="387" s="1"/>
  <c r="I126" i="325" s="1"/>
  <c r="G153" i="387"/>
  <c r="H153" i="387" s="1"/>
  <c r="G157" i="387"/>
  <c r="H157" i="387" s="1"/>
  <c r="G161" i="387"/>
  <c r="H161" i="387" s="1"/>
  <c r="I121" i="325" s="1"/>
  <c r="G165" i="387"/>
  <c r="H165" i="387" s="1"/>
  <c r="G169" i="387"/>
  <c r="H169" i="387" s="1"/>
  <c r="G173" i="387"/>
  <c r="H173" i="387" s="1"/>
  <c r="I136" i="325" s="1"/>
  <c r="G177" i="387"/>
  <c r="H177" i="387" s="1"/>
  <c r="I143" i="325" s="1"/>
  <c r="G181" i="387"/>
  <c r="H181" i="387" s="1"/>
  <c r="I13" i="337" s="1"/>
  <c r="G185" i="387"/>
  <c r="H185" i="387" s="1"/>
  <c r="I17" i="337" s="1"/>
  <c r="G190" i="387"/>
  <c r="H190" i="387" s="1"/>
  <c r="I22" i="337" s="1"/>
  <c r="G194" i="387"/>
  <c r="H194" i="387" s="1"/>
  <c r="I24" i="337" s="1"/>
  <c r="G198" i="387"/>
  <c r="H198" i="387" s="1"/>
  <c r="G202" i="387"/>
  <c r="H202" i="387" s="1"/>
  <c r="I27" i="337" s="1"/>
  <c r="D42" i="387"/>
  <c r="H42" i="387" s="1"/>
  <c r="D26" i="387"/>
  <c r="H26" i="387" s="1"/>
  <c r="I31" i="325" s="1"/>
  <c r="D31" i="387"/>
  <c r="H31" i="387" s="1"/>
  <c r="H180" i="387"/>
  <c r="I12" i="337" s="1"/>
  <c r="D165" i="395"/>
  <c r="D178" i="395" s="1"/>
  <c r="C9" i="391" s="1"/>
  <c r="C126" i="386"/>
  <c r="P126" i="386" s="1"/>
  <c r="C17" i="386"/>
  <c r="P17" i="386" s="1"/>
  <c r="D19" i="360"/>
  <c r="I19" i="360" s="1"/>
  <c r="G169" i="385"/>
  <c r="M167" i="365"/>
  <c r="M168" i="365" s="1"/>
  <c r="E151" i="365"/>
  <c r="E164" i="365" s="1"/>
  <c r="E165" i="365" s="1"/>
  <c r="D147" i="408"/>
  <c r="D165" i="408" s="1"/>
  <c r="D178" i="408" s="1"/>
  <c r="J165" i="386"/>
  <c r="J167" i="386" s="1"/>
  <c r="J168" i="386" s="1"/>
  <c r="D47" i="402"/>
  <c r="I47" i="402" s="1"/>
  <c r="C162" i="385"/>
  <c r="P162" i="385" s="1"/>
  <c r="C13" i="386"/>
  <c r="P13" i="386" s="1"/>
  <c r="M23" i="386"/>
  <c r="M44" i="386" s="1"/>
  <c r="I168" i="365"/>
  <c r="C65" i="386"/>
  <c r="P65" i="386" s="1"/>
  <c r="O23" i="386"/>
  <c r="O44" i="386" s="1"/>
  <c r="C23" i="365"/>
  <c r="P23" i="365" s="1"/>
  <c r="D147" i="392"/>
  <c r="D165" i="392" s="1"/>
  <c r="D178" i="392" s="1"/>
  <c r="C12" i="391" s="1"/>
  <c r="H44" i="386"/>
  <c r="G168" i="385"/>
  <c r="E33" i="324"/>
  <c r="D147" i="398"/>
  <c r="D165" i="398" s="1"/>
  <c r="D178" i="398" s="1"/>
  <c r="C27" i="391" s="1"/>
  <c r="H290" i="335"/>
  <c r="C167" i="405"/>
  <c r="C149" i="405"/>
  <c r="C171" i="405"/>
  <c r="C153" i="405"/>
  <c r="C166" i="403"/>
  <c r="C170" i="403" s="1"/>
  <c r="C167" i="403"/>
  <c r="C171" i="403"/>
  <c r="C149" i="403"/>
  <c r="C184" i="403"/>
  <c r="C178" i="396"/>
  <c r="C167" i="396"/>
  <c r="C166" i="396"/>
  <c r="C170" i="396" s="1"/>
  <c r="C171" i="396"/>
  <c r="C165" i="397"/>
  <c r="C149" i="397"/>
  <c r="C148" i="397"/>
  <c r="C152" i="397" s="1"/>
  <c r="R908" i="328"/>
  <c r="A918" i="328"/>
  <c r="R579" i="328"/>
  <c r="A166" i="328"/>
  <c r="R156" i="328"/>
  <c r="I32" i="398"/>
  <c r="D47" i="398"/>
  <c r="G76" i="365"/>
  <c r="C47" i="365"/>
  <c r="P47" i="365" s="1"/>
  <c r="A72" i="328"/>
  <c r="I32" i="394"/>
  <c r="D47" i="394"/>
  <c r="I47" i="394" s="1"/>
  <c r="C165" i="360"/>
  <c r="C149" i="360"/>
  <c r="C153" i="360"/>
  <c r="C178" i="399"/>
  <c r="C171" i="399"/>
  <c r="C167" i="399"/>
  <c r="C166" i="399"/>
  <c r="C170" i="399" s="1"/>
  <c r="D9" i="394"/>
  <c r="I11" i="394"/>
  <c r="C149" i="396"/>
  <c r="C137" i="386"/>
  <c r="P137" i="386" s="1"/>
  <c r="S16" i="420"/>
  <c r="D165" i="396"/>
  <c r="D178" i="396" s="1"/>
  <c r="C15" i="391" s="1"/>
  <c r="D47" i="404"/>
  <c r="I47" i="404" s="1"/>
  <c r="D47" i="392"/>
  <c r="C165" i="407"/>
  <c r="C153" i="407"/>
  <c r="C148" i="407"/>
  <c r="C152" i="407" s="1"/>
  <c r="C149" i="407"/>
  <c r="R767" i="328"/>
  <c r="A777" i="328"/>
  <c r="R391" i="328"/>
  <c r="A401" i="328"/>
  <c r="A354" i="328"/>
  <c r="A965" i="328"/>
  <c r="A730" i="328"/>
  <c r="R250" i="328"/>
  <c r="I21" i="395"/>
  <c r="D19" i="395"/>
  <c r="I19" i="395" s="1"/>
  <c r="I11" i="405"/>
  <c r="D9" i="405"/>
  <c r="C153" i="397"/>
  <c r="C148" i="396"/>
  <c r="C152" i="396" s="1"/>
  <c r="C153" i="396"/>
  <c r="C148" i="360"/>
  <c r="C152" i="360" s="1"/>
  <c r="E89" i="254"/>
  <c r="E40" i="354"/>
  <c r="H206" i="387"/>
  <c r="I30" i="337" s="1"/>
  <c r="H135" i="387"/>
  <c r="H156" i="387"/>
  <c r="H172" i="387"/>
  <c r="I129" i="325" s="1"/>
  <c r="H296" i="335"/>
  <c r="H188" i="387"/>
  <c r="I19" i="337" s="1"/>
  <c r="H119" i="387"/>
  <c r="E82" i="324"/>
  <c r="D34" i="339"/>
  <c r="D41" i="339" s="1"/>
  <c r="D48" i="339" s="1"/>
  <c r="D55" i="339" s="1"/>
  <c r="D62" i="339" s="1"/>
  <c r="D69" i="339" s="1"/>
  <c r="D76" i="339" s="1"/>
  <c r="D83" i="339" s="1"/>
  <c r="D90" i="339" s="1"/>
  <c r="D41" i="254"/>
  <c r="D48" i="254" s="1"/>
  <c r="D55" i="254" s="1"/>
  <c r="D62" i="254" s="1"/>
  <c r="D69" i="254" s="1"/>
  <c r="D76" i="254" s="1"/>
  <c r="D83" i="254" s="1"/>
  <c r="D90" i="254" s="1"/>
  <c r="O164" i="365"/>
  <c r="O165" i="365" s="1"/>
  <c r="O167" i="365" s="1"/>
  <c r="C151" i="365"/>
  <c r="P151" i="365" s="1"/>
  <c r="N167" i="385"/>
  <c r="N168" i="385" s="1"/>
  <c r="N169" i="385"/>
  <c r="L167" i="385"/>
  <c r="L168" i="385" s="1"/>
  <c r="L169" i="385"/>
  <c r="D147" i="407"/>
  <c r="D165" i="407" s="1"/>
  <c r="D178" i="407" s="1"/>
  <c r="I169" i="365"/>
  <c r="D147" i="402"/>
  <c r="D165" i="402" s="1"/>
  <c r="D178" i="402" s="1"/>
  <c r="C42" i="391" s="1"/>
  <c r="I80" i="386"/>
  <c r="D24" i="392"/>
  <c r="D147" i="360"/>
  <c r="D165" i="360" s="1"/>
  <c r="D178" i="360" s="1"/>
  <c r="C57" i="391" s="1"/>
  <c r="I29" i="393"/>
  <c r="H29" i="393"/>
  <c r="D27" i="393"/>
  <c r="I11" i="407"/>
  <c r="D9" i="407"/>
  <c r="H11" i="407"/>
  <c r="C162" i="365"/>
  <c r="P162" i="365" s="1"/>
  <c r="P161" i="365"/>
  <c r="D19" i="403"/>
  <c r="I21" i="403"/>
  <c r="G165" i="386"/>
  <c r="G167" i="386" s="1"/>
  <c r="F168" i="386"/>
  <c r="F169" i="386"/>
  <c r="I11" i="396"/>
  <c r="D9" i="396"/>
  <c r="D147" i="404"/>
  <c r="D165" i="404" s="1"/>
  <c r="I78" i="397"/>
  <c r="D77" i="397"/>
  <c r="D47" i="399"/>
  <c r="I47" i="399" s="1"/>
  <c r="I36" i="399"/>
  <c r="H15" i="401"/>
  <c r="I43" i="385"/>
  <c r="C43" i="385" s="1"/>
  <c r="P43" i="385" s="1"/>
  <c r="C102" i="386"/>
  <c r="P102" i="386" s="1"/>
  <c r="D48" i="402"/>
  <c r="D149" i="402" s="1"/>
  <c r="I36" i="396"/>
  <c r="D47" i="396"/>
  <c r="C47" i="386"/>
  <c r="P47" i="386" s="1"/>
  <c r="D147" i="401"/>
  <c r="D165" i="401" s="1"/>
  <c r="D178" i="401" s="1"/>
  <c r="C33" i="391" s="1"/>
  <c r="I9" i="404"/>
  <c r="I21" i="399"/>
  <c r="D19" i="399"/>
  <c r="I19" i="399" s="1"/>
  <c r="D47" i="408"/>
  <c r="I27" i="408"/>
  <c r="E169" i="385"/>
  <c r="C20" i="386"/>
  <c r="P20" i="386" s="1"/>
  <c r="C34" i="386"/>
  <c r="P34" i="386" s="1"/>
  <c r="L43" i="386"/>
  <c r="L44" i="386" s="1"/>
  <c r="I9" i="401"/>
  <c r="D24" i="401"/>
  <c r="I24" i="401" s="1"/>
  <c r="L76" i="386"/>
  <c r="L80" i="386" s="1"/>
  <c r="H76" i="386"/>
  <c r="H80" i="386" s="1"/>
  <c r="I21" i="396"/>
  <c r="D19" i="396"/>
  <c r="I19" i="396" s="1"/>
  <c r="H32" i="401"/>
  <c r="E82" i="354"/>
  <c r="D27" i="360"/>
  <c r="I29" i="360"/>
  <c r="C97" i="365"/>
  <c r="P97" i="365" s="1"/>
  <c r="I11" i="403"/>
  <c r="D9" i="403"/>
  <c r="I9" i="403" s="1"/>
  <c r="D9" i="408"/>
  <c r="H9" i="408" s="1"/>
  <c r="I11" i="408"/>
  <c r="C11" i="385"/>
  <c r="P11" i="385" s="1"/>
  <c r="M23" i="385"/>
  <c r="E12" i="254"/>
  <c r="E12" i="339"/>
  <c r="E89" i="324"/>
  <c r="R1" i="331"/>
  <c r="A11" i="331"/>
  <c r="F47" i="388"/>
  <c r="G21" i="404"/>
  <c r="G19" i="404" s="1"/>
  <c r="H19" i="404" s="1"/>
  <c r="G29" i="388"/>
  <c r="G27" i="388" s="1"/>
  <c r="H27" i="388" s="1"/>
  <c r="G27" i="403"/>
  <c r="F76" i="404"/>
  <c r="F147" i="404" s="1"/>
  <c r="F165" i="404" s="1"/>
  <c r="F178" i="404" s="1"/>
  <c r="F47" i="394"/>
  <c r="F48" i="394" s="1"/>
  <c r="G9" i="403"/>
  <c r="G24" i="403" s="1"/>
  <c r="G21" i="402"/>
  <c r="G19" i="402" s="1"/>
  <c r="H19" i="402" s="1"/>
  <c r="F47" i="398"/>
  <c r="F48" i="398" s="1"/>
  <c r="F24" i="404"/>
  <c r="E147" i="404"/>
  <c r="E165" i="404" s="1"/>
  <c r="E178" i="404" s="1"/>
  <c r="F47" i="405"/>
  <c r="F48" i="405" s="1"/>
  <c r="G144" i="394"/>
  <c r="H144" i="394" s="1"/>
  <c r="C13" i="324"/>
  <c r="C20" i="324" s="1"/>
  <c r="C27" i="324" s="1"/>
  <c r="C34" i="324" s="1"/>
  <c r="C41" i="324" s="1"/>
  <c r="C48" i="324" s="1"/>
  <c r="G20" i="353"/>
  <c r="F335" i="387"/>
  <c r="F35" i="346"/>
  <c r="H35" i="346" s="1"/>
  <c r="D34" i="354"/>
  <c r="D41" i="354" s="1"/>
  <c r="D48" i="354" s="1"/>
  <c r="D55" i="354" s="1"/>
  <c r="D62" i="354" s="1"/>
  <c r="D69" i="354" s="1"/>
  <c r="D76" i="354" s="1"/>
  <c r="D83" i="354" s="1"/>
  <c r="D90" i="354" s="1"/>
  <c r="G41" i="346"/>
  <c r="G43" i="346" s="1"/>
  <c r="E75" i="324"/>
  <c r="F76" i="394"/>
  <c r="F147" i="394" s="1"/>
  <c r="F165" i="394" s="1"/>
  <c r="F178" i="394" s="1"/>
  <c r="G19" i="353"/>
  <c r="E19" i="324"/>
  <c r="G105" i="346"/>
  <c r="G107" i="346" s="1"/>
  <c r="R15" i="421"/>
  <c r="R16" i="421" s="1"/>
  <c r="G25" i="346"/>
  <c r="G27" i="346" s="1"/>
  <c r="F75" i="346"/>
  <c r="H75" i="346" s="1"/>
  <c r="H25" i="346"/>
  <c r="H33" i="346" s="1"/>
  <c r="H41" i="346" s="1"/>
  <c r="H49" i="346" s="1"/>
  <c r="H57" i="346" s="1"/>
  <c r="H65" i="346" s="1"/>
  <c r="H73" i="346" s="1"/>
  <c r="H81" i="346" s="1"/>
  <c r="H89" i="346" s="1"/>
  <c r="H97" i="346" s="1"/>
  <c r="H105" i="346" s="1"/>
  <c r="P161" i="386"/>
  <c r="C162" i="386"/>
  <c r="P162" i="386" s="1"/>
  <c r="F20" i="346"/>
  <c r="F28" i="346" s="1"/>
  <c r="C153" i="389"/>
  <c r="C167" i="389"/>
  <c r="C166" i="389"/>
  <c r="C170" i="389" s="1"/>
  <c r="C179" i="389"/>
  <c r="C148" i="389"/>
  <c r="C152" i="389" s="1"/>
  <c r="C171" i="389"/>
  <c r="C149" i="389"/>
  <c r="C184" i="389"/>
  <c r="C153" i="398"/>
  <c r="C165" i="398"/>
  <c r="C148" i="398"/>
  <c r="C152" i="398" s="1"/>
  <c r="C149" i="398"/>
  <c r="E76" i="386"/>
  <c r="E80" i="386" s="1"/>
  <c r="C50" i="386"/>
  <c r="P50" i="386" s="1"/>
  <c r="H151" i="386"/>
  <c r="H164" i="386" s="1"/>
  <c r="I97" i="386"/>
  <c r="C99" i="386"/>
  <c r="P99" i="386" s="1"/>
  <c r="I21" i="397"/>
  <c r="D19" i="397"/>
  <c r="I19" i="397" s="1"/>
  <c r="J168" i="385"/>
  <c r="J169" i="385"/>
  <c r="D27" i="403"/>
  <c r="I29" i="403"/>
  <c r="D179" i="402"/>
  <c r="C41" i="391"/>
  <c r="C43" i="391" s="1"/>
  <c r="D9" i="393"/>
  <c r="I27" i="401"/>
  <c r="D47" i="401"/>
  <c r="D48" i="401" s="1"/>
  <c r="M17" i="421" a="1"/>
  <c r="M17" i="421" s="1"/>
  <c r="I17" i="421" a="1"/>
  <c r="I17" i="421" s="1"/>
  <c r="C18" i="421"/>
  <c r="L17" i="421" a="1"/>
  <c r="L17" i="421" s="1"/>
  <c r="H17" i="421" a="1"/>
  <c r="H17" i="421" s="1"/>
  <c r="K17" i="421" a="1"/>
  <c r="K17" i="421" s="1"/>
  <c r="O17" i="421" a="1"/>
  <c r="O17" i="421" s="1"/>
  <c r="G17" i="421" a="1"/>
  <c r="G17" i="421" s="1"/>
  <c r="A17" i="421" a="1"/>
  <c r="A17" i="421" s="1"/>
  <c r="Q17" i="421" a="1"/>
  <c r="Q17" i="421" s="1"/>
  <c r="N17" i="421" a="1"/>
  <c r="N17" i="421" s="1"/>
  <c r="J165" i="365"/>
  <c r="C164" i="365"/>
  <c r="P164" i="365" s="1"/>
  <c r="C165" i="392"/>
  <c r="C149" i="392"/>
  <c r="C148" i="392"/>
  <c r="C152" i="392" s="1"/>
  <c r="C153" i="392"/>
  <c r="C11" i="386"/>
  <c r="P11" i="386" s="1"/>
  <c r="E23" i="386"/>
  <c r="G168" i="386"/>
  <c r="G169" i="386"/>
  <c r="C171" i="401"/>
  <c r="C166" i="401"/>
  <c r="C170" i="401" s="1"/>
  <c r="C178" i="401"/>
  <c r="C167" i="401"/>
  <c r="P151" i="385"/>
  <c r="C152" i="385"/>
  <c r="P152" i="385" s="1"/>
  <c r="D166" i="388"/>
  <c r="D170" i="388" s="1"/>
  <c r="D179" i="388"/>
  <c r="D149" i="388"/>
  <c r="D184" i="388"/>
  <c r="D148" i="388"/>
  <c r="D152" i="388" s="1"/>
  <c r="D167" i="388"/>
  <c r="D171" i="388"/>
  <c r="D153" i="388"/>
  <c r="N18" i="422" a="1"/>
  <c r="N18" i="422" s="1"/>
  <c r="A18" i="422" a="1"/>
  <c r="A18" i="422" s="1"/>
  <c r="R18" i="422" a="1"/>
  <c r="R18" i="422" s="1"/>
  <c r="L18" i="422" a="1"/>
  <c r="L18" i="422" s="1"/>
  <c r="G18" i="422" a="1"/>
  <c r="G18" i="422" s="1"/>
  <c r="H18" i="422" a="1"/>
  <c r="H18" i="422" s="1"/>
  <c r="O18" i="422" a="1"/>
  <c r="O18" i="422" s="1"/>
  <c r="M18" i="422" a="1"/>
  <c r="M18" i="422" s="1"/>
  <c r="P18" i="422" a="1"/>
  <c r="P18" i="422" s="1"/>
  <c r="J18" i="422" a="1"/>
  <c r="J18" i="422" s="1"/>
  <c r="I18" i="422" a="1"/>
  <c r="I18" i="422" s="1"/>
  <c r="C19" i="422"/>
  <c r="L164" i="386"/>
  <c r="L165" i="386" s="1"/>
  <c r="O43" i="365"/>
  <c r="C34" i="365"/>
  <c r="P34" i="365" s="1"/>
  <c r="E151" i="386"/>
  <c r="E164" i="386" s="1"/>
  <c r="C141" i="386"/>
  <c r="P141" i="386" s="1"/>
  <c r="O151" i="386"/>
  <c r="O164" i="386" s="1"/>
  <c r="O165" i="386" s="1"/>
  <c r="O167" i="386" s="1"/>
  <c r="O168" i="386" s="1"/>
  <c r="C89" i="386"/>
  <c r="P89" i="386" s="1"/>
  <c r="D151" i="386"/>
  <c r="K151" i="386"/>
  <c r="K164" i="386" s="1"/>
  <c r="K165" i="386" s="1"/>
  <c r="K167" i="386" s="1"/>
  <c r="K168" i="386" s="1"/>
  <c r="D80" i="386"/>
  <c r="D147" i="393"/>
  <c r="D165" i="393" s="1"/>
  <c r="D178" i="393" s="1"/>
  <c r="C24" i="391" s="1"/>
  <c r="C36" i="391" s="1"/>
  <c r="C117" i="386"/>
  <c r="P117" i="386" s="1"/>
  <c r="D165" i="385"/>
  <c r="F167" i="365"/>
  <c r="F169" i="365"/>
  <c r="I15" i="397"/>
  <c r="N167" i="386"/>
  <c r="N168" i="386" s="1"/>
  <c r="N169" i="386"/>
  <c r="H21" i="397"/>
  <c r="D9" i="399"/>
  <c r="I11" i="399"/>
  <c r="M151" i="386"/>
  <c r="M164" i="386" s="1"/>
  <c r="M165" i="386" s="1"/>
  <c r="D19" i="389"/>
  <c r="I19" i="389" s="1"/>
  <c r="I21" i="389"/>
  <c r="K167" i="365"/>
  <c r="K168" i="365" s="1"/>
  <c r="K169" i="365"/>
  <c r="D76" i="389"/>
  <c r="D147" i="389" s="1"/>
  <c r="D165" i="389" s="1"/>
  <c r="D178" i="389" s="1"/>
  <c r="D24" i="360"/>
  <c r="H169" i="365"/>
  <c r="H168" i="365"/>
  <c r="J169" i="386"/>
  <c r="F47" i="403"/>
  <c r="F48" i="403" s="1"/>
  <c r="F47" i="404"/>
  <c r="F76" i="397"/>
  <c r="F147" i="397" s="1"/>
  <c r="F165" i="397" s="1"/>
  <c r="F178" i="397" s="1"/>
  <c r="A11" i="341"/>
  <c r="R1" i="341"/>
  <c r="T113" i="347"/>
  <c r="L100" i="348"/>
  <c r="H51" i="399"/>
  <c r="E26" i="413"/>
  <c r="E45" i="413" s="1"/>
  <c r="J111" i="347"/>
  <c r="J112" i="347" s="1"/>
  <c r="I139" i="398"/>
  <c r="F24" i="402"/>
  <c r="H29" i="408"/>
  <c r="U110" i="347"/>
  <c r="U111" i="347" s="1"/>
  <c r="U113" i="347" s="1"/>
  <c r="G139" i="405"/>
  <c r="H139" i="405" s="1"/>
  <c r="G27" i="394"/>
  <c r="H27" i="394" s="1"/>
  <c r="F76" i="403"/>
  <c r="F147" i="403" s="1"/>
  <c r="F165" i="403" s="1"/>
  <c r="H196" i="335"/>
  <c r="E13" i="254"/>
  <c r="G29" i="404"/>
  <c r="G27" i="404" s="1"/>
  <c r="H27" i="404" s="1"/>
  <c r="R112" i="347"/>
  <c r="H139" i="388"/>
  <c r="H15" i="394"/>
  <c r="F147" i="405"/>
  <c r="F165" i="405" s="1"/>
  <c r="I177" i="398"/>
  <c r="D45" i="418"/>
  <c r="D139" i="418" s="1"/>
  <c r="D143" i="418" s="1"/>
  <c r="G9" i="394"/>
  <c r="I15" i="404"/>
  <c r="G51" i="404"/>
  <c r="I51" i="404" s="1"/>
  <c r="I77" i="360"/>
  <c r="I51" i="396"/>
  <c r="H76" i="360"/>
  <c r="I164" i="399"/>
  <c r="D138" i="417"/>
  <c r="E138" i="418"/>
  <c r="I15" i="393"/>
  <c r="H11" i="402"/>
  <c r="G19" i="408"/>
  <c r="H19" i="408" s="1"/>
  <c r="I15" i="399"/>
  <c r="I78" i="393"/>
  <c r="G27" i="395"/>
  <c r="H27" i="395" s="1"/>
  <c r="H36" i="392"/>
  <c r="I29" i="395"/>
  <c r="G77" i="396"/>
  <c r="G76" i="396" s="1"/>
  <c r="I76" i="396" s="1"/>
  <c r="I112" i="347"/>
  <c r="H77" i="393"/>
  <c r="G19" i="396"/>
  <c r="H19" i="396" s="1"/>
  <c r="R100" i="348"/>
  <c r="H27" i="346"/>
  <c r="E48" i="360"/>
  <c r="E148" i="360" s="1"/>
  <c r="E152" i="360" s="1"/>
  <c r="G24" i="401"/>
  <c r="H24" i="401" s="1"/>
  <c r="J160" i="335"/>
  <c r="G332" i="335"/>
  <c r="H78" i="335"/>
  <c r="T57" i="348"/>
  <c r="G27" i="405"/>
  <c r="H27" i="405" s="1"/>
  <c r="F48" i="396"/>
  <c r="F166" i="396" s="1"/>
  <c r="F170" i="396" s="1"/>
  <c r="H51" i="402"/>
  <c r="M112" i="347"/>
  <c r="F48" i="399"/>
  <c r="F149" i="399" s="1"/>
  <c r="H36" i="401"/>
  <c r="I139" i="394"/>
  <c r="P113" i="347"/>
  <c r="H50" i="402"/>
  <c r="G27" i="399"/>
  <c r="H27" i="399" s="1"/>
  <c r="E10" i="412"/>
  <c r="E45" i="412" s="1"/>
  <c r="I51" i="402"/>
  <c r="E48" i="405"/>
  <c r="E153" i="405" s="1"/>
  <c r="G100" i="348"/>
  <c r="D332" i="335"/>
  <c r="K333" i="335"/>
  <c r="H78" i="399"/>
  <c r="H21" i="389"/>
  <c r="G77" i="399"/>
  <c r="H77" i="399" s="1"/>
  <c r="N98" i="348"/>
  <c r="N99" i="348" s="1"/>
  <c r="I78" i="396"/>
  <c r="E48" i="407"/>
  <c r="E179" i="407" s="1"/>
  <c r="H78" i="392"/>
  <c r="E113" i="347"/>
  <c r="K99" i="348"/>
  <c r="E48" i="398"/>
  <c r="E149" i="398" s="1"/>
  <c r="I164" i="407"/>
  <c r="I164" i="405"/>
  <c r="G116" i="347"/>
  <c r="L112" i="347"/>
  <c r="F48" i="392"/>
  <c r="F179" i="392" s="1"/>
  <c r="E48" i="388"/>
  <c r="E166" i="388" s="1"/>
  <c r="E170" i="388" s="1"/>
  <c r="G9" i="393"/>
  <c r="H9" i="393" s="1"/>
  <c r="I177" i="389"/>
  <c r="C139" i="417"/>
  <c r="C143" i="417" s="1"/>
  <c r="H139" i="404"/>
  <c r="E31" i="417"/>
  <c r="E45" i="417" s="1"/>
  <c r="H29" i="397"/>
  <c r="F147" i="401"/>
  <c r="F165" i="401" s="1"/>
  <c r="F178" i="401" s="1"/>
  <c r="E48" i="408"/>
  <c r="E149" i="408" s="1"/>
  <c r="F76" i="388"/>
  <c r="F147" i="388" s="1"/>
  <c r="F165" i="388" s="1"/>
  <c r="F178" i="388" s="1"/>
  <c r="G27" i="360"/>
  <c r="H27" i="360" s="1"/>
  <c r="G77" i="408"/>
  <c r="I77" i="408" s="1"/>
  <c r="E74" i="412"/>
  <c r="E138" i="412" s="1"/>
  <c r="I27" i="392"/>
  <c r="E48" i="389"/>
  <c r="E171" i="389" s="1"/>
  <c r="H78" i="408"/>
  <c r="G24" i="405"/>
  <c r="G112" i="347"/>
  <c r="G115" i="347" s="1"/>
  <c r="F48" i="389"/>
  <c r="F171" i="389" s="1"/>
  <c r="G50" i="392"/>
  <c r="H50" i="392" s="1"/>
  <c r="K332" i="335"/>
  <c r="I164" i="395"/>
  <c r="G147" i="360"/>
  <c r="G50" i="396"/>
  <c r="H50" i="396" s="1"/>
  <c r="H11" i="405"/>
  <c r="I144" i="392"/>
  <c r="H15" i="360"/>
  <c r="H21" i="393"/>
  <c r="E48" i="394"/>
  <c r="E148" i="394" s="1"/>
  <c r="E152" i="394" s="1"/>
  <c r="G78" i="388"/>
  <c r="G77" i="388" s="1"/>
  <c r="G76" i="388" s="1"/>
  <c r="G76" i="393"/>
  <c r="H76" i="393" s="1"/>
  <c r="H15" i="407"/>
  <c r="H145" i="404"/>
  <c r="H78" i="393"/>
  <c r="G47" i="392"/>
  <c r="G47" i="393"/>
  <c r="G177" i="394"/>
  <c r="H177" i="394" s="1"/>
  <c r="H177" i="399"/>
  <c r="G19" i="395"/>
  <c r="I177" i="393"/>
  <c r="H77" i="360"/>
  <c r="I177" i="392"/>
  <c r="G78" i="394"/>
  <c r="G77" i="394" s="1"/>
  <c r="D45" i="417"/>
  <c r="S113" i="347"/>
  <c r="D138" i="416"/>
  <c r="D138" i="413"/>
  <c r="E20" i="346"/>
  <c r="H164" i="408"/>
  <c r="E138" i="417"/>
  <c r="H29" i="392"/>
  <c r="I36" i="408"/>
  <c r="V101" i="347"/>
  <c r="V110" i="347" s="1"/>
  <c r="G36" i="395"/>
  <c r="V36" i="347"/>
  <c r="E48" i="397"/>
  <c r="E166" i="397" s="1"/>
  <c r="E170" i="397" s="1"/>
  <c r="F48" i="360"/>
  <c r="F149" i="360" s="1"/>
  <c r="E48" i="396"/>
  <c r="E184" i="396" s="1"/>
  <c r="F100" i="348"/>
  <c r="J99" i="348"/>
  <c r="E138" i="413"/>
  <c r="H139" i="407"/>
  <c r="H113" i="347"/>
  <c r="G9" i="395"/>
  <c r="I9" i="395" s="1"/>
  <c r="E48" i="399"/>
  <c r="E149" i="399" s="1"/>
  <c r="C139" i="413"/>
  <c r="C143" i="413" s="1"/>
  <c r="E48" i="401"/>
  <c r="E148" i="401" s="1"/>
  <c r="E152" i="401" s="1"/>
  <c r="G47" i="408"/>
  <c r="F48" i="408"/>
  <c r="F148" i="408" s="1"/>
  <c r="F152" i="408" s="1"/>
  <c r="I164" i="397"/>
  <c r="E48" i="393"/>
  <c r="E167" i="393" s="1"/>
  <c r="H50" i="389"/>
  <c r="H139" i="399"/>
  <c r="C139" i="418"/>
  <c r="C143" i="418" s="1"/>
  <c r="F48" i="393"/>
  <c r="F184" i="393" s="1"/>
  <c r="J74" i="337"/>
  <c r="I29" i="392"/>
  <c r="H99" i="348"/>
  <c r="H78" i="405"/>
  <c r="E48" i="402"/>
  <c r="D45" i="416"/>
  <c r="E48" i="392"/>
  <c r="E153" i="392" s="1"/>
  <c r="Q100" i="348"/>
  <c r="Q99" i="348"/>
  <c r="G113" i="347"/>
  <c r="H36" i="405"/>
  <c r="H11" i="389"/>
  <c r="I51" i="389"/>
  <c r="E99" i="348"/>
  <c r="E101" i="348" s="1"/>
  <c r="E104" i="348" s="1"/>
  <c r="D120" i="406"/>
  <c r="E120" i="406" s="1"/>
  <c r="G47" i="407"/>
  <c r="M100" i="348"/>
  <c r="I164" i="360"/>
  <c r="H145" i="402"/>
  <c r="I51" i="392"/>
  <c r="G77" i="392"/>
  <c r="I77" i="392" s="1"/>
  <c r="V61" i="347"/>
  <c r="P114" i="347" s="1"/>
  <c r="G9" i="389"/>
  <c r="H9" i="389" s="1"/>
  <c r="H51" i="389"/>
  <c r="H21" i="388"/>
  <c r="G9" i="397"/>
  <c r="H9" i="397" s="1"/>
  <c r="G50" i="399"/>
  <c r="H50" i="399" s="1"/>
  <c r="H11" i="395"/>
  <c r="G47" i="397"/>
  <c r="H47" i="397" s="1"/>
  <c r="E74" i="416"/>
  <c r="E138" i="416" s="1"/>
  <c r="U57" i="348"/>
  <c r="E45" i="416"/>
  <c r="I58" i="401"/>
  <c r="H58" i="401"/>
  <c r="E48" i="403"/>
  <c r="E153" i="403" s="1"/>
  <c r="D120" i="411"/>
  <c r="E120" i="411" s="1"/>
  <c r="I144" i="389"/>
  <c r="H144" i="389"/>
  <c r="G50" i="403"/>
  <c r="H50" i="403" s="1"/>
  <c r="E48" i="395"/>
  <c r="E166" i="395" s="1"/>
  <c r="E170" i="395" s="1"/>
  <c r="H51" i="403"/>
  <c r="H83" i="346"/>
  <c r="K112" i="347"/>
  <c r="K113" i="347"/>
  <c r="G11" i="392"/>
  <c r="H11" i="360"/>
  <c r="G9" i="360"/>
  <c r="H9" i="360" s="1"/>
  <c r="H43" i="346"/>
  <c r="H67" i="346"/>
  <c r="G50" i="393"/>
  <c r="I50" i="393" s="1"/>
  <c r="I139" i="389"/>
  <c r="H139" i="389"/>
  <c r="C139" i="412"/>
  <c r="C143" i="412" s="1"/>
  <c r="G50" i="401"/>
  <c r="H51" i="401"/>
  <c r="G27" i="398"/>
  <c r="H29" i="398"/>
  <c r="G78" i="401"/>
  <c r="O110" i="347"/>
  <c r="O111" i="347" s="1"/>
  <c r="I36" i="407"/>
  <c r="H36" i="407"/>
  <c r="H139" i="392"/>
  <c r="I139" i="392"/>
  <c r="I164" i="389"/>
  <c r="H164" i="389"/>
  <c r="H11" i="399"/>
  <c r="G9" i="399"/>
  <c r="G19" i="407"/>
  <c r="H19" i="407" s="1"/>
  <c r="H21" i="407"/>
  <c r="I177" i="407"/>
  <c r="H177" i="407"/>
  <c r="H27" i="389"/>
  <c r="I27" i="389"/>
  <c r="H19" i="393"/>
  <c r="F48" i="395"/>
  <c r="F153" i="395" s="1"/>
  <c r="E48" i="404"/>
  <c r="H31" i="401"/>
  <c r="G29" i="401"/>
  <c r="H37" i="404"/>
  <c r="G36" i="404"/>
  <c r="I109" i="388"/>
  <c r="H109" i="388"/>
  <c r="I164" i="393"/>
  <c r="H164" i="393"/>
  <c r="H164" i="392"/>
  <c r="I164" i="392"/>
  <c r="D120" i="410"/>
  <c r="E120" i="410" s="1"/>
  <c r="G36" i="398"/>
  <c r="H36" i="398" s="1"/>
  <c r="H51" i="407"/>
  <c r="I51" i="407"/>
  <c r="G19" i="360"/>
  <c r="H21" i="360"/>
  <c r="E178" i="388"/>
  <c r="H78" i="404"/>
  <c r="G77" i="404"/>
  <c r="I78" i="404"/>
  <c r="G77" i="398"/>
  <c r="I78" i="398"/>
  <c r="Q113" i="347"/>
  <c r="Q112" i="347"/>
  <c r="H9" i="407"/>
  <c r="I164" i="396"/>
  <c r="H164" i="396"/>
  <c r="H11" i="396"/>
  <c r="G9" i="396"/>
  <c r="H164" i="403"/>
  <c r="I164" i="403"/>
  <c r="H36" i="388"/>
  <c r="I36" i="388"/>
  <c r="G19" i="399"/>
  <c r="H19" i="399" s="1"/>
  <c r="H21" i="399"/>
  <c r="H164" i="401"/>
  <c r="I164" i="401"/>
  <c r="H11" i="398"/>
  <c r="G9" i="398"/>
  <c r="H9" i="398" s="1"/>
  <c r="E165" i="394"/>
  <c r="F165" i="360"/>
  <c r="O100" i="348"/>
  <c r="O99" i="348"/>
  <c r="H62" i="405"/>
  <c r="I62" i="405"/>
  <c r="I164" i="404"/>
  <c r="H164" i="404"/>
  <c r="C139" i="416"/>
  <c r="C143" i="416" s="1"/>
  <c r="H107" i="346"/>
  <c r="D45" i="412"/>
  <c r="G77" i="405"/>
  <c r="H114" i="395"/>
  <c r="G78" i="395"/>
  <c r="H100" i="348"/>
  <c r="T97" i="348"/>
  <c r="U64" i="348"/>
  <c r="G51" i="405"/>
  <c r="J171" i="335"/>
  <c r="H50" i="407"/>
  <c r="I40" i="389"/>
  <c r="H40" i="389"/>
  <c r="G36" i="389"/>
  <c r="I32" i="348"/>
  <c r="U11" i="348"/>
  <c r="U32" i="348" s="1"/>
  <c r="I97" i="348"/>
  <c r="I98" i="348" s="1"/>
  <c r="U76" i="348"/>
  <c r="S100" i="348"/>
  <c r="S99" i="348"/>
  <c r="I51" i="393"/>
  <c r="P100" i="348"/>
  <c r="P99" i="348"/>
  <c r="H38" i="403"/>
  <c r="G36" i="403"/>
  <c r="H23" i="398"/>
  <c r="G21" i="398"/>
  <c r="I68" i="397"/>
  <c r="H68" i="397"/>
  <c r="G51" i="397"/>
  <c r="H112" i="403"/>
  <c r="G78" i="403"/>
  <c r="H162" i="402"/>
  <c r="G164" i="402"/>
  <c r="G139" i="408"/>
  <c r="I53" i="408"/>
  <c r="G51" i="408"/>
  <c r="H53" i="408"/>
  <c r="I70" i="394"/>
  <c r="H70" i="394"/>
  <c r="H99" i="402"/>
  <c r="G78" i="402"/>
  <c r="I81" i="388"/>
  <c r="H81" i="388"/>
  <c r="H106" i="389"/>
  <c r="G78" i="389"/>
  <c r="N112" i="347"/>
  <c r="N113" i="347"/>
  <c r="G164" i="388"/>
  <c r="E114" i="347"/>
  <c r="E116" i="347" s="1"/>
  <c r="H85" i="407"/>
  <c r="G78" i="407"/>
  <c r="H20" i="397"/>
  <c r="G19" i="397"/>
  <c r="I69" i="397"/>
  <c r="H69" i="397"/>
  <c r="I139" i="393"/>
  <c r="H139" i="393"/>
  <c r="H164" i="398"/>
  <c r="I164" i="398"/>
  <c r="G78" i="397"/>
  <c r="E165" i="360"/>
  <c r="G83" i="346"/>
  <c r="E45" i="418"/>
  <c r="D138" i="412"/>
  <c r="I96" i="325"/>
  <c r="H51" i="346"/>
  <c r="H91" i="346"/>
  <c r="H59" i="346"/>
  <c r="E165" i="408"/>
  <c r="E165" i="398"/>
  <c r="F47" i="402"/>
  <c r="F48" i="407"/>
  <c r="F171" i="407" s="1"/>
  <c r="H32" i="396"/>
  <c r="G47" i="396"/>
  <c r="I51" i="394"/>
  <c r="H51" i="394"/>
  <c r="G50" i="394"/>
  <c r="H164" i="394"/>
  <c r="I164" i="394"/>
  <c r="E165" i="399"/>
  <c r="G67" i="346"/>
  <c r="H51" i="388"/>
  <c r="G50" i="388"/>
  <c r="I51" i="388"/>
  <c r="H15" i="403"/>
  <c r="I15" i="403"/>
  <c r="I51" i="395"/>
  <c r="G50" i="395"/>
  <c r="H51" i="395"/>
  <c r="E165" i="401"/>
  <c r="H19" i="346"/>
  <c r="F24" i="388"/>
  <c r="E178" i="405"/>
  <c r="H17" i="388"/>
  <c r="I17" i="388"/>
  <c r="G15" i="388"/>
  <c r="H30" i="402"/>
  <c r="G29" i="402"/>
  <c r="D45" i="413"/>
  <c r="H38" i="402"/>
  <c r="G36" i="402"/>
  <c r="H36" i="402" s="1"/>
  <c r="G50" i="398"/>
  <c r="H51" i="398"/>
  <c r="I51" i="398"/>
  <c r="F178" i="395"/>
  <c r="E178" i="403"/>
  <c r="H12" i="404"/>
  <c r="G11" i="404"/>
  <c r="H12" i="388"/>
  <c r="G11" i="388"/>
  <c r="I12" i="388"/>
  <c r="H18" i="402"/>
  <c r="G15" i="402"/>
  <c r="H99" i="346"/>
  <c r="G99" i="346"/>
  <c r="G75" i="346"/>
  <c r="G35" i="346"/>
  <c r="G51" i="346"/>
  <c r="G91" i="346"/>
  <c r="G19" i="346"/>
  <c r="G59" i="346"/>
  <c r="H73" i="325"/>
  <c r="H75" i="325"/>
  <c r="J57" i="337"/>
  <c r="J38" i="337"/>
  <c r="J151" i="335"/>
  <c r="H19" i="335"/>
  <c r="J13" i="335"/>
  <c r="I66" i="337"/>
  <c r="G11" i="346"/>
  <c r="J128" i="337"/>
  <c r="D335" i="387"/>
  <c r="D27" i="324"/>
  <c r="J100" i="337"/>
  <c r="J123" i="337"/>
  <c r="H18" i="346"/>
  <c r="H26" i="346" s="1"/>
  <c r="H34" i="346" s="1"/>
  <c r="H42" i="346" s="1"/>
  <c r="H50" i="346" s="1"/>
  <c r="H58" i="346" s="1"/>
  <c r="H66" i="346" s="1"/>
  <c r="H74" i="346" s="1"/>
  <c r="H82" i="346" s="1"/>
  <c r="H90" i="346" s="1"/>
  <c r="H98" i="346" s="1"/>
  <c r="H106" i="346" s="1"/>
  <c r="H11" i="346"/>
  <c r="C20" i="339"/>
  <c r="E13" i="339"/>
  <c r="P278" i="310" l="1"/>
  <c r="P279" i="310" s="1"/>
  <c r="P255" i="310"/>
  <c r="P256" i="310" s="1"/>
  <c r="P257" i="310" s="1"/>
  <c r="P258" i="310" s="1"/>
  <c r="P259" i="310" s="1"/>
  <c r="P260" i="310" s="1"/>
  <c r="P261" i="310" s="1"/>
  <c r="P280" i="310"/>
  <c r="P281" i="310" s="1"/>
  <c r="P262" i="310"/>
  <c r="P263" i="310" s="1"/>
  <c r="P264" i="310" s="1"/>
  <c r="P265" i="310" s="1"/>
  <c r="P266" i="310" s="1"/>
  <c r="P267" i="310" s="1"/>
  <c r="P268" i="310" s="1"/>
  <c r="P284" i="310"/>
  <c r="P269" i="310"/>
  <c r="P270" i="310" s="1"/>
  <c r="P271" i="310" s="1"/>
  <c r="P272" i="310" s="1"/>
  <c r="P273" i="310" s="1"/>
  <c r="P274" i="310" s="1"/>
  <c r="P275" i="310" s="1"/>
  <c r="P238" i="310"/>
  <c r="P282" i="310"/>
  <c r="P283" i="310" s="1"/>
  <c r="P231" i="310"/>
  <c r="P232" i="310" s="1"/>
  <c r="P233" i="310" s="1"/>
  <c r="P234" i="310" s="1"/>
  <c r="P235" i="310" s="1"/>
  <c r="P236" i="310" s="1"/>
  <c r="P237" i="310" s="1"/>
  <c r="P276" i="310"/>
  <c r="P277" i="310" s="1"/>
  <c r="P156" i="310"/>
  <c r="P157" i="310" s="1"/>
  <c r="P158" i="310" s="1"/>
  <c r="P159" i="310" s="1"/>
  <c r="P160" i="310" s="1"/>
  <c r="P161" i="310" s="1"/>
  <c r="P162" i="310" s="1"/>
  <c r="P163" i="310" s="1"/>
  <c r="P164" i="310" s="1"/>
  <c r="P165" i="310" s="1"/>
  <c r="P166" i="310" s="1"/>
  <c r="P167" i="310" s="1"/>
  <c r="P180" i="310"/>
  <c r="P181" i="310" s="1"/>
  <c r="P182" i="310" s="1"/>
  <c r="P183" i="310" s="1"/>
  <c r="P184" i="310" s="1"/>
  <c r="P185" i="310" s="1"/>
  <c r="P186" i="310" s="1"/>
  <c r="P187" i="310" s="1"/>
  <c r="P188" i="310" s="1"/>
  <c r="P189" i="310" s="1"/>
  <c r="P190" i="310" s="1"/>
  <c r="P191" i="310" s="1"/>
  <c r="P168" i="310"/>
  <c r="P169" i="310" s="1"/>
  <c r="P170" i="310" s="1"/>
  <c r="P171" i="310" s="1"/>
  <c r="P172" i="310" s="1"/>
  <c r="P173" i="310" s="1"/>
  <c r="P174" i="310" s="1"/>
  <c r="P175" i="310" s="1"/>
  <c r="P176" i="310" s="1"/>
  <c r="P177" i="310" s="1"/>
  <c r="P178" i="310" s="1"/>
  <c r="P179" i="310" s="1"/>
  <c r="P204" i="310"/>
  <c r="P205" i="310" s="1"/>
  <c r="P206" i="310" s="1"/>
  <c r="P207" i="310" s="1"/>
  <c r="P208" i="310" s="1"/>
  <c r="P209" i="310" s="1"/>
  <c r="P210" i="310" s="1"/>
  <c r="P211" i="310" s="1"/>
  <c r="P212" i="310" s="1"/>
  <c r="P213" i="310" s="1"/>
  <c r="P214" i="310" s="1"/>
  <c r="P215" i="310" s="1"/>
  <c r="P144" i="310"/>
  <c r="P145" i="310" s="1"/>
  <c r="P146" i="310" s="1"/>
  <c r="P147" i="310" s="1"/>
  <c r="P148" i="310" s="1"/>
  <c r="P149" i="310" s="1"/>
  <c r="P150" i="310" s="1"/>
  <c r="P151" i="310" s="1"/>
  <c r="P152" i="310" s="1"/>
  <c r="P153" i="310" s="1"/>
  <c r="P154" i="310" s="1"/>
  <c r="P155" i="310" s="1"/>
  <c r="P192" i="310"/>
  <c r="P193" i="310" s="1"/>
  <c r="P194" i="310" s="1"/>
  <c r="P195" i="310" s="1"/>
  <c r="P196" i="310" s="1"/>
  <c r="P197" i="310" s="1"/>
  <c r="P198" i="310" s="1"/>
  <c r="P199" i="310" s="1"/>
  <c r="P200" i="310" s="1"/>
  <c r="P201" i="310" s="1"/>
  <c r="P202" i="310" s="1"/>
  <c r="P203" i="310" s="1"/>
  <c r="P132" i="310"/>
  <c r="P133" i="310" s="1"/>
  <c r="P134" i="310" s="1"/>
  <c r="P135" i="310" s="1"/>
  <c r="P136" i="310" s="1"/>
  <c r="P137" i="310" s="1"/>
  <c r="P138" i="310" s="1"/>
  <c r="P139" i="310" s="1"/>
  <c r="P140" i="310" s="1"/>
  <c r="P141" i="310" s="1"/>
  <c r="P142" i="310" s="1"/>
  <c r="P143" i="310" s="1"/>
  <c r="P216" i="310"/>
  <c r="P217" i="310" s="1"/>
  <c r="P218" i="310" s="1"/>
  <c r="P219" i="310" s="1"/>
  <c r="I65" i="325"/>
  <c r="E20" i="354"/>
  <c r="I66" i="325"/>
  <c r="H66" i="325"/>
  <c r="E148" i="402"/>
  <c r="E152" i="402" s="1"/>
  <c r="I29" i="325"/>
  <c r="I30" i="325"/>
  <c r="E20" i="254"/>
  <c r="F166" i="398"/>
  <c r="F170" i="398" s="1"/>
  <c r="I146" i="337"/>
  <c r="I135" i="337"/>
  <c r="I27" i="388"/>
  <c r="I18" i="325"/>
  <c r="I132" i="325"/>
  <c r="F48" i="388"/>
  <c r="F148" i="388" s="1"/>
  <c r="F152" i="388" s="1"/>
  <c r="G335" i="387"/>
  <c r="D24" i="397"/>
  <c r="D153" i="402"/>
  <c r="D184" i="402"/>
  <c r="H335" i="387"/>
  <c r="H47" i="408"/>
  <c r="H19" i="395"/>
  <c r="H47" i="392"/>
  <c r="I147" i="360"/>
  <c r="D171" i="402"/>
  <c r="D148" i="402"/>
  <c r="D152" i="402" s="1"/>
  <c r="D48" i="392"/>
  <c r="I139" i="325"/>
  <c r="H9" i="394"/>
  <c r="D167" i="402"/>
  <c r="D166" i="402"/>
  <c r="D170" i="402" s="1"/>
  <c r="E167" i="365"/>
  <c r="E168" i="365" s="1"/>
  <c r="E169" i="365"/>
  <c r="D153" i="404"/>
  <c r="D148" i="404"/>
  <c r="D152" i="404" s="1"/>
  <c r="C152" i="365"/>
  <c r="P152" i="365" s="1"/>
  <c r="C76" i="386"/>
  <c r="P76" i="386" s="1"/>
  <c r="I44" i="385"/>
  <c r="H165" i="386"/>
  <c r="C47" i="391"/>
  <c r="O169" i="386"/>
  <c r="C178" i="407"/>
  <c r="C167" i="407"/>
  <c r="C171" i="407"/>
  <c r="C166" i="407"/>
  <c r="C170" i="407" s="1"/>
  <c r="I9" i="394"/>
  <c r="D24" i="394"/>
  <c r="D48" i="394" s="1"/>
  <c r="C179" i="399"/>
  <c r="C184" i="399"/>
  <c r="G80" i="365"/>
  <c r="C76" i="365"/>
  <c r="P76" i="365" s="1"/>
  <c r="C178" i="397"/>
  <c r="C166" i="397"/>
  <c r="C170" i="397" s="1"/>
  <c r="C167" i="397"/>
  <c r="C171" i="397"/>
  <c r="C179" i="396"/>
  <c r="C184" i="396"/>
  <c r="S18" i="422"/>
  <c r="D24" i="405"/>
  <c r="I9" i="405"/>
  <c r="C178" i="360"/>
  <c r="C166" i="360"/>
  <c r="C170" i="360" s="1"/>
  <c r="C167" i="360"/>
  <c r="C171" i="360"/>
  <c r="I47" i="398"/>
  <c r="D48" i="398"/>
  <c r="D24" i="395"/>
  <c r="D48" i="395" s="1"/>
  <c r="H9" i="405"/>
  <c r="I31" i="337"/>
  <c r="F36" i="346"/>
  <c r="F44" i="346" s="1"/>
  <c r="F52" i="346" s="1"/>
  <c r="F60" i="346" s="1"/>
  <c r="F68" i="346" s="1"/>
  <c r="F76" i="346" s="1"/>
  <c r="F84" i="346" s="1"/>
  <c r="F92" i="346" s="1"/>
  <c r="F100" i="346" s="1"/>
  <c r="F108" i="346" s="1"/>
  <c r="H98" i="325"/>
  <c r="I99" i="325" s="1"/>
  <c r="H74" i="325"/>
  <c r="I75" i="325" s="1"/>
  <c r="H72" i="325"/>
  <c r="I73" i="325" s="1"/>
  <c r="D47" i="393"/>
  <c r="I47" i="393" s="1"/>
  <c r="H27" i="393"/>
  <c r="I27" i="393"/>
  <c r="D178" i="404"/>
  <c r="D167" i="404"/>
  <c r="D171" i="404"/>
  <c r="D166" i="404"/>
  <c r="D170" i="404" s="1"/>
  <c r="H19" i="389"/>
  <c r="H27" i="403"/>
  <c r="M44" i="385"/>
  <c r="C23" i="385"/>
  <c r="P23" i="385" s="1"/>
  <c r="D47" i="360"/>
  <c r="D48" i="360" s="1"/>
  <c r="I27" i="360"/>
  <c r="I19" i="403"/>
  <c r="H19" i="403"/>
  <c r="C43" i="386"/>
  <c r="P43" i="386" s="1"/>
  <c r="D24" i="407"/>
  <c r="D48" i="407" s="1"/>
  <c r="I9" i="407"/>
  <c r="I9" i="396"/>
  <c r="D24" i="396"/>
  <c r="I9" i="408"/>
  <c r="D24" i="408"/>
  <c r="D48" i="408" s="1"/>
  <c r="D76" i="397"/>
  <c r="I77" i="397"/>
  <c r="D24" i="403"/>
  <c r="H9" i="403"/>
  <c r="H29" i="388"/>
  <c r="I29" i="388"/>
  <c r="G47" i="388"/>
  <c r="H47" i="388" s="1"/>
  <c r="H21" i="404"/>
  <c r="H21" i="402"/>
  <c r="E20" i="324"/>
  <c r="E13" i="324"/>
  <c r="F48" i="404"/>
  <c r="F149" i="404" s="1"/>
  <c r="E149" i="404"/>
  <c r="F148" i="405"/>
  <c r="F152" i="405" s="1"/>
  <c r="G47" i="394"/>
  <c r="H47" i="394" s="1"/>
  <c r="H20" i="346"/>
  <c r="R17" i="421"/>
  <c r="M167" i="386"/>
  <c r="M168" i="386" s="1"/>
  <c r="M169" i="386"/>
  <c r="I9" i="399"/>
  <c r="D24" i="399"/>
  <c r="D48" i="399" s="1"/>
  <c r="C165" i="385"/>
  <c r="P165" i="385" s="1"/>
  <c r="D167" i="385"/>
  <c r="D169" i="385"/>
  <c r="D164" i="386"/>
  <c r="D165" i="386" s="1"/>
  <c r="E165" i="386"/>
  <c r="E167" i="386" s="1"/>
  <c r="I168" i="385"/>
  <c r="I169" i="385"/>
  <c r="C44" i="385"/>
  <c r="E44" i="386"/>
  <c r="C23" i="386"/>
  <c r="P23" i="386" s="1"/>
  <c r="J169" i="365"/>
  <c r="J167" i="365"/>
  <c r="J168" i="365" s="1"/>
  <c r="C80" i="386"/>
  <c r="I151" i="386"/>
  <c r="I164" i="386" s="1"/>
  <c r="I165" i="386" s="1"/>
  <c r="C97" i="386"/>
  <c r="P97" i="386" s="1"/>
  <c r="O44" i="365"/>
  <c r="C43" i="365"/>
  <c r="P43" i="365" s="1"/>
  <c r="M19" i="422" a="1"/>
  <c r="M19" i="422" s="1"/>
  <c r="A19" i="422" a="1"/>
  <c r="A19" i="422" s="1"/>
  <c r="I19" i="422" a="1"/>
  <c r="I19" i="422" s="1"/>
  <c r="L19" i="422" a="1"/>
  <c r="L19" i="422" s="1"/>
  <c r="J19" i="422" a="1"/>
  <c r="J19" i="422" s="1"/>
  <c r="N19" i="422" a="1"/>
  <c r="N19" i="422" s="1"/>
  <c r="R19" i="422" a="1"/>
  <c r="R19" i="422" s="1"/>
  <c r="H19" i="422" a="1"/>
  <c r="H19" i="422" s="1"/>
  <c r="G19" i="422" a="1"/>
  <c r="G19" i="422" s="1"/>
  <c r="P19" i="422" a="1"/>
  <c r="P19" i="422" s="1"/>
  <c r="C20" i="422"/>
  <c r="O19" i="422" a="1"/>
  <c r="O19" i="422" s="1"/>
  <c r="C178" i="392"/>
  <c r="C171" i="392"/>
  <c r="C167" i="392"/>
  <c r="C166" i="392"/>
  <c r="C170" i="392" s="1"/>
  <c r="D166" i="401"/>
  <c r="D170" i="401" s="1"/>
  <c r="C32" i="391"/>
  <c r="C34" i="391" s="1"/>
  <c r="D167" i="401"/>
  <c r="D149" i="401"/>
  <c r="D148" i="401"/>
  <c r="D152" i="401" s="1"/>
  <c r="D153" i="401"/>
  <c r="D179" i="401"/>
  <c r="D184" i="401"/>
  <c r="D171" i="401"/>
  <c r="D47" i="403"/>
  <c r="I27" i="403"/>
  <c r="H167" i="386"/>
  <c r="H168" i="386" s="1"/>
  <c r="H169" i="386"/>
  <c r="D48" i="397"/>
  <c r="I24" i="397"/>
  <c r="F168" i="365"/>
  <c r="L167" i="386"/>
  <c r="L168" i="386" s="1"/>
  <c r="L169" i="386"/>
  <c r="D24" i="389"/>
  <c r="D48" i="389" s="1"/>
  <c r="C179" i="401"/>
  <c r="C184" i="401"/>
  <c r="K169" i="386"/>
  <c r="G18" i="421" a="1"/>
  <c r="G18" i="421" s="1"/>
  <c r="M18" i="421" a="1"/>
  <c r="M18" i="421" s="1"/>
  <c r="N18" i="421" a="1"/>
  <c r="N18" i="421" s="1"/>
  <c r="H18" i="421" a="1"/>
  <c r="H18" i="421" s="1"/>
  <c r="C19" i="421"/>
  <c r="A18" i="421" a="1"/>
  <c r="A18" i="421" s="1"/>
  <c r="Q18" i="421" a="1"/>
  <c r="Q18" i="421" s="1"/>
  <c r="O18" i="421" a="1"/>
  <c r="O18" i="421" s="1"/>
  <c r="L18" i="421" a="1"/>
  <c r="L18" i="421" s="1"/>
  <c r="K18" i="421" a="1"/>
  <c r="K18" i="421" s="1"/>
  <c r="I18" i="421" a="1"/>
  <c r="I18" i="421" s="1"/>
  <c r="I9" i="393"/>
  <c r="D24" i="393"/>
  <c r="D48" i="393" s="1"/>
  <c r="C171" i="398"/>
  <c r="C166" i="398"/>
  <c r="C170" i="398" s="1"/>
  <c r="C178" i="398"/>
  <c r="C167" i="398"/>
  <c r="E153" i="394"/>
  <c r="E171" i="405"/>
  <c r="F171" i="392"/>
  <c r="F167" i="397"/>
  <c r="G47" i="360"/>
  <c r="I77" i="396"/>
  <c r="F166" i="393"/>
  <c r="F170" i="393" s="1"/>
  <c r="F148" i="392"/>
  <c r="F152" i="392" s="1"/>
  <c r="J113" i="347"/>
  <c r="E166" i="405"/>
  <c r="E170" i="405" s="1"/>
  <c r="F149" i="392"/>
  <c r="E148" i="405"/>
  <c r="E152" i="405" s="1"/>
  <c r="F184" i="392"/>
  <c r="F148" i="403"/>
  <c r="F152" i="403" s="1"/>
  <c r="E149" i="394"/>
  <c r="E149" i="405"/>
  <c r="F184" i="399"/>
  <c r="T98" i="348"/>
  <c r="T100" i="348" s="1"/>
  <c r="G76" i="399"/>
  <c r="H76" i="399" s="1"/>
  <c r="F48" i="402"/>
  <c r="F179" i="402" s="1"/>
  <c r="G76" i="405"/>
  <c r="I76" i="405" s="1"/>
  <c r="H76" i="396"/>
  <c r="I77" i="399"/>
  <c r="I50" i="392"/>
  <c r="F167" i="399"/>
  <c r="E148" i="398"/>
  <c r="E152" i="398" s="1"/>
  <c r="I76" i="393"/>
  <c r="E153" i="398"/>
  <c r="F148" i="399"/>
  <c r="F152" i="399" s="1"/>
  <c r="H77" i="396"/>
  <c r="G24" i="394"/>
  <c r="I24" i="394" s="1"/>
  <c r="D139" i="413"/>
  <c r="D143" i="413" s="1"/>
  <c r="H78" i="394"/>
  <c r="H51" i="404"/>
  <c r="G47" i="395"/>
  <c r="I47" i="395" s="1"/>
  <c r="G50" i="404"/>
  <c r="F179" i="396"/>
  <c r="F149" i="396"/>
  <c r="F166" i="394"/>
  <c r="F170" i="394" s="1"/>
  <c r="G354" i="335"/>
  <c r="D139" i="417"/>
  <c r="D143" i="417" s="1"/>
  <c r="H332" i="335"/>
  <c r="L336" i="335"/>
  <c r="L337" i="335" s="1"/>
  <c r="L340" i="335" s="1"/>
  <c r="H29" i="404"/>
  <c r="G24" i="408"/>
  <c r="H24" i="408" s="1"/>
  <c r="E171" i="407"/>
  <c r="E184" i="407"/>
  <c r="F166" i="405"/>
  <c r="F170" i="405" s="1"/>
  <c r="I47" i="408"/>
  <c r="E167" i="407"/>
  <c r="E153" i="407"/>
  <c r="F149" i="405"/>
  <c r="E166" i="407"/>
  <c r="E170" i="407" s="1"/>
  <c r="E139" i="418"/>
  <c r="E143" i="418" s="1"/>
  <c r="N100" i="348"/>
  <c r="F153" i="405"/>
  <c r="E149" i="360"/>
  <c r="E167" i="405"/>
  <c r="F166" i="392"/>
  <c r="F170" i="392" s="1"/>
  <c r="F167" i="392"/>
  <c r="E153" i="408"/>
  <c r="F153" i="392"/>
  <c r="E171" i="396"/>
  <c r="E153" i="360"/>
  <c r="E148" i="408"/>
  <c r="E152" i="408" s="1"/>
  <c r="I50" i="396"/>
  <c r="I78" i="394"/>
  <c r="I27" i="395"/>
  <c r="G47" i="405"/>
  <c r="H47" i="405" s="1"/>
  <c r="F171" i="405"/>
  <c r="E171" i="394"/>
  <c r="G24" i="393"/>
  <c r="I24" i="393" s="1"/>
  <c r="E149" i="407"/>
  <c r="E148" i="407"/>
  <c r="E152" i="407" s="1"/>
  <c r="F153" i="408"/>
  <c r="E149" i="396"/>
  <c r="F166" i="408"/>
  <c r="F170" i="408" s="1"/>
  <c r="F171" i="408"/>
  <c r="E179" i="396"/>
  <c r="F167" i="408"/>
  <c r="E166" i="396"/>
  <c r="E170" i="396" s="1"/>
  <c r="E148" i="396"/>
  <c r="E152" i="396" s="1"/>
  <c r="E153" i="396"/>
  <c r="E167" i="396"/>
  <c r="J340" i="335"/>
  <c r="E139" i="413"/>
  <c r="E143" i="413" s="1"/>
  <c r="R101" i="348"/>
  <c r="R104" i="348" s="1"/>
  <c r="E139" i="417"/>
  <c r="E143" i="417" s="1"/>
  <c r="I47" i="392"/>
  <c r="F149" i="408"/>
  <c r="F166" i="399"/>
  <c r="F170" i="399" s="1"/>
  <c r="F153" i="399"/>
  <c r="F178" i="405"/>
  <c r="F179" i="405" s="1"/>
  <c r="G147" i="396"/>
  <c r="I147" i="396" s="1"/>
  <c r="E171" i="388"/>
  <c r="U112" i="347"/>
  <c r="F167" i="396"/>
  <c r="F171" i="396"/>
  <c r="G47" i="399"/>
  <c r="H47" i="399" s="1"/>
  <c r="F171" i="399"/>
  <c r="E149" i="388"/>
  <c r="E179" i="388"/>
  <c r="E167" i="388"/>
  <c r="D139" i="416"/>
  <c r="D143" i="416" s="1"/>
  <c r="E148" i="388"/>
  <c r="E152" i="388" s="1"/>
  <c r="F184" i="396"/>
  <c r="F153" i="396"/>
  <c r="F167" i="405"/>
  <c r="F179" i="399"/>
  <c r="F148" i="396"/>
  <c r="F152" i="396" s="1"/>
  <c r="E153" i="388"/>
  <c r="H9" i="395"/>
  <c r="I78" i="388"/>
  <c r="F179" i="408"/>
  <c r="F184" i="401"/>
  <c r="E171" i="402"/>
  <c r="E179" i="402"/>
  <c r="F184" i="408"/>
  <c r="F153" i="389"/>
  <c r="F167" i="389"/>
  <c r="F184" i="389"/>
  <c r="H77" i="408"/>
  <c r="F153" i="360"/>
  <c r="E153" i="389"/>
  <c r="F149" i="389"/>
  <c r="F149" i="401"/>
  <c r="H78" i="388"/>
  <c r="F171" i="401"/>
  <c r="F148" i="360"/>
  <c r="F152" i="360" s="1"/>
  <c r="E149" i="401"/>
  <c r="E167" i="389"/>
  <c r="F166" i="401"/>
  <c r="F170" i="401" s="1"/>
  <c r="F179" i="401"/>
  <c r="F148" i="389"/>
  <c r="F152" i="389" s="1"/>
  <c r="G24" i="395"/>
  <c r="G76" i="408"/>
  <c r="H76" i="408" s="1"/>
  <c r="E179" i="389"/>
  <c r="E166" i="389"/>
  <c r="E170" i="389" s="1"/>
  <c r="E167" i="402"/>
  <c r="F167" i="401"/>
  <c r="E184" i="402"/>
  <c r="F166" i="389"/>
  <c r="F170" i="389" s="1"/>
  <c r="E153" i="401"/>
  <c r="E149" i="389"/>
  <c r="E148" i="389"/>
  <c r="E152" i="389" s="1"/>
  <c r="E153" i="402"/>
  <c r="F148" i="401"/>
  <c r="F152" i="401" s="1"/>
  <c r="F153" i="401"/>
  <c r="E148" i="392"/>
  <c r="E152" i="392" s="1"/>
  <c r="F179" i="389"/>
  <c r="E184" i="389"/>
  <c r="E166" i="402"/>
  <c r="E170" i="402" s="1"/>
  <c r="E149" i="402"/>
  <c r="E184" i="392"/>
  <c r="F167" i="395"/>
  <c r="G165" i="360"/>
  <c r="I165" i="360" s="1"/>
  <c r="H147" i="360"/>
  <c r="E28" i="346"/>
  <c r="H28" i="346" s="1"/>
  <c r="F114" i="347"/>
  <c r="F116" i="347" s="1"/>
  <c r="S101" i="348"/>
  <c r="S104" i="348" s="1"/>
  <c r="T101" i="348"/>
  <c r="M114" i="347"/>
  <c r="M116" i="347" s="1"/>
  <c r="H101" i="348"/>
  <c r="H104" i="348" s="1"/>
  <c r="J101" i="348"/>
  <c r="J104" i="348" s="1"/>
  <c r="U114" i="347"/>
  <c r="U116" i="347" s="1"/>
  <c r="F166" i="395"/>
  <c r="F170" i="395" s="1"/>
  <c r="R114" i="347"/>
  <c r="R115" i="347" s="1"/>
  <c r="K101" i="348"/>
  <c r="K102" i="348" s="1"/>
  <c r="N101" i="348"/>
  <c r="N104" i="348" s="1"/>
  <c r="P101" i="348"/>
  <c r="P104" i="348" s="1"/>
  <c r="Q114" i="347"/>
  <c r="Q116" i="347" s="1"/>
  <c r="N114" i="347"/>
  <c r="N116" i="347" s="1"/>
  <c r="E153" i="397"/>
  <c r="J66" i="337"/>
  <c r="V111" i="347"/>
  <c r="V113" i="347" s="1"/>
  <c r="L114" i="347"/>
  <c r="L116" i="347" s="1"/>
  <c r="J114" i="347"/>
  <c r="J116" i="347" s="1"/>
  <c r="O101" i="348"/>
  <c r="O104" i="348" s="1"/>
  <c r="E171" i="397"/>
  <c r="E167" i="392"/>
  <c r="E184" i="397"/>
  <c r="E179" i="397"/>
  <c r="L101" i="348"/>
  <c r="L104" i="348" s="1"/>
  <c r="E149" i="392"/>
  <c r="E167" i="397"/>
  <c r="F149" i="397"/>
  <c r="E148" i="397"/>
  <c r="E152" i="397" s="1"/>
  <c r="E149" i="397"/>
  <c r="E171" i="393"/>
  <c r="F179" i="393"/>
  <c r="F171" i="398"/>
  <c r="G101" i="348"/>
  <c r="G104" i="348" s="1"/>
  <c r="M101" i="348"/>
  <c r="K114" i="347"/>
  <c r="K116" i="347" s="1"/>
  <c r="S114" i="347"/>
  <c r="S115" i="347" s="1"/>
  <c r="O114" i="347"/>
  <c r="O116" i="347" s="1"/>
  <c r="T114" i="347"/>
  <c r="T116" i="347" s="1"/>
  <c r="F101" i="348"/>
  <c r="F102" i="348" s="1"/>
  <c r="Q101" i="348"/>
  <c r="Q102" i="348" s="1"/>
  <c r="I101" i="348"/>
  <c r="I114" i="347"/>
  <c r="I115" i="347" s="1"/>
  <c r="H114" i="347"/>
  <c r="H116" i="347" s="1"/>
  <c r="E166" i="392"/>
  <c r="E170" i="392" s="1"/>
  <c r="E171" i="392"/>
  <c r="E179" i="392"/>
  <c r="F153" i="403"/>
  <c r="H77" i="392"/>
  <c r="E148" i="393"/>
  <c r="E152" i="393" s="1"/>
  <c r="F148" i="393"/>
  <c r="F152" i="393" s="1"/>
  <c r="F166" i="397"/>
  <c r="F170" i="397" s="1"/>
  <c r="F171" i="394"/>
  <c r="E153" i="399"/>
  <c r="F171" i="397"/>
  <c r="E148" i="399"/>
  <c r="E152" i="399" s="1"/>
  <c r="E148" i="404"/>
  <c r="E152" i="404" s="1"/>
  <c r="E184" i="393"/>
  <c r="E167" i="403"/>
  <c r="F171" i="393"/>
  <c r="F153" i="397"/>
  <c r="D139" i="412"/>
  <c r="D143" i="412" s="1"/>
  <c r="E149" i="393"/>
  <c r="H36" i="395"/>
  <c r="I36" i="395"/>
  <c r="E171" i="403"/>
  <c r="E166" i="403"/>
  <c r="E170" i="403" s="1"/>
  <c r="F184" i="397"/>
  <c r="F148" i="397"/>
  <c r="F152" i="397" s="1"/>
  <c r="E153" i="393"/>
  <c r="E166" i="393"/>
  <c r="E170" i="393" s="1"/>
  <c r="F153" i="393"/>
  <c r="F167" i="393"/>
  <c r="F171" i="395"/>
  <c r="F179" i="397"/>
  <c r="E179" i="393"/>
  <c r="F149" i="393"/>
  <c r="G76" i="392"/>
  <c r="H76" i="392" s="1"/>
  <c r="G147" i="393"/>
  <c r="G165" i="393" s="1"/>
  <c r="G24" i="407"/>
  <c r="H24" i="407" s="1"/>
  <c r="E139" i="416"/>
  <c r="E143" i="416" s="1"/>
  <c r="H50" i="393"/>
  <c r="I77" i="388"/>
  <c r="E139" i="412"/>
  <c r="E143" i="412" s="1"/>
  <c r="E153" i="395"/>
  <c r="E184" i="395"/>
  <c r="F149" i="403"/>
  <c r="F153" i="398"/>
  <c r="E184" i="404"/>
  <c r="E149" i="395"/>
  <c r="E171" i="395"/>
  <c r="E148" i="395"/>
  <c r="E152" i="395" s="1"/>
  <c r="E179" i="395"/>
  <c r="E167" i="395"/>
  <c r="F167" i="394"/>
  <c r="H77" i="388"/>
  <c r="G84" i="346"/>
  <c r="E184" i="388"/>
  <c r="I9" i="389"/>
  <c r="G68" i="346"/>
  <c r="G28" i="346"/>
  <c r="F184" i="407"/>
  <c r="F166" i="407"/>
  <c r="F170" i="407" s="1"/>
  <c r="I50" i="403"/>
  <c r="I50" i="399"/>
  <c r="F184" i="398"/>
  <c r="F149" i="398"/>
  <c r="E167" i="404"/>
  <c r="E179" i="404"/>
  <c r="E166" i="404"/>
  <c r="E170" i="404" s="1"/>
  <c r="F167" i="398"/>
  <c r="F179" i="398"/>
  <c r="E171" i="404"/>
  <c r="E153" i="404"/>
  <c r="G24" i="389"/>
  <c r="H24" i="389" s="1"/>
  <c r="F148" i="398"/>
  <c r="F152" i="398" s="1"/>
  <c r="I47" i="407"/>
  <c r="H47" i="407"/>
  <c r="F153" i="394"/>
  <c r="F184" i="394"/>
  <c r="F149" i="394"/>
  <c r="F148" i="394"/>
  <c r="F152" i="394" s="1"/>
  <c r="F179" i="394"/>
  <c r="E149" i="403"/>
  <c r="E148" i="403"/>
  <c r="E152" i="403" s="1"/>
  <c r="G9" i="392"/>
  <c r="I11" i="392"/>
  <c r="H11" i="392"/>
  <c r="E102" i="348"/>
  <c r="I77" i="398"/>
  <c r="G76" i="398"/>
  <c r="G147" i="398" s="1"/>
  <c r="H77" i="398"/>
  <c r="H36" i="404"/>
  <c r="G47" i="404"/>
  <c r="H47" i="404" s="1"/>
  <c r="F149" i="395"/>
  <c r="F148" i="395"/>
  <c r="F152" i="395" s="1"/>
  <c r="H9" i="399"/>
  <c r="G24" i="399"/>
  <c r="H27" i="398"/>
  <c r="G47" i="398"/>
  <c r="H47" i="398" s="1"/>
  <c r="O112" i="347"/>
  <c r="O113" i="347"/>
  <c r="I77" i="404"/>
  <c r="G76" i="404"/>
  <c r="H77" i="404"/>
  <c r="H29" i="401"/>
  <c r="G27" i="401"/>
  <c r="G77" i="401"/>
  <c r="H78" i="401"/>
  <c r="I78" i="401"/>
  <c r="H50" i="401"/>
  <c r="I50" i="401"/>
  <c r="H9" i="396"/>
  <c r="G24" i="396"/>
  <c r="H19" i="360"/>
  <c r="G24" i="360"/>
  <c r="U97" i="348"/>
  <c r="U98" i="348" s="1"/>
  <c r="H77" i="405"/>
  <c r="I77" i="405"/>
  <c r="P115" i="347"/>
  <c r="P116" i="347"/>
  <c r="E178" i="394"/>
  <c r="E166" i="394"/>
  <c r="E170" i="394" s="1"/>
  <c r="E167" i="394"/>
  <c r="E115" i="347"/>
  <c r="I100" i="348"/>
  <c r="I99" i="348"/>
  <c r="H77" i="394"/>
  <c r="G76" i="394"/>
  <c r="G147" i="394" s="1"/>
  <c r="I77" i="394"/>
  <c r="F166" i="360"/>
  <c r="F170" i="360" s="1"/>
  <c r="F178" i="360"/>
  <c r="F171" i="360"/>
  <c r="F167" i="360"/>
  <c r="H36" i="389"/>
  <c r="I36" i="389"/>
  <c r="G47" i="389"/>
  <c r="I51" i="405"/>
  <c r="G50" i="405"/>
  <c r="H51" i="405"/>
  <c r="I78" i="395"/>
  <c r="H78" i="395"/>
  <c r="G77" i="395"/>
  <c r="H19" i="397"/>
  <c r="G24" i="397"/>
  <c r="H78" i="389"/>
  <c r="I78" i="389"/>
  <c r="G77" i="389"/>
  <c r="H51" i="408"/>
  <c r="G50" i="408"/>
  <c r="I51" i="408"/>
  <c r="I139" i="408"/>
  <c r="H139" i="408"/>
  <c r="H21" i="398"/>
  <c r="G19" i="398"/>
  <c r="H78" i="397"/>
  <c r="G77" i="397"/>
  <c r="H164" i="388"/>
  <c r="I164" i="388"/>
  <c r="I164" i="402"/>
  <c r="H164" i="402"/>
  <c r="G50" i="397"/>
  <c r="H51" i="397"/>
  <c r="I51" i="397"/>
  <c r="G77" i="407"/>
  <c r="I78" i="407"/>
  <c r="H78" i="407"/>
  <c r="H36" i="403"/>
  <c r="G47" i="403"/>
  <c r="H47" i="403" s="1"/>
  <c r="I78" i="402"/>
  <c r="H78" i="402"/>
  <c r="G77" i="402"/>
  <c r="G77" i="403"/>
  <c r="I78" i="403"/>
  <c r="H78" i="403"/>
  <c r="E178" i="360"/>
  <c r="E171" i="360"/>
  <c r="E166" i="360"/>
  <c r="E170" i="360" s="1"/>
  <c r="E167" i="360"/>
  <c r="E178" i="408"/>
  <c r="E167" i="408"/>
  <c r="E166" i="408"/>
  <c r="E170" i="408" s="1"/>
  <c r="E171" i="408"/>
  <c r="F179" i="407"/>
  <c r="F153" i="407"/>
  <c r="F148" i="407"/>
  <c r="F152" i="407" s="1"/>
  <c r="F167" i="407"/>
  <c r="F149" i="407"/>
  <c r="E178" i="398"/>
  <c r="E166" i="398"/>
  <c r="E170" i="398" s="1"/>
  <c r="E171" i="398"/>
  <c r="E167" i="398"/>
  <c r="E178" i="401"/>
  <c r="E166" i="401"/>
  <c r="E170" i="401" s="1"/>
  <c r="E167" i="401"/>
  <c r="E171" i="401"/>
  <c r="H50" i="388"/>
  <c r="I50" i="388"/>
  <c r="H50" i="394"/>
  <c r="I50" i="394"/>
  <c r="G100" i="346"/>
  <c r="I50" i="395"/>
  <c r="H50" i="395"/>
  <c r="E178" i="399"/>
  <c r="E167" i="399"/>
  <c r="E171" i="399"/>
  <c r="E166" i="399"/>
  <c r="E170" i="399" s="1"/>
  <c r="I24" i="403"/>
  <c r="H24" i="403"/>
  <c r="I47" i="396"/>
  <c r="H47" i="396"/>
  <c r="I11" i="388"/>
  <c r="G9" i="388"/>
  <c r="H11" i="388"/>
  <c r="I15" i="388"/>
  <c r="H15" i="388"/>
  <c r="I15" i="402"/>
  <c r="G24" i="402"/>
  <c r="H15" i="402"/>
  <c r="E179" i="403"/>
  <c r="E184" i="403"/>
  <c r="H29" i="402"/>
  <c r="G27" i="402"/>
  <c r="E179" i="405"/>
  <c r="E184" i="405"/>
  <c r="F167" i="403"/>
  <c r="F178" i="403"/>
  <c r="F171" i="403"/>
  <c r="F166" i="403"/>
  <c r="F170" i="403" s="1"/>
  <c r="G9" i="404"/>
  <c r="H11" i="404"/>
  <c r="F184" i="395"/>
  <c r="F179" i="395"/>
  <c r="I50" i="398"/>
  <c r="H50" i="398"/>
  <c r="H76" i="388"/>
  <c r="I76" i="388"/>
  <c r="G147" i="388"/>
  <c r="G76" i="346"/>
  <c r="G44" i="346"/>
  <c r="G20" i="346"/>
  <c r="G52" i="346"/>
  <c r="G36" i="346"/>
  <c r="G92" i="346"/>
  <c r="G60" i="346"/>
  <c r="G108" i="346"/>
  <c r="J135" i="337"/>
  <c r="D34" i="324"/>
  <c r="E27" i="324"/>
  <c r="E27" i="354"/>
  <c r="C34" i="354"/>
  <c r="C34" i="254"/>
  <c r="E27" i="254"/>
  <c r="C55" i="324"/>
  <c r="C27" i="339"/>
  <c r="E20" i="339"/>
  <c r="P249" i="310" l="1"/>
  <c r="P250" i="310" s="1"/>
  <c r="P251" i="310" s="1"/>
  <c r="P252" i="310" s="1"/>
  <c r="P253" i="310" s="1"/>
  <c r="P254" i="310" s="1"/>
  <c r="P241" i="310"/>
  <c r="P239" i="310"/>
  <c r="P240" i="310" s="1"/>
  <c r="P285" i="310"/>
  <c r="P287" i="310"/>
  <c r="P288" i="310"/>
  <c r="P291" i="310"/>
  <c r="P289" i="310"/>
  <c r="P290" i="310" s="1"/>
  <c r="P286" i="310"/>
  <c r="F171" i="388"/>
  <c r="F167" i="388"/>
  <c r="I147" i="337"/>
  <c r="I148" i="337" s="1"/>
  <c r="I154" i="337" s="1"/>
  <c r="I145" i="325" s="1"/>
  <c r="I146" i="325" s="1"/>
  <c r="F153" i="388"/>
  <c r="F179" i="388"/>
  <c r="F149" i="388"/>
  <c r="F184" i="388"/>
  <c r="F166" i="388"/>
  <c r="F170" i="388" s="1"/>
  <c r="I60" i="325"/>
  <c r="I140" i="325"/>
  <c r="T104" i="348"/>
  <c r="D148" i="392"/>
  <c r="D152" i="392" s="1"/>
  <c r="D167" i="392"/>
  <c r="D171" i="392"/>
  <c r="D149" i="392"/>
  <c r="D184" i="392"/>
  <c r="C11" i="391"/>
  <c r="C13" i="391" s="1"/>
  <c r="D166" i="392"/>
  <c r="D170" i="392" s="1"/>
  <c r="D153" i="392"/>
  <c r="D179" i="392"/>
  <c r="I47" i="360"/>
  <c r="H24" i="396"/>
  <c r="C8" i="391"/>
  <c r="C10" i="391" s="1"/>
  <c r="D148" i="395"/>
  <c r="D152" i="395" s="1"/>
  <c r="D149" i="395"/>
  <c r="D179" i="395"/>
  <c r="D184" i="395"/>
  <c r="D171" i="395"/>
  <c r="D167" i="395"/>
  <c r="D153" i="395"/>
  <c r="D166" i="395"/>
  <c r="D170" i="395" s="1"/>
  <c r="C179" i="360"/>
  <c r="C184" i="360"/>
  <c r="I24" i="405"/>
  <c r="D48" i="405"/>
  <c r="H24" i="405"/>
  <c r="C184" i="397"/>
  <c r="C179" i="397"/>
  <c r="G165" i="365"/>
  <c r="C80" i="365"/>
  <c r="C184" i="407"/>
  <c r="C179" i="407"/>
  <c r="S19" i="422"/>
  <c r="C26" i="391"/>
  <c r="C28" i="391" s="1"/>
  <c r="I48" i="398"/>
  <c r="D179" i="398"/>
  <c r="D149" i="398"/>
  <c r="I149" i="398" s="1"/>
  <c r="D153" i="398"/>
  <c r="I153" i="398" s="1"/>
  <c r="D184" i="398"/>
  <c r="I184" i="398" s="1"/>
  <c r="D166" i="398"/>
  <c r="D170" i="398" s="1"/>
  <c r="D171" i="398"/>
  <c r="I171" i="398" s="1"/>
  <c r="D167" i="398"/>
  <c r="I167" i="398" s="1"/>
  <c r="D148" i="398"/>
  <c r="D152" i="398" s="1"/>
  <c r="D153" i="394"/>
  <c r="D148" i="394"/>
  <c r="D152" i="394" s="1"/>
  <c r="D171" i="394"/>
  <c r="D179" i="394"/>
  <c r="C38" i="391"/>
  <c r="C40" i="391" s="1"/>
  <c r="D149" i="394"/>
  <c r="D166" i="394"/>
  <c r="D170" i="394" s="1"/>
  <c r="D184" i="394"/>
  <c r="D167" i="394"/>
  <c r="I105" i="325"/>
  <c r="H47" i="393"/>
  <c r="C56" i="391"/>
  <c r="C58" i="391" s="1"/>
  <c r="D153" i="360"/>
  <c r="D166" i="360"/>
  <c r="D170" i="360" s="1"/>
  <c r="D179" i="360"/>
  <c r="D167" i="360"/>
  <c r="D149" i="360"/>
  <c r="D148" i="360"/>
  <c r="D152" i="360" s="1"/>
  <c r="D184" i="360"/>
  <c r="D171" i="360"/>
  <c r="I24" i="396"/>
  <c r="D48" i="396"/>
  <c r="I76" i="397"/>
  <c r="D147" i="397"/>
  <c r="D165" i="397" s="1"/>
  <c r="D178" i="397" s="1"/>
  <c r="C18" i="391" s="1"/>
  <c r="C21" i="391" s="1"/>
  <c r="D153" i="408"/>
  <c r="D149" i="408"/>
  <c r="D166" i="408"/>
  <c r="D170" i="408" s="1"/>
  <c r="D179" i="408"/>
  <c r="D167" i="408"/>
  <c r="D184" i="408"/>
  <c r="D148" i="408"/>
  <c r="D152" i="408" s="1"/>
  <c r="D171" i="408"/>
  <c r="D153" i="407"/>
  <c r="D171" i="407"/>
  <c r="D148" i="407"/>
  <c r="D152" i="407" s="1"/>
  <c r="D166" i="407"/>
  <c r="D170" i="407" s="1"/>
  <c r="D184" i="407"/>
  <c r="D167" i="407"/>
  <c r="D179" i="407"/>
  <c r="D149" i="407"/>
  <c r="M169" i="385"/>
  <c r="M168" i="385"/>
  <c r="C48" i="391"/>
  <c r="D179" i="404"/>
  <c r="D184" i="404"/>
  <c r="I47" i="388"/>
  <c r="F153" i="404"/>
  <c r="F171" i="404"/>
  <c r="F148" i="404"/>
  <c r="F152" i="404" s="1"/>
  <c r="F167" i="404"/>
  <c r="F179" i="404"/>
  <c r="F166" i="404"/>
  <c r="F170" i="404" s="1"/>
  <c r="F184" i="404"/>
  <c r="R18" i="421"/>
  <c r="A20" i="422" a="1"/>
  <c r="A20" i="422" s="1"/>
  <c r="M20" i="422" a="1"/>
  <c r="M20" i="422" s="1"/>
  <c r="N20" i="422" a="1"/>
  <c r="N20" i="422" s="1"/>
  <c r="J20" i="422" a="1"/>
  <c r="J20" i="422" s="1"/>
  <c r="G20" i="422" a="1"/>
  <c r="G20" i="422" s="1"/>
  <c r="I20" i="422" a="1"/>
  <c r="I20" i="422" s="1"/>
  <c r="O20" i="422" a="1"/>
  <c r="O20" i="422" s="1"/>
  <c r="P20" i="422" a="1"/>
  <c r="P20" i="422" s="1"/>
  <c r="H20" i="422" a="1"/>
  <c r="H20" i="422" s="1"/>
  <c r="L20" i="422" a="1"/>
  <c r="L20" i="422" s="1"/>
  <c r="R20" i="422" a="1"/>
  <c r="R20" i="422" s="1"/>
  <c r="C21" i="422"/>
  <c r="O169" i="365"/>
  <c r="O168" i="365"/>
  <c r="C44" i="365"/>
  <c r="C82" i="386"/>
  <c r="P82" i="386" s="1"/>
  <c r="P80" i="386"/>
  <c r="E168" i="386"/>
  <c r="E169" i="386"/>
  <c r="C44" i="386"/>
  <c r="D171" i="393"/>
  <c r="D153" i="393"/>
  <c r="D166" i="393"/>
  <c r="D170" i="393" s="1"/>
  <c r="D148" i="393"/>
  <c r="D152" i="393" s="1"/>
  <c r="D149" i="393"/>
  <c r="C23" i="391"/>
  <c r="D179" i="393"/>
  <c r="D167" i="393"/>
  <c r="D184" i="393"/>
  <c r="H19" i="421" a="1"/>
  <c r="H19" i="421" s="1"/>
  <c r="M19" i="421" a="1"/>
  <c r="M19" i="421" s="1"/>
  <c r="A19" i="421" a="1"/>
  <c r="A19" i="421" s="1"/>
  <c r="L19" i="421" a="1"/>
  <c r="L19" i="421" s="1"/>
  <c r="G19" i="421" a="1"/>
  <c r="G19" i="421" s="1"/>
  <c r="I19" i="421" a="1"/>
  <c r="I19" i="421" s="1"/>
  <c r="Q19" i="421" a="1"/>
  <c r="Q19" i="421" s="1"/>
  <c r="K19" i="421" a="1"/>
  <c r="K19" i="421" s="1"/>
  <c r="N19" i="421" a="1"/>
  <c r="N19" i="421" s="1"/>
  <c r="O19" i="421" a="1"/>
  <c r="O19" i="421" s="1"/>
  <c r="C20" i="421"/>
  <c r="D148" i="389"/>
  <c r="D152" i="389" s="1"/>
  <c r="D149" i="389"/>
  <c r="D153" i="389"/>
  <c r="D167" i="389"/>
  <c r="D171" i="389"/>
  <c r="D179" i="389"/>
  <c r="D184" i="389"/>
  <c r="D166" i="389"/>
  <c r="D170" i="389" s="1"/>
  <c r="I47" i="403"/>
  <c r="D48" i="403"/>
  <c r="C165" i="386"/>
  <c r="P165" i="386" s="1"/>
  <c r="D167" i="386"/>
  <c r="D169" i="386"/>
  <c r="C169" i="385"/>
  <c r="P169" i="385" s="1"/>
  <c r="P44" i="385"/>
  <c r="C167" i="385"/>
  <c r="P167" i="385" s="1"/>
  <c r="D168" i="385"/>
  <c r="C168" i="385" s="1"/>
  <c r="P168" i="385" s="1"/>
  <c r="C184" i="398"/>
  <c r="C179" i="398"/>
  <c r="C184" i="392"/>
  <c r="C179" i="392"/>
  <c r="C164" i="386"/>
  <c r="P164" i="386" s="1"/>
  <c r="D184" i="397"/>
  <c r="I184" i="397" s="1"/>
  <c r="D148" i="397"/>
  <c r="D152" i="397" s="1"/>
  <c r="D171" i="397"/>
  <c r="I171" i="397" s="1"/>
  <c r="D166" i="397"/>
  <c r="D170" i="397" s="1"/>
  <c r="C17" i="391"/>
  <c r="D153" i="397"/>
  <c r="I153" i="397" s="1"/>
  <c r="D179" i="397"/>
  <c r="I48" i="397"/>
  <c r="D167" i="397"/>
  <c r="I167" i="397" s="1"/>
  <c r="D149" i="397"/>
  <c r="I149" i="397" s="1"/>
  <c r="I167" i="386"/>
  <c r="I168" i="386" s="1"/>
  <c r="I169" i="386"/>
  <c r="C151" i="386"/>
  <c r="D148" i="399"/>
  <c r="D152" i="399" s="1"/>
  <c r="C29" i="391"/>
  <c r="C31" i="391" s="1"/>
  <c r="D153" i="399"/>
  <c r="D167" i="399"/>
  <c r="D171" i="399"/>
  <c r="D166" i="399"/>
  <c r="D170" i="399" s="1"/>
  <c r="D149" i="399"/>
  <c r="D184" i="399"/>
  <c r="D179" i="399"/>
  <c r="G48" i="395"/>
  <c r="G8" i="391" s="1"/>
  <c r="H47" i="360"/>
  <c r="H76" i="405"/>
  <c r="G147" i="399"/>
  <c r="G165" i="399" s="1"/>
  <c r="H47" i="395"/>
  <c r="G48" i="360"/>
  <c r="G166" i="360" s="1"/>
  <c r="G170" i="360" s="1"/>
  <c r="H24" i="393"/>
  <c r="F115" i="347"/>
  <c r="F149" i="402"/>
  <c r="T99" i="348"/>
  <c r="T102" i="348" s="1"/>
  <c r="I76" i="399"/>
  <c r="G48" i="394"/>
  <c r="I48" i="394" s="1"/>
  <c r="G48" i="396"/>
  <c r="G149" i="396" s="1"/>
  <c r="H24" i="394"/>
  <c r="F184" i="402"/>
  <c r="R116" i="347"/>
  <c r="F166" i="402"/>
  <c r="F170" i="402" s="1"/>
  <c r="F171" i="402"/>
  <c r="G147" i="405"/>
  <c r="H147" i="405" s="1"/>
  <c r="F153" i="402"/>
  <c r="F148" i="402"/>
  <c r="F152" i="402" s="1"/>
  <c r="F167" i="402"/>
  <c r="Q104" i="348"/>
  <c r="I50" i="404"/>
  <c r="H50" i="404"/>
  <c r="G48" i="408"/>
  <c r="H48" i="408" s="1"/>
  <c r="N115" i="347"/>
  <c r="S102" i="348"/>
  <c r="O103" i="348" s="1"/>
  <c r="G178" i="360"/>
  <c r="H178" i="360" s="1"/>
  <c r="K104" i="348"/>
  <c r="L115" i="347"/>
  <c r="I24" i="408"/>
  <c r="F184" i="405"/>
  <c r="H165" i="360"/>
  <c r="J102" i="348"/>
  <c r="E36" i="346"/>
  <c r="E44" i="346" s="1"/>
  <c r="I24" i="395"/>
  <c r="P102" i="348"/>
  <c r="R102" i="348"/>
  <c r="H24" i="395"/>
  <c r="U115" i="347"/>
  <c r="I76" i="408"/>
  <c r="T115" i="347"/>
  <c r="G48" i="405"/>
  <c r="G147" i="408"/>
  <c r="G48" i="393"/>
  <c r="G166" i="393" s="1"/>
  <c r="I47" i="405"/>
  <c r="I116" i="347"/>
  <c r="I24" i="389"/>
  <c r="G165" i="396"/>
  <c r="H147" i="396"/>
  <c r="G48" i="403"/>
  <c r="H48" i="403" s="1"/>
  <c r="S116" i="347"/>
  <c r="O102" i="348"/>
  <c r="G147" i="392"/>
  <c r="G165" i="392" s="1"/>
  <c r="I102" i="348"/>
  <c r="L102" i="348"/>
  <c r="I76" i="392"/>
  <c r="H102" i="348"/>
  <c r="F103" i="348" s="1"/>
  <c r="O115" i="347"/>
  <c r="V112" i="347"/>
  <c r="Q115" i="347"/>
  <c r="M115" i="347"/>
  <c r="F104" i="348"/>
  <c r="V114" i="347"/>
  <c r="J115" i="347"/>
  <c r="K115" i="347"/>
  <c r="N102" i="348"/>
  <c r="H115" i="347"/>
  <c r="U101" i="348"/>
  <c r="U104" i="348" s="1"/>
  <c r="G48" i="407"/>
  <c r="I48" i="407" s="1"/>
  <c r="G178" i="393"/>
  <c r="I178" i="393" s="1"/>
  <c r="H165" i="393"/>
  <c r="I165" i="393"/>
  <c r="I24" i="407"/>
  <c r="G102" i="348"/>
  <c r="I104" i="348"/>
  <c r="M102" i="348"/>
  <c r="M104" i="348"/>
  <c r="H147" i="393"/>
  <c r="I147" i="393"/>
  <c r="G24" i="392"/>
  <c r="I9" i="392"/>
  <c r="H9" i="392"/>
  <c r="I24" i="360"/>
  <c r="H24" i="360"/>
  <c r="H27" i="401"/>
  <c r="G47" i="401"/>
  <c r="I76" i="398"/>
  <c r="H76" i="398"/>
  <c r="I24" i="399"/>
  <c r="H24" i="399"/>
  <c r="G48" i="399"/>
  <c r="H77" i="401"/>
  <c r="I77" i="401"/>
  <c r="G76" i="401"/>
  <c r="G147" i="404"/>
  <c r="I76" i="404"/>
  <c r="H76" i="404"/>
  <c r="I76" i="394"/>
  <c r="H76" i="394"/>
  <c r="H47" i="389"/>
  <c r="I47" i="389"/>
  <c r="G48" i="389"/>
  <c r="I77" i="395"/>
  <c r="G76" i="395"/>
  <c r="H77" i="395"/>
  <c r="H50" i="405"/>
  <c r="I50" i="405"/>
  <c r="F179" i="360"/>
  <c r="F184" i="360"/>
  <c r="E179" i="394"/>
  <c r="E184" i="394"/>
  <c r="U99" i="348"/>
  <c r="U100" i="348"/>
  <c r="I77" i="402"/>
  <c r="H77" i="402"/>
  <c r="G76" i="402"/>
  <c r="H50" i="397"/>
  <c r="I50" i="397"/>
  <c r="H19" i="398"/>
  <c r="G24" i="398"/>
  <c r="H24" i="397"/>
  <c r="G48" i="397"/>
  <c r="I77" i="403"/>
  <c r="H77" i="403"/>
  <c r="G76" i="403"/>
  <c r="G76" i="407"/>
  <c r="I77" i="407"/>
  <c r="H77" i="407"/>
  <c r="G76" i="397"/>
  <c r="H76" i="397" s="1"/>
  <c r="H77" i="397"/>
  <c r="I50" i="408"/>
  <c r="H50" i="408"/>
  <c r="H77" i="389"/>
  <c r="I77" i="389"/>
  <c r="G76" i="389"/>
  <c r="E179" i="360"/>
  <c r="E184" i="360"/>
  <c r="E184" i="398"/>
  <c r="E179" i="398"/>
  <c r="E179" i="408"/>
  <c r="E184" i="408"/>
  <c r="G165" i="394"/>
  <c r="I147" i="394"/>
  <c r="H147" i="394"/>
  <c r="E184" i="401"/>
  <c r="E179" i="401"/>
  <c r="E179" i="399"/>
  <c r="E184" i="399"/>
  <c r="G24" i="404"/>
  <c r="H9" i="404"/>
  <c r="G24" i="388"/>
  <c r="H9" i="388"/>
  <c r="I9" i="388"/>
  <c r="I147" i="388"/>
  <c r="G165" i="388"/>
  <c r="H147" i="388"/>
  <c r="G165" i="398"/>
  <c r="I147" i="398"/>
  <c r="H147" i="398"/>
  <c r="F184" i="403"/>
  <c r="F179" i="403"/>
  <c r="G47" i="402"/>
  <c r="H47" i="402" s="1"/>
  <c r="H27" i="402"/>
  <c r="H24" i="402"/>
  <c r="I24" i="402"/>
  <c r="D41" i="324"/>
  <c r="E34" i="324"/>
  <c r="C41" i="254"/>
  <c r="E34" i="254"/>
  <c r="C41" i="354"/>
  <c r="E34" i="354"/>
  <c r="C62" i="324"/>
  <c r="E27" i="339"/>
  <c r="C34" i="339"/>
  <c r="P292" i="310" l="1"/>
  <c r="P300" i="310"/>
  <c r="P305" i="310"/>
  <c r="P310" i="310"/>
  <c r="P317" i="310"/>
  <c r="P296" i="310"/>
  <c r="P298" i="310"/>
  <c r="P299" i="310"/>
  <c r="P308" i="310"/>
  <c r="P309" i="310"/>
  <c r="P313" i="310"/>
  <c r="P316" i="310"/>
  <c r="P322" i="310"/>
  <c r="P324" i="310"/>
  <c r="P326" i="310"/>
  <c r="P294" i="310"/>
  <c r="P295" i="310"/>
  <c r="P297" i="310"/>
  <c r="P302" i="310"/>
  <c r="P304" i="310"/>
  <c r="P307" i="310"/>
  <c r="P312" i="310"/>
  <c r="P315" i="310"/>
  <c r="P320" i="310"/>
  <c r="P321" i="310"/>
  <c r="P323" i="310"/>
  <c r="P367" i="310"/>
  <c r="P293" i="310"/>
  <c r="P301" i="310"/>
  <c r="P303" i="310"/>
  <c r="P306" i="310"/>
  <c r="P311" i="310"/>
  <c r="P318" i="310"/>
  <c r="P319" i="310"/>
  <c r="P325" i="310"/>
  <c r="P328" i="310"/>
  <c r="P314" i="310"/>
  <c r="P327" i="310"/>
  <c r="P246" i="310"/>
  <c r="P247" i="310" s="1"/>
  <c r="P242" i="310"/>
  <c r="P243" i="310" s="1"/>
  <c r="P244" i="310"/>
  <c r="P245" i="310" s="1"/>
  <c r="P248" i="310"/>
  <c r="I106" i="325"/>
  <c r="I147" i="325"/>
  <c r="G166" i="396"/>
  <c r="G170" i="396" s="1"/>
  <c r="S20" i="422"/>
  <c r="P80" i="365"/>
  <c r="C82" i="365"/>
  <c r="P82" i="365" s="1"/>
  <c r="G167" i="365"/>
  <c r="G169" i="365"/>
  <c r="C165" i="365"/>
  <c r="P165" i="365" s="1"/>
  <c r="D153" i="405"/>
  <c r="D184" i="405"/>
  <c r="C50" i="391"/>
  <c r="C52" i="391" s="1"/>
  <c r="D179" i="405"/>
  <c r="D167" i="405"/>
  <c r="D166" i="405"/>
  <c r="D170" i="405" s="1"/>
  <c r="D149" i="405"/>
  <c r="D148" i="405"/>
  <c r="D152" i="405" s="1"/>
  <c r="D171" i="405"/>
  <c r="C54" i="391"/>
  <c r="C60" i="391" s="1"/>
  <c r="C49" i="391"/>
  <c r="C14" i="391"/>
  <c r="C16" i="391" s="1"/>
  <c r="D171" i="396"/>
  <c r="D166" i="396"/>
  <c r="D170" i="396" s="1"/>
  <c r="D167" i="396"/>
  <c r="D179" i="396"/>
  <c r="D184" i="396"/>
  <c r="D153" i="396"/>
  <c r="D148" i="396"/>
  <c r="D152" i="396" s="1"/>
  <c r="D149" i="396"/>
  <c r="R19" i="421"/>
  <c r="C19" i="391"/>
  <c r="C20" i="391"/>
  <c r="A20" i="421" a="1"/>
  <c r="A20" i="421" s="1"/>
  <c r="C21" i="421"/>
  <c r="Q20" i="421" a="1"/>
  <c r="Q20" i="421" s="1"/>
  <c r="O20" i="421" a="1"/>
  <c r="O20" i="421" s="1"/>
  <c r="H20" i="421" a="1"/>
  <c r="H20" i="421" s="1"/>
  <c r="N20" i="421" a="1"/>
  <c r="N20" i="421" s="1"/>
  <c r="K20" i="421" a="1"/>
  <c r="K20" i="421" s="1"/>
  <c r="I20" i="421" a="1"/>
  <c r="I20" i="421" s="1"/>
  <c r="G20" i="421" a="1"/>
  <c r="G20" i="421" s="1"/>
  <c r="L20" i="421" a="1"/>
  <c r="L20" i="421" s="1"/>
  <c r="M20" i="421" a="1"/>
  <c r="M20" i="421" s="1"/>
  <c r="C35" i="391"/>
  <c r="C37" i="391" s="1"/>
  <c r="C25" i="391"/>
  <c r="C167" i="386"/>
  <c r="P167" i="386" s="1"/>
  <c r="D168" i="386"/>
  <c r="C168" i="386" s="1"/>
  <c r="P168" i="386" s="1"/>
  <c r="P44" i="386"/>
  <c r="C169" i="386"/>
  <c r="P169" i="386" s="1"/>
  <c r="C22" i="422"/>
  <c r="M21" i="422" a="1"/>
  <c r="M21" i="422" s="1"/>
  <c r="P21" i="422" a="1"/>
  <c r="P21" i="422" s="1"/>
  <c r="G21" i="422" a="1"/>
  <c r="G21" i="422" s="1"/>
  <c r="O21" i="422" a="1"/>
  <c r="O21" i="422" s="1"/>
  <c r="J21" i="422" a="1"/>
  <c r="J21" i="422" s="1"/>
  <c r="A21" i="422" a="1"/>
  <c r="A21" i="422" s="1"/>
  <c r="R21" i="422" a="1"/>
  <c r="R21" i="422" s="1"/>
  <c r="N21" i="422" a="1"/>
  <c r="N21" i="422" s="1"/>
  <c r="L21" i="422" a="1"/>
  <c r="L21" i="422" s="1"/>
  <c r="I21" i="422" a="1"/>
  <c r="I21" i="422" s="1"/>
  <c r="H21" i="422" a="1"/>
  <c r="H21" i="422" s="1"/>
  <c r="C152" i="386"/>
  <c r="P152" i="386" s="1"/>
  <c r="P151" i="386"/>
  <c r="D149" i="403"/>
  <c r="D167" i="403"/>
  <c r="D148" i="403"/>
  <c r="D152" i="403" s="1"/>
  <c r="D166" i="403"/>
  <c r="D170" i="403" s="1"/>
  <c r="D153" i="403"/>
  <c r="D184" i="403"/>
  <c r="D171" i="403"/>
  <c r="D179" i="403"/>
  <c r="C44" i="391"/>
  <c r="C169" i="365"/>
  <c r="P169" i="365" s="1"/>
  <c r="P44" i="365"/>
  <c r="H147" i="399"/>
  <c r="I147" i="405"/>
  <c r="I48" i="395"/>
  <c r="H48" i="395"/>
  <c r="G149" i="360"/>
  <c r="I149" i="360" s="1"/>
  <c r="I147" i="399"/>
  <c r="G179" i="360"/>
  <c r="H179" i="360" s="1"/>
  <c r="I48" i="408"/>
  <c r="G149" i="394"/>
  <c r="I149" i="394" s="1"/>
  <c r="H48" i="394"/>
  <c r="I48" i="360"/>
  <c r="G153" i="360"/>
  <c r="I153" i="360" s="1"/>
  <c r="G171" i="360"/>
  <c r="I171" i="360" s="1"/>
  <c r="G165" i="405"/>
  <c r="G178" i="405" s="1"/>
  <c r="G148" i="360"/>
  <c r="G152" i="360" s="1"/>
  <c r="H48" i="360"/>
  <c r="G56" i="391"/>
  <c r="Q56" i="391" s="1"/>
  <c r="G14" i="391"/>
  <c r="P14" i="391" s="1"/>
  <c r="G167" i="360"/>
  <c r="I167" i="360" s="1"/>
  <c r="G148" i="394"/>
  <c r="G152" i="394" s="1"/>
  <c r="G153" i="394"/>
  <c r="H153" i="394" s="1"/>
  <c r="G38" i="391"/>
  <c r="Q38" i="391" s="1"/>
  <c r="G148" i="396"/>
  <c r="H148" i="396" s="1"/>
  <c r="I48" i="396"/>
  <c r="G153" i="396"/>
  <c r="H48" i="396"/>
  <c r="H36" i="346"/>
  <c r="G44" i="391"/>
  <c r="P44" i="391" s="1"/>
  <c r="G153" i="408"/>
  <c r="H153" i="408" s="1"/>
  <c r="G148" i="393"/>
  <c r="G152" i="393" s="1"/>
  <c r="I147" i="392"/>
  <c r="Q103" i="348"/>
  <c r="P103" i="348"/>
  <c r="R103" i="348"/>
  <c r="I48" i="403"/>
  <c r="G184" i="360"/>
  <c r="H184" i="360" s="1"/>
  <c r="I178" i="360"/>
  <c r="H56" i="391"/>
  <c r="Q57" i="391" s="1"/>
  <c r="H166" i="360"/>
  <c r="G149" i="408"/>
  <c r="H149" i="408" s="1"/>
  <c r="H147" i="408"/>
  <c r="G148" i="408"/>
  <c r="H148" i="408" s="1"/>
  <c r="I147" i="408"/>
  <c r="G165" i="408"/>
  <c r="G171" i="408" s="1"/>
  <c r="G23" i="391"/>
  <c r="P23" i="391" s="1"/>
  <c r="G184" i="393"/>
  <c r="I184" i="393" s="1"/>
  <c r="H48" i="393"/>
  <c r="G167" i="393"/>
  <c r="I167" i="393" s="1"/>
  <c r="I48" i="405"/>
  <c r="H48" i="405"/>
  <c r="H178" i="393"/>
  <c r="I166" i="360"/>
  <c r="H147" i="392"/>
  <c r="G103" i="348"/>
  <c r="G179" i="393"/>
  <c r="H179" i="393" s="1"/>
  <c r="G153" i="393"/>
  <c r="H153" i="393" s="1"/>
  <c r="G171" i="393"/>
  <c r="H171" i="393" s="1"/>
  <c r="G149" i="405"/>
  <c r="I149" i="405" s="1"/>
  <c r="G50" i="391"/>
  <c r="G148" i="405"/>
  <c r="G153" i="405"/>
  <c r="H153" i="405" s="1"/>
  <c r="H23" i="391"/>
  <c r="G149" i="393"/>
  <c r="I149" i="393" s="1"/>
  <c r="I48" i="393"/>
  <c r="G171" i="396"/>
  <c r="I171" i="396" s="1"/>
  <c r="G48" i="402"/>
  <c r="H165" i="396"/>
  <c r="G178" i="396"/>
  <c r="I165" i="396"/>
  <c r="G167" i="396"/>
  <c r="U102" i="348"/>
  <c r="H48" i="407"/>
  <c r="V116" i="347"/>
  <c r="V115" i="347"/>
  <c r="K103" i="348"/>
  <c r="J103" i="348"/>
  <c r="L103" i="348"/>
  <c r="H166" i="393"/>
  <c r="G170" i="393"/>
  <c r="I166" i="393"/>
  <c r="H24" i="392"/>
  <c r="G48" i="392"/>
  <c r="G171" i="392" s="1"/>
  <c r="I24" i="392"/>
  <c r="H47" i="401"/>
  <c r="G48" i="401"/>
  <c r="I47" i="401"/>
  <c r="I147" i="404"/>
  <c r="G165" i="404"/>
  <c r="H147" i="404"/>
  <c r="I48" i="399"/>
  <c r="G148" i="399"/>
  <c r="G149" i="399"/>
  <c r="G29" i="391"/>
  <c r="H48" i="399"/>
  <c r="G153" i="399"/>
  <c r="H76" i="401"/>
  <c r="G147" i="401"/>
  <c r="I76" i="401"/>
  <c r="I76" i="395"/>
  <c r="H76" i="395"/>
  <c r="G147" i="395"/>
  <c r="H48" i="389"/>
  <c r="I48" i="389"/>
  <c r="G48" i="398"/>
  <c r="G167" i="398" s="1"/>
  <c r="H167" i="398" s="1"/>
  <c r="H24" i="398"/>
  <c r="H76" i="389"/>
  <c r="I76" i="389"/>
  <c r="G147" i="389"/>
  <c r="G147" i="402"/>
  <c r="I76" i="402"/>
  <c r="H76" i="402"/>
  <c r="H76" i="407"/>
  <c r="G147" i="407"/>
  <c r="I76" i="407"/>
  <c r="G17" i="391"/>
  <c r="H48" i="397"/>
  <c r="G147" i="397"/>
  <c r="G149" i="397" s="1"/>
  <c r="H149" i="397" s="1"/>
  <c r="I76" i="403"/>
  <c r="H76" i="403"/>
  <c r="G147" i="403"/>
  <c r="G178" i="392"/>
  <c r="I165" i="392"/>
  <c r="H165" i="392"/>
  <c r="I149" i="396"/>
  <c r="H149" i="396"/>
  <c r="I165" i="394"/>
  <c r="G178" i="394"/>
  <c r="H165" i="394"/>
  <c r="G166" i="394"/>
  <c r="G167" i="394"/>
  <c r="G171" i="394"/>
  <c r="G178" i="399"/>
  <c r="H165" i="399"/>
  <c r="I165" i="399"/>
  <c r="G166" i="399"/>
  <c r="G167" i="399"/>
  <c r="G171" i="399"/>
  <c r="P8" i="391"/>
  <c r="Q8" i="391"/>
  <c r="H24" i="388"/>
  <c r="I24" i="388"/>
  <c r="G48" i="388"/>
  <c r="I170" i="396"/>
  <c r="H24" i="404"/>
  <c r="I24" i="404"/>
  <c r="G48" i="404"/>
  <c r="H170" i="360"/>
  <c r="I170" i="360"/>
  <c r="I165" i="398"/>
  <c r="H165" i="398"/>
  <c r="G178" i="398"/>
  <c r="I165" i="388"/>
  <c r="H165" i="388"/>
  <c r="G178" i="388"/>
  <c r="D48" i="324"/>
  <c r="E41" i="324"/>
  <c r="E41" i="254"/>
  <c r="C48" i="254"/>
  <c r="E41" i="354"/>
  <c r="C48" i="354"/>
  <c r="C69" i="324"/>
  <c r="E52" i="346"/>
  <c r="H44" i="346"/>
  <c r="C41" i="339"/>
  <c r="E34" i="339"/>
  <c r="P330" i="310" l="1"/>
  <c r="P334" i="310"/>
  <c r="P338" i="310"/>
  <c r="P342" i="310"/>
  <c r="P336" i="310"/>
  <c r="P346" i="310"/>
  <c r="P331" i="310"/>
  <c r="P339" i="310"/>
  <c r="P345" i="310"/>
  <c r="P329" i="310"/>
  <c r="P333" i="310"/>
  <c r="P337" i="310"/>
  <c r="P341" i="310"/>
  <c r="P332" i="310"/>
  <c r="P340" i="310"/>
  <c r="P344" i="310"/>
  <c r="P335" i="310"/>
  <c r="P343" i="310"/>
  <c r="P403" i="310"/>
  <c r="P369" i="310"/>
  <c r="P370" i="310" s="1"/>
  <c r="P380" i="310"/>
  <c r="P381" i="310" s="1"/>
  <c r="P390" i="310"/>
  <c r="P391" i="310" s="1"/>
  <c r="P405" i="310"/>
  <c r="P409" i="310"/>
  <c r="P413" i="310"/>
  <c r="P421" i="310"/>
  <c r="P407" i="310"/>
  <c r="P371" i="310"/>
  <c r="P372" i="310" s="1"/>
  <c r="P382" i="310"/>
  <c r="P383" i="310" s="1"/>
  <c r="P388" i="310"/>
  <c r="P389" i="310" s="1"/>
  <c r="P404" i="310"/>
  <c r="P408" i="310"/>
  <c r="P420" i="310"/>
  <c r="P368" i="310"/>
  <c r="P378" i="310"/>
  <c r="P379" i="310" s="1"/>
  <c r="P386" i="310"/>
  <c r="P387" i="310" s="1"/>
  <c r="P392" i="310"/>
  <c r="P406" i="310"/>
  <c r="P410" i="310"/>
  <c r="P414" i="310"/>
  <c r="P422" i="310"/>
  <c r="P373" i="310"/>
  <c r="P374" i="310" s="1"/>
  <c r="P375" i="310"/>
  <c r="P376" i="310" s="1"/>
  <c r="P377" i="310" s="1"/>
  <c r="P384" i="310"/>
  <c r="P385" i="310" s="1"/>
  <c r="P393" i="310"/>
  <c r="P411" i="310"/>
  <c r="P415" i="310"/>
  <c r="P412" i="310"/>
  <c r="I149" i="325"/>
  <c r="H170" i="396"/>
  <c r="S21" i="422"/>
  <c r="G168" i="365"/>
  <c r="C168" i="365" s="1"/>
  <c r="P168" i="365" s="1"/>
  <c r="C167" i="365"/>
  <c r="P167" i="365" s="1"/>
  <c r="I153" i="396"/>
  <c r="H166" i="396"/>
  <c r="I166" i="396"/>
  <c r="H149" i="394"/>
  <c r="H171" i="360"/>
  <c r="I165" i="405"/>
  <c r="H153" i="396"/>
  <c r="P38" i="391"/>
  <c r="R20" i="421"/>
  <c r="C46" i="391"/>
  <c r="C53" i="391"/>
  <c r="C55" i="391" s="1"/>
  <c r="C22" i="391"/>
  <c r="H22" i="422" a="1"/>
  <c r="H22" i="422" s="1"/>
  <c r="L22" i="422" a="1"/>
  <c r="L22" i="422" s="1"/>
  <c r="I22" i="422" a="1"/>
  <c r="I22" i="422" s="1"/>
  <c r="P22" i="422" a="1"/>
  <c r="P22" i="422" s="1"/>
  <c r="N22" i="422" a="1"/>
  <c r="N22" i="422" s="1"/>
  <c r="M22" i="422" a="1"/>
  <c r="M22" i="422" s="1"/>
  <c r="R22" i="422" a="1"/>
  <c r="R22" i="422" s="1"/>
  <c r="A22" i="422" a="1"/>
  <c r="A22" i="422" s="1"/>
  <c r="J22" i="422" a="1"/>
  <c r="J22" i="422" s="1"/>
  <c r="C23" i="422"/>
  <c r="G22" i="422" a="1"/>
  <c r="G22" i="422" s="1"/>
  <c r="O22" i="422" a="1"/>
  <c r="O22" i="422" s="1"/>
  <c r="N21" i="421" a="1"/>
  <c r="N21" i="421" s="1"/>
  <c r="I21" i="421" a="1"/>
  <c r="I21" i="421" s="1"/>
  <c r="C22" i="421"/>
  <c r="O21" i="421" a="1"/>
  <c r="O21" i="421" s="1"/>
  <c r="K21" i="421" a="1"/>
  <c r="K21" i="421" s="1"/>
  <c r="A21" i="421" a="1"/>
  <c r="A21" i="421" s="1"/>
  <c r="G21" i="421" a="1"/>
  <c r="G21" i="421" s="1"/>
  <c r="H21" i="421" a="1"/>
  <c r="H21" i="421" s="1"/>
  <c r="M21" i="421" a="1"/>
  <c r="M21" i="421" s="1"/>
  <c r="L21" i="421" a="1"/>
  <c r="L21" i="421" s="1"/>
  <c r="Q21" i="421" a="1"/>
  <c r="Q21" i="421" s="1"/>
  <c r="P430" i="310"/>
  <c r="P431" i="310" s="1"/>
  <c r="P432" i="310"/>
  <c r="P433" i="310" s="1"/>
  <c r="I179" i="360"/>
  <c r="H149" i="360"/>
  <c r="I153" i="408"/>
  <c r="Q14" i="391"/>
  <c r="H148" i="394"/>
  <c r="G166" i="405"/>
  <c r="H166" i="405" s="1"/>
  <c r="H165" i="405"/>
  <c r="H153" i="360"/>
  <c r="Q44" i="391"/>
  <c r="I148" i="360"/>
  <c r="G171" i="405"/>
  <c r="I171" i="405" s="1"/>
  <c r="G167" i="405"/>
  <c r="H167" i="405" s="1"/>
  <c r="G152" i="396"/>
  <c r="H152" i="396" s="1"/>
  <c r="I148" i="394"/>
  <c r="Q23" i="391"/>
  <c r="I153" i="394"/>
  <c r="P56" i="391"/>
  <c r="H148" i="360"/>
  <c r="H167" i="360"/>
  <c r="I148" i="396"/>
  <c r="I179" i="393"/>
  <c r="O23" i="391"/>
  <c r="I148" i="393"/>
  <c r="O56" i="391"/>
  <c r="I149" i="408"/>
  <c r="H165" i="408"/>
  <c r="I165" i="408"/>
  <c r="I184" i="360"/>
  <c r="G178" i="408"/>
  <c r="G184" i="408" s="1"/>
  <c r="I171" i="393"/>
  <c r="H167" i="393"/>
  <c r="H148" i="393"/>
  <c r="J56" i="391"/>
  <c r="P57" i="391"/>
  <c r="I56" i="391"/>
  <c r="G152" i="408"/>
  <c r="H152" i="408" s="1"/>
  <c r="Q24" i="391"/>
  <c r="I148" i="408"/>
  <c r="H184" i="393"/>
  <c r="P24" i="391"/>
  <c r="P25" i="391" s="1"/>
  <c r="I23" i="391"/>
  <c r="N23" i="391" s="1"/>
  <c r="H171" i="408"/>
  <c r="I171" i="408"/>
  <c r="G167" i="408"/>
  <c r="G166" i="408"/>
  <c r="I153" i="393"/>
  <c r="J23" i="391"/>
  <c r="H149" i="405"/>
  <c r="H149" i="393"/>
  <c r="I153" i="405"/>
  <c r="G153" i="402"/>
  <c r="I153" i="402" s="1"/>
  <c r="Q50" i="391"/>
  <c r="P50" i="391"/>
  <c r="I148" i="405"/>
  <c r="G152" i="405"/>
  <c r="H148" i="405"/>
  <c r="G149" i="402"/>
  <c r="H149" i="402" s="1"/>
  <c r="I48" i="402"/>
  <c r="G41" i="391"/>
  <c r="P41" i="391" s="1"/>
  <c r="Q58" i="391"/>
  <c r="H48" i="402"/>
  <c r="G166" i="398"/>
  <c r="I166" i="398" s="1"/>
  <c r="G148" i="402"/>
  <c r="G152" i="402" s="1"/>
  <c r="H171" i="396"/>
  <c r="H178" i="396"/>
  <c r="G184" i="396"/>
  <c r="I178" i="396"/>
  <c r="G179" i="396"/>
  <c r="H14" i="391"/>
  <c r="H167" i="396"/>
  <c r="I167" i="396"/>
  <c r="G167" i="392"/>
  <c r="I167" i="392" s="1"/>
  <c r="G171" i="398"/>
  <c r="H171" i="398" s="1"/>
  <c r="G166" i="392"/>
  <c r="G170" i="392" s="1"/>
  <c r="I170" i="393"/>
  <c r="H170" i="393"/>
  <c r="G148" i="392"/>
  <c r="G153" i="392"/>
  <c r="G11" i="391"/>
  <c r="G20" i="391" s="1"/>
  <c r="G149" i="392"/>
  <c r="H48" i="392"/>
  <c r="I48" i="392"/>
  <c r="I152" i="393"/>
  <c r="H152" i="393"/>
  <c r="H153" i="399"/>
  <c r="I153" i="399"/>
  <c r="G152" i="399"/>
  <c r="H148" i="399"/>
  <c r="I148" i="399"/>
  <c r="G165" i="401"/>
  <c r="G166" i="401" s="1"/>
  <c r="I147" i="401"/>
  <c r="H147" i="401"/>
  <c r="P29" i="391"/>
  <c r="Q29" i="391"/>
  <c r="H48" i="401"/>
  <c r="G32" i="391"/>
  <c r="I48" i="401"/>
  <c r="G153" i="401"/>
  <c r="G149" i="401"/>
  <c r="G148" i="401"/>
  <c r="I149" i="399"/>
  <c r="H149" i="399"/>
  <c r="H165" i="404"/>
  <c r="I165" i="404"/>
  <c r="G178" i="404"/>
  <c r="G184" i="404" s="1"/>
  <c r="I147" i="395"/>
  <c r="G148" i="395"/>
  <c r="G165" i="395"/>
  <c r="H147" i="395"/>
  <c r="G153" i="395"/>
  <c r="G149" i="395"/>
  <c r="I147" i="403"/>
  <c r="G165" i="403"/>
  <c r="H147" i="403"/>
  <c r="G148" i="403"/>
  <c r="G149" i="403"/>
  <c r="G153" i="403"/>
  <c r="G148" i="397"/>
  <c r="G153" i="397"/>
  <c r="H153" i="397" s="1"/>
  <c r="G153" i="407"/>
  <c r="G148" i="407"/>
  <c r="I147" i="407"/>
  <c r="H147" i="407"/>
  <c r="G165" i="407"/>
  <c r="G149" i="407"/>
  <c r="H147" i="402"/>
  <c r="G165" i="402"/>
  <c r="I147" i="402"/>
  <c r="H147" i="397"/>
  <c r="G165" i="397"/>
  <c r="I147" i="397"/>
  <c r="P17" i="391"/>
  <c r="Q17" i="391"/>
  <c r="G153" i="389"/>
  <c r="G149" i="389"/>
  <c r="G148" i="389"/>
  <c r="I147" i="389"/>
  <c r="G165" i="389"/>
  <c r="H147" i="389"/>
  <c r="H48" i="398"/>
  <c r="G26" i="391"/>
  <c r="G149" i="398"/>
  <c r="H149" i="398" s="1"/>
  <c r="G148" i="398"/>
  <c r="G153" i="398"/>
  <c r="H153" i="398" s="1"/>
  <c r="I171" i="399"/>
  <c r="H171" i="399"/>
  <c r="H171" i="394"/>
  <c r="I171" i="394"/>
  <c r="I178" i="394"/>
  <c r="H178" i="394"/>
  <c r="H38" i="391"/>
  <c r="G179" i="394"/>
  <c r="G184" i="394"/>
  <c r="I178" i="392"/>
  <c r="H11" i="391"/>
  <c r="G184" i="392"/>
  <c r="G179" i="392"/>
  <c r="H178" i="392"/>
  <c r="H167" i="399"/>
  <c r="I167" i="399"/>
  <c r="H178" i="399"/>
  <c r="I178" i="399"/>
  <c r="H29" i="391"/>
  <c r="G179" i="399"/>
  <c r="G184" i="399"/>
  <c r="H167" i="394"/>
  <c r="I167" i="394"/>
  <c r="I171" i="392"/>
  <c r="H171" i="392"/>
  <c r="I166" i="399"/>
  <c r="H166" i="399"/>
  <c r="G170" i="399"/>
  <c r="I166" i="394"/>
  <c r="H166" i="394"/>
  <c r="G170" i="394"/>
  <c r="H152" i="394"/>
  <c r="I152" i="394"/>
  <c r="I152" i="360"/>
  <c r="H152" i="360"/>
  <c r="G171" i="388"/>
  <c r="G167" i="388"/>
  <c r="G149" i="388"/>
  <c r="H48" i="388"/>
  <c r="G166" i="388"/>
  <c r="G179" i="388"/>
  <c r="G153" i="388"/>
  <c r="G148" i="388"/>
  <c r="I48" i="388"/>
  <c r="G184" i="388"/>
  <c r="H178" i="388"/>
  <c r="I178" i="388"/>
  <c r="G149" i="404"/>
  <c r="H48" i="404"/>
  <c r="G166" i="404"/>
  <c r="G171" i="404"/>
  <c r="I48" i="404"/>
  <c r="G167" i="404"/>
  <c r="G148" i="404"/>
  <c r="G153" i="404"/>
  <c r="G47" i="391"/>
  <c r="H26" i="391"/>
  <c r="I178" i="398"/>
  <c r="H178" i="398"/>
  <c r="G184" i="398"/>
  <c r="H184" i="398" s="1"/>
  <c r="G179" i="398"/>
  <c r="H178" i="405"/>
  <c r="I178" i="405"/>
  <c r="H50" i="391"/>
  <c r="G184" i="405"/>
  <c r="G179" i="405"/>
  <c r="D55" i="324"/>
  <c r="E48" i="324"/>
  <c r="C55" i="354"/>
  <c r="E48" i="354"/>
  <c r="C55" i="254"/>
  <c r="E48" i="254"/>
  <c r="C76" i="324"/>
  <c r="E60" i="346"/>
  <c r="H52" i="346"/>
  <c r="C48" i="339"/>
  <c r="E41" i="339"/>
  <c r="P436" i="310" l="1"/>
  <c r="P437" i="310" s="1"/>
  <c r="P440" i="310"/>
  <c r="P438" i="310"/>
  <c r="P434" i="310"/>
  <c r="P435" i="310" s="1"/>
  <c r="P439" i="310"/>
  <c r="P417" i="310"/>
  <c r="P418" i="310" s="1"/>
  <c r="P416" i="310"/>
  <c r="P419" i="310"/>
  <c r="P350" i="310"/>
  <c r="P354" i="310"/>
  <c r="P358" i="310"/>
  <c r="P362" i="310"/>
  <c r="P366" i="310"/>
  <c r="P355" i="310"/>
  <c r="P363" i="310"/>
  <c r="P349" i="310"/>
  <c r="P353" i="310"/>
  <c r="P357" i="310"/>
  <c r="P361" i="310"/>
  <c r="P365" i="310"/>
  <c r="P347" i="310"/>
  <c r="P351" i="310"/>
  <c r="P359" i="310"/>
  <c r="P348" i="310"/>
  <c r="P352" i="310"/>
  <c r="P356" i="310"/>
  <c r="P360" i="310"/>
  <c r="P364" i="310"/>
  <c r="P394" i="310"/>
  <c r="P395" i="310"/>
  <c r="P396" i="310" s="1"/>
  <c r="P397" i="310"/>
  <c r="P423" i="310"/>
  <c r="P427" i="310"/>
  <c r="P424" i="310"/>
  <c r="P428" i="310"/>
  <c r="P426" i="310"/>
  <c r="P425" i="310"/>
  <c r="P429" i="310"/>
  <c r="S22" i="422"/>
  <c r="I166" i="405"/>
  <c r="Q25" i="391"/>
  <c r="R21" i="421"/>
  <c r="N23" i="422" a="1"/>
  <c r="N23" i="422" s="1"/>
  <c r="R23" i="422" a="1"/>
  <c r="R23" i="422" s="1"/>
  <c r="H23" i="422" a="1"/>
  <c r="H23" i="422" s="1"/>
  <c r="I23" i="422" a="1"/>
  <c r="I23" i="422" s="1"/>
  <c r="M23" i="422" a="1"/>
  <c r="M23" i="422" s="1"/>
  <c r="J23" i="422" a="1"/>
  <c r="J23" i="422" s="1"/>
  <c r="A23" i="422" a="1"/>
  <c r="A23" i="422" s="1"/>
  <c r="P23" i="422" a="1"/>
  <c r="P23" i="422" s="1"/>
  <c r="O23" i="422" a="1"/>
  <c r="O23" i="422" s="1"/>
  <c r="G23" i="422" a="1"/>
  <c r="G23" i="422" s="1"/>
  <c r="L23" i="422" a="1"/>
  <c r="L23" i="422" s="1"/>
  <c r="C24" i="422"/>
  <c r="G22" i="421" a="1"/>
  <c r="G22" i="421" s="1"/>
  <c r="M22" i="421" a="1"/>
  <c r="M22" i="421" s="1"/>
  <c r="A22" i="421" a="1"/>
  <c r="A22" i="421" s="1"/>
  <c r="Q22" i="421" a="1"/>
  <c r="Q22" i="421" s="1"/>
  <c r="O22" i="421" a="1"/>
  <c r="O22" i="421" s="1"/>
  <c r="N22" i="421" a="1"/>
  <c r="N22" i="421" s="1"/>
  <c r="I22" i="421" a="1"/>
  <c r="I22" i="421" s="1"/>
  <c r="H22" i="421" a="1"/>
  <c r="H22" i="421" s="1"/>
  <c r="K22" i="421" a="1"/>
  <c r="K22" i="421" s="1"/>
  <c r="L22" i="421" a="1"/>
  <c r="L22" i="421" s="1"/>
  <c r="C23" i="421"/>
  <c r="C59" i="391"/>
  <c r="C61" i="391" s="1"/>
  <c r="G170" i="405"/>
  <c r="H170" i="405" s="1"/>
  <c r="H171" i="405"/>
  <c r="I152" i="396"/>
  <c r="P58" i="391"/>
  <c r="I167" i="405"/>
  <c r="I149" i="402"/>
  <c r="H178" i="408"/>
  <c r="G179" i="408"/>
  <c r="H179" i="408" s="1"/>
  <c r="H166" i="392"/>
  <c r="I178" i="408"/>
  <c r="I152" i="408"/>
  <c r="G170" i="398"/>
  <c r="H170" i="398" s="1"/>
  <c r="H166" i="398"/>
  <c r="I166" i="408"/>
  <c r="H166" i="408"/>
  <c r="G170" i="408"/>
  <c r="H167" i="408"/>
  <c r="I167" i="408"/>
  <c r="H153" i="402"/>
  <c r="H148" i="402"/>
  <c r="Q41" i="391"/>
  <c r="I148" i="402"/>
  <c r="H152" i="405"/>
  <c r="I152" i="405"/>
  <c r="G53" i="391"/>
  <c r="H167" i="392"/>
  <c r="I179" i="396"/>
  <c r="H179" i="396"/>
  <c r="I184" i="396"/>
  <c r="H184" i="396"/>
  <c r="Q15" i="391"/>
  <c r="Q16" i="391" s="1"/>
  <c r="O14" i="391"/>
  <c r="I14" i="391"/>
  <c r="N14" i="391" s="1"/>
  <c r="J14" i="391"/>
  <c r="P15" i="391"/>
  <c r="P16" i="391" s="1"/>
  <c r="G179" i="404"/>
  <c r="I179" i="404" s="1"/>
  <c r="I166" i="392"/>
  <c r="G167" i="401"/>
  <c r="I167" i="401" s="1"/>
  <c r="G171" i="401"/>
  <c r="I171" i="401" s="1"/>
  <c r="I153" i="392"/>
  <c r="H153" i="392"/>
  <c r="G152" i="392"/>
  <c r="I148" i="392"/>
  <c r="H148" i="392"/>
  <c r="I149" i="392"/>
  <c r="H149" i="392"/>
  <c r="P11" i="391"/>
  <c r="P20" i="391" s="1"/>
  <c r="Q11" i="391"/>
  <c r="Q20" i="391" s="1"/>
  <c r="I178" i="404"/>
  <c r="H178" i="404"/>
  <c r="H47" i="391"/>
  <c r="O47" i="391" s="1"/>
  <c r="H148" i="401"/>
  <c r="I148" i="401"/>
  <c r="G152" i="401"/>
  <c r="P32" i="391"/>
  <c r="Q32" i="391"/>
  <c r="G170" i="401"/>
  <c r="H166" i="401"/>
  <c r="I166" i="401"/>
  <c r="I149" i="401"/>
  <c r="H149" i="401"/>
  <c r="I152" i="399"/>
  <c r="H152" i="399"/>
  <c r="I153" i="401"/>
  <c r="H153" i="401"/>
  <c r="I165" i="401"/>
  <c r="G178" i="401"/>
  <c r="H165" i="401"/>
  <c r="G166" i="395"/>
  <c r="G171" i="395"/>
  <c r="G167" i="395"/>
  <c r="G178" i="395"/>
  <c r="H165" i="395"/>
  <c r="I165" i="395"/>
  <c r="H149" i="395"/>
  <c r="I149" i="395"/>
  <c r="I148" i="395"/>
  <c r="G152" i="395"/>
  <c r="H148" i="395"/>
  <c r="I153" i="395"/>
  <c r="H153" i="395"/>
  <c r="G171" i="389"/>
  <c r="I165" i="389"/>
  <c r="G166" i="389"/>
  <c r="H165" i="389"/>
  <c r="G167" i="389"/>
  <c r="G178" i="389"/>
  <c r="H153" i="389"/>
  <c r="I153" i="389"/>
  <c r="I165" i="402"/>
  <c r="G171" i="402"/>
  <c r="G167" i="402"/>
  <c r="G178" i="402"/>
  <c r="G166" i="402"/>
  <c r="H165" i="402"/>
  <c r="H148" i="403"/>
  <c r="I148" i="403"/>
  <c r="G152" i="403"/>
  <c r="G35" i="391"/>
  <c r="P26" i="391"/>
  <c r="Q26" i="391"/>
  <c r="I165" i="397"/>
  <c r="G178" i="397"/>
  <c r="H165" i="397"/>
  <c r="G167" i="397"/>
  <c r="H167" i="397" s="1"/>
  <c r="G171" i="397"/>
  <c r="H171" i="397" s="1"/>
  <c r="G166" i="397"/>
  <c r="G152" i="397"/>
  <c r="H148" i="397"/>
  <c r="I148" i="397"/>
  <c r="G152" i="389"/>
  <c r="I148" i="389"/>
  <c r="H148" i="389"/>
  <c r="I149" i="407"/>
  <c r="H149" i="407"/>
  <c r="I148" i="407"/>
  <c r="H148" i="407"/>
  <c r="G152" i="407"/>
  <c r="I153" i="403"/>
  <c r="H153" i="403"/>
  <c r="G166" i="403"/>
  <c r="G178" i="403"/>
  <c r="G171" i="403"/>
  <c r="H165" i="403"/>
  <c r="G167" i="403"/>
  <c r="I165" i="403"/>
  <c r="H148" i="398"/>
  <c r="G152" i="398"/>
  <c r="I148" i="398"/>
  <c r="H149" i="389"/>
  <c r="I149" i="389"/>
  <c r="I165" i="407"/>
  <c r="G166" i="407"/>
  <c r="G171" i="407"/>
  <c r="H165" i="407"/>
  <c r="G167" i="407"/>
  <c r="G178" i="407"/>
  <c r="H153" i="407"/>
  <c r="I153" i="407"/>
  <c r="I149" i="403"/>
  <c r="H149" i="403"/>
  <c r="H170" i="392"/>
  <c r="I170" i="392"/>
  <c r="I179" i="408"/>
  <c r="P30" i="391"/>
  <c r="P31" i="391" s="1"/>
  <c r="Q30" i="391"/>
  <c r="Q31" i="391" s="1"/>
  <c r="I29" i="391"/>
  <c r="N29" i="391" s="1"/>
  <c r="O29" i="391"/>
  <c r="J29" i="391"/>
  <c r="Q39" i="391"/>
  <c r="Q40" i="391" s="1"/>
  <c r="P39" i="391"/>
  <c r="P40" i="391" s="1"/>
  <c r="J38" i="391"/>
  <c r="O38" i="391"/>
  <c r="I38" i="391"/>
  <c r="N38" i="391" s="1"/>
  <c r="H184" i="408"/>
  <c r="I184" i="408"/>
  <c r="I170" i="399"/>
  <c r="H170" i="399"/>
  <c r="I179" i="392"/>
  <c r="H179" i="392"/>
  <c r="I170" i="394"/>
  <c r="H170" i="394"/>
  <c r="I184" i="399"/>
  <c r="H184" i="399"/>
  <c r="H184" i="392"/>
  <c r="I184" i="392"/>
  <c r="H184" i="394"/>
  <c r="I184" i="394"/>
  <c r="I179" i="399"/>
  <c r="H179" i="399"/>
  <c r="Q12" i="391"/>
  <c r="O11" i="391"/>
  <c r="I11" i="391"/>
  <c r="N11" i="391" s="1"/>
  <c r="J11" i="391"/>
  <c r="P12" i="391"/>
  <c r="H179" i="394"/>
  <c r="I179" i="394"/>
  <c r="H179" i="405"/>
  <c r="I179" i="405"/>
  <c r="I153" i="404"/>
  <c r="H153" i="404"/>
  <c r="I149" i="404"/>
  <c r="H149" i="404"/>
  <c r="H184" i="388"/>
  <c r="I184" i="388"/>
  <c r="H179" i="388"/>
  <c r="I179" i="388"/>
  <c r="I167" i="388"/>
  <c r="H167" i="388"/>
  <c r="H184" i="405"/>
  <c r="I184" i="405"/>
  <c r="I179" i="398"/>
  <c r="H179" i="398"/>
  <c r="P27" i="391"/>
  <c r="Q27" i="391"/>
  <c r="J26" i="391"/>
  <c r="O26" i="391"/>
  <c r="I26" i="391"/>
  <c r="H148" i="404"/>
  <c r="I148" i="404"/>
  <c r="G152" i="404"/>
  <c r="I171" i="404"/>
  <c r="H171" i="404"/>
  <c r="I166" i="388"/>
  <c r="G170" i="388"/>
  <c r="H166" i="388"/>
  <c r="I171" i="388"/>
  <c r="H171" i="388"/>
  <c r="I152" i="402"/>
  <c r="H152" i="402"/>
  <c r="Q51" i="391"/>
  <c r="Q52" i="391" s="1"/>
  <c r="P51" i="391"/>
  <c r="P52" i="391" s="1"/>
  <c r="J50" i="391"/>
  <c r="O50" i="391"/>
  <c r="I50" i="391"/>
  <c r="I184" i="404"/>
  <c r="H184" i="404"/>
  <c r="G170" i="404"/>
  <c r="H166" i="404"/>
  <c r="I166" i="404"/>
  <c r="I148" i="388"/>
  <c r="H148" i="388"/>
  <c r="G152" i="388"/>
  <c r="P47" i="391"/>
  <c r="Q47" i="391"/>
  <c r="H167" i="404"/>
  <c r="I167" i="404"/>
  <c r="I153" i="388"/>
  <c r="H153" i="388"/>
  <c r="I149" i="388"/>
  <c r="H149" i="388"/>
  <c r="D62" i="324"/>
  <c r="E55" i="324"/>
  <c r="C62" i="354"/>
  <c r="E55" i="354"/>
  <c r="E55" i="254"/>
  <c r="C62" i="254"/>
  <c r="E68" i="346"/>
  <c r="H60" i="346"/>
  <c r="C83" i="324"/>
  <c r="E48" i="339"/>
  <c r="C55" i="339"/>
  <c r="P399" i="310" l="1"/>
  <c r="P400" i="310" s="1"/>
  <c r="P401" i="310" s="1"/>
  <c r="P402" i="310" s="1"/>
  <c r="P398" i="310"/>
  <c r="P441" i="310"/>
  <c r="P442" i="310" s="1"/>
  <c r="P443" i="310" s="1"/>
  <c r="P444" i="310" s="1"/>
  <c r="P445" i="310"/>
  <c r="P446" i="310" s="1"/>
  <c r="P447" i="310" s="1"/>
  <c r="P448" i="310" s="1"/>
  <c r="P463" i="310"/>
  <c r="P464" i="310" s="1"/>
  <c r="P465" i="310" s="1"/>
  <c r="P466" i="310" s="1"/>
  <c r="P479" i="310"/>
  <c r="P480" i="310" s="1"/>
  <c r="P481" i="310" s="1"/>
  <c r="P482" i="310" s="1"/>
  <c r="P499" i="310"/>
  <c r="P500" i="310" s="1"/>
  <c r="P501" i="310" s="1"/>
  <c r="P502" i="310" s="1"/>
  <c r="P457" i="310"/>
  <c r="P458" i="310" s="1"/>
  <c r="P459" i="310" s="1"/>
  <c r="P475" i="310"/>
  <c r="P476" i="310" s="1"/>
  <c r="P477" i="310" s="1"/>
  <c r="P478" i="310" s="1"/>
  <c r="P495" i="310"/>
  <c r="P496" i="310" s="1"/>
  <c r="P497" i="310" s="1"/>
  <c r="P498" i="310" s="1"/>
  <c r="P453" i="310"/>
  <c r="P454" i="310" s="1"/>
  <c r="P455" i="310" s="1"/>
  <c r="P456" i="310" s="1"/>
  <c r="P471" i="310"/>
  <c r="P472" i="310" s="1"/>
  <c r="P473" i="310" s="1"/>
  <c r="P474" i="310" s="1"/>
  <c r="P491" i="310"/>
  <c r="P492" i="310" s="1"/>
  <c r="P493" i="310" s="1"/>
  <c r="P494" i="310" s="1"/>
  <c r="P503" i="310"/>
  <c r="P504" i="310" s="1"/>
  <c r="P505" i="310" s="1"/>
  <c r="P506" i="310" s="1"/>
  <c r="P449" i="310"/>
  <c r="P450" i="310" s="1"/>
  <c r="P451" i="310" s="1"/>
  <c r="P452" i="310" s="1"/>
  <c r="P467" i="310"/>
  <c r="P468" i="310" s="1"/>
  <c r="P469" i="310" s="1"/>
  <c r="P470" i="310" s="1"/>
  <c r="P483" i="310"/>
  <c r="P484" i="310" s="1"/>
  <c r="P485" i="310" s="1"/>
  <c r="P486" i="310" s="1"/>
  <c r="P487" i="310"/>
  <c r="P488" i="310" s="1"/>
  <c r="P489" i="310" s="1"/>
  <c r="P490" i="310" s="1"/>
  <c r="S23" i="422"/>
  <c r="R22" i="421"/>
  <c r="I170" i="405"/>
  <c r="J24" i="422" a="1"/>
  <c r="J24" i="422" s="1"/>
  <c r="O24" i="422" a="1"/>
  <c r="O24" i="422" s="1"/>
  <c r="M24" i="422" a="1"/>
  <c r="M24" i="422" s="1"/>
  <c r="R24" i="422" a="1"/>
  <c r="R24" i="422" s="1"/>
  <c r="L24" i="422" a="1"/>
  <c r="L24" i="422" s="1"/>
  <c r="I24" i="422" a="1"/>
  <c r="I24" i="422" s="1"/>
  <c r="N24" i="422" a="1"/>
  <c r="N24" i="422" s="1"/>
  <c r="P24" i="422" a="1"/>
  <c r="P24" i="422" s="1"/>
  <c r="H24" i="422" a="1"/>
  <c r="H24" i="422" s="1"/>
  <c r="A24" i="422" a="1"/>
  <c r="A24" i="422" s="1"/>
  <c r="C25" i="422"/>
  <c r="G24" i="422" a="1"/>
  <c r="G24" i="422" s="1"/>
  <c r="G23" i="421" a="1"/>
  <c r="G23" i="421" s="1"/>
  <c r="L23" i="421" a="1"/>
  <c r="L23" i="421" s="1"/>
  <c r="K23" i="421" a="1"/>
  <c r="K23" i="421" s="1"/>
  <c r="Q23" i="421" a="1"/>
  <c r="Q23" i="421" s="1"/>
  <c r="M23" i="421" a="1"/>
  <c r="M23" i="421" s="1"/>
  <c r="A23" i="421" a="1"/>
  <c r="A23" i="421" s="1"/>
  <c r="H23" i="421" a="1"/>
  <c r="H23" i="421" s="1"/>
  <c r="N23" i="421" a="1"/>
  <c r="N23" i="421" s="1"/>
  <c r="I23" i="421" a="1"/>
  <c r="I23" i="421" s="1"/>
  <c r="C24" i="421"/>
  <c r="O23" i="421" a="1"/>
  <c r="O23" i="421" s="1"/>
  <c r="Q13" i="391"/>
  <c r="I170" i="398"/>
  <c r="G59" i="391"/>
  <c r="I170" i="408"/>
  <c r="H170" i="408"/>
  <c r="H179" i="404"/>
  <c r="P35" i="391"/>
  <c r="H171" i="401"/>
  <c r="J47" i="391"/>
  <c r="P13" i="391"/>
  <c r="I47" i="391"/>
  <c r="N47" i="391" s="1"/>
  <c r="H167" i="401"/>
  <c r="Q35" i="391"/>
  <c r="I152" i="392"/>
  <c r="H152" i="392"/>
  <c r="P48" i="391"/>
  <c r="P49" i="391" s="1"/>
  <c r="Q48" i="391"/>
  <c r="Q49" i="391" s="1"/>
  <c r="I152" i="401"/>
  <c r="H152" i="401"/>
  <c r="I178" i="401"/>
  <c r="G184" i="401"/>
  <c r="G179" i="401"/>
  <c r="H178" i="401"/>
  <c r="H32" i="391"/>
  <c r="I170" i="401"/>
  <c r="H170" i="401"/>
  <c r="I178" i="395"/>
  <c r="G179" i="395"/>
  <c r="G184" i="395"/>
  <c r="H178" i="395"/>
  <c r="H8" i="391"/>
  <c r="H167" i="395"/>
  <c r="I167" i="395"/>
  <c r="H152" i="395"/>
  <c r="I152" i="395"/>
  <c r="I171" i="395"/>
  <c r="H171" i="395"/>
  <c r="H166" i="395"/>
  <c r="I166" i="395"/>
  <c r="G170" i="395"/>
  <c r="G179" i="407"/>
  <c r="G184" i="407"/>
  <c r="I178" i="407"/>
  <c r="H178" i="407"/>
  <c r="I166" i="407"/>
  <c r="G170" i="407"/>
  <c r="H166" i="407"/>
  <c r="H167" i="403"/>
  <c r="I167" i="403"/>
  <c r="I166" i="403"/>
  <c r="G170" i="403"/>
  <c r="H166" i="403"/>
  <c r="G184" i="402"/>
  <c r="G179" i="402"/>
  <c r="I178" i="402"/>
  <c r="H41" i="391"/>
  <c r="H178" i="402"/>
  <c r="I167" i="407"/>
  <c r="H167" i="407"/>
  <c r="I152" i="398"/>
  <c r="H152" i="398"/>
  <c r="I152" i="397"/>
  <c r="H152" i="397"/>
  <c r="I167" i="402"/>
  <c r="H167" i="402"/>
  <c r="I166" i="389"/>
  <c r="G170" i="389"/>
  <c r="H166" i="389"/>
  <c r="I171" i="403"/>
  <c r="H171" i="403"/>
  <c r="H152" i="389"/>
  <c r="I152" i="389"/>
  <c r="I166" i="397"/>
  <c r="G170" i="397"/>
  <c r="H166" i="397"/>
  <c r="H17" i="391"/>
  <c r="G184" i="397"/>
  <c r="H184" i="397" s="1"/>
  <c r="I178" i="397"/>
  <c r="G179" i="397"/>
  <c r="H178" i="397"/>
  <c r="H171" i="402"/>
  <c r="I171" i="402"/>
  <c r="I178" i="389"/>
  <c r="G179" i="389"/>
  <c r="G184" i="389"/>
  <c r="H178" i="389"/>
  <c r="H171" i="407"/>
  <c r="I171" i="407"/>
  <c r="G184" i="403"/>
  <c r="H44" i="391"/>
  <c r="G179" i="403"/>
  <c r="I178" i="403"/>
  <c r="H178" i="403"/>
  <c r="H152" i="407"/>
  <c r="I152" i="407"/>
  <c r="H152" i="403"/>
  <c r="I152" i="403"/>
  <c r="H166" i="402"/>
  <c r="G170" i="402"/>
  <c r="I166" i="402"/>
  <c r="I167" i="389"/>
  <c r="H167" i="389"/>
  <c r="H171" i="389"/>
  <c r="I171" i="389"/>
  <c r="Q53" i="391"/>
  <c r="Q59" i="391" s="1"/>
  <c r="N26" i="391"/>
  <c r="N35" i="391" s="1"/>
  <c r="P28" i="391"/>
  <c r="I152" i="388"/>
  <c r="H152" i="388"/>
  <c r="P53" i="391"/>
  <c r="I170" i="404"/>
  <c r="H170" i="404"/>
  <c r="I170" i="388"/>
  <c r="H170" i="388"/>
  <c r="I152" i="404"/>
  <c r="H152" i="404"/>
  <c r="Q28" i="391"/>
  <c r="D69" i="324"/>
  <c r="E62" i="324"/>
  <c r="E62" i="254"/>
  <c r="C69" i="254"/>
  <c r="C69" i="354"/>
  <c r="E62" i="354"/>
  <c r="C90" i="324"/>
  <c r="H68" i="346"/>
  <c r="E76" i="346"/>
  <c r="E55" i="339"/>
  <c r="C62" i="339"/>
  <c r="P460" i="310" l="1"/>
  <c r="P461" i="310"/>
  <c r="P462" i="310"/>
  <c r="P507" i="310"/>
  <c r="P508" i="310" s="1"/>
  <c r="P509" i="310" s="1"/>
  <c r="P510" i="310" s="1"/>
  <c r="P515" i="310"/>
  <c r="P516" i="310" s="1"/>
  <c r="P517" i="310" s="1"/>
  <c r="P518" i="310" s="1"/>
  <c r="P511" i="310"/>
  <c r="P512" i="310" s="1"/>
  <c r="P513" i="310" s="1"/>
  <c r="P514" i="310" s="1"/>
  <c r="S24" i="422"/>
  <c r="P576" i="310"/>
  <c r="P574" i="310"/>
  <c r="P575" i="310"/>
  <c r="P537" i="310"/>
  <c r="P539" i="310"/>
  <c r="P543" i="310"/>
  <c r="P549" i="310"/>
  <c r="P553" i="310"/>
  <c r="P564" i="310"/>
  <c r="P568" i="310"/>
  <c r="P570" i="310"/>
  <c r="P577" i="310"/>
  <c r="P538" i="310"/>
  <c r="P542" i="310"/>
  <c r="P546" i="310"/>
  <c r="P548" i="310"/>
  <c r="P552" i="310"/>
  <c r="P563" i="310"/>
  <c r="P567" i="310"/>
  <c r="P571" i="310"/>
  <c r="P578" i="310"/>
  <c r="P579" i="310" s="1"/>
  <c r="P535" i="310"/>
  <c r="P541" i="310"/>
  <c r="P545" i="310"/>
  <c r="P547" i="310"/>
  <c r="P551" i="310"/>
  <c r="P555" i="310"/>
  <c r="P556" i="310" s="1"/>
  <c r="P566" i="310"/>
  <c r="P572" i="310"/>
  <c r="P536" i="310"/>
  <c r="P540" i="310"/>
  <c r="P544" i="310"/>
  <c r="P550" i="310"/>
  <c r="P554" i="310"/>
  <c r="P565" i="310"/>
  <c r="P569" i="310"/>
  <c r="P573" i="310"/>
  <c r="R23" i="421"/>
  <c r="N25" i="422" a="1"/>
  <c r="N25" i="422" s="1"/>
  <c r="G25" i="422" a="1"/>
  <c r="G25" i="422" s="1"/>
  <c r="H25" i="422" a="1"/>
  <c r="H25" i="422" s="1"/>
  <c r="L25" i="422" a="1"/>
  <c r="L25" i="422" s="1"/>
  <c r="P25" i="422" a="1"/>
  <c r="P25" i="422" s="1"/>
  <c r="M25" i="422" a="1"/>
  <c r="M25" i="422" s="1"/>
  <c r="J25" i="422" a="1"/>
  <c r="J25" i="422" s="1"/>
  <c r="C26" i="422"/>
  <c r="R25" i="422" a="1"/>
  <c r="R25" i="422" s="1"/>
  <c r="A25" i="422" a="1"/>
  <c r="A25" i="422" s="1"/>
  <c r="O25" i="422" a="1"/>
  <c r="O25" i="422" s="1"/>
  <c r="I25" i="422" a="1"/>
  <c r="I25" i="422" s="1"/>
  <c r="I24" i="421" a="1"/>
  <c r="I24" i="421" s="1"/>
  <c r="H24" i="421" a="1"/>
  <c r="H24" i="421" s="1"/>
  <c r="K24" i="421" a="1"/>
  <c r="K24" i="421" s="1"/>
  <c r="A24" i="421" a="1"/>
  <c r="A24" i="421" s="1"/>
  <c r="L24" i="421" a="1"/>
  <c r="L24" i="421" s="1"/>
  <c r="C25" i="421"/>
  <c r="Q24" i="421" a="1"/>
  <c r="Q24" i="421" s="1"/>
  <c r="M24" i="421" a="1"/>
  <c r="M24" i="421" s="1"/>
  <c r="G24" i="421" a="1"/>
  <c r="G24" i="421" s="1"/>
  <c r="O24" i="421" a="1"/>
  <c r="O24" i="421" s="1"/>
  <c r="N24" i="421" a="1"/>
  <c r="N24" i="421" s="1"/>
  <c r="P59" i="391"/>
  <c r="H184" i="401"/>
  <c r="I184" i="401"/>
  <c r="Q33" i="391"/>
  <c r="P33" i="391"/>
  <c r="J32" i="391"/>
  <c r="O32" i="391"/>
  <c r="I32" i="391"/>
  <c r="I35" i="391" s="1"/>
  <c r="H35" i="391"/>
  <c r="H179" i="401"/>
  <c r="I179" i="401"/>
  <c r="H184" i="395"/>
  <c r="I184" i="395"/>
  <c r="H170" i="395"/>
  <c r="I170" i="395"/>
  <c r="H179" i="395"/>
  <c r="I179" i="395"/>
  <c r="Q9" i="391"/>
  <c r="Q10" i="391" s="1"/>
  <c r="J8" i="391"/>
  <c r="O8" i="391"/>
  <c r="P9" i="391"/>
  <c r="P10" i="391" s="1"/>
  <c r="I8" i="391"/>
  <c r="N8" i="391" s="1"/>
  <c r="N20" i="391" s="1"/>
  <c r="H179" i="389"/>
  <c r="I179" i="389"/>
  <c r="Q18" i="391"/>
  <c r="I17" i="391"/>
  <c r="J17" i="391"/>
  <c r="P18" i="391"/>
  <c r="O17" i="391"/>
  <c r="H20" i="391"/>
  <c r="I41" i="391"/>
  <c r="J41" i="391"/>
  <c r="O41" i="391"/>
  <c r="P42" i="391"/>
  <c r="Q42" i="391"/>
  <c r="H53" i="391"/>
  <c r="I170" i="402"/>
  <c r="H170" i="402"/>
  <c r="I179" i="403"/>
  <c r="H179" i="403"/>
  <c r="H179" i="397"/>
  <c r="I179" i="397"/>
  <c r="I170" i="389"/>
  <c r="H170" i="389"/>
  <c r="H170" i="403"/>
  <c r="I170" i="403"/>
  <c r="O44" i="391"/>
  <c r="I44" i="391"/>
  <c r="N44" i="391" s="1"/>
  <c r="Q45" i="391"/>
  <c r="Q46" i="391" s="1"/>
  <c r="J44" i="391"/>
  <c r="P45" i="391"/>
  <c r="P46" i="391" s="1"/>
  <c r="I170" i="397"/>
  <c r="H170" i="397"/>
  <c r="H179" i="402"/>
  <c r="I179" i="402"/>
  <c r="I170" i="407"/>
  <c r="H170" i="407"/>
  <c r="H184" i="407"/>
  <c r="I184" i="407"/>
  <c r="H184" i="403"/>
  <c r="I184" i="403"/>
  <c r="I184" i="389"/>
  <c r="H184" i="389"/>
  <c r="I184" i="402"/>
  <c r="H184" i="402"/>
  <c r="H179" i="407"/>
  <c r="I179" i="407"/>
  <c r="D76" i="324"/>
  <c r="E69" i="324"/>
  <c r="C76" i="354"/>
  <c r="E69" i="354"/>
  <c r="C76" i="254"/>
  <c r="E69" i="254"/>
  <c r="H76" i="346"/>
  <c r="E84" i="346"/>
  <c r="E62" i="339"/>
  <c r="C69" i="339"/>
  <c r="P521" i="310" l="1"/>
  <c r="P529" i="310"/>
  <c r="P522" i="310"/>
  <c r="P530" i="310"/>
  <c r="P523" i="310"/>
  <c r="P531" i="310"/>
  <c r="P524" i="310"/>
  <c r="P532" i="310"/>
  <c r="P525" i="310"/>
  <c r="P533" i="310"/>
  <c r="P526" i="310"/>
  <c r="P534" i="310"/>
  <c r="P519" i="310"/>
  <c r="P527" i="310"/>
  <c r="P520" i="310"/>
  <c r="P528" i="310"/>
  <c r="S25" i="422"/>
  <c r="I20" i="391"/>
  <c r="P581" i="310"/>
  <c r="P580" i="310"/>
  <c r="P583" i="310"/>
  <c r="P582" i="310"/>
  <c r="P585" i="310"/>
  <c r="P584" i="310"/>
  <c r="P587" i="310"/>
  <c r="P586" i="310"/>
  <c r="P589" i="310"/>
  <c r="P588" i="310"/>
  <c r="P613" i="310"/>
  <c r="P590" i="310"/>
  <c r="P592" i="310"/>
  <c r="P594" i="310"/>
  <c r="P596" i="310"/>
  <c r="P598" i="310"/>
  <c r="P600" i="310"/>
  <c r="P601" i="310" s="1"/>
  <c r="P603" i="310"/>
  <c r="P605" i="310"/>
  <c r="P607" i="310"/>
  <c r="P610" i="310"/>
  <c r="P612" i="310"/>
  <c r="P595" i="310"/>
  <c r="P606" i="310"/>
  <c r="P609" i="310"/>
  <c r="P591" i="310"/>
  <c r="P593" i="310"/>
  <c r="P597" i="310"/>
  <c r="P599" i="310"/>
  <c r="P602" i="310"/>
  <c r="P604" i="310"/>
  <c r="P608" i="310"/>
  <c r="P611" i="310"/>
  <c r="P614" i="310"/>
  <c r="P560" i="310"/>
  <c r="P557" i="310"/>
  <c r="P558" i="310" s="1"/>
  <c r="P559" i="310" s="1"/>
  <c r="P562" i="310"/>
  <c r="P561" i="310"/>
  <c r="R24" i="421"/>
  <c r="N25" i="421" a="1"/>
  <c r="N25" i="421" s="1"/>
  <c r="A25" i="421" a="1"/>
  <c r="A25" i="421" s="1"/>
  <c r="O25" i="421" a="1"/>
  <c r="O25" i="421" s="1"/>
  <c r="H25" i="421" a="1"/>
  <c r="H25" i="421" s="1"/>
  <c r="M25" i="421" a="1"/>
  <c r="M25" i="421" s="1"/>
  <c r="I25" i="421" a="1"/>
  <c r="I25" i="421" s="1"/>
  <c r="L25" i="421" a="1"/>
  <c r="L25" i="421" s="1"/>
  <c r="C26" i="421"/>
  <c r="Q25" i="421" a="1"/>
  <c r="Q25" i="421" s="1"/>
  <c r="K25" i="421" a="1"/>
  <c r="K25" i="421" s="1"/>
  <c r="G25" i="421" a="1"/>
  <c r="G25" i="421" s="1"/>
  <c r="N26" i="422" a="1"/>
  <c r="N26" i="422" s="1"/>
  <c r="M26" i="422" a="1"/>
  <c r="M26" i="422" s="1"/>
  <c r="I26" i="422" a="1"/>
  <c r="I26" i="422" s="1"/>
  <c r="O26" i="422" a="1"/>
  <c r="O26" i="422" s="1"/>
  <c r="C27" i="422"/>
  <c r="J26" i="422" a="1"/>
  <c r="J26" i="422" s="1"/>
  <c r="G26" i="422" a="1"/>
  <c r="G26" i="422" s="1"/>
  <c r="R26" i="422" a="1"/>
  <c r="R26" i="422" s="1"/>
  <c r="P26" i="422" a="1"/>
  <c r="P26" i="422" s="1"/>
  <c r="L26" i="422" a="1"/>
  <c r="L26" i="422" s="1"/>
  <c r="A26" i="422" a="1"/>
  <c r="A26" i="422" s="1"/>
  <c r="H26" i="422" a="1"/>
  <c r="H26" i="422" s="1"/>
  <c r="O35" i="391"/>
  <c r="J35" i="391"/>
  <c r="P34" i="391"/>
  <c r="P37" i="391" s="1"/>
  <c r="P36" i="391"/>
  <c r="Q34" i="391"/>
  <c r="Q37" i="391" s="1"/>
  <c r="Q36" i="391"/>
  <c r="P43" i="391"/>
  <c r="P55" i="391" s="1"/>
  <c r="P54" i="391"/>
  <c r="J20" i="391"/>
  <c r="O20" i="391"/>
  <c r="H59" i="391"/>
  <c r="Q19" i="391"/>
  <c r="Q22" i="391" s="1"/>
  <c r="Q21" i="391"/>
  <c r="O53" i="391"/>
  <c r="J53" i="391"/>
  <c r="P19" i="391"/>
  <c r="P22" i="391" s="1"/>
  <c r="P21" i="391"/>
  <c r="Q43" i="391"/>
  <c r="Q55" i="391" s="1"/>
  <c r="Q54" i="391"/>
  <c r="N41" i="391"/>
  <c r="N53" i="391" s="1"/>
  <c r="N59" i="391" s="1"/>
  <c r="I53" i="391"/>
  <c r="D83" i="324"/>
  <c r="E76" i="324"/>
  <c r="E76" i="254"/>
  <c r="C83" i="254"/>
  <c r="C83" i="354"/>
  <c r="E76" i="354"/>
  <c r="E92" i="346"/>
  <c r="H84" i="346"/>
  <c r="C76" i="339"/>
  <c r="E69" i="339"/>
  <c r="S26" i="422" l="1"/>
  <c r="I59" i="391"/>
  <c r="P615" i="310"/>
  <c r="P617" i="310"/>
  <c r="P619" i="310"/>
  <c r="P616" i="310"/>
  <c r="P618" i="310"/>
  <c r="P620" i="310"/>
  <c r="P622" i="310"/>
  <c r="P621" i="310"/>
  <c r="R25" i="421"/>
  <c r="M27" i="422" a="1"/>
  <c r="M27" i="422" s="1"/>
  <c r="N27" i="422" a="1"/>
  <c r="N27" i="422" s="1"/>
  <c r="J27" i="422" a="1"/>
  <c r="J27" i="422" s="1"/>
  <c r="O27" i="422" a="1"/>
  <c r="O27" i="422" s="1"/>
  <c r="H27" i="422" a="1"/>
  <c r="H27" i="422" s="1"/>
  <c r="G27" i="422" a="1"/>
  <c r="G27" i="422" s="1"/>
  <c r="R27" i="422" a="1"/>
  <c r="R27" i="422" s="1"/>
  <c r="P27" i="422" a="1"/>
  <c r="P27" i="422" s="1"/>
  <c r="A27" i="422" a="1"/>
  <c r="A27" i="422" s="1"/>
  <c r="C28" i="422"/>
  <c r="L27" i="422" a="1"/>
  <c r="L27" i="422" s="1"/>
  <c r="I27" i="422" a="1"/>
  <c r="I27" i="422" s="1"/>
  <c r="K26" i="421" a="1"/>
  <c r="K26" i="421" s="1"/>
  <c r="I26" i="421" a="1"/>
  <c r="I26" i="421" s="1"/>
  <c r="N26" i="421" a="1"/>
  <c r="N26" i="421" s="1"/>
  <c r="Q26" i="421" a="1"/>
  <c r="Q26" i="421" s="1"/>
  <c r="L26" i="421" a="1"/>
  <c r="L26" i="421" s="1"/>
  <c r="C27" i="421"/>
  <c r="M26" i="421" a="1"/>
  <c r="M26" i="421" s="1"/>
  <c r="A26" i="421" a="1"/>
  <c r="A26" i="421" s="1"/>
  <c r="H26" i="421" a="1"/>
  <c r="H26" i="421" s="1"/>
  <c r="G26" i="421" a="1"/>
  <c r="G26" i="421" s="1"/>
  <c r="O26" i="421" a="1"/>
  <c r="O26" i="421" s="1"/>
  <c r="P60" i="391"/>
  <c r="P61" i="391" s="1"/>
  <c r="Q61" i="391"/>
  <c r="Q60" i="391"/>
  <c r="J59" i="391"/>
  <c r="O59" i="391"/>
  <c r="D90" i="324"/>
  <c r="E90" i="324" s="1"/>
  <c r="E83" i="324"/>
  <c r="C90" i="354"/>
  <c r="E90" i="354" s="1"/>
  <c r="E83" i="354"/>
  <c r="C90" i="254"/>
  <c r="E90" i="254" s="1"/>
  <c r="E83" i="254"/>
  <c r="H92" i="346"/>
  <c r="E100" i="346"/>
  <c r="C83" i="339"/>
  <c r="E76" i="339"/>
  <c r="S27" i="422" l="1"/>
  <c r="P624" i="310"/>
  <c r="P623" i="310"/>
  <c r="P626" i="310"/>
  <c r="P627" i="310" s="1"/>
  <c r="P625" i="310"/>
  <c r="P631" i="310"/>
  <c r="P630" i="310"/>
  <c r="R26" i="421"/>
  <c r="K27" i="421" a="1"/>
  <c r="K27" i="421" s="1"/>
  <c r="N27" i="421" a="1"/>
  <c r="N27" i="421" s="1"/>
  <c r="Q27" i="421" a="1"/>
  <c r="Q27" i="421" s="1"/>
  <c r="L27" i="421" a="1"/>
  <c r="L27" i="421" s="1"/>
  <c r="G27" i="421" a="1"/>
  <c r="G27" i="421" s="1"/>
  <c r="C28" i="421"/>
  <c r="O27" i="421" a="1"/>
  <c r="O27" i="421" s="1"/>
  <c r="I27" i="421" a="1"/>
  <c r="I27" i="421" s="1"/>
  <c r="A27" i="421" a="1"/>
  <c r="A27" i="421" s="1"/>
  <c r="H27" i="421" a="1"/>
  <c r="H27" i="421" s="1"/>
  <c r="M27" i="421" a="1"/>
  <c r="M27" i="421" s="1"/>
  <c r="G28" i="422" a="1"/>
  <c r="G28" i="422" s="1"/>
  <c r="H28" i="422" a="1"/>
  <c r="H28" i="422" s="1"/>
  <c r="M28" i="422" a="1"/>
  <c r="M28" i="422" s="1"/>
  <c r="L28" i="422" a="1"/>
  <c r="L28" i="422" s="1"/>
  <c r="J28" i="422" a="1"/>
  <c r="J28" i="422" s="1"/>
  <c r="P28" i="422" a="1"/>
  <c r="P28" i="422" s="1"/>
  <c r="R28" i="422" a="1"/>
  <c r="R28" i="422" s="1"/>
  <c r="I28" i="422" a="1"/>
  <c r="I28" i="422" s="1"/>
  <c r="C29" i="422"/>
  <c r="N28" i="422" a="1"/>
  <c r="N28" i="422" s="1"/>
  <c r="A28" i="422" a="1"/>
  <c r="A28" i="422" s="1"/>
  <c r="O28" i="422" a="1"/>
  <c r="O28" i="422" s="1"/>
  <c r="E108" i="346"/>
  <c r="H108" i="346" s="1"/>
  <c r="H100" i="346"/>
  <c r="E83" i="339"/>
  <c r="C90" i="339"/>
  <c r="E90" i="339" s="1"/>
  <c r="S28" i="422" l="1"/>
  <c r="P629" i="310"/>
  <c r="P628" i="310"/>
  <c r="R27" i="421"/>
  <c r="C29" i="421"/>
  <c r="A28" i="421" a="1"/>
  <c r="A28" i="421" s="1"/>
  <c r="M28" i="421" a="1"/>
  <c r="M28" i="421" s="1"/>
  <c r="K28" i="421" a="1"/>
  <c r="K28" i="421" s="1"/>
  <c r="H28" i="421" a="1"/>
  <c r="H28" i="421" s="1"/>
  <c r="Q28" i="421" a="1"/>
  <c r="Q28" i="421" s="1"/>
  <c r="G28" i="421" a="1"/>
  <c r="G28" i="421" s="1"/>
  <c r="O28" i="421" a="1"/>
  <c r="O28" i="421" s="1"/>
  <c r="N28" i="421" a="1"/>
  <c r="N28" i="421" s="1"/>
  <c r="L28" i="421" a="1"/>
  <c r="L28" i="421" s="1"/>
  <c r="I28" i="421" a="1"/>
  <c r="I28" i="421" s="1"/>
  <c r="A29" i="422" a="1"/>
  <c r="A29" i="422" s="1"/>
  <c r="J29" i="422" a="1"/>
  <c r="J29" i="422" s="1"/>
  <c r="N29" i="422" a="1"/>
  <c r="N29" i="422" s="1"/>
  <c r="H29" i="422" a="1"/>
  <c r="H29" i="422" s="1"/>
  <c r="O29" i="422" a="1"/>
  <c r="O29" i="422" s="1"/>
  <c r="I29" i="422" a="1"/>
  <c r="I29" i="422" s="1"/>
  <c r="L29" i="422" a="1"/>
  <c r="L29" i="422" s="1"/>
  <c r="P29" i="422" a="1"/>
  <c r="P29" i="422" s="1"/>
  <c r="R29" i="422" a="1"/>
  <c r="R29" i="422" s="1"/>
  <c r="S29" i="422" s="1"/>
  <c r="C30" i="422"/>
  <c r="G29" i="422" a="1"/>
  <c r="G29" i="422" s="1"/>
  <c r="M29" i="422" a="1"/>
  <c r="M29" i="422" s="1"/>
  <c r="R28" i="421" l="1"/>
  <c r="L30" i="422" a="1"/>
  <c r="L30" i="422" s="1"/>
  <c r="A30" i="422" a="1"/>
  <c r="A30" i="422" s="1"/>
  <c r="C31" i="422"/>
  <c r="G30" i="422" a="1"/>
  <c r="G30" i="422" s="1"/>
  <c r="I30" i="422" a="1"/>
  <c r="I30" i="422" s="1"/>
  <c r="M30" i="422" a="1"/>
  <c r="M30" i="422" s="1"/>
  <c r="O30" i="422" a="1"/>
  <c r="O30" i="422" s="1"/>
  <c r="N30" i="422" a="1"/>
  <c r="N30" i="422" s="1"/>
  <c r="H30" i="422" a="1"/>
  <c r="H30" i="422" s="1"/>
  <c r="P30" i="422" a="1"/>
  <c r="P30" i="422" s="1"/>
  <c r="R30" i="422" a="1"/>
  <c r="R30" i="422" s="1"/>
  <c r="S30" i="422" s="1"/>
  <c r="J30" i="422" a="1"/>
  <c r="J30" i="422" s="1"/>
  <c r="C30" i="421"/>
  <c r="N29" i="421" a="1"/>
  <c r="N29" i="421" s="1"/>
  <c r="I29" i="421" a="1"/>
  <c r="I29" i="421" s="1"/>
  <c r="L29" i="421" a="1"/>
  <c r="L29" i="421" s="1"/>
  <c r="H29" i="421" a="1"/>
  <c r="H29" i="421" s="1"/>
  <c r="A29" i="421" a="1"/>
  <c r="A29" i="421" s="1"/>
  <c r="Q29" i="421" a="1"/>
  <c r="Q29" i="421" s="1"/>
  <c r="O29" i="421" a="1"/>
  <c r="O29" i="421" s="1"/>
  <c r="G29" i="421" a="1"/>
  <c r="G29" i="421" s="1"/>
  <c r="M29" i="421" a="1"/>
  <c r="M29" i="421" s="1"/>
  <c r="K29" i="421" a="1"/>
  <c r="K29" i="421" s="1"/>
  <c r="R29" i="421" l="1"/>
  <c r="N30" i="421" a="1"/>
  <c r="N30" i="421" s="1"/>
  <c r="C31" i="421"/>
  <c r="G30" i="421" a="1"/>
  <c r="G30" i="421" s="1"/>
  <c r="I30" i="421" a="1"/>
  <c r="I30" i="421" s="1"/>
  <c r="H30" i="421" a="1"/>
  <c r="H30" i="421" s="1"/>
  <c r="O30" i="421" a="1"/>
  <c r="O30" i="421" s="1"/>
  <c r="L30" i="421" a="1"/>
  <c r="L30" i="421" s="1"/>
  <c r="Q30" i="421" a="1"/>
  <c r="Q30" i="421" s="1"/>
  <c r="A30" i="421" a="1"/>
  <c r="A30" i="421" s="1"/>
  <c r="K30" i="421" a="1"/>
  <c r="K30" i="421" s="1"/>
  <c r="M30" i="421" a="1"/>
  <c r="M30" i="421" s="1"/>
  <c r="J31" i="422" a="1"/>
  <c r="J31" i="422" s="1"/>
  <c r="C32" i="422"/>
  <c r="R31" i="422" a="1"/>
  <c r="R31" i="422" s="1"/>
  <c r="P31" i="422" a="1"/>
  <c r="P31" i="422" s="1"/>
  <c r="I31" i="422" a="1"/>
  <c r="I31" i="422" s="1"/>
  <c r="G31" i="422" a="1"/>
  <c r="G31" i="422" s="1"/>
  <c r="A31" i="422" a="1"/>
  <c r="A31" i="422" s="1"/>
  <c r="N31" i="422" a="1"/>
  <c r="N31" i="422" s="1"/>
  <c r="H31" i="422" a="1"/>
  <c r="H31" i="422" s="1"/>
  <c r="L31" i="422" a="1"/>
  <c r="L31" i="422" s="1"/>
  <c r="M31" i="422" a="1"/>
  <c r="M31" i="422" s="1"/>
  <c r="O31" i="422" a="1"/>
  <c r="O31" i="422" s="1"/>
  <c r="S31" i="422" l="1"/>
  <c r="R30" i="421"/>
  <c r="M31" i="421" a="1"/>
  <c r="M31" i="421" s="1"/>
  <c r="H31" i="421" a="1"/>
  <c r="H31" i="421" s="1"/>
  <c r="I31" i="421" a="1"/>
  <c r="I31" i="421" s="1"/>
  <c r="L31" i="421" a="1"/>
  <c r="L31" i="421" s="1"/>
  <c r="C32" i="421"/>
  <c r="A31" i="421" a="1"/>
  <c r="A31" i="421" s="1"/>
  <c r="G31" i="421" a="1"/>
  <c r="G31" i="421" s="1"/>
  <c r="N31" i="421" a="1"/>
  <c r="N31" i="421" s="1"/>
  <c r="O31" i="421" a="1"/>
  <c r="O31" i="421" s="1"/>
  <c r="K31" i="421" a="1"/>
  <c r="K31" i="421" s="1"/>
  <c r="Q31" i="421" a="1"/>
  <c r="Q31" i="421" s="1"/>
  <c r="N32" i="422" a="1"/>
  <c r="N32" i="422" s="1"/>
  <c r="H32" i="422" a="1"/>
  <c r="H32" i="422" s="1"/>
  <c r="A32" i="422" a="1"/>
  <c r="A32" i="422" s="1"/>
  <c r="G32" i="422" a="1"/>
  <c r="G32" i="422" s="1"/>
  <c r="R32" i="422" a="1"/>
  <c r="R32" i="422" s="1"/>
  <c r="P32" i="422" a="1"/>
  <c r="P32" i="422" s="1"/>
  <c r="I32" i="422" a="1"/>
  <c r="I32" i="422" s="1"/>
  <c r="C33" i="422"/>
  <c r="O32" i="422" a="1"/>
  <c r="O32" i="422" s="1"/>
  <c r="M32" i="422" a="1"/>
  <c r="M32" i="422" s="1"/>
  <c r="J32" i="422" a="1"/>
  <c r="J32" i="422" s="1"/>
  <c r="L32" i="422" a="1"/>
  <c r="L32" i="422" s="1"/>
  <c r="S32" i="422" l="1"/>
  <c r="R31" i="421"/>
  <c r="L33" i="422" a="1"/>
  <c r="L33" i="422" s="1"/>
  <c r="A33" i="422" a="1"/>
  <c r="A33" i="422" s="1"/>
  <c r="O33" i="422" a="1"/>
  <c r="O33" i="422" s="1"/>
  <c r="R33" i="422" a="1"/>
  <c r="R33" i="422" s="1"/>
  <c r="N33" i="422" a="1"/>
  <c r="N33" i="422" s="1"/>
  <c r="H33" i="422" a="1"/>
  <c r="H33" i="422" s="1"/>
  <c r="P33" i="422" a="1"/>
  <c r="P33" i="422" s="1"/>
  <c r="I33" i="422" a="1"/>
  <c r="I33" i="422" s="1"/>
  <c r="M33" i="422" a="1"/>
  <c r="M33" i="422" s="1"/>
  <c r="C34" i="422"/>
  <c r="G33" i="422" a="1"/>
  <c r="G33" i="422" s="1"/>
  <c r="J33" i="422" a="1"/>
  <c r="J33" i="422" s="1"/>
  <c r="N32" i="421" a="1"/>
  <c r="N32" i="421" s="1"/>
  <c r="H32" i="421" a="1"/>
  <c r="H32" i="421" s="1"/>
  <c r="M32" i="421" a="1"/>
  <c r="M32" i="421" s="1"/>
  <c r="A32" i="421" a="1"/>
  <c r="A32" i="421" s="1"/>
  <c r="Q32" i="421" a="1"/>
  <c r="Q32" i="421" s="1"/>
  <c r="C33" i="421"/>
  <c r="K32" i="421" a="1"/>
  <c r="K32" i="421" s="1"/>
  <c r="I32" i="421" a="1"/>
  <c r="I32" i="421" s="1"/>
  <c r="O32" i="421" a="1"/>
  <c r="O32" i="421" s="1"/>
  <c r="G32" i="421" a="1"/>
  <c r="G32" i="421" s="1"/>
  <c r="L32" i="421" a="1"/>
  <c r="L32" i="421" s="1"/>
  <c r="S33" i="422" l="1"/>
  <c r="R32" i="421"/>
  <c r="H33" i="421" a="1"/>
  <c r="H33" i="421" s="1"/>
  <c r="I33" i="421" a="1"/>
  <c r="I33" i="421" s="1"/>
  <c r="C34" i="421"/>
  <c r="G33" i="421" a="1"/>
  <c r="G33" i="421" s="1"/>
  <c r="N33" i="421" a="1"/>
  <c r="N33" i="421" s="1"/>
  <c r="M33" i="421" a="1"/>
  <c r="M33" i="421" s="1"/>
  <c r="L33" i="421" a="1"/>
  <c r="L33" i="421" s="1"/>
  <c r="O33" i="421" a="1"/>
  <c r="O33" i="421" s="1"/>
  <c r="A33" i="421" a="1"/>
  <c r="A33" i="421" s="1"/>
  <c r="K33" i="421" a="1"/>
  <c r="K33" i="421" s="1"/>
  <c r="Q33" i="421" a="1"/>
  <c r="Q33" i="421" s="1"/>
  <c r="G34" i="422" a="1"/>
  <c r="G34" i="422" s="1"/>
  <c r="M34" i="422" a="1"/>
  <c r="M34" i="422" s="1"/>
  <c r="J34" i="422" a="1"/>
  <c r="J34" i="422" s="1"/>
  <c r="A34" i="422" a="1"/>
  <c r="A34" i="422" s="1"/>
  <c r="R34" i="422" a="1"/>
  <c r="R34" i="422" s="1"/>
  <c r="I34" i="422" a="1"/>
  <c r="I34" i="422" s="1"/>
  <c r="C35" i="422"/>
  <c r="P34" i="422" a="1"/>
  <c r="P34" i="422" s="1"/>
  <c r="H34" i="422" a="1"/>
  <c r="H34" i="422" s="1"/>
  <c r="O34" i="422" a="1"/>
  <c r="O34" i="422" s="1"/>
  <c r="N34" i="422" a="1"/>
  <c r="N34" i="422" s="1"/>
  <c r="L34" i="422" a="1"/>
  <c r="L34" i="422" s="1"/>
  <c r="S34" i="422" l="1"/>
  <c r="R33" i="421"/>
  <c r="G35" i="422" a="1"/>
  <c r="G35" i="422" s="1"/>
  <c r="M35" i="422" a="1"/>
  <c r="M35" i="422" s="1"/>
  <c r="O35" i="422" a="1"/>
  <c r="O35" i="422" s="1"/>
  <c r="L35" i="422" a="1"/>
  <c r="L35" i="422" s="1"/>
  <c r="P35" i="422" a="1"/>
  <c r="P35" i="422" s="1"/>
  <c r="I35" i="422" a="1"/>
  <c r="I35" i="422" s="1"/>
  <c r="J35" i="422" a="1"/>
  <c r="J35" i="422" s="1"/>
  <c r="A35" i="422" a="1"/>
  <c r="A35" i="422" s="1"/>
  <c r="H35" i="422" a="1"/>
  <c r="H35" i="422" s="1"/>
  <c r="N35" i="422" a="1"/>
  <c r="N35" i="422" s="1"/>
  <c r="R35" i="422" a="1"/>
  <c r="R35" i="422" s="1"/>
  <c r="S35" i="422" s="1"/>
  <c r="C36" i="422"/>
  <c r="O34" i="421" a="1"/>
  <c r="O34" i="421" s="1"/>
  <c r="G34" i="421" a="1"/>
  <c r="G34" i="421" s="1"/>
  <c r="I34" i="421" a="1"/>
  <c r="I34" i="421" s="1"/>
  <c r="Q34" i="421" a="1"/>
  <c r="Q34" i="421" s="1"/>
  <c r="H34" i="421" a="1"/>
  <c r="H34" i="421" s="1"/>
  <c r="L34" i="421" a="1"/>
  <c r="L34" i="421" s="1"/>
  <c r="A34" i="421" a="1"/>
  <c r="A34" i="421" s="1"/>
  <c r="M34" i="421" a="1"/>
  <c r="M34" i="421" s="1"/>
  <c r="C35" i="421"/>
  <c r="N34" i="421" a="1"/>
  <c r="N34" i="421" s="1"/>
  <c r="K34" i="421" a="1"/>
  <c r="K34" i="421" s="1"/>
  <c r="R34" i="421" l="1"/>
  <c r="M36" i="422" a="1"/>
  <c r="M36" i="422" s="1"/>
  <c r="A36" i="422" a="1"/>
  <c r="A36" i="422" s="1"/>
  <c r="R36" i="422" a="1"/>
  <c r="R36" i="422" s="1"/>
  <c r="I36" i="422" a="1"/>
  <c r="I36" i="422" s="1"/>
  <c r="H36" i="422" a="1"/>
  <c r="H36" i="422" s="1"/>
  <c r="O36" i="422" a="1"/>
  <c r="O36" i="422" s="1"/>
  <c r="L36" i="422" a="1"/>
  <c r="L36" i="422" s="1"/>
  <c r="G36" i="422" a="1"/>
  <c r="G36" i="422" s="1"/>
  <c r="J36" i="422" a="1"/>
  <c r="J36" i="422" s="1"/>
  <c r="C37" i="422"/>
  <c r="P36" i="422" a="1"/>
  <c r="P36" i="422" s="1"/>
  <c r="N36" i="422" a="1"/>
  <c r="N36" i="422" s="1"/>
  <c r="I35" i="421" a="1"/>
  <c r="I35" i="421" s="1"/>
  <c r="O35" i="421" a="1"/>
  <c r="O35" i="421" s="1"/>
  <c r="N35" i="421" a="1"/>
  <c r="N35" i="421" s="1"/>
  <c r="H35" i="421" a="1"/>
  <c r="H35" i="421" s="1"/>
  <c r="K35" i="421" a="1"/>
  <c r="K35" i="421" s="1"/>
  <c r="Q35" i="421" a="1"/>
  <c r="Q35" i="421" s="1"/>
  <c r="A35" i="421" a="1"/>
  <c r="A35" i="421" s="1"/>
  <c r="C36" i="421"/>
  <c r="L35" i="421" a="1"/>
  <c r="L35" i="421" s="1"/>
  <c r="M35" i="421" a="1"/>
  <c r="M35" i="421" s="1"/>
  <c r="G35" i="421" a="1"/>
  <c r="G35" i="421" s="1"/>
  <c r="S36" i="422" l="1"/>
  <c r="R35" i="421"/>
  <c r="I37" i="422" a="1"/>
  <c r="I37" i="422" s="1"/>
  <c r="P37" i="422" a="1"/>
  <c r="P37" i="422" s="1"/>
  <c r="N37" i="422" a="1"/>
  <c r="N37" i="422" s="1"/>
  <c r="J37" i="422" a="1"/>
  <c r="J37" i="422" s="1"/>
  <c r="M37" i="422" a="1"/>
  <c r="M37" i="422" s="1"/>
  <c r="G37" i="422" a="1"/>
  <c r="G37" i="422" s="1"/>
  <c r="O37" i="422" a="1"/>
  <c r="O37" i="422" s="1"/>
  <c r="L37" i="422" a="1"/>
  <c r="L37" i="422" s="1"/>
  <c r="C38" i="422"/>
  <c r="R37" i="422" a="1"/>
  <c r="R37" i="422" s="1"/>
  <c r="S37" i="422" s="1"/>
  <c r="H37" i="422" a="1"/>
  <c r="H37" i="422" s="1"/>
  <c r="A37" i="422" a="1"/>
  <c r="A37" i="422" s="1"/>
  <c r="L36" i="421" a="1"/>
  <c r="L36" i="421" s="1"/>
  <c r="H36" i="421" a="1"/>
  <c r="H36" i="421" s="1"/>
  <c r="M36" i="421" a="1"/>
  <c r="M36" i="421" s="1"/>
  <c r="A36" i="421" a="1"/>
  <c r="A36" i="421" s="1"/>
  <c r="K36" i="421" a="1"/>
  <c r="K36" i="421" s="1"/>
  <c r="I36" i="421" a="1"/>
  <c r="I36" i="421" s="1"/>
  <c r="Q36" i="421" a="1"/>
  <c r="Q36" i="421" s="1"/>
  <c r="C37" i="421"/>
  <c r="G36" i="421" a="1"/>
  <c r="G36" i="421" s="1"/>
  <c r="N36" i="421" a="1"/>
  <c r="N36" i="421" s="1"/>
  <c r="O36" i="421" a="1"/>
  <c r="O36" i="421" s="1"/>
  <c r="R36" i="421" l="1"/>
  <c r="J38" i="422" a="1"/>
  <c r="J38" i="422" s="1"/>
  <c r="M38" i="422" a="1"/>
  <c r="M38" i="422" s="1"/>
  <c r="R38" i="422" a="1"/>
  <c r="R38" i="422" s="1"/>
  <c r="L38" i="422" a="1"/>
  <c r="L38" i="422" s="1"/>
  <c r="C39" i="422"/>
  <c r="I38" i="422" a="1"/>
  <c r="I38" i="422" s="1"/>
  <c r="G38" i="422" a="1"/>
  <c r="G38" i="422" s="1"/>
  <c r="N38" i="422" a="1"/>
  <c r="N38" i="422" s="1"/>
  <c r="P38" i="422" a="1"/>
  <c r="P38" i="422" s="1"/>
  <c r="H38" i="422" a="1"/>
  <c r="H38" i="422" s="1"/>
  <c r="A38" i="422" a="1"/>
  <c r="A38" i="422" s="1"/>
  <c r="O38" i="422" a="1"/>
  <c r="O38" i="422" s="1"/>
  <c r="A37" i="421" a="1"/>
  <c r="A37" i="421" s="1"/>
  <c r="Q37" i="421" a="1"/>
  <c r="Q37" i="421" s="1"/>
  <c r="I37" i="421" a="1"/>
  <c r="I37" i="421" s="1"/>
  <c r="M37" i="421" a="1"/>
  <c r="M37" i="421" s="1"/>
  <c r="O37" i="421" a="1"/>
  <c r="O37" i="421" s="1"/>
  <c r="C38" i="421"/>
  <c r="L37" i="421" a="1"/>
  <c r="L37" i="421" s="1"/>
  <c r="N37" i="421" a="1"/>
  <c r="N37" i="421" s="1"/>
  <c r="G37" i="421" a="1"/>
  <c r="G37" i="421" s="1"/>
  <c r="K37" i="421" a="1"/>
  <c r="K37" i="421" s="1"/>
  <c r="H37" i="421" a="1"/>
  <c r="H37" i="421" s="1"/>
  <c r="S38" i="422" l="1"/>
  <c r="R37" i="421"/>
  <c r="C39" i="421"/>
  <c r="I38" i="421" a="1"/>
  <c r="I38" i="421" s="1"/>
  <c r="Q38" i="421" a="1"/>
  <c r="Q38" i="421" s="1"/>
  <c r="K38" i="421" a="1"/>
  <c r="K38" i="421" s="1"/>
  <c r="O38" i="421" a="1"/>
  <c r="O38" i="421" s="1"/>
  <c r="N38" i="421" a="1"/>
  <c r="N38" i="421" s="1"/>
  <c r="M38" i="421" a="1"/>
  <c r="M38" i="421" s="1"/>
  <c r="L38" i="421" a="1"/>
  <c r="L38" i="421" s="1"/>
  <c r="H38" i="421" a="1"/>
  <c r="H38" i="421" s="1"/>
  <c r="G38" i="421" a="1"/>
  <c r="G38" i="421" s="1"/>
  <c r="A38" i="421" a="1"/>
  <c r="A38" i="421" s="1"/>
  <c r="I39" i="422" a="1"/>
  <c r="I39" i="422" s="1"/>
  <c r="P39" i="422" a="1"/>
  <c r="P39" i="422" s="1"/>
  <c r="O39" i="422" a="1"/>
  <c r="O39" i="422" s="1"/>
  <c r="L39" i="422" a="1"/>
  <c r="L39" i="422" s="1"/>
  <c r="G39" i="422" a="1"/>
  <c r="G39" i="422" s="1"/>
  <c r="C40" i="422"/>
  <c r="M39" i="422" a="1"/>
  <c r="M39" i="422" s="1"/>
  <c r="N39" i="422" a="1"/>
  <c r="N39" i="422" s="1"/>
  <c r="R39" i="422" a="1"/>
  <c r="R39" i="422" s="1"/>
  <c r="S39" i="422" s="1"/>
  <c r="H39" i="422" a="1"/>
  <c r="H39" i="422" s="1"/>
  <c r="J39" i="422" a="1"/>
  <c r="J39" i="422" s="1"/>
  <c r="A39" i="422" a="1"/>
  <c r="A39" i="422" s="1"/>
  <c r="R38" i="421" l="1"/>
  <c r="R40" i="422" a="1"/>
  <c r="R40" i="422" s="1"/>
  <c r="M40" i="422" a="1"/>
  <c r="M40" i="422" s="1"/>
  <c r="J40" i="422" a="1"/>
  <c r="J40" i="422" s="1"/>
  <c r="C41" i="422"/>
  <c r="A40" i="422" a="1"/>
  <c r="A40" i="422" s="1"/>
  <c r="O40" i="422" a="1"/>
  <c r="O40" i="422" s="1"/>
  <c r="P40" i="422" a="1"/>
  <c r="P40" i="422" s="1"/>
  <c r="I40" i="422" a="1"/>
  <c r="I40" i="422" s="1"/>
  <c r="H40" i="422" a="1"/>
  <c r="H40" i="422" s="1"/>
  <c r="L40" i="422" a="1"/>
  <c r="L40" i="422" s="1"/>
  <c r="N40" i="422" a="1"/>
  <c r="N40" i="422" s="1"/>
  <c r="G40" i="422" a="1"/>
  <c r="G40" i="422" s="1"/>
  <c r="G39" i="421" a="1"/>
  <c r="G39" i="421" s="1"/>
  <c r="K39" i="421" a="1"/>
  <c r="K39" i="421" s="1"/>
  <c r="C40" i="421"/>
  <c r="L39" i="421" a="1"/>
  <c r="L39" i="421" s="1"/>
  <c r="H39" i="421" a="1"/>
  <c r="H39" i="421" s="1"/>
  <c r="N39" i="421" a="1"/>
  <c r="N39" i="421" s="1"/>
  <c r="O39" i="421" a="1"/>
  <c r="O39" i="421" s="1"/>
  <c r="M39" i="421" a="1"/>
  <c r="M39" i="421" s="1"/>
  <c r="I39" i="421" a="1"/>
  <c r="I39" i="421" s="1"/>
  <c r="A39" i="421" a="1"/>
  <c r="A39" i="421" s="1"/>
  <c r="Q39" i="421" a="1"/>
  <c r="Q39" i="421" s="1"/>
  <c r="S40" i="422" l="1"/>
  <c r="R39" i="421"/>
  <c r="C42" i="422"/>
  <c r="O41" i="422" a="1"/>
  <c r="O41" i="422" s="1"/>
  <c r="N41" i="422" a="1"/>
  <c r="N41" i="422" s="1"/>
  <c r="L41" i="422" a="1"/>
  <c r="L41" i="422" s="1"/>
  <c r="P41" i="422" a="1"/>
  <c r="P41" i="422" s="1"/>
  <c r="I41" i="422" a="1"/>
  <c r="I41" i="422" s="1"/>
  <c r="M41" i="422" a="1"/>
  <c r="M41" i="422" s="1"/>
  <c r="A41" i="422" a="1"/>
  <c r="A41" i="422" s="1"/>
  <c r="J41" i="422" a="1"/>
  <c r="J41" i="422" s="1"/>
  <c r="G41" i="422" a="1"/>
  <c r="G41" i="422" s="1"/>
  <c r="R41" i="422" a="1"/>
  <c r="R41" i="422" s="1"/>
  <c r="S41" i="422" s="1"/>
  <c r="H41" i="422" a="1"/>
  <c r="H41" i="422" s="1"/>
  <c r="L40" i="421" a="1"/>
  <c r="L40" i="421" s="1"/>
  <c r="N40" i="421" a="1"/>
  <c r="N40" i="421" s="1"/>
  <c r="G40" i="421" a="1"/>
  <c r="G40" i="421" s="1"/>
  <c r="H40" i="421" a="1"/>
  <c r="H40" i="421" s="1"/>
  <c r="I40" i="421" a="1"/>
  <c r="I40" i="421" s="1"/>
  <c r="M40" i="421" a="1"/>
  <c r="M40" i="421" s="1"/>
  <c r="A40" i="421" a="1"/>
  <c r="A40" i="421" s="1"/>
  <c r="Q40" i="421" a="1"/>
  <c r="Q40" i="421" s="1"/>
  <c r="O40" i="421" a="1"/>
  <c r="O40" i="421" s="1"/>
  <c r="K40" i="421" a="1"/>
  <c r="K40" i="421" s="1"/>
  <c r="C41" i="421"/>
  <c r="R40" i="421" l="1"/>
  <c r="N42" i="422" a="1"/>
  <c r="N42" i="422" s="1"/>
  <c r="O42" i="422" a="1"/>
  <c r="O42" i="422" s="1"/>
  <c r="M42" i="422" a="1"/>
  <c r="M42" i="422" s="1"/>
  <c r="A42" i="422" a="1"/>
  <c r="A42" i="422" s="1"/>
  <c r="G42" i="422" a="1"/>
  <c r="G42" i="422" s="1"/>
  <c r="P42" i="422" a="1"/>
  <c r="P42" i="422" s="1"/>
  <c r="R42" i="422" a="1"/>
  <c r="R42" i="422" s="1"/>
  <c r="L42" i="422" a="1"/>
  <c r="L42" i="422" s="1"/>
  <c r="J42" i="422" a="1"/>
  <c r="J42" i="422" s="1"/>
  <c r="I42" i="422" a="1"/>
  <c r="I42" i="422" s="1"/>
  <c r="H42" i="422" a="1"/>
  <c r="H42" i="422" s="1"/>
  <c r="C43" i="422"/>
  <c r="N41" i="421" a="1"/>
  <c r="N41" i="421" s="1"/>
  <c r="I41" i="421" a="1"/>
  <c r="I41" i="421" s="1"/>
  <c r="Q41" i="421" a="1"/>
  <c r="Q41" i="421" s="1"/>
  <c r="O41" i="421" a="1"/>
  <c r="O41" i="421" s="1"/>
  <c r="K41" i="421" a="1"/>
  <c r="K41" i="421" s="1"/>
  <c r="H41" i="421" a="1"/>
  <c r="H41" i="421" s="1"/>
  <c r="A41" i="421" a="1"/>
  <c r="A41" i="421" s="1"/>
  <c r="G41" i="421" a="1"/>
  <c r="G41" i="421" s="1"/>
  <c r="M41" i="421" a="1"/>
  <c r="M41" i="421" s="1"/>
  <c r="L41" i="421" a="1"/>
  <c r="L41" i="421" s="1"/>
  <c r="C42" i="421"/>
  <c r="S42" i="422" l="1"/>
  <c r="R41" i="421"/>
  <c r="C44" i="422"/>
  <c r="O43" i="422" a="1"/>
  <c r="O43" i="422" s="1"/>
  <c r="G43" i="422" a="1"/>
  <c r="G43" i="422" s="1"/>
  <c r="L43" i="422" a="1"/>
  <c r="L43" i="422" s="1"/>
  <c r="I43" i="422" a="1"/>
  <c r="I43" i="422" s="1"/>
  <c r="M43" i="422" a="1"/>
  <c r="M43" i="422" s="1"/>
  <c r="H43" i="422" a="1"/>
  <c r="H43" i="422" s="1"/>
  <c r="R43" i="422" a="1"/>
  <c r="R43" i="422" s="1"/>
  <c r="P43" i="422" a="1"/>
  <c r="P43" i="422" s="1"/>
  <c r="J43" i="422" a="1"/>
  <c r="J43" i="422" s="1"/>
  <c r="A43" i="422" a="1"/>
  <c r="A43" i="422" s="1"/>
  <c r="N43" i="422" a="1"/>
  <c r="N43" i="422" s="1"/>
  <c r="I42" i="421" a="1"/>
  <c r="I42" i="421" s="1"/>
  <c r="M42" i="421" a="1"/>
  <c r="M42" i="421" s="1"/>
  <c r="G42" i="421" a="1"/>
  <c r="G42" i="421" s="1"/>
  <c r="N42" i="421" a="1"/>
  <c r="N42" i="421" s="1"/>
  <c r="K42" i="421" a="1"/>
  <c r="K42" i="421" s="1"/>
  <c r="L42" i="421" a="1"/>
  <c r="L42" i="421" s="1"/>
  <c r="H42" i="421" a="1"/>
  <c r="H42" i="421" s="1"/>
  <c r="Q42" i="421" a="1"/>
  <c r="Q42" i="421" s="1"/>
  <c r="C43" i="421"/>
  <c r="A42" i="421" a="1"/>
  <c r="A42" i="421" s="1"/>
  <c r="O42" i="421" a="1"/>
  <c r="O42" i="421" s="1"/>
  <c r="S43" i="422" l="1"/>
  <c r="R42" i="421"/>
  <c r="A44" i="422" a="1"/>
  <c r="A44" i="422" s="1"/>
  <c r="J44" i="422" a="1"/>
  <c r="J44" i="422" s="1"/>
  <c r="O44" i="422" a="1"/>
  <c r="O44" i="422" s="1"/>
  <c r="P44" i="422" a="1"/>
  <c r="P44" i="422" s="1"/>
  <c r="N44" i="422" a="1"/>
  <c r="N44" i="422" s="1"/>
  <c r="H44" i="422" a="1"/>
  <c r="H44" i="422" s="1"/>
  <c r="C45" i="422"/>
  <c r="I44" i="422" a="1"/>
  <c r="I44" i="422" s="1"/>
  <c r="G44" i="422" a="1"/>
  <c r="G44" i="422" s="1"/>
  <c r="L44" i="422" a="1"/>
  <c r="L44" i="422" s="1"/>
  <c r="M44" i="422" a="1"/>
  <c r="M44" i="422" s="1"/>
  <c r="R44" i="422" a="1"/>
  <c r="R44" i="422" s="1"/>
  <c r="S44" i="422" s="1"/>
  <c r="C44" i="421"/>
  <c r="Q43" i="421" a="1"/>
  <c r="Q43" i="421" s="1"/>
  <c r="I43" i="421" a="1"/>
  <c r="I43" i="421" s="1"/>
  <c r="G43" i="421" a="1"/>
  <c r="G43" i="421" s="1"/>
  <c r="O43" i="421" a="1"/>
  <c r="O43" i="421" s="1"/>
  <c r="K43" i="421" a="1"/>
  <c r="K43" i="421" s="1"/>
  <c r="L43" i="421" a="1"/>
  <c r="L43" i="421" s="1"/>
  <c r="N43" i="421" a="1"/>
  <c r="N43" i="421" s="1"/>
  <c r="A43" i="421" a="1"/>
  <c r="A43" i="421" s="1"/>
  <c r="H43" i="421" a="1"/>
  <c r="H43" i="421" s="1"/>
  <c r="M43" i="421" a="1"/>
  <c r="M43" i="421" s="1"/>
  <c r="R43" i="421" l="1"/>
  <c r="K44" i="421" a="1"/>
  <c r="K44" i="421" s="1"/>
  <c r="N44" i="421" a="1"/>
  <c r="N44" i="421" s="1"/>
  <c r="A44" i="421" a="1"/>
  <c r="A44" i="421" s="1"/>
  <c r="Q44" i="421" a="1"/>
  <c r="Q44" i="421" s="1"/>
  <c r="G44" i="421" a="1"/>
  <c r="G44" i="421" s="1"/>
  <c r="H44" i="421" a="1"/>
  <c r="H44" i="421" s="1"/>
  <c r="L44" i="421" a="1"/>
  <c r="L44" i="421" s="1"/>
  <c r="O44" i="421" a="1"/>
  <c r="O44" i="421" s="1"/>
  <c r="I44" i="421" a="1"/>
  <c r="I44" i="421" s="1"/>
  <c r="C45" i="421"/>
  <c r="M44" i="421" a="1"/>
  <c r="M44" i="421" s="1"/>
  <c r="N45" i="422" a="1"/>
  <c r="N45" i="422" s="1"/>
  <c r="G45" i="422" a="1"/>
  <c r="G45" i="422" s="1"/>
  <c r="R45" i="422" a="1"/>
  <c r="R45" i="422" s="1"/>
  <c r="H45" i="422" a="1"/>
  <c r="H45" i="422" s="1"/>
  <c r="I45" i="422" a="1"/>
  <c r="I45" i="422" s="1"/>
  <c r="O45" i="422" a="1"/>
  <c r="O45" i="422" s="1"/>
  <c r="A45" i="422" a="1"/>
  <c r="A45" i="422" s="1"/>
  <c r="J45" i="422" a="1"/>
  <c r="J45" i="422" s="1"/>
  <c r="M45" i="422" a="1"/>
  <c r="M45" i="422" s="1"/>
  <c r="L45" i="422" a="1"/>
  <c r="L45" i="422" s="1"/>
  <c r="P45" i="422" a="1"/>
  <c r="P45" i="422" s="1"/>
  <c r="C46" i="422"/>
  <c r="S45" i="422" l="1"/>
  <c r="R44" i="421"/>
  <c r="Q45" i="421" a="1"/>
  <c r="Q45" i="421" s="1"/>
  <c r="H45" i="421" a="1"/>
  <c r="H45" i="421" s="1"/>
  <c r="N45" i="421" a="1"/>
  <c r="N45" i="421" s="1"/>
  <c r="O45" i="421" a="1"/>
  <c r="O45" i="421" s="1"/>
  <c r="K45" i="421" a="1"/>
  <c r="K45" i="421" s="1"/>
  <c r="A45" i="421" a="1"/>
  <c r="A45" i="421" s="1"/>
  <c r="I45" i="421" a="1"/>
  <c r="I45" i="421" s="1"/>
  <c r="M45" i="421" a="1"/>
  <c r="M45" i="421" s="1"/>
  <c r="G45" i="421" a="1"/>
  <c r="G45" i="421" s="1"/>
  <c r="C46" i="421"/>
  <c r="L45" i="421" a="1"/>
  <c r="L45" i="421" s="1"/>
  <c r="H46" i="422" a="1"/>
  <c r="H46" i="422" s="1"/>
  <c r="M46" i="422" a="1"/>
  <c r="M46" i="422" s="1"/>
  <c r="A46" i="422" a="1"/>
  <c r="A46" i="422" s="1"/>
  <c r="N46" i="422" a="1"/>
  <c r="N46" i="422" s="1"/>
  <c r="O46" i="422" a="1"/>
  <c r="O46" i="422" s="1"/>
  <c r="G46" i="422" a="1"/>
  <c r="G46" i="422" s="1"/>
  <c r="I46" i="422" a="1"/>
  <c r="I46" i="422" s="1"/>
  <c r="R46" i="422" a="1"/>
  <c r="R46" i="422" s="1"/>
  <c r="J46" i="422" a="1"/>
  <c r="J46" i="422" s="1"/>
  <c r="C47" i="422"/>
  <c r="P46" i="422" a="1"/>
  <c r="P46" i="422" s="1"/>
  <c r="L46" i="422" a="1"/>
  <c r="L46" i="422" s="1"/>
  <c r="S46" i="422" l="1"/>
  <c r="R45" i="421"/>
  <c r="A46" i="421" a="1"/>
  <c r="A46" i="421" s="1"/>
  <c r="Q46" i="421" a="1"/>
  <c r="Q46" i="421" s="1"/>
  <c r="C47" i="421"/>
  <c r="I46" i="421" a="1"/>
  <c r="I46" i="421" s="1"/>
  <c r="K46" i="421" a="1"/>
  <c r="K46" i="421" s="1"/>
  <c r="N46" i="421" a="1"/>
  <c r="N46" i="421" s="1"/>
  <c r="G46" i="421" a="1"/>
  <c r="G46" i="421" s="1"/>
  <c r="M46" i="421" a="1"/>
  <c r="M46" i="421" s="1"/>
  <c r="H46" i="421" a="1"/>
  <c r="H46" i="421" s="1"/>
  <c r="O46" i="421" a="1"/>
  <c r="O46" i="421" s="1"/>
  <c r="L46" i="421" a="1"/>
  <c r="L46" i="421" s="1"/>
  <c r="I47" i="422" a="1"/>
  <c r="I47" i="422" s="1"/>
  <c r="R47" i="422" a="1"/>
  <c r="R47" i="422" s="1"/>
  <c r="L47" i="422" a="1"/>
  <c r="L47" i="422" s="1"/>
  <c r="N47" i="422" a="1"/>
  <c r="N47" i="422" s="1"/>
  <c r="A47" i="422" a="1"/>
  <c r="A47" i="422" s="1"/>
  <c r="O47" i="422" a="1"/>
  <c r="O47" i="422" s="1"/>
  <c r="P47" i="422" a="1"/>
  <c r="P47" i="422" s="1"/>
  <c r="C48" i="422"/>
  <c r="M47" i="422" a="1"/>
  <c r="M47" i="422" s="1"/>
  <c r="G47" i="422" a="1"/>
  <c r="G47" i="422" s="1"/>
  <c r="H47" i="422" a="1"/>
  <c r="H47" i="422" s="1"/>
  <c r="J47" i="422" a="1"/>
  <c r="J47" i="422" s="1"/>
  <c r="S47" i="422" l="1"/>
  <c r="R46" i="421"/>
  <c r="A48" i="422" a="1"/>
  <c r="A48" i="422" s="1"/>
  <c r="C49" i="422"/>
  <c r="G48" i="422" a="1"/>
  <c r="G48" i="422" s="1"/>
  <c r="O48" i="422" a="1"/>
  <c r="O48" i="422" s="1"/>
  <c r="N48" i="422" a="1"/>
  <c r="N48" i="422" s="1"/>
  <c r="H48" i="422" a="1"/>
  <c r="H48" i="422" s="1"/>
  <c r="I48" i="422" a="1"/>
  <c r="I48" i="422" s="1"/>
  <c r="L48" i="422" a="1"/>
  <c r="L48" i="422" s="1"/>
  <c r="R48" i="422" a="1"/>
  <c r="R48" i="422" s="1"/>
  <c r="P48" i="422" a="1"/>
  <c r="P48" i="422" s="1"/>
  <c r="M48" i="422" a="1"/>
  <c r="M48" i="422" s="1"/>
  <c r="J48" i="422" a="1"/>
  <c r="J48" i="422" s="1"/>
  <c r="K47" i="421" a="1"/>
  <c r="K47" i="421" s="1"/>
  <c r="N47" i="421" a="1"/>
  <c r="N47" i="421" s="1"/>
  <c r="I47" i="421" a="1"/>
  <c r="I47" i="421" s="1"/>
  <c r="C48" i="421"/>
  <c r="H47" i="421" a="1"/>
  <c r="H47" i="421" s="1"/>
  <c r="Q47" i="421" a="1"/>
  <c r="Q47" i="421" s="1"/>
  <c r="G47" i="421" a="1"/>
  <c r="G47" i="421" s="1"/>
  <c r="M47" i="421" a="1"/>
  <c r="M47" i="421" s="1"/>
  <c r="L47" i="421" a="1"/>
  <c r="L47" i="421" s="1"/>
  <c r="A47" i="421" a="1"/>
  <c r="A47" i="421" s="1"/>
  <c r="O47" i="421" a="1"/>
  <c r="O47" i="421" s="1"/>
  <c r="S48" i="422" l="1"/>
  <c r="R47" i="421"/>
  <c r="A49" i="422" a="1"/>
  <c r="A49" i="422" s="1"/>
  <c r="N49" i="422" a="1"/>
  <c r="N49" i="422" s="1"/>
  <c r="G49" i="422" a="1"/>
  <c r="G49" i="422" s="1"/>
  <c r="L49" i="422" a="1"/>
  <c r="L49" i="422" s="1"/>
  <c r="R49" i="422" a="1"/>
  <c r="R49" i="422" s="1"/>
  <c r="J49" i="422" a="1"/>
  <c r="J49" i="422" s="1"/>
  <c r="M49" i="422" a="1"/>
  <c r="M49" i="422" s="1"/>
  <c r="P49" i="422" a="1"/>
  <c r="P49" i="422" s="1"/>
  <c r="O49" i="422" a="1"/>
  <c r="O49" i="422" s="1"/>
  <c r="C50" i="422"/>
  <c r="I49" i="422" a="1"/>
  <c r="I49" i="422" s="1"/>
  <c r="H49" i="422" a="1"/>
  <c r="H49" i="422" s="1"/>
  <c r="I48" i="421" a="1"/>
  <c r="I48" i="421" s="1"/>
  <c r="N48" i="421" a="1"/>
  <c r="N48" i="421" s="1"/>
  <c r="G48" i="421" a="1"/>
  <c r="G48" i="421" s="1"/>
  <c r="O48" i="421" a="1"/>
  <c r="O48" i="421" s="1"/>
  <c r="K48" i="421" a="1"/>
  <c r="K48" i="421" s="1"/>
  <c r="H48" i="421" a="1"/>
  <c r="H48" i="421" s="1"/>
  <c r="M48" i="421" a="1"/>
  <c r="M48" i="421" s="1"/>
  <c r="A48" i="421" a="1"/>
  <c r="A48" i="421" s="1"/>
  <c r="Q48" i="421" a="1"/>
  <c r="Q48" i="421" s="1"/>
  <c r="C49" i="421"/>
  <c r="L48" i="421" a="1"/>
  <c r="L48" i="421" s="1"/>
  <c r="S49" i="422" l="1"/>
  <c r="R48" i="421"/>
  <c r="I49" i="421" a="1"/>
  <c r="I49" i="421" s="1"/>
  <c r="L49" i="421" a="1"/>
  <c r="L49" i="421" s="1"/>
  <c r="H49" i="421" a="1"/>
  <c r="H49" i="421" s="1"/>
  <c r="K49" i="421" a="1"/>
  <c r="K49" i="421" s="1"/>
  <c r="G49" i="421" a="1"/>
  <c r="G49" i="421" s="1"/>
  <c r="O49" i="421" a="1"/>
  <c r="O49" i="421" s="1"/>
  <c r="A49" i="421" a="1"/>
  <c r="A49" i="421" s="1"/>
  <c r="M49" i="421" a="1"/>
  <c r="M49" i="421" s="1"/>
  <c r="C50" i="421"/>
  <c r="N49" i="421" a="1"/>
  <c r="N49" i="421" s="1"/>
  <c r="Q49" i="421" a="1"/>
  <c r="Q49" i="421" s="1"/>
  <c r="J50" i="422" a="1"/>
  <c r="J50" i="422" s="1"/>
  <c r="O50" i="422" a="1"/>
  <c r="O50" i="422" s="1"/>
  <c r="A50" i="422" a="1"/>
  <c r="A50" i="422" s="1"/>
  <c r="L50" i="422" a="1"/>
  <c r="L50" i="422" s="1"/>
  <c r="N50" i="422" a="1"/>
  <c r="N50" i="422" s="1"/>
  <c r="R50" i="422" a="1"/>
  <c r="R50" i="422" s="1"/>
  <c r="S50" i="422" s="1"/>
  <c r="C51" i="422"/>
  <c r="P50" i="422" a="1"/>
  <c r="P50" i="422" s="1"/>
  <c r="I50" i="422" a="1"/>
  <c r="I50" i="422" s="1"/>
  <c r="M50" i="422" a="1"/>
  <c r="M50" i="422" s="1"/>
  <c r="G50" i="422" a="1"/>
  <c r="G50" i="422" s="1"/>
  <c r="H50" i="422" a="1"/>
  <c r="H50" i="422" s="1"/>
  <c r="R49" i="421" l="1"/>
  <c r="H51" i="422" a="1"/>
  <c r="H51" i="422" s="1"/>
  <c r="C52" i="422"/>
  <c r="M51" i="422" a="1"/>
  <c r="M51" i="422" s="1"/>
  <c r="L51" i="422" a="1"/>
  <c r="L51" i="422" s="1"/>
  <c r="N51" i="422" a="1"/>
  <c r="N51" i="422" s="1"/>
  <c r="G51" i="422" a="1"/>
  <c r="G51" i="422" s="1"/>
  <c r="I51" i="422" a="1"/>
  <c r="I51" i="422" s="1"/>
  <c r="J51" i="422" a="1"/>
  <c r="J51" i="422" s="1"/>
  <c r="P51" i="422" a="1"/>
  <c r="P51" i="422" s="1"/>
  <c r="A51" i="422" a="1"/>
  <c r="A51" i="422" s="1"/>
  <c r="O51" i="422" a="1"/>
  <c r="O51" i="422" s="1"/>
  <c r="R51" i="422" a="1"/>
  <c r="R51" i="422" s="1"/>
  <c r="S51" i="422" s="1"/>
  <c r="N50" i="421" a="1"/>
  <c r="N50" i="421" s="1"/>
  <c r="I50" i="421" a="1"/>
  <c r="I50" i="421" s="1"/>
  <c r="G50" i="421" a="1"/>
  <c r="G50" i="421" s="1"/>
  <c r="K50" i="421" a="1"/>
  <c r="K50" i="421" s="1"/>
  <c r="Q50" i="421" a="1"/>
  <c r="Q50" i="421" s="1"/>
  <c r="C51" i="421"/>
  <c r="L50" i="421" a="1"/>
  <c r="L50" i="421" s="1"/>
  <c r="O50" i="421" a="1"/>
  <c r="O50" i="421" s="1"/>
  <c r="A50" i="421" a="1"/>
  <c r="A50" i="421" s="1"/>
  <c r="M50" i="421" a="1"/>
  <c r="M50" i="421" s="1"/>
  <c r="H50" i="421" a="1"/>
  <c r="H50" i="421" s="1"/>
  <c r="R50" i="421" l="1"/>
  <c r="H51" i="421" a="1"/>
  <c r="H51" i="421" s="1"/>
  <c r="Q51" i="421" a="1"/>
  <c r="Q51" i="421" s="1"/>
  <c r="M51" i="421" a="1"/>
  <c r="M51" i="421" s="1"/>
  <c r="K51" i="421" a="1"/>
  <c r="K51" i="421" s="1"/>
  <c r="O51" i="421" a="1"/>
  <c r="O51" i="421" s="1"/>
  <c r="G51" i="421" a="1"/>
  <c r="G51" i="421" s="1"/>
  <c r="I51" i="421" a="1"/>
  <c r="I51" i="421" s="1"/>
  <c r="A51" i="421" a="1"/>
  <c r="A51" i="421" s="1"/>
  <c r="N51" i="421" a="1"/>
  <c r="N51" i="421" s="1"/>
  <c r="L51" i="421" a="1"/>
  <c r="L51" i="421" s="1"/>
  <c r="C52" i="421"/>
  <c r="M52" i="422" a="1"/>
  <c r="M52" i="422" s="1"/>
  <c r="C53" i="422"/>
  <c r="I52" i="422" a="1"/>
  <c r="I52" i="422" s="1"/>
  <c r="H52" i="422" a="1"/>
  <c r="H52" i="422" s="1"/>
  <c r="L52" i="422" a="1"/>
  <c r="L52" i="422" s="1"/>
  <c r="N52" i="422" a="1"/>
  <c r="N52" i="422" s="1"/>
  <c r="J52" i="422" a="1"/>
  <c r="J52" i="422" s="1"/>
  <c r="A52" i="422" a="1"/>
  <c r="A52" i="422" s="1"/>
  <c r="G52" i="422" a="1"/>
  <c r="G52" i="422" s="1"/>
  <c r="P52" i="422" a="1"/>
  <c r="P52" i="422" s="1"/>
  <c r="R52" i="422" a="1"/>
  <c r="R52" i="422" s="1"/>
  <c r="S52" i="422" s="1"/>
  <c r="O52" i="422" a="1"/>
  <c r="O52" i="422" s="1"/>
  <c r="R51" i="421" l="1"/>
  <c r="N53" i="422" a="1"/>
  <c r="N53" i="422" s="1"/>
  <c r="J53" i="422" a="1"/>
  <c r="J53" i="422" s="1"/>
  <c r="H53" i="422" a="1"/>
  <c r="H53" i="422" s="1"/>
  <c r="R53" i="422" a="1"/>
  <c r="R53" i="422" s="1"/>
  <c r="M53" i="422" a="1"/>
  <c r="M53" i="422" s="1"/>
  <c r="I53" i="422" a="1"/>
  <c r="I53" i="422" s="1"/>
  <c r="L53" i="422" a="1"/>
  <c r="L53" i="422" s="1"/>
  <c r="O53" i="422" a="1"/>
  <c r="O53" i="422" s="1"/>
  <c r="G53" i="422" a="1"/>
  <c r="G53" i="422" s="1"/>
  <c r="P53" i="422" a="1"/>
  <c r="P53" i="422" s="1"/>
  <c r="C54" i="422"/>
  <c r="A53" i="422" a="1"/>
  <c r="A53" i="422" s="1"/>
  <c r="I52" i="421" a="1"/>
  <c r="I52" i="421" s="1"/>
  <c r="A52" i="421" a="1"/>
  <c r="A52" i="421" s="1"/>
  <c r="K52" i="421" a="1"/>
  <c r="K52" i="421" s="1"/>
  <c r="G52" i="421" a="1"/>
  <c r="G52" i="421" s="1"/>
  <c r="M52" i="421" a="1"/>
  <c r="M52" i="421" s="1"/>
  <c r="L52" i="421" a="1"/>
  <c r="L52" i="421" s="1"/>
  <c r="C53" i="421"/>
  <c r="Q52" i="421" a="1"/>
  <c r="Q52" i="421" s="1"/>
  <c r="H52" i="421" a="1"/>
  <c r="H52" i="421" s="1"/>
  <c r="N52" i="421" a="1"/>
  <c r="N52" i="421" s="1"/>
  <c r="O52" i="421" a="1"/>
  <c r="O52" i="421" s="1"/>
  <c r="S53" i="422" l="1"/>
  <c r="R52" i="421"/>
  <c r="Q53" i="421" a="1"/>
  <c r="Q53" i="421" s="1"/>
  <c r="A53" i="421" a="1"/>
  <c r="A53" i="421" s="1"/>
  <c r="N53" i="421" a="1"/>
  <c r="N53" i="421" s="1"/>
  <c r="G53" i="421" a="1"/>
  <c r="G53" i="421" s="1"/>
  <c r="M53" i="421" a="1"/>
  <c r="M53" i="421" s="1"/>
  <c r="O53" i="421" a="1"/>
  <c r="O53" i="421" s="1"/>
  <c r="I53" i="421" a="1"/>
  <c r="I53" i="421" s="1"/>
  <c r="C54" i="421"/>
  <c r="L53" i="421" a="1"/>
  <c r="L53" i="421" s="1"/>
  <c r="H53" i="421" a="1"/>
  <c r="H53" i="421" s="1"/>
  <c r="K53" i="421" a="1"/>
  <c r="K53" i="421" s="1"/>
  <c r="A54" i="422" a="1"/>
  <c r="A54" i="422" s="1"/>
  <c r="H54" i="422" a="1"/>
  <c r="H54" i="422" s="1"/>
  <c r="N54" i="422" a="1"/>
  <c r="N54" i="422" s="1"/>
  <c r="G54" i="422" a="1"/>
  <c r="G54" i="422" s="1"/>
  <c r="I54" i="422" a="1"/>
  <c r="I54" i="422" s="1"/>
  <c r="M54" i="422" a="1"/>
  <c r="M54" i="422" s="1"/>
  <c r="J54" i="422" a="1"/>
  <c r="J54" i="422" s="1"/>
  <c r="C55" i="422"/>
  <c r="R54" i="422" a="1"/>
  <c r="R54" i="422" s="1"/>
  <c r="O54" i="422" a="1"/>
  <c r="O54" i="422" s="1"/>
  <c r="P54" i="422" a="1"/>
  <c r="P54" i="422" s="1"/>
  <c r="L54" i="422" a="1"/>
  <c r="L54" i="422" s="1"/>
  <c r="S54" i="422" l="1"/>
  <c r="R53" i="421"/>
  <c r="N55" i="422" a="1"/>
  <c r="N55" i="422" s="1"/>
  <c r="I55" i="422" a="1"/>
  <c r="I55" i="422" s="1"/>
  <c r="J55" i="422" a="1"/>
  <c r="J55" i="422" s="1"/>
  <c r="P55" i="422" a="1"/>
  <c r="P55" i="422" s="1"/>
  <c r="L55" i="422" a="1"/>
  <c r="L55" i="422" s="1"/>
  <c r="A55" i="422" a="1"/>
  <c r="A55" i="422" s="1"/>
  <c r="H55" i="422" a="1"/>
  <c r="H55" i="422" s="1"/>
  <c r="R55" i="422" a="1"/>
  <c r="R55" i="422" s="1"/>
  <c r="G55" i="422" a="1"/>
  <c r="G55" i="422" s="1"/>
  <c r="M55" i="422" a="1"/>
  <c r="M55" i="422" s="1"/>
  <c r="O55" i="422" a="1"/>
  <c r="O55" i="422" s="1"/>
  <c r="A54" i="421" a="1"/>
  <c r="A54" i="421" s="1"/>
  <c r="Q54" i="421" a="1"/>
  <c r="Q54" i="421" s="1"/>
  <c r="N54" i="421" a="1"/>
  <c r="N54" i="421" s="1"/>
  <c r="K54" i="421" a="1"/>
  <c r="K54" i="421" s="1"/>
  <c r="H54" i="421" a="1"/>
  <c r="H54" i="421" s="1"/>
  <c r="C55" i="421"/>
  <c r="I54" i="421" a="1"/>
  <c r="I54" i="421" s="1"/>
  <c r="G54" i="421" a="1"/>
  <c r="G54" i="421" s="1"/>
  <c r="M54" i="421" a="1"/>
  <c r="M54" i="421" s="1"/>
  <c r="O54" i="421" a="1"/>
  <c r="O54" i="421" s="1"/>
  <c r="L54" i="421" a="1"/>
  <c r="L54" i="421" s="1"/>
  <c r="S55" i="422" l="1"/>
  <c r="R54" i="421"/>
  <c r="N55" i="421" a="1"/>
  <c r="N55" i="421" s="1"/>
  <c r="H55" i="421" a="1"/>
  <c r="H55" i="421" s="1"/>
  <c r="A55" i="421" a="1"/>
  <c r="A55" i="421" s="1"/>
  <c r="L55" i="421" a="1"/>
  <c r="L55" i="421" s="1"/>
  <c r="M55" i="421" a="1"/>
  <c r="M55" i="421" s="1"/>
  <c r="G55" i="421" a="1"/>
  <c r="G55" i="421" s="1"/>
  <c r="I55" i="421" a="1"/>
  <c r="I55" i="421" s="1"/>
  <c r="Q55" i="421" a="1"/>
  <c r="Q55" i="421" s="1"/>
  <c r="C56" i="421"/>
  <c r="K55" i="421" a="1"/>
  <c r="K55" i="421" s="1"/>
  <c r="O55" i="421" a="1"/>
  <c r="O55" i="421" s="1"/>
  <c r="R55" i="421" l="1"/>
  <c r="K56" i="421" a="1"/>
  <c r="K56" i="421" s="1"/>
  <c r="G56" i="421" a="1"/>
  <c r="G56" i="421" s="1"/>
  <c r="Q56" i="421" a="1"/>
  <c r="Q56" i="421" s="1"/>
  <c r="C57" i="421"/>
  <c r="A56" i="421" a="1"/>
  <c r="A56" i="421" s="1"/>
  <c r="I56" i="421" a="1"/>
  <c r="I56" i="421" s="1"/>
  <c r="M56" i="421" a="1"/>
  <c r="M56" i="421" s="1"/>
  <c r="L56" i="421" a="1"/>
  <c r="L56" i="421" s="1"/>
  <c r="O56" i="421" a="1"/>
  <c r="O56" i="421" s="1"/>
  <c r="N56" i="421" a="1"/>
  <c r="N56" i="421" s="1"/>
  <c r="H56" i="421" a="1"/>
  <c r="H56" i="421" s="1"/>
  <c r="R56" i="421" l="1"/>
  <c r="I57" i="421" a="1"/>
  <c r="I57" i="421" s="1"/>
  <c r="C58" i="421"/>
  <c r="M57" i="421" a="1"/>
  <c r="M57" i="421" s="1"/>
  <c r="A57" i="421" a="1"/>
  <c r="A57" i="421" s="1"/>
  <c r="N57" i="421" a="1"/>
  <c r="N57" i="421" s="1"/>
  <c r="Q57" i="421" a="1"/>
  <c r="Q57" i="421" s="1"/>
  <c r="O57" i="421" a="1"/>
  <c r="O57" i="421" s="1"/>
  <c r="K57" i="421" a="1"/>
  <c r="K57" i="421" s="1"/>
  <c r="L57" i="421" a="1"/>
  <c r="L57" i="421" s="1"/>
  <c r="H57" i="421" a="1"/>
  <c r="H57" i="421" s="1"/>
  <c r="G57" i="421" a="1"/>
  <c r="G57" i="421" s="1"/>
  <c r="R57" i="421" l="1"/>
  <c r="M58" i="421" a="1"/>
  <c r="M58" i="421" s="1"/>
  <c r="K58" i="421" a="1"/>
  <c r="K58" i="421" s="1"/>
  <c r="H58" i="421" a="1"/>
  <c r="H58" i="421" s="1"/>
  <c r="Q58" i="421" a="1"/>
  <c r="Q58" i="421" s="1"/>
  <c r="C59" i="421"/>
  <c r="I58" i="421" a="1"/>
  <c r="I58" i="421" s="1"/>
  <c r="A58" i="421" a="1"/>
  <c r="A58" i="421" s="1"/>
  <c r="L58" i="421" a="1"/>
  <c r="L58" i="421" s="1"/>
  <c r="O58" i="421" a="1"/>
  <c r="O58" i="421" s="1"/>
  <c r="N58" i="421" a="1"/>
  <c r="N58" i="421" s="1"/>
  <c r="G58" i="421" a="1"/>
  <c r="G58" i="421" s="1"/>
  <c r="R58" i="421" l="1"/>
  <c r="A59" i="421" a="1"/>
  <c r="A59" i="421" s="1"/>
  <c r="G59" i="421" a="1"/>
  <c r="G59" i="421" s="1"/>
  <c r="H59" i="421" a="1"/>
  <c r="H59" i="421" s="1"/>
  <c r="M59" i="421" a="1"/>
  <c r="M59" i="421" s="1"/>
  <c r="O59" i="421" a="1"/>
  <c r="O59" i="421" s="1"/>
  <c r="N59" i="421" a="1"/>
  <c r="N59" i="421" s="1"/>
  <c r="Q59" i="421" a="1"/>
  <c r="Q59" i="421" s="1"/>
  <c r="L59" i="421" a="1"/>
  <c r="L59" i="421" s="1"/>
  <c r="K59" i="421" a="1"/>
  <c r="K59" i="421" s="1"/>
  <c r="I59" i="421" a="1"/>
  <c r="I59" i="421" s="1"/>
  <c r="C60" i="421"/>
  <c r="R59" i="421" l="1"/>
  <c r="L60" i="421" a="1"/>
  <c r="L60" i="421" s="1"/>
  <c r="C61" i="421"/>
  <c r="G60" i="421" a="1"/>
  <c r="G60" i="421" s="1"/>
  <c r="O60" i="421" a="1"/>
  <c r="O60" i="421" s="1"/>
  <c r="I60" i="421" a="1"/>
  <c r="I60" i="421" s="1"/>
  <c r="H60" i="421" a="1"/>
  <c r="H60" i="421" s="1"/>
  <c r="Q60" i="421" a="1"/>
  <c r="Q60" i="421" s="1"/>
  <c r="N60" i="421" a="1"/>
  <c r="N60" i="421" s="1"/>
  <c r="K60" i="421" a="1"/>
  <c r="K60" i="421" s="1"/>
  <c r="A60" i="421" a="1"/>
  <c r="A60" i="421" s="1"/>
  <c r="M60" i="421" a="1"/>
  <c r="M60" i="421" s="1"/>
  <c r="R60" i="421" l="1"/>
  <c r="N61" i="421" a="1"/>
  <c r="N61" i="421" s="1"/>
  <c r="L61" i="421" a="1"/>
  <c r="L61" i="421" s="1"/>
  <c r="O61" i="421" a="1"/>
  <c r="O61" i="421" s="1"/>
  <c r="C62" i="421"/>
  <c r="I61" i="421" a="1"/>
  <c r="I61" i="421" s="1"/>
  <c r="K61" i="421" a="1"/>
  <c r="K61" i="421" s="1"/>
  <c r="G61" i="421" a="1"/>
  <c r="G61" i="421" s="1"/>
  <c r="Q61" i="421" a="1"/>
  <c r="Q61" i="421" s="1"/>
  <c r="H61" i="421" a="1"/>
  <c r="H61" i="421" s="1"/>
  <c r="M61" i="421" a="1"/>
  <c r="M61" i="421" s="1"/>
  <c r="A61" i="421" a="1"/>
  <c r="A61" i="421" s="1"/>
  <c r="R61" i="421" l="1"/>
  <c r="C63" i="421"/>
  <c r="A62" i="421" a="1"/>
  <c r="A62" i="421" s="1"/>
  <c r="H62" i="421" a="1"/>
  <c r="H62" i="421" s="1"/>
  <c r="L62" i="421" a="1"/>
  <c r="L62" i="421" s="1"/>
  <c r="K62" i="421" a="1"/>
  <c r="K62" i="421" s="1"/>
  <c r="Q62" i="421" a="1"/>
  <c r="Q62" i="421" s="1"/>
  <c r="O62" i="421" a="1"/>
  <c r="O62" i="421" s="1"/>
  <c r="N62" i="421" a="1"/>
  <c r="N62" i="421" s="1"/>
  <c r="M62" i="421" a="1"/>
  <c r="M62" i="421" s="1"/>
  <c r="I62" i="421" a="1"/>
  <c r="I62" i="421" s="1"/>
  <c r="G62" i="421" a="1"/>
  <c r="G62" i="421" s="1"/>
  <c r="R62" i="421" l="1"/>
  <c r="I63" i="421" a="1"/>
  <c r="I63" i="421" s="1"/>
  <c r="N63" i="421" a="1"/>
  <c r="N63" i="421" s="1"/>
  <c r="K63" i="421" a="1"/>
  <c r="K63" i="421" s="1"/>
  <c r="C64" i="421"/>
  <c r="L63" i="421" a="1"/>
  <c r="L63" i="421" s="1"/>
  <c r="Q63" i="421" a="1"/>
  <c r="Q63" i="421" s="1"/>
  <c r="H63" i="421" a="1"/>
  <c r="H63" i="421" s="1"/>
  <c r="G63" i="421" a="1"/>
  <c r="G63" i="421" s="1"/>
  <c r="O63" i="421" a="1"/>
  <c r="O63" i="421" s="1"/>
  <c r="M63" i="421" a="1"/>
  <c r="M63" i="421" s="1"/>
  <c r="A63" i="421" a="1"/>
  <c r="A63" i="421" s="1"/>
  <c r="R63" i="421" l="1"/>
  <c r="C65" i="421"/>
  <c r="M64" i="421" a="1"/>
  <c r="M64" i="421" s="1"/>
  <c r="K64" i="421" a="1"/>
  <c r="K64" i="421" s="1"/>
  <c r="A64" i="421" a="1"/>
  <c r="A64" i="421" s="1"/>
  <c r="Q64" i="421" a="1"/>
  <c r="Q64" i="421" s="1"/>
  <c r="N64" i="421" a="1"/>
  <c r="N64" i="421" s="1"/>
  <c r="L64" i="421" a="1"/>
  <c r="L64" i="421" s="1"/>
  <c r="H64" i="421" a="1"/>
  <c r="H64" i="421" s="1"/>
  <c r="O64" i="421" a="1"/>
  <c r="O64" i="421" s="1"/>
  <c r="I64" i="421" a="1"/>
  <c r="I64" i="421" s="1"/>
  <c r="G64" i="421" a="1"/>
  <c r="G64" i="421" s="1"/>
  <c r="R64" i="421" l="1"/>
  <c r="I65" i="421" a="1"/>
  <c r="I65" i="421" s="1"/>
  <c r="H65" i="421" a="1"/>
  <c r="H65" i="421" s="1"/>
  <c r="K65" i="421" a="1"/>
  <c r="K65" i="421" s="1"/>
  <c r="O65" i="421" a="1"/>
  <c r="O65" i="421" s="1"/>
  <c r="A65" i="421" a="1"/>
  <c r="A65" i="421" s="1"/>
  <c r="C66" i="421"/>
  <c r="N65" i="421" a="1"/>
  <c r="N65" i="421" s="1"/>
  <c r="G65" i="421" a="1"/>
  <c r="G65" i="421" s="1"/>
  <c r="Q65" i="421" a="1"/>
  <c r="Q65" i="421" s="1"/>
  <c r="M65" i="421" a="1"/>
  <c r="M65" i="421" s="1"/>
  <c r="L65" i="421" a="1"/>
  <c r="L65" i="421" s="1"/>
  <c r="R65" i="421" l="1"/>
  <c r="K66" i="421" a="1"/>
  <c r="K66" i="421" s="1"/>
  <c r="C67" i="421"/>
  <c r="N66" i="421" a="1"/>
  <c r="N66" i="421" s="1"/>
  <c r="I66" i="421" a="1"/>
  <c r="I66" i="421" s="1"/>
  <c r="M66" i="421" a="1"/>
  <c r="M66" i="421" s="1"/>
  <c r="A66" i="421" a="1"/>
  <c r="A66" i="421" s="1"/>
  <c r="G66" i="421" a="1"/>
  <c r="G66" i="421" s="1"/>
  <c r="O66" i="421" a="1"/>
  <c r="O66" i="421" s="1"/>
  <c r="L66" i="421" a="1"/>
  <c r="L66" i="421" s="1"/>
  <c r="Q66" i="421" a="1"/>
  <c r="Q66" i="421" s="1"/>
  <c r="H66" i="421" a="1"/>
  <c r="H66" i="421" s="1"/>
  <c r="R66" i="421" l="1"/>
  <c r="A67" i="421" a="1"/>
  <c r="A67" i="421" s="1"/>
  <c r="K67" i="421" a="1"/>
  <c r="K67" i="421" s="1"/>
  <c r="M67" i="421" a="1"/>
  <c r="M67" i="421" s="1"/>
  <c r="L67" i="421" a="1"/>
  <c r="L67" i="421" s="1"/>
  <c r="N67" i="421" a="1"/>
  <c r="N67" i="421" s="1"/>
  <c r="C68" i="421"/>
  <c r="Q67" i="421" a="1"/>
  <c r="Q67" i="421" s="1"/>
  <c r="H67" i="421" a="1"/>
  <c r="H67" i="421" s="1"/>
  <c r="I67" i="421" a="1"/>
  <c r="I67" i="421" s="1"/>
  <c r="G67" i="421" a="1"/>
  <c r="G67" i="421" s="1"/>
  <c r="O67" i="421" a="1"/>
  <c r="O67" i="421" s="1"/>
  <c r="R67" i="421" l="1"/>
  <c r="O68" i="421" a="1"/>
  <c r="O68" i="421" s="1"/>
  <c r="G68" i="421" a="1"/>
  <c r="G68" i="421" s="1"/>
  <c r="N68" i="421" a="1"/>
  <c r="N68" i="421" s="1"/>
  <c r="A68" i="421" a="1"/>
  <c r="A68" i="421" s="1"/>
  <c r="M68" i="421" a="1"/>
  <c r="M68" i="421" s="1"/>
  <c r="H68" i="421" a="1"/>
  <c r="H68" i="421" s="1"/>
  <c r="L68" i="421" a="1"/>
  <c r="L68" i="421" s="1"/>
  <c r="Q68" i="421" a="1"/>
  <c r="Q68" i="421" s="1"/>
  <c r="I68" i="421" a="1"/>
  <c r="I68" i="421" s="1"/>
  <c r="C69" i="421"/>
  <c r="K68" i="421" a="1"/>
  <c r="K68" i="421" s="1"/>
  <c r="R68" i="421" l="1"/>
  <c r="A69" i="421" a="1"/>
  <c r="A69" i="421" s="1"/>
  <c r="L69" i="421" a="1"/>
  <c r="L69" i="421" s="1"/>
  <c r="M69" i="421" a="1"/>
  <c r="M69" i="421" s="1"/>
  <c r="Q69" i="421" a="1"/>
  <c r="Q69" i="421" s="1"/>
  <c r="G69" i="421" a="1"/>
  <c r="G69" i="421" s="1"/>
  <c r="O69" i="421" a="1"/>
  <c r="O69" i="421" s="1"/>
  <c r="N69" i="421" a="1"/>
  <c r="N69" i="421" s="1"/>
  <c r="K69" i="421" a="1"/>
  <c r="K69" i="421" s="1"/>
  <c r="C70" i="421"/>
  <c r="H69" i="421" a="1"/>
  <c r="H69" i="421" s="1"/>
  <c r="I69" i="421" a="1"/>
  <c r="I69" i="421" s="1"/>
  <c r="R69" i="421" l="1"/>
  <c r="A70" i="421" a="1"/>
  <c r="A70" i="421" s="1"/>
  <c r="N70" i="421" a="1"/>
  <c r="N70" i="421" s="1"/>
  <c r="H70" i="421" a="1"/>
  <c r="H70" i="421" s="1"/>
  <c r="O70" i="421" a="1"/>
  <c r="O70" i="421" s="1"/>
  <c r="I70" i="421" a="1"/>
  <c r="I70" i="421" s="1"/>
  <c r="M70" i="421" a="1"/>
  <c r="M70" i="421" s="1"/>
  <c r="G70" i="421" a="1"/>
  <c r="G70" i="421" s="1"/>
  <c r="K70" i="421" a="1"/>
  <c r="K70" i="421" s="1"/>
  <c r="C71" i="421"/>
  <c r="Q70" i="421" a="1"/>
  <c r="Q70" i="421" s="1"/>
  <c r="L70" i="421" a="1"/>
  <c r="L70" i="421" s="1"/>
  <c r="R70" i="421" l="1"/>
  <c r="L71" i="421" a="1"/>
  <c r="L71" i="421" s="1"/>
  <c r="K71" i="421" a="1"/>
  <c r="K71" i="421" s="1"/>
  <c r="N71" i="421" a="1"/>
  <c r="N71" i="421" s="1"/>
  <c r="I71" i="421" a="1"/>
  <c r="I71" i="421" s="1"/>
  <c r="A71" i="421" a="1"/>
  <c r="A71" i="421" s="1"/>
  <c r="C72" i="421"/>
  <c r="M71" i="421" a="1"/>
  <c r="M71" i="421" s="1"/>
  <c r="H71" i="421" a="1"/>
  <c r="H71" i="421" s="1"/>
  <c r="G71" i="421" a="1"/>
  <c r="G71" i="421" s="1"/>
  <c r="O71" i="421" a="1"/>
  <c r="O71" i="421" s="1"/>
  <c r="Q71" i="421" a="1"/>
  <c r="Q71" i="421" s="1"/>
  <c r="R71" i="421" l="1"/>
  <c r="Q72" i="421" a="1"/>
  <c r="Q72" i="421" s="1"/>
  <c r="I72" i="421" a="1"/>
  <c r="I72" i="421" s="1"/>
  <c r="H72" i="421" a="1"/>
  <c r="H72" i="421" s="1"/>
  <c r="L72" i="421" a="1"/>
  <c r="L72" i="421" s="1"/>
  <c r="O72" i="421" a="1"/>
  <c r="O72" i="421" s="1"/>
  <c r="M72" i="421" a="1"/>
  <c r="M72" i="421" s="1"/>
  <c r="C73" i="421"/>
  <c r="K72" i="421" a="1"/>
  <c r="K72" i="421" s="1"/>
  <c r="G72" i="421" a="1"/>
  <c r="G72" i="421" s="1"/>
  <c r="A72" i="421" a="1"/>
  <c r="A72" i="421" s="1"/>
  <c r="N72" i="421" a="1"/>
  <c r="N72" i="421" s="1"/>
  <c r="R72" i="421" l="1"/>
  <c r="Q73" i="421" a="1"/>
  <c r="Q73" i="421" s="1"/>
  <c r="K73" i="421" a="1"/>
  <c r="K73" i="421" s="1"/>
  <c r="A73" i="421" a="1"/>
  <c r="A73" i="421" s="1"/>
  <c r="C74" i="421"/>
  <c r="H73" i="421" a="1"/>
  <c r="H73" i="421" s="1"/>
  <c r="N73" i="421" a="1"/>
  <c r="N73" i="421" s="1"/>
  <c r="O73" i="421" a="1"/>
  <c r="O73" i="421" s="1"/>
  <c r="I73" i="421" a="1"/>
  <c r="I73" i="421" s="1"/>
  <c r="M73" i="421" a="1"/>
  <c r="M73" i="421" s="1"/>
  <c r="G73" i="421" a="1"/>
  <c r="G73" i="421" s="1"/>
  <c r="L73" i="421" a="1"/>
  <c r="L73" i="421" s="1"/>
  <c r="R73" i="421" l="1"/>
  <c r="C75" i="421"/>
  <c r="H74" i="421" a="1"/>
  <c r="H74" i="421" s="1"/>
  <c r="N74" i="421" a="1"/>
  <c r="N74" i="421" s="1"/>
  <c r="L74" i="421" a="1"/>
  <c r="L74" i="421" s="1"/>
  <c r="A74" i="421" a="1"/>
  <c r="A74" i="421" s="1"/>
  <c r="M74" i="421" a="1"/>
  <c r="M74" i="421" s="1"/>
  <c r="G74" i="421" a="1"/>
  <c r="G74" i="421" s="1"/>
  <c r="Q74" i="421" a="1"/>
  <c r="Q74" i="421" s="1"/>
  <c r="O74" i="421" a="1"/>
  <c r="O74" i="421" s="1"/>
  <c r="K74" i="421" a="1"/>
  <c r="K74" i="421" s="1"/>
  <c r="I74" i="421" a="1"/>
  <c r="I74" i="421" s="1"/>
  <c r="R74" i="421" l="1"/>
  <c r="C76" i="421"/>
  <c r="G75" i="421" a="1"/>
  <c r="G75" i="421" s="1"/>
  <c r="M75" i="421" a="1"/>
  <c r="M75" i="421" s="1"/>
  <c r="I75" i="421" a="1"/>
  <c r="I75" i="421" s="1"/>
  <c r="O75" i="421" a="1"/>
  <c r="O75" i="421" s="1"/>
  <c r="N75" i="421" a="1"/>
  <c r="N75" i="421" s="1"/>
  <c r="H75" i="421" a="1"/>
  <c r="H75" i="421" s="1"/>
  <c r="L75" i="421" a="1"/>
  <c r="L75" i="421" s="1"/>
  <c r="A75" i="421" a="1"/>
  <c r="A75" i="421" s="1"/>
  <c r="Q75" i="421" a="1"/>
  <c r="Q75" i="421" s="1"/>
  <c r="K75" i="421" a="1"/>
  <c r="K75" i="421" s="1"/>
  <c r="R75" i="421" l="1"/>
  <c r="O76" i="421" a="1"/>
  <c r="O76" i="421" s="1"/>
  <c r="C77" i="421"/>
  <c r="N76" i="421" a="1"/>
  <c r="N76" i="421" s="1"/>
  <c r="M76" i="421" a="1"/>
  <c r="M76" i="421" s="1"/>
  <c r="G76" i="421" a="1"/>
  <c r="G76" i="421" s="1"/>
  <c r="Q76" i="421" a="1"/>
  <c r="Q76" i="421" s="1"/>
  <c r="L76" i="421" a="1"/>
  <c r="L76" i="421" s="1"/>
  <c r="I76" i="421" a="1"/>
  <c r="I76" i="421" s="1"/>
  <c r="K76" i="421" a="1"/>
  <c r="K76" i="421" s="1"/>
  <c r="A76" i="421" a="1"/>
  <c r="A76" i="421" s="1"/>
  <c r="H76" i="421" a="1"/>
  <c r="H76" i="421" s="1"/>
  <c r="R76" i="421" l="1"/>
  <c r="L77" i="421" a="1"/>
  <c r="L77" i="421" s="1"/>
  <c r="Q77" i="421" a="1"/>
  <c r="Q77" i="421" s="1"/>
  <c r="A77" i="421" a="1"/>
  <c r="A77" i="421" s="1"/>
  <c r="I77" i="421" a="1"/>
  <c r="I77" i="421" s="1"/>
  <c r="H77" i="421" a="1"/>
  <c r="H77" i="421" s="1"/>
  <c r="K77" i="421" a="1"/>
  <c r="K77" i="421" s="1"/>
  <c r="N77" i="421" a="1"/>
  <c r="N77" i="421" s="1"/>
  <c r="O77" i="421" a="1"/>
  <c r="O77" i="421" s="1"/>
  <c r="C78" i="421"/>
  <c r="G77" i="421" a="1"/>
  <c r="G77" i="421" s="1"/>
  <c r="M77" i="421" a="1"/>
  <c r="M77" i="421" s="1"/>
  <c r="R77" i="421" l="1"/>
  <c r="C79" i="421"/>
  <c r="Q78" i="421" a="1"/>
  <c r="Q78" i="421" s="1"/>
  <c r="M78" i="421" a="1"/>
  <c r="M78" i="421" s="1"/>
  <c r="N78" i="421" a="1"/>
  <c r="N78" i="421" s="1"/>
  <c r="L78" i="421" a="1"/>
  <c r="L78" i="421" s="1"/>
  <c r="I78" i="421" a="1"/>
  <c r="I78" i="421" s="1"/>
  <c r="H78" i="421" a="1"/>
  <c r="H78" i="421" s="1"/>
  <c r="A78" i="421" a="1"/>
  <c r="A78" i="421" s="1"/>
  <c r="G78" i="421" a="1"/>
  <c r="G78" i="421" s="1"/>
  <c r="K78" i="421" a="1"/>
  <c r="K78" i="421" s="1"/>
  <c r="O78" i="421" a="1"/>
  <c r="O78" i="421" s="1"/>
  <c r="R78" i="421" l="1"/>
  <c r="I79" i="421" a="1"/>
  <c r="I79" i="421" s="1"/>
  <c r="H79" i="421" a="1"/>
  <c r="H79" i="421" s="1"/>
  <c r="L79" i="421" a="1"/>
  <c r="L79" i="421" s="1"/>
  <c r="Q79" i="421" a="1"/>
  <c r="Q79" i="421" s="1"/>
  <c r="C80" i="421"/>
  <c r="N79" i="421" a="1"/>
  <c r="N79" i="421" s="1"/>
  <c r="O79" i="421" a="1"/>
  <c r="O79" i="421" s="1"/>
  <c r="G79" i="421" a="1"/>
  <c r="G79" i="421" s="1"/>
  <c r="M79" i="421" a="1"/>
  <c r="M79" i="421" s="1"/>
  <c r="A79" i="421" a="1"/>
  <c r="A79" i="421" s="1"/>
  <c r="K79" i="421" a="1"/>
  <c r="K79" i="421" s="1"/>
  <c r="R79" i="421" l="1"/>
  <c r="K80" i="421" a="1"/>
  <c r="K80" i="421" s="1"/>
  <c r="O80" i="421" a="1"/>
  <c r="O80" i="421" s="1"/>
  <c r="I80" i="421" a="1"/>
  <c r="I80" i="421" s="1"/>
  <c r="H80" i="421" a="1"/>
  <c r="H80" i="421" s="1"/>
  <c r="N80" i="421" a="1"/>
  <c r="N80" i="421" s="1"/>
  <c r="C81" i="421"/>
  <c r="G80" i="421" a="1"/>
  <c r="G80" i="421" s="1"/>
  <c r="L80" i="421" a="1"/>
  <c r="L80" i="421" s="1"/>
  <c r="M80" i="421" a="1"/>
  <c r="M80" i="421" s="1"/>
  <c r="A80" i="421" a="1"/>
  <c r="A80" i="421" s="1"/>
  <c r="Q80" i="421" a="1"/>
  <c r="Q80" i="421" s="1"/>
  <c r="R80" i="421" l="1"/>
  <c r="L81" i="421" a="1"/>
  <c r="L81" i="421" s="1"/>
  <c r="G81" i="421" a="1"/>
  <c r="G81" i="421" s="1"/>
  <c r="M81" i="421" a="1"/>
  <c r="M81" i="421" s="1"/>
  <c r="O81" i="421" a="1"/>
  <c r="O81" i="421" s="1"/>
  <c r="A81" i="421" a="1"/>
  <c r="A81" i="421" s="1"/>
  <c r="N81" i="421" a="1"/>
  <c r="N81" i="421" s="1"/>
  <c r="H81" i="421" a="1"/>
  <c r="H81" i="421" s="1"/>
  <c r="C82" i="421"/>
  <c r="Q81" i="421" a="1"/>
  <c r="Q81" i="421" s="1"/>
  <c r="I81" i="421" a="1"/>
  <c r="I81" i="421" s="1"/>
  <c r="K81" i="421" a="1"/>
  <c r="K81" i="421" s="1"/>
  <c r="R81" i="421" l="1"/>
  <c r="C83" i="421"/>
  <c r="Q82" i="421" a="1"/>
  <c r="Q82" i="421" s="1"/>
  <c r="O82" i="421" a="1"/>
  <c r="O82" i="421" s="1"/>
  <c r="K82" i="421" a="1"/>
  <c r="K82" i="421" s="1"/>
  <c r="M82" i="421" a="1"/>
  <c r="M82" i="421" s="1"/>
  <c r="L82" i="421" a="1"/>
  <c r="L82" i="421" s="1"/>
  <c r="G82" i="421" a="1"/>
  <c r="G82" i="421" s="1"/>
  <c r="N82" i="421" a="1"/>
  <c r="N82" i="421" s="1"/>
  <c r="A82" i="421" a="1"/>
  <c r="A82" i="421" s="1"/>
  <c r="I82" i="421" a="1"/>
  <c r="I82" i="421" s="1"/>
  <c r="H82" i="421" a="1"/>
  <c r="H82" i="421" s="1"/>
  <c r="R82" i="421" l="1"/>
  <c r="A83" i="421" a="1"/>
  <c r="A83" i="421" s="1"/>
  <c r="O83" i="421" a="1"/>
  <c r="O83" i="421" s="1"/>
  <c r="H83" i="421" a="1"/>
  <c r="H83" i="421" s="1"/>
  <c r="M83" i="421" a="1"/>
  <c r="M83" i="421" s="1"/>
  <c r="G83" i="421" a="1"/>
  <c r="G83" i="421" s="1"/>
  <c r="L83" i="421" a="1"/>
  <c r="L83" i="421" s="1"/>
  <c r="K83" i="421" a="1"/>
  <c r="K83" i="421" s="1"/>
  <c r="C84" i="421"/>
  <c r="N83" i="421" a="1"/>
  <c r="N83" i="421" s="1"/>
  <c r="Q83" i="421" a="1"/>
  <c r="Q83" i="421" s="1"/>
  <c r="I83" i="421" a="1"/>
  <c r="I83" i="421" s="1"/>
  <c r="R83" i="421" l="1"/>
  <c r="L84" i="421" a="1"/>
  <c r="L84" i="421" s="1"/>
  <c r="A84" i="421" a="1"/>
  <c r="A84" i="421" s="1"/>
  <c r="C85" i="421"/>
  <c r="G84" i="421" a="1"/>
  <c r="G84" i="421" s="1"/>
  <c r="I84" i="421" a="1"/>
  <c r="I84" i="421" s="1"/>
  <c r="N84" i="421" a="1"/>
  <c r="N84" i="421" s="1"/>
  <c r="Q84" i="421" a="1"/>
  <c r="Q84" i="421" s="1"/>
  <c r="K84" i="421" a="1"/>
  <c r="K84" i="421" s="1"/>
  <c r="M84" i="421" a="1"/>
  <c r="M84" i="421" s="1"/>
  <c r="O84" i="421" a="1"/>
  <c r="O84" i="421" s="1"/>
  <c r="H84" i="421" a="1"/>
  <c r="H84" i="421" s="1"/>
  <c r="R84" i="421" l="1"/>
  <c r="I85" i="421" a="1"/>
  <c r="I85" i="421" s="1"/>
  <c r="G85" i="421" a="1"/>
  <c r="G85" i="421" s="1"/>
  <c r="C86" i="421"/>
  <c r="K85" i="421" a="1"/>
  <c r="K85" i="421" s="1"/>
  <c r="Q85" i="421" a="1"/>
  <c r="Q85" i="421" s="1"/>
  <c r="A85" i="421" a="1"/>
  <c r="A85" i="421" s="1"/>
  <c r="N85" i="421" a="1"/>
  <c r="N85" i="421" s="1"/>
  <c r="M85" i="421" a="1"/>
  <c r="M85" i="421" s="1"/>
  <c r="O85" i="421" a="1"/>
  <c r="O85" i="421" s="1"/>
  <c r="L85" i="421" a="1"/>
  <c r="L85" i="421" s="1"/>
  <c r="H85" i="421" a="1"/>
  <c r="H85" i="421" s="1"/>
  <c r="R85" i="421" l="1"/>
  <c r="M86" i="421" a="1"/>
  <c r="M86" i="421" s="1"/>
  <c r="G86" i="421" a="1"/>
  <c r="G86" i="421" s="1"/>
  <c r="L86" i="421" a="1"/>
  <c r="L86" i="421" s="1"/>
  <c r="I86" i="421" a="1"/>
  <c r="I86" i="421" s="1"/>
  <c r="N86" i="421" a="1"/>
  <c r="N86" i="421" s="1"/>
  <c r="A86" i="421" a="1"/>
  <c r="A86" i="421" s="1"/>
  <c r="C87" i="421"/>
  <c r="Q86" i="421" a="1"/>
  <c r="Q86" i="421" s="1"/>
  <c r="K86" i="421" a="1"/>
  <c r="K86" i="421" s="1"/>
  <c r="H86" i="421" a="1"/>
  <c r="H86" i="421" s="1"/>
  <c r="O86" i="421" a="1"/>
  <c r="O86" i="421" s="1"/>
  <c r="R86" i="421" l="1"/>
  <c r="M87" i="421" a="1"/>
  <c r="M87" i="421" s="1"/>
  <c r="K87" i="421" a="1"/>
  <c r="K87" i="421" s="1"/>
  <c r="A87" i="421" a="1"/>
  <c r="A87" i="421" s="1"/>
  <c r="L87" i="421" a="1"/>
  <c r="L87" i="421" s="1"/>
  <c r="N87" i="421" a="1"/>
  <c r="N87" i="421" s="1"/>
  <c r="O87" i="421" a="1"/>
  <c r="O87" i="421" s="1"/>
  <c r="G87" i="421" a="1"/>
  <c r="G87" i="421" s="1"/>
  <c r="H87" i="421" a="1"/>
  <c r="H87" i="421" s="1"/>
  <c r="I87" i="421" a="1"/>
  <c r="I87" i="421" s="1"/>
  <c r="Q87" i="421" a="1"/>
  <c r="Q87" i="421" s="1"/>
  <c r="C88" i="421"/>
  <c r="R87" i="421" l="1"/>
  <c r="Q88" i="421" a="1"/>
  <c r="Q88" i="421" s="1"/>
  <c r="H88" i="421" a="1"/>
  <c r="H88" i="421" s="1"/>
  <c r="L88" i="421" a="1"/>
  <c r="L88" i="421" s="1"/>
  <c r="G88" i="421" a="1"/>
  <c r="G88" i="421" s="1"/>
  <c r="N88" i="421" a="1"/>
  <c r="N88" i="421" s="1"/>
  <c r="C89" i="421"/>
  <c r="I88" i="421" a="1"/>
  <c r="I88" i="421" s="1"/>
  <c r="K88" i="421" a="1"/>
  <c r="K88" i="421" s="1"/>
  <c r="A88" i="421" a="1"/>
  <c r="A88" i="421" s="1"/>
  <c r="O88" i="421" a="1"/>
  <c r="O88" i="421" s="1"/>
  <c r="M88" i="421" a="1"/>
  <c r="M88" i="421" s="1"/>
  <c r="R88" i="421" l="1"/>
  <c r="G89" i="421" a="1"/>
  <c r="G89" i="421" s="1"/>
  <c r="K89" i="421" a="1"/>
  <c r="K89" i="421" s="1"/>
  <c r="M89" i="421" a="1"/>
  <c r="M89" i="421" s="1"/>
  <c r="I89" i="421" a="1"/>
  <c r="I89" i="421" s="1"/>
  <c r="N89" i="421" a="1"/>
  <c r="N89" i="421" s="1"/>
  <c r="H89" i="421" a="1"/>
  <c r="H89" i="421" s="1"/>
  <c r="O89" i="421" a="1"/>
  <c r="O89" i="421" s="1"/>
  <c r="A89" i="421" a="1"/>
  <c r="A89" i="421" s="1"/>
  <c r="Q89" i="421" a="1"/>
  <c r="Q89" i="421" s="1"/>
  <c r="C90" i="421"/>
  <c r="L89" i="421" a="1"/>
  <c r="L89" i="421" s="1"/>
  <c r="R89" i="421" l="1"/>
  <c r="A90" i="421" a="1"/>
  <c r="A90" i="421" s="1"/>
  <c r="Q90" i="421" a="1"/>
  <c r="Q90" i="421" s="1"/>
  <c r="H90" i="421" a="1"/>
  <c r="H90" i="421" s="1"/>
  <c r="I90" i="421" a="1"/>
  <c r="I90" i="421" s="1"/>
  <c r="M90" i="421" a="1"/>
  <c r="M90" i="421" s="1"/>
  <c r="L90" i="421" a="1"/>
  <c r="L90" i="421" s="1"/>
  <c r="G90" i="421" a="1"/>
  <c r="G90" i="421" s="1"/>
  <c r="O90" i="421" a="1"/>
  <c r="O90" i="421" s="1"/>
  <c r="N90" i="421" a="1"/>
  <c r="N90" i="421" s="1"/>
  <c r="C91" i="421"/>
  <c r="K90" i="421" a="1"/>
  <c r="K90" i="421" s="1"/>
  <c r="R90" i="421" l="1"/>
  <c r="A91" i="421" a="1"/>
  <c r="A91" i="421" s="1"/>
  <c r="O91" i="421" a="1"/>
  <c r="O91" i="421" s="1"/>
  <c r="M91" i="421" a="1"/>
  <c r="M91" i="421" s="1"/>
  <c r="N91" i="421" a="1"/>
  <c r="N91" i="421" s="1"/>
  <c r="C92" i="421"/>
  <c r="H91" i="421" a="1"/>
  <c r="H91" i="421" s="1"/>
  <c r="I91" i="421" a="1"/>
  <c r="I91" i="421" s="1"/>
  <c r="G91" i="421" a="1"/>
  <c r="G91" i="421" s="1"/>
  <c r="Q91" i="421" a="1"/>
  <c r="Q91" i="421" s="1"/>
  <c r="K91" i="421" a="1"/>
  <c r="K91" i="421" s="1"/>
  <c r="L91" i="421" a="1"/>
  <c r="L91" i="421" s="1"/>
  <c r="R91" i="421" l="1"/>
  <c r="I92" i="421" a="1"/>
  <c r="I92" i="421" s="1"/>
  <c r="C93" i="421"/>
  <c r="Q92" i="421" a="1"/>
  <c r="Q92" i="421" s="1"/>
  <c r="H92" i="421" a="1"/>
  <c r="H92" i="421" s="1"/>
  <c r="N92" i="421" a="1"/>
  <c r="N92" i="421" s="1"/>
  <c r="L92" i="421" a="1"/>
  <c r="L92" i="421" s="1"/>
  <c r="O92" i="421" a="1"/>
  <c r="O92" i="421" s="1"/>
  <c r="M92" i="421" a="1"/>
  <c r="M92" i="421" s="1"/>
  <c r="K92" i="421" a="1"/>
  <c r="K92" i="421" s="1"/>
  <c r="G92" i="421" a="1"/>
  <c r="G92" i="421" s="1"/>
  <c r="A92" i="421" a="1"/>
  <c r="A92" i="421" s="1"/>
  <c r="R92" i="421" l="1"/>
  <c r="G93" i="421" a="1"/>
  <c r="G93" i="421" s="1"/>
  <c r="O93" i="421" a="1"/>
  <c r="O93" i="421" s="1"/>
  <c r="C94" i="421"/>
  <c r="H93" i="421" a="1"/>
  <c r="H93" i="421" s="1"/>
  <c r="N93" i="421" a="1"/>
  <c r="N93" i="421" s="1"/>
  <c r="M93" i="421" a="1"/>
  <c r="M93" i="421" s="1"/>
  <c r="L93" i="421" a="1"/>
  <c r="L93" i="421" s="1"/>
  <c r="Q93" i="421" a="1"/>
  <c r="Q93" i="421" s="1"/>
  <c r="I93" i="421" a="1"/>
  <c r="I93" i="421" s="1"/>
  <c r="A93" i="421" a="1"/>
  <c r="A93" i="421" s="1"/>
  <c r="K93" i="421" a="1"/>
  <c r="K93" i="421" s="1"/>
  <c r="R93" i="421" l="1"/>
  <c r="H94" i="421" a="1"/>
  <c r="H94" i="421" s="1"/>
  <c r="O94" i="421" a="1"/>
  <c r="O94" i="421" s="1"/>
  <c r="C95" i="421"/>
  <c r="L94" i="421" a="1"/>
  <c r="L94" i="421" s="1"/>
  <c r="M94" i="421" a="1"/>
  <c r="M94" i="421" s="1"/>
  <c r="N94" i="421" a="1"/>
  <c r="N94" i="421" s="1"/>
  <c r="A94" i="421" a="1"/>
  <c r="A94" i="421" s="1"/>
  <c r="I94" i="421" a="1"/>
  <c r="I94" i="421" s="1"/>
  <c r="Q94" i="421" a="1"/>
  <c r="Q94" i="421" s="1"/>
  <c r="K94" i="421" a="1"/>
  <c r="K94" i="421" s="1"/>
  <c r="G94" i="421" a="1"/>
  <c r="G94" i="421" s="1"/>
  <c r="R94" i="421" l="1"/>
  <c r="N95" i="421" a="1"/>
  <c r="N95" i="421" s="1"/>
  <c r="H95" i="421" a="1"/>
  <c r="H95" i="421" s="1"/>
  <c r="C96" i="421"/>
  <c r="Q95" i="421" a="1"/>
  <c r="Q95" i="421" s="1"/>
  <c r="K95" i="421" a="1"/>
  <c r="K95" i="421" s="1"/>
  <c r="O95" i="421" a="1"/>
  <c r="O95" i="421" s="1"/>
  <c r="M95" i="421" a="1"/>
  <c r="M95" i="421" s="1"/>
  <c r="G95" i="421" a="1"/>
  <c r="G95" i="421" s="1"/>
  <c r="A95" i="421" a="1"/>
  <c r="A95" i="421" s="1"/>
  <c r="I95" i="421" a="1"/>
  <c r="I95" i="421" s="1"/>
  <c r="L95" i="421" a="1"/>
  <c r="L95" i="421" s="1"/>
  <c r="R95" i="421" l="1"/>
  <c r="Q96" i="421" a="1"/>
  <c r="Q96" i="421" s="1"/>
  <c r="A96" i="421" a="1"/>
  <c r="A96" i="421" s="1"/>
  <c r="O96" i="421" a="1"/>
  <c r="O96" i="421" s="1"/>
  <c r="M96" i="421" a="1"/>
  <c r="M96" i="421" s="1"/>
  <c r="K96" i="421" a="1"/>
  <c r="K96" i="421" s="1"/>
  <c r="G96" i="421" a="1"/>
  <c r="G96" i="421" s="1"/>
  <c r="C97" i="421"/>
  <c r="L96" i="421" a="1"/>
  <c r="L96" i="421" s="1"/>
  <c r="N96" i="421" a="1"/>
  <c r="N96" i="421" s="1"/>
  <c r="H96" i="421" a="1"/>
  <c r="H96" i="421" s="1"/>
  <c r="I96" i="421" a="1"/>
  <c r="I96" i="421" s="1"/>
  <c r="R96" i="421" l="1"/>
  <c r="M97" i="421" a="1"/>
  <c r="M97" i="421" s="1"/>
  <c r="I97" i="421" a="1"/>
  <c r="I97" i="421" s="1"/>
  <c r="A97" i="421" a="1"/>
  <c r="A97" i="421" s="1"/>
  <c r="H97" i="421" a="1"/>
  <c r="H97" i="421" s="1"/>
  <c r="Q97" i="421" a="1"/>
  <c r="Q97" i="421" s="1"/>
  <c r="K97" i="421" a="1"/>
  <c r="K97" i="421" s="1"/>
  <c r="G97" i="421" a="1"/>
  <c r="G97" i="421" s="1"/>
  <c r="O97" i="421" a="1"/>
  <c r="O97" i="421" s="1"/>
  <c r="N97" i="421" a="1"/>
  <c r="N97" i="421" s="1"/>
  <c r="C98" i="421"/>
  <c r="L97" i="421" a="1"/>
  <c r="L97" i="421" s="1"/>
  <c r="R97" i="421" l="1"/>
  <c r="G98" i="421" a="1"/>
  <c r="G98" i="421" s="1"/>
  <c r="L98" i="421" a="1"/>
  <c r="L98" i="421" s="1"/>
  <c r="I98" i="421" a="1"/>
  <c r="I98" i="421" s="1"/>
  <c r="O98" i="421" a="1"/>
  <c r="O98" i="421" s="1"/>
  <c r="K98" i="421" a="1"/>
  <c r="K98" i="421" s="1"/>
  <c r="C99" i="421"/>
  <c r="A98" i="421" a="1"/>
  <c r="A98" i="421" s="1"/>
  <c r="H98" i="421" a="1"/>
  <c r="H98" i="421" s="1"/>
  <c r="Q98" i="421" a="1"/>
  <c r="Q98" i="421" s="1"/>
  <c r="N98" i="421" a="1"/>
  <c r="N98" i="421" s="1"/>
  <c r="M98" i="421" a="1"/>
  <c r="M98" i="421" s="1"/>
  <c r="R98" i="421" l="1"/>
  <c r="A99" i="421" a="1"/>
  <c r="A99" i="421" s="1"/>
  <c r="C100" i="421"/>
  <c r="G99" i="421" a="1"/>
  <c r="G99" i="421" s="1"/>
  <c r="Q99" i="421" a="1"/>
  <c r="Q99" i="421" s="1"/>
  <c r="H99" i="421" a="1"/>
  <c r="H99" i="421" s="1"/>
  <c r="M99" i="421" a="1"/>
  <c r="M99" i="421" s="1"/>
  <c r="L99" i="421" a="1"/>
  <c r="L99" i="421" s="1"/>
  <c r="K99" i="421" a="1"/>
  <c r="K99" i="421" s="1"/>
  <c r="O99" i="421" a="1"/>
  <c r="O99" i="421" s="1"/>
  <c r="I99" i="421" a="1"/>
  <c r="I99" i="421" s="1"/>
  <c r="N99" i="421" a="1"/>
  <c r="N99" i="421" s="1"/>
  <c r="R99" i="421" l="1"/>
  <c r="I100" i="421" a="1"/>
  <c r="I100" i="421" s="1"/>
  <c r="Q100" i="421" a="1"/>
  <c r="Q100" i="421" s="1"/>
  <c r="C101" i="421"/>
  <c r="H100" i="421" a="1"/>
  <c r="H100" i="421" s="1"/>
  <c r="G100" i="421" a="1"/>
  <c r="G100" i="421" s="1"/>
  <c r="N100" i="421" a="1"/>
  <c r="N100" i="421" s="1"/>
  <c r="L100" i="421" a="1"/>
  <c r="L100" i="421" s="1"/>
  <c r="O100" i="421" a="1"/>
  <c r="O100" i="421" s="1"/>
  <c r="M100" i="421" a="1"/>
  <c r="M100" i="421" s="1"/>
  <c r="K100" i="421" a="1"/>
  <c r="K100" i="421" s="1"/>
  <c r="A100" i="421" a="1"/>
  <c r="A100" i="421" s="1"/>
  <c r="R100" i="421" l="1"/>
  <c r="M101" i="421" a="1"/>
  <c r="M101" i="421" s="1"/>
  <c r="O101" i="421" a="1"/>
  <c r="O101" i="421" s="1"/>
  <c r="A101" i="421" a="1"/>
  <c r="A101" i="421" s="1"/>
  <c r="I101" i="421" a="1"/>
  <c r="I101" i="421" s="1"/>
  <c r="Q101" i="421" a="1"/>
  <c r="Q101" i="421" s="1"/>
  <c r="K101" i="421" a="1"/>
  <c r="K101" i="421" s="1"/>
  <c r="C102" i="421"/>
  <c r="N101" i="421" a="1"/>
  <c r="N101" i="421" s="1"/>
  <c r="G101" i="421" a="1"/>
  <c r="G101" i="421" s="1"/>
  <c r="L101" i="421" a="1"/>
  <c r="L101" i="421" s="1"/>
  <c r="H101" i="421" a="1"/>
  <c r="H101" i="421" s="1"/>
  <c r="R101" i="421" l="1"/>
  <c r="I102" i="421" a="1"/>
  <c r="I102" i="421" s="1"/>
  <c r="K102" i="421" a="1"/>
  <c r="K102" i="421" s="1"/>
  <c r="M102" i="421" a="1"/>
  <c r="M102" i="421" s="1"/>
  <c r="A102" i="421" a="1"/>
  <c r="A102" i="421" s="1"/>
  <c r="O102" i="421" a="1"/>
  <c r="O102" i="421" s="1"/>
  <c r="N102" i="421" a="1"/>
  <c r="N102" i="421" s="1"/>
  <c r="G102" i="421" a="1"/>
  <c r="G102" i="421" s="1"/>
  <c r="Q102" i="421" a="1"/>
  <c r="Q102" i="421" s="1"/>
  <c r="C103" i="421"/>
  <c r="H102" i="421" a="1"/>
  <c r="H102" i="421" s="1"/>
  <c r="L102" i="421" a="1"/>
  <c r="L102" i="421" s="1"/>
  <c r="R102" i="421" l="1"/>
  <c r="N103" i="421" a="1"/>
  <c r="N103" i="421" s="1"/>
  <c r="Q103" i="421" a="1"/>
  <c r="Q103" i="421" s="1"/>
  <c r="O103" i="421" a="1"/>
  <c r="O103" i="421" s="1"/>
  <c r="K103" i="421" a="1"/>
  <c r="K103" i="421" s="1"/>
  <c r="M103" i="421" a="1"/>
  <c r="M103" i="421" s="1"/>
  <c r="G103" i="421" a="1"/>
  <c r="G103" i="421" s="1"/>
  <c r="I103" i="421" a="1"/>
  <c r="I103" i="421" s="1"/>
  <c r="C104" i="421"/>
  <c r="L103" i="421" a="1"/>
  <c r="L103" i="421" s="1"/>
  <c r="H103" i="421" a="1"/>
  <c r="H103" i="421" s="1"/>
  <c r="A103" i="421" a="1"/>
  <c r="A103" i="421" s="1"/>
  <c r="R103" i="421" l="1"/>
  <c r="K104" i="421" a="1"/>
  <c r="K104" i="421" s="1"/>
  <c r="A104" i="421" a="1"/>
  <c r="A104" i="421" s="1"/>
  <c r="M104" i="421" a="1"/>
  <c r="M104" i="421" s="1"/>
  <c r="H104" i="421" a="1"/>
  <c r="H104" i="421" s="1"/>
  <c r="I104" i="421" a="1"/>
  <c r="I104" i="421" s="1"/>
  <c r="N104" i="421" a="1"/>
  <c r="N104" i="421" s="1"/>
  <c r="Q104" i="421" a="1"/>
  <c r="Q104" i="421" s="1"/>
  <c r="C105" i="421"/>
  <c r="L104" i="421" a="1"/>
  <c r="L104" i="421" s="1"/>
  <c r="O104" i="421" a="1"/>
  <c r="O104" i="421" s="1"/>
  <c r="G104" i="421" a="1"/>
  <c r="G104" i="421" s="1"/>
  <c r="R104" i="421" l="1"/>
  <c r="O105" i="421" a="1"/>
  <c r="O105" i="421" s="1"/>
  <c r="M105" i="421" a="1"/>
  <c r="M105" i="421" s="1"/>
  <c r="L105" i="421" a="1"/>
  <c r="L105" i="421" s="1"/>
  <c r="N105" i="421" a="1"/>
  <c r="N105" i="421" s="1"/>
  <c r="K105" i="421" a="1"/>
  <c r="K105" i="421" s="1"/>
  <c r="Q105" i="421" a="1"/>
  <c r="Q105" i="421" s="1"/>
  <c r="I105" i="421" a="1"/>
  <c r="I105" i="421" s="1"/>
  <c r="A105" i="421" a="1"/>
  <c r="A105" i="421" s="1"/>
  <c r="H105" i="421" a="1"/>
  <c r="H105" i="421" s="1"/>
  <c r="C106" i="421"/>
  <c r="G105" i="421" a="1"/>
  <c r="G105" i="421" s="1"/>
  <c r="R105" i="421" l="1"/>
  <c r="M106" i="421" a="1"/>
  <c r="M106" i="421" s="1"/>
  <c r="Q106" i="421" a="1"/>
  <c r="Q106" i="421" s="1"/>
  <c r="H106" i="421" a="1"/>
  <c r="H106" i="421" s="1"/>
  <c r="L106" i="421" a="1"/>
  <c r="L106" i="421" s="1"/>
  <c r="O106" i="421" a="1"/>
  <c r="O106" i="421" s="1"/>
  <c r="N106" i="421" a="1"/>
  <c r="N106" i="421" s="1"/>
  <c r="G106" i="421" a="1"/>
  <c r="G106" i="421" s="1"/>
  <c r="C107" i="421"/>
  <c r="K106" i="421" a="1"/>
  <c r="K106" i="421" s="1"/>
  <c r="I106" i="421" a="1"/>
  <c r="I106" i="421" s="1"/>
  <c r="A106" i="421" a="1"/>
  <c r="A106" i="421" s="1"/>
  <c r="R106" i="421" l="1"/>
  <c r="A107" i="421" a="1"/>
  <c r="A107" i="421" s="1"/>
  <c r="I107" i="421" a="1"/>
  <c r="I107" i="421" s="1"/>
  <c r="H107" i="421" a="1"/>
  <c r="H107" i="421" s="1"/>
  <c r="N107" i="421" a="1"/>
  <c r="N107" i="421" s="1"/>
  <c r="Q107" i="421" a="1"/>
  <c r="Q107" i="421" s="1"/>
  <c r="K107" i="421" a="1"/>
  <c r="K107" i="421" s="1"/>
  <c r="O107" i="421" a="1"/>
  <c r="O107" i="421" s="1"/>
  <c r="G107" i="421" a="1"/>
  <c r="G107" i="421" s="1"/>
  <c r="M107" i="421" a="1"/>
  <c r="M107" i="421" s="1"/>
  <c r="L107" i="421" a="1"/>
  <c r="L107" i="421" s="1"/>
  <c r="C108" i="421"/>
  <c r="R107" i="421" l="1"/>
  <c r="G108" i="421" a="1"/>
  <c r="G108" i="421" s="1"/>
  <c r="K108" i="421" a="1"/>
  <c r="K108" i="421" s="1"/>
  <c r="L108" i="421" a="1"/>
  <c r="L108" i="421" s="1"/>
  <c r="I108" i="421" a="1"/>
  <c r="I108" i="421" s="1"/>
  <c r="M108" i="421" a="1"/>
  <c r="M108" i="421" s="1"/>
  <c r="H108" i="421" a="1"/>
  <c r="H108" i="421" s="1"/>
  <c r="O108" i="421" a="1"/>
  <c r="O108" i="421" s="1"/>
  <c r="Q108" i="421" a="1"/>
  <c r="Q108" i="421" s="1"/>
  <c r="N108" i="421" a="1"/>
  <c r="N108" i="421" s="1"/>
  <c r="A108" i="421" a="1"/>
  <c r="A108" i="421" s="1"/>
  <c r="C109" i="421"/>
  <c r="R108" i="421" l="1"/>
  <c r="M109" i="421" a="1"/>
  <c r="M109" i="421" s="1"/>
  <c r="K109" i="421" a="1"/>
  <c r="K109" i="421" s="1"/>
  <c r="N109" i="421" a="1"/>
  <c r="N109" i="421" s="1"/>
  <c r="L109" i="421" a="1"/>
  <c r="L109" i="421" s="1"/>
  <c r="A109" i="421" a="1"/>
  <c r="A109" i="421" s="1"/>
  <c r="Q109" i="421" a="1"/>
  <c r="Q109" i="421" s="1"/>
  <c r="H109" i="421" a="1"/>
  <c r="H109" i="421" s="1"/>
  <c r="I109" i="421" a="1"/>
  <c r="I109" i="421" s="1"/>
  <c r="C110" i="421"/>
  <c r="G109" i="421" a="1"/>
  <c r="G109" i="421" s="1"/>
  <c r="O109" i="421" a="1"/>
  <c r="O109" i="421" s="1"/>
  <c r="R109" i="421" l="1"/>
  <c r="O110" i="421" a="1"/>
  <c r="O110" i="421" s="1"/>
  <c r="G110" i="421" a="1"/>
  <c r="G110" i="421" s="1"/>
  <c r="I110" i="421" a="1"/>
  <c r="I110" i="421" s="1"/>
  <c r="H110" i="421" a="1"/>
  <c r="H110" i="421" s="1"/>
  <c r="M110" i="421" a="1"/>
  <c r="M110" i="421" s="1"/>
  <c r="K110" i="421" a="1"/>
  <c r="K110" i="421" s="1"/>
  <c r="N110" i="421" a="1"/>
  <c r="N110" i="421" s="1"/>
  <c r="C111" i="421"/>
  <c r="L110" i="421" a="1"/>
  <c r="L110" i="421" s="1"/>
  <c r="Q110" i="421" a="1"/>
  <c r="Q110" i="421" s="1"/>
  <c r="A110" i="421" a="1"/>
  <c r="A110" i="421" s="1"/>
  <c r="R110" i="421" l="1"/>
  <c r="H111" i="421" a="1"/>
  <c r="H111" i="421" s="1"/>
  <c r="Q111" i="421" a="1"/>
  <c r="Q111" i="421" s="1"/>
  <c r="G111" i="421" a="1"/>
  <c r="G111" i="421" s="1"/>
  <c r="K111" i="421" a="1"/>
  <c r="K111" i="421" s="1"/>
  <c r="O111" i="421" a="1"/>
  <c r="O111" i="421" s="1"/>
  <c r="I111" i="421" a="1"/>
  <c r="I111" i="421" s="1"/>
  <c r="A111" i="421" a="1"/>
  <c r="A111" i="421" s="1"/>
  <c r="M111" i="421" a="1"/>
  <c r="M111" i="421" s="1"/>
  <c r="N111" i="421" a="1"/>
  <c r="N111" i="421" s="1"/>
  <c r="L111" i="421" a="1"/>
  <c r="L111" i="421" s="1"/>
  <c r="C112" i="421"/>
  <c r="R111" i="421" l="1"/>
  <c r="Q112" i="421" a="1"/>
  <c r="Q112" i="421" s="1"/>
  <c r="G112" i="421" a="1"/>
  <c r="G112" i="421" s="1"/>
  <c r="O112" i="421" a="1"/>
  <c r="O112" i="421" s="1"/>
  <c r="I112" i="421" a="1"/>
  <c r="I112" i="421" s="1"/>
  <c r="K112" i="421" a="1"/>
  <c r="K112" i="421" s="1"/>
  <c r="A112" i="421" a="1"/>
  <c r="A112" i="421" s="1"/>
  <c r="L112" i="421" a="1"/>
  <c r="L112" i="421" s="1"/>
  <c r="H112" i="421" a="1"/>
  <c r="H112" i="421" s="1"/>
  <c r="M112" i="421" a="1"/>
  <c r="M112" i="421" s="1"/>
  <c r="C113" i="421"/>
  <c r="N112" i="421" a="1"/>
  <c r="N112" i="421" s="1"/>
  <c r="R112" i="421" l="1"/>
  <c r="A113" i="421" a="1"/>
  <c r="A113" i="421" s="1"/>
  <c r="M113" i="421" a="1"/>
  <c r="M113" i="421" s="1"/>
  <c r="O113" i="421" a="1"/>
  <c r="O113" i="421" s="1"/>
  <c r="C114" i="421"/>
  <c r="L113" i="421" a="1"/>
  <c r="L113" i="421" s="1"/>
  <c r="K113" i="421" a="1"/>
  <c r="K113" i="421" s="1"/>
  <c r="Q113" i="421" a="1"/>
  <c r="Q113" i="421" s="1"/>
  <c r="H113" i="421" a="1"/>
  <c r="H113" i="421" s="1"/>
  <c r="I113" i="421" a="1"/>
  <c r="I113" i="421" s="1"/>
  <c r="G113" i="421" a="1"/>
  <c r="G113" i="421" s="1"/>
  <c r="N113" i="421" a="1"/>
  <c r="N113" i="421" s="1"/>
  <c r="R113" i="421" l="1"/>
  <c r="A114" i="421" a="1"/>
  <c r="A114" i="421" s="1"/>
  <c r="H114" i="421" a="1"/>
  <c r="H114" i="421" s="1"/>
  <c r="Q114" i="421" a="1"/>
  <c r="Q114" i="421" s="1"/>
  <c r="N114" i="421" a="1"/>
  <c r="N114" i="421" s="1"/>
  <c r="O114" i="421" a="1"/>
  <c r="O114" i="421" s="1"/>
  <c r="C115" i="421"/>
  <c r="G114" i="421" a="1"/>
  <c r="G114" i="421" s="1"/>
  <c r="L114" i="421" a="1"/>
  <c r="L114" i="421" s="1"/>
  <c r="M114" i="421" a="1"/>
  <c r="M114" i="421" s="1"/>
  <c r="I114" i="421" a="1"/>
  <c r="I114" i="421" s="1"/>
  <c r="K114" i="421" a="1"/>
  <c r="K114" i="421" s="1"/>
  <c r="R114" i="421" l="1"/>
  <c r="A115" i="421" a="1"/>
  <c r="A115" i="421" s="1"/>
  <c r="I115" i="421" a="1"/>
  <c r="I115" i="421" s="1"/>
  <c r="C116" i="421"/>
  <c r="N115" i="421" a="1"/>
  <c r="N115" i="421" s="1"/>
  <c r="O115" i="421" a="1"/>
  <c r="O115" i="421" s="1"/>
  <c r="H115" i="421" a="1"/>
  <c r="H115" i="421" s="1"/>
  <c r="G115" i="421" a="1"/>
  <c r="G115" i="421" s="1"/>
  <c r="M115" i="421" a="1"/>
  <c r="M115" i="421" s="1"/>
  <c r="K115" i="421" a="1"/>
  <c r="K115" i="421" s="1"/>
  <c r="L115" i="421" a="1"/>
  <c r="L115" i="421" s="1"/>
  <c r="Q115" i="421" a="1"/>
  <c r="Q115" i="421" s="1"/>
  <c r="R115" i="421" l="1"/>
  <c r="L116" i="421" a="1"/>
  <c r="L116" i="421" s="1"/>
  <c r="I116" i="421" a="1"/>
  <c r="I116" i="421" s="1"/>
  <c r="K116" i="421" a="1"/>
  <c r="K116" i="421" s="1"/>
  <c r="C117" i="421"/>
  <c r="Q116" i="421" a="1"/>
  <c r="Q116" i="421" s="1"/>
  <c r="N116" i="421" a="1"/>
  <c r="N116" i="421" s="1"/>
  <c r="G116" i="421" a="1"/>
  <c r="G116" i="421" s="1"/>
  <c r="A116" i="421" a="1"/>
  <c r="A116" i="421" s="1"/>
  <c r="M116" i="421" a="1"/>
  <c r="M116" i="421" s="1"/>
  <c r="O116" i="421" a="1"/>
  <c r="O116" i="421" s="1"/>
  <c r="H116" i="421" a="1"/>
  <c r="H116" i="421" s="1"/>
  <c r="R116" i="421" l="1"/>
  <c r="H117" i="421" a="1"/>
  <c r="H117" i="421" s="1"/>
  <c r="L117" i="421" a="1"/>
  <c r="L117" i="421" s="1"/>
  <c r="C118" i="421"/>
  <c r="M117" i="421" a="1"/>
  <c r="M117" i="421" s="1"/>
  <c r="A117" i="421" a="1"/>
  <c r="A117" i="421" s="1"/>
  <c r="I117" i="421" a="1"/>
  <c r="I117" i="421" s="1"/>
  <c r="N117" i="421" a="1"/>
  <c r="N117" i="421" s="1"/>
  <c r="O117" i="421" a="1"/>
  <c r="O117" i="421" s="1"/>
  <c r="Q117" i="421" a="1"/>
  <c r="Q117" i="421" s="1"/>
  <c r="G117" i="421" a="1"/>
  <c r="G117" i="421" s="1"/>
  <c r="K117" i="421" a="1"/>
  <c r="K117" i="421" s="1"/>
  <c r="R117" i="421" l="1"/>
  <c r="K118" i="421" a="1"/>
  <c r="K118" i="421" s="1"/>
  <c r="I118" i="421" a="1"/>
  <c r="I118" i="421" s="1"/>
  <c r="H118" i="421" a="1"/>
  <c r="H118" i="421" s="1"/>
  <c r="M118" i="421" a="1"/>
  <c r="M118" i="421" s="1"/>
  <c r="O118" i="421" a="1"/>
  <c r="O118" i="421" s="1"/>
  <c r="L118" i="421" a="1"/>
  <c r="L118" i="421" s="1"/>
  <c r="A118" i="421" a="1"/>
  <c r="A118" i="421" s="1"/>
  <c r="N118" i="421" a="1"/>
  <c r="N118" i="421" s="1"/>
  <c r="Q118" i="421" a="1"/>
  <c r="Q118" i="421" s="1"/>
  <c r="G118" i="421" a="1"/>
  <c r="G118" i="421" s="1"/>
  <c r="C119" i="421"/>
  <c r="R118" i="421" l="1"/>
  <c r="N119" i="421" a="1"/>
  <c r="N119" i="421" s="1"/>
  <c r="K119" i="421" a="1"/>
  <c r="K119" i="421" s="1"/>
  <c r="G119" i="421" a="1"/>
  <c r="G119" i="421" s="1"/>
  <c r="L119" i="421" a="1"/>
  <c r="L119" i="421" s="1"/>
  <c r="H119" i="421" a="1"/>
  <c r="H119" i="421" s="1"/>
  <c r="O119" i="421" a="1"/>
  <c r="O119" i="421" s="1"/>
  <c r="C120" i="421"/>
  <c r="A119" i="421" a="1"/>
  <c r="A119" i="421" s="1"/>
  <c r="Q119" i="421" a="1"/>
  <c r="Q119" i="421" s="1"/>
  <c r="M119" i="421" a="1"/>
  <c r="M119" i="421" s="1"/>
  <c r="I119" i="421" a="1"/>
  <c r="I119" i="421" s="1"/>
  <c r="R119" i="421" l="1"/>
  <c r="Q120" i="421" a="1"/>
  <c r="Q120" i="421" s="1"/>
  <c r="G120" i="421" a="1"/>
  <c r="G120" i="421" s="1"/>
  <c r="L120" i="421" a="1"/>
  <c r="L120" i="421" s="1"/>
  <c r="I120" i="421" a="1"/>
  <c r="I120" i="421" s="1"/>
  <c r="K120" i="421" a="1"/>
  <c r="K120" i="421" s="1"/>
  <c r="A120" i="421" a="1"/>
  <c r="A120" i="421" s="1"/>
  <c r="H120" i="421" a="1"/>
  <c r="H120" i="421" s="1"/>
  <c r="C121" i="421"/>
  <c r="N120" i="421" a="1"/>
  <c r="N120" i="421" s="1"/>
  <c r="M120" i="421" a="1"/>
  <c r="M120" i="421" s="1"/>
  <c r="O120" i="421" a="1"/>
  <c r="O120" i="421" s="1"/>
  <c r="R120" i="421" l="1"/>
  <c r="K121" i="421" a="1"/>
  <c r="K121" i="421" s="1"/>
  <c r="G121" i="421" a="1"/>
  <c r="G121" i="421" s="1"/>
  <c r="O121" i="421" a="1"/>
  <c r="O121" i="421" s="1"/>
  <c r="M121" i="421" a="1"/>
  <c r="M121" i="421" s="1"/>
  <c r="C122" i="421"/>
  <c r="N121" i="421" a="1"/>
  <c r="N121" i="421" s="1"/>
  <c r="A121" i="421" a="1"/>
  <c r="A121" i="421" s="1"/>
  <c r="Q121" i="421" a="1"/>
  <c r="Q121" i="421" s="1"/>
  <c r="L121" i="421" a="1"/>
  <c r="L121" i="421" s="1"/>
  <c r="H121" i="421" a="1"/>
  <c r="H121" i="421" s="1"/>
  <c r="I121" i="421" a="1"/>
  <c r="I121" i="421" s="1"/>
  <c r="R121" i="421" l="1"/>
  <c r="O122" i="421" a="1"/>
  <c r="O122" i="421" s="1"/>
  <c r="A122" i="421" a="1"/>
  <c r="A122" i="421" s="1"/>
  <c r="N122" i="421" a="1"/>
  <c r="N122" i="421" s="1"/>
  <c r="G122" i="421" a="1"/>
  <c r="G122" i="421" s="1"/>
  <c r="C123" i="421"/>
  <c r="M122" i="421" a="1"/>
  <c r="M122" i="421" s="1"/>
  <c r="Q122" i="421" a="1"/>
  <c r="Q122" i="421" s="1"/>
  <c r="L122" i="421" a="1"/>
  <c r="L122" i="421" s="1"/>
  <c r="H122" i="421" a="1"/>
  <c r="H122" i="421" s="1"/>
  <c r="K122" i="421" a="1"/>
  <c r="K122" i="421" s="1"/>
  <c r="I122" i="421" a="1"/>
  <c r="I122" i="421" s="1"/>
  <c r="R122" i="421" l="1"/>
  <c r="A123" i="421" a="1"/>
  <c r="A123" i="421" s="1"/>
  <c r="G123" i="421" a="1"/>
  <c r="G123" i="421" s="1"/>
  <c r="O123" i="421" a="1"/>
  <c r="O123" i="421" s="1"/>
  <c r="H123" i="421" a="1"/>
  <c r="H123" i="421" s="1"/>
  <c r="M123" i="421" a="1"/>
  <c r="M123" i="421" s="1"/>
  <c r="L123" i="421" a="1"/>
  <c r="L123" i="421" s="1"/>
  <c r="N123" i="421" a="1"/>
  <c r="N123" i="421" s="1"/>
  <c r="Q123" i="421" a="1"/>
  <c r="Q123" i="421" s="1"/>
  <c r="K123" i="421" a="1"/>
  <c r="K123" i="421" s="1"/>
  <c r="I123" i="421" a="1"/>
  <c r="I123" i="421" s="1"/>
  <c r="C124" i="421"/>
  <c r="R123" i="421" l="1"/>
  <c r="M124" i="421" a="1"/>
  <c r="M124" i="421" s="1"/>
  <c r="L124" i="421" a="1"/>
  <c r="L124" i="421" s="1"/>
  <c r="I124" i="421" a="1"/>
  <c r="I124" i="421" s="1"/>
  <c r="O124" i="421" a="1"/>
  <c r="O124" i="421" s="1"/>
  <c r="C125" i="421"/>
  <c r="Q124" i="421" a="1"/>
  <c r="Q124" i="421" s="1"/>
  <c r="H124" i="421" a="1"/>
  <c r="H124" i="421" s="1"/>
  <c r="G124" i="421" a="1"/>
  <c r="G124" i="421" s="1"/>
  <c r="K124" i="421" a="1"/>
  <c r="K124" i="421" s="1"/>
  <c r="A124" i="421" a="1"/>
  <c r="A124" i="421" s="1"/>
  <c r="N124" i="421" a="1"/>
  <c r="N124" i="421" s="1"/>
  <c r="R124" i="421" l="1"/>
  <c r="H125" i="421" a="1"/>
  <c r="H125" i="421" s="1"/>
  <c r="G125" i="421" a="1"/>
  <c r="G125" i="421" s="1"/>
  <c r="C126" i="421"/>
  <c r="N125" i="421" a="1"/>
  <c r="N125" i="421" s="1"/>
  <c r="I125" i="421" a="1"/>
  <c r="I125" i="421" s="1"/>
  <c r="Q125" i="421" a="1"/>
  <c r="Q125" i="421" s="1"/>
  <c r="O125" i="421" a="1"/>
  <c r="O125" i="421" s="1"/>
  <c r="L125" i="421" a="1"/>
  <c r="L125" i="421" s="1"/>
  <c r="M125" i="421" a="1"/>
  <c r="M125" i="421" s="1"/>
  <c r="A125" i="421" a="1"/>
  <c r="A125" i="421" s="1"/>
  <c r="K125" i="421" a="1"/>
  <c r="K125" i="421" s="1"/>
  <c r="R125" i="421" l="1"/>
  <c r="N126" i="421" a="1"/>
  <c r="N126" i="421" s="1"/>
  <c r="H126" i="421" a="1"/>
  <c r="H126" i="421" s="1"/>
  <c r="M126" i="421" a="1"/>
  <c r="M126" i="421" s="1"/>
  <c r="O126" i="421" a="1"/>
  <c r="O126" i="421" s="1"/>
  <c r="C127" i="421"/>
  <c r="I126" i="421" a="1"/>
  <c r="I126" i="421" s="1"/>
  <c r="A126" i="421" a="1"/>
  <c r="A126" i="421" s="1"/>
  <c r="K126" i="421" a="1"/>
  <c r="K126" i="421" s="1"/>
  <c r="G126" i="421" a="1"/>
  <c r="G126" i="421" s="1"/>
  <c r="L126" i="421" a="1"/>
  <c r="L126" i="421" s="1"/>
  <c r="Q126" i="421" a="1"/>
  <c r="Q126" i="421" s="1"/>
  <c r="R126" i="421" l="1"/>
  <c r="H127" i="421" a="1"/>
  <c r="H127" i="421" s="1"/>
  <c r="O127" i="421" a="1"/>
  <c r="O127" i="421" s="1"/>
  <c r="G127" i="421" a="1"/>
  <c r="G127" i="421" s="1"/>
  <c r="M127" i="421" a="1"/>
  <c r="M127" i="421" s="1"/>
  <c r="Q127" i="421" a="1"/>
  <c r="Q127" i="421" s="1"/>
  <c r="A127" i="421" a="1"/>
  <c r="A127" i="421" s="1"/>
  <c r="L127" i="421" a="1"/>
  <c r="L127" i="421" s="1"/>
  <c r="C128" i="421"/>
  <c r="I127" i="421" a="1"/>
  <c r="I127" i="421" s="1"/>
  <c r="K127" i="421" a="1"/>
  <c r="K127" i="421" s="1"/>
  <c r="N127" i="421" a="1"/>
  <c r="N127" i="421" s="1"/>
  <c r="R127" i="421" l="1"/>
  <c r="Q128" i="421" a="1"/>
  <c r="Q128" i="421" s="1"/>
  <c r="M128" i="421" a="1"/>
  <c r="M128" i="421" s="1"/>
  <c r="N128" i="421" a="1"/>
  <c r="N128" i="421" s="1"/>
  <c r="K128" i="421" a="1"/>
  <c r="K128" i="421" s="1"/>
  <c r="O128" i="421" a="1"/>
  <c r="O128" i="421" s="1"/>
  <c r="A128" i="421" a="1"/>
  <c r="A128" i="421" s="1"/>
  <c r="H128" i="421" a="1"/>
  <c r="H128" i="421" s="1"/>
  <c r="C129" i="421"/>
  <c r="L128" i="421" a="1"/>
  <c r="L128" i="421" s="1"/>
  <c r="G128" i="421" a="1"/>
  <c r="G128" i="421" s="1"/>
  <c r="I128" i="421" a="1"/>
  <c r="I128" i="421" s="1"/>
  <c r="R128" i="421" l="1"/>
  <c r="G129" i="421" a="1"/>
  <c r="G129" i="421" s="1"/>
  <c r="K129" i="421" a="1"/>
  <c r="K129" i="421" s="1"/>
  <c r="H129" i="421" a="1"/>
  <c r="H129" i="421" s="1"/>
  <c r="Q129" i="421" a="1"/>
  <c r="Q129" i="421" s="1"/>
  <c r="M129" i="421" a="1"/>
  <c r="M129" i="421" s="1"/>
  <c r="I129" i="421" a="1"/>
  <c r="I129" i="421" s="1"/>
  <c r="O129" i="421" a="1"/>
  <c r="O129" i="421" s="1"/>
  <c r="A129" i="421" a="1"/>
  <c r="A129" i="421" s="1"/>
  <c r="C130" i="421"/>
  <c r="N129" i="421" a="1"/>
  <c r="N129" i="421" s="1"/>
  <c r="L129" i="421" a="1"/>
  <c r="L129" i="421" s="1"/>
  <c r="R129" i="421" l="1"/>
  <c r="N130" i="421" a="1"/>
  <c r="N130" i="421" s="1"/>
  <c r="C131" i="421"/>
  <c r="G130" i="421" a="1"/>
  <c r="G130" i="421" s="1"/>
  <c r="L130" i="421" a="1"/>
  <c r="L130" i="421" s="1"/>
  <c r="H130" i="421" a="1"/>
  <c r="H130" i="421" s="1"/>
  <c r="A130" i="421" a="1"/>
  <c r="A130" i="421" s="1"/>
  <c r="K130" i="421" a="1"/>
  <c r="K130" i="421" s="1"/>
  <c r="Q130" i="421" a="1"/>
  <c r="Q130" i="421" s="1"/>
  <c r="M130" i="421" a="1"/>
  <c r="M130" i="421" s="1"/>
  <c r="O130" i="421" a="1"/>
  <c r="O130" i="421" s="1"/>
  <c r="I130" i="421" a="1"/>
  <c r="I130" i="421" s="1"/>
  <c r="R130" i="421" l="1"/>
  <c r="A131" i="421" a="1"/>
  <c r="A131" i="421" s="1"/>
  <c r="C132" i="421"/>
  <c r="I131" i="421" a="1"/>
  <c r="I131" i="421" s="1"/>
  <c r="G131" i="421" a="1"/>
  <c r="G131" i="421" s="1"/>
  <c r="K131" i="421" a="1"/>
  <c r="K131" i="421" s="1"/>
  <c r="L131" i="421" a="1"/>
  <c r="L131" i="421" s="1"/>
  <c r="Q131" i="421" a="1"/>
  <c r="Q131" i="421" s="1"/>
  <c r="O131" i="421" a="1"/>
  <c r="O131" i="421" s="1"/>
  <c r="N131" i="421" a="1"/>
  <c r="N131" i="421" s="1"/>
  <c r="M131" i="421" a="1"/>
  <c r="M131" i="421" s="1"/>
  <c r="H131" i="421" a="1"/>
  <c r="H131" i="421" s="1"/>
  <c r="R131" i="421" l="1"/>
  <c r="I132" i="421" a="1"/>
  <c r="I132" i="421" s="1"/>
  <c r="H132" i="421" a="1"/>
  <c r="H132" i="421" s="1"/>
  <c r="N132" i="421" a="1"/>
  <c r="N132" i="421" s="1"/>
  <c r="G132" i="421" a="1"/>
  <c r="G132" i="421" s="1"/>
  <c r="Q132" i="421" a="1"/>
  <c r="Q132" i="421" s="1"/>
  <c r="M132" i="421" a="1"/>
  <c r="M132" i="421" s="1"/>
  <c r="O132" i="421" a="1"/>
  <c r="O132" i="421" s="1"/>
  <c r="C133" i="421"/>
  <c r="A132" i="421" a="1"/>
  <c r="A132" i="421" s="1"/>
  <c r="K132" i="421" a="1"/>
  <c r="K132" i="421" s="1"/>
  <c r="L132" i="421" a="1"/>
  <c r="L132" i="421" s="1"/>
  <c r="R132" i="421" l="1"/>
  <c r="A133" i="421" a="1"/>
  <c r="A133" i="421" s="1"/>
  <c r="G133" i="421" a="1"/>
  <c r="G133" i="421" s="1"/>
  <c r="O133" i="421" a="1"/>
  <c r="O133" i="421" s="1"/>
  <c r="Q133" i="421" a="1"/>
  <c r="Q133" i="421" s="1"/>
  <c r="I133" i="421" a="1"/>
  <c r="I133" i="421" s="1"/>
  <c r="M133" i="421" a="1"/>
  <c r="M133" i="421" s="1"/>
  <c r="L133" i="421" a="1"/>
  <c r="L133" i="421" s="1"/>
  <c r="H133" i="421" a="1"/>
  <c r="H133" i="421" s="1"/>
  <c r="N133" i="421" a="1"/>
  <c r="N133" i="421" s="1"/>
  <c r="K133" i="421" a="1"/>
  <c r="K133" i="421" s="1"/>
  <c r="C134" i="421"/>
  <c r="R133" i="421" l="1"/>
  <c r="K134" i="421" a="1"/>
  <c r="K134" i="421" s="1"/>
  <c r="M134" i="421" a="1"/>
  <c r="M134" i="421" s="1"/>
  <c r="A134" i="421" a="1"/>
  <c r="A134" i="421" s="1"/>
  <c r="G134" i="421" a="1"/>
  <c r="G134" i="421" s="1"/>
  <c r="C135" i="421"/>
  <c r="L134" i="421" a="1"/>
  <c r="L134" i="421" s="1"/>
  <c r="O134" i="421" a="1"/>
  <c r="O134" i="421" s="1"/>
  <c r="Q134" i="421" a="1"/>
  <c r="Q134" i="421" s="1"/>
  <c r="H134" i="421" a="1"/>
  <c r="H134" i="421" s="1"/>
  <c r="N134" i="421" a="1"/>
  <c r="N134" i="421" s="1"/>
  <c r="I134" i="421" a="1"/>
  <c r="I134" i="421" s="1"/>
  <c r="R134" i="421" l="1"/>
  <c r="N135" i="421" a="1"/>
  <c r="N135" i="421" s="1"/>
  <c r="L135" i="421" a="1"/>
  <c r="L135" i="421" s="1"/>
  <c r="C136" i="421"/>
  <c r="G135" i="421" a="1"/>
  <c r="G135" i="421" s="1"/>
  <c r="K135" i="421" a="1"/>
  <c r="K135" i="421" s="1"/>
  <c r="I135" i="421" a="1"/>
  <c r="I135" i="421" s="1"/>
  <c r="O135" i="421" a="1"/>
  <c r="O135" i="421" s="1"/>
  <c r="A135" i="421" a="1"/>
  <c r="A135" i="421" s="1"/>
  <c r="H135" i="421" a="1"/>
  <c r="H135" i="421" s="1"/>
  <c r="Q135" i="421" a="1"/>
  <c r="Q135" i="421" s="1"/>
  <c r="M135" i="421" a="1"/>
  <c r="M135" i="421" s="1"/>
  <c r="R135" i="421" l="1"/>
  <c r="C137" i="421"/>
  <c r="M136" i="421" a="1"/>
  <c r="M136" i="421" s="1"/>
  <c r="A136" i="421" a="1"/>
  <c r="A136" i="421" s="1"/>
  <c r="Q136" i="421" a="1"/>
  <c r="Q136" i="421" s="1"/>
  <c r="H136" i="421" a="1"/>
  <c r="H136" i="421" s="1"/>
  <c r="I136" i="421" a="1"/>
  <c r="I136" i="421" s="1"/>
  <c r="O136" i="421" a="1"/>
  <c r="O136" i="421" s="1"/>
  <c r="N136" i="421" a="1"/>
  <c r="N136" i="421" s="1"/>
  <c r="L136" i="421" a="1"/>
  <c r="L136" i="421" s="1"/>
  <c r="K136" i="421" a="1"/>
  <c r="K136" i="421" s="1"/>
  <c r="G136" i="421" a="1"/>
  <c r="G136" i="421" s="1"/>
  <c r="R136" i="421" l="1"/>
  <c r="I137" i="421" a="1"/>
  <c r="I137" i="421" s="1"/>
  <c r="G137" i="421" a="1"/>
  <c r="G137" i="421" s="1"/>
  <c r="K137" i="421" a="1"/>
  <c r="K137" i="421" s="1"/>
  <c r="L137" i="421" a="1"/>
  <c r="L137" i="421" s="1"/>
  <c r="A137" i="421" a="1"/>
  <c r="A137" i="421" s="1"/>
  <c r="C138" i="421"/>
  <c r="M137" i="421" a="1"/>
  <c r="M137" i="421" s="1"/>
  <c r="O137" i="421" a="1"/>
  <c r="O137" i="421" s="1"/>
  <c r="Q137" i="421" a="1"/>
  <c r="Q137" i="421" s="1"/>
  <c r="N137" i="421" a="1"/>
  <c r="N137" i="421" s="1"/>
  <c r="H137" i="421" a="1"/>
  <c r="H137" i="421" s="1"/>
  <c r="R137" i="421" l="1"/>
  <c r="M138" i="421" a="1"/>
  <c r="M138" i="421" s="1"/>
  <c r="H138" i="421" a="1"/>
  <c r="H138" i="421" s="1"/>
  <c r="A138" i="421" a="1"/>
  <c r="A138" i="421" s="1"/>
  <c r="G138" i="421" a="1"/>
  <c r="G138" i="421" s="1"/>
  <c r="K138" i="421" a="1"/>
  <c r="K138" i="421" s="1"/>
  <c r="O138" i="421" a="1"/>
  <c r="O138" i="421" s="1"/>
  <c r="Q138" i="421" a="1"/>
  <c r="Q138" i="421" s="1"/>
  <c r="L138" i="421" a="1"/>
  <c r="L138" i="421" s="1"/>
  <c r="N138" i="421" a="1"/>
  <c r="N138" i="421" s="1"/>
  <c r="I138" i="421" a="1"/>
  <c r="I138" i="421" s="1"/>
  <c r="C139" i="421"/>
  <c r="R138" i="421" l="1"/>
  <c r="A139" i="421" a="1"/>
  <c r="A139" i="421" s="1"/>
  <c r="H139" i="421" a="1"/>
  <c r="H139" i="421" s="1"/>
  <c r="M139" i="421" a="1"/>
  <c r="M139" i="421" s="1"/>
  <c r="I139" i="421" a="1"/>
  <c r="I139" i="421" s="1"/>
  <c r="G139" i="421" a="1"/>
  <c r="G139" i="421" s="1"/>
  <c r="N139" i="421" a="1"/>
  <c r="N139" i="421" s="1"/>
  <c r="L139" i="421" a="1"/>
  <c r="L139" i="421" s="1"/>
  <c r="K139" i="421" a="1"/>
  <c r="K139" i="421" s="1"/>
  <c r="Q139" i="421" a="1"/>
  <c r="Q139" i="421" s="1"/>
  <c r="C140" i="421"/>
  <c r="O139" i="421" a="1"/>
  <c r="O139" i="421" s="1"/>
  <c r="R139" i="421" l="1"/>
  <c r="I140" i="421" a="1"/>
  <c r="I140" i="421" s="1"/>
  <c r="G140" i="421" a="1"/>
  <c r="G140" i="421" s="1"/>
  <c r="C141" i="421"/>
  <c r="L140" i="421" a="1"/>
  <c r="L140" i="421" s="1"/>
  <c r="A140" i="421" a="1"/>
  <c r="A140" i="421" s="1"/>
  <c r="O140" i="421" a="1"/>
  <c r="O140" i="421" s="1"/>
  <c r="H140" i="421" a="1"/>
  <c r="H140" i="421" s="1"/>
  <c r="N140" i="421" a="1"/>
  <c r="N140" i="421" s="1"/>
  <c r="M140" i="421" a="1"/>
  <c r="M140" i="421" s="1"/>
  <c r="Q140" i="421" a="1"/>
  <c r="Q140" i="421" s="1"/>
  <c r="K140" i="421" a="1"/>
  <c r="K140" i="421" s="1"/>
  <c r="R140" i="421" l="1"/>
  <c r="L141" i="421" a="1"/>
  <c r="L141" i="421" s="1"/>
  <c r="G141" i="421" a="1"/>
  <c r="G141" i="421" s="1"/>
  <c r="H141" i="421" a="1"/>
  <c r="H141" i="421" s="1"/>
  <c r="Q141" i="421" a="1"/>
  <c r="Q141" i="421" s="1"/>
  <c r="I141" i="421" a="1"/>
  <c r="I141" i="421" s="1"/>
  <c r="A141" i="421" a="1"/>
  <c r="A141" i="421" s="1"/>
  <c r="C142" i="421"/>
  <c r="O141" i="421" a="1"/>
  <c r="O141" i="421" s="1"/>
  <c r="K141" i="421" a="1"/>
  <c r="K141" i="421" s="1"/>
  <c r="N141" i="421" a="1"/>
  <c r="N141" i="421" s="1"/>
  <c r="M141" i="421" a="1"/>
  <c r="M141" i="421" s="1"/>
  <c r="R141" i="421" l="1"/>
  <c r="O142" i="421" a="1"/>
  <c r="O142" i="421" s="1"/>
  <c r="A142" i="421" a="1"/>
  <c r="A142" i="421" s="1"/>
  <c r="G142" i="421" a="1"/>
  <c r="G142" i="421" s="1"/>
  <c r="C143" i="421"/>
  <c r="K142" i="421" a="1"/>
  <c r="K142" i="421" s="1"/>
  <c r="L142" i="421" a="1"/>
  <c r="L142" i="421" s="1"/>
  <c r="H142" i="421" a="1"/>
  <c r="H142" i="421" s="1"/>
  <c r="I142" i="421" a="1"/>
  <c r="I142" i="421" s="1"/>
  <c r="N142" i="421" a="1"/>
  <c r="N142" i="421" s="1"/>
  <c r="M142" i="421" a="1"/>
  <c r="M142" i="421" s="1"/>
  <c r="Q142" i="421" a="1"/>
  <c r="Q142" i="421" s="1"/>
  <c r="R142" i="421" l="1"/>
  <c r="G143" i="421" a="1"/>
  <c r="G143" i="421" s="1"/>
  <c r="N143" i="421" a="1"/>
  <c r="N143" i="421" s="1"/>
  <c r="I143" i="421" a="1"/>
  <c r="I143" i="421" s="1"/>
  <c r="Q143" i="421" a="1"/>
  <c r="Q143" i="421" s="1"/>
  <c r="C144" i="421"/>
  <c r="H143" i="421" a="1"/>
  <c r="H143" i="421" s="1"/>
  <c r="A143" i="421" a="1"/>
  <c r="A143" i="421" s="1"/>
  <c r="K143" i="421" a="1"/>
  <c r="K143" i="421" s="1"/>
  <c r="O143" i="421" a="1"/>
  <c r="O143" i="421" s="1"/>
  <c r="M143" i="421" a="1"/>
  <c r="M143" i="421" s="1"/>
  <c r="L143" i="421" a="1"/>
  <c r="L143" i="421" s="1"/>
  <c r="R143" i="421" l="1"/>
  <c r="Q144" i="421" a="1"/>
  <c r="Q144" i="421" s="1"/>
  <c r="A144" i="421" a="1"/>
  <c r="A144" i="421" s="1"/>
  <c r="G144" i="421" a="1"/>
  <c r="G144" i="421" s="1"/>
  <c r="N144" i="421" a="1"/>
  <c r="N144" i="421" s="1"/>
  <c r="I144" i="421" a="1"/>
  <c r="I144" i="421" s="1"/>
  <c r="K144" i="421" a="1"/>
  <c r="K144" i="421" s="1"/>
  <c r="M144" i="421" a="1"/>
  <c r="M144" i="421" s="1"/>
  <c r="C145" i="421"/>
  <c r="O144" i="421" a="1"/>
  <c r="O144" i="421" s="1"/>
  <c r="H144" i="421" a="1"/>
  <c r="H144" i="421" s="1"/>
  <c r="L144" i="421" a="1"/>
  <c r="L144" i="421" s="1"/>
  <c r="R144" i="421" l="1"/>
  <c r="L145" i="421" a="1"/>
  <c r="L145" i="421" s="1"/>
  <c r="K145" i="421" a="1"/>
  <c r="K145" i="421" s="1"/>
  <c r="N145" i="421" a="1"/>
  <c r="N145" i="421" s="1"/>
  <c r="G145" i="421" a="1"/>
  <c r="G145" i="421" s="1"/>
  <c r="Q145" i="421" a="1"/>
  <c r="Q145" i="421" s="1"/>
  <c r="C146" i="421"/>
  <c r="M145" i="421" a="1"/>
  <c r="M145" i="421" s="1"/>
  <c r="A145" i="421" a="1"/>
  <c r="A145" i="421" s="1"/>
  <c r="I145" i="421" a="1"/>
  <c r="I145" i="421" s="1"/>
  <c r="H145" i="421" a="1"/>
  <c r="H145" i="421" s="1"/>
  <c r="O145" i="421" a="1"/>
  <c r="O145" i="421" s="1"/>
  <c r="R145" i="421" l="1"/>
  <c r="H146" i="421" a="1"/>
  <c r="H146" i="421" s="1"/>
  <c r="C147" i="421"/>
  <c r="Q146" i="421" a="1"/>
  <c r="Q146" i="421" s="1"/>
  <c r="K146" i="421" a="1"/>
  <c r="K146" i="421" s="1"/>
  <c r="G146" i="421" a="1"/>
  <c r="G146" i="421" s="1"/>
  <c r="I146" i="421" a="1"/>
  <c r="I146" i="421" s="1"/>
  <c r="M146" i="421" a="1"/>
  <c r="M146" i="421" s="1"/>
  <c r="L146" i="421" a="1"/>
  <c r="L146" i="421" s="1"/>
  <c r="O146" i="421" a="1"/>
  <c r="O146" i="421" s="1"/>
  <c r="N146" i="421" a="1"/>
  <c r="N146" i="421" s="1"/>
  <c r="A146" i="421" a="1"/>
  <c r="A146" i="421" s="1"/>
  <c r="R146" i="421" l="1"/>
  <c r="C148" i="421"/>
  <c r="Q147" i="421" a="1"/>
  <c r="Q147" i="421" s="1"/>
  <c r="G147" i="421" a="1"/>
  <c r="G147" i="421" s="1"/>
  <c r="H147" i="421" a="1"/>
  <c r="H147" i="421" s="1"/>
  <c r="K147" i="421" a="1"/>
  <c r="K147" i="421" s="1"/>
  <c r="N147" i="421" a="1"/>
  <c r="N147" i="421" s="1"/>
  <c r="L147" i="421" a="1"/>
  <c r="L147" i="421" s="1"/>
  <c r="I147" i="421" a="1"/>
  <c r="I147" i="421" s="1"/>
  <c r="M147" i="421" a="1"/>
  <c r="M147" i="421" s="1"/>
  <c r="O147" i="421" a="1"/>
  <c r="O147" i="421" s="1"/>
  <c r="A147" i="421" a="1"/>
  <c r="A147" i="421" s="1"/>
  <c r="R147" i="421" l="1"/>
  <c r="A148" i="421" a="1"/>
  <c r="A148" i="421" s="1"/>
  <c r="O148" i="421" a="1"/>
  <c r="O148" i="421" s="1"/>
  <c r="G148" i="421" a="1"/>
  <c r="G148" i="421" s="1"/>
  <c r="L148" i="421" a="1"/>
  <c r="L148" i="421" s="1"/>
  <c r="C149" i="421"/>
  <c r="H148" i="421" a="1"/>
  <c r="H148" i="421" s="1"/>
  <c r="M148" i="421" a="1"/>
  <c r="M148" i="421" s="1"/>
  <c r="K148" i="421" a="1"/>
  <c r="K148" i="421" s="1"/>
  <c r="N148" i="421" a="1"/>
  <c r="N148" i="421" s="1"/>
  <c r="I148" i="421" a="1"/>
  <c r="I148" i="421" s="1"/>
  <c r="Q148" i="421" a="1"/>
  <c r="Q148" i="421" s="1"/>
  <c r="R148" i="421" l="1"/>
  <c r="I149" i="421" a="1"/>
  <c r="I149" i="421" s="1"/>
  <c r="A149" i="421" a="1"/>
  <c r="A149" i="421" s="1"/>
  <c r="C150" i="421"/>
  <c r="N149" i="421" a="1"/>
  <c r="N149" i="421" s="1"/>
  <c r="G149" i="421" a="1"/>
  <c r="G149" i="421" s="1"/>
  <c r="M149" i="421" a="1"/>
  <c r="M149" i="421" s="1"/>
  <c r="K149" i="421" a="1"/>
  <c r="K149" i="421" s="1"/>
  <c r="H149" i="421" a="1"/>
  <c r="H149" i="421" s="1"/>
  <c r="Q149" i="421" a="1"/>
  <c r="Q149" i="421" s="1"/>
  <c r="O149" i="421" a="1"/>
  <c r="O149" i="421" s="1"/>
  <c r="L149" i="421" a="1"/>
  <c r="L149" i="421" s="1"/>
  <c r="R149" i="421" l="1"/>
  <c r="C151" i="421"/>
  <c r="A150" i="421" a="1"/>
  <c r="A150" i="421" s="1"/>
  <c r="H150" i="421" a="1"/>
  <c r="H150" i="421" s="1"/>
  <c r="Q150" i="421" a="1"/>
  <c r="Q150" i="421" s="1"/>
  <c r="G150" i="421" a="1"/>
  <c r="G150" i="421" s="1"/>
  <c r="N150" i="421" a="1"/>
  <c r="N150" i="421" s="1"/>
  <c r="L150" i="421" a="1"/>
  <c r="L150" i="421" s="1"/>
  <c r="I150" i="421" a="1"/>
  <c r="I150" i="421" s="1"/>
  <c r="O150" i="421" a="1"/>
  <c r="O150" i="421" s="1"/>
  <c r="M150" i="421" a="1"/>
  <c r="M150" i="421" s="1"/>
  <c r="K150" i="421" a="1"/>
  <c r="K150" i="421" s="1"/>
  <c r="R150" i="421" l="1"/>
  <c r="H151" i="421" a="1"/>
  <c r="H151" i="421" s="1"/>
  <c r="I151" i="421" a="1"/>
  <c r="I151" i="421" s="1"/>
  <c r="O151" i="421" a="1"/>
  <c r="O151" i="421" s="1"/>
  <c r="N151" i="421" a="1"/>
  <c r="N151" i="421" s="1"/>
  <c r="G151" i="421" a="1"/>
  <c r="G151" i="421" s="1"/>
  <c r="A151" i="421" a="1"/>
  <c r="A151" i="421" s="1"/>
  <c r="M151" i="421" a="1"/>
  <c r="M151" i="421" s="1"/>
  <c r="Q151" i="421" a="1"/>
  <c r="Q151" i="421" s="1"/>
  <c r="C152" i="421"/>
  <c r="L151" i="421" a="1"/>
  <c r="L151" i="421" s="1"/>
  <c r="K151" i="421" a="1"/>
  <c r="K151" i="421" s="1"/>
  <c r="R151" i="421" l="1"/>
  <c r="Q152" i="421" a="1"/>
  <c r="Q152" i="421" s="1"/>
  <c r="I152" i="421" a="1"/>
  <c r="I152" i="421" s="1"/>
  <c r="A152" i="421" a="1"/>
  <c r="A152" i="421" s="1"/>
  <c r="G152" i="421" a="1"/>
  <c r="G152" i="421" s="1"/>
  <c r="C153" i="421"/>
  <c r="N152" i="421" a="1"/>
  <c r="N152" i="421" s="1"/>
  <c r="M152" i="421" a="1"/>
  <c r="M152" i="421" s="1"/>
  <c r="K152" i="421" a="1"/>
  <c r="K152" i="421" s="1"/>
  <c r="O152" i="421" a="1"/>
  <c r="O152" i="421" s="1"/>
  <c r="L152" i="421" a="1"/>
  <c r="L152" i="421" s="1"/>
  <c r="H152" i="421" a="1"/>
  <c r="H152" i="421" s="1"/>
  <c r="R152" i="421" l="1"/>
  <c r="Q153" i="421" a="1"/>
  <c r="Q153" i="421" s="1"/>
  <c r="G153" i="421" a="1"/>
  <c r="G153" i="421" s="1"/>
  <c r="L153" i="421" a="1"/>
  <c r="L153" i="421" s="1"/>
  <c r="A153" i="421" a="1"/>
  <c r="A153" i="421" s="1"/>
  <c r="O153" i="421" a="1"/>
  <c r="O153" i="421" s="1"/>
  <c r="H153" i="421" a="1"/>
  <c r="H153" i="421" s="1"/>
  <c r="N153" i="421" a="1"/>
  <c r="N153" i="421" s="1"/>
  <c r="M153" i="421" a="1"/>
  <c r="M153" i="421" s="1"/>
  <c r="C154" i="421"/>
  <c r="K153" i="421" a="1"/>
  <c r="K153" i="421" s="1"/>
  <c r="I153" i="421" a="1"/>
  <c r="I153" i="421" s="1"/>
  <c r="R153" i="421" l="1"/>
  <c r="N154" i="421" a="1"/>
  <c r="N154" i="421" s="1"/>
  <c r="Q154" i="421" a="1"/>
  <c r="Q154" i="421" s="1"/>
  <c r="H154" i="421" a="1"/>
  <c r="H154" i="421" s="1"/>
  <c r="C155" i="421"/>
  <c r="M154" i="421" a="1"/>
  <c r="M154" i="421" s="1"/>
  <c r="O154" i="421" a="1"/>
  <c r="O154" i="421" s="1"/>
  <c r="L154" i="421" a="1"/>
  <c r="L154" i="421" s="1"/>
  <c r="K154" i="421" a="1"/>
  <c r="K154" i="421" s="1"/>
  <c r="I154" i="421" a="1"/>
  <c r="I154" i="421" s="1"/>
  <c r="G154" i="421" a="1"/>
  <c r="G154" i="421" s="1"/>
  <c r="A154" i="421" a="1"/>
  <c r="A154" i="421" s="1"/>
  <c r="R154" i="421" l="1"/>
  <c r="C156" i="421"/>
  <c r="A155" i="421" a="1"/>
  <c r="A155" i="421" s="1"/>
  <c r="N155" i="421" a="1"/>
  <c r="N155" i="421" s="1"/>
  <c r="I155" i="421" a="1"/>
  <c r="I155" i="421" s="1"/>
  <c r="K155" i="421" a="1"/>
  <c r="K155" i="421" s="1"/>
  <c r="Q155" i="421" a="1"/>
  <c r="Q155" i="421" s="1"/>
  <c r="M155" i="421" a="1"/>
  <c r="M155" i="421" s="1"/>
  <c r="L155" i="421" a="1"/>
  <c r="L155" i="421" s="1"/>
  <c r="H155" i="421" a="1"/>
  <c r="H155" i="421" s="1"/>
  <c r="G155" i="421" a="1"/>
  <c r="G155" i="421" s="1"/>
  <c r="O155" i="421" a="1"/>
  <c r="O155" i="421" s="1"/>
  <c r="R155" i="421" l="1"/>
  <c r="G156" i="421" a="1"/>
  <c r="G156" i="421" s="1"/>
  <c r="Q156" i="421" a="1"/>
  <c r="Q156" i="421" s="1"/>
  <c r="K156" i="421" a="1"/>
  <c r="K156" i="421" s="1"/>
  <c r="H156" i="421" a="1"/>
  <c r="H156" i="421" s="1"/>
  <c r="M156" i="421" a="1"/>
  <c r="M156" i="421" s="1"/>
  <c r="A156" i="421" a="1"/>
  <c r="A156" i="421" s="1"/>
  <c r="L156" i="421" a="1"/>
  <c r="L156" i="421" s="1"/>
  <c r="I156" i="421" a="1"/>
  <c r="I156" i="421" s="1"/>
  <c r="O156" i="421" a="1"/>
  <c r="O156" i="421" s="1"/>
  <c r="N156" i="421" a="1"/>
  <c r="N156" i="421" s="1"/>
  <c r="C157" i="421"/>
  <c r="R156" i="421" l="1"/>
  <c r="G157" i="421" a="1"/>
  <c r="G157" i="421" s="1"/>
  <c r="A157" i="421" a="1"/>
  <c r="A157" i="421" s="1"/>
  <c r="K157" i="421" a="1"/>
  <c r="K157" i="421" s="1"/>
  <c r="L157" i="421" a="1"/>
  <c r="L157" i="421" s="1"/>
  <c r="M157" i="421" a="1"/>
  <c r="M157" i="421" s="1"/>
  <c r="C158" i="421"/>
  <c r="H157" i="421" a="1"/>
  <c r="H157" i="421" s="1"/>
  <c r="I157" i="421" a="1"/>
  <c r="I157" i="421" s="1"/>
  <c r="Q157" i="421" a="1"/>
  <c r="Q157" i="421" s="1"/>
  <c r="N157" i="421" a="1"/>
  <c r="N157" i="421" s="1"/>
  <c r="O157" i="421" a="1"/>
  <c r="O157" i="421" s="1"/>
  <c r="R157" i="421" l="1"/>
  <c r="H158" i="421" a="1"/>
  <c r="H158" i="421" s="1"/>
  <c r="N158" i="421" a="1"/>
  <c r="N158" i="421" s="1"/>
  <c r="O158" i="421" a="1"/>
  <c r="O158" i="421" s="1"/>
  <c r="A158" i="421" a="1"/>
  <c r="A158" i="421" s="1"/>
  <c r="M158" i="421" a="1"/>
  <c r="M158" i="421" s="1"/>
  <c r="Q158" i="421" a="1"/>
  <c r="Q158" i="421" s="1"/>
  <c r="K158" i="421" a="1"/>
  <c r="K158" i="421" s="1"/>
  <c r="C159" i="421"/>
  <c r="I158" i="421" a="1"/>
  <c r="I158" i="421" s="1"/>
  <c r="L158" i="421" a="1"/>
  <c r="L158" i="421" s="1"/>
  <c r="G158" i="421" a="1"/>
  <c r="G158" i="421" s="1"/>
  <c r="R158" i="421" l="1"/>
  <c r="C160" i="421"/>
  <c r="N159" i="421" a="1"/>
  <c r="N159" i="421" s="1"/>
  <c r="L159" i="421" a="1"/>
  <c r="L159" i="421" s="1"/>
  <c r="H159" i="421" a="1"/>
  <c r="H159" i="421" s="1"/>
  <c r="M159" i="421" a="1"/>
  <c r="M159" i="421" s="1"/>
  <c r="O159" i="421" a="1"/>
  <c r="O159" i="421" s="1"/>
  <c r="G159" i="421" a="1"/>
  <c r="G159" i="421" s="1"/>
  <c r="I159" i="421" a="1"/>
  <c r="I159" i="421" s="1"/>
  <c r="K159" i="421" a="1"/>
  <c r="K159" i="421" s="1"/>
  <c r="Q159" i="421" a="1"/>
  <c r="Q159" i="421" s="1"/>
  <c r="A159" i="421" a="1"/>
  <c r="A159" i="421" s="1"/>
  <c r="R159" i="421" l="1"/>
  <c r="K160" i="421" a="1"/>
  <c r="K160" i="421" s="1"/>
  <c r="H160" i="421" a="1"/>
  <c r="H160" i="421" s="1"/>
  <c r="O160" i="421" a="1"/>
  <c r="O160" i="421" s="1"/>
  <c r="A160" i="421" a="1"/>
  <c r="A160" i="421" s="1"/>
  <c r="M160" i="421" a="1"/>
  <c r="M160" i="421" s="1"/>
  <c r="Q160" i="421" a="1"/>
  <c r="Q160" i="421" s="1"/>
  <c r="L160" i="421" a="1"/>
  <c r="L160" i="421" s="1"/>
  <c r="G160" i="421" a="1"/>
  <c r="G160" i="421" s="1"/>
  <c r="C161" i="421"/>
  <c r="N160" i="421" a="1"/>
  <c r="N160" i="421" s="1"/>
  <c r="I160" i="421" a="1"/>
  <c r="I160" i="421" s="1"/>
  <c r="R160" i="421" l="1"/>
  <c r="G161" i="421" a="1"/>
  <c r="G161" i="421" s="1"/>
  <c r="C162" i="421"/>
  <c r="L161" i="421" a="1"/>
  <c r="L161" i="421" s="1"/>
  <c r="M161" i="421" a="1"/>
  <c r="M161" i="421" s="1"/>
  <c r="K161" i="421" a="1"/>
  <c r="K161" i="421" s="1"/>
  <c r="I161" i="421" a="1"/>
  <c r="I161" i="421" s="1"/>
  <c r="H161" i="421" a="1"/>
  <c r="H161" i="421" s="1"/>
  <c r="O161" i="421" a="1"/>
  <c r="O161" i="421" s="1"/>
  <c r="Q161" i="421" a="1"/>
  <c r="Q161" i="421" s="1"/>
  <c r="N161" i="421" a="1"/>
  <c r="N161" i="421" s="1"/>
  <c r="A161" i="421" a="1"/>
  <c r="A161" i="421" s="1"/>
  <c r="R161" i="421" l="1"/>
  <c r="H162" i="421" a="1"/>
  <c r="H162" i="421" s="1"/>
  <c r="G162" i="421" a="1"/>
  <c r="G162" i="421" s="1"/>
  <c r="M162" i="421" a="1"/>
  <c r="M162" i="421" s="1"/>
  <c r="A162" i="421" a="1"/>
  <c r="A162" i="421" s="1"/>
  <c r="I162" i="421" a="1"/>
  <c r="I162" i="421" s="1"/>
  <c r="N162" i="421" a="1"/>
  <c r="N162" i="421" s="1"/>
  <c r="O162" i="421" a="1"/>
  <c r="O162" i="421" s="1"/>
  <c r="K162" i="421" a="1"/>
  <c r="K162" i="421" s="1"/>
  <c r="Q162" i="421" a="1"/>
  <c r="Q162" i="421" s="1"/>
  <c r="L162" i="421" a="1"/>
  <c r="L162" i="421" s="1"/>
  <c r="C163" i="421"/>
  <c r="R162" i="421" l="1"/>
  <c r="A163" i="421" a="1"/>
  <c r="A163" i="421" s="1"/>
  <c r="K163" i="421" a="1"/>
  <c r="K163" i="421" s="1"/>
  <c r="I163" i="421" a="1"/>
  <c r="I163" i="421" s="1"/>
  <c r="N163" i="421" a="1"/>
  <c r="N163" i="421" s="1"/>
  <c r="C164" i="421"/>
  <c r="L163" i="421" a="1"/>
  <c r="L163" i="421" s="1"/>
  <c r="H163" i="421" a="1"/>
  <c r="H163" i="421" s="1"/>
  <c r="Q163" i="421" a="1"/>
  <c r="Q163" i="421" s="1"/>
  <c r="M163" i="421" a="1"/>
  <c r="M163" i="421" s="1"/>
  <c r="O163" i="421" a="1"/>
  <c r="O163" i="421" s="1"/>
  <c r="G163" i="421" a="1"/>
  <c r="G163" i="421" s="1"/>
  <c r="R163" i="421" l="1"/>
  <c r="N164" i="421" a="1"/>
  <c r="N164" i="421" s="1"/>
  <c r="G164" i="421" a="1"/>
  <c r="G164" i="421" s="1"/>
  <c r="H164" i="421" a="1"/>
  <c r="H164" i="421" s="1"/>
  <c r="A164" i="421" a="1"/>
  <c r="A164" i="421" s="1"/>
  <c r="I164" i="421" a="1"/>
  <c r="I164" i="421" s="1"/>
  <c r="K164" i="421" a="1"/>
  <c r="K164" i="421" s="1"/>
  <c r="M164" i="421" a="1"/>
  <c r="M164" i="421" s="1"/>
  <c r="Q164" i="421" a="1"/>
  <c r="Q164" i="421" s="1"/>
  <c r="L164" i="421" a="1"/>
  <c r="L164" i="421" s="1"/>
  <c r="O164" i="421" a="1"/>
  <c r="O164" i="421" s="1"/>
  <c r="C165" i="421"/>
  <c r="R164" i="421" l="1"/>
  <c r="Q165" i="421" a="1"/>
  <c r="Q165" i="421" s="1"/>
  <c r="A165" i="421" a="1"/>
  <c r="A165" i="421" s="1"/>
  <c r="C166" i="421"/>
  <c r="L165" i="421" a="1"/>
  <c r="L165" i="421" s="1"/>
  <c r="I165" i="421" a="1"/>
  <c r="I165" i="421" s="1"/>
  <c r="M165" i="421" a="1"/>
  <c r="M165" i="421" s="1"/>
  <c r="H165" i="421" a="1"/>
  <c r="H165" i="421" s="1"/>
  <c r="G165" i="421" a="1"/>
  <c r="G165" i="421" s="1"/>
  <c r="N165" i="421" a="1"/>
  <c r="N165" i="421" s="1"/>
  <c r="O165" i="421" a="1"/>
  <c r="O165" i="421" s="1"/>
  <c r="K165" i="421" a="1"/>
  <c r="K165" i="421" s="1"/>
  <c r="R165" i="421" l="1"/>
  <c r="N166" i="421" a="1"/>
  <c r="N166" i="421" s="1"/>
  <c r="Q166" i="421" a="1"/>
  <c r="Q166" i="421" s="1"/>
  <c r="L166" i="421" a="1"/>
  <c r="L166" i="421" s="1"/>
  <c r="A166" i="421" a="1"/>
  <c r="A166" i="421" s="1"/>
  <c r="K166" i="421" a="1"/>
  <c r="K166" i="421" s="1"/>
  <c r="M166" i="421" a="1"/>
  <c r="M166" i="421" s="1"/>
  <c r="O166" i="421" a="1"/>
  <c r="O166" i="421" s="1"/>
  <c r="C167" i="421"/>
  <c r="H166" i="421" a="1"/>
  <c r="H166" i="421" s="1"/>
  <c r="I166" i="421" a="1"/>
  <c r="I166" i="421" s="1"/>
  <c r="G166" i="421" a="1"/>
  <c r="G166" i="421" s="1"/>
  <c r="R166" i="421" l="1"/>
  <c r="L167" i="421" a="1"/>
  <c r="L167" i="421" s="1"/>
  <c r="M167" i="421" a="1"/>
  <c r="M167" i="421" s="1"/>
  <c r="C168" i="421"/>
  <c r="A167" i="421" a="1"/>
  <c r="A167" i="421" s="1"/>
  <c r="O167" i="421" a="1"/>
  <c r="O167" i="421" s="1"/>
  <c r="H167" i="421" a="1"/>
  <c r="H167" i="421" s="1"/>
  <c r="Q167" i="421" a="1"/>
  <c r="Q167" i="421" s="1"/>
  <c r="N167" i="421" a="1"/>
  <c r="N167" i="421" s="1"/>
  <c r="I167" i="421" a="1"/>
  <c r="I167" i="421" s="1"/>
  <c r="K167" i="421" a="1"/>
  <c r="K167" i="421" s="1"/>
  <c r="G167" i="421" a="1"/>
  <c r="G167" i="421" s="1"/>
  <c r="R167" i="421" l="1"/>
  <c r="M168" i="421" a="1"/>
  <c r="M168" i="421" s="1"/>
  <c r="Q168" i="421" a="1"/>
  <c r="Q168" i="421" s="1"/>
  <c r="I168" i="421" a="1"/>
  <c r="I168" i="421" s="1"/>
  <c r="A168" i="421" a="1"/>
  <c r="A168" i="421" s="1"/>
  <c r="O168" i="421" a="1"/>
  <c r="O168" i="421" s="1"/>
  <c r="N168" i="421" a="1"/>
  <c r="N168" i="421" s="1"/>
  <c r="G168" i="421" a="1"/>
  <c r="G168" i="421" s="1"/>
  <c r="L168" i="421" a="1"/>
  <c r="L168" i="421" s="1"/>
  <c r="H168" i="421" a="1"/>
  <c r="H168" i="421" s="1"/>
  <c r="C169" i="421"/>
  <c r="K168" i="421" a="1"/>
  <c r="K168" i="421" s="1"/>
  <c r="R168" i="421" l="1"/>
  <c r="L169" i="421" a="1"/>
  <c r="L169" i="421" s="1"/>
  <c r="N169" i="421" a="1"/>
  <c r="N169" i="421" s="1"/>
  <c r="Q169" i="421" a="1"/>
  <c r="Q169" i="421" s="1"/>
  <c r="H169" i="421" a="1"/>
  <c r="H169" i="421" s="1"/>
  <c r="K169" i="421" a="1"/>
  <c r="K169" i="421" s="1"/>
  <c r="G169" i="421" a="1"/>
  <c r="G169" i="421" s="1"/>
  <c r="O169" i="421" a="1"/>
  <c r="O169" i="421" s="1"/>
  <c r="M169" i="421" a="1"/>
  <c r="M169" i="421" s="1"/>
  <c r="I169" i="421" a="1"/>
  <c r="I169" i="421" s="1"/>
  <c r="C170" i="421"/>
  <c r="A169" i="421" a="1"/>
  <c r="A169" i="421" s="1"/>
  <c r="R169" i="421" l="1"/>
  <c r="Q170" i="421" a="1"/>
  <c r="Q170" i="421" s="1"/>
  <c r="L170" i="421" a="1"/>
  <c r="L170" i="421" s="1"/>
  <c r="K170" i="421" a="1"/>
  <c r="K170" i="421" s="1"/>
  <c r="G170" i="421" a="1"/>
  <c r="G170" i="421" s="1"/>
  <c r="I170" i="421" a="1"/>
  <c r="I170" i="421" s="1"/>
  <c r="C171" i="421"/>
  <c r="H170" i="421" a="1"/>
  <c r="H170" i="421" s="1"/>
  <c r="N170" i="421" a="1"/>
  <c r="N170" i="421" s="1"/>
  <c r="A170" i="421" a="1"/>
  <c r="A170" i="421" s="1"/>
  <c r="O170" i="421" a="1"/>
  <c r="O170" i="421" s="1"/>
  <c r="M170" i="421" a="1"/>
  <c r="M170" i="421" s="1"/>
  <c r="R170" i="421" l="1"/>
  <c r="L171" i="421" a="1"/>
  <c r="L171" i="421" s="1"/>
  <c r="Q171" i="421" a="1"/>
  <c r="Q171" i="421" s="1"/>
  <c r="G171" i="421" a="1"/>
  <c r="G171" i="421" s="1"/>
  <c r="I171" i="421" a="1"/>
  <c r="I171" i="421" s="1"/>
  <c r="K171" i="421" a="1"/>
  <c r="K171" i="421" s="1"/>
  <c r="N171" i="421" a="1"/>
  <c r="N171" i="421" s="1"/>
  <c r="C172" i="421"/>
  <c r="H171" i="421" a="1"/>
  <c r="H171" i="421" s="1"/>
  <c r="O171" i="421" a="1"/>
  <c r="O171" i="421" s="1"/>
  <c r="M171" i="421" a="1"/>
  <c r="M171" i="421" s="1"/>
  <c r="A171" i="421" a="1"/>
  <c r="A171" i="421" s="1"/>
  <c r="R171" i="421" l="1"/>
  <c r="I172" i="421" a="1"/>
  <c r="I172" i="421" s="1"/>
  <c r="Q172" i="421" a="1"/>
  <c r="Q172" i="421" s="1"/>
  <c r="N172" i="421" a="1"/>
  <c r="N172" i="421" s="1"/>
  <c r="A172" i="421" a="1"/>
  <c r="A172" i="421" s="1"/>
  <c r="L172" i="421" a="1"/>
  <c r="L172" i="421" s="1"/>
  <c r="M172" i="421" a="1"/>
  <c r="M172" i="421" s="1"/>
  <c r="H172" i="421" a="1"/>
  <c r="H172" i="421" s="1"/>
  <c r="K172" i="421" a="1"/>
  <c r="K172" i="421" s="1"/>
  <c r="G172" i="421" a="1"/>
  <c r="G172" i="421" s="1"/>
  <c r="O172" i="421" a="1"/>
  <c r="O172" i="421" s="1"/>
  <c r="C173" i="421"/>
  <c r="R172" i="421" l="1"/>
  <c r="N173" i="421" a="1"/>
  <c r="N173" i="421" s="1"/>
  <c r="Q173" i="421" a="1"/>
  <c r="Q173" i="421" s="1"/>
  <c r="H173" i="421" a="1"/>
  <c r="H173" i="421" s="1"/>
  <c r="C174" i="421"/>
  <c r="K173" i="421" a="1"/>
  <c r="K173" i="421" s="1"/>
  <c r="A173" i="421" a="1"/>
  <c r="A173" i="421" s="1"/>
  <c r="I173" i="421" a="1"/>
  <c r="I173" i="421" s="1"/>
  <c r="G173" i="421" a="1"/>
  <c r="G173" i="421" s="1"/>
  <c r="O173" i="421" a="1"/>
  <c r="O173" i="421" s="1"/>
  <c r="M173" i="421" a="1"/>
  <c r="M173" i="421" s="1"/>
  <c r="L173" i="421" a="1"/>
  <c r="L173" i="421" s="1"/>
  <c r="R173" i="421" l="1"/>
  <c r="L174" i="421" a="1"/>
  <c r="L174" i="421" s="1"/>
  <c r="K174" i="421" a="1"/>
  <c r="K174" i="421" s="1"/>
  <c r="O174" i="421" a="1"/>
  <c r="O174" i="421" s="1"/>
  <c r="I174" i="421" a="1"/>
  <c r="I174" i="421" s="1"/>
  <c r="M174" i="421" a="1"/>
  <c r="M174" i="421" s="1"/>
  <c r="N174" i="421" a="1"/>
  <c r="N174" i="421" s="1"/>
  <c r="H174" i="421" a="1"/>
  <c r="H174" i="421" s="1"/>
  <c r="A174" i="421" a="1"/>
  <c r="A174" i="421" s="1"/>
  <c r="C175" i="421"/>
  <c r="G174" i="421" a="1"/>
  <c r="G174" i="421" s="1"/>
  <c r="Q174" i="421" a="1"/>
  <c r="Q174" i="421" s="1"/>
  <c r="R174" i="421" l="1"/>
  <c r="C176" i="421"/>
  <c r="M175" i="421" a="1"/>
  <c r="M175" i="421" s="1"/>
  <c r="L175" i="421" a="1"/>
  <c r="L175" i="421" s="1"/>
  <c r="O175" i="421" a="1"/>
  <c r="O175" i="421" s="1"/>
  <c r="N175" i="421" a="1"/>
  <c r="N175" i="421" s="1"/>
  <c r="A175" i="421" a="1"/>
  <c r="A175" i="421" s="1"/>
  <c r="K175" i="421" a="1"/>
  <c r="K175" i="421" s="1"/>
  <c r="G175" i="421" a="1"/>
  <c r="G175" i="421" s="1"/>
  <c r="I175" i="421" a="1"/>
  <c r="I175" i="421" s="1"/>
  <c r="Q175" i="421" a="1"/>
  <c r="Q175" i="421" s="1"/>
  <c r="H175" i="421" a="1"/>
  <c r="H175" i="421" s="1"/>
  <c r="R175" i="421" l="1"/>
  <c r="M176" i="421" a="1"/>
  <c r="M176" i="421" s="1"/>
  <c r="C177" i="421"/>
  <c r="O176" i="421" a="1"/>
  <c r="O176" i="421" s="1"/>
  <c r="Q176" i="421" a="1"/>
  <c r="Q176" i="421" s="1"/>
  <c r="N176" i="421" a="1"/>
  <c r="N176" i="421" s="1"/>
  <c r="G176" i="421" a="1"/>
  <c r="G176" i="421" s="1"/>
  <c r="H176" i="421" a="1"/>
  <c r="H176" i="421" s="1"/>
  <c r="L176" i="421" a="1"/>
  <c r="L176" i="421" s="1"/>
  <c r="I176" i="421" a="1"/>
  <c r="I176" i="421" s="1"/>
  <c r="K176" i="421" a="1"/>
  <c r="K176" i="421" s="1"/>
  <c r="A176" i="421" a="1"/>
  <c r="A176" i="421" s="1"/>
  <c r="R176" i="421" l="1"/>
  <c r="I177" i="421" a="1"/>
  <c r="I177" i="421" s="1"/>
  <c r="C178" i="421"/>
  <c r="Q177" i="421" a="1"/>
  <c r="Q177" i="421" s="1"/>
  <c r="L177" i="421" a="1"/>
  <c r="L177" i="421" s="1"/>
  <c r="O177" i="421" a="1"/>
  <c r="O177" i="421" s="1"/>
  <c r="H177" i="421" a="1"/>
  <c r="H177" i="421" s="1"/>
  <c r="A177" i="421" a="1"/>
  <c r="A177" i="421" s="1"/>
  <c r="G177" i="421" a="1"/>
  <c r="G177" i="421" s="1"/>
  <c r="N177" i="421" a="1"/>
  <c r="N177" i="421" s="1"/>
  <c r="M177" i="421" a="1"/>
  <c r="M177" i="421" s="1"/>
  <c r="K177" i="421" a="1"/>
  <c r="K177" i="421" s="1"/>
  <c r="R177" i="421" l="1"/>
  <c r="K178" i="421" a="1"/>
  <c r="K178" i="421" s="1"/>
  <c r="G178" i="421" a="1"/>
  <c r="G178" i="421" s="1"/>
  <c r="N178" i="421" a="1"/>
  <c r="N178" i="421" s="1"/>
  <c r="H178" i="421" a="1"/>
  <c r="H178" i="421" s="1"/>
  <c r="I178" i="421" a="1"/>
  <c r="I178" i="421" s="1"/>
  <c r="M178" i="421" a="1"/>
  <c r="M178" i="421" s="1"/>
  <c r="A178" i="421" a="1"/>
  <c r="A178" i="421" s="1"/>
  <c r="Q178" i="421" a="1"/>
  <c r="Q178" i="421" s="1"/>
  <c r="C179" i="421"/>
  <c r="O178" i="421" a="1"/>
  <c r="O178" i="421" s="1"/>
  <c r="L178" i="421" a="1"/>
  <c r="L178" i="421" s="1"/>
  <c r="R178" i="421" l="1"/>
  <c r="I179" i="421" a="1"/>
  <c r="I179" i="421" s="1"/>
  <c r="H179" i="421" a="1"/>
  <c r="H179" i="421" s="1"/>
  <c r="Q179" i="421" a="1"/>
  <c r="Q179" i="421" s="1"/>
  <c r="G179" i="421" a="1"/>
  <c r="G179" i="421" s="1"/>
  <c r="C180" i="421"/>
  <c r="N179" i="421" a="1"/>
  <c r="N179" i="421" s="1"/>
  <c r="K179" i="421" a="1"/>
  <c r="K179" i="421" s="1"/>
  <c r="M179" i="421" a="1"/>
  <c r="M179" i="421" s="1"/>
  <c r="A179" i="421" a="1"/>
  <c r="A179" i="421" s="1"/>
  <c r="L179" i="421" a="1"/>
  <c r="L179" i="421" s="1"/>
  <c r="O179" i="421" a="1"/>
  <c r="O179" i="421" s="1"/>
  <c r="R179" i="421" l="1"/>
  <c r="M180" i="421" a="1"/>
  <c r="M180" i="421" s="1"/>
  <c r="C181" i="421"/>
  <c r="L180" i="421" a="1"/>
  <c r="L180" i="421" s="1"/>
  <c r="A180" i="421" a="1"/>
  <c r="A180" i="421" s="1"/>
  <c r="H180" i="421" a="1"/>
  <c r="H180" i="421" s="1"/>
  <c r="N180" i="421" a="1"/>
  <c r="N180" i="421" s="1"/>
  <c r="O180" i="421" a="1"/>
  <c r="O180" i="421" s="1"/>
  <c r="K180" i="421" a="1"/>
  <c r="K180" i="421" s="1"/>
  <c r="G180" i="421" a="1"/>
  <c r="G180" i="421" s="1"/>
  <c r="Q180" i="421" a="1"/>
  <c r="Q180" i="421" s="1"/>
  <c r="I180" i="421" a="1"/>
  <c r="I180" i="421" s="1"/>
  <c r="R180" i="421" l="1"/>
  <c r="C182" i="421"/>
  <c r="M181" i="421" a="1"/>
  <c r="M181" i="421" s="1"/>
  <c r="O181" i="421" a="1"/>
  <c r="O181" i="421" s="1"/>
  <c r="H181" i="421" a="1"/>
  <c r="H181" i="421" s="1"/>
  <c r="K181" i="421" a="1"/>
  <c r="K181" i="421" s="1"/>
  <c r="A181" i="421" a="1"/>
  <c r="A181" i="421" s="1"/>
  <c r="I181" i="421" a="1"/>
  <c r="I181" i="421" s="1"/>
  <c r="N181" i="421" a="1"/>
  <c r="N181" i="421" s="1"/>
  <c r="Q181" i="421" a="1"/>
  <c r="Q181" i="421" s="1"/>
  <c r="G181" i="421" a="1"/>
  <c r="G181" i="421" s="1"/>
  <c r="L181" i="421" a="1"/>
  <c r="L181" i="421" s="1"/>
  <c r="R181" i="421" l="1"/>
  <c r="G182" i="421" a="1"/>
  <c r="G182" i="421" s="1"/>
  <c r="O182" i="421" a="1"/>
  <c r="O182" i="421" s="1"/>
  <c r="I182" i="421" a="1"/>
  <c r="I182" i="421" s="1"/>
  <c r="Q182" i="421" a="1"/>
  <c r="Q182" i="421" s="1"/>
  <c r="M182" i="421" a="1"/>
  <c r="M182" i="421" s="1"/>
  <c r="C183" i="421"/>
  <c r="H182" i="421" a="1"/>
  <c r="H182" i="421" s="1"/>
  <c r="A182" i="421" a="1"/>
  <c r="A182" i="421" s="1"/>
  <c r="N182" i="421" a="1"/>
  <c r="N182" i="421" s="1"/>
  <c r="L182" i="421" a="1"/>
  <c r="L182" i="421" s="1"/>
  <c r="K182" i="421" a="1"/>
  <c r="K182" i="421" s="1"/>
  <c r="R182" i="421" l="1"/>
  <c r="A183" i="421" a="1"/>
  <c r="A183" i="421" s="1"/>
  <c r="G183" i="421" a="1"/>
  <c r="G183" i="421" s="1"/>
  <c r="I183" i="421" a="1"/>
  <c r="I183" i="421" s="1"/>
  <c r="O183" i="421" a="1"/>
  <c r="O183" i="421" s="1"/>
  <c r="K183" i="421" a="1"/>
  <c r="K183" i="421" s="1"/>
  <c r="H183" i="421" a="1"/>
  <c r="H183" i="421" s="1"/>
  <c r="M183" i="421" a="1"/>
  <c r="M183" i="421" s="1"/>
  <c r="Q183" i="421" a="1"/>
  <c r="Q183" i="421" s="1"/>
  <c r="C184" i="421"/>
  <c r="L183" i="421" a="1"/>
  <c r="L183" i="421" s="1"/>
  <c r="N183" i="421" a="1"/>
  <c r="N183" i="421" s="1"/>
  <c r="R183" i="421" l="1"/>
  <c r="L184" i="421" a="1"/>
  <c r="L184" i="421" s="1"/>
  <c r="A184" i="421" a="1"/>
  <c r="A184" i="421" s="1"/>
  <c r="G184" i="421" a="1"/>
  <c r="G184" i="421" s="1"/>
  <c r="N184" i="421" a="1"/>
  <c r="N184" i="421" s="1"/>
  <c r="H184" i="421" a="1"/>
  <c r="H184" i="421" s="1"/>
  <c r="K184" i="421" a="1"/>
  <c r="K184" i="421" s="1"/>
  <c r="I184" i="421" a="1"/>
  <c r="I184" i="421" s="1"/>
  <c r="M184" i="421" a="1"/>
  <c r="M184" i="421" s="1"/>
  <c r="C185" i="421"/>
  <c r="Q184" i="421" a="1"/>
  <c r="Q184" i="421" s="1"/>
  <c r="O184" i="421" a="1"/>
  <c r="O184" i="421" s="1"/>
  <c r="R184" i="421" l="1"/>
  <c r="A185" i="421" a="1"/>
  <c r="A185" i="421" s="1"/>
  <c r="K185" i="421" a="1"/>
  <c r="K185" i="421" s="1"/>
  <c r="I185" i="421" a="1"/>
  <c r="I185" i="421" s="1"/>
  <c r="N185" i="421" a="1"/>
  <c r="N185" i="421" s="1"/>
  <c r="H185" i="421" a="1"/>
  <c r="H185" i="421" s="1"/>
  <c r="C186" i="421"/>
  <c r="M185" i="421" a="1"/>
  <c r="M185" i="421" s="1"/>
  <c r="O185" i="421" a="1"/>
  <c r="O185" i="421" s="1"/>
  <c r="L185" i="421" a="1"/>
  <c r="L185" i="421" s="1"/>
  <c r="Q185" i="421" a="1"/>
  <c r="Q185" i="421" s="1"/>
  <c r="G185" i="421" a="1"/>
  <c r="G185" i="421" s="1"/>
  <c r="R185" i="421" l="1"/>
  <c r="K186" i="421" a="1"/>
  <c r="K186" i="421" s="1"/>
  <c r="L186" i="421" a="1"/>
  <c r="L186" i="421" s="1"/>
  <c r="G186" i="421" a="1"/>
  <c r="G186" i="421" s="1"/>
  <c r="O186" i="421" a="1"/>
  <c r="O186" i="421" s="1"/>
  <c r="N186" i="421" a="1"/>
  <c r="N186" i="421" s="1"/>
  <c r="M186" i="421" a="1"/>
  <c r="M186" i="421" s="1"/>
  <c r="I186" i="421" a="1"/>
  <c r="I186" i="421" s="1"/>
  <c r="Q186" i="421" a="1"/>
  <c r="Q186" i="421" s="1"/>
  <c r="H186" i="421" a="1"/>
  <c r="H186" i="421" s="1"/>
  <c r="A186" i="421" a="1"/>
  <c r="A186" i="421" s="1"/>
  <c r="C187" i="421"/>
  <c r="R186" i="421" l="1"/>
  <c r="L187" i="421" a="1"/>
  <c r="L187" i="421" s="1"/>
  <c r="N187" i="421" a="1"/>
  <c r="N187" i="421" s="1"/>
  <c r="A187" i="421" a="1"/>
  <c r="A187" i="421" s="1"/>
  <c r="C188" i="421"/>
  <c r="K187" i="421" a="1"/>
  <c r="K187" i="421" s="1"/>
  <c r="H187" i="421" a="1"/>
  <c r="H187" i="421" s="1"/>
  <c r="G187" i="421" a="1"/>
  <c r="G187" i="421" s="1"/>
  <c r="Q187" i="421" a="1"/>
  <c r="Q187" i="421" s="1"/>
  <c r="M187" i="421" a="1"/>
  <c r="M187" i="421" s="1"/>
  <c r="O187" i="421" a="1"/>
  <c r="O187" i="421" s="1"/>
  <c r="I187" i="421" a="1"/>
  <c r="I187" i="421" s="1"/>
  <c r="R187" i="421" l="1"/>
  <c r="O188" i="421" a="1"/>
  <c r="O188" i="421" s="1"/>
  <c r="Q188" i="421" a="1"/>
  <c r="Q188" i="421" s="1"/>
  <c r="H188" i="421" a="1"/>
  <c r="H188" i="421" s="1"/>
  <c r="K188" i="421" a="1"/>
  <c r="K188" i="421" s="1"/>
  <c r="G188" i="421" a="1"/>
  <c r="G188" i="421" s="1"/>
  <c r="M188" i="421" a="1"/>
  <c r="M188" i="421" s="1"/>
  <c r="N188" i="421" a="1"/>
  <c r="N188" i="421" s="1"/>
  <c r="I188" i="421" a="1"/>
  <c r="I188" i="421" s="1"/>
  <c r="C189" i="421"/>
  <c r="A188" i="421" a="1"/>
  <c r="A188" i="421" s="1"/>
  <c r="L188" i="421" a="1"/>
  <c r="L188" i="421" s="1"/>
  <c r="R188" i="421" l="1"/>
  <c r="M189" i="421" a="1"/>
  <c r="M189" i="421" s="1"/>
  <c r="K189" i="421" a="1"/>
  <c r="K189" i="421" s="1"/>
  <c r="I189" i="421" a="1"/>
  <c r="I189" i="421" s="1"/>
  <c r="O189" i="421" a="1"/>
  <c r="O189" i="421" s="1"/>
  <c r="N189" i="421" a="1"/>
  <c r="N189" i="421" s="1"/>
  <c r="L189" i="421" a="1"/>
  <c r="L189" i="421" s="1"/>
  <c r="C190" i="421"/>
  <c r="G189" i="421" a="1"/>
  <c r="G189" i="421" s="1"/>
  <c r="A189" i="421" a="1"/>
  <c r="A189" i="421" s="1"/>
  <c r="H189" i="421" a="1"/>
  <c r="H189" i="421" s="1"/>
  <c r="Q189" i="421" a="1"/>
  <c r="Q189" i="421" s="1"/>
  <c r="R189" i="421" l="1"/>
  <c r="N190" i="421" a="1"/>
  <c r="N190" i="421" s="1"/>
  <c r="Q190" i="421" a="1"/>
  <c r="Q190" i="421" s="1"/>
  <c r="G190" i="421" a="1"/>
  <c r="G190" i="421" s="1"/>
  <c r="O190" i="421" a="1"/>
  <c r="O190" i="421" s="1"/>
  <c r="M190" i="421" a="1"/>
  <c r="M190" i="421" s="1"/>
  <c r="A190" i="421" a="1"/>
  <c r="A190" i="421" s="1"/>
  <c r="L190" i="421" a="1"/>
  <c r="L190" i="421" s="1"/>
  <c r="I190" i="421" a="1"/>
  <c r="I190" i="421" s="1"/>
  <c r="H190" i="421" a="1"/>
  <c r="H190" i="421" s="1"/>
  <c r="K190" i="421" a="1"/>
  <c r="K190" i="421" s="1"/>
  <c r="C191" i="421"/>
  <c r="R190" i="421" l="1"/>
  <c r="G191" i="421" a="1"/>
  <c r="G191" i="421" s="1"/>
  <c r="H191" i="421" a="1"/>
  <c r="H191" i="421" s="1"/>
  <c r="K191" i="421" a="1"/>
  <c r="K191" i="421" s="1"/>
  <c r="L191" i="421" a="1"/>
  <c r="L191" i="421" s="1"/>
  <c r="M191" i="421" a="1"/>
  <c r="M191" i="421" s="1"/>
  <c r="C192" i="421"/>
  <c r="A191" i="421" a="1"/>
  <c r="A191" i="421" s="1"/>
  <c r="O191" i="421" a="1"/>
  <c r="O191" i="421" s="1"/>
  <c r="N191" i="421" a="1"/>
  <c r="N191" i="421" s="1"/>
  <c r="I191" i="421" a="1"/>
  <c r="I191" i="421" s="1"/>
  <c r="Q191" i="421" a="1"/>
  <c r="Q191" i="421" s="1"/>
  <c r="R191" i="421" l="1"/>
  <c r="M192" i="421" a="1"/>
  <c r="M192" i="421" s="1"/>
  <c r="K192" i="421" a="1"/>
  <c r="K192" i="421" s="1"/>
  <c r="Q192" i="421" a="1"/>
  <c r="Q192" i="421" s="1"/>
  <c r="I192" i="421" a="1"/>
  <c r="I192" i="421" s="1"/>
  <c r="L192" i="421" a="1"/>
  <c r="L192" i="421" s="1"/>
  <c r="C193" i="421"/>
  <c r="G192" i="421" a="1"/>
  <c r="G192" i="421" s="1"/>
  <c r="O192" i="421" a="1"/>
  <c r="O192" i="421" s="1"/>
  <c r="N192" i="421" a="1"/>
  <c r="N192" i="421" s="1"/>
  <c r="A192" i="421" a="1"/>
  <c r="A192" i="421" s="1"/>
  <c r="H192" i="421" a="1"/>
  <c r="H192" i="421" s="1"/>
  <c r="R192" i="421" l="1"/>
  <c r="K193" i="421" a="1"/>
  <c r="K193" i="421" s="1"/>
  <c r="O193" i="421" a="1"/>
  <c r="O193" i="421" s="1"/>
  <c r="L193" i="421" a="1"/>
  <c r="L193" i="421" s="1"/>
  <c r="M193" i="421" a="1"/>
  <c r="M193" i="421" s="1"/>
  <c r="I193" i="421" a="1"/>
  <c r="I193" i="421" s="1"/>
  <c r="N193" i="421" a="1"/>
  <c r="N193" i="421" s="1"/>
  <c r="Q193" i="421" a="1"/>
  <c r="Q193" i="421" s="1"/>
  <c r="A193" i="421" a="1"/>
  <c r="A193" i="421" s="1"/>
  <c r="G193" i="421" a="1"/>
  <c r="G193" i="421" s="1"/>
  <c r="H193" i="421" a="1"/>
  <c r="H193" i="421" s="1"/>
  <c r="C194" i="421"/>
  <c r="R193" i="421" l="1"/>
  <c r="Q194" i="421" a="1"/>
  <c r="Q194" i="421" s="1"/>
  <c r="H194" i="421" a="1"/>
  <c r="H194" i="421" s="1"/>
  <c r="L194" i="421" a="1"/>
  <c r="L194" i="421" s="1"/>
  <c r="N194" i="421" a="1"/>
  <c r="N194" i="421" s="1"/>
  <c r="G194" i="421" a="1"/>
  <c r="G194" i="421" s="1"/>
  <c r="A194" i="421" a="1"/>
  <c r="A194" i="421" s="1"/>
  <c r="O194" i="421" a="1"/>
  <c r="O194" i="421" s="1"/>
  <c r="K194" i="421" a="1"/>
  <c r="K194" i="421" s="1"/>
  <c r="I194" i="421" a="1"/>
  <c r="I194" i="421" s="1"/>
  <c r="M194" i="421" a="1"/>
  <c r="M194" i="421" s="1"/>
  <c r="C195" i="421"/>
  <c r="R194" i="421" l="1"/>
  <c r="Q195" i="421" a="1"/>
  <c r="Q195" i="421" s="1"/>
  <c r="K195" i="421" a="1"/>
  <c r="K195" i="421" s="1"/>
  <c r="M195" i="421" a="1"/>
  <c r="M195" i="421" s="1"/>
  <c r="A195" i="421" a="1"/>
  <c r="A195" i="421" s="1"/>
  <c r="G195" i="421" a="1"/>
  <c r="G195" i="421" s="1"/>
  <c r="C196" i="421"/>
  <c r="N195" i="421" a="1"/>
  <c r="N195" i="421" s="1"/>
  <c r="L195" i="421" a="1"/>
  <c r="L195" i="421" s="1"/>
  <c r="I195" i="421" a="1"/>
  <c r="I195" i="421" s="1"/>
  <c r="H195" i="421" a="1"/>
  <c r="H195" i="421" s="1"/>
  <c r="O195" i="421" a="1"/>
  <c r="O195" i="421" s="1"/>
  <c r="R195" i="421" l="1"/>
  <c r="G196" i="421" a="1"/>
  <c r="G196" i="421" s="1"/>
  <c r="K196" i="421" a="1"/>
  <c r="K196" i="421" s="1"/>
  <c r="H196" i="421" a="1"/>
  <c r="H196" i="421" s="1"/>
  <c r="C197" i="421"/>
  <c r="O196" i="421" a="1"/>
  <c r="O196" i="421" s="1"/>
  <c r="L196" i="421" a="1"/>
  <c r="L196" i="421" s="1"/>
  <c r="A196" i="421" a="1"/>
  <c r="A196" i="421" s="1"/>
  <c r="Q196" i="421" a="1"/>
  <c r="Q196" i="421" s="1"/>
  <c r="I196" i="421" a="1"/>
  <c r="I196" i="421" s="1"/>
  <c r="N196" i="421" a="1"/>
  <c r="N196" i="421" s="1"/>
  <c r="M196" i="421" a="1"/>
  <c r="M196" i="421" s="1"/>
  <c r="R196" i="421" l="1"/>
  <c r="K197" i="421" a="1"/>
  <c r="K197" i="421" s="1"/>
  <c r="H197" i="421" a="1"/>
  <c r="H197" i="421" s="1"/>
  <c r="G197" i="421" a="1"/>
  <c r="G197" i="421" s="1"/>
  <c r="Q197" i="421" a="1"/>
  <c r="Q197" i="421" s="1"/>
  <c r="I197" i="421" a="1"/>
  <c r="I197" i="421" s="1"/>
  <c r="C198" i="421"/>
  <c r="L197" i="421" a="1"/>
  <c r="L197" i="421" s="1"/>
  <c r="N197" i="421" a="1"/>
  <c r="N197" i="421" s="1"/>
  <c r="A197" i="421" a="1"/>
  <c r="A197" i="421" s="1"/>
  <c r="M197" i="421" a="1"/>
  <c r="M197" i="421" s="1"/>
  <c r="O197" i="421" a="1"/>
  <c r="O197" i="421" s="1"/>
  <c r="R197" i="421" l="1"/>
  <c r="O198" i="421" a="1"/>
  <c r="O198" i="421" s="1"/>
  <c r="K198" i="421" a="1"/>
  <c r="K198" i="421" s="1"/>
  <c r="G198" i="421" a="1"/>
  <c r="G198" i="421" s="1"/>
  <c r="M198" i="421" a="1"/>
  <c r="M198" i="421" s="1"/>
  <c r="C199" i="421"/>
  <c r="N198" i="421" a="1"/>
  <c r="N198" i="421" s="1"/>
  <c r="A198" i="421" a="1"/>
  <c r="A198" i="421" s="1"/>
  <c r="L198" i="421" a="1"/>
  <c r="L198" i="421" s="1"/>
  <c r="H198" i="421" a="1"/>
  <c r="H198" i="421" s="1"/>
  <c r="I198" i="421" a="1"/>
  <c r="I198" i="421" s="1"/>
  <c r="Q198" i="421" a="1"/>
  <c r="Q198" i="421" s="1"/>
  <c r="R198" i="421" l="1"/>
  <c r="N199" i="421" a="1"/>
  <c r="N199" i="421" s="1"/>
  <c r="A199" i="421" a="1"/>
  <c r="A199" i="421" s="1"/>
  <c r="C200" i="421"/>
  <c r="G199" i="421" a="1"/>
  <c r="G199" i="421" s="1"/>
  <c r="Q199" i="421" a="1"/>
  <c r="Q199" i="421" s="1"/>
  <c r="K199" i="421" a="1"/>
  <c r="K199" i="421" s="1"/>
  <c r="M199" i="421" a="1"/>
  <c r="M199" i="421" s="1"/>
  <c r="H199" i="421" a="1"/>
  <c r="H199" i="421" s="1"/>
  <c r="O199" i="421" a="1"/>
  <c r="O199" i="421" s="1"/>
  <c r="I199" i="421" a="1"/>
  <c r="I199" i="421" s="1"/>
  <c r="L199" i="421" a="1"/>
  <c r="L199" i="421" s="1"/>
  <c r="R199" i="421" l="1"/>
  <c r="A200" i="421" a="1"/>
  <c r="A200" i="421" s="1"/>
  <c r="G200" i="421" a="1"/>
  <c r="G200" i="421" s="1"/>
  <c r="C201" i="421"/>
  <c r="M200" i="421" a="1"/>
  <c r="M200" i="421" s="1"/>
  <c r="L200" i="421" a="1"/>
  <c r="L200" i="421" s="1"/>
  <c r="N200" i="421" a="1"/>
  <c r="N200" i="421" s="1"/>
  <c r="K200" i="421" a="1"/>
  <c r="K200" i="421" s="1"/>
  <c r="I200" i="421" a="1"/>
  <c r="I200" i="421" s="1"/>
  <c r="O200" i="421" a="1"/>
  <c r="O200" i="421" s="1"/>
  <c r="Q200" i="421" a="1"/>
  <c r="Q200" i="421" s="1"/>
  <c r="H200" i="421" a="1"/>
  <c r="H200" i="421" s="1"/>
  <c r="R200" i="421" l="1"/>
  <c r="H201" i="421" a="1"/>
  <c r="H201" i="421" s="1"/>
  <c r="A201" i="421" a="1"/>
  <c r="A201" i="421" s="1"/>
  <c r="G201" i="421" a="1"/>
  <c r="G201" i="421" s="1"/>
  <c r="Q201" i="421" a="1"/>
  <c r="Q201" i="421" s="1"/>
  <c r="L201" i="421" a="1"/>
  <c r="L201" i="421" s="1"/>
  <c r="C202" i="421"/>
  <c r="I201" i="421" a="1"/>
  <c r="I201" i="421" s="1"/>
  <c r="N201" i="421" a="1"/>
  <c r="N201" i="421" s="1"/>
  <c r="O201" i="421" a="1"/>
  <c r="O201" i="421" s="1"/>
  <c r="M201" i="421" a="1"/>
  <c r="M201" i="421" s="1"/>
  <c r="K201" i="421" a="1"/>
  <c r="K201" i="421" s="1"/>
  <c r="R201" i="421" l="1"/>
  <c r="N202" i="421" a="1"/>
  <c r="N202" i="421" s="1"/>
  <c r="Q202" i="421" a="1"/>
  <c r="Q202" i="421" s="1"/>
  <c r="C203" i="421"/>
  <c r="A202" i="421" a="1"/>
  <c r="A202" i="421" s="1"/>
  <c r="M202" i="421" a="1"/>
  <c r="M202" i="421" s="1"/>
  <c r="K202" i="421" a="1"/>
  <c r="K202" i="421" s="1"/>
  <c r="H202" i="421" a="1"/>
  <c r="H202" i="421" s="1"/>
  <c r="O202" i="421" a="1"/>
  <c r="O202" i="421" s="1"/>
  <c r="G202" i="421" a="1"/>
  <c r="G202" i="421" s="1"/>
  <c r="L202" i="421" a="1"/>
  <c r="L202" i="421" s="1"/>
  <c r="I202" i="421" a="1"/>
  <c r="I202" i="421" s="1"/>
  <c r="R202" i="421" l="1"/>
  <c r="H203" i="421" a="1"/>
  <c r="H203" i="421" s="1"/>
  <c r="L203" i="421" a="1"/>
  <c r="L203" i="421" s="1"/>
  <c r="C204" i="421"/>
  <c r="N203" i="421" a="1"/>
  <c r="N203" i="421" s="1"/>
  <c r="A203" i="421" a="1"/>
  <c r="A203" i="421" s="1"/>
  <c r="M203" i="421" a="1"/>
  <c r="M203" i="421" s="1"/>
  <c r="Q203" i="421" a="1"/>
  <c r="Q203" i="421" s="1"/>
  <c r="O203" i="421" a="1"/>
  <c r="O203" i="421" s="1"/>
  <c r="I203" i="421" a="1"/>
  <c r="I203" i="421" s="1"/>
  <c r="K203" i="421" a="1"/>
  <c r="K203" i="421" s="1"/>
  <c r="G203" i="421" a="1"/>
  <c r="G203" i="421" s="1"/>
  <c r="R203" i="421" l="1"/>
  <c r="L204" i="421" a="1"/>
  <c r="L204" i="421" s="1"/>
  <c r="K204" i="421" a="1"/>
  <c r="K204" i="421" s="1"/>
  <c r="M204" i="421" a="1"/>
  <c r="M204" i="421" s="1"/>
  <c r="O204" i="421" a="1"/>
  <c r="O204" i="421" s="1"/>
  <c r="G204" i="421" a="1"/>
  <c r="G204" i="421" s="1"/>
  <c r="H204" i="421" a="1"/>
  <c r="H204" i="421" s="1"/>
  <c r="N204" i="421" a="1"/>
  <c r="N204" i="421" s="1"/>
  <c r="I204" i="421" a="1"/>
  <c r="I204" i="421" s="1"/>
  <c r="A204" i="421" a="1"/>
  <c r="A204" i="421" s="1"/>
  <c r="C205" i="421"/>
  <c r="Q204" i="421" a="1"/>
  <c r="Q204" i="421" s="1"/>
  <c r="R204" i="421" l="1"/>
  <c r="O205" i="421" a="1"/>
  <c r="O205" i="421" s="1"/>
  <c r="L205" i="421" a="1"/>
  <c r="L205" i="421" s="1"/>
  <c r="Q205" i="421" a="1"/>
  <c r="Q205" i="421" s="1"/>
  <c r="N205" i="421" a="1"/>
  <c r="N205" i="421" s="1"/>
  <c r="G205" i="421" a="1"/>
  <c r="G205" i="421" s="1"/>
  <c r="C206" i="421"/>
  <c r="A205" i="421" a="1"/>
  <c r="A205" i="421" s="1"/>
  <c r="I205" i="421" a="1"/>
  <c r="I205" i="421" s="1"/>
  <c r="H205" i="421" a="1"/>
  <c r="H205" i="421" s="1"/>
  <c r="M205" i="421" a="1"/>
  <c r="M205" i="421" s="1"/>
  <c r="K205" i="421" a="1"/>
  <c r="K205" i="421" s="1"/>
  <c r="R205" i="421" l="1"/>
  <c r="M206" i="421" a="1"/>
  <c r="M206" i="421" s="1"/>
  <c r="K206" i="421" a="1"/>
  <c r="K206" i="421" s="1"/>
  <c r="C207" i="421"/>
  <c r="L206" i="421" a="1"/>
  <c r="L206" i="421" s="1"/>
  <c r="A206" i="421" a="1"/>
  <c r="A206" i="421" s="1"/>
  <c r="Q206" i="421" a="1"/>
  <c r="Q206" i="421" s="1"/>
  <c r="G206" i="421" a="1"/>
  <c r="G206" i="421" s="1"/>
  <c r="O206" i="421" a="1"/>
  <c r="O206" i="421" s="1"/>
  <c r="H206" i="421" a="1"/>
  <c r="H206" i="421" s="1"/>
  <c r="I206" i="421" a="1"/>
  <c r="I206" i="421" s="1"/>
  <c r="N206" i="421" a="1"/>
  <c r="N206" i="421" s="1"/>
  <c r="R206" i="421" l="1"/>
  <c r="O207" i="421" a="1"/>
  <c r="O207" i="421" s="1"/>
  <c r="C208" i="421"/>
  <c r="I207" i="421" a="1"/>
  <c r="I207" i="421" s="1"/>
  <c r="Q207" i="421" a="1"/>
  <c r="Q207" i="421" s="1"/>
  <c r="K207" i="421" a="1"/>
  <c r="K207" i="421" s="1"/>
  <c r="H207" i="421" a="1"/>
  <c r="H207" i="421" s="1"/>
  <c r="L207" i="421" a="1"/>
  <c r="L207" i="421" s="1"/>
  <c r="M207" i="421" a="1"/>
  <c r="M207" i="421" s="1"/>
  <c r="A207" i="421" a="1"/>
  <c r="A207" i="421" s="1"/>
  <c r="N207" i="421" a="1"/>
  <c r="N207" i="421" s="1"/>
  <c r="G207" i="421" a="1"/>
  <c r="G207" i="421" s="1"/>
  <c r="R207" i="421" l="1"/>
  <c r="G208" i="421" a="1"/>
  <c r="G208" i="421" s="1"/>
  <c r="I208" i="421" a="1"/>
  <c r="I208" i="421" s="1"/>
  <c r="A208" i="421" a="1"/>
  <c r="A208" i="421" s="1"/>
  <c r="O208" i="421" a="1"/>
  <c r="O208" i="421" s="1"/>
  <c r="K208" i="421" a="1"/>
  <c r="K208" i="421" s="1"/>
  <c r="Q208" i="421" a="1"/>
  <c r="Q208" i="421" s="1"/>
  <c r="N208" i="421" a="1"/>
  <c r="N208" i="421" s="1"/>
  <c r="M208" i="421" a="1"/>
  <c r="M208" i="421" s="1"/>
  <c r="L208" i="421" a="1"/>
  <c r="L208" i="421" s="1"/>
  <c r="C209" i="421"/>
  <c r="H208" i="421" a="1"/>
  <c r="H208" i="421" s="1"/>
  <c r="R208" i="421" l="1"/>
  <c r="I209" i="421" a="1"/>
  <c r="I209" i="421" s="1"/>
  <c r="O209" i="421" a="1"/>
  <c r="O209" i="421" s="1"/>
  <c r="G209" i="421" a="1"/>
  <c r="G209" i="421" s="1"/>
  <c r="K209" i="421" a="1"/>
  <c r="K209" i="421" s="1"/>
  <c r="Q209" i="421" a="1"/>
  <c r="Q209" i="421" s="1"/>
  <c r="L209" i="421" a="1"/>
  <c r="L209" i="421" s="1"/>
  <c r="C210" i="421"/>
  <c r="H209" i="421" a="1"/>
  <c r="H209" i="421" s="1"/>
  <c r="A209" i="421" a="1"/>
  <c r="A209" i="421" s="1"/>
  <c r="M209" i="421" a="1"/>
  <c r="M209" i="421" s="1"/>
  <c r="N209" i="421" a="1"/>
  <c r="N209" i="421" s="1"/>
  <c r="R209" i="421" l="1"/>
  <c r="O210" i="421" a="1"/>
  <c r="O210" i="421" s="1"/>
  <c r="A210" i="421" a="1"/>
  <c r="A210" i="421" s="1"/>
  <c r="I210" i="421" a="1"/>
  <c r="I210" i="421" s="1"/>
  <c r="N210" i="421" a="1"/>
  <c r="N210" i="421" s="1"/>
  <c r="Q210" i="421" a="1"/>
  <c r="Q210" i="421" s="1"/>
  <c r="C211" i="421"/>
  <c r="M210" i="421" a="1"/>
  <c r="M210" i="421" s="1"/>
  <c r="G210" i="421" a="1"/>
  <c r="G210" i="421" s="1"/>
  <c r="H210" i="421" a="1"/>
  <c r="H210" i="421" s="1"/>
  <c r="L210" i="421" a="1"/>
  <c r="L210" i="421" s="1"/>
  <c r="K210" i="421" a="1"/>
  <c r="K210" i="421" s="1"/>
  <c r="R210" i="421" l="1"/>
  <c r="I211" i="421" a="1"/>
  <c r="I211" i="421" s="1"/>
  <c r="M211" i="421" a="1"/>
  <c r="M211" i="421" s="1"/>
  <c r="H211" i="421" a="1"/>
  <c r="H211" i="421" s="1"/>
  <c r="L211" i="421" a="1"/>
  <c r="L211" i="421" s="1"/>
  <c r="G211" i="421" a="1"/>
  <c r="G211" i="421" s="1"/>
  <c r="O211" i="421" a="1"/>
  <c r="O211" i="421" s="1"/>
  <c r="A211" i="421" a="1"/>
  <c r="A211" i="421" s="1"/>
  <c r="N211" i="421" a="1"/>
  <c r="N211" i="421" s="1"/>
  <c r="Q211" i="421" a="1"/>
  <c r="Q211" i="421" s="1"/>
  <c r="C212" i="421"/>
  <c r="K211" i="421" a="1"/>
  <c r="K211" i="421" s="1"/>
  <c r="R211" i="421" l="1"/>
  <c r="I212" i="421" a="1"/>
  <c r="I212" i="421" s="1"/>
  <c r="K212" i="421" a="1"/>
  <c r="K212" i="421" s="1"/>
  <c r="O212" i="421" a="1"/>
  <c r="O212" i="421" s="1"/>
  <c r="L212" i="421" a="1"/>
  <c r="L212" i="421" s="1"/>
  <c r="Q212" i="421" a="1"/>
  <c r="Q212" i="421" s="1"/>
  <c r="C213" i="421"/>
  <c r="M212" i="421" a="1"/>
  <c r="M212" i="421" s="1"/>
  <c r="N212" i="421" a="1"/>
  <c r="N212" i="421" s="1"/>
  <c r="G212" i="421" a="1"/>
  <c r="G212" i="421" s="1"/>
  <c r="H212" i="421" a="1"/>
  <c r="H212" i="421" s="1"/>
  <c r="A212" i="421" a="1"/>
  <c r="A212" i="421" s="1"/>
  <c r="R212" i="421" l="1"/>
  <c r="N213" i="421" a="1"/>
  <c r="N213" i="421" s="1"/>
  <c r="M213" i="421" a="1"/>
  <c r="M213" i="421" s="1"/>
  <c r="H213" i="421" a="1"/>
  <c r="H213" i="421" s="1"/>
  <c r="A213" i="421" a="1"/>
  <c r="A213" i="421" s="1"/>
  <c r="C214" i="421"/>
  <c r="K213" i="421" a="1"/>
  <c r="K213" i="421" s="1"/>
  <c r="G213" i="421" a="1"/>
  <c r="G213" i="421" s="1"/>
  <c r="L213" i="421" a="1"/>
  <c r="L213" i="421" s="1"/>
  <c r="I213" i="421" a="1"/>
  <c r="I213" i="421" s="1"/>
  <c r="Q213" i="421" a="1"/>
  <c r="Q213" i="421" s="1"/>
  <c r="O213" i="421" a="1"/>
  <c r="O213" i="421" s="1"/>
  <c r="R213" i="421" l="1"/>
  <c r="M214" i="421" a="1"/>
  <c r="M214" i="421" s="1"/>
  <c r="I214" i="421" a="1"/>
  <c r="I214" i="421" s="1"/>
  <c r="K214" i="421" a="1"/>
  <c r="K214" i="421" s="1"/>
  <c r="N214" i="421" a="1"/>
  <c r="N214" i="421" s="1"/>
  <c r="Q214" i="421" a="1"/>
  <c r="Q214" i="421" s="1"/>
  <c r="L214" i="421" a="1"/>
  <c r="L214" i="421" s="1"/>
  <c r="G214" i="421" a="1"/>
  <c r="G214" i="421" s="1"/>
  <c r="C215" i="421"/>
  <c r="A214" i="421" a="1"/>
  <c r="A214" i="421" s="1"/>
  <c r="H214" i="421" a="1"/>
  <c r="H214" i="421" s="1"/>
  <c r="O214" i="421" a="1"/>
  <c r="O214" i="421" s="1"/>
  <c r="R214" i="421" l="1"/>
  <c r="L215" i="421" a="1"/>
  <c r="L215" i="421" s="1"/>
  <c r="G215" i="421" a="1"/>
  <c r="G215" i="421" s="1"/>
  <c r="K215" i="421" a="1"/>
  <c r="K215" i="421" s="1"/>
  <c r="I215" i="421" a="1"/>
  <c r="I215" i="421" s="1"/>
  <c r="M215" i="421" a="1"/>
  <c r="M215" i="421" s="1"/>
  <c r="O215" i="421" a="1"/>
  <c r="O215" i="421" s="1"/>
  <c r="C216" i="421"/>
  <c r="H215" i="421" a="1"/>
  <c r="H215" i="421" s="1"/>
  <c r="N215" i="421" a="1"/>
  <c r="N215" i="421" s="1"/>
  <c r="A215" i="421" a="1"/>
  <c r="A215" i="421" s="1"/>
  <c r="Q215" i="421" a="1"/>
  <c r="Q215" i="421" s="1"/>
  <c r="R215" i="421" l="1"/>
  <c r="N216" i="421" a="1"/>
  <c r="N216" i="421" s="1"/>
  <c r="Q216" i="421" a="1"/>
  <c r="Q216" i="421" s="1"/>
  <c r="M216" i="421" a="1"/>
  <c r="M216" i="421" s="1"/>
  <c r="K216" i="421" a="1"/>
  <c r="K216" i="421" s="1"/>
  <c r="A216" i="421" a="1"/>
  <c r="A216" i="421" s="1"/>
  <c r="L216" i="421" a="1"/>
  <c r="L216" i="421" s="1"/>
  <c r="C217" i="421"/>
  <c r="G216" i="421" a="1"/>
  <c r="G216" i="421" s="1"/>
  <c r="I216" i="421" a="1"/>
  <c r="I216" i="421" s="1"/>
  <c r="O216" i="421" a="1"/>
  <c r="O216" i="421" s="1"/>
  <c r="H216" i="421" a="1"/>
  <c r="H216" i="421" s="1"/>
  <c r="R216" i="421" l="1"/>
  <c r="A217" i="421" a="1"/>
  <c r="A217" i="421" s="1"/>
  <c r="O217" i="421" a="1"/>
  <c r="O217" i="421" s="1"/>
  <c r="M217" i="421" a="1"/>
  <c r="M217" i="421" s="1"/>
  <c r="C218" i="421"/>
  <c r="I217" i="421" a="1"/>
  <c r="I217" i="421" s="1"/>
  <c r="H217" i="421" a="1"/>
  <c r="H217" i="421" s="1"/>
  <c r="N217" i="421" a="1"/>
  <c r="N217" i="421" s="1"/>
  <c r="K217" i="421" a="1"/>
  <c r="K217" i="421" s="1"/>
  <c r="L217" i="421" a="1"/>
  <c r="L217" i="421" s="1"/>
  <c r="Q217" i="421" a="1"/>
  <c r="Q217" i="421" s="1"/>
  <c r="G217" i="421" a="1"/>
  <c r="G217" i="421" s="1"/>
  <c r="R217" i="421" l="1"/>
  <c r="G218" i="421" a="1"/>
  <c r="G218" i="421" s="1"/>
  <c r="O218" i="421" a="1"/>
  <c r="O218" i="421" s="1"/>
  <c r="A218" i="421" a="1"/>
  <c r="A218" i="421" s="1"/>
  <c r="M218" i="421" a="1"/>
  <c r="M218" i="421" s="1"/>
  <c r="I218" i="421" a="1"/>
  <c r="I218" i="421" s="1"/>
  <c r="Q218" i="421" a="1"/>
  <c r="Q218" i="421" s="1"/>
  <c r="K218" i="421" a="1"/>
  <c r="K218" i="421" s="1"/>
  <c r="N218" i="421" a="1"/>
  <c r="N218" i="421" s="1"/>
  <c r="L218" i="421" a="1"/>
  <c r="L218" i="421" s="1"/>
  <c r="C219" i="421"/>
  <c r="H218" i="421" a="1"/>
  <c r="H218" i="421" s="1"/>
  <c r="R218" i="421" l="1"/>
  <c r="N219" i="421" a="1"/>
  <c r="N219" i="421" s="1"/>
  <c r="H219" i="421" a="1"/>
  <c r="H219" i="421" s="1"/>
  <c r="I219" i="421" a="1"/>
  <c r="I219" i="421" s="1"/>
  <c r="K219" i="421" a="1"/>
  <c r="K219" i="421" s="1"/>
  <c r="C220" i="421"/>
  <c r="G219" i="421" a="1"/>
  <c r="G219" i="421" s="1"/>
  <c r="L219" i="421" a="1"/>
  <c r="L219" i="421" s="1"/>
  <c r="A219" i="421" a="1"/>
  <c r="A219" i="421" s="1"/>
  <c r="M219" i="421" a="1"/>
  <c r="M219" i="421" s="1"/>
  <c r="Q219" i="421" a="1"/>
  <c r="Q219" i="421" s="1"/>
  <c r="O219" i="421" a="1"/>
  <c r="O219" i="421" s="1"/>
  <c r="R219" i="421" l="1"/>
  <c r="G220" i="421" a="1"/>
  <c r="G220" i="421" s="1"/>
  <c r="K220" i="421" a="1"/>
  <c r="K220" i="421" s="1"/>
  <c r="C221" i="421"/>
  <c r="Q220" i="421" a="1"/>
  <c r="Q220" i="421" s="1"/>
  <c r="L220" i="421" a="1"/>
  <c r="L220" i="421" s="1"/>
  <c r="M220" i="421" a="1"/>
  <c r="M220" i="421" s="1"/>
  <c r="O220" i="421" a="1"/>
  <c r="O220" i="421" s="1"/>
  <c r="A220" i="421" a="1"/>
  <c r="A220" i="421" s="1"/>
  <c r="I220" i="421" a="1"/>
  <c r="I220" i="421" s="1"/>
  <c r="N220" i="421" a="1"/>
  <c r="N220" i="421" s="1"/>
  <c r="H220" i="421" a="1"/>
  <c r="H220" i="421" s="1"/>
  <c r="R220" i="421" l="1"/>
  <c r="M221" i="421" a="1"/>
  <c r="M221" i="421" s="1"/>
  <c r="C222" i="421"/>
  <c r="L221" i="421" a="1"/>
  <c r="L221" i="421" s="1"/>
  <c r="A221" i="421" a="1"/>
  <c r="A221" i="421" s="1"/>
  <c r="O221" i="421" a="1"/>
  <c r="O221" i="421" s="1"/>
  <c r="G221" i="421" a="1"/>
  <c r="G221" i="421" s="1"/>
  <c r="H221" i="421" a="1"/>
  <c r="H221" i="421" s="1"/>
  <c r="I221" i="421" a="1"/>
  <c r="I221" i="421" s="1"/>
  <c r="N221" i="421" a="1"/>
  <c r="N221" i="421" s="1"/>
  <c r="K221" i="421" a="1"/>
  <c r="K221" i="421" s="1"/>
  <c r="Q221" i="421" a="1"/>
  <c r="Q221" i="421" s="1"/>
  <c r="R221" i="421" l="1"/>
  <c r="O222" i="421" a="1"/>
  <c r="O222" i="421" s="1"/>
  <c r="C223" i="421"/>
  <c r="I222" i="421" a="1"/>
  <c r="I222" i="421" s="1"/>
  <c r="M222" i="421" a="1"/>
  <c r="M222" i="421" s="1"/>
  <c r="A222" i="421" a="1"/>
  <c r="A222" i="421" s="1"/>
  <c r="K222" i="421" a="1"/>
  <c r="K222" i="421" s="1"/>
  <c r="N222" i="421" a="1"/>
  <c r="N222" i="421" s="1"/>
  <c r="L222" i="421" a="1"/>
  <c r="L222" i="421" s="1"/>
  <c r="G222" i="421" a="1"/>
  <c r="G222" i="421" s="1"/>
  <c r="H222" i="421" a="1"/>
  <c r="H222" i="421" s="1"/>
  <c r="Q222" i="421" a="1"/>
  <c r="Q222" i="421" s="1"/>
  <c r="R222" i="421" l="1"/>
  <c r="O223" i="421" a="1"/>
  <c r="O223" i="421" s="1"/>
  <c r="K223" i="421" a="1"/>
  <c r="K223" i="421" s="1"/>
  <c r="Q223" i="421" a="1"/>
  <c r="Q223" i="421" s="1"/>
  <c r="G223" i="421" a="1"/>
  <c r="G223" i="421" s="1"/>
  <c r="C224" i="421"/>
  <c r="H223" i="421" a="1"/>
  <c r="H223" i="421" s="1"/>
  <c r="L223" i="421" a="1"/>
  <c r="L223" i="421" s="1"/>
  <c r="N223" i="421" a="1"/>
  <c r="N223" i="421" s="1"/>
  <c r="A223" i="421" a="1"/>
  <c r="A223" i="421" s="1"/>
  <c r="M223" i="421" a="1"/>
  <c r="M223" i="421" s="1"/>
  <c r="I223" i="421" a="1"/>
  <c r="I223" i="421" s="1"/>
  <c r="R223" i="421" l="1"/>
  <c r="H224" i="421" a="1"/>
  <c r="H224" i="421" s="1"/>
  <c r="L224" i="421" a="1"/>
  <c r="L224" i="421" s="1"/>
  <c r="Q224" i="421" a="1"/>
  <c r="Q224" i="421" s="1"/>
  <c r="O224" i="421" a="1"/>
  <c r="O224" i="421" s="1"/>
  <c r="N224" i="421" a="1"/>
  <c r="N224" i="421" s="1"/>
  <c r="A224" i="421" a="1"/>
  <c r="A224" i="421" s="1"/>
  <c r="K224" i="421" a="1"/>
  <c r="K224" i="421" s="1"/>
  <c r="I224" i="421" a="1"/>
  <c r="I224" i="421" s="1"/>
  <c r="G224" i="421" a="1"/>
  <c r="G224" i="421" s="1"/>
  <c r="C225" i="421"/>
  <c r="M224" i="421" a="1"/>
  <c r="M224" i="421" s="1"/>
  <c r="R224" i="421" l="1"/>
  <c r="L225" i="421" a="1"/>
  <c r="L225" i="421" s="1"/>
  <c r="I225" i="421" a="1"/>
  <c r="I225" i="421" s="1"/>
  <c r="Q225" i="421" a="1"/>
  <c r="Q225" i="421" s="1"/>
  <c r="N225" i="421" a="1"/>
  <c r="N225" i="421" s="1"/>
  <c r="M225" i="421" a="1"/>
  <c r="M225" i="421" s="1"/>
  <c r="H225" i="421" a="1"/>
  <c r="H225" i="421" s="1"/>
  <c r="C226" i="421"/>
  <c r="O225" i="421" a="1"/>
  <c r="O225" i="421" s="1"/>
  <c r="A225" i="421" a="1"/>
  <c r="A225" i="421" s="1"/>
  <c r="K225" i="421" a="1"/>
  <c r="K225" i="421" s="1"/>
  <c r="G225" i="421" a="1"/>
  <c r="G225" i="421" s="1"/>
  <c r="R225" i="421" l="1"/>
  <c r="H226" i="421" a="1"/>
  <c r="H226" i="421" s="1"/>
  <c r="C227" i="421"/>
  <c r="I226" i="421" a="1"/>
  <c r="I226" i="421" s="1"/>
  <c r="N226" i="421" a="1"/>
  <c r="N226" i="421" s="1"/>
  <c r="O226" i="421" a="1"/>
  <c r="O226" i="421" s="1"/>
  <c r="Q226" i="421" a="1"/>
  <c r="Q226" i="421" s="1"/>
  <c r="K226" i="421" a="1"/>
  <c r="K226" i="421" s="1"/>
  <c r="L226" i="421" a="1"/>
  <c r="L226" i="421" s="1"/>
  <c r="G226" i="421" a="1"/>
  <c r="G226" i="421" s="1"/>
  <c r="A226" i="421" a="1"/>
  <c r="A226" i="421" s="1"/>
  <c r="M226" i="421" a="1"/>
  <c r="M226" i="421" s="1"/>
  <c r="R226" i="421" l="1"/>
  <c r="L227" i="421" a="1"/>
  <c r="L227" i="421" s="1"/>
  <c r="I227" i="421" a="1"/>
  <c r="I227" i="421" s="1"/>
  <c r="C228" i="421"/>
  <c r="O227" i="421" a="1"/>
  <c r="O227" i="421" s="1"/>
  <c r="M227" i="421" a="1"/>
  <c r="M227" i="421" s="1"/>
  <c r="A227" i="421" a="1"/>
  <c r="A227" i="421" s="1"/>
  <c r="N227" i="421" a="1"/>
  <c r="N227" i="421" s="1"/>
  <c r="G227" i="421" a="1"/>
  <c r="G227" i="421" s="1"/>
  <c r="H227" i="421" a="1"/>
  <c r="H227" i="421" s="1"/>
  <c r="K227" i="421" a="1"/>
  <c r="K227" i="421" s="1"/>
  <c r="Q227" i="421" a="1"/>
  <c r="Q227" i="421" s="1"/>
  <c r="R227" i="421" l="1"/>
  <c r="O228" i="421" a="1"/>
  <c r="O228" i="421" s="1"/>
  <c r="I228" i="421" a="1"/>
  <c r="I228" i="421" s="1"/>
  <c r="L228" i="421" a="1"/>
  <c r="L228" i="421" s="1"/>
  <c r="M228" i="421" a="1"/>
  <c r="M228" i="421" s="1"/>
  <c r="H228" i="421" a="1"/>
  <c r="H228" i="421" s="1"/>
  <c r="K228" i="421" a="1"/>
  <c r="K228" i="421" s="1"/>
  <c r="C229" i="421"/>
  <c r="A228" i="421" a="1"/>
  <c r="A228" i="421" s="1"/>
  <c r="Q228" i="421" a="1"/>
  <c r="Q228" i="421" s="1"/>
  <c r="G228" i="421" a="1"/>
  <c r="G228" i="421" s="1"/>
  <c r="N228" i="421" a="1"/>
  <c r="N228" i="421" s="1"/>
  <c r="R228" i="421" l="1"/>
  <c r="I229" i="421" a="1"/>
  <c r="I229" i="421" s="1"/>
  <c r="O229" i="421" a="1"/>
  <c r="O229" i="421" s="1"/>
  <c r="M229" i="421" a="1"/>
  <c r="M229" i="421" s="1"/>
  <c r="C230" i="421"/>
  <c r="G229" i="421" a="1"/>
  <c r="G229" i="421" s="1"/>
  <c r="N229" i="421" a="1"/>
  <c r="N229" i="421" s="1"/>
  <c r="A229" i="421" a="1"/>
  <c r="A229" i="421" s="1"/>
  <c r="L229" i="421" a="1"/>
  <c r="L229" i="421" s="1"/>
  <c r="H229" i="421" a="1"/>
  <c r="H229" i="421" s="1"/>
  <c r="Q229" i="421" a="1"/>
  <c r="Q229" i="421" s="1"/>
  <c r="K229" i="421" a="1"/>
  <c r="K229" i="421" s="1"/>
  <c r="R229" i="421" l="1"/>
  <c r="I230" i="421" a="1"/>
  <c r="I230" i="421" s="1"/>
  <c r="N230" i="421" a="1"/>
  <c r="N230" i="421" s="1"/>
  <c r="K230" i="421" a="1"/>
  <c r="K230" i="421" s="1"/>
  <c r="M230" i="421" a="1"/>
  <c r="M230" i="421" s="1"/>
  <c r="L230" i="421" a="1"/>
  <c r="L230" i="421" s="1"/>
  <c r="G230" i="421" a="1"/>
  <c r="G230" i="421" s="1"/>
  <c r="C231" i="421"/>
  <c r="O230" i="421" a="1"/>
  <c r="O230" i="421" s="1"/>
  <c r="Q230" i="421" a="1"/>
  <c r="Q230" i="421" s="1"/>
  <c r="A230" i="421" a="1"/>
  <c r="A230" i="421" s="1"/>
  <c r="H230" i="421" a="1"/>
  <c r="H230" i="421" s="1"/>
  <c r="R230" i="421" l="1"/>
  <c r="L231" i="421" a="1"/>
  <c r="L231" i="421" s="1"/>
  <c r="H231" i="421" a="1"/>
  <c r="H231" i="421" s="1"/>
  <c r="N231" i="421" a="1"/>
  <c r="N231" i="421" s="1"/>
  <c r="O231" i="421" a="1"/>
  <c r="O231" i="421" s="1"/>
  <c r="M231" i="421" a="1"/>
  <c r="M231" i="421" s="1"/>
  <c r="A231" i="421" a="1"/>
  <c r="A231" i="421" s="1"/>
  <c r="K231" i="421" a="1"/>
  <c r="K231" i="421" s="1"/>
  <c r="I231" i="421" a="1"/>
  <c r="I231" i="421" s="1"/>
  <c r="G231" i="421" a="1"/>
  <c r="G231" i="421" s="1"/>
  <c r="Q231" i="421" a="1"/>
  <c r="Q231" i="421" s="1"/>
  <c r="R231" i="421" l="1"/>
</calcChain>
</file>

<file path=xl/comments1.xml><?xml version="1.0" encoding="utf-8"?>
<comments xmlns="http://schemas.openxmlformats.org/spreadsheetml/2006/main">
  <authors>
    <author>Mhelz</author>
  </authors>
  <commentList>
    <comment ref="B2" authorId="0" shapeId="0">
      <text>
        <r>
          <rPr>
            <b/>
            <sz val="9"/>
            <color indexed="81"/>
            <rFont val="Tahoma"/>
            <family val="2"/>
          </rPr>
          <t>Mhelz:</t>
        </r>
        <r>
          <rPr>
            <sz val="9"/>
            <color indexed="81"/>
            <rFont val="Tahoma"/>
            <family val="2"/>
          </rPr>
          <t xml:space="preserve">
</t>
        </r>
        <r>
          <rPr>
            <sz val="20"/>
            <color indexed="18"/>
            <rFont val="Times New Roman"/>
            <family val="1"/>
          </rPr>
          <t>Type Account Code</t>
        </r>
      </text>
    </comment>
    <comment ref="E3" authorId="0" shapeId="0">
      <text>
        <r>
          <rPr>
            <b/>
            <sz val="9"/>
            <color indexed="81"/>
            <rFont val="Tahoma"/>
            <family val="2"/>
          </rPr>
          <t>Mhelz:</t>
        </r>
        <r>
          <rPr>
            <sz val="9"/>
            <color indexed="81"/>
            <rFont val="Tahoma"/>
            <family val="2"/>
          </rPr>
          <t xml:space="preserve">
</t>
        </r>
        <r>
          <rPr>
            <sz val="20"/>
            <color indexed="18"/>
            <rFont val="Times New Roman"/>
            <family val="1"/>
          </rPr>
          <t>Type Sort Code</t>
        </r>
        <r>
          <rPr>
            <sz val="12"/>
            <color indexed="81"/>
            <rFont val="Times New Roman"/>
            <family val="1"/>
          </rPr>
          <t xml:space="preserve">
1 - Regional Office
2 - Ilocos Norte IMO
3 - Ilocos Sur IMO
4 - La Union IMO
5 - Pangasinan IMO
Blank - Regional Consolidated</t>
        </r>
      </text>
    </comment>
  </commentList>
</comments>
</file>

<file path=xl/comments2.xml><?xml version="1.0" encoding="utf-8"?>
<comments xmlns="http://schemas.openxmlformats.org/spreadsheetml/2006/main">
  <authors>
    <author>Mhelz</author>
  </authors>
  <commentList>
    <comment ref="B2" authorId="0" shapeId="0">
      <text>
        <r>
          <rPr>
            <b/>
            <sz val="9"/>
            <color indexed="81"/>
            <rFont val="Tahoma"/>
            <family val="2"/>
          </rPr>
          <t>Mhelz:</t>
        </r>
        <r>
          <rPr>
            <sz val="9"/>
            <color indexed="81"/>
            <rFont val="Tahoma"/>
            <family val="2"/>
          </rPr>
          <t xml:space="preserve">
</t>
        </r>
        <r>
          <rPr>
            <sz val="20"/>
            <color indexed="81"/>
            <rFont val="Times New Roman"/>
            <family val="1"/>
          </rPr>
          <t>Type Account Code</t>
        </r>
      </text>
    </comment>
    <comment ref="E3" authorId="0" shapeId="0">
      <text>
        <r>
          <rPr>
            <b/>
            <sz val="9"/>
            <color indexed="81"/>
            <rFont val="Tahoma"/>
            <family val="2"/>
          </rPr>
          <t>Mhelz:</t>
        </r>
        <r>
          <rPr>
            <sz val="9"/>
            <color indexed="81"/>
            <rFont val="Tahoma"/>
            <family val="2"/>
          </rPr>
          <t xml:space="preserve">
</t>
        </r>
        <r>
          <rPr>
            <sz val="20"/>
            <color indexed="18"/>
            <rFont val="Times New Roman"/>
            <family val="1"/>
          </rPr>
          <t>Type Sort/Ofc Code</t>
        </r>
        <r>
          <rPr>
            <sz val="12"/>
            <color indexed="81"/>
            <rFont val="Times New Roman"/>
            <family val="1"/>
          </rPr>
          <t xml:space="preserve">
1 - Regional Office
2 - BANE IMO
3 - PAMBAT IMO
4 - TARZAM IMO
Blank - Regional Consolidated</t>
        </r>
      </text>
    </comment>
  </commentList>
</comments>
</file>

<file path=xl/sharedStrings.xml><?xml version="1.0" encoding="utf-8"?>
<sst xmlns="http://schemas.openxmlformats.org/spreadsheetml/2006/main" count="27623" uniqueCount="2444">
  <si>
    <t>Date</t>
  </si>
  <si>
    <t>Debit</t>
  </si>
  <si>
    <t>Credit</t>
  </si>
  <si>
    <t>ROCHELLE R. CERVANTES</t>
  </si>
  <si>
    <t>Due to BIR</t>
  </si>
  <si>
    <t>719-1</t>
  </si>
  <si>
    <t>719-2</t>
  </si>
  <si>
    <t>719-3</t>
  </si>
  <si>
    <t>454-2</t>
  </si>
  <si>
    <t>102</t>
  </si>
  <si>
    <t>103</t>
  </si>
  <si>
    <t>104</t>
  </si>
  <si>
    <t>106</t>
  </si>
  <si>
    <t>111</t>
  </si>
  <si>
    <t>112</t>
  </si>
  <si>
    <t>113</t>
  </si>
  <si>
    <t>116</t>
  </si>
  <si>
    <t>117</t>
  </si>
  <si>
    <t>121-4</t>
  </si>
  <si>
    <t>121-3</t>
  </si>
  <si>
    <t>123</t>
  </si>
  <si>
    <t>136</t>
  </si>
  <si>
    <t>137</t>
  </si>
  <si>
    <t>138</t>
  </si>
  <si>
    <t>142</t>
  </si>
  <si>
    <t>144</t>
  </si>
  <si>
    <t>146</t>
  </si>
  <si>
    <t>148</t>
  </si>
  <si>
    <t>149</t>
  </si>
  <si>
    <t>154</t>
  </si>
  <si>
    <t>155</t>
  </si>
  <si>
    <t>161</t>
  </si>
  <si>
    <t>165</t>
  </si>
  <si>
    <t>177</t>
  </si>
  <si>
    <t>180</t>
  </si>
  <si>
    <t>181</t>
  </si>
  <si>
    <t>185</t>
  </si>
  <si>
    <t>186</t>
  </si>
  <si>
    <t>201</t>
  </si>
  <si>
    <t>202</t>
  </si>
  <si>
    <t>211</t>
  </si>
  <si>
    <t>215</t>
  </si>
  <si>
    <t>221</t>
  </si>
  <si>
    <t>222</t>
  </si>
  <si>
    <t>223</t>
  </si>
  <si>
    <t>224</t>
  </si>
  <si>
    <t>226</t>
  </si>
  <si>
    <t>227</t>
  </si>
  <si>
    <t>229</t>
  </si>
  <si>
    <t>230</t>
  </si>
  <si>
    <t>231</t>
  </si>
  <si>
    <t>234</t>
  </si>
  <si>
    <t>235</t>
  </si>
  <si>
    <t>236</t>
  </si>
  <si>
    <t>240</t>
  </si>
  <si>
    <t>241</t>
  </si>
  <si>
    <t>243</t>
  </si>
  <si>
    <t>244</t>
  </si>
  <si>
    <t>248</t>
  </si>
  <si>
    <t>250</t>
  </si>
  <si>
    <t>255</t>
  </si>
  <si>
    <t>264</t>
  </si>
  <si>
    <t>269</t>
  </si>
  <si>
    <t>Accounts Receivable - Others</t>
  </si>
  <si>
    <t>Due from Officers and Employees</t>
  </si>
  <si>
    <t>Due from Regional Offices</t>
  </si>
  <si>
    <t>Advances to Officers and Employees</t>
  </si>
  <si>
    <t>Merchandise Inventory</t>
  </si>
  <si>
    <t>Prepaid Rent</t>
  </si>
  <si>
    <t>Deposit on Letters of Credit</t>
  </si>
  <si>
    <t>Advances to Contractors</t>
  </si>
  <si>
    <t>Other Current Assets</t>
  </si>
  <si>
    <t>Land</t>
  </si>
  <si>
    <t>Other Structures</t>
  </si>
  <si>
    <t>Office Equipment</t>
  </si>
  <si>
    <t>Communication Equipment</t>
  </si>
  <si>
    <t>Sports Equipment</t>
  </si>
  <si>
    <t>Technical and Scientific Equipment</t>
  </si>
  <si>
    <t>Motor Vehicles</t>
  </si>
  <si>
    <t>Watercrafts</t>
  </si>
  <si>
    <t>Other Transportation Equipment</t>
  </si>
  <si>
    <t>Other Property, Plant and Equipment</t>
  </si>
  <si>
    <t>270</t>
  </si>
  <si>
    <t>290</t>
  </si>
  <si>
    <t>301</t>
  </si>
  <si>
    <t>302</t>
  </si>
  <si>
    <t>311</t>
  </si>
  <si>
    <t>315</t>
  </si>
  <si>
    <t>321</t>
  </si>
  <si>
    <t>322</t>
  </si>
  <si>
    <t>323</t>
  </si>
  <si>
    <t>324</t>
  </si>
  <si>
    <t>326</t>
  </si>
  <si>
    <t>327</t>
  </si>
  <si>
    <t>329</t>
  </si>
  <si>
    <t>330</t>
  </si>
  <si>
    <t>331</t>
  </si>
  <si>
    <t>334</t>
  </si>
  <si>
    <t>335</t>
  </si>
  <si>
    <t>336</t>
  </si>
  <si>
    <t>340</t>
  </si>
  <si>
    <t>341</t>
  </si>
  <si>
    <t>343</t>
  </si>
  <si>
    <t>344</t>
  </si>
  <si>
    <t>348</t>
  </si>
  <si>
    <t>350</t>
  </si>
  <si>
    <t>401</t>
  </si>
  <si>
    <t>402</t>
  </si>
  <si>
    <t>403</t>
  </si>
  <si>
    <t>412</t>
  </si>
  <si>
    <t>413</t>
  </si>
  <si>
    <t>414</t>
  </si>
  <si>
    <t>415</t>
  </si>
  <si>
    <t>416</t>
  </si>
  <si>
    <t>424</t>
  </si>
  <si>
    <t>426</t>
  </si>
  <si>
    <t>427</t>
  </si>
  <si>
    <t>439</t>
  </si>
  <si>
    <t>444</t>
  </si>
  <si>
    <t>445</t>
  </si>
  <si>
    <t>454-1</t>
  </si>
  <si>
    <t>455</t>
  </si>
  <si>
    <t>501</t>
  </si>
  <si>
    <t>510</t>
  </si>
  <si>
    <t>512</t>
  </si>
  <si>
    <t>625-1</t>
  </si>
  <si>
    <t>625-2</t>
  </si>
  <si>
    <t>627-1</t>
  </si>
  <si>
    <t>627-1A</t>
  </si>
  <si>
    <t>627-1B</t>
  </si>
  <si>
    <t>627-1C</t>
  </si>
  <si>
    <t>627-2A</t>
  </si>
  <si>
    <t>Other Assets</t>
  </si>
  <si>
    <t>Accounts Payable</t>
  </si>
  <si>
    <t>Notes Payable</t>
  </si>
  <si>
    <t>Due to Officers and Employees</t>
  </si>
  <si>
    <t>Due to GSIS</t>
  </si>
  <si>
    <t>Due to Central Office</t>
  </si>
  <si>
    <t>Other Payables</t>
  </si>
  <si>
    <t>CIS/CIP Equity</t>
  </si>
  <si>
    <t>627-2B</t>
  </si>
  <si>
    <t>627-2C</t>
  </si>
  <si>
    <t>627-2D</t>
  </si>
  <si>
    <t>629-1</t>
  </si>
  <si>
    <t>629-2</t>
  </si>
  <si>
    <t>629-3</t>
  </si>
  <si>
    <t>642-1A</t>
  </si>
  <si>
    <t>642-1B</t>
  </si>
  <si>
    <t>642-1C</t>
  </si>
  <si>
    <t>642-1D</t>
  </si>
  <si>
    <t>642-2</t>
  </si>
  <si>
    <t>651</t>
  </si>
  <si>
    <t>653</t>
  </si>
  <si>
    <t>662</t>
  </si>
  <si>
    <t>664</t>
  </si>
  <si>
    <t>678-1</t>
  </si>
  <si>
    <t>678-2</t>
  </si>
  <si>
    <t>678-3</t>
  </si>
  <si>
    <t>678-4</t>
  </si>
  <si>
    <t>678-12</t>
  </si>
  <si>
    <t>678-13</t>
  </si>
  <si>
    <t>682</t>
  </si>
  <si>
    <t>701</t>
  </si>
  <si>
    <t>705</t>
  </si>
  <si>
    <t>711</t>
  </si>
  <si>
    <t>713</t>
  </si>
  <si>
    <t>714</t>
  </si>
  <si>
    <t>715</t>
  </si>
  <si>
    <t>719-4</t>
  </si>
  <si>
    <t>719-7</t>
  </si>
  <si>
    <t>719-9</t>
  </si>
  <si>
    <t>717</t>
  </si>
  <si>
    <t>724</t>
  </si>
  <si>
    <t>720</t>
  </si>
  <si>
    <t>725</t>
  </si>
  <si>
    <t>731</t>
  </si>
  <si>
    <t>732</t>
  </si>
  <si>
    <t>733</t>
  </si>
  <si>
    <t>734</t>
  </si>
  <si>
    <t>740</t>
  </si>
  <si>
    <t>Pump Equity - (Current Account)</t>
  </si>
  <si>
    <t>Pump Equity - (Back Account)</t>
  </si>
  <si>
    <t>Equipment Rental - Internal (CA)</t>
  </si>
  <si>
    <t>Equipment Rental - External (CA)</t>
  </si>
  <si>
    <t>Equipment Rental - Internal (BA)</t>
  </si>
  <si>
    <t>Equipment Rental - External (BA)</t>
  </si>
  <si>
    <t>Rent Income from NIA Facilities</t>
  </si>
  <si>
    <t>Income from Grant and Donations</t>
  </si>
  <si>
    <t>Interest Income</t>
  </si>
  <si>
    <t>Miscellaneous Income - Bid Documents</t>
  </si>
  <si>
    <t>Miscellaneous Income - Hauling/Milling/Drying</t>
  </si>
  <si>
    <t>Miscellaneous Income - Disallowance</t>
  </si>
  <si>
    <t>Miscellaneous Income - Scrap of Fixed Assets</t>
  </si>
  <si>
    <t>Miscellaneous Income - Others</t>
  </si>
  <si>
    <t>Salaries and Wages - Regular</t>
  </si>
  <si>
    <t>Salaries and Wages - Casual</t>
  </si>
  <si>
    <t>Salaries and Wages - Contractual</t>
  </si>
  <si>
    <t>Personnel Economic Relief Allowance (PERA)</t>
  </si>
  <si>
    <t>Representation Allowance (RA)</t>
  </si>
  <si>
    <t>Transportation Allowance (TA)</t>
  </si>
  <si>
    <t>Clothing/Uniform Allowance</t>
  </si>
  <si>
    <t>Other Bonuses and Allowances - Medical Allowance</t>
  </si>
  <si>
    <t>Other Bonuses and Allowances - Meal Allowance</t>
  </si>
  <si>
    <t>Other Bonuses and Allowances - Children Allowance</t>
  </si>
  <si>
    <t>Productivity Incentive Allowance</t>
  </si>
  <si>
    <t>Cash Gift</t>
  </si>
  <si>
    <t>Honoraria</t>
  </si>
  <si>
    <t>Year End Bonus</t>
  </si>
  <si>
    <t>Life and Retirement Insurance Contributions</t>
  </si>
  <si>
    <t>PAG-IBIG Contributions</t>
  </si>
  <si>
    <t>PHILHEALTH Contributions</t>
  </si>
  <si>
    <t>ECC Contributions</t>
  </si>
  <si>
    <t>742</t>
  </si>
  <si>
    <t>749</t>
  </si>
  <si>
    <t>723</t>
  </si>
  <si>
    <t>721</t>
  </si>
  <si>
    <t>722</t>
  </si>
  <si>
    <t>Terminal Leave Benefits</t>
  </si>
  <si>
    <t>Other Personnel Benefits</t>
  </si>
  <si>
    <t>Overtime and Night Pay</t>
  </si>
  <si>
    <t>Hazard Pay</t>
  </si>
  <si>
    <t>Longevity Pay</t>
  </si>
  <si>
    <t>792</t>
  </si>
  <si>
    <t>751</t>
  </si>
  <si>
    <t>753</t>
  </si>
  <si>
    <t>755</t>
  </si>
  <si>
    <t>756</t>
  </si>
  <si>
    <t>759</t>
  </si>
  <si>
    <t>760</t>
  </si>
  <si>
    <t>761</t>
  </si>
  <si>
    <t>763</t>
  </si>
  <si>
    <t>765</t>
  </si>
  <si>
    <t>766</t>
  </si>
  <si>
    <t>767</t>
  </si>
  <si>
    <t>771</t>
  </si>
  <si>
    <t>772</t>
  </si>
  <si>
    <t>773</t>
  </si>
  <si>
    <t>774</t>
  </si>
  <si>
    <t>775</t>
  </si>
  <si>
    <t>778</t>
  </si>
  <si>
    <t>780</t>
  </si>
  <si>
    <t>781</t>
  </si>
  <si>
    <t>782</t>
  </si>
  <si>
    <t>783</t>
  </si>
  <si>
    <t>784</t>
  </si>
  <si>
    <t>788</t>
  </si>
  <si>
    <t>791</t>
  </si>
  <si>
    <t>793</t>
  </si>
  <si>
    <t>795</t>
  </si>
  <si>
    <t>796</t>
  </si>
  <si>
    <t>799</t>
  </si>
  <si>
    <t>811</t>
  </si>
  <si>
    <t>815</t>
  </si>
  <si>
    <t>821</t>
  </si>
  <si>
    <t>822</t>
  </si>
  <si>
    <t>823</t>
  </si>
  <si>
    <t>826</t>
  </si>
  <si>
    <t>829</t>
  </si>
  <si>
    <t>830</t>
  </si>
  <si>
    <t>831</t>
  </si>
  <si>
    <t>836</t>
  </si>
  <si>
    <t>840</t>
  </si>
  <si>
    <t>841</t>
  </si>
  <si>
    <t>844</t>
  </si>
  <si>
    <t>848</t>
  </si>
  <si>
    <t>850</t>
  </si>
  <si>
    <t>854</t>
  </si>
  <si>
    <t>855</t>
  </si>
  <si>
    <t>872</t>
  </si>
  <si>
    <t>878</t>
  </si>
  <si>
    <t>884-1</t>
  </si>
  <si>
    <t>884-3</t>
  </si>
  <si>
    <t>891</t>
  </si>
  <si>
    <t>892</t>
  </si>
  <si>
    <t>893</t>
  </si>
  <si>
    <t>902</t>
  </si>
  <si>
    <t>911</t>
  </si>
  <si>
    <t>915</t>
  </si>
  <si>
    <t>921</t>
  </si>
  <si>
    <t>922</t>
  </si>
  <si>
    <t>923</t>
  </si>
  <si>
    <t>924</t>
  </si>
  <si>
    <t>926</t>
  </si>
  <si>
    <t>927</t>
  </si>
  <si>
    <t>Travelling Expenses - Local</t>
  </si>
  <si>
    <t>Training Expenses</t>
  </si>
  <si>
    <t>Office Supplies Expenses</t>
  </si>
  <si>
    <t>Accountable Forms Expenses</t>
  </si>
  <si>
    <t>Drugs and Medicines Expenses</t>
  </si>
  <si>
    <t>Gasoline, Oil and Lubricants Expenses</t>
  </si>
  <si>
    <t>Textbooks and Instructional Materials Expenses</t>
  </si>
  <si>
    <t>Other Supplies Expenses</t>
  </si>
  <si>
    <t>Water Expenses</t>
  </si>
  <si>
    <t>Electricity Expenses</t>
  </si>
  <si>
    <t>Postage and Deliveries</t>
  </si>
  <si>
    <t>Telephone Expenses - Landline</t>
  </si>
  <si>
    <t>Telephone Expenses - Mobile</t>
  </si>
  <si>
    <t>Internet Expenses</t>
  </si>
  <si>
    <t>Cable, Satellite, Telegraph and Radio Expenses</t>
  </si>
  <si>
    <t>Printing and Binding Expenses</t>
  </si>
  <si>
    <t>Rent Expenses</t>
  </si>
  <si>
    <t>Representation Expenses</t>
  </si>
  <si>
    <t>Transportation and Delivery Expenses</t>
  </si>
  <si>
    <t>Legal Services</t>
  </si>
  <si>
    <t>Auditing Services</t>
  </si>
  <si>
    <t>Janitorial Services</t>
  </si>
  <si>
    <t>Other Professional Services</t>
  </si>
  <si>
    <t>Repairs and Maintenance - Office Equipment</t>
  </si>
  <si>
    <t>Repairs and Maintenance - Machineries</t>
  </si>
  <si>
    <t>Repairs and Maintenance - Construction and Heavy Equipment</t>
  </si>
  <si>
    <t>Repairs and Maintenance - Other Machineries and Equipment</t>
  </si>
  <si>
    <t>Repairs and Maintenance - Motor Vehicles</t>
  </si>
  <si>
    <t>Repairs and Maintenance - Other Transportation Equipt</t>
  </si>
  <si>
    <t>Repairs and Maintenance - Other Property, Plant &amp; Equipment</t>
  </si>
  <si>
    <t>Donations</t>
  </si>
  <si>
    <t>Miscellaneous Expenses - Sports</t>
  </si>
  <si>
    <t>Taxes, Duties and Licenses</t>
  </si>
  <si>
    <t>Fidelity Bond Premiums</t>
  </si>
  <si>
    <t>Insurance Expenses</t>
  </si>
  <si>
    <t>929</t>
  </si>
  <si>
    <t>930</t>
  </si>
  <si>
    <t>931</t>
  </si>
  <si>
    <t>934</t>
  </si>
  <si>
    <t>935</t>
  </si>
  <si>
    <t>936</t>
  </si>
  <si>
    <t>940</t>
  </si>
  <si>
    <t>941</t>
  </si>
  <si>
    <t>943</t>
  </si>
  <si>
    <t>944</t>
  </si>
  <si>
    <t>948</t>
  </si>
  <si>
    <t>950</t>
  </si>
  <si>
    <t>963</t>
  </si>
  <si>
    <t>964</t>
  </si>
  <si>
    <t>965</t>
  </si>
  <si>
    <t>966</t>
  </si>
  <si>
    <t>967</t>
  </si>
  <si>
    <t>969-3</t>
  </si>
  <si>
    <t>969-4</t>
  </si>
  <si>
    <t>785</t>
  </si>
  <si>
    <t>786</t>
  </si>
  <si>
    <t>971</t>
  </si>
  <si>
    <t>975</t>
  </si>
  <si>
    <t>Irrigator's Share</t>
  </si>
  <si>
    <t>10% Discount on ISF</t>
  </si>
  <si>
    <t>Loss on Sale of Palay</t>
  </si>
  <si>
    <t>Other MOOE - Contractual Services</t>
  </si>
  <si>
    <t>Other MOOE - Job Order</t>
  </si>
  <si>
    <t>Storage Expenses</t>
  </si>
  <si>
    <t>Subscription Expenses</t>
  </si>
  <si>
    <t>Bank Charges</t>
  </si>
  <si>
    <t>Interest Expenses</t>
  </si>
  <si>
    <t>121-1</t>
  </si>
  <si>
    <t>678-13A</t>
  </si>
  <si>
    <t>Certified Correct:</t>
  </si>
  <si>
    <t>Loyalty Award</t>
  </si>
  <si>
    <t>National Irrigation Administration</t>
  </si>
  <si>
    <t>CREDIT</t>
  </si>
  <si>
    <t>DEBIT</t>
  </si>
  <si>
    <t>TOTAL</t>
  </si>
  <si>
    <t>Regional Office</t>
  </si>
  <si>
    <t>BANE IMO</t>
  </si>
  <si>
    <t>PAMBAT IMO</t>
  </si>
  <si>
    <t>TARZAM IMO</t>
  </si>
  <si>
    <t>TRIAL BALANCE</t>
  </si>
  <si>
    <t>ACCOUNT TITLE</t>
  </si>
  <si>
    <t>Advances for Payroll</t>
  </si>
  <si>
    <t>Other Supplies and Materials Inventory</t>
  </si>
  <si>
    <t>Other Machinery and Equipment</t>
  </si>
  <si>
    <t>Other Maintenance and Operating Expenses</t>
  </si>
  <si>
    <t>Account Name</t>
  </si>
  <si>
    <t>Account Code</t>
  </si>
  <si>
    <t>Account Title</t>
  </si>
  <si>
    <t>Reference</t>
  </si>
  <si>
    <t>Beginning Balance</t>
  </si>
  <si>
    <t>Check Disbursement Journal</t>
  </si>
  <si>
    <t>Cash Disbursement Journal</t>
  </si>
  <si>
    <t>Cash Receipt and Deposit Journal</t>
  </si>
  <si>
    <t>General Journal</t>
  </si>
  <si>
    <t>Account
Code</t>
  </si>
  <si>
    <t>Balance</t>
  </si>
  <si>
    <t>EMILY G. ECHAVARRIA</t>
  </si>
  <si>
    <t>Chief Corporate Accountant B</t>
  </si>
  <si>
    <t>POST CLOSING TRIAL BALANCE</t>
  </si>
  <si>
    <t>DEBIT
TOTAL</t>
  </si>
  <si>
    <t>CREDIT
TOTAL</t>
  </si>
  <si>
    <t>January</t>
  </si>
  <si>
    <t>February</t>
  </si>
  <si>
    <t>March</t>
  </si>
  <si>
    <t>April</t>
  </si>
  <si>
    <t>May</t>
  </si>
  <si>
    <t>June</t>
  </si>
  <si>
    <t>July</t>
  </si>
  <si>
    <t>August</t>
  </si>
  <si>
    <t>September</t>
  </si>
  <si>
    <t>October</t>
  </si>
  <si>
    <t>November</t>
  </si>
  <si>
    <t>December</t>
  </si>
  <si>
    <t>Responsibility
Center</t>
  </si>
  <si>
    <t>PDRIS</t>
  </si>
  <si>
    <t>NBRIS</t>
  </si>
  <si>
    <t>Region 3</t>
  </si>
  <si>
    <t>A S S E T S</t>
  </si>
  <si>
    <t>PARTICULARS</t>
  </si>
  <si>
    <t>CODE</t>
  </si>
  <si>
    <t>AMOUNT</t>
  </si>
  <si>
    <t>969</t>
  </si>
  <si>
    <t>233</t>
  </si>
  <si>
    <t>421</t>
  </si>
  <si>
    <t>884</t>
  </si>
  <si>
    <t>Miscellaneous Expenses</t>
  </si>
  <si>
    <t>Cash and Cash Equivalents</t>
  </si>
  <si>
    <t>Receivables</t>
  </si>
  <si>
    <t>Inventories</t>
  </si>
  <si>
    <t>CURRENT ASSETS</t>
  </si>
  <si>
    <t>NON-CURRENT ASSETS</t>
  </si>
  <si>
    <t>LIABILITIES AND NET ASSETS/EQUITY</t>
  </si>
  <si>
    <t>LIABILITIES</t>
  </si>
  <si>
    <t>Current Liabilities</t>
  </si>
  <si>
    <t>Deferred Credits/Unearned Income</t>
  </si>
  <si>
    <t>TOTAL LIABILITIES AND NET ASSETS/EQUITY</t>
  </si>
  <si>
    <t>Total Net Assets/Equity</t>
  </si>
  <si>
    <t>Total Current Liabilities</t>
  </si>
  <si>
    <t>Non- Current Liabilities</t>
  </si>
  <si>
    <t>Total Current Assets</t>
  </si>
  <si>
    <t>Total Non-Current Assets</t>
  </si>
  <si>
    <t>TOTAL ASSETS</t>
  </si>
  <si>
    <t>Less: Current Operating Expenses</t>
  </si>
  <si>
    <t>Revenue</t>
  </si>
  <si>
    <t>Total Revenue</t>
  </si>
  <si>
    <t>Personal Services</t>
  </si>
  <si>
    <t>Total Personal Services</t>
  </si>
  <si>
    <t>Maintenance and Other Operating Expenses</t>
  </si>
  <si>
    <t>Total Maintenance and Other Operating Expenses</t>
  </si>
  <si>
    <t>Non-Cash Expenses</t>
  </si>
  <si>
    <t>Current Operating Expenses</t>
  </si>
  <si>
    <t>Surplus (Deficit) from Current Operations</t>
  </si>
  <si>
    <t>Total Financial Assistance/Subsidy</t>
  </si>
  <si>
    <t>Financial Assistance/Subsidy</t>
  </si>
  <si>
    <t>Surplus (Deficit) for the period</t>
  </si>
  <si>
    <t>Accumulated Surplus/(Deficit)</t>
  </si>
  <si>
    <t>Particulars</t>
  </si>
  <si>
    <t>JOURNAL ENTRY VOUCHER</t>
  </si>
  <si>
    <t>NIA Regional Office # 3, Tambubong, San Rafael, Bulacan</t>
  </si>
  <si>
    <t>No.</t>
  </si>
  <si>
    <t>Agency Name</t>
  </si>
  <si>
    <t>Collection</t>
  </si>
  <si>
    <t>X</t>
  </si>
  <si>
    <t>Check Disbursement</t>
  </si>
  <si>
    <t>Cash Disbursement</t>
  </si>
  <si>
    <t>Others</t>
  </si>
  <si>
    <t>ACCOUNTING ENTRIES</t>
  </si>
  <si>
    <t>Accounts and Explanation</t>
  </si>
  <si>
    <t>Ref.</t>
  </si>
  <si>
    <t>Amount</t>
  </si>
  <si>
    <t>Old</t>
  </si>
  <si>
    <t>New</t>
  </si>
  <si>
    <t>To take-up cash in bank register as follows:</t>
  </si>
  <si>
    <t>Reporting Period:</t>
  </si>
  <si>
    <t>Disbursing Officer:</t>
  </si>
  <si>
    <t>Office:</t>
  </si>
  <si>
    <t>Prepared/Posted by:</t>
  </si>
  <si>
    <t>Approved by:</t>
  </si>
  <si>
    <t>MARILYN U. TORRES</t>
  </si>
  <si>
    <t>Administrative Officer IV</t>
  </si>
  <si>
    <t>Manager, Administrative &amp; Finance Division</t>
  </si>
  <si>
    <t>/mhelz ®</t>
  </si>
  <si>
    <t>Debit (Array)</t>
  </si>
  <si>
    <t>Credit (Array)</t>
  </si>
  <si>
    <t>To take-up cash disbursement register as follows:</t>
  </si>
  <si>
    <t>Fund CODE:</t>
  </si>
  <si>
    <t>Accounting Form No. 74</t>
  </si>
  <si>
    <t>CHECK DISBURSEMENTS JOURNAL</t>
  </si>
  <si>
    <t>Revised Sept. '02</t>
  </si>
  <si>
    <t>DATE</t>
  </si>
  <si>
    <t>JEV
No.</t>
  </si>
  <si>
    <t>RCI/DV
No.</t>
  </si>
  <si>
    <t>Serial No. of
Checks</t>
  </si>
  <si>
    <t>Name of Disbursing Officer</t>
  </si>
  <si>
    <t>SUNDRY</t>
  </si>
  <si>
    <t>From</t>
  </si>
  <si>
    <t>To</t>
  </si>
  <si>
    <t>Acct. Code</t>
  </si>
  <si>
    <t>Prepared by:</t>
  </si>
  <si>
    <t>ROMMEL T. DE VERA</t>
  </si>
  <si>
    <t>2</t>
  </si>
  <si>
    <t>3</t>
  </si>
  <si>
    <t>4</t>
  </si>
  <si>
    <t>2-1</t>
  </si>
  <si>
    <t>2-2</t>
  </si>
  <si>
    <t>2-3</t>
  </si>
  <si>
    <t>3-1</t>
  </si>
  <si>
    <t>3-2</t>
  </si>
  <si>
    <t>3-3</t>
  </si>
  <si>
    <t>4-1</t>
  </si>
  <si>
    <t>1</t>
  </si>
  <si>
    <t>Appendix 5</t>
  </si>
  <si>
    <t>DEBIT/CREDIT</t>
  </si>
  <si>
    <t>COLLECTIONS</t>
  </si>
  <si>
    <t>DEPOSITS</t>
  </si>
  <si>
    <t>CASH RECEIPTS AND DEPOSITS JOURNAL</t>
  </si>
  <si>
    <t>Name of Collecting Officers</t>
  </si>
  <si>
    <t>To take-up Report of Collections and Deposits as follows:</t>
  </si>
  <si>
    <t>4-2</t>
  </si>
  <si>
    <t>4-3</t>
  </si>
  <si>
    <t>4-4</t>
  </si>
  <si>
    <t>2-4</t>
  </si>
  <si>
    <t>3-4</t>
  </si>
  <si>
    <t>4-5</t>
  </si>
  <si>
    <t>Fund Code</t>
  </si>
  <si>
    <t>355</t>
  </si>
  <si>
    <t>Total Non-Cash Expenses</t>
  </si>
  <si>
    <t>TOTAL LIABILITIES</t>
  </si>
  <si>
    <t>Total Non-Current Liabilities</t>
  </si>
  <si>
    <t>NET ASSETS/EQUITY</t>
  </si>
  <si>
    <t>STATEMENT OF CASH FLOW</t>
  </si>
  <si>
    <t>Total Cash Inflows</t>
  </si>
  <si>
    <t>Adjustments</t>
  </si>
  <si>
    <t>Total Cash Outflows</t>
  </si>
  <si>
    <t xml:space="preserve">Cash Flows from Operating Activites </t>
  </si>
  <si>
    <t>Cash Inflow</t>
  </si>
  <si>
    <t>Receipt of Notice of Cash Allocation</t>
  </si>
  <si>
    <t>Receipt of Notice of Transfer of Cash Allocation</t>
  </si>
  <si>
    <t>Receipt of NCA for Trust and other receipts</t>
  </si>
  <si>
    <t>Receipt of Working Fund for Foreign-Assisted Project</t>
  </si>
  <si>
    <t>Collection of Income/Revenues</t>
  </si>
  <si>
    <t>Collection of Tax revenue</t>
  </si>
  <si>
    <t>Collection of service and busines income</t>
  </si>
  <si>
    <t>Collection of other income</t>
  </si>
  <si>
    <t>Receipts of shares, grants and donations</t>
  </si>
  <si>
    <t>Receipt of prior years' income</t>
  </si>
  <si>
    <t>Receipt of Assistance and Subsidy from other NGAs, LGUs and GOCCs</t>
  </si>
  <si>
    <t>Susidy from other National Government Agencies</t>
  </si>
  <si>
    <t>Assistance from Local Government Units</t>
  </si>
  <si>
    <t>Assistance from Government -Owned and/or controlled Corporations</t>
  </si>
  <si>
    <t xml:space="preserve">Collective of Receivables </t>
  </si>
  <si>
    <t>Collection of loans and receivables</t>
  </si>
  <si>
    <t>Collection of lease receivables</t>
  </si>
  <si>
    <t>Collection of receivable from audit disallowances</t>
  </si>
  <si>
    <t>Collection of other receivables</t>
  </si>
  <si>
    <t>Receipt of Inter-Agency Fund Transfers</t>
  </si>
  <si>
    <t>Receipts of cah for the account of NGAs/LGUs/GOCCs</t>
  </si>
  <si>
    <t>Receipt of funds for the implementation of projects from NGAs/LGUs/GOCCs</t>
  </si>
  <si>
    <t>Receipts of funds for other Inter-agency transactions</t>
  </si>
  <si>
    <t>Receipts of Intra-Agency Fund Transfers</t>
  </si>
  <si>
    <t>Receipts of funds from CO/Bureaus/Ros/Ous for implementation of programs/projects</t>
  </si>
  <si>
    <t>Receipts of working fund for foreign-assisted projects</t>
  </si>
  <si>
    <t>Receipts of funds for other Intra- agency transactions</t>
  </si>
  <si>
    <t>Trust Receipts</t>
  </si>
  <si>
    <t>Receipt of Disaster Risk Reduction and management Fund</t>
  </si>
  <si>
    <t>Receipts of bail bonds</t>
  </si>
  <si>
    <t>Receipts of guaranty/security deposits</t>
  </si>
  <si>
    <t>Receipts of customers' deposits</t>
  </si>
  <si>
    <t>Collection of other trust receipts</t>
  </si>
  <si>
    <t xml:space="preserve">Other Receipts </t>
  </si>
  <si>
    <t>Advance collection of Income</t>
  </si>
  <si>
    <t>Receipts of deposits on letter of credits</t>
  </si>
  <si>
    <t>Receipts of refund of guaranty deposits</t>
  </si>
  <si>
    <t>Receipts of payment for liquidated damages</t>
  </si>
  <si>
    <t>Unused Petty Cash Fund</t>
  </si>
  <si>
    <t>Other deffered credits</t>
  </si>
  <si>
    <t>Refund of overpayment of Personnel Services</t>
  </si>
  <si>
    <t>Refund of overpayment of Maintenanace and Other Operating Expenses</t>
  </si>
  <si>
    <t>Receipts of refund of cash advances</t>
  </si>
  <si>
    <t>Proceeds from terminated treasury bill</t>
  </si>
  <si>
    <t>Collection from trust receipts from entities other than NGAs/LGUs/GOCCs</t>
  </si>
  <si>
    <t>Other miscellaneous receipts</t>
  </si>
  <si>
    <t>Restoration of cash for cancelled/lost/stale checks/ ADA</t>
  </si>
  <si>
    <t>Restoration of cash for unreleased checks</t>
  </si>
  <si>
    <t>Other adjustments- Inflow</t>
  </si>
  <si>
    <t>Cash Outflows</t>
  </si>
  <si>
    <t>Replenishment of Negotiated MDS CHECKS (for BTr)</t>
  </si>
  <si>
    <t>Remittance of National Treasury</t>
  </si>
  <si>
    <t xml:space="preserve">Payment of Personnel services </t>
  </si>
  <si>
    <t>Payment of maintenance and other operating expenses</t>
  </si>
  <si>
    <t>Payments of financial expenses</t>
  </si>
  <si>
    <t>Payment of expenses pertaining to/incured in the prior years</t>
  </si>
  <si>
    <t>Liquidation of prior year's cash advances</t>
  </si>
  <si>
    <t xml:space="preserve">Purchase of Inventories </t>
  </si>
  <si>
    <t>Purchase of Inventories for sale</t>
  </si>
  <si>
    <t xml:space="preserve">Purchase of Inventories for distribution </t>
  </si>
  <si>
    <t>Purchase of Inventory held for consumption</t>
  </si>
  <si>
    <t>Purchase of raw materials inventory</t>
  </si>
  <si>
    <t xml:space="preserve">Purchase of Consumable Biological Assets </t>
  </si>
  <si>
    <t>Purchase of livestocks held for consumptions/sale/distribution</t>
  </si>
  <si>
    <t>Purchase of trees, plants and crops held for consumption/sale/distribution</t>
  </si>
  <si>
    <t>Purchase of aquaculture</t>
  </si>
  <si>
    <t>Purchase of other consumable biological assets</t>
  </si>
  <si>
    <t>Grant of Cash Advances</t>
  </si>
  <si>
    <t>Advances for operating expenses</t>
  </si>
  <si>
    <t>Advances for payroll</t>
  </si>
  <si>
    <t>Advances for special purpose/time-bound undertakings</t>
  </si>
  <si>
    <t>Advances to officers and employees</t>
  </si>
  <si>
    <t>Prepayments</t>
  </si>
  <si>
    <t xml:space="preserve">Prepaid Registration </t>
  </si>
  <si>
    <t>Prepaid Interest</t>
  </si>
  <si>
    <t>Prepaid Insurance</t>
  </si>
  <si>
    <t>Other Prepayments</t>
  </si>
  <si>
    <t xml:space="preserve">Refund of deposits </t>
  </si>
  <si>
    <t>Payment of deposits on letter of ****</t>
  </si>
  <si>
    <t>Payment of other deposits</t>
  </si>
  <si>
    <t>Payment of Accounts Payables</t>
  </si>
  <si>
    <t>Remittance of Personnel Benefits Contributions and Mandatory Deductions</t>
  </si>
  <si>
    <t>Remittance taxes withheld not covered by TRA</t>
  </si>
  <si>
    <t>Remittance to GSIS/Pag-IBIG/PhilHealth</t>
  </si>
  <si>
    <t xml:space="preserve">Remittance of personnel benefits contributions  </t>
  </si>
  <si>
    <t>Remittance of other payables</t>
  </si>
  <si>
    <t>Grant of Financial Assistance/Subsidy</t>
  </si>
  <si>
    <t>Subsidy to NGAs</t>
  </si>
  <si>
    <t>Grant of financial assistance to NGOs/Pos</t>
  </si>
  <si>
    <t>Payment of Internal Revenue Allotment</t>
  </si>
  <si>
    <t>Grant of other subsidies</t>
  </si>
  <si>
    <t>Release of Inter-Agency Fund transfers</t>
  </si>
  <si>
    <t xml:space="preserve">Advances to Procurement Services </t>
  </si>
  <si>
    <t xml:space="preserve">Advances to other NGAs/GOCCs/LGUs for purchase of goods/services as authorized by law </t>
  </si>
  <si>
    <t>Release of funds to NGAs, GOCCs, LGUs for the implementation of Projects</t>
  </si>
  <si>
    <t>Release of other inter-agency fund transfers</t>
  </si>
  <si>
    <t>Release of Intra-Agency Fund Transfers</t>
  </si>
  <si>
    <t xml:space="preserve">Issuance of Working Fund to foreign services post and regional consular offices </t>
  </si>
  <si>
    <t>Issuance of NTCA by CO/Ros to Ros/Ous</t>
  </si>
  <si>
    <t>Issuance of funding chjecks by HO/ CO/Ros to Ros/Ous</t>
  </si>
  <si>
    <t>Other Disbursements</t>
  </si>
  <si>
    <t>Refund of excess income</t>
  </si>
  <si>
    <t>Refund of excess Working Fund/fund Transfers/Trust Fund</t>
  </si>
  <si>
    <t>Refund of bail bond</t>
  </si>
  <si>
    <t>Refund of guaranty/security deposits</t>
  </si>
  <si>
    <t>Refund of customers'deposits</t>
  </si>
  <si>
    <t>Refund of cash advances</t>
  </si>
  <si>
    <t>Reversal of Unutilized NCA</t>
  </si>
  <si>
    <t>Reversion/Return of unused NCA</t>
  </si>
  <si>
    <t>Adjustment for dishonored checks</t>
  </si>
  <si>
    <t>Adjustment for cash shortage</t>
  </si>
  <si>
    <t>Reversing entry for unreleased checks in previous year</t>
  </si>
  <si>
    <t>Other adjustments - Outflow</t>
  </si>
  <si>
    <t>Net Cash Provided by (Used in) Operating Activities</t>
  </si>
  <si>
    <t xml:space="preserve">Cash Flows from Investing Activities </t>
  </si>
  <si>
    <t>Proceeds from Sale of Investment Property</t>
  </si>
  <si>
    <t>Proceeds from Sale /Disposal of Property, Plant and Equipment</t>
  </si>
  <si>
    <t>Sale of Investments</t>
  </si>
  <si>
    <t xml:space="preserve">Proceeds from Sale of stocks/bonds/marketable securities </t>
  </si>
  <si>
    <t>Sale of investment in joint venture</t>
  </si>
  <si>
    <t>Sale of investment in associates</t>
  </si>
  <si>
    <t>Sale of other investments</t>
  </si>
  <si>
    <t>Receipt of Cash Dividends</t>
  </si>
  <si>
    <t>Proceeds from Matured/Return of Investments</t>
  </si>
  <si>
    <t>Redemption of long term investments</t>
  </si>
  <si>
    <t xml:space="preserve">Proceeds from matured investments </t>
  </si>
  <si>
    <t>Proceeds from the return on investment in joint venture</t>
  </si>
  <si>
    <t>Proceeds from the return on investment in associates</t>
  </si>
  <si>
    <t>Collection of Long-Term Loans</t>
  </si>
  <si>
    <t>Repayment of long term-loans by GOCC/GFI</t>
  </si>
  <si>
    <t>Collection of long-term loans</t>
  </si>
  <si>
    <t xml:space="preserve">Proceeds from Sale of other Assets </t>
  </si>
  <si>
    <t>Purchase/Construction of Investment Property</t>
  </si>
  <si>
    <t>Purchase/construction of property, plant and equipment</t>
  </si>
  <si>
    <t xml:space="preserve">Purchase of land </t>
  </si>
  <si>
    <t xml:space="preserve">Payment for land improvements </t>
  </si>
  <si>
    <t>Contruction of infrastructure assets</t>
  </si>
  <si>
    <t>Construction of buildings and other structures</t>
  </si>
  <si>
    <t>Purchase of machinery and equipment</t>
  </si>
  <si>
    <t>Purchase of transportation equipment</t>
  </si>
  <si>
    <t>Purchase of furnitures, fixtures and books</t>
  </si>
  <si>
    <t>Payments for leased assets improvement</t>
  </si>
  <si>
    <t>Construction in progress</t>
  </si>
  <si>
    <t>Construction/Acquistion of heritage assets</t>
  </si>
  <si>
    <t>Purchase of other property, plant and equipment\</t>
  </si>
  <si>
    <t>Payment of right-of-way</t>
  </si>
  <si>
    <t>Advances to contractors</t>
  </si>
  <si>
    <t>Payment of guaranty deposit</t>
  </si>
  <si>
    <t xml:space="preserve">Payment of retention fee to contractors </t>
  </si>
  <si>
    <t>Payment of other fees charged to the projects</t>
  </si>
  <si>
    <t>Payment of incidental expenses</t>
  </si>
  <si>
    <t>Payment for rehabilitation of property, plant and equipment (capitalized repair</t>
  </si>
  <si>
    <t>Payment of accounts payable for the construction of property,palant and equipment</t>
  </si>
  <si>
    <t>Investments</t>
  </si>
  <si>
    <t>Investment in stocks/bonds/marketable securities</t>
  </si>
  <si>
    <t>Investment in GOCC/GFI</t>
  </si>
  <si>
    <t xml:space="preserve">Investment in joint venture </t>
  </si>
  <si>
    <t>Investment in associates</t>
  </si>
  <si>
    <t>Other long-term investments</t>
  </si>
  <si>
    <t>Purchase of Bearer Biological Assets</t>
  </si>
  <si>
    <t>Purchase of breeding stocks</t>
  </si>
  <si>
    <t xml:space="preserve">Purchase of livestock </t>
  </si>
  <si>
    <t xml:space="preserve">Purchase of trees, plants and crops </t>
  </si>
  <si>
    <t>Purchase of other bearer biological assets</t>
  </si>
  <si>
    <t>Purchase of Intangible Assets</t>
  </si>
  <si>
    <t>Purchase of computer software</t>
  </si>
  <si>
    <t>Purchase of other intagible assets</t>
  </si>
  <si>
    <t>Release of funds for sub-loans</t>
  </si>
  <si>
    <t>Grants of loans</t>
  </si>
  <si>
    <t>Cash Flows from Financing Activities</t>
  </si>
  <si>
    <t>Cash Inflows</t>
  </si>
  <si>
    <t xml:space="preserve">Proceeds from issuance of bills and bonds </t>
  </si>
  <si>
    <t xml:space="preserve">Proceeds from issuance of bill </t>
  </si>
  <si>
    <t>Proceeds from issuance of bonds</t>
  </si>
  <si>
    <t>Proceeds from Domestic and Foreign Loans</t>
  </si>
  <si>
    <t>Proceeds from issuance of notes payable</t>
  </si>
  <si>
    <t>Proceeds from domestics loans</t>
  </si>
  <si>
    <t>Proceeds from foreign loans</t>
  </si>
  <si>
    <t xml:space="preserve">Total Cash Inflows </t>
  </si>
  <si>
    <t xml:space="preserve">Cash Outflows </t>
  </si>
  <si>
    <t>Payment of Long-Term Liabilities</t>
  </si>
  <si>
    <t>Payment of notes payable</t>
  </si>
  <si>
    <t>Payment of domestic loans</t>
  </si>
  <si>
    <t>Payment of foreign loans</t>
  </si>
  <si>
    <t>Payment of finance lease payable</t>
  </si>
  <si>
    <t>Payment of other long-term liabilities</t>
  </si>
  <si>
    <t>Redemption of Bills/Bonds Issued</t>
  </si>
  <si>
    <t xml:space="preserve">Payment for redemption of treasury bills </t>
  </si>
  <si>
    <t>Payment for redemption of bonds</t>
  </si>
  <si>
    <t>Payment of Interest Expenses (BTR/NG Debt)</t>
  </si>
  <si>
    <t>Net Cash Provided By (Used In) Financing Activities</t>
  </si>
  <si>
    <t>Increase (Decrese) in Cash and Cash Equivalents</t>
  </si>
  <si>
    <t>Effects of Exchange Rate Changes on Cash and Cash Equivalents</t>
  </si>
  <si>
    <t>Cash and Cash Equivalents, January 1, 2014</t>
  </si>
  <si>
    <t>Cash and Cash Equivalents, December 31, 2014</t>
  </si>
  <si>
    <t>ASA #</t>
  </si>
  <si>
    <t>Row Labels</t>
  </si>
  <si>
    <t>Grand Total</t>
  </si>
  <si>
    <t>Sort Code</t>
  </si>
  <si>
    <t>Collecting Officer/Office</t>
  </si>
  <si>
    <t>Collecting Officer/Office:</t>
  </si>
  <si>
    <t>625-2A</t>
  </si>
  <si>
    <t>JEV Number</t>
  </si>
  <si>
    <t>Sub Code</t>
  </si>
  <si>
    <t>Running Balance</t>
  </si>
  <si>
    <t>Account Code (Old)</t>
  </si>
  <si>
    <t>Account Code (New)</t>
  </si>
  <si>
    <t>Debit/Credit</t>
  </si>
  <si>
    <t>CF Code</t>
  </si>
  <si>
    <t>Advances to Contractors for repair and maintenance of property,plant and equipment</t>
  </si>
  <si>
    <t>Payment of Expenses</t>
  </si>
  <si>
    <t>Payment of guaranty deposits</t>
  </si>
  <si>
    <t>Grant of Financial assistance to NGAs/LGUs/GOCCs</t>
  </si>
  <si>
    <t xml:space="preserve">Grant of loans </t>
  </si>
  <si>
    <t xml:space="preserve">Collection of Receivables </t>
  </si>
  <si>
    <t>Check Date</t>
  </si>
  <si>
    <t>Check Number</t>
  </si>
  <si>
    <t>DV Date</t>
  </si>
  <si>
    <t>DV Number</t>
  </si>
  <si>
    <t>Responsibility Center</t>
  </si>
  <si>
    <t>Ofc Code</t>
  </si>
  <si>
    <t>Regional Irrigation Manager</t>
  </si>
  <si>
    <t>Financial Planning Specialist B</t>
  </si>
  <si>
    <t>Sr. Financial Planning Analyst</t>
  </si>
  <si>
    <t>JOSEPHINE B. SALAZAR</t>
  </si>
  <si>
    <t>MANUEL T. PADOLINA</t>
  </si>
  <si>
    <t xml:space="preserve">        Approved:</t>
  </si>
  <si>
    <t xml:space="preserve">                         Certified correct:</t>
  </si>
  <si>
    <t>Reviewed by:</t>
  </si>
  <si>
    <t>Viability Index</t>
  </si>
  <si>
    <t>NIS Share in IMO Expenses</t>
  </si>
  <si>
    <t>Total Net Income (Loss)</t>
  </si>
  <si>
    <t>NIS / PIO Share in RIO Expenses</t>
  </si>
  <si>
    <t>Net Income (Loss)</t>
  </si>
  <si>
    <t>Total Operating Expenses</t>
  </si>
  <si>
    <t>Total Expenses - MOOE</t>
  </si>
  <si>
    <t>.</t>
  </si>
  <si>
    <t>EXPENSES (MOOE)</t>
  </si>
  <si>
    <t>Total Expenses - Personal Services</t>
  </si>
  <si>
    <t>EXPENSES (PS)</t>
  </si>
  <si>
    <t>Total Income Earned</t>
  </si>
  <si>
    <t>INCOME</t>
  </si>
  <si>
    <t>5</t>
  </si>
  <si>
    <t>TOTAL
TARZAM IMO</t>
  </si>
  <si>
    <t>TARZAM PIO</t>
  </si>
  <si>
    <t>Nayom
Bayto RIS</t>
  </si>
  <si>
    <t>Bucao
RIS</t>
  </si>
  <si>
    <t>Camiling
RIS</t>
  </si>
  <si>
    <t>Tasmoris</t>
  </si>
  <si>
    <t>TOTAL PAMBAT  IMO</t>
  </si>
  <si>
    <t>PAMBAT PIO</t>
  </si>
  <si>
    <t>Colo
Caulaman RIS</t>
  </si>
  <si>
    <t>Pampanga Delta</t>
  </si>
  <si>
    <t>Porac
Gumain RIS</t>
  </si>
  <si>
    <t>TOTAL
BANE  IMO</t>
  </si>
  <si>
    <t>BANE PIO</t>
  </si>
  <si>
    <t>Disalit
RIS</t>
  </si>
  <si>
    <t>Angat
Maasim RIS</t>
  </si>
  <si>
    <t>T     A     R     Z     A     M   -   I   M   O</t>
  </si>
  <si>
    <t>P     A     M     B     A     T   -   I   M   O</t>
  </si>
  <si>
    <t>B     A     N     E   -   I   M   O</t>
  </si>
  <si>
    <t>Regional
Office</t>
  </si>
  <si>
    <t>Account    Code</t>
  </si>
  <si>
    <t>P A R T I C U L A R S</t>
  </si>
  <si>
    <t>Statement of Income and Expenses</t>
  </si>
  <si>
    <t>NET INCOME (DEFICIT)</t>
  </si>
  <si>
    <t>Amount of Share R.O.</t>
  </si>
  <si>
    <t>Amount of Share IMO</t>
  </si>
  <si>
    <t>Total Expenses w/Other Exp.</t>
  </si>
  <si>
    <t>Total Other Expenses</t>
  </si>
  <si>
    <t>Repair &amp; Maint. - Irrig. Canals &amp; Lats.</t>
  </si>
  <si>
    <t>E. Other Expenses not included in the computation of VIG</t>
  </si>
  <si>
    <t>Viability Index W/R.O. Expense</t>
  </si>
  <si>
    <t>Monetization</t>
  </si>
  <si>
    <t>Terminal leave-Regular Retirees</t>
  </si>
  <si>
    <t>Retirement Gratuity</t>
  </si>
  <si>
    <t>Collection Viability Incentives</t>
  </si>
  <si>
    <t>CNA</t>
  </si>
  <si>
    <t>PEI</t>
  </si>
  <si>
    <t>-</t>
  </si>
  <si>
    <t>PBB</t>
  </si>
  <si>
    <t>Other Expenses</t>
  </si>
  <si>
    <t>Amount of Share w/out Other Exp. R.O.</t>
  </si>
  <si>
    <t>Amount of Share w/out Other Exp. IMO</t>
  </si>
  <si>
    <t>D. TOTAL EXPENSES</t>
  </si>
  <si>
    <t>Un-paid</t>
  </si>
  <si>
    <t>Paid</t>
  </si>
  <si>
    <t>3. Power</t>
  </si>
  <si>
    <t>NIMF</t>
  </si>
  <si>
    <t>Regular</t>
  </si>
  <si>
    <t>2. MOOE</t>
  </si>
  <si>
    <t>1. Personal Services</t>
  </si>
  <si>
    <t>C. EXPENSES</t>
  </si>
  <si>
    <t>TOTAL INCOME</t>
  </si>
  <si>
    <t>SUB-TOTAL</t>
  </si>
  <si>
    <t>5. Budgetary Support</t>
  </si>
  <si>
    <t>4. Miscellaneous / Others</t>
  </si>
  <si>
    <t>3. CIP / CIS Equity</t>
  </si>
  <si>
    <t>Interest/Penalty</t>
  </si>
  <si>
    <t>Back</t>
  </si>
  <si>
    <t>Back Account</t>
  </si>
  <si>
    <t>Current Account</t>
  </si>
  <si>
    <t>2. CIS Amortization</t>
  </si>
  <si>
    <t>1. Power</t>
  </si>
  <si>
    <t>B. NON-OPERATING INCOME</t>
  </si>
  <si>
    <t>3. Pump Amortization</t>
  </si>
  <si>
    <t>2. Equipment Rental</t>
  </si>
  <si>
    <t>Penalty</t>
  </si>
  <si>
    <t>Incentive Policy</t>
  </si>
  <si>
    <t>1. Irrigation Service Fee</t>
  </si>
  <si>
    <t>A. OPERATING INCOME</t>
  </si>
  <si>
    <t>Total</t>
  </si>
  <si>
    <t>As of Last Month</t>
  </si>
  <si>
    <t>A vs C</t>
  </si>
  <si>
    <t>Accomplishment</t>
  </si>
  <si>
    <t>Total
Commitment as of</t>
  </si>
  <si>
    <t>Revenue Generation and Expenditures</t>
  </si>
  <si>
    <t>Sort Code/Ofc Code</t>
  </si>
  <si>
    <t>Payee</t>
  </si>
  <si>
    <t>Balance
for the Month</t>
  </si>
  <si>
    <t>Nueva Ecija</t>
  </si>
  <si>
    <t>Repairs and Maintenance - Buildings</t>
  </si>
  <si>
    <t>Other General Services</t>
  </si>
  <si>
    <t>Advances to Special Disbursing Officer</t>
  </si>
  <si>
    <t>Due from Other Funds</t>
  </si>
  <si>
    <t>Due from National Government Agencies</t>
  </si>
  <si>
    <t>Buildings</t>
  </si>
  <si>
    <t>Medical Equipment</t>
  </si>
  <si>
    <t>Due to NGAs</t>
  </si>
  <si>
    <t>Allowance for Impairment-Accounts Receivable</t>
  </si>
  <si>
    <t>(All)</t>
  </si>
  <si>
    <t>Values</t>
  </si>
  <si>
    <t>Sum of Debit</t>
  </si>
  <si>
    <t>Sum of Credit</t>
  </si>
  <si>
    <t>PS</t>
  </si>
  <si>
    <t>PARTICULAR</t>
  </si>
  <si>
    <t>A. INCOME</t>
  </si>
  <si>
    <t>OPERATING INCOME :</t>
  </si>
  <si>
    <t>Current</t>
  </si>
  <si>
    <t xml:space="preserve">     Regular</t>
  </si>
  <si>
    <t xml:space="preserve">     Incentive Policy</t>
  </si>
  <si>
    <t xml:space="preserve">     Penalty</t>
  </si>
  <si>
    <t>2.  Equipment Rental/ Rent Income</t>
  </si>
  <si>
    <t>Internal (Not Specified in source of data if Internal/External )</t>
  </si>
  <si>
    <t>External</t>
  </si>
  <si>
    <t>NON-OPERATING INCOME :</t>
  </si>
  <si>
    <t>1. 1st GEN</t>
  </si>
  <si>
    <t>2. BHEP Power Generation</t>
  </si>
  <si>
    <t>5. 5% Management Fee</t>
  </si>
  <si>
    <t>Subsidy for the Operating Requirements</t>
  </si>
  <si>
    <t xml:space="preserve">                       Total</t>
  </si>
  <si>
    <t>B.  EXPENSES</t>
  </si>
  <si>
    <t xml:space="preserve">       PERSONAL SERVICES</t>
  </si>
  <si>
    <t xml:space="preserve">           1. Salaries and Wages</t>
  </si>
  <si>
    <t xml:space="preserve">    a. Salaries</t>
  </si>
  <si>
    <t xml:space="preserve">    b. Wages-Daily/ Contractual Personnel</t>
  </si>
  <si>
    <t xml:space="preserve">           2. Other Compensation</t>
  </si>
  <si>
    <t>a. PERA/ ACA</t>
  </si>
  <si>
    <t>b. Representation Allowance</t>
  </si>
  <si>
    <t>c. Transportation Allowance</t>
  </si>
  <si>
    <t>d. Uniform /Clothing Allowance</t>
  </si>
  <si>
    <t>e. Productivity Incentive Bonus</t>
  </si>
  <si>
    <t>f. Honoraria</t>
  </si>
  <si>
    <t>g. Children Allowances</t>
  </si>
  <si>
    <t>h. Medical Allowances</t>
  </si>
  <si>
    <t>i. Meal Allowances</t>
  </si>
  <si>
    <t>j. Cash Gift</t>
  </si>
  <si>
    <t>k. PEI</t>
  </si>
  <si>
    <t>l.  C.N.A.</t>
  </si>
  <si>
    <t>m.  Year-End -Bonus</t>
  </si>
  <si>
    <t>n. Overtime Pay</t>
  </si>
  <si>
    <t xml:space="preserve">           3. Fixed Personal Expenditures</t>
  </si>
  <si>
    <t xml:space="preserve">a. GSIS Life &amp; Ret .Premium </t>
  </si>
  <si>
    <t>b.Pag-ibig/HDMF</t>
  </si>
  <si>
    <t>c.Philhealth</t>
  </si>
  <si>
    <t>d.Employee Comp.(ECC)</t>
  </si>
  <si>
    <t xml:space="preserve">           4. Other Personal Services Expenses</t>
  </si>
  <si>
    <t>a. Loyalty Award</t>
  </si>
  <si>
    <t>b. Performance Bonus</t>
  </si>
  <si>
    <t>c. Anniversary Bonus</t>
  </si>
  <si>
    <t>d. Monetization</t>
  </si>
  <si>
    <t xml:space="preserve">           5. Provident Fund</t>
  </si>
  <si>
    <t>Total Personal Services(Net TL &amp; RG)</t>
  </si>
  <si>
    <t xml:space="preserve">           6. Other Personal Services (Regular Retirees)</t>
  </si>
  <si>
    <t xml:space="preserve">a. Retirement Gratuity </t>
  </si>
  <si>
    <t>b. Terminal Leave</t>
  </si>
  <si>
    <t xml:space="preserve">         Total Personal Services</t>
  </si>
  <si>
    <t>Total PS less: Other PS Expenses</t>
  </si>
  <si>
    <t>MOOE</t>
  </si>
  <si>
    <t>1. Travelling Expenses</t>
  </si>
  <si>
    <t>2. Training and Scholarship Expenses</t>
  </si>
  <si>
    <t>3. Supplies and Materials</t>
  </si>
  <si>
    <t>a.Office Supplies</t>
  </si>
  <si>
    <t>b. Accountable Forms</t>
  </si>
  <si>
    <t>c.Drugs and Medicines</t>
  </si>
  <si>
    <t>d. Medical, Dental and Laboratory Supplies</t>
  </si>
  <si>
    <t>e. Gasoline, Oil and Lubricants</t>
  </si>
  <si>
    <t>f. Textbooks and Instructional Materials</t>
  </si>
  <si>
    <t>g. Other Supplies</t>
  </si>
  <si>
    <t>4. Utility Expense</t>
  </si>
  <si>
    <t>a. Water</t>
  </si>
  <si>
    <t>b. Electricity</t>
  </si>
  <si>
    <t xml:space="preserve">    b.1. Illumination</t>
  </si>
  <si>
    <t xml:space="preserve">    b.2.  Power for Pumps</t>
  </si>
  <si>
    <t>5. Communication Expenses</t>
  </si>
  <si>
    <t>a. Postage and Deliveries</t>
  </si>
  <si>
    <t>b.Telephone expenses -Landline</t>
  </si>
  <si>
    <t>c.Telephone Expenses- Mobile</t>
  </si>
  <si>
    <t xml:space="preserve">d.Internet Expenses </t>
  </si>
  <si>
    <t>e. Cable, Satellite, Telegraph and Radio Expenses</t>
  </si>
  <si>
    <t>6. Membership Dues and Contributions to Org.</t>
  </si>
  <si>
    <t>7. Advertising Expense</t>
  </si>
  <si>
    <t>8. Printing and Binding Expense</t>
  </si>
  <si>
    <t>9. Rent Expense</t>
  </si>
  <si>
    <t>10. Representation Expenses</t>
  </si>
  <si>
    <t>11. Transportation and Delivery Expense</t>
  </si>
  <si>
    <t>12. Storage Expenses</t>
  </si>
  <si>
    <t>13. Subscription Expenses</t>
  </si>
  <si>
    <t>14. Rewards and Other Claims</t>
  </si>
  <si>
    <t>15. Professional Services</t>
  </si>
  <si>
    <t>a. Legal Sevices</t>
  </si>
  <si>
    <t>b. Auditing Services</t>
  </si>
  <si>
    <t>c. Consultancy Services</t>
  </si>
  <si>
    <t>d. Environment &amp; Sanitary Services</t>
  </si>
  <si>
    <t>e. General Services</t>
  </si>
  <si>
    <t xml:space="preserve">f. Janitorial Services </t>
  </si>
  <si>
    <t>g. Security Services</t>
  </si>
  <si>
    <t>h. Other Prof. Serv.(Job Order, Cont.of Service etc.)</t>
  </si>
  <si>
    <t>16. Repairs and Maintenance</t>
  </si>
  <si>
    <t>a. Office Equip., Furn.&amp; Fix., IT Eqp't &amp; Software</t>
  </si>
  <si>
    <t>b. Macheniries and Equipment</t>
  </si>
  <si>
    <t>c. Transporation Equipment</t>
  </si>
  <si>
    <t>d. Building and Structures</t>
  </si>
  <si>
    <t>e. Public Insfractructure</t>
  </si>
  <si>
    <t>f. Other Property ,Plant and Equipment</t>
  </si>
  <si>
    <t>17. Subsidies and Donations</t>
  </si>
  <si>
    <t>18. Extraordinary &amp; Miscellaneous Expenses</t>
  </si>
  <si>
    <t>a. Extraordinary Expense</t>
  </si>
  <si>
    <t>b. Miscellaneous Expense</t>
  </si>
  <si>
    <t>19. Taxes Insurance Premiums and Other Fees</t>
  </si>
  <si>
    <t>a. Taxes ,Duties and Licenses</t>
  </si>
  <si>
    <t xml:space="preserve">b. Fedility Bond Premiums </t>
  </si>
  <si>
    <t>c. Insurance Expenses</t>
  </si>
  <si>
    <t>20. Other Maintenance &amp; Operating Expenses</t>
  </si>
  <si>
    <t>a. Collection Expense</t>
  </si>
  <si>
    <t>b. Collection Viability Bonus</t>
  </si>
  <si>
    <t>c. Athletics</t>
  </si>
  <si>
    <t>d. Motorcycle Allowance</t>
  </si>
  <si>
    <t>e. Others(Pls. Specify) Gender and Development and Meals &amp; Snacks</t>
  </si>
  <si>
    <t>21. 10% Discount on ISF Collection</t>
  </si>
  <si>
    <t>22. Loss on Sale of Palay</t>
  </si>
  <si>
    <t>Sub-Total Regular MOOE</t>
  </si>
  <si>
    <t>Total MOOE less: Other MOOE</t>
  </si>
  <si>
    <t>OTHER MOOE -NIMF</t>
  </si>
  <si>
    <t>1. IA Renumerations for Canal Clearing &amp; Maintenance</t>
  </si>
  <si>
    <t>2. IA Shares from Collection of ISF</t>
  </si>
  <si>
    <t>3.Power Cost for Pumps</t>
  </si>
  <si>
    <t>4.Training Expenses for IA's</t>
  </si>
  <si>
    <t>Total MOOE-NIMF</t>
  </si>
  <si>
    <t>Total NIMF less: Others</t>
  </si>
  <si>
    <t>TOTAL  MOOE</t>
  </si>
  <si>
    <t>TOTAL EXPENSES</t>
  </si>
  <si>
    <t>CAPITAL OUTLAY</t>
  </si>
  <si>
    <t>TOTAL REG. EXPENSES &amp; CAPITAL OUTLAY</t>
  </si>
  <si>
    <t>SURPLUS / DEFICIT</t>
  </si>
  <si>
    <t>735</t>
  </si>
  <si>
    <t>969-5</t>
  </si>
  <si>
    <t>969-6</t>
  </si>
  <si>
    <t>969-7</t>
  </si>
  <si>
    <t>969-8</t>
  </si>
  <si>
    <t>Other MOOE - Meals &amp; Snacks</t>
  </si>
  <si>
    <t>969-9</t>
  </si>
  <si>
    <t>969-10</t>
  </si>
  <si>
    <t>969-11</t>
  </si>
  <si>
    <t>Code</t>
  </si>
  <si>
    <t>Annual Cash Program CY 2017</t>
  </si>
  <si>
    <t>Current Operating Budget</t>
  </si>
  <si>
    <t>3. NPC Share in O&amp;M Cost of Magat Dam</t>
  </si>
  <si>
    <t>4. SN Aboitiz Power. Inc.</t>
  </si>
  <si>
    <t>6. CIP/ CIS Amortization</t>
  </si>
  <si>
    <t>7. CIP/ CIS/Pump Equity</t>
  </si>
  <si>
    <t>8. Miscellaneous Income (Pls.specify)</t>
  </si>
  <si>
    <t>9. Budgetary Support</t>
  </si>
  <si>
    <t>Bid Documents</t>
  </si>
  <si>
    <t>Scrap of Fixed Assets</t>
  </si>
  <si>
    <t>Others (Power)</t>
  </si>
  <si>
    <t>Disallowance</t>
  </si>
  <si>
    <t>1. Irrigation Service Fees</t>
  </si>
  <si>
    <t>e1. GAD</t>
  </si>
  <si>
    <t>e2. Meals &amp; Snacks</t>
  </si>
  <si>
    <t>5. Repair and Maintenance of Existing NIS</t>
  </si>
  <si>
    <t>6. Repair of Building</t>
  </si>
  <si>
    <t>CY 2017
Commitment</t>
  </si>
  <si>
    <t>706</t>
  </si>
  <si>
    <t>999</t>
  </si>
  <si>
    <t>Capital Outlay</t>
  </si>
  <si>
    <t>Provident Fund</t>
  </si>
  <si>
    <t>Drugs and Medicines</t>
  </si>
  <si>
    <t>Medical, Dental and Laboratory Supplies</t>
  </si>
  <si>
    <t>Membership Dues and Contributions to Org.</t>
  </si>
  <si>
    <t>Advertising Expense</t>
  </si>
  <si>
    <t>Rewards and Other Claims</t>
  </si>
  <si>
    <t>Legal Sevices</t>
  </si>
  <si>
    <t>Consultancy Services</t>
  </si>
  <si>
    <t>General Services</t>
  </si>
  <si>
    <t xml:space="preserve">Janitorial Services </t>
  </si>
  <si>
    <t>Repairs and Maintenance - Public Insfractructure</t>
  </si>
  <si>
    <t>Subsidies and Donations</t>
  </si>
  <si>
    <t>Collection Expense</t>
  </si>
  <si>
    <t>Other MOOE - Athletics</t>
  </si>
  <si>
    <t>Other MOOE - GAD</t>
  </si>
  <si>
    <t>IA Renumerations for Canal Clearing &amp; Maintenance</t>
  </si>
  <si>
    <t>Repair of Building</t>
  </si>
  <si>
    <t>Deviation
to date
A vs C</t>
  </si>
  <si>
    <t>REGION III</t>
  </si>
  <si>
    <t>OFFICE</t>
  </si>
  <si>
    <t>COMMITMENT</t>
  </si>
  <si>
    <t>ACTUAL</t>
  </si>
  <si>
    <t>IMO Share</t>
  </si>
  <si>
    <t>Share on
Regional Expenses</t>
  </si>
  <si>
    <t xml:space="preserve">Net Inc. (Loss)
VIG MC 20
s. 2007 </t>
  </si>
  <si>
    <t>VI</t>
  </si>
  <si>
    <t>Commitment
VS
Actual</t>
  </si>
  <si>
    <t>EXPENSES</t>
  </si>
  <si>
    <t>NET INCOME/
(LOSS)</t>
  </si>
  <si>
    <t>VS</t>
  </si>
  <si>
    <t>W/ RO SHARE</t>
  </si>
  <si>
    <t>AURORA           PIMO</t>
  </si>
  <si>
    <t>Income</t>
  </si>
  <si>
    <t>Expenses</t>
  </si>
  <si>
    <t>Net Inc./(Loss)</t>
  </si>
  <si>
    <t>BULACAN             PIMO</t>
  </si>
  <si>
    <t>NUEVA ECIJA PIMO</t>
  </si>
  <si>
    <t>IMO</t>
  </si>
  <si>
    <t>PAMPANGA           PIMO</t>
  </si>
  <si>
    <t>BATAAN           PIMO</t>
  </si>
  <si>
    <t>TARLAC           PIMO</t>
  </si>
  <si>
    <t>ZAMBALES         PIMO</t>
  </si>
  <si>
    <t>CAMILING RIS</t>
  </si>
  <si>
    <t>REGIONAL   OFFICE</t>
  </si>
  <si>
    <t>Monthly Monitoring Report-CY 2017</t>
  </si>
  <si>
    <t>Checked and verified:</t>
  </si>
  <si>
    <t>Noted:</t>
  </si>
  <si>
    <t>Republic of the Philippines</t>
  </si>
  <si>
    <t>(Pambansang Pangasiwaan ng Patubig)</t>
  </si>
  <si>
    <t>Regional Office No. III</t>
  </si>
  <si>
    <t>P  A  R  T  I  C  U  L  A  R  S</t>
  </si>
  <si>
    <t>ASA RECEIVED</t>
  </si>
  <si>
    <t>BALANCE</t>
  </si>
  <si>
    <t>I PERSONAL SERVICES</t>
  </si>
  <si>
    <t>1. Salaries and Wages</t>
  </si>
  <si>
    <t>a. Salaries</t>
  </si>
  <si>
    <t>b. Wages</t>
  </si>
  <si>
    <t>c. Contractual Personnel</t>
  </si>
  <si>
    <t>2. Other Compensation</t>
  </si>
  <si>
    <t>a. PERA</t>
  </si>
  <si>
    <t>b. CNA</t>
  </si>
  <si>
    <t>c. Representation Allowance</t>
  </si>
  <si>
    <t>d. Transportation Allowance</t>
  </si>
  <si>
    <t>e. Uniform / Clothing Allowance</t>
  </si>
  <si>
    <t>f. Productivity Incentive Bonus</t>
  </si>
  <si>
    <t>g. Honoraria</t>
  </si>
  <si>
    <t>h. Children Allowance</t>
  </si>
  <si>
    <t>i. Medical Allowance</t>
  </si>
  <si>
    <t>j. Meal Allowance</t>
  </si>
  <si>
    <t>l. Cash Gift</t>
  </si>
  <si>
    <t>m. Year-End Bonus</t>
  </si>
  <si>
    <t>3. Other Benefits</t>
  </si>
  <si>
    <t>a. Retirement Benefits</t>
  </si>
  <si>
    <t>b. Terminal Leave Benefits</t>
  </si>
  <si>
    <t>c. Others (1st 30 days)</t>
  </si>
  <si>
    <t>4. Fixed Personal Expenditures</t>
  </si>
  <si>
    <t>a. GSIS Ret. &amp; Life Insurance Premium</t>
  </si>
  <si>
    <t>b. PAG IBIG Contributions</t>
  </si>
  <si>
    <t>c. PHILHEALTH Contributions</t>
  </si>
  <si>
    <t>d. Employees Compensation Insurance Premium</t>
  </si>
  <si>
    <t>5. Other Personal Services Expenses</t>
  </si>
  <si>
    <t>TOTAL - PERSONAL SERVICES</t>
  </si>
  <si>
    <t>II. MAINTENANCE &amp; OTHER OPERATING EXPENSES</t>
  </si>
  <si>
    <t>2. Training &amp; ScholarshipExpenses</t>
  </si>
  <si>
    <t>3. Supplies &amp; Materials</t>
  </si>
  <si>
    <t>a. Office Supplies</t>
  </si>
  <si>
    <t>c. Drugs &amp; Medicines</t>
  </si>
  <si>
    <t>e. Gasoline, Oil &amp; Lubricants</t>
  </si>
  <si>
    <t>f. Textbooks &amp; Instructional Materials</t>
  </si>
  <si>
    <t>g. Other Supplies Expense</t>
  </si>
  <si>
    <t>h. Collection Expense</t>
  </si>
  <si>
    <t>b. Electicity</t>
  </si>
  <si>
    <t>a. Illumination</t>
  </si>
  <si>
    <t>b. Power for Pumps</t>
  </si>
  <si>
    <t>5. Communication Expense</t>
  </si>
  <si>
    <t>6. Membership Dues &amp; Contributions to Organizations</t>
  </si>
  <si>
    <t>8. Printing &amp; Binding Expense</t>
  </si>
  <si>
    <t>9. Rent Expenses</t>
  </si>
  <si>
    <t>14. Professional Services</t>
  </si>
  <si>
    <t>a. Legal Services</t>
  </si>
  <si>
    <t>d. Environmental &amp; Sanitary Services</t>
  </si>
  <si>
    <t>f. Janitorial Services</t>
  </si>
  <si>
    <t>h. Other Professional Services</t>
  </si>
  <si>
    <t>15. Repairs &amp; Maintenance</t>
  </si>
  <si>
    <t>16. Subsidies &amp; Donations</t>
  </si>
  <si>
    <t>17. Extraordinary &amp; Miscellaneous Expense</t>
  </si>
  <si>
    <t>a. Extraordinary Expenses</t>
  </si>
  <si>
    <t>b. Miscellaneous Expenses</t>
  </si>
  <si>
    <t>c. Viability Incentive  Grant</t>
  </si>
  <si>
    <t>d. Discretionary</t>
  </si>
  <si>
    <t>e. Athletics</t>
  </si>
  <si>
    <t>f. Other Miscellaneous Expenses</t>
  </si>
  <si>
    <t>18. Taxes, Insurance premiums &amp; Other Fees</t>
  </si>
  <si>
    <t>19. 10% Discount on ISF Collection</t>
  </si>
  <si>
    <t>20. Irrigator's Share</t>
  </si>
  <si>
    <t>21. Loss on Sale of Palay</t>
  </si>
  <si>
    <t>22. Motorcycle Allowance</t>
  </si>
  <si>
    <t>23. Contractual Services</t>
  </si>
  <si>
    <t>24. Job Order</t>
  </si>
  <si>
    <t>25. Bank Charges</t>
  </si>
  <si>
    <t>27. Other MOOE</t>
  </si>
  <si>
    <t>TOTAL - MOOE</t>
  </si>
  <si>
    <t>Prepared By:</t>
  </si>
  <si>
    <t>Certified Correct :</t>
  </si>
  <si>
    <t>Financial Planning Speacialist B</t>
  </si>
  <si>
    <t xml:space="preserve">                                         Noted:</t>
  </si>
  <si>
    <t>Regional Manager</t>
  </si>
  <si>
    <t>n. Overtime Services</t>
  </si>
  <si>
    <t>a. Telephone - Landline</t>
  </si>
  <si>
    <t>b. Telephone - Mobile</t>
  </si>
  <si>
    <t>26. GAD</t>
  </si>
  <si>
    <t>c. Internet Expenses</t>
  </si>
  <si>
    <t>a. Building</t>
  </si>
  <si>
    <t>b. Office Equipment</t>
  </si>
  <si>
    <t>c. Machineries</t>
  </si>
  <si>
    <t>d. Other Transportation Equipment</t>
  </si>
  <si>
    <t>e. Other Property, Plant and Equipment</t>
  </si>
  <si>
    <t>f. Irrigation, Canals and Laterals</t>
  </si>
  <si>
    <t>g. Construction and Heavy Equipment</t>
  </si>
  <si>
    <t>h. Other Machineries and Equipment</t>
  </si>
  <si>
    <t>i. Motor Vehicles</t>
  </si>
  <si>
    <t>156</t>
  </si>
  <si>
    <t>STATEMENT OF BUDGET UTILIZATION FOR CY 2017</t>
  </si>
  <si>
    <t>141</t>
  </si>
  <si>
    <t>11. Postage &amp; Deliveries</t>
  </si>
  <si>
    <t>DISBURSEMENT</t>
  </si>
  <si>
    <t>Statement of Revenue and Expenses</t>
  </si>
  <si>
    <t>4. Power</t>
  </si>
  <si>
    <t>5. CIS Amortization</t>
  </si>
  <si>
    <t>6. CIP / CIS Equity</t>
  </si>
  <si>
    <t>7. Miscellaneous / Others</t>
  </si>
  <si>
    <t>Terminal leave/Monetization</t>
  </si>
  <si>
    <t>Less: Disbursement for Capital Outlay</t>
  </si>
  <si>
    <t>NET REVENUE AFTER DEDUCTING C.O.</t>
  </si>
  <si>
    <t>REVENUE</t>
  </si>
  <si>
    <t>TOTAL REVENUE</t>
  </si>
  <si>
    <t>RIO</t>
  </si>
  <si>
    <t>Other Pesonnel Benefits</t>
  </si>
  <si>
    <t>Due to Other Funds</t>
  </si>
  <si>
    <t>NGAS CODE</t>
  </si>
  <si>
    <t>ACCOUNT NAME</t>
  </si>
  <si>
    <t>PPSAS CODE</t>
  </si>
  <si>
    <t>Cash-Collecting Officers</t>
  </si>
  <si>
    <t>Accounts Receivable - ISF (Current &amp; Back Accounts)</t>
  </si>
  <si>
    <t>Due from Local Government Units</t>
  </si>
  <si>
    <t>Due from Central Office</t>
  </si>
  <si>
    <t>Office Supplies Inventory</t>
  </si>
  <si>
    <t>Fuel, Oil and Lubricants Inventory</t>
  </si>
  <si>
    <t>Textbooks and Instructional Materials Inventory</t>
  </si>
  <si>
    <t>Construction Materials Inventory</t>
  </si>
  <si>
    <t>Semi-Expendable Office Equipment</t>
  </si>
  <si>
    <t>Semi-Expendable Agricultural and Forestry Equipment</t>
  </si>
  <si>
    <t>Semi-Expendable Marine and Fishery Equipment</t>
  </si>
  <si>
    <t>Semi-Expendable Disaster Response and Rescue Equipment</t>
  </si>
  <si>
    <t>Semi-Expendable Military, Police and Security Equipment</t>
  </si>
  <si>
    <t>Semi-Expendable Medical Equipment</t>
  </si>
  <si>
    <t>Semi-Expendable Printing Equipment</t>
  </si>
  <si>
    <t>Semi-Expendable Sports Equipment</t>
  </si>
  <si>
    <t>Semi-Expendable Technical and Scientific Equipment</t>
  </si>
  <si>
    <t>Semi-Expendable Furniture and Fixtures</t>
  </si>
  <si>
    <t>Semi-Expendable Books</t>
  </si>
  <si>
    <t>Power Supply Systems</t>
  </si>
  <si>
    <t>Marine and Fishery Equipment</t>
  </si>
  <si>
    <t>Disaster Response and Rescue Equipment</t>
  </si>
  <si>
    <t>Road Networks</t>
  </si>
  <si>
    <t>Water Supply Systems</t>
  </si>
  <si>
    <t>Bail Bonds Payable</t>
  </si>
  <si>
    <t>Salaries and Wages-Casual/Contractual</t>
  </si>
  <si>
    <t>Subsistence Allowance</t>
  </si>
  <si>
    <t>Quarters Allowance</t>
  </si>
  <si>
    <t>Retirement and Life Insurance Premiums</t>
  </si>
  <si>
    <t>Employees Compensation Insurance Premiums</t>
  </si>
  <si>
    <t>Scholarship Grants/Expenses</t>
  </si>
  <si>
    <t>Fuel, Oil and Lubricants Expenses</t>
  </si>
  <si>
    <t>Military, Police and Traffic Supplies Expenses</t>
  </si>
  <si>
    <t>Other Supplies and Materials Expenses</t>
  </si>
  <si>
    <t>Semi-Expendable Machinery and Equipment Expenses</t>
  </si>
  <si>
    <t>Semi-Expendable Furniture, Fixtures and Books Expenses</t>
  </si>
  <si>
    <t>Other Utility Expenses</t>
  </si>
  <si>
    <t>Internet Subscription Expenses</t>
  </si>
  <si>
    <t>Awards/Rewards Expenses</t>
  </si>
  <si>
    <t>Indemnities</t>
  </si>
  <si>
    <t>Printing and Publication Expenses</t>
  </si>
  <si>
    <t>Rent/Lease Expenses</t>
  </si>
  <si>
    <t>Security Services</t>
  </si>
  <si>
    <t>160</t>
  </si>
  <si>
    <t>163</t>
  </si>
  <si>
    <t>168</t>
  </si>
  <si>
    <t>178</t>
  </si>
  <si>
    <t>205</t>
  </si>
  <si>
    <t>251</t>
  </si>
  <si>
    <t>305</t>
  </si>
  <si>
    <t>333</t>
  </si>
  <si>
    <t>422</t>
  </si>
  <si>
    <t>656</t>
  </si>
  <si>
    <t>654</t>
  </si>
  <si>
    <t>657</t>
  </si>
  <si>
    <t>752</t>
  </si>
  <si>
    <t>754</t>
  </si>
  <si>
    <t>758</t>
  </si>
  <si>
    <t>764</t>
  </si>
  <si>
    <t>768</t>
  </si>
  <si>
    <t>779</t>
  </si>
  <si>
    <t>797</t>
  </si>
  <si>
    <t>802</t>
  </si>
  <si>
    <t>835</t>
  </si>
  <si>
    <t>ACCOUNT CODE (NGAS)</t>
  </si>
  <si>
    <t>ACCOUNT
CODE
(PPSAS)</t>
  </si>
  <si>
    <t>169-1</t>
  </si>
  <si>
    <t>169-2</t>
  </si>
  <si>
    <t>169-3</t>
  </si>
  <si>
    <t>169-4</t>
  </si>
  <si>
    <t>169-5</t>
  </si>
  <si>
    <t>169-6</t>
  </si>
  <si>
    <t>169-7</t>
  </si>
  <si>
    <t>169-8</t>
  </si>
  <si>
    <t>169-9</t>
  </si>
  <si>
    <t>169-10</t>
  </si>
  <si>
    <t>169-11</t>
  </si>
  <si>
    <t>169-12</t>
  </si>
  <si>
    <t>169-13</t>
  </si>
  <si>
    <t>169-14</t>
  </si>
  <si>
    <t>228</t>
  </si>
  <si>
    <t>328</t>
  </si>
  <si>
    <t>351</t>
  </si>
  <si>
    <t>352</t>
  </si>
  <si>
    <t>716-1</t>
  </si>
  <si>
    <t>716-2</t>
  </si>
  <si>
    <t>716-3</t>
  </si>
  <si>
    <t>769-1</t>
  </si>
  <si>
    <t>769-2</t>
  </si>
  <si>
    <t>779-1</t>
  </si>
  <si>
    <t>Normal Balance</t>
  </si>
  <si>
    <t>Miscellaneous Income - Sale of Goods &amp; Materials</t>
  </si>
  <si>
    <t>Miscellaneous Income - Sales of Goods and Materials</t>
  </si>
  <si>
    <t>Miscellaneous Income - Sale of Goods and Materials</t>
  </si>
  <si>
    <t>Petty Cash</t>
  </si>
  <si>
    <t>Cash in Bank-Local Currency, Current Account</t>
  </si>
  <si>
    <t>Cash in Bank-Local Currency, Current Account-Land Bank of the Philippines ( LBP)</t>
  </si>
  <si>
    <t>Cash in Bank-Local Currency, Current Account-Philippine National Bank (PNB)</t>
  </si>
  <si>
    <t>Cash in Bank-Local Currency, Savings Account</t>
  </si>
  <si>
    <t>Cash in Bank-Local Currency, Savings Accounts-LBP</t>
  </si>
  <si>
    <t>Cash in Bank-Local Currency, Savings Accounts-PNB</t>
  </si>
  <si>
    <t>Cash in Bank-Local Currency, Time Deposits</t>
  </si>
  <si>
    <t>Cash in Bank-Local Currency, Time Deposits-LBP</t>
  </si>
  <si>
    <t>Cash in Bank-Foreign Currency, Current Account</t>
  </si>
  <si>
    <t>Cash in Bank-Foreign Currency, Savings Account</t>
  </si>
  <si>
    <t>Cash in Bank-Foreign Currency, Savings Account-LBP</t>
  </si>
  <si>
    <t>Cash in Bank-Foreign Currency, Time Deposits</t>
  </si>
  <si>
    <t>Cash in Bank-Foreign Currency, Time Deposits-LBP</t>
  </si>
  <si>
    <t>Accounts Receivable</t>
  </si>
  <si>
    <t>Accounts Receivable - Pump/CIP/CIS Equity</t>
  </si>
  <si>
    <t>Due from Government-Owned or Controlled Corporations</t>
  </si>
  <si>
    <t>Receivables-Disallowances/Charges</t>
  </si>
  <si>
    <t>Other Receivables</t>
  </si>
  <si>
    <t>Accountable Forms, Plates and Stickers Inventory</t>
  </si>
  <si>
    <t>Medical, Dental and Laboratory Supplies Inventory</t>
  </si>
  <si>
    <t>Semi-Expendable Machinery</t>
  </si>
  <si>
    <t>Semi-Expendable Information and Communications Technology Equipment</t>
  </si>
  <si>
    <t>Semi-Expendable Airport Equipment</t>
  </si>
  <si>
    <t>Semi-Expendable Communications Equipment</t>
  </si>
  <si>
    <t>Semi-Expendable Other Machinery and Equipment</t>
  </si>
  <si>
    <t>Other Land Improvements</t>
  </si>
  <si>
    <t>Accumulated Depreciation-Other Land Improvements</t>
  </si>
  <si>
    <t>Accumulated Depreciation-Road Networks</t>
  </si>
  <si>
    <t>Accumulated Depreciation-Water Supply Systems</t>
  </si>
  <si>
    <t>Accumulated Depreciation-Power Supply Systems</t>
  </si>
  <si>
    <t>Accumulated Depreciation-Buildings</t>
  </si>
  <si>
    <t>Accumulated Depreciation-Other Structures</t>
  </si>
  <si>
    <t>Machinery</t>
  </si>
  <si>
    <t>Accumulated Depreciation-Machinery</t>
  </si>
  <si>
    <t>Accumulated Depreciation-Office Equipment</t>
  </si>
  <si>
    <t>Information and Communications Technology Equipment</t>
  </si>
  <si>
    <t>Accumulated Depreciation-Information and Communications Technology Equipment</t>
  </si>
  <si>
    <t>Agricultural and Forestry Equipment</t>
  </si>
  <si>
    <t>Accumulated Depreciation-Agricultural and Forestry Equipment</t>
  </si>
  <si>
    <t>Accumulated Depreciation-Marine and Fishery Equipment</t>
  </si>
  <si>
    <t>Accumulated Depreciation-Communication Equipment</t>
  </si>
  <si>
    <t>Construction and Heavy Equipment</t>
  </si>
  <si>
    <t>Accumulated Depreciation-Construction and Heavy Equipment</t>
  </si>
  <si>
    <t>Accumulated Depreciation-Disaster Response and Rescue Equipment</t>
  </si>
  <si>
    <t>Military, Police and Security Equipment</t>
  </si>
  <si>
    <t>Accumulated Depreciation-Military, Police and Security Equipment</t>
  </si>
  <si>
    <t>Accumulated Depreciation-Medical Equipment</t>
  </si>
  <si>
    <t>Accumulated Depreciation-Sports Equipment</t>
  </si>
  <si>
    <t>Accumulated Depreciation-Technical and Scientific Equipment</t>
  </si>
  <si>
    <t>Accumulated Depreciation-Other Machinery and Equipment</t>
  </si>
  <si>
    <t>Accumulated Depreciation-Motor Vehicles</t>
  </si>
  <si>
    <t>Aircrafts and Aircrafts Ground Equipment</t>
  </si>
  <si>
    <t>Accumulated Depreciation-Aircrafts and Aircrafts Ground Equipment</t>
  </si>
  <si>
    <t>Accumulated Depreciation-Watercrafts</t>
  </si>
  <si>
    <t>Accumulated Depreciation-Other Transportation Equipment</t>
  </si>
  <si>
    <t>Furniture and Fixtures</t>
  </si>
  <si>
    <t>Accumulated Depreciation-Furniture and Fixtures</t>
  </si>
  <si>
    <t>Books</t>
  </si>
  <si>
    <t>Accumulated Depreciation-Books</t>
  </si>
  <si>
    <t>Accumulated Depreciation-Other Property, Plant and Equipment</t>
  </si>
  <si>
    <t>Construction in Progress-Infrastructure Assets (Agency Assets)</t>
  </si>
  <si>
    <t>Construction in Progress-Infrastructure Assets (Artesian Wells, Reservoirs, Pumping Stations &amp; Conduits)</t>
  </si>
  <si>
    <t>Construction in Progress-Infrastructure Assets (Irrigation, Canals and Laterals)</t>
  </si>
  <si>
    <t>Guaranty Deposits</t>
  </si>
  <si>
    <t>Accumulated Impairment Losses-Other Assets</t>
  </si>
  <si>
    <t>Loans Payable-Domestic</t>
  </si>
  <si>
    <t>Loans Payable-Foreign</t>
  </si>
  <si>
    <t>Due to GSIS - Life and Retirement Premium</t>
  </si>
  <si>
    <t>Due to GSIS - ECC</t>
  </si>
  <si>
    <t>Due to GSIS - Salary Loan</t>
  </si>
  <si>
    <t>Due to GSIS - Policy Loan</t>
  </si>
  <si>
    <t>Due to Pag-IBIG</t>
  </si>
  <si>
    <t>Due to Pag-IBIG - Pag-IBIG Premium</t>
  </si>
  <si>
    <t>Due to Pag-IBIG - Pag-IBIG Multi-Purpose Loan</t>
  </si>
  <si>
    <t>Due to Pag-IBIG - Pag-IBIG Housing Loan</t>
  </si>
  <si>
    <t>Due to PhilHealth</t>
  </si>
  <si>
    <t>Due to Regional Offices</t>
  </si>
  <si>
    <t>Guaranty/Security Deposits Payable</t>
  </si>
  <si>
    <t>Other Deferred Credits (Irrigation Service Fee)</t>
  </si>
  <si>
    <t>Other Deferred Credits (PA/CIS/CIP Equity)</t>
  </si>
  <si>
    <t>Other Unearned Revenue</t>
  </si>
  <si>
    <t>Accumulated Surplus/(Deficit) (Government Equity)</t>
  </si>
  <si>
    <t>Accumulated Surplus/(Deficit) (Retained Earnings)</t>
  </si>
  <si>
    <t>Revenue and Expense Summary</t>
  </si>
  <si>
    <t>Other Service Income - Irrigation Service Fee (Back Account)</t>
  </si>
  <si>
    <t>Other Service Income - Irrigation Service Fee (Back Account) (MC # 54)</t>
  </si>
  <si>
    <t>Other Service Income - CIS Equity &amp; Amortization</t>
  </si>
  <si>
    <t>Other Service Income - CIS Amortization (Current Account)</t>
  </si>
  <si>
    <t>Other Service Income - CIS Amortization (Back Account)</t>
  </si>
  <si>
    <t>Other Service Income - Pump Amortization (Current Account)</t>
  </si>
  <si>
    <t>Other Service Income - Pump Amortization (Back Account)</t>
  </si>
  <si>
    <t>Income from Hostels/Dormitories and Other Like Facilities</t>
  </si>
  <si>
    <t>Fines and Penalties-Irrigation Service Fee</t>
  </si>
  <si>
    <t>Subsidy from National Government</t>
  </si>
  <si>
    <t>Subsidy from Other Funds</t>
  </si>
  <si>
    <t>Subsidy from Central Office</t>
  </si>
  <si>
    <t>Subsidy from Regional Office/Staff Bureau</t>
  </si>
  <si>
    <t>Sale of Unserviceable Property</t>
  </si>
  <si>
    <t>Miscellaneous Income (Bid Documents)</t>
  </si>
  <si>
    <t>Miscellaneous Income (Others)</t>
  </si>
  <si>
    <t>Miscellaneous Income (Power)</t>
  </si>
  <si>
    <t>Salaries and Wages-Regular</t>
  </si>
  <si>
    <t>Laundry Allowance</t>
  </si>
  <si>
    <t>Other Bonuses and Allowances - Collective Negotiation Agreement Incentive-Civilian</t>
  </si>
  <si>
    <t>Other Bonuses and Allowances - Productivity Enhancement Incentive-Civilian</t>
  </si>
  <si>
    <t>Other Bonuses and Allowances - Anniversary Bonus</t>
  </si>
  <si>
    <t>Pag-IBIG Contributions</t>
  </si>
  <si>
    <t>PhilHealth Contributions</t>
  </si>
  <si>
    <t>Traveling Expenses-Local</t>
  </si>
  <si>
    <t>Traveling Expenses-Foreign</t>
  </si>
  <si>
    <t>Food Supplies Expenses</t>
  </si>
  <si>
    <t>Medical, Dental and Laboratory Supplies Expenses</t>
  </si>
  <si>
    <t>Postage and Courier Expenses</t>
  </si>
  <si>
    <t>Repairs and Maintenance-Land Improvements</t>
  </si>
  <si>
    <t>Repairs and Maintenance-Infrastructure Assets - Other Infrastructure Assets (Artesian Wells, Reservoirs, Pumps)</t>
  </si>
  <si>
    <t>Repairs and Maintenance-Infrastructure Assets - Other Infrastructure Assets (Irrigation Canal &amp; Laterals)</t>
  </si>
  <si>
    <t>Repairs and Maintenance-Buildings and Other Structures - Buildings</t>
  </si>
  <si>
    <t>Repairs and Maintenance-Buildings and Other Structures - Other Structures</t>
  </si>
  <si>
    <t>Repairs and Maintenance-Machinery and Equipment - Machinery</t>
  </si>
  <si>
    <t>Repairs and Maintenance-Machinery and Equipment - Office Equipment</t>
  </si>
  <si>
    <t>Repairs and Maintenance-Machinery and Equipment - ICT Equipment</t>
  </si>
  <si>
    <t>Repairs and Maintenance-Machinery and Equipment - Communication Equipment</t>
  </si>
  <si>
    <t>Repairs and Maintenance-Machinery and Equipment - Construction and Heavy Equipment</t>
  </si>
  <si>
    <t>Repairs and Maintenance-Machinery and Equipment - Disaster Response and Rescue Equipment</t>
  </si>
  <si>
    <t>Repairs and Maintenance-Machinery and Equipment - Military, Police and Security Equipment</t>
  </si>
  <si>
    <t>Repairs and Maintenance-Machinery and Equipment - Medical Equipment</t>
  </si>
  <si>
    <t>Repairs and Maintenance-Machinery and Equipment - Printing Equipment</t>
  </si>
  <si>
    <t>Repairs and Maintenance-Machinery and Equipment - Sports Equipment</t>
  </si>
  <si>
    <t>Repairs and Maintenance-Machinery and Equipment - Technical and Scientific Equipment</t>
  </si>
  <si>
    <t>Repairs and Maintenance-Machinery and Equipment - Other Machinery and Equipment</t>
  </si>
  <si>
    <t>Repairs and Maintenance-Transportation Equipment - Motor Vehicles</t>
  </si>
  <si>
    <t>Repairs and Maintenance-Transportation Equipment - Trains</t>
  </si>
  <si>
    <t>Repairs and Maintenance-Transportation Equipment - Aircrafts and Aircrafts Ground Equipment</t>
  </si>
  <si>
    <t>Repairs and Maintenance-Transportation Equipment - Watercrafts</t>
  </si>
  <si>
    <t>Repairs and Maintenance-Transportation Equipment - Other Transportation Equipment</t>
  </si>
  <si>
    <t>Repairs and Maintenance-Furniture and Fixtures</t>
  </si>
  <si>
    <t>Repairs and Maintenance-Other Property, Plant and Equipment - Other Property, Plant and Equipment</t>
  </si>
  <si>
    <t>Subsidy to Regional Offices/Staff Bureaus</t>
  </si>
  <si>
    <t>Advertising Expenses</t>
  </si>
  <si>
    <t>Other Maintenance and Operating Expenses - Other Maintenance and Operating Expenses</t>
  </si>
  <si>
    <t>Other Maintenance and Operating Expenses (Irrigator's Share/Remuneration/Subsidy)</t>
  </si>
  <si>
    <t>Depreciation-Land Improvements</t>
  </si>
  <si>
    <t>Depreciation-Infrastructure Assets - Other Infrastructure Assets (Irrigation Canals &amp; Laterals)</t>
  </si>
  <si>
    <t>Depreciation-Buildings and Other Structures - Buildings</t>
  </si>
  <si>
    <t>Depreciation-Buildings and Other Structures - Other Structures</t>
  </si>
  <si>
    <t>Depreciation-Machinery and Equipment - Machinery</t>
  </si>
  <si>
    <t>Depreciation-Machinery and Equipment - Office Equipment</t>
  </si>
  <si>
    <t>Depreciation-Machinery and Equipment - ICT Equipment</t>
  </si>
  <si>
    <t>Depreciation-Machinery and Equipment - Agricultural and Forestry Equipment</t>
  </si>
  <si>
    <t>Depreciation-Machinery and Equipment - Communication Equipment</t>
  </si>
  <si>
    <t>Depreciation-Machinery and Equipment - Construction and Heavy Equipment</t>
  </si>
  <si>
    <t>Depreciation-Machinery and Equipment - Disaster Response and Rescue Equipment</t>
  </si>
  <si>
    <t>Depreciation-Machinery and Equipment - Military, Police and Security Equipment</t>
  </si>
  <si>
    <t>Depreciation-Machinery and Equipment - Sports Equipment</t>
  </si>
  <si>
    <t>Depreciation-Machinery and Equipment - Technical and Scientific Equipment</t>
  </si>
  <si>
    <t>Depreciation-Machinery and Equipment - Other Machinery and Equipment</t>
  </si>
  <si>
    <t>Depreciation-Transportation Equipment - Motor Vehicles</t>
  </si>
  <si>
    <t>Depreciation-Transportation Equipment - Trains</t>
  </si>
  <si>
    <t>Depreciation-Transportation Equipment - Aircrafts and Aircrafts Ground Equipment</t>
  </si>
  <si>
    <t>Depreciation-Transportation Equipment - Watercrafts</t>
  </si>
  <si>
    <t>Depreciation-Transportation Equipment - Other Transportation Equipment</t>
  </si>
  <si>
    <t>Depreciation-Furniture, Fixtures and Books - Furniture and Fixtures</t>
  </si>
  <si>
    <t>Depreciation-Furniture, Fixtures and Books - Books</t>
  </si>
  <si>
    <t>Depreciation-Other Property, Plant and Equipment</t>
  </si>
  <si>
    <t>121</t>
  </si>
  <si>
    <t>169-15</t>
  </si>
  <si>
    <t>169-16</t>
  </si>
  <si>
    <t>413-1</t>
  </si>
  <si>
    <t>413-2</t>
  </si>
  <si>
    <t>413-4</t>
  </si>
  <si>
    <t>413-5</t>
  </si>
  <si>
    <t>414-1</t>
  </si>
  <si>
    <t>414-2</t>
  </si>
  <si>
    <t>414-3</t>
  </si>
  <si>
    <t>832</t>
  </si>
  <si>
    <t>833</t>
  </si>
  <si>
    <t>834</t>
  </si>
  <si>
    <t>842</t>
  </si>
  <si>
    <t>843</t>
  </si>
  <si>
    <t>955</t>
  </si>
  <si>
    <t>942</t>
  </si>
  <si>
    <t>Other Service Income - Pump Equity (Current Account)</t>
  </si>
  <si>
    <t>Other Service Income - Pump Equity (Back Account)</t>
  </si>
  <si>
    <t>Mid-Year/Year End Bonus</t>
  </si>
  <si>
    <t>Membership Dues and Contributions to Organizations</t>
  </si>
  <si>
    <t>Other Maintenance and Operating Expenses (Power Cost for Pumps)</t>
  </si>
  <si>
    <t>JEV No.</t>
  </si>
  <si>
    <t>JEV</t>
  </si>
  <si>
    <t>Name of CO</t>
  </si>
  <si>
    <t>Sundry</t>
  </si>
  <si>
    <t>Name</t>
  </si>
  <si>
    <t>Office</t>
  </si>
  <si>
    <t>CashierCode</t>
  </si>
  <si>
    <t xml:space="preserve">JEV
</t>
  </si>
  <si>
    <t>TO</t>
  </si>
  <si>
    <t>Column1</t>
  </si>
  <si>
    <t>Column2</t>
  </si>
  <si>
    <t>102C</t>
  </si>
  <si>
    <t>102D</t>
  </si>
  <si>
    <t>Amount2</t>
  </si>
  <si>
    <t>Sundry2</t>
  </si>
  <si>
    <t>Other Bonuses and Allowances - Productivity Enhancement Incentive</t>
  </si>
  <si>
    <t>Semi-Expendable</t>
  </si>
  <si>
    <t>Subsistence Allownce</t>
  </si>
  <si>
    <t>Travelling Expenses - Foreign</t>
  </si>
  <si>
    <t>111RO</t>
  </si>
  <si>
    <t>111FO</t>
  </si>
  <si>
    <t>Cash in Bank-Local Currency, Current Account - RO</t>
  </si>
  <si>
    <t>Cash in Bank-Local Currency, Current Account - FO</t>
  </si>
  <si>
    <t>111ROSCO</t>
  </si>
  <si>
    <t>Cash in Bank-Local Currency, Current Account - RO Subsidy/Capital Outlay</t>
  </si>
  <si>
    <t>111ROBA</t>
  </si>
  <si>
    <t>Cash in Bank-Local Currency, Current Account - RO Back Accounts</t>
  </si>
  <si>
    <t>111RONIMF</t>
  </si>
  <si>
    <t>Cash in Bank-Local Currency, Current Account - RO NIMF</t>
  </si>
  <si>
    <t>111RO-PC</t>
  </si>
  <si>
    <t>Cash in Bank-Local Currency, Current Account - RO - PC</t>
  </si>
  <si>
    <t>111RO-LP</t>
  </si>
  <si>
    <t>Cash in Bank-Local Currency, Current Account - RO - LP</t>
  </si>
  <si>
    <t>111FO-PC</t>
  </si>
  <si>
    <t>Cash in Bank-Local Currency, Current Account - FO - PC</t>
  </si>
  <si>
    <t>111FO-LP</t>
  </si>
  <si>
    <t>Cash in Bank-Local Currency, Current Account - FO - LP</t>
  </si>
  <si>
    <t>411</t>
  </si>
  <si>
    <t>Due to the Treasurer of the Philippines</t>
  </si>
  <si>
    <t>413-3</t>
  </si>
  <si>
    <t>Due to GSIS - Educ Assist Loan</t>
  </si>
  <si>
    <t>413-6</t>
  </si>
  <si>
    <t>Due to GSIS - Emergency Loan</t>
  </si>
  <si>
    <t>413-7</t>
  </si>
  <si>
    <t>Due to GSIS - Calamity Loan</t>
  </si>
  <si>
    <t>413-8</t>
  </si>
  <si>
    <t>Due to GSIS - Housing Loan</t>
  </si>
  <si>
    <t>414-4</t>
  </si>
  <si>
    <t>Due to Pag-IBIG - Calamity Loan</t>
  </si>
  <si>
    <t>414-5</t>
  </si>
  <si>
    <t>Due to Pag-IBIG - MP2</t>
  </si>
  <si>
    <t>719-14</t>
  </si>
  <si>
    <t>Other Bonuses and Allowances - Performance Based Bonus-Civilian</t>
  </si>
  <si>
    <t>Ilocos Norte IMO</t>
  </si>
  <si>
    <t>Ilocos Sur IMO</t>
  </si>
  <si>
    <t>La Union</t>
  </si>
  <si>
    <t>Pangasinan IMO</t>
  </si>
  <si>
    <t>Ilocos Norte PIO</t>
  </si>
  <si>
    <t>Ilocos Norte INIS</t>
  </si>
  <si>
    <t>Ilocos Norte NISRIP</t>
  </si>
  <si>
    <t>Ilocos Norte SULVEC</t>
  </si>
  <si>
    <t>Ilocos Sur PIO</t>
  </si>
  <si>
    <t>Ilocos Sur RIS</t>
  </si>
  <si>
    <t>Ilocos Sur BPIS</t>
  </si>
  <si>
    <t>La Union PIO</t>
  </si>
  <si>
    <t>La Union MASLIP RIS</t>
  </si>
  <si>
    <t>La Union AMBURAYAN RIS</t>
  </si>
  <si>
    <t>5-1</t>
  </si>
  <si>
    <t>Pangasinan PIO</t>
  </si>
  <si>
    <t>5-2</t>
  </si>
  <si>
    <t>Pangasinan ARIS</t>
  </si>
  <si>
    <t>5-3</t>
  </si>
  <si>
    <t>Pangasinan SFDRIS</t>
  </si>
  <si>
    <t>5-4</t>
  </si>
  <si>
    <t>Pangasinan LARIS</t>
  </si>
  <si>
    <t>5-5</t>
  </si>
  <si>
    <t>Pangasinan ADRIS</t>
  </si>
  <si>
    <t>5-6</t>
  </si>
  <si>
    <t>Pangasinan NISRIP</t>
  </si>
  <si>
    <t>Region 1</t>
  </si>
  <si>
    <t>Urdaneta City</t>
  </si>
  <si>
    <t>642-1</t>
  </si>
  <si>
    <t>Equipment Rental</t>
  </si>
  <si>
    <t>Miscellaneous Income (Scrap of Fixed Assets)</t>
  </si>
  <si>
    <t>Cesar E. Ferrer</t>
  </si>
  <si>
    <t>Rosalita M. Ubando</t>
  </si>
  <si>
    <t>FUND 501 CARP</t>
  </si>
  <si>
    <t>412-1</t>
  </si>
  <si>
    <t>Due to BIR - Compensation</t>
  </si>
  <si>
    <t>412-2</t>
  </si>
  <si>
    <t>412-3</t>
  </si>
  <si>
    <t>412-4</t>
  </si>
  <si>
    <t>Due to BIR - 5%</t>
  </si>
  <si>
    <t>Due to BIR - 3%</t>
  </si>
  <si>
    <t>Due to BIR - 2%</t>
  </si>
  <si>
    <t>412-5</t>
  </si>
  <si>
    <t>Due to BIR - 1%</t>
  </si>
  <si>
    <t>111ro</t>
  </si>
  <si>
    <t>NIA Regional Office # 1, Bayaoas, Urdaneta City, Pangasinan</t>
  </si>
  <si>
    <t>NIA Regional Office # 1,  Bayaoas, Urdaneta City, Pangasinan</t>
  </si>
  <si>
    <t>RHODA S. ECHANES</t>
  </si>
  <si>
    <t>Administrative Officer II</t>
  </si>
  <si>
    <t>EDGAR M. BUTED, CPA</t>
  </si>
  <si>
    <t>VANESSA C. MOULIC, CPA</t>
  </si>
  <si>
    <t>NIA Regional Office # 1, Bayaoas, Urdaneta City, Pangsinan</t>
  </si>
  <si>
    <t>111fo</t>
  </si>
  <si>
    <t>716</t>
  </si>
  <si>
    <t>719</t>
  </si>
  <si>
    <t>CASH DISBURSEMENTS JOURNAL</t>
  </si>
  <si>
    <t>Division Manager A- AFD</t>
  </si>
  <si>
    <t>RHODA S. ECHANES                                                    EDGAR M. BUTED, CPA</t>
  </si>
  <si>
    <t>Administrative Officer II                                              Chief Corporate Accountant B</t>
  </si>
  <si>
    <t>Preparer:                                                         Certified Correct:</t>
  </si>
  <si>
    <t>ps</t>
  </si>
  <si>
    <t>mooe</t>
  </si>
  <si>
    <t>finance</t>
  </si>
  <si>
    <t>Salaries &amp; Wages</t>
  </si>
  <si>
    <t>Personal Economic Relief Allowance (PERA)</t>
  </si>
  <si>
    <t>Other Compensation</t>
  </si>
  <si>
    <t>Personnel Benefit Contributions</t>
  </si>
  <si>
    <t xml:space="preserve">Other Personnel Benefit </t>
  </si>
  <si>
    <t>Traveling Expenses</t>
  </si>
  <si>
    <t>Utility Expenses</t>
  </si>
  <si>
    <t>Communication Expenses</t>
  </si>
  <si>
    <t>Professional Services</t>
  </si>
  <si>
    <t>Repairs and Maintenance</t>
  </si>
  <si>
    <t>Property, Plant and Equipment</t>
  </si>
  <si>
    <t>prepared by:</t>
  </si>
  <si>
    <t>certified correct:</t>
  </si>
  <si>
    <t>Maria Luisa M. Tolledo</t>
  </si>
  <si>
    <t>Prepared by:                                                         Certified Correct:</t>
  </si>
  <si>
    <t>VANESSA C. MOULIC, CPA,MBA</t>
  </si>
  <si>
    <t>VANESSA C. MOULIC, CPA, MBA</t>
  </si>
  <si>
    <t>PREPARED BY:</t>
  </si>
  <si>
    <t>Marilou Lorenzo</t>
  </si>
  <si>
    <t xml:space="preserve"> </t>
  </si>
  <si>
    <t>19-10-127</t>
  </si>
  <si>
    <t>non-cash</t>
  </si>
  <si>
    <t>1010202000RO</t>
  </si>
  <si>
    <t>1010202000ROSCO</t>
  </si>
  <si>
    <t>1010202000ROBA</t>
  </si>
  <si>
    <t>1010202000RONIMF</t>
  </si>
  <si>
    <t>1010202000ROPC</t>
  </si>
  <si>
    <t>1010202000ROLP</t>
  </si>
  <si>
    <t>1010202000FO</t>
  </si>
  <si>
    <t>1010202000FOPC</t>
  </si>
  <si>
    <t>1010202000FOLP</t>
  </si>
  <si>
    <t>Noted :</t>
  </si>
  <si>
    <t>(blank)</t>
  </si>
  <si>
    <t>20-01-001</t>
  </si>
  <si>
    <t>Mario N. Raboy, et. Al</t>
  </si>
  <si>
    <t>Payment of salaries and allowances of  Monthly Co-Terminus CARP employees for the period January 1-31, 2020</t>
  </si>
  <si>
    <t>01-501CARP-2020-01-001</t>
  </si>
  <si>
    <t>20-01-004</t>
  </si>
  <si>
    <t>Working Paper</t>
  </si>
  <si>
    <t>working paper</t>
  </si>
  <si>
    <t>WORKING PAPER</t>
  </si>
  <si>
    <t>MARIA LUISA M. TOLLEDO</t>
  </si>
  <si>
    <t>Supplies and Materials Expenses</t>
  </si>
  <si>
    <t>20-12-111</t>
  </si>
  <si>
    <t xml:space="preserve">Financial Planning Specialist B                                            </t>
  </si>
  <si>
    <t>Award/Rewards Expenses</t>
  </si>
  <si>
    <t>Taxes, Insurance Premiums and Other Fees</t>
  </si>
  <si>
    <t>DETAILED STATEMENT OF FINANCIAL PERFORMANCE</t>
  </si>
  <si>
    <t>DETAILED STATEMENT OF FINANCIAL POSITION</t>
  </si>
  <si>
    <t>157</t>
  </si>
  <si>
    <t>Property and Equipment for Distribution</t>
  </si>
  <si>
    <t>158</t>
  </si>
  <si>
    <t>Non-Accountable Forms Inventory</t>
  </si>
  <si>
    <t>159</t>
  </si>
  <si>
    <t>Drugs and Medicines Inventory</t>
  </si>
  <si>
    <t>162</t>
  </si>
  <si>
    <t>Agricultural and Marine Supplies Inventory</t>
  </si>
  <si>
    <t>164</t>
  </si>
  <si>
    <t>Military, Police and Traffic Supplies Inventory</t>
  </si>
  <si>
    <t xml:space="preserve">WORKING PAPER </t>
  </si>
  <si>
    <t>OIC- Finance Section</t>
  </si>
  <si>
    <t>NIA PANGASINAN IMO, Bayaoas, Urdaneta City, Pangasinan</t>
  </si>
  <si>
    <t>CHARITO A. TABOBO</t>
  </si>
  <si>
    <t>Sr. Accounting Processor A</t>
  </si>
  <si>
    <t>428</t>
  </si>
  <si>
    <t>Trust Liabilities - Disallowances / Charges</t>
  </si>
  <si>
    <t>726</t>
  </si>
  <si>
    <t>Mid-Year Bonus</t>
  </si>
  <si>
    <t>ROCHELLE E. RABANAL</t>
  </si>
  <si>
    <t>Charito A. Tabobo</t>
  </si>
  <si>
    <t>De Luna Catering Services</t>
  </si>
  <si>
    <t>JUNE MARLOWE A. SORIA</t>
  </si>
  <si>
    <t>Sr. Accounting Processor B</t>
  </si>
  <si>
    <t>Celbros Construction and Supplies</t>
  </si>
  <si>
    <t>22-09-</t>
  </si>
  <si>
    <t>Xaviery Computer Center</t>
  </si>
  <si>
    <t>Francis Carlo L. Zacarias</t>
  </si>
  <si>
    <t>23-01-001</t>
  </si>
  <si>
    <t>1475846</t>
  </si>
  <si>
    <t>To payment of ICT Equipment(Solid State Drive &amp; Random Access Memory) for the use in the upgrading &amp; maintenance of Computer Desktop assigned at PIMO-Property Unit</t>
  </si>
  <si>
    <t>Ryan A. Rivera</t>
  </si>
  <si>
    <t>To Reimburse the amount paid for meals and snacks served in conduct of physical count of property,plant equipment</t>
  </si>
  <si>
    <t>1475847</t>
  </si>
  <si>
    <t>1475848</t>
  </si>
  <si>
    <t>To reimburse the amount paid used during the conduct of emergency meeting IAS questionaire dated December 23,2022</t>
  </si>
  <si>
    <t>1475849</t>
  </si>
  <si>
    <t>To reimburse the amount paid for reinstalling and relocation of aircondition</t>
  </si>
  <si>
    <t>To reimburse the amount paid for the meals and snacks used during the conduct of selected office personnel with IAS questionaire dated December 27, 2022</t>
  </si>
  <si>
    <t>1475850</t>
  </si>
  <si>
    <t>1475852</t>
  </si>
  <si>
    <t>1475851</t>
  </si>
  <si>
    <t>Cancelled</t>
  </si>
  <si>
    <t>To payment of meals and snacks served during the conduct of Capability Development Training for Effective Management of Calmay-Lebueg FIA,Inc. on December 27-29,2022 at Brgy.Lebueg,Laoac,Pangasinan</t>
  </si>
  <si>
    <t>1475853</t>
  </si>
  <si>
    <t>To payment of meals and snacks served during the conduct of Capability Development Training for Effective Management of Minosicuan FIA,Inc. on December 15-17,2022 at Brgy.Gonzales,Umingan,Pangasinan</t>
  </si>
  <si>
    <t>1475854</t>
  </si>
  <si>
    <t xml:space="preserve">To second(2nd) partial payment of contract under R1-PIMO-22-03-041 in connection with the MINOSICUAN CIS(CARP IC CY 2022) located in Umingan,Pangasinan </t>
  </si>
  <si>
    <t>1475855</t>
  </si>
  <si>
    <t>Loreto's Kitchenette</t>
  </si>
  <si>
    <t>To payment of Meals &amp; Snacks served during the meeting with GSIS Personnel at Region Conference Room</t>
  </si>
  <si>
    <t>D'Brothers International Trading Corporation</t>
  </si>
  <si>
    <t>1475856</t>
  </si>
  <si>
    <t>To second(2nd) partial payment of contract under R1-PIMO-22-01-016 in connection with the Construction of Calmay SPIP(CARP IC CY 2022), located at Laoac,Pangasinan</t>
  </si>
  <si>
    <t>220052 Capital Outlay Calmay SPIP</t>
  </si>
  <si>
    <t>1475857</t>
  </si>
  <si>
    <t>LBP for Account of Bureau of Internal Revenue</t>
  </si>
  <si>
    <t>1475858</t>
  </si>
  <si>
    <t>To remit Withholding Tax (1% &amp; 2%) deducted from suppliers / contractors of NIA-pangasinan IMO covering the period of January 2023</t>
  </si>
  <si>
    <t>To remit Withholding Tax (1% &amp; 2%) deducted  from suppliers / contractors of NIA-pangasinan IMO covering the period of January 2023</t>
  </si>
  <si>
    <t>To remit Withholding Tax (1% &amp; 5%) deducted  from suppliers / contractors of NIA-pangasinan IMO covering the period of January 2023</t>
  </si>
  <si>
    <t>220044 Capital Outlay -Malimpin SPIP</t>
  </si>
  <si>
    <t>220076 Capital Outlay Minosicuan CIS - CW</t>
  </si>
  <si>
    <t>1475859</t>
  </si>
  <si>
    <t>1475860</t>
  </si>
  <si>
    <t>Philippine Health Insurance Corporation</t>
  </si>
  <si>
    <t>ASA # 220076 Capital Outlay (Minosicuan CIS)</t>
  </si>
  <si>
    <t>ASA # 230008 PS</t>
  </si>
  <si>
    <t>1475861</t>
  </si>
  <si>
    <t>GSIS</t>
  </si>
  <si>
    <t>To remit monthly GSIS premiums both personal &amp; government shares of E. Delos Santos &amp; 1 other of NIA-Pangasinan IMO (CARP) Urdaneta City, Pangasinan</t>
  </si>
  <si>
    <t>1475862</t>
  </si>
  <si>
    <t>To remit Withholding Tax on Compensation of E. Delos Santos &amp; 2 others of NIA Pangasinan IMO (CARP), Urdaneta City, Pangasinan for the period January 2023</t>
  </si>
  <si>
    <t>1475863</t>
  </si>
  <si>
    <t>H.D.M.F</t>
  </si>
  <si>
    <t>To remit monthly HDMF premiums both personal &amp; government shares of E. Delos Santos &amp; 1 other of NIA Pangasinan IMO (CARP), Urdaneta City, Pangasinan for the period January 2023</t>
  </si>
  <si>
    <t>1475864</t>
  </si>
  <si>
    <t>To remit monthly HDMF M2 E. Delos Santos &amp; 1 other of NIA Pangasinan IMO (CARP), Urdaneta City, Pangasinan for the period of January 2023</t>
  </si>
  <si>
    <t>1475865</t>
  </si>
  <si>
    <t>To remit monthly HDMF premiums both personal &amp; government shares of J. Soria of NIA-Pangasinan IMO (CARP) Urdaneta City, Pangasinan for the period of January 2023</t>
  </si>
  <si>
    <t>1475866</t>
  </si>
  <si>
    <t>To remit monthly PHIC premiums both personal &amp; government shares of E. Delos Santos &amp; 1 other of NIA Pangasinan IMO (CARP) Urdaneta City, Pangasinan for the period January 2023</t>
  </si>
  <si>
    <t>To remit monthly PHIC premiums both personal &amp; government shares of J. Soria of NIA-Pangasinan IMO (CARP) Urdaneta City, Pangasinan for the period of January 2023</t>
  </si>
  <si>
    <t>1475867</t>
  </si>
  <si>
    <t xml:space="preserve">GSIS </t>
  </si>
  <si>
    <t>To remit monthly GSIS premiums both personal &amp; government shares of J. Soria of NIA-Pangasinan IMOI (CARP) Urdaneta City, Pangasinan for the period of January 2023</t>
  </si>
  <si>
    <t>Payroll2023-02-001</t>
  </si>
  <si>
    <t>To payment of Salaries and Allowances of E. Delos Santos &amp; 2 others of NIA-Pangasinan IMO (CARP) Personnel for the month of January 2023</t>
  </si>
  <si>
    <t>1475868</t>
  </si>
  <si>
    <t>Procurement Service</t>
  </si>
  <si>
    <t xml:space="preserve">To payment of Office Supplies (Paper, legal size) for use of NIA-Pangasinan IMO (AFS, Field Offices &amp; CARP-IC Personnel) </t>
  </si>
  <si>
    <t>Payroll2023-02-002</t>
  </si>
  <si>
    <t>Emerson A. Delos Santos &amp; 1 other</t>
  </si>
  <si>
    <t>To payment of Salaries and Allowances of E. Delos Santos &amp; 2 others of NIA-Pangasinan IMO (CARP) Personnel for the month of February 2023</t>
  </si>
  <si>
    <t>Payroll2023-02-003</t>
  </si>
  <si>
    <t>June Marlowe A. Soria</t>
  </si>
  <si>
    <t>To payment of Salaries and Allowances of J. Soria of NIA-Pangasinan IMO (CARP) Urdaneta City, Pangasinan for the period of January 2023</t>
  </si>
  <si>
    <t>1475869</t>
  </si>
  <si>
    <t>To remit monthly HDMF premiums both personal &amp; government shares of J. Soria of NIA-Pangasinan IMO (CARP) Urdaneta City, Pangasinan for the period of February 2023</t>
  </si>
  <si>
    <t>To remit monthly GSIS premiums both personal &amp; government shares of J. Soria of NIA-Pangasinan IMOI (CARP) Urdaneta City, Pangasinan for the period of February 2023</t>
  </si>
  <si>
    <t>1475870</t>
  </si>
  <si>
    <t>1475871</t>
  </si>
  <si>
    <t>1475872</t>
  </si>
  <si>
    <t>To remit of Withholding Tax on Compensation of E. Delos Santos &amp; 1 other of NIA-Pangasinan IMO (CARP), Urdaneta City, Pangasinan for the period of February 2023</t>
  </si>
  <si>
    <t>To remit monthly HDMF M2 E. Delos Santos &amp; 1 other of NIA Pangasinan IMO (CARP), Urdaneta City, Pangasinan for the period of February 2023</t>
  </si>
  <si>
    <t>DebitMemoPHIC02-01</t>
  </si>
  <si>
    <t>Philippine Health Insuarance Corporation</t>
  </si>
  <si>
    <t>To remit Monthly PHIC premiums both personal &amp; government shares of E.Delos Santos &amp; 1 other of NIA Pangasinan IMO(CARP),for the period of February 2023</t>
  </si>
  <si>
    <t>Payroll2023-02-004</t>
  </si>
  <si>
    <t>John R. Bergado &amp; 7 others</t>
  </si>
  <si>
    <t>To payment of wages of John R. Bergado &amp; 7 others (Job Order) of NIA-Pangasinan IMO, Urdaneta City, Pangasinan for the period February 1-15, 2023</t>
  </si>
  <si>
    <t>ASA # 220052 Capital Outlay (Calmay SPIP)</t>
  </si>
  <si>
    <t>Payroll2023-02-005</t>
  </si>
  <si>
    <t>To payment for the grant of Uniform/Clothing Allowance for CY 2023 of E. Delos Santos &amp; 1 other of NIA CARP as per NIA-MC No. 08 series of 2023</t>
  </si>
  <si>
    <t>Payroll2023-02-006</t>
  </si>
  <si>
    <t>Tomas B. Tubera</t>
  </si>
  <si>
    <t>To payment of wages of Tomas B. Tubera (Job Order) of NIA-Pangasinan IMO, Urdaneta City, Pangasinan for the period February 1-15, 2023</t>
  </si>
  <si>
    <t>1475873</t>
  </si>
  <si>
    <t>Eduardo T. Santos Construction and Supplies</t>
  </si>
  <si>
    <t>To Second (2nd) partial payment of contract under R1-PIMO-22-01-015 in connection with the Construction of Malimpin SPIP (CARP IC CY 2022) located in Dasol, Pangasinan</t>
  </si>
  <si>
    <t>ASA # 220044 Capital Outlay (Malimpin)</t>
  </si>
  <si>
    <t>1475874</t>
  </si>
  <si>
    <t>Jonalyn A. Julian</t>
  </si>
  <si>
    <t>To reimburse the amount paid for plane ticket (roundtrip) travelling expenses incurres while performing duties outside permanent station</t>
  </si>
  <si>
    <t>1475875</t>
  </si>
  <si>
    <t>1475876</t>
  </si>
  <si>
    <t>To remit witholding tax(1%-2%) deducted from suppliers/contractors of NIA-Pangasinan IMO covering the period of February 2023</t>
  </si>
  <si>
    <t>To remit witholding tax(5%) deducted from suppliers/contractors of NIA-Pangasinan IMO covering the period of February 2023</t>
  </si>
  <si>
    <t>23-02-</t>
  </si>
  <si>
    <t>Payroll2023-03-007</t>
  </si>
  <si>
    <t>23-03-</t>
  </si>
  <si>
    <t>John R. Bergado &amp; 8 others</t>
  </si>
  <si>
    <t>To payment of wages of John R. Bergado &amp; 8 others (Job Order) of NIA-Pangasinan IMO, Urdaneta City, Pangasinan for the period February 16-28, 2023</t>
  </si>
  <si>
    <t>1475877</t>
  </si>
  <si>
    <t>To Third (3rd) partial payment of contract under R1-PIMO-22-03-041 in connection with the Minosicuan CIS (CARP IC CY 2022) located in Umingan, Pangasinan</t>
  </si>
  <si>
    <t>1475878</t>
  </si>
  <si>
    <t>Izbarinos Corporation</t>
  </si>
  <si>
    <t>1475879</t>
  </si>
  <si>
    <t>To payment of Snacks served during the courtesy call to CARP employees from Region VI, VII, VIII, IX, X, XI, XII, XIII on February 7, 2023 at Regional Training Center, Bayaoas, Urdaneta City, Pangasinan</t>
  </si>
  <si>
    <t>ASA # 230003 MOOE</t>
  </si>
  <si>
    <t>1475880</t>
  </si>
  <si>
    <t>The Monarch Hospitality and Tourism Corporation</t>
  </si>
  <si>
    <t>To payment of Accommodation, Meals and Snacks served during the conduct of CY 2022 Year End Assessment and Workshop for FY 2023 and ARF Fund Proposed Projects of CARP-IC 2nd Batch on February 7-10, 2023</t>
  </si>
  <si>
    <t>1475881</t>
  </si>
  <si>
    <t>To remit monthly HDMF premiums both personal &amp; government shares of E. Delos Santos &amp; 1 other of NIA Pangasinan IMO (CARP), Urdaneta City, Pangasinan for the period March 2023</t>
  </si>
  <si>
    <t>1475882</t>
  </si>
  <si>
    <t>To remit monthly HDMF M2 E. Delos Santos &amp; 1 other of NIA Pangasinan (CARP), Urdaneta City, Pangasinan for the period of March 2023</t>
  </si>
  <si>
    <t>1475883</t>
  </si>
  <si>
    <t>To remit Withholding Tax on Compensation of E. Delos Santos &amp; 1 other of NIA Pangasinan IMO (CARP), Urdaneta City, Pangasinan for the period March 2023</t>
  </si>
  <si>
    <t>1475884</t>
  </si>
  <si>
    <t>To remit monthly GSIS premiums both personal &amp; government shares of E. Delos Santos &amp; 1 other of NIA-Pangasinan IMO (CARP) Urdaneta City, Pangasinan for the period March 2023</t>
  </si>
  <si>
    <t>1475885</t>
  </si>
  <si>
    <t>Gertrudes A. Viado</t>
  </si>
  <si>
    <t>To reimburse the amount paid for toll fees</t>
  </si>
  <si>
    <t>1475886</t>
  </si>
  <si>
    <t>Jmacks Resort Hotel</t>
  </si>
  <si>
    <t>To payment of Meals to be served during the conduct of CY 2022 Year End Assessment and Workshop for FY 2023 and ARF Fund Proposed Projects of CARP-IC 2nd Batch on February 9, 2023</t>
  </si>
  <si>
    <t>ASA # 230003 MOOE (25,435.00) and ASA # 230005 MOOE (4,565.00)</t>
  </si>
  <si>
    <t>DebitMemoPHIC03-02</t>
  </si>
  <si>
    <t>To remit monthly PHIC premiums both personal &amp; government shares of E. Delos Santos &amp; 1 other of NIA Pangasinan IMO (CARP) Urdaneta City, Pangasinan for the period March 2023</t>
  </si>
  <si>
    <t>1475887</t>
  </si>
  <si>
    <t>To payment of diesel fuel for use of various vehicles assigned for Project of Irrigation System NIA Pangasinan IMO-IDU for the period February 16-28, 2023</t>
  </si>
  <si>
    <t>To payment of diesel fuel for use of various vehicles assigned for Project of Irrigation System NIA Pangasinan IMO-IDU for the period January 16-31, 2023</t>
  </si>
  <si>
    <t>1475888</t>
  </si>
  <si>
    <t>Marigold Store</t>
  </si>
  <si>
    <t>To payment of Office Supplies (Envelope &amp; 4 others) to be used in the conduct of CY 2022 Year End Assessment and Workshop for FY 2023 and ARF Fund Proposed Projects of CARP-IC 2nd Batch on February 7-10, 2023</t>
  </si>
  <si>
    <t>ASA # 230005 MOOE</t>
  </si>
  <si>
    <t>Payroll2023-03-008</t>
  </si>
  <si>
    <t>To payment of Salaries and Allowance of E. Delos Santos &amp; 1 other of NIA-Pangasinan IMO (CARP) Urdaneta City, Pangasinan for the period of March 2023</t>
  </si>
  <si>
    <t>Payroll2023-03-009</t>
  </si>
  <si>
    <t>To payment of wages of John R. Bergado &amp; 8 others (Job Order) of NIA-Pangasinan IMO, Urdaneta City, Pangasinan for the period March , 2023</t>
  </si>
  <si>
    <t>1475889</t>
  </si>
  <si>
    <t>NIA-Pangasinan IMO</t>
  </si>
  <si>
    <t>To fund transfer the erroneous amount charged to Fund 501 LFP's</t>
  </si>
  <si>
    <t>1475890</t>
  </si>
  <si>
    <t>Esprintshop Printing Services</t>
  </si>
  <si>
    <t>To payment of Training Kit (Poloshirt and Logo Print &amp; Customized T shirt with Print) to be given during the conduct of CY 2022 Year End Assessment and Workshop for FY 2023 and ARF Fund Proposed Projects of CARP-IC 2nd Batch on February 7-10, 2023</t>
  </si>
  <si>
    <t>1475891</t>
  </si>
  <si>
    <t xml:space="preserve">Good Boy Tires and Service Center Inc. </t>
  </si>
  <si>
    <t>To payment of Spare parts of Service Vehicle Plate No. TQA 521 to be used by NIA-Pangasinan IMO</t>
  </si>
  <si>
    <t>1475892</t>
  </si>
  <si>
    <t>To remit HDMF Premiums for personal share of John R. Bergado &amp; 8 others (Job Order) of NIA-Pangasinan, Urdaneta City, Pangasinan for the month of March, 2023</t>
  </si>
  <si>
    <t>1475893</t>
  </si>
  <si>
    <t>To remit the monthly contribution of PHIC Premiums of John R. Bergado &amp; 6 other (Job Order) of NIA-Pangasinan IMO, Urdaneta City for the month of March, 2023</t>
  </si>
  <si>
    <t>1475894</t>
  </si>
  <si>
    <t>NIA Region 1 Employees Multi-Purpose Cooperative</t>
  </si>
  <si>
    <t>To payment for NIA Multi-Purpose loan of Richard C. De Guzman &amp; 2 others (Job Order) of NIA-Pangasinan IMO, Urdaneta City covering the month of March 2023</t>
  </si>
  <si>
    <t>1475895</t>
  </si>
  <si>
    <t>To payment for NIA Multi-Purpose loan of Richard C. De Guzman &amp; 2 others (Job Order) of NIA-Pangasinan IMO, Urdaneta City covering the month of February 2023</t>
  </si>
  <si>
    <t>1475896</t>
  </si>
  <si>
    <t>To remit HDMF Loan (MPL) of Richard D. De Guzman &amp; 1 other (Job Order) of NIA-Pangasinan IMO, Urdaneta City for the month of March 2023</t>
  </si>
  <si>
    <t>1475897</t>
  </si>
  <si>
    <t>To payment of Meals &amp; Snacks served during the conduct of CY 2022 Year End Assessment and Workshop for FY 2023 and ARF Fund Proposed Projects of CARP-IC 2nd Batch on February 9, 2023 at Alaminos City, Pangasinan</t>
  </si>
  <si>
    <t>ASA # 230005 MOOE (4,695.00) &amp; 230024 MOOE (38,805.00)</t>
  </si>
  <si>
    <t>1475898</t>
  </si>
  <si>
    <t>Emerson A. Delos Santos</t>
  </si>
  <si>
    <t xml:space="preserve">To reimburse the amount paid for purchased ecobags </t>
  </si>
  <si>
    <t>1475899</t>
  </si>
  <si>
    <t>NIA-COB</t>
  </si>
  <si>
    <t>To payment for Training Hall for the conduct of CY 2022 Year-End Assessment and Workshop for FY 2023 Regualr and ARF Proposed Projects</t>
  </si>
  <si>
    <t>ASA # 230024 MOOE</t>
  </si>
  <si>
    <t>1475900</t>
  </si>
  <si>
    <t>To remit Withholding Tax (1% &amp; 2%) deducted from suppliers / contractors of NIA-pangasinan IMO covering the period of March 2023</t>
  </si>
  <si>
    <t>1763301</t>
  </si>
  <si>
    <t xml:space="preserve">To remit Withholding Tax (5%) deducted from suppliers/contractors of NIA-Pangasinan IMO covering the period of March 2023 </t>
  </si>
  <si>
    <t>1763302</t>
  </si>
  <si>
    <t>1763303</t>
  </si>
  <si>
    <t>Bureau of Treasury Acct. No. 3402-2636-78</t>
  </si>
  <si>
    <t>To remit interest income under Fund 501 CARP for the 1st Quarter of CY 2023</t>
  </si>
  <si>
    <t>1763304</t>
  </si>
  <si>
    <t>23-04-</t>
  </si>
  <si>
    <t>Fourth partial payment of contract under R1-PIMO-22-03-041 in connection with the Minosicuan CIS (CARP IC CY 2022) located in Umingan, Pangasinan</t>
  </si>
  <si>
    <t>Payroll202304010</t>
  </si>
  <si>
    <t>To payment of wages of John R. Bergado &amp; 8 others (Job Order) of NIA-Pangasinan IMO, Urdaneta City, Pangasinan for the period March 16-31, 2023</t>
  </si>
  <si>
    <t>1763305</t>
  </si>
  <si>
    <t>To payment of diesel fuel for use of various vehicles assigned for Project of Irrigation System NIA Pangasinan IMO IDS for the period March 1-15, 2023</t>
  </si>
  <si>
    <t>Payroll202304012</t>
  </si>
  <si>
    <t xml:space="preserve">John R. Bergado &amp; 9 others </t>
  </si>
  <si>
    <t>To payment of wages of John R. Bergado &amp; 9 others (Job Order) of NIA-Pangasinan IMO, Urdaneta City, Pangasinan for the period April 1-15, 2023</t>
  </si>
  <si>
    <t>220044 Capital Outlay -Malimpin SPIP-CW</t>
  </si>
  <si>
    <t>DebitMemoCostofCheck0401</t>
  </si>
  <si>
    <t>Cost of Check Booklet</t>
  </si>
  <si>
    <t>Payment of Check Booklet</t>
  </si>
  <si>
    <t>230024 MOOE</t>
  </si>
  <si>
    <t>Payroll202304011</t>
  </si>
  <si>
    <t>To payment of Salaries and Allowances of E. Delos Santos &amp; 1 other of NIA-Pangasinan IMO (CARP) Urdaneta City, Pangasinan for the period April 2023</t>
  </si>
  <si>
    <t>230008 (March) - 12,873.13 &amp; 230068 (April) 49,446.87 PS</t>
  </si>
  <si>
    <t>220052 Capital Outlay Calmay SPIP-CW</t>
  </si>
  <si>
    <t>1763306</t>
  </si>
  <si>
    <t>To payment for Multi-purpose loan of Richard C. De Guzman &amp; 2 others (Job Order) of NIA-Pangasinan IMO, Urdaneta City covering the month of March 16-31, 2023</t>
  </si>
  <si>
    <t>220044 Capital Outlay-Malimpin SPIP- CW</t>
  </si>
  <si>
    <t>1763307</t>
  </si>
  <si>
    <t>To remit monthly GSIS premiums both personal &amp; government shares of E. Delos Santos &amp; 1 other of NIA Pangasinan IMO (CARP) Urdaneta City, Pangasinan for the period of April 2023</t>
  </si>
  <si>
    <t>230068 PS (April)</t>
  </si>
  <si>
    <t>1763308</t>
  </si>
  <si>
    <t>HDMF</t>
  </si>
  <si>
    <t>To remit monthly HDMF premiums both personal &amp; government shares of E. Delos Santos &amp; 1 other of NIA Pangasinan IMO (CARP) Urdaneta City, Pangasinan for the period of April 2023</t>
  </si>
  <si>
    <t>1763309</t>
  </si>
  <si>
    <t>To remit Withholding Tax on Compensation of E. Delos Santos &amp; 1 other of NIA Pangasinan IMO (CARP), Urdaneta City, Pangasinan for the period April 2023</t>
  </si>
  <si>
    <t>1763310</t>
  </si>
  <si>
    <t>To remit monthly HDMF M2 E. Delos Santos &amp; 1 other of NIA-Pangasinan IMO (CARP), Urdaneta City, Pangasinan for the periof of April 2023</t>
  </si>
  <si>
    <t>1763311</t>
  </si>
  <si>
    <t>To payment for NIA Multi-purpose loan of Richard C. De Guzman &amp; 2 others (Job Order) of NIA-Pangasinan IMO, Urdaneta City covering the month of April 1-15, 2023</t>
  </si>
  <si>
    <t>220052 Capital Outlay-Calmay SPIP-CW</t>
  </si>
  <si>
    <t>1763312</t>
  </si>
  <si>
    <t>To remit the monthly contribution of PHIC Premiums of John R. Bergado &amp; 6 other (Job Order) of NIA-Pangasinan IMO, Urdaneta City for the month of April, 2023</t>
  </si>
  <si>
    <t>1763313</t>
  </si>
  <si>
    <t>To remit HDMF Loan (MPL) of Richard D. De Guzman &amp; 2 others  (Job Order) of NIA-Pangasinan IMO, Urdaneta City for the month of April 2023</t>
  </si>
  <si>
    <t>1763314</t>
  </si>
  <si>
    <t>To remit HDMF Premiums for personal share of John R. Bergado &amp; 9 others (Job Order) of NIA-Pangasinan, Urdaneta City, Pangasinan for the month of April, 2023</t>
  </si>
  <si>
    <t>1763315</t>
  </si>
  <si>
    <t>To payment of diesel fuel for use of various vehicles assigned for Project of Irrigation System NIA Pangasinan IMO-IDU for the period of March 16-31, 2023</t>
  </si>
  <si>
    <t>DebitMemoPHIC04-03</t>
  </si>
  <si>
    <t>To remit monthly PHIC premiums both personal &amp; government shares of E. Delos Santos &amp;  1 other of NIA Pangasinan IMO (CARP) Urdaneta City, Pangasinan for the period April 2023</t>
  </si>
  <si>
    <t>1763316</t>
  </si>
  <si>
    <t>To remit Withholding Tax (1% &amp; 2%) deducted form suppliers / contractors of NIA-Pangasinan IMO covering the period April 2023</t>
  </si>
  <si>
    <t>1763317</t>
  </si>
  <si>
    <t>To remit Withholding Tax (5%) deducted form suppliers / contractors of NIA-Pangasinan IMO covering the period April 2023</t>
  </si>
  <si>
    <t>220076 Capital Outlay Minosicuan CIS - CW (21,855.92) 220052 Capital Outlay - Calmay SPIP -(44.44) &amp; 220044 Capital Outlay - Malimpin SPIP - (78.22)</t>
  </si>
  <si>
    <t>220076 Capital Outlay Minosicuan CIS - CW (54,639.79) 220052 Capital Outlay - Calmay SPIP -(222.2) &amp; 220044 Capital Outlay - Malimpin SPIP - (391.10)</t>
  </si>
  <si>
    <t>ROCHELLE E. RABANAL, CPA, MBA</t>
  </si>
  <si>
    <t>Payroll202305013</t>
  </si>
  <si>
    <t>23-05-</t>
  </si>
  <si>
    <t>To payment of wages of John  R. Bergado &amp; 9 others (Job Order) of NIA-Pangasinan IMO, Urdaneta City, Pangasinan for the period April 16-30, 2023</t>
  </si>
  <si>
    <t>1763318</t>
  </si>
  <si>
    <t>Fifth partial payment of contract under R1-PIMO-22-03-041 in connection with the Minosicuan CIS (CARP IC CY 2022) located in Umingan, Pangasinan</t>
  </si>
  <si>
    <t>220076 - Capital Outlay Minosicuan CIS</t>
  </si>
  <si>
    <t>Payroll202305014</t>
  </si>
  <si>
    <t>To payment of Salaries and Allowances of E. Delos Santos &amp; 1 other of NIA-Pangasinan IMO (CARP) Urdaneta City, Pangasinan for the period May 2023</t>
  </si>
  <si>
    <t>Payroll202305015</t>
  </si>
  <si>
    <t>230068 - PS</t>
  </si>
  <si>
    <t xml:space="preserve">To payment for the grant of Mid-Year Bonus for CY 2023 of E. Delos Santos &amp; 1 other of NIA CARP as per MC_s.202_ </t>
  </si>
  <si>
    <t>1763319</t>
  </si>
  <si>
    <t>220052 - Capital Outlay Calmay SPIP</t>
  </si>
  <si>
    <t>D' Brothers International Trading Corporation</t>
  </si>
  <si>
    <t>Third and Final payment of contract under R1-PIMO-22-01-016 in connection with the Construction of Calmay SPIP (CARP IC CY 2022) located at Laoac, Pangasinan</t>
  </si>
  <si>
    <t>1763320</t>
  </si>
  <si>
    <t>To payment of retention deducted on the 1st partial payment of D'Brothers International Trading Corporation under contact no. R1-PIMO-22-01-016 in connection with the Construction of Calmay SPIP (CARP-IC CY 2022)</t>
  </si>
  <si>
    <t>1763321</t>
  </si>
  <si>
    <t>To remit monthly HDMF premiums both personal &amp; government shares of E. Delos Santos &amp; 1 other of NIA-Pangasinan IMO (CARP) Urdaneta City, Pangasinan for the period May 2023</t>
  </si>
  <si>
    <t>1763322</t>
  </si>
  <si>
    <t>G.S.I.S</t>
  </si>
  <si>
    <t>To remit monthly GSIS premiums both personal &amp; government shares of E. Delos Santos &amp; 1 other of NIA Pangasinan IMO (CARP) Urdaneta City, Pangasinan for the period of May 2023</t>
  </si>
  <si>
    <t xml:space="preserve">230068 PS </t>
  </si>
  <si>
    <t>1763323</t>
  </si>
  <si>
    <t>To remit withholding tax on Compensation of E. Delos Santos &amp; 1 other of NIA Pangasinan IMO (CARP), Urdaneta City, Pangasinan for the period of May 2023</t>
  </si>
  <si>
    <t>230068 PS</t>
  </si>
  <si>
    <t>1763324</t>
  </si>
  <si>
    <t>To payment for NIA Multi-purpose loan of Richard C. De Guzman &amp; 2 other (Job Order) of NIA-Pangasinan IMO, Urdaneta City covering the month of April 16-30, 2023</t>
  </si>
  <si>
    <t>1763325</t>
  </si>
  <si>
    <t>To remit monthly HDMF M2 E. Delos Santos &amp; 1 other of NIA-Pangasinan IMO (CARP), Urdaneta City, Pangasinan for the periof of May 2023</t>
  </si>
  <si>
    <t>Payroll202305016</t>
  </si>
  <si>
    <t>To payment of wages of John R. Bergado &amp; 9 others (Job Order) of NIA-Pangasinan IMO, Urdaneta City, Pangasinan for the period May 1-15, 2023</t>
  </si>
  <si>
    <t>220044 - Capiyal Outlay Malimpin SPIP</t>
  </si>
  <si>
    <t>1763326</t>
  </si>
  <si>
    <t>SSS</t>
  </si>
  <si>
    <t>To remit SSS Contribution of John R. Bergado &amp; 9 others (Job Order) of NIA-Pangasinan IMO for the month of April 2023</t>
  </si>
  <si>
    <t>DebitmemoPHIC05-04</t>
  </si>
  <si>
    <t>To remit monthly PHIC premiums both personal &amp; government shares of E. Delos Santos &amp; 1 other of NIA-Pangasinan IMO (CARP) Urdaneta City, Pangasinan for the period May 2023</t>
  </si>
  <si>
    <t>1763327</t>
  </si>
  <si>
    <t>To remit HDMF Premiums for personal share of John R. Bergado &amp; 9 others (Job Order) of NIA-Pangasinan, Urdaneta City, Pangasinan for the month of May, 2023</t>
  </si>
  <si>
    <t>220044 Capital Outlay-Malimpin SPIP</t>
  </si>
  <si>
    <t>1763328</t>
  </si>
  <si>
    <t>To remit the monthly contribution of PHIC premiums of John R. Bergado &amp; 7 others (Job Order) of NIA-Pangasinan IMO, Urdaneta City for the month of May 2023</t>
  </si>
  <si>
    <t>1763329</t>
  </si>
  <si>
    <t>To payment for NIA Multi-purpose loan of Richard C. De Guzman &amp; 2 others (Job Order) of NIA-Pangasinan IMO, Urdaneta City, Pangasinan covering period May 1-15, 2023</t>
  </si>
  <si>
    <t>1763330</t>
  </si>
  <si>
    <t>To remit HDMF Loan (MPL) of Richard D. De Guzman &amp; 2 others  (Job Order) of NIA-Pangasinan IMO, Urdaneta City for the month of May 2023</t>
  </si>
  <si>
    <t>1763331</t>
  </si>
  <si>
    <t>To reimburse the amount paid for meals and accommodation incurred during the inspection of projects conducted by CARP-IC PMO, DAR and PARC on April 17-18, 2023</t>
  </si>
  <si>
    <t>1763332</t>
  </si>
  <si>
    <t>BTL Auto Shop</t>
  </si>
  <si>
    <t>220044 - Capital Outlay Malimpin SPIP</t>
  </si>
  <si>
    <t>1763333</t>
  </si>
  <si>
    <t>To payment of diesel fuel for use of various vehicles assigned for Project of Irrigation System NIA Pangasinan IMO-IDU for the period April 16-30, 2023</t>
  </si>
  <si>
    <t>1763334</t>
  </si>
  <si>
    <t>To reimburse the amount paid for meals and snacks served during the conduct of pre-construction conference and MOA signing of Waig SPIP o April 21, 2023 at Brgy. Waig, Malasiqui,, Pangasinan</t>
  </si>
  <si>
    <t>230036 - MOOE IDP 2022 (Waig PIP)</t>
  </si>
  <si>
    <t>1763335</t>
  </si>
  <si>
    <t>LBP for the account of BIR</t>
  </si>
  <si>
    <t>To remit withholding tax (5%) deducted from suppliers/contractors of NIA-Pangasinan IMO covering the period of May 2023</t>
  </si>
  <si>
    <t>220076 Capital Outlay Minosicuan - P 117,937.68, 220052 Capital Outlay Calmay SPIP - P 23,130.42 &amp; 331.76, 220044 - Capital Outlay Malimpin SPIP 104.50</t>
  </si>
  <si>
    <t>1763336</t>
  </si>
  <si>
    <t>To remit witholding tax (1%-2%) deducted from suppliers/contractors of NIA-Pangasinan IMO covering the period of May 2023</t>
  </si>
  <si>
    <t>220076 Capital Outlay Minosicuan - P 47,175.07, 220052 Capital Outlay Calmay SPIP - P 9,252.17 &amp; 66.35, 220044 - Capital Outlay Malimpin SPIP 104.50</t>
  </si>
  <si>
    <t>1763337</t>
  </si>
  <si>
    <t>23-06-</t>
  </si>
  <si>
    <t>Casa Del Camba Hotel &amp; Restaurant</t>
  </si>
  <si>
    <t xml:space="preserve">To payment of meals and snacks and lodging served used during the conduct of Financial Management System Training of Malimpin Farmers Agriculture Cooperative (MFAC) on March 22-24, 2023 at Brgy. Malimpin, Dasol, Pangasinan </t>
  </si>
  <si>
    <t>Payroll2023-06-0017</t>
  </si>
  <si>
    <t>John R. Bergado &amp; 10 others</t>
  </si>
  <si>
    <t xml:space="preserve">To payment of wages of John R. Bergado &amp; 10 others (Job Order) of NIA-Pangasinan IMO, Urdaneta City, Pangasinan for the period May 16-31, 2023 </t>
  </si>
  <si>
    <t>1763339</t>
  </si>
  <si>
    <t>220076 Capital Outlay-Minosicuan CIS</t>
  </si>
  <si>
    <t>To payment of meals and snacks served during the conduct of Financial Management System Training of Minosicuan FIA, Inc. on March 8-10, 2023 at Brgy. Gonzales, Umingan, Pangasinan</t>
  </si>
  <si>
    <t>1763340</t>
  </si>
  <si>
    <t>To remit SSS Contribution of John R. Bergado &amp; 10 others (Job Order) of NIA-Pangasinan IMO for the month of May 2023</t>
  </si>
  <si>
    <t>1763341</t>
  </si>
  <si>
    <t>To remit the monthly contribution of PHIC premiums of John R. Bergado &amp; 7 others (Job Order) of NIA-Pangasinan IMO, Urdaneta City for the month of June 2023</t>
  </si>
  <si>
    <t>1763338</t>
  </si>
  <si>
    <t>Payroll2023-06-0018</t>
  </si>
  <si>
    <t>To payment of Salaries and Allowances of E. Delos Santos &amp; 1 other of NIA-Pangasinan IMO (CARP) Urdaneta City, Pangasinan for the period of June 2023</t>
  </si>
  <si>
    <t>2300068 PS</t>
  </si>
  <si>
    <t>1763342</t>
  </si>
  <si>
    <t>To remit monthly GSIS premiums both personal &amp; government shares of E. Delos Santos &amp; 1 other of NIA-Pangasinan IMO (CARP) Urdaneta City, Pangasinan for the period June 2023</t>
  </si>
  <si>
    <t>1763343</t>
  </si>
  <si>
    <t>To remit monthly HDMF premiums both personal &amp; government shares of E. Delos Santos &amp; 1 other of NIA-Pangasinan IMO (CARP) Urdaneta City, Pangasinan for the period June 2023</t>
  </si>
  <si>
    <t>1763344</t>
  </si>
  <si>
    <t>To remit monthly HDMF M2 E. Delos Santos &amp; 1 other of NIA-Pangasinan IMO (CARP), Urdaneta City, Pangasinan for the period of June 2023</t>
  </si>
  <si>
    <t>1763345</t>
  </si>
  <si>
    <t>To remit HDMF Premiums for personal share of John R. Bergado &amp; 11 others (Job Order) of NIA-Pangasinan IMO, Urdaneta City, Pangasinan for the month of June 2023</t>
  </si>
  <si>
    <t>1763346</t>
  </si>
  <si>
    <t>To remit HMDF Loan (MPL) of Richard D. De Guzman &amp; 2 others (Job Order) of NIA-Pangasinan IMO, Urdaneta City for the month of June 2023</t>
  </si>
  <si>
    <t>1763347</t>
  </si>
  <si>
    <t>To payment for NIA Multi-Purpose loan of Richard C. De Guzman &amp; 1 other (Job Order) of NIA-Pangasinan IMO, Urdaneta City covering the period June 1-15, 2023</t>
  </si>
  <si>
    <t>1763349</t>
  </si>
  <si>
    <t>To remit SSS Contributions of John R. Bergado &amp; 11 others (Job Order) of NIA-Pangasinan IMO, for the month of June 2023</t>
  </si>
  <si>
    <t>1763350</t>
  </si>
  <si>
    <t>To remit withholding tax on Compensation of E. Delos Santos &amp; 1 other of NIA Pangasinan IMO (CARP), Urdaneta City, Pangasinan for the period of June 2023</t>
  </si>
  <si>
    <t>DebitmemoPHIC-06-05</t>
  </si>
  <si>
    <t>To remit monthly PHIC premiums both personal &amp; government shares of E. Delos Santos &amp; 1 other of NIA Pangasinan IMO (CARP) Urdaneta City, Pangasinan for the period of June 2023</t>
  </si>
  <si>
    <t>1763351</t>
  </si>
  <si>
    <t>To payment for NIA Multi-purpose loan of Richard C. De Guzman &amp; 2 others (Job Order) of NIA-Pangasinan IMO, Urdaneta City covering the period May 16-31, 2023</t>
  </si>
  <si>
    <t>Payroll2023-06-020</t>
  </si>
  <si>
    <t>E.Delos Santos &amp; 1 other</t>
  </si>
  <si>
    <t>NIA 60th(Diamond) Anniversary Bonus C.Y 2023</t>
  </si>
  <si>
    <t>230063 PS</t>
  </si>
  <si>
    <t>1763352</t>
  </si>
  <si>
    <t>To six (6th) partial payment of contract under R1-PIMO-22-03-041 in connection with the Minosicuan CIS (CARP IC CY 2022) located in Umingan, Pangasinan</t>
  </si>
  <si>
    <t>1763353</t>
  </si>
  <si>
    <t>To remit witholding tax(5%) deducted from suppliers/contractors of NIA-Pangasinan IMO for the period of June 2023</t>
  </si>
  <si>
    <t>220044 Capital Outlay-Malimpin SPIP - P 484.60, 220076 Capital Outlay-Minosicuan CIS - 2,062.50, 220076 Capital Outlay-Minosicuan CIS - 50,966.96</t>
  </si>
  <si>
    <t>1763354</t>
  </si>
  <si>
    <t>To remit witholding tax (1%-2%) deducted from suppliers/contracrors of NIA-Pangasina IMO for the period of June 2023</t>
  </si>
  <si>
    <t>220044 Capital Outlay-Malimpin SPIP - P 969.20, 220076 Capital Outlay-Minosicuan CIS - 825.00, 220076 Capital Outlay-Minosicuan CIS - 20,386.78</t>
  </si>
  <si>
    <t>1763355</t>
  </si>
  <si>
    <t>Bureau of Treasury</t>
  </si>
  <si>
    <t>To remit interest income under fund 501 CARP for the 2nd Quarter of CY 2023</t>
  </si>
  <si>
    <t>1763348</t>
  </si>
  <si>
    <t>Payroll2023-06-0019</t>
  </si>
  <si>
    <t>J.Bergado &amp; 10 Others</t>
  </si>
  <si>
    <t>To payment of salaries and wages of J.Bergado &amp; 10 others (J.O) of NIA Pangasinan IMO personnel for the Month of June 1-15 ,2023</t>
  </si>
  <si>
    <t>1763356</t>
  </si>
  <si>
    <t>23-07-</t>
  </si>
  <si>
    <t>To payment of diesel fuel for use of various vehicles assigned for Project of Irrigation System NIA-Pangasinan IMO-IDU for the period of May 16-31, 2023</t>
  </si>
  <si>
    <t>Payroll2023-07-0021</t>
  </si>
  <si>
    <t>John R. Bergado &amp; 11 others</t>
  </si>
  <si>
    <t>To payment of wages of John R. Bergado &amp; 11 others (Job Order) of NIA-Pangasinan IMO, Urdaneta City for the period June 16-30, 2023</t>
  </si>
  <si>
    <t>1763357</t>
  </si>
  <si>
    <t xml:space="preserve">Caixia Construction </t>
  </si>
  <si>
    <t xml:space="preserve">To payment of 15% mobilization of contract under R1-PIMO-23-01-012 in connection with the Construction of Waig SPIP (CARP IC-CY 2023) located at Malasiqui, Pangasinan </t>
  </si>
  <si>
    <t>ASA # 230028 Capital Outlay-Waig PIP</t>
  </si>
  <si>
    <t>1763358</t>
  </si>
  <si>
    <t>To payment for NIA Multi-Purpose Loan of Richard C. De Guzman &amp; 1 other (Job Order) of NIA-Pangasinan IMO, Urdaneta City covering the period June 16-30, 2023</t>
  </si>
  <si>
    <t>Payroll2023-07-0022</t>
  </si>
  <si>
    <t xml:space="preserve">To payment of Salaries and Allowances of E. Delos Santos &amp; 1 other of NIA-Pangasinan IMO (CARP) Urdaneta City, Pangasinan for the period of July 2023 </t>
  </si>
  <si>
    <t>1763359</t>
  </si>
  <si>
    <t>To remit monthly GSIS premiums both personal &amp; government shares of E. Delos Santos &amp; 1 other of NIA-Pangasinan IMO (CARP) Urdaneta City, Pangasinan for the period of July 2023</t>
  </si>
  <si>
    <t>1763360</t>
  </si>
  <si>
    <t>To remit monthly HDMF M2 E. Delos Santos &amp; 1 other of NIA-Pangasinan IMO (CARP), Urdaneta City, Pangasinan for the period of July 2023</t>
  </si>
  <si>
    <t>ASA # 230111 (July) PS</t>
  </si>
  <si>
    <t>1763361</t>
  </si>
  <si>
    <t>To remit monthly HDMF premiums both personal &amp; government shares of E. Delos Santos &amp; 1 other of NIA-Pangasinan IMO (CARP) Urdaneta City, Pangasinan for the period of July 2023</t>
  </si>
  <si>
    <t>1763362</t>
  </si>
  <si>
    <t>To remit Withholding Tax on Compensation of E. Delos Santos &amp; 1 other of NIA-Pangasinan IMO (CARP), Urdaneta City, Pangasinan for the period of July 2023</t>
  </si>
  <si>
    <t>1763363</t>
  </si>
  <si>
    <t>To remit monthly GSIS premiums both personal &amp; government shares of Shalimar E. Velasco, Sr. Accounting Processor B of NIA-Pangasinan IMO (CARP) Urdaneta City, Pangasinan for the period of July 2023</t>
  </si>
  <si>
    <t>1763364</t>
  </si>
  <si>
    <t>To remit monthly PHIC premiums both personal &amp; government shares of Shalimar E. Velasco, Sr. Accounting Processor B of NIA Pangasinan IMO (CARP)  Urdaneta City, Pangasinan for the period of July 2023</t>
  </si>
  <si>
    <t>1763365</t>
  </si>
  <si>
    <t>To remit Multipurpose Loan (MPL) of Shalimar E. Velasco, Sr. Accounting Processor B of NIA-Pangasinan IMO (CARP) Urdaneta City, Pangasinan for the period of July 2023</t>
  </si>
  <si>
    <t>1763366</t>
  </si>
  <si>
    <t>To remit monthly HDMF premiums both personal &amp; government shares of Shalimar E. Velasco, Sr. Accounting Processor B of NIA-Pangasinan IMO (CARP) Urdaneta City, Pangasinan for the period of July 2023</t>
  </si>
  <si>
    <t>Payroll2023-07-0022A</t>
  </si>
  <si>
    <t>To remit monthly PHIC premiums both personal &amp; government shares of E. Delos Santos &amp; 1 other of NIA Pangasinan IMO (CARP) Urdaneta City, Pangasinan for the period of July 2023</t>
  </si>
  <si>
    <t>Payroll2023-07-0023</t>
  </si>
  <si>
    <t>Shalimar E. Velasco</t>
  </si>
  <si>
    <t>To payment of Salaries and Allowances of Shalimar E. Velasco as of Sr. Accounting Processor B of NIA-Pangasinan IMO (CARP) Urdaneta City, Pangasinan for the period of July 03-31, 2023</t>
  </si>
  <si>
    <t>1763367</t>
  </si>
  <si>
    <t>To payment of diesel fuel for use of various vehicles assigned for Project of Irrigation System NIA-Pangasinan IMO-IDU for the period of June 16-30, 2023</t>
  </si>
  <si>
    <t>1763368</t>
  </si>
  <si>
    <t>To payment of diesel fuel for use of various vehicles assigned for Project of Irrigation System NIA-Pangasinan IMO-IDS for the period of June 1-15, 2023</t>
  </si>
  <si>
    <t xml:space="preserve">MOOE 230024 </t>
  </si>
  <si>
    <t>1763369</t>
  </si>
  <si>
    <t xml:space="preserve">To payment of Office Equipment (2 unit Steel Cabinet, 4 drawer, vertical) for use of PIMO-CARP </t>
  </si>
  <si>
    <t>ASA # 220044 Capital Outlay (Malimpin SPIP)</t>
  </si>
  <si>
    <t>1763370</t>
  </si>
  <si>
    <t>Bitstop, Inc.</t>
  </si>
  <si>
    <t>To payment of Office Equipment (1 unit Camera, DSLR) for use of PIMO-CARP</t>
  </si>
  <si>
    <t>1763371</t>
  </si>
  <si>
    <t>Copylandia Office Systems Corporation</t>
  </si>
  <si>
    <t>To payment of Spare parts for the Photocopier Model: Ineo 258 assigned at PIMO-Planning Unit</t>
  </si>
  <si>
    <t>1763372</t>
  </si>
  <si>
    <t>To remit Withholding Tax (5%) deducted from supplier/contractors of NIA-Pangasinan IMO covering the period of July 2023</t>
  </si>
  <si>
    <t>220044 - Capital Outlay - Malimpin SPIP = 378.52, 230028-Capital Outlay - Waig = 194.69, MOOE 230024 CY 2022 = 222.67, 220044 - Capital Outlay - Malimpin SPIP = 749.82, 220076 - Capital Outlay - Minosicuan CIS = 1763.39, 220044 - Capital Outlay - Malimpin SPIP = 4885.71</t>
  </si>
  <si>
    <t>220044 - Capital Outlay - Malimpin SPIP = 75.7, 230028-Capital Outlay - Waig = 38.94, MOOE 230024 CY 2022 = 44.53, 220044 - Capital Outlay - Malimpin SPIP = 149.96, 220076 - Capital Outlay - Minosicuan CIS = 352.68, 220044 - Capital Outlay - Malimpin SPIP =977.14</t>
  </si>
  <si>
    <t>1763373</t>
  </si>
  <si>
    <t>To remit Withholding Tax (1 % &amp; 5%) deducted from supplier/contractors of NIA-Pangasinan IMO covering the period of July 2023</t>
  </si>
  <si>
    <t>DemitMemoCostofCheck0701</t>
  </si>
  <si>
    <t>Land Bank of The Philippines</t>
  </si>
  <si>
    <t>ASA # 230068 (June) P 12,873.13 &amp; ASA # 230111 (July) 49,446.87</t>
  </si>
  <si>
    <t>1763374</t>
  </si>
  <si>
    <t>23-08-</t>
  </si>
  <si>
    <t>Arluck Trading</t>
  </si>
  <si>
    <t>To payment of personal protective equipment and construction measuring tools for use of PIMO-CARP and Engineering Section personnel</t>
  </si>
  <si>
    <t>1763375</t>
  </si>
  <si>
    <t>To payment of diesel fuel for use of various vehicles assigned for Project of Irrigation System NIA-Pangasinan IMO IDS for the period of July 1-15, 2023</t>
  </si>
  <si>
    <t>1763376</t>
  </si>
  <si>
    <t xml:space="preserve">Addessa Corporation </t>
  </si>
  <si>
    <t>To payment of Office Equipment (6 units Airconditioner Split Type) for use of PIMO-Administrative and Finance New Building</t>
  </si>
  <si>
    <t>1763377</t>
  </si>
  <si>
    <t>To payment of diesel fuel for use of various vehicles assigned for Project of Irrigation System NIA Pangasinan IMO-IDU for the period of July 16-31, 2023</t>
  </si>
  <si>
    <t>220076 Capital Outlay - Minosicuan CIS</t>
  </si>
  <si>
    <t>230028 Capital Outlay - Waig PIP</t>
  </si>
  <si>
    <t>Payroll2023-08-0024</t>
  </si>
  <si>
    <t>To payment of Salaries and Allowances of Emerson A. Delos Santos &amp; 1 other of NIA-Pangasinan IMO (CARP) Urdaneta City, Pangasinan for the month of August 2023</t>
  </si>
  <si>
    <t>1763378</t>
  </si>
  <si>
    <t>To remit Multipurpose Loan (MPL) of Shalimar E. Velasco, Sr. Accounting Processor B of NIA-Pangasinan IMO (CARP) Urdaneta City, Pangasinan for the period of August 2023</t>
  </si>
  <si>
    <t>230111 PS (August 2023)</t>
  </si>
  <si>
    <t>1763379</t>
  </si>
  <si>
    <t>To remit withholding tax on compensation of Emerson A. Delos Santos &amp; 2 others of NIA Pangasinan IMO (CARP), Urdaneta City, Pangasinan for the period August 2023</t>
  </si>
  <si>
    <t>1763380</t>
  </si>
  <si>
    <t xml:space="preserve">HDMF </t>
  </si>
  <si>
    <t>To remit monthly HDMF M2 Emerson A. Delos Santos &amp; 1 other of NIA-Pangasinan IMO (CARP) Urdaneta City, Pangasinan for the period of August 2023</t>
  </si>
  <si>
    <t>1763381</t>
  </si>
  <si>
    <t>To remit monthly HDMF premiums both personal &amp; government shares of Emerson A. Delos Santos &amp; 2 others of NIA-Pangasinan IMO (CARP) Urdaneta City, Pangasinan for the period of August 2023</t>
  </si>
  <si>
    <t>1763382</t>
  </si>
  <si>
    <t>To remit monthly GSIS premiums both personal &amp; government shares of Emerson A. Delos Santos &amp; 2 others of NIA-Pangasinan IMO (CARP) Urdaneta City, Pangasinan for the period August 2023</t>
  </si>
  <si>
    <t>1763383</t>
  </si>
  <si>
    <t>To payment of ICT Equipment (2 units Computer, Desktop, Intel Core i7) for use of PIMO Design and CARP projects</t>
  </si>
  <si>
    <t>1763384</t>
  </si>
  <si>
    <t>To Third (3rd) partial payment of contract under R1-PIMO-22-01-015 in connection with the Construction of Malimpin SPIP (CARP-IC CY 2022) located in Dasol, Pangasinan</t>
  </si>
  <si>
    <t>Payroll2023-08-0025</t>
  </si>
  <si>
    <t>To payment of Salaries and Allowances of Shalimar E. Velasco of NIA-Pangasinan IMO (CARP) Urdaneta City, Pangasinan for the month of August 2023</t>
  </si>
  <si>
    <t>DebitmemoPHIC-08-07</t>
  </si>
  <si>
    <t>To remit monthly PHIC premiums both personal &amp; government shares of Emerson A. Delos Santos &amp; 2 others of NIA-pangasinan IMO (CARP) Urdaneta City, Pangasinan for the period August 2023</t>
  </si>
  <si>
    <t>To remit Withholding Tax (5%) deducted from suppliers / contractors of NIA-Pangasinan IMO covering the period August 2023</t>
  </si>
  <si>
    <t>220076 Capital Outlay Minosicuan CIS 1106.03, 230028 Capital Outlay Waig PIP 271.84, 220044 Capital Outlay SPIP 8437.50, 220044 Capital Outlay Malimpin SPIP 241.94, 220076 Capital Outlay Minosicuan 8658.93, 220044 Capital Outlay Malimpin SPIP - 73018.98</t>
  </si>
  <si>
    <t>To remit Withholding Tax (1 % &amp; 2%) deducted from suppliers / contractors of NIA-Pangasinan IMO covering the period August 2023</t>
  </si>
  <si>
    <t>220076 Capital Outlay Minosicuan CIS 221.21, 230028 Capital Outlay Waig PIP 54.37, 220044 Capital Outlay SPIP 1687.50, 220044 Capital Outlay Malimpin SPIP 48.29, 220076 Capital Outlay Minosicuan 1731.79, 220044 Capital Outlay Malimpin SPIP - 29207.59</t>
  </si>
  <si>
    <t>1763385</t>
  </si>
  <si>
    <t>2023-08</t>
  </si>
  <si>
    <t>1763386</t>
  </si>
  <si>
    <t>23-09-</t>
  </si>
  <si>
    <t>To first partial payment of contract under R1-PIMO-23-01-012 in connection with the Construction of Waig SPIP (CARP-IC CY 2023) located in Malasiqui, Pangasinan</t>
  </si>
  <si>
    <t>To payment of diesel fuel for use of various vehicles assigned for Project of Irrigation System NIA-Pangasinan IMO-IDS for the period of August 1-15, 2023</t>
  </si>
  <si>
    <t>230034 MOOE</t>
  </si>
  <si>
    <t>Payroll2023-09-0026</t>
  </si>
  <si>
    <t>To payment of Salaries and Allowances of Emerson A. Delos Santos &amp; 1 other of NIA-Pangasinan IMO (CARP) Urdaneta City, Pangasinan for the month of September 2023</t>
  </si>
  <si>
    <t>230111 PS CY 2023 (September 2023) = 35,082.15 
230149 PS CY 2023 (September 2023) = 27,237.85</t>
  </si>
  <si>
    <t>1763389</t>
  </si>
  <si>
    <t>To remit GSIS Premiums (Personal &amp; Government Shares) of Emerson A. Delos Santos &amp; 2 others of NIA-Pangasinan IMO (CARP), for the month of September 2023</t>
  </si>
  <si>
    <t>230149 PS CY 2023</t>
  </si>
  <si>
    <t>1763390</t>
  </si>
  <si>
    <t>To remit HDMF Modified Pag-ibig II (MP2) of Emerson A. Delos Santos &amp; 1 other of NIA-Pangasinan IMO (CARP) for the month of September 2023</t>
  </si>
  <si>
    <t>1763391</t>
  </si>
  <si>
    <t>1763392</t>
  </si>
  <si>
    <t>To remit HDMF Multipurpose Loan (MPL) of Shalimar E. Velasco of NIA-Pangasinan IMO (CARP) for the month of September 2023</t>
  </si>
  <si>
    <t>1763393</t>
  </si>
  <si>
    <t>To remit the HDMF Premiums (Personal &amp; Government Shares) of Emerson A. Delos Santos &amp; 2 others of NIA-Pangasinan IMO (CARP) for the month of September 2023</t>
  </si>
  <si>
    <t>1763394</t>
  </si>
  <si>
    <t>To remit the Withholding Tax due of Emerson A. Delos Santos &amp; 2 others of NIA-Pangasinan IMO (CARP) for the month of September 2023</t>
  </si>
  <si>
    <t>1763395</t>
  </si>
  <si>
    <t>To payment of Diesel Fuel for use of various vehicles assigned for Project of Irrigation System NIA-Pangasinan IMO-IDU for the period of August 16-31, 2023</t>
  </si>
  <si>
    <t>Payroll2023-09-0027</t>
  </si>
  <si>
    <t>To payment of Salaries and Allowances of Shalimar E. Velasco of NIA-Pangasinan IMO (CARP) Urdaneta City, Pangasinan for the month of September 2023</t>
  </si>
  <si>
    <t>DebitmemoPHIC-09-08</t>
  </si>
  <si>
    <t>To remit the PHIC Premiums (Personal &amp; Government Shares) of Emerson A. Delos Santos &amp; 2 others of NIA-Pangasinan IMO (CARP) for the month of September 2023</t>
  </si>
  <si>
    <t>1763396</t>
  </si>
  <si>
    <t>Remit Interest Income under Fund 501 CARP for the 3rd Quarter of CY 2023</t>
  </si>
  <si>
    <t>1763397</t>
  </si>
  <si>
    <t>1763398</t>
  </si>
  <si>
    <t>Remit Withholding Tax (1% &amp; 2%) deducted from suppliers/contractors of NIA-Pangasinan IMO for the month of September, 2023</t>
  </si>
  <si>
    <t>Remit Withholding Tax (5%) deducted from suppliers/contractors of NIA-Pangasinan IMO for the month of September, 2023</t>
  </si>
  <si>
    <t>CY 2023</t>
  </si>
  <si>
    <t xml:space="preserve">230028 Capital Outlay - Waig PIP </t>
  </si>
  <si>
    <t>230028 Capital Outlay - Waig PIP - 190478.69, 230024 MOOE - 595.05</t>
  </si>
  <si>
    <t>1763387</t>
  </si>
  <si>
    <t>1763388</t>
  </si>
  <si>
    <t>NIA-PIMO-AFS-FIN-INT-Form05 Rev.01</t>
  </si>
  <si>
    <t>Pangasinan Irrigation Management Office</t>
  </si>
  <si>
    <t>23-12-</t>
  </si>
  <si>
    <t>719-12</t>
  </si>
  <si>
    <t>719-13</t>
  </si>
  <si>
    <t>Other Bonuses and Allowances - Productivity Enhancement Incentive (PEI)</t>
  </si>
  <si>
    <t>Other Bonuses and Allowances - Service Recognition Incentive (SRI)</t>
  </si>
  <si>
    <t>23-12</t>
  </si>
  <si>
    <t>December 1-31, 2023</t>
  </si>
  <si>
    <t>To record Depreciation Expense of Various Property, Plant and Equipment</t>
  </si>
  <si>
    <t>23-01-007</t>
  </si>
  <si>
    <t>To restore entry made on unreleased checks at the end of the year and recognize the availability of the checks for release broken down as follows:
R.O. I                     P218,147.33
ISIMO                      213,369.97
LUIMO                      95,959.90
PIMO                         83,261.65</t>
  </si>
  <si>
    <t>23-01-013</t>
  </si>
  <si>
    <t>To take up depreciation for the completed projects(January, 2023)</t>
  </si>
  <si>
    <t>23-02-027</t>
  </si>
  <si>
    <t>To take up payment of remittances under Fund  501 CARP  erroneously charged to Fund 501 LFPs</t>
  </si>
  <si>
    <t>23-02-029</t>
  </si>
  <si>
    <t>T0 take up Depreciation for the month of January &amp; February 2023 of various PPE-PIMO</t>
  </si>
  <si>
    <t>23-02-030</t>
  </si>
  <si>
    <t>To take up depreciation for the completed projects(February, 2023)</t>
  </si>
  <si>
    <t xml:space="preserve">To recognize ADA received for CY 2023 for the month of March:
ADA#158-2023-03-006        P    1,375,899.30
</t>
  </si>
  <si>
    <t>23-03-035</t>
  </si>
  <si>
    <t>23-03-036</t>
  </si>
  <si>
    <t>To recognized interest income earned for the 1st quarter CY 2023</t>
  </si>
  <si>
    <t>23-03-037</t>
  </si>
  <si>
    <t>To record issuances of semi-expendable property in the Regional Office for the month of March 2023.</t>
  </si>
  <si>
    <t>23-03-038</t>
  </si>
  <si>
    <t>To take up depreciation for ICT Equipment( March, 2023)-R. O. I</t>
  </si>
  <si>
    <t>23-03-040</t>
  </si>
  <si>
    <t>To take up liquidation of Cash Advance to cover Training Expenses (Meals &amp; Snacks, Accomodation &amp; Miscellaneous) for the conduct of Social and Technological Exchange Experience Program for Nagpukaoan Ma-ang Angri Tadao IA, Inc. (Tadao CIS) on February 16 &amp; 17, 2023</t>
  </si>
  <si>
    <t>23-03-041</t>
  </si>
  <si>
    <t>To take-up depreciation expense for the month of March 2023 (ICT Equipment)-INIMO</t>
  </si>
  <si>
    <t>23-03-042</t>
  </si>
  <si>
    <t xml:space="preserve">To take-up depreciation of completed projects for the month of March 2023-INIMO </t>
  </si>
  <si>
    <t>23-03-044</t>
  </si>
  <si>
    <t>To take-up depreciation expense for the month of March 2023(Office Equipment)-ISIMO</t>
  </si>
  <si>
    <t>23-03-045</t>
  </si>
  <si>
    <t>To take-up depreciation expense for the month of March 2023 (ICT Equipment)-ISIMO</t>
  </si>
  <si>
    <t>23-03-046</t>
  </si>
  <si>
    <t>To recognize Interest Income earned for the 1st QTR-ISIMO CY 2023</t>
  </si>
  <si>
    <t>23-03-048</t>
  </si>
  <si>
    <t>To recognize Interest Income earned for the 1st QTR-LUIMO CY 2023</t>
  </si>
  <si>
    <t>23-03-049</t>
  </si>
  <si>
    <t>To recognize Interest Income earned for the 1st QTR-PIMO CY 2023</t>
  </si>
  <si>
    <t>23-03-050</t>
  </si>
  <si>
    <t>To take-up depreciation for the month of  March 2023 of various PPE-PIMO</t>
  </si>
  <si>
    <t>23-03-051</t>
  </si>
  <si>
    <t>To take up   depreciation expense of various property, plant and equipment  (January - March,2023)</t>
  </si>
  <si>
    <t>23-03-052</t>
  </si>
  <si>
    <t>To take up depreciation for the completed projects( March, 2023)-LUIMO</t>
  </si>
  <si>
    <t>23-03-053</t>
  </si>
  <si>
    <t>To take up depreciation for the completed projects( March, 2023)-ISIMO</t>
  </si>
  <si>
    <t>23-03-054</t>
  </si>
  <si>
    <t>To take up depreciation for the completed projects( March, 2023)-PIMO</t>
  </si>
  <si>
    <t>23-01-008</t>
  </si>
  <si>
    <t xml:space="preserve">To recognize ADA received for CY 2023 for the month of January
ADA#158-2022-12-101          P    325,000.00   
</t>
  </si>
  <si>
    <t>23-01-009</t>
  </si>
  <si>
    <t>To recognize issuance of office supplies in the Regional Office for the month of January 2023.</t>
  </si>
  <si>
    <t>23-01-010</t>
  </si>
  <si>
    <t>To recognize issuance of semi-expendable property in the Regional Office for the month of January 2023.</t>
  </si>
  <si>
    <t>23-01-011A</t>
  </si>
  <si>
    <t>To take up issuance of Other Supplies and Materials Inventory for 01.1-31.2023</t>
  </si>
  <si>
    <t>23-01-011B</t>
  </si>
  <si>
    <t>To take up all records for Accumulated Depreciation - Office Equipment for 01-.1-31.2023</t>
  </si>
  <si>
    <t>23-01-011C</t>
  </si>
  <si>
    <t>To take up all records for Accumulated Depreciation - ICT Equipment for 01-.1-31.2023</t>
  </si>
  <si>
    <t>23-01-012</t>
  </si>
  <si>
    <t>To adjust erroneous booking of semi-expendable property instead of information and communication technology equipment-LUIMO</t>
  </si>
  <si>
    <t>23-01-014</t>
  </si>
  <si>
    <t>To take-up depreciation expense for the month of January 2023-INIMO</t>
  </si>
  <si>
    <t>23-01-015</t>
  </si>
  <si>
    <t>To take up depreciation of various PPE for the month of January 2023-R. O. I</t>
  </si>
  <si>
    <t>23-02-021</t>
  </si>
  <si>
    <t xml:space="preserve">To recognize ADA received for CY 2023 for the month of February:
ADA#158-2023-01-002         P    638,000.00
ADA#158-2023-01-003                 74,500.00
ADA#158-2023-01-004               950,000.00
ADA#158-2023-01-005                85,000.00
</t>
  </si>
  <si>
    <t>23-02-022</t>
  </si>
  <si>
    <t>To establish  unissued semi-expendable books as of February 28, 2023</t>
  </si>
  <si>
    <t>23-02-023</t>
  </si>
  <si>
    <t>To take up liquidation of Cash Advance for the Per Diems, Transportation and Allowances in connection to the CARP-IC Year-End Assessment</t>
  </si>
  <si>
    <t>23-02-024</t>
  </si>
  <si>
    <t>To take-up depreciation expense for the month of February 2023 (ICT Equipment)-INIMO</t>
  </si>
  <si>
    <t>23-02-025</t>
  </si>
  <si>
    <t>To take-up depreciation expense for the month of February 2023 (Office Equipment)-ISIMO</t>
  </si>
  <si>
    <t>23-02-026</t>
  </si>
  <si>
    <t>To take-up depreciation expense for the month of February 2023 (ICT Equipment)-ISIMO</t>
  </si>
  <si>
    <t>23-02-028</t>
  </si>
  <si>
    <t>To take up depreciation for ICT Equipment( February, 2023)-R. O. I</t>
  </si>
  <si>
    <t>23-02-031</t>
  </si>
  <si>
    <t>To take up issuance of Other Supplies and Materials Inventory for the month of February, 2023</t>
  </si>
  <si>
    <t>23-04-056</t>
  </si>
  <si>
    <t>To recognize ADA received for CY 2023 for the month of April:
ADA#158-2023-03-009       P    9,333,750.00
ADA#158-2023-03-010        P      147,000.00
ADA#158-2023-04-011       P       617,170.36</t>
  </si>
  <si>
    <t>23-04-057</t>
  </si>
  <si>
    <t>To recognize issuance of office supplies inventory for the month of April 2023 in the Rgional Office</t>
  </si>
  <si>
    <t>To recognize issuance of office supplies inventory for the month of April 2023 in the Regional Office</t>
  </si>
  <si>
    <t>23-04-058</t>
  </si>
  <si>
    <t>To recognize issuance of other supplies inventory for the month of April 2023 in the Regional Office</t>
  </si>
  <si>
    <t>To recognize issuance of other supplies inventory for the month of April 2023 in the Rgional Office</t>
  </si>
  <si>
    <t>23-04-059</t>
  </si>
  <si>
    <t>To take up depreciation for ICT Equipment( April, 2023)-R. O. I</t>
  </si>
  <si>
    <t>23-04-062</t>
  </si>
  <si>
    <t>To take-up depreciation expense for the month of April 2023 (ICT Equipment)-INIMO</t>
  </si>
  <si>
    <t>23-04-064</t>
  </si>
  <si>
    <t>To take up depreciation for the completed projects( April, 2023)-INIMO</t>
  </si>
  <si>
    <t>23-04-065</t>
  </si>
  <si>
    <t>To set up receivable from Officers and Employees for the payment of Interest/Surcharge incurred  from previous remittance.</t>
  </si>
  <si>
    <t>23-04-066</t>
  </si>
  <si>
    <t>To take-up depreciation expense for the month of April 2023 (ICT Equipment)-ISIMO</t>
  </si>
  <si>
    <t>23-04-067</t>
  </si>
  <si>
    <t>To take-up depreciation expense for the month of April 2023(Office Equipment)-ISIMO</t>
  </si>
  <si>
    <t>23-04-068</t>
  </si>
  <si>
    <t>To take up depreciation of completed projects for the month of April, 2023</t>
  </si>
  <si>
    <t>23-04-071</t>
  </si>
  <si>
    <t>To take up   depreciation expense of various property, plant and equipment  (April, 2023)-LUIMO</t>
  </si>
  <si>
    <t>23-04-072</t>
  </si>
  <si>
    <t>To take up depreciation for the completed projects( April, 2023)-LUIMO</t>
  </si>
  <si>
    <t>23-04-073</t>
  </si>
  <si>
    <t>To record issuance of semi-expendable property for the  month of April, 2023</t>
  </si>
  <si>
    <t>23-04-074</t>
  </si>
  <si>
    <t>To record Office Supplies issued for the month of April, 2023</t>
  </si>
  <si>
    <t>23-04-075</t>
  </si>
  <si>
    <t>23-04-077</t>
  </si>
  <si>
    <t>To take-up depreciation for the month of April 2023 of various PPE-PIMO</t>
  </si>
  <si>
    <t>23-04-078</t>
  </si>
  <si>
    <t>To take up reclassification of remittance to BIR from Account title 414-4 to 414-2</t>
  </si>
  <si>
    <t>23-05-079</t>
  </si>
  <si>
    <t>To recognize ADA received for CY 2023 for the month of May:
ADA#158-2023-04-012      P    9,333,750.00
ADA#158-2023-05-013        P     922,388.20
ADA#158-2023-05-014       P        98,000.00</t>
  </si>
  <si>
    <t>23-05-080</t>
  </si>
  <si>
    <t>To take up depreciation for ICT Equipment( May 2023)-R. O. I</t>
  </si>
  <si>
    <t>To take up depreciation for ICT Equipment(May, 2023)-R. O. I</t>
  </si>
  <si>
    <t>23-05-084</t>
  </si>
  <si>
    <t>23-05-085</t>
  </si>
  <si>
    <t>To take up  depreciation expense  for the month of May 20213(ICT Equipment)</t>
  </si>
  <si>
    <t>23-05-086</t>
  </si>
  <si>
    <t>To take up liquidation of Cash Advance for the Per Diems, Transportation and Allowances in connection to the Nationwide CARP-IC Assessment Admin &amp; Finance Group held on April 18-21 at Cebu City, Region VII (Angel Joy M. Corla)</t>
  </si>
  <si>
    <t>23-05-088</t>
  </si>
  <si>
    <t>23-05-089</t>
  </si>
  <si>
    <t>To take up  depreciation expense  for the month of May 20213(Office Equipment)</t>
  </si>
  <si>
    <t>23-05-090</t>
  </si>
  <si>
    <t>To take up depreciation for the completed projects( May, 2023)-ISIMO</t>
  </si>
  <si>
    <t>23-05-093</t>
  </si>
  <si>
    <t>To take up depreciation fo the month of May 2023 of various PPE-PIMO</t>
  </si>
  <si>
    <t>23-05-094</t>
  </si>
  <si>
    <t>To take up depreciation for the completed projects( May, 2023)-PIMO</t>
  </si>
  <si>
    <t>23-05-095</t>
  </si>
  <si>
    <t>To record issuances of semi-expendable property in the Regional Office for the month of May 2023.</t>
  </si>
  <si>
    <t>23-05-096</t>
  </si>
  <si>
    <t>To take up depreciation of completed projects for the month of May 2023 and adjust understatement of Accumulated Depreciation for CAPAGAYAN CIS &amp; SURRATE MILAGROSA CIS AND EXTN.</t>
  </si>
  <si>
    <t>23-05-097</t>
  </si>
  <si>
    <t>To take up  depreciation expense  for the month of May 20213(ICT Equipment)-LUIMO</t>
  </si>
  <si>
    <t>23-05-098</t>
  </si>
  <si>
    <t>To take up depreciation for the completed projects( May, 2023)-LUIMO</t>
  </si>
  <si>
    <t>23-06-099</t>
  </si>
  <si>
    <t>To recognize ADA received for CY 2023 for the month of June:
ADA#158-2023-06-017     P         505,758.20
ADA#158-2023-06-018     P           49,000.00
ADA#158-2023-06-019    P       9,547,500.00</t>
  </si>
  <si>
    <t>23-06-100</t>
  </si>
  <si>
    <t>To recognized interest income earned for the 2nd quarter CY 2023</t>
  </si>
  <si>
    <t>23-06-101</t>
  </si>
  <si>
    <t>To record  issuances of semi-expendable property in the Regional Office for the  month of June 2023.</t>
  </si>
  <si>
    <t>23-06-102</t>
  </si>
  <si>
    <t>To record issuance of office supplies  in the Regional Office for the month of June 2023</t>
  </si>
  <si>
    <t>23-06-103</t>
  </si>
  <si>
    <t>To take up depreciation for ICT Equipment( June 2023)-R. O. I</t>
  </si>
  <si>
    <t>To take up depreciation for ICT Equipment(June, 2023)-R. O. I</t>
  </si>
  <si>
    <t>23-06-106</t>
  </si>
  <si>
    <t xml:space="preserve">To take-up depreciation expense of completed projects for the month of June 2023 </t>
  </si>
  <si>
    <t>23-06-107</t>
  </si>
  <si>
    <t>To take-up depreciation expense for the month of June 2023 (ICT Equipment)</t>
  </si>
  <si>
    <t>23-06-108</t>
  </si>
  <si>
    <t>To take up  depreciation expense  for the month of June 20213(ICT Equipment)</t>
  </si>
  <si>
    <t>23-06-109</t>
  </si>
  <si>
    <t>To take up  depreciation expense  for the month of June 20213(Office Equipment)</t>
  </si>
  <si>
    <t>23-06-110</t>
  </si>
  <si>
    <t>To take up depreciation for the completed projects( June, 2023)-ISIMO</t>
  </si>
  <si>
    <t>23-06-111</t>
  </si>
  <si>
    <t>To recognized interest income earned for the 2nd quarter CY 2023-ISIMO</t>
  </si>
  <si>
    <t>23-06-113</t>
  </si>
  <si>
    <t>To record issuance of supplies inventory for the month of June 2023 based on the documents submitted by the Property Unit.</t>
  </si>
  <si>
    <t>23-06-114</t>
  </si>
  <si>
    <t>To record issuance of semi expendable property for the month of June 2023 based on the documents submitted by the Property Unit.</t>
  </si>
  <si>
    <t>23-06-116</t>
  </si>
  <si>
    <t>To recognized interest income earned for the 2nd quarter CY 2023-LUIMO</t>
  </si>
  <si>
    <t>23-06-118</t>
  </si>
  <si>
    <t>To recognized interest income earned for the 2nd quarter CY 2023-PIMO</t>
  </si>
  <si>
    <t>23-06-119</t>
  </si>
  <si>
    <t>To take up depreciation fo the month of June 2023 of various PPE-PIMO</t>
  </si>
  <si>
    <t>23-06-120</t>
  </si>
  <si>
    <t>To take up depreciation for the completed projects( June, 2023)-PIMO</t>
  </si>
  <si>
    <t>23-06-121</t>
  </si>
  <si>
    <t xml:space="preserve">To record issuance of office supplies inventory for the month of May 2023-PIMO </t>
  </si>
  <si>
    <t>23-06-122</t>
  </si>
  <si>
    <t xml:space="preserve">To record issuance of office supplies inventory for the month of June 2023-PIMO </t>
  </si>
  <si>
    <t>23-06-123</t>
  </si>
  <si>
    <t>To reverse cancelled check  # 976234 dated February 07,2023</t>
  </si>
  <si>
    <t>23-06-124</t>
  </si>
  <si>
    <t>To take up   depreciation expense of various property, plant and equipment  (JUNE],2023)</t>
  </si>
  <si>
    <t>To take up   depreciation expense of various property, plant and equipment  (JUNE,2023)</t>
  </si>
  <si>
    <t>23-06-125</t>
  </si>
  <si>
    <t>To take up depreciation for the completed projects( June, 2023)</t>
  </si>
  <si>
    <t>23-07-126</t>
  </si>
  <si>
    <t>To recognize ADA received for CY 2023 for the month of July:
ADA#158-2023-07-023     P         39,500.00
ADA#158-2023-07-021     P    10,260,00.00
ADA#158-2023-07-022     P       529,091.53</t>
  </si>
  <si>
    <t>23-07-127</t>
  </si>
  <si>
    <t>To take up depreciation for ICT Equipment( July 2023)-R. O. I</t>
  </si>
  <si>
    <t>23-07-129</t>
  </si>
  <si>
    <t>To take up liquidation of Cash Advance for the Per Diems, Lodging and Transportation in connection to the NIA 60th Anniversary at the Regional Office on June 14-16, 2023 (Christian A. Antonio et.al.)</t>
  </si>
  <si>
    <t>23-07-131</t>
  </si>
  <si>
    <t>To take-up depreciation expense for the month of July 2023 (ICT Equipment)</t>
  </si>
  <si>
    <t>23-07-132</t>
  </si>
  <si>
    <t xml:space="preserve">To take-up depreciation expense of completed projects for the month of July 2023 </t>
  </si>
  <si>
    <t>23-07-134</t>
  </si>
  <si>
    <t xml:space="preserve">To take up depreciation expense for the month of July 2023 - Office Equipment </t>
  </si>
  <si>
    <t>23-07-135</t>
  </si>
  <si>
    <t xml:space="preserve">To take up depreciation expense for the monh of July 2023 - ICT Equipment </t>
  </si>
  <si>
    <t xml:space="preserve">To take up depreciation expense for the monh of July 2023 - ICT Equipement </t>
  </si>
  <si>
    <t>23-07-136</t>
  </si>
  <si>
    <t xml:space="preserve">To take up depreciation of completed projects for the month of July 2023 </t>
  </si>
  <si>
    <t>23-07-138</t>
  </si>
  <si>
    <t>To set up the loyalty payment of P. Fabriga, Jr. charged to 501 LFPs but should be 501 CARP.</t>
  </si>
  <si>
    <t>23-07-140</t>
  </si>
  <si>
    <t>To take up depreciation  for the completed projects ( July,2023)</t>
  </si>
  <si>
    <t>23-07-142</t>
  </si>
  <si>
    <t>To take up   depreciation expense of various property, plant and equipment  (JULY,2023)</t>
  </si>
  <si>
    <t>23-07-143</t>
  </si>
  <si>
    <t>To record semi-expendable property issued for the month of July 31, 2023</t>
  </si>
  <si>
    <t>23-07-144</t>
  </si>
  <si>
    <t>To take up   depreciation for the month of July 2023 of various property, plant and equipment -PIMO</t>
  </si>
  <si>
    <t>23-07-145</t>
  </si>
  <si>
    <t>To record issuances of Office Supplies for the month of July 2023</t>
  </si>
  <si>
    <t>23-07-146</t>
  </si>
  <si>
    <t>To record depreciation  for the completed projects ( July,2023)</t>
  </si>
  <si>
    <t>23-07-147</t>
  </si>
  <si>
    <t>To reclassify computer software to its proper asset account</t>
  </si>
  <si>
    <t>280</t>
  </si>
  <si>
    <t>23-08-148</t>
  </si>
  <si>
    <t>To recognize ADA received for CY 2023 for the month of August:
ADA#158-2023-07-025     P        529,091.53
ADA#158-2023-08-026     P        116,000.00
ADA#158-2023-08-027     P     4,085,000.00</t>
  </si>
  <si>
    <t>23-08-149</t>
  </si>
  <si>
    <t>To take up depreciation for ICT Equipment( August 2023)-R. O. I</t>
  </si>
  <si>
    <t>23-08-152</t>
  </si>
  <si>
    <t xml:space="preserve">To take-up depreciation expense of completed projects for the month of August 2023 </t>
  </si>
  <si>
    <t>23-08-153</t>
  </si>
  <si>
    <t>To take-up depreciation expense for the month of August 2023 (ICT Equipment)</t>
  </si>
  <si>
    <t>23-08-155</t>
  </si>
  <si>
    <t>To take up depreciation expense for the month of August 2023 (Office Equipment)</t>
  </si>
  <si>
    <t>23-08-156</t>
  </si>
  <si>
    <t>To take up depreciation expense for the month of August 2023 (ICT Equipment)</t>
  </si>
  <si>
    <t>23-08-157</t>
  </si>
  <si>
    <t>To take up depreciation for the completed projects (August 2023)</t>
  </si>
  <si>
    <t>23-08-159</t>
  </si>
  <si>
    <t>To take up   depreciation expense of various property, plant and equipment  (August,2023)</t>
  </si>
  <si>
    <t>23-08-160</t>
  </si>
  <si>
    <t>To take up depreciation for the completed projects( August, 2023)</t>
  </si>
  <si>
    <t>23-08-162</t>
  </si>
  <si>
    <t>To take up   depreciation for the month of August 2023 of various property, plant and equipment -PIMO</t>
  </si>
  <si>
    <t>23-08-163</t>
  </si>
  <si>
    <t>To record depreciation  for the completed projects ( August,2023)</t>
  </si>
  <si>
    <t>23-08-164</t>
  </si>
  <si>
    <t xml:space="preserve">To record issuance of office supplies inventory for the month of August 2023-PIMO </t>
  </si>
  <si>
    <t>23-08-165</t>
  </si>
  <si>
    <t>To recognize  issuance of  office supplies in the Regional Office for the month of August, 2023.</t>
  </si>
  <si>
    <t>23-08-166</t>
  </si>
  <si>
    <t>To recognize issued office supplies for the month of August, 2023-ISIMO</t>
  </si>
  <si>
    <t>23-08-167</t>
  </si>
  <si>
    <t>To reclassify Other Supplies &amp; Materials Inventory to it's proper expense account.</t>
  </si>
  <si>
    <t>23-09-168</t>
  </si>
  <si>
    <t>To liquidate cash advance intended for registration fee and airfare of NIA participants to the PAGBA 2nd Quarterly Seminar and Meeting(August 29-September 3, 2023) in Grand Menseng  Hotel, Davao City</t>
  </si>
  <si>
    <t>To liquidate cash advance intended for registration fee and airfare of NIA participants to the PAGBA 2nd Quarterly Seminar and Meeting( August 29-September 3, 2023) in Grand Menseng  Hotel, Davao City</t>
  </si>
  <si>
    <t>23-09-169</t>
  </si>
  <si>
    <t>To recognize ADA received for CY 2023 for the month of September:
ADA#158-2023-08-028     P        200,000.00
ADA#158-2023-08-029     P        607,952.72
ADA#158-2023-08-030     P          20,375.00
ADA#158-2023-08-032     P     2,660,000.00</t>
  </si>
  <si>
    <t>23-09-170</t>
  </si>
  <si>
    <t>To recognized interest income earned for the 3rd quarter CY 2023</t>
  </si>
  <si>
    <t>23-09-171</t>
  </si>
  <si>
    <t>To take up depreciation for ICT Equipment(September 2023)-R. O. I</t>
  </si>
  <si>
    <t>23-09-174</t>
  </si>
  <si>
    <t xml:space="preserve">To take-up depreciation expense of completed projects for the month of September 2023 </t>
  </si>
  <si>
    <t>23-09-175</t>
  </si>
  <si>
    <t>To take-up depreciation expense for the month of September 2023 (ICT Equipment)</t>
  </si>
  <si>
    <t>23-09-177</t>
  </si>
  <si>
    <t>To take up depreciation expense for the month of September 2023 (Office Equipment)</t>
  </si>
  <si>
    <t>23-09-178</t>
  </si>
  <si>
    <t>To take up depreciation expense for the month of September 2023 (ICT Equipment)</t>
  </si>
  <si>
    <t>23-09-179</t>
  </si>
  <si>
    <t>To take up depreciation for the completed projects (September 2023)</t>
  </si>
  <si>
    <t>23-09-180</t>
  </si>
  <si>
    <t>To recognize interest income earned for the 3rd Quarter of CY 2023.</t>
  </si>
  <si>
    <t>23-09-182</t>
  </si>
  <si>
    <t>To take up   depreciation expense of various property, plant and equipment  (September,2023)</t>
  </si>
  <si>
    <t>23-09-183</t>
  </si>
  <si>
    <t>To take up depreciation for the completed projects( September, 2023)</t>
  </si>
  <si>
    <t>23-09-184</t>
  </si>
  <si>
    <t>To recognize interest income earned for the 3rd quarter-LUIMO</t>
  </si>
  <si>
    <t>23-09-185</t>
  </si>
  <si>
    <t>To recognize issued office supplies for the month of September, 2023-PIMO</t>
  </si>
  <si>
    <t>23-09-186</t>
  </si>
  <si>
    <t>To recognize interest income earned for the 3rd quarter-PIMO</t>
  </si>
  <si>
    <t>23-09-187</t>
  </si>
  <si>
    <t>To take up   depreciation for the month of September of various property, plant and equipment -PIMO</t>
  </si>
  <si>
    <t>23-09-188</t>
  </si>
  <si>
    <t>To record depreciation  for the completed projects (September,2023)</t>
  </si>
  <si>
    <t>23-09-189</t>
  </si>
  <si>
    <t>To record issuance  of supplies for the month of September, 20233</t>
  </si>
  <si>
    <t>23-09-190</t>
  </si>
  <si>
    <t>To record issuance  of semi-expendable property in the Regional Office for the month of September, 2023</t>
  </si>
  <si>
    <t>23-01-005</t>
  </si>
  <si>
    <t>23-06-117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</si>
</sst>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0">
    <numFmt numFmtId="43" formatCode="_-* #,##0.00_-;\-* #,##0.00_-;_-* &quot;-&quot;??_-;_-@_-"/>
    <numFmt numFmtId="164" formatCode="_(* #,##0.00_);_(* \(#,##0.00\);_(* &quot;-&quot;??_);_(@_)"/>
    <numFmt numFmtId="165" formatCode="&quot;P&quot;#,##0.00_);\(&quot;P&quot;#,##0.00\)"/>
    <numFmt numFmtId="166" formatCode="&quot;For the month ended&quot;\ mmmm\ d\,\ yyyy"/>
    <numFmt numFmtId="167" formatCode="&quot;Total for the month &quot;mmmm\ yyyy"/>
    <numFmt numFmtId="168" formatCode="&quot;Ending Balance&quot;\ mm/dd/yy"/>
    <numFmt numFmtId="169" formatCode="&quot;As of&quot;\ mmmm\ dd\,\ yyyy"/>
    <numFmt numFmtId="170" formatCode="mmmm\ &quot;01-&quot;dd\,\ yyyy"/>
    <numFmt numFmtId="171" formatCode="[$-3409]mmmm\ dd\,\ yyyy;@"/>
    <numFmt numFmtId="172" formatCode="mmmm\ yyyy"/>
    <numFmt numFmtId="173" formatCode="mm/dd/yy;@"/>
    <numFmt numFmtId="174" formatCode="&quot;As of &quot;mmmm\ dd\,\ yyyy"/>
    <numFmt numFmtId="175" formatCode="&quot;Add: Cash Balance Beginning,&quot;\ mmmm\ &quot;01,&quot;\ yyyy"/>
    <numFmt numFmtId="176" formatCode="&quot;Add: Cash Balance,&quot;\ mmmm\ &quot;01,&quot;\ yyyy"/>
    <numFmt numFmtId="177" formatCode="&quot;Cash Balance,&quot;\ mmmm\ dd\,\ yyyy"/>
    <numFmt numFmtId="178" formatCode="&quot;For the Month of &quot;mmmm\ yyyy"/>
    <numFmt numFmtId="179" formatCode="dd\-mmm\-yyyy"/>
    <numFmt numFmtId="180" formatCode="mmmm\ dd\,\ yyyy"/>
    <numFmt numFmtId="181" formatCode="&quot;Total Commitment as of&quot;\ mm/dd/yy"/>
    <numFmt numFmtId="182" formatCode="&quot;Total for the Year &quot;yyyy"/>
    <numFmt numFmtId="183" formatCode="&quot;Ending Balance&quot;\ mmmm\ dd\,\ yyyy"/>
    <numFmt numFmtId="184" formatCode="mmmm"/>
    <numFmt numFmtId="185" formatCode="&quot;ACTUAL&quot;\ mmmm\ dd\,\ yyyy"/>
    <numFmt numFmtId="186" formatCode="_(* #,##0_);_(* \(#,##0\);_(* &quot;-&quot;??_);_(@_)"/>
    <numFmt numFmtId="187" formatCode="mm/dd/yyyy;@"/>
    <numFmt numFmtId="188" formatCode="mmm\ dd\,\ yyyy"/>
    <numFmt numFmtId="189" formatCode="_(* #,##0.0_);_(* \(#,##0.0\);_(* &quot;-&quot;??_);_(@_)"/>
    <numFmt numFmtId="190" formatCode="_(&quot;P&quot;* #,##0.00_);_(&quot;P&quot;* \(#,##0.00\);_(&quot;P&quot;* &quot;-&quot;??_);_(@_)"/>
    <numFmt numFmtId="191" formatCode="[$-3409]dd\-mmm\-yy;@"/>
    <numFmt numFmtId="192" formatCode="[$-3409]dd\-mmm\-yy"/>
  </numFmts>
  <fonts count="130">
    <font>
      <sz val="12"/>
      <name val="Times New Roman"/>
    </font>
    <font>
      <sz val="11"/>
      <color theme="1"/>
      <name val="Calibri"/>
      <family val="2"/>
      <scheme val="minor"/>
    </font>
    <font>
      <sz val="12"/>
      <name val="Times New Roman"/>
      <family val="1"/>
    </font>
    <font>
      <b/>
      <sz val="12"/>
      <name val="Times New Roman"/>
      <family val="1"/>
    </font>
    <font>
      <sz val="10"/>
      <name val="Arial"/>
      <family val="2"/>
    </font>
    <font>
      <sz val="15"/>
      <name val="Matura MT Script Capitals"/>
      <family val="4"/>
    </font>
    <font>
      <b/>
      <sz val="18"/>
      <name val="Monotype Corsiva"/>
      <family val="4"/>
    </font>
    <font>
      <b/>
      <sz val="12"/>
      <color indexed="18"/>
      <name val="Times New Roman"/>
      <family val="1"/>
    </font>
    <font>
      <b/>
      <sz val="25"/>
      <color indexed="10"/>
      <name val="Matura MT Script Capitals"/>
      <family val="4"/>
    </font>
    <font>
      <b/>
      <sz val="18"/>
      <color indexed="17"/>
      <name val="Script MT Bold"/>
      <family val="4"/>
    </font>
    <font>
      <b/>
      <sz val="12"/>
      <color indexed="12"/>
      <name val="Times New Roman"/>
      <family val="1"/>
    </font>
    <font>
      <sz val="12"/>
      <color indexed="12"/>
      <name val="Times New Roman"/>
      <family val="1"/>
    </font>
    <font>
      <b/>
      <sz val="12"/>
      <color rgb="FF002060"/>
      <name val="Times New Roman"/>
      <family val="1"/>
    </font>
    <font>
      <b/>
      <sz val="12"/>
      <color rgb="FFFF0000"/>
      <name val="Times New Roman"/>
      <family val="1"/>
    </font>
    <font>
      <b/>
      <sz val="18"/>
      <color indexed="17"/>
      <name val="Baskerville Old Face"/>
      <family val="1"/>
    </font>
    <font>
      <sz val="15"/>
      <color indexed="17"/>
      <name val="Matura MT Script Capitals"/>
      <family val="4"/>
    </font>
    <font>
      <b/>
      <sz val="13"/>
      <name val="Times New Roman"/>
      <family val="1"/>
    </font>
    <font>
      <sz val="12"/>
      <color theme="1"/>
      <name val="Times New Roman"/>
      <family val="1"/>
    </font>
    <font>
      <b/>
      <sz val="12"/>
      <color theme="1"/>
      <name val="Times New Roman"/>
      <family val="1"/>
    </font>
    <font>
      <b/>
      <sz val="18"/>
      <name val="Times New Roman"/>
      <family val="1"/>
    </font>
    <font>
      <b/>
      <sz val="15"/>
      <name val="Times New Roman"/>
      <family val="1"/>
    </font>
    <font>
      <b/>
      <u/>
      <sz val="12"/>
      <name val="Times New Roman"/>
      <family val="1"/>
    </font>
    <font>
      <sz val="11"/>
      <name val="Times New Roman"/>
      <family val="1"/>
    </font>
    <font>
      <b/>
      <sz val="11"/>
      <name val="Times New Roman"/>
      <family val="1"/>
    </font>
    <font>
      <b/>
      <u/>
      <sz val="13"/>
      <name val="Times New Roman"/>
      <family val="1"/>
    </font>
    <font>
      <sz val="15"/>
      <color indexed="17"/>
      <name val="Script MT Bold"/>
      <family val="4"/>
    </font>
    <font>
      <sz val="15"/>
      <name val="Times New Roman"/>
      <family val="1"/>
    </font>
    <font>
      <b/>
      <sz val="25"/>
      <color theme="1"/>
      <name val="Constantia"/>
      <family val="1"/>
    </font>
    <font>
      <sz val="10"/>
      <name val="Times New Roman"/>
      <family val="1"/>
    </font>
    <font>
      <sz val="12"/>
      <color rgb="FFFF0000"/>
      <name val="Times New Roman"/>
      <family val="1"/>
    </font>
    <font>
      <b/>
      <sz val="10"/>
      <name val="Times New Roman"/>
      <family val="1"/>
    </font>
    <font>
      <b/>
      <sz val="15"/>
      <name val="Matura MT Script Capitals"/>
      <family val="4"/>
    </font>
    <font>
      <b/>
      <sz val="11"/>
      <name val="Cambria"/>
      <family val="1"/>
      <scheme val="major"/>
    </font>
    <font>
      <sz val="11"/>
      <name val="Cambria"/>
      <family val="1"/>
      <scheme val="major"/>
    </font>
    <font>
      <sz val="12"/>
      <color rgb="FF002060"/>
      <name val="Times New Roman"/>
      <family val="1"/>
    </font>
    <font>
      <sz val="11"/>
      <color theme="0"/>
      <name val="Times New Roman"/>
      <family val="1"/>
    </font>
    <font>
      <sz val="10"/>
      <color theme="0"/>
      <name val="Times New Roman"/>
      <family val="1"/>
    </font>
    <font>
      <sz val="9"/>
      <color indexed="81"/>
      <name val="Tahoma"/>
      <family val="2"/>
    </font>
    <font>
      <b/>
      <sz val="9"/>
      <color indexed="81"/>
      <name val="Tahoma"/>
      <family val="2"/>
    </font>
    <font>
      <sz val="20"/>
      <color indexed="81"/>
      <name val="Times New Roman"/>
      <family val="1"/>
    </font>
    <font>
      <sz val="12"/>
      <color indexed="81"/>
      <name val="Times New Roman"/>
      <family val="1"/>
    </font>
    <font>
      <sz val="20"/>
      <color indexed="18"/>
      <name val="Times New Roman"/>
      <family val="1"/>
    </font>
    <font>
      <b/>
      <sz val="11"/>
      <color rgb="FFFF0000"/>
      <name val="Cambria"/>
      <family val="1"/>
      <scheme val="major"/>
    </font>
    <font>
      <b/>
      <sz val="12"/>
      <color rgb="FF000066"/>
      <name val="Times New Roman"/>
      <family val="1"/>
    </font>
    <font>
      <b/>
      <sz val="11"/>
      <color rgb="FF000066"/>
      <name val="Times New Roman"/>
      <family val="1"/>
    </font>
    <font>
      <b/>
      <sz val="10"/>
      <color rgb="FF000066"/>
      <name val="Times New Roman"/>
      <family val="1"/>
    </font>
    <font>
      <sz val="12"/>
      <color theme="1"/>
      <name val="Times New Roman"/>
      <family val="2"/>
    </font>
    <font>
      <sz val="12"/>
      <name val="Times New Roman"/>
      <family val="2"/>
    </font>
    <font>
      <b/>
      <sz val="8"/>
      <color theme="1"/>
      <name val="Times New Roman"/>
      <family val="1"/>
    </font>
    <font>
      <b/>
      <sz val="12"/>
      <name val="Times New Roman"/>
      <family val="2"/>
    </font>
    <font>
      <sz val="15"/>
      <color rgb="FF008000"/>
      <name val="Matura MT Script Capitals"/>
      <family val="4"/>
    </font>
    <font>
      <b/>
      <sz val="12"/>
      <color rgb="FFFF0000"/>
      <name val="Times New Roman"/>
      <family val="1"/>
    </font>
    <font>
      <b/>
      <sz val="12"/>
      <name val="Times New Roman"/>
      <family val="1"/>
    </font>
    <font>
      <b/>
      <sz val="12"/>
      <color rgb="FFFF0000"/>
      <name val="Times New Roman"/>
      <family val="1"/>
    </font>
    <font>
      <sz val="12"/>
      <name val="Calibri"/>
      <family val="2"/>
      <scheme val="minor"/>
    </font>
    <font>
      <b/>
      <sz val="12"/>
      <name val="Calibri"/>
      <family val="2"/>
      <scheme val="minor"/>
    </font>
    <font>
      <b/>
      <sz val="12"/>
      <color rgb="FFC00000"/>
      <name val="Calibri"/>
      <family val="2"/>
      <scheme val="minor"/>
    </font>
    <font>
      <b/>
      <sz val="18"/>
      <color rgb="FF002060"/>
      <name val="Calibri"/>
      <family val="2"/>
      <scheme val="minor"/>
    </font>
    <font>
      <b/>
      <sz val="12"/>
      <color theme="0"/>
      <name val="Calibri"/>
      <family val="2"/>
      <scheme val="minor"/>
    </font>
    <font>
      <sz val="10"/>
      <name val="Calibri"/>
      <family val="2"/>
      <scheme val="minor"/>
    </font>
    <font>
      <b/>
      <sz val="18"/>
      <name val="Calibri"/>
      <family val="2"/>
      <scheme val="minor"/>
    </font>
    <font>
      <sz val="14"/>
      <name val="Calibri"/>
      <family val="2"/>
      <scheme val="minor"/>
    </font>
    <font>
      <sz val="11"/>
      <name val="Calibri"/>
      <family val="2"/>
      <scheme val="minor"/>
    </font>
    <font>
      <b/>
      <sz val="13"/>
      <name val="Calibri"/>
      <family val="2"/>
      <scheme val="minor"/>
    </font>
    <font>
      <sz val="12"/>
      <name val="Calibri"/>
      <family val="2"/>
      <scheme val="minor"/>
    </font>
    <font>
      <b/>
      <sz val="12"/>
      <name val="Times New Roman"/>
      <family val="1"/>
    </font>
    <font>
      <b/>
      <sz val="12"/>
      <color rgb="FFFF0000"/>
      <name val="Times New Roman"/>
      <family val="1"/>
    </font>
    <font>
      <sz val="12"/>
      <name val="Arial"/>
      <family val="2"/>
    </font>
    <font>
      <b/>
      <sz val="20"/>
      <color rgb="FF008000"/>
      <name val="Mistral"/>
      <family val="4"/>
    </font>
    <font>
      <sz val="20"/>
      <color indexed="17"/>
      <name val="Mistral"/>
      <family val="4"/>
    </font>
    <font>
      <b/>
      <sz val="20"/>
      <color indexed="17"/>
      <name val="Mistral"/>
      <family val="4"/>
    </font>
    <font>
      <b/>
      <sz val="13"/>
      <name val="Calibri"/>
      <family val="2"/>
    </font>
    <font>
      <sz val="12"/>
      <name val="Calibri"/>
      <family val="2"/>
    </font>
    <font>
      <b/>
      <sz val="15"/>
      <name val="Calibri"/>
      <family val="2"/>
    </font>
    <font>
      <b/>
      <u/>
      <sz val="13"/>
      <name val="Calibri"/>
      <family val="2"/>
    </font>
    <font>
      <b/>
      <sz val="15"/>
      <name val="Calibri"/>
      <family val="2"/>
      <scheme val="minor"/>
    </font>
    <font>
      <b/>
      <u/>
      <sz val="13"/>
      <name val="Calibri"/>
      <family val="2"/>
      <scheme val="minor"/>
    </font>
    <font>
      <b/>
      <sz val="24"/>
      <color indexed="17"/>
      <name val="Mistral"/>
      <family val="4"/>
    </font>
    <font>
      <b/>
      <sz val="12"/>
      <name val="Calibri"/>
      <family val="2"/>
    </font>
    <font>
      <b/>
      <sz val="26"/>
      <color rgb="FF008000"/>
      <name val="Mistral"/>
      <family val="4"/>
    </font>
    <font>
      <sz val="20"/>
      <name val="Mistral"/>
      <family val="4"/>
    </font>
    <font>
      <b/>
      <sz val="25"/>
      <color indexed="10"/>
      <name val="Calibri"/>
      <family val="2"/>
      <scheme val="minor"/>
    </font>
    <font>
      <b/>
      <sz val="12"/>
      <name val="Times New Roman"/>
      <family val="1"/>
    </font>
    <font>
      <sz val="12"/>
      <name val="Calibri"/>
      <family val="2"/>
      <scheme val="minor"/>
    </font>
    <font>
      <b/>
      <sz val="12"/>
      <name val="Times New Roman"/>
      <family val="1"/>
    </font>
    <font>
      <sz val="14"/>
      <name val="Times New Roman"/>
      <family val="1"/>
    </font>
    <font>
      <b/>
      <sz val="12"/>
      <name val="Times New Roman"/>
      <family val="1"/>
    </font>
    <font>
      <b/>
      <sz val="12"/>
      <name val="Times New Roman"/>
      <family val="1"/>
    </font>
    <font>
      <b/>
      <sz val="12"/>
      <name val="Times New Roman"/>
      <family val="1"/>
    </font>
    <font>
      <sz val="14"/>
      <color theme="1"/>
      <name val="Calibri"/>
      <family val="2"/>
      <scheme val="minor"/>
    </font>
    <font>
      <b/>
      <sz val="12"/>
      <name val="Times New Roman"/>
      <family val="1"/>
    </font>
    <font>
      <sz val="12"/>
      <name val="Calibri"/>
      <family val="2"/>
      <scheme val="minor"/>
    </font>
    <font>
      <b/>
      <sz val="12"/>
      <color theme="0"/>
      <name val="Times New Roman"/>
      <family val="1"/>
    </font>
    <font>
      <sz val="12"/>
      <color theme="0"/>
      <name val="Times New Roman"/>
      <family val="1"/>
    </font>
    <font>
      <b/>
      <sz val="18"/>
      <color rgb="FF008000"/>
      <name val="Trajan Pro"/>
      <family val="1"/>
    </font>
    <font>
      <sz val="18"/>
      <name val="Times New Roman"/>
      <family val="1"/>
    </font>
    <font>
      <b/>
      <sz val="16"/>
      <color rgb="FF008000"/>
      <name val="Trajan Pro"/>
      <family val="1"/>
    </font>
    <font>
      <b/>
      <sz val="12"/>
      <color rgb="FFFF0000"/>
      <name val="Times New Roman"/>
      <family val="1"/>
    </font>
    <font>
      <sz val="12"/>
      <color indexed="8"/>
      <name val="Bookman Old Style"/>
      <family val="1"/>
    </font>
    <font>
      <sz val="11"/>
      <color theme="1"/>
      <name val="Times New Roman"/>
      <family val="1"/>
    </font>
    <font>
      <b/>
      <sz val="11"/>
      <color theme="1"/>
      <name val="Times New Roman"/>
      <family val="1"/>
    </font>
    <font>
      <sz val="18"/>
      <name val="Trajan Pro"/>
      <family val="1"/>
    </font>
    <font>
      <sz val="12"/>
      <name val="Calibri"/>
      <family val="2"/>
      <scheme val="minor"/>
    </font>
    <font>
      <sz val="12"/>
      <name val="Calibri"/>
      <family val="2"/>
      <scheme val="minor"/>
    </font>
    <font>
      <sz val="8"/>
      <name val="Times New Roman"/>
      <family val="1"/>
    </font>
    <font>
      <sz val="12"/>
      <name val="Calibri"/>
      <family val="2"/>
      <scheme val="minor"/>
    </font>
    <font>
      <sz val="8"/>
      <name val="Times New Roman"/>
      <family val="1"/>
    </font>
    <font>
      <sz val="12"/>
      <name val="Calibri"/>
      <family val="2"/>
      <scheme val="minor"/>
    </font>
    <font>
      <sz val="12"/>
      <name val="Calibri"/>
      <family val="2"/>
      <scheme val="minor"/>
    </font>
    <font>
      <b/>
      <sz val="12"/>
      <color rgb="FFFF0000"/>
      <name val="Times New Roman"/>
      <family val="1"/>
    </font>
    <font>
      <sz val="12"/>
      <name val="Calibri"/>
      <family val="2"/>
      <scheme val="minor"/>
    </font>
    <font>
      <b/>
      <sz val="12"/>
      <color rgb="FFFF0000"/>
      <name val="Times New Roman"/>
      <family val="1"/>
    </font>
    <font>
      <sz val="12"/>
      <name val="Calibri"/>
      <family val="2"/>
      <scheme val="minor"/>
    </font>
    <font>
      <b/>
      <sz val="12"/>
      <color rgb="FFFF0000"/>
      <name val="Times New Roman"/>
      <family val="1"/>
    </font>
    <font>
      <sz val="12"/>
      <name val="Calibri"/>
      <family val="2"/>
      <scheme val="minor"/>
    </font>
    <font>
      <b/>
      <sz val="12"/>
      <color rgb="FFFF0000"/>
      <name val="Times New Roman"/>
      <family val="1"/>
    </font>
    <font>
      <sz val="12"/>
      <name val="Calibri"/>
      <family val="2"/>
      <scheme val="minor"/>
    </font>
    <font>
      <b/>
      <sz val="12"/>
      <color rgb="FFFF0000"/>
      <name val="Times New Roman"/>
      <family val="1"/>
    </font>
    <font>
      <sz val="12"/>
      <name val="Calibri"/>
      <family val="2"/>
      <scheme val="minor"/>
    </font>
    <font>
      <b/>
      <sz val="12"/>
      <color rgb="FFFF0000"/>
      <name val="Times New Roman"/>
      <family val="1"/>
    </font>
    <font>
      <i/>
      <sz val="12"/>
      <name val="Cambria"/>
      <family val="1"/>
      <scheme val="major"/>
    </font>
    <font>
      <sz val="12"/>
      <name val="Calibri"/>
      <family val="2"/>
      <scheme val="minor"/>
    </font>
    <font>
      <sz val="10"/>
      <color theme="1"/>
      <name val="Times New Roman"/>
      <family val="1"/>
    </font>
    <font>
      <b/>
      <sz val="10"/>
      <color rgb="FFFF0000"/>
      <name val="Times New Roman"/>
      <family val="1"/>
    </font>
    <font>
      <sz val="10"/>
      <name val="Times New Roman"/>
      <family val="1"/>
      <charset val="134"/>
    </font>
    <font>
      <sz val="12"/>
      <color theme="1"/>
      <name val="Times New Roman"/>
    </font>
    <font>
      <sz val="12"/>
      <name val="Calibri"/>
      <scheme val="minor"/>
    </font>
    <font>
      <sz val="36"/>
      <name val="Arial Narrow"/>
    </font>
    <font>
      <b/>
      <sz val="12"/>
      <color rgb="FFFF0000"/>
      <name val="Times New Roman"/>
    </font>
    <font>
      <sz val="10"/>
      <color theme="1"/>
      <name val="Calibri"/>
      <family val="2"/>
    </font>
  </fonts>
  <fills count="30">
    <fill>
      <patternFill patternType="none"/>
    </fill>
    <fill>
      <patternFill patternType="gray125"/>
    </fill>
    <fill>
      <patternFill patternType="gray0625">
        <fgColor indexed="15"/>
      </patternFill>
    </fill>
    <fill>
      <patternFill patternType="gray0625">
        <fgColor indexed="8"/>
      </patternFill>
    </fill>
    <fill>
      <patternFill patternType="solid">
        <fgColor theme="3" tint="0.79998168889431442"/>
        <bgColor indexed="64"/>
      </patternFill>
    </fill>
    <fill>
      <patternFill patternType="solid">
        <fgColor indexed="42"/>
        <bgColor indexed="64"/>
      </patternFill>
    </fill>
    <fill>
      <patternFill patternType="solid">
        <fgColor rgb="FFCCFFCC"/>
        <bgColor indexed="64"/>
      </patternFill>
    </fill>
    <fill>
      <patternFill patternType="gray0625">
        <fgColor indexed="15"/>
        <bgColor theme="9" tint="0.59999389629810485"/>
      </patternFill>
    </fill>
    <fill>
      <patternFill patternType="solid">
        <fgColor theme="9" tint="0.59999389629810485"/>
        <bgColor indexed="64"/>
      </patternFill>
    </fill>
    <fill>
      <patternFill patternType="solid">
        <fgColor rgb="FFCCFF99"/>
        <bgColor indexed="64"/>
      </patternFill>
    </fill>
    <fill>
      <patternFill patternType="solid">
        <fgColor rgb="FF66FFFF"/>
        <bgColor indexed="64"/>
      </patternFill>
    </fill>
    <fill>
      <patternFill patternType="solid">
        <fgColor rgb="FFFFFF66"/>
        <bgColor indexed="64"/>
      </patternFill>
    </fill>
    <fill>
      <patternFill patternType="solid">
        <fgColor rgb="FFCCFFFF"/>
        <bgColor indexed="64"/>
      </patternFill>
    </fill>
    <fill>
      <patternFill patternType="solid">
        <fgColor theme="0"/>
        <bgColor indexed="64"/>
      </patternFill>
    </fill>
    <fill>
      <patternFill patternType="solid">
        <fgColor rgb="FFFFFF71"/>
        <bgColor indexed="64"/>
      </patternFill>
    </fill>
    <fill>
      <patternFill patternType="solid">
        <fgColor rgb="FFFBFFFF"/>
        <bgColor indexed="64"/>
      </patternFill>
    </fill>
    <fill>
      <patternFill patternType="solid">
        <fgColor rgb="FFAFEAFF"/>
        <bgColor indexed="64"/>
      </patternFill>
    </fill>
    <fill>
      <patternFill patternType="solid">
        <fgColor rgb="FFFFFFAF"/>
        <bgColor indexed="64"/>
      </patternFill>
    </fill>
    <fill>
      <patternFill patternType="solid">
        <fgColor rgb="FFCDF2FF"/>
        <bgColor indexed="64"/>
      </patternFill>
    </fill>
    <fill>
      <patternFill patternType="solid">
        <fgColor rgb="FFFFFFDD"/>
        <bgColor indexed="64"/>
      </patternFill>
    </fill>
    <fill>
      <patternFill patternType="solid">
        <fgColor rgb="FFFFC000"/>
        <bgColor indexed="64"/>
      </patternFill>
    </fill>
    <fill>
      <patternFill patternType="solid">
        <fgColor theme="5" tint="0.39997558519241921"/>
        <bgColor indexed="64"/>
      </patternFill>
    </fill>
    <fill>
      <patternFill patternType="solid">
        <fgColor theme="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rgb="FFB8CCE4"/>
        <bgColor indexed="64"/>
      </patternFill>
    </fill>
    <fill>
      <patternFill patternType="solid">
        <fgColor rgb="FFDBE5F1"/>
        <bgColor indexed="64"/>
      </patternFill>
    </fill>
    <fill>
      <patternFill patternType="solid">
        <fgColor theme="4" tint="0.59999389629810485"/>
        <bgColor theme="4" tint="0.59999389629810485"/>
      </patternFill>
    </fill>
  </fills>
  <borders count="106">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top style="thin">
        <color indexed="12"/>
      </top>
      <bottom style="thin">
        <color indexed="12"/>
      </bottom>
      <diagonal/>
    </border>
    <border>
      <left style="thin">
        <color indexed="12"/>
      </left>
      <right/>
      <top style="thin">
        <color indexed="12"/>
      </top>
      <bottom style="thin">
        <color indexed="12"/>
      </bottom>
      <diagonal/>
    </border>
    <border>
      <left style="thin">
        <color indexed="12"/>
      </left>
      <right/>
      <top/>
      <bottom/>
      <diagonal/>
    </border>
    <border>
      <left style="thin">
        <color indexed="12"/>
      </left>
      <right style="thin">
        <color indexed="12"/>
      </right>
      <top/>
      <bottom style="thin">
        <color indexed="12"/>
      </bottom>
      <diagonal/>
    </border>
    <border>
      <left/>
      <right style="thin">
        <color indexed="12"/>
      </right>
      <top style="thin">
        <color indexed="12"/>
      </top>
      <bottom/>
      <diagonal/>
    </border>
    <border>
      <left/>
      <right/>
      <top style="thin">
        <color indexed="12"/>
      </top>
      <bottom/>
      <diagonal/>
    </border>
    <border>
      <left style="thin">
        <color indexed="12"/>
      </left>
      <right/>
      <top style="thin">
        <color indexed="12"/>
      </top>
      <bottom/>
      <diagonal/>
    </border>
    <border>
      <left/>
      <right style="thin">
        <color indexed="12"/>
      </right>
      <top/>
      <bottom/>
      <diagonal/>
    </border>
    <border>
      <left/>
      <right/>
      <top/>
      <bottom style="double">
        <color rgb="FFC00000"/>
      </bottom>
      <diagonal/>
    </border>
    <border>
      <left style="double">
        <color rgb="FFC00000"/>
      </left>
      <right style="thin">
        <color indexed="64"/>
      </right>
      <top style="double">
        <color rgb="FFC00000"/>
      </top>
      <bottom/>
      <diagonal/>
    </border>
    <border>
      <left style="thin">
        <color indexed="64"/>
      </left>
      <right/>
      <top style="double">
        <color rgb="FFC00000"/>
      </top>
      <bottom/>
      <diagonal/>
    </border>
    <border>
      <left/>
      <right style="thin">
        <color indexed="64"/>
      </right>
      <top style="double">
        <color rgb="FFC00000"/>
      </top>
      <bottom/>
      <diagonal/>
    </border>
    <border>
      <left style="thin">
        <color indexed="64"/>
      </left>
      <right style="thin">
        <color indexed="64"/>
      </right>
      <top style="double">
        <color rgb="FFC00000"/>
      </top>
      <bottom/>
      <diagonal/>
    </border>
    <border>
      <left style="thin">
        <color indexed="64"/>
      </left>
      <right/>
      <top style="double">
        <color rgb="FFC00000"/>
      </top>
      <bottom style="thin">
        <color indexed="64"/>
      </bottom>
      <diagonal/>
    </border>
    <border>
      <left/>
      <right/>
      <top style="double">
        <color rgb="FFC00000"/>
      </top>
      <bottom style="thin">
        <color indexed="64"/>
      </bottom>
      <diagonal/>
    </border>
    <border>
      <left/>
      <right style="thin">
        <color indexed="64"/>
      </right>
      <top style="double">
        <color rgb="FFC00000"/>
      </top>
      <bottom style="thin">
        <color indexed="64"/>
      </bottom>
      <diagonal/>
    </border>
    <border>
      <left style="thin">
        <color indexed="64"/>
      </left>
      <right style="double">
        <color rgb="FFC00000"/>
      </right>
      <top style="double">
        <color rgb="FFC00000"/>
      </top>
      <bottom/>
      <diagonal/>
    </border>
    <border>
      <left style="double">
        <color rgb="FFC00000"/>
      </left>
      <right style="double">
        <color rgb="FFC00000"/>
      </right>
      <top style="double">
        <color rgb="FFC00000"/>
      </top>
      <bottom/>
      <diagonal/>
    </border>
    <border>
      <left style="double">
        <color rgb="FFC00000"/>
      </left>
      <right style="thin">
        <color indexed="64"/>
      </right>
      <top/>
      <bottom/>
      <diagonal/>
    </border>
    <border>
      <left style="thin">
        <color indexed="64"/>
      </left>
      <right style="double">
        <color rgb="FFC00000"/>
      </right>
      <top/>
      <bottom/>
      <diagonal/>
    </border>
    <border>
      <left style="double">
        <color rgb="FFC00000"/>
      </left>
      <right style="double">
        <color rgb="FFC00000"/>
      </right>
      <top/>
      <bottom/>
      <diagonal/>
    </border>
    <border>
      <left style="double">
        <color rgb="FFC00000"/>
      </left>
      <right style="thin">
        <color indexed="64"/>
      </right>
      <top/>
      <bottom style="medium">
        <color rgb="FFC00000"/>
      </bottom>
      <diagonal/>
    </border>
    <border>
      <left style="thin">
        <color indexed="64"/>
      </left>
      <right/>
      <top/>
      <bottom style="medium">
        <color rgb="FFC00000"/>
      </bottom>
      <diagonal/>
    </border>
    <border>
      <left/>
      <right style="thin">
        <color indexed="64"/>
      </right>
      <top/>
      <bottom style="medium">
        <color rgb="FFC00000"/>
      </bottom>
      <diagonal/>
    </border>
    <border>
      <left style="thin">
        <color indexed="64"/>
      </left>
      <right style="thin">
        <color indexed="64"/>
      </right>
      <top/>
      <bottom style="medium">
        <color rgb="FFC00000"/>
      </bottom>
      <diagonal/>
    </border>
    <border>
      <left style="thin">
        <color indexed="64"/>
      </left>
      <right style="double">
        <color rgb="FFC00000"/>
      </right>
      <top/>
      <bottom style="medium">
        <color rgb="FFC00000"/>
      </bottom>
      <diagonal/>
    </border>
    <border>
      <left style="double">
        <color rgb="FFC00000"/>
      </left>
      <right style="double">
        <color rgb="FFC00000"/>
      </right>
      <top/>
      <bottom style="medium">
        <color rgb="FFC00000"/>
      </bottom>
      <diagonal/>
    </border>
    <border>
      <left style="double">
        <color rgb="FFC00000"/>
      </left>
      <right style="thin">
        <color indexed="64"/>
      </right>
      <top style="medium">
        <color rgb="FFC00000"/>
      </top>
      <bottom/>
      <diagonal/>
    </border>
    <border>
      <left style="thin">
        <color indexed="64"/>
      </left>
      <right style="thin">
        <color indexed="64"/>
      </right>
      <top style="medium">
        <color rgb="FFC00000"/>
      </top>
      <bottom style="thin">
        <color indexed="64"/>
      </bottom>
      <diagonal/>
    </border>
    <border>
      <left style="thin">
        <color indexed="64"/>
      </left>
      <right/>
      <top style="medium">
        <color rgb="FFC00000"/>
      </top>
      <bottom style="thin">
        <color indexed="64"/>
      </bottom>
      <diagonal/>
    </border>
    <border>
      <left style="thin">
        <color indexed="64"/>
      </left>
      <right/>
      <top style="medium">
        <color rgb="FFC00000"/>
      </top>
      <bottom/>
      <diagonal/>
    </border>
    <border>
      <left style="thin">
        <color indexed="64"/>
      </left>
      <right style="thin">
        <color indexed="64"/>
      </right>
      <top style="medium">
        <color rgb="FFC00000"/>
      </top>
      <bottom/>
      <diagonal/>
    </border>
    <border>
      <left/>
      <right style="double">
        <color rgb="FFC00000"/>
      </right>
      <top style="medium">
        <color rgb="FFC00000"/>
      </top>
      <bottom style="thin">
        <color indexed="64"/>
      </bottom>
      <diagonal/>
    </border>
    <border>
      <left/>
      <right style="double">
        <color rgb="FFC00000"/>
      </right>
      <top style="thin">
        <color indexed="64"/>
      </top>
      <bottom style="thin">
        <color indexed="64"/>
      </bottom>
      <diagonal/>
    </border>
    <border>
      <left/>
      <right style="double">
        <color rgb="FFC00000"/>
      </right>
      <top/>
      <bottom style="medium">
        <color rgb="FFC00000"/>
      </bottom>
      <diagonal/>
    </border>
    <border>
      <left/>
      <right style="double">
        <color rgb="FFC00000"/>
      </right>
      <top/>
      <bottom style="thin">
        <color indexed="64"/>
      </bottom>
      <diagonal/>
    </border>
    <border>
      <left style="double">
        <color rgb="FFC00000"/>
      </left>
      <right style="thin">
        <color indexed="64"/>
      </right>
      <top/>
      <bottom style="double">
        <color rgb="FFC00000"/>
      </bottom>
      <diagonal/>
    </border>
    <border>
      <left style="thin">
        <color indexed="64"/>
      </left>
      <right style="thin">
        <color indexed="64"/>
      </right>
      <top/>
      <bottom style="double">
        <color rgb="FFC00000"/>
      </bottom>
      <diagonal/>
    </border>
    <border>
      <left style="thin">
        <color indexed="64"/>
      </left>
      <right/>
      <top/>
      <bottom style="double">
        <color rgb="FFC00000"/>
      </bottom>
      <diagonal/>
    </border>
    <border>
      <left/>
      <right style="double">
        <color rgb="FFC00000"/>
      </right>
      <top style="thin">
        <color indexed="64"/>
      </top>
      <bottom style="double">
        <color rgb="FFC00000"/>
      </bottom>
      <diagonal/>
    </border>
    <border>
      <left style="thin">
        <color indexed="64"/>
      </left>
      <right style="thin">
        <color indexed="64"/>
      </right>
      <top style="thin">
        <color indexed="12"/>
      </top>
      <bottom/>
      <diagonal/>
    </border>
    <border>
      <left/>
      <right style="medium">
        <color indexed="64"/>
      </right>
      <top style="thin">
        <color indexed="64"/>
      </top>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auto="1"/>
      </top>
      <bottom style="thin">
        <color indexed="64"/>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7">
    <xf numFmtId="0" fontId="0" fillId="0" borderId="0"/>
    <xf numFmtId="164" fontId="2" fillId="0" borderId="0" applyFont="0" applyFill="0" applyBorder="0" applyAlignment="0" applyProtection="0"/>
    <xf numFmtId="0" fontId="4" fillId="0" borderId="0"/>
    <xf numFmtId="164" fontId="4" fillId="0" borderId="0" applyFont="0" applyFill="0" applyBorder="0" applyAlignment="0" applyProtection="0"/>
    <xf numFmtId="164" fontId="2" fillId="0" borderId="0" applyFont="0" applyFill="0" applyBorder="0" applyAlignment="0" applyProtection="0"/>
    <xf numFmtId="0" fontId="2" fillId="0" borderId="0"/>
    <xf numFmtId="164" fontId="4" fillId="0" borderId="0" applyFont="0" applyFill="0" applyBorder="0" applyAlignment="0" applyProtection="0"/>
    <xf numFmtId="190" fontId="2" fillId="0" borderId="0" applyFont="0" applyFill="0" applyBorder="0" applyAlignment="0" applyProtection="0"/>
    <xf numFmtId="0" fontId="1" fillId="0" borderId="0"/>
    <xf numFmtId="164" fontId="1" fillId="0" borderId="0" applyFont="0" applyFill="0" applyBorder="0" applyAlignment="0" applyProtection="0"/>
    <xf numFmtId="0" fontId="2" fillId="0" borderId="0"/>
    <xf numFmtId="43" fontId="2" fillId="0" borderId="0" applyFont="0" applyFill="0" applyBorder="0" applyAlignment="0" applyProtection="0"/>
    <xf numFmtId="43" fontId="4"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cellStyleXfs>
  <cellXfs count="1467">
    <xf numFmtId="0" fontId="0" fillId="0" borderId="0" xfId="0"/>
    <xf numFmtId="0" fontId="2" fillId="0" borderId="0" xfId="0" applyFont="1" applyProtection="1">
      <protection locked="0"/>
    </xf>
    <xf numFmtId="164" fontId="3" fillId="0" borderId="0" xfId="0" applyNumberFormat="1" applyFont="1" applyAlignment="1">
      <alignment horizontal="centerContinuous"/>
    </xf>
    <xf numFmtId="0" fontId="2" fillId="0" borderId="2" xfId="0" applyFont="1" applyBorder="1" applyAlignment="1">
      <alignment shrinkToFit="1"/>
    </xf>
    <xf numFmtId="164" fontId="2" fillId="0" borderId="2" xfId="1" applyFont="1" applyBorder="1" applyAlignment="1" applyProtection="1">
      <protection locked="0"/>
    </xf>
    <xf numFmtId="14" fontId="7" fillId="0" borderId="0" xfId="0" applyNumberFormat="1" applyFont="1"/>
    <xf numFmtId="14" fontId="0" fillId="0" borderId="0" xfId="0" applyNumberFormat="1" applyAlignment="1">
      <alignment horizontal="center"/>
    </xf>
    <xf numFmtId="164" fontId="2" fillId="0" borderId="0" xfId="1"/>
    <xf numFmtId="164" fontId="9" fillId="0" borderId="0" xfId="1" applyFont="1"/>
    <xf numFmtId="164" fontId="2" fillId="0" borderId="0" xfId="1" applyFont="1" applyProtection="1">
      <protection locked="0"/>
    </xf>
    <xf numFmtId="164" fontId="10" fillId="0" borderId="2" xfId="1" applyFont="1" applyBorder="1"/>
    <xf numFmtId="14" fontId="0" fillId="0" borderId="2" xfId="0" applyNumberFormat="1" applyBorder="1" applyAlignment="1">
      <alignment horizontal="center"/>
    </xf>
    <xf numFmtId="0" fontId="0" fillId="0" borderId="2" xfId="0" applyBorder="1"/>
    <xf numFmtId="164" fontId="2" fillId="0" borderId="2" xfId="1" applyBorder="1"/>
    <xf numFmtId="0" fontId="2" fillId="0" borderId="2" xfId="0" applyFont="1" applyBorder="1"/>
    <xf numFmtId="167" fontId="2" fillId="0" borderId="2" xfId="0" applyNumberFormat="1" applyFont="1" applyBorder="1" applyAlignment="1">
      <alignment horizontal="left"/>
    </xf>
    <xf numFmtId="168" fontId="2" fillId="0" borderId="2" xfId="0" applyNumberFormat="1" applyFont="1" applyBorder="1" applyAlignment="1">
      <alignment horizontal="left"/>
    </xf>
    <xf numFmtId="164" fontId="2" fillId="0" borderId="2" xfId="1" quotePrefix="1" applyBorder="1"/>
    <xf numFmtId="0" fontId="7" fillId="2" borderId="5" xfId="0" applyFont="1" applyFill="1" applyBorder="1" applyAlignment="1">
      <alignment horizontal="center" vertical="center"/>
    </xf>
    <xf numFmtId="168" fontId="11" fillId="0" borderId="2" xfId="0" applyNumberFormat="1" applyFont="1" applyBorder="1" applyAlignment="1">
      <alignment horizontal="center"/>
    </xf>
    <xf numFmtId="164" fontId="12" fillId="0" borderId="2" xfId="1" applyFont="1" applyBorder="1"/>
    <xf numFmtId="14" fontId="12" fillId="0" borderId="2" xfId="0" applyNumberFormat="1" applyFont="1" applyBorder="1" applyAlignment="1">
      <alignment horizontal="center"/>
    </xf>
    <xf numFmtId="49" fontId="12" fillId="0" borderId="2" xfId="0" applyNumberFormat="1" applyFont="1" applyBorder="1"/>
    <xf numFmtId="164" fontId="13" fillId="0" borderId="2" xfId="1" applyFont="1" applyBorder="1"/>
    <xf numFmtId="49" fontId="2" fillId="0" borderId="0" xfId="0" applyNumberFormat="1" applyFont="1" applyAlignment="1" applyProtection="1">
      <alignment horizontal="center"/>
      <protection locked="0"/>
    </xf>
    <xf numFmtId="0" fontId="2" fillId="0" borderId="0" xfId="0" applyFont="1"/>
    <xf numFmtId="49" fontId="8" fillId="0" borderId="0" xfId="1" applyNumberFormat="1" applyFont="1" applyProtection="1">
      <protection locked="0"/>
    </xf>
    <xf numFmtId="164" fontId="15" fillId="0" borderId="0" xfId="0" applyNumberFormat="1" applyFont="1" applyAlignment="1">
      <alignment horizontal="centerContinuous"/>
    </xf>
    <xf numFmtId="164" fontId="7" fillId="0" borderId="0" xfId="0" applyNumberFormat="1" applyFont="1" applyAlignment="1">
      <alignment horizontal="centerContinuous"/>
    </xf>
    <xf numFmtId="164" fontId="3" fillId="0" borderId="0" xfId="0" applyNumberFormat="1" applyFont="1"/>
    <xf numFmtId="164" fontId="0" fillId="0" borderId="0" xfId="0" applyNumberFormat="1"/>
    <xf numFmtId="0" fontId="19" fillId="0" borderId="10" xfId="0" applyFont="1" applyBorder="1" applyAlignment="1">
      <alignment horizontal="centerContinuous" vertical="center"/>
    </xf>
    <xf numFmtId="0" fontId="20" fillId="0" borderId="11" xfId="0" applyFont="1" applyBorder="1" applyAlignment="1">
      <alignment horizontal="centerContinuous" vertical="center"/>
    </xf>
    <xf numFmtId="0" fontId="20" fillId="0" borderId="12" xfId="0" applyFont="1" applyBorder="1" applyAlignment="1">
      <alignment horizontal="centerContinuous" vertical="center"/>
    </xf>
    <xf numFmtId="0" fontId="21" fillId="0" borderId="1" xfId="0" applyFont="1" applyBorder="1" applyAlignment="1" applyProtection="1">
      <alignment horizontal="centerContinuous"/>
      <protection locked="0"/>
    </xf>
    <xf numFmtId="0" fontId="0" fillId="0" borderId="0" xfId="0" applyAlignment="1">
      <alignment horizontal="centerContinuous"/>
    </xf>
    <xf numFmtId="0" fontId="0" fillId="0" borderId="13" xfId="0" applyBorder="1" applyAlignment="1">
      <alignment horizontal="centerContinuous"/>
    </xf>
    <xf numFmtId="0" fontId="0" fillId="0" borderId="1" xfId="0" applyBorder="1"/>
    <xf numFmtId="0" fontId="2" fillId="0" borderId="1" xfId="0" applyFont="1" applyBorder="1" applyAlignment="1">
      <alignment horizontal="centerContinuous"/>
    </xf>
    <xf numFmtId="0" fontId="0" fillId="0" borderId="17" xfId="0" applyBorder="1" applyAlignment="1">
      <alignment horizontal="centerContinuous"/>
    </xf>
    <xf numFmtId="0" fontId="0" fillId="0" borderId="18" xfId="0" applyBorder="1" applyAlignment="1">
      <alignment horizontal="centerContinuous"/>
    </xf>
    <xf numFmtId="0" fontId="0" fillId="0" borderId="19" xfId="0" applyBorder="1" applyAlignment="1">
      <alignment horizontal="centerContinuous"/>
    </xf>
    <xf numFmtId="0" fontId="0" fillId="0" borderId="17" xfId="0" applyBorder="1"/>
    <xf numFmtId="0" fontId="0" fillId="0" borderId="18" xfId="0" applyBorder="1"/>
    <xf numFmtId="0" fontId="0" fillId="0" borderId="19" xfId="0" applyBorder="1"/>
    <xf numFmtId="0" fontId="2" fillId="0" borderId="10" xfId="0" applyFont="1" applyBorder="1"/>
    <xf numFmtId="0" fontId="2" fillId="0" borderId="11" xfId="0" applyFont="1" applyBorder="1"/>
    <xf numFmtId="0" fontId="2" fillId="0" borderId="11" xfId="0" applyFont="1" applyBorder="1" applyAlignment="1">
      <alignment horizontal="center"/>
    </xf>
    <xf numFmtId="0" fontId="2" fillId="0" borderId="12" xfId="0" applyFont="1" applyBorder="1"/>
    <xf numFmtId="0" fontId="2" fillId="0" borderId="1" xfId="0" applyFont="1" applyBorder="1"/>
    <xf numFmtId="0" fontId="2" fillId="0" borderId="0" xfId="0" applyFont="1" applyAlignment="1">
      <alignment horizontal="left" indent="1"/>
    </xf>
    <xf numFmtId="0" fontId="2" fillId="0" borderId="2" xfId="0" applyFont="1" applyBorder="1" applyAlignment="1" applyProtection="1">
      <alignment horizontal="center"/>
      <protection locked="0"/>
    </xf>
    <xf numFmtId="0" fontId="2" fillId="0" borderId="0" xfId="0" applyFont="1" applyAlignment="1">
      <alignment horizontal="left"/>
    </xf>
    <xf numFmtId="0" fontId="2" fillId="0" borderId="13" xfId="0" applyFont="1" applyBorder="1"/>
    <xf numFmtId="0" fontId="2" fillId="0" borderId="17" xfId="0" applyFont="1" applyBorder="1"/>
    <xf numFmtId="0" fontId="2" fillId="0" borderId="18" xfId="0" applyFont="1" applyBorder="1"/>
    <xf numFmtId="0" fontId="2" fillId="0" borderId="18" xfId="0" applyFont="1" applyBorder="1" applyAlignment="1">
      <alignment horizontal="center"/>
    </xf>
    <xf numFmtId="0" fontId="2" fillId="0" borderId="19" xfId="0" applyFont="1" applyBorder="1"/>
    <xf numFmtId="0" fontId="3" fillId="0" borderId="26" xfId="0" applyFont="1" applyBorder="1" applyAlignment="1">
      <alignment horizontal="center" vertical="center" wrapText="1"/>
    </xf>
    <xf numFmtId="49" fontId="2" fillId="0" borderId="5" xfId="0" applyNumberFormat="1" applyFont="1" applyBorder="1" applyAlignment="1">
      <alignment horizontal="center"/>
    </xf>
    <xf numFmtId="0" fontId="2" fillId="0" borderId="5" xfId="0" applyFont="1" applyBorder="1"/>
    <xf numFmtId="49" fontId="2" fillId="0" borderId="2" xfId="0" applyNumberFormat="1" applyFont="1" applyBorder="1" applyAlignment="1">
      <alignment horizontal="center"/>
    </xf>
    <xf numFmtId="0" fontId="2" fillId="0" borderId="3" xfId="0" applyFont="1" applyBorder="1" applyAlignment="1">
      <alignment horizontal="center" shrinkToFit="1"/>
    </xf>
    <xf numFmtId="0" fontId="3" fillId="0" borderId="10" xfId="0" applyFont="1" applyBorder="1"/>
    <xf numFmtId="0" fontId="0" fillId="0" borderId="11" xfId="0" applyBorder="1"/>
    <xf numFmtId="0" fontId="0" fillId="0" borderId="39" xfId="0" applyBorder="1"/>
    <xf numFmtId="0" fontId="0" fillId="0" borderId="11" xfId="0" applyBorder="1" applyAlignment="1">
      <alignment horizontal="left" indent="1"/>
    </xf>
    <xf numFmtId="0" fontId="2" fillId="0" borderId="1" xfId="0" applyFont="1" applyBorder="1" applyAlignment="1">
      <alignment horizontal="left" indent="1"/>
    </xf>
    <xf numFmtId="0" fontId="0" fillId="0" borderId="40" xfId="0" applyBorder="1" applyAlignment="1">
      <alignment horizontal="left" indent="1"/>
    </xf>
    <xf numFmtId="0" fontId="0" fillId="0" borderId="0" xfId="0" applyAlignment="1">
      <alignment horizontal="left" indent="1"/>
    </xf>
    <xf numFmtId="39" fontId="2" fillId="0" borderId="0" xfId="1" applyNumberFormat="1" applyFont="1" applyBorder="1" applyProtection="1"/>
    <xf numFmtId="39" fontId="2" fillId="0" borderId="13" xfId="1" applyNumberFormat="1" applyFont="1" applyBorder="1" applyProtection="1"/>
    <xf numFmtId="0" fontId="0" fillId="0" borderId="40" xfId="0" applyBorder="1"/>
    <xf numFmtId="0" fontId="0" fillId="0" borderId="13" xfId="0" applyBorder="1"/>
    <xf numFmtId="0" fontId="3" fillId="0" borderId="1" xfId="0" applyFont="1" applyBorder="1" applyAlignment="1" applyProtection="1">
      <alignment horizontal="centerContinuous"/>
      <protection locked="0"/>
    </xf>
    <xf numFmtId="0" fontId="3" fillId="0" borderId="0" xfId="0" applyFont="1" applyAlignment="1" applyProtection="1">
      <alignment horizontal="centerContinuous"/>
      <protection locked="0"/>
    </xf>
    <xf numFmtId="0" fontId="0" fillId="0" borderId="0" xfId="0" applyAlignment="1" applyProtection="1">
      <alignment horizontal="centerContinuous"/>
      <protection locked="0"/>
    </xf>
    <xf numFmtId="0" fontId="3" fillId="0" borderId="40" xfId="0" applyFont="1" applyBorder="1" applyAlignment="1" applyProtection="1">
      <alignment horizontal="centerContinuous"/>
      <protection locked="0"/>
    </xf>
    <xf numFmtId="0" fontId="0" fillId="0" borderId="13" xfId="0" applyBorder="1" applyAlignment="1" applyProtection="1">
      <alignment horizontal="centerContinuous"/>
      <protection locked="0"/>
    </xf>
    <xf numFmtId="0" fontId="22" fillId="0" borderId="1" xfId="0" applyFont="1" applyBorder="1" applyAlignment="1" applyProtection="1">
      <alignment horizontal="centerContinuous"/>
      <protection locked="0"/>
    </xf>
    <xf numFmtId="0" fontId="22" fillId="0" borderId="0" xfId="0" applyFont="1" applyAlignment="1" applyProtection="1">
      <alignment horizontal="centerContinuous"/>
      <protection locked="0"/>
    </xf>
    <xf numFmtId="0" fontId="22" fillId="0" borderId="40" xfId="0" applyFont="1" applyBorder="1" applyAlignment="1" applyProtection="1">
      <alignment horizontal="centerContinuous"/>
      <protection locked="0"/>
    </xf>
    <xf numFmtId="0" fontId="23" fillId="0" borderId="0" xfId="0" applyFont="1" applyAlignment="1" applyProtection="1">
      <alignment horizontal="centerContinuous"/>
      <protection locked="0"/>
    </xf>
    <xf numFmtId="0" fontId="22" fillId="0" borderId="13" xfId="0" applyFont="1" applyBorder="1" applyAlignment="1" applyProtection="1">
      <alignment horizontal="centerContinuous"/>
      <protection locked="0"/>
    </xf>
    <xf numFmtId="0" fontId="3" fillId="0" borderId="17" xfId="0" applyFont="1" applyBorder="1"/>
    <xf numFmtId="0" fontId="0" fillId="0" borderId="41" xfId="0" applyBorder="1"/>
    <xf numFmtId="0" fontId="2" fillId="0" borderId="0" xfId="0" applyFont="1" applyAlignment="1">
      <alignment horizontal="center"/>
    </xf>
    <xf numFmtId="0" fontId="3" fillId="0" borderId="27" xfId="0" applyFont="1" applyBorder="1" applyAlignment="1">
      <alignment horizontal="center" vertical="center"/>
    </xf>
    <xf numFmtId="0" fontId="3" fillId="3" borderId="29" xfId="0" applyFont="1" applyFill="1" applyBorder="1" applyAlignment="1">
      <alignment horizontal="center"/>
    </xf>
    <xf numFmtId="164" fontId="2" fillId="0" borderId="2" xfId="1" applyFont="1" applyBorder="1" applyProtection="1"/>
    <xf numFmtId="0" fontId="0" fillId="0" borderId="0" xfId="0" applyAlignment="1">
      <alignment vertical="center"/>
    </xf>
    <xf numFmtId="0" fontId="0" fillId="0" borderId="0" xfId="0" applyAlignment="1">
      <alignment horizontal="centerContinuous" vertical="center"/>
    </xf>
    <xf numFmtId="173" fontId="2" fillId="0" borderId="2" xfId="0" applyNumberFormat="1" applyFont="1" applyBorder="1" applyAlignment="1">
      <alignment horizontal="center" vertical="center"/>
    </xf>
    <xf numFmtId="49" fontId="2" fillId="0" borderId="2" xfId="1" applyNumberFormat="1" applyFont="1" applyBorder="1" applyAlignment="1">
      <alignment horizontal="center" vertical="center"/>
    </xf>
    <xf numFmtId="0" fontId="2" fillId="0" borderId="2" xfId="0" applyFont="1" applyBorder="1" applyAlignment="1">
      <alignment vertical="center"/>
    </xf>
    <xf numFmtId="164" fontId="2" fillId="0" borderId="2" xfId="1" applyFont="1" applyBorder="1" applyAlignment="1">
      <alignment vertical="center"/>
    </xf>
    <xf numFmtId="0" fontId="25" fillId="0" borderId="0" xfId="0" applyFont="1" applyAlignment="1">
      <alignment horizontal="centerContinuous" vertical="center"/>
    </xf>
    <xf numFmtId="0" fontId="26" fillId="0" borderId="0" xfId="0" applyFont="1" applyAlignment="1">
      <alignment horizontal="centerContinuous" vertical="center"/>
    </xf>
    <xf numFmtId="173" fontId="2" fillId="0" borderId="2" xfId="0" applyNumberFormat="1" applyFont="1" applyBorder="1" applyAlignment="1">
      <alignment horizontal="center" vertical="center" shrinkToFit="1"/>
    </xf>
    <xf numFmtId="49" fontId="2" fillId="0" borderId="2" xfId="1" applyNumberFormat="1" applyFont="1" applyBorder="1" applyAlignment="1">
      <alignment horizontal="center" vertical="center" shrinkToFit="1"/>
    </xf>
    <xf numFmtId="164" fontId="2" fillId="0" borderId="2" xfId="1" applyFont="1" applyBorder="1" applyAlignment="1">
      <alignment vertical="center" shrinkToFit="1"/>
    </xf>
    <xf numFmtId="49" fontId="2" fillId="0" borderId="0" xfId="0" applyNumberFormat="1" applyFont="1" applyAlignment="1" applyProtection="1">
      <alignment horizontal="centerContinuous"/>
      <protection locked="0"/>
    </xf>
    <xf numFmtId="0" fontId="2" fillId="0" borderId="0" xfId="0" applyFont="1" applyAlignment="1">
      <alignment horizontal="centerContinuous"/>
    </xf>
    <xf numFmtId="164" fontId="2" fillId="0" borderId="0" xfId="1" applyFont="1" applyAlignment="1" applyProtection="1">
      <alignment horizontal="centerContinuous"/>
      <protection locked="0"/>
    </xf>
    <xf numFmtId="164" fontId="27" fillId="0" borderId="0" xfId="1" applyFont="1" applyProtection="1"/>
    <xf numFmtId="49" fontId="2" fillId="0" borderId="2" xfId="0" applyNumberFormat="1" applyFont="1" applyBorder="1" applyAlignment="1" applyProtection="1">
      <alignment horizontal="center" shrinkToFit="1"/>
      <protection locked="0"/>
    </xf>
    <xf numFmtId="164" fontId="16" fillId="0" borderId="0" xfId="0" applyNumberFormat="1" applyFont="1" applyAlignment="1">
      <alignment horizontal="centerContinuous"/>
    </xf>
    <xf numFmtId="174" fontId="7" fillId="0" borderId="0" xfId="0" applyNumberFormat="1" applyFont="1" applyAlignment="1">
      <alignment horizontal="centerContinuous"/>
    </xf>
    <xf numFmtId="164" fontId="2" fillId="0" borderId="0" xfId="0" applyNumberFormat="1" applyFont="1"/>
    <xf numFmtId="175" fontId="0" fillId="0" borderId="0" xfId="0" applyNumberFormat="1"/>
    <xf numFmtId="164" fontId="2" fillId="0" borderId="0" xfId="0" applyNumberFormat="1" applyFont="1" applyAlignment="1">
      <alignment horizontal="left" vertical="center"/>
    </xf>
    <xf numFmtId="164" fontId="2" fillId="0" borderId="0" xfId="0" applyNumberFormat="1" applyFont="1" applyAlignment="1">
      <alignment horizontal="justify" vertical="center"/>
    </xf>
    <xf numFmtId="164" fontId="2" fillId="0" borderId="0" xfId="0" applyNumberFormat="1" applyFont="1" applyAlignment="1">
      <alignment horizontal="center" vertical="center"/>
    </xf>
    <xf numFmtId="164" fontId="2" fillId="0" borderId="0" xfId="0" applyNumberFormat="1" applyFont="1" applyAlignment="1">
      <alignment horizontal="justify" vertical="center" wrapText="1"/>
    </xf>
    <xf numFmtId="164" fontId="0" fillId="0" borderId="0" xfId="0" applyNumberFormat="1" applyAlignment="1">
      <alignment vertical="center"/>
    </xf>
    <xf numFmtId="176" fontId="0" fillId="0" borderId="0" xfId="1" applyNumberFormat="1" applyFont="1" applyBorder="1" applyAlignment="1"/>
    <xf numFmtId="177" fontId="3" fillId="0" borderId="0" xfId="0" applyNumberFormat="1" applyFont="1"/>
    <xf numFmtId="0" fontId="3" fillId="0" borderId="0" xfId="2" applyFont="1"/>
    <xf numFmtId="0" fontId="2" fillId="0" borderId="0" xfId="2" applyFont="1"/>
    <xf numFmtId="0" fontId="18" fillId="0" borderId="0" xfId="0" applyFont="1" applyAlignment="1">
      <alignment horizontal="left"/>
    </xf>
    <xf numFmtId="0" fontId="17" fillId="0" borderId="0" xfId="0" applyFont="1" applyAlignment="1">
      <alignment horizontal="left"/>
    </xf>
    <xf numFmtId="0" fontId="18" fillId="0" borderId="0" xfId="0" applyFont="1" applyAlignment="1">
      <alignment horizontal="left" indent="2"/>
    </xf>
    <xf numFmtId="0" fontId="17" fillId="0" borderId="0" xfId="0" applyFont="1" applyAlignment="1">
      <alignment horizontal="left" indent="2"/>
    </xf>
    <xf numFmtId="0" fontId="17" fillId="0" borderId="0" xfId="0" applyFont="1" applyAlignment="1">
      <alignment horizontal="left" indent="4"/>
    </xf>
    <xf numFmtId="0" fontId="18" fillId="0" borderId="0" xfId="0" applyFont="1"/>
    <xf numFmtId="0" fontId="18" fillId="0" borderId="0" xfId="0" applyFont="1" applyAlignment="1">
      <alignment horizontal="left" indent="1"/>
    </xf>
    <xf numFmtId="0" fontId="17" fillId="0" borderId="0" xfId="0" applyFont="1"/>
    <xf numFmtId="165" fontId="2" fillId="0" borderId="0" xfId="0" applyNumberFormat="1" applyFont="1" applyAlignment="1">
      <alignment vertical="center"/>
    </xf>
    <xf numFmtId="164" fontId="2" fillId="0" borderId="0" xfId="0" applyNumberFormat="1" applyFont="1" applyAlignment="1">
      <alignment horizontal="centerContinuous"/>
    </xf>
    <xf numFmtId="49" fontId="2" fillId="0" borderId="0" xfId="0" applyNumberFormat="1" applyFont="1" applyAlignment="1">
      <alignment horizontal="center"/>
    </xf>
    <xf numFmtId="164" fontId="2" fillId="0" borderId="0" xfId="1" applyFont="1" applyBorder="1"/>
    <xf numFmtId="164" fontId="2" fillId="0" borderId="0" xfId="0" applyNumberFormat="1" applyFont="1" applyAlignment="1">
      <alignment vertical="center"/>
    </xf>
    <xf numFmtId="0" fontId="3" fillId="0" borderId="2" xfId="0" applyFont="1" applyBorder="1" applyAlignment="1">
      <alignment horizontal="center"/>
    </xf>
    <xf numFmtId="49" fontId="2" fillId="0" borderId="2" xfId="0" applyNumberFormat="1" applyFont="1" applyBorder="1" applyAlignment="1" applyProtection="1">
      <alignment horizontal="center"/>
      <protection locked="0"/>
    </xf>
    <xf numFmtId="49" fontId="2" fillId="0" borderId="3" xfId="0" applyNumberFormat="1" applyFont="1" applyBorder="1" applyAlignment="1" applyProtection="1">
      <alignment horizontal="center"/>
      <protection locked="0"/>
    </xf>
    <xf numFmtId="0" fontId="0" fillId="0" borderId="0" xfId="0" pivotButton="1"/>
    <xf numFmtId="0" fontId="0" fillId="0" borderId="0" xfId="0" applyAlignment="1">
      <alignment horizontal="left"/>
    </xf>
    <xf numFmtId="49" fontId="2" fillId="0" borderId="2" xfId="0" applyNumberFormat="1" applyFont="1" applyBorder="1" applyAlignment="1" applyProtection="1">
      <alignment horizontal="center" vertical="center"/>
      <protection locked="0"/>
    </xf>
    <xf numFmtId="49" fontId="3" fillId="0" borderId="2" xfId="1" applyNumberFormat="1" applyFont="1" applyBorder="1" applyAlignment="1" applyProtection="1">
      <alignment horizontal="center" vertical="center"/>
      <protection locked="0"/>
    </xf>
    <xf numFmtId="49" fontId="14" fillId="0" borderId="0" xfId="1" applyNumberFormat="1" applyFont="1" applyAlignment="1">
      <alignment horizontal="center"/>
    </xf>
    <xf numFmtId="0" fontId="4" fillId="0" borderId="0" xfId="2" applyAlignment="1">
      <alignment horizontal="centerContinuous"/>
    </xf>
    <xf numFmtId="0" fontId="4" fillId="0" borderId="1" xfId="2" applyBorder="1" applyAlignment="1">
      <alignment horizontal="centerContinuous"/>
    </xf>
    <xf numFmtId="0" fontId="4" fillId="0" borderId="0" xfId="2"/>
    <xf numFmtId="49" fontId="28" fillId="0" borderId="2" xfId="0" applyNumberFormat="1" applyFont="1" applyBorder="1" applyAlignment="1" applyProtection="1">
      <alignment horizontal="justify" vertical="center" wrapText="1"/>
      <protection locked="0"/>
    </xf>
    <xf numFmtId="164" fontId="2" fillId="0" borderId="2" xfId="1" applyFont="1" applyBorder="1" applyAlignment="1" applyProtection="1">
      <alignment vertical="center"/>
      <protection locked="0"/>
    </xf>
    <xf numFmtId="49" fontId="2" fillId="0" borderId="2" xfId="0" applyNumberFormat="1" applyFont="1" applyBorder="1" applyAlignment="1" applyProtection="1">
      <alignment horizontal="center" vertical="center" shrinkToFit="1"/>
      <protection locked="0"/>
    </xf>
    <xf numFmtId="49" fontId="2" fillId="0" borderId="47" xfId="0" applyNumberFormat="1" applyFont="1" applyBorder="1" applyAlignment="1" applyProtection="1">
      <alignment horizontal="center" shrinkToFit="1"/>
      <protection locked="0"/>
    </xf>
    <xf numFmtId="49" fontId="2" fillId="0" borderId="4" xfId="0" applyNumberFormat="1" applyFont="1" applyBorder="1" applyAlignment="1" applyProtection="1">
      <alignment horizontal="center"/>
      <protection locked="0"/>
    </xf>
    <xf numFmtId="0" fontId="2" fillId="0" borderId="4" xfId="0" applyFont="1" applyBorder="1" applyAlignment="1">
      <alignment shrinkToFit="1"/>
    </xf>
    <xf numFmtId="164" fontId="2" fillId="0" borderId="4" xfId="1" applyFont="1" applyBorder="1" applyAlignment="1" applyProtection="1">
      <protection locked="0"/>
    </xf>
    <xf numFmtId="39" fontId="13" fillId="0" borderId="3" xfId="0" applyNumberFormat="1" applyFont="1" applyBorder="1" applyAlignment="1">
      <alignment vertical="center"/>
    </xf>
    <xf numFmtId="49" fontId="2" fillId="0" borderId="4" xfId="0" applyNumberFormat="1" applyFont="1" applyBorder="1" applyAlignment="1" applyProtection="1">
      <alignment horizontal="center" shrinkToFit="1"/>
      <protection locked="0"/>
    </xf>
    <xf numFmtId="39" fontId="13" fillId="0" borderId="45" xfId="0" applyNumberFormat="1" applyFont="1" applyBorder="1" applyAlignment="1">
      <alignment vertical="center"/>
    </xf>
    <xf numFmtId="0" fontId="3" fillId="0" borderId="5" xfId="0" applyFont="1" applyBorder="1" applyAlignment="1">
      <alignment horizontal="center" vertical="center" wrapText="1"/>
    </xf>
    <xf numFmtId="164" fontId="3" fillId="0" borderId="5" xfId="1" applyFont="1" applyFill="1" applyBorder="1" applyAlignment="1" applyProtection="1">
      <alignment horizontal="center" vertical="center" wrapText="1"/>
    </xf>
    <xf numFmtId="0" fontId="3" fillId="0" borderId="42" xfId="0" applyFont="1" applyBorder="1" applyAlignment="1">
      <alignment horizontal="center" vertical="center" wrapText="1"/>
    </xf>
    <xf numFmtId="0" fontId="3" fillId="0" borderId="5" xfId="0" applyFont="1" applyBorder="1" applyAlignment="1">
      <alignment horizontal="center" vertical="center"/>
    </xf>
    <xf numFmtId="164" fontId="3" fillId="0" borderId="5" xfId="1" applyFont="1" applyFill="1" applyBorder="1" applyAlignment="1" applyProtection="1">
      <alignment horizontal="center" vertical="center"/>
    </xf>
    <xf numFmtId="39" fontId="13" fillId="0" borderId="2" xfId="0" applyNumberFormat="1" applyFont="1" applyBorder="1" applyAlignment="1">
      <alignment vertical="center"/>
    </xf>
    <xf numFmtId="0" fontId="29" fillId="0" borderId="0" xfId="0" applyFont="1" applyAlignment="1">
      <alignment horizontal="left" indent="4"/>
    </xf>
    <xf numFmtId="0" fontId="29" fillId="0" borderId="0" xfId="0" applyFont="1" applyAlignment="1">
      <alignment horizontal="left" indent="2"/>
    </xf>
    <xf numFmtId="0" fontId="6" fillId="0" borderId="0" xfId="2" applyFont="1" applyAlignment="1">
      <alignment horizontal="centerContinuous"/>
    </xf>
    <xf numFmtId="164" fontId="4" fillId="0" borderId="0" xfId="1" applyFont="1" applyProtection="1"/>
    <xf numFmtId="164" fontId="17" fillId="0" borderId="0" xfId="0" applyNumberFormat="1" applyFont="1"/>
    <xf numFmtId="164" fontId="5" fillId="0" borderId="0" xfId="0" applyNumberFormat="1" applyFont="1" applyAlignment="1">
      <alignment horizontal="centerContinuous"/>
    </xf>
    <xf numFmtId="164" fontId="2" fillId="0" borderId="0" xfId="1" applyFont="1" applyBorder="1" applyProtection="1"/>
    <xf numFmtId="174" fontId="3" fillId="0" borderId="0" xfId="0" applyNumberFormat="1" applyFont="1" applyAlignment="1">
      <alignment horizontal="centerContinuous"/>
    </xf>
    <xf numFmtId="0" fontId="3" fillId="0" borderId="0" xfId="0" applyFont="1" applyAlignment="1">
      <alignment horizontal="left"/>
    </xf>
    <xf numFmtId="0" fontId="3" fillId="0" borderId="0" xfId="0" applyFont="1" applyAlignment="1">
      <alignment horizontal="left" indent="2"/>
    </xf>
    <xf numFmtId="0" fontId="2" fillId="0" borderId="0" xfId="0" applyFont="1" applyAlignment="1">
      <alignment horizontal="left" indent="2"/>
    </xf>
    <xf numFmtId="0" fontId="2" fillId="0" borderId="0" xfId="0" applyFont="1" applyAlignment="1">
      <alignment horizontal="left" indent="4"/>
    </xf>
    <xf numFmtId="0" fontId="3" fillId="0" borderId="0" xfId="0" applyFont="1"/>
    <xf numFmtId="0" fontId="3" fillId="0" borderId="0" xfId="0" applyFont="1" applyAlignment="1">
      <alignment horizontal="left" indent="1"/>
    </xf>
    <xf numFmtId="164" fontId="2" fillId="0" borderId="0" xfId="1" applyProtection="1"/>
    <xf numFmtId="164" fontId="9" fillId="0" borderId="0" xfId="1" applyFont="1" applyProtection="1"/>
    <xf numFmtId="0" fontId="7" fillId="2" borderId="4" xfId="0" applyFont="1" applyFill="1" applyBorder="1" applyAlignment="1">
      <alignment horizontal="center" vertical="center" wrapText="1"/>
    </xf>
    <xf numFmtId="164" fontId="12" fillId="0" borderId="2" xfId="1" applyFont="1" applyBorder="1" applyProtection="1"/>
    <xf numFmtId="164" fontId="2" fillId="0" borderId="2" xfId="1" applyBorder="1" applyProtection="1"/>
    <xf numFmtId="164" fontId="10" fillId="0" borderId="2" xfId="1" applyFont="1" applyBorder="1" applyProtection="1"/>
    <xf numFmtId="164" fontId="13" fillId="0" borderId="2" xfId="1" applyFont="1" applyBorder="1" applyProtection="1"/>
    <xf numFmtId="49" fontId="14" fillId="0" borderId="0" xfId="1" applyNumberFormat="1" applyFont="1" applyAlignment="1" applyProtection="1">
      <alignment horizontal="center"/>
      <protection locked="0"/>
    </xf>
    <xf numFmtId="49" fontId="3" fillId="0" borderId="5" xfId="0" applyNumberFormat="1" applyFont="1" applyBorder="1" applyAlignment="1">
      <alignment horizontal="center" vertical="center" wrapText="1"/>
    </xf>
    <xf numFmtId="49" fontId="2" fillId="0" borderId="2" xfId="1" applyNumberFormat="1" applyFont="1" applyBorder="1" applyAlignment="1" applyProtection="1">
      <alignment horizontal="center"/>
      <protection locked="0"/>
    </xf>
    <xf numFmtId="49" fontId="2" fillId="0" borderId="0" xfId="1" applyNumberFormat="1" applyFont="1" applyAlignment="1" applyProtection="1">
      <alignment horizontal="centerContinuous"/>
      <protection locked="0"/>
    </xf>
    <xf numFmtId="49" fontId="3" fillId="0" borderId="5" xfId="1" applyNumberFormat="1" applyFont="1" applyFill="1" applyBorder="1" applyAlignment="1" applyProtection="1">
      <alignment horizontal="center" vertical="center" wrapText="1"/>
    </xf>
    <xf numFmtId="49" fontId="2" fillId="0" borderId="2" xfId="1" applyNumberFormat="1" applyFont="1" applyBorder="1" applyAlignment="1" applyProtection="1">
      <alignment horizontal="center" vertical="center"/>
      <protection locked="0"/>
    </xf>
    <xf numFmtId="49" fontId="2" fillId="0" borderId="0" xfId="1" applyNumberFormat="1" applyFont="1" applyAlignment="1" applyProtection="1">
      <alignment horizontal="center"/>
      <protection locked="0"/>
    </xf>
    <xf numFmtId="0" fontId="7" fillId="2" borderId="5" xfId="0" applyFont="1" applyFill="1" applyBorder="1" applyAlignment="1">
      <alignment horizontal="center" vertical="center" wrapText="1"/>
    </xf>
    <xf numFmtId="14" fontId="0" fillId="0" borderId="2" xfId="0" applyNumberFormat="1" applyBorder="1" applyAlignment="1">
      <alignment horizontal="left"/>
    </xf>
    <xf numFmtId="14" fontId="2" fillId="0" borderId="2" xfId="0" applyNumberFormat="1" applyFont="1" applyBorder="1" applyAlignment="1">
      <alignment horizontal="left"/>
    </xf>
    <xf numFmtId="49" fontId="0" fillId="0" borderId="2" xfId="0" applyNumberFormat="1" applyBorder="1" applyAlignment="1">
      <alignment horizontal="center"/>
    </xf>
    <xf numFmtId="164" fontId="13" fillId="0" borderId="2" xfId="0" applyNumberFormat="1" applyFont="1" applyBorder="1"/>
    <xf numFmtId="0" fontId="28" fillId="0" borderId="0" xfId="0" applyFont="1"/>
    <xf numFmtId="49" fontId="28" fillId="0" borderId="0" xfId="0" applyNumberFormat="1" applyFont="1"/>
    <xf numFmtId="0" fontId="22" fillId="0" borderId="0" xfId="0" applyFont="1"/>
    <xf numFmtId="0" fontId="3" fillId="0" borderId="0" xfId="0" applyFont="1" applyAlignment="1">
      <alignment horizontal="center"/>
    </xf>
    <xf numFmtId="49" fontId="22" fillId="0" borderId="0" xfId="0" applyNumberFormat="1" applyFont="1" applyProtection="1">
      <protection locked="0"/>
    </xf>
    <xf numFmtId="0" fontId="22" fillId="0" borderId="0" xfId="0" applyFont="1" applyProtection="1">
      <protection locked="0"/>
    </xf>
    <xf numFmtId="49" fontId="2" fillId="0" borderId="0" xfId="0" applyNumberFormat="1" applyFont="1"/>
    <xf numFmtId="0" fontId="30" fillId="0" borderId="0" xfId="0" applyFont="1"/>
    <xf numFmtId="164" fontId="23" fillId="0" borderId="48" xfId="0" applyNumberFormat="1" applyFont="1" applyBorder="1"/>
    <xf numFmtId="49" fontId="23" fillId="0" borderId="48" xfId="0" applyNumberFormat="1" applyFont="1" applyBorder="1" applyAlignment="1">
      <alignment horizontal="center"/>
    </xf>
    <xf numFmtId="164" fontId="22" fillId="0" borderId="5" xfId="0" applyNumberFormat="1" applyFont="1" applyBorder="1"/>
    <xf numFmtId="49" fontId="22" fillId="0" borderId="5" xfId="0" applyNumberFormat="1" applyFont="1" applyBorder="1" applyAlignment="1">
      <alignment horizontal="center"/>
    </xf>
    <xf numFmtId="164" fontId="22" fillId="0" borderId="2" xfId="0" applyNumberFormat="1" applyFont="1" applyBorder="1"/>
    <xf numFmtId="49" fontId="22" fillId="0" borderId="2" xfId="0" applyNumberFormat="1" applyFont="1" applyBorder="1" applyAlignment="1">
      <alignment horizontal="center"/>
    </xf>
    <xf numFmtId="164" fontId="22" fillId="0" borderId="47" xfId="0" applyNumberFormat="1" applyFont="1" applyBorder="1"/>
    <xf numFmtId="49" fontId="22" fillId="0" borderId="47" xfId="0" applyNumberFormat="1" applyFont="1" applyBorder="1" applyAlignment="1">
      <alignment horizontal="center"/>
    </xf>
    <xf numFmtId="164" fontId="22" fillId="0" borderId="2" xfId="1" applyFont="1" applyFill="1" applyBorder="1"/>
    <xf numFmtId="49" fontId="23" fillId="0" borderId="2" xfId="0" applyNumberFormat="1" applyFont="1" applyBorder="1" applyAlignment="1">
      <alignment horizontal="center"/>
    </xf>
    <xf numFmtId="49" fontId="23" fillId="0" borderId="4" xfId="0" applyNumberFormat="1" applyFont="1" applyBorder="1" applyAlignment="1">
      <alignment horizontal="center"/>
    </xf>
    <xf numFmtId="164" fontId="22" fillId="0" borderId="47" xfId="1" applyFont="1" applyFill="1" applyBorder="1"/>
    <xf numFmtId="0" fontId="22" fillId="0" borderId="40" xfId="0" applyFont="1" applyBorder="1"/>
    <xf numFmtId="164" fontId="28" fillId="0" borderId="0" xfId="0" applyNumberFormat="1" applyFont="1"/>
    <xf numFmtId="0" fontId="22" fillId="0" borderId="0" xfId="0" quotePrefix="1" applyFont="1"/>
    <xf numFmtId="0" fontId="22" fillId="0" borderId="47" xfId="0" applyFont="1" applyBorder="1" applyAlignment="1">
      <alignment horizontal="center"/>
    </xf>
    <xf numFmtId="164" fontId="22" fillId="0" borderId="23" xfId="1" applyFont="1" applyFill="1" applyBorder="1"/>
    <xf numFmtId="4" fontId="4" fillId="0" borderId="23" xfId="0" applyNumberFormat="1" applyFont="1" applyBorder="1" applyAlignment="1">
      <alignment horizontal="right"/>
    </xf>
    <xf numFmtId="164" fontId="4" fillId="0" borderId="47" xfId="1" applyFont="1" applyFill="1" applyBorder="1" applyAlignment="1">
      <alignment horizontal="center"/>
    </xf>
    <xf numFmtId="4" fontId="4" fillId="0" borderId="0" xfId="0" applyNumberFormat="1" applyFont="1" applyAlignment="1">
      <alignment horizontal="right"/>
    </xf>
    <xf numFmtId="4" fontId="4" fillId="0" borderId="47" xfId="0" applyNumberFormat="1" applyFont="1" applyBorder="1" applyAlignment="1">
      <alignment horizontal="right"/>
    </xf>
    <xf numFmtId="164" fontId="22" fillId="0" borderId="40" xfId="1" applyFont="1" applyFill="1" applyBorder="1"/>
    <xf numFmtId="0" fontId="22" fillId="0" borderId="47" xfId="0" applyFont="1" applyBorder="1"/>
    <xf numFmtId="49" fontId="22" fillId="0" borderId="47" xfId="0" applyNumberFormat="1" applyFont="1" applyBorder="1"/>
    <xf numFmtId="0" fontId="23" fillId="0" borderId="40" xfId="0" applyFont="1" applyBorder="1"/>
    <xf numFmtId="0" fontId="23" fillId="0" borderId="0" xfId="0" applyFont="1"/>
    <xf numFmtId="0" fontId="23" fillId="0" borderId="2" xfId="0" applyFont="1" applyBorder="1" applyAlignment="1">
      <alignment horizontal="center" vertical="center" wrapText="1"/>
    </xf>
    <xf numFmtId="0" fontId="22" fillId="0" borderId="0" xfId="0" applyFont="1" applyAlignment="1">
      <alignment horizontal="centerContinuous"/>
    </xf>
    <xf numFmtId="0" fontId="23" fillId="0" borderId="0" xfId="0" applyFont="1" applyAlignment="1">
      <alignment horizontal="centerContinuous"/>
    </xf>
    <xf numFmtId="49" fontId="23" fillId="0" borderId="0" xfId="0" applyNumberFormat="1" applyFont="1" applyAlignment="1">
      <alignment horizontal="center"/>
    </xf>
    <xf numFmtId="0" fontId="31" fillId="0" borderId="0" xfId="0" applyFont="1"/>
    <xf numFmtId="49" fontId="22" fillId="0" borderId="0" xfId="0" applyNumberFormat="1" applyFont="1"/>
    <xf numFmtId="0" fontId="32" fillId="0" borderId="0" xfId="0" applyFont="1" applyAlignment="1" applyProtection="1">
      <alignment horizontal="centerContinuous"/>
      <protection locked="0"/>
    </xf>
    <xf numFmtId="0" fontId="33" fillId="0" borderId="0" xfId="0" applyFont="1" applyProtection="1">
      <protection locked="0"/>
    </xf>
    <xf numFmtId="169" fontId="32" fillId="0" borderId="0" xfId="0" applyNumberFormat="1" applyFont="1" applyAlignment="1" applyProtection="1">
      <alignment horizontal="centerContinuous"/>
      <protection locked="0"/>
    </xf>
    <xf numFmtId="164" fontId="32" fillId="0" borderId="0" xfId="1" applyFont="1" applyFill="1" applyProtection="1">
      <protection locked="0"/>
    </xf>
    <xf numFmtId="164" fontId="33" fillId="0" borderId="0" xfId="1" applyFont="1" applyProtection="1">
      <protection locked="0"/>
    </xf>
    <xf numFmtId="164" fontId="33" fillId="0" borderId="0" xfId="1" applyFont="1" applyFill="1" applyProtection="1">
      <protection locked="0"/>
    </xf>
    <xf numFmtId="180" fontId="32" fillId="6" borderId="57" xfId="0" applyNumberFormat="1" applyFont="1" applyFill="1" applyBorder="1" applyAlignment="1">
      <alignment horizontal="center"/>
    </xf>
    <xf numFmtId="0" fontId="32" fillId="0" borderId="51" xfId="0" applyFont="1" applyBorder="1"/>
    <xf numFmtId="164" fontId="33" fillId="0" borderId="51" xfId="1" applyFont="1" applyFill="1" applyBorder="1" applyProtection="1">
      <protection locked="0"/>
    </xf>
    <xf numFmtId="0" fontId="32" fillId="0" borderId="51" xfId="0" applyFont="1" applyBorder="1" applyAlignment="1">
      <alignment horizontal="left" indent="1"/>
    </xf>
    <xf numFmtId="164" fontId="32" fillId="0" borderId="51" xfId="1" applyFont="1" applyFill="1" applyBorder="1" applyProtection="1"/>
    <xf numFmtId="0" fontId="33" fillId="0" borderId="51" xfId="0" applyFont="1" applyBorder="1" applyAlignment="1">
      <alignment horizontal="left" indent="3"/>
    </xf>
    <xf numFmtId="164" fontId="33" fillId="0" borderId="51" xfId="1" applyFont="1" applyBorder="1" applyAlignment="1" applyProtection="1">
      <alignment horizontal="left" indent="1"/>
      <protection locked="0"/>
    </xf>
    <xf numFmtId="164" fontId="33" fillId="0" borderId="51" xfId="1" applyFont="1" applyFill="1" applyBorder="1" applyAlignment="1" applyProtection="1">
      <alignment horizontal="left" indent="1"/>
      <protection locked="0"/>
    </xf>
    <xf numFmtId="164" fontId="33" fillId="0" borderId="51" xfId="1" applyFont="1" applyFill="1" applyBorder="1" applyProtection="1"/>
    <xf numFmtId="0" fontId="33" fillId="0" borderId="51" xfId="0" applyFont="1" applyBorder="1" applyAlignment="1">
      <alignment horizontal="left" indent="5"/>
    </xf>
    <xf numFmtId="164" fontId="32" fillId="0" borderId="51" xfId="1" applyFont="1" applyFill="1" applyBorder="1" applyAlignment="1" applyProtection="1">
      <alignment horizontal="left" indent="1"/>
      <protection locked="0"/>
    </xf>
    <xf numFmtId="0" fontId="32" fillId="0" borderId="50" xfId="0" applyFont="1" applyBorder="1" applyAlignment="1">
      <alignment horizontal="center"/>
    </xf>
    <xf numFmtId="164" fontId="32" fillId="0" borderId="50" xfId="1" applyFont="1" applyFill="1" applyBorder="1" applyProtection="1"/>
    <xf numFmtId="0" fontId="32" fillId="0" borderId="50" xfId="0" applyFont="1" applyBorder="1"/>
    <xf numFmtId="164" fontId="32" fillId="0" borderId="51" xfId="1" applyFont="1" applyFill="1" applyBorder="1" applyAlignment="1" applyProtection="1">
      <alignment horizontal="left" indent="1"/>
    </xf>
    <xf numFmtId="0" fontId="33" fillId="0" borderId="51" xfId="0" applyFont="1" applyBorder="1" applyAlignment="1">
      <alignment horizontal="left" indent="2"/>
    </xf>
    <xf numFmtId="164" fontId="33" fillId="0" borderId="51" xfId="1" applyFont="1" applyFill="1" applyBorder="1" applyAlignment="1" applyProtection="1">
      <alignment horizontal="left" indent="1"/>
    </xf>
    <xf numFmtId="0" fontId="33" fillId="0" borderId="51" xfId="0" applyFont="1" applyBorder="1" applyAlignment="1">
      <alignment horizontal="left" indent="4"/>
    </xf>
    <xf numFmtId="0" fontId="33" fillId="0" borderId="51" xfId="0" applyFont="1" applyBorder="1" applyAlignment="1">
      <alignment horizontal="left" indent="6"/>
    </xf>
    <xf numFmtId="0" fontId="32" fillId="0" borderId="52" xfId="0" applyFont="1" applyBorder="1"/>
    <xf numFmtId="164" fontId="33" fillId="0" borderId="52" xfId="1" applyFont="1" applyBorder="1" applyProtection="1">
      <protection locked="0"/>
    </xf>
    <xf numFmtId="0" fontId="32" fillId="0" borderId="56" xfId="0" applyFont="1" applyBorder="1" applyProtection="1">
      <protection locked="0"/>
    </xf>
    <xf numFmtId="164" fontId="33" fillId="0" borderId="0" xfId="1" applyFont="1" applyBorder="1" applyProtection="1">
      <protection locked="0"/>
    </xf>
    <xf numFmtId="0" fontId="33" fillId="0" borderId="52" xfId="0" applyFont="1" applyBorder="1" applyAlignment="1">
      <alignment horizontal="left" indent="2"/>
    </xf>
    <xf numFmtId="164" fontId="33" fillId="0" borderId="52" xfId="1" applyFont="1" applyBorder="1" applyAlignment="1" applyProtection="1">
      <alignment horizontal="left" indent="1"/>
      <protection locked="0"/>
    </xf>
    <xf numFmtId="164" fontId="33" fillId="0" borderId="52" xfId="1" applyFont="1" applyFill="1" applyBorder="1" applyProtection="1"/>
    <xf numFmtId="0" fontId="32" fillId="4" borderId="50" xfId="0" applyFont="1" applyFill="1" applyBorder="1"/>
    <xf numFmtId="164" fontId="32" fillId="4" borderId="50" xfId="1" applyFont="1" applyFill="1" applyBorder="1" applyProtection="1"/>
    <xf numFmtId="14" fontId="7" fillId="0" borderId="0" xfId="0" applyNumberFormat="1" applyFont="1" applyAlignment="1">
      <alignment shrinkToFit="1"/>
    </xf>
    <xf numFmtId="49" fontId="2" fillId="0" borderId="2" xfId="0" applyNumberFormat="1" applyFont="1" applyBorder="1" applyAlignment="1" applyProtection="1">
      <alignment horizontal="left" shrinkToFit="1"/>
      <protection locked="0"/>
    </xf>
    <xf numFmtId="49" fontId="2" fillId="0" borderId="2" xfId="1" applyNumberFormat="1" applyFont="1" applyBorder="1" applyAlignment="1" applyProtection="1">
      <alignment horizontal="center"/>
    </xf>
    <xf numFmtId="164" fontId="2" fillId="0" borderId="2" xfId="1" quotePrefix="1" applyBorder="1" applyProtection="1"/>
    <xf numFmtId="49" fontId="12" fillId="0" borderId="2" xfId="1" applyNumberFormat="1" applyFont="1" applyBorder="1" applyAlignment="1" applyProtection="1">
      <alignment horizontal="center"/>
      <protection locked="0"/>
    </xf>
    <xf numFmtId="164" fontId="33" fillId="0" borderId="52" xfId="1" applyFont="1" applyFill="1" applyBorder="1" applyProtection="1">
      <protection locked="0"/>
    </xf>
    <xf numFmtId="0" fontId="33" fillId="0" borderId="56" xfId="0" applyFont="1" applyBorder="1" applyAlignment="1">
      <alignment horizontal="left" indent="3"/>
    </xf>
    <xf numFmtId="14" fontId="7" fillId="0" borderId="0" xfId="0" applyNumberFormat="1" applyFont="1" applyAlignment="1">
      <alignment vertical="center"/>
    </xf>
    <xf numFmtId="164" fontId="27" fillId="0" borderId="0" xfId="1" applyFont="1" applyAlignment="1" applyProtection="1">
      <alignment vertical="center"/>
    </xf>
    <xf numFmtId="164" fontId="2" fillId="0" borderId="0" xfId="1" applyAlignment="1">
      <alignment vertical="center"/>
    </xf>
    <xf numFmtId="14" fontId="12" fillId="0" borderId="2" xfId="0" applyNumberFormat="1" applyFont="1" applyBorder="1" applyAlignment="1">
      <alignment horizontal="center" vertical="center"/>
    </xf>
    <xf numFmtId="49" fontId="12" fillId="0" borderId="2" xfId="0" applyNumberFormat="1" applyFont="1" applyBorder="1" applyAlignment="1">
      <alignment vertical="center"/>
    </xf>
    <xf numFmtId="164" fontId="12" fillId="0" borderId="2" xfId="1" applyFont="1" applyBorder="1" applyAlignment="1">
      <alignment vertical="center"/>
    </xf>
    <xf numFmtId="14" fontId="0" fillId="0" borderId="2" xfId="0" applyNumberFormat="1" applyBorder="1" applyAlignment="1">
      <alignment horizontal="center" vertical="center"/>
    </xf>
    <xf numFmtId="0" fontId="0" fillId="0" borderId="2" xfId="0" applyBorder="1" applyAlignment="1">
      <alignment vertical="center"/>
    </xf>
    <xf numFmtId="164" fontId="2" fillId="0" borderId="2" xfId="1" applyBorder="1" applyAlignment="1">
      <alignment vertical="center"/>
    </xf>
    <xf numFmtId="167" fontId="2" fillId="0" borderId="2" xfId="0" applyNumberFormat="1" applyFont="1" applyBorder="1" applyAlignment="1">
      <alignment horizontal="left" vertical="center"/>
    </xf>
    <xf numFmtId="168" fontId="2" fillId="0" borderId="2" xfId="0" applyNumberFormat="1" applyFont="1" applyBorder="1" applyAlignment="1">
      <alignment horizontal="left" vertical="center"/>
    </xf>
    <xf numFmtId="164" fontId="10" fillId="0" borderId="2" xfId="1" applyFont="1" applyBorder="1" applyAlignment="1">
      <alignment vertical="center"/>
    </xf>
    <xf numFmtId="164" fontId="13" fillId="0" borderId="2" xfId="1" applyFont="1" applyBorder="1" applyAlignment="1">
      <alignment vertical="center"/>
    </xf>
    <xf numFmtId="168" fontId="11" fillId="0" borderId="2" xfId="0" applyNumberFormat="1" applyFont="1" applyBorder="1" applyAlignment="1">
      <alignment horizontal="center" vertical="center"/>
    </xf>
    <xf numFmtId="14" fontId="0" fillId="0" borderId="0" xfId="0" applyNumberFormat="1" applyAlignment="1">
      <alignment horizontal="center" vertical="center"/>
    </xf>
    <xf numFmtId="14" fontId="7" fillId="0" borderId="0" xfId="0" applyNumberFormat="1" applyFont="1" applyAlignment="1">
      <alignment horizontal="center" vertical="center"/>
    </xf>
    <xf numFmtId="14" fontId="34" fillId="0" borderId="2" xfId="0" applyNumberFormat="1" applyFont="1" applyBorder="1" applyAlignment="1">
      <alignment horizontal="center"/>
    </xf>
    <xf numFmtId="164" fontId="34" fillId="0" borderId="2" xfId="1" applyFont="1" applyBorder="1"/>
    <xf numFmtId="164" fontId="2" fillId="0" borderId="2" xfId="1" applyFont="1" applyBorder="1"/>
    <xf numFmtId="14" fontId="12" fillId="0" borderId="2" xfId="0" applyNumberFormat="1" applyFont="1" applyBorder="1" applyAlignment="1">
      <alignment horizontal="left"/>
    </xf>
    <xf numFmtId="164" fontId="29" fillId="0" borderId="2" xfId="1" applyFont="1" applyBorder="1" applyProtection="1"/>
    <xf numFmtId="164" fontId="34" fillId="8" borderId="2" xfId="1" applyFont="1" applyFill="1" applyBorder="1"/>
    <xf numFmtId="164" fontId="12" fillId="8" borderId="2" xfId="1" applyFont="1" applyFill="1" applyBorder="1"/>
    <xf numFmtId="164" fontId="2" fillId="8" borderId="2" xfId="1" applyFill="1" applyBorder="1"/>
    <xf numFmtId="164" fontId="13" fillId="8" borderId="2" xfId="0" applyNumberFormat="1" applyFont="1" applyFill="1" applyBorder="1"/>
    <xf numFmtId="0" fontId="35" fillId="0" borderId="0" xfId="0" applyFont="1"/>
    <xf numFmtId="0" fontId="36" fillId="0" borderId="0" xfId="0" applyFont="1"/>
    <xf numFmtId="164" fontId="32" fillId="5" borderId="52" xfId="1" applyFont="1" applyFill="1" applyBorder="1" applyAlignment="1" applyProtection="1">
      <alignment horizontal="center" vertical="center" wrapText="1"/>
    </xf>
    <xf numFmtId="164" fontId="0" fillId="0" borderId="2" xfId="0" pivotButton="1" applyNumberFormat="1" applyBorder="1"/>
    <xf numFmtId="164" fontId="0" fillId="0" borderId="2" xfId="0" applyNumberFormat="1" applyBorder="1"/>
    <xf numFmtId="0" fontId="0" fillId="0" borderId="2" xfId="0" pivotButton="1" applyBorder="1"/>
    <xf numFmtId="14" fontId="32" fillId="5" borderId="57" xfId="1" applyNumberFormat="1" applyFont="1" applyFill="1" applyBorder="1" applyAlignment="1" applyProtection="1">
      <alignment horizontal="center" vertical="center" wrapText="1"/>
    </xf>
    <xf numFmtId="173" fontId="0" fillId="0" borderId="5" xfId="0" applyNumberFormat="1" applyBorder="1" applyAlignment="1" applyProtection="1">
      <alignment horizontal="center"/>
      <protection locked="0"/>
    </xf>
    <xf numFmtId="49" fontId="0" fillId="0" borderId="5" xfId="0" applyNumberFormat="1" applyBorder="1" applyAlignment="1" applyProtection="1">
      <alignment horizontal="center"/>
      <protection locked="0"/>
    </xf>
    <xf numFmtId="0" fontId="0" fillId="0" borderId="0" xfId="0" applyProtection="1">
      <protection locked="0"/>
    </xf>
    <xf numFmtId="173" fontId="0" fillId="0" borderId="0" xfId="0" applyNumberFormat="1" applyAlignment="1" applyProtection="1">
      <alignment horizontal="center"/>
      <protection locked="0"/>
    </xf>
    <xf numFmtId="49" fontId="0" fillId="0" borderId="0" xfId="0" applyNumberFormat="1" applyAlignment="1" applyProtection="1">
      <alignment horizontal="center"/>
      <protection locked="0"/>
    </xf>
    <xf numFmtId="49" fontId="0" fillId="0" borderId="0" xfId="0" applyNumberFormat="1" applyProtection="1">
      <protection locked="0"/>
    </xf>
    <xf numFmtId="164" fontId="0" fillId="0" borderId="0" xfId="1" applyFont="1" applyProtection="1">
      <protection locked="0"/>
    </xf>
    <xf numFmtId="164" fontId="2" fillId="0" borderId="5" xfId="1" applyFont="1" applyBorder="1" applyAlignment="1" applyProtection="1">
      <alignment horizontal="center"/>
      <protection locked="0"/>
    </xf>
    <xf numFmtId="0" fontId="5" fillId="0" borderId="0" xfId="0" applyFont="1"/>
    <xf numFmtId="0" fontId="12" fillId="0" borderId="0" xfId="0" applyFont="1"/>
    <xf numFmtId="49" fontId="13" fillId="8" borderId="0" xfId="0" applyNumberFormat="1" applyFont="1" applyFill="1" applyAlignment="1">
      <alignment horizontal="center" vertical="center"/>
    </xf>
    <xf numFmtId="0" fontId="3" fillId="0" borderId="2" xfId="0" applyFont="1" applyBorder="1" applyAlignment="1">
      <alignment horizontal="center" vertical="center"/>
    </xf>
    <xf numFmtId="49" fontId="13" fillId="8" borderId="2" xfId="0" applyNumberFormat="1" applyFont="1" applyFill="1" applyBorder="1" applyAlignment="1">
      <alignment horizontal="center" vertical="center"/>
    </xf>
    <xf numFmtId="0" fontId="3" fillId="0" borderId="2" xfId="0" applyFont="1" applyBorder="1" applyAlignment="1">
      <alignment horizontal="center" vertical="center" wrapText="1"/>
    </xf>
    <xf numFmtId="164" fontId="2" fillId="0" borderId="2" xfId="1" applyFont="1" applyFill="1" applyBorder="1"/>
    <xf numFmtId="0" fontId="3" fillId="0" borderId="2" xfId="0" applyFont="1" applyBorder="1"/>
    <xf numFmtId="0" fontId="3" fillId="0" borderId="2" xfId="0" applyFont="1" applyBorder="1" applyAlignment="1">
      <alignment horizontal="left" indent="2"/>
    </xf>
    <xf numFmtId="164" fontId="3" fillId="0" borderId="2" xfId="1" applyFont="1" applyFill="1" applyBorder="1"/>
    <xf numFmtId="0" fontId="2" fillId="0" borderId="2" xfId="0" applyFont="1" applyBorder="1" applyAlignment="1">
      <alignment horizontal="left" indent="4"/>
    </xf>
    <xf numFmtId="49" fontId="13" fillId="8" borderId="2" xfId="1" applyNumberFormat="1" applyFont="1" applyFill="1" applyBorder="1" applyAlignment="1">
      <alignment horizontal="center" vertical="center"/>
    </xf>
    <xf numFmtId="0" fontId="2" fillId="0" borderId="2" xfId="0" applyFont="1" applyBorder="1" applyAlignment="1">
      <alignment horizontal="left" indent="6"/>
    </xf>
    <xf numFmtId="164" fontId="3" fillId="0" borderId="2" xfId="1" applyFont="1" applyFill="1" applyBorder="1" applyAlignment="1"/>
    <xf numFmtId="0" fontId="3" fillId="0" borderId="2" xfId="0" applyFont="1" applyBorder="1" applyAlignment="1">
      <alignment horizontal="left" indent="3"/>
    </xf>
    <xf numFmtId="184" fontId="3" fillId="0" borderId="2" xfId="0" applyNumberFormat="1" applyFont="1" applyBorder="1" applyAlignment="1">
      <alignment horizontal="center" vertical="center" wrapText="1"/>
    </xf>
    <xf numFmtId="0" fontId="2" fillId="0" borderId="0" xfId="0" quotePrefix="1" applyFont="1"/>
    <xf numFmtId="0" fontId="2" fillId="0" borderId="2" xfId="0" applyFont="1" applyBorder="1" applyAlignment="1">
      <alignment horizontal="left" indent="2"/>
    </xf>
    <xf numFmtId="49" fontId="42" fillId="0" borderId="0" xfId="0" applyNumberFormat="1" applyFont="1" applyAlignment="1" applyProtection="1">
      <alignment horizontal="center"/>
      <protection locked="0"/>
    </xf>
    <xf numFmtId="164" fontId="33" fillId="0" borderId="0" xfId="1" quotePrefix="1" applyFont="1" applyProtection="1">
      <protection locked="0"/>
    </xf>
    <xf numFmtId="0" fontId="32" fillId="0" borderId="55" xfId="0" applyFont="1" applyBorder="1"/>
    <xf numFmtId="0" fontId="32" fillId="0" borderId="54" xfId="0" applyFont="1" applyBorder="1"/>
    <xf numFmtId="49" fontId="32" fillId="8" borderId="0" xfId="0" applyNumberFormat="1" applyFont="1" applyFill="1" applyAlignment="1" applyProtection="1">
      <alignment horizontal="centerContinuous"/>
      <protection locked="0"/>
    </xf>
    <xf numFmtId="49" fontId="32" fillId="8" borderId="0" xfId="0" applyNumberFormat="1" applyFont="1" applyFill="1" applyAlignment="1" applyProtection="1">
      <alignment horizontal="center"/>
      <protection locked="0"/>
    </xf>
    <xf numFmtId="49" fontId="32" fillId="8" borderId="51" xfId="0" applyNumberFormat="1" applyFont="1" applyFill="1" applyBorder="1" applyAlignment="1">
      <alignment horizontal="center"/>
    </xf>
    <xf numFmtId="49" fontId="32" fillId="8" borderId="50" xfId="0" applyNumberFormat="1" applyFont="1" applyFill="1" applyBorder="1" applyAlignment="1">
      <alignment horizontal="center"/>
    </xf>
    <xf numFmtId="49" fontId="32" fillId="8" borderId="47" xfId="0" applyNumberFormat="1" applyFont="1" applyFill="1" applyBorder="1" applyAlignment="1">
      <alignment horizontal="center"/>
    </xf>
    <xf numFmtId="49" fontId="32" fillId="8" borderId="52" xfId="0" applyNumberFormat="1" applyFont="1" applyFill="1" applyBorder="1" applyAlignment="1">
      <alignment horizontal="center"/>
    </xf>
    <xf numFmtId="49" fontId="32" fillId="8" borderId="54" xfId="0" applyNumberFormat="1" applyFont="1" applyFill="1" applyBorder="1"/>
    <xf numFmtId="0" fontId="4" fillId="0" borderId="0" xfId="2" quotePrefix="1" applyAlignment="1">
      <alignment horizontal="centerContinuous"/>
    </xf>
    <xf numFmtId="164" fontId="33" fillId="0" borderId="61" xfId="1" applyFont="1" applyFill="1" applyBorder="1"/>
    <xf numFmtId="164" fontId="33" fillId="0" borderId="56" xfId="1" applyFont="1" applyFill="1" applyBorder="1"/>
    <xf numFmtId="164" fontId="33" fillId="0" borderId="0" xfId="1" applyFont="1" applyFill="1" applyBorder="1" applyProtection="1">
      <protection locked="0"/>
    </xf>
    <xf numFmtId="164" fontId="33" fillId="0" borderId="61" xfId="1" applyFont="1" applyFill="1" applyBorder="1" applyProtection="1">
      <protection locked="0"/>
    </xf>
    <xf numFmtId="0" fontId="32" fillId="0" borderId="53" xfId="0" applyFont="1" applyBorder="1"/>
    <xf numFmtId="164" fontId="33" fillId="0" borderId="52" xfId="1" applyFont="1" applyFill="1" applyBorder="1" applyAlignment="1" applyProtection="1">
      <alignment horizontal="left" indent="1"/>
      <protection locked="0"/>
    </xf>
    <xf numFmtId="164" fontId="32" fillId="0" borderId="61" xfId="1" applyFont="1" applyFill="1" applyBorder="1"/>
    <xf numFmtId="169" fontId="3" fillId="0" borderId="62" xfId="0" applyNumberFormat="1" applyFont="1" applyBorder="1" applyAlignment="1" applyProtection="1">
      <alignment horizontal="centerContinuous"/>
      <protection locked="0"/>
    </xf>
    <xf numFmtId="0" fontId="3" fillId="0" borderId="62" xfId="0" applyFont="1" applyBorder="1" applyAlignment="1" applyProtection="1">
      <alignment horizontal="centerContinuous"/>
      <protection locked="0"/>
    </xf>
    <xf numFmtId="0" fontId="44" fillId="11" borderId="66" xfId="0" applyFont="1" applyFill="1" applyBorder="1" applyAlignment="1">
      <alignment horizontal="center" vertical="center" wrapText="1"/>
    </xf>
    <xf numFmtId="0" fontId="43" fillId="11" borderId="64" xfId="0" applyFont="1" applyFill="1" applyBorder="1" applyAlignment="1">
      <alignment horizontal="center" vertical="center" wrapText="1"/>
    </xf>
    <xf numFmtId="187" fontId="43" fillId="14" borderId="71" xfId="0" applyNumberFormat="1" applyFont="1" applyFill="1" applyBorder="1" applyAlignment="1">
      <alignment horizontal="center" vertical="center" wrapText="1"/>
    </xf>
    <xf numFmtId="188" fontId="44" fillId="11" borderId="47" xfId="0" applyNumberFormat="1" applyFont="1" applyFill="1" applyBorder="1" applyAlignment="1">
      <alignment horizontal="center" vertical="center"/>
    </xf>
    <xf numFmtId="0" fontId="43" fillId="11" borderId="40" xfId="0" applyFont="1" applyFill="1" applyBorder="1" applyAlignment="1">
      <alignment horizontal="center" vertical="center" wrapText="1"/>
    </xf>
    <xf numFmtId="0" fontId="43" fillId="12" borderId="4" xfId="0" applyFont="1" applyFill="1" applyBorder="1" applyAlignment="1">
      <alignment vertical="center" wrapText="1"/>
    </xf>
    <xf numFmtId="0" fontId="43" fillId="14" borderId="74" xfId="0" applyFont="1" applyFill="1" applyBorder="1" applyAlignment="1">
      <alignment horizontal="center" vertical="center" wrapText="1"/>
    </xf>
    <xf numFmtId="0" fontId="43" fillId="12" borderId="4" xfId="0" applyFont="1" applyFill="1" applyBorder="1" applyAlignment="1" applyProtection="1">
      <alignment vertical="center" wrapText="1"/>
      <protection locked="0"/>
    </xf>
    <xf numFmtId="0" fontId="44" fillId="11" borderId="78" xfId="0" applyFont="1" applyFill="1" applyBorder="1" applyAlignment="1">
      <alignment horizontal="center" vertical="center" wrapText="1"/>
    </xf>
    <xf numFmtId="0" fontId="43" fillId="11" borderId="76" xfId="0" applyFont="1" applyFill="1" applyBorder="1" applyAlignment="1">
      <alignment horizontal="center" vertical="center" wrapText="1"/>
    </xf>
    <xf numFmtId="0" fontId="43" fillId="12" borderId="78" xfId="0" applyFont="1" applyFill="1" applyBorder="1" applyAlignment="1">
      <alignment horizontal="center" vertical="center" wrapText="1"/>
    </xf>
    <xf numFmtId="187" fontId="43" fillId="14" borderId="80" xfId="0" applyNumberFormat="1" applyFont="1" applyFill="1" applyBorder="1" applyAlignment="1">
      <alignment horizontal="center" vertical="center" wrapText="1"/>
    </xf>
    <xf numFmtId="0" fontId="43" fillId="12" borderId="78" xfId="0" applyFont="1" applyFill="1" applyBorder="1" applyAlignment="1" applyProtection="1">
      <alignment horizontal="center" vertical="center" wrapText="1"/>
      <protection locked="0"/>
    </xf>
    <xf numFmtId="0" fontId="17" fillId="10" borderId="82" xfId="0" applyFont="1" applyFill="1" applyBorder="1" applyAlignment="1" applyProtection="1">
      <alignment horizontal="center" vertical="center" wrapText="1"/>
      <protection locked="0"/>
    </xf>
    <xf numFmtId="186" fontId="46" fillId="10" borderId="82" xfId="1" applyNumberFormat="1" applyFont="1" applyFill="1" applyBorder="1" applyProtection="1"/>
    <xf numFmtId="186" fontId="47" fillId="14" borderId="86" xfId="0" applyNumberFormat="1" applyFont="1" applyFill="1" applyBorder="1"/>
    <xf numFmtId="0" fontId="17" fillId="16" borderId="2" xfId="0" applyFont="1" applyFill="1" applyBorder="1" applyAlignment="1" applyProtection="1">
      <alignment horizontal="center" vertical="center" wrapText="1"/>
      <protection locked="0"/>
    </xf>
    <xf numFmtId="186" fontId="46" fillId="16" borderId="2" xfId="1" applyNumberFormat="1" applyFont="1" applyFill="1" applyBorder="1" applyProtection="1"/>
    <xf numFmtId="186" fontId="47" fillId="17" borderId="87" xfId="0" applyNumberFormat="1" applyFont="1" applyFill="1" applyBorder="1"/>
    <xf numFmtId="0" fontId="48" fillId="18" borderId="78" xfId="0" applyFont="1" applyFill="1" applyBorder="1" applyAlignment="1" applyProtection="1">
      <alignment horizontal="center" vertical="center" wrapText="1"/>
      <protection locked="0"/>
    </xf>
    <xf numFmtId="186" fontId="46" fillId="18" borderId="78" xfId="1" applyNumberFormat="1" applyFont="1" applyFill="1" applyBorder="1" applyProtection="1"/>
    <xf numFmtId="186" fontId="47" fillId="19" borderId="88" xfId="1" applyNumberFormat="1" applyFont="1" applyFill="1" applyBorder="1" applyProtection="1"/>
    <xf numFmtId="0" fontId="18" fillId="20" borderId="82" xfId="0" applyFont="1" applyFill="1" applyBorder="1" applyAlignment="1" applyProtection="1">
      <alignment horizontal="center" vertical="center" wrapText="1"/>
      <protection locked="0"/>
    </xf>
    <xf numFmtId="186" fontId="18" fillId="20" borderId="82" xfId="1" applyNumberFormat="1" applyFont="1" applyFill="1" applyBorder="1" applyProtection="1"/>
    <xf numFmtId="186" fontId="49" fillId="20" borderId="86" xfId="0" applyNumberFormat="1" applyFont="1" applyFill="1" applyBorder="1"/>
    <xf numFmtId="0" fontId="18" fillId="20" borderId="2" xfId="0" applyFont="1" applyFill="1" applyBorder="1" applyAlignment="1" applyProtection="1">
      <alignment horizontal="center" vertical="center" wrapText="1"/>
      <protection locked="0"/>
    </xf>
    <xf numFmtId="186" fontId="18" fillId="20" borderId="2" xfId="1" applyNumberFormat="1" applyFont="1" applyFill="1" applyBorder="1" applyProtection="1"/>
    <xf numFmtId="186" fontId="49" fillId="20" borderId="87" xfId="0" applyNumberFormat="1" applyFont="1" applyFill="1" applyBorder="1"/>
    <xf numFmtId="0" fontId="48" fillId="20" borderId="78" xfId="0" applyFont="1" applyFill="1" applyBorder="1" applyAlignment="1" applyProtection="1">
      <alignment horizontal="center" vertical="center" wrapText="1"/>
      <protection locked="0"/>
    </xf>
    <xf numFmtId="186" fontId="18" fillId="20" borderId="78" xfId="1" applyNumberFormat="1" applyFont="1" applyFill="1" applyBorder="1" applyProtection="1"/>
    <xf numFmtId="186" fontId="49" fillId="20" borderId="88" xfId="1" applyNumberFormat="1" applyFont="1" applyFill="1" applyBorder="1" applyProtection="1"/>
    <xf numFmtId="186" fontId="47" fillId="14" borderId="89" xfId="0" applyNumberFormat="1" applyFont="1" applyFill="1" applyBorder="1"/>
    <xf numFmtId="0" fontId="18" fillId="21" borderId="5" xfId="0" applyFont="1" applyFill="1" applyBorder="1" applyAlignment="1" applyProtection="1">
      <alignment horizontal="center" vertical="center" wrapText="1"/>
      <protection locked="0"/>
    </xf>
    <xf numFmtId="186" fontId="18" fillId="21" borderId="5" xfId="1" applyNumberFormat="1" applyFont="1" applyFill="1" applyBorder="1" applyProtection="1">
      <protection locked="0"/>
    </xf>
    <xf numFmtId="186" fontId="49" fillId="21" borderId="86" xfId="0" applyNumberFormat="1" applyFont="1" applyFill="1" applyBorder="1"/>
    <xf numFmtId="0" fontId="18" fillId="21" borderId="2" xfId="0" applyFont="1" applyFill="1" applyBorder="1" applyAlignment="1" applyProtection="1">
      <alignment horizontal="center" vertical="center" wrapText="1"/>
      <protection locked="0"/>
    </xf>
    <xf numFmtId="186" fontId="18" fillId="21" borderId="2" xfId="1" applyNumberFormat="1" applyFont="1" applyFill="1" applyBorder="1" applyProtection="1">
      <protection locked="0"/>
    </xf>
    <xf numFmtId="186" fontId="49" fillId="21" borderId="87" xfId="0" applyNumberFormat="1" applyFont="1" applyFill="1" applyBorder="1"/>
    <xf numFmtId="0" fontId="48" fillId="21" borderId="91" xfId="0" applyFont="1" applyFill="1" applyBorder="1" applyAlignment="1" applyProtection="1">
      <alignment horizontal="center" vertical="center" wrapText="1"/>
      <protection locked="0"/>
    </xf>
    <xf numFmtId="186" fontId="18" fillId="21" borderId="91" xfId="1" applyNumberFormat="1" applyFont="1" applyFill="1" applyBorder="1" applyProtection="1">
      <protection locked="0"/>
    </xf>
    <xf numFmtId="186" fontId="49" fillId="21" borderId="93" xfId="1" applyNumberFormat="1" applyFont="1" applyFill="1" applyBorder="1" applyProtection="1"/>
    <xf numFmtId="186" fontId="0" fillId="0" borderId="0" xfId="0" applyNumberFormat="1" applyProtection="1">
      <protection locked="0"/>
    </xf>
    <xf numFmtId="0" fontId="29" fillId="0" borderId="0" xfId="0" applyFont="1" applyProtection="1">
      <protection locked="0"/>
    </xf>
    <xf numFmtId="186" fontId="46" fillId="0" borderId="0" xfId="1" applyNumberFormat="1" applyFont="1" applyProtection="1">
      <protection locked="0"/>
    </xf>
    <xf numFmtId="164" fontId="46" fillId="0" borderId="0" xfId="1" applyFont="1" applyProtection="1">
      <protection locked="0"/>
    </xf>
    <xf numFmtId="0" fontId="33" fillId="0" borderId="0" xfId="0" applyFont="1"/>
    <xf numFmtId="189" fontId="46" fillId="10" borderId="82" xfId="1" applyNumberFormat="1" applyFont="1" applyFill="1" applyBorder="1" applyProtection="1"/>
    <xf numFmtId="189" fontId="46" fillId="11" borderId="83" xfId="1" applyNumberFormat="1" applyFont="1" applyFill="1" applyBorder="1" applyProtection="1">
      <protection locked="0"/>
    </xf>
    <xf numFmtId="189" fontId="46" fillId="11" borderId="84" xfId="1" applyNumberFormat="1" applyFont="1" applyFill="1" applyBorder="1" applyProtection="1">
      <protection locked="0"/>
    </xf>
    <xf numFmtId="189" fontId="46" fillId="16" borderId="2" xfId="1" applyNumberFormat="1" applyFont="1" applyFill="1" applyBorder="1" applyProtection="1"/>
    <xf numFmtId="189" fontId="46" fillId="17" borderId="2" xfId="1" applyNumberFormat="1" applyFont="1" applyFill="1" applyBorder="1" applyProtection="1">
      <protection locked="0"/>
    </xf>
    <xf numFmtId="189" fontId="46" fillId="17" borderId="47" xfId="1" applyNumberFormat="1" applyFont="1" applyFill="1" applyBorder="1" applyProtection="1">
      <protection locked="0"/>
    </xf>
    <xf numFmtId="189" fontId="46" fillId="18" borderId="78" xfId="1" applyNumberFormat="1" applyFont="1" applyFill="1" applyBorder="1" applyProtection="1"/>
    <xf numFmtId="189" fontId="46" fillId="19" borderId="76" xfId="1" applyNumberFormat="1" applyFont="1" applyFill="1" applyBorder="1" applyProtection="1"/>
    <xf numFmtId="189" fontId="46" fillId="19" borderId="76" xfId="1" applyNumberFormat="1" applyFont="1" applyFill="1" applyBorder="1" applyProtection="1">
      <protection locked="0"/>
    </xf>
    <xf numFmtId="189" fontId="46" fillId="17" borderId="40" xfId="1" applyNumberFormat="1" applyFont="1" applyFill="1" applyBorder="1" applyProtection="1">
      <protection locked="0"/>
    </xf>
    <xf numFmtId="189" fontId="18" fillId="20" borderId="82" xfId="1" applyNumberFormat="1" applyFont="1" applyFill="1" applyBorder="1" applyProtection="1"/>
    <xf numFmtId="189" fontId="18" fillId="20" borderId="83" xfId="1" applyNumberFormat="1" applyFont="1" applyFill="1" applyBorder="1" applyProtection="1"/>
    <xf numFmtId="189" fontId="18" fillId="20" borderId="84" xfId="1" applyNumberFormat="1" applyFont="1" applyFill="1" applyBorder="1" applyProtection="1">
      <protection locked="0"/>
    </xf>
    <xf numFmtId="189" fontId="18" fillId="20" borderId="2" xfId="1" applyNumberFormat="1" applyFont="1" applyFill="1" applyBorder="1" applyProtection="1"/>
    <xf numFmtId="189" fontId="18" fillId="20" borderId="40" xfId="1" applyNumberFormat="1" applyFont="1" applyFill="1" applyBorder="1" applyProtection="1">
      <protection locked="0"/>
    </xf>
    <xf numFmtId="189" fontId="18" fillId="20" borderId="78" xfId="1" applyNumberFormat="1" applyFont="1" applyFill="1" applyBorder="1" applyProtection="1"/>
    <xf numFmtId="189" fontId="18" fillId="20" borderId="76" xfId="1" applyNumberFormat="1" applyFont="1" applyFill="1" applyBorder="1" applyProtection="1">
      <protection locked="0"/>
    </xf>
    <xf numFmtId="189" fontId="46" fillId="11" borderId="40" xfId="1" applyNumberFormat="1" applyFont="1" applyFill="1" applyBorder="1" applyProtection="1">
      <protection locked="0"/>
    </xf>
    <xf numFmtId="189" fontId="46" fillId="19" borderId="40" xfId="1" applyNumberFormat="1" applyFont="1" applyFill="1" applyBorder="1" applyProtection="1"/>
    <xf numFmtId="189" fontId="46" fillId="11" borderId="42" xfId="1" applyNumberFormat="1" applyFont="1" applyFill="1" applyBorder="1" applyProtection="1">
      <protection locked="0"/>
    </xf>
    <xf numFmtId="189" fontId="18" fillId="21" borderId="5" xfId="1" applyNumberFormat="1" applyFont="1" applyFill="1" applyBorder="1" applyProtection="1">
      <protection locked="0"/>
    </xf>
    <xf numFmtId="189" fontId="18" fillId="21" borderId="5" xfId="1" applyNumberFormat="1" applyFont="1" applyFill="1" applyBorder="1" applyProtection="1"/>
    <xf numFmtId="189" fontId="18" fillId="21" borderId="2" xfId="1" applyNumberFormat="1" applyFont="1" applyFill="1" applyBorder="1" applyProtection="1">
      <protection locked="0"/>
    </xf>
    <xf numFmtId="189" fontId="18" fillId="21" borderId="2" xfId="1" applyNumberFormat="1" applyFont="1" applyFill="1" applyBorder="1" applyProtection="1"/>
    <xf numFmtId="189" fontId="18" fillId="21" borderId="91" xfId="1" applyNumberFormat="1" applyFont="1" applyFill="1" applyBorder="1" applyProtection="1">
      <protection locked="0"/>
    </xf>
    <xf numFmtId="189" fontId="18" fillId="21" borderId="92" xfId="1" applyNumberFormat="1" applyFont="1" applyFill="1" applyBorder="1" applyProtection="1"/>
    <xf numFmtId="189" fontId="18" fillId="21" borderId="92" xfId="1" applyNumberFormat="1" applyFont="1" applyFill="1" applyBorder="1" applyProtection="1">
      <protection locked="0"/>
    </xf>
    <xf numFmtId="164" fontId="33" fillId="0" borderId="0" xfId="1" applyFont="1" applyProtection="1"/>
    <xf numFmtId="164" fontId="3" fillId="0" borderId="0" xfId="1" applyFont="1" applyProtection="1"/>
    <xf numFmtId="0" fontId="3" fillId="0" borderId="0" xfId="0" applyFont="1" applyAlignment="1">
      <alignment horizontal="centerContinuous"/>
    </xf>
    <xf numFmtId="164" fontId="3" fillId="0" borderId="0" xfId="1" applyFont="1" applyAlignment="1" applyProtection="1">
      <alignment horizontal="centerContinuous"/>
    </xf>
    <xf numFmtId="164" fontId="22" fillId="0" borderId="0" xfId="1" applyFont="1" applyAlignment="1" applyProtection="1">
      <alignment horizontal="centerContinuous"/>
    </xf>
    <xf numFmtId="0" fontId="18" fillId="0" borderId="0" xfId="0" applyFont="1" applyAlignment="1">
      <alignment horizontal="centerContinuous" vertical="center"/>
    </xf>
    <xf numFmtId="49" fontId="18" fillId="0" borderId="0" xfId="0" applyNumberFormat="1" applyFont="1" applyAlignment="1">
      <alignment horizontal="centerContinuous" vertical="center"/>
    </xf>
    <xf numFmtId="0" fontId="50" fillId="0" borderId="0" xfId="0" applyFont="1" applyAlignment="1">
      <alignment horizontal="centerContinuous" vertical="center"/>
    </xf>
    <xf numFmtId="49" fontId="50" fillId="0" borderId="0" xfId="0" applyNumberFormat="1" applyFont="1" applyAlignment="1">
      <alignment horizontal="centerContinuous" vertical="center"/>
    </xf>
    <xf numFmtId="169" fontId="32" fillId="0" borderId="0" xfId="0" applyNumberFormat="1" applyFont="1" applyAlignment="1">
      <alignment horizontal="centerContinuous"/>
    </xf>
    <xf numFmtId="49" fontId="32" fillId="0" borderId="0" xfId="0" applyNumberFormat="1" applyFont="1" applyAlignment="1">
      <alignment horizontal="centerContinuous"/>
    </xf>
    <xf numFmtId="49" fontId="17" fillId="0" borderId="0" xfId="0" applyNumberFormat="1" applyFont="1"/>
    <xf numFmtId="49" fontId="3" fillId="0" borderId="2" xfId="0" applyNumberFormat="1" applyFont="1" applyBorder="1" applyAlignment="1">
      <alignment horizontal="center"/>
    </xf>
    <xf numFmtId="164" fontId="2" fillId="0" borderId="2" xfId="1" applyFont="1" applyFill="1" applyBorder="1" applyProtection="1"/>
    <xf numFmtId="164" fontId="3" fillId="0" borderId="2" xfId="1" applyFont="1" applyFill="1" applyBorder="1" applyProtection="1"/>
    <xf numFmtId="0" fontId="17" fillId="0" borderId="2" xfId="0" applyFont="1" applyBorder="1" applyAlignment="1">
      <alignment horizontal="left" indent="2"/>
    </xf>
    <xf numFmtId="49" fontId="17" fillId="0" borderId="2" xfId="0" applyNumberFormat="1" applyFont="1" applyBorder="1" applyAlignment="1">
      <alignment horizontal="center"/>
    </xf>
    <xf numFmtId="164" fontId="17" fillId="0" borderId="2" xfId="1" applyFont="1" applyBorder="1" applyProtection="1"/>
    <xf numFmtId="164" fontId="18" fillId="0" borderId="2" xfId="1" applyFont="1" applyFill="1" applyBorder="1" applyAlignment="1" applyProtection="1"/>
    <xf numFmtId="0" fontId="3" fillId="0" borderId="2" xfId="0" applyFont="1" applyBorder="1" applyAlignment="1">
      <alignment vertical="center"/>
    </xf>
    <xf numFmtId="49" fontId="3" fillId="0" borderId="2" xfId="0" applyNumberFormat="1" applyFont="1" applyBorder="1" applyAlignment="1">
      <alignment horizontal="center" vertical="center"/>
    </xf>
    <xf numFmtId="164" fontId="18" fillId="0" borderId="2" xfId="1" applyFont="1" applyBorder="1" applyAlignment="1" applyProtection="1">
      <alignment vertical="center"/>
    </xf>
    <xf numFmtId="164" fontId="3" fillId="0" borderId="2" xfId="1" applyFont="1" applyFill="1" applyBorder="1" applyAlignment="1" applyProtection="1">
      <alignment vertical="center"/>
    </xf>
    <xf numFmtId="0" fontId="17" fillId="0" borderId="2" xfId="0" applyFont="1" applyBorder="1"/>
    <xf numFmtId="164" fontId="17" fillId="0" borderId="2" xfId="1" applyFont="1" applyFill="1" applyBorder="1" applyProtection="1"/>
    <xf numFmtId="164" fontId="18" fillId="0" borderId="2" xfId="1" applyFont="1" applyFill="1" applyBorder="1" applyProtection="1"/>
    <xf numFmtId="0" fontId="17" fillId="0" borderId="2" xfId="0" applyFont="1" applyBorder="1" applyAlignment="1">
      <alignment horizontal="left" indent="4"/>
    </xf>
    <xf numFmtId="0" fontId="3" fillId="0" borderId="2" xfId="0" applyFont="1" applyBorder="1" applyAlignment="1">
      <alignment horizontal="left"/>
    </xf>
    <xf numFmtId="0" fontId="18" fillId="0" borderId="2" xfId="0" applyFont="1" applyBorder="1" applyAlignment="1">
      <alignment horizontal="left"/>
    </xf>
    <xf numFmtId="49" fontId="18" fillId="0" borderId="2" xfId="0" applyNumberFormat="1" applyFont="1" applyBorder="1" applyAlignment="1">
      <alignment horizontal="center"/>
    </xf>
    <xf numFmtId="0" fontId="3" fillId="0" borderId="2" xfId="0" applyFont="1" applyBorder="1" applyAlignment="1">
      <alignment horizontal="left" vertical="center"/>
    </xf>
    <xf numFmtId="164" fontId="18" fillId="0" borderId="2" xfId="1" applyFont="1" applyFill="1" applyBorder="1" applyAlignment="1" applyProtection="1">
      <alignment vertical="center"/>
    </xf>
    <xf numFmtId="164" fontId="17" fillId="0" borderId="0" xfId="1" applyFont="1" applyProtection="1"/>
    <xf numFmtId="49" fontId="3" fillId="0" borderId="0" xfId="0" applyNumberFormat="1" applyFont="1" applyAlignment="1">
      <alignment horizontal="center"/>
    </xf>
    <xf numFmtId="0" fontId="17" fillId="0" borderId="0" xfId="0" applyFont="1" applyAlignment="1">
      <alignment horizontal="center"/>
    </xf>
    <xf numFmtId="49" fontId="17" fillId="0" borderId="0" xfId="0" applyNumberFormat="1" applyFont="1" applyAlignment="1">
      <alignment horizontal="center"/>
    </xf>
    <xf numFmtId="0" fontId="18" fillId="0" borderId="0" xfId="0" applyFont="1" applyAlignment="1">
      <alignment horizontal="centerContinuous"/>
    </xf>
    <xf numFmtId="0" fontId="17" fillId="0" borderId="0" xfId="0" applyFont="1" applyAlignment="1">
      <alignment horizontal="centerContinuous"/>
    </xf>
    <xf numFmtId="164" fontId="23" fillId="0" borderId="2" xfId="1" applyFont="1" applyFill="1" applyBorder="1"/>
    <xf numFmtId="164" fontId="18" fillId="0" borderId="2" xfId="1" applyFont="1" applyBorder="1" applyProtection="1"/>
    <xf numFmtId="14" fontId="32" fillId="5" borderId="5" xfId="1" applyNumberFormat="1" applyFont="1" applyFill="1" applyBorder="1" applyAlignment="1" applyProtection="1">
      <alignment horizontal="center" vertical="center" wrapText="1"/>
    </xf>
    <xf numFmtId="164" fontId="33" fillId="0" borderId="47" xfId="1" applyFont="1" applyFill="1" applyBorder="1" applyAlignment="1" applyProtection="1">
      <alignment horizontal="left" indent="1"/>
      <protection locked="0"/>
    </xf>
    <xf numFmtId="164" fontId="33" fillId="0" borderId="47" xfId="1" applyFont="1" applyFill="1" applyBorder="1"/>
    <xf numFmtId="0" fontId="32" fillId="0" borderId="2" xfId="0" applyFont="1" applyBorder="1"/>
    <xf numFmtId="49" fontId="32" fillId="8" borderId="2" xfId="0" applyNumberFormat="1" applyFont="1" applyFill="1" applyBorder="1" applyAlignment="1">
      <alignment horizontal="center"/>
    </xf>
    <xf numFmtId="164" fontId="32" fillId="0" borderId="2" xfId="1" applyFont="1" applyFill="1" applyBorder="1" applyProtection="1"/>
    <xf numFmtId="0" fontId="32" fillId="0" borderId="47" xfId="0" applyFont="1" applyBorder="1"/>
    <xf numFmtId="164" fontId="33" fillId="0" borderId="47" xfId="1" applyFont="1" applyFill="1" applyBorder="1" applyProtection="1">
      <protection locked="0"/>
    </xf>
    <xf numFmtId="0" fontId="32" fillId="0" borderId="47" xfId="0" applyFont="1" applyBorder="1" applyAlignment="1">
      <alignment horizontal="left" indent="1"/>
    </xf>
    <xf numFmtId="164" fontId="32" fillId="0" borderId="47" xfId="1" applyFont="1" applyFill="1" applyBorder="1" applyProtection="1"/>
    <xf numFmtId="0" fontId="33" fillId="0" borderId="47" xfId="0" applyFont="1" applyBorder="1" applyAlignment="1">
      <alignment horizontal="left" indent="3"/>
    </xf>
    <xf numFmtId="0" fontId="33" fillId="0" borderId="47" xfId="0" applyFont="1" applyBorder="1" applyAlignment="1">
      <alignment horizontal="left" indent="5"/>
    </xf>
    <xf numFmtId="164" fontId="32" fillId="0" borderId="47" xfId="1" applyFont="1" applyFill="1" applyBorder="1" applyAlignment="1" applyProtection="1">
      <alignment horizontal="left" indent="1"/>
      <protection locked="0"/>
    </xf>
    <xf numFmtId="164" fontId="32" fillId="0" borderId="47" xfId="1" applyFont="1" applyFill="1" applyBorder="1"/>
    <xf numFmtId="164" fontId="33" fillId="0" borderId="47" xfId="1" applyFont="1" applyFill="1" applyBorder="1" applyProtection="1"/>
    <xf numFmtId="164" fontId="32" fillId="0" borderId="47" xfId="1" applyFont="1" applyFill="1" applyBorder="1" applyAlignment="1" applyProtection="1">
      <alignment horizontal="left" indent="1"/>
    </xf>
    <xf numFmtId="0" fontId="33" fillId="0" borderId="5" xfId="0" applyFont="1" applyBorder="1" applyAlignment="1">
      <alignment horizontal="left" indent="5"/>
    </xf>
    <xf numFmtId="49" fontId="32" fillId="8" borderId="5" xfId="0" applyNumberFormat="1" applyFont="1" applyFill="1" applyBorder="1" applyAlignment="1">
      <alignment horizontal="center"/>
    </xf>
    <xf numFmtId="164" fontId="33" fillId="0" borderId="5" xfId="1" applyFont="1" applyFill="1" applyBorder="1" applyAlignment="1" applyProtection="1">
      <alignment horizontal="left" indent="1"/>
      <protection locked="0"/>
    </xf>
    <xf numFmtId="164" fontId="33" fillId="0" borderId="5" xfId="1" applyFont="1" applyFill="1" applyBorder="1"/>
    <xf numFmtId="164" fontId="33" fillId="0" borderId="94" xfId="1" applyFont="1" applyFill="1" applyBorder="1" applyProtection="1">
      <protection locked="0"/>
    </xf>
    <xf numFmtId="0" fontId="3" fillId="0" borderId="5" xfId="2" applyFont="1" applyBorder="1" applyAlignment="1">
      <alignment horizontal="center" vertical="center" wrapText="1"/>
    </xf>
    <xf numFmtId="0" fontId="3" fillId="0" borderId="42" xfId="2" applyFont="1" applyBorder="1" applyAlignment="1">
      <alignment horizontal="center" vertical="center" wrapText="1"/>
    </xf>
    <xf numFmtId="164" fontId="2" fillId="0" borderId="4" xfId="1" applyFont="1" applyFill="1" applyBorder="1" applyAlignment="1" applyProtection="1">
      <alignment horizontal="center"/>
    </xf>
    <xf numFmtId="164" fontId="2" fillId="0" borderId="4" xfId="1" quotePrefix="1" applyFont="1" applyFill="1" applyBorder="1" applyAlignment="1" applyProtection="1">
      <alignment horizontal="center"/>
    </xf>
    <xf numFmtId="164" fontId="2" fillId="0" borderId="4" xfId="3" applyFont="1" applyFill="1" applyBorder="1" applyAlignment="1" applyProtection="1">
      <alignment horizontal="center"/>
    </xf>
    <xf numFmtId="164" fontId="9" fillId="0" borderId="14" xfId="1" applyFont="1" applyBorder="1" applyAlignment="1">
      <alignment vertical="center" shrinkToFit="1"/>
    </xf>
    <xf numFmtId="164" fontId="9" fillId="0" borderId="14" xfId="1" applyFont="1" applyBorder="1" applyAlignment="1">
      <alignment vertical="center"/>
    </xf>
    <xf numFmtId="0" fontId="2" fillId="0" borderId="5" xfId="0" applyFont="1" applyBorder="1" applyAlignment="1" applyProtection="1">
      <alignment horizontal="center"/>
      <protection locked="0"/>
    </xf>
    <xf numFmtId="49" fontId="0" fillId="0" borderId="2" xfId="0" applyNumberFormat="1" applyBorder="1" applyAlignment="1" applyProtection="1">
      <alignment horizontal="center" vertical="center" shrinkToFit="1"/>
      <protection locked="0"/>
    </xf>
    <xf numFmtId="49" fontId="0" fillId="0" borderId="2" xfId="0" applyNumberFormat="1" applyBorder="1" applyAlignment="1" applyProtection="1">
      <alignment horizontal="center" vertical="center"/>
      <protection locked="0"/>
    </xf>
    <xf numFmtId="0" fontId="0" fillId="0" borderId="2" xfId="0" applyBorder="1" applyAlignment="1">
      <alignment shrinkToFit="1"/>
    </xf>
    <xf numFmtId="164" fontId="0" fillId="0" borderId="2" xfId="1" applyFont="1" applyBorder="1" applyAlignment="1" applyProtection="1">
      <alignment vertical="center"/>
      <protection locked="0"/>
    </xf>
    <xf numFmtId="39" fontId="51" fillId="0" borderId="3" xfId="0" applyNumberFormat="1" applyFont="1" applyBorder="1" applyAlignment="1">
      <alignment vertical="center"/>
    </xf>
    <xf numFmtId="49" fontId="0" fillId="0" borderId="2" xfId="0" applyNumberFormat="1" applyBorder="1" applyAlignment="1" applyProtection="1">
      <alignment horizontal="center" shrinkToFit="1"/>
      <protection locked="0"/>
    </xf>
    <xf numFmtId="164" fontId="0" fillId="0" borderId="2" xfId="1" applyFont="1" applyBorder="1" applyAlignment="1" applyProtection="1">
      <protection locked="0"/>
    </xf>
    <xf numFmtId="164" fontId="0" fillId="0" borderId="0" xfId="1" applyFont="1" applyBorder="1" applyProtection="1">
      <protection locked="0"/>
    </xf>
    <xf numFmtId="164" fontId="2" fillId="0" borderId="0" xfId="1" applyFont="1" applyBorder="1" applyProtection="1">
      <protection locked="0"/>
    </xf>
    <xf numFmtId="0" fontId="0" fillId="0" borderId="0" xfId="0" quotePrefix="1" applyAlignment="1">
      <alignment vertical="center"/>
    </xf>
    <xf numFmtId="49" fontId="0" fillId="0" borderId="2" xfId="1" applyNumberFormat="1" applyFont="1" applyBorder="1" applyAlignment="1">
      <alignment horizontal="center" vertical="center" shrinkToFit="1"/>
    </xf>
    <xf numFmtId="164" fontId="0" fillId="0" borderId="2" xfId="1" applyFont="1" applyBorder="1" applyAlignment="1">
      <alignment vertical="center" shrinkToFit="1"/>
    </xf>
    <xf numFmtId="0" fontId="2" fillId="0" borderId="2" xfId="0" applyFont="1" applyBorder="1" applyAlignment="1">
      <alignment vertical="center" shrinkToFit="1"/>
    </xf>
    <xf numFmtId="49" fontId="3" fillId="0" borderId="2" xfId="1" applyNumberFormat="1" applyFont="1" applyBorder="1" applyAlignment="1" applyProtection="1">
      <alignment horizontal="center" vertical="center" shrinkToFit="1"/>
      <protection locked="0"/>
    </xf>
    <xf numFmtId="164" fontId="2" fillId="0" borderId="2" xfId="1" applyFont="1" applyBorder="1" applyAlignment="1" applyProtection="1">
      <alignment vertical="center" shrinkToFit="1"/>
    </xf>
    <xf numFmtId="164" fontId="2" fillId="0" borderId="2" xfId="1" applyFont="1" applyBorder="1" applyAlignment="1" applyProtection="1">
      <alignment vertical="center" shrinkToFit="1"/>
      <protection locked="0"/>
    </xf>
    <xf numFmtId="173" fontId="0" fillId="0" borderId="2" xfId="0" applyNumberFormat="1" applyBorder="1" applyAlignment="1">
      <alignment horizontal="center" vertical="center" shrinkToFit="1"/>
    </xf>
    <xf numFmtId="0" fontId="0" fillId="0" borderId="2" xfId="0" applyBorder="1" applyAlignment="1">
      <alignment vertical="center" shrinkToFit="1"/>
    </xf>
    <xf numFmtId="49" fontId="52" fillId="0" borderId="2" xfId="1" applyNumberFormat="1" applyFont="1" applyBorder="1" applyAlignment="1" applyProtection="1">
      <alignment horizontal="center" vertical="center" shrinkToFit="1"/>
      <protection locked="0"/>
    </xf>
    <xf numFmtId="164" fontId="0" fillId="0" borderId="2" xfId="1" applyFont="1" applyBorder="1" applyAlignment="1" applyProtection="1">
      <alignment vertical="center" shrinkToFit="1"/>
      <protection locked="0"/>
    </xf>
    <xf numFmtId="164" fontId="2" fillId="8" borderId="2" xfId="0" applyNumberFormat="1" applyFont="1" applyFill="1" applyBorder="1" applyAlignment="1">
      <alignment vertical="center"/>
    </xf>
    <xf numFmtId="49" fontId="2" fillId="0" borderId="2" xfId="1" applyNumberFormat="1" applyFont="1" applyBorder="1" applyAlignment="1">
      <alignment horizontal="center" vertical="center" wrapText="1"/>
    </xf>
    <xf numFmtId="0" fontId="2" fillId="8" borderId="2" xfId="0" applyFont="1" applyFill="1" applyBorder="1" applyAlignment="1">
      <alignment horizontal="center" vertical="center"/>
    </xf>
    <xf numFmtId="164" fontId="2" fillId="0" borderId="2" xfId="1" applyFont="1" applyBorder="1" applyAlignment="1" applyProtection="1">
      <alignment vertical="center"/>
    </xf>
    <xf numFmtId="0" fontId="2" fillId="0" borderId="2" xfId="1" applyNumberFormat="1" applyFont="1" applyBorder="1" applyAlignment="1">
      <alignment horizontal="center" vertical="center"/>
    </xf>
    <xf numFmtId="164" fontId="0" fillId="0" borderId="2" xfId="0" applyNumberFormat="1" applyBorder="1" applyAlignment="1">
      <alignment vertical="center"/>
    </xf>
    <xf numFmtId="49" fontId="2" fillId="0" borderId="2" xfId="0" applyNumberFormat="1" applyFont="1" applyBorder="1" applyAlignment="1">
      <alignment horizontal="center" vertical="center"/>
    </xf>
    <xf numFmtId="49" fontId="2" fillId="0" borderId="2" xfId="0" applyNumberFormat="1" applyFont="1" applyBorder="1" applyAlignment="1">
      <alignment horizontal="center" vertical="center" wrapText="1"/>
    </xf>
    <xf numFmtId="49" fontId="2" fillId="0" borderId="2" xfId="1" applyNumberFormat="1" applyFont="1" applyBorder="1" applyAlignment="1" applyProtection="1">
      <alignment horizontal="center" vertical="center"/>
    </xf>
    <xf numFmtId="0" fontId="0" fillId="0" borderId="2" xfId="0" applyBorder="1" applyAlignment="1">
      <alignment horizontal="center" vertical="center"/>
    </xf>
    <xf numFmtId="0" fontId="2" fillId="0" borderId="2" xfId="0" applyFont="1" applyBorder="1" applyAlignment="1">
      <alignment horizontal="center" vertical="center"/>
    </xf>
    <xf numFmtId="173" fontId="0" fillId="0" borderId="2" xfId="0" applyNumberFormat="1" applyBorder="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49" fontId="3" fillId="0" borderId="2" xfId="1" applyNumberFormat="1" applyFont="1" applyBorder="1" applyAlignment="1">
      <alignment horizontal="center" vertical="center" wrapText="1"/>
    </xf>
    <xf numFmtId="49" fontId="3" fillId="0" borderId="0" xfId="0" applyNumberFormat="1" applyFont="1" applyAlignment="1">
      <alignment horizontal="center" vertical="center"/>
    </xf>
    <xf numFmtId="49" fontId="3" fillId="23" borderId="2" xfId="0" applyNumberFormat="1" applyFont="1" applyFill="1" applyBorder="1" applyAlignment="1">
      <alignment horizontal="center" vertical="center"/>
    </xf>
    <xf numFmtId="0" fontId="3" fillId="23" borderId="2" xfId="0" applyFont="1" applyFill="1" applyBorder="1" applyAlignment="1">
      <alignment horizontal="center" vertical="center"/>
    </xf>
    <xf numFmtId="49" fontId="2" fillId="8" borderId="2" xfId="1" applyNumberFormat="1" applyFont="1" applyFill="1" applyBorder="1" applyAlignment="1">
      <alignment horizontal="center" vertical="center"/>
    </xf>
    <xf numFmtId="164" fontId="0" fillId="8" borderId="2" xfId="0" applyNumberFormat="1" applyFill="1" applyBorder="1" applyAlignment="1">
      <alignment vertical="center"/>
    </xf>
    <xf numFmtId="49" fontId="8" fillId="0" borderId="0" xfId="1" applyNumberFormat="1" applyFont="1" applyAlignment="1" applyProtection="1"/>
    <xf numFmtId="191" fontId="3" fillId="0" borderId="43" xfId="0" applyNumberFormat="1" applyFont="1" applyBorder="1" applyAlignment="1">
      <alignment horizontal="center" vertical="center" wrapText="1"/>
    </xf>
    <xf numFmtId="191" fontId="0" fillId="0" borderId="6" xfId="0" applyNumberFormat="1" applyBorder="1" applyAlignment="1" applyProtection="1">
      <alignment horizontal="center"/>
      <protection locked="0"/>
    </xf>
    <xf numFmtId="191" fontId="2" fillId="0" borderId="6" xfId="0" applyNumberFormat="1" applyFont="1" applyBorder="1" applyAlignment="1" applyProtection="1">
      <alignment horizontal="center"/>
      <protection locked="0"/>
    </xf>
    <xf numFmtId="191" fontId="2" fillId="0" borderId="0" xfId="0" applyNumberFormat="1" applyFont="1" applyProtection="1">
      <protection locked="0"/>
    </xf>
    <xf numFmtId="191" fontId="20" fillId="0" borderId="0" xfId="0" applyNumberFormat="1" applyFont="1" applyAlignment="1" applyProtection="1">
      <alignment horizontal="centerContinuous"/>
      <protection locked="0"/>
    </xf>
    <xf numFmtId="191" fontId="16" fillId="0" borderId="0" xfId="0" applyNumberFormat="1" applyFont="1" applyAlignment="1">
      <alignment horizontal="centerContinuous" vertical="center"/>
    </xf>
    <xf numFmtId="191" fontId="0" fillId="0" borderId="6" xfId="0" applyNumberFormat="1" applyBorder="1" applyAlignment="1" applyProtection="1">
      <alignment horizontal="center" vertical="center"/>
      <protection locked="0"/>
    </xf>
    <xf numFmtId="164" fontId="2" fillId="0" borderId="0" xfId="1" applyFont="1" applyFill="1" applyProtection="1">
      <protection locked="0"/>
    </xf>
    <xf numFmtId="0" fontId="3" fillId="8" borderId="2" xfId="0" applyFont="1" applyFill="1" applyBorder="1" applyAlignment="1">
      <alignment horizontal="center" vertical="center"/>
    </xf>
    <xf numFmtId="49" fontId="3" fillId="8" borderId="2" xfId="1" applyNumberFormat="1" applyFont="1" applyFill="1" applyBorder="1" applyAlignment="1">
      <alignment horizontal="center" vertical="center" wrapText="1"/>
    </xf>
    <xf numFmtId="49" fontId="3" fillId="8" borderId="2" xfId="1" applyNumberFormat="1" applyFont="1" applyFill="1" applyBorder="1" applyAlignment="1">
      <alignment horizontal="center" vertical="center"/>
    </xf>
    <xf numFmtId="0" fontId="3" fillId="8" borderId="5" xfId="0" applyFont="1" applyFill="1" applyBorder="1" applyAlignment="1">
      <alignment horizontal="center" vertical="center"/>
    </xf>
    <xf numFmtId="0" fontId="2" fillId="8" borderId="2" xfId="0" applyFont="1" applyFill="1" applyBorder="1" applyAlignment="1">
      <alignment shrinkToFit="1"/>
    </xf>
    <xf numFmtId="0" fontId="2" fillId="8" borderId="4" xfId="0" applyFont="1" applyFill="1" applyBorder="1" applyAlignment="1">
      <alignment shrinkToFit="1"/>
    </xf>
    <xf numFmtId="173" fontId="2" fillId="8" borderId="2" xfId="0" applyNumberFormat="1" applyFont="1" applyFill="1" applyBorder="1" applyAlignment="1">
      <alignment horizontal="center" vertical="center" shrinkToFit="1"/>
    </xf>
    <xf numFmtId="49" fontId="2" fillId="8" borderId="2" xfId="1" applyNumberFormat="1" applyFont="1" applyFill="1" applyBorder="1" applyAlignment="1">
      <alignment horizontal="center" vertical="center" shrinkToFit="1"/>
    </xf>
    <xf numFmtId="173" fontId="0" fillId="8" borderId="2" xfId="0" applyNumberFormat="1" applyFill="1" applyBorder="1" applyAlignment="1">
      <alignment horizontal="center" vertical="center" shrinkToFit="1"/>
    </xf>
    <xf numFmtId="0" fontId="3" fillId="8" borderId="5" xfId="0" applyFont="1" applyFill="1" applyBorder="1" applyAlignment="1">
      <alignment horizontal="center" vertical="center" wrapText="1"/>
    </xf>
    <xf numFmtId="0" fontId="0" fillId="2" borderId="4" xfId="0" applyFill="1" applyBorder="1" applyAlignment="1" applyProtection="1">
      <alignment horizontal="center" vertical="center" wrapText="1"/>
      <protection locked="0"/>
    </xf>
    <xf numFmtId="49" fontId="8" fillId="24" borderId="0" xfId="1" applyNumberFormat="1" applyFont="1" applyFill="1" applyBorder="1" applyAlignment="1" applyProtection="1">
      <alignment vertical="center"/>
      <protection locked="0"/>
    </xf>
    <xf numFmtId="49" fontId="14" fillId="24" borderId="0" xfId="1" applyNumberFormat="1" applyFont="1" applyFill="1" applyBorder="1" applyAlignment="1" applyProtection="1">
      <alignment horizontal="center" vertical="center"/>
      <protection locked="0"/>
    </xf>
    <xf numFmtId="49" fontId="3" fillId="0" borderId="43" xfId="0" applyNumberFormat="1" applyFont="1" applyBorder="1" applyAlignment="1">
      <alignment horizontal="center" vertical="center" wrapText="1"/>
    </xf>
    <xf numFmtId="49" fontId="2" fillId="0" borderId="0" xfId="0" applyNumberFormat="1" applyFont="1" applyProtection="1">
      <protection locked="0"/>
    </xf>
    <xf numFmtId="39" fontId="53" fillId="0" borderId="3" xfId="0" applyNumberFormat="1" applyFont="1" applyBorder="1" applyAlignment="1">
      <alignment vertical="center"/>
    </xf>
    <xf numFmtId="191" fontId="2" fillId="0" borderId="2" xfId="0" applyNumberFormat="1" applyFont="1" applyBorder="1" applyAlignment="1" applyProtection="1">
      <alignment horizontal="center" vertical="center" shrinkToFit="1"/>
      <protection locked="0"/>
    </xf>
    <xf numFmtId="49" fontId="2" fillId="0" borderId="2" xfId="0" applyNumberFormat="1" applyFont="1" applyBorder="1" applyAlignment="1" applyProtection="1">
      <alignment horizontal="left" vertical="center" wrapText="1" shrinkToFit="1"/>
      <protection locked="0"/>
    </xf>
    <xf numFmtId="49" fontId="55" fillId="0" borderId="43" xfId="0" applyNumberFormat="1" applyFont="1" applyBorder="1" applyAlignment="1">
      <alignment horizontal="center"/>
    </xf>
    <xf numFmtId="0" fontId="55" fillId="0" borderId="5" xfId="0" applyFont="1" applyBorder="1" applyAlignment="1">
      <alignment horizontal="center"/>
    </xf>
    <xf numFmtId="0" fontId="55" fillId="0" borderId="5" xfId="0" applyFont="1" applyBorder="1" applyAlignment="1" applyProtection="1">
      <alignment horizontal="center"/>
      <protection locked="0"/>
    </xf>
    <xf numFmtId="0" fontId="55" fillId="0" borderId="42" xfId="0" applyFont="1" applyBorder="1" applyAlignment="1">
      <alignment horizontal="center"/>
    </xf>
    <xf numFmtId="0" fontId="54" fillId="0" borderId="0" xfId="0" applyFont="1" applyAlignment="1">
      <alignment horizontal="center"/>
    </xf>
    <xf numFmtId="0" fontId="56" fillId="0" borderId="0" xfId="0" applyFont="1"/>
    <xf numFmtId="0" fontId="57" fillId="0" borderId="0" xfId="0" applyFont="1" applyProtection="1">
      <protection locked="0"/>
    </xf>
    <xf numFmtId="0" fontId="54" fillId="0" borderId="0" xfId="0" applyFont="1"/>
    <xf numFmtId="49" fontId="54" fillId="0" borderId="6" xfId="0" applyNumberFormat="1" applyFont="1" applyBorder="1" applyAlignment="1">
      <alignment horizontal="left"/>
    </xf>
    <xf numFmtId="0" fontId="54" fillId="0" borderId="2" xfId="0" applyFont="1" applyBorder="1"/>
    <xf numFmtId="0" fontId="54" fillId="0" borderId="2" xfId="0" applyFont="1" applyBorder="1" applyAlignment="1" applyProtection="1">
      <alignment horizontal="center"/>
      <protection locked="0"/>
    </xf>
    <xf numFmtId="49" fontId="54" fillId="0" borderId="3" xfId="0" applyNumberFormat="1" applyFont="1" applyBorder="1" applyAlignment="1">
      <alignment horizontal="center"/>
    </xf>
    <xf numFmtId="171" fontId="57" fillId="0" borderId="0" xfId="0" applyNumberFormat="1" applyFont="1" applyAlignment="1" applyProtection="1">
      <alignment horizontal="left"/>
      <protection locked="0"/>
    </xf>
    <xf numFmtId="0" fontId="54" fillId="0" borderId="43" xfId="0" applyFont="1" applyBorder="1" applyAlignment="1">
      <alignment horizontal="center"/>
    </xf>
    <xf numFmtId="0" fontId="54" fillId="0" borderId="5" xfId="0" applyFont="1" applyBorder="1" applyAlignment="1">
      <alignment horizontal="center"/>
    </xf>
    <xf numFmtId="0" fontId="54" fillId="0" borderId="42" xfId="0" applyFont="1" applyBorder="1"/>
    <xf numFmtId="0" fontId="54" fillId="0" borderId="6" xfId="0" applyFont="1" applyBorder="1" applyProtection="1">
      <protection locked="0"/>
    </xf>
    <xf numFmtId="0" fontId="54" fillId="0" borderId="2" xfId="0" applyFont="1" applyBorder="1" applyProtection="1">
      <protection locked="0"/>
    </xf>
    <xf numFmtId="49" fontId="54" fillId="0" borderId="3" xfId="0" applyNumberFormat="1" applyFont="1" applyBorder="1" applyAlignment="1" applyProtection="1">
      <alignment horizontal="center"/>
      <protection locked="0"/>
    </xf>
    <xf numFmtId="0" fontId="54" fillId="0" borderId="44" xfId="0" applyFont="1" applyBorder="1" applyProtection="1">
      <protection locked="0"/>
    </xf>
    <xf numFmtId="0" fontId="54" fillId="0" borderId="4" xfId="0" applyFont="1" applyBorder="1" applyProtection="1">
      <protection locked="0"/>
    </xf>
    <xf numFmtId="49" fontId="54" fillId="0" borderId="45" xfId="0" applyNumberFormat="1" applyFont="1" applyBorder="1" applyAlignment="1" applyProtection="1">
      <alignment horizontal="center"/>
      <protection locked="0"/>
    </xf>
    <xf numFmtId="14" fontId="54" fillId="0" borderId="2" xfId="0" applyNumberFormat="1" applyFont="1" applyBorder="1" applyAlignment="1">
      <alignment horizontal="center"/>
    </xf>
    <xf numFmtId="49" fontId="54" fillId="0" borderId="2" xfId="0" applyNumberFormat="1" applyFont="1" applyBorder="1" applyAlignment="1" applyProtection="1">
      <alignment horizontal="center"/>
      <protection locked="0"/>
    </xf>
    <xf numFmtId="0" fontId="54" fillId="0" borderId="0" xfId="0" applyFont="1" applyProtection="1">
      <protection locked="0"/>
    </xf>
    <xf numFmtId="49" fontId="54" fillId="0" borderId="0" xfId="0" applyNumberFormat="1" applyFont="1" applyAlignment="1" applyProtection="1">
      <alignment horizontal="center"/>
      <protection locked="0"/>
    </xf>
    <xf numFmtId="49" fontId="54" fillId="0" borderId="0" xfId="0" applyNumberFormat="1" applyFont="1" applyAlignment="1">
      <alignment horizontal="left"/>
    </xf>
    <xf numFmtId="0" fontId="54" fillId="0" borderId="0" xfId="0" applyFont="1" applyAlignment="1" applyProtection="1">
      <alignment horizontal="center"/>
      <protection locked="0"/>
    </xf>
    <xf numFmtId="0" fontId="55" fillId="0" borderId="0" xfId="2" applyFont="1" applyAlignment="1">
      <alignment horizontal="centerContinuous"/>
    </xf>
    <xf numFmtId="0" fontId="59" fillId="0" borderId="0" xfId="2" applyFont="1" applyAlignment="1">
      <alignment horizontal="centerContinuous"/>
    </xf>
    <xf numFmtId="0" fontId="59" fillId="0" borderId="1" xfId="2" applyFont="1" applyBorder="1" applyAlignment="1">
      <alignment horizontal="centerContinuous"/>
    </xf>
    <xf numFmtId="166" fontId="54" fillId="0" borderId="0" xfId="0" applyNumberFormat="1" applyFont="1" applyAlignment="1" applyProtection="1">
      <alignment horizontal="centerContinuous" vertical="center"/>
      <protection locked="0"/>
    </xf>
    <xf numFmtId="0" fontId="55" fillId="0" borderId="43" xfId="2" applyFont="1" applyBorder="1" applyAlignment="1">
      <alignment horizontal="center" vertical="center" wrapText="1"/>
    </xf>
    <xf numFmtId="0" fontId="55" fillId="0" borderId="5" xfId="2" applyFont="1" applyBorder="1" applyAlignment="1">
      <alignment horizontal="center" vertical="center" wrapText="1"/>
    </xf>
    <xf numFmtId="0" fontId="55" fillId="0" borderId="42" xfId="2" applyFont="1" applyBorder="1" applyAlignment="1">
      <alignment horizontal="center" vertical="center" wrapText="1"/>
    </xf>
    <xf numFmtId="0" fontId="54" fillId="0" borderId="6" xfId="2" applyFont="1" applyBorder="1" applyAlignment="1">
      <alignment horizontal="left"/>
    </xf>
    <xf numFmtId="49" fontId="54" fillId="0" borderId="2" xfId="2" applyNumberFormat="1" applyFont="1" applyBorder="1" applyAlignment="1">
      <alignment horizontal="center"/>
    </xf>
    <xf numFmtId="0" fontId="54" fillId="0" borderId="2" xfId="1" applyNumberFormat="1" applyFont="1" applyBorder="1" applyAlignment="1" applyProtection="1">
      <alignment horizontal="center"/>
    </xf>
    <xf numFmtId="164" fontId="54" fillId="0" borderId="2" xfId="1" applyFont="1" applyBorder="1" applyAlignment="1" applyProtection="1">
      <alignment horizontal="center"/>
      <protection locked="0"/>
    </xf>
    <xf numFmtId="164" fontId="54" fillId="0" borderId="2" xfId="3" applyFont="1" applyBorder="1" applyAlignment="1" applyProtection="1">
      <alignment horizontal="center"/>
      <protection locked="0"/>
    </xf>
    <xf numFmtId="164" fontId="54" fillId="0" borderId="3" xfId="3" applyFont="1" applyBorder="1" applyAlignment="1" applyProtection="1">
      <alignment horizontal="center"/>
    </xf>
    <xf numFmtId="49" fontId="54" fillId="0" borderId="4" xfId="2" applyNumberFormat="1" applyFont="1" applyBorder="1" applyAlignment="1">
      <alignment horizontal="center"/>
    </xf>
    <xf numFmtId="49" fontId="54" fillId="0" borderId="4" xfId="2" applyNumberFormat="1" applyFont="1" applyBorder="1" applyAlignment="1" applyProtection="1">
      <alignment horizontal="center"/>
      <protection locked="0"/>
    </xf>
    <xf numFmtId="0" fontId="59" fillId="0" borderId="0" xfId="2" applyFont="1"/>
    <xf numFmtId="49" fontId="60" fillId="0" borderId="0" xfId="2" applyNumberFormat="1" applyFont="1" applyAlignment="1">
      <alignment horizontal="centerContinuous"/>
    </xf>
    <xf numFmtId="0" fontId="60" fillId="0" borderId="0" xfId="2" applyFont="1" applyAlignment="1">
      <alignment horizontal="centerContinuous"/>
    </xf>
    <xf numFmtId="0" fontId="54" fillId="0" borderId="0" xfId="2" applyFont="1" applyAlignment="1">
      <alignment horizontal="centerContinuous"/>
    </xf>
    <xf numFmtId="49" fontId="59" fillId="0" borderId="0" xfId="2" applyNumberFormat="1" applyFont="1" applyAlignment="1">
      <alignment horizontal="centerContinuous"/>
    </xf>
    <xf numFmtId="169" fontId="55" fillId="0" borderId="0" xfId="0" applyNumberFormat="1" applyFont="1" applyAlignment="1">
      <alignment horizontal="centerContinuous"/>
    </xf>
    <xf numFmtId="0" fontId="59" fillId="0" borderId="0" xfId="2" quotePrefix="1" applyFont="1" applyAlignment="1">
      <alignment horizontal="centerContinuous"/>
    </xf>
    <xf numFmtId="0" fontId="61" fillId="0" borderId="0" xfId="2" applyFont="1" applyAlignment="1">
      <alignment horizontal="centerContinuous"/>
    </xf>
    <xf numFmtId="0" fontId="59" fillId="0" borderId="0" xfId="2" quotePrefix="1" applyFont="1" applyAlignment="1">
      <alignment horizontal="left"/>
    </xf>
    <xf numFmtId="0" fontId="54" fillId="0" borderId="44" xfId="2" applyFont="1" applyBorder="1" applyAlignment="1">
      <alignment horizontal="left" indent="1" shrinkToFit="1"/>
    </xf>
    <xf numFmtId="49" fontId="54" fillId="0" borderId="4" xfId="0" applyNumberFormat="1" applyFont="1" applyBorder="1" applyAlignment="1">
      <alignment horizontal="center"/>
    </xf>
    <xf numFmtId="0" fontId="54" fillId="0" borderId="4" xfId="1" applyNumberFormat="1" applyFont="1" applyFill="1" applyBorder="1" applyAlignment="1" applyProtection="1">
      <alignment horizontal="center"/>
    </xf>
    <xf numFmtId="164" fontId="54" fillId="0" borderId="4" xfId="1" applyFont="1" applyFill="1" applyBorder="1" applyAlignment="1" applyProtection="1">
      <alignment horizontal="center"/>
    </xf>
    <xf numFmtId="49" fontId="54" fillId="0" borderId="44" xfId="2" applyNumberFormat="1" applyFont="1" applyBorder="1" applyAlignment="1">
      <alignment horizontal="center"/>
    </xf>
    <xf numFmtId="0" fontId="54" fillId="0" borderId="23" xfId="2" applyFont="1" applyBorder="1" applyAlignment="1">
      <alignment horizontal="left" indent="1" shrinkToFit="1"/>
    </xf>
    <xf numFmtId="49" fontId="59" fillId="0" borderId="0" xfId="2" applyNumberFormat="1" applyFont="1"/>
    <xf numFmtId="164" fontId="54" fillId="0" borderId="4" xfId="3" applyFont="1" applyFill="1" applyBorder="1" applyAlignment="1" applyProtection="1">
      <alignment horizontal="center"/>
    </xf>
    <xf numFmtId="164" fontId="54" fillId="0" borderId="45" xfId="1" applyFont="1" applyFill="1" applyBorder="1" applyAlignment="1" applyProtection="1">
      <alignment horizontal="center"/>
    </xf>
    <xf numFmtId="164" fontId="59" fillId="0" borderId="0" xfId="1" applyFont="1" applyProtection="1"/>
    <xf numFmtId="0" fontId="54" fillId="0" borderId="2" xfId="2" applyFont="1" applyBorder="1" applyAlignment="1">
      <alignment horizontal="left" indent="1" shrinkToFit="1"/>
    </xf>
    <xf numFmtId="49" fontId="54" fillId="0" borderId="2" xfId="0" applyNumberFormat="1" applyFont="1" applyBorder="1" applyAlignment="1">
      <alignment horizontal="center"/>
    </xf>
    <xf numFmtId="0" fontId="54" fillId="0" borderId="2" xfId="1" applyNumberFormat="1" applyFont="1" applyFill="1" applyBorder="1" applyAlignment="1" applyProtection="1">
      <alignment horizontal="center"/>
    </xf>
    <xf numFmtId="164" fontId="54" fillId="0" borderId="2" xfId="1" applyFont="1" applyFill="1" applyBorder="1" applyAlignment="1" applyProtection="1">
      <alignment horizontal="center"/>
    </xf>
    <xf numFmtId="164" fontId="54" fillId="0" borderId="2" xfId="3" applyFont="1" applyFill="1" applyBorder="1" applyAlignment="1" applyProtection="1">
      <alignment horizontal="center"/>
    </xf>
    <xf numFmtId="49" fontId="54" fillId="0" borderId="6" xfId="2" applyNumberFormat="1" applyFont="1" applyBorder="1" applyAlignment="1">
      <alignment horizontal="center"/>
    </xf>
    <xf numFmtId="164" fontId="54" fillId="0" borderId="0" xfId="1" applyFont="1" applyProtection="1"/>
    <xf numFmtId="49" fontId="64" fillId="0" borderId="6" xfId="0" applyNumberFormat="1" applyFont="1" applyBorder="1" applyAlignment="1">
      <alignment horizontal="left"/>
    </xf>
    <xf numFmtId="49" fontId="64" fillId="0" borderId="6" xfId="2" applyNumberFormat="1" applyFont="1" applyBorder="1" applyAlignment="1">
      <alignment horizontal="center"/>
    </xf>
    <xf numFmtId="0" fontId="64" fillId="0" borderId="2" xfId="1" applyNumberFormat="1" applyFont="1" applyFill="1" applyBorder="1" applyAlignment="1" applyProtection="1">
      <alignment horizontal="center"/>
    </xf>
    <xf numFmtId="164" fontId="64" fillId="0" borderId="2" xfId="1" applyFont="1" applyFill="1" applyBorder="1" applyAlignment="1" applyProtection="1">
      <alignment horizontal="center"/>
    </xf>
    <xf numFmtId="164" fontId="64" fillId="0" borderId="2" xfId="3" applyFont="1" applyFill="1" applyBorder="1" applyAlignment="1" applyProtection="1">
      <alignment horizontal="center"/>
    </xf>
    <xf numFmtId="0" fontId="64" fillId="0" borderId="2" xfId="2" applyFont="1" applyBorder="1" applyAlignment="1">
      <alignment horizontal="left" indent="1" shrinkToFit="1"/>
    </xf>
    <xf numFmtId="49" fontId="64" fillId="0" borderId="44" xfId="2" applyNumberFormat="1" applyFont="1" applyBorder="1" applyAlignment="1">
      <alignment horizontal="center"/>
    </xf>
    <xf numFmtId="0" fontId="64" fillId="0" borderId="4" xfId="1" applyNumberFormat="1" applyFont="1" applyFill="1" applyBorder="1" applyAlignment="1" applyProtection="1">
      <alignment horizontal="center"/>
    </xf>
    <xf numFmtId="164" fontId="64" fillId="0" borderId="4" xfId="1" applyFont="1" applyFill="1" applyBorder="1" applyAlignment="1" applyProtection="1">
      <alignment horizontal="center"/>
    </xf>
    <xf numFmtId="164" fontId="0" fillId="0" borderId="4" xfId="1" applyFont="1" applyFill="1" applyBorder="1" applyAlignment="1" applyProtection="1">
      <alignment horizontal="center"/>
    </xf>
    <xf numFmtId="164" fontId="0" fillId="0" borderId="4" xfId="3" applyFont="1" applyFill="1" applyBorder="1" applyAlignment="1" applyProtection="1">
      <alignment horizontal="center"/>
    </xf>
    <xf numFmtId="164" fontId="64" fillId="0" borderId="4" xfId="3" applyFont="1" applyFill="1" applyBorder="1" applyAlignment="1" applyProtection="1">
      <alignment horizontal="center"/>
    </xf>
    <xf numFmtId="164" fontId="64" fillId="0" borderId="45" xfId="1" applyFont="1" applyFill="1" applyBorder="1" applyAlignment="1" applyProtection="1">
      <alignment horizontal="center"/>
    </xf>
    <xf numFmtId="0" fontId="64" fillId="0" borderId="44" xfId="2" applyFont="1" applyBorder="1" applyAlignment="1">
      <alignment horizontal="left" indent="1" shrinkToFit="1"/>
    </xf>
    <xf numFmtId="0" fontId="64" fillId="0" borderId="4" xfId="1" applyNumberFormat="1" applyFont="1" applyFill="1" applyBorder="1" applyAlignment="1" applyProtection="1">
      <alignment horizontal="left" indent="1"/>
    </xf>
    <xf numFmtId="164" fontId="64" fillId="0" borderId="4" xfId="1" applyFont="1" applyFill="1" applyBorder="1" applyAlignment="1" applyProtection="1">
      <alignment horizontal="left" indent="1"/>
    </xf>
    <xf numFmtId="164" fontId="0" fillId="0" borderId="4" xfId="1" applyFont="1" applyFill="1" applyBorder="1" applyAlignment="1" applyProtection="1">
      <alignment horizontal="left" indent="1"/>
    </xf>
    <xf numFmtId="164" fontId="0" fillId="0" borderId="4" xfId="3" applyFont="1" applyFill="1" applyBorder="1" applyAlignment="1" applyProtection="1">
      <alignment horizontal="left" indent="1"/>
    </xf>
    <xf numFmtId="164" fontId="64" fillId="0" borderId="4" xfId="3" applyFont="1" applyFill="1" applyBorder="1" applyAlignment="1" applyProtection="1">
      <alignment horizontal="left" indent="1"/>
    </xf>
    <xf numFmtId="164" fontId="64" fillId="0" borderId="45" xfId="1" applyFont="1" applyFill="1" applyBorder="1" applyAlignment="1" applyProtection="1">
      <alignment horizontal="left" indent="1"/>
    </xf>
    <xf numFmtId="0" fontId="64" fillId="0" borderId="4" xfId="0" applyFont="1" applyBorder="1" applyAlignment="1">
      <alignment horizontal="left" shrinkToFit="1"/>
    </xf>
    <xf numFmtId="0" fontId="64" fillId="0" borderId="4" xfId="0" applyFont="1" applyBorder="1" applyAlignment="1">
      <alignment horizontal="center"/>
    </xf>
    <xf numFmtId="164" fontId="64" fillId="0" borderId="4" xfId="0" applyNumberFormat="1" applyFont="1" applyBorder="1" applyAlignment="1">
      <alignment horizontal="center"/>
    </xf>
    <xf numFmtId="0" fontId="64" fillId="0" borderId="2" xfId="1" applyNumberFormat="1" applyFont="1" applyFill="1" applyBorder="1" applyAlignment="1" applyProtection="1">
      <alignment horizontal="left" indent="1"/>
    </xf>
    <xf numFmtId="164" fontId="64" fillId="0" borderId="2" xfId="1" applyFont="1" applyFill="1" applyBorder="1" applyAlignment="1" applyProtection="1">
      <alignment horizontal="left" indent="1"/>
    </xf>
    <xf numFmtId="164" fontId="64" fillId="0" borderId="2" xfId="3" applyFont="1" applyFill="1" applyBorder="1" applyAlignment="1" applyProtection="1">
      <alignment horizontal="left" indent="1"/>
    </xf>
    <xf numFmtId="0" fontId="64" fillId="0" borderId="44" xfId="0" applyFont="1" applyBorder="1" applyAlignment="1">
      <alignment horizontal="left" shrinkToFit="1"/>
    </xf>
    <xf numFmtId="0" fontId="64" fillId="0" borderId="44" xfId="0" applyFont="1" applyBorder="1" applyAlignment="1">
      <alignment horizontal="center"/>
    </xf>
    <xf numFmtId="164" fontId="0" fillId="0" borderId="4" xfId="0" applyNumberFormat="1" applyBorder="1" applyAlignment="1">
      <alignment horizontal="center"/>
    </xf>
    <xf numFmtId="164" fontId="0" fillId="0" borderId="45" xfId="0" applyNumberFormat="1" applyBorder="1" applyAlignment="1">
      <alignment horizontal="center"/>
    </xf>
    <xf numFmtId="164" fontId="2" fillId="0" borderId="2" xfId="1" quotePrefix="1" applyFont="1" applyBorder="1" applyAlignment="1" applyProtection="1">
      <protection locked="0"/>
    </xf>
    <xf numFmtId="0" fontId="18" fillId="0" borderId="2" xfId="0" applyFont="1" applyBorder="1" applyProtection="1">
      <protection locked="0"/>
    </xf>
    <xf numFmtId="49" fontId="2" fillId="0" borderId="4" xfId="0" applyNumberFormat="1" applyFont="1" applyBorder="1" applyAlignment="1" applyProtection="1">
      <alignment horizontal="center" vertical="center" shrinkToFit="1"/>
      <protection locked="0"/>
    </xf>
    <xf numFmtId="49" fontId="2" fillId="0" borderId="4" xfId="0" applyNumberFormat="1" applyFont="1" applyBorder="1" applyAlignment="1" applyProtection="1">
      <alignment horizontal="center" vertical="center"/>
      <protection locked="0"/>
    </xf>
    <xf numFmtId="49" fontId="28" fillId="0" borderId="4" xfId="0" applyNumberFormat="1" applyFont="1" applyBorder="1" applyAlignment="1" applyProtection="1">
      <alignment horizontal="justify" vertical="center" wrapText="1"/>
      <protection locked="0"/>
    </xf>
    <xf numFmtId="49" fontId="2" fillId="0" borderId="4" xfId="1" applyNumberFormat="1" applyFont="1" applyBorder="1" applyAlignment="1" applyProtection="1">
      <alignment horizontal="center" vertical="center"/>
      <protection locked="0"/>
    </xf>
    <xf numFmtId="164" fontId="2" fillId="0" borderId="4" xfId="1" applyFont="1" applyBorder="1" applyAlignment="1" applyProtection="1">
      <alignment vertical="center"/>
      <protection locked="0"/>
    </xf>
    <xf numFmtId="164" fontId="2" fillId="0" borderId="2" xfId="1" applyFont="1" applyFill="1" applyBorder="1" applyAlignment="1" applyProtection="1">
      <protection locked="0"/>
    </xf>
    <xf numFmtId="49" fontId="0" fillId="0" borderId="2" xfId="0" applyNumberFormat="1" applyBorder="1" applyAlignment="1" applyProtection="1">
      <alignment horizontal="left" vertical="center" wrapText="1" shrinkToFit="1"/>
      <protection locked="0"/>
    </xf>
    <xf numFmtId="49" fontId="54" fillId="0" borderId="2" xfId="2" applyNumberFormat="1" applyFont="1" applyBorder="1" applyAlignment="1" applyProtection="1">
      <alignment horizontal="center"/>
      <protection locked="0"/>
    </xf>
    <xf numFmtId="173" fontId="0" fillId="0" borderId="44" xfId="0" applyNumberFormat="1" applyBorder="1" applyAlignment="1">
      <alignment horizontal="center" vertical="center"/>
    </xf>
    <xf numFmtId="0" fontId="3" fillId="8" borderId="4" xfId="0" applyFont="1" applyFill="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xf>
    <xf numFmtId="164" fontId="2" fillId="0" borderId="4" xfId="0" applyNumberFormat="1" applyFont="1" applyBorder="1" applyAlignment="1">
      <alignment vertical="center"/>
    </xf>
    <xf numFmtId="49" fontId="3" fillId="0" borderId="4" xfId="0" applyNumberFormat="1" applyFont="1" applyBorder="1" applyAlignment="1">
      <alignment horizontal="center" vertical="center"/>
    </xf>
    <xf numFmtId="164" fontId="2" fillId="8" borderId="45" xfId="0" applyNumberFormat="1" applyFont="1" applyFill="1" applyBorder="1" applyAlignment="1">
      <alignment vertical="center"/>
    </xf>
    <xf numFmtId="0" fontId="0" fillId="8" borderId="2" xfId="0" applyFill="1" applyBorder="1" applyAlignment="1">
      <alignment vertical="center" shrinkToFit="1"/>
    </xf>
    <xf numFmtId="0" fontId="2" fillId="0" borderId="0" xfId="0" applyFont="1" applyAlignment="1">
      <alignment vertical="center"/>
    </xf>
    <xf numFmtId="0" fontId="0" fillId="8" borderId="2" xfId="0" applyFill="1" applyBorder="1" applyAlignment="1">
      <alignment horizontal="left" vertical="center" shrinkToFit="1"/>
    </xf>
    <xf numFmtId="0" fontId="2" fillId="0" borderId="0" xfId="0" applyFont="1" applyAlignment="1">
      <alignment horizontal="left" vertical="center"/>
    </xf>
    <xf numFmtId="164" fontId="59" fillId="0" borderId="0" xfId="2" applyNumberFormat="1" applyFont="1"/>
    <xf numFmtId="43" fontId="59" fillId="0" borderId="0" xfId="2" applyNumberFormat="1" applyFont="1"/>
    <xf numFmtId="49" fontId="2" fillId="0" borderId="44" xfId="0" applyNumberFormat="1" applyFont="1" applyBorder="1" applyAlignment="1" applyProtection="1">
      <alignment horizontal="center"/>
      <protection locked="0"/>
    </xf>
    <xf numFmtId="49" fontId="2" fillId="0" borderId="4" xfId="0" applyNumberFormat="1" applyFont="1" applyBorder="1" applyAlignment="1" applyProtection="1">
      <alignment horizontal="left" shrinkToFit="1"/>
      <protection locked="0"/>
    </xf>
    <xf numFmtId="0" fontId="54" fillId="0" borderId="40" xfId="0" applyFont="1" applyBorder="1" applyAlignment="1">
      <alignment horizontal="center"/>
    </xf>
    <xf numFmtId="49" fontId="65" fillId="8" borderId="4" xfId="0" applyNumberFormat="1" applyFont="1" applyFill="1" applyBorder="1" applyAlignment="1" applyProtection="1">
      <alignment horizontal="center" vertical="center"/>
      <protection locked="0"/>
    </xf>
    <xf numFmtId="0" fontId="0" fillId="0" borderId="4" xfId="0" applyBorder="1" applyAlignment="1">
      <alignment horizontal="center" vertical="center"/>
    </xf>
    <xf numFmtId="0" fontId="0" fillId="0" borderId="4" xfId="0" applyBorder="1" applyAlignment="1">
      <alignment vertical="center"/>
    </xf>
    <xf numFmtId="164" fontId="0" fillId="0" borderId="4" xfId="0" applyNumberFormat="1" applyBorder="1" applyAlignment="1">
      <alignment vertical="center"/>
    </xf>
    <xf numFmtId="49" fontId="65" fillId="0" borderId="4" xfId="0" applyNumberFormat="1" applyFont="1" applyBorder="1" applyAlignment="1">
      <alignment horizontal="center" vertical="center"/>
    </xf>
    <xf numFmtId="164" fontId="0" fillId="8" borderId="45" xfId="0" applyNumberFormat="1" applyFill="1" applyBorder="1" applyAlignment="1">
      <alignment vertical="center"/>
    </xf>
    <xf numFmtId="0" fontId="65" fillId="8" borderId="4" xfId="0" applyFont="1" applyFill="1" applyBorder="1" applyAlignment="1">
      <alignment horizontal="center" vertical="center"/>
    </xf>
    <xf numFmtId="0" fontId="65" fillId="0" borderId="4" xfId="0" quotePrefix="1" applyFont="1" applyBorder="1" applyAlignment="1">
      <alignment horizontal="center" vertical="center"/>
    </xf>
    <xf numFmtId="49" fontId="65" fillId="0" borderId="4" xfId="0" quotePrefix="1" applyNumberFormat="1" applyFont="1" applyBorder="1" applyAlignment="1">
      <alignment horizontal="center" vertical="center"/>
    </xf>
    <xf numFmtId="0" fontId="65" fillId="0" borderId="4" xfId="0" applyFont="1" applyBorder="1" applyAlignment="1">
      <alignment horizontal="center" vertical="center"/>
    </xf>
    <xf numFmtId="49" fontId="3" fillId="0" borderId="2" xfId="1" quotePrefix="1" applyNumberFormat="1" applyFont="1" applyBorder="1" applyAlignment="1" applyProtection="1">
      <alignment horizontal="center" vertical="center"/>
      <protection locked="0"/>
    </xf>
    <xf numFmtId="164" fontId="4" fillId="0" borderId="0" xfId="2" applyNumberFormat="1"/>
    <xf numFmtId="43" fontId="4" fillId="0" borderId="0" xfId="2" applyNumberFormat="1"/>
    <xf numFmtId="0" fontId="0" fillId="0" borderId="4" xfId="0" applyBorder="1" applyAlignment="1">
      <alignment shrinkToFit="1"/>
    </xf>
    <xf numFmtId="0" fontId="2" fillId="8" borderId="2" xfId="0" applyFont="1" applyFill="1" applyBorder="1" applyAlignment="1">
      <alignment vertical="center" shrinkToFit="1"/>
    </xf>
    <xf numFmtId="0" fontId="2" fillId="8" borderId="4" xfId="0" applyFont="1" applyFill="1" applyBorder="1" applyAlignment="1">
      <alignment vertical="center" wrapText="1" shrinkToFit="1"/>
    </xf>
    <xf numFmtId="191" fontId="2" fillId="0" borderId="0" xfId="0" applyNumberFormat="1" applyFont="1" applyAlignment="1" applyProtection="1">
      <alignment vertical="center"/>
      <protection locked="0"/>
    </xf>
    <xf numFmtId="49" fontId="2" fillId="0" borderId="0" xfId="0" applyNumberFormat="1" applyFont="1" applyAlignment="1" applyProtection="1">
      <alignment vertical="center"/>
      <protection locked="0"/>
    </xf>
    <xf numFmtId="49" fontId="2" fillId="0" borderId="0" xfId="0" applyNumberFormat="1" applyFont="1" applyAlignment="1" applyProtection="1">
      <alignment horizontal="center" vertical="center"/>
      <protection locked="0"/>
    </xf>
    <xf numFmtId="49" fontId="2" fillId="0" borderId="0" xfId="1" applyNumberFormat="1" applyFont="1" applyAlignment="1" applyProtection="1">
      <alignment horizontal="center" vertical="center"/>
      <protection locked="0"/>
    </xf>
    <xf numFmtId="164" fontId="2" fillId="0" borderId="0" xfId="1" applyFont="1" applyFill="1" applyAlignment="1" applyProtection="1">
      <alignment vertical="center"/>
      <protection locked="0"/>
    </xf>
    <xf numFmtId="0" fontId="62" fillId="0" borderId="0" xfId="0" applyFont="1" applyAlignment="1">
      <alignment vertical="center"/>
    </xf>
    <xf numFmtId="49" fontId="2" fillId="0" borderId="0" xfId="0" applyNumberFormat="1" applyFont="1" applyAlignment="1" applyProtection="1">
      <alignment horizontal="centerContinuous" wrapText="1"/>
      <protection locked="0"/>
    </xf>
    <xf numFmtId="49" fontId="2" fillId="0" borderId="0" xfId="0" applyNumberFormat="1" applyFont="1" applyAlignment="1" applyProtection="1">
      <alignment horizontal="center" wrapText="1"/>
      <protection locked="0"/>
    </xf>
    <xf numFmtId="191" fontId="2" fillId="0" borderId="44" xfId="0" applyNumberFormat="1" applyFont="1" applyBorder="1" applyAlignment="1" applyProtection="1">
      <alignment horizontal="center" vertical="center"/>
      <protection locked="0"/>
    </xf>
    <xf numFmtId="39" fontId="66" fillId="0" borderId="3" xfId="0" applyNumberFormat="1" applyFont="1" applyBorder="1" applyAlignment="1">
      <alignment vertical="center"/>
    </xf>
    <xf numFmtId="191" fontId="2" fillId="0" borderId="2" xfId="0" applyNumberFormat="1" applyFont="1" applyBorder="1" applyAlignment="1" applyProtection="1">
      <alignment horizontal="center"/>
      <protection locked="0"/>
    </xf>
    <xf numFmtId="49" fontId="0" fillId="0" borderId="2" xfId="0" applyNumberFormat="1" applyBorder="1" applyAlignment="1" applyProtection="1">
      <alignment horizontal="center"/>
      <protection locked="0"/>
    </xf>
    <xf numFmtId="49" fontId="0" fillId="0" borderId="4" xfId="0" applyNumberFormat="1" applyBorder="1" applyAlignment="1" applyProtection="1">
      <alignment horizontal="center" shrinkToFit="1"/>
      <protection locked="0"/>
    </xf>
    <xf numFmtId="49" fontId="0" fillId="0" borderId="4" xfId="0" applyNumberFormat="1" applyBorder="1" applyAlignment="1" applyProtection="1">
      <alignment horizontal="center"/>
      <protection locked="0"/>
    </xf>
    <xf numFmtId="191" fontId="0" fillId="0" borderId="2" xfId="0" applyNumberFormat="1" applyBorder="1" applyAlignment="1" applyProtection="1">
      <alignment horizontal="center" vertical="center" shrinkToFit="1"/>
      <protection locked="0"/>
    </xf>
    <xf numFmtId="173" fontId="0" fillId="0" borderId="6" xfId="0" applyNumberFormat="1" applyBorder="1" applyAlignment="1">
      <alignment horizontal="center" vertical="center"/>
    </xf>
    <xf numFmtId="164" fontId="2" fillId="0" borderId="2" xfId="0" applyNumberFormat="1" applyFont="1" applyBorder="1" applyAlignment="1">
      <alignment vertical="center"/>
    </xf>
    <xf numFmtId="164" fontId="2" fillId="8" borderId="3" xfId="0" applyNumberFormat="1" applyFont="1" applyFill="1" applyBorder="1" applyAlignment="1">
      <alignment vertical="center"/>
    </xf>
    <xf numFmtId="0" fontId="3" fillId="0" borderId="4" xfId="0" applyFont="1" applyBorder="1" applyAlignment="1">
      <alignment horizontal="center" vertical="center"/>
    </xf>
    <xf numFmtId="0" fontId="3" fillId="0" borderId="2" xfId="0" quotePrefix="1" applyFont="1" applyBorder="1" applyAlignment="1">
      <alignment horizontal="center" vertical="center"/>
    </xf>
    <xf numFmtId="0" fontId="3" fillId="0" borderId="4" xfId="0" quotePrefix="1" applyFont="1" applyBorder="1" applyAlignment="1">
      <alignment horizontal="center" vertical="center"/>
    </xf>
    <xf numFmtId="173" fontId="0" fillId="0" borderId="0" xfId="0" applyNumberFormat="1" applyAlignment="1">
      <alignment horizontal="center" vertical="center"/>
    </xf>
    <xf numFmtId="49" fontId="3" fillId="0" borderId="4" xfId="0" quotePrefix="1" applyNumberFormat="1" applyFont="1" applyBorder="1" applyAlignment="1">
      <alignment horizontal="center" vertical="center"/>
    </xf>
    <xf numFmtId="0" fontId="54" fillId="0" borderId="0" xfId="2" applyFont="1"/>
    <xf numFmtId="0" fontId="67" fillId="0" borderId="0" xfId="2" applyFont="1"/>
    <xf numFmtId="0" fontId="54" fillId="0" borderId="0" xfId="2" applyFont="1" applyAlignment="1">
      <alignment horizontal="left"/>
    </xf>
    <xf numFmtId="0" fontId="55" fillId="0" borderId="0" xfId="2" applyFont="1" applyAlignment="1">
      <alignment horizontal="left" indent="5"/>
    </xf>
    <xf numFmtId="0" fontId="54" fillId="0" borderId="0" xfId="2" applyFont="1" applyAlignment="1">
      <alignment horizontal="left" indent="5"/>
    </xf>
    <xf numFmtId="0" fontId="55" fillId="0" borderId="0" xfId="2" applyFont="1" applyAlignment="1">
      <alignment horizontal="left" indent="7"/>
    </xf>
    <xf numFmtId="0" fontId="54" fillId="0" borderId="0" xfId="2" applyFont="1" applyAlignment="1">
      <alignment horizontal="left" indent="8"/>
    </xf>
    <xf numFmtId="0" fontId="68" fillId="0" borderId="0" xfId="2" applyFont="1" applyAlignment="1">
      <alignment horizontal="centerContinuous"/>
    </xf>
    <xf numFmtId="0" fontId="55" fillId="0" borderId="0" xfId="2" applyFont="1" applyAlignment="1">
      <alignment horizontal="left"/>
    </xf>
    <xf numFmtId="164" fontId="4" fillId="0" borderId="14" xfId="1" applyFont="1" applyBorder="1" applyProtection="1"/>
    <xf numFmtId="0" fontId="54" fillId="0" borderId="0" xfId="2" applyFont="1" applyAlignment="1">
      <alignment horizontal="left" indent="6"/>
    </xf>
    <xf numFmtId="0" fontId="0" fillId="0" borderId="0" xfId="0" applyAlignment="1">
      <alignment horizontal="left" vertical="center"/>
    </xf>
    <xf numFmtId="49" fontId="2" fillId="0" borderId="0" xfId="0" applyNumberFormat="1" applyFont="1" applyAlignment="1" applyProtection="1">
      <alignment horizontal="left"/>
      <protection locked="0"/>
    </xf>
    <xf numFmtId="0" fontId="70" fillId="0" borderId="0" xfId="0" applyFont="1" applyAlignment="1">
      <alignment horizontal="centerContinuous" vertical="center"/>
    </xf>
    <xf numFmtId="0" fontId="71" fillId="0" borderId="0" xfId="0" applyFont="1" applyAlignment="1">
      <alignment horizontal="centerContinuous" vertical="center"/>
    </xf>
    <xf numFmtId="0" fontId="72" fillId="0" borderId="0" xfId="0" applyFont="1" applyAlignment="1">
      <alignment horizontal="centerContinuous" vertical="center"/>
    </xf>
    <xf numFmtId="172" fontId="74" fillId="0" borderId="0" xfId="0" applyNumberFormat="1" applyFont="1" applyAlignment="1">
      <alignment horizontal="centerContinuous" vertical="center"/>
    </xf>
    <xf numFmtId="0" fontId="63" fillId="0" borderId="0" xfId="0" applyFont="1" applyAlignment="1">
      <alignment horizontal="centerContinuous" vertical="center"/>
    </xf>
    <xf numFmtId="0" fontId="54" fillId="0" borderId="0" xfId="0" applyFont="1" applyAlignment="1">
      <alignment horizontal="centerContinuous" vertical="center"/>
    </xf>
    <xf numFmtId="0" fontId="54" fillId="0" borderId="0" xfId="0" applyFont="1" applyAlignment="1">
      <alignment vertical="center"/>
    </xf>
    <xf numFmtId="0" fontId="75" fillId="0" borderId="0" xfId="0" applyFont="1" applyAlignment="1">
      <alignment horizontal="centerContinuous" vertical="center"/>
    </xf>
    <xf numFmtId="172" fontId="76" fillId="0" borderId="0" xfId="0" applyNumberFormat="1" applyFont="1" applyAlignment="1">
      <alignment horizontal="centerContinuous" vertical="center"/>
    </xf>
    <xf numFmtId="49" fontId="78" fillId="0" borderId="0" xfId="0" applyNumberFormat="1" applyFont="1" applyAlignment="1">
      <alignment horizontal="centerContinuous" vertical="center"/>
    </xf>
    <xf numFmtId="49" fontId="55" fillId="0" borderId="0" xfId="0" applyNumberFormat="1" applyFont="1" applyAlignment="1">
      <alignment horizontal="centerContinuous" vertical="center"/>
    </xf>
    <xf numFmtId="191" fontId="69" fillId="0" borderId="0" xfId="0" applyNumberFormat="1" applyFont="1" applyAlignment="1">
      <alignment horizontal="centerContinuous" vertical="center"/>
    </xf>
    <xf numFmtId="49" fontId="80" fillId="0" borderId="0" xfId="0" applyNumberFormat="1" applyFont="1" applyAlignment="1" applyProtection="1">
      <alignment horizontal="centerContinuous"/>
      <protection locked="0"/>
    </xf>
    <xf numFmtId="49" fontId="80" fillId="0" borderId="0" xfId="0" applyNumberFormat="1" applyFont="1" applyAlignment="1" applyProtection="1">
      <alignment horizontal="centerContinuous" wrapText="1"/>
      <protection locked="0"/>
    </xf>
    <xf numFmtId="0" fontId="80" fillId="0" borderId="0" xfId="0" applyFont="1" applyAlignment="1">
      <alignment horizontal="centerContinuous"/>
    </xf>
    <xf numFmtId="49" fontId="80" fillId="0" borderId="0" xfId="1" applyNumberFormat="1" applyFont="1" applyAlignment="1" applyProtection="1">
      <alignment horizontal="centerContinuous"/>
      <protection locked="0"/>
    </xf>
    <xf numFmtId="164" fontId="80" fillId="0" borderId="0" xfId="1" applyFont="1" applyAlignment="1" applyProtection="1">
      <alignment horizontal="centerContinuous"/>
      <protection locked="0"/>
    </xf>
    <xf numFmtId="0" fontId="80" fillId="0" borderId="0" xfId="0" applyFont="1"/>
    <xf numFmtId="14" fontId="2" fillId="0" borderId="0" xfId="0" applyNumberFormat="1" applyFont="1" applyAlignment="1">
      <alignment horizontal="center"/>
    </xf>
    <xf numFmtId="0" fontId="82" fillId="8" borderId="2" xfId="0" applyFont="1" applyFill="1" applyBorder="1" applyAlignment="1">
      <alignment horizontal="center" vertical="center"/>
    </xf>
    <xf numFmtId="164" fontId="0" fillId="8" borderId="3" xfId="0" applyNumberFormat="1" applyFill="1" applyBorder="1" applyAlignment="1">
      <alignment vertical="center"/>
    </xf>
    <xf numFmtId="0" fontId="82" fillId="8" borderId="4" xfId="0" applyFont="1" applyFill="1" applyBorder="1" applyAlignment="1">
      <alignment horizontal="center" vertical="center"/>
    </xf>
    <xf numFmtId="0" fontId="54" fillId="0" borderId="0" xfId="0" applyFont="1" applyAlignment="1">
      <alignment horizontal="center" vertical="center"/>
    </xf>
    <xf numFmtId="0" fontId="83" fillId="0" borderId="6" xfId="2" applyFont="1" applyBorder="1" applyAlignment="1">
      <alignment horizontal="left"/>
    </xf>
    <xf numFmtId="49" fontId="83" fillId="0" borderId="2" xfId="2" applyNumberFormat="1" applyFont="1" applyBorder="1" applyAlignment="1">
      <alignment horizontal="center"/>
    </xf>
    <xf numFmtId="0" fontId="83" fillId="0" borderId="2" xfId="1" applyNumberFormat="1" applyFont="1" applyBorder="1" applyAlignment="1" applyProtection="1">
      <alignment horizontal="center"/>
    </xf>
    <xf numFmtId="164" fontId="83" fillId="0" borderId="2" xfId="3" applyFont="1" applyBorder="1" applyAlignment="1" applyProtection="1">
      <alignment horizontal="center"/>
      <protection locked="0"/>
    </xf>
    <xf numFmtId="164" fontId="83" fillId="0" borderId="2" xfId="1" applyFont="1" applyBorder="1" applyAlignment="1" applyProtection="1">
      <alignment horizontal="center"/>
      <protection locked="0"/>
    </xf>
    <xf numFmtId="164" fontId="83" fillId="0" borderId="3" xfId="3" applyFont="1" applyBorder="1" applyAlignment="1" applyProtection="1">
      <alignment horizontal="center"/>
    </xf>
    <xf numFmtId="0" fontId="3" fillId="0" borderId="2" xfId="0" quotePrefix="1" applyFont="1" applyBorder="1" applyAlignment="1">
      <alignment horizontal="center"/>
    </xf>
    <xf numFmtId="0" fontId="55" fillId="0" borderId="0" xfId="2" applyFont="1" applyAlignment="1">
      <alignment horizontal="left" indent="4"/>
    </xf>
    <xf numFmtId="164" fontId="22" fillId="0" borderId="2" xfId="0" applyNumberFormat="1" applyFont="1" applyBorder="1" applyAlignment="1">
      <alignment vertical="center"/>
    </xf>
    <xf numFmtId="173" fontId="29" fillId="0" borderId="6" xfId="0" applyNumberFormat="1" applyFont="1" applyBorder="1" applyAlignment="1">
      <alignment horizontal="center" vertical="center"/>
    </xf>
    <xf numFmtId="173" fontId="29" fillId="0" borderId="44" xfId="0" applyNumberFormat="1" applyFont="1" applyBorder="1" applyAlignment="1">
      <alignment horizontal="center" vertical="center"/>
    </xf>
    <xf numFmtId="164" fontId="22" fillId="0" borderId="4" xfId="0" applyNumberFormat="1" applyFont="1" applyBorder="1" applyAlignment="1">
      <alignment vertical="center"/>
    </xf>
    <xf numFmtId="49" fontId="84" fillId="0" borderId="4" xfId="0" quotePrefix="1" applyNumberFormat="1" applyFont="1" applyBorder="1" applyAlignment="1">
      <alignment horizontal="center" vertical="center"/>
    </xf>
    <xf numFmtId="0" fontId="84" fillId="0" borderId="4" xfId="0" quotePrefix="1" applyFont="1" applyBorder="1" applyAlignment="1">
      <alignment horizontal="center" vertical="center"/>
    </xf>
    <xf numFmtId="0" fontId="3" fillId="0" borderId="0" xfId="0" quotePrefix="1" applyFont="1" applyAlignment="1">
      <alignment horizontal="center" vertical="center"/>
    </xf>
    <xf numFmtId="0" fontId="29" fillId="0" borderId="4" xfId="0" applyFont="1" applyBorder="1" applyAlignment="1">
      <alignment horizontal="center" vertical="center"/>
    </xf>
    <xf numFmtId="0" fontId="29" fillId="0" borderId="4" xfId="0" applyFont="1" applyBorder="1" applyAlignment="1">
      <alignment vertical="center"/>
    </xf>
    <xf numFmtId="164" fontId="29" fillId="0" borderId="4" xfId="0" applyNumberFormat="1" applyFont="1" applyBorder="1" applyAlignment="1">
      <alignment vertical="center"/>
    </xf>
    <xf numFmtId="49" fontId="13" fillId="0" borderId="4" xfId="0" quotePrefix="1" applyNumberFormat="1" applyFont="1" applyBorder="1" applyAlignment="1">
      <alignment horizontal="center" vertical="center"/>
    </xf>
    <xf numFmtId="0" fontId="13" fillId="0" borderId="4" xfId="0" quotePrefix="1" applyFont="1" applyBorder="1" applyAlignment="1">
      <alignment horizontal="center" vertical="center"/>
    </xf>
    <xf numFmtId="164" fontId="29" fillId="8" borderId="45" xfId="0" applyNumberFormat="1" applyFont="1" applyFill="1" applyBorder="1" applyAlignment="1">
      <alignment vertical="center"/>
    </xf>
    <xf numFmtId="0" fontId="29" fillId="0" borderId="0" xfId="0" applyFont="1" applyAlignment="1">
      <alignment vertical="center"/>
    </xf>
    <xf numFmtId="49" fontId="61" fillId="0" borderId="2" xfId="0" applyNumberFormat="1" applyFont="1" applyBorder="1" applyAlignment="1" applyProtection="1">
      <alignment horizontal="left" vertical="center" shrinkToFit="1"/>
      <protection locked="0"/>
    </xf>
    <xf numFmtId="49" fontId="61" fillId="0" borderId="2" xfId="0" applyNumberFormat="1" applyFont="1" applyBorder="1" applyAlignment="1" applyProtection="1">
      <alignment horizontal="left" vertical="center" wrapText="1"/>
      <protection locked="0"/>
    </xf>
    <xf numFmtId="49" fontId="61" fillId="0" borderId="4" xfId="0" applyNumberFormat="1" applyFont="1" applyBorder="1" applyAlignment="1" applyProtection="1">
      <alignment horizontal="left" vertical="center" shrinkToFit="1"/>
      <protection locked="0"/>
    </xf>
    <xf numFmtId="191" fontId="61" fillId="0" borderId="2" xfId="0" applyNumberFormat="1" applyFont="1" applyBorder="1" applyAlignment="1" applyProtection="1">
      <alignment horizontal="center" vertical="center"/>
      <protection locked="0"/>
    </xf>
    <xf numFmtId="49" fontId="61" fillId="0" borderId="2" xfId="0" applyNumberFormat="1" applyFont="1" applyBorder="1" applyAlignment="1" applyProtection="1">
      <alignment horizontal="center" vertical="center" shrinkToFit="1"/>
      <protection locked="0"/>
    </xf>
    <xf numFmtId="0" fontId="86" fillId="0" borderId="2" xfId="0" applyFont="1" applyBorder="1" applyAlignment="1">
      <alignment horizontal="center" vertical="center"/>
    </xf>
    <xf numFmtId="0" fontId="86" fillId="0" borderId="4" xfId="0" applyFont="1" applyBorder="1" applyAlignment="1">
      <alignment horizontal="center" vertical="center"/>
    </xf>
    <xf numFmtId="0" fontId="0" fillId="8" borderId="2" xfId="0" applyFill="1" applyBorder="1" applyAlignment="1">
      <alignment shrinkToFit="1"/>
    </xf>
    <xf numFmtId="0" fontId="0" fillId="8" borderId="4" xfId="0" applyFill="1" applyBorder="1" applyAlignment="1">
      <alignment shrinkToFit="1"/>
    </xf>
    <xf numFmtId="0" fontId="87" fillId="0" borderId="2" xfId="0" applyFont="1" applyBorder="1" applyAlignment="1">
      <alignment horizontal="center" vertical="center"/>
    </xf>
    <xf numFmtId="171" fontId="24" fillId="0" borderId="0" xfId="0" applyNumberFormat="1" applyFont="1" applyAlignment="1">
      <alignment horizontal="centerContinuous" vertical="center"/>
    </xf>
    <xf numFmtId="0" fontId="2" fillId="0" borderId="2" xfId="0" quotePrefix="1" applyFont="1" applyBorder="1" applyAlignment="1" applyProtection="1">
      <alignment horizontal="center" vertical="center" shrinkToFit="1"/>
      <protection locked="0"/>
    </xf>
    <xf numFmtId="43" fontId="0" fillId="0" borderId="0" xfId="0" applyNumberFormat="1"/>
    <xf numFmtId="0" fontId="88" fillId="0" borderId="2" xfId="0" applyFont="1" applyBorder="1" applyAlignment="1">
      <alignment horizontal="center" vertical="center"/>
    </xf>
    <xf numFmtId="0" fontId="88" fillId="0" borderId="4" xfId="0" applyFont="1" applyBorder="1" applyAlignment="1">
      <alignment horizontal="center" vertical="center"/>
    </xf>
    <xf numFmtId="49" fontId="88" fillId="0" borderId="4" xfId="0" applyNumberFormat="1" applyFont="1" applyBorder="1" applyAlignment="1">
      <alignment horizontal="center" vertical="center"/>
    </xf>
    <xf numFmtId="49" fontId="81" fillId="0" borderId="0" xfId="1" quotePrefix="1" applyNumberFormat="1" applyFont="1" applyProtection="1">
      <protection locked="0"/>
    </xf>
    <xf numFmtId="49" fontId="61" fillId="0" borderId="2" xfId="0" applyNumberFormat="1" applyFont="1" applyBorder="1" applyAlignment="1" applyProtection="1">
      <alignment horizontal="center" vertical="center"/>
      <protection locked="0"/>
    </xf>
    <xf numFmtId="164" fontId="61" fillId="0" borderId="2" xfId="1" applyFont="1" applyBorder="1" applyAlignment="1" applyProtection="1">
      <alignment vertical="center"/>
      <protection locked="0"/>
    </xf>
    <xf numFmtId="0" fontId="89" fillId="0" borderId="2" xfId="0" applyFont="1" applyBorder="1" applyAlignment="1">
      <alignment horizontal="left" vertical="center"/>
    </xf>
    <xf numFmtId="49" fontId="61" fillId="0" borderId="4" xfId="0" applyNumberFormat="1" applyFont="1" applyBorder="1" applyAlignment="1" applyProtection="1">
      <alignment horizontal="center" vertical="center"/>
      <protection locked="0"/>
    </xf>
    <xf numFmtId="164" fontId="61" fillId="0" borderId="4" xfId="1" applyFont="1" applyFill="1" applyBorder="1" applyAlignment="1" applyProtection="1">
      <alignment vertical="center"/>
      <protection locked="0"/>
    </xf>
    <xf numFmtId="164" fontId="61" fillId="0" borderId="2" xfId="1" applyFont="1" applyFill="1" applyBorder="1" applyAlignment="1" applyProtection="1">
      <alignment vertical="center"/>
      <protection locked="0"/>
    </xf>
    <xf numFmtId="0" fontId="0" fillId="0" borderId="2" xfId="0" applyBorder="1" applyAlignment="1">
      <alignment horizontal="left"/>
    </xf>
    <xf numFmtId="0" fontId="90" fillId="0" borderId="4" xfId="0" quotePrefix="1" applyFont="1" applyBorder="1" applyAlignment="1">
      <alignment horizontal="center" vertical="center"/>
    </xf>
    <xf numFmtId="0" fontId="90" fillId="8" borderId="0" xfId="0" applyFont="1" applyFill="1" applyAlignment="1">
      <alignment horizontal="center" vertical="center"/>
    </xf>
    <xf numFmtId="49" fontId="90" fillId="0" borderId="0" xfId="0" applyNumberFormat="1" applyFont="1" applyAlignment="1">
      <alignment horizontal="center" vertical="center"/>
    </xf>
    <xf numFmtId="0" fontId="90" fillId="0" borderId="0" xfId="0" quotePrefix="1" applyFont="1" applyAlignment="1">
      <alignment horizontal="center" vertical="center"/>
    </xf>
    <xf numFmtId="164" fontId="0" fillId="8" borderId="0" xfId="0" applyNumberFormat="1" applyFill="1" applyAlignment="1">
      <alignment vertical="center"/>
    </xf>
    <xf numFmtId="0" fontId="91" fillId="0" borderId="6" xfId="2" applyFont="1" applyBorder="1" applyAlignment="1">
      <alignment horizontal="left"/>
    </xf>
    <xf numFmtId="49" fontId="91" fillId="0" borderId="2" xfId="2" applyNumberFormat="1" applyFont="1" applyBorder="1" applyAlignment="1">
      <alignment horizontal="center"/>
    </xf>
    <xf numFmtId="49" fontId="91" fillId="0" borderId="2" xfId="2" applyNumberFormat="1" applyFont="1" applyBorder="1" applyAlignment="1" applyProtection="1">
      <alignment horizontal="center"/>
      <protection locked="0"/>
    </xf>
    <xf numFmtId="0" fontId="91" fillId="0" borderId="2" xfId="1" applyNumberFormat="1" applyFont="1" applyBorder="1" applyAlignment="1" applyProtection="1">
      <alignment horizontal="center"/>
    </xf>
    <xf numFmtId="164" fontId="91" fillId="0" borderId="2" xfId="3" applyFont="1" applyBorder="1" applyAlignment="1" applyProtection="1">
      <alignment horizontal="center"/>
      <protection locked="0"/>
    </xf>
    <xf numFmtId="164" fontId="91" fillId="0" borderId="2" xfId="1" applyFont="1" applyBorder="1" applyAlignment="1" applyProtection="1">
      <alignment horizontal="center"/>
      <protection locked="0"/>
    </xf>
    <xf numFmtId="164" fontId="91" fillId="0" borderId="3" xfId="3" applyFont="1" applyBorder="1" applyAlignment="1" applyProtection="1">
      <alignment horizontal="center"/>
    </xf>
    <xf numFmtId="0" fontId="29" fillId="0" borderId="0" xfId="0" applyFont="1"/>
    <xf numFmtId="43" fontId="2" fillId="0" borderId="2" xfId="11" applyFont="1" applyBorder="1" applyAlignment="1" applyProtection="1">
      <alignment vertical="center" shrinkToFit="1"/>
      <protection locked="0"/>
    </xf>
    <xf numFmtId="0" fontId="2" fillId="0" borderId="2" xfId="10" quotePrefix="1" applyBorder="1" applyAlignment="1" applyProtection="1">
      <alignment horizontal="center" vertical="center" shrinkToFit="1"/>
      <protection locked="0"/>
    </xf>
    <xf numFmtId="43" fontId="2" fillId="0" borderId="4" xfId="11" applyFont="1" applyBorder="1" applyAlignment="1" applyProtection="1">
      <alignment vertical="center" shrinkToFit="1"/>
      <protection locked="0"/>
    </xf>
    <xf numFmtId="49" fontId="2" fillId="0" borderId="2" xfId="10" applyNumberFormat="1" applyBorder="1" applyAlignment="1" applyProtection="1">
      <alignment horizontal="left" vertical="center" wrapText="1" shrinkToFit="1"/>
      <protection locked="0"/>
    </xf>
    <xf numFmtId="191" fontId="2" fillId="0" borderId="2" xfId="10" applyNumberFormat="1" applyBorder="1" applyAlignment="1" applyProtection="1">
      <alignment horizontal="center" vertical="center" shrinkToFit="1"/>
      <protection locked="0"/>
    </xf>
    <xf numFmtId="49" fontId="2" fillId="0" borderId="2" xfId="10" applyNumberFormat="1" applyBorder="1" applyAlignment="1" applyProtection="1">
      <alignment horizontal="center" vertical="center" shrinkToFit="1"/>
      <protection locked="0"/>
    </xf>
    <xf numFmtId="49" fontId="3" fillId="8" borderId="4" xfId="0" applyNumberFormat="1" applyFont="1" applyFill="1" applyBorder="1" applyAlignment="1" applyProtection="1">
      <alignment horizontal="center" vertical="center"/>
      <protection locked="0"/>
    </xf>
    <xf numFmtId="49" fontId="2" fillId="0" borderId="6" xfId="0" applyNumberFormat="1" applyFont="1" applyBorder="1" applyAlignment="1" applyProtection="1">
      <alignment horizontal="center"/>
      <protection locked="0"/>
    </xf>
    <xf numFmtId="0" fontId="2" fillId="0" borderId="7" xfId="0" applyFont="1" applyBorder="1"/>
    <xf numFmtId="0" fontId="2" fillId="0" borderId="6" xfId="0" applyFont="1" applyBorder="1"/>
    <xf numFmtId="0" fontId="93" fillId="0" borderId="0" xfId="0" applyFont="1"/>
    <xf numFmtId="49" fontId="61" fillId="0" borderId="2" xfId="0" quotePrefix="1" applyNumberFormat="1" applyFont="1" applyBorder="1" applyAlignment="1" applyProtection="1">
      <alignment horizontal="center" vertical="center"/>
      <protection locked="0"/>
    </xf>
    <xf numFmtId="49" fontId="54" fillId="0" borderId="2" xfId="0" applyNumberFormat="1" applyFont="1" applyBorder="1" applyAlignment="1" applyProtection="1">
      <alignment horizontal="left" vertical="center" wrapText="1"/>
      <protection locked="0"/>
    </xf>
    <xf numFmtId="49" fontId="61" fillId="0" borderId="2" xfId="1" applyNumberFormat="1" applyFont="1" applyBorder="1" applyAlignment="1" applyProtection="1">
      <alignment horizontal="center" vertical="center"/>
      <protection locked="0"/>
    </xf>
    <xf numFmtId="49" fontId="62" fillId="0" borderId="2" xfId="1" applyNumberFormat="1" applyFont="1" applyBorder="1" applyAlignment="1" applyProtection="1">
      <alignment horizontal="center"/>
      <protection locked="0"/>
    </xf>
    <xf numFmtId="49" fontId="3" fillId="26" borderId="2" xfId="1" applyNumberFormat="1" applyFont="1" applyFill="1" applyBorder="1" applyAlignment="1">
      <alignment horizontal="center" vertical="center"/>
    </xf>
    <xf numFmtId="0" fontId="3" fillId="26" borderId="2" xfId="0" applyFont="1" applyFill="1" applyBorder="1" applyAlignment="1">
      <alignment horizontal="center" vertical="center"/>
    </xf>
    <xf numFmtId="0" fontId="65" fillId="26" borderId="4" xfId="0" applyFont="1" applyFill="1" applyBorder="1" applyAlignment="1">
      <alignment horizontal="center" vertical="center"/>
    </xf>
    <xf numFmtId="0" fontId="3" fillId="26" borderId="4" xfId="0" applyFont="1" applyFill="1" applyBorder="1" applyAlignment="1">
      <alignment horizontal="center" vertical="center"/>
    </xf>
    <xf numFmtId="49" fontId="65" fillId="26" borderId="4" xfId="0" applyNumberFormat="1" applyFont="1" applyFill="1" applyBorder="1" applyAlignment="1" applyProtection="1">
      <alignment horizontal="center" vertical="center"/>
      <protection locked="0"/>
    </xf>
    <xf numFmtId="0" fontId="84" fillId="26" borderId="4" xfId="0" applyFont="1" applyFill="1" applyBorder="1" applyAlignment="1">
      <alignment horizontal="center" vertical="center"/>
    </xf>
    <xf numFmtId="0" fontId="13" fillId="26" borderId="4" xfId="0" applyFont="1" applyFill="1" applyBorder="1" applyAlignment="1">
      <alignment horizontal="center" vertical="center"/>
    </xf>
    <xf numFmtId="0" fontId="86" fillId="26" borderId="4" xfId="0" applyFont="1" applyFill="1" applyBorder="1" applyAlignment="1">
      <alignment horizontal="center" vertical="center"/>
    </xf>
    <xf numFmtId="0" fontId="86" fillId="26" borderId="2" xfId="0" applyFont="1" applyFill="1" applyBorder="1" applyAlignment="1">
      <alignment horizontal="center" vertical="center"/>
    </xf>
    <xf numFmtId="0" fontId="87" fillId="26" borderId="2" xfId="0" applyFont="1" applyFill="1" applyBorder="1" applyAlignment="1">
      <alignment horizontal="center" vertical="center"/>
    </xf>
    <xf numFmtId="0" fontId="88" fillId="26" borderId="4" xfId="0" applyFont="1" applyFill="1" applyBorder="1" applyAlignment="1">
      <alignment horizontal="center" vertical="center"/>
    </xf>
    <xf numFmtId="0" fontId="88" fillId="26" borderId="2" xfId="0" applyFont="1" applyFill="1" applyBorder="1" applyAlignment="1">
      <alignment horizontal="center" vertical="center"/>
    </xf>
    <xf numFmtId="0" fontId="90" fillId="26" borderId="4" xfId="0" applyFont="1" applyFill="1" applyBorder="1" applyAlignment="1">
      <alignment horizontal="center" vertical="center"/>
    </xf>
    <xf numFmtId="0" fontId="94" fillId="0" borderId="0" xfId="2" applyFont="1" applyAlignment="1">
      <alignment horizontal="centerContinuous"/>
    </xf>
    <xf numFmtId="164" fontId="95" fillId="0" borderId="0" xfId="0" applyNumberFormat="1" applyFont="1"/>
    <xf numFmtId="0" fontId="96" fillId="0" borderId="0" xfId="2" applyFont="1" applyAlignment="1">
      <alignment horizontal="centerContinuous"/>
    </xf>
    <xf numFmtId="191" fontId="54" fillId="0" borderId="2" xfId="0" applyNumberFormat="1" applyFont="1" applyBorder="1" applyAlignment="1" applyProtection="1">
      <alignment horizontal="center" vertical="center"/>
      <protection locked="0"/>
    </xf>
    <xf numFmtId="49" fontId="54" fillId="0" borderId="2" xfId="0" applyNumberFormat="1" applyFont="1" applyBorder="1" applyAlignment="1" applyProtection="1">
      <alignment horizontal="center" vertical="center" shrinkToFit="1"/>
      <protection locked="0"/>
    </xf>
    <xf numFmtId="49" fontId="54" fillId="0" borderId="2" xfId="0" applyNumberFormat="1" applyFont="1" applyBorder="1" applyAlignment="1" applyProtection="1">
      <alignment horizontal="center" vertical="center"/>
      <protection locked="0"/>
    </xf>
    <xf numFmtId="164" fontId="54" fillId="0" borderId="2" xfId="1" applyFont="1" applyFill="1" applyBorder="1" applyAlignment="1" applyProtection="1">
      <alignment vertical="center"/>
      <protection locked="0"/>
    </xf>
    <xf numFmtId="49" fontId="54" fillId="0" borderId="4" xfId="0" applyNumberFormat="1" applyFont="1" applyBorder="1" applyAlignment="1" applyProtection="1">
      <alignment horizontal="center" vertical="center"/>
      <protection locked="0"/>
    </xf>
    <xf numFmtId="49" fontId="54" fillId="0" borderId="2" xfId="0" applyNumberFormat="1" applyFont="1" applyBorder="1" applyAlignment="1" applyProtection="1">
      <alignment horizontal="left" vertical="center" shrinkToFit="1"/>
      <protection locked="0"/>
    </xf>
    <xf numFmtId="0" fontId="18" fillId="0" borderId="2" xfId="0" applyFont="1" applyBorder="1"/>
    <xf numFmtId="164" fontId="2" fillId="0" borderId="4" xfId="1" applyFont="1" applyFill="1" applyBorder="1" applyAlignment="1" applyProtection="1">
      <protection locked="0"/>
    </xf>
    <xf numFmtId="0" fontId="0" fillId="0" borderId="0" xfId="0" quotePrefix="1"/>
    <xf numFmtId="0" fontId="3" fillId="2" borderId="4" xfId="0" applyFont="1" applyFill="1" applyBorder="1" applyAlignment="1">
      <alignment horizontal="center" vertical="center" wrapText="1"/>
    </xf>
    <xf numFmtId="0" fontId="2" fillId="0" borderId="2" xfId="0" quotePrefix="1" applyFont="1" applyBorder="1" applyAlignment="1">
      <alignment horizontal="left"/>
    </xf>
    <xf numFmtId="191" fontId="0" fillId="0" borderId="44" xfId="0" applyNumberFormat="1" applyBorder="1" applyAlignment="1" applyProtection="1">
      <alignment horizontal="center"/>
      <protection locked="0"/>
    </xf>
    <xf numFmtId="164" fontId="0" fillId="0" borderId="4" xfId="1" applyFont="1" applyFill="1" applyBorder="1" applyAlignment="1" applyProtection="1">
      <protection locked="0"/>
    </xf>
    <xf numFmtId="164" fontId="0" fillId="0" borderId="4" xfId="1" applyFont="1" applyBorder="1" applyAlignment="1" applyProtection="1">
      <protection locked="0"/>
    </xf>
    <xf numFmtId="39" fontId="97" fillId="0" borderId="45" xfId="0" applyNumberFormat="1" applyFont="1" applyBorder="1" applyAlignment="1">
      <alignment vertical="center"/>
    </xf>
    <xf numFmtId="49" fontId="28" fillId="0" borderId="44" xfId="0" applyNumberFormat="1" applyFont="1" applyBorder="1" applyAlignment="1" applyProtection="1">
      <alignment horizontal="center"/>
      <protection locked="0"/>
    </xf>
    <xf numFmtId="49" fontId="85" fillId="0" borderId="4" xfId="0" applyNumberFormat="1" applyFont="1" applyBorder="1" applyAlignment="1" applyProtection="1">
      <alignment horizontal="left" shrinkToFit="1"/>
      <protection locked="0"/>
    </xf>
    <xf numFmtId="49" fontId="98" fillId="25" borderId="4" xfId="2" applyNumberFormat="1" applyFont="1" applyFill="1" applyBorder="1" applyAlignment="1" applyProtection="1">
      <alignment vertical="center"/>
      <protection locked="0"/>
    </xf>
    <xf numFmtId="49" fontId="98" fillId="25" borderId="2" xfId="2" applyNumberFormat="1" applyFont="1" applyFill="1" applyBorder="1" applyAlignment="1" applyProtection="1">
      <alignment vertical="center"/>
      <protection locked="0"/>
    </xf>
    <xf numFmtId="191" fontId="2" fillId="0" borderId="44" xfId="0" applyNumberFormat="1" applyFont="1" applyBorder="1" applyAlignment="1" applyProtection="1">
      <alignment horizontal="center"/>
      <protection locked="0"/>
    </xf>
    <xf numFmtId="49" fontId="28" fillId="0" borderId="6" xfId="0" applyNumberFormat="1" applyFont="1" applyBorder="1" applyAlignment="1" applyProtection="1">
      <alignment horizontal="center"/>
      <protection locked="0"/>
    </xf>
    <xf numFmtId="43" fontId="67" fillId="0" borderId="0" xfId="2" applyNumberFormat="1" applyFont="1"/>
    <xf numFmtId="164" fontId="95" fillId="0" borderId="0" xfId="0" applyNumberFormat="1" applyFont="1" applyAlignment="1">
      <alignment horizontal="centerContinuous"/>
    </xf>
    <xf numFmtId="49" fontId="95" fillId="0" borderId="0" xfId="0" applyNumberFormat="1" applyFont="1" applyAlignment="1">
      <alignment horizontal="centerContinuous"/>
    </xf>
    <xf numFmtId="0" fontId="2" fillId="0" borderId="0" xfId="2" applyFont="1" applyAlignment="1">
      <alignment horizontal="centerContinuous"/>
    </xf>
    <xf numFmtId="49" fontId="2" fillId="0" borderId="0" xfId="0" applyNumberFormat="1" applyFont="1" applyAlignment="1">
      <alignment horizontal="centerContinuous"/>
    </xf>
    <xf numFmtId="169" fontId="3" fillId="0" borderId="0" xfId="0" applyNumberFormat="1" applyFont="1" applyAlignment="1">
      <alignment horizontal="centerContinuous"/>
    </xf>
    <xf numFmtId="49" fontId="3" fillId="0" borderId="0" xfId="0" applyNumberFormat="1" applyFont="1" applyAlignment="1">
      <alignment horizontal="centerContinuous"/>
    </xf>
    <xf numFmtId="164" fontId="100" fillId="0" borderId="2" xfId="0" applyNumberFormat="1" applyFont="1" applyBorder="1" applyAlignment="1">
      <alignment horizontal="centerContinuous"/>
    </xf>
    <xf numFmtId="49" fontId="18" fillId="0" borderId="2" xfId="0" applyNumberFormat="1" applyFont="1" applyBorder="1" applyAlignment="1">
      <alignment horizontal="centerContinuous"/>
    </xf>
    <xf numFmtId="164" fontId="17" fillId="0" borderId="0" xfId="0" applyNumberFormat="1" applyFont="1" applyAlignment="1">
      <alignment horizontal="left" indent="3"/>
    </xf>
    <xf numFmtId="164" fontId="99" fillId="0" borderId="0" xfId="0" applyNumberFormat="1" applyFont="1"/>
    <xf numFmtId="164" fontId="17" fillId="0" borderId="0" xfId="1" applyFont="1" applyBorder="1" applyProtection="1"/>
    <xf numFmtId="164" fontId="12" fillId="0" borderId="7" xfId="0" applyNumberFormat="1" applyFont="1" applyBorder="1"/>
    <xf numFmtId="164" fontId="3" fillId="0" borderId="0" xfId="0" applyNumberFormat="1" applyFont="1" applyAlignment="1">
      <alignment horizontal="left" indent="2"/>
    </xf>
    <xf numFmtId="164" fontId="12" fillId="0" borderId="7" xfId="1" applyFont="1" applyBorder="1" applyProtection="1"/>
    <xf numFmtId="164" fontId="2" fillId="0" borderId="0" xfId="1" applyFont="1" applyProtection="1"/>
    <xf numFmtId="49" fontId="2" fillId="0" borderId="0" xfId="0" quotePrefix="1" applyNumberFormat="1" applyFont="1" applyAlignment="1">
      <alignment horizontal="center"/>
    </xf>
    <xf numFmtId="164" fontId="3" fillId="0" borderId="7" xfId="0" applyNumberFormat="1" applyFont="1" applyBorder="1"/>
    <xf numFmtId="164" fontId="12" fillId="0" borderId="9" xfId="0" applyNumberFormat="1" applyFont="1" applyBorder="1"/>
    <xf numFmtId="0" fontId="2" fillId="0" borderId="0" xfId="2" applyFont="1" applyAlignment="1">
      <alignment horizontal="left"/>
    </xf>
    <xf numFmtId="0" fontId="93" fillId="0" borderId="0" xfId="2" applyFont="1"/>
    <xf numFmtId="0" fontId="3" fillId="0" borderId="0" xfId="2" applyFont="1" applyAlignment="1">
      <alignment horizontal="left" indent="5"/>
    </xf>
    <xf numFmtId="0" fontId="3" fillId="0" borderId="0" xfId="2" applyFont="1" applyAlignment="1">
      <alignment horizontal="left"/>
    </xf>
    <xf numFmtId="0" fontId="92" fillId="0" borderId="0" xfId="2" applyFont="1" applyAlignment="1">
      <alignment horizontal="left" indent="7"/>
    </xf>
    <xf numFmtId="0" fontId="2" fillId="0" borderId="0" xfId="2" applyFont="1" applyAlignment="1">
      <alignment horizontal="left" indent="3"/>
    </xf>
    <xf numFmtId="0" fontId="93" fillId="0" borderId="0" xfId="2" applyFont="1" applyAlignment="1">
      <alignment horizontal="left" indent="6"/>
    </xf>
    <xf numFmtId="164" fontId="101" fillId="0" borderId="0" xfId="0" applyNumberFormat="1" applyFont="1" applyAlignment="1">
      <alignment horizontal="centerContinuous"/>
    </xf>
    <xf numFmtId="164" fontId="2" fillId="0" borderId="0" xfId="0" applyNumberFormat="1" applyFont="1" applyAlignment="1">
      <alignment horizontal="centerContinuous" shrinkToFit="1"/>
    </xf>
    <xf numFmtId="164" fontId="3" fillId="0" borderId="0" xfId="0" applyNumberFormat="1" applyFont="1" applyAlignment="1">
      <alignment horizontal="centerContinuous" shrinkToFit="1"/>
    </xf>
    <xf numFmtId="49" fontId="3" fillId="0" borderId="2" xfId="0" applyNumberFormat="1" applyFont="1" applyBorder="1" applyAlignment="1">
      <alignment horizontal="centerContinuous"/>
    </xf>
    <xf numFmtId="164" fontId="3" fillId="0" borderId="2" xfId="0" applyNumberFormat="1" applyFont="1" applyBorder="1" applyAlignment="1">
      <alignment horizontal="centerContinuous" shrinkToFit="1"/>
    </xf>
    <xf numFmtId="164" fontId="2" fillId="0" borderId="0" xfId="0" applyNumberFormat="1" applyFont="1" applyAlignment="1">
      <alignment shrinkToFit="1"/>
    </xf>
    <xf numFmtId="164" fontId="2" fillId="0" borderId="0" xfId="0" applyNumberFormat="1" applyFont="1" applyAlignment="1">
      <alignment horizontal="left" indent="3"/>
    </xf>
    <xf numFmtId="164" fontId="2" fillId="0" borderId="0" xfId="1" applyFont="1" applyBorder="1" applyAlignment="1" applyProtection="1">
      <alignment shrinkToFit="1"/>
    </xf>
    <xf numFmtId="164" fontId="2" fillId="0" borderId="0" xfId="1" applyFont="1" applyAlignment="1" applyProtection="1">
      <alignment shrinkToFit="1"/>
    </xf>
    <xf numFmtId="164" fontId="2" fillId="0" borderId="14" xfId="1" applyFont="1" applyBorder="1" applyAlignment="1" applyProtection="1">
      <alignment shrinkToFit="1"/>
    </xf>
    <xf numFmtId="164" fontId="3" fillId="0" borderId="0" xfId="0" applyNumberFormat="1" applyFont="1" applyAlignment="1">
      <alignment horizontal="left"/>
    </xf>
    <xf numFmtId="164" fontId="3" fillId="0" borderId="7" xfId="1" applyFont="1" applyBorder="1" applyAlignment="1" applyProtection="1">
      <alignment shrinkToFit="1"/>
    </xf>
    <xf numFmtId="164" fontId="3" fillId="0" borderId="8" xfId="1" applyFont="1" applyBorder="1" applyAlignment="1" applyProtection="1">
      <alignment shrinkToFit="1"/>
    </xf>
    <xf numFmtId="164" fontId="3" fillId="0" borderId="0" xfId="1" applyFont="1" applyBorder="1" applyAlignment="1" applyProtection="1">
      <alignment shrinkToFit="1"/>
    </xf>
    <xf numFmtId="164" fontId="3" fillId="0" borderId="7" xfId="0" applyNumberFormat="1" applyFont="1" applyBorder="1" applyAlignment="1">
      <alignment shrinkToFit="1"/>
    </xf>
    <xf numFmtId="164" fontId="3" fillId="0" borderId="0" xfId="0" applyNumberFormat="1" applyFont="1" applyAlignment="1" applyProtection="1">
      <alignment horizontal="centerContinuous" vertical="center"/>
      <protection locked="0"/>
    </xf>
    <xf numFmtId="164" fontId="2" fillId="0" borderId="0" xfId="0" applyNumberFormat="1" applyFont="1" applyAlignment="1" applyProtection="1">
      <alignment horizontal="centerContinuous" vertical="center"/>
      <protection locked="0"/>
    </xf>
    <xf numFmtId="0" fontId="2" fillId="0" borderId="0" xfId="2" applyFont="1" applyAlignment="1">
      <alignment horizontal="left" indent="4"/>
    </xf>
    <xf numFmtId="0" fontId="2" fillId="0" borderId="0" xfId="2" applyFont="1" applyAlignment="1">
      <alignment horizontal="left" indent="5"/>
    </xf>
    <xf numFmtId="164" fontId="3" fillId="0" borderId="2" xfId="0" applyNumberFormat="1" applyFont="1" applyBorder="1" applyAlignment="1">
      <alignment horizontal="centerContinuous"/>
    </xf>
    <xf numFmtId="49" fontId="102" fillId="0" borderId="6" xfId="0" applyNumberFormat="1" applyFont="1" applyBorder="1" applyAlignment="1">
      <alignment horizontal="left"/>
    </xf>
    <xf numFmtId="0" fontId="102" fillId="0" borderId="2" xfId="0" applyFont="1" applyBorder="1"/>
    <xf numFmtId="0" fontId="102" fillId="0" borderId="2" xfId="0" applyFont="1" applyBorder="1" applyAlignment="1" applyProtection="1">
      <alignment horizontal="center"/>
      <protection locked="0"/>
    </xf>
    <xf numFmtId="49" fontId="102" fillId="0" borderId="6" xfId="0" quotePrefix="1" applyNumberFormat="1" applyFont="1" applyBorder="1" applyAlignment="1">
      <alignment horizontal="left"/>
    </xf>
    <xf numFmtId="0" fontId="102" fillId="0" borderId="6" xfId="2" applyFont="1" applyBorder="1" applyAlignment="1">
      <alignment horizontal="left"/>
    </xf>
    <xf numFmtId="49" fontId="102" fillId="0" borderId="2" xfId="2" applyNumberFormat="1" applyFont="1" applyBorder="1" applyAlignment="1">
      <alignment horizontal="center"/>
    </xf>
    <xf numFmtId="49" fontId="102" fillId="0" borderId="2" xfId="2" applyNumberFormat="1" applyFont="1" applyBorder="1" applyAlignment="1" applyProtection="1">
      <alignment horizontal="center"/>
      <protection locked="0"/>
    </xf>
    <xf numFmtId="0" fontId="102" fillId="0" borderId="2" xfId="1" applyNumberFormat="1" applyFont="1" applyBorder="1" applyAlignment="1" applyProtection="1">
      <alignment horizontal="center"/>
    </xf>
    <xf numFmtId="164" fontId="102" fillId="0" borderId="2" xfId="3" applyFont="1" applyBorder="1" applyAlignment="1" applyProtection="1">
      <alignment horizontal="center"/>
      <protection locked="0"/>
    </xf>
    <xf numFmtId="164" fontId="102" fillId="0" borderId="2" xfId="1" applyFont="1" applyBorder="1" applyAlignment="1" applyProtection="1">
      <alignment horizontal="center"/>
      <protection locked="0"/>
    </xf>
    <xf numFmtId="164" fontId="102" fillId="0" borderId="3" xfId="3" applyFont="1" applyBorder="1" applyAlignment="1" applyProtection="1">
      <alignment horizontal="center"/>
    </xf>
    <xf numFmtId="39" fontId="53" fillId="0" borderId="3" xfId="0" applyNumberFormat="1" applyFont="1" applyBorder="1" applyAlignment="1">
      <alignment horizontal="right" vertical="center"/>
    </xf>
    <xf numFmtId="0" fontId="2" fillId="0" borderId="40" xfId="0" applyFont="1" applyBorder="1" applyAlignment="1">
      <alignment horizontal="left" indent="1"/>
    </xf>
    <xf numFmtId="0" fontId="2" fillId="0" borderId="40" xfId="0" applyFont="1" applyBorder="1"/>
    <xf numFmtId="0" fontId="2" fillId="0" borderId="0" xfId="0" applyFont="1" applyAlignment="1" applyProtection="1">
      <alignment horizontal="centerContinuous"/>
      <protection locked="0"/>
    </xf>
    <xf numFmtId="0" fontId="2" fillId="0" borderId="41" xfId="0" applyFont="1" applyBorder="1"/>
    <xf numFmtId="191" fontId="2" fillId="0" borderId="6" xfId="0" applyNumberFormat="1" applyFont="1" applyBorder="1" applyAlignment="1" applyProtection="1">
      <alignment horizontal="center" vertical="center"/>
      <protection locked="0"/>
    </xf>
    <xf numFmtId="49" fontId="54" fillId="0" borderId="2" xfId="2" applyNumberFormat="1" applyFont="1" applyBorder="1" applyAlignment="1" applyProtection="1">
      <alignment horizontal="left" vertical="center" wrapText="1"/>
      <protection locked="0"/>
    </xf>
    <xf numFmtId="49" fontId="2" fillId="0" borderId="6" xfId="0" applyNumberFormat="1" applyFont="1" applyBorder="1" applyAlignment="1">
      <alignment horizontal="center" vertical="center"/>
    </xf>
    <xf numFmtId="49" fontId="0" fillId="0" borderId="6" xfId="0" applyNumberFormat="1" applyBorder="1" applyAlignment="1">
      <alignment horizontal="center" vertical="center"/>
    </xf>
    <xf numFmtId="164" fontId="0" fillId="0" borderId="2" xfId="1" applyFont="1" applyFill="1" applyBorder="1" applyAlignment="1" applyProtection="1">
      <alignment vertical="center" shrinkToFit="1"/>
      <protection locked="0"/>
    </xf>
    <xf numFmtId="49" fontId="0" fillId="0" borderId="2" xfId="1" applyNumberFormat="1" applyFont="1" applyBorder="1" applyAlignment="1" applyProtection="1">
      <alignment horizontal="center" vertical="center"/>
      <protection locked="0"/>
    </xf>
    <xf numFmtId="191" fontId="0" fillId="0" borderId="44" xfId="0" applyNumberFormat="1" applyBorder="1" applyAlignment="1" applyProtection="1">
      <alignment horizontal="center" vertical="center"/>
      <protection locked="0"/>
    </xf>
    <xf numFmtId="191" fontId="0" fillId="0" borderId="4" xfId="0" applyNumberFormat="1" applyBorder="1" applyAlignment="1" applyProtection="1">
      <alignment horizontal="center" vertical="center" shrinkToFit="1"/>
      <protection locked="0"/>
    </xf>
    <xf numFmtId="49" fontId="0" fillId="0" borderId="4" xfId="0" applyNumberFormat="1" applyBorder="1" applyAlignment="1" applyProtection="1">
      <alignment horizontal="center" vertical="center" shrinkToFit="1"/>
      <protection locked="0"/>
    </xf>
    <xf numFmtId="49" fontId="0" fillId="0" borderId="4" xfId="1" applyNumberFormat="1" applyFont="1" applyBorder="1" applyAlignment="1" applyProtection="1">
      <alignment horizontal="center" vertical="center"/>
      <protection locked="0"/>
    </xf>
    <xf numFmtId="49" fontId="0" fillId="0" borderId="4" xfId="0" applyNumberFormat="1" applyBorder="1" applyAlignment="1" applyProtection="1">
      <alignment horizontal="center" vertical="center"/>
      <protection locked="0"/>
    </xf>
    <xf numFmtId="49" fontId="0" fillId="0" borderId="4" xfId="0" applyNumberFormat="1" applyBorder="1" applyAlignment="1" applyProtection="1">
      <alignment horizontal="left" vertical="center" wrapText="1" shrinkToFit="1"/>
      <protection locked="0"/>
    </xf>
    <xf numFmtId="49" fontId="0" fillId="0" borderId="44" xfId="0" applyNumberFormat="1" applyBorder="1" applyAlignment="1">
      <alignment horizontal="center" vertical="center"/>
    </xf>
    <xf numFmtId="164" fontId="0" fillId="0" borderId="4" xfId="1" applyFont="1" applyFill="1" applyBorder="1" applyAlignment="1" applyProtection="1">
      <alignment vertical="center" shrinkToFit="1"/>
      <protection locked="0"/>
    </xf>
    <xf numFmtId="49" fontId="103" fillId="0" borderId="6" xfId="0" applyNumberFormat="1" applyFont="1" applyBorder="1" applyAlignment="1">
      <alignment horizontal="left"/>
    </xf>
    <xf numFmtId="0" fontId="103" fillId="0" borderId="2" xfId="0" applyFont="1" applyBorder="1"/>
    <xf numFmtId="0" fontId="103" fillId="0" borderId="2" xfId="0" applyFont="1" applyBorder="1" applyAlignment="1" applyProtection="1">
      <alignment horizontal="center"/>
      <protection locked="0"/>
    </xf>
    <xf numFmtId="49" fontId="54" fillId="0" borderId="4" xfId="2" applyNumberFormat="1" applyFont="1" applyBorder="1" applyAlignment="1" applyProtection="1">
      <alignment horizontal="left" vertical="center" wrapText="1"/>
      <protection locked="0"/>
    </xf>
    <xf numFmtId="49" fontId="2" fillId="0" borderId="4" xfId="0" applyNumberFormat="1" applyFont="1" applyBorder="1" applyAlignment="1" applyProtection="1">
      <alignment horizontal="left" vertical="center" wrapText="1" shrinkToFit="1"/>
      <protection locked="0"/>
    </xf>
    <xf numFmtId="49" fontId="2" fillId="0" borderId="44" xfId="0" applyNumberFormat="1" applyFont="1" applyBorder="1" applyAlignment="1">
      <alignment horizontal="center" vertical="center"/>
    </xf>
    <xf numFmtId="0" fontId="2" fillId="0" borderId="2" xfId="1" applyNumberFormat="1" applyFont="1" applyBorder="1" applyAlignment="1" applyProtection="1">
      <alignment vertical="center"/>
      <protection locked="0"/>
    </xf>
    <xf numFmtId="49" fontId="105" fillId="0" borderId="2" xfId="2" applyNumberFormat="1" applyFont="1" applyBorder="1" applyAlignment="1" applyProtection="1">
      <alignment horizontal="left" vertical="center" wrapText="1"/>
      <protection locked="0"/>
    </xf>
    <xf numFmtId="49" fontId="105" fillId="0" borderId="4" xfId="2" applyNumberFormat="1" applyFont="1" applyBorder="1" applyAlignment="1" applyProtection="1">
      <alignment horizontal="left" vertical="center" wrapText="1"/>
      <protection locked="0"/>
    </xf>
    <xf numFmtId="0" fontId="107" fillId="0" borderId="6" xfId="2" applyFont="1" applyBorder="1" applyAlignment="1">
      <alignment horizontal="left"/>
    </xf>
    <xf numFmtId="49" fontId="107" fillId="0" borderId="2" xfId="2" applyNumberFormat="1" applyFont="1" applyBorder="1" applyAlignment="1">
      <alignment horizontal="center"/>
    </xf>
    <xf numFmtId="49" fontId="107" fillId="0" borderId="2" xfId="2" applyNumberFormat="1" applyFont="1" applyBorder="1" applyAlignment="1" applyProtection="1">
      <alignment horizontal="center"/>
      <protection locked="0"/>
    </xf>
    <xf numFmtId="0" fontId="107" fillId="0" borderId="2" xfId="1" applyNumberFormat="1" applyFont="1" applyBorder="1" applyAlignment="1" applyProtection="1">
      <alignment horizontal="center"/>
    </xf>
    <xf numFmtId="164" fontId="107" fillId="0" borderId="2" xfId="3" applyFont="1" applyBorder="1" applyAlignment="1" applyProtection="1">
      <alignment horizontal="center"/>
      <protection locked="0"/>
    </xf>
    <xf numFmtId="164" fontId="107" fillId="0" borderId="2" xfId="1" applyFont="1" applyBorder="1" applyAlignment="1" applyProtection="1">
      <alignment horizontal="center"/>
      <protection locked="0"/>
    </xf>
    <xf numFmtId="164" fontId="107" fillId="0" borderId="3" xfId="3" applyFont="1" applyBorder="1" applyAlignment="1" applyProtection="1">
      <alignment horizontal="center"/>
    </xf>
    <xf numFmtId="0" fontId="3" fillId="0" borderId="5" xfId="1" applyNumberFormat="1" applyFont="1" applyFill="1" applyBorder="1" applyAlignment="1" applyProtection="1">
      <alignment horizontal="center" vertical="center" wrapText="1"/>
    </xf>
    <xf numFmtId="0" fontId="2" fillId="0" borderId="2" xfId="1" applyNumberFormat="1" applyFont="1" applyBorder="1" applyAlignment="1" applyProtection="1">
      <alignment horizontal="center" vertical="center" shrinkToFit="1"/>
      <protection locked="0"/>
    </xf>
    <xf numFmtId="0" fontId="0" fillId="0" borderId="2" xfId="1" applyNumberFormat="1" applyFont="1" applyBorder="1" applyAlignment="1" applyProtection="1">
      <alignment horizontal="center" vertical="center" shrinkToFit="1"/>
      <protection locked="0"/>
    </xf>
    <xf numFmtId="0" fontId="0" fillId="0" borderId="2" xfId="1" applyNumberFormat="1" applyFont="1" applyBorder="1" applyAlignment="1" applyProtection="1">
      <alignment vertical="center"/>
      <protection locked="0"/>
    </xf>
    <xf numFmtId="0" fontId="2" fillId="0" borderId="0" xfId="1" applyNumberFormat="1" applyFont="1" applyAlignment="1" applyProtection="1">
      <alignment vertical="center"/>
      <protection locked="0"/>
    </xf>
    <xf numFmtId="0" fontId="2" fillId="0" borderId="2" xfId="1" applyNumberFormat="1" applyFont="1" applyBorder="1" applyAlignment="1" applyProtection="1">
      <alignment horizontal="center" vertical="center" wrapText="1"/>
      <protection locked="0"/>
    </xf>
    <xf numFmtId="49" fontId="108" fillId="0" borderId="2" xfId="2" applyNumberFormat="1" applyFont="1" applyBorder="1" applyAlignment="1" applyProtection="1">
      <alignment horizontal="left" vertical="center" wrapText="1"/>
      <protection locked="0"/>
    </xf>
    <xf numFmtId="39" fontId="109" fillId="0" borderId="3" xfId="0" applyNumberFormat="1" applyFont="1" applyBorder="1" applyAlignment="1">
      <alignment vertical="center"/>
    </xf>
    <xf numFmtId="0" fontId="2" fillId="0" borderId="2" xfId="1" applyNumberFormat="1" applyFont="1" applyBorder="1" applyAlignment="1" applyProtection="1">
      <alignment vertical="center" wrapText="1"/>
      <protection locked="0"/>
    </xf>
    <xf numFmtId="0" fontId="2" fillId="0" borderId="3" xfId="0" applyFont="1" applyBorder="1" applyAlignment="1">
      <alignment shrinkToFit="1"/>
    </xf>
    <xf numFmtId="0" fontId="2" fillId="0" borderId="7" xfId="0" applyFont="1" applyBorder="1" applyAlignment="1">
      <alignment shrinkToFit="1"/>
    </xf>
    <xf numFmtId="0" fontId="2" fillId="0" borderId="6" xfId="0" applyFont="1" applyBorder="1" applyAlignment="1">
      <alignment shrinkToFit="1"/>
    </xf>
    <xf numFmtId="0" fontId="0" fillId="0" borderId="2" xfId="1" applyNumberFormat="1" applyFont="1" applyBorder="1" applyAlignment="1" applyProtection="1">
      <alignment vertical="center" wrapText="1"/>
      <protection locked="0"/>
    </xf>
    <xf numFmtId="0" fontId="0" fillId="0" borderId="23" xfId="0" applyBorder="1"/>
    <xf numFmtId="0" fontId="0" fillId="0" borderId="42" xfId="0" applyBorder="1"/>
    <xf numFmtId="0" fontId="0" fillId="0" borderId="14" xfId="0" applyBorder="1"/>
    <xf numFmtId="0" fontId="0" fillId="0" borderId="43" xfId="0" applyBorder="1"/>
    <xf numFmtId="0" fontId="19" fillId="0" borderId="45" xfId="0" applyFont="1" applyBorder="1" applyAlignment="1">
      <alignment horizontal="centerContinuous" vertical="center"/>
    </xf>
    <xf numFmtId="0" fontId="20" fillId="0" borderId="46" xfId="0" applyFont="1" applyBorder="1" applyAlignment="1">
      <alignment horizontal="centerContinuous" vertical="center"/>
    </xf>
    <xf numFmtId="0" fontId="20" fillId="0" borderId="95" xfId="0" applyFont="1" applyBorder="1" applyAlignment="1">
      <alignment horizontal="centerContinuous" vertical="center"/>
    </xf>
    <xf numFmtId="0" fontId="21" fillId="0" borderId="40" xfId="0" applyFont="1" applyBorder="1" applyAlignment="1" applyProtection="1">
      <alignment horizontal="centerContinuous"/>
      <protection locked="0"/>
    </xf>
    <xf numFmtId="0" fontId="2" fillId="0" borderId="40" xfId="0" applyFont="1" applyBorder="1" applyAlignment="1">
      <alignment horizontal="centerContinuous"/>
    </xf>
    <xf numFmtId="0" fontId="0" fillId="0" borderId="41" xfId="0" applyBorder="1" applyAlignment="1">
      <alignment horizontal="centerContinuous"/>
    </xf>
    <xf numFmtId="0" fontId="0" fillId="0" borderId="25" xfId="0" applyBorder="1"/>
    <xf numFmtId="0" fontId="2" fillId="0" borderId="39" xfId="0" applyFont="1" applyBorder="1"/>
    <xf numFmtId="0" fontId="2" fillId="0" borderId="20" xfId="0" applyFont="1" applyBorder="1"/>
    <xf numFmtId="0" fontId="2" fillId="0" borderId="23" xfId="0" applyFont="1" applyBorder="1"/>
    <xf numFmtId="0" fontId="2" fillId="0" borderId="25" xfId="0" applyFont="1" applyBorder="1"/>
    <xf numFmtId="0" fontId="2" fillId="0" borderId="3" xfId="0" applyFont="1" applyBorder="1"/>
    <xf numFmtId="0" fontId="3" fillId="0" borderId="39" xfId="0" applyFont="1" applyBorder="1"/>
    <xf numFmtId="39" fontId="2" fillId="0" borderId="23" xfId="1" applyNumberFormat="1" applyFont="1" applyBorder="1" applyProtection="1"/>
    <xf numFmtId="0" fontId="0" fillId="0" borderId="23" xfId="0" applyBorder="1" applyAlignment="1" applyProtection="1">
      <alignment horizontal="centerContinuous"/>
      <protection locked="0"/>
    </xf>
    <xf numFmtId="0" fontId="22" fillId="0" borderId="23" xfId="0" applyFont="1" applyBorder="1" applyAlignment="1" applyProtection="1">
      <alignment horizontal="centerContinuous"/>
      <protection locked="0"/>
    </xf>
    <xf numFmtId="0" fontId="3" fillId="0" borderId="42" xfId="0" applyFont="1" applyBorder="1"/>
    <xf numFmtId="0" fontId="2" fillId="0" borderId="42" xfId="0" applyFont="1" applyBorder="1"/>
    <xf numFmtId="0" fontId="2" fillId="0" borderId="14" xfId="0" applyFont="1" applyBorder="1"/>
    <xf numFmtId="0" fontId="0" fillId="8" borderId="4" xfId="0" applyFill="1" applyBorder="1" applyAlignment="1">
      <alignment vertical="center" shrinkToFit="1"/>
    </xf>
    <xf numFmtId="0" fontId="18" fillId="0" borderId="2" xfId="0" applyFont="1" applyBorder="1" applyAlignment="1">
      <alignment horizontal="center"/>
    </xf>
    <xf numFmtId="49" fontId="110" fillId="0" borderId="2" xfId="2" applyNumberFormat="1" applyFont="1" applyBorder="1" applyAlignment="1" applyProtection="1">
      <alignment horizontal="left" vertical="center" wrapText="1"/>
      <protection locked="0"/>
    </xf>
    <xf numFmtId="39" fontId="111" fillId="0" borderId="3" xfId="0" applyNumberFormat="1" applyFont="1" applyBorder="1" applyAlignment="1">
      <alignment vertical="center"/>
    </xf>
    <xf numFmtId="0" fontId="0" fillId="0" borderId="4" xfId="1" applyNumberFormat="1" applyFont="1" applyBorder="1" applyAlignment="1" applyProtection="1">
      <alignment vertical="center"/>
      <protection locked="0"/>
    </xf>
    <xf numFmtId="39" fontId="111" fillId="0" borderId="45" xfId="0" applyNumberFormat="1" applyFont="1" applyBorder="1" applyAlignment="1">
      <alignment vertical="center"/>
    </xf>
    <xf numFmtId="0" fontId="2" fillId="0" borderId="4" xfId="1" applyNumberFormat="1" applyFont="1" applyBorder="1" applyAlignment="1" applyProtection="1">
      <alignment vertical="center"/>
      <protection locked="0"/>
    </xf>
    <xf numFmtId="49" fontId="112" fillId="0" borderId="2" xfId="2" applyNumberFormat="1" applyFont="1" applyBorder="1" applyAlignment="1" applyProtection="1">
      <alignment horizontal="left" vertical="center" wrapText="1"/>
      <protection locked="0"/>
    </xf>
    <xf numFmtId="39" fontId="113" fillId="0" borderId="3" xfId="0" applyNumberFormat="1" applyFont="1" applyBorder="1" applyAlignment="1">
      <alignment vertical="center"/>
    </xf>
    <xf numFmtId="49" fontId="114" fillId="0" borderId="2" xfId="2" applyNumberFormat="1" applyFont="1" applyBorder="1" applyAlignment="1" applyProtection="1">
      <alignment horizontal="left" vertical="center" wrapText="1"/>
      <protection locked="0"/>
    </xf>
    <xf numFmtId="39" fontId="115" fillId="0" borderId="3" xfId="0" applyNumberFormat="1" applyFont="1" applyBorder="1" applyAlignment="1">
      <alignment vertical="center"/>
    </xf>
    <xf numFmtId="49" fontId="116" fillId="0" borderId="2" xfId="2" applyNumberFormat="1" applyFont="1" applyBorder="1" applyAlignment="1" applyProtection="1">
      <alignment horizontal="left" vertical="center" wrapText="1"/>
      <protection locked="0"/>
    </xf>
    <xf numFmtId="39" fontId="117" fillId="0" borderId="3" xfId="0" applyNumberFormat="1" applyFont="1" applyBorder="1" applyAlignment="1">
      <alignment vertical="center"/>
    </xf>
    <xf numFmtId="49" fontId="118" fillId="0" borderId="2" xfId="2" applyNumberFormat="1" applyFont="1" applyBorder="1" applyAlignment="1" applyProtection="1">
      <alignment horizontal="left" vertical="center" wrapText="1"/>
      <protection locked="0"/>
    </xf>
    <xf numFmtId="39" fontId="119" fillId="0" borderId="3" xfId="0" applyNumberFormat="1" applyFont="1" applyBorder="1" applyAlignment="1">
      <alignment vertical="center"/>
    </xf>
    <xf numFmtId="164" fontId="2" fillId="0" borderId="0" xfId="1" applyFont="1" applyAlignment="1" applyProtection="1">
      <alignment vertical="center"/>
      <protection locked="0"/>
    </xf>
    <xf numFmtId="0" fontId="120" fillId="0" borderId="0" xfId="0" applyFont="1"/>
    <xf numFmtId="49" fontId="2" fillId="0" borderId="0" xfId="1" applyNumberFormat="1" applyFont="1" applyAlignment="1" applyProtection="1">
      <alignment vertical="center"/>
      <protection locked="0"/>
    </xf>
    <xf numFmtId="0" fontId="2" fillId="0" borderId="40" xfId="0" applyFont="1" applyBorder="1" applyAlignment="1">
      <alignment vertical="top" wrapText="1"/>
    </xf>
    <xf numFmtId="0" fontId="2" fillId="0" borderId="0" xfId="0" applyFont="1" applyAlignment="1">
      <alignment vertical="top" wrapText="1"/>
    </xf>
    <xf numFmtId="0" fontId="2" fillId="0" borderId="23" xfId="0" applyFont="1" applyBorder="1" applyAlignment="1">
      <alignment vertical="top" wrapText="1"/>
    </xf>
    <xf numFmtId="49" fontId="121" fillId="0" borderId="6" xfId="0" applyNumberFormat="1" applyFont="1" applyBorder="1" applyAlignment="1">
      <alignment horizontal="left"/>
    </xf>
    <xf numFmtId="0" fontId="121" fillId="0" borderId="2" xfId="0" applyFont="1" applyBorder="1"/>
    <xf numFmtId="0" fontId="121" fillId="0" borderId="2" xfId="0" applyFont="1" applyBorder="1" applyAlignment="1" applyProtection="1">
      <alignment horizontal="center"/>
      <protection locked="0"/>
    </xf>
    <xf numFmtId="49" fontId="121" fillId="0" borderId="3" xfId="0" applyNumberFormat="1" applyFont="1" applyBorder="1" applyAlignment="1">
      <alignment horizontal="center"/>
    </xf>
    <xf numFmtId="0" fontId="0" fillId="0" borderId="0" xfId="0" applyNumberFormat="1"/>
    <xf numFmtId="0" fontId="2" fillId="0" borderId="2" xfId="0" quotePrefix="1" applyFont="1" applyBorder="1" applyAlignment="1">
      <alignment horizontal="center"/>
    </xf>
    <xf numFmtId="0" fontId="2" fillId="0" borderId="0" xfId="0" quotePrefix="1" applyFont="1" applyAlignment="1">
      <alignment horizontal="center"/>
    </xf>
    <xf numFmtId="0" fontId="2" fillId="0" borderId="3" xfId="0" applyFont="1" applyBorder="1" applyAlignment="1">
      <alignment vertical="top" wrapText="1"/>
    </xf>
    <xf numFmtId="0" fontId="2" fillId="0" borderId="7" xfId="0" applyFont="1" applyBorder="1" applyAlignment="1">
      <alignment vertical="top" wrapText="1"/>
    </xf>
    <xf numFmtId="0" fontId="2" fillId="0" borderId="6" xfId="0" applyFont="1" applyBorder="1" applyAlignment="1">
      <alignment vertical="top" wrapText="1"/>
    </xf>
    <xf numFmtId="0" fontId="2" fillId="0" borderId="2" xfId="0" applyFont="1" applyBorder="1"/>
    <xf numFmtId="191" fontId="2" fillId="0" borderId="2" xfId="0" applyNumberFormat="1" applyFont="1" applyBorder="1" applyAlignment="1" applyProtection="1">
      <alignment horizontal="center" vertical="center"/>
      <protection locked="0"/>
    </xf>
    <xf numFmtId="0" fontId="28" fillId="0" borderId="2" xfId="0" applyFont="1" applyBorder="1" applyAlignment="1">
      <alignment shrinkToFit="1"/>
    </xf>
    <xf numFmtId="49" fontId="2" fillId="0" borderId="2" xfId="1" quotePrefix="1" applyNumberFormat="1" applyFont="1" applyBorder="1" applyAlignment="1" applyProtection="1">
      <alignment horizontal="center" vertical="center"/>
      <protection locked="0"/>
    </xf>
    <xf numFmtId="49" fontId="122" fillId="0" borderId="2" xfId="0" applyNumberFormat="1" applyFont="1" applyBorder="1" applyAlignment="1" applyProtection="1">
      <alignment horizontal="justify" vertical="top" wrapText="1"/>
      <protection locked="0"/>
    </xf>
    <xf numFmtId="49" fontId="17" fillId="0" borderId="2" xfId="0" applyNumberFormat="1" applyFont="1" applyBorder="1" applyAlignment="1" applyProtection="1">
      <alignment horizontal="center" vertical="center"/>
      <protection locked="0"/>
    </xf>
    <xf numFmtId="49" fontId="28" fillId="0" borderId="2" xfId="0" applyNumberFormat="1" applyFont="1" applyBorder="1" applyAlignment="1" applyProtection="1">
      <alignment vertical="center" wrapText="1"/>
      <protection locked="0"/>
    </xf>
    <xf numFmtId="49" fontId="17" fillId="0" borderId="2" xfId="1" applyNumberFormat="1" applyFont="1" applyBorder="1" applyAlignment="1" applyProtection="1">
      <alignment horizontal="center" vertical="center"/>
      <protection locked="0"/>
    </xf>
    <xf numFmtId="164" fontId="17" fillId="0" borderId="2" xfId="1" applyFont="1" applyBorder="1" applyAlignment="1" applyProtection="1">
      <alignment vertical="center"/>
      <protection locked="0"/>
    </xf>
    <xf numFmtId="49" fontId="122" fillId="0" borderId="2" xfId="0" applyNumberFormat="1" applyFont="1" applyBorder="1" applyAlignment="1" applyProtection="1">
      <alignment horizontal="center" vertical="center"/>
      <protection locked="0"/>
    </xf>
    <xf numFmtId="0" fontId="17" fillId="0" borderId="2" xfId="0" applyFont="1" applyBorder="1" applyAlignment="1">
      <alignment shrinkToFit="1"/>
    </xf>
    <xf numFmtId="49" fontId="17" fillId="0" borderId="2" xfId="1" applyNumberFormat="1" applyFont="1" applyFill="1" applyBorder="1" applyAlignment="1" applyProtection="1">
      <alignment horizontal="center" vertical="center"/>
      <protection locked="0"/>
    </xf>
    <xf numFmtId="49" fontId="17" fillId="0" borderId="2" xfId="0" applyNumberFormat="1" applyFont="1" applyBorder="1" applyAlignment="1" applyProtection="1">
      <alignment horizontal="center" vertical="center" shrinkToFit="1"/>
      <protection locked="0"/>
    </xf>
    <xf numFmtId="49" fontId="17" fillId="0" borderId="2" xfId="1" quotePrefix="1" applyNumberFormat="1" applyFont="1" applyBorder="1" applyAlignment="1" applyProtection="1">
      <alignment horizontal="center" vertical="center"/>
      <protection locked="0"/>
    </xf>
    <xf numFmtId="0" fontId="17" fillId="0" borderId="4" xfId="0" applyFont="1" applyBorder="1" applyAlignment="1">
      <alignment shrinkToFit="1"/>
    </xf>
    <xf numFmtId="49" fontId="17" fillId="0" borderId="4" xfId="1" quotePrefix="1" applyNumberFormat="1" applyFont="1" applyBorder="1" applyAlignment="1" applyProtection="1">
      <alignment horizontal="center" vertical="center"/>
      <protection locked="0"/>
    </xf>
    <xf numFmtId="164" fontId="17" fillId="0" borderId="4" xfId="1" applyFont="1" applyBorder="1" applyAlignment="1" applyProtection="1">
      <alignment vertical="center"/>
      <protection locked="0"/>
    </xf>
    <xf numFmtId="49" fontId="122" fillId="0" borderId="2" xfId="0" applyNumberFormat="1" applyFont="1" applyBorder="1" applyAlignment="1" applyProtection="1">
      <alignment horizontal="justify" vertical="center" wrapText="1"/>
      <protection locked="0"/>
    </xf>
    <xf numFmtId="0" fontId="17" fillId="0" borderId="2" xfId="13" quotePrefix="1" applyFont="1" applyBorder="1" applyAlignment="1" applyProtection="1">
      <alignment horizontal="center" vertical="center" shrinkToFit="1"/>
      <protection locked="0"/>
    </xf>
    <xf numFmtId="0" fontId="17" fillId="0" borderId="2" xfId="0" applyFont="1" applyBorder="1" applyAlignment="1">
      <alignment vertical="center" shrinkToFit="1"/>
    </xf>
    <xf numFmtId="49" fontId="17" fillId="0" borderId="2" xfId="14" applyNumberFormat="1" applyFont="1" applyBorder="1" applyAlignment="1" applyProtection="1">
      <alignment horizontal="center" vertical="center"/>
      <protection locked="0"/>
    </xf>
    <xf numFmtId="43" fontId="17" fillId="0" borderId="2" xfId="14" applyFont="1" applyBorder="1" applyAlignment="1" applyProtection="1">
      <alignment vertical="center"/>
      <protection locked="0"/>
    </xf>
    <xf numFmtId="164" fontId="0" fillId="0" borderId="2" xfId="1" quotePrefix="1" applyFont="1" applyBorder="1" applyAlignment="1" applyProtection="1">
      <alignment vertical="center"/>
      <protection locked="0"/>
    </xf>
    <xf numFmtId="49" fontId="2" fillId="0" borderId="2" xfId="0" quotePrefix="1" applyNumberFormat="1" applyFont="1" applyBorder="1" applyAlignment="1" applyProtection="1">
      <alignment horizontal="center" vertical="center" shrinkToFit="1"/>
      <protection locked="0"/>
    </xf>
    <xf numFmtId="49" fontId="91" fillId="0" borderId="4" xfId="2" applyNumberFormat="1" applyFont="1" applyBorder="1" applyAlignment="1" applyProtection="1">
      <alignment horizontal="center"/>
      <protection locked="0"/>
    </xf>
    <xf numFmtId="49" fontId="0" fillId="0" borderId="2" xfId="1" quotePrefix="1" applyNumberFormat="1" applyFont="1" applyBorder="1" applyAlignment="1" applyProtection="1">
      <alignment horizontal="center" vertical="center"/>
      <protection locked="0"/>
    </xf>
    <xf numFmtId="49" fontId="22" fillId="0" borderId="2" xfId="0" applyNumberFormat="1" applyFont="1" applyBorder="1" applyAlignment="1" applyProtection="1">
      <alignment horizontal="left" vertical="center" wrapText="1" shrinkToFit="1"/>
      <protection locked="0"/>
    </xf>
    <xf numFmtId="49" fontId="17" fillId="0" borderId="2" xfId="1" quotePrefix="1" applyNumberFormat="1" applyFont="1" applyFill="1" applyBorder="1" applyAlignment="1" applyProtection="1">
      <alignment horizontal="center" vertical="center"/>
      <protection locked="0"/>
    </xf>
    <xf numFmtId="49" fontId="17" fillId="0" borderId="4" xfId="1" applyNumberFormat="1" applyFont="1" applyBorder="1" applyAlignment="1" applyProtection="1">
      <alignment horizontal="center" vertical="center"/>
      <protection locked="0"/>
    </xf>
    <xf numFmtId="164" fontId="99" fillId="0" borderId="2" xfId="1" applyFont="1" applyBorder="1" applyAlignment="1" applyProtection="1">
      <alignment vertical="center"/>
      <protection locked="0"/>
    </xf>
    <xf numFmtId="49" fontId="122" fillId="0" borderId="4" xfId="0" applyNumberFormat="1" applyFont="1" applyBorder="1" applyAlignment="1" applyProtection="1">
      <alignment horizontal="justify" vertical="center" wrapText="1"/>
      <protection locked="0"/>
    </xf>
    <xf numFmtId="164" fontId="17" fillId="0" borderId="2" xfId="1" applyFont="1" applyFill="1" applyBorder="1" applyAlignment="1" applyProtection="1">
      <alignment vertical="center"/>
      <protection locked="0"/>
    </xf>
    <xf numFmtId="49" fontId="122" fillId="0" borderId="97" xfId="0" applyNumberFormat="1" applyFont="1" applyBorder="1" applyAlignment="1">
      <alignment horizontal="left" vertical="center" wrapText="1"/>
    </xf>
    <xf numFmtId="43" fontId="17" fillId="0" borderId="4" xfId="14" applyFont="1" applyBorder="1" applyAlignment="1" applyProtection="1">
      <alignment vertical="center"/>
      <protection locked="0"/>
    </xf>
    <xf numFmtId="49" fontId="99" fillId="0" borderId="2" xfId="15" applyNumberFormat="1" applyFont="1" applyBorder="1" applyAlignment="1" applyProtection="1">
      <alignment horizontal="left" vertical="center" wrapText="1" shrinkToFit="1"/>
      <protection locked="0"/>
    </xf>
    <xf numFmtId="49" fontId="0" fillId="0" borderId="6" xfId="0" quotePrefix="1" applyNumberFormat="1" applyBorder="1" applyAlignment="1" applyProtection="1">
      <alignment horizontal="center"/>
      <protection locked="0"/>
    </xf>
    <xf numFmtId="164" fontId="0" fillId="0" borderId="2" xfId="1" applyFont="1" applyFill="1" applyBorder="1" applyAlignment="1" applyProtection="1">
      <protection locked="0"/>
    </xf>
    <xf numFmtId="164" fontId="0" fillId="0" borderId="4" xfId="1" applyFont="1" applyBorder="1" applyAlignment="1" applyProtection="1">
      <alignment vertical="center"/>
      <protection locked="0"/>
    </xf>
    <xf numFmtId="43" fontId="13" fillId="0" borderId="2" xfId="0" applyNumberFormat="1" applyFont="1" applyBorder="1" applyAlignment="1">
      <alignment vertical="center"/>
    </xf>
    <xf numFmtId="191" fontId="28" fillId="0" borderId="2" xfId="0" applyNumberFormat="1" applyFont="1" applyBorder="1" applyAlignment="1" applyProtection="1">
      <alignment horizontal="center" vertical="center"/>
      <protection locked="0"/>
    </xf>
    <xf numFmtId="49" fontId="122" fillId="0" borderId="2" xfId="0" applyNumberFormat="1" applyFont="1" applyBorder="1" applyAlignment="1" applyProtection="1">
      <alignment horizontal="center" vertical="center" shrinkToFit="1"/>
      <protection locked="0"/>
    </xf>
    <xf numFmtId="0" fontId="28" fillId="0" borderId="4" xfId="0" applyFont="1" applyBorder="1" applyAlignment="1">
      <alignment shrinkToFit="1"/>
    </xf>
    <xf numFmtId="49" fontId="28" fillId="0" borderId="4" xfId="1" applyNumberFormat="1" applyFont="1" applyBorder="1" applyAlignment="1" applyProtection="1">
      <alignment horizontal="center" vertical="center"/>
      <protection locked="0"/>
    </xf>
    <xf numFmtId="164" fontId="28" fillId="0" borderId="4" xfId="1" applyFont="1" applyBorder="1" applyAlignment="1" applyProtection="1">
      <alignment vertical="center"/>
      <protection locked="0"/>
    </xf>
    <xf numFmtId="43" fontId="123" fillId="0" borderId="2" xfId="0" applyNumberFormat="1" applyFont="1" applyBorder="1" applyAlignment="1">
      <alignment vertical="center"/>
    </xf>
    <xf numFmtId="49" fontId="122" fillId="0" borderId="4" xfId="1" quotePrefix="1" applyNumberFormat="1" applyFont="1" applyBorder="1" applyAlignment="1" applyProtection="1">
      <alignment horizontal="center" vertical="center"/>
      <protection locked="0"/>
    </xf>
    <xf numFmtId="164" fontId="122" fillId="0" borderId="4" xfId="1" applyFont="1" applyBorder="1" applyAlignment="1" applyProtection="1">
      <alignment vertical="center"/>
      <protection locked="0"/>
    </xf>
    <xf numFmtId="0" fontId="122" fillId="0" borderId="2" xfId="0" applyFont="1" applyBorder="1" applyAlignment="1">
      <alignment shrinkToFit="1"/>
    </xf>
    <xf numFmtId="49" fontId="122" fillId="0" borderId="2" xfId="1" quotePrefix="1" applyNumberFormat="1" applyFont="1" applyBorder="1" applyAlignment="1" applyProtection="1">
      <alignment horizontal="center" vertical="center"/>
      <protection locked="0"/>
    </xf>
    <xf numFmtId="164" fontId="122" fillId="0" borderId="2" xfId="1" applyFont="1" applyBorder="1" applyAlignment="1" applyProtection="1">
      <alignment vertical="center"/>
      <protection locked="0"/>
    </xf>
    <xf numFmtId="0" fontId="122" fillId="0" borderId="2" xfId="13" quotePrefix="1" applyFont="1" applyBorder="1" applyAlignment="1" applyProtection="1">
      <alignment horizontal="center" vertical="center" shrinkToFit="1"/>
      <protection locked="0"/>
    </xf>
    <xf numFmtId="49" fontId="122" fillId="0" borderId="4" xfId="1" applyNumberFormat="1" applyFont="1" applyBorder="1" applyAlignment="1" applyProtection="1">
      <alignment horizontal="center" vertical="center"/>
      <protection locked="0"/>
    </xf>
    <xf numFmtId="43" fontId="28" fillId="0" borderId="0" xfId="0" applyNumberFormat="1" applyFont="1"/>
    <xf numFmtId="49" fontId="28" fillId="0" borderId="2" xfId="1" applyNumberFormat="1" applyFont="1" applyBorder="1" applyAlignment="1" applyProtection="1">
      <alignment horizontal="center" vertical="center"/>
      <protection locked="0"/>
    </xf>
    <xf numFmtId="164" fontId="28" fillId="0" borderId="2" xfId="1" applyFont="1" applyBorder="1" applyAlignment="1" applyProtection="1">
      <alignment vertical="center"/>
      <protection locked="0"/>
    </xf>
    <xf numFmtId="49" fontId="122" fillId="0" borderId="2" xfId="1" applyNumberFormat="1" applyFont="1" applyBorder="1" applyAlignment="1" applyProtection="1">
      <alignment horizontal="center" vertical="center"/>
      <protection locked="0"/>
    </xf>
    <xf numFmtId="0" fontId="122" fillId="0" borderId="2" xfId="0" applyFont="1" applyBorder="1" applyAlignment="1">
      <alignment horizontal="center"/>
    </xf>
    <xf numFmtId="191" fontId="122" fillId="0" borderId="2" xfId="0" applyNumberFormat="1" applyFont="1" applyBorder="1" applyAlignment="1" applyProtection="1">
      <alignment horizontal="center" vertical="center"/>
      <protection locked="0"/>
    </xf>
    <xf numFmtId="0" fontId="122" fillId="0" borderId="45" xfId="0" applyFont="1" applyBorder="1" applyAlignment="1">
      <alignment vertical="top" wrapText="1"/>
    </xf>
    <xf numFmtId="49" fontId="122" fillId="0" borderId="2" xfId="0" quotePrefix="1" applyNumberFormat="1" applyFont="1" applyBorder="1" applyAlignment="1" applyProtection="1">
      <alignment horizontal="center" vertical="center" shrinkToFit="1"/>
      <protection locked="0"/>
    </xf>
    <xf numFmtId="164" fontId="122" fillId="0" borderId="2" xfId="1" applyFont="1" applyFill="1" applyBorder="1" applyAlignment="1" applyProtection="1">
      <alignment horizontal="left" vertical="center"/>
      <protection locked="0"/>
    </xf>
    <xf numFmtId="43" fontId="122" fillId="0" borderId="2" xfId="0" applyNumberFormat="1" applyFont="1" applyBorder="1" applyAlignment="1">
      <alignment vertical="center"/>
    </xf>
    <xf numFmtId="0" fontId="122" fillId="0" borderId="2" xfId="0" applyFont="1" applyBorder="1"/>
    <xf numFmtId="49" fontId="122" fillId="0" borderId="2" xfId="0" applyNumberFormat="1" applyFont="1" applyBorder="1" applyAlignment="1" applyProtection="1">
      <alignment horizontal="center"/>
      <protection locked="0"/>
    </xf>
    <xf numFmtId="49" fontId="28" fillId="0" borderId="2" xfId="0" quotePrefix="1" applyNumberFormat="1" applyFont="1" applyBorder="1" applyAlignment="1" applyProtection="1">
      <alignment horizontal="center" vertical="center" shrinkToFit="1"/>
      <protection locked="0"/>
    </xf>
    <xf numFmtId="164" fontId="28" fillId="0" borderId="2" xfId="1" applyFont="1" applyBorder="1" applyAlignment="1" applyProtection="1">
      <alignment vertical="center" shrinkToFit="1"/>
      <protection locked="0"/>
    </xf>
    <xf numFmtId="49" fontId="28" fillId="0" borderId="2" xfId="0" applyNumberFormat="1" applyFont="1" applyBorder="1" applyAlignment="1" applyProtection="1">
      <alignment horizontal="center" vertical="center"/>
      <protection locked="0"/>
    </xf>
    <xf numFmtId="49" fontId="28" fillId="0" borderId="2" xfId="14" applyNumberFormat="1" applyFont="1" applyBorder="1" applyAlignment="1" applyProtection="1">
      <alignment horizontal="center" vertical="center"/>
      <protection locked="0"/>
    </xf>
    <xf numFmtId="43" fontId="28" fillId="0" borderId="2" xfId="14" applyFont="1" applyBorder="1" applyAlignment="1" applyProtection="1">
      <alignment vertical="center"/>
      <protection locked="0"/>
    </xf>
    <xf numFmtId="49" fontId="28" fillId="0" borderId="2" xfId="1" applyNumberFormat="1" applyFont="1" applyFill="1" applyBorder="1" applyAlignment="1" applyProtection="1">
      <alignment horizontal="center" vertical="center"/>
      <protection locked="0"/>
    </xf>
    <xf numFmtId="0" fontId="122" fillId="0" borderId="2" xfId="0" applyFont="1" applyBorder="1" applyAlignment="1">
      <alignment vertical="center"/>
    </xf>
    <xf numFmtId="49" fontId="28" fillId="0" borderId="2" xfId="0" applyNumberFormat="1" applyFont="1" applyBorder="1" applyAlignment="1" applyProtection="1">
      <alignment horizontal="left" vertical="center" wrapText="1" shrinkToFit="1"/>
      <protection locked="0"/>
    </xf>
    <xf numFmtId="49" fontId="28" fillId="0" borderId="4" xfId="1" quotePrefix="1" applyNumberFormat="1" applyFont="1" applyBorder="1" applyAlignment="1" applyProtection="1">
      <alignment horizontal="center" vertical="center"/>
      <protection locked="0"/>
    </xf>
    <xf numFmtId="49" fontId="124" fillId="0" borderId="2" xfId="0" applyNumberFormat="1" applyFont="1" applyBorder="1" applyAlignment="1" applyProtection="1">
      <alignment horizontal="justify" vertical="center" wrapText="1"/>
      <protection locked="0"/>
    </xf>
    <xf numFmtId="49" fontId="17" fillId="0" borderId="4" xfId="11" applyNumberFormat="1" applyFont="1" applyBorder="1" applyAlignment="1" applyProtection="1">
      <alignment horizontal="center" vertical="center"/>
      <protection locked="0"/>
    </xf>
    <xf numFmtId="43" fontId="17" fillId="0" borderId="4" xfId="11" applyFont="1" applyBorder="1" applyAlignment="1" applyProtection="1">
      <alignment vertical="center"/>
      <protection locked="0"/>
    </xf>
    <xf numFmtId="43" fontId="17" fillId="0" borderId="2" xfId="11" applyFont="1" applyBorder="1" applyAlignment="1" applyProtection="1">
      <alignment vertical="center"/>
      <protection locked="0"/>
    </xf>
    <xf numFmtId="49" fontId="28" fillId="0" borderId="2" xfId="10" applyNumberFormat="1" applyFont="1" applyBorder="1" applyAlignment="1" applyProtection="1">
      <alignment horizontal="justify" vertical="center" wrapText="1"/>
      <protection locked="0"/>
    </xf>
    <xf numFmtId="49" fontId="17" fillId="0" borderId="2" xfId="10" applyNumberFormat="1" applyFont="1" applyBorder="1" applyAlignment="1" applyProtection="1">
      <alignment horizontal="center"/>
      <protection locked="0"/>
    </xf>
    <xf numFmtId="49" fontId="17" fillId="0" borderId="4" xfId="14" applyNumberFormat="1" applyFont="1" applyBorder="1" applyAlignment="1" applyProtection="1">
      <alignment horizontal="center" vertical="center"/>
      <protection locked="0"/>
    </xf>
    <xf numFmtId="49" fontId="28" fillId="0" borderId="2" xfId="10" applyNumberFormat="1" applyFont="1" applyBorder="1" applyAlignment="1" applyProtection="1">
      <alignment vertical="center" wrapText="1"/>
      <protection locked="0"/>
    </xf>
    <xf numFmtId="49" fontId="17" fillId="0" borderId="2" xfId="10" quotePrefix="1" applyNumberFormat="1" applyFont="1" applyBorder="1" applyAlignment="1" applyProtection="1">
      <alignment horizontal="center" vertical="center" shrinkToFit="1"/>
      <protection locked="0"/>
    </xf>
    <xf numFmtId="43" fontId="17" fillId="0" borderId="2" xfId="14" applyFont="1" applyBorder="1" applyAlignment="1" applyProtection="1">
      <alignment vertical="center" shrinkToFit="1"/>
      <protection locked="0"/>
    </xf>
    <xf numFmtId="49" fontId="122" fillId="0" borderId="2" xfId="14" applyNumberFormat="1" applyFont="1" applyBorder="1" applyAlignment="1" applyProtection="1">
      <alignment horizontal="center" vertical="center"/>
      <protection locked="0"/>
    </xf>
    <xf numFmtId="43" fontId="122" fillId="0" borderId="2" xfId="14" applyFont="1" applyBorder="1" applyAlignment="1" applyProtection="1">
      <alignment vertical="center"/>
      <protection locked="0"/>
    </xf>
    <xf numFmtId="49" fontId="122" fillId="0" borderId="2" xfId="1" applyNumberFormat="1" applyFont="1" applyFill="1" applyBorder="1" applyAlignment="1" applyProtection="1">
      <alignment horizontal="center" vertical="center"/>
      <protection locked="0"/>
    </xf>
    <xf numFmtId="0" fontId="122" fillId="0" borderId="4" xfId="0" applyFont="1" applyBorder="1" applyAlignment="1">
      <alignment shrinkToFit="1"/>
    </xf>
    <xf numFmtId="49" fontId="122" fillId="0" borderId="4" xfId="1" applyNumberFormat="1" applyFont="1" applyFill="1" applyBorder="1" applyAlignment="1" applyProtection="1">
      <alignment horizontal="center" vertical="center"/>
      <protection locked="0"/>
    </xf>
    <xf numFmtId="43" fontId="123" fillId="0" borderId="4" xfId="0" applyNumberFormat="1" applyFont="1" applyBorder="1" applyAlignment="1">
      <alignment vertical="center"/>
    </xf>
    <xf numFmtId="0" fontId="17" fillId="27" borderId="2" xfId="0" quotePrefix="1" applyFont="1" applyFill="1" applyBorder="1" applyAlignment="1">
      <alignment horizontal="center" wrapText="1"/>
    </xf>
    <xf numFmtId="4" fontId="17" fillId="27" borderId="2" xfId="0" applyNumberFormat="1" applyFont="1" applyFill="1" applyBorder="1" applyAlignment="1">
      <alignment horizontal="right" wrapText="1"/>
    </xf>
    <xf numFmtId="0" fontId="17" fillId="27" borderId="2" xfId="0" applyFont="1" applyFill="1" applyBorder="1" applyAlignment="1">
      <alignment wrapText="1"/>
    </xf>
    <xf numFmtId="0" fontId="17" fillId="28" borderId="2" xfId="0" quotePrefix="1" applyFont="1" applyFill="1" applyBorder="1" applyAlignment="1">
      <alignment horizontal="center" wrapText="1"/>
    </xf>
    <xf numFmtId="0" fontId="17" fillId="28" borderId="2" xfId="0" applyFont="1" applyFill="1" applyBorder="1" applyAlignment="1">
      <alignment wrapText="1"/>
    </xf>
    <xf numFmtId="4" fontId="17" fillId="28" borderId="2" xfId="0" applyNumberFormat="1" applyFont="1" applyFill="1" applyBorder="1" applyAlignment="1">
      <alignment horizontal="right" wrapText="1"/>
    </xf>
    <xf numFmtId="43" fontId="28" fillId="0" borderId="4" xfId="14" applyFont="1" applyBorder="1" applyAlignment="1" applyProtection="1">
      <alignment vertical="center"/>
      <protection locked="0"/>
    </xf>
    <xf numFmtId="49" fontId="0" fillId="0" borderId="4" xfId="11" applyNumberFormat="1" applyFont="1" applyBorder="1" applyAlignment="1" applyProtection="1">
      <alignment horizontal="center" vertical="center"/>
      <protection locked="0"/>
    </xf>
    <xf numFmtId="43" fontId="0" fillId="0" borderId="4" xfId="11" applyFont="1" applyBorder="1" applyAlignment="1" applyProtection="1">
      <alignment vertical="center"/>
      <protection locked="0"/>
    </xf>
    <xf numFmtId="43" fontId="0" fillId="0" borderId="2" xfId="11" applyFont="1" applyBorder="1" applyAlignment="1" applyProtection="1">
      <alignment vertical="center"/>
      <protection locked="0"/>
    </xf>
    <xf numFmtId="49" fontId="2" fillId="0" borderId="4" xfId="16" applyNumberFormat="1" applyFont="1" applyBorder="1" applyAlignment="1" applyProtection="1">
      <alignment horizontal="center" vertical="center"/>
      <protection locked="0"/>
    </xf>
    <xf numFmtId="43" fontId="2" fillId="0" borderId="4" xfId="16" applyFont="1" applyBorder="1" applyAlignment="1" applyProtection="1">
      <alignment vertical="center"/>
      <protection locked="0"/>
    </xf>
    <xf numFmtId="43" fontId="2" fillId="0" borderId="2" xfId="16" applyFont="1" applyBorder="1" applyAlignment="1" applyProtection="1">
      <alignment vertical="center"/>
      <protection locked="0"/>
    </xf>
    <xf numFmtId="49" fontId="28" fillId="0" borderId="2" xfId="0" applyNumberFormat="1" applyFont="1" applyBorder="1" applyAlignment="1" applyProtection="1">
      <alignment horizontal="center" vertical="center" shrinkToFit="1"/>
      <protection locked="0"/>
    </xf>
    <xf numFmtId="49" fontId="2" fillId="0" borderId="2" xfId="10" applyNumberFormat="1" applyBorder="1" applyAlignment="1" applyProtection="1">
      <alignment horizontal="center"/>
      <protection locked="0"/>
    </xf>
    <xf numFmtId="43" fontId="2" fillId="0" borderId="2" xfId="14" applyFont="1" applyBorder="1" applyAlignment="1" applyProtection="1">
      <protection locked="0"/>
    </xf>
    <xf numFmtId="49" fontId="28" fillId="0" borderId="2" xfId="15" applyNumberFormat="1" applyFont="1" applyBorder="1" applyAlignment="1" applyProtection="1">
      <alignment horizontal="left" vertical="center" wrapText="1" shrinkToFit="1"/>
      <protection locked="0"/>
    </xf>
    <xf numFmtId="49" fontId="2" fillId="0" borderId="2" xfId="1" quotePrefix="1" applyNumberFormat="1" applyFont="1" applyFill="1" applyBorder="1" applyAlignment="1" applyProtection="1">
      <alignment horizontal="center" vertical="center"/>
      <protection locked="0"/>
    </xf>
    <xf numFmtId="49" fontId="0" fillId="0" borderId="99" xfId="0" applyNumberFormat="1" applyBorder="1" applyAlignment="1" applyProtection="1">
      <alignment horizontal="center" vertical="center" shrinkToFit="1"/>
      <protection locked="0"/>
    </xf>
    <xf numFmtId="164" fontId="125" fillId="29" borderId="98" xfId="1" applyNumberFormat="1" applyFont="1" applyFill="1" applyBorder="1" applyAlignment="1">
      <alignment vertical="center" shrinkToFit="1"/>
    </xf>
    <xf numFmtId="191" fontId="0" fillId="0" borderId="103" xfId="0" applyNumberFormat="1" applyBorder="1" applyAlignment="1" applyProtection="1">
      <alignment horizontal="center" vertical="center"/>
      <protection locked="0"/>
    </xf>
    <xf numFmtId="191" fontId="0" fillId="0" borderId="99" xfId="0" applyNumberFormat="1" applyBorder="1" applyAlignment="1" applyProtection="1">
      <alignment horizontal="center" vertical="center" shrinkToFit="1"/>
      <protection locked="0"/>
    </xf>
    <xf numFmtId="49" fontId="0" fillId="0" borderId="99" xfId="0" applyNumberFormat="1" applyBorder="1" applyAlignment="1" applyProtection="1">
      <alignment horizontal="center" vertical="center"/>
      <protection locked="0"/>
    </xf>
    <xf numFmtId="49" fontId="0" fillId="0" borderId="99" xfId="0" applyNumberFormat="1" applyBorder="1" applyAlignment="1" applyProtection="1">
      <alignment horizontal="left" vertical="center" wrapText="1" shrinkToFit="1"/>
      <protection locked="0"/>
    </xf>
    <xf numFmtId="49" fontId="126" fillId="0" borderId="99" xfId="0" applyNumberFormat="1" applyFont="1" applyBorder="1" applyAlignment="1" applyProtection="1">
      <alignment horizontal="left" vertical="center" wrapText="1"/>
      <protection locked="0"/>
    </xf>
    <xf numFmtId="0" fontId="0" fillId="8" borderId="99" xfId="0" applyFill="1" applyBorder="1" applyAlignment="1">
      <alignment vertical="center" shrinkToFit="1"/>
    </xf>
    <xf numFmtId="49" fontId="0" fillId="0" borderId="103" xfId="0" applyNumberFormat="1" applyBorder="1" applyAlignment="1">
      <alignment horizontal="center" vertical="center"/>
    </xf>
    <xf numFmtId="164" fontId="127" fillId="0" borderId="99" xfId="0" applyNumberFormat="1" applyFont="1" applyBorder="1" applyAlignment="1" applyProtection="1">
      <alignment vertical="center" shrinkToFit="1"/>
      <protection locked="0"/>
    </xf>
    <xf numFmtId="0" fontId="0" fillId="0" borderId="99" xfId="0" applyBorder="1" applyAlignment="1" applyProtection="1">
      <alignment vertical="center"/>
      <protection locked="0"/>
    </xf>
    <xf numFmtId="39" fontId="128" fillId="0" borderId="102" xfId="0" applyNumberFormat="1" applyFont="1" applyBorder="1" applyAlignment="1">
      <alignment vertical="center"/>
    </xf>
    <xf numFmtId="164" fontId="0" fillId="0" borderId="98" xfId="1" applyFont="1" applyFill="1" applyBorder="1" applyAlignment="1" applyProtection="1">
      <alignment vertical="center" shrinkToFit="1"/>
      <protection locked="0"/>
    </xf>
    <xf numFmtId="164" fontId="0" fillId="0" borderId="99" xfId="1" applyFont="1" applyFill="1" applyBorder="1" applyAlignment="1" applyProtection="1">
      <alignment vertical="center" shrinkToFit="1"/>
      <protection locked="0"/>
    </xf>
    <xf numFmtId="191" fontId="0" fillId="0" borderId="98" xfId="0" applyNumberFormat="1" applyBorder="1" applyAlignment="1" applyProtection="1">
      <alignment horizontal="center" vertical="center" shrinkToFit="1"/>
      <protection locked="0"/>
    </xf>
    <xf numFmtId="49" fontId="2" fillId="0" borderId="98" xfId="0" applyNumberFormat="1" applyFont="1" applyBorder="1" applyAlignment="1" applyProtection="1">
      <alignment horizontal="center" vertical="center" shrinkToFit="1"/>
      <protection locked="0"/>
    </xf>
    <xf numFmtId="49" fontId="2" fillId="0" borderId="98" xfId="0" applyNumberFormat="1" applyFont="1" applyBorder="1" applyAlignment="1" applyProtection="1">
      <alignment horizontal="left" vertical="center" wrapText="1" shrinkToFit="1"/>
      <protection locked="0"/>
    </xf>
    <xf numFmtId="0" fontId="2" fillId="8" borderId="98" xfId="0" applyFont="1" applyFill="1" applyBorder="1" applyAlignment="1">
      <alignment vertical="center" shrinkToFit="1"/>
    </xf>
    <xf numFmtId="49" fontId="2" fillId="0" borderId="101" xfId="0" applyNumberFormat="1" applyFont="1" applyBorder="1" applyAlignment="1">
      <alignment horizontal="center" vertical="center"/>
    </xf>
    <xf numFmtId="0" fontId="2" fillId="0" borderId="98" xfId="1" applyNumberFormat="1" applyFont="1" applyBorder="1" applyAlignment="1" applyProtection="1">
      <alignment vertical="center"/>
      <protection locked="0"/>
    </xf>
    <xf numFmtId="39" fontId="13" fillId="0" borderId="100" xfId="0" applyNumberFormat="1" applyFont="1" applyBorder="1" applyAlignment="1">
      <alignment vertical="center"/>
    </xf>
    <xf numFmtId="0" fontId="0" fillId="0" borderId="98" xfId="1" applyNumberFormat="1" applyFont="1" applyBorder="1" applyAlignment="1" applyProtection="1">
      <alignment vertical="center"/>
      <protection locked="0"/>
    </xf>
    <xf numFmtId="191" fontId="2" fillId="0" borderId="101" xfId="0" applyNumberFormat="1" applyFont="1" applyBorder="1" applyAlignment="1" applyProtection="1">
      <alignment horizontal="center" vertical="center"/>
      <protection locked="0"/>
    </xf>
    <xf numFmtId="49" fontId="0" fillId="0" borderId="98" xfId="1" applyNumberFormat="1" applyFont="1" applyBorder="1" applyAlignment="1" applyProtection="1">
      <alignment horizontal="center"/>
      <protection locked="0"/>
    </xf>
    <xf numFmtId="49" fontId="0" fillId="0" borderId="98" xfId="1" applyNumberFormat="1" applyFont="1" applyBorder="1" applyAlignment="1" applyProtection="1">
      <alignment horizontal="center" shrinkToFit="1"/>
      <protection locked="0"/>
    </xf>
    <xf numFmtId="49" fontId="2" fillId="0" borderId="98" xfId="1" applyNumberFormat="1" applyFont="1" applyBorder="1" applyAlignment="1" applyProtection="1">
      <alignment horizontal="center"/>
      <protection locked="0"/>
    </xf>
    <xf numFmtId="49" fontId="2" fillId="0" borderId="98" xfId="0" applyNumberFormat="1" applyFont="1" applyBorder="1" applyAlignment="1" applyProtection="1">
      <alignment horizontal="center" shrinkToFit="1"/>
      <protection locked="0"/>
    </xf>
    <xf numFmtId="49" fontId="2" fillId="0" borderId="100" xfId="0" applyNumberFormat="1" applyFont="1" applyBorder="1" applyAlignment="1" applyProtection="1">
      <alignment horizontal="center" vertical="center" shrinkToFit="1"/>
      <protection locked="0"/>
    </xf>
    <xf numFmtId="49" fontId="59" fillId="0" borderId="98" xfId="2" applyNumberFormat="1" applyFont="1" applyBorder="1" applyAlignment="1" applyProtection="1">
      <alignment horizontal="left" vertical="center" wrapText="1"/>
      <protection locked="0"/>
    </xf>
    <xf numFmtId="39" fontId="13" fillId="0" borderId="98" xfId="0" applyNumberFormat="1" applyFont="1" applyBorder="1" applyAlignment="1">
      <alignment vertical="center"/>
    </xf>
    <xf numFmtId="49" fontId="2" fillId="0" borderId="99" xfId="0" applyNumberFormat="1" applyFont="1" applyBorder="1" applyAlignment="1" applyProtection="1">
      <alignment horizontal="center" vertical="center" shrinkToFit="1"/>
      <protection locked="0"/>
    </xf>
    <xf numFmtId="49" fontId="2" fillId="0" borderId="103" xfId="0" applyNumberFormat="1" applyFont="1" applyBorder="1" applyAlignment="1">
      <alignment horizontal="center" vertical="center"/>
    </xf>
    <xf numFmtId="49" fontId="59" fillId="0" borderId="99" xfId="2" applyNumberFormat="1" applyFont="1" applyBorder="1" applyAlignment="1" applyProtection="1">
      <alignment horizontal="left" vertical="center" wrapText="1"/>
      <protection locked="0"/>
    </xf>
    <xf numFmtId="192" fontId="17" fillId="0" borderId="97" xfId="0" applyNumberFormat="1" applyFont="1" applyBorder="1" applyAlignment="1">
      <alignment horizontal="center" vertical="center" shrinkToFit="1"/>
    </xf>
    <xf numFmtId="49" fontId="17" fillId="0" borderId="97" xfId="0" applyNumberFormat="1" applyFont="1" applyBorder="1" applyAlignment="1">
      <alignment horizontal="center" vertical="center" shrinkToFit="1"/>
    </xf>
    <xf numFmtId="49" fontId="2" fillId="0" borderId="98" xfId="1" applyNumberFormat="1" applyFont="1" applyBorder="1" applyAlignment="1" applyProtection="1">
      <alignment horizontal="center" shrinkToFit="1"/>
      <protection locked="0"/>
    </xf>
    <xf numFmtId="49" fontId="2" fillId="0" borderId="98" xfId="0" applyNumberFormat="1" applyFont="1" applyBorder="1" applyAlignment="1" applyProtection="1">
      <alignment horizontal="left" wrapText="1" shrinkToFit="1"/>
      <protection locked="0"/>
    </xf>
    <xf numFmtId="49" fontId="17" fillId="0" borderId="97" xfId="0" applyNumberFormat="1" applyFont="1" applyBorder="1" applyAlignment="1">
      <alignment horizontal="left" vertical="center" shrinkToFit="1"/>
    </xf>
    <xf numFmtId="49" fontId="129" fillId="0" borderId="97" xfId="0" applyNumberFormat="1" applyFont="1" applyBorder="1" applyAlignment="1">
      <alignment horizontal="left" vertical="center" wrapText="1"/>
    </xf>
    <xf numFmtId="49" fontId="17" fillId="0" borderId="104" xfId="0" applyNumberFormat="1" applyFont="1" applyBorder="1" applyAlignment="1">
      <alignment horizontal="center" vertical="center"/>
    </xf>
    <xf numFmtId="164" fontId="17" fillId="0" borderId="105" xfId="0" applyNumberFormat="1" applyFont="1" applyBorder="1" applyAlignment="1">
      <alignment vertical="center" shrinkToFit="1"/>
    </xf>
    <xf numFmtId="0" fontId="17" fillId="0" borderId="97" xfId="0" applyFont="1" applyBorder="1" applyAlignment="1">
      <alignment vertical="center"/>
    </xf>
    <xf numFmtId="0" fontId="0" fillId="0" borderId="98" xfId="0" pivotButton="1" applyBorder="1"/>
    <xf numFmtId="0" fontId="0" fillId="0" borderId="98" xfId="0" applyBorder="1"/>
    <xf numFmtId="164" fontId="0" fillId="0" borderId="98" xfId="0" applyNumberFormat="1" applyBorder="1"/>
    <xf numFmtId="164" fontId="0" fillId="0" borderId="98" xfId="0" applyNumberFormat="1" applyFill="1" applyBorder="1"/>
    <xf numFmtId="0" fontId="3" fillId="0" borderId="0" xfId="2" applyFont="1" applyAlignment="1">
      <alignment horizontal="center"/>
    </xf>
    <xf numFmtId="0" fontId="2" fillId="0" borderId="0" xfId="2" applyFont="1" applyAlignment="1">
      <alignment horizontal="center"/>
    </xf>
    <xf numFmtId="0" fontId="58" fillId="22" borderId="2" xfId="0" applyFont="1" applyFill="1" applyBorder="1" applyAlignment="1">
      <alignment horizontal="center"/>
    </xf>
    <xf numFmtId="0" fontId="3" fillId="0" borderId="2" xfId="0" applyFont="1" applyBorder="1" applyAlignment="1">
      <alignment horizontal="center"/>
    </xf>
    <xf numFmtId="0" fontId="3" fillId="3" borderId="37" xfId="0" applyFont="1" applyFill="1" applyBorder="1" applyAlignment="1">
      <alignment horizontal="center"/>
    </xf>
    <xf numFmtId="0" fontId="3" fillId="3" borderId="28" xfId="0" applyFont="1" applyFill="1" applyBorder="1" applyAlignment="1">
      <alignment horizontal="center"/>
    </xf>
    <xf numFmtId="0" fontId="3" fillId="3" borderId="29" xfId="0" applyFont="1" applyFill="1" applyBorder="1" applyAlignment="1">
      <alignment horizontal="center"/>
    </xf>
    <xf numFmtId="164" fontId="3" fillId="0" borderId="26" xfId="1" applyFont="1" applyBorder="1" applyProtection="1"/>
    <xf numFmtId="164" fontId="3" fillId="0" borderId="38" xfId="1" applyFont="1" applyBorder="1" applyProtection="1"/>
    <xf numFmtId="39" fontId="2" fillId="0" borderId="11" xfId="1" applyNumberFormat="1" applyFont="1" applyBorder="1" applyProtection="1"/>
    <xf numFmtId="39" fontId="2" fillId="0" borderId="12" xfId="1" applyNumberFormat="1" applyFont="1" applyBorder="1" applyProtection="1"/>
    <xf numFmtId="0" fontId="2" fillId="0" borderId="36" xfId="0" applyFont="1" applyBorder="1"/>
    <xf numFmtId="0" fontId="2" fillId="0" borderId="2" xfId="0" applyFont="1" applyBorder="1"/>
    <xf numFmtId="0" fontId="2" fillId="0" borderId="3" xfId="0" applyFont="1" applyBorder="1" applyAlignment="1">
      <alignment shrinkToFit="1"/>
    </xf>
    <xf numFmtId="0" fontId="2" fillId="0" borderId="7" xfId="0" applyFont="1" applyBorder="1" applyAlignment="1">
      <alignment shrinkToFit="1"/>
    </xf>
    <xf numFmtId="0" fontId="2" fillId="0" borderId="6" xfId="0" applyFont="1" applyBorder="1" applyAlignment="1">
      <alignment shrinkToFit="1"/>
    </xf>
    <xf numFmtId="164" fontId="2" fillId="0" borderId="2" xfId="1" applyFont="1" applyBorder="1" applyProtection="1">
      <protection locked="0"/>
    </xf>
    <xf numFmtId="164" fontId="2" fillId="0" borderId="24" xfId="1" applyFont="1" applyBorder="1" applyProtection="1">
      <protection locked="0"/>
    </xf>
    <xf numFmtId="0" fontId="2" fillId="0" borderId="3" xfId="0" applyFont="1" applyBorder="1" applyAlignment="1">
      <alignment horizontal="left"/>
    </xf>
    <xf numFmtId="0" fontId="2" fillId="0" borderId="7" xfId="0" applyFont="1" applyBorder="1" applyAlignment="1">
      <alignment horizontal="left"/>
    </xf>
    <xf numFmtId="0" fontId="2" fillId="0" borderId="7" xfId="0" applyFont="1" applyBorder="1" applyAlignment="1">
      <alignment horizontal="left" shrinkToFit="1"/>
    </xf>
    <xf numFmtId="0" fontId="2" fillId="0" borderId="6" xfId="0" applyFont="1" applyBorder="1" applyAlignment="1">
      <alignment horizontal="left" shrinkToFit="1"/>
    </xf>
    <xf numFmtId="0" fontId="2" fillId="0" borderId="6" xfId="0" applyFont="1" applyBorder="1" applyAlignment="1">
      <alignment horizontal="left"/>
    </xf>
    <xf numFmtId="170" fontId="2" fillId="0" borderId="7" xfId="0" applyNumberFormat="1" applyFont="1" applyBorder="1" applyAlignment="1">
      <alignment horizontal="left" shrinkToFit="1"/>
    </xf>
    <xf numFmtId="170" fontId="2" fillId="0" borderId="6" xfId="0" applyNumberFormat="1" applyFont="1" applyBorder="1" applyAlignment="1">
      <alignment horizontal="left" shrinkToFit="1"/>
    </xf>
    <xf numFmtId="0" fontId="2" fillId="0" borderId="3" xfId="0" applyFont="1" applyBorder="1" applyAlignment="1">
      <alignment horizontal="left" shrinkToFit="1"/>
    </xf>
    <xf numFmtId="1" fontId="13" fillId="0" borderId="31" xfId="0" applyNumberFormat="1" applyFont="1" applyBorder="1"/>
    <xf numFmtId="1" fontId="13" fillId="0" borderId="5" xfId="0" applyNumberFormat="1" applyFont="1" applyBorder="1"/>
    <xf numFmtId="0" fontId="20" fillId="0" borderId="32" xfId="0" applyFont="1" applyBorder="1" applyAlignment="1" applyProtection="1">
      <alignment horizontal="center"/>
      <protection locked="0"/>
    </xf>
    <xf numFmtId="0" fontId="20" fillId="0" borderId="33" xfId="0" applyFont="1" applyBorder="1" applyAlignment="1" applyProtection="1">
      <alignment horizontal="center"/>
      <protection locked="0"/>
    </xf>
    <xf numFmtId="0" fontId="20" fillId="0" borderId="34" xfId="0" applyFont="1" applyBorder="1" applyAlignment="1" applyProtection="1">
      <alignment horizontal="center"/>
      <protection locked="0"/>
    </xf>
    <xf numFmtId="0" fontId="2" fillId="0" borderId="5" xfId="0" applyFont="1" applyBorder="1"/>
    <xf numFmtId="0" fontId="2" fillId="0" borderId="35" xfId="0" applyFont="1" applyBorder="1"/>
    <xf numFmtId="0" fontId="2" fillId="0" borderId="24" xfId="0" applyFont="1" applyBorder="1"/>
    <xf numFmtId="39" fontId="13" fillId="0" borderId="10" xfId="0" applyNumberFormat="1" applyFont="1" applyBorder="1" applyAlignment="1">
      <alignment horizontal="center" vertical="center"/>
    </xf>
    <xf numFmtId="39" fontId="13" fillId="0" borderId="11" xfId="0" applyNumberFormat="1" applyFont="1" applyBorder="1" applyAlignment="1">
      <alignment horizontal="center" vertical="center"/>
    </xf>
    <xf numFmtId="39" fontId="13" fillId="0" borderId="12" xfId="0" applyNumberFormat="1" applyFont="1" applyBorder="1" applyAlignment="1">
      <alignment horizontal="center" vertical="center"/>
    </xf>
    <xf numFmtId="49" fontId="3" fillId="0" borderId="14" xfId="1" applyNumberFormat="1" applyFont="1" applyBorder="1" applyAlignment="1" applyProtection="1">
      <alignment horizontal="center"/>
      <protection locked="0"/>
    </xf>
    <xf numFmtId="49" fontId="3" fillId="0" borderId="15" xfId="1" applyNumberFormat="1" applyFont="1" applyBorder="1" applyAlignment="1" applyProtection="1">
      <alignment horizontal="center"/>
      <protection locked="0"/>
    </xf>
    <xf numFmtId="14" fontId="0" fillId="0" borderId="7" xfId="0" applyNumberFormat="1" applyBorder="1" applyAlignment="1">
      <alignment horizontal="center"/>
    </xf>
    <xf numFmtId="14" fontId="0" fillId="0" borderId="16" xfId="0" applyNumberFormat="1" applyBorder="1" applyAlignment="1">
      <alignment horizontal="center"/>
    </xf>
    <xf numFmtId="0" fontId="2" fillId="0" borderId="2" xfId="0" applyFont="1" applyBorder="1" applyAlignment="1" applyProtection="1">
      <alignment horizontal="center"/>
      <protection locked="0"/>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1" xfId="0" applyFont="1" applyBorder="1" applyAlignment="1">
      <alignment horizontal="center" vertical="center" wrapText="1"/>
    </xf>
    <xf numFmtId="0" fontId="3" fillId="0" borderId="0" xfId="0" applyFont="1" applyAlignment="1">
      <alignment horizontal="center" vertical="center" wrapText="1"/>
    </xf>
    <xf numFmtId="0" fontId="3" fillId="0" borderId="23"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21" xfId="0" applyFont="1" applyBorder="1" applyAlignment="1">
      <alignment horizontal="center" vertical="center"/>
    </xf>
    <xf numFmtId="0" fontId="3" fillId="0" borderId="22" xfId="0" applyFont="1" applyBorder="1" applyAlignment="1">
      <alignment horizontal="center" vertical="center"/>
    </xf>
    <xf numFmtId="0" fontId="3" fillId="0" borderId="2" xfId="0" applyFont="1" applyBorder="1" applyAlignment="1">
      <alignment horizontal="center" vertical="center"/>
    </xf>
    <xf numFmtId="0" fontId="3" fillId="0" borderId="26" xfId="0" applyFont="1" applyBorder="1" applyAlignment="1">
      <alignment horizontal="center" vertical="center"/>
    </xf>
    <xf numFmtId="0" fontId="3" fillId="0" borderId="2" xfId="0" applyFont="1" applyBorder="1" applyAlignment="1">
      <alignment horizontal="center" vertical="center" wrapText="1"/>
    </xf>
    <xf numFmtId="0" fontId="3" fillId="0" borderId="3" xfId="0" applyFont="1" applyBorder="1" applyAlignment="1">
      <alignment horizontal="center" vertical="center"/>
    </xf>
    <xf numFmtId="0" fontId="3" fillId="0" borderId="7" xfId="0" applyFont="1" applyBorder="1" applyAlignment="1">
      <alignment horizontal="center" vertical="center"/>
    </xf>
    <xf numFmtId="0" fontId="3" fillId="0" borderId="16" xfId="0" applyFont="1" applyBorder="1" applyAlignment="1">
      <alignment horizontal="center" vertical="center"/>
    </xf>
    <xf numFmtId="0" fontId="3" fillId="0" borderId="27" xfId="0" applyFont="1" applyBorder="1" applyAlignment="1">
      <alignment horizontal="center"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3" fillId="0" borderId="30" xfId="0" applyFont="1" applyBorder="1" applyAlignment="1">
      <alignment horizontal="center" vertical="center"/>
    </xf>
    <xf numFmtId="0" fontId="3" fillId="8" borderId="2" xfId="0" applyFont="1" applyFill="1" applyBorder="1" applyAlignment="1">
      <alignment horizontal="center" vertical="center" wrapText="1"/>
    </xf>
    <xf numFmtId="0" fontId="3" fillId="8" borderId="2" xfId="0" applyFont="1" applyFill="1" applyBorder="1" applyAlignment="1">
      <alignment horizontal="center" vertical="center"/>
    </xf>
    <xf numFmtId="0" fontId="3" fillId="23" borderId="2" xfId="0" applyFont="1" applyFill="1" applyBorder="1" applyAlignment="1">
      <alignment horizontal="center" vertical="center"/>
    </xf>
    <xf numFmtId="0" fontId="3" fillId="23" borderId="2" xfId="0" applyFont="1" applyFill="1" applyBorder="1" applyAlignment="1">
      <alignment horizontal="center" vertical="center" wrapText="1"/>
    </xf>
    <xf numFmtId="49" fontId="3" fillId="23" borderId="2" xfId="0" applyNumberFormat="1" applyFont="1" applyFill="1" applyBorder="1" applyAlignment="1">
      <alignment horizontal="center" vertical="center"/>
    </xf>
    <xf numFmtId="0" fontId="3" fillId="0" borderId="6" xfId="0" applyFont="1" applyBorder="1" applyAlignment="1">
      <alignment horizontal="center" vertical="center"/>
    </xf>
    <xf numFmtId="164" fontId="2" fillId="0" borderId="3" xfId="1" applyFont="1" applyBorder="1" applyProtection="1">
      <protection locked="0"/>
    </xf>
    <xf numFmtId="164" fontId="2" fillId="0" borderId="7" xfId="1" applyFont="1" applyBorder="1" applyProtection="1">
      <protection locked="0"/>
    </xf>
    <xf numFmtId="164" fontId="2" fillId="0" borderId="6" xfId="1" applyFont="1" applyBorder="1" applyProtection="1">
      <protection locked="0"/>
    </xf>
    <xf numFmtId="164" fontId="2" fillId="0" borderId="16" xfId="1" applyFont="1" applyBorder="1" applyProtection="1">
      <protection locked="0"/>
    </xf>
    <xf numFmtId="0" fontId="2" fillId="0" borderId="3" xfId="0" applyFont="1" applyBorder="1" applyAlignment="1" applyProtection="1">
      <alignment horizontal="left" shrinkToFit="1"/>
      <protection locked="0"/>
    </xf>
    <xf numFmtId="0" fontId="2" fillId="0" borderId="7" xfId="0" applyFont="1" applyBorder="1" applyAlignment="1" applyProtection="1">
      <alignment horizontal="left" shrinkToFit="1"/>
      <protection locked="0"/>
    </xf>
    <xf numFmtId="0" fontId="2" fillId="0" borderId="6" xfId="0" applyFont="1" applyBorder="1" applyAlignment="1" applyProtection="1">
      <alignment horizontal="left" shrinkToFit="1"/>
      <protection locked="0"/>
    </xf>
    <xf numFmtId="0" fontId="3" fillId="0" borderId="1" xfId="0" applyFont="1" applyBorder="1" applyAlignment="1" applyProtection="1">
      <alignment horizontal="center"/>
      <protection locked="0"/>
    </xf>
    <xf numFmtId="0" fontId="3" fillId="0" borderId="0" xfId="0" applyFont="1" applyAlignment="1" applyProtection="1">
      <alignment horizontal="center"/>
      <protection locked="0"/>
    </xf>
    <xf numFmtId="0" fontId="3" fillId="0" borderId="23" xfId="0" applyFont="1" applyBorder="1" applyAlignment="1" applyProtection="1">
      <alignment horizontal="center"/>
      <protection locked="0"/>
    </xf>
    <xf numFmtId="0" fontId="2" fillId="0" borderId="7" xfId="0" applyFont="1" applyBorder="1" applyAlignment="1" applyProtection="1">
      <alignment horizontal="left"/>
      <protection locked="0"/>
    </xf>
    <xf numFmtId="0" fontId="2" fillId="0" borderId="6" xfId="0" applyFont="1" applyBorder="1" applyAlignment="1" applyProtection="1">
      <alignment horizontal="left"/>
      <protection locked="0"/>
    </xf>
    <xf numFmtId="0" fontId="77" fillId="0" borderId="0" xfId="0" applyFont="1" applyAlignment="1">
      <alignment horizontal="center" vertical="center"/>
    </xf>
    <xf numFmtId="0" fontId="63" fillId="0" borderId="0" xfId="0" applyFont="1" applyAlignment="1">
      <alignment horizontal="center" vertical="center"/>
    </xf>
    <xf numFmtId="0" fontId="75" fillId="0" borderId="0" xfId="0" applyFont="1" applyAlignment="1">
      <alignment horizontal="center" vertical="center"/>
    </xf>
    <xf numFmtId="49" fontId="3" fillId="8" borderId="2" xfId="0" applyNumberFormat="1" applyFont="1" applyFill="1" applyBorder="1" applyAlignment="1">
      <alignment horizontal="center" vertical="center" wrapText="1"/>
    </xf>
    <xf numFmtId="49" fontId="3" fillId="8" borderId="2" xfId="0" applyNumberFormat="1" applyFont="1" applyFill="1" applyBorder="1" applyAlignment="1">
      <alignment horizontal="center" vertical="center"/>
    </xf>
    <xf numFmtId="49" fontId="3" fillId="23" borderId="2" xfId="0" applyNumberFormat="1" applyFont="1" applyFill="1" applyBorder="1" applyAlignment="1">
      <alignment horizontal="center" vertical="center" wrapText="1"/>
    </xf>
    <xf numFmtId="0" fontId="0" fillId="0" borderId="2" xfId="0" applyBorder="1"/>
    <xf numFmtId="0" fontId="79" fillId="0" borderId="0" xfId="0" applyFont="1" applyAlignment="1">
      <alignment horizontal="center" vertical="center"/>
    </xf>
    <xf numFmtId="0" fontId="73" fillId="0" borderId="0" xfId="0" applyFont="1" applyAlignment="1">
      <alignment horizontal="center" vertical="center"/>
    </xf>
    <xf numFmtId="0" fontId="71" fillId="0" borderId="0" xfId="0" applyFont="1" applyAlignment="1">
      <alignment horizontal="center" vertical="center"/>
    </xf>
    <xf numFmtId="49" fontId="2" fillId="0" borderId="0" xfId="0" applyNumberFormat="1" applyFont="1" applyAlignment="1" applyProtection="1">
      <alignment horizontal="center" wrapText="1"/>
      <protection locked="0"/>
    </xf>
    <xf numFmtId="0" fontId="2" fillId="0" borderId="3" xfId="0" applyFont="1" applyBorder="1" applyAlignment="1">
      <alignment horizontal="center" shrinkToFit="1"/>
    </xf>
    <xf numFmtId="0" fontId="2" fillId="0" borderId="7" xfId="0" applyFont="1" applyBorder="1" applyAlignment="1">
      <alignment horizontal="center" shrinkToFit="1"/>
    </xf>
    <xf numFmtId="0" fontId="2" fillId="0" borderId="6" xfId="0" applyFont="1" applyBorder="1" applyAlignment="1">
      <alignment horizontal="center" shrinkToFit="1"/>
    </xf>
    <xf numFmtId="0" fontId="2" fillId="0" borderId="3" xfId="0" applyFont="1" applyBorder="1" applyAlignment="1" applyProtection="1">
      <alignment horizontal="center" shrinkToFit="1"/>
      <protection locked="0"/>
    </xf>
    <xf numFmtId="0" fontId="2" fillId="0" borderId="7" xfId="0" applyFont="1" applyBorder="1" applyAlignment="1" applyProtection="1">
      <alignment horizontal="center" shrinkToFit="1"/>
      <protection locked="0"/>
    </xf>
    <xf numFmtId="0" fontId="2" fillId="0" borderId="6" xfId="0" applyFont="1" applyBorder="1" applyAlignment="1" applyProtection="1">
      <alignment horizontal="center" shrinkToFit="1"/>
      <protection locked="0"/>
    </xf>
    <xf numFmtId="0" fontId="22" fillId="0" borderId="40" xfId="0" applyFont="1" applyBorder="1" applyAlignment="1" applyProtection="1">
      <alignment horizontal="center"/>
      <protection locked="0"/>
    </xf>
    <xf numFmtId="0" fontId="22" fillId="0" borderId="0" xfId="0" applyFont="1" applyAlignment="1" applyProtection="1">
      <alignment horizontal="center"/>
      <protection locked="0"/>
    </xf>
    <xf numFmtId="0" fontId="22" fillId="0" borderId="23" xfId="0" applyFont="1" applyBorder="1" applyAlignment="1" applyProtection="1">
      <alignment horizontal="center"/>
      <protection locked="0"/>
    </xf>
    <xf numFmtId="39" fontId="2" fillId="0" borderId="20" xfId="1" applyNumberFormat="1" applyFont="1" applyBorder="1" applyProtection="1"/>
    <xf numFmtId="39" fontId="13" fillId="0" borderId="96" xfId="0" applyNumberFormat="1" applyFont="1" applyBorder="1" applyAlignment="1">
      <alignment horizontal="center" vertical="center"/>
    </xf>
    <xf numFmtId="39" fontId="13" fillId="0" borderId="46" xfId="0" applyNumberFormat="1" applyFont="1" applyBorder="1" applyAlignment="1">
      <alignment horizontal="center" vertical="center"/>
    </xf>
    <xf numFmtId="39" fontId="13" fillId="0" borderId="44" xfId="0" applyNumberFormat="1" applyFont="1" applyBorder="1" applyAlignment="1">
      <alignment horizontal="center" vertical="center"/>
    </xf>
    <xf numFmtId="49" fontId="3" fillId="0" borderId="43" xfId="1" applyNumberFormat="1" applyFont="1" applyBorder="1" applyAlignment="1" applyProtection="1">
      <alignment horizontal="center"/>
      <protection locked="0"/>
    </xf>
    <xf numFmtId="14" fontId="0" fillId="0" borderId="6" xfId="0" applyNumberFormat="1" applyBorder="1" applyAlignment="1">
      <alignment horizontal="center"/>
    </xf>
    <xf numFmtId="0" fontId="3" fillId="0" borderId="39" xfId="0" applyFont="1" applyBorder="1" applyAlignment="1">
      <alignment horizontal="center" vertical="center" wrapText="1"/>
    </xf>
    <xf numFmtId="0" fontId="3" fillId="0" borderId="40" xfId="0" applyFont="1" applyBorder="1" applyAlignment="1">
      <alignment horizontal="center" vertical="center" wrapText="1"/>
    </xf>
    <xf numFmtId="0" fontId="3" fillId="0" borderId="41" xfId="0" applyFont="1" applyBorder="1" applyAlignment="1">
      <alignment horizontal="center" vertical="center" wrapText="1"/>
    </xf>
    <xf numFmtId="0" fontId="3" fillId="3" borderId="27" xfId="0" applyFont="1" applyFill="1" applyBorder="1" applyAlignment="1">
      <alignment horizontal="center"/>
    </xf>
    <xf numFmtId="183" fontId="12" fillId="0" borderId="3" xfId="0" applyNumberFormat="1" applyFont="1" applyBorder="1" applyAlignment="1">
      <alignment horizontal="center" vertical="center"/>
    </xf>
    <xf numFmtId="183" fontId="12" fillId="0" borderId="6" xfId="0" applyNumberFormat="1" applyFont="1" applyBorder="1" applyAlignment="1">
      <alignment horizontal="center" vertical="center"/>
    </xf>
    <xf numFmtId="167" fontId="13" fillId="0" borderId="3" xfId="0" applyNumberFormat="1" applyFont="1" applyBorder="1" applyAlignment="1">
      <alignment horizontal="center" vertical="center"/>
    </xf>
    <xf numFmtId="167" fontId="13" fillId="0" borderId="6" xfId="0" applyNumberFormat="1" applyFont="1" applyBorder="1" applyAlignment="1">
      <alignment horizontal="center" vertical="center"/>
    </xf>
    <xf numFmtId="0" fontId="8" fillId="0" borderId="0" xfId="1" applyNumberFormat="1" applyFont="1" applyAlignment="1">
      <alignment horizontal="left" vertical="center"/>
    </xf>
    <xf numFmtId="0" fontId="7" fillId="2" borderId="2" xfId="0" applyFont="1" applyFill="1" applyBorder="1" applyAlignment="1">
      <alignment horizontal="center" vertical="center"/>
    </xf>
    <xf numFmtId="14" fontId="7" fillId="2" borderId="2" xfId="0" applyNumberFormat="1" applyFont="1" applyFill="1" applyBorder="1" applyAlignment="1">
      <alignment horizontal="center" vertical="center"/>
    </xf>
    <xf numFmtId="167" fontId="13" fillId="0" borderId="3" xfId="0" applyNumberFormat="1" applyFont="1" applyBorder="1" applyAlignment="1">
      <alignment horizontal="center"/>
    </xf>
    <xf numFmtId="167" fontId="13" fillId="0" borderId="6" xfId="0" applyNumberFormat="1" applyFont="1" applyBorder="1" applyAlignment="1">
      <alignment horizontal="center"/>
    </xf>
    <xf numFmtId="183" fontId="12" fillId="0" borderId="3" xfId="0" applyNumberFormat="1" applyFont="1" applyBorder="1" applyAlignment="1">
      <alignment horizontal="center"/>
    </xf>
    <xf numFmtId="183" fontId="12" fillId="0" borderId="6" xfId="0" applyNumberFormat="1" applyFont="1" applyBorder="1" applyAlignment="1">
      <alignment horizontal="center"/>
    </xf>
    <xf numFmtId="168" fontId="12" fillId="0" borderId="3" xfId="0" applyNumberFormat="1" applyFont="1" applyBorder="1" applyAlignment="1">
      <alignment horizontal="center"/>
    </xf>
    <xf numFmtId="168" fontId="12" fillId="0" borderId="7" xfId="0" applyNumberFormat="1" applyFont="1" applyBorder="1" applyAlignment="1">
      <alignment horizontal="center"/>
    </xf>
    <xf numFmtId="168" fontId="12" fillId="0" borderId="6" xfId="0" applyNumberFormat="1" applyFont="1" applyBorder="1" applyAlignment="1">
      <alignment horizontal="center"/>
    </xf>
    <xf numFmtId="167" fontId="13" fillId="0" borderId="7" xfId="0" applyNumberFormat="1" applyFont="1" applyBorder="1" applyAlignment="1">
      <alignment horizontal="center"/>
    </xf>
    <xf numFmtId="0" fontId="81" fillId="0" borderId="0" xfId="1" applyNumberFormat="1" applyFont="1" applyAlignment="1">
      <alignment horizontal="left"/>
    </xf>
    <xf numFmtId="0" fontId="7" fillId="7" borderId="2" xfId="0" applyFont="1" applyFill="1" applyBorder="1" applyAlignment="1">
      <alignment horizontal="center" vertical="center" wrapText="1"/>
    </xf>
    <xf numFmtId="0" fontId="7" fillId="2" borderId="2" xfId="0" applyFont="1" applyFill="1" applyBorder="1" applyAlignment="1">
      <alignment horizontal="center" vertical="center" wrapText="1"/>
    </xf>
    <xf numFmtId="14" fontId="7" fillId="2" borderId="2" xfId="0" applyNumberFormat="1" applyFont="1" applyFill="1" applyBorder="1" applyAlignment="1">
      <alignment horizontal="center" vertical="center" wrapText="1"/>
    </xf>
    <xf numFmtId="0" fontId="8" fillId="0" borderId="0" xfId="1" applyNumberFormat="1" applyFont="1" applyAlignment="1" applyProtection="1">
      <alignment horizontal="center"/>
    </xf>
    <xf numFmtId="182" fontId="13" fillId="0" borderId="3" xfId="0" applyNumberFormat="1" applyFont="1" applyBorder="1" applyAlignment="1">
      <alignment horizontal="center"/>
    </xf>
    <xf numFmtId="182" fontId="13" fillId="0" borderId="7" xfId="0" applyNumberFormat="1" applyFont="1" applyBorder="1" applyAlignment="1">
      <alignment horizontal="center"/>
    </xf>
    <xf numFmtId="182" fontId="13" fillId="0" borderId="6" xfId="0" applyNumberFormat="1" applyFont="1" applyBorder="1" applyAlignment="1">
      <alignment horizontal="center"/>
    </xf>
    <xf numFmtId="168" fontId="12" fillId="0" borderId="2" xfId="0" applyNumberFormat="1" applyFont="1" applyBorder="1" applyAlignment="1">
      <alignment horizontal="center"/>
    </xf>
    <xf numFmtId="182" fontId="13" fillId="0" borderId="2" xfId="0" applyNumberFormat="1" applyFont="1" applyBorder="1" applyAlignment="1">
      <alignment horizontal="center"/>
    </xf>
    <xf numFmtId="0" fontId="3" fillId="0" borderId="0" xfId="0" applyFont="1" applyAlignment="1">
      <alignment horizontal="center"/>
    </xf>
    <xf numFmtId="0" fontId="2" fillId="0" borderId="0" xfId="0" applyFont="1" applyAlignment="1">
      <alignment horizontal="center"/>
    </xf>
    <xf numFmtId="0" fontId="17" fillId="0" borderId="0" xfId="0" applyFont="1" applyAlignment="1">
      <alignment horizontal="center"/>
    </xf>
    <xf numFmtId="49" fontId="3" fillId="0" borderId="2" xfId="0" applyNumberFormat="1" applyFont="1" applyBorder="1" applyAlignment="1">
      <alignment horizontal="center" vertical="center"/>
    </xf>
    <xf numFmtId="0" fontId="23" fillId="0" borderId="40" xfId="0" applyFont="1" applyBorder="1"/>
    <xf numFmtId="0" fontId="23" fillId="0" borderId="0" xfId="0" applyFont="1"/>
    <xf numFmtId="0" fontId="23" fillId="0" borderId="3" xfId="0" applyFont="1" applyBorder="1"/>
    <xf numFmtId="0" fontId="23" fillId="0" borderId="7" xfId="0" applyFont="1" applyBorder="1"/>
    <xf numFmtId="0" fontId="16" fillId="0" borderId="0" xfId="0" applyFont="1" applyAlignment="1">
      <alignment horizontal="left"/>
    </xf>
    <xf numFmtId="174" fontId="16" fillId="0" borderId="0" xfId="0" applyNumberFormat="1" applyFont="1" applyAlignment="1">
      <alignment horizontal="left"/>
    </xf>
    <xf numFmtId="0" fontId="23" fillId="0" borderId="2" xfId="0" applyFont="1" applyBorder="1" applyAlignment="1">
      <alignment horizontal="center" vertical="center"/>
    </xf>
    <xf numFmtId="49" fontId="23" fillId="0" borderId="2" xfId="0" applyNumberFormat="1" applyFont="1" applyBorder="1" applyAlignment="1">
      <alignment horizontal="center" vertical="center" wrapText="1"/>
    </xf>
    <xf numFmtId="0" fontId="23" fillId="0" borderId="3" xfId="0" applyFont="1" applyBorder="1" applyAlignment="1">
      <alignment horizontal="center"/>
    </xf>
    <xf numFmtId="0" fontId="23" fillId="0" borderId="7" xfId="0" applyFont="1" applyBorder="1" applyAlignment="1">
      <alignment horizontal="center"/>
    </xf>
    <xf numFmtId="0" fontId="23" fillId="0" borderId="6" xfId="0" applyFont="1" applyBorder="1" applyAlignment="1">
      <alignment horizontal="center"/>
    </xf>
    <xf numFmtId="0" fontId="23" fillId="0" borderId="2" xfId="0" applyFont="1" applyBorder="1" applyAlignment="1">
      <alignment horizontal="center" vertical="center" wrapText="1"/>
    </xf>
    <xf numFmtId="49" fontId="2" fillId="0" borderId="3" xfId="0" applyNumberFormat="1" applyFont="1" applyBorder="1" applyAlignment="1" applyProtection="1">
      <alignment horizontal="center"/>
      <protection locked="0"/>
    </xf>
    <xf numFmtId="49" fontId="2" fillId="0" borderId="7" xfId="0" applyNumberFormat="1" applyFont="1" applyBorder="1" applyAlignment="1" applyProtection="1">
      <alignment horizontal="center"/>
      <protection locked="0"/>
    </xf>
    <xf numFmtId="49" fontId="2" fillId="0" borderId="6" xfId="0" applyNumberFormat="1" applyFont="1" applyBorder="1" applyAlignment="1" applyProtection="1">
      <alignment horizontal="center"/>
      <protection locked="0"/>
    </xf>
    <xf numFmtId="0" fontId="22" fillId="0" borderId="0" xfId="0" applyFont="1" applyAlignment="1">
      <alignment horizontal="center"/>
    </xf>
    <xf numFmtId="0" fontId="2" fillId="0" borderId="0" xfId="0" applyFont="1" applyAlignment="1" applyProtection="1">
      <alignment horizontal="center"/>
      <protection locked="0"/>
    </xf>
    <xf numFmtId="0" fontId="23" fillId="0" borderId="49" xfId="0" applyFont="1" applyBorder="1"/>
    <xf numFmtId="0" fontId="23" fillId="0" borderId="9" xfId="0" applyFont="1" applyBorder="1"/>
    <xf numFmtId="178" fontId="16" fillId="0" borderId="0" xfId="0" applyNumberFormat="1" applyFont="1" applyAlignment="1">
      <alignment horizontal="left"/>
    </xf>
    <xf numFmtId="0" fontId="23" fillId="0" borderId="42" xfId="0" applyFont="1" applyBorder="1" applyAlignment="1">
      <alignment horizontal="left"/>
    </xf>
    <xf numFmtId="0" fontId="23" fillId="0" borderId="14" xfId="0" applyFont="1" applyBorder="1" applyAlignment="1">
      <alignment horizontal="left"/>
    </xf>
    <xf numFmtId="164" fontId="32" fillId="5" borderId="52" xfId="1" applyFont="1" applyFill="1" applyBorder="1" applyAlignment="1" applyProtection="1">
      <alignment horizontal="center" vertical="center" wrapText="1"/>
    </xf>
    <xf numFmtId="164" fontId="32" fillId="5" borderId="51" xfId="1" applyFont="1" applyFill="1" applyBorder="1" applyAlignment="1" applyProtection="1">
      <alignment horizontal="center" vertical="center" wrapText="1"/>
    </xf>
    <xf numFmtId="164" fontId="32" fillId="5" borderId="57" xfId="1" applyFont="1" applyFill="1" applyBorder="1" applyAlignment="1" applyProtection="1">
      <alignment horizontal="center" vertical="center" wrapText="1"/>
    </xf>
    <xf numFmtId="179" fontId="32" fillId="5" borderId="52" xfId="0" applyNumberFormat="1" applyFont="1" applyFill="1" applyBorder="1" applyAlignment="1">
      <alignment horizontal="center" vertical="center" wrapText="1"/>
    </xf>
    <xf numFmtId="179" fontId="32" fillId="5" borderId="57" xfId="0" applyNumberFormat="1" applyFont="1" applyFill="1" applyBorder="1" applyAlignment="1">
      <alignment horizontal="center" vertical="center" wrapText="1"/>
    </xf>
    <xf numFmtId="0" fontId="32" fillId="5" borderId="52" xfId="0" applyFont="1" applyFill="1" applyBorder="1" applyAlignment="1">
      <alignment horizontal="center" vertical="center" wrapText="1"/>
    </xf>
    <xf numFmtId="0" fontId="32" fillId="5" borderId="51" xfId="0" applyFont="1" applyFill="1" applyBorder="1" applyAlignment="1">
      <alignment horizontal="center" vertical="center" wrapText="1"/>
    </xf>
    <xf numFmtId="0" fontId="32" fillId="5" borderId="57" xfId="0" applyFont="1" applyFill="1" applyBorder="1" applyAlignment="1">
      <alignment horizontal="center" vertical="center" wrapText="1"/>
    </xf>
    <xf numFmtId="49" fontId="32" fillId="8" borderId="52" xfId="0" applyNumberFormat="1" applyFont="1" applyFill="1" applyBorder="1" applyAlignment="1">
      <alignment horizontal="center" vertical="center" wrapText="1"/>
    </xf>
    <xf numFmtId="49" fontId="32" fillId="8" borderId="51" xfId="0" applyNumberFormat="1" applyFont="1" applyFill="1" applyBorder="1" applyAlignment="1">
      <alignment horizontal="center" vertical="center" wrapText="1"/>
    </xf>
    <xf numFmtId="49" fontId="32" fillId="8" borderId="57" xfId="0" applyNumberFormat="1" applyFont="1" applyFill="1" applyBorder="1" applyAlignment="1">
      <alignment horizontal="center" vertical="center" wrapText="1"/>
    </xf>
    <xf numFmtId="181" fontId="32" fillId="5" borderId="52" xfId="0" applyNumberFormat="1" applyFont="1" applyFill="1" applyBorder="1" applyAlignment="1" applyProtection="1">
      <alignment horizontal="center" vertical="center" wrapText="1"/>
      <protection locked="0"/>
    </xf>
    <xf numFmtId="181" fontId="32" fillId="5" borderId="51" xfId="0" applyNumberFormat="1" applyFont="1" applyFill="1" applyBorder="1" applyAlignment="1" applyProtection="1">
      <alignment horizontal="center" vertical="center" wrapText="1"/>
      <protection locked="0"/>
    </xf>
    <xf numFmtId="164" fontId="32" fillId="5" borderId="60" xfId="1" applyFont="1" applyFill="1" applyBorder="1" applyAlignment="1" applyProtection="1">
      <alignment horizontal="center" vertical="center" wrapText="1"/>
    </xf>
    <xf numFmtId="164" fontId="32" fillId="5" borderId="59" xfId="1" applyFont="1" applyFill="1" applyBorder="1" applyAlignment="1" applyProtection="1">
      <alignment horizontal="center" vertical="center" wrapText="1"/>
    </xf>
    <xf numFmtId="164" fontId="32" fillId="5" borderId="58" xfId="1" applyFont="1" applyFill="1" applyBorder="1" applyAlignment="1" applyProtection="1">
      <alignment horizontal="center" vertical="center" wrapText="1"/>
    </xf>
    <xf numFmtId="164" fontId="47" fillId="15" borderId="85" xfId="1" applyFont="1" applyFill="1" applyBorder="1" applyAlignment="1" applyProtection="1">
      <alignment horizontal="center" vertical="center"/>
    </xf>
    <xf numFmtId="164" fontId="47" fillId="15" borderId="47" xfId="1" applyFont="1" applyFill="1" applyBorder="1" applyAlignment="1" applyProtection="1">
      <alignment horizontal="center" vertical="center"/>
    </xf>
    <xf numFmtId="164" fontId="47" fillId="15" borderId="78" xfId="1" applyFont="1" applyFill="1" applyBorder="1" applyAlignment="1" applyProtection="1">
      <alignment horizontal="center" vertical="center"/>
    </xf>
    <xf numFmtId="186" fontId="47" fillId="12" borderId="85" xfId="1" applyNumberFormat="1" applyFont="1" applyFill="1" applyBorder="1" applyAlignment="1" applyProtection="1">
      <alignment horizontal="center" vertical="center"/>
      <protection locked="0"/>
    </xf>
    <xf numFmtId="186" fontId="47" fillId="12" borderId="47" xfId="1" applyNumberFormat="1" applyFont="1" applyFill="1" applyBorder="1" applyAlignment="1" applyProtection="1">
      <alignment horizontal="center" vertical="center"/>
      <protection locked="0"/>
    </xf>
    <xf numFmtId="186" fontId="47" fillId="12" borderId="78" xfId="1" applyNumberFormat="1" applyFont="1" applyFill="1" applyBorder="1" applyAlignment="1" applyProtection="1">
      <alignment horizontal="center" vertical="center"/>
      <protection locked="0"/>
    </xf>
    <xf numFmtId="186" fontId="47" fillId="12" borderId="85" xfId="1" applyNumberFormat="1" applyFont="1" applyFill="1" applyBorder="1" applyAlignment="1" applyProtection="1">
      <alignment horizontal="center" vertical="center"/>
    </xf>
    <xf numFmtId="0" fontId="47" fillId="0" borderId="47" xfId="0" applyFont="1" applyBorder="1"/>
    <xf numFmtId="0" fontId="47" fillId="0" borderId="78" xfId="0" applyFont="1" applyBorder="1"/>
    <xf numFmtId="2" fontId="47" fillId="12" borderId="85" xfId="0" applyNumberFormat="1" applyFont="1" applyFill="1" applyBorder="1" applyAlignment="1">
      <alignment horizontal="center" vertical="center"/>
    </xf>
    <xf numFmtId="2" fontId="47" fillId="12" borderId="47" xfId="0" applyNumberFormat="1" applyFont="1" applyFill="1" applyBorder="1" applyAlignment="1">
      <alignment horizontal="center" vertical="center"/>
    </xf>
    <xf numFmtId="2" fontId="47" fillId="12" borderId="78" xfId="0" applyNumberFormat="1" applyFont="1" applyFill="1" applyBorder="1" applyAlignment="1">
      <alignment horizontal="center" vertical="center"/>
    </xf>
    <xf numFmtId="0" fontId="43" fillId="12" borderId="4" xfId="0" applyFont="1" applyFill="1" applyBorder="1" applyAlignment="1" applyProtection="1">
      <alignment horizontal="center" vertical="center" wrapText="1"/>
      <protection locked="0"/>
    </xf>
    <xf numFmtId="0" fontId="43" fillId="12" borderId="78" xfId="0" applyFont="1" applyFill="1" applyBorder="1" applyAlignment="1" applyProtection="1">
      <alignment horizontal="center" vertical="center" wrapText="1"/>
      <protection locked="0"/>
    </xf>
    <xf numFmtId="0" fontId="45" fillId="12" borderId="4" xfId="0" applyFont="1" applyFill="1" applyBorder="1" applyAlignment="1" applyProtection="1">
      <alignment horizontal="center" vertical="center" wrapText="1"/>
      <protection locked="0"/>
    </xf>
    <xf numFmtId="0" fontId="45" fillId="12" borderId="78" xfId="0" applyFont="1" applyFill="1" applyBorder="1" applyAlignment="1" applyProtection="1">
      <alignment horizontal="center" vertical="center" wrapText="1"/>
      <protection locked="0"/>
    </xf>
    <xf numFmtId="164" fontId="43" fillId="13" borderId="66" xfId="1" applyFont="1" applyFill="1" applyBorder="1" applyAlignment="1" applyProtection="1">
      <alignment horizontal="center" vertical="center" wrapText="1"/>
    </xf>
    <xf numFmtId="164" fontId="43" fillId="13" borderId="47" xfId="1" applyFont="1" applyFill="1" applyBorder="1" applyAlignment="1" applyProtection="1">
      <alignment horizontal="center" vertical="center" wrapText="1"/>
    </xf>
    <xf numFmtId="164" fontId="43" fillId="13" borderId="78" xfId="1" applyFont="1" applyFill="1" applyBorder="1" applyAlignment="1" applyProtection="1">
      <alignment horizontal="center" vertical="center" wrapText="1"/>
    </xf>
    <xf numFmtId="0" fontId="43" fillId="10" borderId="70" xfId="0" applyFont="1" applyFill="1" applyBorder="1" applyAlignment="1">
      <alignment horizontal="center" vertical="center" wrapText="1"/>
    </xf>
    <xf numFmtId="0" fontId="43" fillId="10" borderId="73" xfId="0" applyFont="1" applyFill="1" applyBorder="1" applyAlignment="1">
      <alignment horizontal="center" vertical="center" wrapText="1"/>
    </xf>
    <xf numFmtId="0" fontId="43" fillId="10" borderId="79" xfId="0" applyFont="1" applyFill="1" applyBorder="1" applyAlignment="1">
      <alignment horizontal="center" vertical="center" wrapText="1"/>
    </xf>
    <xf numFmtId="185" fontId="43" fillId="12" borderId="67" xfId="0" applyNumberFormat="1" applyFont="1" applyFill="1" applyBorder="1" applyAlignment="1" applyProtection="1">
      <alignment horizontal="center" vertical="center" wrapText="1"/>
      <protection locked="0"/>
    </xf>
    <xf numFmtId="185" fontId="43" fillId="12" borderId="68" xfId="0" applyNumberFormat="1" applyFont="1" applyFill="1" applyBorder="1" applyAlignment="1" applyProtection="1">
      <alignment horizontal="center" vertical="center" wrapText="1"/>
      <protection locked="0"/>
    </xf>
    <xf numFmtId="185" fontId="43" fillId="12" borderId="69" xfId="0" applyNumberFormat="1" applyFont="1" applyFill="1" applyBorder="1" applyAlignment="1" applyProtection="1">
      <alignment horizontal="center" vertical="center" wrapText="1"/>
      <protection locked="0"/>
    </xf>
    <xf numFmtId="0" fontId="43" fillId="9" borderId="81" xfId="0" applyFont="1" applyFill="1" applyBorder="1" applyAlignment="1" applyProtection="1">
      <alignment horizontal="center" vertical="center" wrapText="1"/>
      <protection locked="0"/>
    </xf>
    <xf numFmtId="0" fontId="43" fillId="9" borderId="72" xfId="0" applyFont="1" applyFill="1" applyBorder="1" applyAlignment="1" applyProtection="1">
      <alignment horizontal="center" vertical="center" wrapText="1"/>
      <protection locked="0"/>
    </xf>
    <xf numFmtId="0" fontId="43" fillId="9" borderId="75" xfId="0" applyFont="1" applyFill="1" applyBorder="1" applyAlignment="1" applyProtection="1">
      <alignment horizontal="center" vertical="center" wrapText="1"/>
      <protection locked="0"/>
    </xf>
    <xf numFmtId="189" fontId="47" fillId="12" borderId="85" xfId="1" applyNumberFormat="1" applyFont="1" applyFill="1" applyBorder="1" applyAlignment="1" applyProtection="1">
      <alignment horizontal="center" vertical="center"/>
    </xf>
    <xf numFmtId="189" fontId="47" fillId="0" borderId="47" xfId="0" applyNumberFormat="1" applyFont="1" applyBorder="1"/>
    <xf numFmtId="189" fontId="47" fillId="0" borderId="78" xfId="0" applyNumberFormat="1" applyFont="1" applyBorder="1"/>
    <xf numFmtId="186" fontId="47" fillId="15" borderId="85" xfId="1" applyNumberFormat="1" applyFont="1" applyFill="1" applyBorder="1" applyAlignment="1" applyProtection="1">
      <alignment horizontal="center" vertical="center"/>
    </xf>
    <xf numFmtId="186" fontId="47" fillId="15" borderId="47" xfId="1" applyNumberFormat="1" applyFont="1" applyFill="1" applyBorder="1" applyAlignment="1" applyProtection="1">
      <alignment horizontal="center" vertical="center"/>
    </xf>
    <xf numFmtId="186" fontId="47" fillId="15" borderId="78" xfId="1" applyNumberFormat="1" applyFont="1" applyFill="1" applyBorder="1" applyAlignment="1" applyProtection="1">
      <alignment horizontal="center" vertical="center"/>
    </xf>
    <xf numFmtId="186" fontId="43" fillId="13" borderId="64" xfId="1" applyNumberFormat="1" applyFont="1" applyFill="1" applyBorder="1" applyAlignment="1" applyProtection="1">
      <alignment horizontal="center" vertical="center" wrapText="1"/>
    </xf>
    <xf numFmtId="186" fontId="43" fillId="13" borderId="40" xfId="1" applyNumberFormat="1" applyFont="1" applyFill="1" applyBorder="1" applyAlignment="1" applyProtection="1">
      <alignment horizontal="center" vertical="center" wrapText="1"/>
    </xf>
    <xf numFmtId="186" fontId="43" fillId="13" borderId="76" xfId="1" applyNumberFormat="1" applyFont="1" applyFill="1" applyBorder="1" applyAlignment="1" applyProtection="1">
      <alignment horizontal="center" vertical="center" wrapText="1"/>
    </xf>
    <xf numFmtId="180" fontId="43" fillId="10" borderId="40" xfId="0" applyNumberFormat="1" applyFont="1" applyFill="1" applyBorder="1" applyAlignment="1">
      <alignment horizontal="center" vertical="center" wrapText="1"/>
    </xf>
    <xf numFmtId="180" fontId="43" fillId="10" borderId="23" xfId="0" applyNumberFormat="1" applyFont="1" applyFill="1" applyBorder="1" applyAlignment="1">
      <alignment horizontal="center" vertical="center" wrapText="1"/>
    </xf>
    <xf numFmtId="180" fontId="43" fillId="10" borderId="76" xfId="0" applyNumberFormat="1" applyFont="1" applyFill="1" applyBorder="1" applyAlignment="1">
      <alignment horizontal="center" vertical="center" wrapText="1"/>
    </xf>
    <xf numFmtId="180" fontId="43" fillId="10" borderId="77" xfId="0" applyNumberFormat="1" applyFont="1" applyFill="1" applyBorder="1" applyAlignment="1">
      <alignment horizontal="center" vertical="center" wrapText="1"/>
    </xf>
    <xf numFmtId="188" fontId="44" fillId="11" borderId="47" xfId="0" applyNumberFormat="1" applyFont="1" applyFill="1" applyBorder="1" applyAlignment="1">
      <alignment horizontal="center" vertical="center"/>
    </xf>
    <xf numFmtId="188" fontId="44" fillId="11" borderId="78" xfId="0" applyNumberFormat="1" applyFont="1" applyFill="1" applyBorder="1" applyAlignment="1">
      <alignment horizontal="center" vertical="center"/>
    </xf>
    <xf numFmtId="0" fontId="43" fillId="12" borderId="4" xfId="0" applyFont="1" applyFill="1" applyBorder="1" applyAlignment="1">
      <alignment horizontal="center" vertical="center" wrapText="1"/>
    </xf>
    <xf numFmtId="0" fontId="43" fillId="12" borderId="78" xfId="0" applyFont="1" applyFill="1" applyBorder="1" applyAlignment="1">
      <alignment horizontal="center" vertical="center" wrapText="1"/>
    </xf>
    <xf numFmtId="0" fontId="45" fillId="12" borderId="4" xfId="0" applyFont="1" applyFill="1" applyBorder="1" applyAlignment="1">
      <alignment horizontal="center" vertical="center" wrapText="1"/>
    </xf>
    <xf numFmtId="0" fontId="45" fillId="12" borderId="78" xfId="0" applyFont="1" applyFill="1" applyBorder="1" applyAlignment="1">
      <alignment horizontal="center" vertical="center" wrapText="1"/>
    </xf>
    <xf numFmtId="0" fontId="43" fillId="9" borderId="63" xfId="0" applyFont="1" applyFill="1" applyBorder="1" applyAlignment="1">
      <alignment horizontal="center" vertical="center" wrapText="1"/>
    </xf>
    <xf numFmtId="0" fontId="43" fillId="9" borderId="72" xfId="0" applyFont="1" applyFill="1" applyBorder="1" applyAlignment="1">
      <alignment horizontal="center" vertical="center" wrapText="1"/>
    </xf>
    <xf numFmtId="0" fontId="43" fillId="9" borderId="75" xfId="0" applyFont="1" applyFill="1" applyBorder="1" applyAlignment="1">
      <alignment horizontal="center" vertical="center" wrapText="1"/>
    </xf>
    <xf numFmtId="0" fontId="43" fillId="10" borderId="64" xfId="0" applyFont="1" applyFill="1" applyBorder="1" applyAlignment="1">
      <alignment horizontal="center" vertical="center" wrapText="1"/>
    </xf>
    <xf numFmtId="0" fontId="43" fillId="10" borderId="65" xfId="0" applyFont="1" applyFill="1" applyBorder="1" applyAlignment="1">
      <alignment horizontal="center" vertical="center" wrapText="1"/>
    </xf>
    <xf numFmtId="185" fontId="43" fillId="12" borderId="67" xfId="0" applyNumberFormat="1" applyFont="1" applyFill="1" applyBorder="1" applyAlignment="1">
      <alignment horizontal="center" vertical="center" wrapText="1"/>
    </xf>
    <xf numFmtId="185" fontId="43" fillId="12" borderId="68" xfId="0" applyNumberFormat="1" applyFont="1" applyFill="1" applyBorder="1" applyAlignment="1">
      <alignment horizontal="center" vertical="center" wrapText="1"/>
    </xf>
    <xf numFmtId="185" fontId="43" fillId="12" borderId="69" xfId="0" applyNumberFormat="1" applyFont="1" applyFill="1" applyBorder="1" applyAlignment="1">
      <alignment horizontal="center" vertical="center" wrapText="1"/>
    </xf>
    <xf numFmtId="186" fontId="43" fillId="13" borderId="66" xfId="1" applyNumberFormat="1" applyFont="1" applyFill="1" applyBorder="1" applyAlignment="1" applyProtection="1">
      <alignment horizontal="center" vertical="center" wrapText="1"/>
    </xf>
    <xf numFmtId="186" fontId="43" fillId="13" borderId="47" xfId="1" applyNumberFormat="1" applyFont="1" applyFill="1" applyBorder="1" applyAlignment="1" applyProtection="1">
      <alignment horizontal="center" vertical="center" wrapText="1"/>
    </xf>
    <xf numFmtId="186" fontId="43" fillId="13" borderId="78" xfId="1" applyNumberFormat="1" applyFont="1" applyFill="1" applyBorder="1" applyAlignment="1" applyProtection="1">
      <alignment horizontal="center" vertical="center" wrapText="1"/>
    </xf>
    <xf numFmtId="189" fontId="47" fillId="12" borderId="47" xfId="1" applyNumberFormat="1" applyFont="1" applyFill="1" applyBorder="1" applyAlignment="1" applyProtection="1">
      <alignment horizontal="center" vertical="center"/>
    </xf>
    <xf numFmtId="189" fontId="47" fillId="12" borderId="78" xfId="1" applyNumberFormat="1" applyFont="1" applyFill="1" applyBorder="1" applyAlignment="1" applyProtection="1">
      <alignment horizontal="center" vertical="center"/>
    </xf>
    <xf numFmtId="186" fontId="49" fillId="20" borderId="85" xfId="1" applyNumberFormat="1" applyFont="1" applyFill="1" applyBorder="1" applyAlignment="1" applyProtection="1">
      <alignment horizontal="center" vertical="center"/>
    </xf>
    <xf numFmtId="186" fontId="49" fillId="20" borderId="47" xfId="1" applyNumberFormat="1" applyFont="1" applyFill="1" applyBorder="1" applyAlignment="1" applyProtection="1">
      <alignment horizontal="center" vertical="center"/>
    </xf>
    <xf numFmtId="186" fontId="49" fillId="20" borderId="78" xfId="1" applyNumberFormat="1" applyFont="1" applyFill="1" applyBorder="1" applyAlignment="1" applyProtection="1">
      <alignment horizontal="center" vertical="center"/>
    </xf>
    <xf numFmtId="164" fontId="49" fillId="20" borderId="85" xfId="1" applyFont="1" applyFill="1" applyBorder="1" applyAlignment="1" applyProtection="1">
      <alignment horizontal="center" vertical="center"/>
    </xf>
    <xf numFmtId="164" fontId="49" fillId="20" borderId="47" xfId="1" applyFont="1" applyFill="1" applyBorder="1" applyAlignment="1" applyProtection="1">
      <alignment horizontal="center" vertical="center"/>
    </xf>
    <xf numFmtId="164" fontId="49" fillId="20" borderId="78" xfId="1" applyFont="1" applyFill="1" applyBorder="1" applyAlignment="1" applyProtection="1">
      <alignment horizontal="center" vertical="center"/>
    </xf>
    <xf numFmtId="2" fontId="49" fillId="20" borderId="85" xfId="0" applyNumberFormat="1" applyFont="1" applyFill="1" applyBorder="1" applyAlignment="1">
      <alignment horizontal="center" vertical="center"/>
    </xf>
    <xf numFmtId="2" fontId="49" fillId="20" borderId="47" xfId="0" applyNumberFormat="1" applyFont="1" applyFill="1" applyBorder="1" applyAlignment="1">
      <alignment horizontal="center" vertical="center"/>
    </xf>
    <xf numFmtId="2" fontId="49" fillId="20" borderId="78" xfId="0" applyNumberFormat="1" applyFont="1" applyFill="1" applyBorder="1" applyAlignment="1">
      <alignment horizontal="center" vertical="center"/>
    </xf>
    <xf numFmtId="0" fontId="43" fillId="20" borderId="81" xfId="0" applyFont="1" applyFill="1" applyBorder="1" applyAlignment="1" applyProtection="1">
      <alignment horizontal="center" vertical="center" wrapText="1"/>
      <protection locked="0"/>
    </xf>
    <xf numFmtId="0" fontId="43" fillId="20" borderId="72" xfId="0" applyFont="1" applyFill="1" applyBorder="1" applyAlignment="1" applyProtection="1">
      <alignment horizontal="center" vertical="center" wrapText="1"/>
      <protection locked="0"/>
    </xf>
    <xf numFmtId="0" fontId="43" fillId="20" borderId="75" xfId="0" applyFont="1" applyFill="1" applyBorder="1" applyAlignment="1" applyProtection="1">
      <alignment horizontal="center" vertical="center" wrapText="1"/>
      <protection locked="0"/>
    </xf>
    <xf numFmtId="189" fontId="49" fillId="20" borderId="85" xfId="1" applyNumberFormat="1" applyFont="1" applyFill="1" applyBorder="1" applyAlignment="1" applyProtection="1">
      <alignment horizontal="center" vertical="center"/>
    </xf>
    <xf numFmtId="189" fontId="49" fillId="20" borderId="47" xfId="1" applyNumberFormat="1" applyFont="1" applyFill="1" applyBorder="1" applyAlignment="1" applyProtection="1">
      <alignment horizontal="center" vertical="center"/>
    </xf>
    <xf numFmtId="189" fontId="49" fillId="20" borderId="78" xfId="1" applyNumberFormat="1" applyFont="1" applyFill="1" applyBorder="1" applyAlignment="1" applyProtection="1">
      <alignment horizontal="center" vertical="center"/>
    </xf>
    <xf numFmtId="186" fontId="46" fillId="12" borderId="85" xfId="1" applyNumberFormat="1" applyFont="1" applyFill="1" applyBorder="1" applyAlignment="1" applyProtection="1">
      <alignment horizontal="center" vertical="center"/>
      <protection locked="0"/>
    </xf>
    <xf numFmtId="186" fontId="46" fillId="12" borderId="47" xfId="1" applyNumberFormat="1" applyFont="1" applyFill="1" applyBorder="1" applyAlignment="1" applyProtection="1">
      <alignment horizontal="center" vertical="center"/>
      <protection locked="0"/>
    </xf>
    <xf numFmtId="186" fontId="46" fillId="12" borderId="78" xfId="1" applyNumberFormat="1" applyFont="1" applyFill="1" applyBorder="1" applyAlignment="1" applyProtection="1">
      <alignment horizontal="center" vertical="center"/>
      <protection locked="0"/>
    </xf>
    <xf numFmtId="186" fontId="49" fillId="20" borderId="84" xfId="1" applyNumberFormat="1" applyFont="1" applyFill="1" applyBorder="1" applyAlignment="1" applyProtection="1">
      <alignment horizontal="center" vertical="center"/>
    </xf>
    <xf numFmtId="186" fontId="49" fillId="20" borderId="40" xfId="1" applyNumberFormat="1" applyFont="1" applyFill="1" applyBorder="1" applyAlignment="1" applyProtection="1">
      <alignment horizontal="center" vertical="center"/>
    </xf>
    <xf numFmtId="186" fontId="49" fillId="20" borderId="76" xfId="1" applyNumberFormat="1" applyFont="1" applyFill="1" applyBorder="1" applyAlignment="1" applyProtection="1">
      <alignment horizontal="center" vertical="center"/>
    </xf>
    <xf numFmtId="189" fontId="49" fillId="20" borderId="84" xfId="1" applyNumberFormat="1" applyFont="1" applyFill="1" applyBorder="1" applyAlignment="1" applyProtection="1">
      <alignment horizontal="center" vertical="center"/>
    </xf>
    <xf numFmtId="189" fontId="49" fillId="20" borderId="40" xfId="1" applyNumberFormat="1" applyFont="1" applyFill="1" applyBorder="1" applyAlignment="1" applyProtection="1">
      <alignment horizontal="center" vertical="center"/>
    </xf>
    <xf numFmtId="189" fontId="49" fillId="20" borderId="76" xfId="1" applyNumberFormat="1" applyFont="1" applyFill="1" applyBorder="1" applyAlignment="1" applyProtection="1">
      <alignment horizontal="center" vertical="center"/>
    </xf>
    <xf numFmtId="186" fontId="49" fillId="21" borderId="40" xfId="1" applyNumberFormat="1" applyFont="1" applyFill="1" applyBorder="1" applyAlignment="1" applyProtection="1">
      <alignment horizontal="center" vertical="center"/>
    </xf>
    <xf numFmtId="186" fontId="49" fillId="21" borderId="92" xfId="1" applyNumberFormat="1" applyFont="1" applyFill="1" applyBorder="1" applyAlignment="1" applyProtection="1">
      <alignment horizontal="center" vertical="center"/>
    </xf>
    <xf numFmtId="2" fontId="49" fillId="21" borderId="47" xfId="0" applyNumberFormat="1" applyFont="1" applyFill="1" applyBorder="1" applyAlignment="1">
      <alignment horizontal="center" vertical="center"/>
    </xf>
    <xf numFmtId="2" fontId="49" fillId="21" borderId="91" xfId="0" applyNumberFormat="1" applyFont="1" applyFill="1" applyBorder="1" applyAlignment="1">
      <alignment horizontal="center" vertical="center"/>
    </xf>
    <xf numFmtId="164" fontId="49" fillId="21" borderId="85" xfId="1" applyFont="1" applyFill="1" applyBorder="1" applyAlignment="1" applyProtection="1">
      <alignment horizontal="center" vertical="center"/>
    </xf>
    <xf numFmtId="164" fontId="49" fillId="21" borderId="47" xfId="1" applyFont="1" applyFill="1" applyBorder="1" applyAlignment="1" applyProtection="1">
      <alignment horizontal="center" vertical="center"/>
    </xf>
    <xf numFmtId="164" fontId="49" fillId="21" borderId="91" xfId="1" applyFont="1" applyFill="1" applyBorder="1" applyAlignment="1" applyProtection="1">
      <alignment horizontal="center" vertical="center"/>
    </xf>
    <xf numFmtId="0" fontId="43" fillId="21" borderId="72" xfId="0" applyFont="1" applyFill="1" applyBorder="1" applyAlignment="1" applyProtection="1">
      <alignment horizontal="center" vertical="center" wrapText="1"/>
      <protection locked="0"/>
    </xf>
    <xf numFmtId="0" fontId="43" fillId="21" borderId="90" xfId="0" applyFont="1" applyFill="1" applyBorder="1" applyAlignment="1" applyProtection="1">
      <alignment horizontal="center" vertical="center" wrapText="1"/>
      <protection locked="0"/>
    </xf>
    <xf numFmtId="189" fontId="49" fillId="21" borderId="40" xfId="1" applyNumberFormat="1" applyFont="1" applyFill="1" applyBorder="1" applyAlignment="1" applyProtection="1">
      <alignment horizontal="center" vertical="center"/>
    </xf>
    <xf numFmtId="189" fontId="49" fillId="21" borderId="92" xfId="1" applyNumberFormat="1" applyFont="1" applyFill="1" applyBorder="1" applyAlignment="1" applyProtection="1">
      <alignment horizontal="center" vertical="center"/>
    </xf>
    <xf numFmtId="0" fontId="32" fillId="5" borderId="4" xfId="0" applyFont="1" applyFill="1" applyBorder="1" applyAlignment="1">
      <alignment horizontal="center" vertical="center" wrapText="1"/>
    </xf>
    <xf numFmtId="0" fontId="32" fillId="5" borderId="47" xfId="0" applyFont="1" applyFill="1" applyBorder="1" applyAlignment="1">
      <alignment horizontal="center" vertical="center" wrapText="1"/>
    </xf>
    <xf numFmtId="0" fontId="32" fillId="5" borderId="5" xfId="0" applyFont="1" applyFill="1" applyBorder="1" applyAlignment="1">
      <alignment horizontal="center" vertical="center" wrapText="1"/>
    </xf>
    <xf numFmtId="49" fontId="32" fillId="8" borderId="2" xfId="0" applyNumberFormat="1" applyFont="1" applyFill="1" applyBorder="1" applyAlignment="1">
      <alignment horizontal="center" vertical="center" wrapText="1"/>
    </xf>
    <xf numFmtId="164" fontId="32" fillId="5" borderId="4" xfId="1" applyFont="1" applyFill="1" applyBorder="1" applyAlignment="1" applyProtection="1">
      <alignment horizontal="center" vertical="center" wrapText="1"/>
    </xf>
    <xf numFmtId="164" fontId="32" fillId="5" borderId="47" xfId="1" applyFont="1" applyFill="1" applyBorder="1" applyAlignment="1" applyProtection="1">
      <alignment horizontal="center" vertical="center" wrapText="1"/>
    </xf>
    <xf numFmtId="179" fontId="32" fillId="5" borderId="4" xfId="0" applyNumberFormat="1" applyFont="1" applyFill="1" applyBorder="1" applyAlignment="1">
      <alignment horizontal="center" vertical="center" wrapText="1"/>
    </xf>
    <xf numFmtId="179" fontId="32" fillId="5" borderId="47" xfId="0" applyNumberFormat="1" applyFont="1" applyFill="1" applyBorder="1" applyAlignment="1">
      <alignment horizontal="center" vertical="center" wrapText="1"/>
    </xf>
    <xf numFmtId="179" fontId="32" fillId="5" borderId="5" xfId="0" applyNumberFormat="1" applyFont="1" applyFill="1" applyBorder="1" applyAlignment="1">
      <alignment horizontal="center" vertical="center" wrapText="1"/>
    </xf>
    <xf numFmtId="164" fontId="32" fillId="5" borderId="5" xfId="1" applyFont="1" applyFill="1" applyBorder="1" applyAlignment="1" applyProtection="1">
      <alignment horizontal="center" vertical="center" wrapText="1"/>
    </xf>
  </cellXfs>
  <cellStyles count="17">
    <cellStyle name="Comma" xfId="1" builtinId="3"/>
    <cellStyle name="Comma 10" xfId="6"/>
    <cellStyle name="Comma 2" xfId="3"/>
    <cellStyle name="Comma 2 2" xfId="12"/>
    <cellStyle name="Comma 3" xfId="9"/>
    <cellStyle name="Comma 3 6" xfId="14"/>
    <cellStyle name="Comma 4" xfId="4"/>
    <cellStyle name="Comma 5" xfId="11"/>
    <cellStyle name="Comma 8" xfId="16"/>
    <cellStyle name="Currency 2" xfId="7"/>
    <cellStyle name="Normal" xfId="0" builtinId="0"/>
    <cellStyle name="Normal 2" xfId="2"/>
    <cellStyle name="Normal 2 2" xfId="8"/>
    <cellStyle name="Normal 3" xfId="10"/>
    <cellStyle name="Normal 3 2" xfId="13"/>
    <cellStyle name="Normal 4" xfId="5"/>
    <cellStyle name="Normal 4 3" xfId="15"/>
  </cellStyles>
  <dxfs count="291">
    <dxf>
      <font>
        <b val="0"/>
        <i val="0"/>
        <strike val="0"/>
        <condense val="0"/>
        <extend val="0"/>
        <outline val="0"/>
        <shadow val="0"/>
        <u val="none"/>
        <vertAlign val="baseline"/>
        <sz val="12"/>
        <color auto="1"/>
        <name val="Times New Roman"/>
        <scheme val="none"/>
      </font>
      <protection locked="0" hidden="0"/>
    </dxf>
    <dxf>
      <numFmt numFmtId="30" formatCode="@"/>
      <alignment horizontal="center" vertical="bottom" textRotation="0" wrapText="0" indent="0" justifyLastLine="0" shrinkToFit="0" readingOrder="0"/>
      <protection locked="0" hidden="0"/>
    </dxf>
    <dxf>
      <numFmt numFmtId="0" formatCode="General"/>
      <alignment horizontal="left" vertical="bottom" textRotation="0" wrapText="0" indent="0" justifyLastLine="0" shrinkToFit="0" readingOrder="0"/>
      <protection locked="1" hidden="0"/>
    </dxf>
    <dxf>
      <numFmt numFmtId="30" formatCode="@"/>
      <alignment horizontal="center" vertical="bottom" textRotation="0" wrapText="0" relativeIndent="0" justifyLastLine="0" shrinkToFit="0" readingOrder="0"/>
      <protection locked="0" hidden="0"/>
    </dxf>
    <dxf>
      <numFmt numFmtId="30" formatCode="@"/>
      <alignment horizontal="center" vertical="bottom" textRotation="0" wrapText="0" relativeIndent="0" justifyLastLine="0" shrinkToFit="0" readingOrder="0"/>
      <protection locked="0" hidden="0"/>
    </dxf>
    <dxf>
      <numFmt numFmtId="173" formatCode="mm/dd/yy;@"/>
      <alignment horizontal="center" vertical="bottom" textRotation="0" wrapText="0" relativeIndent="0" justifyLastLine="0" shrinkToFit="0" readingOrder="0"/>
      <protection locked="0" hidden="0"/>
    </dxf>
    <dxf>
      <border outline="0">
        <top style="thin">
          <color rgb="FF000000"/>
        </top>
      </border>
    </dxf>
    <dxf>
      <protection locked="0" hidden="0"/>
    </dxf>
    <dxf>
      <border outline="0">
        <bottom style="thin">
          <color rgb="FF000000"/>
        </bottom>
      </border>
    </dxf>
    <dxf>
      <numFmt numFmtId="30" formatCode="@"/>
      <alignment horizontal="center" vertical="bottom" textRotation="0" wrapText="0" relativeIndent="0" justifyLastLine="0" shrinkToFit="0" readingOrder="0"/>
      <border diagonalUp="0" diagonalDown="0">
        <left style="thin">
          <color indexed="64"/>
        </left>
        <right style="thin">
          <color indexed="64"/>
        </right>
        <top/>
        <bottom/>
      </border>
      <protection locked="0" hidden="0"/>
    </dxf>
    <dxf>
      <font>
        <b/>
        <i val="0"/>
        <strike val="0"/>
        <condense val="0"/>
        <extend val="0"/>
        <outline val="0"/>
        <shadow val="0"/>
        <u val="none"/>
        <vertAlign val="baseline"/>
        <sz val="12"/>
        <color rgb="FFFF0000"/>
        <name val="Times New Roman"/>
        <scheme val="none"/>
      </font>
      <numFmt numFmtId="193" formatCode="#,##0.00_);\(#,##0.00\)"/>
      <alignment horizontal="general" vertical="center" textRotation="0" wrapText="0" relative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alignment horizontal="general"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alignment horizontal="general"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0"/>
        <color auto="1"/>
        <name val="Times New Roman"/>
        <scheme val="none"/>
      </font>
      <numFmt numFmtId="30" formatCode="@"/>
      <alignment horizontal="justify"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191" formatCode="[$-3409]dd\-mmm\-yy;@"/>
      <alignment horizontal="center" vertical="center" textRotation="0" wrapText="0" relativeIndent="0" justifyLastLine="0" shrinkToFit="0" readingOrder="0"/>
      <border diagonalUp="0" diagonalDown="0">
        <left/>
        <right style="thin">
          <color indexed="64"/>
        </right>
        <top style="thin">
          <color indexed="64"/>
        </top>
        <bottom style="thin">
          <color indexed="64"/>
        </bottom>
        <vertical/>
        <horizontal/>
      </border>
      <protection locked="0" hidden="0"/>
    </dxf>
    <dxf>
      <border>
        <top style="thin">
          <color indexed="64"/>
        </top>
        <vertical/>
        <horizontal/>
      </border>
    </dxf>
    <dxf>
      <border diagonalUp="0" diagonalDown="0">
        <left style="thin">
          <color indexed="64"/>
        </left>
        <right style="thin">
          <color indexed="64"/>
        </right>
        <top style="thin">
          <color indexed="64"/>
        </top>
        <bottom style="thin">
          <color indexed="64"/>
        </bottom>
      </border>
    </dxf>
    <dxf>
      <border>
        <bottom style="thin">
          <color indexed="64"/>
        </bottom>
        <vertical/>
        <horizontal/>
      </border>
    </dxf>
    <dxf>
      <font>
        <b/>
        <i val="0"/>
        <strike val="0"/>
        <condense val="0"/>
        <extend val="0"/>
        <outline val="0"/>
        <shadow val="0"/>
        <u val="none"/>
        <vertAlign val="baseline"/>
        <sz val="12"/>
        <color auto="1"/>
        <name val="Times New Roman"/>
        <scheme val="none"/>
      </font>
      <fill>
        <patternFill patternType="none">
          <fgColor indexed="64"/>
          <bgColor indexed="65"/>
        </patternFill>
      </fill>
      <alignment horizontal="center" vertical="center" textRotation="0" wrapText="0" relativeIndent="0" justifyLastLine="0" shrinkToFit="0" readingOrder="0"/>
      <border diagonalUp="0" diagonalDown="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164" formatCode="_(* #,##0.00_);_(* \(#,##0.00\);_(* &quot;-&quot;??_);_(@_)"/>
      <fill>
        <patternFill patternType="solid">
          <fgColor indexed="64"/>
          <bgColor theme="9" tint="0.59999389629810485"/>
        </patternFill>
      </fill>
      <alignment horizontal="general" vertical="center" textRotation="0" wrapText="0" indent="0" justifyLastLine="0" shrinkToFit="0" readingOrder="0"/>
      <border diagonalUp="0" diagonalDown="0" outline="0">
        <left style="thin">
          <color indexed="64"/>
        </left>
        <right/>
        <top style="thin">
          <color indexed="64"/>
        </top>
        <bottom style="thin">
          <color indexed="64"/>
        </bottom>
      </border>
    </dxf>
    <dxf>
      <numFmt numFmtId="164" formatCode="_(* #,##0.00_);_(* \(#,##0.0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Times New Roman"/>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Times New Roman"/>
        <scheme val="none"/>
      </font>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73" formatCode="mm/dd/yy;@"/>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0" readingOrder="0"/>
    </dxf>
    <dxf>
      <border outline="0">
        <bottom style="thin">
          <color rgb="FF000000"/>
        </bottom>
      </border>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numFmt numFmtId="164" formatCode="_(* #,##0.00_);_(* \(#,##0.00\);_(* &quot;-&quot;??_);_(@_)"/>
    </dxf>
    <dxf>
      <numFmt numFmtId="164" formatCode="_(* #,##0.00_);_(* \(#,##0.00\);_(* &quot;-&quot;??_);_(@_)"/>
    </dxf>
    <dxf>
      <numFmt numFmtId="164" formatCode="_(* #,##0.00_);_(* \(#,##0.00\);_(* &quot;-&quot;??_);_(@_)"/>
    </dxf>
    <dxf>
      <font>
        <b/>
        <i val="0"/>
        <strike val="0"/>
        <condense val="0"/>
        <extend val="0"/>
        <outline val="0"/>
        <shadow val="0"/>
        <u val="none"/>
        <vertAlign val="baseline"/>
        <sz val="12"/>
        <color rgb="FFFF0000"/>
        <name val="Times New Roman"/>
        <scheme val="none"/>
      </font>
      <numFmt numFmtId="193" formatCode="#,##0.00_);\(#,##0.00\)"/>
      <alignment horizontal="general" vertical="center" textRotation="0" wrapText="0" relative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general"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0" formatCode="General"/>
      <alignment horizontal="general"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Bookman Old Style"/>
        <scheme val="none"/>
      </font>
      <numFmt numFmtId="30" formatCode="@"/>
      <fill>
        <patternFill patternType="solid">
          <fgColor indexed="64"/>
          <bgColor theme="4" tint="0.5999938962981048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left" vertical="bottom"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0" readingOrder="0"/>
      <border diagonalUp="0" diagonalDown="0" outline="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91" formatCode="[$-3409]dd\-mmm\-yy;@"/>
      <alignment horizontal="center" vertical="bottom" textRotation="0" wrapText="0" relativeIndent="0" justifyLastLine="0" shrinkToFit="0" readingOrder="0"/>
      <border diagonalUp="0" diagonalDown="0">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191" formatCode="[$-3409]dd\-mmm\-yy;@"/>
      <alignment horizontal="center" vertical="bottom" textRotation="0" wrapText="0" relativeIndent="0" justifyLastLine="0" shrinkToFit="0" readingOrder="0"/>
      <border diagonalUp="0" diagonalDown="0">
        <left/>
        <right style="thin">
          <color indexed="64"/>
        </right>
        <top style="thin">
          <color indexed="64"/>
        </top>
        <bottom style="thin">
          <color indexed="64"/>
        </bottom>
        <vertical/>
        <horizontal/>
      </border>
      <protection locked="0" hidden="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New Roman"/>
        <scheme val="none"/>
      </font>
      <alignment horizontal="general" vertical="bottom" textRotation="0" wrapText="0" relativeIndent="0" justifyLastLine="0" shrinkToFit="0" readingOrder="0"/>
      <protection locked="0" hidden="0"/>
    </dxf>
    <dxf>
      <border outline="0">
        <bottom style="thin">
          <color indexed="64"/>
        </bottom>
      </border>
    </dxf>
    <dxf>
      <font>
        <b/>
        <i val="0"/>
        <strike val="0"/>
        <condense val="0"/>
        <extend val="0"/>
        <outline val="0"/>
        <shadow val="0"/>
        <u val="none"/>
        <vertAlign val="baseline"/>
        <sz val="12"/>
        <color auto="1"/>
        <name val="Times New Roman"/>
        <scheme val="none"/>
      </font>
      <fill>
        <patternFill patternType="none">
          <fgColor indexed="64"/>
          <bgColor indexed="65"/>
        </patternFill>
      </fill>
      <alignment horizontal="center" vertical="center" textRotation="0" wrapText="1" relative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164" formatCode="_(* #,##0.00_);_(* \(#,##0.00\);_(* &quot;-&quot;??_);_(@_)"/>
      <fill>
        <patternFill>
          <fgColor indexed="64"/>
          <bgColor theme="9" tint="0.59999389629810485"/>
        </patternFill>
      </fill>
      <alignment horizontal="general" vertical="center" textRotation="0" wrapText="0" indent="0" justifyLastLine="0" shrinkToFit="0" readingOrder="0"/>
      <border diagonalUp="0" diagonalDown="0">
        <left style="thin">
          <color indexed="64"/>
        </left>
        <right/>
        <top style="thin">
          <color indexed="64"/>
        </top>
        <bottom style="thin">
          <color indexed="64"/>
        </bottom>
      </border>
    </dxf>
    <dxf>
      <numFmt numFmtId="164" formatCode="_(* #,##0.00_);_(* \(#,##0.00\);_(* &quot;-&quot;??_);_(@_)"/>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Times New Roman"/>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Times New Roman"/>
        <scheme val="none"/>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73" formatCode="mm/dd/yy;@"/>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left" readingOrder="0"/>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numFmt numFmtId="164" formatCode="_(* #,##0.00_);_(* \(#,##0.00\);_(* &quot;-&quot;??_);_(@_)"/>
    </dxf>
    <dxf>
      <font>
        <b/>
        <i val="0"/>
        <strike val="0"/>
        <condense val="0"/>
        <extend val="0"/>
        <outline val="0"/>
        <shadow val="0"/>
        <u val="none"/>
        <vertAlign val="baseline"/>
        <sz val="12"/>
        <color rgb="FFFF0000"/>
        <name val="Times New Roman"/>
        <scheme val="none"/>
      </font>
      <numFmt numFmtId="7" formatCode="#,##0.00;\-#,##0.00"/>
      <alignment horizontal="general" vertical="center" textRotation="0" wrapText="0" indent="0" justifyLastLine="0" shrinkToFit="0" readingOrder="0"/>
      <border diagonalUp="0" diagonalDown="0" outline="0">
        <left style="thin">
          <color indexed="64"/>
        </left>
        <right/>
        <top style="thin">
          <color indexed="64"/>
        </top>
        <bottom/>
      </border>
    </dxf>
    <dxf>
      <font>
        <b/>
        <i val="0"/>
        <strike val="0"/>
        <condense val="0"/>
        <extend val="0"/>
        <outline val="0"/>
        <shadow val="0"/>
        <u val="none"/>
        <vertAlign val="baseline"/>
        <sz val="12"/>
        <color rgb="FFFF0000"/>
        <name val="Times New Roman"/>
        <scheme val="none"/>
      </font>
      <numFmt numFmtId="193" formatCode="#,##0.00_);\(#,##0.00\)"/>
      <alignment horizontal="general" vertical="center" textRotation="0" wrapText="0" indent="0" justifyLastLine="0" shrinkToFit="0" readingOrder="0"/>
      <border diagonalUp="0" diagonalDown="0" outline="0">
        <left style="thin">
          <color indexed="64"/>
        </left>
        <right/>
        <top style="thin">
          <color indexed="64"/>
        </top>
        <bottom style="thin">
          <color indexed="64"/>
        </bottom>
      </border>
      <protection locked="1" hidden="0"/>
    </dxf>
    <dxf>
      <alignment horizontal="general" vertical="center" textRotation="0" wrapText="0" indent="0" justifyLastLine="0" shrinkToFit="0"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0" formatCode="Genera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36"/>
        <color auto="1"/>
        <name val="Arial Narrow"/>
        <scheme val="none"/>
      </font>
      <numFmt numFmtId="164" formatCode="_(* #,##0.00_);_(* \(#,##0.00\);_(* &quot;-&quot;??_);_(@_)"/>
      <alignment horizontal="general" vertical="center" textRotation="0" wrapText="0" indent="0" justifyLastLine="0" shrinkToFit="1"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36"/>
        <color auto="1"/>
        <name val="Arial Narrow"/>
        <scheme val="none"/>
      </font>
      <numFmt numFmtId="164" formatCode="_(* #,##0.00_);_(* \(#,##0.00\);_(* &quot;-&quot;??_);_(@_)"/>
      <alignment horizontal="general" vertical="center" textRotation="0" wrapText="0" indent="0" justifyLastLine="0" shrinkToFit="1" readingOrder="0"/>
      <border diagonalUp="0" diagonalDown="0" outline="0">
        <left style="thin">
          <color auto="1"/>
        </left>
        <right style="thin">
          <color auto="1"/>
        </right>
        <top style="thin">
          <color auto="1"/>
        </top>
        <bottom/>
      </border>
      <protection locked="0" hidden="0"/>
    </dxf>
    <dxf>
      <numFmt numFmtId="30" formatCode="@"/>
      <alignment horizontal="center" vertical="center" textRotation="0" wrapText="0" indent="0" justifyLastLine="0" shrinkToFit="0" readingOrder="0"/>
      <border diagonalUp="0" diagonalDown="0" outline="0">
        <left/>
        <right style="thin">
          <color indexed="64"/>
        </right>
        <top style="thin">
          <color indexed="64"/>
        </top>
        <bottom/>
      </border>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protection locked="1" hidden="0"/>
    </dxf>
    <dxf>
      <fill>
        <patternFill patternType="solid">
          <fgColor indexed="64"/>
          <bgColor theme="9" tint="0.59999389629810485"/>
        </patternFill>
      </fill>
      <alignment horizontal="general" vertical="center" textRotation="0" wrapText="0" indent="0" justifyLastLine="0" shrinkToFit="1"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2"/>
        <color auto="1"/>
        <name val="Times New Roman"/>
        <scheme val="none"/>
      </font>
      <numFmt numFmtId="0" formatCode="General"/>
      <fill>
        <patternFill>
          <fgColor indexed="64"/>
          <bgColor theme="9" tint="0.59999389629810485"/>
        </patternFill>
      </fill>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numFmt numFmtId="30" formatCode="@"/>
      <alignment horizontal="left" vertical="center" textRotation="0" wrapText="1" indent="0" justifyLastLine="0" shrinkToFit="0"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Calibri"/>
        <scheme val="minor"/>
      </font>
      <numFmt numFmtId="30" formatCode="@"/>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30" formatCode="@"/>
      <alignment horizontal="left" vertical="center" textRotation="0" wrapText="1" indent="0" justifyLastLine="0" shrinkToFit="1"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numFmt numFmtId="30" formatCode="@"/>
      <alignment horizontal="center" vertical="center" textRotation="0" wrapText="0" indent="0" justifyLastLine="0" shrinkToFit="1"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numFmt numFmtId="30" formatCode="@"/>
      <alignment horizontal="center" vertical="center" textRotation="0" wrapText="0" indent="0" justifyLastLine="0" shrinkToFit="1"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numFmt numFmtId="30" formatCode="@"/>
      <alignment horizontal="center" vertical="center" textRotation="0" wrapText="0" indent="0" justifyLastLine="0" shrinkToFit="0"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30" formatCode="@"/>
      <alignment horizontal="center" vertical="center" textRotation="0" wrapText="0" indent="0" justifyLastLine="0" shrinkToFit="0"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30" formatCode="@"/>
      <alignment horizontal="center" vertical="center" textRotation="0" wrapText="0" indent="0" justifyLastLine="0" shrinkToFit="1"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numFmt numFmtId="30" formatCode="@"/>
      <alignment horizontal="center" vertical="center" textRotation="0" wrapText="0" indent="0" justifyLastLine="0" shrinkToFit="1"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numFmt numFmtId="191" formatCode="[$-3409]dd\-mmm\-yy;@"/>
      <alignment horizontal="center" vertical="center" textRotation="0" wrapText="0" indent="0" justifyLastLine="0" shrinkToFit="1" readingOrder="0"/>
      <border diagonalUp="0" diagonalDown="0" outline="0">
        <left style="thin">
          <color auto="1"/>
        </left>
        <right style="thin">
          <color auto="1"/>
        </right>
        <top style="thin">
          <color auto="1"/>
        </top>
        <bottom/>
      </border>
      <protection locked="0" hidden="0"/>
    </dxf>
    <dxf>
      <font>
        <b val="0"/>
        <i val="0"/>
        <strike val="0"/>
        <condense val="0"/>
        <extend val="0"/>
        <outline val="0"/>
        <shadow val="0"/>
        <u val="none"/>
        <vertAlign val="baseline"/>
        <sz val="12"/>
        <color auto="1"/>
        <name val="Times New Roman"/>
        <scheme val="none"/>
      </font>
      <numFmt numFmtId="191" formatCode="[$-3409]dd\-mmm\-yy;@"/>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numFmt numFmtId="191" formatCode="[$-3409]dd\-mmm\-yy;@"/>
      <alignment horizontal="center" vertical="center" textRotation="0" wrapText="0" indent="0" justifyLastLine="0" shrinkToFit="0" readingOrder="0"/>
      <border diagonalUp="0" diagonalDown="0" outline="0">
        <left/>
        <right style="thin">
          <color indexed="64"/>
        </right>
        <top style="thin">
          <color indexed="64"/>
        </top>
        <bottom/>
      </border>
      <protection locked="0" hidden="0"/>
    </dxf>
    <dxf>
      <font>
        <b val="0"/>
        <i val="0"/>
        <strike val="0"/>
        <condense val="0"/>
        <extend val="0"/>
        <outline val="0"/>
        <shadow val="0"/>
        <u val="none"/>
        <vertAlign val="baseline"/>
        <sz val="12"/>
        <color auto="1"/>
        <name val="Times New Roman"/>
        <scheme val="none"/>
      </font>
      <numFmt numFmtId="191" formatCode="[$-3409]dd\-mmm\-yy;@"/>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protection locked="0" hidden="0"/>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0" readingOrder="0"/>
      <protection locked="0" hidden="0"/>
    </dxf>
    <dxf>
      <border outline="0">
        <bottom style="thin">
          <color indexed="64"/>
        </bottom>
      </border>
    </dxf>
    <dxf>
      <font>
        <b/>
        <i val="0"/>
        <strike val="0"/>
        <condense val="0"/>
        <extend val="0"/>
        <outline val="0"/>
        <shadow val="0"/>
        <u val="none"/>
        <vertAlign val="baseline"/>
        <sz val="12"/>
        <color auto="1"/>
        <name val="Times New Roman"/>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164" formatCode="_(* #,##0.00_);_(* \(#,##0.00\);_(* &quot;-&quot;??_);_(@_)"/>
      <fill>
        <patternFill patternType="solid">
          <fgColor indexed="64"/>
          <bgColor theme="9"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auto="1"/>
        <name val="Times New Roman"/>
        <scheme val="none"/>
      </font>
      <numFmt numFmtId="164" formatCode="_(* #,##0.00_);_(* \(#,##0.00\);_(* &quot;-&quot;??_);_(@_)"/>
      <fill>
        <patternFill>
          <fgColor indexed="64"/>
          <bgColor theme="9" tint="0.5999938962981048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i val="0"/>
        <strike val="0"/>
        <condense val="0"/>
        <extend val="0"/>
        <outline val="0"/>
        <shadow val="0"/>
        <u val="none"/>
        <vertAlign val="baseline"/>
        <sz val="12"/>
        <color auto="1"/>
        <name val="Times New Roman"/>
        <scheme val="none"/>
      </font>
      <numFmt numFmtId="0" formatCode="General"/>
      <alignment horizontal="center" vertical="center" textRotation="0" wrapText="0" indent="0" justifyLastLine="0" shrinkToFit="1" readingOrder="0"/>
      <border diagonalUp="0" diagonalDown="0" outline="0">
        <left style="thin">
          <color indexed="64"/>
        </left>
        <right style="thin">
          <color indexed="64"/>
        </right>
        <top/>
        <bottom/>
      </border>
      <protection locked="0" hidden="0"/>
    </dxf>
    <dxf>
      <font>
        <b/>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64" formatCode="_(* #,##0.00_);_(* \(#,##0.00\);_(* &quot;-&quot;??_);_(@_)"/>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0" formatCode="General"/>
      <alignment horizontal="general"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numFmt numFmtId="0" formatCode="General"/>
      <alignment horizontal="center"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New Roman"/>
        <scheme val="none"/>
      </font>
      <alignment horizontal="center" vertical="center" textRotation="0" wrapText="0" indent="0" justifyLastLine="0" shrinkToFit="1"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Times New Roman"/>
        <scheme val="none"/>
      </font>
      <numFmt numFmtId="173" formatCode="mm/dd/yy;@"/>
      <fill>
        <patternFill>
          <fgColor indexed="64"/>
          <bgColor theme="9" tint="0.5999938962981048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New Roman"/>
        <scheme val="none"/>
      </font>
      <alignment horizontal="center" vertical="center" textRotation="0" wrapText="0" indent="0" justifyLastLine="0" shrinkToFit="1" readingOrder="0"/>
      <border diagonalUp="0" diagonalDown="0" outline="0">
        <left/>
        <right style="thin">
          <color indexed="64"/>
        </right>
        <top/>
        <bottom/>
      </border>
    </dxf>
    <dxf>
      <font>
        <b val="0"/>
        <i val="0"/>
        <strike val="0"/>
        <condense val="0"/>
        <extend val="0"/>
        <outline val="0"/>
        <shadow val="0"/>
        <u val="none"/>
        <vertAlign val="baseline"/>
        <sz val="12"/>
        <color auto="1"/>
        <name val="Times New Roman"/>
        <scheme val="none"/>
      </font>
      <numFmt numFmtId="173" formatCode="mm/dd/yy;@"/>
      <alignment horizontal="center" vertical="center" textRotation="0" wrapText="0" indent="0" justifyLastLine="0" shrinkToFit="1" readingOrder="0"/>
      <border diagonalUp="0" diagonalDown="0" outline="0">
        <left/>
        <right style="thin">
          <color indexed="64"/>
        </right>
        <top style="thin">
          <color indexed="64"/>
        </top>
        <bottom style="thin">
          <color indexed="64"/>
        </bottom>
      </border>
    </dxf>
    <dxf>
      <border outline="0">
        <left style="thin">
          <color indexed="64"/>
        </left>
        <right style="thick">
          <color indexed="64"/>
        </right>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numFmt numFmtId="164" formatCode="_(* #,##0.00_);_(* \(#,##0.00\);_(* &quot;-&quot;??_);_(@_)"/>
    </dxf>
    <dxf>
      <numFmt numFmtId="164" formatCode="_(* #,##0.00_);_(* \(#,##0.00\);_(* &quot;-&quot;??_);_(@_)"/>
    </dxf>
    <dxf>
      <numFmt numFmtId="164" formatCode="_(* #,##0.00_);_(* \(#,##0.00\);_(* &quot;-&quot;??_);_(@_)"/>
    </dxf>
    <dxf>
      <font>
        <b/>
        <i val="0"/>
        <strike val="0"/>
        <condense val="0"/>
        <extend val="0"/>
        <outline val="0"/>
        <shadow val="0"/>
        <u val="none"/>
        <vertAlign val="baseline"/>
        <sz val="12"/>
        <color rgb="FFFF0000"/>
        <name val="Times New Roman"/>
        <scheme val="none"/>
      </font>
      <numFmt numFmtId="193" formatCode="#,##0.00_);\(#,##0.00\)"/>
      <alignment horizontal="general" vertical="center" textRotation="0" wrapText="0" relative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general"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alignment horizontal="general"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59999389629810485"/>
        </patternFill>
      </fill>
      <alignment horizontal="general" vertical="bottom" textRotation="0" wrapText="0" relative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bottom" textRotation="0" wrapText="0" relative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91" formatCode="[$-3409]dd\-mmm\-yy;@"/>
      <alignment horizontal="center" vertical="bottom" textRotation="0" wrapText="0" relativeIndent="0" justifyLastLine="0" shrinkToFit="0" readingOrder="0"/>
      <border diagonalUp="0" diagonalDown="0">
        <left/>
        <right style="thin">
          <color indexed="64"/>
        </right>
        <top style="thin">
          <color indexed="64"/>
        </top>
        <bottom style="thin">
          <color indexed="64"/>
        </bottom>
        <vertical/>
        <horizontal/>
      </border>
      <protection locked="0" hidden="0"/>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Times New Roman"/>
        <scheme val="none"/>
      </font>
      <fill>
        <patternFill patternType="none">
          <fgColor indexed="64"/>
          <bgColor indexed="65"/>
        </patternFill>
      </fill>
      <alignment horizontal="center" vertical="center" textRotation="0" wrapText="0" relative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164" formatCode="_(* #,##0.00_);_(* \(#,##0.00\);_(* &quot;-&quot;??_);_(@_)"/>
      <alignment horizontal="center" vertical="bottom" textRotation="0" wrapText="0" indent="0" justifyLastLine="0" shrinkToFit="0" readingOrder="0"/>
      <border diagonalUp="0" diagonalDown="0" outline="0">
        <left style="thin">
          <color indexed="64"/>
        </left>
        <right/>
        <top style="thin">
          <color indexed="64"/>
        </top>
        <bottom/>
      </border>
      <protection locked="1" hidden="0"/>
    </dxf>
    <dxf>
      <font>
        <b val="0"/>
        <i val="0"/>
        <strike val="0"/>
        <condense val="0"/>
        <extend val="0"/>
        <outline val="0"/>
        <shadow val="0"/>
        <u val="none"/>
        <vertAlign val="baseline"/>
        <sz val="12"/>
        <color auto="1"/>
        <name val="Calibri"/>
        <scheme val="minor"/>
      </font>
      <alignment horizontal="center" vertical="bottom" textRotation="0" wrapText="0" relativeIndent="0" justifyLastLine="0" shrinkToFit="0"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164" formatCode="_(* #,##0.00_);_(* \(#,##0.00\);_(* &quot;-&quot;??_);_(@_)"/>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libri"/>
        <scheme val="minor"/>
      </font>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64" formatCode="_(* #,##0.00_);_(* \(#,##0.00\);_(* &quot;-&quot;??_);_(@_)"/>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libri"/>
        <scheme val="minor"/>
      </font>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0" formatCode="Genera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libri"/>
        <scheme val="minor"/>
      </font>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30" formatCode="@"/>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0" formatCode="General"/>
      <alignment horizontal="left" vertical="bottom" textRotation="0" wrapText="0" relativeIndent="0" justifyLastLine="0" shrinkToFit="0" readingOrder="0"/>
      <border diagonalUp="0" diagonalDown="0" outline="0">
        <left/>
        <right style="thin">
          <color indexed="64"/>
        </right>
        <top style="thin">
          <color indexed="64"/>
        </top>
        <bottom style="thin">
          <color indexed="64"/>
        </bottom>
      </border>
      <protection locked="1" hidden="0"/>
    </dxf>
    <dxf>
      <border>
        <top style="thin">
          <color indexed="64"/>
        </top>
        <vertical/>
        <horizontal/>
      </border>
    </dxf>
    <dxf>
      <font>
        <strike val="0"/>
        <outline val="0"/>
        <shadow val="0"/>
        <u val="none"/>
        <vertAlign val="baseline"/>
        <color auto="1"/>
      </font>
    </dxf>
    <dxf>
      <border diagonalUp="0" diagonalDown="0">
        <left style="thin">
          <color indexed="64"/>
        </left>
        <right style="thin">
          <color indexed="64"/>
        </right>
        <top style="thin">
          <color indexed="64"/>
        </top>
        <bottom style="thin">
          <color indexed="64"/>
        </bottom>
      </border>
    </dxf>
    <dxf>
      <font>
        <strike val="0"/>
        <outline val="0"/>
        <shadow val="0"/>
        <u val="none"/>
        <vertAlign val="baseline"/>
        <color auto="1"/>
        <name val="Calibri"/>
        <scheme val="minor"/>
      </font>
    </dxf>
    <dxf>
      <border>
        <bottom style="thin">
          <color indexed="64"/>
        </bottom>
        <vertical/>
        <horizontal/>
      </border>
    </dxf>
    <dxf>
      <font>
        <b/>
        <i val="0"/>
        <strike val="0"/>
        <condense val="0"/>
        <extend val="0"/>
        <outline val="0"/>
        <shadow val="0"/>
        <u val="none"/>
        <vertAlign val="baseline"/>
        <sz val="12"/>
        <color auto="1"/>
        <name val="Calibri"/>
        <scheme val="minor"/>
      </font>
      <fill>
        <patternFill patternType="none">
          <fgColor indexed="64"/>
          <bgColor auto="1"/>
        </patternFill>
      </fill>
      <alignment horizontal="center" vertical="center" textRotation="0" wrapText="1" relative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Calibri"/>
        <scheme val="minor"/>
      </font>
      <numFmt numFmtId="30" formatCode="@"/>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2"/>
        <color auto="1"/>
        <name val="Calibri"/>
        <scheme val="minor"/>
      </font>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libri"/>
        <scheme val="minor"/>
      </font>
      <border diagonalUp="0" diagonalDown="0" outline="0">
        <left/>
        <right style="thin">
          <color indexed="64"/>
        </right>
        <top style="thin">
          <color indexed="64"/>
        </top>
        <bottom style="thin">
          <color indexed="64"/>
        </bottom>
      </border>
      <protection locked="0" hidden="0"/>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dxf>
    <dxf>
      <border outline="0">
        <bottom style="thin">
          <color indexed="64"/>
        </bottom>
      </border>
    </dxf>
    <dxf>
      <font>
        <strike val="0"/>
        <outline val="0"/>
        <shadow val="0"/>
        <u val="none"/>
        <vertAlign val="baseline"/>
        <name val="Calibri"/>
        <scheme val="minor"/>
      </font>
    </dxf>
    <dxf>
      <font>
        <b val="0"/>
        <i val="0"/>
        <strike val="0"/>
        <condense val="0"/>
        <extend val="0"/>
        <outline val="0"/>
        <shadow val="0"/>
        <u val="none"/>
        <vertAlign val="baseline"/>
        <sz val="12"/>
        <color auto="1"/>
        <name val="Calibri"/>
        <scheme val="minor"/>
      </font>
      <numFmt numFmtId="30" formatCode="@"/>
      <alignment horizontal="center" vertical="bottom" textRotation="0" wrapText="0" relativeIndent="0" justifyLastLine="0" shrinkToFit="0"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libri"/>
        <scheme val="minor"/>
      </font>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numFmt numFmtId="30" formatCode="@"/>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protection locked="1" hidden="0"/>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dxf>
    <dxf>
      <border outline="0">
        <bottom style="thin">
          <color indexed="64"/>
        </bottom>
      </border>
    </dxf>
    <dxf>
      <font>
        <strike val="0"/>
        <outline val="0"/>
        <shadow val="0"/>
        <u val="none"/>
        <vertAlign val="baseline"/>
        <name val="Calibri"/>
        <scheme val="minor"/>
      </font>
    </dxf>
    <dxf>
      <font>
        <b val="0"/>
        <i val="0"/>
        <strike val="0"/>
        <condense val="0"/>
        <extend val="0"/>
        <outline val="0"/>
        <shadow val="0"/>
        <u val="none"/>
        <vertAlign val="baseline"/>
        <sz val="12"/>
        <color auto="1"/>
        <name val="Times New Roman"/>
        <scheme val="none"/>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style="thin">
          <color indexed="64"/>
        </top>
        <bottom/>
      </border>
      <protection locked="1" hidden="0"/>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top style="thin">
          <color indexed="64"/>
        </top>
        <bottom/>
      </border>
      <protection locked="1" hidden="0"/>
    </dxf>
    <dxf>
      <font>
        <b val="0"/>
        <i val="0"/>
        <strike val="0"/>
        <condense val="0"/>
        <extend val="0"/>
        <outline val="0"/>
        <shadow val="0"/>
        <u val="none"/>
        <vertAlign val="baseline"/>
        <sz val="12"/>
        <color auto="1"/>
        <name val="Times New Roman"/>
        <scheme val="none"/>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Times New Roman"/>
        <scheme val="none"/>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Times New Roman"/>
        <scheme val="none"/>
      </font>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Times New Roman"/>
        <scheme val="none"/>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Times New Roman"/>
        <scheme val="none"/>
      </font>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0" formatCode="General"/>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30" formatCode="@"/>
      <fill>
        <patternFill patternType="none">
          <fgColor indexed="64"/>
          <bgColor indexed="65"/>
        </patternFill>
      </fill>
      <alignment horizontal="center" vertical="bottom" textRotation="0" wrapText="0" relativeIndent="0" justifyLastLine="0" shrinkToFit="0" readingOrder="0"/>
      <border diagonalUp="0" diagonalDown="0" outline="0">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0" formatCode="General"/>
      <fill>
        <patternFill patternType="none">
          <fgColor indexed="64"/>
          <bgColor indexed="65"/>
        </patternFill>
      </fill>
      <alignment horizontal="left" vertical="bottom" textRotation="0" wrapText="0" indent="0" justifyLastLine="0" shrinkToFit="1" readingOrder="0"/>
      <border diagonalUp="0" diagonalDown="0" outline="0">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0" formatCode="General"/>
      <fill>
        <patternFill patternType="none">
          <fgColor indexed="64"/>
          <bgColor indexed="65"/>
        </patternFill>
      </fill>
      <alignment horizontal="left" vertical="bottom" textRotation="0" wrapText="0" relativeIndent="1" justifyLastLine="0" shrinkToFit="1" readingOrder="0"/>
      <border diagonalUp="0" diagonalDown="0" outline="0">
        <left/>
        <right style="thin">
          <color indexed="64"/>
        </right>
        <top style="thin">
          <color indexed="64"/>
        </top>
        <bottom/>
      </border>
      <protection locked="1" hidden="0"/>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auto="1"/>
        </patternFill>
      </fill>
    </dxf>
    <dxf>
      <border outline="0">
        <bottom style="thin">
          <color indexed="64"/>
        </bottom>
      </border>
    </dxf>
    <dxf>
      <font>
        <b/>
        <i val="0"/>
        <strike val="0"/>
        <condense val="0"/>
        <extend val="0"/>
        <outline val="0"/>
        <shadow val="0"/>
        <u val="none"/>
        <vertAlign val="baseline"/>
        <sz val="12"/>
        <color auto="1"/>
        <name val="Times New Roman"/>
        <scheme val="none"/>
      </font>
      <fill>
        <patternFill patternType="none">
          <fgColor indexed="64"/>
          <bgColor indexed="65"/>
        </patternFill>
      </fill>
      <alignment horizontal="center" vertical="center" textRotation="0" wrapText="1" relative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164" formatCode="_(* #,##0.00_);_(* \(#,##0.00\);_(* &quot;-&quot;??_);_(@_)"/>
      <fill>
        <patternFill patternType="none">
          <fgColor indexed="64"/>
          <bgColor indexed="65"/>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0" formatCode="General"/>
      <fill>
        <patternFill patternType="none">
          <fgColor indexed="64"/>
          <bgColor indexed="65"/>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numFmt numFmtId="30" formatCode="@"/>
      <fill>
        <patternFill patternType="none">
          <fgColor indexed="64"/>
          <bgColor indexed="65"/>
        </patternFill>
      </fill>
      <alignment horizontal="center" vertical="bottom" textRotation="0" wrapText="0" relativeIndent="0" justifyLastLine="0" shrinkToFit="0" readingOrder="0"/>
      <border diagonalUp="0" diagonalDown="0" outline="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libri"/>
        <scheme val="minor"/>
      </font>
      <numFmt numFmtId="0" formatCode="General"/>
      <fill>
        <patternFill patternType="none">
          <fgColor indexed="64"/>
          <bgColor indexed="65"/>
        </patternFill>
      </fill>
      <alignment horizontal="left" vertical="bottom" textRotation="0" wrapText="0" indent="0" justifyLastLine="0" shrinkToFit="1"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left" vertical="bottom" textRotation="0" wrapText="0" relativeIndent="1" justifyLastLine="0" shrinkToFit="1" readingOrder="0"/>
      <border diagonalUp="0" diagonalDown="0" outline="0">
        <left style="thin">
          <color indexed="64"/>
        </left>
        <right style="thin">
          <color indexed="64"/>
        </right>
        <top style="thin">
          <color indexed="64"/>
        </top>
        <bottom style="thin">
          <color indexed="64"/>
        </bottom>
      </border>
      <protection locked="1" hidden="0"/>
    </dxf>
    <dxf>
      <border outline="0">
        <top style="thin">
          <color indexed="64"/>
        </top>
      </border>
    </dxf>
    <dxf>
      <font>
        <strike val="0"/>
        <outline val="0"/>
        <shadow val="0"/>
        <u val="none"/>
        <vertAlign val="baseline"/>
        <name val="Calibri"/>
        <scheme val="minor"/>
      </font>
    </dxf>
    <dxf>
      <border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fill>
        <patternFill patternType="none">
          <fgColor indexed="64"/>
          <bgColor auto="1"/>
        </patternFill>
      </fill>
    </dxf>
    <dxf>
      <border outline="0">
        <bottom style="thin">
          <color indexed="64"/>
        </bottom>
      </border>
    </dxf>
    <dxf>
      <font>
        <b/>
        <i val="0"/>
        <strike val="0"/>
        <condense val="0"/>
        <extend val="0"/>
        <outline val="0"/>
        <shadow val="0"/>
        <u val="none"/>
        <vertAlign val="baseline"/>
        <sz val="12"/>
        <color auto="1"/>
        <name val="Calibri"/>
        <scheme val="minor"/>
      </font>
      <fill>
        <patternFill patternType="none">
          <fgColor indexed="64"/>
          <bgColor indexed="65"/>
        </patternFill>
      </fill>
      <alignment horizontal="center" vertical="center" textRotation="0" wrapText="1" relativeIndent="0" justifyLastLine="0" shrinkToFit="0" readingOrder="0"/>
      <border diagonalUp="0" diagonalDown="0" outline="0">
        <left style="thin">
          <color indexed="64"/>
        </left>
        <right style="thin">
          <color indexed="64"/>
        </right>
        <top/>
        <bottom/>
      </border>
      <protection locked="1" hidden="0"/>
    </dxf>
  </dxfs>
  <tableStyles count="0" defaultTableStyle="TableStyleMedium9" defaultPivotStyle="PivotStyleLight16"/>
  <colors>
    <mruColors>
      <color rgb="FFFF99FF"/>
      <color rgb="FFFF5050"/>
      <color rgb="FF008000"/>
      <color rgb="FF663300"/>
      <color rgb="FF8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pivotCacheDefinition" Target="pivotCache/pivotCacheDefinition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ivotCacheDefinition" Target="pivotCache/pivotCacheDefinition3.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pivotCacheDefinition" Target="pivotCache/pivotCacheDefinition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2057400</xdr:colOff>
      <xdr:row>0</xdr:row>
      <xdr:rowOff>9525</xdr:rowOff>
    </xdr:from>
    <xdr:to>
      <xdr:col>0</xdr:col>
      <xdr:colOff>2819400</xdr:colOff>
      <xdr:row>2</xdr:row>
      <xdr:rowOff>144734</xdr:rowOff>
    </xdr:to>
    <xdr:pic>
      <xdr:nvPicPr>
        <xdr:cNvPr id="2" name="Picture 1" descr="ni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7400" y="9525"/>
          <a:ext cx="762000" cy="687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2076450</xdr:colOff>
      <xdr:row>0</xdr:row>
      <xdr:rowOff>38100</xdr:rowOff>
    </xdr:from>
    <xdr:to>
      <xdr:col>0</xdr:col>
      <xdr:colOff>2800350</xdr:colOff>
      <xdr:row>2</xdr:row>
      <xdr:rowOff>131956</xdr:rowOff>
    </xdr:to>
    <xdr:pic>
      <xdr:nvPicPr>
        <xdr:cNvPr id="3" name="Picture 2" descr="nia-logo">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76450" y="38100"/>
          <a:ext cx="723900" cy="741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2057400</xdr:colOff>
      <xdr:row>1</xdr:row>
      <xdr:rowOff>9525</xdr:rowOff>
    </xdr:from>
    <xdr:to>
      <xdr:col>0</xdr:col>
      <xdr:colOff>2819400</xdr:colOff>
      <xdr:row>3</xdr:row>
      <xdr:rowOff>144734</xdr:rowOff>
    </xdr:to>
    <xdr:pic>
      <xdr:nvPicPr>
        <xdr:cNvPr id="5" name="Picture 4" descr="nia-logo">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7400" y="9525"/>
          <a:ext cx="762000" cy="687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76200</xdr:colOff>
      <xdr:row>0</xdr:row>
      <xdr:rowOff>95250</xdr:rowOff>
    </xdr:from>
    <xdr:to>
      <xdr:col>2</xdr:col>
      <xdr:colOff>114300</xdr:colOff>
      <xdr:row>2</xdr:row>
      <xdr:rowOff>160531</xdr:rowOff>
    </xdr:to>
    <xdr:pic>
      <xdr:nvPicPr>
        <xdr:cNvPr id="6" name="Picture 5" descr="nia-logo">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0" y="95250"/>
          <a:ext cx="723900" cy="570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2057400</xdr:colOff>
      <xdr:row>1</xdr:row>
      <xdr:rowOff>9525</xdr:rowOff>
    </xdr:from>
    <xdr:to>
      <xdr:col>0</xdr:col>
      <xdr:colOff>2819400</xdr:colOff>
      <xdr:row>4</xdr:row>
      <xdr:rowOff>144734</xdr:rowOff>
    </xdr:to>
    <xdr:pic>
      <xdr:nvPicPr>
        <xdr:cNvPr id="4" name="Picture 3" descr="nia-logo">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7400" y="9525"/>
          <a:ext cx="762000" cy="687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691596</xdr:colOff>
      <xdr:row>0</xdr:row>
      <xdr:rowOff>52915</xdr:rowOff>
    </xdr:from>
    <xdr:to>
      <xdr:col>1</xdr:col>
      <xdr:colOff>455083</xdr:colOff>
      <xdr:row>2</xdr:row>
      <xdr:rowOff>190499</xdr:rowOff>
    </xdr:to>
    <xdr:pic>
      <xdr:nvPicPr>
        <xdr:cNvPr id="5" name="Picture 4" descr="nia-logo">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1596" y="52915"/>
          <a:ext cx="790070" cy="603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512969</xdr:colOff>
      <xdr:row>0</xdr:row>
      <xdr:rowOff>1</xdr:rowOff>
    </xdr:from>
    <xdr:to>
      <xdr:col>7</xdr:col>
      <xdr:colOff>619126</xdr:colOff>
      <xdr:row>2</xdr:row>
      <xdr:rowOff>179886</xdr:rowOff>
    </xdr:to>
    <xdr:pic>
      <xdr:nvPicPr>
        <xdr:cNvPr id="2" name="Picture 1" descr="nia-logo">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70744" y="1"/>
          <a:ext cx="725282" cy="741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124370</xdr:colOff>
      <xdr:row>3</xdr:row>
      <xdr:rowOff>204293</xdr:rowOff>
    </xdr:to>
    <xdr:pic>
      <xdr:nvPicPr>
        <xdr:cNvPr id="2" name="Picture 1">
          <a:extLst>
            <a:ext uri="{FF2B5EF4-FFF2-40B4-BE49-F238E27FC236}">
              <a16:creationId xmlns:a16="http://schemas.microsoft.com/office/drawing/2014/main" id="{CD9EB4DF-35F8-E309-57D3-B8C6DF0D1159}"/>
            </a:ext>
          </a:extLst>
        </xdr:cNvPr>
        <xdr:cNvPicPr>
          <a:picLocks noChangeAspect="1"/>
        </xdr:cNvPicPr>
      </xdr:nvPicPr>
      <xdr:blipFill>
        <a:blip xmlns:r="http://schemas.openxmlformats.org/officeDocument/2006/relationships" r:embed="rId1"/>
        <a:stretch>
          <a:fillRect/>
        </a:stretch>
      </xdr:blipFill>
      <xdr:spPr>
        <a:xfrm>
          <a:off x="0" y="0"/>
          <a:ext cx="1896020" cy="8900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440532</xdr:colOff>
      <xdr:row>0</xdr:row>
      <xdr:rowOff>0</xdr:rowOff>
    </xdr:from>
    <xdr:to>
      <xdr:col>8</xdr:col>
      <xdr:colOff>141877</xdr:colOff>
      <xdr:row>2</xdr:row>
      <xdr:rowOff>144166</xdr:rowOff>
    </xdr:to>
    <xdr:pic>
      <xdr:nvPicPr>
        <xdr:cNvPr id="2" name="Picture 1" descr="nia-logo">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1" y="0"/>
          <a:ext cx="725282" cy="75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464344</xdr:colOff>
      <xdr:row>0</xdr:row>
      <xdr:rowOff>0</xdr:rowOff>
    </xdr:from>
    <xdr:to>
      <xdr:col>8</xdr:col>
      <xdr:colOff>309562</xdr:colOff>
      <xdr:row>4</xdr:row>
      <xdr:rowOff>94632</xdr:rowOff>
    </xdr:to>
    <xdr:pic>
      <xdr:nvPicPr>
        <xdr:cNvPr id="2" name="Picture 1" descr="nia-logo">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36469" y="0"/>
          <a:ext cx="869156" cy="916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121989</xdr:colOff>
      <xdr:row>3</xdr:row>
      <xdr:rowOff>199530</xdr:rowOff>
    </xdr:to>
    <xdr:pic>
      <xdr:nvPicPr>
        <xdr:cNvPr id="2" name="Picture 1">
          <a:extLst>
            <a:ext uri="{FF2B5EF4-FFF2-40B4-BE49-F238E27FC236}">
              <a16:creationId xmlns:a16="http://schemas.microsoft.com/office/drawing/2014/main" id="{3BD4B743-1B83-C068-EB93-32A3ADAE34CA}"/>
            </a:ext>
          </a:extLst>
        </xdr:cNvPr>
        <xdr:cNvPicPr>
          <a:picLocks noChangeAspect="1"/>
        </xdr:cNvPicPr>
      </xdr:nvPicPr>
      <xdr:blipFill>
        <a:blip xmlns:r="http://schemas.openxmlformats.org/officeDocument/2006/relationships" r:embed="rId1"/>
        <a:stretch>
          <a:fillRect/>
        </a:stretch>
      </xdr:blipFill>
      <xdr:spPr>
        <a:xfrm>
          <a:off x="0" y="0"/>
          <a:ext cx="1896020" cy="890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47625</xdr:colOff>
      <xdr:row>7</xdr:row>
      <xdr:rowOff>76200</xdr:rowOff>
    </xdr:from>
    <xdr:to>
      <xdr:col>2</xdr:col>
      <xdr:colOff>66675</xdr:colOff>
      <xdr:row>9</xdr:row>
      <xdr:rowOff>200025</xdr:rowOff>
    </xdr:to>
    <xdr:sp macro="" textlink="">
      <xdr:nvSpPr>
        <xdr:cNvPr id="2" name="TextBox 1">
          <a:extLst>
            <a:ext uri="{FF2B5EF4-FFF2-40B4-BE49-F238E27FC236}">
              <a16:creationId xmlns:a16="http://schemas.microsoft.com/office/drawing/2014/main" id="{00000000-0008-0000-2000-000002000000}"/>
            </a:ext>
          </a:extLst>
        </xdr:cNvPr>
        <xdr:cNvSpPr txBox="1"/>
      </xdr:nvSpPr>
      <xdr:spPr>
        <a:xfrm>
          <a:off x="47625" y="1562100"/>
          <a:ext cx="37909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ln>
                <a:noFill/>
              </a:ln>
              <a:latin typeface="+mj-lt"/>
            </a:rPr>
            <a:t>Office</a:t>
          </a:r>
          <a:r>
            <a:rPr lang="en-US" sz="900" baseline="0">
              <a:ln>
                <a:noFill/>
              </a:ln>
              <a:latin typeface="+mj-lt"/>
            </a:rPr>
            <a:t>  Address	: Tambubong, San Rafael, Bulacan</a:t>
          </a:r>
        </a:p>
        <a:p>
          <a:r>
            <a:rPr lang="en-US" sz="900" baseline="0">
              <a:ln>
                <a:noFill/>
              </a:ln>
              <a:latin typeface="+mj-lt"/>
            </a:rPr>
            <a:t>Telephone Nos.	: (044) 766-2467, 766-4839, 816-6808</a:t>
          </a:r>
        </a:p>
        <a:p>
          <a:r>
            <a:rPr lang="en-US" sz="900" baseline="0">
              <a:ln>
                <a:noFill/>
              </a:ln>
              <a:latin typeface="+mj-lt"/>
            </a:rPr>
            <a:t>Website	: www.region3.nia.gov.ph</a:t>
          </a:r>
          <a:endParaRPr lang="en-US" sz="900">
            <a:ln>
              <a:noFill/>
            </a:ln>
            <a:latin typeface="+mj-lt"/>
          </a:endParaRPr>
        </a:p>
      </xdr:txBody>
    </xdr:sp>
    <xdr:clientData/>
  </xdr:twoCellAnchor>
  <xdr:twoCellAnchor>
    <xdr:from>
      <xdr:col>3</xdr:col>
      <xdr:colOff>409575</xdr:colOff>
      <xdr:row>7</xdr:row>
      <xdr:rowOff>76200</xdr:rowOff>
    </xdr:from>
    <xdr:to>
      <xdr:col>4</xdr:col>
      <xdr:colOff>1247775</xdr:colOff>
      <xdr:row>9</xdr:row>
      <xdr:rowOff>190500</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5486400" y="1562100"/>
          <a:ext cx="214312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ln>
                <a:noFill/>
              </a:ln>
              <a:latin typeface="+mj-lt"/>
            </a:rPr>
            <a:t>E-mail Address</a:t>
          </a:r>
          <a:r>
            <a:rPr lang="en-US" sz="900" baseline="0">
              <a:ln>
                <a:noFill/>
              </a:ln>
              <a:latin typeface="+mj-lt"/>
            </a:rPr>
            <a:t>       : niar03@yahoo.com</a:t>
          </a:r>
          <a:endParaRPr lang="en-US" sz="900">
            <a:ln>
              <a:noFill/>
            </a:ln>
            <a:latin typeface="+mj-lt"/>
          </a:endParaRPr>
        </a:p>
        <a:p>
          <a:r>
            <a:rPr lang="en-US" sz="900">
              <a:ln>
                <a:noFill/>
              </a:ln>
              <a:latin typeface="+mj-lt"/>
            </a:rPr>
            <a:t>Telefax</a:t>
          </a:r>
          <a:r>
            <a:rPr lang="en-US" sz="900" baseline="0">
              <a:ln>
                <a:noFill/>
              </a:ln>
              <a:latin typeface="+mj-lt"/>
            </a:rPr>
            <a:t> No.	: (044) 766-2467</a:t>
          </a:r>
        </a:p>
        <a:p>
          <a:r>
            <a:rPr lang="en-US" sz="900" baseline="0">
              <a:ln>
                <a:noFill/>
              </a:ln>
              <a:latin typeface="+mj-lt"/>
            </a:rPr>
            <a:t>TIN No.	: 000-979-570-000</a:t>
          </a:r>
          <a:endParaRPr lang="en-US" sz="900">
            <a:ln>
              <a:noFill/>
            </a:ln>
            <a:latin typeface="+mj-lt"/>
          </a:endParaRPr>
        </a:p>
      </xdr:txBody>
    </xdr:sp>
    <xdr:clientData/>
  </xdr:twoCellAnchor>
  <xdr:twoCellAnchor editAs="absolute">
    <xdr:from>
      <xdr:col>0</xdr:col>
      <xdr:colOff>1152525</xdr:colOff>
      <xdr:row>0</xdr:row>
      <xdr:rowOff>0</xdr:rowOff>
    </xdr:from>
    <xdr:to>
      <xdr:col>0</xdr:col>
      <xdr:colOff>2009774</xdr:colOff>
      <xdr:row>3</xdr:row>
      <xdr:rowOff>171449</xdr:rowOff>
    </xdr:to>
    <xdr:pic>
      <xdr:nvPicPr>
        <xdr:cNvPr id="4" name="Picture 3" descr="nia-logo.png">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1" cstate="print"/>
        <a:stretch>
          <a:fillRect/>
        </a:stretch>
      </xdr:blipFill>
      <xdr:spPr>
        <a:xfrm>
          <a:off x="1152525" y="0"/>
          <a:ext cx="857249" cy="85724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7</xdr:row>
      <xdr:rowOff>76200</xdr:rowOff>
    </xdr:from>
    <xdr:to>
      <xdr:col>2</xdr:col>
      <xdr:colOff>66675</xdr:colOff>
      <xdr:row>9</xdr:row>
      <xdr:rowOff>200025</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47625" y="1562100"/>
          <a:ext cx="43243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ln>
                <a:noFill/>
              </a:ln>
              <a:latin typeface="+mj-lt"/>
            </a:rPr>
            <a:t>Office</a:t>
          </a:r>
          <a:r>
            <a:rPr lang="en-US" sz="900" baseline="0">
              <a:ln>
                <a:noFill/>
              </a:ln>
              <a:latin typeface="+mj-lt"/>
            </a:rPr>
            <a:t>  Address	: Tambubong, San Rafael, Bulacan</a:t>
          </a:r>
        </a:p>
        <a:p>
          <a:r>
            <a:rPr lang="en-US" sz="900" baseline="0">
              <a:ln>
                <a:noFill/>
              </a:ln>
              <a:latin typeface="+mj-lt"/>
            </a:rPr>
            <a:t>Telephone Nos.	: (044) 766-2467, 766-4839, 816-6808</a:t>
          </a:r>
        </a:p>
        <a:p>
          <a:r>
            <a:rPr lang="en-US" sz="900" baseline="0">
              <a:ln>
                <a:noFill/>
              </a:ln>
              <a:latin typeface="+mj-lt"/>
            </a:rPr>
            <a:t>Website	: www.region3.nia.gov.ph</a:t>
          </a:r>
          <a:endParaRPr lang="en-US" sz="900">
            <a:ln>
              <a:noFill/>
            </a:ln>
            <a:latin typeface="+mj-lt"/>
          </a:endParaRPr>
        </a:p>
      </xdr:txBody>
    </xdr:sp>
    <xdr:clientData/>
  </xdr:twoCellAnchor>
  <xdr:twoCellAnchor>
    <xdr:from>
      <xdr:col>3</xdr:col>
      <xdr:colOff>409575</xdr:colOff>
      <xdr:row>7</xdr:row>
      <xdr:rowOff>76200</xdr:rowOff>
    </xdr:from>
    <xdr:to>
      <xdr:col>4</xdr:col>
      <xdr:colOff>1247775</xdr:colOff>
      <xdr:row>9</xdr:row>
      <xdr:rowOff>190500</xdr:rowOff>
    </xdr:to>
    <xdr:sp macro="" textlink="">
      <xdr:nvSpPr>
        <xdr:cNvPr id="3" name="TextBox 2">
          <a:extLst>
            <a:ext uri="{FF2B5EF4-FFF2-40B4-BE49-F238E27FC236}">
              <a16:creationId xmlns:a16="http://schemas.microsoft.com/office/drawing/2014/main" id="{00000000-0008-0000-2100-000003000000}"/>
            </a:ext>
          </a:extLst>
        </xdr:cNvPr>
        <xdr:cNvSpPr txBox="1"/>
      </xdr:nvSpPr>
      <xdr:spPr>
        <a:xfrm>
          <a:off x="6019800" y="1562100"/>
          <a:ext cx="214312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ln>
                <a:noFill/>
              </a:ln>
              <a:latin typeface="+mj-lt"/>
            </a:rPr>
            <a:t>E-mail Address</a:t>
          </a:r>
          <a:r>
            <a:rPr lang="en-US" sz="900" baseline="0">
              <a:ln>
                <a:noFill/>
              </a:ln>
              <a:latin typeface="+mj-lt"/>
            </a:rPr>
            <a:t>       : niar03@yahoo.com</a:t>
          </a:r>
          <a:endParaRPr lang="en-US" sz="900">
            <a:ln>
              <a:noFill/>
            </a:ln>
            <a:latin typeface="+mj-lt"/>
          </a:endParaRPr>
        </a:p>
        <a:p>
          <a:r>
            <a:rPr lang="en-US" sz="900">
              <a:ln>
                <a:noFill/>
              </a:ln>
              <a:latin typeface="+mj-lt"/>
            </a:rPr>
            <a:t>Telefax</a:t>
          </a:r>
          <a:r>
            <a:rPr lang="en-US" sz="900" baseline="0">
              <a:ln>
                <a:noFill/>
              </a:ln>
              <a:latin typeface="+mj-lt"/>
            </a:rPr>
            <a:t> No.	: (044) 766-2467</a:t>
          </a:r>
        </a:p>
        <a:p>
          <a:r>
            <a:rPr lang="en-US" sz="900" baseline="0">
              <a:ln>
                <a:noFill/>
              </a:ln>
              <a:latin typeface="+mj-lt"/>
            </a:rPr>
            <a:t>TIN No.	: 000-979-570-000</a:t>
          </a:r>
          <a:endParaRPr lang="en-US" sz="900">
            <a:ln>
              <a:noFill/>
            </a:ln>
            <a:latin typeface="+mj-lt"/>
          </a:endParaRPr>
        </a:p>
      </xdr:txBody>
    </xdr:sp>
    <xdr:clientData/>
  </xdr:twoCellAnchor>
  <xdr:twoCellAnchor editAs="absolute">
    <xdr:from>
      <xdr:col>0</xdr:col>
      <xdr:colOff>1152525</xdr:colOff>
      <xdr:row>0</xdr:row>
      <xdr:rowOff>0</xdr:rowOff>
    </xdr:from>
    <xdr:to>
      <xdr:col>0</xdr:col>
      <xdr:colOff>2009774</xdr:colOff>
      <xdr:row>3</xdr:row>
      <xdr:rowOff>171449</xdr:rowOff>
    </xdr:to>
    <xdr:pic>
      <xdr:nvPicPr>
        <xdr:cNvPr id="4" name="Picture 3" descr="nia-logo.png">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1" cstate="print"/>
        <a:stretch>
          <a:fillRect/>
        </a:stretch>
      </xdr:blipFill>
      <xdr:spPr>
        <a:xfrm>
          <a:off x="1152525" y="0"/>
          <a:ext cx="857249" cy="8572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47625</xdr:colOff>
      <xdr:row>7</xdr:row>
      <xdr:rowOff>76200</xdr:rowOff>
    </xdr:from>
    <xdr:to>
      <xdr:col>2</xdr:col>
      <xdr:colOff>66675</xdr:colOff>
      <xdr:row>9</xdr:row>
      <xdr:rowOff>200025</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47625" y="1562100"/>
          <a:ext cx="43243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ln>
                <a:noFill/>
              </a:ln>
              <a:latin typeface="+mj-lt"/>
            </a:rPr>
            <a:t>Office</a:t>
          </a:r>
          <a:r>
            <a:rPr lang="en-US" sz="900" baseline="0">
              <a:ln>
                <a:noFill/>
              </a:ln>
              <a:latin typeface="+mj-lt"/>
            </a:rPr>
            <a:t>  Address	: Tambubong, San Rafael, Bulacan</a:t>
          </a:r>
        </a:p>
        <a:p>
          <a:r>
            <a:rPr lang="en-US" sz="900" baseline="0">
              <a:ln>
                <a:noFill/>
              </a:ln>
              <a:latin typeface="+mj-lt"/>
            </a:rPr>
            <a:t>Telephone Nos.	: (044) 766-2467, 766-4839, 816-6808</a:t>
          </a:r>
        </a:p>
        <a:p>
          <a:r>
            <a:rPr lang="en-US" sz="900" baseline="0">
              <a:ln>
                <a:noFill/>
              </a:ln>
              <a:latin typeface="+mj-lt"/>
            </a:rPr>
            <a:t>Website	: www.region3.nia.gov.ph</a:t>
          </a:r>
          <a:endParaRPr lang="en-US" sz="900">
            <a:ln>
              <a:noFill/>
            </a:ln>
            <a:latin typeface="+mj-lt"/>
          </a:endParaRPr>
        </a:p>
      </xdr:txBody>
    </xdr:sp>
    <xdr:clientData/>
  </xdr:twoCellAnchor>
  <xdr:twoCellAnchor>
    <xdr:from>
      <xdr:col>3</xdr:col>
      <xdr:colOff>409575</xdr:colOff>
      <xdr:row>7</xdr:row>
      <xdr:rowOff>76200</xdr:rowOff>
    </xdr:from>
    <xdr:to>
      <xdr:col>4</xdr:col>
      <xdr:colOff>1247775</xdr:colOff>
      <xdr:row>9</xdr:row>
      <xdr:rowOff>190500</xdr:rowOff>
    </xdr:to>
    <xdr:sp macro="" textlink="">
      <xdr:nvSpPr>
        <xdr:cNvPr id="3" name="TextBox 2">
          <a:extLst>
            <a:ext uri="{FF2B5EF4-FFF2-40B4-BE49-F238E27FC236}">
              <a16:creationId xmlns:a16="http://schemas.microsoft.com/office/drawing/2014/main" id="{00000000-0008-0000-2200-000003000000}"/>
            </a:ext>
          </a:extLst>
        </xdr:cNvPr>
        <xdr:cNvSpPr txBox="1"/>
      </xdr:nvSpPr>
      <xdr:spPr>
        <a:xfrm>
          <a:off x="6019800" y="1562100"/>
          <a:ext cx="214312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ln>
                <a:noFill/>
              </a:ln>
              <a:latin typeface="+mj-lt"/>
            </a:rPr>
            <a:t>E-mail Address</a:t>
          </a:r>
          <a:r>
            <a:rPr lang="en-US" sz="900" baseline="0">
              <a:ln>
                <a:noFill/>
              </a:ln>
              <a:latin typeface="+mj-lt"/>
            </a:rPr>
            <a:t>       : niar03@yahoo.com</a:t>
          </a:r>
          <a:endParaRPr lang="en-US" sz="900">
            <a:ln>
              <a:noFill/>
            </a:ln>
            <a:latin typeface="+mj-lt"/>
          </a:endParaRPr>
        </a:p>
        <a:p>
          <a:r>
            <a:rPr lang="en-US" sz="900">
              <a:ln>
                <a:noFill/>
              </a:ln>
              <a:latin typeface="+mj-lt"/>
            </a:rPr>
            <a:t>Telefax</a:t>
          </a:r>
          <a:r>
            <a:rPr lang="en-US" sz="900" baseline="0">
              <a:ln>
                <a:noFill/>
              </a:ln>
              <a:latin typeface="+mj-lt"/>
            </a:rPr>
            <a:t> No.	: (044) 766-2467</a:t>
          </a:r>
        </a:p>
        <a:p>
          <a:r>
            <a:rPr lang="en-US" sz="900" baseline="0">
              <a:ln>
                <a:noFill/>
              </a:ln>
              <a:latin typeface="+mj-lt"/>
            </a:rPr>
            <a:t>TIN No.	: 000-979-570-000</a:t>
          </a:r>
          <a:endParaRPr lang="en-US" sz="900">
            <a:ln>
              <a:noFill/>
            </a:ln>
            <a:latin typeface="+mj-lt"/>
          </a:endParaRPr>
        </a:p>
      </xdr:txBody>
    </xdr:sp>
    <xdr:clientData/>
  </xdr:twoCellAnchor>
  <xdr:twoCellAnchor editAs="absolute">
    <xdr:from>
      <xdr:col>0</xdr:col>
      <xdr:colOff>1152525</xdr:colOff>
      <xdr:row>0</xdr:row>
      <xdr:rowOff>0</xdr:rowOff>
    </xdr:from>
    <xdr:to>
      <xdr:col>0</xdr:col>
      <xdr:colOff>2009774</xdr:colOff>
      <xdr:row>3</xdr:row>
      <xdr:rowOff>171449</xdr:rowOff>
    </xdr:to>
    <xdr:pic>
      <xdr:nvPicPr>
        <xdr:cNvPr id="4" name="Picture 3" descr="nia-logo.png">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1" cstate="print"/>
        <a:stretch>
          <a:fillRect/>
        </a:stretch>
      </xdr:blipFill>
      <xdr:spPr>
        <a:xfrm>
          <a:off x="1152525" y="0"/>
          <a:ext cx="857249" cy="8572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ARP%20FILES/CARP%20REPORTS/CAS-501-CARP-December-post-closing-final-na-it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fd\g\Users\Mhelz\Documents\RevGen\2017\REVGEN%202017-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ount"/>
      <sheetName val="TB"/>
      <sheetName val="TB (NEW)"/>
      <sheetName val="IES"/>
      <sheetName val="BS"/>
      <sheetName val="CF"/>
      <sheetName val="PostTB"/>
      <sheetName val="CRDJ"/>
      <sheetName val="CRDJ Pivot"/>
      <sheetName val="JEV CRDJ"/>
      <sheetName val="CRDJournal"/>
      <sheetName val="Sheet1"/>
      <sheetName val="CkDJ"/>
      <sheetName val="Sheet2"/>
      <sheetName val="Sheet3"/>
      <sheetName val="CkDJ Pivot"/>
      <sheetName val="JEV Check"/>
      <sheetName val="CkDJournal"/>
      <sheetName val="CsDJ"/>
      <sheetName val="CsDJ Pivot"/>
      <sheetName val="JEV CsDJ"/>
      <sheetName val="CSDJournal"/>
      <sheetName val="GJ Pivot"/>
      <sheetName val="GJ"/>
      <sheetName val="JEV GJ"/>
      <sheetName val="General Ledger"/>
      <sheetName val="wp of ppe"/>
      <sheetName val="signature"/>
      <sheetName val="wp of addl condonation"/>
      <sheetName val="analysis of AR"/>
      <sheetName val="GL"/>
      <sheetName val="GLperSC1"/>
      <sheetName val="GLperSC2"/>
      <sheetName val="CF (2)"/>
      <sheetName val="SLperSC1"/>
      <sheetName val="SL Balances"/>
      <sheetName val="SLperSC2"/>
      <sheetName val="BUR"/>
      <sheetName val="BUR (2)"/>
      <sheetName val="BUR (VIG zero out)"/>
      <sheetName val="SOEI (as of)"/>
      <sheetName val="SOEI (for the)"/>
      <sheetName val="REVGEN (1)"/>
      <sheetName val="REVGEN (2)"/>
      <sheetName val="REVGEN (3)"/>
      <sheetName val="REVGEN (4)"/>
      <sheetName val="REVGEN (2)(1)"/>
      <sheetName val="REVGEN (2)(2)"/>
      <sheetName val="REVGEN (2)(3)"/>
      <sheetName val="REVGEN (2)(4)"/>
      <sheetName val="REVGEN (3)(1)"/>
      <sheetName val="REVGEN (3)(2)"/>
      <sheetName val="REVGEN (3)(3)"/>
      <sheetName val="REVGEN (3)(4)"/>
      <sheetName val="REVGEN (4)(1)"/>
      <sheetName val="REVGEN (4)(2)"/>
      <sheetName val="REVGEN (4)(3)"/>
      <sheetName val="REVGEN (4)(4)"/>
      <sheetName val="REVGEN (4)(5)"/>
      <sheetName val="REVGEN (Summary)"/>
      <sheetName val="REVGEN (Overall)"/>
      <sheetName val="Rev Exp (1)"/>
      <sheetName val="Rev Exp (2)"/>
      <sheetName val="Rev Exp (3)"/>
      <sheetName val="Rev Exp (4)"/>
      <sheetName val="RevExp RIO"/>
      <sheetName val="Monthly Cash Program Ofc"/>
      <sheetName val="Monthly Cash Program Sort"/>
      <sheetName val="Monthly Cash Program Summary"/>
      <sheetName val="Budget Data"/>
      <sheetName val="CAS-501-CARP-December-post-c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sheetName val="AU"/>
      <sheetName val="BUL"/>
      <sheetName val="NE"/>
      <sheetName val="BNE"/>
      <sheetName val="BANE"/>
      <sheetName val="PAM"/>
      <sheetName val="BAT"/>
      <sheetName val="PDRIS"/>
      <sheetName val="PMBT"/>
      <sheetName val="PAMBAT"/>
      <sheetName val="TAR"/>
      <sheetName val="CAMRIS"/>
      <sheetName val="ZAM"/>
      <sheetName val="Nayom"/>
      <sheetName val="TRZM"/>
      <sheetName val="TARZAM"/>
      <sheetName val="Summary"/>
      <sheetName val="Overall"/>
      <sheetName val="ISF "/>
      <sheetName val="Comparative"/>
      <sheetName val="Notes"/>
    </sheetNames>
    <sheetDataSet>
      <sheetData sheetId="0">
        <row r="31">
          <cell r="F31">
            <v>3451925.64</v>
          </cell>
        </row>
      </sheetData>
      <sheetData sheetId="1">
        <row r="31">
          <cell r="F31">
            <v>196001.5</v>
          </cell>
        </row>
        <row r="63">
          <cell r="F63">
            <v>-93553.41</v>
          </cell>
        </row>
        <row r="64">
          <cell r="F64">
            <v>-73393</v>
          </cell>
        </row>
      </sheetData>
      <sheetData sheetId="2">
        <row r="31">
          <cell r="F31">
            <v>2132649.7599999998</v>
          </cell>
        </row>
        <row r="63">
          <cell r="F63">
            <v>-1017934.29</v>
          </cell>
        </row>
        <row r="64">
          <cell r="F64">
            <v>-798573.27</v>
          </cell>
        </row>
      </sheetData>
      <sheetData sheetId="3">
        <row r="31">
          <cell r="F31">
            <v>67059.78</v>
          </cell>
        </row>
        <row r="63">
          <cell r="F63">
            <v>-32008.28</v>
          </cell>
        </row>
        <row r="64">
          <cell r="F64">
            <v>-25110.62</v>
          </cell>
        </row>
      </sheetData>
      <sheetData sheetId="4">
        <row r="31">
          <cell r="F31">
            <v>1011562.13</v>
          </cell>
        </row>
        <row r="62">
          <cell r="F62">
            <v>0</v>
          </cell>
        </row>
      </sheetData>
      <sheetData sheetId="5" refreshError="1"/>
      <sheetData sheetId="6">
        <row r="31">
          <cell r="F31">
            <v>510170.64</v>
          </cell>
        </row>
        <row r="63">
          <cell r="F63">
            <v>-66135.149999999994</v>
          </cell>
        </row>
        <row r="64">
          <cell r="F64">
            <v>-191034.01</v>
          </cell>
        </row>
      </sheetData>
      <sheetData sheetId="7">
        <row r="31">
          <cell r="F31">
            <v>127161.92</v>
          </cell>
        </row>
        <row r="63">
          <cell r="F63">
            <v>-16484.43</v>
          </cell>
        </row>
        <row r="64">
          <cell r="F64">
            <v>-47615.93</v>
          </cell>
        </row>
      </sheetData>
      <sheetData sheetId="8">
        <row r="31">
          <cell r="F31">
            <v>836799.64</v>
          </cell>
        </row>
        <row r="63">
          <cell r="F63">
            <v>-108477.17</v>
          </cell>
        </row>
        <row r="64">
          <cell r="F64">
            <v>-313340.63</v>
          </cell>
        </row>
      </sheetData>
      <sheetData sheetId="9">
        <row r="31">
          <cell r="F31">
            <v>826765.54</v>
          </cell>
        </row>
        <row r="62">
          <cell r="F62">
            <v>0</v>
          </cell>
        </row>
      </sheetData>
      <sheetData sheetId="10" refreshError="1"/>
      <sheetData sheetId="11">
        <row r="31">
          <cell r="F31">
            <v>592479.98</v>
          </cell>
        </row>
        <row r="63">
          <cell r="F63">
            <v>-427371.67</v>
          </cell>
        </row>
        <row r="64">
          <cell r="F64">
            <v>-221854.84</v>
          </cell>
        </row>
      </sheetData>
      <sheetData sheetId="12">
        <row r="31">
          <cell r="F31">
            <v>736181.58</v>
          </cell>
        </row>
        <row r="63">
          <cell r="F63">
            <v>-531027.49</v>
          </cell>
        </row>
        <row r="64">
          <cell r="F64">
            <v>-275664.08</v>
          </cell>
        </row>
      </sheetData>
      <sheetData sheetId="13">
        <row r="31">
          <cell r="F31">
            <v>272432.56</v>
          </cell>
        </row>
        <row r="63">
          <cell r="F63">
            <v>-196512.9</v>
          </cell>
        </row>
        <row r="64">
          <cell r="F64">
            <v>-102012.7</v>
          </cell>
        </row>
      </sheetData>
      <sheetData sheetId="14">
        <row r="31">
          <cell r="F31">
            <v>300661.71999999997</v>
          </cell>
        </row>
        <row r="63">
          <cell r="F63">
            <v>-216875.35</v>
          </cell>
        </row>
        <row r="64">
          <cell r="F64">
            <v>-112583.14</v>
          </cell>
        </row>
      </sheetData>
      <sheetData sheetId="15">
        <row r="31">
          <cell r="F31">
            <v>944352.41</v>
          </cell>
        </row>
        <row r="62">
          <cell r="F62">
            <v>0</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887.651840393519" createdVersion="3" refreshedVersion="5" minRefreshableVersion="3" recordCount="12">
  <cacheSource type="worksheet">
    <worksheetSource name="CRDJ"/>
  </cacheSource>
  <cacheFields count="12">
    <cacheField name="Date" numFmtId="191">
      <sharedItems containsSemiMixedTypes="0" containsNonDate="0" containsDate="1" containsString="0" minDate="2018-01-31T00:00:00" maxDate="2019-11-01T00:00:00" count="13">
        <d v="2019-06-30T00:00:00"/>
        <d v="2019-08-31T00:00:00"/>
        <d v="2019-10-31T00:00:00"/>
        <d v="2018-05-31T00:00:00" u="1"/>
        <d v="2018-02-28T00:00:00" u="1"/>
        <d v="2018-09-30T00:00:00" u="1"/>
        <d v="2018-03-31T00:00:00" u="1"/>
        <d v="2018-01-31T00:00:00" u="1"/>
        <d v="2018-06-30T00:00:00" u="1"/>
        <d v="2018-10-31T00:00:00" u="1"/>
        <d v="2018-04-30T00:00:00" u="1"/>
        <d v="2018-08-31T00:00:00" u="1"/>
        <d v="2018-07-31T00:00:00" u="1"/>
      </sharedItems>
    </cacheField>
    <cacheField name="JEV Number" numFmtId="49">
      <sharedItems containsBlank="1" count="71">
        <s v="19-06-075"/>
        <m/>
        <s v="19-08-100" u="1"/>
        <s v="18-01-003B" u="1"/>
        <s v="18-08-198A" u="1"/>
        <s v="18-08-199" u="1"/>
        <s v="18-06-128B" u="1"/>
        <s v="18-08-198" u="1"/>
        <s v="18-03-054C" u="1"/>
        <s v="18-08-197" u="1"/>
        <s v="18-08-196" u="1"/>
        <s v="18-02-031A" u="1"/>
        <s v="18-04-079C" u="1"/>
        <s v="18-02-030A" u="1"/>
        <s v="18-02-031" u="1"/>
        <s v="18-07-159" u="1"/>
        <s v="18-02-030" u="1"/>
        <s v="18-07-158" u="1"/>
        <s v="18-10-269A" u="1"/>
        <s v="18-03-054A" u="1"/>
        <s v="18-10-269" u="1"/>
        <s v="18-09-222" u="1"/>
        <s v="18-10-268" u="1"/>
        <s v="18-09-221" u="1"/>
        <s v="18-03-054" u="1"/>
        <s v="18-10-267" u="1"/>
        <s v="18-09-220" u="1"/>
        <s v="18-03-053" u="1"/>
        <s v="18-10-266" u="1"/>
        <s v="18-03-052" u="1"/>
        <s v="18-02-031D" u="1"/>
        <s v="18-04-079A" u="1"/>
        <s v="18-03-051" u="1"/>
        <s v="18-01-004C" u="1"/>
        <s v="18-04-078A" u="1"/>
        <s v="18-04-079" u="1"/>
        <s v="18-04-078" u="1"/>
        <s v="18-04-077" u="1"/>
        <s v="18-08-198B" u="1"/>
        <s v="18-04-076" u="1"/>
        <s v="18-05-108A" u="1"/>
        <s v="18-05-108" u="1"/>
        <s v="18-05-107" u="1"/>
        <s v="18-05-106" u="1"/>
        <s v="18-02-031B" u="1"/>
        <s v="18-05-105" u="1"/>
        <s v="18-01-004A" u="1"/>
        <s v="18-01-003A" u="1"/>
        <s v="18-01-004" u="1"/>
        <s v="18-01-003" u="1"/>
        <s v="18-07-162A" u="1"/>
        <s v="18-01-002" u="1"/>
        <s v="18-06-128A" u="1"/>
        <s v="18-07-162" u="1"/>
        <s v="18-01-001" u="1"/>
        <s v="18-03-054B" u="1"/>
        <s v="18-07-161" u="1"/>
        <s v="18-06-128" u="1"/>
        <s v="18-02-029" u="1"/>
        <s v="18-07-160" u="1"/>
        <s v="18-06-127" u="1"/>
        <s v="18-02-028" u="1"/>
        <s v="18-06-126" u="1"/>
        <s v="18-06-125" u="1"/>
        <s v="18-04-079B" u="1"/>
        <s v="19-10-128" u="1"/>
        <s v="18-01-004D" u="1"/>
        <s v="18-09-219" u="1"/>
        <s v="18-05-108B" u="1"/>
        <s v="18-02-031C" u="1"/>
        <s v="18-01-004B" u="1"/>
      </sharedItems>
    </cacheField>
    <cacheField name="Sort Code" numFmtId="49">
      <sharedItems containsNonDate="0" containsString="0" containsBlank="1"/>
    </cacheField>
    <cacheField name="Ofc Code" numFmtId="49">
      <sharedItems containsNonDate="0" containsString="0" containsBlank="1"/>
    </cacheField>
    <cacheField name="Sub Code" numFmtId="49">
      <sharedItems containsNonDate="0" containsString="0" containsBlank="1"/>
    </cacheField>
    <cacheField name="CF Code" numFmtId="49">
      <sharedItems containsNonDate="0" containsString="0" containsBlank="1"/>
    </cacheField>
    <cacheField name="Collecting Officer/Office" numFmtId="49">
      <sharedItems containsNonDate="0" containsString="0" containsBlank="1"/>
    </cacheField>
    <cacheField name="Account Name" numFmtId="0">
      <sharedItems count="25">
        <s v=""/>
        <s v="Income from Hostels/Dormitories and Other Like Facilities" u="1"/>
        <s v="Sale of Unserviceable Property" u="1"/>
        <s v="Other Service Income - Irrigation Service Fee (Back Account) (MC # 54)" u="1"/>
        <s v="Cash-Collecting Officers" u="1"/>
        <s v="Advances to Officers and Employees" u="1"/>
        <s v="Bail Bonds Payable" u="1"/>
        <s v="Due to Officers and Employees" u="1"/>
        <s v="Equipment Rental - External (CA)" u="1"/>
        <s v="Equipment Rental - Internal (CA)" u="1"/>
        <s v="Salaries and Wages-Casual/Contractual" u="1"/>
        <s v="Other Service Income - CIS Amortization (Back Account)" u="1"/>
        <s v="Other Service Income - Irrigation Service Fee (Back Account)" u="1"/>
        <s v="Fines and Penalties-Irrigation Service Fee" u="1"/>
        <s v="Other Service Income - Pump Amortization (Current Account)" u="1"/>
        <s v="Subsidy from Central Office" u="1"/>
        <s v="Accounts Receivable - ISF (Current &amp; Back Accounts)" u="1"/>
        <s v="Other Service Income - CIS Amortization (Current Account)" u="1"/>
        <s v="Cash in Bank-Local Currency, Current Account - RO" u="1"/>
        <s v="Other Service Income - Pump Equity (Back Account)" u="1"/>
        <s v="Cash in Bank-Local Currency, Current Account" u="1"/>
        <s v="Other Service Income - Pump Equity (Current Account)" u="1"/>
        <s v="Miscellaneous Income (Others)" u="1"/>
        <s v="Miscellaneous Income (Bid Documents)" u="1"/>
        <s v="Other Deferred Credits (Irrigation Service Fee)" u="1"/>
      </sharedItems>
    </cacheField>
    <cacheField name="Account Code" numFmtId="49">
      <sharedItems containsNonDate="0" containsBlank="1" count="26">
        <m/>
        <s v="625-2A" u="1"/>
        <s v="102" u="1"/>
        <s v="627-2A" u="1"/>
        <s v="454-1" u="1"/>
        <s v="678-1" u="1"/>
        <s v="642-1A" u="1"/>
        <s v="627-2C" u="1"/>
        <s v="642-1B" u="1"/>
        <s v="121-1" u="1"/>
        <s v="627-2D" u="1"/>
        <s v="642-2" u="1"/>
        <s v="627-1A" u="1"/>
        <s v="111ro" u="1"/>
        <s v="625-2" u="1"/>
        <s v="627-1B" u="1"/>
        <s v="148" u="1"/>
        <s v="403" u="1"/>
        <s v="627-1" u="1"/>
        <s v="427" u="1"/>
        <s v="629-1" u="1"/>
        <s v="111" u="1"/>
        <s v="705" u="1"/>
        <s v="653" u="1"/>
        <s v="678-13" u="1"/>
        <s v="678-2" u="1"/>
      </sharedItems>
    </cacheField>
    <cacheField name="Debit" numFmtId="164">
      <sharedItems containsNonDate="0" containsString="0" containsBlank="1"/>
    </cacheField>
    <cacheField name="Credit" numFmtId="164">
      <sharedItems containsNonDate="0" containsString="0" containsBlank="1"/>
    </cacheField>
    <cacheField name="Running Balance" numFmtId="39">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4267.584920023146" createdVersion="3" refreshedVersion="5" minRefreshableVersion="3" recordCount="108">
  <cacheSource type="worksheet">
    <worksheetSource name="CsDJ"/>
  </cacheSource>
  <cacheFields count="16">
    <cacheField name="Date" numFmtId="191">
      <sharedItems containsNonDate="0" containsDate="1" containsString="0" containsBlank="1" minDate="2020-01-31T00:00:00" maxDate="2020-02-01T00:00:00"/>
    </cacheField>
    <cacheField name="DV Date" numFmtId="191">
      <sharedItems containsNonDate="0" containsDate="1" containsString="0" containsBlank="1" minDate="2020-01-23T00:00:00" maxDate="2020-01-24T00:00:00"/>
    </cacheField>
    <cacheField name="DV Number" numFmtId="49">
      <sharedItems containsBlank="1"/>
    </cacheField>
    <cacheField name="JEV Number" numFmtId="49">
      <sharedItems containsBlank="1" count="99">
        <s v="20-01-004"/>
        <m/>
        <s v="18-01-012" u="1"/>
        <s v="18-08-208" u="1"/>
        <s v="18-06-138A" u="1"/>
        <s v="18-07-172" u="1"/>
        <s v="18-02-039A" u="1"/>
        <s v="18-01-011" u="1"/>
        <s v="18-08-207" u="1"/>
        <s v="18-06-137A" u="1"/>
        <s v="18-07-171" u="1"/>
        <s v="18-01-010" u="1"/>
        <s v="18-06-138" u="1"/>
        <s v="18-08-206" u="1"/>
        <s v="19-11-143" u="1"/>
        <s v="18-02-039" u="1"/>
        <s v="18-07-170" u="1"/>
        <s v="19-09-126" u="1"/>
        <s v="18-06-137" u="1"/>
        <s v="18-08-205" u="1"/>
        <s v="18-02-038" u="1"/>
        <s v="19-09-125" u="1"/>
        <s v="18-06-136" u="1"/>
        <s v="18-08-204" u="1"/>
        <s v="18-02-037" u="1"/>
        <s v="18-06-135" u="1"/>
        <s v="18-02-036" u="1"/>
        <s v="18-06-134" u="1"/>
        <s v="20-12-109" u="1"/>
        <s v="19-10-136" u="1"/>
        <s v="18-09-229" u="1"/>
        <s v="18-09-228" u="1"/>
        <s v="18-04-094" u="1"/>
        <s v="18-09-227" u="1"/>
        <s v="18-04-093" u="1"/>
        <s v="20-03-025" u="1"/>
        <s v="18-04-092" u="1"/>
        <s v="18-03-059" u="1"/>
        <s v="18-04-091" u="1"/>
        <s v="19-03-050" u="1"/>
        <s v="18-04-090" u="1"/>
        <s v="19-08-111" u="1"/>
        <s v="20-10-093" u="1"/>
        <s v="17-01-028" u="1"/>
        <s v="20-06-044" u="1"/>
        <s v="19-05-069" u="1"/>
        <s v="17-01-027" u="1"/>
        <s v="18-06-138B" u="1"/>
        <s v="17-01-026" u="1"/>
        <s v="19-07-098" u="1"/>
        <s v="17-01-025" u="1"/>
        <s v="17-01-024" u="1"/>
        <s v="20-02-011" u="1"/>
        <s v="20-05-039" u="1"/>
        <s v="17-01-023" u="1"/>
        <s v="19-01-003" u="1"/>
        <s v="18-01-009" u="1"/>
        <s v="18-07-169" u="1"/>
        <s v="19-02-029" u="1"/>
        <s v="18-02-040" u="1"/>
        <s v="18-07-168" u="1"/>
        <s v="19-04-059" u="1"/>
        <s v="19-02-026" u="1"/>
        <s v="19-06-086" u="1"/>
        <s v="20-04-029" u="1"/>
        <s v="20-12-111" u="1"/>
        <s v="19-02-024" u="1"/>
        <s v="19-06-085" u="1"/>
        <s v="20-12-110" u="1"/>
        <s v="18-03-062A" u="1"/>
        <s v="18-10-277" u="1"/>
        <s v="18-09-230" u="1"/>
        <s v="18-03-063" u="1"/>
        <s v="18-10-276" u="1"/>
        <s v="18-03-062" u="1"/>
        <s v="18-10-275" u="1"/>
        <s v="18-03-061" u="1"/>
        <s v="18-10-274" u="1"/>
        <s v="18-03-060" u="1"/>
        <s v="19-01-018" u="1"/>
        <s v="18-04-089" u="1"/>
        <s v="18-04-088" u="1"/>
        <s v="20-11-097" u="1"/>
        <s v="19-01-016" u="1"/>
        <s v="20-09-078" u="1"/>
        <s v="19-12-156" u="1"/>
        <s v="19-03-044" u="1"/>
        <s v="19-01-013" u="1"/>
        <s v="20-03-017" u="1"/>
        <s v="18-05-116A" u="1"/>
        <s v="18-05-117" u="1"/>
        <s v="19-01-010" u="1"/>
        <s v="18-05-116" u="1"/>
        <s v="18-05-115" u="1"/>
        <s v="18-05-114" u="1"/>
        <s v="18-01-013A" u="1"/>
        <s v="18-05-113" u="1"/>
        <s v="18-01-012A" u="1"/>
        <s v="18-01-013" u="1"/>
      </sharedItems>
    </cacheField>
    <cacheField name="Sort Code" numFmtId="49">
      <sharedItems containsBlank="1"/>
    </cacheField>
    <cacheField name="Ofc Code" numFmtId="49">
      <sharedItems containsNonDate="0" containsString="0" containsBlank="1"/>
    </cacheField>
    <cacheField name="Sub Code" numFmtId="49">
      <sharedItems containsNonDate="0" containsString="0" containsBlank="1"/>
    </cacheField>
    <cacheField name="CF Code" numFmtId="49">
      <sharedItems containsNonDate="0" containsString="0" containsBlank="1"/>
    </cacheField>
    <cacheField name="Payee" numFmtId="49">
      <sharedItems containsBlank="1"/>
    </cacheField>
    <cacheField name="Particulars" numFmtId="49">
      <sharedItems containsBlank="1"/>
    </cacheField>
    <cacheField name="Account Name" numFmtId="0">
      <sharedItems count="43">
        <s v="Salaries and Wages-Regular"/>
        <s v=""/>
        <s v="Due to GSIS - Life and Retirement Premium" u="1"/>
        <s v="Other Bonuses and Allowances - Anniversary Bonus" u="1"/>
        <s v="Due from Officers and Employees" u="1"/>
        <s v="Due to PhilHealth" u="1"/>
        <s v="Overtime and Night Pay" u="1"/>
        <s v="Other Bonuses and Allowances - Meal Allowance" u="1"/>
        <s v="Due to GSIS - Salary Loan" u="1"/>
        <s v="Other Compensation Personal Economic Relief Allowance (PERA)" u="1"/>
        <s v="Other Payables" u="1"/>
        <s v="Due to Officers and Employees" u="1"/>
        <s v="Honoraria" u="1"/>
        <s v="Due to GSIS" u="1"/>
        <s v="Mid-Year/Year End Bonus" u="1"/>
        <s v="Other Bonuses and Allowances - Children Allowance" u="1"/>
        <s v="Hazard Pay" u="1"/>
        <s v="Clothing/Uniform Allowance" u="1"/>
        <s v="Salaries and Wages-Casual/Contractual" u="1"/>
        <s v="Other Bonuses and Allowances - Medical Allowance" u="1"/>
        <s v="Advances to Special Disbursing Officer" u="1"/>
        <s v="Personal Economic Relief Allowance (PERA)" u="1"/>
        <s v="Due to BIR - Compensation" u="1"/>
        <s v="Due to Pag-IBIG - Pag-IBIG Premium" u="1"/>
        <s v="Productivity Incentive Allowance" u="1"/>
        <s v="Other Maintenance and Operating Expenses - Other Maintenance and Operating Expenses" u="1"/>
        <s v="Other Personnel Benefits - Other Personnel Benefits" u="1"/>
        <s v="Advances for Payroll" u="1"/>
        <s v="Cash in Bank-Local Currency, Current Account - FO" u="1"/>
        <s v="Cash in Bank-Local Currency, Current Account - RO" u="1"/>
        <s v="Due to Pag-IBIG" u="1"/>
        <s v="Due to BIR" u="1"/>
        <s v="Due to Pag-IBIG - Calamity Loan" u="1"/>
        <s v="Cash in Bank-Local Currency, Current Account" u="1"/>
        <s v="Due to Pag-IBIG - Pag-IBIG Multi-Purpose Loan" u="1"/>
        <s v="Longevity Pay" u="1"/>
        <s v="Construction in Progress-Infrastructure Assets (Irrigation, Canals and Laterals)" u="1"/>
        <s v="Cash Gift" u="1"/>
        <s v="Representation Allowance (RA)" u="1"/>
        <s v="Accounts Payable" u="1"/>
        <s v="Due to Central Office" u="1"/>
        <s v="Terminal Leave Benefits" u="1"/>
        <s v="Due to GSIS - Emergency Loan" u="1"/>
      </sharedItems>
    </cacheField>
    <cacheField name="Account Code" numFmtId="0">
      <sharedItems containsBlank="1" count="47">
        <s v="701"/>
        <m/>
        <s v="413-1" u="1"/>
        <s v="414-1" u="1"/>
        <s v="270" u="1"/>
        <s v="103" u="1"/>
        <s v="439" u="1"/>
        <s v="711" u="1"/>
        <s v="719-3" u="1"/>
        <s v="123" u="1"/>
        <s v="713" u="1"/>
        <s v="106" u="1"/>
        <s v="715" u="1"/>
        <s v="413-6" u="1"/>
        <s v="717" u="1"/>
        <s v="111RO" u="1"/>
        <s v="719-2" u="1"/>
        <s v="2010102000" u="1"/>
        <s v="401" u="1"/>
        <s v="421" u="1"/>
        <s v="403" u="1"/>
        <s v="413-5" u="1"/>
        <s v="719-1" u="1"/>
        <s v="111FO" u="1"/>
        <s v="719-7" u="1"/>
        <s v="413-4" u="1"/>
        <s v="111" u="1"/>
        <s v="414-4" u="1"/>
        <s v="720" u="1"/>
        <s v="721" u="1"/>
        <s v="722" u="1"/>
        <s v="723" u="1"/>
        <s v="705" u="1"/>
        <s v="742" u="1"/>
        <s v="413-3" u="1"/>
        <s v="724" u="1"/>
        <s v="725" u="1"/>
        <s v="969" u="1"/>
        <s v="1990102000" u="1"/>
        <s v="412" u="1"/>
        <s v="414-2" u="1"/>
        <s v="413" u="1"/>
        <s v="749" u="1"/>
        <s v="414" u="1"/>
        <s v="415" u="1"/>
        <s v="412-1" u="1"/>
        <s v="719-4" u="1"/>
      </sharedItems>
    </cacheField>
    <cacheField name="Debit" numFmtId="0">
      <sharedItems containsString="0" containsBlank="1" containsNumber="1" containsInteger="1" minValue="50693" maxValue="50693"/>
    </cacheField>
    <cacheField name="Credit" numFmtId="0">
      <sharedItems containsNonDate="0" containsString="0" containsBlank="1"/>
    </cacheField>
    <cacheField name="ASA #" numFmtId="0">
      <sharedItems containsNonDate="0" containsString="0" containsBlank="1"/>
    </cacheField>
    <cacheField name="Running Balance" numFmtId="0">
      <sharedItems containsSemiMixedTypes="0" containsString="0" containsNumber="1" containsInteger="1" minValue="50693" maxValue="5069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NIA PC" refreshedDate="45309.779878009256" createdVersion="3" refreshedVersion="6" minRefreshableVersion="3" recordCount="131">
  <cacheSource type="worksheet">
    <worksheetSource name="GJ"/>
  </cacheSource>
  <cacheFields count="12">
    <cacheField name="Date" numFmtId="191">
      <sharedItems containsNonDate="0" containsDate="1" containsString="0" containsBlank="1" minDate="2023-02-28T00:00:00" maxDate="2024-01-01T00:00:00"/>
    </cacheField>
    <cacheField name="JEV Number" numFmtId="49">
      <sharedItems containsBlank="1" count="176">
        <s v="23-02-"/>
        <s v="23-02"/>
        <s v="23-10"/>
        <s v="23-12"/>
        <m/>
        <s v="19-02-030" u="1"/>
        <s v="19-05-063" u="1"/>
        <s v="20-07-055" u="1"/>
        <s v="22-08-" u="1"/>
        <s v="19-02-027" u="1"/>
        <s v="19-03-042" u="1"/>
        <s v="20-12-126" u="1"/>
        <s v="19-06-075" u="1"/>
        <s v="19-07-090" u="1"/>
        <s v="20-12-104" u="1"/>
        <s v="19-03-039" u="1"/>
        <s v="19-04-054" u="1"/>
        <s v="19-11-146" u="1"/>
        <s v="19-12-161" u="1"/>
        <s v="20-06-046" u="1"/>
        <s v="20-07-061" u="1"/>
        <s v="22-02-001" u="1"/>
        <s v="19-02-033" u="1"/>
        <s v="19-07-087" u="1"/>
        <s v="20-06-074" u="1"/>
        <s v="19-03-045" u="1"/>
        <s v="19-08-102" u="1"/>
        <s v="20-06-052" u="1"/>
        <s v="20-10-086" u="1"/>
        <s v="20-12-129" u="1"/>
        <s v="22-08" u="1"/>
        <s v="19-06-078" u="1"/>
        <s v="19-07-093" u="1"/>
        <s v="19-09-114" u="1"/>
        <s v="19-11-149" u="1"/>
        <s v="19-12-164" u="1"/>
        <s v="19-03-051" u="1"/>
        <s v="20-03-022" u="1"/>
        <s v="20-12-113" u="1"/>
        <s v="22-10-" u="1"/>
        <s v="19-03-048" u="1"/>
        <s v="19-08-105" u="1"/>
        <s v="19-12-170" u="1"/>
        <s v="22-07-" u="1"/>
        <s v="19-01-005" u="1"/>
        <s v="19-09-117" u="1"/>
        <s v="19-12-167" u="1"/>
        <s v="20-12-116" u="1"/>
        <s v="19-01-011" u="1"/>
        <s v="19-09-123" u="1"/>
        <s v="19-12-173" u="1"/>
        <s v="19-12-151" u="1"/>
        <s v="20-12-122" u="1"/>
        <s v="19-10-127" u="1"/>
        <s v="20-12-119" u="1"/>
        <s v="19-01-014" u="1"/>
        <s v="20-09-075" u="1"/>
        <s v="19-11-139" u="1"/>
        <s v="19-12-154" u="1"/>
        <s v="22-06-" u="1"/>
        <s v="19-03-041" u="1"/>
        <s v="20-12-125" u="1"/>
        <s v="19-06-074" u="1"/>
        <s v="20-08-066" u="1"/>
        <s v="20-09-081" u="1"/>
        <s v="20-12-103" u="1"/>
        <s v="19-03-038" u="1"/>
        <s v="19-11-145" u="1"/>
        <s v="19-12-160" u="1"/>
        <s v="20-06-045" u="1"/>
        <s v="20-07-060" u="1"/>
        <s v="19-02-032" u="1"/>
        <s v="20-12-131" u="1"/>
        <s v="19-05-065" u="1"/>
        <s v="19-06-080" u="1"/>
        <s v="19-12-157" u="1"/>
        <s v="20-07-057" u="1"/>
        <s v="20-08-072" u="1"/>
        <s v="20-12-128" u="1"/>
        <s v="19-06-077" u="1"/>
        <s v="19-07-092" u="1"/>
        <s v="20-09-084" u="1"/>
        <s v="19-01-001" u="1"/>
        <s v="19-09-113" u="1"/>
        <s v="19-11-148" u="1"/>
        <s v="19-12-163" u="1"/>
        <s v="20-06-048" u="1"/>
        <s v="19-02-035" u="1"/>
        <s v="19-07-089" u="1"/>
        <s v="21-09-001" u="1"/>
        <s v="20-03-021" u="1"/>
        <s v="20-12-112" u="1"/>
        <s v="19-03-047" u="1"/>
        <s v="19-08-104" u="1"/>
        <s v="20-10-088" u="1"/>
        <s v="22-05-" u="1"/>
        <s v="19-01-004" u="1"/>
        <s v="19-09-116" u="1"/>
        <s v="19-12-166" u="1"/>
        <s v="20-03-024" u="1"/>
        <s v="20-12-115" u="1"/>
        <s v="21-02-001" u="1"/>
        <s v="19-08-107" u="1"/>
        <s v="19-09-122" u="1"/>
        <s v="19-12-172" u="1"/>
        <s v="19-12-150" u="1"/>
        <s v="22-05" u="1"/>
        <s v="19-01-007" u="1"/>
        <s v="19-02-022" u="1"/>
        <s v="19-12-169" u="1"/>
        <s v="20-12-121" u="1"/>
        <s v="23-02-001" u="1"/>
        <s v="19-02-019" u="1"/>
        <s v="20-06-041" u="1"/>
        <s v="20-12-118" u="1"/>
        <s v="19-12-175" u="1"/>
        <s v="20-09-074" u="1"/>
        <s v="19-11-138" u="1"/>
        <s v="19-12-153" u="1"/>
        <s v="22-04-" u="1"/>
        <s v="20-12-124" u="1"/>
        <s v="20-08-065" u="1"/>
        <s v="20-09-080" u="1"/>
        <s v="20-12-102" u="1"/>
        <s v="19-04-052" u="1"/>
        <s v="19-10-129" u="1"/>
        <s v="20-12-130" u="1"/>
        <s v="21-01-001" u="1"/>
        <s v="19-05-064" u="1"/>
        <s v="20-07-056" u="1"/>
        <s v="19-11-150" u="1"/>
        <s v="20-06-050" u="1"/>
        <s v="20-12-127" u="1"/>
        <s v="19-06-076" u="1"/>
        <s v="19-07-091" u="1"/>
        <s v="20-09-083" u="1"/>
        <s v="19-04-055" u="1"/>
        <s v="19-05-070" u="1"/>
        <s v="19-11-147" u="1"/>
        <s v="20-06-047" u="1"/>
        <s v="19-02-034" u="1"/>
        <s v="19-07-088" u="1"/>
        <s v="19-06-082" u="1"/>
        <s v="19-12-159" u="1"/>
        <s v="20-03-020" u="1"/>
        <s v="20-07-059" u="1"/>
        <s v="19-04-061" u="1"/>
        <s v="19-08-103" u="1"/>
        <s v="20-06-053" u="1"/>
        <s v="20-10-087" u="1"/>
        <s v="22-03-" u="1"/>
        <s v="20-04-032" u="1"/>
        <s v="19-05-073" u="1"/>
        <s v="19-09-115" u="1"/>
        <s v="19-12-165" u="1"/>
        <s v="20-11-099" u="1"/>
        <s v="20-02-008" u="1"/>
        <s v="20-03-023" u="1"/>
        <s v="20-12-114" u="1"/>
        <s v="19-12-171" u="1"/>
        <s v="22-09-" u="1"/>
        <s v="19-01-006" u="1"/>
        <s v="19-02-021" u="1"/>
        <s v="19-09-118" u="1"/>
        <s v="19-12-168" u="1"/>
        <s v="20-12-120" u="1"/>
        <s v="22-03-001" u="1"/>
        <s v="20-12-117" u="1"/>
        <s v="19-09-124" u="1"/>
        <s v="19-12-174" u="1"/>
        <s v="19-11-137" u="1"/>
        <s v="22-09" u="1"/>
        <s v="19-10-131" u="1"/>
        <s v="20-12-123" u="1"/>
        <s v="19-03-036" u="1"/>
        <s v="19-10-128" u="1"/>
      </sharedItems>
    </cacheField>
    <cacheField name="Sort Code" numFmtId="49">
      <sharedItems containsBlank="1"/>
    </cacheField>
    <cacheField name="Ofc Code" numFmtId="49">
      <sharedItems containsBlank="1"/>
    </cacheField>
    <cacheField name="Sub Code" numFmtId="49">
      <sharedItems containsNonDate="0" containsString="0" containsBlank="1"/>
    </cacheField>
    <cacheField name="CF Code" numFmtId="49">
      <sharedItems containsNonDate="0" containsString="0" containsBlank="1"/>
    </cacheField>
    <cacheField name="Particulars" numFmtId="49">
      <sharedItems containsBlank="1"/>
    </cacheField>
    <cacheField name="Account Name" numFmtId="0">
      <sharedItems containsBlank="1"/>
    </cacheField>
    <cacheField name="Account Code" numFmtId="49">
      <sharedItems containsBlank="1" count="89">
        <s v="414-1"/>
        <s v="414-2"/>
        <s v="415"/>
        <s v="439"/>
        <s v="424"/>
        <s v="921"/>
        <s v="923"/>
        <s v="321"/>
        <s v="323"/>
        <s v="755"/>
        <s v="155"/>
        <s v="255"/>
        <s v="270"/>
        <s v="111FO"/>
        <s v="401"/>
        <m/>
        <s v="414" u="1"/>
        <s v="769-1" u="1"/>
        <s v="884-3" u="1"/>
        <s v="821" u="1"/>
        <s v="971" u="1"/>
        <s v="169-3" u="1"/>
        <s v="719-9" u="1"/>
        <s v="711" u="1"/>
        <s v="104" u="1"/>
        <s v="290" u="1"/>
        <s v="123" u="1"/>
        <s v="731" u="1"/>
        <s v="955" u="1"/>
        <s v="236" u="1"/>
        <s v="732" u="1"/>
        <s v="106" u="1"/>
        <s v="751" u="1"/>
        <s v="733" u="1"/>
        <s v="144" u="1"/>
        <s v="715" u="1"/>
        <s v="734" u="1"/>
        <s v="771" u="1"/>
        <s v="753" u="1"/>
        <s v="169-2" u="1"/>
        <s v="412-5" u="1"/>
        <s v="772" u="1"/>
        <s v="717" u="1"/>
        <s v="111ro" u="1"/>
        <s v="512" u="1"/>
        <s v="773" u="1"/>
        <s v="414-5" u="1"/>
        <s v="774" u="1"/>
        <s v="148" u="1"/>
        <s v="756" u="1"/>
        <s v="403" u="1"/>
        <s v="412-4" u="1"/>
        <s v="759" u="1"/>
        <s v="779" u="1"/>
        <s v="414-4" u="1"/>
        <s v="426" u="1"/>
        <s v="799" u="1"/>
        <s v="221" u="1"/>
        <s v="352" u="1"/>
        <s v="412-3" u="1"/>
        <s v="223" u="1"/>
        <s v="169-13" u="1"/>
        <s v="701" u="1"/>
        <s v="413-3" u="1"/>
        <s v="926" u="1"/>
        <s v="169-15" u="1"/>
        <s v="705" u="1"/>
        <s v="742" u="1"/>
        <s v="724" u="1"/>
        <s v="761" u="1"/>
        <s v="412-2" u="1"/>
        <s v="892" u="1"/>
        <s v="501" u="1"/>
        <s v="725" u="1"/>
        <s v="893" u="1"/>
        <s v="651" u="1"/>
        <s v="969" u="1"/>
        <s v="769-2" u="1"/>
        <s v="653" u="1"/>
        <s v="765" u="1"/>
        <s v="411" u="1"/>
        <s v="784" u="1"/>
        <s v="766" u="1"/>
        <s v="878" u="1"/>
        <s v="412" u="1"/>
        <s v="412-1" u="1"/>
        <s v="767" u="1"/>
        <s v="413" u="1"/>
        <s v="413-1" u="1"/>
      </sharedItems>
    </cacheField>
    <cacheField name="Debit" numFmtId="164">
      <sharedItems containsString="0" containsBlank="1" containsNumber="1" minValue="953.46" maxValue="3984178.86"/>
    </cacheField>
    <cacheField name="Credit" numFmtId="164">
      <sharedItems containsString="0" containsBlank="1" containsNumber="1" minValue="0" maxValue="3984178.86"/>
    </cacheField>
    <cacheField name="Running Balance" numFmtId="39">
      <sharedItems containsString="0" containsBlank="1" containsNumber="1" minValue="-5358.64" maxValue="29524.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NIA PC" refreshedDate="45330.430639814818" createdVersion="3" refreshedVersion="6" minRefreshableVersion="3" recordCount="629">
  <cacheSource type="worksheet">
    <worksheetSource name="CkDJ"/>
  </cacheSource>
  <cacheFields count="16">
    <cacheField name="Date" numFmtId="191">
      <sharedItems containsSemiMixedTypes="0" containsNonDate="0" containsDate="1" containsString="0" minDate="2023-01-31T00:00:00" maxDate="2023-10-01T00:00:00"/>
    </cacheField>
    <cacheField name="Check Date" numFmtId="0">
      <sharedItems containsDate="1" containsBlank="1" containsMixedTypes="1" minDate="2023-01-12T00:00:00" maxDate="2023-09-30T00:00:00"/>
    </cacheField>
    <cacheField name="Check Number" numFmtId="49">
      <sharedItems containsBlank="1"/>
    </cacheField>
    <cacheField name="JEV Number" numFmtId="49">
      <sharedItems containsBlank="1" count="300">
        <s v="23-01-001"/>
        <s v="23-01-005"/>
        <s v="23-02-"/>
        <s v="23-03-"/>
        <s v="23-04-"/>
        <s v="23-05-"/>
        <m/>
        <s v="23-06-"/>
        <s v="23-06-117"/>
        <s v="23-07-"/>
        <s v="23-08-"/>
        <s v="23-09-"/>
        <s v="20-09-076" u="1"/>
        <s v="17-03-080" u="1"/>
        <s v="20-11-095" u="1"/>
        <s v="18-02-033" u="1"/>
        <s v="17-02-049" u="1"/>
        <s v="18-06-131" u="1"/>
        <s v="5-1" u="1"/>
        <s v="17-02-057" u="1"/>
        <s v="20-08-069" u="1"/>
        <s v="19-01-002" u="1"/>
        <s v="20-09-077" u="1"/>
        <s v="17-03-081" u="1"/>
        <s v="20-11-096" u="1"/>
        <s v="18-02-034" u="1"/>
        <s v="18-06-132" u="1"/>
        <s v="18-05-109" u="1"/>
        <s v="20-10-089" u="1"/>
        <s v="18-09-223" u="1"/>
        <s v="17-03-082" u="1"/>
        <s v="23-02-002" u="1"/>
        <s v="18-02-035" u="1"/>
        <s v="18-06-133" u="1"/>
        <s v="19-01-012" u="1"/>
        <s v="22-07" u="1"/>
        <s v="18-09-224" u="1"/>
        <s v="20-09-079" u="1"/>
        <s v="17-03-083" u="1"/>
        <s v="19-08-101" u="1"/>
        <s v="19-02-020" u="1"/>
        <s v="20-11-098" u="1"/>
        <s v="19-09-101" u="1"/>
        <s v="18-09-225" u="1"/>
        <s v="2019-08-160" u="1"/>
        <s v="2019-08-161" u="1"/>
        <s v="17-03-084" u="1"/>
        <s v="2019-08-162" u="1"/>
        <s v="19-08-110" u="1"/>
        <s v="2019-08-163" u="1"/>
        <s v="2019-08-164" u="1"/>
        <s v="2019-08-150" u="1"/>
        <s v="2019-08-151" u="1"/>
        <s v="22-10-" u="1"/>
        <s v="2019-02-020" u="1"/>
        <s v="2019-08-152" u="1"/>
        <s v="2019-08-153" u="1"/>
        <s v="18-09-226" u="1"/>
        <s v="2019-08-154" u="1"/>
        <s v="17-03-077" u="1"/>
        <s v="2019-08-155" u="1"/>
        <s v="22-11-" u="1"/>
        <s v="17-03-085" u="1"/>
        <s v="2019-08-156" u="1"/>
        <s v="2019-08-157" u="1"/>
        <s v="18-03-056B" u="1"/>
        <s v="19-10-130" u="1"/>
        <s v="2019-08-158" u="1"/>
        <s v="22-04-" u="1"/>
        <s v="2019-08-159" u="1"/>
        <s v="22-12-" u="1"/>
        <s v="19-01-015" u="1"/>
        <s v="18-10-270" u="1"/>
        <s v="18-03-056A" u="1"/>
        <s v="17-03-078" u="1"/>
        <s v="22-05-" u="1"/>
        <s v="17-03-086" u="1"/>
        <s v="19-02-023" u="1"/>
        <s v="18-06-129" u="1"/>
        <s v="19-02-031" u="1"/>
        <s v="22-06-" u="1"/>
        <s v="19-01-008" u="1"/>
        <s v="18-10-271" u="1"/>
        <s v="19-09-112" u="1"/>
        <s v="19-09-120" u="1"/>
        <s v="18-03-055" u="1"/>
        <s v="17-03-079" u="1"/>
        <s v="22-07-" u="1"/>
        <s v="19-10-132" u="1"/>
        <s v="22-08-" u="1"/>
        <s v="19-01-017" u="1"/>
        <s v="18-10-272" u="1"/>
        <s v="19-09-121" u="1"/>
        <s v="19-03-040" u="1"/>
        <s v="18-03-056" u="1"/>
        <s v="19-11-140" u="1"/>
        <s v="18-07-164A" u="1"/>
        <s v="22-09-" u="1"/>
        <s v="19-08-106" u="1"/>
        <s v="19-02-025" u="1"/>
        <s v="2023-06" u="1"/>
        <s v="19-10-133" u="1"/>
        <s v="18-04-080" u="1"/>
        <s v="18-10-273" u="1"/>
        <s v="18-03-057" u="1"/>
        <s v="19-11-141" u="1"/>
        <s v="18-07-163" u="1"/>
        <s v="19-08-107" u="1"/>
        <s v="20-01-001" u="1"/>
        <s v="20-11-100" u="1"/>
        <s v="19-10-134" u="1"/>
        <s v="18-04-081" u="1"/>
        <s v="20-02-001" u="1"/>
        <s v="18-03-058" u="1"/>
        <s v="19-11-142" u="1"/>
        <s v="18-07-164" u="1"/>
        <s v="19-08-108" u="1"/>
        <s v="20-01-002" u="1"/>
        <s v="19-10-135" u="1"/>
        <s v="18-04-082" u="1"/>
        <s v="20-02-010" u="1"/>
        <s v="20-12-101" u="1"/>
        <s v="19-03-043" u="1"/>
        <s v="18-07-165" u="1"/>
        <s v="19-08-109" u="1"/>
        <s v="20-01-003" u="1"/>
        <s v="19-02-028" u="1"/>
        <s v="18-04-083" u="1"/>
        <s v="19-09-109" u="1"/>
        <s v="19-09-125" u="1"/>
        <s v="19-11-144" u="1"/>
        <s v="18-07-166" u="1"/>
        <s v="19-04-060" u="1"/>
        <s v="19-12-152" u="1"/>
        <s v="23-10-" u="1"/>
        <s v="18-04-084" u="1"/>
        <s v="19-09-118" u="1"/>
        <s v="20-02-012" u="1"/>
        <s v="19-03-037" u="1"/>
        <s v="18-07-167" u="1"/>
        <s v="23-11-" u="1"/>
        <s v="20-01-005" u="1"/>
        <s v="19-04-053" u="1"/>
        <s v="23-12-" u="1"/>
        <s v="18-04-085" u="1"/>
        <s v="19-09-119" u="1"/>
        <s v="20-02-013" u="1"/>
        <s v="19-03-046" u="1"/>
        <s v="19-11-146" u="1"/>
        <s v="20-01-006" u="1"/>
        <s v="19-04-062" u="1"/>
        <s v="19-12-162" u="1"/>
        <s v="18-04-086" u="1"/>
        <s v="20-12-105" u="1"/>
        <s v="20-03-014" u="1"/>
        <s v="19-12-155" u="1"/>
        <s v="18-04-087" u="1"/>
        <s v="20-02-007" u="1"/>
        <s v="20-12-106" u="1"/>
        <s v="20-04-030" u="1"/>
        <s v="19-05-071" u="1"/>
        <s v="20-03-015" u="1"/>
        <s v="19-04-056" u="1"/>
        <s v="20-12-107" u="1"/>
        <s v="19-03-049" u="1"/>
        <s v="20-04-031" u="1"/>
        <s v="19-05-072" u="1"/>
        <s v="21-01-001" u="1"/>
        <s v="20-03-016" u="1"/>
        <s v="19-04-057" u="1"/>
        <s v="20-02-009" u="1"/>
        <s v="21-02-001" u="1"/>
        <s v="21-10-001" u="1"/>
        <s v="20-12-108" u="1"/>
        <s v="21-03-001" u="1"/>
        <s v="21-11-001" u="1"/>
        <s v="17-01-021A" u="1"/>
        <s v="19-04-058" u="1"/>
        <s v="19-12-158" u="1"/>
        <s v="19-06-081" u="1"/>
        <s v="21-04-001" u="1"/>
        <s v="21-12-001" u="1"/>
        <s v="17-04-110" u="1"/>
        <s v="20-04-033" u="1"/>
        <s v="20-06-040" u="1"/>
        <s v="19-05-066" u="1"/>
        <s v="21-05-001" u="1"/>
        <s v="20-03-018" u="1"/>
        <s v="17-01-020" u="1"/>
        <s v="19-12-159" u="1"/>
        <s v="21-06-001" u="1"/>
        <s v="17-04-111" u="1"/>
        <s v="20-04-026" u="1"/>
        <s v="19-05-067" u="1"/>
        <s v="21-07-001" u="1"/>
        <s v="17-01-013" u="1"/>
        <s v="20-03-019" u="1"/>
        <s v="17-01-021" u="1"/>
        <s v="20-05-034" u="1"/>
        <s v="19-06-083" u="1"/>
        <s v="21-08-001" u="1"/>
        <s v="2019-7-010" u="1"/>
        <s v="17-04-112" u="1"/>
        <s v="20-04-027" u="1"/>
        <s v="20-06-042" u="1"/>
        <s v="19-05-068" u="1"/>
        <s v="21-09-001" u="1"/>
        <s v="17-01-014" u="1"/>
        <s v="17-01-022" u="1"/>
        <s v="20-05-035" u="1"/>
        <s v="19-06-084" u="1"/>
        <s v="17-04-113" u="1"/>
        <s v="20-04-028" u="1"/>
        <s v="20-06-043" u="1"/>
        <s v="20-06-051" u="1"/>
        <s v="17-01-015" u="1"/>
        <s v="20-05-036" u="1"/>
        <s v="19-06-085" u="1"/>
        <s v="17-04-114" u="1"/>
        <s v="17-01-016" u="1"/>
        <s v="20-05-037" u="1"/>
        <s v="20-07-060" u="1"/>
        <s v="17-04-115" u="1"/>
        <s v="19-07-094" u="1"/>
        <s v="21-12-0001" u="1"/>
        <s v="17-01-017" u="1"/>
        <s v="20-05-038" u="1"/>
        <s v="19-06-079" u="1"/>
        <s v="18-05-110B" u="1"/>
        <s v="17-04-116" u="1"/>
        <s v="19-07-095" u="1"/>
        <s v="22-01-001" u="1"/>
        <s v="17-01-018" u="1"/>
        <s v="18-05-110A" u="1"/>
        <s v="20-07-054" u="1"/>
        <s v="20-07-062" u="1"/>
        <s v="22-02-001" u="1"/>
        <s v="17-04-117" u="1"/>
        <s v="17-02-050" u="1"/>
        <s v="20-08-070" u="1"/>
        <s v="19-07-096" u="1"/>
        <s v="22-03-001" u="1"/>
        <s v="17-01-019" u="1"/>
        <s v="20-07-063" u="1"/>
        <s v="17-04-118" u="1"/>
        <s v="18-08-200" u="1"/>
        <s v="17-02-051" u="1"/>
        <s v="18-01-006A" u="1"/>
        <s v="20-08-071" u="1"/>
        <s v="19-07-097" u="1"/>
        <s v="18-05-110" u="1"/>
        <s v="20-10-090" u="1"/>
        <s v="20-07-064" u="1"/>
        <s v="17-04-119" u="1"/>
        <s v="18-08-201" u="1"/>
        <s v="18-18-200" u="1"/>
        <s v="20-06-049" u="1"/>
        <s v="17-02-052" u="1"/>
        <s v="18-01-005" u="1"/>
        <s v="18-05-111" u="1"/>
        <s v="20-10-091" u="1"/>
        <s v="18-08-202" u="1"/>
        <s v="17-02-053" u="1"/>
        <s v="18-01-006" u="1"/>
        <s v="19-07-099" u="1"/>
        <s v="18-05-112" u="1"/>
        <s v="20-10-092" u="1"/>
        <s v="20-07-058" u="1"/>
        <s v="1475741" u="1"/>
        <s v="20-09-073" u="1"/>
        <s v="18-08-203" u="1"/>
        <s v="18-06-130A" u="1"/>
        <s v="1475746" u="1"/>
        <s v="17-02-054" u="1"/>
        <s v="2022-02-020" u="1"/>
        <s v="1475747" u="1"/>
        <s v="2022-02-021" u="1"/>
        <s v="18-01-007" u="1"/>
        <s v="2022-02-022" u="1"/>
        <s v="20-10-085" u="1"/>
        <s v="20-09-082" u="1"/>
        <s v="18-02-033A" u="1"/>
        <s v="18-06-131A" u="1"/>
        <s v="2022-02-013" u="1"/>
        <s v="17-02-055" u="1"/>
        <s v="2022-02-014" u="1"/>
        <s v="20-08-067" u="1"/>
        <s v="18-01-008" u="1"/>
        <s v="2022-02-015" u="1"/>
        <s v="2022-02-016" u="1"/>
        <s v="2022-02-017" u="1"/>
        <s v="2022-02-018" u="1"/>
        <s v="2022-02-019" u="1"/>
        <s v="20-11-094" u="1"/>
        <s v="18-02-032" u="1"/>
        <s v="17-02-048" u="1"/>
        <s v="18-06-130" u="1"/>
        <s v="17-02-056" u="1"/>
        <s v="20-08-068" u="1"/>
        <s v="19-01-001" u="1"/>
      </sharedItems>
    </cacheField>
    <cacheField name="Sort Code" numFmtId="49">
      <sharedItems containsBlank="1"/>
    </cacheField>
    <cacheField name="Ofc Code" numFmtId="49">
      <sharedItems containsBlank="1"/>
    </cacheField>
    <cacheField name="Sub Code" numFmtId="49">
      <sharedItems containsNonDate="0" containsString="0" containsBlank="1"/>
    </cacheField>
    <cacheField name="CF Code" numFmtId="0">
      <sharedItems containsNonDate="0" containsString="0" containsBlank="1"/>
    </cacheField>
    <cacheField name="Payee" numFmtId="49">
      <sharedItems containsBlank="1"/>
    </cacheField>
    <cacheField name="Particulars" numFmtId="49">
      <sharedItems containsBlank="1"/>
    </cacheField>
    <cacheField name="Account Name" numFmtId="0">
      <sharedItems containsBlank="1" count="123">
        <s v="Semi-Expendable Information and Communications Technology Equipment"/>
        <s v="Due to BIR - 1%"/>
        <s v="Due to BIR - 5%"/>
        <s v="Cash in Bank-Local Currency, Current Account - FO"/>
        <s v="Other Maintenance and Operating Expenses - Other Maintenance and Operating Expenses"/>
        <s v=""/>
        <s v="Training Expenses"/>
        <s v="Due to BIR - 2%"/>
        <s v="Construction in Progress-Infrastructure Assets (Irrigation, Canals and Laterals)"/>
        <s v="Guaranty/Security Deposits Payable"/>
        <s v="Advances to Contractors"/>
        <s v="PhilHealth Contributions"/>
        <s v="Due to PhilHealth"/>
        <s v="Retirement and Life Insurance Premiums"/>
        <s v="Employees Compensation Insurance Premiums"/>
        <s v="Due to GSIS - Life and Retirement Premium"/>
        <s v="Due to BIR - Compensation"/>
        <s v="Pag-IBIG Contributions"/>
        <s v="Due to Pag-IBIG - Pag-IBIG Premium"/>
        <s v="Due to Pag-IBIG - MP2"/>
        <s v="Salaries and Wages-Regular"/>
        <s v="Personal Economic Relief Allowance (PERA)"/>
        <s v="Office Supplies Inventory"/>
        <s v="Due to Pag-IBIG - Pag-IBIG Multi-Purpose Loan"/>
        <s v="Other Payables"/>
        <s v="Clothing/Uniform Allowance"/>
        <s v="Traveling Expenses-Local"/>
        <s v="Fuel, Oil and Lubricants Expenses"/>
        <s v="Due to Other Funds"/>
        <s v="Due to the Treasurer of the Philippines"/>
        <s v="Mid-Year Bonus"/>
        <m/>
        <s v="Other Bonuses and Allowances - Anniversary Bonus"/>
        <s v="Bank Charges"/>
        <s v="Semi-Expendable Office Equipment"/>
        <s v="Information and Communications Technology Equipment"/>
        <s v="Due to GSIS - Policy Loan" u="1"/>
        <s v="Advances for Payroll" u="1"/>
        <s v="Repairs and Maintenance-Buildings and Other Structures - Other Structures" u="1"/>
        <s v="Mid-Year/Year End Bonus" u="1"/>
        <e v="#N/A" u="1"/>
        <s v="Telephone Expenses - Landline" u="1"/>
        <s v="Due from Other Funds" u="1"/>
        <s v="Longevity Pay" u="1"/>
        <s v="Cash in Bank-Local Currency, Current Account F.O" u="1"/>
        <s v="Repairs and Maintenance-Transportation Equipment - Motor Vehicles" u="1"/>
        <s v="Bail Bonds Payable" u="1"/>
        <s v="Due to Pag-IBIG" u="1"/>
        <s v="Representation Expenses" u="1"/>
        <s v="Drugs and Medicines Expenses" u="1"/>
        <s v="Honoraria" u="1"/>
        <s v="Other Maintenance and Operating Expenses" u="1"/>
        <s v="Semi-Expendable Furniture and Fixtures" u="1"/>
        <s v="Other Bonuses and Allowances - Performance Based Bonus-Civilian" u="1"/>
        <s v="Overtime and Night Pay" u="1"/>
        <s v="Due to GSIS - Salary Loan" u="1"/>
        <s v="Repairs and Maintenance-Machinery and Equipment - Other Machinery and Equipment" u="1"/>
        <s v="Cash in Bank-Local Currency, Current Account" u="1"/>
        <s v="Auditing Services" u="1"/>
        <s v="Due to GSIS" u="1"/>
        <s v="Water Expenses" u="1"/>
        <s v="Due to BIR - 3%" u="1"/>
        <s v="Rent/Lease Expenses" u="1"/>
        <s v="Membership Dues and Contributions to Organizations" u="1"/>
        <s v="Subsidy from Central Office" u="1"/>
        <s v="Petty Cash" u="1"/>
        <s v="Communication Equipment" u="1"/>
        <s v="Representation Allowance (RA)" u="1"/>
        <s v="Repairs and Maintenance-Buildings and Other Structures - Buildings" u="1"/>
        <s v="Other Receivables" u="1"/>
        <s v="Traveling Expenses-Foreign" u="1"/>
        <s v="Cable, Satellite, Telegraph and Radio Expenses" u="1"/>
        <s v="Hazard Pay" u="1"/>
        <s v="Internet Subscription Expenses" u="1"/>
        <s v="Other Maintenance and Operating Expenses (Irrigator's Share/Remuneration/Subsidy)" u="1"/>
        <s v="Fidelity Bond Premiums" u="1"/>
        <s v="Repairs and Maintenance-Machinery and Equipment - Construction and Heavy Equipment" u="1"/>
        <s v="Accountable Forms Expenses" u="1"/>
        <s v="Other Bonuses and Allowances - Children Allowance" u="1"/>
        <s v="Other Bonuses and Allowances - Meal Allowance" u="1"/>
        <s v="Cash Gift" u="1"/>
        <s v="Repairs and Maintenance-Machinery and Equipment - Machinery" u="1"/>
        <s v="Transportation and Delivery Expenses" u="1"/>
        <s v="Trust Liabilities - Disallowances / Charges" u="1"/>
        <s v="Due to Pag-IBIG - Calamity Loan" u="1"/>
        <s v="Equipment Rental" u="1"/>
        <s v="Due to BIR" u="1"/>
        <s v="Other Bonuses and Allowances - Productivity Enhancement Incentive-Civilian" u="1"/>
        <s v="Other Utility Expenses" u="1"/>
        <s v="Salaries and Wages-Casual/Contractual" u="1"/>
        <s v="Other Supplies and Materials Expenses" u="1"/>
        <s v="Due to Officers and Employees" u="1"/>
        <s v="Repairs and Maintenance-Transportation Equipment - Other Transportation Equipment" u="1"/>
        <s v="Other Bonuses and Allowances - Medical Allowance" u="1"/>
        <s v="Due from Officers and Employees" u="1"/>
        <s v="Accumulated Surplus/(Deficit) (Government Equity)" u="1"/>
        <s v="Awards/Rewards Expenses" u="1"/>
        <s v="Due to GSIS - Emergency Loan" u="1"/>
        <s v="Semi-Expendable Furniture, Fixtures and Books Expenses" u="1"/>
        <s v="Other Compensation Personal Economic Relief Allowance (PERA)" u="1"/>
        <s v="Terminal Leave Benefits" u="1"/>
        <s v="Office Equipment" u="1"/>
        <s v="Other Personnel Benefits - Other Personnel Benefits" u="1"/>
        <s v="Advances to Special Disbursing Officer" u="1"/>
        <s v="Cash in Bank-Local Currency, Current Account - RO" u="1"/>
        <s v="Repairs and Maintenance-Machinery and Equipment - Office Equipment" u="1"/>
        <s v="Due to NGAs" u="1"/>
        <s v="Taxes, Duties and Licenses" u="1"/>
        <s v="Postage and Courier Expenses" u="1"/>
        <s v="Other Bonuses and Allowances - Productivity Enhancement Incentive (PEI)" u="1"/>
        <s v="Advances to Officers and Employees" u="1"/>
        <s v="Other Personnel Benefits" u="1"/>
        <s v="Insurance Expenses" u="1"/>
        <s v="Productivity Incentive Allowance" u="1"/>
        <s v="Other Bonuses and Allowances - Service Recognition Incentive (SRI)" u="1"/>
        <s v="Office Supplies Expenses" u="1"/>
        <s v="Electricity Expenses" u="1"/>
        <s v="Accounts Payable" u="1"/>
        <s v="Printing and Publication Expenses" u="1"/>
        <s v="Semi-Expendable Machinery and Equipment Expenses" u="1"/>
        <s v="Due to GSIS - ECC" u="1"/>
        <s v="Telephone Expenses - Mobile" u="1"/>
        <s v="Interest Income" u="1"/>
      </sharedItems>
    </cacheField>
    <cacheField name="Account Code" numFmtId="49">
      <sharedItems containsBlank="1" containsMixedTypes="1" containsNumber="1" containsInteger="1" minValue="0" maxValue="965" count="71">
        <s v="169-3"/>
        <s v="412-5"/>
        <s v="412-2"/>
        <s v="111fo"/>
        <s v="969"/>
        <m/>
        <s v="753"/>
        <s v="412-4"/>
        <s v="270"/>
        <s v="426"/>
        <s v="181"/>
        <s v="733"/>
        <s v="415"/>
        <s v="731"/>
        <s v="734"/>
        <s v="413-1"/>
        <s v="412-1"/>
        <s v="732"/>
        <s v="414-1"/>
        <s v="414-5"/>
        <s v="701"/>
        <s v="711"/>
        <s v="155"/>
        <s v="414-2"/>
        <s v="439"/>
        <s v="715"/>
        <s v="751"/>
        <s v="761"/>
        <s v="424"/>
        <s v="411"/>
        <s v="726"/>
        <s v="719-7"/>
        <s v="971"/>
        <s v="169-2"/>
        <s v="223"/>
        <n v="0" u="1"/>
        <n v="403" u="1"/>
        <n v="773" u="1"/>
        <n v="401" u="1"/>
        <n v="767" u="1"/>
        <n v="759" u="1"/>
        <n v="753" u="1"/>
        <n v="965" u="1"/>
        <n v="751" u="1"/>
        <n v="106" u="1"/>
        <n v="439" u="1"/>
        <n v="792" u="1"/>
        <n v="841" u="1"/>
        <n v="733" u="1"/>
        <n v="731" u="1"/>
        <n v="103" u="1"/>
        <n v="723" u="1"/>
        <n v="774" u="1"/>
        <n v="772" u="1"/>
        <n v="715" u="1"/>
        <n v="426" u="1"/>
        <n v="713" u="1"/>
        <n v="766" u="1"/>
        <n v="711" u="1"/>
        <n v="705" u="1"/>
        <n v="701" u="1"/>
        <n v="415" u="1"/>
        <n v="414" u="1"/>
        <n v="742" u="1"/>
        <n v="148" u="1"/>
        <n v="413" u="1"/>
        <n v="412" u="1"/>
        <n v="111" u="1"/>
        <n v="734" u="1"/>
        <n v="893" u="1"/>
        <n v="732" u="1"/>
      </sharedItems>
    </cacheField>
    <cacheField name="Debit" numFmtId="164">
      <sharedItems containsString="0" containsBlank="1" containsNumber="1" minValue="100" maxValue="4266722.62"/>
    </cacheField>
    <cacheField name="Credit" numFmtId="164">
      <sharedItems containsString="0" containsBlank="1" containsNumber="1" minValue="22" maxValue="2912758.82"/>
    </cacheField>
    <cacheField name="ASA #" numFmtId="0">
      <sharedItems containsBlank="1" longText="1"/>
    </cacheField>
    <cacheField name="Running Balance" numFmtId="39">
      <sharedItems containsMixedTypes="1" containsNumber="1" minValue="-1766760.7" maxValue="3472698.4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m/>
    <m/>
    <m/>
    <m/>
    <m/>
    <x v="0"/>
    <x v="0"/>
    <m/>
    <m/>
    <n v="0"/>
  </r>
  <r>
    <x v="0"/>
    <x v="1"/>
    <m/>
    <m/>
    <m/>
    <m/>
    <m/>
    <x v="0"/>
    <x v="0"/>
    <m/>
    <m/>
    <n v="0"/>
  </r>
  <r>
    <x v="0"/>
    <x v="1"/>
    <m/>
    <m/>
    <m/>
    <m/>
    <m/>
    <x v="0"/>
    <x v="0"/>
    <m/>
    <m/>
    <n v="0"/>
  </r>
  <r>
    <x v="0"/>
    <x v="1"/>
    <m/>
    <m/>
    <m/>
    <m/>
    <m/>
    <x v="0"/>
    <x v="0"/>
    <m/>
    <m/>
    <n v="0"/>
  </r>
  <r>
    <x v="1"/>
    <x v="1"/>
    <m/>
    <m/>
    <m/>
    <m/>
    <m/>
    <x v="0"/>
    <x v="0"/>
    <m/>
    <m/>
    <n v="0"/>
  </r>
  <r>
    <x v="1"/>
    <x v="1"/>
    <m/>
    <m/>
    <m/>
    <m/>
    <m/>
    <x v="0"/>
    <x v="0"/>
    <m/>
    <m/>
    <n v="0"/>
  </r>
  <r>
    <x v="1"/>
    <x v="1"/>
    <m/>
    <m/>
    <m/>
    <m/>
    <m/>
    <x v="0"/>
    <x v="0"/>
    <m/>
    <m/>
    <n v="0"/>
  </r>
  <r>
    <x v="1"/>
    <x v="1"/>
    <m/>
    <m/>
    <m/>
    <m/>
    <m/>
    <x v="0"/>
    <x v="0"/>
    <m/>
    <m/>
    <n v="0"/>
  </r>
  <r>
    <x v="2"/>
    <x v="1"/>
    <m/>
    <m/>
    <m/>
    <m/>
    <m/>
    <x v="0"/>
    <x v="0"/>
    <m/>
    <m/>
    <n v="0"/>
  </r>
  <r>
    <x v="2"/>
    <x v="1"/>
    <m/>
    <m/>
    <m/>
    <m/>
    <m/>
    <x v="0"/>
    <x v="0"/>
    <m/>
    <m/>
    <n v="0"/>
  </r>
  <r>
    <x v="2"/>
    <x v="1"/>
    <m/>
    <m/>
    <m/>
    <m/>
    <m/>
    <x v="0"/>
    <x v="0"/>
    <m/>
    <m/>
    <n v="0"/>
  </r>
  <r>
    <x v="2"/>
    <x v="1"/>
    <m/>
    <m/>
    <m/>
    <m/>
    <m/>
    <x v="0"/>
    <x v="0"/>
    <m/>
    <m/>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d v="2020-01-31T00:00:00"/>
    <d v="2020-01-23T00:00:00"/>
    <s v="01-501CARP-2020-01-001"/>
    <x v="0"/>
    <s v="3"/>
    <m/>
    <m/>
    <m/>
    <s v="Mario N. Raboy, et. Al"/>
    <s v="Payment of salaries and allowances of  Monthly Co-Terminus CARP employees for the period January 1-31, 2020"/>
    <x v="0"/>
    <x v="0"/>
    <n v="50693"/>
    <m/>
    <m/>
    <n v="50693"/>
  </r>
  <r>
    <d v="2020-01-31T00:00:00"/>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r>
    <m/>
    <m/>
    <m/>
    <x v="1"/>
    <m/>
    <m/>
    <m/>
    <m/>
    <m/>
    <m/>
    <x v="1"/>
    <x v="1"/>
    <m/>
    <m/>
    <m/>
    <n v="50693"/>
  </r>
</pivotCacheRecords>
</file>

<file path=xl/pivotCache/pivotCacheRecords3.xml><?xml version="1.0" encoding="utf-8"?>
<pivotCacheRecords xmlns="http://schemas.openxmlformats.org/spreadsheetml/2006/main" xmlns:r="http://schemas.openxmlformats.org/officeDocument/2006/relationships" count="131">
  <r>
    <d v="2023-02-28T00:00:00"/>
    <x v="0"/>
    <s v="5"/>
    <s v="5-1"/>
    <m/>
    <m/>
    <s v="To record remittances erroneously charged to 501 LFPs Fund should be charge to 501 CARP Fund"/>
    <s v="Due to Pag-IBIG - Pag-IBIG Premium"/>
    <x v="0"/>
    <n v="2200"/>
    <m/>
    <n v="2200"/>
  </r>
  <r>
    <d v="2023-02-28T00:00:00"/>
    <x v="0"/>
    <s v="5"/>
    <s v="5-1"/>
    <m/>
    <m/>
    <s v="To record remittances erroneously charged to 501 LFPs Fund should be charge to 501 CARP Fund"/>
    <s v="Due to Pag-IBIG - Pag-IBIG Multi-Purpose Loan"/>
    <x v="1"/>
    <n v="1989.56"/>
    <m/>
    <n v="4189.5600000000004"/>
  </r>
  <r>
    <d v="2023-02-28T00:00:00"/>
    <x v="0"/>
    <s v="5"/>
    <s v="5-1"/>
    <m/>
    <m/>
    <s v="To record remittances erroneously charged to 501 LFPs Fund should be charge to 501 CARP Fund"/>
    <s v="Due to PhilHealth"/>
    <x v="2"/>
    <n v="3830.51"/>
    <m/>
    <n v="8020.07"/>
  </r>
  <r>
    <d v="2023-02-28T00:00:00"/>
    <x v="0"/>
    <s v="5"/>
    <s v="5-1"/>
    <m/>
    <m/>
    <s v="To record remittances erroneously charged to 501 LFPs Fund should be charge to 501 CARP Fund"/>
    <s v="Other Payables"/>
    <x v="3"/>
    <n v="7191.66"/>
    <m/>
    <n v="15211.73"/>
  </r>
  <r>
    <d v="2023-02-28T00:00:00"/>
    <x v="0"/>
    <s v="5"/>
    <s v="5-1"/>
    <m/>
    <m/>
    <s v="To record remittances erroneously charged to 501 LFPs Fund should be charge to 501 CARP Fund"/>
    <s v="Due to Other Funds"/>
    <x v="4"/>
    <m/>
    <n v="15211.73"/>
    <n v="0"/>
  </r>
  <r>
    <d v="2023-02-28T00:00:00"/>
    <x v="1"/>
    <s v="5"/>
    <s v="5-1"/>
    <m/>
    <m/>
    <m/>
    <s v="Depreciation-Machinery and Equipment - Office Equipment"/>
    <x v="5"/>
    <n v="10717.28"/>
    <m/>
    <n v="10717.28"/>
  </r>
  <r>
    <d v="2023-02-28T00:00:00"/>
    <x v="1"/>
    <s v="5"/>
    <s v="5-1"/>
    <m/>
    <m/>
    <m/>
    <s v="Depreciation-Machinery and Equipment - ICT Equipment"/>
    <x v="6"/>
    <n v="18807.22"/>
    <m/>
    <n v="29524.5"/>
  </r>
  <r>
    <d v="2023-02-28T00:00:00"/>
    <x v="1"/>
    <s v="5"/>
    <s v="5-1"/>
    <m/>
    <m/>
    <m/>
    <s v="Accumulated Depreciation-Office Equipment"/>
    <x v="7"/>
    <m/>
    <n v="10717.28"/>
    <n v="18807.22"/>
  </r>
  <r>
    <d v="2023-02-28T00:00:00"/>
    <x v="1"/>
    <s v="5"/>
    <s v="5-1"/>
    <m/>
    <m/>
    <m/>
    <s v="Accumulated Depreciation-Information and Communications Technology Equipment"/>
    <x v="8"/>
    <m/>
    <n v="18807.22"/>
    <n v="0"/>
  </r>
  <r>
    <d v="2023-10-31T00:00:00"/>
    <x v="2"/>
    <s v="5"/>
    <s v="5-1"/>
    <m/>
    <m/>
    <s v="To record issuances of O.S for the month of October 2023."/>
    <s v="Office Supplies Expenses"/>
    <x v="9"/>
    <n v="953.46"/>
    <m/>
    <m/>
  </r>
  <r>
    <d v="2023-10-31T00:00:00"/>
    <x v="2"/>
    <s v="5"/>
    <s v="5-1"/>
    <m/>
    <m/>
    <m/>
    <s v="Office Supplies Inventory"/>
    <x v="10"/>
    <m/>
    <n v="953.46"/>
    <m/>
  </r>
  <r>
    <d v="2023-12-31T00:00:00"/>
    <x v="3"/>
    <s v="5"/>
    <s v="5-1"/>
    <m/>
    <m/>
    <m/>
    <s v="Water Supply Systems"/>
    <x v="11"/>
    <n v="3984178.86"/>
    <m/>
    <m/>
  </r>
  <r>
    <d v="2023-12-31T00:00:00"/>
    <x v="3"/>
    <s v="5"/>
    <s v="5-1"/>
    <m/>
    <m/>
    <m/>
    <s v="Construction in Progress-Infrastructure Assets (Irrigation, Canals and Laterals)"/>
    <x v="12"/>
    <m/>
    <n v="3984178.86"/>
    <m/>
  </r>
  <r>
    <d v="2023-12-31T00:00:00"/>
    <x v="3"/>
    <s v="5"/>
    <s v="5-1"/>
    <m/>
    <m/>
    <s v="To recognize adjustment for unclaimed checks as of December 31, 2023"/>
    <s v="Cash in Bank-Local Currency, Current Account - FO"/>
    <x v="13"/>
    <n v="182703.42"/>
    <m/>
    <m/>
  </r>
  <r>
    <d v="2023-12-31T00:00:00"/>
    <x v="3"/>
    <s v="5"/>
    <s v="5-1"/>
    <m/>
    <m/>
    <s v="To recognize adjustment for unclaimed checks as of December 31, 2023"/>
    <s v="Accounts Payable"/>
    <x v="14"/>
    <m/>
    <n v="182703.42"/>
    <m/>
  </r>
  <r>
    <d v="2023-12-31T00:00:00"/>
    <x v="3"/>
    <s v="5"/>
    <s v="5-1"/>
    <m/>
    <m/>
    <s v="Overprovision of Depreciation for October and November"/>
    <s v="Accumulated Depreciation-Information and Communications Technology Equipment"/>
    <x v="8"/>
    <n v="14331.48"/>
    <m/>
    <m/>
  </r>
  <r>
    <d v="2023-12-31T00:00:00"/>
    <x v="3"/>
    <s v="5"/>
    <s v="5-1"/>
    <m/>
    <m/>
    <s v="Overprovision of Depreciation for October and November"/>
    <s v="Depreciation-Machinery and Equipment - ICT Equipment"/>
    <x v="6"/>
    <m/>
    <n v="14331.48"/>
    <m/>
  </r>
  <r>
    <d v="2023-12-31T00:00:00"/>
    <x v="3"/>
    <s v="5"/>
    <s v="5-1"/>
    <m/>
    <m/>
    <s v="To record Depreciation Expense of Various Property, Plant and Equipment"/>
    <s v="Depreciation-Machinery and Equipment - Office Equipment"/>
    <x v="5"/>
    <n v="5358.64"/>
    <m/>
    <m/>
  </r>
  <r>
    <d v="2023-12-31T00:00:00"/>
    <x v="3"/>
    <s v="5"/>
    <s v="5-1"/>
    <m/>
    <m/>
    <s v="To record Depreciation Expense of Various Property, Plant and Equipment"/>
    <s v="Accumulated Depreciation-Office Equipment"/>
    <x v="7"/>
    <m/>
    <n v="5358.64"/>
    <n v="-5358.64"/>
  </r>
  <r>
    <m/>
    <x v="4"/>
    <m/>
    <m/>
    <m/>
    <m/>
    <m/>
    <s v=""/>
    <x v="15"/>
    <m/>
    <m/>
    <n v="-5358.64"/>
  </r>
  <r>
    <m/>
    <x v="4"/>
    <m/>
    <m/>
    <m/>
    <m/>
    <m/>
    <m/>
    <x v="15"/>
    <m/>
    <m/>
    <n v="-5358.64"/>
  </r>
  <r>
    <m/>
    <x v="4"/>
    <m/>
    <m/>
    <m/>
    <m/>
    <m/>
    <m/>
    <x v="15"/>
    <m/>
    <m/>
    <n v="-5358.64"/>
  </r>
  <r>
    <m/>
    <x v="4"/>
    <m/>
    <m/>
    <m/>
    <m/>
    <m/>
    <m/>
    <x v="15"/>
    <m/>
    <m/>
    <n v="-5358.64"/>
  </r>
  <r>
    <m/>
    <x v="4"/>
    <m/>
    <m/>
    <m/>
    <m/>
    <m/>
    <m/>
    <x v="15"/>
    <m/>
    <m/>
    <n v="-5358.64"/>
  </r>
  <r>
    <m/>
    <x v="4"/>
    <m/>
    <m/>
    <m/>
    <m/>
    <m/>
    <m/>
    <x v="15"/>
    <m/>
    <m/>
    <n v="-5358.64"/>
  </r>
  <r>
    <m/>
    <x v="4"/>
    <m/>
    <m/>
    <m/>
    <m/>
    <m/>
    <m/>
    <x v="15"/>
    <m/>
    <m/>
    <n v="-5358.64"/>
  </r>
  <r>
    <m/>
    <x v="4"/>
    <m/>
    <m/>
    <m/>
    <m/>
    <m/>
    <m/>
    <x v="15"/>
    <m/>
    <m/>
    <n v="-5358.64"/>
  </r>
  <r>
    <m/>
    <x v="4"/>
    <m/>
    <m/>
    <m/>
    <m/>
    <m/>
    <m/>
    <x v="15"/>
    <m/>
    <m/>
    <n v="-5358.64"/>
  </r>
  <r>
    <m/>
    <x v="4"/>
    <m/>
    <m/>
    <m/>
    <m/>
    <m/>
    <m/>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m/>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r>
    <m/>
    <x v="4"/>
    <m/>
    <m/>
    <m/>
    <m/>
    <m/>
    <s v=""/>
    <x v="15"/>
    <m/>
    <n v="0"/>
    <n v="-5358.64"/>
  </r>
</pivotCacheRecords>
</file>

<file path=xl/pivotCache/pivotCacheRecords4.xml><?xml version="1.0" encoding="utf-8"?>
<pivotCacheRecords xmlns="http://schemas.openxmlformats.org/spreadsheetml/2006/main" xmlns:r="http://schemas.openxmlformats.org/officeDocument/2006/relationships" count="629">
  <r>
    <d v="2023-01-31T00:00:00"/>
    <d v="2023-01-12T00:00:00"/>
    <s v="1475846"/>
    <x v="0"/>
    <s v="5"/>
    <s v="5-1"/>
    <m/>
    <m/>
    <s v="Xaviery Computer Center"/>
    <s v="To payment of ICT Equipment(Solid State Drive &amp; Random Access Memory) for the use in the upgrading &amp; maintenance of Computer Desktop assigned at PIMO-Property Unit"/>
    <x v="0"/>
    <x v="0"/>
    <n v="9230"/>
    <m/>
    <s v="220044 Capital Outlay -Malimpin SPIP"/>
    <n v="9230"/>
  </r>
  <r>
    <d v="2023-01-31T00:00:00"/>
    <d v="2023-01-12T00:00:00"/>
    <s v="1475846"/>
    <x v="0"/>
    <s v="5"/>
    <s v="5-1"/>
    <m/>
    <m/>
    <s v="Xaviery Computer Center"/>
    <s v="To payment of ICT Equipment(Solid State Drive &amp; Random Access Memory) for the use in the upgrading &amp; maintenance of Computer Desktop assigned at PIMO-Property Unit"/>
    <x v="1"/>
    <x v="1"/>
    <m/>
    <n v="82.41"/>
    <m/>
    <n v="9147.59"/>
  </r>
  <r>
    <d v="2023-01-31T00:00:00"/>
    <d v="2023-01-12T00:00:00"/>
    <s v="1475846"/>
    <x v="0"/>
    <s v="5"/>
    <s v="5-1"/>
    <m/>
    <m/>
    <s v="Xaviery Computer Center"/>
    <s v="To payment of ICT Equipment(Solid State Drive &amp; Random Access Memory) for the use in the upgrading &amp; maintenance of Computer Desktop assigned at PIMO-Property Unit"/>
    <x v="2"/>
    <x v="2"/>
    <m/>
    <n v="412.05"/>
    <m/>
    <n v="8735.5400000000009"/>
  </r>
  <r>
    <d v="2023-01-31T00:00:00"/>
    <d v="2023-01-12T00:00:00"/>
    <s v="1475846"/>
    <x v="0"/>
    <s v="5"/>
    <s v="5-1"/>
    <m/>
    <m/>
    <s v="Xaviery Computer Center"/>
    <s v="To payment of ICT Equipment(Solid State Drive &amp; Random Access Memory) for the use in the upgrading &amp; maintenance of Computer Desktop assigned at PIMO-Property Unit"/>
    <x v="3"/>
    <x v="3"/>
    <m/>
    <n v="8735.5400000000009"/>
    <m/>
    <n v="0"/>
  </r>
  <r>
    <d v="2023-01-31T00:00:00"/>
    <d v="2023-01-12T00:00:00"/>
    <s v="1475847"/>
    <x v="0"/>
    <s v="5"/>
    <s v="5-1"/>
    <m/>
    <m/>
    <s v="Ryan A. Rivera"/>
    <s v="To Reimburse the amount paid for meals and snacks served in conduct of physical count of property,plant equipment"/>
    <x v="4"/>
    <x v="4"/>
    <n v="3330"/>
    <m/>
    <s v="220076 Capital Outlay Minosicuan CIS - CW"/>
    <n v="3330"/>
  </r>
  <r>
    <d v="2023-01-31T00:00:00"/>
    <d v="2023-01-12T00:00:00"/>
    <s v="1475847"/>
    <x v="0"/>
    <s v="5"/>
    <s v="5-1"/>
    <m/>
    <m/>
    <s v="Ryan A. Rivera"/>
    <s v="To Reimburse the amount paid for meals and snacks served in conduct of physical count of property,plant equipment"/>
    <x v="3"/>
    <x v="3"/>
    <m/>
    <n v="3330"/>
    <m/>
    <n v="0"/>
  </r>
  <r>
    <d v="2023-01-31T00:00:00"/>
    <d v="2023-01-18T00:00:00"/>
    <s v="1475848"/>
    <x v="0"/>
    <s v="5"/>
    <s v="5-1"/>
    <m/>
    <m/>
    <s v="Charito A. Tabobo"/>
    <s v="To reimburse the amount paid used during the conduct of emergency meeting IAS questionaire dated December 23,2022"/>
    <x v="4"/>
    <x v="4"/>
    <n v="4053"/>
    <m/>
    <s v="220076 Capital Outlay Minosicuan CIS - CW"/>
    <n v="4053"/>
  </r>
  <r>
    <d v="2023-01-31T00:00:00"/>
    <d v="2023-01-18T00:00:00"/>
    <s v="1475848"/>
    <x v="0"/>
    <s v="5"/>
    <s v="5-1"/>
    <m/>
    <m/>
    <s v="Charito A. Tabobo"/>
    <s v="To reimburse the amount paid used during the conduct of emergency meeting IAS questionaire dated December 23,2022"/>
    <x v="3"/>
    <x v="3"/>
    <m/>
    <n v="4053"/>
    <m/>
    <n v="0"/>
  </r>
  <r>
    <d v="2023-01-31T00:00:00"/>
    <d v="2023-01-18T00:00:00"/>
    <s v="1475849"/>
    <x v="0"/>
    <s v="5"/>
    <s v="5-1"/>
    <m/>
    <m/>
    <s v="Ryan A. Rivera"/>
    <s v="To reimburse the amount paid for reinstalling and relocation of aircondition"/>
    <x v="4"/>
    <x v="4"/>
    <n v="8600"/>
    <m/>
    <s v="220076 Capital Outlay Minosicuan CIS - CW"/>
    <n v="8600"/>
  </r>
  <r>
    <d v="2023-01-31T00:00:00"/>
    <d v="2023-01-18T00:00:00"/>
    <s v="1475849"/>
    <x v="0"/>
    <s v="5"/>
    <s v="5-1"/>
    <m/>
    <m/>
    <s v="Ryan A. Rivera"/>
    <s v="To reimburse the amount paid for reinstalling and relocation of aircondition"/>
    <x v="3"/>
    <x v="3"/>
    <m/>
    <n v="8600"/>
    <m/>
    <n v="0"/>
  </r>
  <r>
    <d v="2023-01-31T00:00:00"/>
    <d v="2023-01-18T00:00:00"/>
    <s v="1475850"/>
    <x v="0"/>
    <s v="5"/>
    <s v="5-1"/>
    <m/>
    <m/>
    <s v="Charito A. Tabobo"/>
    <s v="To reimburse the amount paid for the meals and snacks used during the conduct of selected office personnel with IAS questionaire dated December 27, 2022"/>
    <x v="4"/>
    <x v="4"/>
    <n v="3190"/>
    <m/>
    <s v="220076 Capital Outlay Minosicuan CIS - CW"/>
    <n v="3190"/>
  </r>
  <r>
    <d v="2023-01-31T00:00:00"/>
    <d v="2023-01-18T00:00:00"/>
    <s v="1475850"/>
    <x v="0"/>
    <s v="5"/>
    <s v="5-1"/>
    <m/>
    <m/>
    <s v="Charito A. Tabobo"/>
    <s v="To reimburse the amount paid for the meals and snacks used during the conduct of selected office personnel with IAS questionaire dated December 27, 2022"/>
    <x v="3"/>
    <x v="3"/>
    <m/>
    <n v="3190"/>
    <m/>
    <n v="0"/>
  </r>
  <r>
    <d v="2023-01-31T00:00:00"/>
    <d v="2023-01-19T00:00:00"/>
    <s v="1475851"/>
    <x v="0"/>
    <s v="5"/>
    <s v="5-1"/>
    <m/>
    <m/>
    <s v="Cancelled"/>
    <m/>
    <x v="5"/>
    <x v="5"/>
    <m/>
    <m/>
    <m/>
    <n v="0"/>
  </r>
  <r>
    <d v="2023-01-31T00:00:00"/>
    <d v="2023-01-19T00:00:00"/>
    <s v="1475852"/>
    <x v="0"/>
    <s v="5"/>
    <s v="5-1"/>
    <m/>
    <m/>
    <s v="De Luna Catering Services"/>
    <s v="To payment of meals and snacks served during the conduct of Capability Development Training for Effective Management of Calmay-Lebueg FIA,Inc. on December 27-29,2022 at Brgy.Lebueg,Laoac,Pangasinan"/>
    <x v="6"/>
    <x v="6"/>
    <n v="30600"/>
    <m/>
    <s v="220044 Capital Outlay -Malimpin SPIP"/>
    <n v="30600"/>
  </r>
  <r>
    <d v="2023-01-31T00:00:00"/>
    <d v="2023-01-19T00:00:00"/>
    <s v="1475852"/>
    <x v="0"/>
    <s v="5"/>
    <s v="5-1"/>
    <m/>
    <m/>
    <s v="De Luna Catering Services"/>
    <s v="To payment of meals and snacks served during the conduct of Capability Development Training for Effective Management of Calmay-Lebueg FIA,Inc. on December 27-29,2022 at Brgy.Lebueg,Laoac,Pangasinan"/>
    <x v="2"/>
    <x v="2"/>
    <m/>
    <n v="1366.07"/>
    <m/>
    <n v="29233.93"/>
  </r>
  <r>
    <d v="2023-01-31T00:00:00"/>
    <d v="2023-01-19T00:00:00"/>
    <s v="1475852"/>
    <x v="0"/>
    <s v="5"/>
    <s v="5-1"/>
    <m/>
    <m/>
    <s v="De Luna Catering Services"/>
    <s v="To payment of meals and snacks served during the conduct of Capability Development Training for Effective Management of Calmay-Lebueg FIA,Inc. on December 27-29,2022 at Brgy.Lebueg,Laoac,Pangasinan"/>
    <x v="7"/>
    <x v="7"/>
    <m/>
    <n v="546.42999999999995"/>
    <m/>
    <n v="28687.5"/>
  </r>
  <r>
    <d v="2023-01-31T00:00:00"/>
    <d v="2023-01-19T00:00:00"/>
    <s v="1475852"/>
    <x v="0"/>
    <s v="5"/>
    <s v="5-1"/>
    <m/>
    <m/>
    <s v="De Luna Catering Services"/>
    <s v="To payment of meals and snacks served during the conduct of Capability Development Training for Effective Management of Calmay-Lebueg FIA,Inc. on December 27-29,2022 at Brgy.Lebueg,Laoac,Pangasinan"/>
    <x v="3"/>
    <x v="3"/>
    <m/>
    <n v="28687.5"/>
    <m/>
    <n v="0"/>
  </r>
  <r>
    <d v="2023-01-31T00:00:00"/>
    <d v="2023-01-19T00:00:00"/>
    <s v="1475853"/>
    <x v="0"/>
    <s v="5"/>
    <s v="5-1"/>
    <m/>
    <m/>
    <s v="De Luna Catering Services"/>
    <s v="To payment of meals and snacks served during the conduct of Capability Development Training for Effective Management of Minosicuan FIA,Inc. on December 15-17,2022 at Brgy.Gonzales,Umingan,Pangasinan"/>
    <x v="6"/>
    <x v="6"/>
    <n v="35700"/>
    <m/>
    <m/>
    <n v="35700"/>
  </r>
  <r>
    <d v="2023-01-31T00:00:00"/>
    <d v="2023-01-19T00:00:00"/>
    <s v="1475853"/>
    <x v="0"/>
    <s v="5"/>
    <s v="5-1"/>
    <m/>
    <m/>
    <s v="De Luna Catering Services"/>
    <s v="To payment of meals and snacks served during the conduct of Capability Development Training for Effective Management of Minosicuan FIA,Inc. on December 15-17,2022 at Brgy.Gonzales,Umingan,Pangasinan"/>
    <x v="2"/>
    <x v="2"/>
    <m/>
    <n v="1593.75"/>
    <s v="220076 Capital Outlay Minosicuan CIS - CW"/>
    <n v="34106.25"/>
  </r>
  <r>
    <d v="2023-01-31T00:00:00"/>
    <d v="2023-01-19T00:00:00"/>
    <s v="1475853"/>
    <x v="0"/>
    <s v="5"/>
    <s v="5-1"/>
    <m/>
    <m/>
    <s v="De Luna Catering Services"/>
    <s v="To payment of meals and snacks served during the conduct of Capability Development Training for Effective Management of Minosicuan FIA,Inc. on December 15-17,2022 at Brgy.Gonzales,Umingan,Pangasinan"/>
    <x v="7"/>
    <x v="7"/>
    <m/>
    <n v="637.5"/>
    <m/>
    <n v="33468.75"/>
  </r>
  <r>
    <d v="2023-01-31T00:00:00"/>
    <d v="2023-01-19T00:00:00"/>
    <s v="1475853"/>
    <x v="0"/>
    <s v="5"/>
    <s v="5-1"/>
    <m/>
    <m/>
    <s v="De Luna Catering Services"/>
    <s v="To payment of meals and snacks served during the conduct of Capability Development Training for Effective Management of Minosicuan FIA,Inc. on December 15-17,2022 at Brgy.Gonzales,Umingan,Pangasinan"/>
    <x v="3"/>
    <x v="3"/>
    <m/>
    <n v="33468.75"/>
    <m/>
    <n v="0"/>
  </r>
  <r>
    <d v="2023-01-31T00:00:00"/>
    <d v="2023-01-25T00:00:00"/>
    <s v="1475854"/>
    <x v="0"/>
    <s v="5"/>
    <s v="5-1"/>
    <m/>
    <m/>
    <s v="Celbros Construction and Supplies"/>
    <s v="To second(2nd) partial payment of contract under R1-PIMO-22-03-041 in connection with the MINOSICUAN CIS(CARP IC CY 2022) located in Umingan,Pangasinan "/>
    <x v="8"/>
    <x v="8"/>
    <n v="2100868.8199999998"/>
    <m/>
    <s v="220076 Capital Outlay Minosicuan CIS - CW"/>
    <n v="2100868.8199999998"/>
  </r>
  <r>
    <d v="2023-01-31T00:00:00"/>
    <d v="2023-01-25T00:00:00"/>
    <s v="1475854"/>
    <x v="0"/>
    <s v="5"/>
    <s v="5-1"/>
    <m/>
    <m/>
    <s v="Celbros Construction and Supplies"/>
    <s v="To second(2nd) partial payment of contract under R1-PIMO-22-03-041 in connection with the MINOSICUAN CIS(CARP IC CY 2022) located in Umingan,Pangasinan "/>
    <x v="2"/>
    <x v="2"/>
    <m/>
    <n v="93788.79"/>
    <m/>
    <n v="2007080.03"/>
  </r>
  <r>
    <d v="2023-01-31T00:00:00"/>
    <d v="2023-01-25T00:00:00"/>
    <s v="1475854"/>
    <x v="0"/>
    <s v="5"/>
    <s v="5-1"/>
    <m/>
    <m/>
    <s v="Celbros Construction and Supplies"/>
    <s v="To second(2nd) partial payment of contract under R1-PIMO-22-03-041 in connection with the MINOSICUAN CIS(CARP IC CY 2022) located in Umingan,Pangasinan "/>
    <x v="7"/>
    <x v="7"/>
    <m/>
    <n v="37515.51"/>
    <m/>
    <n v="1969564.52"/>
  </r>
  <r>
    <d v="2023-01-31T00:00:00"/>
    <d v="2023-01-25T00:00:00"/>
    <s v="1475854"/>
    <x v="0"/>
    <s v="5"/>
    <s v="5-1"/>
    <m/>
    <m/>
    <s v="Celbros Construction and Supplies"/>
    <s v="To second(2nd) partial payment of contract under R1-PIMO-22-03-041 in connection with the MINOSICUAN CIS(CARP IC CY 2022) located in Umingan,Pangasinan "/>
    <x v="9"/>
    <x v="9"/>
    <m/>
    <n v="210086.88"/>
    <m/>
    <n v="1759477.64"/>
  </r>
  <r>
    <d v="2023-01-31T00:00:00"/>
    <d v="2023-01-25T00:00:00"/>
    <s v="1475854"/>
    <x v="0"/>
    <s v="5"/>
    <s v="5-1"/>
    <m/>
    <m/>
    <s v="Celbros Construction and Supplies"/>
    <s v="To second(2nd) partial payment of contract under R1-PIMO-22-03-041 in connection with the MINOSICUAN CIS(CARP IC CY 2022) located in Umingan,Pangasinan "/>
    <x v="10"/>
    <x v="10"/>
    <m/>
    <n v="315225.67"/>
    <m/>
    <n v="1444251.97"/>
  </r>
  <r>
    <d v="2023-01-31T00:00:00"/>
    <d v="2023-01-25T00:00:00"/>
    <s v="1475854"/>
    <x v="0"/>
    <s v="5"/>
    <s v="5-1"/>
    <m/>
    <m/>
    <s v="Celbros Construction and Supplies"/>
    <s v="To second(2nd) partial payment of contract under R1-PIMO-22-03-041 in connection with the MINOSICUAN CIS(CARP IC CY 2022) located in Umingan,Pangasinan "/>
    <x v="3"/>
    <x v="3"/>
    <m/>
    <n v="1444251.97"/>
    <m/>
    <n v="0"/>
  </r>
  <r>
    <d v="2023-01-31T00:00:00"/>
    <d v="2023-01-26T00:00:00"/>
    <s v="1475855"/>
    <x v="0"/>
    <s v="5"/>
    <s v="5-1"/>
    <m/>
    <m/>
    <s v="Loreto's Kitchenette"/>
    <s v="To payment of Meals &amp; Snacks served during the meeting with GSIS Personnel at Region Conference Room"/>
    <x v="4"/>
    <x v="4"/>
    <n v="7500"/>
    <m/>
    <s v="220076 Capital Outlay Minosicuan CIS - CW"/>
    <n v="7500"/>
  </r>
  <r>
    <d v="2023-01-31T00:00:00"/>
    <d v="2023-01-26T00:00:00"/>
    <s v="1475855"/>
    <x v="0"/>
    <s v="5"/>
    <s v="5-1"/>
    <m/>
    <m/>
    <s v="Loreto's Kitchenette"/>
    <s v="To payment of Meals &amp; Snacks served during the meeting with GSIS Personnel at Region Conference Room"/>
    <x v="7"/>
    <x v="7"/>
    <m/>
    <n v="150"/>
    <m/>
    <n v="7350"/>
  </r>
  <r>
    <d v="2023-01-31T00:00:00"/>
    <d v="2023-01-26T00:00:00"/>
    <s v="1475855"/>
    <x v="0"/>
    <s v="5"/>
    <s v="5-1"/>
    <m/>
    <m/>
    <s v="Loreto's Kitchenette"/>
    <s v="To payment of Meals &amp; Snacks served during the meeting with GSIS Personnel at Region Conference Room"/>
    <x v="1"/>
    <x v="1"/>
    <m/>
    <n v="75"/>
    <m/>
    <n v="7275"/>
  </r>
  <r>
    <d v="2023-01-31T00:00:00"/>
    <d v="2023-01-26T00:00:00"/>
    <s v="1475855"/>
    <x v="0"/>
    <s v="5"/>
    <s v="5-1"/>
    <m/>
    <m/>
    <s v="Loreto's Kitchenette"/>
    <s v="To payment of Meals &amp; Snacks served during the meeting with GSIS Personnel at Region Conference Room"/>
    <x v="3"/>
    <x v="3"/>
    <m/>
    <n v="7275"/>
    <m/>
    <n v="0"/>
  </r>
  <r>
    <d v="2023-01-31T00:00:00"/>
    <d v="2023-01-31T00:00:00"/>
    <s v="1475856"/>
    <x v="0"/>
    <s v="5"/>
    <s v="5-1"/>
    <m/>
    <m/>
    <s v="D'Brothers International Trading Corporation"/>
    <s v="To second(2nd) partial payment of contract under R1-PIMO-22-01-016 in connection with the Construction of Calmay SPIP(CARP IC CY 2022), located at Laoac,Pangasinan"/>
    <x v="8"/>
    <x v="8"/>
    <n v="1012541.49"/>
    <m/>
    <s v="220052 Capital Outlay Calmay SPIP"/>
    <n v="1012541.49"/>
  </r>
  <r>
    <d v="2023-01-31T00:00:00"/>
    <d v="2023-01-31T00:00:00"/>
    <s v="1475856"/>
    <x v="0"/>
    <s v="5"/>
    <s v="5-1"/>
    <m/>
    <m/>
    <s v="D'Brothers International Trading Corporation"/>
    <s v="To second(2nd) partial payment of contract under R1-PIMO-22-01-016 in connection with the Construction of Calmay SPIP(CARP IC CY 2022), located at Laoac,Pangasinan"/>
    <x v="2"/>
    <x v="2"/>
    <m/>
    <n v="45202.75"/>
    <m/>
    <n v="967338.74"/>
  </r>
  <r>
    <d v="2023-01-31T00:00:00"/>
    <d v="2023-01-31T00:00:00"/>
    <s v="1475856"/>
    <x v="0"/>
    <s v="5"/>
    <s v="5-1"/>
    <m/>
    <m/>
    <s v="D'Brothers International Trading Corporation"/>
    <s v="To second(2nd) partial payment of contract under R1-PIMO-22-01-016 in connection with the Construction of Calmay SPIP(CARP IC CY 2022), located at Laoac,Pangasinan"/>
    <x v="7"/>
    <x v="7"/>
    <m/>
    <n v="18081.099999999999"/>
    <m/>
    <n v="949257.64"/>
  </r>
  <r>
    <d v="2023-01-31T00:00:00"/>
    <d v="2023-01-31T00:00:00"/>
    <s v="1475856"/>
    <x v="0"/>
    <s v="5"/>
    <s v="5-1"/>
    <m/>
    <m/>
    <s v="D'Brothers International Trading Corporation"/>
    <s v="To second(2nd) partial payment of contract under R1-PIMO-22-01-016 in connection with the Construction of Calmay SPIP(CARP IC CY 2022), located at Laoac,Pangasinan"/>
    <x v="3"/>
    <x v="3"/>
    <m/>
    <n v="949257.64"/>
    <m/>
    <n v="0"/>
  </r>
  <r>
    <d v="2023-01-31T00:00:00"/>
    <d v="2023-01-31T00:00:00"/>
    <s v="1475857"/>
    <x v="1"/>
    <s v="5"/>
    <m/>
    <m/>
    <m/>
    <s v="LBP for Account of Bureau of Internal Revenue"/>
    <s v="To remit Withholding Tax (1% &amp; 2%) deducted from suppliers / contractors of NIA-pangasinan IMO covering the period of January 2023"/>
    <x v="7"/>
    <x v="7"/>
    <n v="56930.54"/>
    <m/>
    <m/>
    <n v="56930.54"/>
  </r>
  <r>
    <d v="2023-01-31T00:00:00"/>
    <d v="2023-01-31T00:00:00"/>
    <s v="1475857"/>
    <x v="1"/>
    <s v="5"/>
    <m/>
    <m/>
    <m/>
    <s v="LBP for Account of Bureau of Internal Revenue"/>
    <s v="To remit Withholding Tax (1% &amp; 2%) deducted  from suppliers / contractors of NIA-pangasinan IMO covering the period of January 2023"/>
    <x v="3"/>
    <x v="3"/>
    <m/>
    <n v="57012.95"/>
    <m/>
    <n v="-82.41"/>
  </r>
  <r>
    <d v="2023-01-31T00:00:00"/>
    <d v="2023-01-31T00:00:00"/>
    <s v="1475858"/>
    <x v="1"/>
    <s v="5"/>
    <m/>
    <m/>
    <m/>
    <s v="LBP for Account of Bureau of Internal Revenue"/>
    <s v="To remit Withholding Tax (1% &amp; 2%) deducted  from suppliers / contractors of NIA-pangasinan IMO covering the period of January 2023"/>
    <x v="1"/>
    <x v="1"/>
    <n v="157.41"/>
    <m/>
    <m/>
    <n v="75"/>
  </r>
  <r>
    <d v="2023-01-31T00:00:00"/>
    <d v="2023-01-31T00:00:00"/>
    <s v="1475858"/>
    <x v="1"/>
    <s v="5"/>
    <m/>
    <m/>
    <m/>
    <s v="LBP for Account of Bureau of Internal Revenue"/>
    <s v="To remit Withholding Tax (1% &amp; 5%) deducted  from suppliers / contractors of NIA-pangasinan IMO covering the period of January 2023"/>
    <x v="2"/>
    <x v="2"/>
    <n v="142363.41"/>
    <m/>
    <m/>
    <n v="142438.41"/>
  </r>
  <r>
    <d v="2023-01-31T00:00:00"/>
    <d v="2023-01-31T00:00:00"/>
    <s v="1475858"/>
    <x v="1"/>
    <s v="5"/>
    <m/>
    <m/>
    <m/>
    <s v="LBP for Account of Bureau of Internal Revenue"/>
    <s v="To remit Withholding Tax (1% &amp; 5%) deducted  from suppliers / contractors of NIA-pangasinan IMO covering the period of January 2023"/>
    <x v="3"/>
    <x v="3"/>
    <m/>
    <n v="142438.41"/>
    <m/>
    <n v="0"/>
  </r>
  <r>
    <d v="2023-02-28T00:00:00"/>
    <d v="2023-02-02T00:00:00"/>
    <s v="1475859"/>
    <x v="2"/>
    <s v="5"/>
    <s v="5-1"/>
    <m/>
    <m/>
    <s v="Ryan A. Rivera"/>
    <s v="To Reimburse the amount paid for meals and snacks served in conduct of physical count of property,plant equipment"/>
    <x v="4"/>
    <x v="4"/>
    <n v="2399"/>
    <m/>
    <s v="ASA # 220076 Capital Outlay (Minosicuan CIS)"/>
    <n v="2399"/>
  </r>
  <r>
    <d v="2023-02-28T00:00:00"/>
    <d v="2023-02-02T00:00:00"/>
    <s v="1475859"/>
    <x v="2"/>
    <s v="5"/>
    <s v="5-1"/>
    <m/>
    <m/>
    <s v="Ryan A. Rivera"/>
    <s v="To Reimburse the amount paid for meals and snacks served in conduct of physical count of property,plant equipment"/>
    <x v="3"/>
    <x v="3"/>
    <m/>
    <n v="2399"/>
    <m/>
    <n v="0"/>
  </r>
  <r>
    <d v="2023-02-28T00:00:00"/>
    <d v="2023-02-07T00:00:00"/>
    <s v="1475860"/>
    <x v="2"/>
    <s v="5"/>
    <s v="5-1"/>
    <m/>
    <m/>
    <s v="Philippine Health Insurance Corporation"/>
    <s v="To remit monthly PHIC premiums both personal &amp; government shares of E. Delos Santos &amp; 1 other of NIA Pangasinan IMO (CARP) Urdaneta City, Pangasinan for the period January 2023"/>
    <x v="11"/>
    <x v="11"/>
    <n v="1166.4000000000001"/>
    <m/>
    <s v="ASA # 230008 PS"/>
    <n v="1166.4000000000001"/>
  </r>
  <r>
    <d v="2023-02-28T00:00:00"/>
    <d v="2023-02-07T00:00:00"/>
    <s v="1475860"/>
    <x v="2"/>
    <s v="5"/>
    <s v="5-1"/>
    <m/>
    <m/>
    <s v="Philippine Health Insurance Corporation"/>
    <s v="To remit monthly PHIC premiums both personal &amp; government shares of E. Delos Santos &amp; 1 other of NIA Pangasinan IMO (CARP) Urdaneta City, Pangasinan for the period January 2023"/>
    <x v="12"/>
    <x v="12"/>
    <n v="1166.4000000000001"/>
    <m/>
    <m/>
    <n v="2332.8000000000002"/>
  </r>
  <r>
    <d v="2023-02-28T00:00:00"/>
    <d v="2023-02-07T00:00:00"/>
    <s v="1475860"/>
    <x v="2"/>
    <s v="5"/>
    <s v="5-1"/>
    <m/>
    <m/>
    <s v="Philippine Health Insurance Corporation"/>
    <s v="To remit monthly PHIC premiums both personal &amp; government shares of E. Delos Santos &amp; 1 other of NIA Pangasinan IMO (CARP) Urdaneta City, Pangasinan for the period January 2023"/>
    <x v="3"/>
    <x v="3"/>
    <m/>
    <n v="2332.8000000000002"/>
    <m/>
    <n v="0"/>
  </r>
  <r>
    <d v="2023-02-28T00:00:00"/>
    <d v="2023-02-07T00:00:00"/>
    <s v="1475861"/>
    <x v="2"/>
    <s v="5"/>
    <s v="5-1"/>
    <m/>
    <m/>
    <s v="GSIS"/>
    <s v="To remit monthly GSIS premiums both personal &amp; government shares of E. Delos Santos &amp; 1 other of NIA-Pangasinan IMO (CARP) Urdaneta City, Pangasinan"/>
    <x v="13"/>
    <x v="13"/>
    <n v="6998.4"/>
    <m/>
    <s v="ASA # 230008 PS"/>
    <n v="6998.4"/>
  </r>
  <r>
    <d v="2023-02-28T00:00:00"/>
    <d v="2023-02-07T00:00:00"/>
    <s v="1475861"/>
    <x v="2"/>
    <s v="5"/>
    <s v="5-1"/>
    <m/>
    <m/>
    <s v="GSIS"/>
    <s v="To remit monthly GSIS premiums both personal &amp; government shares of E. Delos Santos &amp; 1 other of NIA-Pangasinan IMO (CARP) Urdaneta City, Pangasinan"/>
    <x v="14"/>
    <x v="14"/>
    <n v="200"/>
    <m/>
    <m/>
    <n v="7198.4"/>
  </r>
  <r>
    <d v="2023-02-28T00:00:00"/>
    <d v="2023-02-07T00:00:00"/>
    <s v="1475861"/>
    <x v="2"/>
    <s v="5"/>
    <s v="5-1"/>
    <m/>
    <m/>
    <s v="GSIS"/>
    <s v="To remit monthly GSIS premiums both personal &amp; government shares of E. Delos Santos &amp; 1 other of NIA-Pangasinan IMO (CARP) Urdaneta City, Pangasinan"/>
    <x v="15"/>
    <x v="15"/>
    <n v="5248.8"/>
    <m/>
    <m/>
    <n v="12447.2"/>
  </r>
  <r>
    <d v="2023-02-28T00:00:00"/>
    <d v="2023-02-07T00:00:00"/>
    <s v="1475861"/>
    <x v="2"/>
    <s v="5"/>
    <s v="5-1"/>
    <m/>
    <m/>
    <s v="GSIS"/>
    <s v="To remit monthly GSIS premiums both personal &amp; government shares of E. Delos Santos &amp; 1 other of NIA-Pangasinan IMO (CARP) Urdaneta City, Pangasinan"/>
    <x v="3"/>
    <x v="3"/>
    <m/>
    <n v="12447.2"/>
    <m/>
    <n v="0"/>
  </r>
  <r>
    <d v="2023-02-28T00:00:00"/>
    <d v="2023-02-07T00:00:00"/>
    <s v="1475862"/>
    <x v="2"/>
    <s v="5"/>
    <s v="5-1"/>
    <m/>
    <m/>
    <s v="LBP for Account of Bureau of Internal Revenue"/>
    <s v="To remit Withholding Tax on Compensation of E. Delos Santos &amp; 2 others of NIA Pangasinan IMO (CARP), Urdaneta City, Pangasinan for the period January 2023"/>
    <x v="16"/>
    <x v="16"/>
    <n v="1330.76"/>
    <m/>
    <s v="ASA # 230008 PS"/>
    <n v="1330.76"/>
  </r>
  <r>
    <d v="2023-02-28T00:00:00"/>
    <d v="2023-02-07T00:00:00"/>
    <s v="1475862"/>
    <x v="2"/>
    <s v="5"/>
    <s v="5-1"/>
    <m/>
    <m/>
    <s v="LBP for Account of Bureau of Internal Revenue"/>
    <s v="To remit Withholding Tax on Compensation of E. Delos Santos &amp; 2 others of NIA Pangasinan IMO (CARP), Urdaneta City, Pangasinan for the period January 2023"/>
    <x v="3"/>
    <x v="3"/>
    <m/>
    <n v="1330.76"/>
    <m/>
    <n v="0"/>
  </r>
  <r>
    <d v="2023-02-28T00:00:00"/>
    <d v="2023-02-07T00:00:00"/>
    <s v="1475863"/>
    <x v="2"/>
    <s v="5"/>
    <s v="5-1"/>
    <m/>
    <m/>
    <s v="H.D.M.F"/>
    <s v="To remit monthly HDMF premiums both personal &amp; government shares of E. Delos Santos &amp; 1 other of NIA Pangasinan IMO (CARP), Urdaneta City, Pangasinan for the period January 2023"/>
    <x v="17"/>
    <x v="17"/>
    <n v="200"/>
    <m/>
    <s v="ASA # 230008 PS"/>
    <n v="200"/>
  </r>
  <r>
    <d v="2023-02-28T00:00:00"/>
    <d v="2023-02-07T00:00:00"/>
    <s v="1475863"/>
    <x v="2"/>
    <s v="5"/>
    <s v="5-1"/>
    <m/>
    <m/>
    <s v="H.D.M.F"/>
    <s v="To remit monthly HDMF premiums both personal &amp; government shares of E. Delos Santos &amp; 1 other of NIA Pangasinan IMO (CARP), Urdaneta City, Pangasinan for the period January 2023"/>
    <x v="18"/>
    <x v="18"/>
    <n v="1166.4000000000001"/>
    <m/>
    <m/>
    <n v="1366.4"/>
  </r>
  <r>
    <d v="2023-02-28T00:00:00"/>
    <d v="2023-02-07T00:00:00"/>
    <s v="1475863"/>
    <x v="2"/>
    <s v="5"/>
    <s v="5-1"/>
    <m/>
    <m/>
    <s v="H.D.M.F"/>
    <s v="To remit monthly HDMF premiums both personal &amp; government shares of E. Delos Santos &amp; 1 other of NIA Pangasinan IMO (CARP), Urdaneta City, Pangasinan for the period January 2023"/>
    <x v="3"/>
    <x v="3"/>
    <m/>
    <n v="1366.4"/>
    <m/>
    <n v="0"/>
  </r>
  <r>
    <d v="2023-02-28T00:00:00"/>
    <d v="2023-02-07T00:00:00"/>
    <s v="1475864"/>
    <x v="2"/>
    <s v="5"/>
    <s v="5-1"/>
    <m/>
    <m/>
    <s v="H.D.M.F"/>
    <s v="To remit monthly HDMF M2 E. Delos Santos &amp; 1 other of NIA Pangasinan IMO (CARP), Urdaneta City, Pangasinan for the period of January 2023"/>
    <x v="19"/>
    <x v="19"/>
    <n v="4000"/>
    <m/>
    <s v="ASA # 230008 PS"/>
    <n v="4000"/>
  </r>
  <r>
    <d v="2023-02-28T00:00:00"/>
    <d v="2023-02-07T00:00:00"/>
    <s v="1475864"/>
    <x v="2"/>
    <s v="5"/>
    <s v="5-1"/>
    <m/>
    <m/>
    <s v="H.D.M.F"/>
    <s v="To remit monthly HDMF M2 E. Delos Santos &amp; 1 other of NIA Pangasinan IMO (CARP), Urdaneta City, Pangasinan for the period of January 2023"/>
    <x v="3"/>
    <x v="3"/>
    <m/>
    <n v="4000"/>
    <m/>
    <n v="0"/>
  </r>
  <r>
    <d v="2023-02-28T00:00:00"/>
    <d v="2023-02-07T00:00:00"/>
    <s v="1475865"/>
    <x v="2"/>
    <s v="5"/>
    <s v="5-1"/>
    <m/>
    <m/>
    <s v="H.D.M.F"/>
    <s v="To remit monthly HDMF premiums both personal &amp; government shares of J. Soria of NIA-Pangasinan IMO (CARP) Urdaneta City, Pangasinan for the period of January 2023"/>
    <x v="17"/>
    <x v="17"/>
    <n v="100"/>
    <m/>
    <s v="ASA # 230008 PS"/>
    <n v="100"/>
  </r>
  <r>
    <d v="2023-02-28T00:00:00"/>
    <d v="2023-02-07T00:00:00"/>
    <s v="1475865"/>
    <x v="2"/>
    <s v="5"/>
    <s v="5-1"/>
    <m/>
    <m/>
    <s v="H.D.M.F"/>
    <s v="To remit monthly HDMF premiums both personal &amp; government shares of J. Soria of NIA-Pangasinan IMO (CARP) Urdaneta City, Pangasinan for the period of January 2023"/>
    <x v="18"/>
    <x v="18"/>
    <n v="422.58"/>
    <m/>
    <m/>
    <n v="522.58000000000004"/>
  </r>
  <r>
    <d v="2023-02-28T00:00:00"/>
    <d v="2023-02-07T00:00:00"/>
    <s v="1475865"/>
    <x v="2"/>
    <s v="5"/>
    <s v="5-1"/>
    <m/>
    <m/>
    <s v="H.D.M.F"/>
    <s v="To remit monthly HDMF premiums both personal &amp; government shares of J. Soria of NIA-Pangasinan IMO (CARP) Urdaneta City, Pangasinan for the period of January 2023"/>
    <x v="3"/>
    <x v="3"/>
    <m/>
    <n v="522.58000000000004"/>
    <m/>
    <n v="0"/>
  </r>
  <r>
    <d v="2023-02-28T00:00:00"/>
    <d v="2023-02-07T00:00:00"/>
    <s v="1475866"/>
    <x v="2"/>
    <s v="5"/>
    <s v="5-1"/>
    <m/>
    <m/>
    <s v="Philippine Health Insurance Corporation"/>
    <s v="To remit monthly PHIC premiums both personal &amp; government shares of J. Soria of NIA-Pangasinan IMO (CARP) Urdaneta City, Pangasinan for the period of January 2023"/>
    <x v="11"/>
    <x v="11"/>
    <n v="422.58"/>
    <m/>
    <m/>
    <n v="422.58"/>
  </r>
  <r>
    <d v="2023-02-28T00:00:00"/>
    <d v="2023-02-07T00:00:00"/>
    <s v="1475866"/>
    <x v="2"/>
    <s v="5"/>
    <s v="5-1"/>
    <m/>
    <m/>
    <s v="Philippine Health Insurance Corporation"/>
    <s v="To remit monthly PHIC premiums both personal &amp; government shares of J. Soria of NIA-Pangasinan IMO (CARP) Urdaneta City, Pangasinan for the period of January 2023"/>
    <x v="12"/>
    <x v="12"/>
    <n v="422.58"/>
    <m/>
    <m/>
    <n v="845.16"/>
  </r>
  <r>
    <d v="2023-02-28T00:00:00"/>
    <d v="2023-02-07T00:00:00"/>
    <s v="1475866"/>
    <x v="2"/>
    <s v="5"/>
    <s v="5-1"/>
    <m/>
    <m/>
    <s v="Philippine Health Insurance Corporation"/>
    <s v="To remit monthly PHIC premiums both personal &amp; government shares of J. Soria of NIA-Pangasinan IMO (CARP) Urdaneta City, Pangasinan for the period of January 2023"/>
    <x v="3"/>
    <x v="3"/>
    <m/>
    <n v="845.16"/>
    <m/>
    <n v="-845.16"/>
  </r>
  <r>
    <d v="2023-02-28T00:00:00"/>
    <d v="2023-02-07T00:00:00"/>
    <s v="1475867"/>
    <x v="2"/>
    <s v="5"/>
    <s v="5-1"/>
    <m/>
    <m/>
    <s v="GSIS "/>
    <s v="To remit monthly GSIS premiums both personal &amp; government shares of J. Soria of NIA-Pangasinan IMOI (CARP) Urdaneta City, Pangasinan for the period of January 2023"/>
    <x v="13"/>
    <x v="13"/>
    <n v="1226.8499999999999"/>
    <m/>
    <s v="ASA # 230008 PS"/>
    <n v="381.69"/>
  </r>
  <r>
    <d v="2023-02-28T00:00:00"/>
    <d v="2023-02-07T00:00:00"/>
    <s v="1475867"/>
    <x v="2"/>
    <s v="5"/>
    <s v="5-1"/>
    <m/>
    <m/>
    <s v="GSIS "/>
    <s v="To remit monthly GSIS premiums both personal &amp; government shares of J. Soria of NIA-Pangasinan IMOI (CARP) Urdaneta City, Pangasinan for the period of January 2023"/>
    <x v="14"/>
    <x v="14"/>
    <n v="100"/>
    <m/>
    <m/>
    <n v="481.69"/>
  </r>
  <r>
    <d v="2023-02-28T00:00:00"/>
    <d v="2023-02-07T00:00:00"/>
    <s v="1475867"/>
    <x v="2"/>
    <s v="5"/>
    <s v="5-1"/>
    <m/>
    <m/>
    <s v="GSIS "/>
    <s v="To remit monthly GSIS premiums both personal &amp; government shares of J. Soria of NIA-Pangasinan IMOI (CARP) Urdaneta City, Pangasinan for the period of January 2023"/>
    <x v="15"/>
    <x v="15"/>
    <n v="920.13"/>
    <m/>
    <m/>
    <n v="1401.82"/>
  </r>
  <r>
    <d v="2023-02-28T00:00:00"/>
    <d v="2023-02-07T00:00:00"/>
    <s v="1475867"/>
    <x v="2"/>
    <s v="5"/>
    <s v="5-1"/>
    <m/>
    <m/>
    <s v="GSIS "/>
    <s v="To remit monthly GSIS premiums both personal &amp; government shares of J. Soria of NIA-Pangasinan IMOI (CARP) Urdaneta City, Pangasinan for the period of January 2023"/>
    <x v="3"/>
    <x v="3"/>
    <m/>
    <n v="2246.98"/>
    <m/>
    <n v="-845.16"/>
  </r>
  <r>
    <d v="2023-02-28T00:00:00"/>
    <d v="2023-02-08T00:00:00"/>
    <s v="Payroll2023-02-001"/>
    <x v="2"/>
    <s v="5"/>
    <s v="5-1"/>
    <m/>
    <m/>
    <s v="Emerson A. Delos Santos &amp; 1 other"/>
    <s v="To payment of Salaries and Allowances of E. Delos Santos &amp; 2 others of NIA-Pangasinan IMO (CARP) Personnel for the month of January 2023"/>
    <x v="20"/>
    <x v="20"/>
    <n v="58320"/>
    <m/>
    <s v="ASA # 230008 PS"/>
    <n v="57474.84"/>
  </r>
  <r>
    <d v="2023-02-28T00:00:00"/>
    <d v="2023-02-08T00:00:00"/>
    <s v="Payroll2023-02-001"/>
    <x v="2"/>
    <s v="5"/>
    <s v="5-1"/>
    <m/>
    <m/>
    <s v="Emerson A. Delos Santos &amp; 1 other"/>
    <s v="To payment of Salaries and Allowances of E. Delos Santos &amp; 2 others of NIA-Pangasinan IMO (CARP) Personnel for the month of January 2023"/>
    <x v="21"/>
    <x v="21"/>
    <n v="4000"/>
    <m/>
    <m/>
    <n v="61474.84"/>
  </r>
  <r>
    <d v="2023-02-28T00:00:00"/>
    <d v="2023-02-08T00:00:00"/>
    <s v="Payroll2023-02-001"/>
    <x v="2"/>
    <s v="5"/>
    <s v="5-1"/>
    <m/>
    <m/>
    <s v="Emerson A. Delos Santos &amp; 1 other"/>
    <s v="To payment of Salaries and Allowances of E. Delos Santos &amp; 2 others of NIA-Pangasinan IMO (CARP) Personnel for the month of January 2023"/>
    <x v="16"/>
    <x v="16"/>
    <m/>
    <n v="1330.76"/>
    <m/>
    <n v="60144.08"/>
  </r>
  <r>
    <d v="2023-02-28T00:00:00"/>
    <d v="2023-02-08T00:00:00"/>
    <s v="Payroll2023-02-001"/>
    <x v="2"/>
    <s v="5"/>
    <s v="5-1"/>
    <m/>
    <m/>
    <s v="Emerson A. Delos Santos &amp; 1 other"/>
    <s v="To payment of Salaries and Allowances of E. Delos Santos &amp; 2 others of NIA-Pangasinan IMO (CARP) Personnel for the month of January 2023"/>
    <x v="15"/>
    <x v="15"/>
    <m/>
    <n v="5248.8"/>
    <m/>
    <n v="54895.28"/>
  </r>
  <r>
    <d v="2023-02-28T00:00:00"/>
    <d v="2023-02-08T00:00:00"/>
    <s v="Payroll2023-02-001"/>
    <x v="2"/>
    <s v="5"/>
    <s v="5-1"/>
    <m/>
    <m/>
    <s v="Emerson A. Delos Santos &amp; 1 other"/>
    <s v="To payment of Salaries and Allowances of E. Delos Santos &amp; 2 others of NIA-Pangasinan IMO (CARP) Personnel for the month of January 2023"/>
    <x v="18"/>
    <x v="18"/>
    <m/>
    <n v="1166.4000000000001"/>
    <m/>
    <n v="53728.88"/>
  </r>
  <r>
    <d v="2023-02-28T00:00:00"/>
    <d v="2023-02-08T00:00:00"/>
    <s v="Payroll2023-02-001"/>
    <x v="2"/>
    <s v="5"/>
    <s v="5-1"/>
    <m/>
    <m/>
    <s v="Emerson A. Delos Santos &amp; 1 other"/>
    <s v="To payment of Salaries and Allowances of E. Delos Santos &amp; 2 others of NIA-Pangasinan IMO (CARP) Personnel for the month of January 2023"/>
    <x v="19"/>
    <x v="19"/>
    <m/>
    <n v="4000"/>
    <m/>
    <n v="49728.88"/>
  </r>
  <r>
    <d v="2023-02-28T00:00:00"/>
    <d v="2023-02-08T00:00:00"/>
    <s v="Payroll2023-02-001"/>
    <x v="2"/>
    <s v="5"/>
    <s v="5-1"/>
    <m/>
    <m/>
    <s v="Emerson A. Delos Santos &amp; 1 other"/>
    <s v="To payment of Salaries and Allowances of E. Delos Santos &amp; 2 others of NIA-Pangasinan IMO (CARP) Personnel for the month of January 2023"/>
    <x v="12"/>
    <x v="12"/>
    <m/>
    <n v="1166.4000000000001"/>
    <m/>
    <n v="48562.48"/>
  </r>
  <r>
    <d v="2023-02-28T00:00:00"/>
    <d v="2023-02-08T00:00:00"/>
    <s v="Payroll2023-02-001"/>
    <x v="2"/>
    <s v="5"/>
    <s v="5-1"/>
    <m/>
    <m/>
    <s v="Emerson A. Delos Santos &amp; 1 other"/>
    <s v="To payment of Salaries and Allowances of E. Delos Santos &amp; 2 others of NIA-Pangasinan IMO (CARP) Personnel for the month of January 2023"/>
    <x v="3"/>
    <x v="3"/>
    <m/>
    <n v="49407.64"/>
    <m/>
    <n v="-845.16"/>
  </r>
  <r>
    <d v="2023-02-28T00:00:00"/>
    <d v="2023-02-10T00:00:00"/>
    <s v="1475868"/>
    <x v="2"/>
    <s v="5"/>
    <s v="5-1"/>
    <m/>
    <m/>
    <s v="Procurement Service"/>
    <s v="To payment of Office Supplies (Paper, legal size) for use of NIA-Pangasinan IMO (AFS, Field Offices &amp; CARP-IC Personnel) "/>
    <x v="22"/>
    <x v="22"/>
    <n v="259648"/>
    <m/>
    <s v="ASA # 220076 Capital Outlay (Minosicuan CIS)"/>
    <n v="258802.84"/>
  </r>
  <r>
    <d v="2023-02-28T00:00:00"/>
    <d v="2023-02-10T00:00:00"/>
    <s v="1475868"/>
    <x v="2"/>
    <s v="5"/>
    <s v="5-1"/>
    <m/>
    <m/>
    <s v="Procurement Service"/>
    <s v="To payment of Office Supplies (Paper, legal size) for use of NIA-Pangasinan IMO (AFS, Field Offices &amp; CARP-IC Personnel) "/>
    <x v="3"/>
    <x v="3"/>
    <m/>
    <n v="259648"/>
    <m/>
    <n v="-845.16"/>
  </r>
  <r>
    <d v="2023-02-28T00:00:00"/>
    <d v="2023-02-13T00:00:00"/>
    <s v="Payroll2023-02-002"/>
    <x v="2"/>
    <s v="5"/>
    <s v="5-1"/>
    <m/>
    <m/>
    <s v="Emerson A. Delos Santos &amp; 1 other"/>
    <s v="To payment of Salaries and Allowances of E. Delos Santos &amp; 2 others of NIA-Pangasinan IMO (CARP) Personnel for the month of February 2023"/>
    <x v="20"/>
    <x v="20"/>
    <n v="58320"/>
    <m/>
    <s v="ASA # 230008 PS"/>
    <n v="57474.84"/>
  </r>
  <r>
    <d v="2023-02-28T00:00:00"/>
    <d v="2023-02-13T00:00:00"/>
    <s v="Payroll2023-02-002"/>
    <x v="2"/>
    <s v="5"/>
    <s v="5-1"/>
    <m/>
    <m/>
    <s v="Emerson A. Delos Santos &amp; 1 other"/>
    <s v="To payment of Salaries and Allowances of E. Delos Santos &amp; 2 others of NIA-Pangasinan IMO (CARP) Personnel for the month of February 2023"/>
    <x v="21"/>
    <x v="21"/>
    <n v="4000"/>
    <m/>
    <m/>
    <n v="4000"/>
  </r>
  <r>
    <d v="2023-02-28T00:00:00"/>
    <d v="2023-02-13T00:00:00"/>
    <s v="Payroll2023-02-002"/>
    <x v="2"/>
    <s v="5"/>
    <s v="5-1"/>
    <m/>
    <m/>
    <s v="Emerson A. Delos Santos &amp; 1 other"/>
    <s v="To payment of Salaries and Allowances of E. Delos Santos &amp; 2 others of NIA-Pangasinan IMO (CARP) Personnel for the month of February 2023"/>
    <x v="16"/>
    <x v="16"/>
    <m/>
    <n v="1330.76"/>
    <m/>
    <n v="2669.24"/>
  </r>
  <r>
    <d v="2023-02-28T00:00:00"/>
    <d v="2023-02-13T00:00:00"/>
    <s v="Payroll2023-02-002"/>
    <x v="2"/>
    <s v="5"/>
    <s v="5-1"/>
    <m/>
    <m/>
    <s v="Emerson A. Delos Santos &amp; 1 other"/>
    <s v="To payment of Salaries and Allowances of E. Delos Santos &amp; 2 others of NIA-Pangasinan IMO (CARP) Personnel for the month of February 2023"/>
    <x v="15"/>
    <x v="15"/>
    <m/>
    <n v="5248.8"/>
    <m/>
    <n v="-2579.56"/>
  </r>
  <r>
    <d v="2023-02-28T00:00:00"/>
    <d v="2023-02-13T00:00:00"/>
    <s v="Payroll2023-02-002"/>
    <x v="2"/>
    <s v="5"/>
    <s v="5-1"/>
    <m/>
    <m/>
    <s v="Emerson A. Delos Santos &amp; 1 other"/>
    <s v="To payment of Salaries and Allowances of E. Delos Santos &amp; 2 others of NIA-Pangasinan IMO (CARP) Personnel for the month of February 2023"/>
    <x v="18"/>
    <x v="18"/>
    <m/>
    <n v="1166.4000000000001"/>
    <m/>
    <n v="-3745.96"/>
  </r>
  <r>
    <d v="2023-02-28T00:00:00"/>
    <d v="2023-02-13T00:00:00"/>
    <s v="Payroll2023-02-002"/>
    <x v="2"/>
    <s v="5"/>
    <s v="5-1"/>
    <m/>
    <m/>
    <s v="Emerson A. Delos Santos &amp; 1 other"/>
    <s v="To payment of Salaries and Allowances of E. Delos Santos &amp; 2 others of NIA-Pangasinan IMO (CARP) Personnel for the month of February 2023"/>
    <x v="19"/>
    <x v="19"/>
    <m/>
    <n v="4000"/>
    <m/>
    <n v="-7745.96"/>
  </r>
  <r>
    <d v="2023-02-28T00:00:00"/>
    <d v="2023-02-13T00:00:00"/>
    <s v="Payroll2023-02-002"/>
    <x v="2"/>
    <s v="5"/>
    <s v="5-1"/>
    <m/>
    <m/>
    <s v="Emerson A. Delos Santos &amp; 1 other"/>
    <s v="To payment of Salaries and Allowances of E. Delos Santos &amp; 2 others of NIA-Pangasinan IMO (CARP) Personnel for the month of February 2023"/>
    <x v="12"/>
    <x v="12"/>
    <m/>
    <n v="1166.4000000000001"/>
    <m/>
    <n v="-8912.36"/>
  </r>
  <r>
    <d v="2023-02-28T00:00:00"/>
    <d v="2023-02-13T00:00:00"/>
    <s v="Payroll2023-02-002"/>
    <x v="2"/>
    <s v="5"/>
    <s v="5-1"/>
    <m/>
    <m/>
    <s v="Emerson A. Delos Santos &amp; 1 other"/>
    <s v="To payment of Salaries and Allowances of E. Delos Santos &amp; 2 others of NIA-Pangasinan IMO (CARP) Personnel for the month of February 2023"/>
    <x v="3"/>
    <x v="3"/>
    <m/>
    <n v="49407.64"/>
    <m/>
    <n v="-58320"/>
  </r>
  <r>
    <d v="2023-02-28T00:00:00"/>
    <d v="2023-02-13T00:00:00"/>
    <s v="Payroll2023-02-003"/>
    <x v="2"/>
    <s v="5"/>
    <s v="5-1"/>
    <m/>
    <m/>
    <s v="June Marlowe A. Soria"/>
    <s v="To payment of Salaries and Allowances of J. Soria of NIA-Pangasinan IMO (CARP) Urdaneta City, Pangasinan for the period of January 2023"/>
    <x v="20"/>
    <x v="20"/>
    <n v="10564.5"/>
    <m/>
    <m/>
    <n v="-47755.5"/>
  </r>
  <r>
    <d v="2023-02-28T00:00:00"/>
    <d v="2023-02-13T00:00:00"/>
    <s v="Payroll2023-02-003"/>
    <x v="2"/>
    <s v="5"/>
    <s v="5-1"/>
    <m/>
    <m/>
    <s v="June Marlowe A. Soria"/>
    <s v="To payment of Salaries and Allowances of J. Soria of NIA-Pangasinan IMO (CARP) Urdaneta City, Pangasinan for the period of January 2023"/>
    <x v="21"/>
    <x v="21"/>
    <n v="1000"/>
    <m/>
    <m/>
    <n v="-46755.5"/>
  </r>
  <r>
    <d v="2023-02-28T00:00:00"/>
    <d v="2023-02-13T00:00:00"/>
    <s v="Payroll2023-02-003"/>
    <x v="2"/>
    <s v="5"/>
    <s v="5-1"/>
    <m/>
    <m/>
    <s v="June Marlowe A. Soria"/>
    <s v="To payment of Salaries and Allowances of J. Soria of NIA-Pangasinan IMO (CARP) Urdaneta City, Pangasinan for the period of January 2023"/>
    <x v="15"/>
    <x v="15"/>
    <m/>
    <n v="920.13"/>
    <m/>
    <n v="-47675.63"/>
  </r>
  <r>
    <d v="2023-02-28T00:00:00"/>
    <d v="2023-02-13T00:00:00"/>
    <s v="Payroll2023-02-003"/>
    <x v="2"/>
    <s v="5"/>
    <s v="5-1"/>
    <m/>
    <m/>
    <s v="June Marlowe A. Soria"/>
    <s v="To payment of Salaries and Allowances of J. Soria of NIA-Pangasinan IMO (CARP) Urdaneta City, Pangasinan for the period of January 2023"/>
    <x v="18"/>
    <x v="18"/>
    <m/>
    <n v="422.58"/>
    <m/>
    <n v="-48098.21"/>
  </r>
  <r>
    <d v="2023-02-28T00:00:00"/>
    <d v="2023-02-13T00:00:00"/>
    <s v="Payroll2023-02-003"/>
    <x v="2"/>
    <s v="5"/>
    <s v="5-1"/>
    <m/>
    <m/>
    <s v="June Marlowe A. Soria"/>
    <s v="To payment of Salaries and Allowances of J. Soria of NIA-Pangasinan IMO (CARP) Urdaneta City, Pangasinan for the period of January 2023"/>
    <x v="12"/>
    <x v="12"/>
    <m/>
    <n v="422.58"/>
    <m/>
    <n v="-48520.79"/>
  </r>
  <r>
    <d v="2023-02-28T00:00:00"/>
    <d v="2023-02-13T00:00:00"/>
    <s v="Payroll2023-02-003"/>
    <x v="2"/>
    <s v="5"/>
    <s v="5-1"/>
    <m/>
    <m/>
    <s v="June Marlowe A. Soria"/>
    <s v="To payment of Salaries and Allowances of J. Soria of NIA-Pangasinan IMO (CARP) Urdaneta City, Pangasinan for the period of January 2023"/>
    <x v="3"/>
    <x v="3"/>
    <m/>
    <n v="9799.2099999999991"/>
    <m/>
    <n v="-58320"/>
  </r>
  <r>
    <d v="2023-02-28T00:00:00"/>
    <d v="2023-02-16T00:00:00"/>
    <s v="1475869"/>
    <x v="2"/>
    <s v="5"/>
    <s v="5-1"/>
    <m/>
    <m/>
    <s v="H.D.M.F"/>
    <s v="To remit monthly HDMF premiums both personal &amp; government shares of J. Soria of NIA-Pangasinan IMO (CARP) Urdaneta City, Pangasinan for the period of February 2023"/>
    <x v="17"/>
    <x v="17"/>
    <n v="200"/>
    <m/>
    <s v="ASA # 230008 PS"/>
    <n v="-58120"/>
  </r>
  <r>
    <d v="2023-02-28T00:00:00"/>
    <d v="2023-02-16T00:00:00"/>
    <s v="1475869"/>
    <x v="2"/>
    <s v="5"/>
    <s v="5-1"/>
    <m/>
    <m/>
    <s v="H.D.M.F"/>
    <s v="To remit monthly HDMF premiums both personal &amp; government shares of J. Soria of NIA-Pangasinan IMO (CARP) Urdaneta City, Pangasinan for the period of February 2023"/>
    <x v="18"/>
    <x v="18"/>
    <n v="1166.4000000000001"/>
    <m/>
    <m/>
    <n v="-56953.599999999999"/>
  </r>
  <r>
    <d v="2023-02-28T00:00:00"/>
    <d v="2023-02-16T00:00:00"/>
    <s v="1475869"/>
    <x v="2"/>
    <s v="5"/>
    <s v="5-1"/>
    <m/>
    <m/>
    <s v="H.D.M.F"/>
    <s v="To remit monthly HDMF premiums both personal &amp; government shares of J. Soria of NIA-Pangasinan IMO (CARP) Urdaneta City, Pangasinan for the period of February 2023"/>
    <x v="3"/>
    <x v="3"/>
    <m/>
    <n v="1366.4"/>
    <m/>
    <n v="-58320"/>
  </r>
  <r>
    <d v="2023-02-28T00:00:00"/>
    <d v="2023-02-16T00:00:00"/>
    <s v="1475870"/>
    <x v="2"/>
    <s v="5"/>
    <s v="5-1"/>
    <m/>
    <m/>
    <s v="GSIS"/>
    <s v="To remit monthly GSIS premiums both personal &amp; government shares of J. Soria of NIA-Pangasinan IMOI (CARP) Urdaneta City, Pangasinan for the period of February 2023"/>
    <x v="13"/>
    <x v="13"/>
    <n v="6998.4"/>
    <m/>
    <s v="ASA # 230008 PS"/>
    <n v="6998.4"/>
  </r>
  <r>
    <d v="2023-02-28T00:00:00"/>
    <d v="2023-02-16T00:00:00"/>
    <s v="1475870"/>
    <x v="2"/>
    <s v="5"/>
    <s v="5-1"/>
    <m/>
    <m/>
    <s v="GSIS"/>
    <s v="To remit monthly GSIS premiums both personal &amp; government shares of J. Soria of NIA-Pangasinan IMOI (CARP) Urdaneta City, Pangasinan for the period of February 2023"/>
    <x v="14"/>
    <x v="14"/>
    <n v="200"/>
    <m/>
    <m/>
    <n v="7198.4"/>
  </r>
  <r>
    <d v="2023-02-28T00:00:00"/>
    <d v="2023-02-16T00:00:00"/>
    <s v="1475870"/>
    <x v="2"/>
    <s v="5"/>
    <s v="5-1"/>
    <m/>
    <m/>
    <s v="GSIS"/>
    <s v="To remit monthly GSIS premiums both personal &amp; government shares of J. Soria of NIA-Pangasinan IMOI (CARP) Urdaneta City, Pangasinan for the period of February 2023"/>
    <x v="15"/>
    <x v="15"/>
    <n v="5248.8"/>
    <m/>
    <m/>
    <n v="12447.2"/>
  </r>
  <r>
    <d v="2023-02-28T00:00:00"/>
    <d v="2023-02-16T00:00:00"/>
    <s v="1475870"/>
    <x v="2"/>
    <s v="5"/>
    <s v="5-1"/>
    <m/>
    <m/>
    <s v="GSIS"/>
    <s v="To remit monthly GSIS premiums both personal &amp; government shares of J. Soria of NIA-Pangasinan IMOI (CARP) Urdaneta City, Pangasinan for the period of February 2023"/>
    <x v="3"/>
    <x v="3"/>
    <m/>
    <n v="12447.2"/>
    <m/>
    <n v="0"/>
  </r>
  <r>
    <d v="2023-02-28T00:00:00"/>
    <d v="2023-02-16T00:00:00"/>
    <s v="1475871"/>
    <x v="2"/>
    <s v="5"/>
    <s v="5-1"/>
    <m/>
    <m/>
    <s v="LBP for Account of Bureau of Internal Revenue"/>
    <s v="To remit of Withholding Tax on Compensation of E. Delos Santos &amp; 1 other of NIA-Pangasinan IMO (CARP), Urdaneta City, Pangasinan for the period of February 2023"/>
    <x v="16"/>
    <x v="16"/>
    <n v="1330.76"/>
    <m/>
    <s v="ASA # 230008 PS"/>
    <n v="1330.76"/>
  </r>
  <r>
    <d v="2023-02-28T00:00:00"/>
    <d v="2023-02-16T00:00:00"/>
    <s v="1475871"/>
    <x v="2"/>
    <s v="5"/>
    <s v="5-1"/>
    <m/>
    <m/>
    <s v="LBP for Account of Bureau of Internal Revenue"/>
    <s v="To remit of Withholding Tax on Compensation of E. Delos Santos &amp; 1 other of NIA-Pangasinan IMO (CARP), Urdaneta City, Pangasinan for the period of February 2023"/>
    <x v="3"/>
    <x v="3"/>
    <m/>
    <n v="1330.76"/>
    <m/>
    <n v="0"/>
  </r>
  <r>
    <d v="2023-02-28T00:00:00"/>
    <d v="2023-02-16T00:00:00"/>
    <s v="1475872"/>
    <x v="2"/>
    <s v="5"/>
    <s v="5-1"/>
    <m/>
    <m/>
    <s v="H.D.M.F"/>
    <s v="To remit monthly HDMF M2 E. Delos Santos &amp; 1 other of NIA Pangasinan IMO (CARP), Urdaneta City, Pangasinan for the period of February 2023"/>
    <x v="19"/>
    <x v="19"/>
    <n v="4000"/>
    <m/>
    <s v="ASA # 230008 PS"/>
    <n v="4000"/>
  </r>
  <r>
    <d v="2023-02-28T00:00:00"/>
    <d v="2023-02-16T00:00:00"/>
    <s v="1475872"/>
    <x v="2"/>
    <s v="5"/>
    <s v="5-1"/>
    <m/>
    <m/>
    <s v="H.D.M.F"/>
    <s v="To remit monthly HDMF M2 E. Delos Santos &amp; 1 other of NIA Pangasinan IMO (CARP), Urdaneta City, Pangasinan for the period of February 2023"/>
    <x v="3"/>
    <x v="3"/>
    <m/>
    <n v="4000"/>
    <m/>
    <n v="0"/>
  </r>
  <r>
    <d v="2023-02-28T00:00:00"/>
    <d v="2023-02-16T00:00:00"/>
    <s v="DebitMemoPHIC02-01"/>
    <x v="2"/>
    <s v="5"/>
    <s v="5-1"/>
    <m/>
    <m/>
    <s v="Philippine Health Insuarance Corporation"/>
    <s v="To remit Monthly PHIC premiums both personal &amp; government shares of E.Delos Santos &amp; 1 other of NIA Pangasinan IMO(CARP),for the period of February 2023"/>
    <x v="11"/>
    <x v="11"/>
    <n v="1166.4000000000001"/>
    <m/>
    <s v="ASA # 230008 PS"/>
    <n v="1166.4000000000001"/>
  </r>
  <r>
    <d v="2023-02-28T00:00:00"/>
    <d v="2023-02-16T00:00:00"/>
    <s v="DebitMemoPHIC02-01"/>
    <x v="2"/>
    <s v="5"/>
    <s v="5-1"/>
    <m/>
    <m/>
    <s v="Philippine Health Insuarance Corporation"/>
    <s v="To remit Monthly PHIC premiums both personal &amp; government shares of E.Delos Santos &amp; 1 other of NIA Pangasinan IMO(CARP),for the period of February 2023"/>
    <x v="12"/>
    <x v="12"/>
    <n v="1166.4000000000001"/>
    <m/>
    <m/>
    <n v="2332.8000000000002"/>
  </r>
  <r>
    <d v="2023-02-28T00:00:00"/>
    <d v="2023-02-16T00:00:00"/>
    <s v="DebitMemoPHIC02-01"/>
    <x v="2"/>
    <s v="5"/>
    <s v="5-1"/>
    <m/>
    <m/>
    <s v="Philippine Health Insuarance Corporation"/>
    <s v="To remit Monthly PHIC premiums both personal &amp; government shares of E.Delos Santos &amp; 1 other of NIA Pangasinan IMO(CARP),for the period of February 2023"/>
    <x v="3"/>
    <x v="3"/>
    <m/>
    <n v="2332.8000000000002"/>
    <m/>
    <n v="0"/>
  </r>
  <r>
    <d v="2023-02-28T00:00:00"/>
    <d v="2023-02-17T00:00:00"/>
    <s v="Payroll2023-02-004"/>
    <x v="2"/>
    <s v="5"/>
    <s v="5-1"/>
    <m/>
    <m/>
    <s v="John R. Bergado &amp; 7 others"/>
    <s v="To payment of wages of John R. Bergado &amp; 7 others (Job Order) of NIA-Pangasinan IMO, Urdaneta City, Pangasinan for the period February 1-15, 2023"/>
    <x v="4"/>
    <x v="4"/>
    <n v="52471.88"/>
    <m/>
    <s v="ASA # 220052 Capital Outlay (Calmay SPIP)"/>
    <n v="52471.88"/>
  </r>
  <r>
    <d v="2023-02-28T00:00:00"/>
    <d v="2023-02-17T00:00:00"/>
    <s v="Payroll2023-02-004"/>
    <x v="2"/>
    <s v="5"/>
    <s v="5-1"/>
    <m/>
    <m/>
    <s v="John R. Bergado &amp; 7 others"/>
    <s v="To payment of wages of John R. Bergado &amp; 7 others (Job Order) of NIA-Pangasinan IMO, Urdaneta City, Pangasinan for the period February 1-15, 2023"/>
    <x v="18"/>
    <x v="18"/>
    <m/>
    <n v="2000"/>
    <m/>
    <n v="50471.88"/>
  </r>
  <r>
    <d v="2023-02-28T00:00:00"/>
    <d v="2023-02-17T00:00:00"/>
    <s v="Payroll2023-02-004"/>
    <x v="2"/>
    <s v="5"/>
    <s v="5-1"/>
    <m/>
    <m/>
    <s v="John R. Bergado &amp; 7 others"/>
    <s v="To payment of wages of John R. Bergado &amp; 7 others (Job Order) of NIA-Pangasinan IMO, Urdaneta City, Pangasinan for the period February 1-15, 2023"/>
    <x v="23"/>
    <x v="23"/>
    <m/>
    <n v="1989.56"/>
    <m/>
    <n v="48482.32"/>
  </r>
  <r>
    <d v="2023-02-28T00:00:00"/>
    <d v="2023-02-17T00:00:00"/>
    <s v="Payroll2023-02-004"/>
    <x v="2"/>
    <s v="5"/>
    <s v="5-1"/>
    <m/>
    <m/>
    <s v="John R. Bergado &amp; 7 others"/>
    <s v="To payment of wages of John R. Bergado &amp; 7 others (Job Order) of NIA-Pangasinan IMO, Urdaneta City, Pangasinan for the period February 1-15, 2023"/>
    <x v="12"/>
    <x v="12"/>
    <m/>
    <n v="3301.96"/>
    <m/>
    <n v="45180.36"/>
  </r>
  <r>
    <d v="2023-02-28T00:00:00"/>
    <d v="2023-02-17T00:00:00"/>
    <s v="Payroll2023-02-004"/>
    <x v="2"/>
    <s v="5"/>
    <s v="5-1"/>
    <m/>
    <m/>
    <s v="John R. Bergado &amp; 7 others"/>
    <s v="To payment of wages of John R. Bergado &amp; 7 others (Job Order) of NIA-Pangasinan IMO, Urdaneta City, Pangasinan for the period February 1-15, 2023"/>
    <x v="24"/>
    <x v="24"/>
    <m/>
    <n v="7191.66"/>
    <m/>
    <n v="37988.699999999997"/>
  </r>
  <r>
    <d v="2023-02-28T00:00:00"/>
    <d v="2023-02-17T00:00:00"/>
    <s v="Payroll2023-02-004"/>
    <x v="2"/>
    <s v="5"/>
    <s v="5-1"/>
    <m/>
    <m/>
    <s v="John R. Bergado &amp; 7 others"/>
    <s v="To payment of wages of John R. Bergado &amp; 7 others (Job Order) of NIA-Pangasinan IMO, Urdaneta City, Pangasinan for the period February 1-15, 2023"/>
    <x v="3"/>
    <x v="3"/>
    <m/>
    <n v="37988.699999999997"/>
    <m/>
    <n v="-37988.699999999997"/>
  </r>
  <r>
    <d v="2023-02-28T00:00:00"/>
    <d v="2023-02-21T00:00:00"/>
    <s v="Payroll2023-02-005"/>
    <x v="2"/>
    <s v="5"/>
    <s v="5-1"/>
    <m/>
    <m/>
    <s v="Emerson A. Delos Santos &amp; 1 other"/>
    <s v="To payment for the grant of Uniform/Clothing Allowance for CY 2023 of E. Delos Santos &amp; 1 other of NIA CARP as per NIA-MC No. 08 series of 2023"/>
    <x v="25"/>
    <x v="25"/>
    <n v="12000"/>
    <m/>
    <s v="ASA # 230008 PS"/>
    <n v="-25988.7"/>
  </r>
  <r>
    <d v="2023-02-28T00:00:00"/>
    <d v="2023-02-21T00:00:00"/>
    <s v="Payroll2023-02-005"/>
    <x v="2"/>
    <s v="5"/>
    <s v="5-1"/>
    <m/>
    <m/>
    <s v="Emerson A. Delos Santos &amp; 1 other"/>
    <s v="To payment for the grant of Uniform/Clothing Allowance for CY 2023 of E. Delos Santos &amp; 1 other of NIA CARP as per NIA-MC No. 08 series of 2023"/>
    <x v="3"/>
    <x v="3"/>
    <m/>
    <n v="12000"/>
    <m/>
    <n v="-37988.699999999997"/>
  </r>
  <r>
    <d v="2023-02-28T00:00:00"/>
    <d v="2023-02-23T00:00:00"/>
    <s v="Payroll2023-02-006"/>
    <x v="2"/>
    <s v="5"/>
    <s v="5-1"/>
    <m/>
    <m/>
    <s v="Tomas B. Tubera"/>
    <s v="To payment of wages of Tomas B. Tubera (Job Order) of NIA-Pangasinan IMO, Urdaneta City, Pangasinan for the period February 1-15, 2023"/>
    <x v="4"/>
    <x v="4"/>
    <n v="3603.78"/>
    <m/>
    <s v="ASA # 220052 Capital Outlay (Calmay SPIP)"/>
    <n v="-34384.92"/>
  </r>
  <r>
    <d v="2023-02-28T00:00:00"/>
    <d v="2023-02-23T00:00:00"/>
    <s v="Payroll2023-02-006"/>
    <x v="2"/>
    <s v="5"/>
    <s v="5-1"/>
    <m/>
    <m/>
    <s v="Tomas B. Tubera"/>
    <s v="To payment of wages of Tomas B. Tubera (Job Order) of NIA-Pangasinan IMO, Urdaneta City, Pangasinan for the period February 1-15, 2023"/>
    <x v="18"/>
    <x v="18"/>
    <m/>
    <n v="200"/>
    <m/>
    <n v="-34584.92"/>
  </r>
  <r>
    <d v="2023-02-28T00:00:00"/>
    <d v="2023-02-23T00:00:00"/>
    <s v="Payroll2023-02-006"/>
    <x v="2"/>
    <s v="5"/>
    <s v="5-1"/>
    <m/>
    <m/>
    <s v="Tomas B. Tubera"/>
    <s v="To payment of wages of Tomas B. Tubera (Job Order) of NIA-Pangasinan IMO, Urdaneta City, Pangasinan for the period February 1-15, 2023"/>
    <x v="12"/>
    <x v="12"/>
    <m/>
    <n v="528.54999999999995"/>
    <m/>
    <n v="-35113.47"/>
  </r>
  <r>
    <d v="2023-02-28T00:00:00"/>
    <d v="2023-02-23T00:00:00"/>
    <s v="Payroll2023-02-006"/>
    <x v="2"/>
    <s v="5"/>
    <s v="5-1"/>
    <m/>
    <m/>
    <s v="Tomas B. Tubera"/>
    <s v="To payment of wages of Tomas B. Tubera (Job Order) of NIA-Pangasinan IMO, Urdaneta City, Pangasinan for the period February 1-15, 2023"/>
    <x v="3"/>
    <x v="3"/>
    <m/>
    <n v="2875.23"/>
    <m/>
    <n v="-37988.699999999997"/>
  </r>
  <r>
    <d v="2023-02-28T00:00:00"/>
    <d v="2023-02-23T00:00:00"/>
    <s v="1475873"/>
    <x v="2"/>
    <s v="5"/>
    <s v="5-1"/>
    <m/>
    <m/>
    <s v="Eduardo T. Santos Construction and Supplies"/>
    <s v="To Second (2nd) partial payment of contract under R1-PIMO-22-01-015 in connection with the Construction of Malimpin SPIP (CARP IC CY 2022) located in Dasol, Pangasinan"/>
    <x v="8"/>
    <x v="8"/>
    <n v="3510687.17"/>
    <m/>
    <s v="ASA # 220044 Capital Outlay (Malimpin)"/>
    <n v="3472698.47"/>
  </r>
  <r>
    <d v="2023-02-28T00:00:00"/>
    <d v="2023-02-23T00:00:00"/>
    <s v="1475873"/>
    <x v="2"/>
    <s v="5"/>
    <s v="5-1"/>
    <m/>
    <m/>
    <s v="Eduardo T. Santos Construction and Supplies"/>
    <s v="To Second (2nd) partial payment of contract under R1-PIMO-22-01-015 in connection with the Construction of Malimpin SPIP (CARP IC CY 2022) located in Dasol, Pangasinan"/>
    <x v="2"/>
    <x v="2"/>
    <m/>
    <n v="156727.10999999999"/>
    <m/>
    <n v="3315971.36"/>
  </r>
  <r>
    <d v="2023-02-28T00:00:00"/>
    <d v="2023-02-23T00:00:00"/>
    <s v="1475873"/>
    <x v="2"/>
    <s v="5"/>
    <s v="5-1"/>
    <m/>
    <m/>
    <s v="Eduardo T. Santos Construction and Supplies"/>
    <s v="To Second (2nd) partial payment of contract under R1-PIMO-22-01-015 in connection with the Construction of Malimpin SPIP (CARP IC CY 2022) located in Dasol, Pangasinan"/>
    <x v="7"/>
    <x v="7"/>
    <m/>
    <n v="62690.84"/>
    <m/>
    <n v="3253280.52"/>
  </r>
  <r>
    <d v="2023-02-28T00:00:00"/>
    <d v="2023-02-23T00:00:00"/>
    <s v="1475873"/>
    <x v="2"/>
    <s v="5"/>
    <s v="5-1"/>
    <m/>
    <m/>
    <s v="Eduardo T. Santos Construction and Supplies"/>
    <s v="To Second (2nd) partial payment of contract under R1-PIMO-22-01-015 in connection with the Construction of Malimpin SPIP (CARP IC CY 2022) located in Dasol, Pangasinan"/>
    <x v="9"/>
    <x v="9"/>
    <m/>
    <n v="131619.01999999999"/>
    <m/>
    <n v="3121661.5"/>
  </r>
  <r>
    <d v="2023-02-28T00:00:00"/>
    <d v="2023-02-23T00:00:00"/>
    <s v="1475873"/>
    <x v="2"/>
    <s v="5"/>
    <s v="5-1"/>
    <m/>
    <m/>
    <s v="Eduardo T. Santos Construction and Supplies"/>
    <s v="To Second (2nd) partial payment of contract under R1-PIMO-22-01-015 in connection with the Construction of Malimpin SPIP (CARP IC CY 2022) located in Dasol, Pangasinan"/>
    <x v="10"/>
    <x v="10"/>
    <m/>
    <n v="987411.53"/>
    <m/>
    <n v="2134249.9700000002"/>
  </r>
  <r>
    <d v="2023-02-28T00:00:00"/>
    <d v="2023-02-23T00:00:00"/>
    <s v="1475873"/>
    <x v="2"/>
    <s v="5"/>
    <s v="5-1"/>
    <m/>
    <m/>
    <s v="Eduardo T. Santos Construction and Supplies"/>
    <s v="To Second (2nd) partial payment of contract under R1-PIMO-22-01-015 in connection with the Construction of Malimpin SPIP (CARP IC CY 2022) located in Dasol, Pangasinan"/>
    <x v="3"/>
    <x v="3"/>
    <m/>
    <n v="2172238.67"/>
    <m/>
    <n v="-37988.699999999997"/>
  </r>
  <r>
    <d v="2023-02-28T00:00:00"/>
    <d v="2023-02-28T00:00:00"/>
    <s v="1475874"/>
    <x v="2"/>
    <s v="5"/>
    <s v="5-1"/>
    <m/>
    <m/>
    <s v="Jonalyn A. Julian"/>
    <s v="To reimburse the amount paid for plane ticket (roundtrip) travelling expenses incurres while performing duties outside permanent station"/>
    <x v="26"/>
    <x v="26"/>
    <n v="11550.09"/>
    <m/>
    <s v="ASA # 220052 Capital Outlay (Calmay SPIP)"/>
    <n v="-26438.61"/>
  </r>
  <r>
    <d v="2023-02-28T00:00:00"/>
    <d v="2023-02-28T00:00:00"/>
    <s v="1475874"/>
    <x v="2"/>
    <s v="5"/>
    <s v="5-1"/>
    <m/>
    <m/>
    <s v="Jonalyn A. Julian"/>
    <s v="To reimburse the amount paid for plane ticket (roundtrip) travelling expenses incurres while performing duties outside permanent station"/>
    <x v="3"/>
    <x v="3"/>
    <m/>
    <n v="11550.09"/>
    <m/>
    <n v="-37988.699999999997"/>
  </r>
  <r>
    <d v="2023-02-28T00:00:00"/>
    <d v="2023-02-28T00:00:00"/>
    <s v="1475875"/>
    <x v="2"/>
    <s v="5"/>
    <s v="5-1"/>
    <m/>
    <m/>
    <s v="LBP for Account of Bureau of Internal Revenue"/>
    <s v="To remit witholding tax(1%-2%) deducted from suppliers/contractors of NIA-Pangasinan IMO covering the period of February 2023"/>
    <x v="7"/>
    <x v="7"/>
    <n v="62690.84"/>
    <m/>
    <s v="ASA # 220044 Capital Outlay (Malimpin)"/>
    <n v="24702.14"/>
  </r>
  <r>
    <d v="2023-02-28T00:00:00"/>
    <d v="2023-02-28T00:00:00"/>
    <s v="1475875"/>
    <x v="2"/>
    <s v="5"/>
    <s v="5-1"/>
    <m/>
    <m/>
    <s v="LBP for Account of Bureau of Internal Revenue"/>
    <s v="To remit witholding tax(1%-2%) deducted from suppliers/contractors of NIA-Pangasinan IMO covering the period of February 2023"/>
    <x v="3"/>
    <x v="3"/>
    <m/>
    <n v="62690.84"/>
    <m/>
    <n v="-62690.84"/>
  </r>
  <r>
    <d v="2023-02-28T00:00:00"/>
    <d v="2023-02-28T00:00:00"/>
    <s v="1475876"/>
    <x v="2"/>
    <s v="5"/>
    <s v="5-1"/>
    <m/>
    <m/>
    <s v="LBP for Account of Bureau of Internal Revenue"/>
    <s v="To remit witholding tax(5%) deducted from suppliers/contractors of NIA-Pangasinan IMO covering the period of February 2023"/>
    <x v="2"/>
    <x v="2"/>
    <n v="156727.10999999999"/>
    <m/>
    <s v="ASA # 220044 Capital Outlay (Malimpin)"/>
    <n v="94036.27"/>
  </r>
  <r>
    <d v="2023-02-28T00:00:00"/>
    <d v="2023-02-28T00:00:00"/>
    <s v="1475876"/>
    <x v="2"/>
    <s v="5"/>
    <s v="5-1"/>
    <m/>
    <m/>
    <s v="LBP for Account of Bureau of Internal Revenue"/>
    <s v="To remit witholding tax(5%) deducted from suppliers/contractors of NIA-Pangasinan IMO covering the period of February 2023"/>
    <x v="3"/>
    <x v="3"/>
    <m/>
    <n v="156727.10999999999"/>
    <m/>
    <n v="-62690.84"/>
  </r>
  <r>
    <d v="2023-03-31T00:00:00"/>
    <s v="Payroll2023-03-007"/>
    <s v="Payroll2023-03-007"/>
    <x v="3"/>
    <s v="5"/>
    <s v="5-1"/>
    <m/>
    <m/>
    <s v="John R. Bergado &amp; 8 others"/>
    <s v="To payment of wages of John R. Bergado &amp; 8 others (Job Order) of NIA-Pangasinan IMO, Urdaneta City, Pangasinan for the period February 16-28, 2023"/>
    <x v="4"/>
    <x v="4"/>
    <n v="45011.99"/>
    <m/>
    <s v="ASA # 220052 Capital Outlay (Calmay SPIP)"/>
    <n v="-17678.849999999999"/>
  </r>
  <r>
    <d v="2023-03-31T00:00:00"/>
    <s v="Payroll2023-03-007"/>
    <s v="Payroll2023-03-007"/>
    <x v="3"/>
    <s v="5"/>
    <s v="5-1"/>
    <m/>
    <m/>
    <s v="John R. Bergado &amp; 8 others"/>
    <s v="To payment of wages of John R. Bergado &amp; 8 others (Job Order) of NIA-Pangasinan IMO, Urdaneta City, Pangasinan for the period February 16-28, 2023"/>
    <x v="12"/>
    <x v="12"/>
    <m/>
    <n v="3830.51"/>
    <m/>
    <n v="-21509.360000000001"/>
  </r>
  <r>
    <d v="2023-03-31T00:00:00"/>
    <s v="Payroll2023-03-007"/>
    <s v="Payroll2023-03-007"/>
    <x v="3"/>
    <s v="5"/>
    <s v="5-1"/>
    <m/>
    <m/>
    <s v="John R. Bergado &amp; 8 others"/>
    <s v="To payment of wages of John R. Bergado &amp; 8 others (Job Order) of NIA-Pangasinan IMO, Urdaneta City, Pangasinan for the period February 16-28, 2023"/>
    <x v="24"/>
    <x v="24"/>
    <m/>
    <n v="7129.16"/>
    <m/>
    <n v="-28638.52"/>
  </r>
  <r>
    <d v="2023-03-31T00:00:00"/>
    <s v="Payroll2023-03-007"/>
    <s v="Payroll2023-03-007"/>
    <x v="3"/>
    <s v="5"/>
    <s v="5-1"/>
    <m/>
    <m/>
    <s v="John R. Bergado &amp; 8 others"/>
    <s v="To payment of wages of John R. Bergado &amp; 8 others (Job Order) of NIA-Pangasinan IMO, Urdaneta City, Pangasinan for the period February 16-28, 2023"/>
    <x v="3"/>
    <x v="3"/>
    <m/>
    <n v="34052.32"/>
    <m/>
    <n v="-62690.84"/>
  </r>
  <r>
    <d v="2023-03-31T00:00:00"/>
    <d v="2023-03-03T00:00:00"/>
    <s v="1475877"/>
    <x v="3"/>
    <s v="5"/>
    <s v="5-1"/>
    <m/>
    <m/>
    <s v="Celbros Construction and Supplies"/>
    <s v="To Third (3rd) partial payment of contract under R1-PIMO-22-03-041 in connection with the Minosicuan CIS (CARP IC CY 2022) located in Umingan, Pangasinan"/>
    <x v="8"/>
    <x v="8"/>
    <n v="1569301.47"/>
    <m/>
    <s v="ASA # 220076 Capital Outlay (Minosicuan CIS)"/>
    <n v="1506610.63"/>
  </r>
  <r>
    <d v="2023-03-31T00:00:00"/>
    <d v="2023-03-03T00:00:00"/>
    <s v="1475877"/>
    <x v="3"/>
    <s v="5"/>
    <s v="5-1"/>
    <m/>
    <m/>
    <s v="Celbros Construction and Supplies"/>
    <s v="To Third (3rd) partial payment of contract under R1-PIMO-22-03-041 in connection with the Minosicuan CIS (CARP IC CY 2022) located in Umingan, Pangasinan"/>
    <x v="2"/>
    <x v="2"/>
    <m/>
    <n v="70058.100000000006"/>
    <m/>
    <n v="1436552.53"/>
  </r>
  <r>
    <d v="2023-03-31T00:00:00"/>
    <d v="2023-03-03T00:00:00"/>
    <s v="1475877"/>
    <x v="3"/>
    <s v="5"/>
    <s v="5-1"/>
    <m/>
    <m/>
    <s v="Celbros Construction and Supplies"/>
    <s v="To Third (3rd) partial payment of contract under R1-PIMO-22-03-041 in connection with the Minosicuan CIS (CARP IC CY 2022) located in Umingan, Pangasinan"/>
    <x v="7"/>
    <x v="7"/>
    <m/>
    <n v="28023.24"/>
    <m/>
    <n v="1408529.29"/>
  </r>
  <r>
    <d v="2023-03-31T00:00:00"/>
    <d v="2023-03-03T00:00:00"/>
    <s v="1475877"/>
    <x v="3"/>
    <s v="5"/>
    <s v="5-1"/>
    <m/>
    <m/>
    <s v="Celbros Construction and Supplies"/>
    <s v="To Third (3rd) partial payment of contract under R1-PIMO-22-03-041 in connection with the Minosicuan CIS (CARP IC CY 2022) located in Umingan, Pangasinan"/>
    <x v="9"/>
    <x v="9"/>
    <m/>
    <n v="143647.47"/>
    <m/>
    <n v="1264881.82"/>
  </r>
  <r>
    <d v="2023-03-31T00:00:00"/>
    <d v="2023-03-03T00:00:00"/>
    <s v="1475877"/>
    <x v="3"/>
    <s v="5"/>
    <s v="5-1"/>
    <m/>
    <m/>
    <s v="Celbros Construction and Supplies"/>
    <s v="To Third (3rd) partial payment of contract under R1-PIMO-22-03-041 in connection with the Minosicuan CIS (CARP IC CY 2022) located in Umingan, Pangasinan"/>
    <x v="10"/>
    <x v="10"/>
    <m/>
    <n v="231178.79"/>
    <m/>
    <n v="1033703.03"/>
  </r>
  <r>
    <d v="2023-03-31T00:00:00"/>
    <d v="2023-03-03T00:00:00"/>
    <s v="1475877"/>
    <x v="3"/>
    <s v="5"/>
    <s v="5-1"/>
    <m/>
    <m/>
    <s v="Celbros Construction and Supplies"/>
    <s v="To Third (3rd) partial payment of contract under R1-PIMO-22-03-041 in connection with the Minosicuan CIS (CARP IC CY 2022) located in Umingan, Pangasinan"/>
    <x v="3"/>
    <x v="3"/>
    <m/>
    <n v="1096393.8700000001"/>
    <m/>
    <n v="-62690.84"/>
  </r>
  <r>
    <d v="2023-03-31T00:00:00"/>
    <d v="2023-03-10T00:00:00"/>
    <s v="1475878"/>
    <x v="3"/>
    <s v="5"/>
    <s v="5-1"/>
    <m/>
    <m/>
    <s v="Izbarinos Corporation"/>
    <s v="To payment of diesel fuel for use of various vehicles assigned for Project of Irrigation System NIA Pangasinan IMO-IDU for the period January 16-31, 2023"/>
    <x v="27"/>
    <x v="27"/>
    <n v="3880.5"/>
    <m/>
    <s v="ASA # 220052 Capital Outlay (Calmay SPIP)"/>
    <n v="-58810.34"/>
  </r>
  <r>
    <d v="2023-03-31T00:00:00"/>
    <d v="2023-03-10T00:00:00"/>
    <s v="1475878"/>
    <x v="3"/>
    <s v="5"/>
    <s v="5-1"/>
    <m/>
    <m/>
    <s v="Izbarinos Corporation"/>
    <s v="To payment of diesel fuel for use of various vehicles assigned for Project of Irrigation System NIA Pangasinan IMO-IDU for the period January 16-31, 2023"/>
    <x v="1"/>
    <x v="1"/>
    <m/>
    <n v="34.65"/>
    <m/>
    <n v="-58844.99"/>
  </r>
  <r>
    <d v="2023-03-31T00:00:00"/>
    <d v="2023-03-10T00:00:00"/>
    <s v="1475878"/>
    <x v="3"/>
    <s v="5"/>
    <s v="5-1"/>
    <m/>
    <m/>
    <s v="Izbarinos Corporation"/>
    <s v="To payment of diesel fuel for use of various vehicles assigned for Project of Irrigation System NIA Pangasinan IMO-IDU for the period January 16-31, 2023"/>
    <x v="2"/>
    <x v="2"/>
    <m/>
    <n v="173.24"/>
    <m/>
    <n v="-59018.23"/>
  </r>
  <r>
    <d v="2023-03-31T00:00:00"/>
    <d v="2023-03-10T00:00:00"/>
    <s v="1475878"/>
    <x v="3"/>
    <s v="5"/>
    <s v="5-1"/>
    <m/>
    <m/>
    <s v="Izbarinos Corporation"/>
    <s v="To payment of diesel fuel for use of various vehicles assigned for Project of Irrigation System NIA Pangasinan IMO-IDU for the period January 16-31, 2023"/>
    <x v="3"/>
    <x v="3"/>
    <m/>
    <n v="3672.61"/>
    <m/>
    <n v="-21351.46"/>
  </r>
  <r>
    <d v="2023-03-31T00:00:00"/>
    <d v="2023-03-10T00:00:00"/>
    <s v="1475879"/>
    <x v="3"/>
    <s v="5"/>
    <s v="5-1"/>
    <m/>
    <m/>
    <s v="Loreto's Kitchenette"/>
    <s v="To payment of Snacks served during the courtesy call to CARP employees from Region VI, VII, VIII, IX, X, XI, XII, XIII on February 7, 2023 at Regional Training Center, Bayaoas, Urdaneta City, Pangasinan"/>
    <x v="6"/>
    <x v="6"/>
    <n v="13125"/>
    <m/>
    <s v="ASA # 230003 MOOE"/>
    <n v="-8226.4599999999991"/>
  </r>
  <r>
    <d v="2023-03-31T00:00:00"/>
    <d v="2023-03-10T00:00:00"/>
    <s v="1475879"/>
    <x v="3"/>
    <s v="5"/>
    <s v="5-1"/>
    <m/>
    <m/>
    <s v="Loreto's Kitchenette"/>
    <s v="To payment of Snacks served during the courtesy call to CARP employees from Region VI, VII, VIII, IX, X, XI, XII, XIII on February 7, 2023 at Regional Training Center, Bayaoas, Urdaneta City, Pangasinan"/>
    <x v="7"/>
    <x v="7"/>
    <m/>
    <n v="131.25"/>
    <m/>
    <n v="-8357.7099999999991"/>
  </r>
  <r>
    <d v="2023-03-31T00:00:00"/>
    <d v="2023-03-10T00:00:00"/>
    <s v="1475879"/>
    <x v="3"/>
    <s v="5"/>
    <s v="5-1"/>
    <m/>
    <m/>
    <s v="Loreto's Kitchenette"/>
    <s v="To payment of Snacks served during the courtesy call to CARP employees from Region VI, VII, VIII, IX, X, XI, XII, XIII on February 7, 2023 at Regional Training Center, Bayaoas, Urdaneta City, Pangasinan"/>
    <x v="2"/>
    <x v="2"/>
    <m/>
    <n v="262.5"/>
    <m/>
    <n v="-8620.2099999999991"/>
  </r>
  <r>
    <d v="2023-03-31T00:00:00"/>
    <d v="2023-03-10T00:00:00"/>
    <s v="1475879"/>
    <x v="3"/>
    <s v="5"/>
    <s v="5-1"/>
    <m/>
    <m/>
    <s v="Loreto's Kitchenette"/>
    <s v="To payment of Snacks served during the courtesy call to CARP employees from Region VI, VII, VIII, IX, X, XI, XII, XIII on February 7, 2023 at Regional Training Center, Bayaoas, Urdaneta City, Pangasinan"/>
    <x v="3"/>
    <x v="3"/>
    <m/>
    <n v="12731.25"/>
    <m/>
    <n v="-21351.46"/>
  </r>
  <r>
    <d v="2023-03-31T00:00:00"/>
    <d v="2023-03-10T00:00:00"/>
    <s v="1475880"/>
    <x v="3"/>
    <s v="5"/>
    <s v="5-1"/>
    <m/>
    <m/>
    <s v="The Monarch Hospitality and Tourism Corporation"/>
    <s v="To payment of Accommodation, Meals and Snacks served during the conduct of CY 2022 Year End Assessment and Workshop for FY 2023 and ARF Fund Proposed Projects of CARP-IC 2nd Batch on February 7-10, 2023"/>
    <x v="6"/>
    <x v="6"/>
    <n v="599440"/>
    <m/>
    <s v="ASA # 230003 MOOE"/>
    <n v="578088.54"/>
  </r>
  <r>
    <d v="2023-03-31T00:00:00"/>
    <d v="2023-03-10T00:00:00"/>
    <s v="1475880"/>
    <x v="3"/>
    <s v="5"/>
    <s v="5-1"/>
    <m/>
    <m/>
    <s v="The Monarch Hospitality and Tourism Corporation"/>
    <s v="To payment of Accommodation, Meals and Snacks served during the conduct of CY 2022 Year End Assessment and Workshop for FY 2023 and ARF Fund Proposed Projects of CARP-IC 2nd Batch on February 7-10, 2023"/>
    <x v="1"/>
    <x v="1"/>
    <m/>
    <n v="5352.14"/>
    <m/>
    <n v="572736.4"/>
  </r>
  <r>
    <d v="2023-03-31T00:00:00"/>
    <d v="2023-03-10T00:00:00"/>
    <s v="1475880"/>
    <x v="3"/>
    <s v="5"/>
    <s v="5-1"/>
    <m/>
    <m/>
    <s v="The Monarch Hospitality and Tourism Corporation"/>
    <s v="To payment of Accommodation, Meals and Snacks served during the conduct of CY 2022 Year End Assessment and Workshop for FY 2023 and ARF Fund Proposed Projects of CARP-IC 2nd Batch on February 7-10, 2023"/>
    <x v="2"/>
    <x v="2"/>
    <m/>
    <n v="26760.71"/>
    <m/>
    <n v="545975.68999999994"/>
  </r>
  <r>
    <d v="2023-03-31T00:00:00"/>
    <d v="2023-03-10T00:00:00"/>
    <s v="1475880"/>
    <x v="3"/>
    <s v="5"/>
    <s v="5-1"/>
    <m/>
    <m/>
    <s v="The Monarch Hospitality and Tourism Corporation"/>
    <s v="To payment of Accommodation, Meals and Snacks served during the conduct of CY 2022 Year End Assessment and Workshop for FY 2023 and ARF Fund Proposed Projects of CARP-IC 2nd Batch on February 7-10, 2023"/>
    <x v="3"/>
    <x v="3"/>
    <m/>
    <n v="567327.15"/>
    <m/>
    <n v="-21351.46"/>
  </r>
  <r>
    <d v="2023-03-31T00:00:00"/>
    <d v="2023-03-15T00:00:00"/>
    <s v="1475881"/>
    <x v="3"/>
    <s v="5"/>
    <s v="5-1"/>
    <m/>
    <m/>
    <s v="H.D.M.F"/>
    <s v="To remit monthly HDMF premiums both personal &amp; government shares of E. Delos Santos &amp; 1 other of NIA Pangasinan IMO (CARP), Urdaneta City, Pangasinan for the period March 2023"/>
    <x v="17"/>
    <x v="17"/>
    <n v="200"/>
    <m/>
    <s v="ASA # 230008 PS"/>
    <n v="-21151.46"/>
  </r>
  <r>
    <d v="2023-03-31T00:00:00"/>
    <d v="2023-03-15T00:00:00"/>
    <s v="1475881"/>
    <x v="3"/>
    <s v="5"/>
    <s v="5-1"/>
    <m/>
    <m/>
    <s v="H.D.M.F"/>
    <s v="To remit monthly HDMF premiums both personal &amp; government shares of E. Delos Santos &amp; 1 other of NIA Pangasinan IMO (CARP), Urdaneta City, Pangasinan for the period March 2023"/>
    <x v="18"/>
    <x v="18"/>
    <n v="1166.4000000000001"/>
    <m/>
    <m/>
    <n v="-19985.060000000001"/>
  </r>
  <r>
    <d v="2023-03-31T00:00:00"/>
    <d v="2023-03-15T00:00:00"/>
    <s v="1475881"/>
    <x v="3"/>
    <s v="5"/>
    <s v="5-1"/>
    <m/>
    <m/>
    <s v="H.D.M.F"/>
    <s v="To remit monthly HDMF premiums both personal &amp; government shares of E. Delos Santos &amp; 1 other of NIA Pangasinan IMO (CARP), Urdaneta City, Pangasinan for the period March 2023"/>
    <x v="3"/>
    <x v="3"/>
    <m/>
    <n v="1366.4"/>
    <m/>
    <n v="-21351.46"/>
  </r>
  <r>
    <d v="2023-03-31T00:00:00"/>
    <d v="2023-03-15T00:00:00"/>
    <s v="1475882"/>
    <x v="3"/>
    <s v="5"/>
    <s v="5-1"/>
    <m/>
    <m/>
    <s v="H.D.M.F"/>
    <s v="To remit monthly HDMF M2 E. Delos Santos &amp; 1 other of NIA Pangasinan (CARP), Urdaneta City, Pangasinan for the period of March 2023"/>
    <x v="19"/>
    <x v="19"/>
    <n v="4000"/>
    <m/>
    <s v="ASA # 230008 PS"/>
    <n v="-13678.85"/>
  </r>
  <r>
    <d v="2023-03-31T00:00:00"/>
    <d v="2023-03-15T00:00:00"/>
    <s v="1475882"/>
    <x v="3"/>
    <s v="5"/>
    <s v="5-1"/>
    <m/>
    <m/>
    <s v="H.D.M.F"/>
    <s v="To remit monthly HDMF M2 E. Delos Santos &amp; 1 other of NIA Pangasinan (CARP), Urdaneta City, Pangasinan for the period of March 2023"/>
    <x v="3"/>
    <x v="3"/>
    <m/>
    <n v="4000"/>
    <m/>
    <n v="-17678.849999999999"/>
  </r>
  <r>
    <d v="2023-03-31T00:00:00"/>
    <d v="2023-03-15T00:00:00"/>
    <s v="1475883"/>
    <x v="3"/>
    <s v="5"/>
    <s v="5-1"/>
    <m/>
    <m/>
    <s v="LBP for Account of Bureau of Internal Revenue"/>
    <s v="To remit Withholding Tax on Compensation of E. Delos Santos &amp; 1 other of NIA Pangasinan IMO (CARP), Urdaneta City, Pangasinan for the period March 2023"/>
    <x v="16"/>
    <x v="16"/>
    <n v="1330.76"/>
    <m/>
    <s v="ASA # 230008 PS"/>
    <n v="-16348.09"/>
  </r>
  <r>
    <d v="2023-03-31T00:00:00"/>
    <d v="2023-03-15T00:00:00"/>
    <s v="1475883"/>
    <x v="3"/>
    <s v="5"/>
    <s v="5-1"/>
    <m/>
    <m/>
    <s v="LBP for Account of Bureau of Internal Revenue"/>
    <s v="To remit Withholding Tax on Compensation of E. Delos Santos &amp; 1 other of NIA Pangasinan IMO (CARP), Urdaneta City, Pangasinan for the period March 2023"/>
    <x v="3"/>
    <x v="3"/>
    <m/>
    <n v="1330.76"/>
    <m/>
    <n v="-17678.849999999999"/>
  </r>
  <r>
    <d v="2023-03-31T00:00:00"/>
    <d v="2023-03-15T00:00:00"/>
    <s v="1475884"/>
    <x v="3"/>
    <s v="5"/>
    <s v="5-1"/>
    <m/>
    <m/>
    <s v="GSIS"/>
    <s v="To remit monthly GSIS premiums both personal &amp; government shares of E. Delos Santos &amp; 1 other of NIA-Pangasinan IMO (CARP) Urdaneta City, Pangasinan for the period March 2023"/>
    <x v="13"/>
    <x v="13"/>
    <n v="6998.4"/>
    <m/>
    <s v="ASA # 230008 PS"/>
    <n v="-10680.45"/>
  </r>
  <r>
    <d v="2023-03-31T00:00:00"/>
    <d v="2023-03-15T00:00:00"/>
    <s v="1475884"/>
    <x v="3"/>
    <s v="5"/>
    <s v="5-1"/>
    <m/>
    <m/>
    <s v="GSIS"/>
    <s v="To remit monthly GSIS premiums both personal &amp; government shares of E. Delos Santos &amp; 1 other of NIA-Pangasinan IMO (CARP) Urdaneta City, Pangasinan for the period March 2023"/>
    <x v="14"/>
    <x v="14"/>
    <n v="200"/>
    <m/>
    <m/>
    <n v="-10480.450000000001"/>
  </r>
  <r>
    <d v="2023-03-31T00:00:00"/>
    <d v="2023-03-15T00:00:00"/>
    <s v="1475884"/>
    <x v="3"/>
    <s v="5"/>
    <s v="5-1"/>
    <m/>
    <m/>
    <s v="GSIS"/>
    <s v="To remit monthly GSIS premiums both personal &amp; government shares of E. Delos Santos &amp; 1 other of NIA-Pangasinan IMO (CARP) Urdaneta City, Pangasinan for the period March 2023"/>
    <x v="15"/>
    <x v="15"/>
    <n v="5248.8"/>
    <m/>
    <m/>
    <n v="-5231.6499999999996"/>
  </r>
  <r>
    <d v="2023-03-31T00:00:00"/>
    <d v="2023-03-15T00:00:00"/>
    <s v="1475884"/>
    <x v="3"/>
    <s v="5"/>
    <s v="5-1"/>
    <m/>
    <m/>
    <s v="GSIS"/>
    <s v="To remit monthly GSIS premiums both personal &amp; government shares of E. Delos Santos &amp; 1 other of NIA-Pangasinan IMO (CARP) Urdaneta City, Pangasinan for the period March 2023"/>
    <x v="3"/>
    <x v="3"/>
    <m/>
    <n v="12447.2"/>
    <m/>
    <n v="-17678.849999999999"/>
  </r>
  <r>
    <d v="2023-03-31T00:00:00"/>
    <d v="2023-03-15T00:00:00"/>
    <s v="1475885"/>
    <x v="3"/>
    <s v="5"/>
    <s v="5-1"/>
    <m/>
    <m/>
    <s v="Gertrudes A. Viado"/>
    <s v="To reimburse the amount paid for toll fees"/>
    <x v="4"/>
    <x v="4"/>
    <n v="6358"/>
    <m/>
    <s v="ASA # 220052 Capital Outlay (Calmay SPIP)"/>
    <n v="-11320.85"/>
  </r>
  <r>
    <d v="2023-03-31T00:00:00"/>
    <d v="2023-03-15T00:00:00"/>
    <s v="1475885"/>
    <x v="3"/>
    <s v="5"/>
    <s v="5-1"/>
    <m/>
    <m/>
    <s v="Gertrudes A. Viado"/>
    <s v="To reimburse the amount paid for toll fees"/>
    <x v="3"/>
    <x v="3"/>
    <m/>
    <n v="6358"/>
    <m/>
    <n v="-17678.849999999999"/>
  </r>
  <r>
    <d v="2023-03-31T00:00:00"/>
    <d v="2023-03-15T00:00:00"/>
    <s v="1475886"/>
    <x v="3"/>
    <s v="5"/>
    <s v="5-1"/>
    <m/>
    <m/>
    <s v="Jmacks Resort Hotel"/>
    <s v="To payment of Meals to be served during the conduct of CY 2022 Year End Assessment and Workshop for FY 2023 and ARF Fund Proposed Projects of CARP-IC 2nd Batch on February 9, 2023"/>
    <x v="6"/>
    <x v="6"/>
    <n v="30000"/>
    <m/>
    <s v="ASA # 230003 MOOE (25,435.00) and ASA # 230005 MOOE (4,565.00)"/>
    <n v="12321.15"/>
  </r>
  <r>
    <d v="2023-03-31T00:00:00"/>
    <d v="2023-03-15T00:00:00"/>
    <s v="1475886"/>
    <x v="3"/>
    <s v="5"/>
    <s v="5-1"/>
    <m/>
    <m/>
    <s v="Jmacks Resort Hotel"/>
    <s v="To payment of Meals to be served during the conduct of CY 2022 Year End Assessment and Workshop for FY 2023 and ARF Fund Proposed Projects of CARP-IC 2nd Batch on February 9, 2023"/>
    <x v="1"/>
    <x v="1"/>
    <m/>
    <n v="267.86"/>
    <m/>
    <n v="12053.29"/>
  </r>
  <r>
    <d v="2023-03-31T00:00:00"/>
    <d v="2023-03-15T00:00:00"/>
    <s v="1475886"/>
    <x v="3"/>
    <s v="5"/>
    <s v="5-1"/>
    <m/>
    <m/>
    <s v="Jmacks Resort Hotel"/>
    <s v="To payment of Meals to be served during the conduct of CY 2022 Year End Assessment and Workshop for FY 2023 and ARF Fund Proposed Projects of CARP-IC 2nd Batch on February 9, 2023"/>
    <x v="2"/>
    <x v="2"/>
    <m/>
    <n v="1339.29"/>
    <m/>
    <n v="-19018.14"/>
  </r>
  <r>
    <d v="2023-03-31T00:00:00"/>
    <d v="2023-03-15T00:00:00"/>
    <s v="1475886"/>
    <x v="3"/>
    <s v="5"/>
    <s v="5-1"/>
    <m/>
    <m/>
    <s v="Jmacks Resort Hotel"/>
    <s v="To payment of Meals to be served during the conduct of CY 2022 Year End Assessment and Workshop for FY 2023 and ARF Fund Proposed Projects of CARP-IC 2nd Batch on February 9, 2023"/>
    <x v="3"/>
    <x v="3"/>
    <m/>
    <n v="28392.85"/>
    <m/>
    <n v="-47410.99"/>
  </r>
  <r>
    <d v="2023-03-31T00:00:00"/>
    <s v="DebitMemoPHIC03-02"/>
    <s v="DebitMemoPHIC03-02"/>
    <x v="3"/>
    <s v="5"/>
    <s v="5-1"/>
    <m/>
    <m/>
    <s v="Philippine Health Insurance Corporation"/>
    <s v="To remit monthly PHIC premiums both personal &amp; government shares of E. Delos Santos &amp; 1 other of NIA Pangasinan IMO (CARP) Urdaneta City, Pangasinan for the period March 2023"/>
    <x v="11"/>
    <x v="11"/>
    <n v="1166.4000000000001"/>
    <m/>
    <s v="ASA # 230008 PS"/>
    <n v="-46244.59"/>
  </r>
  <r>
    <d v="2023-03-31T00:00:00"/>
    <s v="DebitMemoPHIC03-02"/>
    <s v="DebitMemoPHIC03-02"/>
    <x v="3"/>
    <s v="5"/>
    <s v="5-1"/>
    <m/>
    <m/>
    <s v="Philippine Health Insurance Corporation"/>
    <s v="To remit monthly PHIC premiums both personal &amp; government shares of E. Delos Santos &amp; 1 other of NIA Pangasinan IMO (CARP) Urdaneta City, Pangasinan for the period March 2023"/>
    <x v="12"/>
    <x v="12"/>
    <n v="1166.4000000000001"/>
    <m/>
    <m/>
    <n v="-45078.19"/>
  </r>
  <r>
    <d v="2023-03-31T00:00:00"/>
    <s v="DebitMemoPHIC03-02"/>
    <s v="DebitMemoPHIC03-02"/>
    <x v="3"/>
    <s v="5"/>
    <s v="5-1"/>
    <m/>
    <m/>
    <s v="Philippine Health Insurance Corporation"/>
    <s v="To remit monthly PHIC premiums both personal &amp; government shares of E. Delos Santos &amp; 1 other of NIA Pangasinan IMO (CARP) Urdaneta City, Pangasinan for the period March 2023"/>
    <x v="3"/>
    <x v="3"/>
    <m/>
    <n v="2332.8000000000002"/>
    <m/>
    <n v="-47410.99"/>
  </r>
  <r>
    <d v="2023-03-31T00:00:00"/>
    <d v="2023-03-16T00:00:00"/>
    <s v="1475887"/>
    <x v="3"/>
    <s v="5"/>
    <s v="5-1"/>
    <m/>
    <m/>
    <s v="Izbarinos Corporation"/>
    <s v="To payment of diesel fuel for use of various vehicles assigned for Project of Irrigation System NIA Pangasinan IMO-IDU for the period February 16-28, 2023"/>
    <x v="27"/>
    <x v="27"/>
    <n v="6218.12"/>
    <m/>
    <s v="ASA # 220052 Capital Outlay (Calmay SPIP)"/>
    <n v="-41192.870000000003"/>
  </r>
  <r>
    <d v="2023-03-31T00:00:00"/>
    <d v="2023-03-16T00:00:00"/>
    <s v="1475887"/>
    <x v="3"/>
    <s v="5"/>
    <s v="5-1"/>
    <m/>
    <m/>
    <s v="Izbarinos Corporation"/>
    <s v="To payment of diesel fuel for use of various vehicles assigned for Project of Irrigation System NIA Pangasinan IMO-IDU for the period February 16-28, 2023"/>
    <x v="1"/>
    <x v="1"/>
    <m/>
    <n v="55.52"/>
    <m/>
    <n v="-41248.39"/>
  </r>
  <r>
    <d v="2023-03-31T00:00:00"/>
    <d v="2023-03-16T00:00:00"/>
    <s v="1475887"/>
    <x v="3"/>
    <s v="5"/>
    <s v="5-1"/>
    <m/>
    <m/>
    <s v="Izbarinos Corporation"/>
    <s v="To payment of diesel fuel for use of various vehicles assigned for Project of Irrigation System NIA Pangasinan IMO-IDU for the period February 16-28, 2023"/>
    <x v="2"/>
    <x v="2"/>
    <m/>
    <n v="277.58999999999997"/>
    <m/>
    <n v="-41525.980000000003"/>
  </r>
  <r>
    <d v="2023-03-31T00:00:00"/>
    <d v="2023-03-16T00:00:00"/>
    <s v="1475887"/>
    <x v="3"/>
    <s v="5"/>
    <s v="5-1"/>
    <m/>
    <m/>
    <s v="Izbarinos Corporation"/>
    <s v="To payment of diesel fuel for use of various vehicles assigned for Project of Irrigation System NIA Pangasinan IMO-IDU for the period February 16-28, 2023"/>
    <x v="3"/>
    <x v="3"/>
    <m/>
    <n v="5885.01"/>
    <m/>
    <n v="-47410.99"/>
  </r>
  <r>
    <d v="2023-03-31T00:00:00"/>
    <d v="2023-03-16T00:00:00"/>
    <s v="1475888"/>
    <x v="3"/>
    <s v="5"/>
    <s v="5-1"/>
    <m/>
    <m/>
    <s v="Marigold Store"/>
    <s v="To payment of Office Supplies (Envelope &amp; 4 others) to be used in the conduct of CY 2022 Year End Assessment and Workshop for FY 2023 and ARF Fund Proposed Projects of CARP-IC 2nd Batch on February 7-10, 2023"/>
    <x v="6"/>
    <x v="6"/>
    <n v="13440"/>
    <m/>
    <s v="ASA # 230005 MOOE"/>
    <n v="-33970.99"/>
  </r>
  <r>
    <d v="2023-03-31T00:00:00"/>
    <d v="2023-03-16T00:00:00"/>
    <s v="1475888"/>
    <x v="3"/>
    <s v="5"/>
    <s v="5-1"/>
    <m/>
    <m/>
    <s v="Marigold Store"/>
    <s v="To payment of Office Supplies (Envelope &amp; 4 others) to be used in the conduct of CY 2022 Year End Assessment and Workshop for FY 2023 and ARF Fund Proposed Projects of CARP-IC 2nd Batch on February 7-10, 2023"/>
    <x v="1"/>
    <x v="1"/>
    <m/>
    <n v="120"/>
    <m/>
    <n v="-34090.99"/>
  </r>
  <r>
    <d v="2023-03-31T00:00:00"/>
    <d v="2023-03-16T00:00:00"/>
    <s v="1475888"/>
    <x v="3"/>
    <s v="5"/>
    <s v="5-1"/>
    <m/>
    <m/>
    <s v="Marigold Store"/>
    <s v="To payment of Office Supplies (Envelope &amp; 4 others) to be used in the conduct of CY 2022 Year End Assessment and Workshop for FY 2023 and ARF Fund Proposed Projects of CARP-IC 2nd Batch on February 7-10, 2023"/>
    <x v="2"/>
    <x v="2"/>
    <m/>
    <n v="600"/>
    <m/>
    <n v="-34690.99"/>
  </r>
  <r>
    <d v="2023-03-31T00:00:00"/>
    <d v="2023-03-16T00:00:00"/>
    <s v="1475888"/>
    <x v="3"/>
    <s v="5"/>
    <s v="5-1"/>
    <m/>
    <m/>
    <s v="Marigold Store"/>
    <s v="To payment of Office Supplies (Envelope &amp; 4 others) to be used in the conduct of CY 2022 Year End Assessment and Workshop for FY 2023 and ARF Fund Proposed Projects of CARP-IC 2nd Batch on February 7-10, 2023"/>
    <x v="3"/>
    <x v="3"/>
    <m/>
    <n v="12720"/>
    <m/>
    <n v="-30398.85"/>
  </r>
  <r>
    <d v="2023-03-31T00:00:00"/>
    <d v="2023-03-16T00:00:00"/>
    <s v="Payroll2023-03-008"/>
    <x v="3"/>
    <s v="5"/>
    <s v="5-1"/>
    <m/>
    <m/>
    <s v="Emerson A. Delos Santos &amp; 1 other"/>
    <s v="To payment of Salaries and Allowance of E. Delos Santos &amp; 1 other of NIA-Pangasinan IMO (CARP) Urdaneta City, Pangasinan for the period of March 2023"/>
    <x v="20"/>
    <x v="20"/>
    <n v="58320"/>
    <m/>
    <s v="ASA # 230008 PS"/>
    <n v="27921.15"/>
  </r>
  <r>
    <d v="2023-03-31T00:00:00"/>
    <d v="2023-03-16T00:00:00"/>
    <s v="Payroll2023-03-008"/>
    <x v="3"/>
    <s v="5"/>
    <s v="5-1"/>
    <m/>
    <m/>
    <s v="Emerson A. Delos Santos &amp; 1 other"/>
    <s v="To payment of Salaries and Allowance of E. Delos Santos &amp; 1 other of NIA-Pangasinan IMO (CARP) Urdaneta City, Pangasinan for the period of March 2023"/>
    <x v="21"/>
    <x v="21"/>
    <n v="4000"/>
    <m/>
    <m/>
    <n v="31921.15"/>
  </r>
  <r>
    <d v="2023-03-31T00:00:00"/>
    <d v="2023-03-16T00:00:00"/>
    <s v="Payroll2023-03-008"/>
    <x v="3"/>
    <s v="5"/>
    <s v="5-1"/>
    <m/>
    <m/>
    <s v="Emerson A. Delos Santos &amp; 1 other"/>
    <s v="To payment of Salaries and Allowance of E. Delos Santos &amp; 1 other of NIA-Pangasinan IMO (CARP) Urdaneta City, Pangasinan for the period of March 2023"/>
    <x v="16"/>
    <x v="16"/>
    <m/>
    <n v="1330.76"/>
    <m/>
    <n v="30590.39"/>
  </r>
  <r>
    <d v="2023-03-31T00:00:00"/>
    <d v="2023-03-16T00:00:00"/>
    <s v="Payroll2023-03-008"/>
    <x v="3"/>
    <s v="5"/>
    <s v="5-1"/>
    <m/>
    <m/>
    <s v="Emerson A. Delos Santos &amp; 1 other"/>
    <s v="To payment of Salaries and Allowance of E. Delos Santos &amp; 1 other of NIA-Pangasinan IMO (CARP) Urdaneta City, Pangasinan for the period of March 2023"/>
    <x v="15"/>
    <x v="15"/>
    <m/>
    <n v="5248.8"/>
    <m/>
    <n v="25341.59"/>
  </r>
  <r>
    <d v="2023-03-31T00:00:00"/>
    <d v="2023-03-16T00:00:00"/>
    <s v="Payroll2023-03-008"/>
    <x v="3"/>
    <s v="5"/>
    <s v="5-1"/>
    <m/>
    <m/>
    <s v="Emerson A. Delos Santos &amp; 1 other"/>
    <s v="To payment of Salaries and Allowance of E. Delos Santos &amp; 1 other of NIA-Pangasinan IMO (CARP) Urdaneta City, Pangasinan for the period of March 2023"/>
    <x v="18"/>
    <x v="18"/>
    <m/>
    <n v="1166.4000000000001"/>
    <m/>
    <n v="24175.19"/>
  </r>
  <r>
    <d v="2023-03-31T00:00:00"/>
    <d v="2023-03-16T00:00:00"/>
    <s v="Payroll2023-03-008"/>
    <x v="3"/>
    <s v="5"/>
    <s v="5-1"/>
    <m/>
    <m/>
    <s v="Emerson A. Delos Santos &amp; 1 other"/>
    <s v="To payment of Salaries and Allowance of E. Delos Santos &amp; 1 other of NIA-Pangasinan IMO (CARP) Urdaneta City, Pangasinan for the period of March 2023"/>
    <x v="19"/>
    <x v="19"/>
    <m/>
    <n v="4000"/>
    <m/>
    <n v="20175.189999999999"/>
  </r>
  <r>
    <d v="2023-03-31T00:00:00"/>
    <d v="2023-03-16T00:00:00"/>
    <s v="Payroll2023-03-008"/>
    <x v="3"/>
    <s v="5"/>
    <s v="5-1"/>
    <m/>
    <m/>
    <s v="Emerson A. Delos Santos &amp; 1 other"/>
    <s v="To payment of Salaries and Allowance of E. Delos Santos &amp; 1 other of NIA-Pangasinan IMO (CARP) Urdaneta City, Pangasinan for the period of March 2023"/>
    <x v="12"/>
    <x v="12"/>
    <m/>
    <n v="1166.4000000000001"/>
    <m/>
    <n v="19008.79"/>
  </r>
  <r>
    <d v="2023-03-31T00:00:00"/>
    <d v="2023-03-16T00:00:00"/>
    <s v="Payroll2023-03-008"/>
    <x v="3"/>
    <s v="5"/>
    <s v="5-1"/>
    <m/>
    <m/>
    <s v="Emerson A. Delos Santos &amp; 1 other"/>
    <s v="To payment of Salaries and Allowance of E. Delos Santos &amp; 1 other of NIA-Pangasinan IMO (CARP) Urdaneta City, Pangasinan for the period of March 2023"/>
    <x v="3"/>
    <x v="3"/>
    <m/>
    <n v="49407.64"/>
    <m/>
    <n v="-30398.85"/>
  </r>
  <r>
    <d v="2023-03-31T00:00:00"/>
    <d v="2023-03-16T00:00:00"/>
    <s v="Payroll2023-03-009"/>
    <x v="3"/>
    <s v="5"/>
    <s v="5-1"/>
    <m/>
    <m/>
    <s v="John R. Bergado &amp; 8 others"/>
    <s v="To payment of wages of John R. Bergado &amp; 8 others (Job Order) of NIA-Pangasinan IMO, Urdaneta City, Pangasinan for the period March , 2023"/>
    <x v="4"/>
    <x v="4"/>
    <n v="53044.18"/>
    <m/>
    <s v="ASA # 220052 Capital Outlay (Calmay SPIP)"/>
    <n v="22645.33"/>
  </r>
  <r>
    <d v="2023-03-31T00:00:00"/>
    <d v="2023-03-16T00:00:00"/>
    <s v="Payroll2023-03-009"/>
    <x v="3"/>
    <s v="5"/>
    <s v="5-1"/>
    <m/>
    <m/>
    <s v="John R. Bergado &amp; 8 others"/>
    <s v="To payment of wages of John R. Bergado &amp; 8 others (Job Order) of NIA-Pangasinan IMO, Urdaneta City, Pangasinan for the period March , 2023"/>
    <x v="18"/>
    <x v="18"/>
    <m/>
    <n v="2200"/>
    <m/>
    <n v="20445.330000000002"/>
  </r>
  <r>
    <d v="2023-03-31T00:00:00"/>
    <d v="2023-03-16T00:00:00"/>
    <s v="Payroll2023-03-009"/>
    <x v="3"/>
    <s v="5"/>
    <s v="5-1"/>
    <m/>
    <m/>
    <s v="John R. Bergado &amp; 8 others"/>
    <s v="To payment of wages of John R. Bergado &amp; 8 others (Job Order) of NIA-Pangasinan IMO, Urdaneta City, Pangasinan for the period March , 2023"/>
    <x v="23"/>
    <x v="23"/>
    <m/>
    <n v="1989.56"/>
    <m/>
    <n v="18455.77"/>
  </r>
  <r>
    <d v="2023-03-31T00:00:00"/>
    <d v="2023-03-16T00:00:00"/>
    <s v="Payroll2023-03-009"/>
    <x v="3"/>
    <s v="5"/>
    <s v="5-1"/>
    <m/>
    <m/>
    <s v="John R. Bergado &amp; 8 others"/>
    <s v="To payment of wages of John R. Bergado &amp; 8 others (Job Order) of NIA-Pangasinan IMO, Urdaneta City, Pangasinan for the period March , 2023"/>
    <x v="24"/>
    <x v="24"/>
    <m/>
    <n v="7091.66"/>
    <m/>
    <n v="-24770.51"/>
  </r>
  <r>
    <d v="2023-03-31T00:00:00"/>
    <d v="2023-03-16T00:00:00"/>
    <s v="Payroll2023-03-009"/>
    <x v="3"/>
    <s v="5"/>
    <s v="5-1"/>
    <m/>
    <m/>
    <s v="John R. Bergado &amp; 8 others"/>
    <s v="To payment of wages of John R. Bergado &amp; 8 others (Job Order) of NIA-Pangasinan IMO, Urdaneta City, Pangasinan for the period March , 2023"/>
    <x v="3"/>
    <x v="3"/>
    <m/>
    <n v="41762.959999999999"/>
    <m/>
    <n v="-66533.47"/>
  </r>
  <r>
    <d v="2023-03-31T00:00:00"/>
    <d v="2023-03-20T00:00:00"/>
    <s v="1475889"/>
    <x v="3"/>
    <s v="5"/>
    <s v="5-1"/>
    <m/>
    <m/>
    <s v="NIA-Pangasinan IMO"/>
    <s v="To fund transfer the erroneous amount charged to Fund 501 LFP's"/>
    <x v="28"/>
    <x v="28"/>
    <n v="15211.73"/>
    <m/>
    <s v="ASA # 220052 Capital Outlay (Calmay SPIP)"/>
    <n v="-51321.74"/>
  </r>
  <r>
    <d v="2023-03-31T00:00:00"/>
    <d v="2023-03-20T00:00:00"/>
    <s v="1475889"/>
    <x v="3"/>
    <s v="5"/>
    <s v="5-1"/>
    <m/>
    <m/>
    <s v="NIA-Pangasinan IMO"/>
    <s v="To fund transfer the erroneous amount charged to Fund 501 LFP's"/>
    <x v="3"/>
    <x v="3"/>
    <m/>
    <n v="15211.73"/>
    <m/>
    <n v="-66533.47"/>
  </r>
  <r>
    <d v="2023-03-31T00:00:00"/>
    <d v="2023-03-20T00:00:00"/>
    <s v="1475890"/>
    <x v="3"/>
    <s v="5"/>
    <s v="5-1"/>
    <m/>
    <m/>
    <s v="Esprintshop Printing Services"/>
    <s v="To payment of Training Kit (Poloshirt and Logo Print &amp; Customized T shirt with Print) to be given during the conduct of CY 2022 Year End Assessment and Workshop for FY 2023 and ARF Fund Proposed Projects of CARP-IC 2nd Batch on February 7-10, 2023"/>
    <x v="6"/>
    <x v="6"/>
    <n v="51800"/>
    <m/>
    <s v="ASA # 230005 MOOE"/>
    <n v="-14733.47"/>
  </r>
  <r>
    <d v="2023-03-31T00:00:00"/>
    <d v="2023-03-20T00:00:00"/>
    <s v="1475890"/>
    <x v="3"/>
    <s v="5"/>
    <s v="5-1"/>
    <m/>
    <m/>
    <s v="Esprintshop Printing Services"/>
    <s v="To payment of Training Kit (Poloshirt and Logo Print &amp; Customized T shirt with Print) to be given during the conduct of CY 2022 Year End Assessment and Workshop for FY 2023 and ARF Fund Proposed Projects of CARP-IC 2nd Batch on February 7-10, 2023"/>
    <x v="1"/>
    <x v="1"/>
    <m/>
    <n v="518"/>
    <m/>
    <n v="-15251.47"/>
  </r>
  <r>
    <d v="2023-03-31T00:00:00"/>
    <d v="2023-03-20T00:00:00"/>
    <s v="1475890"/>
    <x v="3"/>
    <s v="5"/>
    <s v="5-1"/>
    <m/>
    <m/>
    <s v="Esprintshop Printing Services"/>
    <s v="To payment of Training Kit (Poloshirt and Logo Print &amp; Customized T shirt with Print) to be given during the conduct of CY 2022 Year End Assessment and Workshop for FY 2023 and ARF Fund Proposed Projects of CARP-IC 2nd Batch on February 7-10, 2023"/>
    <x v="1"/>
    <x v="1"/>
    <m/>
    <n v="518"/>
    <m/>
    <n v="-15769.47"/>
  </r>
  <r>
    <d v="2023-03-31T00:00:00"/>
    <d v="2023-03-20T00:00:00"/>
    <s v="1475890"/>
    <x v="3"/>
    <s v="5"/>
    <s v="5-1"/>
    <m/>
    <m/>
    <s v="Esprintshop Printing Services"/>
    <s v="To payment of Training Kit (Poloshirt and Logo Print &amp; Customized T shirt with Print) to be given during the conduct of CY 2022 Year End Assessment and Workshop for FY 2023 and ARF Fund Proposed Projects of CARP-IC 2nd Batch on February 7-10, 2023"/>
    <x v="3"/>
    <x v="3"/>
    <m/>
    <n v="50764"/>
    <m/>
    <n v="-66533.47"/>
  </r>
  <r>
    <d v="2023-03-31T00:00:00"/>
    <d v="2023-03-20T00:00:00"/>
    <s v="1475891"/>
    <x v="3"/>
    <s v="5"/>
    <s v="5-1"/>
    <m/>
    <m/>
    <s v="Good Boy Tires and Service Center Inc. "/>
    <s v="To payment of Spare parts of Service Vehicle Plate No. TQA 521 to be used by NIA-Pangasinan IMO"/>
    <x v="4"/>
    <x v="4"/>
    <n v="2200"/>
    <m/>
    <s v="ASA # 220076 Capital Outlay (Minosicuan CIS)"/>
    <n v="-64333.47"/>
  </r>
  <r>
    <d v="2023-03-31T00:00:00"/>
    <d v="2023-03-20T00:00:00"/>
    <s v="1475891"/>
    <x v="3"/>
    <s v="5"/>
    <s v="5-1"/>
    <m/>
    <m/>
    <s v="Good Boy Tires and Service Center Inc. "/>
    <s v="To payment of Spare parts of Service Vehicle Plate No. TQA 521 to be used by NIA-Pangasinan IMO"/>
    <x v="1"/>
    <x v="1"/>
    <m/>
    <n v="22"/>
    <m/>
    <n v="-64355.47"/>
  </r>
  <r>
    <d v="2023-03-31T00:00:00"/>
    <d v="2023-03-20T00:00:00"/>
    <s v="1475891"/>
    <x v="3"/>
    <s v="5"/>
    <s v="5-1"/>
    <m/>
    <m/>
    <s v="Good Boy Tires and Service Center Inc. "/>
    <s v="To payment of Spare parts of Service Vehicle Plate No. TQA 521 to be used by NIA-Pangasinan IMO"/>
    <x v="2"/>
    <x v="2"/>
    <m/>
    <n v="110"/>
    <m/>
    <n v="-64465.47"/>
  </r>
  <r>
    <d v="2023-03-31T00:00:00"/>
    <d v="2023-03-20T00:00:00"/>
    <s v="1475891"/>
    <x v="3"/>
    <s v="5"/>
    <s v="5-1"/>
    <m/>
    <m/>
    <s v="Good Boy Tires and Service Center Inc. "/>
    <s v="To payment of Spare parts of Service Vehicle Plate No. TQA 521 to be used by NIA-Pangasinan IMO"/>
    <x v="3"/>
    <x v="3"/>
    <m/>
    <n v="2068"/>
    <m/>
    <n v="-66533.47"/>
  </r>
  <r>
    <d v="2023-03-31T00:00:00"/>
    <d v="2023-03-27T00:00:00"/>
    <s v="1475892"/>
    <x v="3"/>
    <s v="5"/>
    <s v="5-1"/>
    <m/>
    <m/>
    <s v="H.D.M.F"/>
    <s v="To remit HDMF Premiums for personal share of John R. Bergado &amp; 8 others (Job Order) of NIA-Pangasinan, Urdaneta City, Pangasinan for the month of March, 2023"/>
    <x v="18"/>
    <x v="18"/>
    <n v="2200"/>
    <m/>
    <s v="ASA # 220052 Capital Outlay (Calmay SPIP)"/>
    <n v="-15478.85"/>
  </r>
  <r>
    <d v="2023-03-31T00:00:00"/>
    <d v="2023-03-27T00:00:00"/>
    <s v="1475892"/>
    <x v="3"/>
    <s v="5"/>
    <s v="5-1"/>
    <m/>
    <m/>
    <s v="H.D.M.F"/>
    <s v="To remit HDMF Premiums for personal share of John R. Bergado &amp; 8 others (Job Order) of NIA-Pangasinan, Urdaneta City, Pangasinan for the month of March, 2023"/>
    <x v="3"/>
    <x v="3"/>
    <m/>
    <n v="2200"/>
    <m/>
    <n v="-17678.849999999999"/>
  </r>
  <r>
    <d v="2023-03-31T00:00:00"/>
    <d v="2023-03-27T00:00:00"/>
    <s v="1475893"/>
    <x v="3"/>
    <s v="5"/>
    <s v="5-1"/>
    <m/>
    <m/>
    <s v="Philippine Health Insurance Corporation"/>
    <s v="To remit the monthly contribution of PHIC Premiums of John R. Bergado &amp; 6 other (Job Order) of NIA-Pangasinan IMO, Urdaneta City for the month of March, 2023"/>
    <x v="12"/>
    <x v="12"/>
    <n v="3830.51"/>
    <m/>
    <s v="ASA # 220052 Capital Outlay (Calmay SPIP)"/>
    <n v="-13848.34"/>
  </r>
  <r>
    <d v="2023-03-31T00:00:00"/>
    <d v="2023-03-27T00:00:00"/>
    <s v="1475893"/>
    <x v="3"/>
    <s v="5"/>
    <s v="5-1"/>
    <m/>
    <m/>
    <s v="Philippine Health Insurance Corporation"/>
    <s v="To remit the monthly contribution of PHIC Premiums of John R. Bergado &amp; 6 other (Job Order) of NIA-Pangasinan IMO, Urdaneta City for the month of March, 2023"/>
    <x v="3"/>
    <x v="3"/>
    <m/>
    <n v="3830.51"/>
    <m/>
    <n v="-17678.849999999999"/>
  </r>
  <r>
    <d v="2023-03-31T00:00:00"/>
    <d v="2023-03-27T00:00:00"/>
    <s v="1475894"/>
    <x v="3"/>
    <s v="5"/>
    <s v="5-1"/>
    <m/>
    <m/>
    <s v="NIA Region 1 Employees Multi-Purpose Cooperative"/>
    <s v="To payment for NIA Multi-Purpose loan of Richard C. De Guzman &amp; 2 others (Job Order) of NIA-Pangasinan IMO, Urdaneta City covering the month of March 2023"/>
    <x v="24"/>
    <x v="24"/>
    <n v="7091.66"/>
    <m/>
    <s v="ASA # 220052 Capital Outlay (Calmay SPIP)"/>
    <n v="-10587.19"/>
  </r>
  <r>
    <d v="2023-03-31T00:00:00"/>
    <d v="2023-03-27T00:00:00"/>
    <s v="1475894"/>
    <x v="3"/>
    <s v="5"/>
    <s v="5-1"/>
    <m/>
    <m/>
    <s v="NIA Region 1 Employees Multi-Purpose Cooperative"/>
    <s v="To payment for NIA Multi-Purpose loan of Richard C. De Guzman &amp; 2 others (Job Order) of NIA-Pangasinan IMO, Urdaneta City covering the month of March 2023"/>
    <x v="3"/>
    <x v="3"/>
    <m/>
    <n v="7091.66"/>
    <m/>
    <n v="-17678.849999999999"/>
  </r>
  <r>
    <d v="2023-03-31T00:00:00"/>
    <d v="2023-03-27T00:00:00"/>
    <s v="1475895"/>
    <x v="3"/>
    <s v="5"/>
    <s v="5-1"/>
    <m/>
    <m/>
    <s v="NIA Region 1 Employees Multi-Purpose Cooperative"/>
    <s v="To payment for NIA Multi-Purpose loan of Richard C. De Guzman &amp; 2 others (Job Order) of NIA-Pangasinan IMO, Urdaneta City covering the month of February 2023"/>
    <x v="24"/>
    <x v="24"/>
    <n v="7129.16"/>
    <m/>
    <s v="ASA # 220052 Capital Outlay (Calmay SPIP)"/>
    <n v="-10549.69"/>
  </r>
  <r>
    <d v="2023-03-31T00:00:00"/>
    <d v="2023-03-27T00:00:00"/>
    <s v="1475895"/>
    <x v="3"/>
    <s v="5"/>
    <s v="5-1"/>
    <m/>
    <m/>
    <s v="NIA Region 1 Employees Multi-Purpose Cooperative"/>
    <s v="To payment for NIA Multi-Purpose loan of Richard C. De Guzman &amp; 2 others (Job Order) of NIA-Pangasinan IMO, Urdaneta City covering the month of February 2023"/>
    <x v="3"/>
    <x v="3"/>
    <m/>
    <n v="7129.16"/>
    <m/>
    <n v="-17678.849999999999"/>
  </r>
  <r>
    <d v="2023-03-31T00:00:00"/>
    <d v="2023-03-27T00:00:00"/>
    <s v="1475896"/>
    <x v="3"/>
    <s v="5"/>
    <s v="5-1"/>
    <m/>
    <m/>
    <s v="H.D.M.F"/>
    <s v="To remit HDMF Loan (MPL) of Richard D. De Guzman &amp; 1 other (Job Order) of NIA-Pangasinan IMO, Urdaneta City for the month of March 2023"/>
    <x v="23"/>
    <x v="23"/>
    <n v="1989.56"/>
    <m/>
    <s v="ASA # 220052 Capital Outlay (Calmay SPIP)"/>
    <n v="-15689.29"/>
  </r>
  <r>
    <d v="2023-03-31T00:00:00"/>
    <d v="2023-03-27T00:00:00"/>
    <s v="1475896"/>
    <x v="3"/>
    <s v="5"/>
    <s v="5-1"/>
    <m/>
    <m/>
    <s v="H.D.M.F"/>
    <s v="To remit HDMF Loan (MPL) of Richard D. De Guzman &amp; 1 other (Job Order) of NIA-Pangasinan IMO, Urdaneta City for the month of March 2023"/>
    <x v="3"/>
    <x v="3"/>
    <m/>
    <n v="1989.56"/>
    <m/>
    <n v="-17678.849999999999"/>
  </r>
  <r>
    <d v="2023-03-31T00:00:00"/>
    <d v="2023-03-27T00:00:00"/>
    <s v="1475897"/>
    <x v="3"/>
    <s v="5"/>
    <s v="5-1"/>
    <m/>
    <m/>
    <s v="Loreto's Kitchenette"/>
    <s v="To payment of Meals &amp; Snacks served during the conduct of CY 2022 Year End Assessment and Workshop for FY 2023 and ARF Fund Proposed Projects of CARP-IC 2nd Batch on February 9, 2023 at Alaminos City, Pangasinan"/>
    <x v="6"/>
    <x v="6"/>
    <n v="43500"/>
    <m/>
    <s v="ASA # 230005 MOOE (4,695.00) &amp; 230024 MOOE (38,805.00)"/>
    <n v="25821.15"/>
  </r>
  <r>
    <d v="2023-03-31T00:00:00"/>
    <d v="2023-03-27T00:00:00"/>
    <s v="1475897"/>
    <x v="3"/>
    <s v="5"/>
    <s v="5-1"/>
    <m/>
    <m/>
    <s v="Loreto's Kitchenette"/>
    <s v="To payment of Meals &amp; Snacks served during the conduct of CY 2022 Year End Assessment and Workshop for FY 2023 and ARF Fund Proposed Projects of CARP-IC 2nd Batch on February 9, 2023 at Alaminos City, Pangasinan"/>
    <x v="7"/>
    <x v="7"/>
    <m/>
    <n v="870"/>
    <m/>
    <n v="24951.15"/>
  </r>
  <r>
    <d v="2023-03-31T00:00:00"/>
    <d v="2023-03-27T00:00:00"/>
    <s v="1475897"/>
    <x v="3"/>
    <s v="5"/>
    <s v="5-1"/>
    <m/>
    <m/>
    <s v="Loreto's Kitchenette"/>
    <s v="To payment of Meals &amp; Snacks served during the conduct of CY 2022 Year End Assessment and Workshop for FY 2023 and ARF Fund Proposed Projects of CARP-IC 2nd Batch on February 9, 2023 at Alaminos City, Pangasinan"/>
    <x v="2"/>
    <x v="2"/>
    <m/>
    <n v="2175"/>
    <m/>
    <n v="-19853.849999999999"/>
  </r>
  <r>
    <d v="2023-03-31T00:00:00"/>
    <d v="2023-03-27T00:00:00"/>
    <s v="1475897"/>
    <x v="3"/>
    <s v="5"/>
    <s v="5-1"/>
    <m/>
    <m/>
    <s v="Loreto's Kitchenette"/>
    <s v="To payment of Meals &amp; Snacks served during the conduct of CY 2022 Year End Assessment and Workshop for FY 2023 and ARF Fund Proposed Projects of CARP-IC 2nd Batch on February 9, 2023 at Alaminos City, Pangasinan"/>
    <x v="3"/>
    <x v="3"/>
    <m/>
    <n v="40455"/>
    <m/>
    <n v="-60308.85"/>
  </r>
  <r>
    <d v="2023-03-31T00:00:00"/>
    <d v="2023-03-30T00:00:00"/>
    <s v="1475898"/>
    <x v="3"/>
    <s v="5"/>
    <s v="5-1"/>
    <m/>
    <m/>
    <s v="Emerson A. Delos Santos"/>
    <s v="To reimburse the amount paid for purchased ecobags "/>
    <x v="6"/>
    <x v="6"/>
    <n v="1750"/>
    <m/>
    <s v="ASA # 220052 Capital Outlay (Calmay SPIP)"/>
    <n v="-58558.85"/>
  </r>
  <r>
    <d v="2023-03-31T00:00:00"/>
    <d v="2023-03-30T00:00:00"/>
    <s v="1475898"/>
    <x v="3"/>
    <s v="5"/>
    <s v="5-1"/>
    <m/>
    <m/>
    <s v="Emerson A. Delos Santos"/>
    <s v="To reimburse the amount paid for purchased ecobags "/>
    <x v="3"/>
    <x v="3"/>
    <m/>
    <n v="1750"/>
    <m/>
    <n v="-60308.85"/>
  </r>
  <r>
    <d v="2023-03-31T00:00:00"/>
    <d v="2023-03-30T00:00:00"/>
    <s v="1475899"/>
    <x v="3"/>
    <s v="5"/>
    <s v="5-1"/>
    <m/>
    <m/>
    <s v="NIA-COB"/>
    <s v="To payment for Training Hall for the conduct of CY 2022 Year-End Assessment and Workshop for FY 2023 Regualr and ARF Proposed Projects"/>
    <x v="6"/>
    <x v="6"/>
    <n v="2000"/>
    <m/>
    <s v="ASA # 230024 MOOE"/>
    <n v="2000"/>
  </r>
  <r>
    <d v="2023-03-31T00:00:00"/>
    <d v="2023-03-30T00:00:00"/>
    <s v="1475899"/>
    <x v="3"/>
    <s v="5"/>
    <s v="5-1"/>
    <m/>
    <m/>
    <s v="NIA-COB"/>
    <s v="To payment for Training Hall for the conduct of CY 2022 Year-End Assessment and Workshop for FY 2023 Regualr and ARF Proposed Projects"/>
    <x v="3"/>
    <x v="3"/>
    <m/>
    <n v="2000"/>
    <m/>
    <n v="0"/>
  </r>
  <r>
    <d v="2023-03-31T00:00:00"/>
    <d v="2023-03-31T00:00:00"/>
    <s v="1475900"/>
    <x v="3"/>
    <s v="5"/>
    <s v="5-1"/>
    <m/>
    <m/>
    <s v="LBP for Account of Bureau of Internal Revenue"/>
    <s v="To remit Withholding Tax (1% &amp; 2%) deducted from suppliers / contractors of NIA-pangasinan IMO covering the period of March 2023"/>
    <x v="1"/>
    <x v="1"/>
    <n v="6370.17"/>
    <m/>
    <m/>
    <n v="6370.17"/>
  </r>
  <r>
    <d v="2023-03-31T00:00:00"/>
    <d v="2023-03-31T00:00:00"/>
    <s v="1475900"/>
    <x v="3"/>
    <s v="5"/>
    <s v="5-1"/>
    <m/>
    <m/>
    <s v="LBP for Account of Bureau of Internal Revenue"/>
    <s v="To remit Withholding Tax (1% &amp; 2%) deducted from suppliers / contractors of NIA-pangasinan IMO covering the period of March 2023"/>
    <x v="7"/>
    <x v="7"/>
    <n v="29155.74"/>
    <m/>
    <m/>
    <n v="35525.910000000003"/>
  </r>
  <r>
    <d v="2023-03-31T00:00:00"/>
    <d v="2023-03-31T00:00:00"/>
    <s v="1475900"/>
    <x v="3"/>
    <s v="5"/>
    <s v="5-1"/>
    <m/>
    <m/>
    <s v="LBP for Account of Bureau of Internal Revenue"/>
    <s v="To remit Withholding Tax (1% &amp; 2%) deducted from suppliers / contractors of NIA-pangasinan IMO covering the period of March 2023"/>
    <x v="3"/>
    <x v="3"/>
    <m/>
    <n v="35525.910000000003"/>
    <m/>
    <n v="-35525.910000000003"/>
  </r>
  <r>
    <d v="2023-03-31T00:00:00"/>
    <d v="2023-03-31T00:00:00"/>
    <s v="1763301"/>
    <x v="3"/>
    <s v="5"/>
    <s v="5-1"/>
    <m/>
    <m/>
    <s v="LBP for Account of Bureau of Internal Revenue"/>
    <s v="To remit Withholding Tax (5%) deducted from suppliers/contractors of NIA-Pangasinan IMO covering the period of March 2023 "/>
    <x v="1"/>
    <x v="1"/>
    <n v="518"/>
    <m/>
    <m/>
    <n v="-35007.910000000003"/>
  </r>
  <r>
    <d v="2023-03-31T00:00:00"/>
    <d v="2023-03-31T00:00:00"/>
    <s v="1763301"/>
    <x v="3"/>
    <s v="5"/>
    <s v="5-1"/>
    <m/>
    <m/>
    <s v="LBP for Account of Bureau of Internal Revenue"/>
    <s v="To remit Withholding Tax (5%) deducted from suppliers/contractors of NIA-Pangasinan IMO covering the period of March 2023 "/>
    <x v="2"/>
    <x v="2"/>
    <n v="101625.18"/>
    <m/>
    <m/>
    <n v="66617.27"/>
  </r>
  <r>
    <d v="2023-03-31T00:00:00"/>
    <d v="2023-03-31T00:00:00"/>
    <s v="1763301"/>
    <x v="3"/>
    <s v="5"/>
    <s v="5-1"/>
    <m/>
    <m/>
    <s v="LBP for Account of Bureau of Internal Revenue"/>
    <s v="To remit Withholding Tax (5%) deducted from suppliers/contractors of NIA-Pangasinan IMO covering the period of March 2023 "/>
    <x v="3"/>
    <x v="3"/>
    <m/>
    <n v="102143.18"/>
    <m/>
    <n v="-35525.910000000003"/>
  </r>
  <r>
    <d v="2023-03-31T00:00:00"/>
    <d v="2023-03-31T00:00:00"/>
    <s v="1763302"/>
    <x v="3"/>
    <s v="5"/>
    <s v="5-1"/>
    <m/>
    <m/>
    <s v="Cancelled"/>
    <m/>
    <x v="5"/>
    <x v="5"/>
    <m/>
    <m/>
    <m/>
    <n v="-35525.910000000003"/>
  </r>
  <r>
    <d v="2023-03-31T00:00:00"/>
    <d v="2023-03-31T00:00:00"/>
    <s v="1763303"/>
    <x v="3"/>
    <s v="5"/>
    <s v="5-1"/>
    <m/>
    <m/>
    <s v="Bureau of Treasury Acct. No. 3402-2636-78"/>
    <s v="To remit interest income under Fund 501 CARP for the 1st Quarter of CY 2023"/>
    <x v="29"/>
    <x v="29"/>
    <n v="811.54"/>
    <m/>
    <m/>
    <n v="-34714.370000000003"/>
  </r>
  <r>
    <d v="2023-03-31T00:00:00"/>
    <d v="2023-03-31T00:00:00"/>
    <s v="1763303"/>
    <x v="3"/>
    <s v="5"/>
    <s v="5-1"/>
    <m/>
    <m/>
    <s v="Bureau of Treasury Acct. No. 3402-2636-78"/>
    <s v="To remit interest income under Fund 501 CARP for the 1st Quarter of CY 2023"/>
    <x v="3"/>
    <x v="3"/>
    <m/>
    <n v="811.54"/>
    <m/>
    <n v="-35525.910000000003"/>
  </r>
  <r>
    <d v="2023-04-30T00:00:00"/>
    <d v="2023-04-03T00:00:00"/>
    <s v="1763304"/>
    <x v="4"/>
    <s v="5"/>
    <s v="5-1"/>
    <m/>
    <m/>
    <s v="Celbros Construction and Supplies"/>
    <s v="Fourth partial payment of contract under R1-PIMO-22-03-041 in connection with the Minosicuan CIS (CARP IC CY 2022) located in Umingan, Pangasinan"/>
    <x v="8"/>
    <x v="8"/>
    <n v="1223931.3700000001"/>
    <m/>
    <s v="220076 Capital Outlay Minosicuan CIS - CW"/>
    <n v="1188405.46"/>
  </r>
  <r>
    <d v="2023-04-30T00:00:00"/>
    <d v="2023-04-03T00:00:00"/>
    <s v="1763304"/>
    <x v="4"/>
    <s v="5"/>
    <s v="5-1"/>
    <m/>
    <m/>
    <s v="Celbros Construction and Supplies"/>
    <s v="Fourth partial payment of contract under R1-PIMO-22-03-041 in connection with the Minosicuan CIS (CARP IC CY 2022) located in Umingan, Pangasinan"/>
    <x v="2"/>
    <x v="2"/>
    <m/>
    <n v="54639.79"/>
    <m/>
    <n v="1133765.67"/>
  </r>
  <r>
    <d v="2023-04-30T00:00:00"/>
    <d v="2023-04-03T00:00:00"/>
    <s v="1763304"/>
    <x v="4"/>
    <s v="5"/>
    <s v="5-1"/>
    <m/>
    <m/>
    <s v="Celbros Construction and Supplies"/>
    <s v="Fourth partial payment of contract under R1-PIMO-22-03-041 in connection with the Minosicuan CIS (CARP IC CY 2022) located in Umingan, Pangasinan"/>
    <x v="7"/>
    <x v="7"/>
    <m/>
    <n v="21855.919999999998"/>
    <m/>
    <n v="1111909.75"/>
  </r>
  <r>
    <d v="2023-04-30T00:00:00"/>
    <d v="2023-04-03T00:00:00"/>
    <s v="1763304"/>
    <x v="4"/>
    <s v="5"/>
    <s v="5-1"/>
    <m/>
    <m/>
    <s v="Celbros Construction and Supplies"/>
    <s v="Fourth partial payment of contract under R1-PIMO-22-03-041 in connection with the Minosicuan CIS (CARP IC CY 2022) located in Umingan, Pangasinan"/>
    <x v="10"/>
    <x v="10"/>
    <m/>
    <n v="182866.82"/>
    <m/>
    <n v="929042.93"/>
  </r>
  <r>
    <d v="2023-04-30T00:00:00"/>
    <d v="2023-04-03T00:00:00"/>
    <s v="1763304"/>
    <x v="4"/>
    <s v="5"/>
    <s v="5-1"/>
    <m/>
    <m/>
    <s v="Celbros Construction and Supplies"/>
    <s v="Fourth partial payment of contract under R1-PIMO-22-03-041 in connection with the Minosicuan CIS (CARP IC CY 2022) located in Umingan, Pangasinan"/>
    <x v="3"/>
    <x v="3"/>
    <m/>
    <n v="964568.84"/>
    <m/>
    <n v="-35525.910000000003"/>
  </r>
  <r>
    <d v="2023-04-30T00:00:00"/>
    <d v="2023-04-04T00:00:00"/>
    <s v="Payroll202304010"/>
    <x v="4"/>
    <s v="5"/>
    <s v="5-1"/>
    <m/>
    <m/>
    <s v="John R. Bergado &amp; 8 others"/>
    <s v="To payment of wages of John R. Bergado &amp; 8 others (Job Order) of NIA-Pangasinan IMO, Urdaneta City, Pangasinan for the period March 16-31, 2023"/>
    <x v="4"/>
    <x v="4"/>
    <n v="56272.52"/>
    <m/>
    <s v="220044 Capital Outlay -Malimpin SPIP-CW"/>
    <n v="20746.61"/>
  </r>
  <r>
    <d v="2023-04-30T00:00:00"/>
    <d v="2023-04-04T00:00:00"/>
    <s v="Payroll202304010"/>
    <x v="4"/>
    <s v="5"/>
    <s v="5-1"/>
    <m/>
    <m/>
    <s v="John R. Bergado &amp; 8 others"/>
    <s v="To payment of wages of John R. Bergado &amp; 8 others (Job Order) of NIA-Pangasinan IMO, Urdaneta City, Pangasinan for the period March 16-31, 2023"/>
    <x v="24"/>
    <x v="24"/>
    <m/>
    <n v="7029.16"/>
    <m/>
    <n v="13717.45"/>
  </r>
  <r>
    <d v="2023-04-30T00:00:00"/>
    <d v="2023-04-04T00:00:00"/>
    <s v="Payroll202304010"/>
    <x v="4"/>
    <s v="5"/>
    <s v="5-1"/>
    <m/>
    <m/>
    <s v="John R. Bergado &amp; 8 others"/>
    <s v="To payment of wages of John R. Bergado &amp; 8 others (Job Order) of NIA-Pangasinan IMO, Urdaneta City, Pangasinan for the period March 16-31, 2023"/>
    <x v="3"/>
    <x v="3"/>
    <m/>
    <n v="49243.360000000001"/>
    <m/>
    <n v="-84769.27"/>
  </r>
  <r>
    <d v="2023-04-30T00:00:00"/>
    <d v="2023-04-04T00:00:00"/>
    <s v="DebitMemoCostofCheck0401"/>
    <x v="4"/>
    <s v="5"/>
    <s v="5-1"/>
    <m/>
    <m/>
    <s v="Cost of Check Booklet"/>
    <s v="Payment of Check Booklet"/>
    <x v="4"/>
    <x v="4"/>
    <n v="1200"/>
    <m/>
    <s v="230024 MOOE"/>
    <n v="-83569.27"/>
  </r>
  <r>
    <d v="2023-04-30T00:00:00"/>
    <d v="2023-04-04T00:00:00"/>
    <s v="DebitMemoCostofCheck0401"/>
    <x v="4"/>
    <s v="5"/>
    <s v="5-1"/>
    <m/>
    <m/>
    <s v="Cost of Check Booklet"/>
    <s v="Payment of Check Booklet"/>
    <x v="3"/>
    <x v="3"/>
    <m/>
    <n v="1200"/>
    <m/>
    <n v="-84769.27"/>
  </r>
  <r>
    <d v="2023-04-30T00:00:00"/>
    <d v="2023-04-14T00:00:00"/>
    <s v="Payroll202304011"/>
    <x v="4"/>
    <s v="5"/>
    <s v="5-1"/>
    <m/>
    <m/>
    <s v="Emerson A. Delos Santos &amp; 1 other"/>
    <s v="To payment of Salaries and Allowances of E. Delos Santos &amp; 1 other of NIA-Pangasinan IMO (CARP) Urdaneta City, Pangasinan for the period April 2023"/>
    <x v="20"/>
    <x v="20"/>
    <n v="58320"/>
    <m/>
    <s v="230008 (March) - 12,873.13 &amp; 230068 (April) 49,446.87 PS"/>
    <n v="-26449.27"/>
  </r>
  <r>
    <d v="2023-04-30T00:00:00"/>
    <d v="2023-04-14T00:00:00"/>
    <s v="Payroll202304011"/>
    <x v="4"/>
    <s v="5"/>
    <s v="5-1"/>
    <m/>
    <m/>
    <s v="Emerson A. Delos Santos &amp; 1 other"/>
    <s v="To payment of Salaries and Allowances of E. Delos Santos &amp; 1 other of NIA-Pangasinan IMO (CARP) Urdaneta City, Pangasinan for the period April 2023"/>
    <x v="21"/>
    <x v="21"/>
    <n v="4000"/>
    <m/>
    <m/>
    <n v="-22449.27"/>
  </r>
  <r>
    <d v="2023-04-30T00:00:00"/>
    <d v="2023-04-14T00:00:00"/>
    <s v="Payroll202304011"/>
    <x v="4"/>
    <s v="5"/>
    <s v="5-1"/>
    <m/>
    <m/>
    <s v="Emerson A. Delos Santos &amp; 1 other"/>
    <s v="To payment of Salaries and Allowances of E. Delos Santos &amp; 1 other of NIA-Pangasinan IMO (CARP) Urdaneta City, Pangasinan for the period April 2023"/>
    <x v="16"/>
    <x v="16"/>
    <m/>
    <n v="1330.76"/>
    <m/>
    <n v="-23780.03"/>
  </r>
  <r>
    <d v="2023-04-30T00:00:00"/>
    <d v="2023-04-14T00:00:00"/>
    <s v="Payroll202304011"/>
    <x v="4"/>
    <s v="5"/>
    <s v="5-1"/>
    <m/>
    <m/>
    <s v="Emerson A. Delos Santos &amp; 1 other"/>
    <s v="To payment of Salaries and Allowances of E. Delos Santos &amp; 1 other of NIA-Pangasinan IMO (CARP) Urdaneta City, Pangasinan for the period April 2023"/>
    <x v="15"/>
    <x v="15"/>
    <m/>
    <n v="5248.8"/>
    <m/>
    <n v="-31698.07"/>
  </r>
  <r>
    <d v="2023-04-30T00:00:00"/>
    <d v="2023-04-14T00:00:00"/>
    <s v="Payroll202304011"/>
    <x v="4"/>
    <s v="5"/>
    <s v="5-1"/>
    <m/>
    <m/>
    <s v="Emerson A. Delos Santos &amp; 1 other"/>
    <s v="To payment of Salaries and Allowances of E. Delos Santos &amp; 1 other of NIA-Pangasinan IMO (CARP) Urdaneta City, Pangasinan for the period April 2023"/>
    <x v="18"/>
    <x v="18"/>
    <m/>
    <n v="1166.4000000000001"/>
    <m/>
    <n v="-32864.47"/>
  </r>
  <r>
    <d v="2023-04-30T00:00:00"/>
    <d v="2023-04-14T00:00:00"/>
    <s v="Payroll202304011"/>
    <x v="4"/>
    <s v="5"/>
    <s v="5-1"/>
    <m/>
    <m/>
    <s v="Emerson A. Delos Santos &amp; 1 other"/>
    <s v="To payment of Salaries and Allowances of E. Delos Santos &amp; 1 other of NIA-Pangasinan IMO (CARP) Urdaneta City, Pangasinan for the period April 2023"/>
    <x v="19"/>
    <x v="19"/>
    <m/>
    <n v="4000"/>
    <m/>
    <n v="-30449.27"/>
  </r>
  <r>
    <d v="2023-04-30T00:00:00"/>
    <d v="2023-04-14T00:00:00"/>
    <s v="Payroll202304011"/>
    <x v="4"/>
    <s v="5"/>
    <s v="5-1"/>
    <m/>
    <m/>
    <s v="Emerson A. Delos Santos &amp; 1 other"/>
    <s v="To payment of Salaries and Allowances of E. Delos Santos &amp; 1 other of NIA-Pangasinan IMO (CARP) Urdaneta City, Pangasinan for the period April 2023"/>
    <x v="12"/>
    <x v="12"/>
    <m/>
    <n v="1166.4000000000001"/>
    <m/>
    <n v="-31615.67"/>
  </r>
  <r>
    <d v="2023-04-30T00:00:00"/>
    <d v="2023-04-14T00:00:00"/>
    <s v="Payroll202304011"/>
    <x v="4"/>
    <s v="5"/>
    <s v="5-1"/>
    <m/>
    <m/>
    <s v="Emerson A. Delos Santos &amp; 1 other"/>
    <s v="To payment of Salaries and Allowances of E. Delos Santos &amp; 1 other of NIA-Pangasinan IMO (CARP) Urdaneta City, Pangasinan for the period April 2023"/>
    <x v="3"/>
    <x v="3"/>
    <m/>
    <n v="49407.64"/>
    <m/>
    <n v="-75856.91"/>
  </r>
  <r>
    <d v="2023-04-30T00:00:00"/>
    <d v="2023-04-19T00:00:00"/>
    <s v="1763305"/>
    <x v="4"/>
    <s v="5"/>
    <s v="5-1"/>
    <m/>
    <m/>
    <s v="Izbarinos Corporation"/>
    <s v="To payment of diesel fuel for use of various vehicles assigned for Project of Irrigation System NIA Pangasinan IMO IDS for the period March 1-15, 2023"/>
    <x v="27"/>
    <x v="27"/>
    <n v="4977.17"/>
    <m/>
    <s v="220052 Capital Outlay Calmay SPIP-CW"/>
    <n v="-79792.100000000006"/>
  </r>
  <r>
    <d v="2023-04-30T00:00:00"/>
    <d v="2023-04-19T00:00:00"/>
    <s v="1763305"/>
    <x v="4"/>
    <s v="5"/>
    <s v="5-1"/>
    <m/>
    <m/>
    <s v="Izbarinos Corporation"/>
    <s v="To payment of diesel fuel for use of various vehicles assigned for Project of Irrigation System NIA Pangasinan IMO IDS for the period March 1-15, 2023"/>
    <x v="1"/>
    <x v="1"/>
    <m/>
    <n v="44.44"/>
    <m/>
    <n v="-79836.539999999994"/>
  </r>
  <r>
    <d v="2023-04-30T00:00:00"/>
    <d v="2023-04-19T00:00:00"/>
    <s v="1763305"/>
    <x v="4"/>
    <s v="5"/>
    <s v="5-1"/>
    <m/>
    <m/>
    <s v="Izbarinos Corporation"/>
    <s v="To payment of diesel fuel for use of various vehicles assigned for Project of Irrigation System NIA Pangasinan IMO IDS for the period March 1-15, 2023"/>
    <x v="2"/>
    <x v="2"/>
    <m/>
    <n v="222.2"/>
    <m/>
    <n v="-80058.740000000005"/>
  </r>
  <r>
    <d v="2023-04-30T00:00:00"/>
    <d v="2023-04-19T00:00:00"/>
    <s v="1763305"/>
    <x v="4"/>
    <s v="5"/>
    <s v="5-1"/>
    <m/>
    <m/>
    <s v="Izbarinos Corporation"/>
    <s v="To payment of diesel fuel for use of various vehicles assigned for Project of Irrigation System NIA Pangasinan IMO IDS for the period March 1-15, 2023"/>
    <x v="3"/>
    <x v="3"/>
    <m/>
    <n v="4710.53"/>
    <m/>
    <n v="-84769.27"/>
  </r>
  <r>
    <d v="2023-04-30T00:00:00"/>
    <d v="2023-04-20T00:00:00"/>
    <s v="Payroll202304012"/>
    <x v="4"/>
    <s v="5"/>
    <s v="5-1"/>
    <m/>
    <m/>
    <s v="John R. Bergado &amp; 9 others "/>
    <s v="To payment of wages of John R. Bergado &amp; 9 others (Job Order) of NIA-Pangasinan IMO, Urdaneta City, Pangasinan for the period April 1-15, 2023"/>
    <x v="4"/>
    <x v="4"/>
    <n v="34275.57"/>
    <m/>
    <s v="220052 Capital Outlay Calmay SPIP-CW"/>
    <n v="-50493.7"/>
  </r>
  <r>
    <d v="2023-04-30T00:00:00"/>
    <d v="2023-04-20T00:00:00"/>
    <s v="Payroll202304012"/>
    <x v="4"/>
    <s v="5"/>
    <s v="5-1"/>
    <m/>
    <m/>
    <s v="John R. Bergado &amp; 9 others "/>
    <s v="To payment of wages of John R. Bergado &amp; 9 others (Job Order) of NIA-Pangasinan IMO, Urdaneta City, Pangasinan for the period April 1-15, 2023"/>
    <x v="18"/>
    <x v="18"/>
    <m/>
    <n v="2500"/>
    <m/>
    <n v="-52993.7"/>
  </r>
  <r>
    <d v="2023-04-30T00:00:00"/>
    <d v="2023-04-20T00:00:00"/>
    <s v="Payroll202304012"/>
    <x v="4"/>
    <s v="5"/>
    <s v="5-1"/>
    <m/>
    <m/>
    <s v="John R. Bergado &amp; 9 others "/>
    <s v="To payment of wages of John R. Bergado &amp; 9 others (Job Order) of NIA-Pangasinan IMO, Urdaneta City, Pangasinan for the period April 1-15, 2023"/>
    <x v="23"/>
    <x v="23"/>
    <m/>
    <n v="2825.02"/>
    <m/>
    <n v="-38350.93"/>
  </r>
  <r>
    <d v="2023-04-30T00:00:00"/>
    <d v="2023-04-20T00:00:00"/>
    <s v="Payroll202304012"/>
    <x v="4"/>
    <s v="5"/>
    <s v="5-1"/>
    <m/>
    <m/>
    <s v="John R. Bergado &amp; 9 others "/>
    <s v="To payment of wages of John R. Bergado &amp; 9 others (Job Order) of NIA-Pangasinan IMO, Urdaneta City, Pangasinan for the period April 1-15, 2023"/>
    <x v="12"/>
    <x v="12"/>
    <m/>
    <n v="4424.3900000000003"/>
    <m/>
    <n v="-42775.32"/>
  </r>
  <r>
    <d v="2023-04-30T00:00:00"/>
    <d v="2023-04-20T00:00:00"/>
    <s v="Payroll202304012"/>
    <x v="4"/>
    <s v="5"/>
    <s v="5-1"/>
    <m/>
    <m/>
    <s v="John R. Bergado &amp; 9 others "/>
    <s v="To payment of wages of John R. Bergado &amp; 9 others (Job Order) of NIA-Pangasinan IMO, Urdaneta City, Pangasinan for the period April 1-15, 2023"/>
    <x v="24"/>
    <x v="24"/>
    <m/>
    <n v="4925.63"/>
    <m/>
    <n v="-47700.95"/>
  </r>
  <r>
    <d v="2023-04-30T00:00:00"/>
    <d v="2023-04-20T00:00:00"/>
    <s v="Payroll202304012"/>
    <x v="4"/>
    <s v="5"/>
    <s v="5-1"/>
    <m/>
    <m/>
    <s v="John R. Bergado &amp; 9 others "/>
    <s v="To payment of wages of John R. Bergado &amp; 9 others (Job Order) of NIA-Pangasinan IMO, Urdaneta City, Pangasinan for the period April 1-15, 2023"/>
    <x v="3"/>
    <x v="3"/>
    <m/>
    <n v="19600.53"/>
    <m/>
    <n v="-67301.48"/>
  </r>
  <r>
    <d v="2023-04-30T00:00:00"/>
    <d v="2023-04-20T00:00:00"/>
    <s v="1763306"/>
    <x v="4"/>
    <s v="5"/>
    <s v="5-1"/>
    <m/>
    <m/>
    <s v="NIA Region 1 Employees Multi-Purpose Cooperative"/>
    <s v="To payment for Multi-purpose loan of Richard C. De Guzman &amp; 2 others (Job Order) of NIA-Pangasinan IMO, Urdaneta City covering the month of March 16-31, 2023"/>
    <x v="24"/>
    <x v="24"/>
    <n v="7029.16"/>
    <m/>
    <s v="220044 Capital Outlay-Malimpin SPIP- CW"/>
    <n v="-60272.32"/>
  </r>
  <r>
    <d v="2023-04-30T00:00:00"/>
    <d v="2023-04-20T00:00:00"/>
    <s v="1763306"/>
    <x v="4"/>
    <s v="5"/>
    <s v="5-1"/>
    <m/>
    <m/>
    <s v="NIA Region 1 Employees Multi-Purpose Cooperative"/>
    <s v="To payment for Multi-purpose loan of Richard C. De Guzman &amp; 2 others (Job Order) of NIA-Pangasinan IMO, Urdaneta City covering the month of March 16-31, 2023"/>
    <x v="3"/>
    <x v="3"/>
    <m/>
    <n v="7029.16"/>
    <m/>
    <n v="-67301.48"/>
  </r>
  <r>
    <d v="2023-04-30T00:00:00"/>
    <d v="2023-04-24T00:00:00"/>
    <s v="1763307"/>
    <x v="4"/>
    <s v="5"/>
    <s v="5-1"/>
    <m/>
    <m/>
    <s v="GSIS"/>
    <s v="To remit monthly GSIS premiums both personal &amp; government shares of E. Delos Santos &amp; 1 other of NIA Pangasinan IMO (CARP) Urdaneta City, Pangasinan for the period of April 2023"/>
    <x v="13"/>
    <x v="13"/>
    <n v="6998.4"/>
    <m/>
    <s v="230068 PS (April)"/>
    <n v="-60303.08"/>
  </r>
  <r>
    <d v="2023-04-30T00:00:00"/>
    <d v="2023-04-24T00:00:00"/>
    <s v="1763307"/>
    <x v="4"/>
    <s v="5"/>
    <s v="5-1"/>
    <m/>
    <m/>
    <s v="GSIS"/>
    <s v="To remit monthly GSIS premiums both personal &amp; government shares of E. Delos Santos &amp; 1 other of NIA Pangasinan IMO (CARP) Urdaneta City, Pangasinan for the period of April 2023"/>
    <x v="14"/>
    <x v="14"/>
    <n v="200"/>
    <m/>
    <m/>
    <n v="-35325.910000000003"/>
  </r>
  <r>
    <d v="2023-04-30T00:00:00"/>
    <d v="2023-04-24T00:00:00"/>
    <s v="1763307"/>
    <x v="4"/>
    <s v="5"/>
    <s v="5-1"/>
    <m/>
    <m/>
    <s v="GSIS"/>
    <s v="To remit monthly GSIS premiums both personal &amp; government shares of E. Delos Santos &amp; 1 other of NIA Pangasinan IMO (CARP) Urdaneta City, Pangasinan for the period of April 2023"/>
    <x v="15"/>
    <x v="15"/>
    <n v="5248.8"/>
    <m/>
    <m/>
    <n v="-30077.11"/>
  </r>
  <r>
    <d v="2023-04-30T00:00:00"/>
    <d v="2023-04-24T00:00:00"/>
    <s v="1763307"/>
    <x v="4"/>
    <s v="5"/>
    <s v="5-1"/>
    <m/>
    <m/>
    <s v="GSIS"/>
    <s v="To remit monthly GSIS premiums both personal &amp; government shares of E. Delos Santos &amp; 1 other of NIA Pangasinan IMO (CARP) Urdaneta City, Pangasinan for the period of April 2023"/>
    <x v="3"/>
    <x v="3"/>
    <m/>
    <n v="12447.2"/>
    <m/>
    <n v="-42524.31"/>
  </r>
  <r>
    <d v="2023-04-30T00:00:00"/>
    <d v="2023-04-24T00:00:00"/>
    <s v="1763308"/>
    <x v="4"/>
    <s v="5"/>
    <s v="5-1"/>
    <m/>
    <m/>
    <s v="HDMF"/>
    <s v="To remit monthly HDMF premiums both personal &amp; government shares of E. Delos Santos &amp; 1 other of NIA Pangasinan IMO (CARP) Urdaneta City, Pangasinan for the period of April 2023"/>
    <x v="17"/>
    <x v="17"/>
    <n v="200"/>
    <m/>
    <s v="230068 PS (April)"/>
    <n v="-42324.31"/>
  </r>
  <r>
    <d v="2023-04-30T00:00:00"/>
    <d v="2023-04-24T00:00:00"/>
    <s v="1763308"/>
    <x v="4"/>
    <s v="5"/>
    <s v="5-1"/>
    <m/>
    <m/>
    <s v="HDMF"/>
    <s v="To remit monthly HDMF premiums both personal &amp; government shares of E. Delos Santos &amp; 1 other of NIA Pangasinan IMO (CARP) Urdaneta City, Pangasinan for the period of April 2023"/>
    <x v="18"/>
    <x v="18"/>
    <n v="1166.4000000000001"/>
    <m/>
    <m/>
    <n v="-41157.910000000003"/>
  </r>
  <r>
    <d v="2023-04-30T00:00:00"/>
    <d v="2023-04-24T00:00:00"/>
    <s v="1763308"/>
    <x v="4"/>
    <s v="5"/>
    <s v="5-1"/>
    <m/>
    <m/>
    <s v="HDMF"/>
    <s v="To remit monthly HDMF premiums both personal &amp; government shares of E. Delos Santos &amp; 1 other of NIA Pangasinan IMO (CARP) Urdaneta City, Pangasinan for the period of April 2023"/>
    <x v="3"/>
    <x v="3"/>
    <m/>
    <n v="1366.4"/>
    <m/>
    <n v="-42524.31"/>
  </r>
  <r>
    <d v="2023-04-30T00:00:00"/>
    <d v="2023-04-24T00:00:00"/>
    <s v="1763309"/>
    <x v="4"/>
    <s v="5"/>
    <s v="5-1"/>
    <m/>
    <m/>
    <s v="LBP for Account of Bureau of Internal Revenue"/>
    <s v="To remit Withholding Tax on Compensation of E. Delos Santos &amp; 1 other of NIA Pangasinan IMO (CARP), Urdaneta City, Pangasinan for the period April 2023"/>
    <x v="16"/>
    <x v="16"/>
    <n v="1330.76"/>
    <m/>
    <s v="230068 PS (April)"/>
    <n v="-41193.550000000003"/>
  </r>
  <r>
    <d v="2023-04-30T00:00:00"/>
    <d v="2023-04-24T00:00:00"/>
    <s v="1763309"/>
    <x v="4"/>
    <s v="5"/>
    <s v="5-1"/>
    <m/>
    <m/>
    <s v="LBP for Account of Bureau of Internal Revenue"/>
    <s v="To remit Withholding Tax on Compensation of E. Delos Santos &amp; 1 other of NIA Pangasinan IMO (CARP), Urdaneta City, Pangasinan for the period April 2023"/>
    <x v="3"/>
    <x v="3"/>
    <m/>
    <n v="1330.76"/>
    <m/>
    <n v="-36856.67"/>
  </r>
  <r>
    <d v="2023-04-30T00:00:00"/>
    <d v="2023-04-24T00:00:00"/>
    <s v="1763310"/>
    <x v="4"/>
    <s v="5"/>
    <s v="5-1"/>
    <m/>
    <m/>
    <s v="HDMF"/>
    <s v="To remit monthly HDMF M2 E. Delos Santos &amp; 1 other of NIA-Pangasinan IMO (CARP), Urdaneta City, Pangasinan for the periof of April 2023"/>
    <x v="19"/>
    <x v="19"/>
    <n v="4000"/>
    <m/>
    <s v="230068 PS (April)"/>
    <n v="-32856.67"/>
  </r>
  <r>
    <d v="2023-04-30T00:00:00"/>
    <d v="2023-04-24T00:00:00"/>
    <s v="1763310"/>
    <x v="4"/>
    <s v="5"/>
    <s v="5-1"/>
    <m/>
    <m/>
    <s v="HDMF"/>
    <s v="To remit monthly HDMF M2 E. Delos Santos &amp; 1 other of NIA-Pangasinan IMO (CARP), Urdaneta City, Pangasinan for the periof of April 2023"/>
    <x v="3"/>
    <x v="3"/>
    <m/>
    <n v="4000"/>
    <m/>
    <n v="-36856.67"/>
  </r>
  <r>
    <d v="2023-04-30T00:00:00"/>
    <d v="2023-04-24T00:00:00"/>
    <s v="1763311"/>
    <x v="4"/>
    <s v="5"/>
    <s v="5-1"/>
    <m/>
    <m/>
    <s v="NIA Region 1 Employees Multi-Purpose Cooperative"/>
    <s v="To payment for NIA Multi-purpose loan of Richard C. De Guzman &amp; 2 others (Job Order) of NIA-Pangasinan IMO, Urdaneta City covering the month of April 1-15, 2023"/>
    <x v="24"/>
    <x v="24"/>
    <n v="4925.63"/>
    <m/>
    <s v="220052 Capital Outlay-Calmay SPIP-CW"/>
    <n v="-31931.040000000001"/>
  </r>
  <r>
    <d v="2023-04-30T00:00:00"/>
    <d v="2023-04-24T00:00:00"/>
    <s v="1763311"/>
    <x v="4"/>
    <s v="5"/>
    <s v="5-1"/>
    <m/>
    <m/>
    <s v="NIA Region 1 Employees Multi-Purpose Cooperative"/>
    <s v="To payment for NIA Multi-purpose loan of Richard C. De Guzman &amp; 2 others (Job Order) of NIA-Pangasinan IMO, Urdaneta City covering the month of April 1-15, 2023"/>
    <x v="3"/>
    <x v="3"/>
    <m/>
    <n v="4925.63"/>
    <m/>
    <n v="-36856.67"/>
  </r>
  <r>
    <d v="2023-04-30T00:00:00"/>
    <d v="2023-04-24T00:00:00"/>
    <s v="1763312"/>
    <x v="4"/>
    <s v="5"/>
    <s v="5-1"/>
    <m/>
    <m/>
    <s v="Philippine Health Insurance Corporation"/>
    <s v="To remit the monthly contribution of PHIC Premiums of John R. Bergado &amp; 6 other (Job Order) of NIA-Pangasinan IMO, Urdaneta City for the month of April, 2023"/>
    <x v="12"/>
    <x v="12"/>
    <n v="4424.3900000000003"/>
    <m/>
    <s v="220052 Capital Outlay-Calmay SPIP-CW"/>
    <n v="-32432.28"/>
  </r>
  <r>
    <d v="2023-04-30T00:00:00"/>
    <d v="2023-04-24T00:00:00"/>
    <s v="1763312"/>
    <x v="4"/>
    <s v="5"/>
    <s v="5-1"/>
    <m/>
    <m/>
    <s v="Philippine Health Insurance Corporation"/>
    <s v="To remit the monthly contribution of PHIC Premiums of John R. Bergado &amp; 6 other (Job Order) of NIA-Pangasinan IMO, Urdaneta City for the month of April, 2023"/>
    <x v="3"/>
    <x v="3"/>
    <m/>
    <n v="4424.3900000000003"/>
    <m/>
    <n v="-36856.67"/>
  </r>
  <r>
    <d v="2023-04-30T00:00:00"/>
    <d v="2023-04-24T00:00:00"/>
    <s v="1763313"/>
    <x v="4"/>
    <s v="5"/>
    <s v="5-1"/>
    <m/>
    <m/>
    <s v="HDMF"/>
    <s v="To remit HDMF Loan (MPL) of Richard D. De Guzman &amp; 2 others  (Job Order) of NIA-Pangasinan IMO, Urdaneta City for the month of April 2023"/>
    <x v="23"/>
    <x v="23"/>
    <n v="2825.02"/>
    <m/>
    <s v="220052 Capital Outlay-Calmay SPIP-CW"/>
    <n v="-32700.89"/>
  </r>
  <r>
    <d v="2023-04-30T00:00:00"/>
    <d v="2023-04-24T00:00:00"/>
    <s v="1763313"/>
    <x v="4"/>
    <s v="5"/>
    <s v="5-1"/>
    <m/>
    <m/>
    <s v="HDMF"/>
    <s v="To remit HDMF Loan (MPL) of Richard D. De Guzman &amp; 2 others  (Job Order) of NIA-Pangasinan IMO, Urdaneta City for the month of April 2023"/>
    <x v="3"/>
    <x v="3"/>
    <m/>
    <n v="2825.02"/>
    <m/>
    <n v="-35525.910000000003"/>
  </r>
  <r>
    <d v="2023-04-30T00:00:00"/>
    <d v="2023-04-24T00:00:00"/>
    <s v="1763314"/>
    <x v="4"/>
    <s v="5"/>
    <s v="5-1"/>
    <m/>
    <m/>
    <s v="HDMF"/>
    <s v="To remit HDMF Premiums for personal share of John R. Bergado &amp; 9 others (Job Order) of NIA-Pangasinan, Urdaneta City, Pangasinan for the month of April, 2023"/>
    <x v="18"/>
    <x v="18"/>
    <n v="2500"/>
    <m/>
    <s v="220052 Capital Outlay-Calmay SPIP-CW"/>
    <n v="-33025.910000000003"/>
  </r>
  <r>
    <d v="2023-04-30T00:00:00"/>
    <d v="2023-04-24T00:00:00"/>
    <s v="1763314"/>
    <x v="4"/>
    <s v="5"/>
    <s v="5-1"/>
    <m/>
    <m/>
    <s v="HDMF"/>
    <s v="To remit HDMF Premiums for personal share of John R. Bergado &amp; 9 others (Job Order) of NIA-Pangasinan, Urdaneta City, Pangasinan for the month of April, 2023"/>
    <x v="3"/>
    <x v="3"/>
    <m/>
    <n v="2500"/>
    <m/>
    <n v="-35525.910000000003"/>
  </r>
  <r>
    <d v="2023-04-30T00:00:00"/>
    <d v="2023-04-27T00:00:00"/>
    <s v="1763315"/>
    <x v="4"/>
    <s v="5"/>
    <s v="5-1"/>
    <m/>
    <m/>
    <s v="Izbarinos Corporation"/>
    <s v="To payment of diesel fuel for use of various vehicles assigned for Project of Irrigation System NIA Pangasinan IMO-IDU for the period of March 16-31, 2023"/>
    <x v="27"/>
    <x v="27"/>
    <n v="8760.69"/>
    <m/>
    <s v="220044 Capital Outlay-Malimpin SPIP- CW"/>
    <n v="-26765.22"/>
  </r>
  <r>
    <d v="2023-04-30T00:00:00"/>
    <d v="2023-04-27T00:00:00"/>
    <s v="1763315"/>
    <x v="4"/>
    <s v="5"/>
    <s v="5-1"/>
    <m/>
    <m/>
    <s v="Izbarinos Corporation"/>
    <s v="To payment of diesel fuel for use of various vehicles assigned for Project of Irrigation System NIA Pangasinan IMO-IDU for the period of March 16-31, 2023"/>
    <x v="1"/>
    <x v="1"/>
    <m/>
    <n v="78.22"/>
    <m/>
    <n v="-26843.439999999999"/>
  </r>
  <r>
    <d v="2023-04-30T00:00:00"/>
    <d v="2023-04-27T00:00:00"/>
    <s v="1763315"/>
    <x v="4"/>
    <s v="5"/>
    <s v="5-1"/>
    <m/>
    <m/>
    <s v="Izbarinos Corporation"/>
    <s v="To payment of diesel fuel for use of various vehicles assigned for Project of Irrigation System NIA Pangasinan IMO-IDU for the period of March 16-31, 2023"/>
    <x v="2"/>
    <x v="2"/>
    <m/>
    <n v="391.1"/>
    <m/>
    <n v="-35917.01"/>
  </r>
  <r>
    <d v="2023-04-30T00:00:00"/>
    <d v="2023-04-27T00:00:00"/>
    <s v="1763315"/>
    <x v="4"/>
    <s v="5"/>
    <s v="5-1"/>
    <m/>
    <m/>
    <s v="Izbarinos Corporation"/>
    <s v="To payment of diesel fuel for use of various vehicles assigned for Project of Irrigation System NIA Pangasinan IMO-IDU for the period of March 16-31, 2023"/>
    <x v="3"/>
    <x v="3"/>
    <m/>
    <n v="8291.3700000000008"/>
    <m/>
    <n v="-44208.38"/>
  </r>
  <r>
    <d v="2023-04-30T00:00:00"/>
    <d v="2023-04-28T00:00:00"/>
    <s v="DebitMemoPHIC04-03"/>
    <x v="4"/>
    <s v="5"/>
    <s v="5-1"/>
    <m/>
    <m/>
    <s v="Philippine Health Insurance Corporation"/>
    <s v="To remit monthly PHIC premiums both personal &amp; government shares of E. Delos Santos &amp;  1 other of NIA Pangasinan IMO (CARP) Urdaneta City, Pangasinan for the period April 2023"/>
    <x v="11"/>
    <x v="11"/>
    <n v="1166.4000000000001"/>
    <m/>
    <s v="230068 PS (April)"/>
    <n v="-34359.51"/>
  </r>
  <r>
    <d v="2023-04-30T00:00:00"/>
    <d v="2023-04-28T00:00:00"/>
    <s v="DebitMemoPHIC04-03"/>
    <x v="4"/>
    <s v="5"/>
    <s v="5-1"/>
    <m/>
    <m/>
    <s v="Philippine Health Insurance Corporation"/>
    <s v="To remit monthly PHIC premiums both personal &amp; government shares of E. Delos Santos &amp;  1 other of NIA Pangasinan IMO (CARP) Urdaneta City, Pangasinan for the period April 2023"/>
    <x v="12"/>
    <x v="12"/>
    <n v="1166.4000000000001"/>
    <m/>
    <m/>
    <n v="-33193.11"/>
  </r>
  <r>
    <d v="2023-04-30T00:00:00"/>
    <d v="2023-04-28T00:00:00"/>
    <s v="DebitMemoPHIC04-03"/>
    <x v="4"/>
    <s v="5"/>
    <s v="5-1"/>
    <m/>
    <m/>
    <s v="Philippine Health Insurance Corporation"/>
    <s v="To remit monthly PHIC premiums both personal &amp; government shares of E. Delos Santos &amp;  1 other of NIA Pangasinan IMO (CARP) Urdaneta City, Pangasinan for the period April 2023"/>
    <x v="3"/>
    <x v="3"/>
    <m/>
    <n v="2332.8000000000002"/>
    <m/>
    <n v="-36692.31"/>
  </r>
  <r>
    <d v="2023-04-30T00:00:00"/>
    <d v="2023-04-28T00:00:00"/>
    <s v="1763316"/>
    <x v="4"/>
    <s v="5"/>
    <s v="5-1"/>
    <m/>
    <m/>
    <s v="LBP for Account of Bureau of Internal Revenue"/>
    <s v="To remit Withholding Tax (1% &amp; 2%) deducted form suppliers / contractors of NIA-Pangasinan IMO covering the period April 2023"/>
    <x v="1"/>
    <x v="1"/>
    <n v="122.66"/>
    <m/>
    <s v="220076 Capital Outlay Minosicuan CIS - CW (21,855.92) 220052 Capital Outlay - Calmay SPIP -(44.44) &amp; 220044 Capital Outlay - Malimpin SPIP - (78.22)"/>
    <n v="-34236.85"/>
  </r>
  <r>
    <d v="2023-04-30T00:00:00"/>
    <d v="2023-04-28T00:00:00"/>
    <s v="1763316"/>
    <x v="4"/>
    <s v="5"/>
    <s v="5-1"/>
    <m/>
    <m/>
    <s v="LBP for Account of Bureau of Internal Revenue"/>
    <s v="To remit Withholding Tax (1% &amp; 2%) deducted form suppliers / contractors of NIA-Pangasinan IMO covering the period April 2023"/>
    <x v="7"/>
    <x v="7"/>
    <n v="21855.919999999998"/>
    <m/>
    <m/>
    <n v="-12503.59"/>
  </r>
  <r>
    <d v="2023-04-30T00:00:00"/>
    <d v="2023-04-28T00:00:00"/>
    <s v="1763316"/>
    <x v="4"/>
    <s v="5"/>
    <s v="5-1"/>
    <m/>
    <m/>
    <s v="LBP for Account of Bureau of Internal Revenue"/>
    <s v="To remit Withholding Tax (1% &amp; 2%) deducted form suppliers / contractors of NIA-Pangasinan IMO covering the period April 2023"/>
    <x v="3"/>
    <x v="3"/>
    <m/>
    <n v="21978.58"/>
    <m/>
    <n v="-56338.09"/>
  </r>
  <r>
    <d v="2023-04-30T00:00:00"/>
    <d v="2023-04-28T00:00:00"/>
    <s v="1763317"/>
    <x v="4"/>
    <s v="5"/>
    <s v="5-1"/>
    <m/>
    <m/>
    <s v="LBP for Account of Bureau of Internal Revenue"/>
    <s v="To remit Withholding Tax (5%) deducted form suppliers / contractors of NIA-Pangasinan IMO covering the period April 2023"/>
    <x v="2"/>
    <x v="2"/>
    <n v="55253.09"/>
    <m/>
    <s v="220076 Capital Outlay Minosicuan CIS - CW (54,639.79) 220052 Capital Outlay - Calmay SPIP -(222.2) &amp; 220044 Capital Outlay - Malimpin SPIP - (391.10)"/>
    <n v="-1085"/>
  </r>
  <r>
    <d v="2023-04-30T00:00:00"/>
    <d v="2023-04-28T00:00:00"/>
    <s v="1763317"/>
    <x v="4"/>
    <s v="5"/>
    <s v="5-1"/>
    <m/>
    <m/>
    <s v="LBP for Account of Bureau of Internal Revenue"/>
    <s v="To remit Withholding Tax (5%) deducted form suppliers / contractors of NIA-Pangasinan IMO covering the period April 2023"/>
    <x v="3"/>
    <x v="3"/>
    <m/>
    <n v="55253.09"/>
    <m/>
    <n v="-89612.6"/>
  </r>
  <r>
    <d v="2023-05-31T00:00:00"/>
    <d v="2023-05-04T00:00:00"/>
    <s v="Payroll202305013"/>
    <x v="5"/>
    <s v="5"/>
    <s v="5-1"/>
    <m/>
    <m/>
    <s v="John R. Bergado &amp; 9 others "/>
    <s v="To payment of wages of John  R. Bergado &amp; 9 others (Job Order) of NIA-Pangasinan IMO, Urdaneta City, Pangasinan for the period April 16-30, 2023"/>
    <x v="4"/>
    <x v="4"/>
    <n v="55307.72"/>
    <m/>
    <s v="220052 - Capital Outlay Calmay SPIP"/>
    <n v="-34304.879999999997"/>
  </r>
  <r>
    <d v="2023-05-31T00:00:00"/>
    <d v="2023-05-04T00:00:00"/>
    <s v="Payroll202305013"/>
    <x v="5"/>
    <s v="5"/>
    <s v="5-1"/>
    <m/>
    <m/>
    <s v="John R. Bergado &amp; 9 others "/>
    <s v="To payment of wages of John  R. Bergado &amp; 9 others (Job Order) of NIA-Pangasinan IMO, Urdaneta City, Pangasinan for the period April 16-30, 2023"/>
    <x v="24"/>
    <x v="24"/>
    <m/>
    <n v="5700"/>
    <s v="220052 - Capital Outlay Calmay SPIP"/>
    <n v="-95312.6"/>
  </r>
  <r>
    <d v="2023-05-31T00:00:00"/>
    <d v="2023-05-04T00:00:00"/>
    <s v="Payroll202305013"/>
    <x v="5"/>
    <s v="5"/>
    <s v="5-1"/>
    <m/>
    <m/>
    <s v="John R. Bergado &amp; 9 others "/>
    <s v="To payment of wages of John  R. Bergado &amp; 9 others (Job Order) of NIA-Pangasinan IMO, Urdaneta City, Pangasinan for the period April 16-30, 2023"/>
    <x v="24"/>
    <x v="24"/>
    <m/>
    <n v="8995.19"/>
    <s v="220052 - Capital Outlay Calmay SPIP"/>
    <n v="-98607.79"/>
  </r>
  <r>
    <d v="2023-05-31T00:00:00"/>
    <d v="2023-05-04T00:00:00"/>
    <s v="Payroll202305013"/>
    <x v="5"/>
    <s v="5"/>
    <s v="5-1"/>
    <m/>
    <m/>
    <s v="John R. Bergado &amp; 9 others "/>
    <s v="To payment of wages of John  R. Bergado &amp; 9 others (Job Order) of NIA-Pangasinan IMO, Urdaneta City, Pangasinan for the period April 16-30, 2023"/>
    <x v="3"/>
    <x v="3"/>
    <m/>
    <n v="40612.53"/>
    <s v="220052 - Capital Outlay Calmay SPIP"/>
    <n v="-130225.13"/>
  </r>
  <r>
    <d v="2023-05-31T00:00:00"/>
    <d v="2023-05-11T00:00:00"/>
    <s v="1763318"/>
    <x v="5"/>
    <s v="5"/>
    <s v="5-1"/>
    <m/>
    <m/>
    <s v="Celbros Construction and Supplies"/>
    <s v="Fifth partial payment of contract under R1-PIMO-22-03-041 in connection with the Minosicuan CIS (CARP IC CY 2022) located in Umingan, Pangasinan"/>
    <x v="8"/>
    <x v="8"/>
    <n v="2641804.0499999998"/>
    <m/>
    <s v="220076 - Capital Outlay Minosicuan CIS"/>
    <n v="2552191.4500000002"/>
  </r>
  <r>
    <d v="2023-05-31T00:00:00"/>
    <d v="2023-05-11T00:00:00"/>
    <s v="1763318"/>
    <x v="5"/>
    <s v="5"/>
    <s v="5-1"/>
    <m/>
    <m/>
    <s v="Celbros Construction and Supplies"/>
    <s v="Fifth partial payment of contract under R1-PIMO-22-03-041 in connection with the Minosicuan CIS (CARP IC CY 2022) located in Umingan, Pangasinan"/>
    <x v="2"/>
    <x v="2"/>
    <m/>
    <n v="117937.68"/>
    <s v="220076 - Capital Outlay Minosicuan CIS"/>
    <n v="-207550.28"/>
  </r>
  <r>
    <d v="2023-05-31T00:00:00"/>
    <d v="2023-05-11T00:00:00"/>
    <s v="1763318"/>
    <x v="5"/>
    <s v="5"/>
    <s v="5-1"/>
    <m/>
    <m/>
    <s v="Celbros Construction and Supplies"/>
    <s v="Fifth partial payment of contract under R1-PIMO-22-03-041 in connection with the Minosicuan CIS (CARP IC CY 2022) located in Umingan, Pangasinan"/>
    <x v="7"/>
    <x v="7"/>
    <m/>
    <n v="47175.07"/>
    <s v="220076 - Capital Outlay Minosicuan CIS"/>
    <n v="-136787.67000000001"/>
  </r>
  <r>
    <d v="2023-05-31T00:00:00"/>
    <d v="2023-05-11T00:00:00"/>
    <s v="1763318"/>
    <x v="5"/>
    <s v="5"/>
    <s v="5-1"/>
    <m/>
    <m/>
    <s v="Celbros Construction and Supplies"/>
    <s v="Fifth partial payment of contract under R1-PIMO-22-03-041 in connection with the Minosicuan CIS (CARP IC CY 2022) located in Umingan, Pangasinan"/>
    <x v="10"/>
    <x v="10"/>
    <m/>
    <n v="799543.2"/>
    <s v="220076 - Capital Outlay Minosicuan CIS"/>
    <n v="-889155.8"/>
  </r>
  <r>
    <d v="2023-05-31T00:00:00"/>
    <d v="2023-05-11T00:00:00"/>
    <s v="1763318"/>
    <x v="5"/>
    <s v="5"/>
    <s v="5-1"/>
    <m/>
    <m/>
    <s v="Celbros Construction and Supplies"/>
    <s v="Fifth partial payment of contract under R1-PIMO-22-03-041 in connection with the Minosicuan CIS (CARP IC CY 2022) located in Umingan, Pangasinan"/>
    <x v="3"/>
    <x v="3"/>
    <m/>
    <n v="1677148.1"/>
    <s v="220076 - Capital Outlay Minosicuan CIS"/>
    <n v="-1766760.7"/>
  </r>
  <r>
    <d v="2023-05-31T00:00:00"/>
    <d v="2023-05-12T00:00:00"/>
    <s v="Payroll202305014"/>
    <x v="5"/>
    <s v="5"/>
    <s v="5-1"/>
    <m/>
    <m/>
    <s v="Emerson A. Delos Santos &amp; 1 other"/>
    <s v="To payment of Salaries and Allowances of E. Delos Santos &amp; 1 other of NIA-Pangasinan IMO (CARP) Urdaneta City, Pangasinan for the period May 2023"/>
    <x v="20"/>
    <x v="20"/>
    <n v="58320"/>
    <m/>
    <s v="230068 - PS"/>
    <n v="-31292.6"/>
  </r>
  <r>
    <d v="2023-05-31T00:00:00"/>
    <d v="2023-05-12T00:00:00"/>
    <s v="Payroll202305014"/>
    <x v="5"/>
    <s v="5"/>
    <s v="5-1"/>
    <m/>
    <m/>
    <s v="Emerson A. Delos Santos &amp; 1 other"/>
    <s v="To payment of Salaries and Allowances of E. Delos Santos &amp; 1 other of NIA-Pangasinan IMO (CARP) Urdaneta City, Pangasinan for the period May 2023"/>
    <x v="21"/>
    <x v="21"/>
    <n v="4000"/>
    <m/>
    <s v="230068 - PS"/>
    <n v="-85612.6"/>
  </r>
  <r>
    <d v="2023-05-31T00:00:00"/>
    <d v="2023-05-12T00:00:00"/>
    <s v="Payroll202305014"/>
    <x v="5"/>
    <s v="5"/>
    <s v="5-1"/>
    <m/>
    <m/>
    <s v="Emerson A. Delos Santos &amp; 1 other"/>
    <s v="To payment of Salaries and Allowances of E. Delos Santos &amp; 1 other of NIA-Pangasinan IMO (CARP) Urdaneta City, Pangasinan for the period May 2023"/>
    <x v="16"/>
    <x v="16"/>
    <m/>
    <n v="1330.76"/>
    <s v="230068 - PS"/>
    <n v="-90943.360000000001"/>
  </r>
  <r>
    <d v="2023-05-31T00:00:00"/>
    <d v="2023-05-12T00:00:00"/>
    <s v="Payroll202305014"/>
    <x v="5"/>
    <s v="5"/>
    <s v="5-1"/>
    <m/>
    <m/>
    <s v="Emerson A. Delos Santos &amp; 1 other"/>
    <s v="To payment of Salaries and Allowances of E. Delos Santos &amp; 1 other of NIA-Pangasinan IMO (CARP) Urdaneta City, Pangasinan for the period May 2023"/>
    <x v="15"/>
    <x v="15"/>
    <m/>
    <n v="5248.8"/>
    <s v="230068 - PS"/>
    <n v="-94861.4"/>
  </r>
  <r>
    <d v="2023-05-31T00:00:00"/>
    <d v="2023-05-12T00:00:00"/>
    <s v="Payroll202305014"/>
    <x v="5"/>
    <s v="5"/>
    <s v="5-1"/>
    <m/>
    <m/>
    <s v="Emerson A. Delos Santos &amp; 1 other"/>
    <s v="To payment of Salaries and Allowances of E. Delos Santos &amp; 1 other of NIA-Pangasinan IMO (CARP) Urdaneta City, Pangasinan for the period May 2023"/>
    <x v="18"/>
    <x v="18"/>
    <m/>
    <n v="1166.4000000000001"/>
    <s v="230068 - PS"/>
    <n v="-90779"/>
  </r>
  <r>
    <d v="2023-05-31T00:00:00"/>
    <d v="2023-05-12T00:00:00"/>
    <s v="Payroll202305014"/>
    <x v="5"/>
    <s v="5"/>
    <s v="5-1"/>
    <m/>
    <m/>
    <s v="Emerson A. Delos Santos &amp; 1 other"/>
    <s v="To payment of Salaries and Allowances of E. Delos Santos &amp; 1 other of NIA-Pangasinan IMO (CARP) Urdaneta City, Pangasinan for the period May 2023"/>
    <x v="19"/>
    <x v="19"/>
    <m/>
    <n v="4000"/>
    <s v="230068 - PS"/>
    <n v="-93612.6"/>
  </r>
  <r>
    <d v="2023-05-31T00:00:00"/>
    <d v="2023-05-12T00:00:00"/>
    <s v="Payroll202305014"/>
    <x v="5"/>
    <s v="5"/>
    <s v="5-1"/>
    <m/>
    <m/>
    <s v="Emerson A. Delos Santos &amp; 1 other"/>
    <s v="To payment of Salaries and Allowances of E. Delos Santos &amp; 1 other of NIA-Pangasinan IMO (CARP) Urdaneta City, Pangasinan for the period May 2023"/>
    <x v="12"/>
    <x v="12"/>
    <m/>
    <n v="1166.4000000000001"/>
    <s v="230068 - PS"/>
    <n v="-90779"/>
  </r>
  <r>
    <d v="2023-05-31T00:00:00"/>
    <d v="2023-05-12T00:00:00"/>
    <s v="Payroll202305014"/>
    <x v="5"/>
    <s v="5"/>
    <s v="5-1"/>
    <m/>
    <m/>
    <s v="Emerson A. Delos Santos &amp; 1 other"/>
    <s v="To payment of Salaries and Allowances of E. Delos Santos &amp; 1 other of NIA-Pangasinan IMO (CARP) Urdaneta City, Pangasinan for the period May 2023"/>
    <x v="3"/>
    <x v="3"/>
    <m/>
    <n v="49407.64"/>
    <s v="230068 - PS"/>
    <n v="-139020.24"/>
  </r>
  <r>
    <d v="2023-05-31T00:00:00"/>
    <d v="2023-05-15T00:00:00"/>
    <s v="Payroll202305015"/>
    <x v="5"/>
    <s v="5"/>
    <s v="5-1"/>
    <m/>
    <m/>
    <s v="Emerson A. Delos Santos &amp; 1 other"/>
    <s v="To payment for the grant of Mid-Year Bonus for CY 2023 of E. Delos Santos &amp; 1 other of NIA CARP as per MC_s.202_ "/>
    <x v="30"/>
    <x v="30"/>
    <n v="58320"/>
    <m/>
    <s v="230068 - PS"/>
    <n v="-31292.6"/>
  </r>
  <r>
    <d v="2023-05-31T00:00:00"/>
    <d v="2023-05-15T00:00:00"/>
    <s v="Payroll202305015"/>
    <x v="5"/>
    <s v="5"/>
    <s v="5-1"/>
    <m/>
    <m/>
    <s v="Emerson A. Delos Santos &amp; 1 other"/>
    <s v="To payment for the grant of Mid-Year Bonus for CY 2023 of E. Delos Santos &amp; 1 other of NIA CARP as per MC_s.202_ "/>
    <x v="3"/>
    <x v="3"/>
    <m/>
    <n v="58320"/>
    <s v="230068 - PS"/>
    <n v="-147932.6"/>
  </r>
  <r>
    <d v="2023-05-31T00:00:00"/>
    <d v="2023-05-15T00:00:00"/>
    <s v="1763319"/>
    <x v="5"/>
    <s v="5"/>
    <s v="5-1"/>
    <m/>
    <m/>
    <s v="D' Brothers International Trading Corporation"/>
    <s v="Third and Final payment of contract under R1-PIMO-22-01-016 in connection with the Construction of Calmay SPIP (CARP IC CY 2022) located at Laoac, Pangasinan"/>
    <x v="8"/>
    <x v="8"/>
    <n v="518121.47"/>
    <m/>
    <s v="220052 - Capital Outlay Calmay SPIP"/>
    <n v="428508.87"/>
  </r>
  <r>
    <d v="2023-05-31T00:00:00"/>
    <d v="2023-05-15T00:00:00"/>
    <s v="1763319"/>
    <x v="5"/>
    <s v="5"/>
    <s v="5-1"/>
    <m/>
    <m/>
    <s v="D' Brothers International Trading Corporation"/>
    <s v="Third and Final payment of contract under R1-PIMO-22-01-016 in connection with the Construction of Calmay SPIP (CARP IC CY 2022) located at Laoac, Pangasinan"/>
    <x v="2"/>
    <x v="2"/>
    <m/>
    <n v="23130.42"/>
    <s v="220052 - Capital Outlay Calmay SPIP"/>
    <n v="-112743.02"/>
  </r>
  <r>
    <d v="2023-05-31T00:00:00"/>
    <d v="2023-05-15T00:00:00"/>
    <s v="1763319"/>
    <x v="5"/>
    <s v="5"/>
    <s v="5-1"/>
    <m/>
    <m/>
    <s v="D' Brothers International Trading Corporation"/>
    <s v="Third and Final payment of contract under R1-PIMO-22-01-016 in connection with the Construction of Calmay SPIP (CARP IC CY 2022) located at Laoac, Pangasinan"/>
    <x v="7"/>
    <x v="7"/>
    <m/>
    <n v="9252.17"/>
    <s v="220052 - Capital Outlay Calmay SPIP"/>
    <n v="-98864.77"/>
  </r>
  <r>
    <d v="2023-05-31T00:00:00"/>
    <d v="2023-05-15T00:00:00"/>
    <s v="1763319"/>
    <x v="5"/>
    <s v="5"/>
    <s v="5-1"/>
    <m/>
    <m/>
    <s v="D' Brothers International Trading Corporation"/>
    <s v="Third and Final payment of contract under R1-PIMO-22-01-016 in connection with the Construction of Calmay SPIP (CARP IC CY 2022) located at Laoac, Pangasinan"/>
    <x v="3"/>
    <x v="3"/>
    <m/>
    <n v="485738.88"/>
    <s v="220052 - Capital Outlay Calmay SPIP"/>
    <n v="-575351.48"/>
  </r>
  <r>
    <d v="2023-05-31T00:00:00"/>
    <d v="2023-05-17T00:00:00"/>
    <s v="1763320"/>
    <x v="5"/>
    <s v="5"/>
    <s v="5-1"/>
    <m/>
    <m/>
    <s v="D' Brothers International Trading Corporation"/>
    <s v="To payment of retention deducted on the 1st partial payment of D'Brothers International Trading Corporation under contact no. R1-PIMO-22-01-016 in connection with the Construction of Calmay SPIP (CARP-IC CY 2022)"/>
    <x v="9"/>
    <x v="9"/>
    <n v="197792.84"/>
    <m/>
    <s v="220052 - Capital Outlay Calmay SPIP"/>
    <n v="108180.24"/>
  </r>
  <r>
    <d v="2023-05-31T00:00:00"/>
    <d v="2023-05-17T00:00:00"/>
    <s v="1763320"/>
    <x v="5"/>
    <s v="5"/>
    <s v="5-1"/>
    <m/>
    <m/>
    <s v="D' Brothers International Trading Corporation"/>
    <s v="To payment of retention deducted on the 1st partial payment of D'Brothers International Trading Corporation under contact no. R1-PIMO-22-01-016 in connection with the Construction of Calmay SPIP (CARP-IC CY 2022)"/>
    <x v="3"/>
    <x v="3"/>
    <m/>
    <n v="197792.84"/>
    <s v="220052 - Capital Outlay Calmay SPIP"/>
    <n v="-287405.44"/>
  </r>
  <r>
    <d v="2023-05-31T00:00:00"/>
    <d v="2023-05-17T00:00:00"/>
    <s v="1763321"/>
    <x v="5"/>
    <s v="5"/>
    <s v="5-1"/>
    <m/>
    <m/>
    <s v="H.D.M.F"/>
    <s v="To remit monthly HDMF premiums both personal &amp; government shares of E. Delos Santos &amp; 1 other of NIA-Pangasinan IMO (CARP) Urdaneta City, Pangasinan for the period May 2023"/>
    <x v="17"/>
    <x v="17"/>
    <n v="200"/>
    <m/>
    <s v="230068 PS "/>
    <n v="-89412.6"/>
  </r>
  <r>
    <d v="2023-05-31T00:00:00"/>
    <d v="2023-05-17T00:00:00"/>
    <s v="1763321"/>
    <x v="5"/>
    <s v="5"/>
    <s v="5-1"/>
    <m/>
    <m/>
    <s v="H.D.M.F"/>
    <s v="To remit monthly HDMF premiums both personal &amp; government shares of E. Delos Santos &amp; 1 other of NIA-Pangasinan IMO (CARP) Urdaneta City, Pangasinan for the period May 2023"/>
    <x v="18"/>
    <x v="18"/>
    <n v="1166.4000000000001"/>
    <m/>
    <s v="230068 PS "/>
    <n v="-88446.2"/>
  </r>
  <r>
    <d v="2023-05-31T00:00:00"/>
    <d v="2023-05-17T00:00:00"/>
    <s v="1763321"/>
    <x v="5"/>
    <s v="5"/>
    <s v="5-1"/>
    <m/>
    <m/>
    <s v="H.D.M.F"/>
    <s v="To remit monthly HDMF premiums both personal &amp; government shares of E. Delos Santos &amp; 1 other of NIA-Pangasinan IMO (CARP) Urdaneta City, Pangasinan for the period May 2023"/>
    <x v="3"/>
    <x v="3"/>
    <m/>
    <n v="1366.4"/>
    <s v="230068 PS "/>
    <n v="-90979"/>
  </r>
  <r>
    <d v="2023-05-31T00:00:00"/>
    <d v="2023-05-17T00:00:00"/>
    <s v="1763322"/>
    <x v="5"/>
    <s v="5"/>
    <s v="5-1"/>
    <m/>
    <m/>
    <s v="G.S.I.S"/>
    <s v="To remit monthly GSIS premiums both personal &amp; government shares of E. Delos Santos &amp; 1 other of NIA Pangasinan IMO (CARP) Urdaneta City, Pangasinan for the period of May 2023"/>
    <x v="13"/>
    <x v="13"/>
    <n v="6998.4"/>
    <m/>
    <s v="230068 PS "/>
    <n v="-82614.2"/>
  </r>
  <r>
    <d v="2023-05-31T00:00:00"/>
    <d v="2023-05-17T00:00:00"/>
    <s v="1763322"/>
    <x v="5"/>
    <s v="5"/>
    <s v="5-1"/>
    <m/>
    <m/>
    <s v="G.S.I.S"/>
    <s v="To remit monthly GSIS premiums both personal &amp; government shares of E. Delos Santos &amp; 1 other of NIA Pangasinan IMO (CARP) Urdaneta City, Pangasinan for the period of May 2023"/>
    <x v="14"/>
    <x v="14"/>
    <n v="200"/>
    <m/>
    <s v="230068 PS "/>
    <n v="-89412.6"/>
  </r>
  <r>
    <d v="2023-05-31T00:00:00"/>
    <d v="2023-05-17T00:00:00"/>
    <s v="1763322"/>
    <x v="5"/>
    <s v="5"/>
    <s v="5-1"/>
    <m/>
    <m/>
    <s v="G.S.I.S"/>
    <s v="To remit monthly GSIS premiums both personal &amp; government shares of E. Delos Santos &amp; 1 other of NIA Pangasinan IMO (CARP) Urdaneta City, Pangasinan for the period of May 2023"/>
    <x v="15"/>
    <x v="15"/>
    <n v="5248.8"/>
    <m/>
    <s v="230068 PS "/>
    <n v="-84363.8"/>
  </r>
  <r>
    <d v="2023-05-31T00:00:00"/>
    <d v="2023-05-17T00:00:00"/>
    <s v="1763322"/>
    <x v="5"/>
    <s v="5"/>
    <s v="5-1"/>
    <m/>
    <m/>
    <s v="G.S.I.S"/>
    <s v="To remit monthly GSIS premiums both personal &amp; government shares of E. Delos Santos &amp; 1 other of NIA Pangasinan IMO (CARP) Urdaneta City, Pangasinan for the period of May 2023"/>
    <x v="3"/>
    <x v="3"/>
    <m/>
    <n v="12447.2"/>
    <s v="230068 PS "/>
    <n v="-102059.8"/>
  </r>
  <r>
    <d v="2023-05-31T00:00:00"/>
    <d v="2023-05-17T00:00:00"/>
    <s v="1763323"/>
    <x v="5"/>
    <s v="5"/>
    <s v="5-1"/>
    <m/>
    <m/>
    <s v="LBP for Account of Bureau of Internal Revenue"/>
    <s v="To remit withholding tax on Compensation of E. Delos Santos &amp; 1 other of NIA Pangasinan IMO (CARP), Urdaneta City, Pangasinan for the period of May 2023"/>
    <x v="16"/>
    <x v="16"/>
    <n v="1330.76"/>
    <m/>
    <s v="230068 PS"/>
    <n v="-88281.84"/>
  </r>
  <r>
    <d v="2023-05-31T00:00:00"/>
    <d v="2023-05-17T00:00:00"/>
    <s v="1763323"/>
    <x v="5"/>
    <s v="5"/>
    <s v="5-1"/>
    <m/>
    <m/>
    <s v="LBP for Account of Bureau of Internal Revenue"/>
    <s v="To remit withholding tax on Compensation of E. Delos Santos &amp; 1 other of NIA Pangasinan IMO (CARP), Urdaneta City, Pangasinan for the period of May 2023"/>
    <x v="3"/>
    <x v="3"/>
    <m/>
    <n v="1330.76"/>
    <s v="230068 PS"/>
    <n v="-90943.360000000001"/>
  </r>
  <r>
    <d v="2023-05-31T00:00:00"/>
    <d v="2023-05-17T00:00:00"/>
    <s v="1763324"/>
    <x v="5"/>
    <s v="5"/>
    <s v="5-1"/>
    <m/>
    <m/>
    <s v="NIA Region 1 Employees Multi-Purpose Cooperative"/>
    <s v="To payment for NIA Multi-purpose loan of Richard C. De Guzman &amp; 2 other (Job Order) of NIA-Pangasinan IMO, Urdaneta City covering the month of April 16-30, 2023"/>
    <x v="24"/>
    <x v="24"/>
    <n v="8995.19"/>
    <m/>
    <s v="220052 - Capital Outlay Calmay SPIP"/>
    <n v="-80617.41"/>
  </r>
  <r>
    <d v="2023-05-31T00:00:00"/>
    <d v="2023-05-17T00:00:00"/>
    <s v="1763324"/>
    <x v="5"/>
    <s v="5"/>
    <s v="5-1"/>
    <m/>
    <m/>
    <s v="NIA Region 1 Employees Multi-Purpose Cooperative"/>
    <s v="To payment for NIA Multi-purpose loan of Richard C. De Guzman &amp; 2 other (Job Order) of NIA-Pangasinan IMO, Urdaneta City covering the month of April 16-30, 2023"/>
    <x v="3"/>
    <x v="3"/>
    <m/>
    <n v="8995.19"/>
    <s v="220052 - Capital Outlay Calmay SPIP"/>
    <n v="-98607.79"/>
  </r>
  <r>
    <d v="2023-05-31T00:00:00"/>
    <d v="2023-05-17T00:00:00"/>
    <s v="1763325"/>
    <x v="5"/>
    <s v="5"/>
    <s v="5-1"/>
    <m/>
    <m/>
    <s v="H.D.M.F"/>
    <s v="To remit monthly HDMF M2 E. Delos Santos &amp; 1 other of NIA-Pangasinan IMO (CARP), Urdaneta City, Pangasinan for the periof of May 2023"/>
    <x v="19"/>
    <x v="19"/>
    <n v="4000"/>
    <m/>
    <s v="230068 PS"/>
    <n v="-85612.6"/>
  </r>
  <r>
    <d v="2023-05-31T00:00:00"/>
    <d v="2023-05-17T00:00:00"/>
    <s v="1763325"/>
    <x v="5"/>
    <s v="5"/>
    <s v="5-1"/>
    <m/>
    <m/>
    <s v="H.D.M.F"/>
    <s v="To remit monthly HDMF M2 E. Delos Santos &amp; 1 other of NIA-Pangasinan IMO (CARP), Urdaneta City, Pangasinan for the periof of May 2023"/>
    <x v="3"/>
    <x v="3"/>
    <m/>
    <n v="4000"/>
    <s v="230068 PS"/>
    <n v="-89612.6"/>
  </r>
  <r>
    <d v="2023-05-31T00:00:00"/>
    <d v="2023-05-17T00:00:00"/>
    <s v="Payroll202305016"/>
    <x v="5"/>
    <s v="5"/>
    <s v="5-1"/>
    <m/>
    <m/>
    <s v="John R. Bergado &amp; 9 others "/>
    <s v="To payment of wages of John R. Bergado &amp; 9 others (Job Order) of NIA-Pangasinan IMO, Urdaneta City, Pangasinan for the period May 1-15, 2023"/>
    <x v="4"/>
    <x v="4"/>
    <n v="59421.63"/>
    <m/>
    <s v="220044 - Capiyal Outlay Malimpin SPIP"/>
    <n v="-26190.97"/>
  </r>
  <r>
    <d v="2023-05-31T00:00:00"/>
    <d v="2023-05-17T00:00:00"/>
    <s v="Payroll202305016"/>
    <x v="5"/>
    <s v="5"/>
    <s v="5-1"/>
    <m/>
    <m/>
    <s v="John R. Bergado &amp; 9 others "/>
    <s v="To payment of wages of John R. Bergado &amp; 9 others (Job Order) of NIA-Pangasinan IMO, Urdaneta City, Pangasinan for the period May 1-15, 2023"/>
    <x v="18"/>
    <x v="18"/>
    <m/>
    <n v="2500"/>
    <s v="220044 - Capiyal Outlay Malimpin SPIP"/>
    <n v="-88112.6"/>
  </r>
  <r>
    <d v="2023-05-31T00:00:00"/>
    <d v="2023-05-17T00:00:00"/>
    <s v="Payroll202305016"/>
    <x v="5"/>
    <s v="5"/>
    <s v="5-1"/>
    <m/>
    <m/>
    <s v="John R. Bergado &amp; 9 others "/>
    <s v="To payment of wages of John R. Bergado &amp; 9 others (Job Order) of NIA-Pangasinan IMO, Urdaneta City, Pangasinan for the period May 1-15, 2023"/>
    <x v="23"/>
    <x v="23"/>
    <m/>
    <n v="2825.02"/>
    <s v="220044 - Capiyal Outlay Malimpin SPIP"/>
    <n v="-88437.62"/>
  </r>
  <r>
    <d v="2023-05-31T00:00:00"/>
    <d v="2023-05-17T00:00:00"/>
    <s v="Payroll202305016"/>
    <x v="5"/>
    <s v="5"/>
    <s v="5-1"/>
    <m/>
    <m/>
    <s v="John R. Bergado &amp; 9 others "/>
    <s v="To payment of wages of John R. Bergado &amp; 9 others (Job Order) of NIA-Pangasinan IMO, Urdaneta City, Pangasinan for the period May 1-15, 2023"/>
    <x v="12"/>
    <x v="12"/>
    <m/>
    <n v="4424.3900000000003"/>
    <s v="220044 - Capiyal Outlay Malimpin SPIP"/>
    <n v="-90036.99"/>
  </r>
  <r>
    <d v="2023-05-31T00:00:00"/>
    <d v="2023-05-17T00:00:00"/>
    <s v="Payroll202305016"/>
    <x v="5"/>
    <s v="5"/>
    <s v="5-1"/>
    <m/>
    <m/>
    <s v="John R. Bergado &amp; 9 others "/>
    <s v="To payment of wages of John R. Bergado &amp; 9 others (Job Order) of NIA-Pangasinan IMO, Urdaneta City, Pangasinan for the period May 1-15, 2023"/>
    <x v="24"/>
    <x v="24"/>
    <m/>
    <n v="6891.66"/>
    <s v="220044 - Capiyal Outlay Malimpin SPIP"/>
    <n v="-92504.26"/>
  </r>
  <r>
    <d v="2023-05-31T00:00:00"/>
    <d v="2023-05-17T00:00:00"/>
    <s v="Payroll202305016"/>
    <x v="5"/>
    <s v="5"/>
    <s v="5-1"/>
    <m/>
    <m/>
    <s v="John R. Bergado &amp; 9 others "/>
    <s v="To payment of wages of John R. Bergado &amp; 9 others (Job Order) of NIA-Pangasinan IMO, Urdaneta City, Pangasinan for the period May 1-15, 2023"/>
    <x v="3"/>
    <x v="3"/>
    <m/>
    <n v="42780.56"/>
    <s v="220044 - Capiyal Outlay Malimpin SPIP"/>
    <n v="-128393.16"/>
  </r>
  <r>
    <d v="2023-05-31T00:00:00"/>
    <d v="2023-05-18T00:00:00"/>
    <s v="1763326"/>
    <x v="5"/>
    <s v="5"/>
    <s v="5-1"/>
    <m/>
    <m/>
    <s v="SSS"/>
    <s v="To remit SSS Contribution of John R. Bergado &amp; 9 others (Job Order) of NIA-Pangasinan IMO for the month of April 2023"/>
    <x v="24"/>
    <x v="24"/>
    <n v="5700"/>
    <m/>
    <s v="220052 - Capital Outlay Calmay SPIP"/>
    <n v="-79912.600000000006"/>
  </r>
  <r>
    <d v="2023-05-31T00:00:00"/>
    <d v="2023-05-18T00:00:00"/>
    <s v="1763326"/>
    <x v="5"/>
    <s v="5"/>
    <s v="5-1"/>
    <m/>
    <m/>
    <s v="SSS"/>
    <s v="To remit SSS Contribution of John R. Bergado &amp; 9 others (Job Order) of NIA-Pangasinan IMO for the month of April 2023"/>
    <x v="3"/>
    <x v="3"/>
    <m/>
    <n v="5700"/>
    <s v="220052 - Capital Outlay Calmay SPIP"/>
    <n v="-91312.6"/>
  </r>
  <r>
    <d v="2023-05-31T00:00:00"/>
    <d v="2023-05-22T00:00:00"/>
    <s v="DebitmemoPHIC05-04"/>
    <x v="5"/>
    <s v="5"/>
    <s v="5-1"/>
    <m/>
    <m/>
    <s v="Philippine Health Insurance Corporation"/>
    <s v="To remit monthly PHIC premiums both personal &amp; government shares of E. Delos Santos &amp; 1 other of NIA-Pangasinan IMO (CARP) Urdaneta City, Pangasinan for the period May 2023"/>
    <x v="11"/>
    <x v="11"/>
    <n v="1166.4000000000001"/>
    <m/>
    <s v="230068 PS"/>
    <n v="-84446.2"/>
  </r>
  <r>
    <d v="2023-05-31T00:00:00"/>
    <d v="2023-05-22T00:00:00"/>
    <s v="DebitmemoPHIC05-04"/>
    <x v="5"/>
    <s v="5"/>
    <s v="5-1"/>
    <m/>
    <m/>
    <s v="Philippine Health Insurance Corporation"/>
    <s v="To remit monthly PHIC premiums both personal &amp; government shares of E. Delos Santos &amp; 1 other of NIA-Pangasinan IMO (CARP) Urdaneta City, Pangasinan for the period May 2023"/>
    <x v="12"/>
    <x v="12"/>
    <n v="1166.4000000000001"/>
    <m/>
    <s v="230068 PS"/>
    <n v="-84446.2"/>
  </r>
  <r>
    <d v="2023-05-31T00:00:00"/>
    <d v="2023-05-22T00:00:00"/>
    <s v="DebitmemoPHIC05-04"/>
    <x v="5"/>
    <s v="5"/>
    <s v="5-1"/>
    <m/>
    <m/>
    <s v="Philippine Health Insurance Corporation"/>
    <s v="To remit monthly PHIC premiums both personal &amp; government shares of E. Delos Santos &amp; 1 other of NIA-Pangasinan IMO (CARP) Urdaneta City, Pangasinan for the period May 2023"/>
    <x v="3"/>
    <x v="3"/>
    <m/>
    <n v="2332.8000000000002"/>
    <s v="230068 PS"/>
    <n v="-87945.4"/>
  </r>
  <r>
    <d v="2023-05-31T00:00:00"/>
    <d v="2023-05-23T00:00:00"/>
    <s v="1763327"/>
    <x v="5"/>
    <s v="5"/>
    <s v="5-1"/>
    <m/>
    <m/>
    <s v="H.D.M.F"/>
    <s v="To remit HDMF Premiums for personal share of John R. Bergado &amp; 9 others (Job Order) of NIA-Pangasinan, Urdaneta City, Pangasinan for the month of May, 2023"/>
    <x v="18"/>
    <x v="18"/>
    <n v="2500"/>
    <m/>
    <s v="220044 Capital Outlay-Malimpin SPIP"/>
    <n v="-83112.600000000006"/>
  </r>
  <r>
    <d v="2023-05-31T00:00:00"/>
    <d v="2023-05-23T00:00:00"/>
    <s v="1763327"/>
    <x v="5"/>
    <s v="5"/>
    <s v="5-1"/>
    <m/>
    <m/>
    <s v="H.D.M.F"/>
    <s v="To remit HDMF Premiums for personal share of John R. Bergado &amp; 9 others (Job Order) of NIA-Pangasinan, Urdaneta City, Pangasinan for the month of May, 2023"/>
    <x v="3"/>
    <x v="3"/>
    <m/>
    <n v="2500"/>
    <s v="220044 Capital Outlay-Malimpin SPIP"/>
    <n v="-88112.6"/>
  </r>
  <r>
    <d v="2023-05-31T00:00:00"/>
    <d v="2023-05-23T00:00:00"/>
    <s v="1763328"/>
    <x v="5"/>
    <s v="5"/>
    <s v="5-1"/>
    <m/>
    <m/>
    <s v="Philippine Health Insurance Corporation"/>
    <s v="To remit the monthly contribution of PHIC premiums of John R. Bergado &amp; 7 others (Job Order) of NIA-Pangasinan IMO, Urdaneta City for the month of May 2023"/>
    <x v="12"/>
    <x v="12"/>
    <n v="4424.3900000000003"/>
    <m/>
    <s v="220044 Capital Outlay-Malimpin SPIP"/>
    <n v="-81188.210000000006"/>
  </r>
  <r>
    <d v="2023-05-31T00:00:00"/>
    <d v="2023-05-23T00:00:00"/>
    <s v="1763328"/>
    <x v="5"/>
    <s v="5"/>
    <s v="5-1"/>
    <m/>
    <m/>
    <s v="Philippine Health Insurance Corporation"/>
    <s v="To remit the monthly contribution of PHIC premiums of John R. Bergado &amp; 7 others (Job Order) of NIA-Pangasinan IMO, Urdaneta City for the month of May 2023"/>
    <x v="3"/>
    <x v="3"/>
    <m/>
    <n v="4424.3900000000003"/>
    <s v="220044 Capital Outlay-Malimpin SPIP"/>
    <n v="-90036.99"/>
  </r>
  <r>
    <d v="2023-05-31T00:00:00"/>
    <d v="2023-05-23T00:00:00"/>
    <s v="1763329"/>
    <x v="5"/>
    <s v="5"/>
    <s v="5-1"/>
    <m/>
    <m/>
    <s v="NIA Region 1 Employees Multi-Purpose Cooperative"/>
    <s v="To payment for NIA Multi-purpose loan of Richard C. De Guzman &amp; 2 others (Job Order) of NIA-Pangasinan IMO, Urdaneta City, Pangasinan covering period May 1-15, 2023"/>
    <x v="24"/>
    <x v="24"/>
    <n v="6891.66"/>
    <m/>
    <s v="220044 Capital Outlay-Malimpin SPIP"/>
    <n v="-78720.94"/>
  </r>
  <r>
    <d v="2023-05-31T00:00:00"/>
    <d v="2023-05-23T00:00:00"/>
    <s v="1763329"/>
    <x v="5"/>
    <s v="5"/>
    <s v="5-1"/>
    <m/>
    <m/>
    <s v="NIA Region 1 Employees Multi-Purpose Cooperative"/>
    <s v="To payment for NIA Multi-purpose loan of Richard C. De Guzman &amp; 2 others (Job Order) of NIA-Pangasinan IMO, Urdaneta City, Pangasinan covering period May 1-15, 2023"/>
    <x v="3"/>
    <x v="3"/>
    <m/>
    <n v="6891.66"/>
    <s v="220044 Capital Outlay-Malimpin SPIP"/>
    <n v="-92504.26"/>
  </r>
  <r>
    <d v="2023-05-31T00:00:00"/>
    <d v="2023-05-23T00:00:00"/>
    <s v="1763330"/>
    <x v="5"/>
    <s v="5"/>
    <s v="5-1"/>
    <m/>
    <m/>
    <s v="H.D.M.F"/>
    <s v="To remit HDMF Loan (MPL) of Richard D. De Guzman &amp; 2 others  (Job Order) of NIA-Pangasinan IMO, Urdaneta City for the month of May 2023"/>
    <x v="23"/>
    <x v="23"/>
    <n v="2825.02"/>
    <m/>
    <s v="220044 Capital Outlay-Malimpin SPIP"/>
    <n v="-89679.24"/>
  </r>
  <r>
    <d v="2023-05-31T00:00:00"/>
    <d v="2023-05-23T00:00:00"/>
    <s v="1763330"/>
    <x v="5"/>
    <s v="5"/>
    <s v="5-1"/>
    <m/>
    <m/>
    <s v="H.D.M.F"/>
    <s v="To remit HDMF Loan (MPL) of Richard D. De Guzman &amp; 2 others  (Job Order) of NIA-Pangasinan IMO, Urdaneta City for the month of May 2023"/>
    <x v="3"/>
    <x v="3"/>
    <m/>
    <n v="2825.02"/>
    <s v="220044 Capital Outlay-Malimpin SPIP"/>
    <n v="-95329.279999999999"/>
  </r>
  <r>
    <d v="2023-05-31T00:00:00"/>
    <d v="2023-05-29T00:00:00"/>
    <s v="1763331"/>
    <x v="5"/>
    <s v="5"/>
    <s v="5-1"/>
    <m/>
    <m/>
    <s v="Emerson A. Delos Santos"/>
    <s v="To reimburse the amount paid for meals and accommodation incurred during the inspection of projects conducted by CARP-IC PMO, DAR and PARC on April 17-18, 2023"/>
    <x v="4"/>
    <x v="4"/>
    <n v="12135"/>
    <m/>
    <s v="220076 - Capital Outlay Minosicuan CIS"/>
    <n v="-80369.259999999995"/>
  </r>
  <r>
    <d v="2023-05-31T00:00:00"/>
    <d v="2023-05-29T00:00:00"/>
    <s v="1763331"/>
    <x v="5"/>
    <s v="5"/>
    <s v="5-1"/>
    <m/>
    <m/>
    <s v="Emerson A. Delos Santos"/>
    <s v="To reimburse the amount paid for meals and accommodation incurred during the inspection of projects conducted by CARP-IC PMO, DAR and PARC on April 17-18, 2023"/>
    <x v="3"/>
    <x v="3"/>
    <m/>
    <n v="12135"/>
    <s v="220076 - Capital Outlay Minosicuan CIS"/>
    <n v="-104639.26"/>
  </r>
  <r>
    <d v="2023-05-31T00:00:00"/>
    <d v="2023-05-29T00:00:00"/>
    <s v="1763332"/>
    <x v="5"/>
    <s v="5"/>
    <s v="5-1"/>
    <m/>
    <m/>
    <s v="BTL Auto Shop"/>
    <s v="To payment of Spare parts of Service Vehicle Plate No. TQA 521 to be used by NIA-Pangasinan IMO"/>
    <x v="4"/>
    <x v="4"/>
    <n v="10450"/>
    <m/>
    <s v="220044 - Capital Outlay Malimpin SPIP"/>
    <n v="-82054.259999999995"/>
  </r>
  <r>
    <d v="2023-05-31T00:00:00"/>
    <d v="2023-05-29T00:00:00"/>
    <s v="1763332"/>
    <x v="5"/>
    <s v="5"/>
    <s v="5-1"/>
    <m/>
    <m/>
    <s v="BTL Auto Shop"/>
    <s v="To payment of Spare parts of Service Vehicle Plate No. TQA 521 to be used by NIA-Pangasinan IMO"/>
    <x v="1"/>
    <x v="1"/>
    <m/>
    <n v="104.5"/>
    <s v="220044 - Capital Outlay Malimpin SPIP"/>
    <n v="-92608.76"/>
  </r>
  <r>
    <d v="2023-05-31T00:00:00"/>
    <d v="2023-05-29T00:00:00"/>
    <s v="1763332"/>
    <x v="5"/>
    <s v="5"/>
    <s v="5-1"/>
    <m/>
    <m/>
    <s v="BTL Auto Shop"/>
    <s v="To payment of Spare parts of Service Vehicle Plate No. TQA 521 to be used by NIA-Pangasinan IMO"/>
    <x v="1"/>
    <x v="1"/>
    <m/>
    <n v="104.5"/>
    <s v="220044 - Capital Outlay Malimpin SPIP"/>
    <n v="-92608.76"/>
  </r>
  <r>
    <d v="2023-05-31T00:00:00"/>
    <d v="2023-05-29T00:00:00"/>
    <s v="1763332"/>
    <x v="5"/>
    <s v="5"/>
    <s v="5-1"/>
    <m/>
    <m/>
    <s v="BTL Auto Shop"/>
    <s v="To payment of Spare parts of Service Vehicle Plate No. TQA 521 to be used by NIA-Pangasinan IMO"/>
    <x v="3"/>
    <x v="3"/>
    <m/>
    <n v="10241"/>
    <s v="220044 - Capital Outlay Malimpin SPIP"/>
    <n v="-102745.26"/>
  </r>
  <r>
    <d v="2023-05-31T00:00:00"/>
    <d v="2023-05-29T00:00:00"/>
    <s v="1763333"/>
    <x v="5"/>
    <s v="5"/>
    <s v="5-1"/>
    <m/>
    <m/>
    <s v="Izbarinos Corporation"/>
    <s v="To payment of diesel fuel for use of various vehicles assigned for Project of Irrigation System NIA Pangasinan IMO-IDU for the period April 16-30, 2023"/>
    <x v="27"/>
    <x v="27"/>
    <n v="7431.43"/>
    <m/>
    <s v="220052 - Capital Outlay Calmay SPIP"/>
    <n v="-85072.83"/>
  </r>
  <r>
    <d v="2023-05-31T00:00:00"/>
    <d v="2023-05-29T00:00:00"/>
    <s v="1763333"/>
    <x v="5"/>
    <s v="5"/>
    <s v="5-1"/>
    <m/>
    <m/>
    <s v="Izbarinos Corporation"/>
    <s v="To payment of diesel fuel for use of various vehicles assigned for Project of Irrigation System NIA Pangasinan IMO-IDU for the period April 16-30, 2023"/>
    <x v="1"/>
    <x v="1"/>
    <m/>
    <n v="66.349999999999994"/>
    <s v="220052 - Capital Outlay Calmay SPIP"/>
    <n v="-92570.61"/>
  </r>
  <r>
    <d v="2023-05-31T00:00:00"/>
    <d v="2023-05-29T00:00:00"/>
    <s v="1763333"/>
    <x v="5"/>
    <s v="5"/>
    <s v="5-1"/>
    <m/>
    <m/>
    <s v="Izbarinos Corporation"/>
    <s v="To payment of diesel fuel for use of various vehicles assigned for Project of Irrigation System NIA Pangasinan IMO-IDU for the period April 16-30, 2023"/>
    <x v="2"/>
    <x v="2"/>
    <m/>
    <n v="331.76"/>
    <s v="220052 - Capital Outlay Calmay SPIP"/>
    <n v="-92836.02"/>
  </r>
  <r>
    <d v="2023-05-31T00:00:00"/>
    <d v="2023-05-29T00:00:00"/>
    <s v="1763333"/>
    <x v="5"/>
    <s v="5"/>
    <s v="5-1"/>
    <m/>
    <m/>
    <s v="Izbarinos Corporation"/>
    <s v="To payment of diesel fuel for use of various vehicles assigned for Project of Irrigation System NIA Pangasinan IMO-IDU for the period April 16-30, 2023"/>
    <x v="3"/>
    <x v="3"/>
    <m/>
    <n v="7033.32"/>
    <s v="220052 - Capital Outlay Calmay SPIP"/>
    <n v="-99537.58"/>
  </r>
  <r>
    <d v="2023-05-31T00:00:00"/>
    <d v="2023-05-30T00:00:00"/>
    <s v="1763334"/>
    <x v="5"/>
    <s v="5"/>
    <s v="5-1"/>
    <m/>
    <m/>
    <s v="Jonalyn A. Julian"/>
    <s v="To reimburse the amount paid for meals and snacks served during the conduct of pre-construction conference and MOA signing of Waig SPIP o April 21, 2023 at Brgy. Waig, Malasiqui,, Pangasinan"/>
    <x v="4"/>
    <x v="4"/>
    <n v="7130.75"/>
    <m/>
    <s v="230036 - MOOE IDP 2022 (Waig PIP)"/>
    <n v="-85373.51"/>
  </r>
  <r>
    <d v="2023-05-31T00:00:00"/>
    <d v="2023-05-30T00:00:00"/>
    <s v="1763334"/>
    <x v="5"/>
    <s v="5"/>
    <s v="5-1"/>
    <m/>
    <m/>
    <s v="Jonalyn A. Julian"/>
    <s v="To reimburse the amount paid for meals and snacks served during the conduct of pre-construction conference and MOA signing of Waig SPIP o April 21, 2023 at Brgy. Waig, Malasiqui,, Pangasinan"/>
    <x v="3"/>
    <x v="3"/>
    <m/>
    <n v="7130.75"/>
    <m/>
    <n v="-99635.01"/>
  </r>
  <r>
    <d v="2023-05-31T00:00:00"/>
    <d v="2023-05-31T00:00:00"/>
    <s v="1763335"/>
    <x v="5"/>
    <s v="5"/>
    <s v="5-1"/>
    <m/>
    <m/>
    <s v="LBP for the account of BIR"/>
    <s v="To remit withholding tax (5%) deducted from suppliers/contractors of NIA-Pangasinan IMO covering the period of May 2023"/>
    <x v="1"/>
    <x v="1"/>
    <n v="104.5"/>
    <m/>
    <s v="220076 Capital Outlay Minosicuan - P 117,937.68, 220052 Capital Outlay Calmay SPIP - P 23,130.42 &amp; 331.76, 220044 - Capital Outlay Malimpin SPIP 104.50"/>
    <n v="-92399.76"/>
  </r>
  <r>
    <d v="2023-05-31T00:00:00"/>
    <d v="2023-05-31T00:00:00"/>
    <s v="1763335"/>
    <x v="5"/>
    <s v="5"/>
    <s v="5-1"/>
    <m/>
    <m/>
    <s v="LBP for the account of BIR"/>
    <s v="To remit withholding tax (5%) deducted from suppliers/contractors of NIA-Pangasinan IMO covering the period of May 2023"/>
    <x v="2"/>
    <x v="2"/>
    <n v="141399.85999999999"/>
    <m/>
    <s v="220076 Capital Outlay Minosicuan - P 117,937.68, 220052 Capital Outlay Calmay SPIP - P 23,130.42 &amp; 331.76, 220044 - Capital Outlay Malimpin SPIP 104.50"/>
    <n v="48895.6"/>
  </r>
  <r>
    <d v="2023-05-31T00:00:00"/>
    <d v="2023-05-31T00:00:00"/>
    <s v="1763335"/>
    <x v="5"/>
    <s v="5"/>
    <s v="5-1"/>
    <m/>
    <m/>
    <s v="LBP for the account of BIR"/>
    <s v="To remit withholding tax (5%) deducted from suppliers/contractors of NIA-Pangasinan IMO covering the period of May 2023"/>
    <x v="3"/>
    <x v="3"/>
    <m/>
    <n v="141504.35999999999"/>
    <s v="220076 Capital Outlay Minosicuan - P 117,937.68, 220052 Capital Outlay Calmay SPIP - P 23,130.42 &amp; 331.76, 220044 - Capital Outlay Malimpin SPIP 104.50"/>
    <n v="-234008.62"/>
  </r>
  <r>
    <d v="2023-05-31T00:00:00"/>
    <d v="2023-05-31T00:00:00"/>
    <s v="1763336"/>
    <x v="5"/>
    <s v="5"/>
    <s v="5-1"/>
    <m/>
    <m/>
    <s v="LBP for the account of BIR"/>
    <s v="To remit witholding tax (1%-2%) deducted from suppliers/contractors of NIA-Pangasinan IMO covering the period of May 2023"/>
    <x v="1"/>
    <x v="1"/>
    <n v="170.85"/>
    <m/>
    <s v="220076 Capital Outlay Minosicuan - P 47,175.07, 220052 Capital Outlay Calmay SPIP - P 9,252.17 &amp; 66.35, 220044 - Capital Outlay Malimpin SPIP 104.50"/>
    <n v="-92333.41"/>
  </r>
  <r>
    <d v="2023-05-31T00:00:00"/>
    <d v="2023-05-31T00:00:00"/>
    <s v="1763336"/>
    <x v="5"/>
    <s v="5"/>
    <s v="5-1"/>
    <m/>
    <m/>
    <s v="LBP for the account of BIR"/>
    <s v="To remit witholding tax (1%-2%) deducted from suppliers/contractors of NIA-Pangasinan IMO covering the period of May 2023"/>
    <x v="7"/>
    <x v="7"/>
    <n v="56427.24"/>
    <m/>
    <s v="220076 Capital Outlay Minosicuan - P 47,175.07, 220052 Capital Outlay Calmay SPIP - P 9,252.17 &amp; 66.35, 220044 - Capital Outlay Malimpin SPIP 104.50"/>
    <n v="-36077.019999999997"/>
  </r>
  <r>
    <d v="2023-05-31T00:00:00"/>
    <d v="2023-05-31T00:00:00"/>
    <s v="1763336"/>
    <x v="5"/>
    <s v="5"/>
    <s v="5-1"/>
    <m/>
    <m/>
    <s v="LBP for the account of BIR"/>
    <s v="To remit witholding tax (1%-2%) deducted from suppliers/contractors of NIA-Pangasinan IMO covering the period of May 2023"/>
    <x v="3"/>
    <x v="3"/>
    <m/>
    <n v="56598.09"/>
    <s v="220076 Capital Outlay Minosicuan - P 47,175.07, 220052 Capital Outlay Calmay SPIP - P 9,252.17 &amp; 66.35, 220044 - Capital Outlay Malimpin SPIP 104.50"/>
    <n v="-149102.35"/>
  </r>
  <r>
    <d v="2023-05-31T00:00:00"/>
    <m/>
    <m/>
    <x v="6"/>
    <m/>
    <m/>
    <m/>
    <m/>
    <m/>
    <m/>
    <x v="5"/>
    <x v="5"/>
    <m/>
    <m/>
    <m/>
    <n v="-89612.6"/>
  </r>
  <r>
    <d v="2023-06-30T00:00:00"/>
    <d v="2023-06-05T00:00:00"/>
    <s v="1763337"/>
    <x v="7"/>
    <s v="5"/>
    <s v="5-1"/>
    <m/>
    <m/>
    <s v="Casa Del Camba Hotel &amp; Restaurant"/>
    <s v="To payment of meals and snacks and lodging served used during the conduct of Financial Management System Training of Malimpin Farmers Agriculture Cooperative (MFAC) on March 22-24, 2023 at Brgy. Malimpin, Dasol, Pangasinan "/>
    <x v="6"/>
    <x v="6"/>
    <n v="48460"/>
    <m/>
    <s v="220044 Capital Outlay-Malimpin SPIP"/>
    <n v="-41152.6"/>
  </r>
  <r>
    <d v="2023-06-30T00:00:00"/>
    <d v="2023-06-05T00:00:00"/>
    <s v="1763337"/>
    <x v="7"/>
    <s v="5"/>
    <s v="5-1"/>
    <m/>
    <m/>
    <s v="Casa Del Camba Hotel &amp; Restaurant"/>
    <s v="To payment of meals and snacks and lodging served used during the conduct of Financial Management System Training of Malimpin Farmers Agriculture Cooperative (MFAC) on March 22-24, 2023 at Brgy. Malimpin, Dasol, Pangasinan "/>
    <x v="1"/>
    <x v="1"/>
    <m/>
    <n v="484.6"/>
    <m/>
    <n v="-90097.2"/>
  </r>
  <r>
    <d v="2023-06-30T00:00:00"/>
    <d v="2023-06-05T00:00:00"/>
    <s v="1763337"/>
    <x v="7"/>
    <s v="5"/>
    <s v="5-1"/>
    <m/>
    <m/>
    <s v="Casa Del Camba Hotel &amp; Restaurant"/>
    <s v="To payment of meals and snacks and lodging served used during the conduct of Financial Management System Training of Malimpin Farmers Agriculture Cooperative (MFAC) on March 22-24, 2023 at Brgy. Malimpin, Dasol, Pangasinan "/>
    <x v="7"/>
    <x v="7"/>
    <m/>
    <n v="969.2"/>
    <m/>
    <n v="-91066.4"/>
  </r>
  <r>
    <d v="2023-06-30T00:00:00"/>
    <d v="2023-06-05T00:00:00"/>
    <s v="1763337"/>
    <x v="7"/>
    <s v="5"/>
    <s v="5-1"/>
    <m/>
    <m/>
    <s v="Casa Del Camba Hotel &amp; Restaurant"/>
    <s v="To payment of meals and snacks and lodging served used during the conduct of Financial Management System Training of Malimpin Farmers Agriculture Cooperative (MFAC) on March 22-24, 2023 at Brgy. Malimpin, Dasol, Pangasinan "/>
    <x v="3"/>
    <x v="3"/>
    <m/>
    <n v="47006.2"/>
    <m/>
    <n v="-136618.79999999999"/>
  </r>
  <r>
    <d v="2023-06-30T00:00:00"/>
    <d v="2023-06-06T00:00:00"/>
    <s v="Payroll2023-06-0017"/>
    <x v="7"/>
    <s v="5"/>
    <s v="5-1"/>
    <m/>
    <m/>
    <s v="John R. Bergado &amp; 10 others"/>
    <s v="To payment of wages of John R. Bergado &amp; 10 others (Job Order) of NIA-Pangasinan IMO, Urdaneta City, Pangasinan for the period May 16-31, 2023 "/>
    <x v="4"/>
    <x v="4"/>
    <n v="79514.320000000007"/>
    <m/>
    <s v="220044 Capital Outlay-Malimpin SPIP"/>
    <n v="-57104.480000000003"/>
  </r>
  <r>
    <d v="2023-06-30T00:00:00"/>
    <d v="2023-06-06T00:00:00"/>
    <s v="Payroll2023-06-0017"/>
    <x v="7"/>
    <s v="5"/>
    <s v="5-1"/>
    <m/>
    <m/>
    <s v="John R. Bergado &amp; 10 others"/>
    <s v="To payment of wages of John R. Bergado &amp; 10 others (Job Order) of NIA-Pangasinan IMO, Urdaneta City, Pangasinan for the period May 16-31, 2023 "/>
    <x v="12"/>
    <x v="12"/>
    <m/>
    <n v="4424.3900000000003"/>
    <m/>
    <n v="-94036.99"/>
  </r>
  <r>
    <d v="2023-06-30T00:00:00"/>
    <d v="2023-06-06T00:00:00"/>
    <s v="Payroll2023-06-0017"/>
    <x v="7"/>
    <s v="5"/>
    <s v="5-1"/>
    <m/>
    <m/>
    <s v="John R. Bergado &amp; 10 others"/>
    <s v="To payment of wages of John R. Bergado &amp; 10 others (Job Order) of NIA-Pangasinan IMO, Urdaneta City, Pangasinan for the period May 16-31, 2023 "/>
    <x v="24"/>
    <x v="24"/>
    <m/>
    <n v="6270"/>
    <m/>
    <n v="-100306.99"/>
  </r>
  <r>
    <d v="2023-06-30T00:00:00"/>
    <d v="2023-06-06T00:00:00"/>
    <s v="Payroll2023-06-0017"/>
    <x v="7"/>
    <s v="5"/>
    <s v="5-1"/>
    <m/>
    <m/>
    <s v="John R. Bergado &amp; 10 others"/>
    <s v="To payment of wages of John R. Bergado &amp; 10 others (Job Order) of NIA-Pangasinan IMO, Urdaneta City, Pangasinan for the period May 16-31, 2023 "/>
    <x v="24"/>
    <x v="24"/>
    <m/>
    <n v="6829.16"/>
    <m/>
    <n v="-96441.76"/>
  </r>
  <r>
    <d v="2023-06-30T00:00:00"/>
    <d v="2023-06-06T00:00:00"/>
    <s v="Payroll2023-06-0017"/>
    <x v="7"/>
    <s v="5"/>
    <s v="5-1"/>
    <m/>
    <m/>
    <s v="John R. Bergado &amp; 10 others"/>
    <s v="To payment of wages of John R. Bergado &amp; 10 others (Job Order) of NIA-Pangasinan IMO, Urdaneta City, Pangasinan for the period May 16-31, 2023 "/>
    <x v="3"/>
    <x v="3"/>
    <m/>
    <n v="61990.77"/>
    <m/>
    <n v="-158432.53"/>
  </r>
  <r>
    <d v="2023-06-30T00:00:00"/>
    <d v="2023-06-07T00:00:00"/>
    <s v="1763338"/>
    <x v="7"/>
    <s v="5"/>
    <s v="5-1"/>
    <m/>
    <m/>
    <s v="Cancelled"/>
    <m/>
    <x v="5"/>
    <x v="5"/>
    <m/>
    <m/>
    <m/>
    <n v="-158432.53"/>
  </r>
  <r>
    <d v="2023-06-30T00:00:00"/>
    <d v="2023-06-07T00:00:00"/>
    <s v="1763339"/>
    <x v="7"/>
    <s v="5"/>
    <s v="5-1"/>
    <m/>
    <m/>
    <s v="De Luna Catering Services"/>
    <s v="To payment of meals and snacks served during the conduct of Financial Management System Training of Minosicuan FIA, Inc. on March 8-10, 2023 at Brgy. Gonzales, Umingan, Pangasinan"/>
    <x v="6"/>
    <x v="6"/>
    <n v="46200"/>
    <m/>
    <s v="220076 Capital Outlay-Minosicuan CIS"/>
    <n v="-43412.6"/>
  </r>
  <r>
    <d v="2023-06-30T00:00:00"/>
    <d v="2023-06-07T00:00:00"/>
    <s v="1763339"/>
    <x v="7"/>
    <s v="5"/>
    <s v="5-1"/>
    <m/>
    <m/>
    <s v="De Luna Catering Services"/>
    <s v="To payment of meals and snacks served during the conduct of Financial Management System Training of Minosicuan FIA, Inc. on March 8-10, 2023 at Brgy. Gonzales, Umingan, Pangasinan"/>
    <x v="2"/>
    <x v="2"/>
    <m/>
    <n v="2062.5"/>
    <m/>
    <n v="-45475.1"/>
  </r>
  <r>
    <d v="2023-06-30T00:00:00"/>
    <d v="2023-06-07T00:00:00"/>
    <s v="1763339"/>
    <x v="7"/>
    <s v="5"/>
    <s v="5-1"/>
    <m/>
    <m/>
    <s v="De Luna Catering Services"/>
    <s v="To payment of meals and snacks served during the conduct of Financial Management System Training of Minosicuan FIA, Inc. on March 8-10, 2023 at Brgy. Gonzales, Umingan, Pangasinan"/>
    <x v="7"/>
    <x v="7"/>
    <m/>
    <n v="825"/>
    <m/>
    <n v="-90437.6"/>
  </r>
  <r>
    <d v="2023-06-30T00:00:00"/>
    <d v="2023-06-07T00:00:00"/>
    <s v="1763339"/>
    <x v="7"/>
    <s v="5"/>
    <s v="5-1"/>
    <m/>
    <m/>
    <s v="De Luna Catering Services"/>
    <s v="To payment of meals and snacks served during the conduct of Financial Management System Training of Minosicuan FIA, Inc. on March 8-10, 2023 at Brgy. Gonzales, Umingan, Pangasinan"/>
    <x v="3"/>
    <x v="3"/>
    <m/>
    <n v="43312.5"/>
    <m/>
    <n v="-133750.1"/>
  </r>
  <r>
    <d v="2023-06-30T00:00:00"/>
    <d v="2023-06-09T00:00:00"/>
    <s v="1763340"/>
    <x v="7"/>
    <s v="5"/>
    <s v="5-1"/>
    <m/>
    <m/>
    <s v="SSS"/>
    <s v="To remit SSS Contribution of John R. Bergado &amp; 10 others (Job Order) of NIA-Pangasinan IMO for the month of May 2023"/>
    <x v="24"/>
    <x v="24"/>
    <n v="6270"/>
    <m/>
    <s v="220044 Capital Outlay-Malimpin SPIP"/>
    <n v="-83342.600000000006"/>
  </r>
  <r>
    <d v="2023-06-30T00:00:00"/>
    <d v="2023-06-09T00:00:00"/>
    <s v="1763340"/>
    <x v="7"/>
    <s v="5"/>
    <s v="5-1"/>
    <m/>
    <m/>
    <s v="SSS"/>
    <s v="To remit SSS Contribution of John R. Bergado &amp; 10 others (Job Order) of NIA-Pangasinan IMO for the month of May 2023"/>
    <x v="3"/>
    <x v="3"/>
    <m/>
    <n v="6270"/>
    <m/>
    <n v="-89612.6"/>
  </r>
  <r>
    <d v="2023-06-30T00:00:00"/>
    <d v="2023-06-09T00:00:00"/>
    <s v="1763341"/>
    <x v="7"/>
    <s v="5"/>
    <s v="5-1"/>
    <m/>
    <m/>
    <s v="Philippine Health Insurance Corporation"/>
    <s v="To remit the monthly contribution of PHIC premiums of John R. Bergado &amp; 7 others (Job Order) of NIA-Pangasinan IMO, Urdaneta City for the month of June 2023"/>
    <x v="12"/>
    <x v="12"/>
    <n v="4424.3900000000003"/>
    <m/>
    <s v="220044 Capital Outlay-Malimpin SPIP"/>
    <n v="-85188.21"/>
  </r>
  <r>
    <d v="2023-06-30T00:00:00"/>
    <d v="2023-06-09T00:00:00"/>
    <s v="1763341"/>
    <x v="7"/>
    <s v="5"/>
    <s v="5-1"/>
    <m/>
    <m/>
    <s v="Philippine Health Insurance Corporation"/>
    <s v="To remit the monthly contribution of PHIC premiums of John R. Bergado &amp; 7 others (Job Order) of NIA-Pangasinan IMO, Urdaneta City for the month of June 2023"/>
    <x v="3"/>
    <x v="3"/>
    <m/>
    <n v="4424.3900000000003"/>
    <m/>
    <n v="-89612.6"/>
  </r>
  <r>
    <d v="2023-06-30T00:00:00"/>
    <d v="2023-06-13T00:00:00"/>
    <s v="Payroll2023-06-0018"/>
    <x v="7"/>
    <s v="5"/>
    <s v="5-1"/>
    <m/>
    <m/>
    <s v="Emerson A. Delos Santos &amp; 1 other"/>
    <s v="To payment of Salaries and Allowances of E. Delos Santos &amp; 1 other of NIA-Pangasinan IMO (CARP) Urdaneta City, Pangasinan for the period of June 2023"/>
    <x v="20"/>
    <x v="20"/>
    <n v="58320"/>
    <m/>
    <s v="2300068 PS"/>
    <n v="-31292.6"/>
  </r>
  <r>
    <d v="2023-06-30T00:00:00"/>
    <d v="2023-06-13T00:00:00"/>
    <s v="Payroll2023-06-0018"/>
    <x v="7"/>
    <s v="5"/>
    <s v="5-1"/>
    <m/>
    <m/>
    <s v="Emerson A. Delos Santos &amp; 1 other"/>
    <s v="To payment of Salaries and Allowances of E. Delos Santos &amp; 1 other of NIA-Pangasinan IMO (CARP) Urdaneta City, Pangasinan for the period of June 2023"/>
    <x v="21"/>
    <x v="21"/>
    <n v="4000"/>
    <m/>
    <m/>
    <n v="-27292.6"/>
  </r>
  <r>
    <d v="2023-06-30T00:00:00"/>
    <d v="2023-06-13T00:00:00"/>
    <s v="Payroll2023-06-0018"/>
    <x v="7"/>
    <s v="5"/>
    <s v="5-1"/>
    <m/>
    <m/>
    <s v="Emerson A. Delos Santos &amp; 1 other"/>
    <s v="To payment of Salaries and Allowances of E. Delos Santos &amp; 1 other of NIA-Pangasinan IMO (CARP) Urdaneta City, Pangasinan for the period of June 2023"/>
    <x v="16"/>
    <x v="16"/>
    <m/>
    <n v="1330.76"/>
    <m/>
    <n v="-90943.360000000001"/>
  </r>
  <r>
    <d v="2023-06-30T00:00:00"/>
    <d v="2023-06-13T00:00:00"/>
    <s v="Payroll2023-06-0018"/>
    <x v="7"/>
    <s v="5"/>
    <s v="5-1"/>
    <m/>
    <m/>
    <s v="Emerson A. Delos Santos &amp; 1 other"/>
    <s v="To payment of Salaries and Allowances of E. Delos Santos &amp; 1 other of NIA-Pangasinan IMO (CARP) Urdaneta City, Pangasinan for the period of June 2023"/>
    <x v="15"/>
    <x v="15"/>
    <m/>
    <n v="5248.8"/>
    <m/>
    <n v="-96192.16"/>
  </r>
  <r>
    <d v="2023-06-30T00:00:00"/>
    <d v="2023-06-13T00:00:00"/>
    <s v="Payroll2023-06-0018"/>
    <x v="7"/>
    <s v="5"/>
    <s v="5-1"/>
    <m/>
    <m/>
    <s v="Emerson A. Delos Santos &amp; 1 other"/>
    <s v="To payment of Salaries and Allowances of E. Delos Santos &amp; 1 other of NIA-Pangasinan IMO (CARP) Urdaneta City, Pangasinan for the period of June 2023"/>
    <x v="18"/>
    <x v="18"/>
    <m/>
    <n v="1166.4000000000001"/>
    <m/>
    <n v="-90779"/>
  </r>
  <r>
    <d v="2023-06-30T00:00:00"/>
    <d v="2023-06-13T00:00:00"/>
    <s v="Payroll2023-06-0018"/>
    <x v="7"/>
    <s v="5"/>
    <s v="5-1"/>
    <m/>
    <m/>
    <s v="Emerson A. Delos Santos &amp; 1 other"/>
    <s v="To payment of Salaries and Allowances of E. Delos Santos &amp; 1 other of NIA-Pangasinan IMO (CARP) Urdaneta City, Pangasinan for the period of June 2023"/>
    <x v="19"/>
    <x v="19"/>
    <m/>
    <n v="4000"/>
    <m/>
    <n v="-94779"/>
  </r>
  <r>
    <d v="2023-06-30T00:00:00"/>
    <d v="2023-06-13T00:00:00"/>
    <s v="Payroll2023-06-0018"/>
    <x v="7"/>
    <s v="5"/>
    <s v="5-1"/>
    <m/>
    <m/>
    <s v="Emerson A. Delos Santos &amp; 1 other"/>
    <s v="To payment of Salaries and Allowances of E. Delos Santos &amp; 1 other of NIA-Pangasinan IMO (CARP) Urdaneta City, Pangasinan for the period of June 2023"/>
    <x v="12"/>
    <x v="12"/>
    <m/>
    <n v="1166.4000000000001"/>
    <m/>
    <n v="-90779"/>
  </r>
  <r>
    <d v="2023-06-30T00:00:00"/>
    <d v="2023-06-13T00:00:00"/>
    <s v="Payroll2023-06-0018"/>
    <x v="7"/>
    <s v="5"/>
    <s v="5-1"/>
    <m/>
    <m/>
    <s v="Emerson A. Delos Santos &amp; 1 other"/>
    <s v="To payment of Salaries and Allowances of E. Delos Santos &amp; 1 other of NIA-Pangasinan IMO (CARP) Urdaneta City, Pangasinan for the period of June 2023"/>
    <x v="3"/>
    <x v="3"/>
    <m/>
    <n v="49407.64"/>
    <m/>
    <n v="-139020.24"/>
  </r>
  <r>
    <d v="2023-06-30T00:00:00"/>
    <d v="2023-06-21T00:00:00"/>
    <s v="Payroll2023-06-0019"/>
    <x v="7"/>
    <s v="5"/>
    <s v="5-1"/>
    <m/>
    <m/>
    <s v="J.Bergado &amp; 10 Others"/>
    <s v="To payment of salaries and wages of J.Bergado &amp; 10 others (J.O) of NIA Pangasinan IMO personnel for the Month of June 1-15 ,2023"/>
    <x v="4"/>
    <x v="4"/>
    <n v="64569.3"/>
    <m/>
    <s v="220044 Capital Outlay-Malimpin SPIP"/>
    <n v="-74450.94"/>
  </r>
  <r>
    <d v="2023-06-30T00:00:00"/>
    <d v="2023-06-21T00:00:00"/>
    <s v="Payroll2023-06-0019"/>
    <x v="7"/>
    <s v="5"/>
    <s v="5-1"/>
    <m/>
    <m/>
    <s v="J.Bergado &amp; 10 Others"/>
    <s v="To payment of salaries and wages of J.Bergado &amp; 10 others (J.O) of NIA Pangasinan IMO personnel for the Month of June 1-15 ,2023"/>
    <x v="18"/>
    <x v="18"/>
    <m/>
    <n v="2900"/>
    <m/>
    <n v="-141920.24"/>
  </r>
  <r>
    <d v="2023-06-30T00:00:00"/>
    <d v="2023-06-21T00:00:00"/>
    <s v="Payroll2023-06-0019"/>
    <x v="7"/>
    <s v="5"/>
    <s v="5-1"/>
    <m/>
    <m/>
    <s v="J.Bergado &amp; 10 Others"/>
    <s v="To payment of salaries and wages of J.Bergado &amp; 10 others (J.O) of NIA Pangasinan IMO personnel for the Month of June 1-15 ,2023"/>
    <x v="23"/>
    <x v="23"/>
    <m/>
    <n v="2825.02"/>
    <m/>
    <n v="-144745.26"/>
  </r>
  <r>
    <d v="2023-06-30T00:00:00"/>
    <d v="2023-06-21T00:00:00"/>
    <s v="Payroll2023-06-0019"/>
    <x v="7"/>
    <s v="5"/>
    <s v="5-1"/>
    <m/>
    <m/>
    <s v="J.Bergado &amp; 10 Others"/>
    <s v="To payment of salaries and wages of J.Bergado &amp; 10 others (J.O) of NIA Pangasinan IMO personnel for the Month of June 1-15 ,2023"/>
    <x v="24"/>
    <x v="24"/>
    <m/>
    <n v="6840"/>
    <m/>
    <n v="-145860.24"/>
  </r>
  <r>
    <d v="2023-06-30T00:00:00"/>
    <d v="2023-06-21T00:00:00"/>
    <s v="Payroll2023-06-0019"/>
    <x v="7"/>
    <s v="5"/>
    <s v="5-1"/>
    <m/>
    <m/>
    <s v="J.Bergado &amp; 10 Others"/>
    <s v="To payment of salaries and wages of J.Bergado &amp; 10 others (J.O) of NIA Pangasinan IMO personnel for the Month of June 1-15 ,2023"/>
    <x v="24"/>
    <x v="24"/>
    <m/>
    <n v="4291.66"/>
    <m/>
    <n v="-150151.9"/>
  </r>
  <r>
    <d v="2023-06-30T00:00:00"/>
    <d v="2023-06-21T00:00:00"/>
    <s v="Payroll2023-06-0019"/>
    <x v="7"/>
    <s v="5"/>
    <s v="5-1"/>
    <m/>
    <m/>
    <s v="J.Bergado &amp; 10 Others"/>
    <s v="To payment of salaries and wages of J.Bergado &amp; 10 others (J.O) of NIA Pangasinan IMO personnel for the Month of June 1-15 ,2023"/>
    <x v="3"/>
    <x v="3"/>
    <m/>
    <n v="47712.62"/>
    <m/>
    <n v="-193572.86"/>
  </r>
  <r>
    <d v="2023-06-30T00:00:00"/>
    <d v="2023-06-21T00:00:00"/>
    <s v="Payroll2023-06-0019"/>
    <x v="8"/>
    <s v="5"/>
    <s v="5-1"/>
    <m/>
    <m/>
    <s v="J.Bergado &amp; 10 Others"/>
    <s v="To payment of salaries and wages of J.Bergado &amp; 10 others (J.O) of NIA Pangasinan IMO personnel for the Month of June 1-15 ,2023"/>
    <x v="18"/>
    <x v="18"/>
    <m/>
    <n v="2900"/>
    <m/>
    <n v="-196472.86"/>
  </r>
  <r>
    <d v="2023-06-30T00:00:00"/>
    <d v="2023-06-21T00:00:00"/>
    <s v="Payroll2023-06-0019"/>
    <x v="8"/>
    <s v="5"/>
    <s v="5-1"/>
    <m/>
    <m/>
    <s v="J.Bergado &amp; 10 Others"/>
    <s v="To payment of salaries and wages of J.Bergado &amp; 10 others (J.O) of NIA Pangasinan IMO personnel for the Month of June 1-15 ,2023"/>
    <x v="23"/>
    <x v="23"/>
    <m/>
    <n v="2825.02"/>
    <m/>
    <n v="-199297.88"/>
  </r>
  <r>
    <d v="2023-06-30T00:00:00"/>
    <d v="2023-06-21T00:00:00"/>
    <s v="Payroll2023-06-0019"/>
    <x v="8"/>
    <s v="5"/>
    <s v="5-1"/>
    <m/>
    <m/>
    <s v="J.Bergado &amp; 10 Others"/>
    <s v="To payment of salaries and wages of J.Bergado &amp; 10 others (J.O) of NIA Pangasinan IMO personnel for the Month of June 1-15 ,2023"/>
    <x v="3"/>
    <x v="3"/>
    <m/>
    <n v="47712.62"/>
    <m/>
    <n v="-258142.16"/>
  </r>
  <r>
    <d v="2023-06-30T00:00:00"/>
    <d v="2023-06-21T00:00:00"/>
    <s v="1763342"/>
    <x v="7"/>
    <s v="5"/>
    <s v="5-1"/>
    <m/>
    <m/>
    <s v="GSIS"/>
    <s v="To remit monthly GSIS premiums both personal &amp; government shares of E. Delos Santos &amp; 1 other of NIA-Pangasinan IMO (CARP) Urdaneta City, Pangasinan for the period June 2023"/>
    <x v="13"/>
    <x v="13"/>
    <n v="6998.4"/>
    <m/>
    <s v="230068 PS"/>
    <n v="-82614.2"/>
  </r>
  <r>
    <d v="2023-06-30T00:00:00"/>
    <d v="2023-06-21T00:00:00"/>
    <s v="1763342"/>
    <x v="7"/>
    <s v="5"/>
    <s v="5-1"/>
    <m/>
    <m/>
    <s v="GSIS"/>
    <s v="To remit monthly GSIS premiums both personal &amp; government shares of E. Delos Santos &amp; 1 other of NIA-Pangasinan IMO (CARP) Urdaneta City, Pangasinan for the period June 2023"/>
    <x v="14"/>
    <x v="14"/>
    <n v="200"/>
    <m/>
    <m/>
    <n v="-89412.6"/>
  </r>
  <r>
    <d v="2023-06-30T00:00:00"/>
    <d v="2023-06-21T00:00:00"/>
    <s v="1763342"/>
    <x v="7"/>
    <s v="5"/>
    <s v="5-1"/>
    <m/>
    <m/>
    <s v="GSIS"/>
    <s v="To remit monthly GSIS premiums both personal &amp; government shares of E. Delos Santos &amp; 1 other of NIA-Pangasinan IMO (CARP) Urdaneta City, Pangasinan for the period June 2023"/>
    <x v="15"/>
    <x v="15"/>
    <n v="5248.8"/>
    <m/>
    <m/>
    <n v="-84363.8"/>
  </r>
  <r>
    <d v="2023-06-30T00:00:00"/>
    <d v="2023-06-21T00:00:00"/>
    <s v="1763342"/>
    <x v="7"/>
    <s v="5"/>
    <s v="5-1"/>
    <m/>
    <m/>
    <s v="GSIS"/>
    <s v="To remit monthly GSIS premiums both personal &amp; government shares of E. Delos Santos &amp; 1 other of NIA-Pangasinan IMO (CARP) Urdaneta City, Pangasinan for the period June 2023"/>
    <x v="3"/>
    <x v="3"/>
    <m/>
    <n v="12447.2"/>
    <m/>
    <n v="-102059.8"/>
  </r>
  <r>
    <d v="2023-06-30T00:00:00"/>
    <d v="2023-06-21T00:00:00"/>
    <s v="1763343"/>
    <x v="7"/>
    <s v="5"/>
    <s v="5-1"/>
    <m/>
    <m/>
    <s v="HDMF"/>
    <s v="To remit monthly HDMF premiums both personal &amp; government shares of E. Delos Santos &amp; 1 other of NIA-Pangasinan IMO (CARP) Urdaneta City, Pangasinan for the period June 2023"/>
    <x v="17"/>
    <x v="17"/>
    <n v="200"/>
    <m/>
    <s v="230068 PS"/>
    <n v="-89412.6"/>
  </r>
  <r>
    <d v="2023-06-30T00:00:00"/>
    <d v="2023-06-21T00:00:00"/>
    <s v="1763343"/>
    <x v="7"/>
    <s v="5"/>
    <s v="5-1"/>
    <m/>
    <m/>
    <s v="HDMF"/>
    <s v="To remit monthly HDMF premiums both personal &amp; government shares of E. Delos Santos &amp; 1 other of NIA-Pangasinan IMO (CARP) Urdaneta City, Pangasinan for the period June 2023"/>
    <x v="18"/>
    <x v="18"/>
    <n v="1166.4000000000001"/>
    <m/>
    <m/>
    <n v="-88446.2"/>
  </r>
  <r>
    <d v="2023-06-30T00:00:00"/>
    <d v="2023-06-21T00:00:00"/>
    <s v="1763343"/>
    <x v="7"/>
    <s v="5"/>
    <s v="5-1"/>
    <m/>
    <m/>
    <s v="HDMF"/>
    <s v="To remit monthly HDMF premiums both personal &amp; government shares of E. Delos Santos &amp; 1 other of NIA-Pangasinan IMO (CARP) Urdaneta City, Pangasinan for the period June 2023"/>
    <x v="3"/>
    <x v="3"/>
    <m/>
    <n v="1366.4"/>
    <m/>
    <n v="-90979"/>
  </r>
  <r>
    <d v="2023-06-30T00:00:00"/>
    <d v="2023-06-21T00:00:00"/>
    <s v="1763344"/>
    <x v="7"/>
    <s v="5"/>
    <s v="5-1"/>
    <m/>
    <m/>
    <s v="HDMF"/>
    <s v="To remit monthly HDMF M2 E. Delos Santos &amp; 1 other of NIA-Pangasinan IMO (CARP), Urdaneta City, Pangasinan for the period of June 2023"/>
    <x v="19"/>
    <x v="19"/>
    <n v="4000"/>
    <m/>
    <s v="230068 PS"/>
    <n v="-85612.6"/>
  </r>
  <r>
    <d v="2023-06-30T00:00:00"/>
    <d v="2023-06-21T00:00:00"/>
    <s v="1763344"/>
    <x v="7"/>
    <s v="5"/>
    <s v="5-1"/>
    <m/>
    <m/>
    <s v="HDMF"/>
    <s v="To remit monthly HDMF M2 E. Delos Santos &amp; 1 other of NIA-Pangasinan IMO (CARP), Urdaneta City, Pangasinan for the period of June 2023"/>
    <x v="3"/>
    <x v="3"/>
    <m/>
    <n v="4000"/>
    <m/>
    <n v="-93612.6"/>
  </r>
  <r>
    <d v="2023-06-30T00:00:00"/>
    <d v="2023-06-21T00:00:00"/>
    <s v="1763345"/>
    <x v="7"/>
    <s v="5"/>
    <s v="5-1"/>
    <m/>
    <m/>
    <s v="HDMF"/>
    <s v="To remit HDMF Premiums for personal share of John R. Bergado &amp; 11 others (Job Order) of NIA-Pangasinan IMO, Urdaneta City, Pangasinan for the month of June 2023"/>
    <x v="18"/>
    <x v="18"/>
    <n v="2900"/>
    <m/>
    <s v="220044 Capital Outlay-Malimpin SPIP"/>
    <n v="-86712.6"/>
  </r>
  <r>
    <d v="2023-06-30T00:00:00"/>
    <d v="2023-06-21T00:00:00"/>
    <s v="1763345"/>
    <x v="7"/>
    <s v="5"/>
    <s v="5-1"/>
    <m/>
    <m/>
    <s v="HDMF"/>
    <s v="To remit HDMF Premiums for personal share of John R. Bergado &amp; 11 others (Job Order) of NIA-Pangasinan IMO, Urdaneta City, Pangasinan for the month of June 2023"/>
    <x v="3"/>
    <x v="3"/>
    <m/>
    <n v="2900"/>
    <m/>
    <n v="-92512.6"/>
  </r>
  <r>
    <d v="2023-06-30T00:00:00"/>
    <d v="2023-06-21T00:00:00"/>
    <s v="1763346"/>
    <x v="7"/>
    <s v="5"/>
    <s v="5-1"/>
    <m/>
    <m/>
    <s v="HDMF"/>
    <s v="To remit HMDF Loan (MPL) of Richard D. De Guzman &amp; 2 others (Job Order) of NIA-Pangasinan IMO, Urdaneta City for the month of June 2023"/>
    <x v="23"/>
    <x v="23"/>
    <n v="2825.02"/>
    <m/>
    <s v="220044 Capital Outlay-Malimpin SPIP"/>
    <n v="-86787.58"/>
  </r>
  <r>
    <d v="2023-06-30T00:00:00"/>
    <d v="2023-06-21T00:00:00"/>
    <s v="1763346"/>
    <x v="7"/>
    <s v="5"/>
    <s v="5-1"/>
    <m/>
    <m/>
    <s v="HDMF"/>
    <s v="To remit HMDF Loan (MPL) of Richard D. De Guzman &amp; 2 others (Job Order) of NIA-Pangasinan IMO, Urdaneta City for the month of June 2023"/>
    <x v="3"/>
    <x v="3"/>
    <m/>
    <n v="2825.02"/>
    <m/>
    <n v="-92437.62"/>
  </r>
  <r>
    <d v="2023-06-30T00:00:00"/>
    <d v="2023-06-21T00:00:00"/>
    <s v="1763347"/>
    <x v="7"/>
    <s v="5"/>
    <s v="5-1"/>
    <m/>
    <m/>
    <s v="NIA Region 1 Employees Multi-Purpose Cooperative"/>
    <s v="To payment for NIA Multi-Purpose loan of Richard C. De Guzman &amp; 1 other (Job Order) of NIA-Pangasinan IMO, Urdaneta City covering the period June 1-15, 2023"/>
    <x v="24"/>
    <x v="24"/>
    <n v="4291.66"/>
    <m/>
    <s v="220044 Capital Outlay-Malimpin SPIP"/>
    <n v="-88145.96"/>
  </r>
  <r>
    <d v="2023-06-30T00:00:00"/>
    <d v="2023-06-21T00:00:00"/>
    <s v="1763347"/>
    <x v="7"/>
    <s v="5"/>
    <s v="5-1"/>
    <m/>
    <m/>
    <s v="NIA Region 1 Employees Multi-Purpose Cooperative"/>
    <s v="To payment for NIA Multi-Purpose loan of Richard C. De Guzman &amp; 1 other (Job Order) of NIA-Pangasinan IMO, Urdaneta City covering the period June 1-15, 2023"/>
    <x v="3"/>
    <x v="3"/>
    <m/>
    <n v="4291.66"/>
    <m/>
    <n v="-96729.279999999999"/>
  </r>
  <r>
    <d v="2023-06-30T00:00:00"/>
    <d v="2023-06-21T00:00:00"/>
    <s v="1763348"/>
    <x v="7"/>
    <m/>
    <m/>
    <m/>
    <m/>
    <s v="Cancelled"/>
    <m/>
    <x v="31"/>
    <x v="5"/>
    <m/>
    <m/>
    <m/>
    <n v="-96729.279999999999"/>
  </r>
  <r>
    <d v="2023-06-30T00:00:00"/>
    <d v="2023-06-21T00:00:00"/>
    <s v="1763349"/>
    <x v="7"/>
    <s v="5"/>
    <s v="5-1"/>
    <m/>
    <m/>
    <s v="SSS"/>
    <s v="To remit SSS Contributions of John R. Bergado &amp; 11 others (Job Order) of NIA-Pangasinan IMO, for the month of June 2023"/>
    <x v="24"/>
    <x v="24"/>
    <n v="6840"/>
    <m/>
    <s v="220044 Capital Outlay-Malimpin SPIP"/>
    <n v="-85597.62"/>
  </r>
  <r>
    <d v="2023-06-30T00:00:00"/>
    <d v="2023-06-21T00:00:00"/>
    <s v="1763349"/>
    <x v="7"/>
    <s v="5"/>
    <s v="5-1"/>
    <m/>
    <m/>
    <s v="SSS"/>
    <s v="To remit SSS Contributions of John R. Bergado &amp; 11 others (Job Order) of NIA-Pangasinan IMO, for the month of June 2023"/>
    <x v="3"/>
    <x v="3"/>
    <m/>
    <n v="6840"/>
    <m/>
    <n v="-96452.6"/>
  </r>
  <r>
    <d v="2023-06-30T00:00:00"/>
    <d v="2023-06-21T00:00:00"/>
    <s v="1763350"/>
    <x v="7"/>
    <s v="5"/>
    <s v="5-1"/>
    <m/>
    <m/>
    <s v="LBP for the account of BIR"/>
    <s v="To remit withholding tax on Compensation of E. Delos Santos &amp; 1 other of NIA Pangasinan IMO (CARP), Urdaneta City, Pangasinan for the period of June 2023"/>
    <x v="16"/>
    <x v="16"/>
    <n v="1330.76"/>
    <m/>
    <s v="230068 PS"/>
    <n v="-88281.84"/>
  </r>
  <r>
    <d v="2023-06-30T00:00:00"/>
    <d v="2023-06-21T00:00:00"/>
    <s v="1763350"/>
    <x v="7"/>
    <s v="5"/>
    <s v="5-1"/>
    <m/>
    <m/>
    <s v="LBP for the account of BIR"/>
    <s v="To remit withholding tax on Compensation of E. Delos Santos &amp; 1 other of NIA Pangasinan IMO (CARP), Urdaneta City, Pangasinan for the period of June 2023"/>
    <x v="3"/>
    <x v="3"/>
    <m/>
    <n v="1330.76"/>
    <m/>
    <n v="-90943.360000000001"/>
  </r>
  <r>
    <d v="2023-06-30T00:00:00"/>
    <d v="2023-06-21T00:00:00"/>
    <s v="DebitmemoPHIC-06-05"/>
    <x v="7"/>
    <s v="5"/>
    <s v="5-1"/>
    <m/>
    <m/>
    <s v="Philippine Health Insurance Corporation"/>
    <s v="To remit monthly PHIC premiums both personal &amp; government shares of E. Delos Santos &amp; 1 other of NIA Pangasinan IMO (CARP) Urdaneta City, Pangasinan for the period of June 2023"/>
    <x v="11"/>
    <x v="11"/>
    <n v="1166.4000000000001"/>
    <m/>
    <m/>
    <n v="-89776.960000000006"/>
  </r>
  <r>
    <d v="2023-06-30T00:00:00"/>
    <d v="2023-06-21T00:00:00"/>
    <s v="DebitmemoPHIC-06-05"/>
    <x v="7"/>
    <s v="5"/>
    <s v="5-1"/>
    <m/>
    <m/>
    <s v="Philippine Health Insurance Corporation"/>
    <s v="To remit monthly PHIC premiums both personal &amp; government shares of E. Delos Santos &amp; 1 other of NIA Pangasinan IMO (CARP) Urdaneta City, Pangasinan for the period of June 2023"/>
    <x v="12"/>
    <x v="12"/>
    <n v="1166.4000000000001"/>
    <m/>
    <m/>
    <n v="-89776.960000000006"/>
  </r>
  <r>
    <d v="2023-06-30T00:00:00"/>
    <d v="2023-06-21T00:00:00"/>
    <s v="DebitmemoPHIC-06-05"/>
    <x v="7"/>
    <s v="5"/>
    <s v="5-1"/>
    <m/>
    <m/>
    <s v="Philippine Health Insurance Corporation"/>
    <s v="To remit monthly PHIC premiums both personal &amp; government shares of E. Delos Santos &amp; 1 other of NIA Pangasinan IMO (CARP) Urdaneta City, Pangasinan for the period of June 2023"/>
    <x v="3"/>
    <x v="3"/>
    <m/>
    <n v="2332.8000000000002"/>
    <m/>
    <n v="-93276.160000000003"/>
  </r>
  <r>
    <d v="2023-06-30T00:00:00"/>
    <d v="2023-06-22T00:00:00"/>
    <s v="1763351"/>
    <x v="7"/>
    <s v="5"/>
    <s v="5-1"/>
    <m/>
    <m/>
    <s v="NIA Region 1 Employees Multi-Purpose Cooperative"/>
    <s v="To payment for NIA Multi-purpose loan of Richard C. De Guzman &amp; 2 others (Job Order) of NIA-Pangasinan IMO, Urdaneta City covering the period May 16-31, 2023"/>
    <x v="24"/>
    <x v="24"/>
    <n v="6829.16"/>
    <m/>
    <s v="220044 Capital Outlay-Malimpin SPIP"/>
    <n v="-84114.2"/>
  </r>
  <r>
    <d v="2023-06-30T00:00:00"/>
    <d v="2023-06-22T00:00:00"/>
    <s v="1763351"/>
    <x v="7"/>
    <s v="5"/>
    <s v="5-1"/>
    <m/>
    <m/>
    <s v="NIA Region 1 Employees Multi-Purpose Cooperative"/>
    <s v="To payment for NIA Multi-purpose loan of Richard C. De Guzman &amp; 2 others (Job Order) of NIA-Pangasinan IMO, Urdaneta City covering the period May 16-31, 2023"/>
    <x v="3"/>
    <x v="3"/>
    <m/>
    <n v="6829.16"/>
    <m/>
    <n v="-97772.52"/>
  </r>
  <r>
    <d v="2023-06-30T00:00:00"/>
    <d v="2023-06-23T00:00:00"/>
    <s v="Payroll2023-06-020"/>
    <x v="7"/>
    <s v="5"/>
    <s v="5-1"/>
    <m/>
    <m/>
    <s v="E.Delos Santos &amp; 1 other"/>
    <s v="NIA 60th(Diamond) Anniversary Bonus C.Y 2023"/>
    <x v="32"/>
    <x v="31"/>
    <n v="6000"/>
    <m/>
    <s v="230063 PS"/>
    <n v="-84943.360000000001"/>
  </r>
  <r>
    <d v="2023-06-30T00:00:00"/>
    <d v="2023-06-23T00:00:00"/>
    <s v="Payroll2023-06-020"/>
    <x v="7"/>
    <s v="5"/>
    <s v="5-1"/>
    <m/>
    <m/>
    <s v="E.Delos Santos &amp; 1 other"/>
    <s v="NIA 60th(Diamond) Anniversary Bonus C.Y 2023"/>
    <x v="3"/>
    <x v="3"/>
    <m/>
    <n v="6000"/>
    <m/>
    <n v="-96943.360000000001"/>
  </r>
  <r>
    <d v="2023-06-30T00:00:00"/>
    <d v="2023-06-29T00:00:00"/>
    <s v="1763352"/>
    <x v="7"/>
    <s v="5"/>
    <s v="5-1"/>
    <m/>
    <m/>
    <s v="Celbros Construction and Supplies"/>
    <s v="To six (6th) partial payment of contract under R1-PIMO-22-03-041 in connection with the Minosicuan CIS (CARP IC CY 2022) located in Umingan, Pangasinan"/>
    <x v="8"/>
    <x v="8"/>
    <n v="1141659.94"/>
    <m/>
    <s v="220076 Capital Outlay-Minosicuan CIS"/>
    <e v="#REF!"/>
  </r>
  <r>
    <d v="2023-06-30T00:00:00"/>
    <d v="2023-06-29T00:00:00"/>
    <s v="1763352"/>
    <x v="7"/>
    <s v="5"/>
    <s v="5-1"/>
    <m/>
    <m/>
    <s v="Celbros Construction and Supplies"/>
    <s v="To six (6th) partial payment of contract under R1-PIMO-22-03-041 in connection with the Minosicuan CIS (CARP IC CY 2022) located in Umingan, Pangasinan"/>
    <x v="2"/>
    <x v="2"/>
    <m/>
    <n v="50966.96"/>
    <m/>
    <e v="#REF!"/>
  </r>
  <r>
    <d v="2023-06-30T00:00:00"/>
    <d v="2023-06-29T00:00:00"/>
    <s v="1763352"/>
    <x v="7"/>
    <s v="5"/>
    <s v="5-1"/>
    <m/>
    <m/>
    <s v="Celbros Construction and Supplies"/>
    <s v="To six (6th) partial payment of contract under R1-PIMO-22-03-041 in connection with the Minosicuan CIS (CARP IC CY 2022) located in Umingan, Pangasinan"/>
    <x v="7"/>
    <x v="7"/>
    <m/>
    <n v="20386.78"/>
    <m/>
    <e v="#REF!"/>
  </r>
  <r>
    <d v="2023-06-30T00:00:00"/>
    <d v="2023-06-29T00:00:00"/>
    <s v="1763352"/>
    <x v="7"/>
    <s v="5"/>
    <s v="5-1"/>
    <m/>
    <m/>
    <s v="Celbros Construction and Supplies"/>
    <s v="To six (6th) partial payment of contract under R1-PIMO-22-03-041 in connection with the Minosicuan CIS (CARP IC CY 2022) located in Umingan, Pangasinan"/>
    <x v="3"/>
    <x v="3"/>
    <m/>
    <n v="1070306.2"/>
    <m/>
    <e v="#REF!"/>
  </r>
  <r>
    <d v="2023-06-30T00:00:00"/>
    <d v="2023-06-30T00:00:00"/>
    <s v="1763353"/>
    <x v="7"/>
    <s v="5"/>
    <s v="5-1"/>
    <m/>
    <m/>
    <s v="LBP for the account of BIR"/>
    <s v="To remit witholding tax(5%) deducted from suppliers/contractors of NIA-Pangasinan IMO for the period of June 2023"/>
    <x v="1"/>
    <x v="1"/>
    <n v="484.6"/>
    <m/>
    <s v="220044 Capital Outlay-Malimpin SPIP - P 484.60, 220076 Capital Outlay-Minosicuan CIS - 2,062.50, 220076 Capital Outlay-Minosicuan CIS - 50,966.96"/>
    <e v="#REF!"/>
  </r>
  <r>
    <d v="2023-06-30T00:00:00"/>
    <d v="2023-06-30T00:00:00"/>
    <s v="1763353"/>
    <x v="7"/>
    <s v="5"/>
    <s v="5-1"/>
    <m/>
    <m/>
    <s v="LBP for the account of BIR"/>
    <s v="To remit witholding tax(5%) deducted from suppliers/contractors of NIA-Pangasinan IMO for the period of June 2023"/>
    <x v="2"/>
    <x v="2"/>
    <n v="53029.46"/>
    <m/>
    <m/>
    <e v="#REF!"/>
  </r>
  <r>
    <d v="2023-06-30T00:00:00"/>
    <d v="2023-06-30T00:00:00"/>
    <s v="1763353"/>
    <x v="7"/>
    <s v="5"/>
    <s v="5-1"/>
    <m/>
    <m/>
    <s v="LBP for the account of BIR"/>
    <s v="To remit witholding tax(5%) deducted from suppliers/contractors of NIA-Pangasinan IMO for the period of June 2023"/>
    <x v="3"/>
    <x v="3"/>
    <m/>
    <n v="53514.06"/>
    <m/>
    <e v="#REF!"/>
  </r>
  <r>
    <d v="2023-06-30T00:00:00"/>
    <d v="2023-06-30T00:00:00"/>
    <s v="1763354"/>
    <x v="7"/>
    <s v="5"/>
    <s v="5-1"/>
    <m/>
    <m/>
    <s v="LBP for the account of BIR"/>
    <s v="To remit witholding tax (1%-2%) deducted from suppliers/contracrors of NIA-Pangasina IMO for the period of June 2023"/>
    <x v="7"/>
    <x v="7"/>
    <n v="22180.98"/>
    <m/>
    <s v="220044 Capital Outlay-Malimpin SPIP - P 969.20, 220076 Capital Outlay-Minosicuan CIS - 825.00, 220076 Capital Outlay-Minosicuan CIS - 20,386.78"/>
    <e v="#REF!"/>
  </r>
  <r>
    <d v="2023-06-30T00:00:00"/>
    <d v="2023-06-30T00:00:00"/>
    <s v="1763354"/>
    <x v="7"/>
    <s v="5"/>
    <s v="5-1"/>
    <m/>
    <m/>
    <s v="LBP for the account of BIR"/>
    <s v="To remit witholding tax (1%-2%) deducted from suppliers/contracrors of NIA-Pangasina IMO for the period of June 2023"/>
    <x v="3"/>
    <x v="3"/>
    <m/>
    <n v="22180.98"/>
    <m/>
    <e v="#REF!"/>
  </r>
  <r>
    <d v="2023-06-30T00:00:00"/>
    <d v="2023-06-30T00:00:00"/>
    <s v="1763355"/>
    <x v="7"/>
    <s v="5"/>
    <s v="5-1"/>
    <m/>
    <m/>
    <s v="Bureau of Treasury"/>
    <s v="To remit interest income under fund 501 CARP for the 2nd Quarter of CY 2023"/>
    <x v="29"/>
    <x v="29"/>
    <n v="582.79999999999995"/>
    <m/>
    <m/>
    <e v="#REF!"/>
  </r>
  <r>
    <d v="2023-06-30T00:00:00"/>
    <d v="2023-06-30T00:00:00"/>
    <s v="1763355"/>
    <x v="7"/>
    <s v="5"/>
    <s v="5-1"/>
    <m/>
    <m/>
    <s v="Bureau of Treasury"/>
    <s v="To remit interest income under fund 501 CARP for the 2nd Quarter of CY 2023"/>
    <x v="3"/>
    <x v="3"/>
    <m/>
    <n v="582.79999999999995"/>
    <m/>
    <e v="#REF!"/>
  </r>
  <r>
    <d v="2023-07-31T00:00:00"/>
    <d v="2023-07-04T00:00:00"/>
    <s v="1763356"/>
    <x v="9"/>
    <s v="5"/>
    <s v="5-1"/>
    <m/>
    <m/>
    <s v="Izbarinos Corporation"/>
    <s v="To payment of diesel fuel for use of various vehicles assigned for Project of Irrigation System NIA-Pangasinan IMO-IDU for the period of May 16-31, 2023"/>
    <x v="27"/>
    <x v="27"/>
    <n v="8478.89"/>
    <m/>
    <s v="ASA # 220044 Capital Outlay (Malimpin SPIP)"/>
    <e v="#REF!"/>
  </r>
  <r>
    <d v="2023-07-31T00:00:00"/>
    <d v="2023-07-04T00:00:00"/>
    <s v="1763356"/>
    <x v="9"/>
    <s v="5"/>
    <s v="5-1"/>
    <m/>
    <m/>
    <s v="Izbarinos Corporation"/>
    <s v="To payment of diesel fuel for use of various vehicles assigned for Project of Irrigation System NIA-Pangasinan IMO-IDU for the period of May 16-31, 2023"/>
    <x v="1"/>
    <x v="1"/>
    <m/>
    <n v="75.7"/>
    <m/>
    <e v="#REF!"/>
  </r>
  <r>
    <d v="2023-07-31T00:00:00"/>
    <d v="2023-07-04T00:00:00"/>
    <s v="1763356"/>
    <x v="9"/>
    <s v="5"/>
    <s v="5-1"/>
    <m/>
    <m/>
    <s v="Izbarinos Corporation"/>
    <s v="To payment of diesel fuel for use of various vehicles assigned for Project of Irrigation System NIA-Pangasinan IMO-IDU for the period of May 16-31, 2023"/>
    <x v="2"/>
    <x v="2"/>
    <m/>
    <n v="378.52"/>
    <m/>
    <e v="#REF!"/>
  </r>
  <r>
    <d v="2023-07-31T00:00:00"/>
    <d v="2023-07-04T00:00:00"/>
    <s v="1763356"/>
    <x v="9"/>
    <s v="5"/>
    <s v="5-1"/>
    <m/>
    <m/>
    <s v="Izbarinos Corporation"/>
    <s v="To payment of diesel fuel for use of various vehicles assigned for Project of Irrigation System NIA-Pangasinan IMO-IDU for the period of May 16-31, 2023"/>
    <x v="3"/>
    <x v="3"/>
    <m/>
    <n v="8024.67"/>
    <m/>
    <e v="#REF!"/>
  </r>
  <r>
    <d v="2023-07-31T00:00:00"/>
    <d v="2023-07-04T00:00:00"/>
    <s v="Payroll2023-07-0021"/>
    <x v="9"/>
    <s v="5"/>
    <s v="5-1"/>
    <m/>
    <m/>
    <s v="John R. Bergado &amp; 11 others"/>
    <s v="To payment of wages of John R. Bergado &amp; 11 others (Job Order) of NIA-Pangasinan IMO, Urdaneta City for the period June 16-30, 2023"/>
    <x v="4"/>
    <x v="4"/>
    <n v="73068.87"/>
    <m/>
    <s v="ASA # 220076 Capital Outlay (Minosicuan CIS)"/>
    <e v="#REF!"/>
  </r>
  <r>
    <d v="2023-07-31T00:00:00"/>
    <d v="2023-07-04T00:00:00"/>
    <s v="Payroll2023-07-0021"/>
    <x v="9"/>
    <s v="5"/>
    <s v="5-1"/>
    <m/>
    <m/>
    <s v="John R. Bergado &amp; 11 others"/>
    <s v="To payment of wages of John R. Bergado &amp; 11 others (Job Order) of NIA-Pangasinan IMO, Urdaneta City for the period June 16-30, 2023"/>
    <x v="24"/>
    <x v="24"/>
    <m/>
    <n v="4229.16"/>
    <m/>
    <e v="#REF!"/>
  </r>
  <r>
    <d v="2023-07-31T00:00:00"/>
    <d v="2023-07-04T00:00:00"/>
    <s v="Payroll2023-07-0021"/>
    <x v="9"/>
    <s v="5"/>
    <s v="5-1"/>
    <m/>
    <m/>
    <s v="John R. Bergado &amp; 11 others"/>
    <s v="To payment of wages of John R. Bergado &amp; 11 others (Job Order) of NIA-Pangasinan IMO, Urdaneta City for the period June 16-30, 2023"/>
    <x v="3"/>
    <x v="3"/>
    <m/>
    <n v="68839.710000000006"/>
    <m/>
    <e v="#REF!"/>
  </r>
  <r>
    <d v="2023-07-31T00:00:00"/>
    <d v="2023-07-05T00:00:00"/>
    <s v="1763357"/>
    <x v="9"/>
    <s v="5"/>
    <s v="5-1"/>
    <m/>
    <m/>
    <s v="Caixia Construction "/>
    <s v="To payment of 15% mobilization of contract under R1-PIMO-23-01-012 in connection with the Construction of Waig SPIP (CARP IC-CY 2023) located at Malasiqui, Pangasinan "/>
    <x v="10"/>
    <x v="10"/>
    <n v="1341951.24"/>
    <m/>
    <s v="ASA # 230028 Capital Outlay-Waig PIP"/>
    <e v="#REF!"/>
  </r>
  <r>
    <d v="2023-07-31T00:00:00"/>
    <d v="2023-07-05T00:00:00"/>
    <s v="1763357"/>
    <x v="9"/>
    <s v="5"/>
    <s v="5-1"/>
    <m/>
    <m/>
    <s v="Caixia Construction "/>
    <s v="To payment of 15% mobilization of contract under R1-PIMO-23-01-012 in connection with the Construction of Waig SPIP (CARP IC-CY 2023) located at Malasiqui, Pangasinan "/>
    <x v="3"/>
    <x v="3"/>
    <m/>
    <n v="1341951.24"/>
    <m/>
    <e v="#REF!"/>
  </r>
  <r>
    <d v="2023-07-31T00:00:00"/>
    <d v="2023-07-13T00:00:00"/>
    <s v="1763358"/>
    <x v="9"/>
    <s v="5"/>
    <s v="5-1"/>
    <m/>
    <m/>
    <s v="NIA Region 1 Employees Multi-Purpose Cooperative"/>
    <s v="To payment for NIA Multi-Purpose Loan of Richard C. De Guzman &amp; 1 other (Job Order) of NIA-Pangasinan IMO, Urdaneta City covering the period June 16-30, 2023"/>
    <x v="24"/>
    <x v="24"/>
    <n v="4229.16"/>
    <m/>
    <s v="ASA # 220076 Capital Outlay (Minosicuan CIS)"/>
    <e v="#REF!"/>
  </r>
  <r>
    <d v="2023-07-31T00:00:00"/>
    <d v="2023-07-13T00:00:00"/>
    <s v="1763358"/>
    <x v="9"/>
    <s v="5"/>
    <s v="5-1"/>
    <m/>
    <m/>
    <s v="NIA Region 1 Employees Multi-Purpose Cooperative"/>
    <s v="To payment for NIA Multi-Purpose Loan of Richard C. De Guzman &amp; 1 other (Job Order) of NIA-Pangasinan IMO, Urdaneta City covering the period June 16-30, 2023"/>
    <x v="3"/>
    <x v="3"/>
    <m/>
    <n v="4229.16"/>
    <m/>
    <e v="#REF!"/>
  </r>
  <r>
    <d v="2023-07-31T00:00:00"/>
    <d v="2023-07-13T00:00:00"/>
    <s v="Payroll2023-07-0022"/>
    <x v="9"/>
    <s v="5"/>
    <s v="5-1"/>
    <m/>
    <m/>
    <s v="Emerson A. Delos Santos &amp; 1 other"/>
    <s v="To payment of Salaries and Allowances of E. Delos Santos &amp; 1 other of NIA-Pangasinan IMO (CARP) Urdaneta City, Pangasinan for the period of July 2023 "/>
    <x v="20"/>
    <x v="20"/>
    <n v="58320"/>
    <m/>
    <s v="ASA # 230068 (June) P 12,873.13 &amp; ASA # 230111 (July) 49,446.87"/>
    <e v="#REF!"/>
  </r>
  <r>
    <d v="2023-07-31T00:00:00"/>
    <d v="2023-07-13T00:00:00"/>
    <s v="Payroll2023-07-0022"/>
    <x v="9"/>
    <s v="5"/>
    <s v="5-1"/>
    <m/>
    <m/>
    <s v="Emerson A. Delos Santos &amp; 1 other"/>
    <s v="To payment of Salaries and Allowances of E. Delos Santos &amp; 1 other of NIA-Pangasinan IMO (CARP) Urdaneta City, Pangasinan for the period of July 2023 "/>
    <x v="21"/>
    <x v="21"/>
    <n v="4000"/>
    <m/>
    <m/>
    <e v="#REF!"/>
  </r>
  <r>
    <d v="2023-07-31T00:00:00"/>
    <d v="2023-07-13T00:00:00"/>
    <s v="Payroll2023-07-0022"/>
    <x v="9"/>
    <s v="5"/>
    <s v="5-1"/>
    <m/>
    <m/>
    <s v="Emerson A. Delos Santos &amp; 1 other"/>
    <s v="To payment of Salaries and Allowances of E. Delos Santos &amp; 1 other of NIA-Pangasinan IMO (CARP) Urdaneta City, Pangasinan for the period of July 2023 "/>
    <x v="16"/>
    <x v="16"/>
    <m/>
    <n v="1330.76"/>
    <m/>
    <e v="#REF!"/>
  </r>
  <r>
    <d v="2023-07-31T00:00:00"/>
    <d v="2023-07-13T00:00:00"/>
    <s v="Payroll2023-07-0022"/>
    <x v="9"/>
    <s v="5"/>
    <s v="5-1"/>
    <m/>
    <m/>
    <s v="Emerson A. Delos Santos &amp; 1 other"/>
    <s v="To payment of Salaries and Allowances of E. Delos Santos &amp; 1 other of NIA-Pangasinan IMO (CARP) Urdaneta City, Pangasinan for the period of July 2023 "/>
    <x v="15"/>
    <x v="15"/>
    <m/>
    <n v="5248.8"/>
    <m/>
    <e v="#REF!"/>
  </r>
  <r>
    <d v="2023-07-31T00:00:00"/>
    <d v="2023-07-13T00:00:00"/>
    <s v="Payroll2023-07-0022"/>
    <x v="9"/>
    <s v="5"/>
    <s v="5-1"/>
    <m/>
    <m/>
    <s v="Emerson A. Delos Santos &amp; 1 other"/>
    <s v="To payment of Salaries and Allowances of E. Delos Santos &amp; 1 other of NIA-Pangasinan IMO (CARP) Urdaneta City, Pangasinan for the period of July 2023 "/>
    <x v="18"/>
    <x v="18"/>
    <m/>
    <n v="1166.4000000000001"/>
    <m/>
    <e v="#REF!"/>
  </r>
  <r>
    <d v="2023-07-31T00:00:00"/>
    <d v="2023-07-13T00:00:00"/>
    <s v="Payroll2023-07-0022"/>
    <x v="9"/>
    <s v="5"/>
    <s v="5-1"/>
    <m/>
    <m/>
    <s v="Emerson A. Delos Santos &amp; 1 other"/>
    <s v="To payment of Salaries and Allowances of E. Delos Santos &amp; 1 other of NIA-Pangasinan IMO (CARP) Urdaneta City, Pangasinan for the period of July 2023 "/>
    <x v="19"/>
    <x v="19"/>
    <m/>
    <n v="4000"/>
    <m/>
    <e v="#REF!"/>
  </r>
  <r>
    <d v="2023-07-31T00:00:00"/>
    <d v="2023-07-13T00:00:00"/>
    <s v="Payroll2023-07-0022"/>
    <x v="9"/>
    <s v="5"/>
    <s v="5-1"/>
    <m/>
    <m/>
    <s v="Emerson A. Delos Santos &amp; 1 other"/>
    <s v="To payment of Salaries and Allowances of E. Delos Santos &amp; 1 other of NIA-Pangasinan IMO (CARP) Urdaneta City, Pangasinan for the period of July 2023 "/>
    <x v="12"/>
    <x v="12"/>
    <m/>
    <n v="1166.4000000000001"/>
    <m/>
    <e v="#REF!"/>
  </r>
  <r>
    <d v="2023-07-31T00:00:00"/>
    <d v="2023-07-13T00:00:00"/>
    <s v="Payroll2023-07-0022"/>
    <x v="9"/>
    <s v="5"/>
    <s v="5-1"/>
    <m/>
    <m/>
    <s v="Emerson A. Delos Santos &amp; 1 other"/>
    <s v="To payment of Salaries and Allowances of E. Delos Santos &amp; 1 other of NIA-Pangasinan IMO (CARP) Urdaneta City, Pangasinan for the period of July 2023 "/>
    <x v="3"/>
    <x v="3"/>
    <m/>
    <n v="49407.64"/>
    <m/>
    <e v="#REF!"/>
  </r>
  <r>
    <d v="2023-07-31T00:00:00"/>
    <d v="2023-07-14T00:00:00"/>
    <s v="DemitMemoCostofCheck0701"/>
    <x v="9"/>
    <s v="5"/>
    <s v="5-1"/>
    <m/>
    <m/>
    <s v="Land Bank of The Philippines"/>
    <s v="Cost of Check Booklet"/>
    <x v="33"/>
    <x v="32"/>
    <n v="1200"/>
    <m/>
    <s v="MOOE 230024 "/>
    <e v="#REF!"/>
  </r>
  <r>
    <d v="2023-07-31T00:00:00"/>
    <d v="2023-07-14T00:00:00"/>
    <s v="DemitMemoCostofCheck0701"/>
    <x v="9"/>
    <s v="5"/>
    <s v="5-1"/>
    <m/>
    <m/>
    <s v="Land Bank of The Philippines"/>
    <s v="Cost of Check Booklet"/>
    <x v="3"/>
    <x v="3"/>
    <m/>
    <n v="1200"/>
    <m/>
    <e v="#REF!"/>
  </r>
  <r>
    <d v="2023-07-31T00:00:00"/>
    <d v="2023-07-20T00:00:00"/>
    <s v="1763359"/>
    <x v="9"/>
    <s v="5"/>
    <s v="5-1"/>
    <m/>
    <m/>
    <s v="GSIS"/>
    <s v="To remit monthly GSIS premiums both personal &amp; government shares of E. Delos Santos &amp; 1 other of NIA-Pangasinan IMO (CARP) Urdaneta City, Pangasinan for the period of July 2023"/>
    <x v="13"/>
    <x v="13"/>
    <n v="6998.4"/>
    <m/>
    <s v="ASA # 230111 (July) PS"/>
    <e v="#REF!"/>
  </r>
  <r>
    <d v="2023-07-31T00:00:00"/>
    <d v="2023-07-20T00:00:00"/>
    <s v="1763359"/>
    <x v="9"/>
    <s v="5"/>
    <s v="5-1"/>
    <m/>
    <m/>
    <s v="GSIS"/>
    <s v="To remit monthly GSIS premiums both personal &amp; government shares of E. Delos Santos &amp; 1 other of NIA-Pangasinan IMO (CARP) Urdaneta City, Pangasinan for the period of July 2023"/>
    <x v="14"/>
    <x v="14"/>
    <n v="200"/>
    <m/>
    <m/>
    <e v="#REF!"/>
  </r>
  <r>
    <d v="2023-07-31T00:00:00"/>
    <d v="2023-07-20T00:00:00"/>
    <s v="1763359"/>
    <x v="9"/>
    <s v="5"/>
    <s v="5-1"/>
    <m/>
    <m/>
    <s v="GSIS"/>
    <s v="To remit monthly GSIS premiums both personal &amp; government shares of E. Delos Santos &amp; 1 other of NIA-Pangasinan IMO (CARP) Urdaneta City, Pangasinan for the period of July 2023"/>
    <x v="15"/>
    <x v="15"/>
    <n v="5248.8"/>
    <m/>
    <m/>
    <e v="#REF!"/>
  </r>
  <r>
    <d v="2023-07-31T00:00:00"/>
    <d v="2023-07-20T00:00:00"/>
    <s v="1763359"/>
    <x v="9"/>
    <s v="5"/>
    <s v="5-1"/>
    <m/>
    <m/>
    <s v="GSIS"/>
    <s v="To remit monthly GSIS premiums both personal &amp; government shares of E. Delos Santos &amp; 1 other of NIA-Pangasinan IMO (CARP) Urdaneta City, Pangasinan for the period of July 2023"/>
    <x v="3"/>
    <x v="3"/>
    <m/>
    <n v="12447.2"/>
    <m/>
    <e v="#REF!"/>
  </r>
  <r>
    <d v="2023-07-31T00:00:00"/>
    <d v="2023-07-20T00:00:00"/>
    <s v="1763360"/>
    <x v="9"/>
    <s v="5"/>
    <s v="5-1"/>
    <m/>
    <m/>
    <s v="HDMF"/>
    <s v="To remit monthly HDMF M2 E. Delos Santos &amp; 1 other of NIA-Pangasinan IMO (CARP), Urdaneta City, Pangasinan for the period of July 2023"/>
    <x v="19"/>
    <x v="19"/>
    <n v="4000"/>
    <m/>
    <s v="ASA # 230111 (July) PS"/>
    <e v="#REF!"/>
  </r>
  <r>
    <d v="2023-07-31T00:00:00"/>
    <d v="2023-07-20T00:00:00"/>
    <s v="1763360"/>
    <x v="9"/>
    <s v="5"/>
    <s v="5-1"/>
    <m/>
    <m/>
    <s v="HDMF"/>
    <s v="To remit monthly HDMF M2 E. Delos Santos &amp; 1 other of NIA-Pangasinan IMO (CARP), Urdaneta City, Pangasinan for the period of July 2023"/>
    <x v="3"/>
    <x v="3"/>
    <m/>
    <n v="4000"/>
    <m/>
    <e v="#REF!"/>
  </r>
  <r>
    <d v="2023-07-31T00:00:00"/>
    <d v="2023-07-20T00:00:00"/>
    <s v="1763361"/>
    <x v="9"/>
    <s v="5"/>
    <s v="5-1"/>
    <m/>
    <m/>
    <s v="HDMF"/>
    <s v="To remit monthly HDMF premiums both personal &amp; government shares of E. Delos Santos &amp; 1 other of NIA-Pangasinan IMO (CARP) Urdaneta City, Pangasinan for the period of July 2023"/>
    <x v="17"/>
    <x v="17"/>
    <n v="200"/>
    <m/>
    <s v="ASA # 230111 (July) PS"/>
    <e v="#REF!"/>
  </r>
  <r>
    <d v="2023-07-31T00:00:00"/>
    <d v="2023-07-20T00:00:00"/>
    <s v="1763361"/>
    <x v="9"/>
    <s v="5"/>
    <s v="5-1"/>
    <m/>
    <m/>
    <s v="HDMF"/>
    <s v="To remit monthly HDMF premiums both personal &amp; government shares of E. Delos Santos &amp; 1 other of NIA-Pangasinan IMO (CARP) Urdaneta City, Pangasinan for the period of July 2023"/>
    <x v="18"/>
    <x v="18"/>
    <n v="1166.4000000000001"/>
    <m/>
    <m/>
    <e v="#REF!"/>
  </r>
  <r>
    <d v="2023-07-31T00:00:00"/>
    <d v="2023-07-20T00:00:00"/>
    <s v="1763361"/>
    <x v="9"/>
    <s v="5"/>
    <s v="5-1"/>
    <m/>
    <m/>
    <s v="HDMF"/>
    <s v="To remit monthly HDMF premiums both personal &amp; government shares of E. Delos Santos &amp; 1 other of NIA-Pangasinan IMO (CARP) Urdaneta City, Pangasinan for the period of July 2023"/>
    <x v="3"/>
    <x v="3"/>
    <m/>
    <n v="1366.4"/>
    <m/>
    <e v="#REF!"/>
  </r>
  <r>
    <d v="2023-07-31T00:00:00"/>
    <d v="2023-07-20T00:00:00"/>
    <s v="1763362"/>
    <x v="9"/>
    <s v="5"/>
    <s v="5-1"/>
    <m/>
    <m/>
    <s v="LBP for the account of BIR"/>
    <s v="To remit Withholding Tax on Compensation of E. Delos Santos &amp; 1 other of NIA-Pangasinan IMO (CARP), Urdaneta City, Pangasinan for the period of July 2023"/>
    <x v="16"/>
    <x v="16"/>
    <n v="1330.76"/>
    <m/>
    <s v="ASA # 230111 (July) PS"/>
    <e v="#REF!"/>
  </r>
  <r>
    <d v="2023-07-31T00:00:00"/>
    <d v="2023-07-20T00:00:00"/>
    <s v="1763362"/>
    <x v="9"/>
    <s v="5"/>
    <s v="5-1"/>
    <m/>
    <m/>
    <s v="LBP for the account of BIR"/>
    <s v="To remit Withholding Tax on Compensation of E. Delos Santos &amp; 1 other of NIA-Pangasinan IMO (CARP), Urdaneta City, Pangasinan for the period of July 2023"/>
    <x v="3"/>
    <x v="3"/>
    <m/>
    <n v="1330.76"/>
    <m/>
    <e v="#REF!"/>
  </r>
  <r>
    <d v="2023-07-31T00:00:00"/>
    <d v="2023-07-21T00:00:00"/>
    <s v="1763363"/>
    <x v="9"/>
    <s v="5"/>
    <s v="5-1"/>
    <m/>
    <m/>
    <s v="GSIS"/>
    <s v="To remit monthly GSIS premiums both personal &amp; government shares of Shalimar E. Velasco, Sr. Accounting Processor B of NIA-Pangasinan IMO (CARP) Urdaneta City, Pangasinan for the period of July 2023"/>
    <x v="13"/>
    <x v="13"/>
    <n v="2371.9"/>
    <m/>
    <s v="ASA # 230111 (July) PS"/>
    <e v="#REF!"/>
  </r>
  <r>
    <d v="2023-07-31T00:00:00"/>
    <d v="2023-07-21T00:00:00"/>
    <s v="1763363"/>
    <x v="9"/>
    <s v="5"/>
    <s v="5-1"/>
    <m/>
    <m/>
    <s v="GSIS"/>
    <s v="To remit monthly GSIS premiums both personal &amp; government shares of Shalimar E. Velasco, Sr. Accounting Processor B of NIA-Pangasinan IMO (CARP) Urdaneta City, Pangasinan for the period of July 2023"/>
    <x v="14"/>
    <x v="14"/>
    <n v="100"/>
    <m/>
    <m/>
    <e v="#REF!"/>
  </r>
  <r>
    <d v="2023-07-31T00:00:00"/>
    <d v="2023-07-21T00:00:00"/>
    <s v="1763363"/>
    <x v="9"/>
    <s v="5"/>
    <s v="5-1"/>
    <m/>
    <m/>
    <s v="GSIS"/>
    <s v="To remit monthly GSIS premiums both personal &amp; government shares of Shalimar E. Velasco, Sr. Accounting Processor B of NIA-Pangasinan IMO (CARP) Urdaneta City, Pangasinan for the period of July 2023"/>
    <x v="15"/>
    <x v="15"/>
    <n v="1778.93"/>
    <m/>
    <m/>
    <e v="#REF!"/>
  </r>
  <r>
    <d v="2023-07-31T00:00:00"/>
    <d v="2023-07-21T00:00:00"/>
    <s v="1763363"/>
    <x v="9"/>
    <s v="5"/>
    <s v="5-1"/>
    <m/>
    <m/>
    <s v="GSIS"/>
    <s v="To remit monthly GSIS premiums both personal &amp; government shares of Shalimar E. Velasco, Sr. Accounting Processor B of NIA-Pangasinan IMO (CARP) Urdaneta City, Pangasinan for the period of July 2023"/>
    <x v="3"/>
    <x v="3"/>
    <m/>
    <n v="4250.83"/>
    <m/>
    <e v="#REF!"/>
  </r>
  <r>
    <d v="2023-07-31T00:00:00"/>
    <d v="2023-07-21T00:00:00"/>
    <s v="1763364"/>
    <x v="9"/>
    <s v="5"/>
    <s v="5-1"/>
    <m/>
    <m/>
    <s v="Philippine Health Insurance Corporation"/>
    <s v="To remit monthly PHIC premiums both personal &amp; government shares of Shalimar E. Velasco, Sr. Accounting Processor B of NIA Pangasinan IMO (CARP)  Urdaneta City, Pangasinan for the period of July 2023"/>
    <x v="11"/>
    <x v="11"/>
    <n v="422.58"/>
    <m/>
    <s v="ASA # 230111 (July) PS"/>
    <e v="#REF!"/>
  </r>
  <r>
    <d v="2023-07-31T00:00:00"/>
    <d v="2023-07-21T00:00:00"/>
    <s v="1763364"/>
    <x v="9"/>
    <s v="5"/>
    <s v="5-1"/>
    <m/>
    <m/>
    <s v="Philippine Health Insurance Corporation"/>
    <s v="To remit monthly PHIC premiums both personal &amp; government shares of Shalimar E. Velasco, Sr. Accounting Processor B of NIA Pangasinan IMO (CARP)  Urdaneta City, Pangasinan for the period of July 2023"/>
    <x v="12"/>
    <x v="12"/>
    <n v="422.58"/>
    <m/>
    <m/>
    <e v="#REF!"/>
  </r>
  <r>
    <d v="2023-07-31T00:00:00"/>
    <d v="2023-07-21T00:00:00"/>
    <s v="1763364"/>
    <x v="9"/>
    <s v="5"/>
    <s v="5-1"/>
    <m/>
    <m/>
    <s v="Philippine Health Insurance Corporation"/>
    <s v="To remit monthly PHIC premiums both personal &amp; government shares of Shalimar E. Velasco, Sr. Accounting Processor B of NIA Pangasinan IMO (CARP)  Urdaneta City, Pangasinan for the period of July 2023"/>
    <x v="3"/>
    <x v="3"/>
    <m/>
    <n v="845.16"/>
    <m/>
    <e v="#REF!"/>
  </r>
  <r>
    <d v="2023-07-31T00:00:00"/>
    <d v="2023-07-21T00:00:00"/>
    <s v="1763365"/>
    <x v="9"/>
    <s v="5"/>
    <s v="5-1"/>
    <m/>
    <m/>
    <s v="HDMF"/>
    <s v="To remit Multipurpose Loan (MPL) of Shalimar E. Velasco, Sr. Accounting Processor B of NIA-Pangasinan IMO (CARP) Urdaneta City, Pangasinan for the period of July 2023"/>
    <x v="23"/>
    <x v="23"/>
    <n v="1635.3"/>
    <m/>
    <s v="ASA # 230111 (July) PS"/>
    <e v="#REF!"/>
  </r>
  <r>
    <d v="2023-07-31T00:00:00"/>
    <d v="2023-07-21T00:00:00"/>
    <s v="1763365"/>
    <x v="9"/>
    <s v="5"/>
    <s v="5-1"/>
    <m/>
    <m/>
    <s v="HDMF"/>
    <s v="To remit Multipurpose Loan (MPL) of Shalimar E. Velasco, Sr. Accounting Processor B of NIA-Pangasinan IMO (CARP) Urdaneta City, Pangasinan for the period of July 2023"/>
    <x v="3"/>
    <x v="3"/>
    <m/>
    <n v="1635.3"/>
    <m/>
    <e v="#REF!"/>
  </r>
  <r>
    <d v="2023-07-31T00:00:00"/>
    <d v="2023-07-21T00:00:00"/>
    <s v="1763366"/>
    <x v="9"/>
    <s v="5"/>
    <s v="5-1"/>
    <m/>
    <m/>
    <s v="HDMF"/>
    <s v="To remit monthly HDMF premiums both personal &amp; government shares of Shalimar E. Velasco, Sr. Accounting Processor B of NIA-Pangasinan IMO (CARP) Urdaneta City, Pangasinan for the period of July 2023"/>
    <x v="17"/>
    <x v="17"/>
    <n v="100"/>
    <m/>
    <s v="ASA # 230111 (July) PS"/>
    <e v="#REF!"/>
  </r>
  <r>
    <d v="2023-07-31T00:00:00"/>
    <d v="2023-07-21T00:00:00"/>
    <s v="1763366"/>
    <x v="9"/>
    <s v="5"/>
    <s v="5-1"/>
    <m/>
    <m/>
    <s v="HDMF"/>
    <s v="To remit monthly HDMF premiums both personal &amp; government shares of Shalimar E. Velasco, Sr. Accounting Processor B of NIA-Pangasinan IMO (CARP) Urdaneta City, Pangasinan for the period of July 2023"/>
    <x v="18"/>
    <x v="18"/>
    <n v="422.58"/>
    <m/>
    <m/>
    <e v="#REF!"/>
  </r>
  <r>
    <d v="2023-07-31T00:00:00"/>
    <d v="2023-07-21T00:00:00"/>
    <s v="1763366"/>
    <x v="9"/>
    <s v="5"/>
    <s v="5-1"/>
    <m/>
    <m/>
    <s v="HDMF"/>
    <s v="To remit monthly HDMF premiums both personal &amp; government shares of Shalimar E. Velasco, Sr. Accounting Processor B of NIA-Pangasinan IMO (CARP) Urdaneta City, Pangasinan for the period of July 2023"/>
    <x v="3"/>
    <x v="3"/>
    <m/>
    <n v="522.58000000000004"/>
    <m/>
    <e v="#REF!"/>
  </r>
  <r>
    <d v="2023-07-31T00:00:00"/>
    <d v="2023-07-28T00:00:00"/>
    <s v="Payroll2023-07-0022A"/>
    <x v="9"/>
    <s v="5"/>
    <s v="5-1"/>
    <m/>
    <m/>
    <s v="Philippine Health Insurance Corporation"/>
    <s v="To remit monthly PHIC premiums both personal &amp; government shares of E. Delos Santos &amp; 1 other of NIA Pangasinan IMO (CARP) Urdaneta City, Pangasinan for the period of July 2023"/>
    <x v="11"/>
    <x v="11"/>
    <n v="1166.4000000000001"/>
    <m/>
    <s v="ASA # 230111 (July) PS"/>
    <e v="#REF!"/>
  </r>
  <r>
    <d v="2023-07-31T00:00:00"/>
    <d v="2023-07-28T00:00:00"/>
    <s v="Payroll2023-07-0022A"/>
    <x v="9"/>
    <s v="5"/>
    <s v="5-1"/>
    <m/>
    <m/>
    <s v="Philippine Health Insurance Corporation"/>
    <s v="To remit monthly PHIC premiums both personal &amp; government shares of E. Delos Santos &amp; 1 other of NIA Pangasinan IMO (CARP) Urdaneta City, Pangasinan for the period of July 2023"/>
    <x v="12"/>
    <x v="12"/>
    <n v="1166.4000000000001"/>
    <m/>
    <m/>
    <e v="#REF!"/>
  </r>
  <r>
    <d v="2023-07-31T00:00:00"/>
    <d v="2023-07-28T00:00:00"/>
    <s v="Payroll2023-07-0022A"/>
    <x v="9"/>
    <s v="5"/>
    <s v="5-1"/>
    <m/>
    <m/>
    <s v="Philippine Health Insurance Corporation"/>
    <s v="To remit monthly PHIC premiums both personal &amp; government shares of E. Delos Santos &amp; 1 other of NIA Pangasinan IMO (CARP) Urdaneta City, Pangasinan for the period of July 2023"/>
    <x v="3"/>
    <x v="3"/>
    <m/>
    <n v="2332.8000000000002"/>
    <m/>
    <e v="#REF!"/>
  </r>
  <r>
    <d v="2023-07-31T00:00:00"/>
    <d v="2023-07-28T00:00:00"/>
    <s v="Payroll2023-07-0023"/>
    <x v="9"/>
    <s v="5"/>
    <s v="5-1"/>
    <m/>
    <m/>
    <s v="Shalimar E. Velasco"/>
    <s v="To payment of Salaries and Allowances of Shalimar E. Velasco as of Sr. Accounting Processor B of NIA-Pangasinan IMO (CARP) Urdaneta City, Pangasinan for the period of July 03-31, 2023"/>
    <x v="20"/>
    <x v="20"/>
    <n v="20168.599999999999"/>
    <m/>
    <s v="ASA # 230111 (July) PS"/>
    <e v="#REF!"/>
  </r>
  <r>
    <d v="2023-07-31T00:00:00"/>
    <d v="2023-07-28T00:00:00"/>
    <s v="Payroll2023-07-0023"/>
    <x v="9"/>
    <s v="5"/>
    <s v="5-1"/>
    <m/>
    <m/>
    <s v="Shalimar E. Velasco"/>
    <s v="To payment of Salaries and Allowances of Shalimar E. Velasco as of Sr. Accounting Processor B of NIA-Pangasinan IMO (CARP) Urdaneta City, Pangasinan for the period of July 03-31, 2023"/>
    <x v="21"/>
    <x v="21"/>
    <n v="1909.11"/>
    <m/>
    <m/>
    <e v="#REF!"/>
  </r>
  <r>
    <d v="2023-07-31T00:00:00"/>
    <d v="2023-07-28T00:00:00"/>
    <s v="Payroll2023-07-0023"/>
    <x v="9"/>
    <s v="5"/>
    <s v="5-1"/>
    <m/>
    <m/>
    <s v="Shalimar E. Velasco"/>
    <s v="To payment of Salaries and Allowances of Shalimar E. Velasco as of Sr. Accounting Processor B of NIA-Pangasinan IMO (CARP) Urdaneta City, Pangasinan for the period of July 03-31, 2023"/>
    <x v="15"/>
    <x v="15"/>
    <m/>
    <n v="1778.93"/>
    <m/>
    <e v="#REF!"/>
  </r>
  <r>
    <d v="2023-07-31T00:00:00"/>
    <d v="2023-07-28T00:00:00"/>
    <s v="Payroll2023-07-0023"/>
    <x v="9"/>
    <s v="5"/>
    <s v="5-1"/>
    <m/>
    <m/>
    <s v="Shalimar E. Velasco"/>
    <s v="To payment of Salaries and Allowances of Shalimar E. Velasco as of Sr. Accounting Processor B of NIA-Pangasinan IMO (CARP) Urdaneta City, Pangasinan for the period of July 03-31, 2023"/>
    <x v="18"/>
    <x v="18"/>
    <m/>
    <n v="422.58"/>
    <m/>
    <e v="#REF!"/>
  </r>
  <r>
    <d v="2023-07-31T00:00:00"/>
    <d v="2023-07-28T00:00:00"/>
    <s v="Payroll2023-07-0023"/>
    <x v="9"/>
    <s v="5"/>
    <s v="5-1"/>
    <m/>
    <m/>
    <s v="Shalimar E. Velasco"/>
    <s v="To payment of Salaries and Allowances of Shalimar E. Velasco as of Sr. Accounting Processor B of NIA-Pangasinan IMO (CARP) Urdaneta City, Pangasinan for the period of July 03-31, 2023"/>
    <x v="23"/>
    <x v="23"/>
    <m/>
    <n v="1635.3"/>
    <m/>
    <e v="#REF!"/>
  </r>
  <r>
    <d v="2023-07-31T00:00:00"/>
    <d v="2023-07-28T00:00:00"/>
    <s v="Payroll2023-07-0023"/>
    <x v="9"/>
    <s v="5"/>
    <s v="5-1"/>
    <m/>
    <m/>
    <s v="Shalimar E. Velasco"/>
    <s v="To payment of Salaries and Allowances of Shalimar E. Velasco as of Sr. Accounting Processor B of NIA-Pangasinan IMO (CARP) Urdaneta City, Pangasinan for the period of July 03-31, 2023"/>
    <x v="12"/>
    <x v="12"/>
    <m/>
    <n v="422.58"/>
    <m/>
    <e v="#REF!"/>
  </r>
  <r>
    <d v="2023-07-31T00:00:00"/>
    <d v="2023-07-28T00:00:00"/>
    <s v="Payroll2023-07-0023"/>
    <x v="9"/>
    <s v="5"/>
    <s v="5-1"/>
    <m/>
    <m/>
    <s v="Shalimar E. Velasco"/>
    <s v="To payment of Salaries and Allowances of Shalimar E. Velasco as of Sr. Accounting Processor B of NIA-Pangasinan IMO (CARP) Urdaneta City, Pangasinan for the period of July 03-31, 2023"/>
    <x v="3"/>
    <x v="3"/>
    <m/>
    <n v="17818.32"/>
    <m/>
    <e v="#REF!"/>
  </r>
  <r>
    <d v="2023-07-31T00:00:00"/>
    <d v="2023-07-28T00:00:00"/>
    <s v="1763367"/>
    <x v="9"/>
    <s v="5"/>
    <s v="5-1"/>
    <m/>
    <m/>
    <s v="Izbarinos Corporation"/>
    <s v="To payment of diesel fuel for use of various vehicles assigned for Project of Irrigation System NIA-Pangasinan IMO-IDU for the period of June 16-30, 2023"/>
    <x v="27"/>
    <x v="27"/>
    <n v="4360.96"/>
    <m/>
    <s v="ASA # 230028 Capital Outlay-Waig PIP"/>
    <e v="#REF!"/>
  </r>
  <r>
    <d v="2023-07-31T00:00:00"/>
    <d v="2023-07-28T00:00:00"/>
    <s v="1763367"/>
    <x v="9"/>
    <s v="5"/>
    <s v="5-1"/>
    <m/>
    <m/>
    <s v="Izbarinos Corporation"/>
    <s v="To payment of diesel fuel for use of various vehicles assigned for Project of Irrigation System NIA-Pangasinan IMO-IDU for the period of June 16-30, 2023"/>
    <x v="1"/>
    <x v="1"/>
    <m/>
    <n v="38.94"/>
    <m/>
    <e v="#REF!"/>
  </r>
  <r>
    <d v="2023-07-31T00:00:00"/>
    <d v="2023-07-28T00:00:00"/>
    <s v="1763367"/>
    <x v="9"/>
    <s v="5"/>
    <s v="5-1"/>
    <m/>
    <m/>
    <s v="Izbarinos Corporation"/>
    <s v="To payment of diesel fuel for use of various vehicles assigned for Project of Irrigation System NIA-Pangasinan IMO-IDU for the period of June 16-30, 2023"/>
    <x v="2"/>
    <x v="2"/>
    <m/>
    <n v="194.69"/>
    <m/>
    <e v="#REF!"/>
  </r>
  <r>
    <d v="2023-07-31T00:00:00"/>
    <d v="2023-07-28T00:00:00"/>
    <s v="1763367"/>
    <x v="9"/>
    <s v="5"/>
    <s v="5-1"/>
    <m/>
    <m/>
    <s v="Izbarinos Corporation"/>
    <s v="To payment of diesel fuel for use of various vehicles assigned for Project of Irrigation System NIA-Pangasinan IMO-IDU for the period of June 16-30, 2023"/>
    <x v="3"/>
    <x v="3"/>
    <m/>
    <n v="4127.33"/>
    <m/>
    <e v="#REF!"/>
  </r>
  <r>
    <d v="2023-07-31T00:00:00"/>
    <d v="2023-07-28T00:00:00"/>
    <s v="1763368"/>
    <x v="9"/>
    <s v="5"/>
    <s v="5-1"/>
    <m/>
    <m/>
    <s v="Izbarinos Corporation"/>
    <s v="To payment of diesel fuel for use of various vehicles assigned for Project of Irrigation System NIA-Pangasinan IMO-IDS for the period of June 1-15, 2023"/>
    <x v="27"/>
    <x v="27"/>
    <n v="4987.88"/>
    <m/>
    <s v="MOOE 230024 "/>
    <e v="#REF!"/>
  </r>
  <r>
    <d v="2023-07-31T00:00:00"/>
    <d v="2023-07-28T00:00:00"/>
    <s v="1763368"/>
    <x v="9"/>
    <s v="5"/>
    <s v="5-1"/>
    <m/>
    <m/>
    <s v="Izbarinos Corporation"/>
    <s v="To payment of diesel fuel for use of various vehicles assigned for Project of Irrigation System NIA-Pangasinan IMO-IDS for the period of June 1-15, 2023"/>
    <x v="1"/>
    <x v="1"/>
    <m/>
    <n v="44.53"/>
    <m/>
    <e v="#REF!"/>
  </r>
  <r>
    <d v="2023-07-31T00:00:00"/>
    <d v="2023-07-28T00:00:00"/>
    <s v="1763368"/>
    <x v="9"/>
    <s v="5"/>
    <s v="5-1"/>
    <m/>
    <m/>
    <s v="Izbarinos Corporation"/>
    <s v="To payment of diesel fuel for use of various vehicles assigned for Project of Irrigation System NIA-Pangasinan IMO-IDS for the period of June 1-15, 2023"/>
    <x v="2"/>
    <x v="2"/>
    <m/>
    <n v="222.67"/>
    <m/>
    <e v="#REF!"/>
  </r>
  <r>
    <d v="2023-07-31T00:00:00"/>
    <d v="2023-07-28T00:00:00"/>
    <s v="1763368"/>
    <x v="9"/>
    <s v="5"/>
    <s v="5-1"/>
    <m/>
    <m/>
    <s v="Izbarinos Corporation"/>
    <s v="To payment of diesel fuel for use of various vehicles assigned for Project of Irrigation System NIA-Pangasinan IMO-IDS for the period of June 1-15, 2023"/>
    <x v="3"/>
    <x v="3"/>
    <m/>
    <n v="4720.68"/>
    <m/>
    <e v="#REF!"/>
  </r>
  <r>
    <d v="2023-07-31T00:00:00"/>
    <d v="2023-07-28T00:00:00"/>
    <s v="1763369"/>
    <x v="9"/>
    <s v="5"/>
    <s v="5-1"/>
    <m/>
    <m/>
    <s v="Marigold Store"/>
    <s v="To payment of Office Equipment (2 unit Steel Cabinet, 4 drawer, vertical) for use of PIMO-CARP "/>
    <x v="34"/>
    <x v="33"/>
    <n v="16796"/>
    <m/>
    <s v="ASA # 220044 Capital Outlay (Malimpin SPIP)"/>
    <e v="#REF!"/>
  </r>
  <r>
    <d v="2023-07-31T00:00:00"/>
    <d v="2023-07-28T00:00:00"/>
    <s v="1763369"/>
    <x v="9"/>
    <s v="5"/>
    <s v="5-1"/>
    <m/>
    <m/>
    <s v="Marigold Store"/>
    <s v="To payment of Office Equipment (2 unit Steel Cabinet, 4 drawer, vertical) for use of PIMO-CARP "/>
    <x v="1"/>
    <x v="1"/>
    <m/>
    <n v="149.96"/>
    <m/>
    <e v="#REF!"/>
  </r>
  <r>
    <d v="2023-07-31T00:00:00"/>
    <d v="2023-07-28T00:00:00"/>
    <s v="1763369"/>
    <x v="9"/>
    <s v="5"/>
    <s v="5-1"/>
    <m/>
    <m/>
    <s v="Marigold Store"/>
    <s v="To payment of Office Equipment (2 unit Steel Cabinet, 4 drawer, vertical) for use of PIMO-CARP "/>
    <x v="2"/>
    <x v="2"/>
    <m/>
    <n v="749.82"/>
    <m/>
    <e v="#REF!"/>
  </r>
  <r>
    <d v="2023-07-31T00:00:00"/>
    <d v="2023-07-28T00:00:00"/>
    <s v="1763369"/>
    <x v="9"/>
    <s v="5"/>
    <s v="5-1"/>
    <m/>
    <m/>
    <s v="Marigold Store"/>
    <s v="To payment of Office Equipment (2 unit Steel Cabinet, 4 drawer, vertical) for use of PIMO-CARP "/>
    <x v="3"/>
    <x v="3"/>
    <m/>
    <n v="15896.22"/>
    <m/>
    <e v="#REF!"/>
  </r>
  <r>
    <d v="2023-07-31T00:00:00"/>
    <d v="2023-07-28T00:00:00"/>
    <s v="1763370"/>
    <x v="9"/>
    <s v="5"/>
    <s v="5-1"/>
    <m/>
    <m/>
    <s v="Bitstop, Inc."/>
    <s v="To payment of Office Equipment (1 unit Camera, DSLR) for use of PIMO-CARP"/>
    <x v="34"/>
    <x v="33"/>
    <n v="39500"/>
    <m/>
    <s v="ASA # 220076 Capital Outlay (Minosicuan CIS)"/>
    <e v="#REF!"/>
  </r>
  <r>
    <d v="2023-07-31T00:00:00"/>
    <d v="2023-07-28T00:00:00"/>
    <s v="1763370"/>
    <x v="9"/>
    <s v="5"/>
    <s v="5-1"/>
    <m/>
    <m/>
    <s v="Bitstop, Inc."/>
    <s v="To payment of Office Equipment (1 unit Camera, DSLR) for use of PIMO-CARP"/>
    <x v="1"/>
    <x v="1"/>
    <m/>
    <n v="352.68"/>
    <m/>
    <e v="#REF!"/>
  </r>
  <r>
    <d v="2023-07-31T00:00:00"/>
    <d v="2023-07-28T00:00:00"/>
    <s v="1763370"/>
    <x v="9"/>
    <s v="5"/>
    <s v="5-1"/>
    <m/>
    <m/>
    <s v="Bitstop, Inc."/>
    <s v="To payment of Office Equipment (1 unit Camera, DSLR) for use of PIMO-CARP"/>
    <x v="2"/>
    <x v="2"/>
    <m/>
    <n v="1763.39"/>
    <m/>
    <e v="#REF!"/>
  </r>
  <r>
    <d v="2023-07-31T00:00:00"/>
    <d v="2023-07-28T00:00:00"/>
    <s v="1763370"/>
    <x v="9"/>
    <s v="5"/>
    <s v="5-1"/>
    <m/>
    <m/>
    <s v="Bitstop, Inc."/>
    <s v="To payment of Office Equipment (1 unit Camera, DSLR) for use of PIMO-CARP"/>
    <x v="3"/>
    <x v="3"/>
    <m/>
    <n v="37383.93"/>
    <m/>
    <e v="#REF!"/>
  </r>
  <r>
    <d v="2023-07-31T00:00:00"/>
    <d v="2023-07-28T00:00:00"/>
    <s v="1763371"/>
    <x v="9"/>
    <s v="5"/>
    <s v="5-1"/>
    <m/>
    <m/>
    <s v="Copylandia Office Systems Corporation"/>
    <s v="To payment of Spare parts for the Photocopier Model: Ineo 258 assigned at PIMO-Planning Unit"/>
    <x v="4"/>
    <x v="4"/>
    <n v="109440"/>
    <m/>
    <s v="ASA # 220044 Capital Outlay (Malimpin SPIP)"/>
    <e v="#REF!"/>
  </r>
  <r>
    <d v="2023-07-31T00:00:00"/>
    <d v="2023-07-28T00:00:00"/>
    <s v="1763371"/>
    <x v="9"/>
    <s v="5"/>
    <s v="5-1"/>
    <m/>
    <m/>
    <s v="Copylandia Office Systems Corporation"/>
    <s v="To payment of Spare parts for the Photocopier Model: Ineo 258 assigned at PIMO-Planning Unit"/>
    <x v="1"/>
    <x v="1"/>
    <m/>
    <n v="977.14"/>
    <m/>
    <e v="#REF!"/>
  </r>
  <r>
    <d v="2023-07-31T00:00:00"/>
    <d v="2023-07-28T00:00:00"/>
    <s v="1763371"/>
    <x v="9"/>
    <s v="5"/>
    <s v="5-1"/>
    <m/>
    <m/>
    <s v="Copylandia Office Systems Corporation"/>
    <s v="To payment of Spare parts for the Photocopier Model: Ineo 258 assigned at PIMO-Planning Unit"/>
    <x v="2"/>
    <x v="2"/>
    <m/>
    <n v="4885.71"/>
    <m/>
    <e v="#REF!"/>
  </r>
  <r>
    <d v="2023-07-31T00:00:00"/>
    <d v="2023-07-28T00:00:00"/>
    <s v="1763371"/>
    <x v="9"/>
    <s v="5"/>
    <s v="5-1"/>
    <m/>
    <m/>
    <s v="Copylandia Office Systems Corporation"/>
    <s v="To payment of Spare parts for the Photocopier Model: Ineo 258 assigned at PIMO-Planning Unit"/>
    <x v="3"/>
    <x v="3"/>
    <m/>
    <n v="103577.15"/>
    <m/>
    <e v="#REF!"/>
  </r>
  <r>
    <d v="2023-07-31T00:00:00"/>
    <d v="2023-07-31T00:00:00"/>
    <s v="1763372"/>
    <x v="9"/>
    <s v="5"/>
    <s v="5-1"/>
    <m/>
    <m/>
    <s v="LBP for the account of BIR"/>
    <s v="To remit Withholding Tax (5%) deducted from supplier/contractors of NIA-Pangasinan IMO covering the period of July 2023"/>
    <x v="2"/>
    <x v="2"/>
    <n v="8194.7999999999993"/>
    <m/>
    <s v="220044 - Capital Outlay - Malimpin SPIP = 378.52, 230028-Capital Outlay - Waig = 194.69, MOOE 230024 CY 2022 = 222.67, 220044 - Capital Outlay - Malimpin SPIP = 749.82, 220076 - Capital Outlay - Minosicuan CIS = 1763.39, 220044 - Capital Outlay - Malimpin SPIP = 4885.71"/>
    <e v="#REF!"/>
  </r>
  <r>
    <d v="2023-07-31T00:00:00"/>
    <d v="2023-07-31T00:00:00"/>
    <s v="1763372"/>
    <x v="9"/>
    <s v="5"/>
    <s v="5-1"/>
    <m/>
    <m/>
    <s v="LBP for the account of BIR"/>
    <s v="To remit Withholding Tax (5%) deducted from supplier/contractors of NIA-Pangasinan IMO covering the period of July 2023"/>
    <x v="3"/>
    <x v="3"/>
    <m/>
    <n v="8194.7999999999993"/>
    <m/>
    <e v="#REF!"/>
  </r>
  <r>
    <d v="2023-07-31T00:00:00"/>
    <d v="2023-07-31T00:00:00"/>
    <s v="1763373"/>
    <x v="9"/>
    <s v="5"/>
    <s v="5-1"/>
    <m/>
    <m/>
    <s v="LBP for the account of BIR"/>
    <s v="To remit Withholding Tax (1 % &amp; 5%) deducted from supplier/contractors of NIA-Pangasinan IMO covering the period of July 2023"/>
    <x v="1"/>
    <x v="1"/>
    <n v="1638.95"/>
    <m/>
    <s v="220044 - Capital Outlay - Malimpin SPIP = 75.7, 230028-Capital Outlay - Waig = 38.94, MOOE 230024 CY 2022 = 44.53, 220044 - Capital Outlay - Malimpin SPIP = 149.96, 220076 - Capital Outlay - Minosicuan CIS = 352.68, 220044 - Capital Outlay - Malimpin SPIP =977.14"/>
    <e v="#REF!"/>
  </r>
  <r>
    <d v="2023-07-31T00:00:00"/>
    <d v="2023-07-31T00:00:00"/>
    <s v="1763373"/>
    <x v="9"/>
    <s v="5"/>
    <s v="5-1"/>
    <m/>
    <m/>
    <s v="LBP for the account of BIR"/>
    <s v="To remit Withholding Tax (1 % &amp; 5%) deducted from supplier/contractors of NIA-Pangasinan IMO covering the period of July 2023"/>
    <x v="3"/>
    <x v="3"/>
    <m/>
    <n v="1638.95"/>
    <m/>
    <e v="#REF!"/>
  </r>
  <r>
    <d v="2023-08-31T00:00:00"/>
    <d v="2023-08-01T00:00:00"/>
    <s v="1763374"/>
    <x v="10"/>
    <s v="5"/>
    <s v="5-1"/>
    <m/>
    <m/>
    <s v="Arluck Trading"/>
    <s v="To payment of personal protective equipment and construction measuring tools for use of PIMO-CARP and Engineering Section personnel"/>
    <x v="34"/>
    <x v="33"/>
    <n v="24775"/>
    <m/>
    <s v="220076 Capital Outlay - Minosicuan CIS"/>
    <e v="#REF!"/>
  </r>
  <r>
    <d v="2023-08-31T00:00:00"/>
    <d v="2023-08-01T00:00:00"/>
    <s v="1763374"/>
    <x v="10"/>
    <s v="5"/>
    <s v="5-1"/>
    <m/>
    <m/>
    <s v="Arluck Trading"/>
    <s v="To payment of personal protective equipment and construction measuring tools for use of PIMO-CARP and Engineering Section personnel"/>
    <x v="1"/>
    <x v="1"/>
    <m/>
    <n v="221.21"/>
    <m/>
    <e v="#REF!"/>
  </r>
  <r>
    <d v="2023-08-31T00:00:00"/>
    <d v="2023-08-01T00:00:00"/>
    <s v="1763374"/>
    <x v="10"/>
    <s v="5"/>
    <s v="5-1"/>
    <m/>
    <m/>
    <s v="Arluck Trading"/>
    <s v="To payment of personal protective equipment and construction measuring tools for use of PIMO-CARP and Engineering Section personnel"/>
    <x v="2"/>
    <x v="2"/>
    <m/>
    <n v="1106.03"/>
    <m/>
    <e v="#REF!"/>
  </r>
  <r>
    <d v="2023-08-31T00:00:00"/>
    <d v="2023-08-01T00:00:00"/>
    <s v="1763374"/>
    <x v="10"/>
    <s v="5"/>
    <s v="5-1"/>
    <m/>
    <m/>
    <s v="Arluck Trading"/>
    <s v="To payment of personal protective equipment and construction measuring tools for use of PIMO-CARP and Engineering Section personnel"/>
    <x v="3"/>
    <x v="3"/>
    <m/>
    <n v="23447.759999999998"/>
    <m/>
    <e v="#REF!"/>
  </r>
  <r>
    <d v="2023-08-31T00:00:00"/>
    <d v="2023-08-04T00:00:00"/>
    <s v="1763375"/>
    <x v="10"/>
    <s v="5"/>
    <s v="5-1"/>
    <m/>
    <m/>
    <s v="Izbarinos Corporation"/>
    <s v="To payment of diesel fuel for use of various vehicles assigned for Project of Irrigation System NIA-Pangasinan IMO IDS for the period of July 1-15, 2023"/>
    <x v="27"/>
    <x v="27"/>
    <n v="6089.32"/>
    <m/>
    <s v="230028 Capital Outlay - Waig PIP"/>
    <e v="#REF!"/>
  </r>
  <r>
    <d v="2023-08-31T00:00:00"/>
    <d v="2023-08-04T00:00:00"/>
    <s v="1763375"/>
    <x v="10"/>
    <s v="5"/>
    <s v="5-1"/>
    <m/>
    <m/>
    <s v="Izbarinos Corporation"/>
    <s v="To payment of diesel fuel for use of various vehicles assigned for Project of Irrigation System NIA-Pangasinan IMO IDS for the period of July 1-15, 2023"/>
    <x v="1"/>
    <x v="1"/>
    <m/>
    <n v="54.37"/>
    <m/>
    <e v="#REF!"/>
  </r>
  <r>
    <d v="2023-08-31T00:00:00"/>
    <d v="2023-08-04T00:00:00"/>
    <s v="1763375"/>
    <x v="10"/>
    <s v="5"/>
    <s v="5-1"/>
    <m/>
    <m/>
    <s v="Izbarinos Corporation"/>
    <s v="To payment of diesel fuel for use of various vehicles assigned for Project of Irrigation System NIA-Pangasinan IMO IDS for the period of July 1-15, 2023"/>
    <x v="2"/>
    <x v="2"/>
    <m/>
    <n v="271.83999999999997"/>
    <m/>
    <e v="#REF!"/>
  </r>
  <r>
    <d v="2023-08-31T00:00:00"/>
    <d v="2023-08-04T00:00:00"/>
    <s v="1763375"/>
    <x v="10"/>
    <s v="5"/>
    <s v="5-1"/>
    <m/>
    <m/>
    <s v="Izbarinos Corporation"/>
    <s v="To payment of diesel fuel for use of various vehicles assigned for Project of Irrigation System NIA-Pangasinan IMO IDS for the period of July 1-15, 2023"/>
    <x v="3"/>
    <x v="3"/>
    <m/>
    <n v="5763.11"/>
    <m/>
    <e v="#REF!"/>
  </r>
  <r>
    <d v="2023-08-31T00:00:00"/>
    <d v="2023-08-09T00:00:00"/>
    <s v="1763376"/>
    <x v="10"/>
    <s v="5"/>
    <s v="5-1"/>
    <m/>
    <m/>
    <s v="Addessa Corporation "/>
    <s v="To payment of Office Equipment (6 units Airconditioner Split Type) for use of PIMO-Administrative and Finance New Building"/>
    <x v="34"/>
    <x v="33"/>
    <n v="189000"/>
    <m/>
    <s v="220044 Capital Outlay-Malimpin SPIP"/>
    <e v="#REF!"/>
  </r>
  <r>
    <d v="2023-08-31T00:00:00"/>
    <d v="2023-08-09T00:00:00"/>
    <s v="1763376"/>
    <x v="10"/>
    <s v="5"/>
    <s v="5-1"/>
    <m/>
    <m/>
    <s v="Addessa Corporation "/>
    <s v="To payment of Office Equipment (6 units Airconditioner Split Type) for use of PIMO-Administrative and Finance New Building"/>
    <x v="1"/>
    <x v="1"/>
    <m/>
    <n v="1687.5"/>
    <m/>
    <e v="#REF!"/>
  </r>
  <r>
    <d v="2023-08-31T00:00:00"/>
    <d v="2023-08-09T00:00:00"/>
    <s v="1763376"/>
    <x v="10"/>
    <s v="5"/>
    <s v="5-1"/>
    <m/>
    <m/>
    <s v="Addessa Corporation "/>
    <s v="To payment of Office Equipment (6 units Airconditioner Split Type) for use of PIMO-Administrative and Finance New Building"/>
    <x v="2"/>
    <x v="2"/>
    <m/>
    <n v="8437.5"/>
    <m/>
    <e v="#REF!"/>
  </r>
  <r>
    <d v="2023-08-31T00:00:00"/>
    <d v="2023-08-09T00:00:00"/>
    <s v="1763376"/>
    <x v="10"/>
    <s v="5"/>
    <s v="5-1"/>
    <m/>
    <m/>
    <s v="Addessa Corporation "/>
    <s v="To payment of Office Equipment (6 units Airconditioner Split Type) for use of PIMO-Administrative and Finance New Building"/>
    <x v="3"/>
    <x v="3"/>
    <m/>
    <n v="178875"/>
    <m/>
    <e v="#REF!"/>
  </r>
  <r>
    <d v="2023-08-31T00:00:00"/>
    <d v="2023-08-10T00:00:00"/>
    <s v="1763377"/>
    <x v="10"/>
    <s v="5"/>
    <s v="5-1"/>
    <m/>
    <m/>
    <s v="Izbarinos Corporation"/>
    <s v="To payment of diesel fuel for use of various vehicles assigned for Project of Irrigation System NIA Pangasinan IMO-IDU for the period of July 16-31, 2023"/>
    <x v="27"/>
    <x v="27"/>
    <n v="5419.4"/>
    <m/>
    <s v="220044 Capital Outlay-Malimpin SPIP"/>
    <e v="#REF!"/>
  </r>
  <r>
    <d v="2023-08-31T00:00:00"/>
    <d v="2023-08-10T00:00:00"/>
    <s v="1763377"/>
    <x v="10"/>
    <s v="5"/>
    <s v="5-1"/>
    <m/>
    <m/>
    <s v="Izbarinos Corporation"/>
    <s v="To payment of diesel fuel for use of various vehicles assigned for Project of Irrigation System NIA Pangasinan IMO-IDU for the period of July 16-31, 2023"/>
    <x v="1"/>
    <x v="1"/>
    <m/>
    <n v="48.39"/>
    <m/>
    <e v="#REF!"/>
  </r>
  <r>
    <d v="2023-08-31T00:00:00"/>
    <d v="2023-08-10T00:00:00"/>
    <s v="1763377"/>
    <x v="10"/>
    <s v="5"/>
    <s v="5-1"/>
    <m/>
    <m/>
    <s v="Izbarinos Corporation"/>
    <s v="To payment of diesel fuel for use of various vehicles assigned for Project of Irrigation System NIA Pangasinan IMO-IDU for the period of July 16-31, 2023"/>
    <x v="2"/>
    <x v="2"/>
    <m/>
    <n v="241.94"/>
    <m/>
    <e v="#REF!"/>
  </r>
  <r>
    <d v="2023-08-31T00:00:00"/>
    <d v="2023-08-10T00:00:00"/>
    <s v="1763377"/>
    <x v="10"/>
    <s v="5"/>
    <s v="5-1"/>
    <m/>
    <m/>
    <s v="Izbarinos Corporation"/>
    <s v="To payment of diesel fuel for use of various vehicles assigned for Project of Irrigation System NIA Pangasinan IMO-IDU for the period of July 16-31, 2023"/>
    <x v="3"/>
    <x v="3"/>
    <m/>
    <n v="5129.07"/>
    <m/>
    <e v="#REF!"/>
  </r>
  <r>
    <d v="2023-08-31T00:00:00"/>
    <d v="2023-08-14T00:00:00"/>
    <s v="Payroll2023-08-0024"/>
    <x v="10"/>
    <s v="5"/>
    <s v="5-1"/>
    <m/>
    <m/>
    <s v="Emerson A. Delos Santos &amp; 1 other"/>
    <s v="To payment of Salaries and Allowances of Emerson A. Delos Santos &amp; 1 other of NIA-Pangasinan IMO (CARP) Urdaneta City, Pangasinan for the month of August 2023"/>
    <x v="20"/>
    <x v="20"/>
    <n v="58320"/>
    <m/>
    <s v="230111 PS (August 2023)"/>
    <e v="#REF!"/>
  </r>
  <r>
    <d v="2023-08-31T00:00:00"/>
    <d v="2023-08-14T00:00:00"/>
    <s v="Payroll2023-08-0024"/>
    <x v="10"/>
    <s v="5"/>
    <s v="5-1"/>
    <m/>
    <m/>
    <s v="Emerson A. Delos Santos &amp; 1 other"/>
    <s v="To payment of Salaries and Allowances of Emerson A. Delos Santos &amp; 1 other of NIA-Pangasinan IMO (CARP) Urdaneta City, Pangasinan for the month of August 2023"/>
    <x v="21"/>
    <x v="21"/>
    <n v="4000"/>
    <m/>
    <m/>
    <e v="#REF!"/>
  </r>
  <r>
    <d v="2023-08-31T00:00:00"/>
    <d v="2023-08-14T00:00:00"/>
    <s v="Payroll2023-08-0024"/>
    <x v="10"/>
    <s v="5"/>
    <s v="5-1"/>
    <m/>
    <m/>
    <s v="Emerson A. Delos Santos &amp; 1 other"/>
    <s v="To payment of Salaries and Allowances of Emerson A. Delos Santos &amp; 1 other of NIA-Pangasinan IMO (CARP) Urdaneta City, Pangasinan for the month of August 2023"/>
    <x v="16"/>
    <x v="16"/>
    <m/>
    <n v="1330.76"/>
    <m/>
    <e v="#REF!"/>
  </r>
  <r>
    <d v="2023-08-31T00:00:00"/>
    <d v="2023-08-14T00:00:00"/>
    <s v="Payroll2023-08-0024"/>
    <x v="10"/>
    <s v="5"/>
    <s v="5-1"/>
    <m/>
    <m/>
    <s v="Emerson A. Delos Santos &amp; 1 other"/>
    <s v="To payment of Salaries and Allowances of Emerson A. Delos Santos &amp; 1 other of NIA-Pangasinan IMO (CARP) Urdaneta City, Pangasinan for the month of August 2023"/>
    <x v="15"/>
    <x v="15"/>
    <m/>
    <n v="5248.8"/>
    <m/>
    <e v="#REF!"/>
  </r>
  <r>
    <d v="2023-08-31T00:00:00"/>
    <d v="2023-08-14T00:00:00"/>
    <s v="Payroll2023-08-0024"/>
    <x v="10"/>
    <s v="5"/>
    <s v="5-1"/>
    <m/>
    <m/>
    <s v="Emerson A. Delos Santos &amp; 1 other"/>
    <s v="To payment of Salaries and Allowances of Emerson A. Delos Santos &amp; 1 other of NIA-Pangasinan IMO (CARP) Urdaneta City, Pangasinan for the month of August 2023"/>
    <x v="18"/>
    <x v="18"/>
    <m/>
    <n v="1166.4000000000001"/>
    <m/>
    <e v="#REF!"/>
  </r>
  <r>
    <d v="2023-08-31T00:00:00"/>
    <d v="2023-08-14T00:00:00"/>
    <s v="Payroll2023-08-0024"/>
    <x v="10"/>
    <s v="5"/>
    <s v="5-1"/>
    <m/>
    <m/>
    <s v="Emerson A. Delos Santos &amp; 1 other"/>
    <s v="To payment of Salaries and Allowances of Emerson A. Delos Santos &amp; 1 other of NIA-Pangasinan IMO (CARP) Urdaneta City, Pangasinan for the month of August 2023"/>
    <x v="19"/>
    <x v="19"/>
    <m/>
    <n v="4000"/>
    <m/>
    <e v="#REF!"/>
  </r>
  <r>
    <d v="2023-08-31T00:00:00"/>
    <d v="2023-08-14T00:00:00"/>
    <s v="Payroll2023-08-0024"/>
    <x v="10"/>
    <s v="5"/>
    <s v="5-1"/>
    <m/>
    <m/>
    <s v="Emerson A. Delos Santos &amp; 1 other"/>
    <s v="To payment of Salaries and Allowances of Emerson A. Delos Santos &amp; 1 other of NIA-Pangasinan IMO (CARP) Urdaneta City, Pangasinan for the month of August 2023"/>
    <x v="12"/>
    <x v="12"/>
    <m/>
    <n v="1166.4000000000001"/>
    <m/>
    <e v="#REF!"/>
  </r>
  <r>
    <d v="2023-08-31T00:00:00"/>
    <d v="2023-08-14T00:00:00"/>
    <s v="Payroll2023-08-0024"/>
    <x v="10"/>
    <s v="5"/>
    <s v="5-1"/>
    <m/>
    <m/>
    <s v="Emerson A. Delos Santos &amp; 1 other"/>
    <s v="To payment of Salaries and Allowances of Emerson A. Delos Santos &amp; 1 other of NIA-Pangasinan IMO (CARP) Urdaneta City, Pangasinan for the month of August 2023"/>
    <x v="3"/>
    <x v="3"/>
    <m/>
    <n v="49407.64"/>
    <m/>
    <e v="#REF!"/>
  </r>
  <r>
    <d v="2023-08-31T00:00:00"/>
    <d v="2023-08-17T00:00:00"/>
    <s v="1763378"/>
    <x v="10"/>
    <s v="5"/>
    <s v="5-1"/>
    <m/>
    <m/>
    <s v="HDMF"/>
    <s v="To remit Multipurpose Loan (MPL) of Shalimar E. Velasco, Sr. Accounting Processor B of NIA-Pangasinan IMO (CARP) Urdaneta City, Pangasinan for the period of August 2023"/>
    <x v="23"/>
    <x v="23"/>
    <n v="1635.3"/>
    <m/>
    <s v="230111 PS (August 2023)"/>
    <e v="#REF!"/>
  </r>
  <r>
    <d v="2023-08-31T00:00:00"/>
    <d v="2023-08-17T00:00:00"/>
    <s v="1763378"/>
    <x v="10"/>
    <s v="5"/>
    <s v="5-1"/>
    <m/>
    <m/>
    <s v="HDMF"/>
    <s v="To remit Multipurpose Loan (MPL) of Shalimar E. Velasco, Sr. Accounting Processor B of NIA-Pangasinan IMO (CARP) Urdaneta City, Pangasinan for the period of August 2023"/>
    <x v="3"/>
    <x v="3"/>
    <m/>
    <n v="1635.3"/>
    <m/>
    <e v="#REF!"/>
  </r>
  <r>
    <d v="2023-08-31T00:00:00"/>
    <d v="2023-08-17T00:00:00"/>
    <s v="1763379"/>
    <x v="10"/>
    <s v="5"/>
    <s v="5-1"/>
    <m/>
    <m/>
    <s v="LBP for the account of BIR"/>
    <s v="To remit withholding tax on compensation of Emerson A. Delos Santos &amp; 2 others of NIA Pangasinan IMO (CARP), Urdaneta City, Pangasinan for the period August 2023"/>
    <x v="16"/>
    <x v="16"/>
    <n v="1330.76"/>
    <m/>
    <s v="230111 PS (August 2023)"/>
    <e v="#REF!"/>
  </r>
  <r>
    <d v="2023-08-31T00:00:00"/>
    <d v="2023-08-17T00:00:00"/>
    <s v="1763379"/>
    <x v="10"/>
    <s v="5"/>
    <s v="5-1"/>
    <m/>
    <m/>
    <s v="LBP for the account of BIR"/>
    <s v="To remit withholding tax on compensation of Emerson A. Delos Santos &amp; 2 others of NIA Pangasinan IMO (CARP), Urdaneta City, Pangasinan for the period August 2023"/>
    <x v="3"/>
    <x v="3"/>
    <m/>
    <n v="1330.76"/>
    <m/>
    <e v="#REF!"/>
  </r>
  <r>
    <d v="2023-08-31T00:00:00"/>
    <d v="2023-08-17T00:00:00"/>
    <s v="1763380"/>
    <x v="10"/>
    <s v="5"/>
    <s v="5-1"/>
    <m/>
    <m/>
    <s v="HDMF "/>
    <s v="To remit monthly HDMF M2 Emerson A. Delos Santos &amp; 1 other of NIA-Pangasinan IMO (CARP) Urdaneta City, Pangasinan for the period of August 2023"/>
    <x v="19"/>
    <x v="19"/>
    <n v="4000"/>
    <m/>
    <s v="230111 PS (August 2023)"/>
    <e v="#REF!"/>
  </r>
  <r>
    <d v="2023-08-31T00:00:00"/>
    <d v="2023-08-17T00:00:00"/>
    <s v="1763380"/>
    <x v="10"/>
    <s v="5"/>
    <s v="5-1"/>
    <m/>
    <m/>
    <s v="HDMF "/>
    <s v="To remit monthly HDMF M2 Emerson A. Delos Santos &amp; 1 other of NIA-Pangasinan IMO (CARP) Urdaneta City, Pangasinan for the period of August 2023"/>
    <x v="3"/>
    <x v="3"/>
    <m/>
    <n v="4000"/>
    <m/>
    <e v="#REF!"/>
  </r>
  <r>
    <d v="2023-08-31T00:00:00"/>
    <d v="2023-08-17T00:00:00"/>
    <s v="1763381"/>
    <x v="10"/>
    <s v="5"/>
    <s v="5-1"/>
    <m/>
    <m/>
    <s v="HDMF"/>
    <s v="To remit monthly HDMF premiums both personal &amp; government shares of Emerson A. Delos Santos &amp; 2 others of NIA-Pangasinan IMO (CARP) Urdaneta City, Pangasinan for the period of August 2023"/>
    <x v="17"/>
    <x v="17"/>
    <n v="300"/>
    <m/>
    <s v="230111 PS (August 2023)"/>
    <e v="#REF!"/>
  </r>
  <r>
    <d v="2023-08-31T00:00:00"/>
    <d v="2023-08-17T00:00:00"/>
    <s v="1763381"/>
    <x v="10"/>
    <s v="5"/>
    <s v="5-1"/>
    <m/>
    <m/>
    <s v="HDMF"/>
    <s v="To remit monthly HDMF premiums both personal &amp; government shares of Emerson A. Delos Santos &amp; 2 others of NIA-Pangasinan IMO (CARP) Urdaneta City, Pangasinan for the period of August 2023"/>
    <x v="18"/>
    <x v="18"/>
    <n v="1588.98"/>
    <m/>
    <m/>
    <e v="#REF!"/>
  </r>
  <r>
    <d v="2023-08-31T00:00:00"/>
    <d v="2023-08-17T00:00:00"/>
    <s v="1763381"/>
    <x v="10"/>
    <s v="5"/>
    <s v="5-1"/>
    <m/>
    <m/>
    <s v="HDMF"/>
    <s v="To remit monthly HDMF premiums both personal &amp; government shares of Emerson A. Delos Santos &amp; 2 others of NIA-Pangasinan IMO (CARP) Urdaneta City, Pangasinan for the period of August 2023"/>
    <x v="3"/>
    <x v="3"/>
    <m/>
    <n v="1888.98"/>
    <m/>
    <e v="#REF!"/>
  </r>
  <r>
    <d v="2023-08-31T00:00:00"/>
    <d v="2023-08-17T00:00:00"/>
    <s v="1763382"/>
    <x v="10"/>
    <s v="5"/>
    <s v="5-1"/>
    <m/>
    <m/>
    <s v="GSIS"/>
    <s v="To remit monthly GSIS premiums both personal &amp; government shares of Emerson A. Delos Santos &amp; 2 others of NIA-Pangasinan IMO (CARP) Urdaneta City, Pangasinan for the period August 2023"/>
    <x v="13"/>
    <x v="13"/>
    <n v="9533.8799999999992"/>
    <m/>
    <s v="230111 PS (August 2023)"/>
    <e v="#REF!"/>
  </r>
  <r>
    <d v="2023-08-31T00:00:00"/>
    <d v="2023-08-17T00:00:00"/>
    <s v="1763382"/>
    <x v="10"/>
    <s v="5"/>
    <s v="5-1"/>
    <m/>
    <m/>
    <s v="GSIS"/>
    <s v="To remit monthly GSIS premiums both personal &amp; government shares of Emerson A. Delos Santos &amp; 2 others of NIA-Pangasinan IMO (CARP) Urdaneta City, Pangasinan for the period August 2023"/>
    <x v="14"/>
    <x v="14"/>
    <n v="300"/>
    <m/>
    <m/>
    <e v="#REF!"/>
  </r>
  <r>
    <d v="2023-08-31T00:00:00"/>
    <d v="2023-08-17T00:00:00"/>
    <s v="1763382"/>
    <x v="10"/>
    <s v="5"/>
    <s v="5-1"/>
    <m/>
    <m/>
    <s v="GSIS"/>
    <s v="To remit monthly GSIS premiums both personal &amp; government shares of Emerson A. Delos Santos &amp; 2 others of NIA-Pangasinan IMO (CARP) Urdaneta City, Pangasinan for the period August 2023"/>
    <x v="15"/>
    <x v="15"/>
    <n v="7150.41"/>
    <m/>
    <m/>
    <e v="#REF!"/>
  </r>
  <r>
    <d v="2023-08-31T00:00:00"/>
    <d v="2023-08-17T00:00:00"/>
    <s v="1763382"/>
    <x v="10"/>
    <s v="5"/>
    <s v="5-1"/>
    <m/>
    <m/>
    <s v="GSIS"/>
    <s v="To remit monthly GSIS premiums both personal &amp; government shares of Emerson A. Delos Santos &amp; 2 others of NIA-Pangasinan IMO (CARP) Urdaneta City, Pangasinan for the period August 2023"/>
    <x v="3"/>
    <x v="3"/>
    <m/>
    <n v="16984.29"/>
    <m/>
    <e v="#REF!"/>
  </r>
  <r>
    <d v="2023-08-31T00:00:00"/>
    <d v="2023-08-18T00:00:00"/>
    <s v="Payroll2023-08-0025"/>
    <x v="10"/>
    <s v="5"/>
    <s v="5-1"/>
    <m/>
    <m/>
    <s v="Shalimar E. Velasco"/>
    <s v="To payment of Salaries and Allowances of Shalimar E. Velasco of NIA-Pangasinan IMO (CARP) Urdaneta City, Pangasinan for the month of August 2023"/>
    <x v="20"/>
    <x v="20"/>
    <n v="21129"/>
    <m/>
    <s v="230111 PS (August 2023)"/>
    <e v="#REF!"/>
  </r>
  <r>
    <d v="2023-08-31T00:00:00"/>
    <d v="2023-08-18T00:00:00"/>
    <s v="Payroll2023-08-0025"/>
    <x v="10"/>
    <s v="5"/>
    <s v="5-1"/>
    <m/>
    <m/>
    <s v="Shalimar E. Velasco"/>
    <s v="To payment of Salaries and Allowances of Shalimar E. Velasco of NIA-Pangasinan IMO (CARP) Urdaneta City, Pangasinan for the month of August 2023"/>
    <x v="21"/>
    <x v="21"/>
    <n v="2000"/>
    <m/>
    <m/>
    <e v="#REF!"/>
  </r>
  <r>
    <d v="2023-08-31T00:00:00"/>
    <d v="2023-08-18T00:00:00"/>
    <s v="Payroll2023-08-0025"/>
    <x v="10"/>
    <s v="5"/>
    <s v="5-1"/>
    <m/>
    <m/>
    <s v="Shalimar E. Velasco"/>
    <s v="To payment of Salaries and Allowances of Shalimar E. Velasco of NIA-Pangasinan IMO (CARP) Urdaneta City, Pangasinan for the month of August 2023"/>
    <x v="15"/>
    <x v="15"/>
    <m/>
    <n v="1901.61"/>
    <m/>
    <e v="#REF!"/>
  </r>
  <r>
    <d v="2023-08-31T00:00:00"/>
    <d v="2023-08-18T00:00:00"/>
    <s v="Payroll2023-08-0025"/>
    <x v="10"/>
    <s v="5"/>
    <s v="5-1"/>
    <m/>
    <m/>
    <s v="Shalimar E. Velasco"/>
    <s v="To payment of Salaries and Allowances of Shalimar E. Velasco of NIA-Pangasinan IMO (CARP) Urdaneta City, Pangasinan for the month of August 2023"/>
    <x v="18"/>
    <x v="18"/>
    <m/>
    <n v="422.58"/>
    <m/>
    <e v="#REF!"/>
  </r>
  <r>
    <d v="2023-08-31T00:00:00"/>
    <d v="2023-08-18T00:00:00"/>
    <s v="Payroll2023-08-0025"/>
    <x v="10"/>
    <s v="5"/>
    <s v="5-1"/>
    <m/>
    <m/>
    <s v="Shalimar E. Velasco"/>
    <s v="To payment of Salaries and Allowances of Shalimar E. Velasco of NIA-Pangasinan IMO (CARP) Urdaneta City, Pangasinan for the month of August 2023"/>
    <x v="23"/>
    <x v="23"/>
    <m/>
    <n v="1635.3"/>
    <m/>
    <e v="#REF!"/>
  </r>
  <r>
    <d v="2023-08-31T00:00:00"/>
    <d v="2023-08-18T00:00:00"/>
    <s v="Payroll2023-08-0025"/>
    <x v="10"/>
    <s v="5"/>
    <s v="5-1"/>
    <m/>
    <m/>
    <s v="Shalimar E. Velasco"/>
    <s v="To payment of Salaries and Allowances of Shalimar E. Velasco of NIA-Pangasinan IMO (CARP) Urdaneta City, Pangasinan for the month of August 2023"/>
    <x v="12"/>
    <x v="12"/>
    <m/>
    <n v="422.58"/>
    <m/>
    <e v="#REF!"/>
  </r>
  <r>
    <d v="2023-08-31T00:00:00"/>
    <d v="2023-08-18T00:00:00"/>
    <s v="Payroll2023-08-0025"/>
    <x v="10"/>
    <s v="5"/>
    <s v="5-1"/>
    <m/>
    <m/>
    <s v="Shalimar E. Velasco"/>
    <s v="To payment of Salaries and Allowances of Shalimar E. Velasco of NIA-Pangasinan IMO (CARP) Urdaneta City, Pangasinan for the month of August 2023"/>
    <x v="3"/>
    <x v="3"/>
    <m/>
    <n v="18746.93"/>
    <m/>
    <e v="#REF!"/>
  </r>
  <r>
    <d v="2023-08-31T00:00:00"/>
    <d v="2023-08-22T00:00:00"/>
    <s v="1763383"/>
    <x v="10"/>
    <s v="5"/>
    <s v="5-1"/>
    <m/>
    <m/>
    <s v="Bitstop, Inc."/>
    <s v="To payment of ICT Equipment (2 units Computer, Desktop, Intel Core i7) for use of PIMO Design and CARP projects"/>
    <x v="35"/>
    <x v="34"/>
    <n v="193960"/>
    <m/>
    <s v="220076 Capital Outlay-Minosicuan CIS"/>
    <e v="#REF!"/>
  </r>
  <r>
    <d v="2023-08-31T00:00:00"/>
    <d v="2023-08-22T00:00:00"/>
    <s v="1763383"/>
    <x v="10"/>
    <s v="5"/>
    <s v="5-1"/>
    <m/>
    <m/>
    <s v="Bitstop, Inc."/>
    <s v="To payment of ICT Equipment (2 units Computer, Desktop, Intel Core i7) for use of PIMO Design and CARP projects"/>
    <x v="1"/>
    <x v="1"/>
    <m/>
    <n v="1731.79"/>
    <m/>
    <e v="#REF!"/>
  </r>
  <r>
    <d v="2023-08-31T00:00:00"/>
    <d v="2023-08-22T00:00:00"/>
    <s v="1763383"/>
    <x v="10"/>
    <s v="5"/>
    <s v="5-1"/>
    <m/>
    <m/>
    <s v="Bitstop, Inc."/>
    <s v="To payment of ICT Equipment (2 units Computer, Desktop, Intel Core i7) for use of PIMO Design and CARP projects"/>
    <x v="2"/>
    <x v="2"/>
    <m/>
    <n v="8658.93"/>
    <m/>
    <e v="#REF!"/>
  </r>
  <r>
    <d v="2023-08-31T00:00:00"/>
    <d v="2023-08-22T00:00:00"/>
    <s v="1763383"/>
    <x v="10"/>
    <s v="5"/>
    <s v="5-1"/>
    <m/>
    <m/>
    <s v="Bitstop, Inc."/>
    <s v="To payment of ICT Equipment (2 units Computer, Desktop, Intel Core i7) for use of PIMO Design and CARP projects"/>
    <x v="3"/>
    <x v="3"/>
    <m/>
    <n v="183569.28"/>
    <m/>
    <e v="#REF!"/>
  </r>
  <r>
    <d v="2023-08-31T00:00:00"/>
    <d v="2023-08-23T00:00:00"/>
    <s v="1763384"/>
    <x v="10"/>
    <s v="5"/>
    <s v="5-1"/>
    <m/>
    <m/>
    <s v="Eduardo T. Santos Construction and Supplies"/>
    <s v="To Third (3rd) partial payment of contract under R1-PIMO-22-01-015 in connection with the Construction of Malimpin SPIP (CARP-IC CY 2022) located in Dasol, Pangasinan"/>
    <x v="8"/>
    <x v="8"/>
    <n v="1635625.15"/>
    <m/>
    <s v="220044 Capital Outlay-Malimpin SPIP"/>
    <e v="#REF!"/>
  </r>
  <r>
    <d v="2023-08-31T00:00:00"/>
    <d v="2023-08-23T00:00:00"/>
    <s v="1763384"/>
    <x v="10"/>
    <s v="5"/>
    <s v="5-1"/>
    <m/>
    <m/>
    <s v="Eduardo T. Santos Construction and Supplies"/>
    <s v="To Third (3rd) partial payment of contract under R1-PIMO-22-01-015 in connection with the Construction of Malimpin SPIP (CARP-IC CY 2022) located in Dasol, Pangasinan"/>
    <x v="2"/>
    <x v="2"/>
    <m/>
    <n v="73018.98"/>
    <m/>
    <e v="#REF!"/>
  </r>
  <r>
    <d v="2023-08-31T00:00:00"/>
    <d v="2023-08-23T00:00:00"/>
    <s v="1763384"/>
    <x v="10"/>
    <s v="5"/>
    <s v="5-1"/>
    <m/>
    <m/>
    <s v="Eduardo T. Santos Construction and Supplies"/>
    <s v="To Third (3rd) partial payment of contract under R1-PIMO-22-01-015 in connection with the Construction of Malimpin SPIP (CARP-IC CY 2022) located in Dasol, Pangasinan"/>
    <x v="7"/>
    <x v="7"/>
    <m/>
    <n v="29207.59"/>
    <m/>
    <e v="#REF!"/>
  </r>
  <r>
    <d v="2023-08-31T00:00:00"/>
    <d v="2023-08-23T00:00:00"/>
    <s v="1763384"/>
    <x v="10"/>
    <s v="5"/>
    <s v="5-1"/>
    <m/>
    <m/>
    <s v="Eduardo T. Santos Construction and Supplies"/>
    <s v="To Third (3rd) partial payment of contract under R1-PIMO-22-01-015 in connection with the Construction of Malimpin SPIP (CARP-IC CY 2022) located in Dasol, Pangasinan"/>
    <x v="3"/>
    <x v="3"/>
    <m/>
    <n v="1533398.58"/>
    <m/>
    <e v="#REF!"/>
  </r>
  <r>
    <d v="2023-08-31T00:00:00"/>
    <d v="2023-08-23T00:00:00"/>
    <s v="DebitmemoPHIC-08-07"/>
    <x v="10"/>
    <s v="5"/>
    <s v="5-1"/>
    <m/>
    <m/>
    <s v="Philippine Health Insurance Corporation"/>
    <s v="To remit monthly PHIC premiums both personal &amp; government shares of Emerson A. Delos Santos &amp; 2 others of NIA-pangasinan IMO (CARP) Urdaneta City, Pangasinan for the period August 2023"/>
    <x v="11"/>
    <x v="11"/>
    <n v="1588.98"/>
    <m/>
    <s v="230111 PS (August 2023)"/>
    <e v="#REF!"/>
  </r>
  <r>
    <d v="2023-08-31T00:00:00"/>
    <d v="2023-08-23T00:00:00"/>
    <s v="DebitmemoPHIC-08-07"/>
    <x v="10"/>
    <s v="5"/>
    <s v="5-1"/>
    <m/>
    <m/>
    <s v="Philippine Health Insurance Corporation"/>
    <s v="To remit monthly PHIC premiums both personal &amp; government shares of Emerson A. Delos Santos &amp; 2 others of NIA-pangasinan IMO (CARP) Urdaneta City, Pangasinan for the period August 2023"/>
    <x v="12"/>
    <x v="12"/>
    <n v="1588.98"/>
    <m/>
    <m/>
    <e v="#REF!"/>
  </r>
  <r>
    <d v="2023-08-31T00:00:00"/>
    <d v="2023-08-23T00:00:00"/>
    <s v="DebitmemoPHIC-08-07"/>
    <x v="10"/>
    <s v="5"/>
    <s v="5-1"/>
    <m/>
    <m/>
    <s v="Philippine Health Insurance Corporation"/>
    <s v="To remit monthly PHIC premiums both personal &amp; government shares of Emerson A. Delos Santos &amp; 2 others of NIA-pangasinan IMO (CARP) Urdaneta City, Pangasinan for the period August 2023"/>
    <x v="3"/>
    <x v="3"/>
    <m/>
    <n v="3177.96"/>
    <m/>
    <e v="#REF!"/>
  </r>
  <r>
    <d v="2023-08-31T00:00:00"/>
    <s v="1763385"/>
    <s v="2023-08"/>
    <x v="10"/>
    <s v="5"/>
    <s v="5-1"/>
    <m/>
    <m/>
    <s v="LBP for Account of Bureau of Internal Revenue"/>
    <s v="To remit Withholding Tax (1 % &amp; 2%) deducted from suppliers / contractors of NIA-Pangasinan IMO covering the period August 2023"/>
    <x v="1"/>
    <x v="1"/>
    <n v="3743.26"/>
    <m/>
    <s v="220076 Capital Outlay Minosicuan CIS 221.21, 230028 Capital Outlay Waig PIP 54.37, 220044 Capital Outlay SPIP 1687.50, 220044 Capital Outlay Malimpin SPIP 48.29, 220076 Capital Outlay Minosicuan 1731.79, 220044 Capital Outlay Malimpin SPIP - 29207.59"/>
    <e v="#REF!"/>
  </r>
  <r>
    <d v="2023-08-31T00:00:00"/>
    <s v="1763385"/>
    <s v="2023-08"/>
    <x v="10"/>
    <s v="5"/>
    <s v="5-1"/>
    <m/>
    <m/>
    <s v="LBP for Account of Bureau of Internal Revenue"/>
    <s v="To remit Withholding Tax (1 % &amp; 2%) deducted from suppliers / contractors of NIA-Pangasinan IMO covering the period August 2023"/>
    <x v="7"/>
    <x v="7"/>
    <n v="29207.59"/>
    <m/>
    <m/>
    <e v="#REF!"/>
  </r>
  <r>
    <d v="2023-08-31T00:00:00"/>
    <s v="1763385"/>
    <s v="2023-08"/>
    <x v="10"/>
    <s v="5"/>
    <s v="5-1"/>
    <m/>
    <m/>
    <s v="LBP for Account of Bureau of Internal Revenue"/>
    <s v="To remit Withholding Tax (1 % &amp; 2%) deducted from suppliers / contractors of NIA-Pangasinan IMO covering the period August 2023"/>
    <x v="3"/>
    <x v="3"/>
    <m/>
    <n v="32950.85"/>
    <m/>
    <e v="#REF!"/>
  </r>
  <r>
    <d v="2023-08-31T00:00:00"/>
    <s v="1763386"/>
    <s v="2023-08"/>
    <x v="10"/>
    <s v="5"/>
    <s v="5-1"/>
    <m/>
    <m/>
    <s v="LBP for Account of Bureau of Internal Revenue"/>
    <s v="To remit Withholding Tax (5%) deducted from suppliers / contractors of NIA-Pangasinan IMO covering the period August 2023"/>
    <x v="2"/>
    <x v="2"/>
    <n v="91735.22"/>
    <m/>
    <s v="220076 Capital Outlay Minosicuan CIS 1106.03, 230028 Capital Outlay Waig PIP 271.84, 220044 Capital Outlay SPIP 8437.50, 220044 Capital Outlay Malimpin SPIP 241.94, 220076 Capital Outlay Minosicuan 8658.93, 220044 Capital Outlay Malimpin SPIP - 73018.98"/>
    <e v="#REF!"/>
  </r>
  <r>
    <d v="2023-08-31T00:00:00"/>
    <s v="1763386"/>
    <s v="2023-08"/>
    <x v="10"/>
    <s v="5"/>
    <s v="5-1"/>
    <m/>
    <m/>
    <s v="LBP for Account of Bureau of Internal Revenue"/>
    <s v="To remit Withholding Tax (5%) deducted from suppliers / contractors of NIA-Pangasinan IMO covering the period August 2023"/>
    <x v="3"/>
    <x v="3"/>
    <m/>
    <n v="91735.22"/>
    <m/>
    <e v="#REF!"/>
  </r>
  <r>
    <d v="2023-09-30T00:00:00"/>
    <d v="2023-09-01T00:00:00"/>
    <s v="1763387"/>
    <x v="11"/>
    <s v="5"/>
    <s v="5-1"/>
    <m/>
    <m/>
    <s v="Caixia Construction "/>
    <s v="To first partial payment of contract under R1-PIMO-23-01-012 in connection with the Construction of Waig SPIP (CARP-IC CY 2023) located in Malasiqui, Pangasinan"/>
    <x v="8"/>
    <x v="8"/>
    <n v="4266722.62"/>
    <m/>
    <s v="230028 Capital Outlay - Waig PIP"/>
    <e v="#REF!"/>
  </r>
  <r>
    <d v="2023-09-30T00:00:00"/>
    <d v="2023-09-01T00:00:00"/>
    <s v="1763387"/>
    <x v="11"/>
    <s v="5"/>
    <s v="5-1"/>
    <m/>
    <m/>
    <s v="Caixia Construction "/>
    <s v="To first partial payment of contract under R1-PIMO-23-01-012 in connection with the Construction of Waig SPIP (CARP-IC CY 2023) located in Malasiqui, Pangasinan"/>
    <x v="2"/>
    <x v="2"/>
    <m/>
    <n v="190478.69"/>
    <m/>
    <e v="#REF!"/>
  </r>
  <r>
    <d v="2023-09-30T00:00:00"/>
    <d v="2023-09-01T00:00:00"/>
    <s v="1763387"/>
    <x v="11"/>
    <s v="5"/>
    <s v="5-1"/>
    <m/>
    <m/>
    <s v="Caixia Construction "/>
    <s v="To first partial payment of contract under R1-PIMO-23-01-012 in connection with the Construction of Waig SPIP (CARP-IC CY 2023) located in Malasiqui, Pangasinan"/>
    <x v="7"/>
    <x v="7"/>
    <m/>
    <n v="76191.48"/>
    <m/>
    <e v="#REF!"/>
  </r>
  <r>
    <d v="2023-09-30T00:00:00"/>
    <d v="2023-09-01T00:00:00"/>
    <s v="1763387"/>
    <x v="11"/>
    <s v="5"/>
    <s v="5-1"/>
    <m/>
    <m/>
    <s v="Caixia Construction "/>
    <s v="To first partial payment of contract under R1-PIMO-23-01-012 in connection with the Construction of Waig SPIP (CARP-IC CY 2023) located in Malasiqui, Pangasinan"/>
    <x v="9"/>
    <x v="9"/>
    <m/>
    <n v="447317.08"/>
    <m/>
    <e v="#REF!"/>
  </r>
  <r>
    <d v="2023-09-30T00:00:00"/>
    <d v="2023-09-01T00:00:00"/>
    <s v="1763387"/>
    <x v="11"/>
    <s v="5"/>
    <s v="5-1"/>
    <m/>
    <m/>
    <s v="Caixia Construction "/>
    <s v="To first partial payment of contract under R1-PIMO-23-01-012 in connection with the Construction of Waig SPIP (CARP-IC CY 2023) located in Malasiqui, Pangasinan"/>
    <x v="10"/>
    <x v="10"/>
    <m/>
    <n v="639976.55000000005"/>
    <m/>
    <e v="#REF!"/>
  </r>
  <r>
    <d v="2023-09-30T00:00:00"/>
    <d v="2023-09-01T00:00:00"/>
    <s v="1763387"/>
    <x v="11"/>
    <s v="5"/>
    <s v="5-1"/>
    <m/>
    <m/>
    <s v="Caixia Construction "/>
    <s v="To first partial payment of contract under R1-PIMO-23-01-012 in connection with the Construction of Waig SPIP (CARP-IC CY 2023) located in Malasiqui, Pangasinan"/>
    <x v="3"/>
    <x v="3"/>
    <m/>
    <n v="2912758.82"/>
    <m/>
    <e v="#REF!"/>
  </r>
  <r>
    <d v="2023-09-30T00:00:00"/>
    <d v="2023-09-12T00:00:00"/>
    <s v="1763388"/>
    <x v="11"/>
    <s v="5"/>
    <s v="5-1"/>
    <m/>
    <m/>
    <s v="Izbarinos Corporation"/>
    <s v="To payment of diesel fuel for use of various vehicles assigned for Project of Irrigation System NIA-Pangasinan IMO-IDS for the period of August 1-15, 2023"/>
    <x v="27"/>
    <x v="27"/>
    <n v="8268.64"/>
    <m/>
    <s v="230034 MOOE"/>
    <e v="#REF!"/>
  </r>
  <r>
    <d v="2023-09-30T00:00:00"/>
    <d v="2023-09-12T00:00:00"/>
    <s v="1763388"/>
    <x v="11"/>
    <s v="5"/>
    <s v="5-1"/>
    <m/>
    <m/>
    <s v="Izbarinos Corporation"/>
    <s v="To payment of diesel fuel for use of various vehicles assigned for Project of Irrigation System NIA-Pangasinan IMO-IDS for the period of August 1-15, 2023"/>
    <x v="1"/>
    <x v="1"/>
    <m/>
    <n v="73.83"/>
    <m/>
    <e v="#REF!"/>
  </r>
  <r>
    <d v="2023-09-30T00:00:00"/>
    <d v="2023-09-12T00:00:00"/>
    <s v="1763388"/>
    <x v="11"/>
    <s v="5"/>
    <s v="5-1"/>
    <m/>
    <m/>
    <s v="Izbarinos Corporation"/>
    <s v="To payment of diesel fuel for use of various vehicles assigned for Project of Irrigation System NIA-Pangasinan IMO-IDS for the period of August 1-15, 2023"/>
    <x v="2"/>
    <x v="2"/>
    <m/>
    <n v="369.14"/>
    <m/>
    <e v="#REF!"/>
  </r>
  <r>
    <d v="2023-09-30T00:00:00"/>
    <d v="2023-09-12T00:00:00"/>
    <s v="1763388"/>
    <x v="11"/>
    <s v="5"/>
    <s v="5-1"/>
    <m/>
    <m/>
    <s v="Izbarinos Corporation"/>
    <s v="To payment of diesel fuel for use of various vehicles assigned for Project of Irrigation System NIA-Pangasinan IMO-IDS for the period of August 1-15, 2023"/>
    <x v="3"/>
    <x v="3"/>
    <m/>
    <n v="7825.67"/>
    <m/>
    <e v="#REF!"/>
  </r>
  <r>
    <d v="2023-09-30T00:00:00"/>
    <d v="2023-09-15T00:00:00"/>
    <s v="Payroll2023-09-0026"/>
    <x v="11"/>
    <s v="5"/>
    <s v="5-1"/>
    <m/>
    <m/>
    <s v="Emerson A. Delos Santos &amp; 1 other"/>
    <s v="To payment of Salaries and Allowances of Emerson A. Delos Santos &amp; 1 other of NIA-Pangasinan IMO (CARP) Urdaneta City, Pangasinan for the month of September 2023"/>
    <x v="20"/>
    <x v="20"/>
    <n v="58320"/>
    <m/>
    <s v="230111 PS CY 2023 (September 2023) = 35,082.15 _x000a_230149 PS CY 2023 (September 2023) = 27,237.85"/>
    <e v="#REF!"/>
  </r>
  <r>
    <d v="2023-09-30T00:00:00"/>
    <d v="2023-09-15T00:00:00"/>
    <s v="Payroll2023-09-0026"/>
    <x v="11"/>
    <s v="5"/>
    <s v="5-1"/>
    <m/>
    <m/>
    <s v="Emerson A. Delos Santos &amp; 1 other"/>
    <s v="To payment of Salaries and Allowances of Emerson A. Delos Santos &amp; 1 other of NIA-Pangasinan IMO (CARP) Urdaneta City, Pangasinan for the month of September 2023"/>
    <x v="21"/>
    <x v="21"/>
    <n v="4000"/>
    <m/>
    <m/>
    <e v="#REF!"/>
  </r>
  <r>
    <d v="2023-09-30T00:00:00"/>
    <d v="2023-09-15T00:00:00"/>
    <s v="Payroll2023-09-0026"/>
    <x v="11"/>
    <s v="5"/>
    <s v="5-1"/>
    <m/>
    <m/>
    <s v="Emerson A. Delos Santos &amp; 1 other"/>
    <s v="To payment of Salaries and Allowances of Emerson A. Delos Santos &amp; 1 other of NIA-Pangasinan IMO (CARP) Urdaneta City, Pangasinan for the month of September 2023"/>
    <x v="16"/>
    <x v="16"/>
    <m/>
    <n v="1330.76"/>
    <m/>
    <e v="#REF!"/>
  </r>
  <r>
    <d v="2023-09-30T00:00:00"/>
    <d v="2023-09-15T00:00:00"/>
    <s v="Payroll2023-09-0026"/>
    <x v="11"/>
    <s v="5"/>
    <s v="5-1"/>
    <m/>
    <m/>
    <s v="Emerson A. Delos Santos &amp; 1 other"/>
    <s v="To payment of Salaries and Allowances of Emerson A. Delos Santos &amp; 1 other of NIA-Pangasinan IMO (CARP) Urdaneta City, Pangasinan for the month of September 2023"/>
    <x v="15"/>
    <x v="15"/>
    <m/>
    <n v="5248.8"/>
    <m/>
    <e v="#REF!"/>
  </r>
  <r>
    <d v="2023-09-30T00:00:00"/>
    <d v="2023-09-15T00:00:00"/>
    <s v="Payroll2023-09-0026"/>
    <x v="11"/>
    <s v="5"/>
    <s v="5-1"/>
    <m/>
    <m/>
    <s v="Emerson A. Delos Santos &amp; 1 other"/>
    <s v="To payment of Salaries and Allowances of Emerson A. Delos Santos &amp; 1 other of NIA-Pangasinan IMO (CARP) Urdaneta City, Pangasinan for the month of September 2023"/>
    <x v="18"/>
    <x v="18"/>
    <m/>
    <n v="1166.4000000000001"/>
    <m/>
    <e v="#REF!"/>
  </r>
  <r>
    <d v="2023-09-30T00:00:00"/>
    <d v="2023-09-15T00:00:00"/>
    <s v="Payroll2023-09-0026"/>
    <x v="11"/>
    <s v="5"/>
    <s v="5-1"/>
    <m/>
    <m/>
    <s v="Emerson A. Delos Santos &amp; 1 other"/>
    <s v="To payment of Salaries and Allowances of Emerson A. Delos Santos &amp; 1 other of NIA-Pangasinan IMO (CARP) Urdaneta City, Pangasinan for the month of September 2023"/>
    <x v="19"/>
    <x v="19"/>
    <m/>
    <n v="4000"/>
    <m/>
    <e v="#REF!"/>
  </r>
  <r>
    <d v="2023-09-30T00:00:00"/>
    <d v="2023-09-15T00:00:00"/>
    <s v="Payroll2023-09-0026"/>
    <x v="11"/>
    <s v="5"/>
    <s v="5-1"/>
    <m/>
    <m/>
    <s v="Emerson A. Delos Santos &amp; 1 other"/>
    <s v="To payment of Salaries and Allowances of Emerson A. Delos Santos &amp; 1 other of NIA-Pangasinan IMO (CARP) Urdaneta City, Pangasinan for the month of September 2023"/>
    <x v="12"/>
    <x v="12"/>
    <m/>
    <n v="1166.4000000000001"/>
    <m/>
    <e v="#REF!"/>
  </r>
  <r>
    <d v="2023-09-30T00:00:00"/>
    <d v="2023-09-15T00:00:00"/>
    <s v="Payroll2023-09-0026"/>
    <x v="11"/>
    <s v="5"/>
    <s v="5-1"/>
    <m/>
    <m/>
    <s v="Emerson A. Delos Santos &amp; 1 other"/>
    <s v="To payment of Salaries and Allowances of Emerson A. Delos Santos &amp; 1 other of NIA-Pangasinan IMO (CARP) Urdaneta City, Pangasinan for the month of September 2023"/>
    <x v="3"/>
    <x v="3"/>
    <m/>
    <n v="49407.64"/>
    <m/>
    <e v="#REF!"/>
  </r>
  <r>
    <d v="2023-09-30T00:00:00"/>
    <d v="2023-09-19T00:00:00"/>
    <s v="1763389"/>
    <x v="11"/>
    <s v="5"/>
    <s v="5-1"/>
    <m/>
    <m/>
    <s v="GSIS"/>
    <s v="To remit GSIS Premiums (Personal &amp; Government Shares) of Emerson A. Delos Santos &amp; 2 others of NIA-Pangasinan IMO (CARP), for the month of September 2023"/>
    <x v="13"/>
    <x v="13"/>
    <n v="9533.8799999999992"/>
    <m/>
    <s v="230149 PS CY 2023"/>
    <e v="#REF!"/>
  </r>
  <r>
    <d v="2023-09-30T00:00:00"/>
    <d v="2023-09-19T00:00:00"/>
    <s v="1763389"/>
    <x v="11"/>
    <s v="5"/>
    <s v="5-1"/>
    <m/>
    <m/>
    <s v="GSIS"/>
    <s v="To remit GSIS Premiums (Personal &amp; Government Shares) of Emerson A. Delos Santos &amp; 2 others of NIA-Pangasinan IMO (CARP), for the month of September 2023"/>
    <x v="14"/>
    <x v="14"/>
    <n v="300"/>
    <m/>
    <m/>
    <e v="#REF!"/>
  </r>
  <r>
    <d v="2023-09-30T00:00:00"/>
    <d v="2023-09-19T00:00:00"/>
    <s v="1763389"/>
    <x v="11"/>
    <s v="5"/>
    <s v="5-1"/>
    <m/>
    <m/>
    <s v="GSIS"/>
    <s v="To remit GSIS Premiums (Personal &amp; Government Shares) of Emerson A. Delos Santos &amp; 2 others of NIA-Pangasinan IMO (CARP), for the month of September 2023"/>
    <x v="15"/>
    <x v="15"/>
    <n v="7150.41"/>
    <m/>
    <m/>
    <e v="#REF!"/>
  </r>
  <r>
    <d v="2023-09-30T00:00:00"/>
    <d v="2023-09-19T00:00:00"/>
    <s v="1763389"/>
    <x v="11"/>
    <s v="5"/>
    <s v="5-1"/>
    <m/>
    <m/>
    <s v="GSIS"/>
    <s v="To remit GSIS Premiums (Personal &amp; Government Shares) of Emerson A. Delos Santos &amp; 2 others of NIA-Pangasinan IMO (CARP), for the month of September 2023"/>
    <x v="3"/>
    <x v="3"/>
    <m/>
    <n v="16984.29"/>
    <m/>
    <e v="#REF!"/>
  </r>
  <r>
    <d v="2023-09-30T00:00:00"/>
    <d v="2023-09-19T00:00:00"/>
    <s v="1763390"/>
    <x v="11"/>
    <s v="5"/>
    <s v="5-1"/>
    <m/>
    <m/>
    <s v="Cancelled"/>
    <m/>
    <x v="5"/>
    <x v="5"/>
    <m/>
    <m/>
    <m/>
    <e v="#REF!"/>
  </r>
  <r>
    <d v="2023-09-30T00:00:00"/>
    <d v="2023-09-19T00:00:00"/>
    <s v="1763391"/>
    <x v="11"/>
    <s v="5"/>
    <s v="5-1"/>
    <m/>
    <m/>
    <s v="HDMF "/>
    <s v="To remit HDMF Modified Pag-ibig II (MP2) of Emerson A. Delos Santos &amp; 1 other of NIA-Pangasinan IMO (CARP) for the month of September 2023"/>
    <x v="19"/>
    <x v="19"/>
    <n v="4000"/>
    <m/>
    <s v="230149 PS CY 2023"/>
    <e v="#REF!"/>
  </r>
  <r>
    <d v="2023-09-30T00:00:00"/>
    <d v="2023-09-19T00:00:00"/>
    <s v="1763391"/>
    <x v="11"/>
    <s v="5"/>
    <s v="5-1"/>
    <m/>
    <m/>
    <s v="HDMF "/>
    <s v="To remit HDMF Modified Pag-ibig II (MP2) of Emerson A. Delos Santos &amp; 1 other of NIA-Pangasinan IMO (CARP) for the month of September 2023"/>
    <x v="3"/>
    <x v="3"/>
    <m/>
    <n v="4000"/>
    <m/>
    <e v="#REF!"/>
  </r>
  <r>
    <d v="2023-09-30T00:00:00"/>
    <d v="2023-09-19T00:00:00"/>
    <s v="1763392"/>
    <x v="11"/>
    <s v="5"/>
    <s v="5-1"/>
    <m/>
    <m/>
    <s v="HDMF "/>
    <s v="To remit HDMF Multipurpose Loan (MPL) of Shalimar E. Velasco of NIA-Pangasinan IMO (CARP) for the month of September 2023"/>
    <x v="23"/>
    <x v="23"/>
    <n v="1635.3"/>
    <m/>
    <s v="230149 PS CY 2023"/>
    <e v="#REF!"/>
  </r>
  <r>
    <d v="2023-09-30T00:00:00"/>
    <d v="2023-09-19T00:00:00"/>
    <s v="1763392"/>
    <x v="11"/>
    <s v="5"/>
    <s v="5-1"/>
    <m/>
    <m/>
    <s v="HDMF "/>
    <s v="To remit HDMF Multipurpose Loan (MPL) of Shalimar E. Velasco of NIA-Pangasinan IMO (CARP) for the month of September 2023"/>
    <x v="3"/>
    <x v="3"/>
    <m/>
    <n v="1635.3"/>
    <m/>
    <e v="#REF!"/>
  </r>
  <r>
    <d v="2023-09-30T00:00:00"/>
    <d v="2023-09-19T00:00:00"/>
    <s v="1763393"/>
    <x v="11"/>
    <s v="5"/>
    <s v="5-1"/>
    <m/>
    <m/>
    <s v="HDMF"/>
    <s v="To remit the HDMF Premiums (Personal &amp; Government Shares) of Emerson A. Delos Santos &amp; 2 others of NIA-Pangasinan IMO (CARP) for the month of September 2023"/>
    <x v="17"/>
    <x v="17"/>
    <n v="300"/>
    <m/>
    <s v="230149 PS CY 2023"/>
    <e v="#REF!"/>
  </r>
  <r>
    <d v="2023-09-30T00:00:00"/>
    <d v="2023-09-19T00:00:00"/>
    <s v="1763393"/>
    <x v="11"/>
    <s v="5"/>
    <s v="5-1"/>
    <m/>
    <m/>
    <s v="HDMF"/>
    <s v="To remit the HDMF Premiums (Personal &amp; Government Shares) of Emerson A. Delos Santos &amp; 2 others of NIA-Pangasinan IMO (CARP) for the month of September 2023"/>
    <x v="18"/>
    <x v="18"/>
    <n v="1588.98"/>
    <m/>
    <m/>
    <e v="#REF!"/>
  </r>
  <r>
    <d v="2023-09-30T00:00:00"/>
    <d v="2023-09-19T00:00:00"/>
    <s v="1763393"/>
    <x v="11"/>
    <s v="5"/>
    <s v="5-1"/>
    <m/>
    <m/>
    <s v="HDMF"/>
    <s v="To remit the HDMF Premiums (Personal &amp; Government Shares) of Emerson A. Delos Santos &amp; 2 others of NIA-Pangasinan IMO (CARP) for the month of September 2023"/>
    <x v="3"/>
    <x v="3"/>
    <m/>
    <n v="1888.98"/>
    <m/>
    <e v="#REF!"/>
  </r>
  <r>
    <d v="2023-09-30T00:00:00"/>
    <d v="2023-09-19T00:00:00"/>
    <s v="1763394"/>
    <x v="11"/>
    <s v="5"/>
    <s v="5-1"/>
    <m/>
    <m/>
    <s v="LBP for the account of BIR"/>
    <s v="To remit the Withholding Tax due of Emerson A. Delos Santos &amp; 2 others of NIA-Pangasinan IMO (CARP) for the month of September 2023"/>
    <x v="16"/>
    <x v="16"/>
    <n v="1330.76"/>
    <m/>
    <s v="230149 PS CY 2023"/>
    <e v="#REF!"/>
  </r>
  <r>
    <d v="2023-09-30T00:00:00"/>
    <d v="2023-09-19T00:00:00"/>
    <s v="1763394"/>
    <x v="11"/>
    <s v="5"/>
    <s v="5-1"/>
    <m/>
    <m/>
    <s v="LBP for the account of BIR"/>
    <s v="To remit the Withholding Tax due of Emerson A. Delos Santos &amp; 2 others of NIA-Pangasinan IMO (CARP) for the month of September 2023"/>
    <x v="3"/>
    <x v="3"/>
    <m/>
    <n v="1330.76"/>
    <m/>
    <e v="#REF!"/>
  </r>
  <r>
    <d v="2023-09-30T00:00:00"/>
    <d v="2023-09-19T00:00:00"/>
    <s v="1763395"/>
    <x v="11"/>
    <s v="5"/>
    <s v="5-1"/>
    <m/>
    <m/>
    <s v="Izbarinos Corporation"/>
    <s v="To payment of Diesel Fuel for use of various vehicles assigned for Project of Irrigation System NIA-Pangasinan IMO-IDU for the period of August 16-31, 2023"/>
    <x v="27"/>
    <x v="27"/>
    <n v="5060.3599999999997"/>
    <m/>
    <s v="230024 MOOE"/>
    <e v="#REF!"/>
  </r>
  <r>
    <d v="2023-09-30T00:00:00"/>
    <d v="2023-09-19T00:00:00"/>
    <s v="1763395"/>
    <x v="11"/>
    <s v="5"/>
    <s v="5-1"/>
    <m/>
    <m/>
    <s v="Izbarinos Corporation"/>
    <s v="To payment of Diesel Fuel for use of various vehicles assigned for Project of Irrigation System NIA-Pangasinan IMO-IDU for the period of August 16-31, 2023"/>
    <x v="1"/>
    <x v="1"/>
    <m/>
    <n v="45.18"/>
    <m/>
    <e v="#REF!"/>
  </r>
  <r>
    <d v="2023-09-30T00:00:00"/>
    <d v="2023-09-19T00:00:00"/>
    <s v="1763395"/>
    <x v="11"/>
    <s v="5"/>
    <s v="5-1"/>
    <m/>
    <m/>
    <s v="Izbarinos Corporation"/>
    <s v="To payment of Diesel Fuel for use of various vehicles assigned for Project of Irrigation System NIA-Pangasinan IMO-IDU for the period of August 16-31, 2023"/>
    <x v="2"/>
    <x v="2"/>
    <m/>
    <n v="225.91"/>
    <m/>
    <e v="#REF!"/>
  </r>
  <r>
    <d v="2023-09-30T00:00:00"/>
    <d v="2023-09-19T00:00:00"/>
    <s v="1763395"/>
    <x v="11"/>
    <s v="5"/>
    <s v="5-1"/>
    <m/>
    <m/>
    <s v="Izbarinos Corporation"/>
    <s v="To payment of Diesel Fuel for use of various vehicles assigned for Project of Irrigation System NIA-Pangasinan IMO-IDU for the period of August 16-31, 2023"/>
    <x v="3"/>
    <x v="3"/>
    <m/>
    <n v="4789.2700000000004"/>
    <m/>
    <e v="#REF!"/>
  </r>
  <r>
    <d v="2023-09-30T00:00:00"/>
    <d v="2023-09-21T00:00:00"/>
    <s v="Payroll2023-09-0027"/>
    <x v="11"/>
    <s v="5"/>
    <s v="5-1"/>
    <m/>
    <m/>
    <s v="Shalimar E. Velasco"/>
    <s v="To payment of Salaries and Allowances of Shalimar E. Velasco of NIA-Pangasinan IMO (CARP) Urdaneta City, Pangasinan for the month of September 2023"/>
    <x v="20"/>
    <x v="20"/>
    <n v="21129"/>
    <m/>
    <s v="230149 PS CY 2023"/>
    <e v="#REF!"/>
  </r>
  <r>
    <d v="2023-09-30T00:00:00"/>
    <d v="2023-09-21T00:00:00"/>
    <s v="Payroll2023-09-0027"/>
    <x v="11"/>
    <s v="5"/>
    <s v="5-1"/>
    <m/>
    <m/>
    <s v="Shalimar E. Velasco"/>
    <s v="To payment of Salaries and Allowances of Shalimar E. Velasco of NIA-Pangasinan IMO (CARP) Urdaneta City, Pangasinan for the month of September 2023"/>
    <x v="21"/>
    <x v="21"/>
    <n v="2000"/>
    <m/>
    <m/>
    <e v="#REF!"/>
  </r>
  <r>
    <d v="2023-09-30T00:00:00"/>
    <d v="2023-09-21T00:00:00"/>
    <s v="Payroll2023-09-0027"/>
    <x v="11"/>
    <s v="5"/>
    <s v="5-1"/>
    <m/>
    <m/>
    <s v="Shalimar E. Velasco"/>
    <s v="To payment of Salaries and Allowances of Shalimar E. Velasco of NIA-Pangasinan IMO (CARP) Urdaneta City, Pangasinan for the month of September 2023"/>
    <x v="15"/>
    <x v="15"/>
    <m/>
    <n v="1901.61"/>
    <m/>
    <e v="#REF!"/>
  </r>
  <r>
    <d v="2023-09-30T00:00:00"/>
    <d v="2023-09-21T00:00:00"/>
    <s v="Payroll2023-09-0027"/>
    <x v="11"/>
    <s v="5"/>
    <s v="5-1"/>
    <m/>
    <m/>
    <s v="Shalimar E. Velasco"/>
    <s v="To payment of Salaries and Allowances of Shalimar E. Velasco of NIA-Pangasinan IMO (CARP) Urdaneta City, Pangasinan for the month of September 2023"/>
    <x v="18"/>
    <x v="18"/>
    <m/>
    <n v="422.58"/>
    <m/>
    <e v="#REF!"/>
  </r>
  <r>
    <d v="2023-09-30T00:00:00"/>
    <d v="2023-09-21T00:00:00"/>
    <s v="Payroll2023-09-0027"/>
    <x v="11"/>
    <s v="5"/>
    <s v="5-1"/>
    <m/>
    <m/>
    <s v="Shalimar E. Velasco"/>
    <s v="To payment of Salaries and Allowances of Shalimar E. Velasco of NIA-Pangasinan IMO (CARP) Urdaneta City, Pangasinan for the month of September 2023"/>
    <x v="23"/>
    <x v="23"/>
    <m/>
    <n v="1635.3"/>
    <m/>
    <e v="#REF!"/>
  </r>
  <r>
    <d v="2023-09-30T00:00:00"/>
    <d v="2023-09-21T00:00:00"/>
    <s v="Payroll2023-09-0027"/>
    <x v="11"/>
    <s v="5"/>
    <s v="5-1"/>
    <m/>
    <m/>
    <s v="Shalimar E. Velasco"/>
    <s v="To payment of Salaries and Allowances of Shalimar E. Velasco of NIA-Pangasinan IMO (CARP) Urdaneta City, Pangasinan for the month of September 2023"/>
    <x v="12"/>
    <x v="12"/>
    <m/>
    <n v="422.58"/>
    <m/>
    <e v="#REF!"/>
  </r>
  <r>
    <d v="2023-09-30T00:00:00"/>
    <d v="2023-09-21T00:00:00"/>
    <s v="Payroll2023-09-0027"/>
    <x v="11"/>
    <s v="5"/>
    <s v="5-1"/>
    <m/>
    <m/>
    <s v="Shalimar E. Velasco"/>
    <s v="To payment of Salaries and Allowances of Shalimar E. Velasco of NIA-Pangasinan IMO (CARP) Urdaneta City, Pangasinan for the month of September 2023"/>
    <x v="3"/>
    <x v="3"/>
    <m/>
    <n v="18746.93"/>
    <m/>
    <e v="#REF!"/>
  </r>
  <r>
    <d v="2023-09-30T00:00:00"/>
    <d v="2023-09-22T00:00:00"/>
    <s v="DebitmemoPHIC-09-08"/>
    <x v="11"/>
    <s v="5"/>
    <s v="5-1"/>
    <m/>
    <m/>
    <s v="Philippine Health Insurance Corporation"/>
    <s v="To remit the PHIC Premiums (Personal &amp; Government Shares) of Emerson A. Delos Santos &amp; 2 others of NIA-Pangasinan IMO (CARP) for the month of September 2023"/>
    <x v="11"/>
    <x v="11"/>
    <n v="1588.98"/>
    <m/>
    <s v="230149 PS CY 2023"/>
    <e v="#REF!"/>
  </r>
  <r>
    <d v="2023-09-30T00:00:00"/>
    <d v="2023-09-22T00:00:00"/>
    <s v="DebitmemoPHIC-09-08"/>
    <x v="11"/>
    <s v="5"/>
    <s v="5-1"/>
    <m/>
    <m/>
    <s v="Philippine Health Insurance Corporation"/>
    <s v="To remit the PHIC Premiums (Personal &amp; Government Shares) of Emerson A. Delos Santos &amp; 2 others of NIA-Pangasinan IMO (CARP) for the month of September 2023"/>
    <x v="12"/>
    <x v="12"/>
    <n v="1588.98"/>
    <m/>
    <m/>
    <e v="#REF!"/>
  </r>
  <r>
    <d v="2023-09-30T00:00:00"/>
    <d v="2023-09-22T00:00:00"/>
    <s v="DebitmemoPHIC-09-08"/>
    <x v="11"/>
    <s v="5"/>
    <s v="5-1"/>
    <m/>
    <m/>
    <s v="Philippine Health Insurance Corporation"/>
    <s v="To remit the PHIC Premiums (Personal &amp; Government Shares) of Emerson A. Delos Santos &amp; 2 others of NIA-Pangasinan IMO (CARP) for the month of September 2023"/>
    <x v="3"/>
    <x v="3"/>
    <m/>
    <n v="3177.96"/>
    <m/>
    <e v="#REF!"/>
  </r>
  <r>
    <d v="2023-09-30T00:00:00"/>
    <d v="2023-09-29T00:00:00"/>
    <s v="1763396"/>
    <x v="11"/>
    <s v="5"/>
    <s v="5-1"/>
    <m/>
    <m/>
    <s v="Bureau of Treasury"/>
    <s v="Remit Interest Income under Fund 501 CARP for the 3rd Quarter of CY 2023"/>
    <x v="29"/>
    <x v="29"/>
    <n v="704.34"/>
    <m/>
    <s v="CY 2023"/>
    <e v="#REF!"/>
  </r>
  <r>
    <d v="2023-09-30T00:00:00"/>
    <d v="2023-09-29T00:00:00"/>
    <s v="1763396"/>
    <x v="11"/>
    <s v="5"/>
    <s v="5-1"/>
    <m/>
    <m/>
    <s v="Bureau of Treasury"/>
    <s v="Remit Interest Income under Fund 501 CARP for the 3rd Quarter of CY 2023"/>
    <x v="3"/>
    <x v="3"/>
    <m/>
    <n v="704.34"/>
    <m/>
    <e v="#REF!"/>
  </r>
  <r>
    <d v="2023-09-30T00:00:00"/>
    <d v="2023-09-29T00:00:00"/>
    <s v="1763397"/>
    <x v="11"/>
    <s v="5"/>
    <s v="5-1"/>
    <m/>
    <m/>
    <s v="LBP for the account of BIR"/>
    <s v="Remit Withholding Tax (1% &amp; 2%) deducted from suppliers/contractors of NIA-Pangasinan IMO for the month of September, 2023"/>
    <x v="1"/>
    <x v="1"/>
    <n v="119.01"/>
    <m/>
    <s v="230024 MOOE"/>
    <e v="#REF!"/>
  </r>
  <r>
    <d v="2023-09-30T00:00:00"/>
    <d v="2023-09-29T00:00:00"/>
    <s v="1763397"/>
    <x v="11"/>
    <s v="5"/>
    <s v="5-1"/>
    <m/>
    <m/>
    <s v="LBP for the account of BIR"/>
    <s v="Remit Withholding Tax (1% &amp; 2%) deducted from suppliers/contractors of NIA-Pangasinan IMO for the month of September, 2023"/>
    <x v="7"/>
    <x v="7"/>
    <n v="76191.48"/>
    <m/>
    <s v="230028 Capital Outlay - Waig PIP "/>
    <e v="#REF!"/>
  </r>
  <r>
    <d v="2023-09-30T00:00:00"/>
    <d v="2023-09-29T00:00:00"/>
    <s v="1763397"/>
    <x v="11"/>
    <s v="5"/>
    <s v="5-1"/>
    <m/>
    <m/>
    <s v="LBP for the account of BIR"/>
    <s v="Remit Withholding Tax (1% &amp; 2%) deducted from suppliers/contractors of NIA-Pangasinan IMO for the month of September, 2023"/>
    <x v="3"/>
    <x v="3"/>
    <m/>
    <n v="76310.490000000005"/>
    <m/>
    <e v="#REF!"/>
  </r>
  <r>
    <d v="2023-09-30T00:00:00"/>
    <d v="2023-09-29T00:00:00"/>
    <s v="1763398"/>
    <x v="11"/>
    <s v="5"/>
    <s v="5-1"/>
    <m/>
    <m/>
    <s v="LBP for the account of BIR"/>
    <s v="Remit Withholding Tax (5%) deducted from suppliers/contractors of NIA-Pangasinan IMO for the month of September, 2023"/>
    <x v="2"/>
    <x v="2"/>
    <n v="191073.74"/>
    <m/>
    <s v="230028 Capital Outlay - Waig PIP - 190478.69, 230024 MOOE - 595.05"/>
    <e v="#REF!"/>
  </r>
  <r>
    <d v="2023-09-30T00:00:00"/>
    <d v="2023-09-29T00:00:00"/>
    <s v="1763398"/>
    <x v="11"/>
    <s v="5"/>
    <s v="5-1"/>
    <m/>
    <m/>
    <s v="LBP for the account of BIR"/>
    <s v="Remit Withholding Tax (5%) deducted from suppliers/contractors of NIA-Pangasinan IMO for the month of September, 2023"/>
    <x v="3"/>
    <x v="3"/>
    <m/>
    <n v="191073.74"/>
    <m/>
    <e v="#RE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showCalcMbrs="0" itemPrintTitles="1" createdVersion="3" indent="0" compact="0" compactData="0" multipleFieldFilters="0">
  <location ref="A4:D7" firstHeaderRow="1" firstDataRow="2" firstDataCol="2" rowPageCount="2" colPageCount="1"/>
  <pivotFields count="12">
    <pivotField axis="axisPage" compact="0" outline="0" showAll="0" defaultSubtotal="0">
      <items count="13">
        <item m="1" x="7"/>
        <item m="1" x="4"/>
        <item m="1" x="6"/>
        <item m="1" x="10"/>
        <item m="1" x="3"/>
        <item m="1" x="8"/>
        <item m="1" x="12"/>
        <item m="1" x="11"/>
        <item m="1" x="5"/>
        <item m="1" x="9"/>
        <item x="0"/>
        <item x="1"/>
        <item x="2"/>
      </items>
    </pivotField>
    <pivotField axis="axisPage" compact="0" outline="0" multipleItemSelectionAllowed="1" showAll="0" defaultSubtotal="0">
      <items count="71">
        <item x="1"/>
        <item m="1" x="54"/>
        <item m="1" x="51"/>
        <item m="1" x="49"/>
        <item m="1" x="47"/>
        <item m="1" x="3"/>
        <item m="1" x="48"/>
        <item m="1" x="46"/>
        <item m="1" x="70"/>
        <item m="1" x="33"/>
        <item m="1" x="66"/>
        <item m="1" x="61"/>
        <item m="1" x="58"/>
        <item m="1" x="16"/>
        <item m="1" x="13"/>
        <item m="1" x="14"/>
        <item m="1" x="11"/>
        <item m="1" x="44"/>
        <item m="1" x="69"/>
        <item m="1" x="30"/>
        <item m="1" x="32"/>
        <item m="1" x="29"/>
        <item m="1" x="27"/>
        <item m="1" x="24"/>
        <item m="1" x="19"/>
        <item m="1" x="55"/>
        <item m="1" x="8"/>
        <item m="1" x="39"/>
        <item m="1" x="37"/>
        <item m="1" x="36"/>
        <item m="1" x="34"/>
        <item m="1" x="35"/>
        <item m="1" x="31"/>
        <item m="1" x="64"/>
        <item m="1" x="12"/>
        <item m="1" x="45"/>
        <item m="1" x="43"/>
        <item m="1" x="42"/>
        <item m="1" x="41"/>
        <item m="1" x="40"/>
        <item m="1" x="68"/>
        <item m="1" x="63"/>
        <item m="1" x="62"/>
        <item m="1" x="60"/>
        <item m="1" x="57"/>
        <item m="1" x="52"/>
        <item m="1" x="6"/>
        <item m="1" x="17"/>
        <item m="1" x="15"/>
        <item m="1" x="59"/>
        <item m="1" x="56"/>
        <item m="1" x="53"/>
        <item m="1" x="50"/>
        <item m="1" x="10"/>
        <item m="1" x="9"/>
        <item m="1" x="7"/>
        <item m="1" x="4"/>
        <item m="1" x="38"/>
        <item m="1" x="5"/>
        <item m="1" x="67"/>
        <item m="1" x="26"/>
        <item m="1" x="23"/>
        <item m="1" x="21"/>
        <item m="1" x="28"/>
        <item m="1" x="25"/>
        <item m="1" x="22"/>
        <item m="1" x="20"/>
        <item m="1" x="18"/>
        <item x="0"/>
        <item m="1" x="2"/>
        <item m="1" x="6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
        <item x="0"/>
        <item m="1" x="16"/>
        <item m="1" x="5"/>
        <item m="1" x="6"/>
        <item m="1" x="20"/>
        <item m="1" x="4"/>
        <item m="1" x="7"/>
        <item m="1" x="8"/>
        <item m="1" x="9"/>
        <item m="1" x="13"/>
        <item m="1" x="1"/>
        <item m="1" x="23"/>
        <item m="1" x="22"/>
        <item m="1" x="24"/>
        <item m="1" x="11"/>
        <item m="1" x="17"/>
        <item m="1" x="12"/>
        <item m="1" x="3"/>
        <item m="1" x="14"/>
        <item m="1" x="19"/>
        <item m="1" x="21"/>
        <item m="1" x="10"/>
        <item m="1" x="2"/>
        <item m="1" x="15"/>
        <item m="1" x="18"/>
      </items>
    </pivotField>
    <pivotField axis="axisRow" compact="0" outline="0" showAll="0" defaultSubtotal="0">
      <items count="26">
        <item x="0"/>
        <item m="1" x="2"/>
        <item m="1" x="21"/>
        <item m="1" x="11"/>
        <item m="1" x="5"/>
        <item m="1" x="4"/>
        <item m="1" x="9"/>
        <item m="1" x="14"/>
        <item m="1" x="16"/>
        <item m="1" x="24"/>
        <item m="1" x="19"/>
        <item m="1" x="18"/>
        <item m="1" x="7"/>
        <item m="1" x="3"/>
        <item m="1" x="1"/>
        <item m="1" x="20"/>
        <item m="1" x="12"/>
        <item m="1" x="23"/>
        <item m="1" x="17"/>
        <item m="1" x="15"/>
        <item m="1" x="6"/>
        <item m="1" x="25"/>
        <item m="1" x="10"/>
        <item m="1" x="8"/>
        <item m="1" x="22"/>
        <item m="1" x="13"/>
      </items>
    </pivotField>
    <pivotField dataField="1" compact="0" outline="0" showAll="0" defaultSubtotal="0"/>
    <pivotField dataField="1" compact="0" outline="0" showAll="0" defaultSubtotal="0"/>
    <pivotField compact="0" numFmtId="39" outline="0" showAll="0" defaultSubtotal="0"/>
  </pivotFields>
  <rowFields count="2">
    <field x="8"/>
    <field x="7"/>
  </rowFields>
  <rowItems count="2">
    <i>
      <x/>
      <x/>
    </i>
    <i t="grand">
      <x/>
    </i>
  </rowItems>
  <colFields count="1">
    <field x="-2"/>
  </colFields>
  <colItems count="2">
    <i>
      <x/>
    </i>
    <i i="1">
      <x v="1"/>
    </i>
  </colItems>
  <pageFields count="2">
    <pageField fld="1" hier="-1"/>
    <pageField fld="0" hier="-1"/>
  </pageFields>
  <dataFields count="2">
    <dataField name="Sum of Debit" fld="9" baseField="0" baseItem="0"/>
    <dataField name="Sum of Credit" fld="10" baseField="0" baseItem="0"/>
  </dataFields>
  <formats count="5">
    <format dxfId="190">
      <pivotArea outline="0" collapsedLevelsAreSubtotals="1" fieldPosition="0"/>
    </format>
    <format dxfId="189">
      <pivotArea field="-2" type="button" dataOnly="0" labelOnly="1" outline="0" axis="axisCol" fieldPosition="0"/>
    </format>
    <format dxfId="188">
      <pivotArea type="topRight" dataOnly="0" labelOnly="1" outline="0" fieldPosition="0"/>
    </format>
    <format dxfId="187">
      <pivotArea dataOnly="0" labelOnly="1" outline="0" fieldPosition="0">
        <references count="1">
          <reference field="4294967294" count="2">
            <x v="0"/>
            <x v="1"/>
          </reference>
        </references>
      </pivotArea>
    </format>
    <format dxfId="186">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showCalcMbrs="0" itemPrintTitles="1" createdVersion="3" indent="0" compact="0" compactData="0" multipleFieldFilters="0" fieldListSortAscending="1">
  <location ref="A3:D26" firstHeaderRow="1" firstDataRow="2" firstDataCol="2" rowPageCount="1" colPageCount="1"/>
  <pivotFields count="16">
    <pivotField compact="0" outline="0" showAll="0" defaultSubtotal="0"/>
    <pivotField compact="0" outline="0" showAll="0" defaultSubtotal="0"/>
    <pivotField compact="0" outline="0" showAll="0" defaultSubtotal="0"/>
    <pivotField name="22-09-" axis="axisPage" compact="0" outline="0" showAll="0" defaultSubtotal="0">
      <items count="300">
        <item x="6"/>
        <item m="1" x="195"/>
        <item m="1" x="207"/>
        <item m="1" x="215"/>
        <item m="1" x="219"/>
        <item m="1" x="225"/>
        <item m="1" x="232"/>
        <item m="1" x="242"/>
        <item m="1" x="188"/>
        <item m="1" x="197"/>
        <item m="1" x="176"/>
        <item m="1" x="208"/>
        <item m="1" x="295"/>
        <item m="1" x="16"/>
        <item m="1" x="238"/>
        <item m="1" x="246"/>
        <item m="1" x="257"/>
        <item m="1" x="262"/>
        <item m="1" x="273"/>
        <item m="1" x="284"/>
        <item m="1" x="297"/>
        <item m="1" x="19"/>
        <item m="1" x="59"/>
        <item m="1" x="74"/>
        <item m="1" x="86"/>
        <item m="1" x="13"/>
        <item m="1" x="23"/>
        <item m="1" x="30"/>
        <item m="1" x="38"/>
        <item m="1" x="46"/>
        <item m="1" x="62"/>
        <item m="1" x="76"/>
        <item m="1" x="182"/>
        <item m="1" x="191"/>
        <item m="1" x="202"/>
        <item m="1" x="211"/>
        <item m="1" x="218"/>
        <item m="1" x="222"/>
        <item m="1" x="229"/>
        <item m="1" x="237"/>
        <item m="1" x="244"/>
        <item m="1" x="253"/>
        <item m="1" x="258"/>
        <item m="1" x="263"/>
        <item m="1" x="247"/>
        <item m="1" x="277"/>
        <item m="1" x="287"/>
        <item m="1" x="294"/>
        <item m="1" x="15"/>
        <item m="1" x="281"/>
        <item m="1" x="25"/>
        <item m="1" x="32"/>
        <item m="1" x="85"/>
        <item m="1" x="94"/>
        <item m="1" x="73"/>
        <item m="1" x="65"/>
        <item m="1" x="104"/>
        <item m="1" x="113"/>
        <item m="1" x="102"/>
        <item m="1" x="111"/>
        <item m="1" x="119"/>
        <item m="1" x="127"/>
        <item m="1" x="135"/>
        <item m="1" x="144"/>
        <item m="1" x="152"/>
        <item m="1" x="156"/>
        <item m="1" x="27"/>
        <item m="1" x="250"/>
        <item m="1" x="233"/>
        <item m="1" x="228"/>
        <item m="1" x="259"/>
        <item m="1" x="265"/>
        <item m="1" x="78"/>
        <item m="1" x="296"/>
        <item m="1" x="271"/>
        <item m="1" x="17"/>
        <item m="1" x="282"/>
        <item m="1" x="26"/>
        <item m="1" x="33"/>
        <item m="1" x="106"/>
        <item m="1" x="139"/>
        <item m="1" x="131"/>
        <item m="1" x="115"/>
        <item m="1" x="96"/>
        <item m="1" x="123"/>
        <item m="1" x="255"/>
        <item m="1" x="254"/>
        <item m="1" x="261"/>
        <item m="1" x="270"/>
        <item m="1" x="245"/>
        <item m="1" x="43"/>
        <item m="1" x="29"/>
        <item m="1" x="36"/>
        <item m="1" x="57"/>
        <item m="1" x="72"/>
        <item m="1" x="82"/>
        <item m="1" x="91"/>
        <item m="1" x="103"/>
        <item m="1" x="299"/>
        <item m="1" x="21"/>
        <item m="1" x="81"/>
        <item m="1" x="34"/>
        <item m="1" x="71"/>
        <item m="1" x="90"/>
        <item m="1" x="40"/>
        <item m="1" x="54"/>
        <item m="1" x="77"/>
        <item m="1" x="99"/>
        <item m="1" x="126"/>
        <item m="1" x="79"/>
        <item m="1" x="138"/>
        <item m="1" x="93"/>
        <item m="1" x="122"/>
        <item m="1" x="147"/>
        <item m="1" x="164"/>
        <item m="1" x="142"/>
        <item m="1" x="162"/>
        <item m="1" x="169"/>
        <item m="1" x="177"/>
        <item m="1" x="132"/>
        <item m="1" x="150"/>
        <item m="1" x="185"/>
        <item m="1" x="193"/>
        <item m="1" x="205"/>
        <item m="1" x="160"/>
        <item m="1" x="166"/>
        <item m="1" x="227"/>
        <item m="1" x="179"/>
        <item m="1" x="199"/>
        <item m="1" x="210"/>
        <item m="1" x="217"/>
        <item m="1" x="223"/>
        <item m="1" x="230"/>
        <item m="1" x="240"/>
        <item m="1" x="249"/>
        <item m="1" x="264"/>
        <item m="1" x="51"/>
        <item m="1" x="52"/>
        <item m="1" x="55"/>
        <item m="1" x="56"/>
        <item m="1" x="58"/>
        <item m="1" x="60"/>
        <item m="1" x="63"/>
        <item m="1" x="64"/>
        <item m="1" x="67"/>
        <item m="1" x="69"/>
        <item m="1" x="44"/>
        <item m="1" x="45"/>
        <item m="1" x="47"/>
        <item m="1" x="49"/>
        <item m="1" x="50"/>
        <item m="1" x="201"/>
        <item m="1" x="42"/>
        <item m="1" x="39"/>
        <item m="1" x="98"/>
        <item m="1" x="107"/>
        <item m="1" x="116"/>
        <item m="1" x="128"/>
        <item m="1" x="124"/>
        <item m="1" x="48"/>
        <item m="1" x="83"/>
        <item m="1" x="136"/>
        <item m="1" x="145"/>
        <item m="1" x="84"/>
        <item m="1" x="92"/>
        <item m="1" x="129"/>
        <item m="1" x="66"/>
        <item m="1" x="88"/>
        <item m="1" x="101"/>
        <item m="1" x="110"/>
        <item m="1" x="118"/>
        <item m="1" x="95"/>
        <item m="1" x="105"/>
        <item m="1" x="114"/>
        <item m="1" x="130"/>
        <item m="1" x="148"/>
        <item m="1" x="133"/>
        <item m="1" x="155"/>
        <item m="1" x="178"/>
        <item m="1" x="189"/>
        <item m="1" x="151"/>
        <item m="1" x="108"/>
        <item m="1" x="117"/>
        <item m="1" x="125"/>
        <item m="1" x="141"/>
        <item m="1" x="149"/>
        <item m="1" x="157"/>
        <item m="1" x="170"/>
        <item m="1" x="120"/>
        <item m="1" x="137"/>
        <item m="1" x="146"/>
        <item m="1" x="154"/>
        <item m="1" x="161"/>
        <item m="1" x="168"/>
        <item m="1" x="187"/>
        <item m="1" x="196"/>
        <item m="1" x="192"/>
        <item m="1" x="203"/>
        <item m="1" x="212"/>
        <item m="1" x="159"/>
        <item m="1" x="165"/>
        <item m="1" x="183"/>
        <item m="1" x="198"/>
        <item m="1" x="209"/>
        <item m="1" x="216"/>
        <item m="1" x="220"/>
        <item m="1" x="226"/>
        <item m="1" x="184"/>
        <item m="1" x="204"/>
        <item m="1" x="213"/>
        <item m="1" x="256"/>
        <item m="1" x="214"/>
        <item m="1" x="234"/>
        <item m="1" x="267"/>
        <item m="1" x="221"/>
        <item m="1" x="235"/>
        <item m="1" x="243"/>
        <item m="1" x="252"/>
        <item m="1" x="286"/>
        <item m="1" x="298"/>
        <item m="1" x="20"/>
        <item m="1" x="239"/>
        <item m="1" x="248"/>
        <item m="1" x="269"/>
        <item m="1" x="12"/>
        <item m="1" x="22"/>
        <item m="1" x="37"/>
        <item m="1" x="280"/>
        <item m="1" x="279"/>
        <item m="1" x="28"/>
        <item m="1" x="251"/>
        <item m="1" x="260"/>
        <item m="1" x="266"/>
        <item m="1" x="293"/>
        <item m="1" x="14"/>
        <item m="1" x="24"/>
        <item m="1" x="41"/>
        <item m="1" x="109"/>
        <item m="1" x="121"/>
        <item m="1" x="153"/>
        <item m="1" x="158"/>
        <item m="1" x="163"/>
        <item m="1" x="173"/>
        <item m="1" x="112"/>
        <item m="1" x="167"/>
        <item m="1" x="171"/>
        <item m="1" x="174"/>
        <item m="1" x="180"/>
        <item m="1" x="186"/>
        <item m="1" x="190"/>
        <item m="1" x="194"/>
        <item m="1" x="18"/>
        <item m="1" x="200"/>
        <item n="21-09-001" m="1" x="206"/>
        <item m="1" x="172"/>
        <item m="1" x="175"/>
        <item m="1" x="224"/>
        <item m="1" x="181"/>
        <item m="1" x="231"/>
        <item m="1" x="283"/>
        <item m="1" x="285"/>
        <item m="1" x="288"/>
        <item m="1" x="289"/>
        <item m="1" x="290"/>
        <item m="1" x="291"/>
        <item m="1" x="292"/>
        <item m="1" x="274"/>
        <item m="1" x="276"/>
        <item m="1" x="278"/>
        <item m="1" x="236"/>
        <item m="1" x="241"/>
        <item m="1" x="68"/>
        <item m="1" x="75"/>
        <item m="1" x="268"/>
        <item m="1" x="272"/>
        <item m="1" x="275"/>
        <item m="1" x="80"/>
        <item m="1" x="35"/>
        <item m="1" x="87"/>
        <item m="1" x="89"/>
        <item m="1" x="97"/>
        <item m="1" x="53"/>
        <item m="1" x="61"/>
        <item m="1" x="70"/>
        <item x="0"/>
        <item m="1" x="31"/>
        <item n="23-03-" x="2"/>
        <item n="23-03-2" x="3"/>
        <item x="4"/>
        <item x="5"/>
        <item x="7"/>
        <item m="1" x="100"/>
        <item x="9"/>
        <item x="10"/>
        <item x="11"/>
        <item m="1" x="134"/>
        <item m="1" x="140"/>
        <item m="1" x="143"/>
        <item x="1"/>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23">
        <item x="5"/>
        <item m="1" x="77"/>
        <item m="1" x="117"/>
        <item m="1" x="37"/>
        <item m="1" x="110"/>
        <item m="1" x="103"/>
        <item m="1" x="58"/>
        <item m="1" x="46"/>
        <item m="1" x="71"/>
        <item m="1" x="57"/>
        <item x="25"/>
        <item m="1" x="66"/>
        <item x="8"/>
        <item m="1" x="49"/>
        <item m="1" x="42"/>
        <item m="1" x="86"/>
        <item m="1" x="59"/>
        <item x="15"/>
        <item m="1" x="36"/>
        <item m="1" x="55"/>
        <item m="1" x="91"/>
        <item x="28"/>
        <item m="1" x="47"/>
        <item x="23"/>
        <item x="18"/>
        <item x="12"/>
        <item m="1" x="116"/>
        <item x="14"/>
        <item m="1" x="75"/>
        <item x="27"/>
        <item x="9"/>
        <item m="1" x="50"/>
        <item m="1" x="112"/>
        <item m="1" x="73"/>
        <item m="1" x="63"/>
        <item m="1" x="101"/>
        <item m="1" x="115"/>
        <item m="1" x="78"/>
        <item m="1" x="79"/>
        <item m="1" x="93"/>
        <item m="1" x="99"/>
        <item m="1" x="51"/>
        <item x="4"/>
        <item m="1" x="74"/>
        <item x="24"/>
        <item m="1" x="102"/>
        <item m="1" x="90"/>
        <item m="1" x="54"/>
        <item x="17"/>
        <item m="1" x="65"/>
        <item x="11"/>
        <item m="1" x="108"/>
        <item m="1" x="118"/>
        <item m="1" x="62"/>
        <item m="1" x="68"/>
        <item m="1" x="38"/>
        <item m="1" x="76"/>
        <item m="1" x="81"/>
        <item m="1" x="105"/>
        <item m="1" x="56"/>
        <item m="1" x="45"/>
        <item m="1" x="92"/>
        <item m="1" x="67"/>
        <item x="13"/>
        <item m="1" x="89"/>
        <item x="20"/>
        <item m="1" x="119"/>
        <item m="1" x="64"/>
        <item m="1" x="107"/>
        <item m="1" x="41"/>
        <item m="1" x="121"/>
        <item m="1" x="100"/>
        <item x="6"/>
        <item m="1" x="82"/>
        <item m="1" x="70"/>
        <item x="26"/>
        <item m="1" x="60"/>
        <item m="1" x="104"/>
        <item x="3"/>
        <item x="16"/>
        <item x="2"/>
        <item x="7"/>
        <item x="0"/>
        <item m="1" x="84"/>
        <item m="1" x="97"/>
        <item x="1"/>
        <item x="10"/>
        <item x="21"/>
        <item x="35"/>
        <item x="29"/>
        <item m="1" x="39"/>
        <item x="33"/>
        <item m="1" x="40"/>
        <item m="1" x="94"/>
        <item m="1" x="61"/>
        <item m="1" x="96"/>
        <item m="1" x="80"/>
        <item m="1" x="113"/>
        <item m="1" x="95"/>
        <item m="1" x="106"/>
        <item m="1" x="48"/>
        <item x="19"/>
        <item m="1" x="88"/>
        <item m="1" x="120"/>
        <item m="1" x="69"/>
        <item m="1" x="98"/>
        <item m="1" x="122"/>
        <item m="1" x="43"/>
        <item m="1" x="72"/>
        <item x="34"/>
        <item m="1" x="87"/>
        <item m="1" x="111"/>
        <item m="1" x="83"/>
        <item x="30"/>
        <item m="1" x="53"/>
        <item x="22"/>
        <item m="1" x="52"/>
        <item m="1" x="44"/>
        <item x="31"/>
        <item x="32"/>
        <item m="1" x="85"/>
        <item m="1" x="109"/>
        <item m="1" x="114"/>
      </items>
    </pivotField>
    <pivotField axis="axisRow" compact="0" outline="0" showAll="0" sortType="ascending" defaultSubtotal="0">
      <items count="71">
        <item h="1" m="1" x="35"/>
        <item m="1" x="50"/>
        <item m="1" x="44"/>
        <item m="1" x="67"/>
        <item m="1" x="64"/>
        <item m="1" x="38"/>
        <item m="1" x="36"/>
        <item m="1" x="66"/>
        <item m="1" x="65"/>
        <item m="1" x="62"/>
        <item m="1" x="61"/>
        <item m="1" x="55"/>
        <item m="1" x="45"/>
        <item m="1" x="60"/>
        <item m="1" x="59"/>
        <item m="1" x="58"/>
        <item m="1" x="56"/>
        <item m="1" x="54"/>
        <item m="1" x="51"/>
        <item m="1" x="49"/>
        <item m="1" x="70"/>
        <item m="1" x="48"/>
        <item m="1" x="68"/>
        <item m="1" x="63"/>
        <item m="1" x="43"/>
        <item m="1" x="41"/>
        <item m="1" x="40"/>
        <item m="1" x="57"/>
        <item m="1" x="39"/>
        <item m="1" x="53"/>
        <item m="1" x="37"/>
        <item m="1" x="52"/>
        <item m="1" x="46"/>
        <item m="1" x="47"/>
        <item m="1" x="69"/>
        <item m="1" x="42"/>
        <item x="3"/>
        <item x="22"/>
        <item x="33"/>
        <item x="0"/>
        <item x="10"/>
        <item x="34"/>
        <item x="8"/>
        <item x="29"/>
        <item x="16"/>
        <item x="2"/>
        <item x="7"/>
        <item x="1"/>
        <item x="15"/>
        <item x="18"/>
        <item x="23"/>
        <item x="19"/>
        <item x="12"/>
        <item x="28"/>
        <item x="9"/>
        <item x="24"/>
        <item x="20"/>
        <item x="21"/>
        <item x="25"/>
        <item x="31"/>
        <item x="30"/>
        <item x="13"/>
        <item x="17"/>
        <item x="11"/>
        <item x="14"/>
        <item x="26"/>
        <item x="6"/>
        <item x="27"/>
        <item x="4"/>
        <item x="32"/>
        <item h="1" x="5"/>
      </items>
    </pivotField>
    <pivotField dataField="1" compact="0" outline="0" showAll="0" defaultSubtotal="0"/>
    <pivotField dataField="1" compact="0" outline="0" showAll="0" defaultSubtotal="0"/>
    <pivotField compact="0" outline="0" showAll="0" defaultSubtotal="0"/>
    <pivotField compact="0" numFmtId="39" outline="0" showAll="0" defaultSubtotal="0"/>
  </pivotFields>
  <rowFields count="2">
    <field x="11"/>
    <field x="10"/>
  </rowFields>
  <rowItems count="22">
    <i>
      <x v="36"/>
      <x v="78"/>
    </i>
    <i>
      <x v="40"/>
      <x v="86"/>
    </i>
    <i>
      <x v="42"/>
      <x v="12"/>
    </i>
    <i>
      <x v="43"/>
      <x v="89"/>
    </i>
    <i>
      <x v="44"/>
      <x v="79"/>
    </i>
    <i>
      <x v="45"/>
      <x v="80"/>
    </i>
    <i>
      <x v="46"/>
      <x v="81"/>
    </i>
    <i>
      <x v="47"/>
      <x v="85"/>
    </i>
    <i>
      <x v="48"/>
      <x v="17"/>
    </i>
    <i>
      <x v="49"/>
      <x v="24"/>
    </i>
    <i>
      <x v="50"/>
      <x v="23"/>
    </i>
    <i>
      <x v="51"/>
      <x v="101"/>
    </i>
    <i>
      <x v="52"/>
      <x v="25"/>
    </i>
    <i>
      <x v="54"/>
      <x v="30"/>
    </i>
    <i>
      <x v="56"/>
      <x v="65"/>
    </i>
    <i>
      <x v="57"/>
      <x v="87"/>
    </i>
    <i>
      <x v="61"/>
      <x v="63"/>
    </i>
    <i>
      <x v="62"/>
      <x v="48"/>
    </i>
    <i>
      <x v="63"/>
      <x v="50"/>
    </i>
    <i>
      <x v="64"/>
      <x v="27"/>
    </i>
    <i>
      <x v="67"/>
      <x v="29"/>
    </i>
    <i t="grand">
      <x/>
    </i>
  </rowItems>
  <colFields count="1">
    <field x="-2"/>
  </colFields>
  <colItems count="2">
    <i>
      <x/>
    </i>
    <i i="1">
      <x v="1"/>
    </i>
  </colItems>
  <pageFields count="1">
    <pageField fld="3" item="294" hier="-1"/>
  </pageFields>
  <dataFields count="2">
    <dataField name="Sum of Debit" fld="12" baseField="0" baseItem="0"/>
    <dataField name="Sum of Credit" fld="13" baseField="0" baseItem="0"/>
  </dataFields>
  <formats count="13">
    <format dxfId="110">
      <pivotArea outline="0" collapsedLevelsAreSubtotals="1" fieldPosition="0"/>
    </format>
    <format dxfId="109">
      <pivotArea dataOnly="0" labelOnly="1" outline="0" fieldPosition="0">
        <references count="1">
          <reference field="4294967294" count="2">
            <x v="0"/>
            <x v="1"/>
          </reference>
        </references>
      </pivotArea>
    </format>
    <format dxfId="108">
      <pivotArea type="all" dataOnly="0" outline="0" fieldPosition="0"/>
    </format>
    <format dxfId="107">
      <pivotArea outline="0" collapsedLevelsAreSubtotals="1" fieldPosition="0"/>
    </format>
    <format dxfId="106">
      <pivotArea type="origin" dataOnly="0" labelOnly="1" outline="0" fieldPosition="0"/>
    </format>
    <format dxfId="105">
      <pivotArea field="-2" type="button" dataOnly="0" labelOnly="1" outline="0" axis="axisCol" fieldPosition="0"/>
    </format>
    <format dxfId="104">
      <pivotArea type="topRight" dataOnly="0" labelOnly="1" outline="0" fieldPosition="0"/>
    </format>
    <format dxfId="103">
      <pivotArea field="11" type="button" dataOnly="0" labelOnly="1" outline="0" axis="axisRow" fieldPosition="0"/>
    </format>
    <format dxfId="102">
      <pivotArea field="10" type="button" dataOnly="0" labelOnly="1" outline="0" axis="axisRow" fieldPosition="1"/>
    </format>
    <format dxfId="101">
      <pivotArea dataOnly="0" labelOnly="1" grandRow="1" outline="0" fieldPosition="0"/>
    </format>
    <format dxfId="100">
      <pivotArea dataOnly="0" labelOnly="1" outline="0" fieldPosition="0">
        <references count="1">
          <reference field="4294967294" count="2">
            <x v="0"/>
            <x v="1"/>
          </reference>
        </references>
      </pivotArea>
    </format>
    <format dxfId="99">
      <pivotArea outline="0" fieldPosition="0">
        <references count="3">
          <reference field="4294967294" count="1" selected="0">
            <x v="0"/>
          </reference>
          <reference field="10" count="23" selected="0">
            <x v="12"/>
            <x v="17"/>
            <x v="23"/>
            <x v="24"/>
            <x v="25"/>
            <x v="27"/>
            <x v="29"/>
            <x v="30"/>
            <x v="41"/>
            <x v="44"/>
            <x v="48"/>
            <x v="50"/>
            <x v="63"/>
            <x v="65"/>
            <x v="78"/>
            <x v="79"/>
            <x v="80"/>
            <x v="81"/>
            <x v="85"/>
            <x v="86"/>
            <x v="87"/>
            <x v="101"/>
            <x v="113"/>
          </reference>
          <reference field="11" count="22" selected="0">
            <x v="36"/>
            <x v="40"/>
            <x v="42"/>
            <x v="44"/>
            <x v="45"/>
            <x v="46"/>
            <x v="47"/>
            <x v="48"/>
            <x v="49"/>
            <x v="50"/>
            <x v="51"/>
            <x v="52"/>
            <x v="54"/>
            <x v="55"/>
            <x v="56"/>
            <x v="57"/>
            <x v="60"/>
            <x v="61"/>
            <x v="62"/>
            <x v="63"/>
            <x v="64"/>
            <x v="67"/>
          </reference>
        </references>
      </pivotArea>
    </format>
    <format dxfId="98">
      <pivotArea dataOnly="0" labelOnly="1" outline="0" fieldPosition="0">
        <references count="1">
          <reference field="11" count="1">
            <x v="10"/>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5" minRefreshableVersion="3" showCalcMbrs="0" itemPrintTitles="1" createdVersion="3" indent="0" compact="0" compactData="0" multipleFieldFilters="0">
  <location ref="A3:D6" firstHeaderRow="1" firstDataRow="2" firstDataCol="2" rowPageCount="1" colPageCount="1"/>
  <pivotFields count="16">
    <pivotField compact="0" outline="0" showAll="0" defaultSubtotal="0"/>
    <pivotField compact="0" outline="0" showAll="0" defaultSubtotal="0"/>
    <pivotField compact="0" outline="0" showAll="0" defaultSubtotal="0"/>
    <pivotField axis="axisPage" compact="0" outline="0" showAll="0" defaultSubtotal="0">
      <items count="99">
        <item x="1"/>
        <item m="1" x="54"/>
        <item m="1" x="51"/>
        <item m="1" x="50"/>
        <item m="1" x="48"/>
        <item m="1" x="46"/>
        <item m="1" x="43"/>
        <item m="1" x="56"/>
        <item m="1" x="11"/>
        <item m="1" x="7"/>
        <item m="1" x="2"/>
        <item m="1" x="97"/>
        <item m="1" x="98"/>
        <item m="1" x="95"/>
        <item m="1" x="26"/>
        <item m="1" x="24"/>
        <item m="1" x="20"/>
        <item m="1" x="15"/>
        <item m="1" x="6"/>
        <item m="1" x="59"/>
        <item m="1" x="37"/>
        <item m="1" x="78"/>
        <item m="1" x="76"/>
        <item m="1" x="74"/>
        <item m="1" x="69"/>
        <item m="1" x="72"/>
        <item m="1" x="81"/>
        <item m="1" x="80"/>
        <item m="1" x="40"/>
        <item m="1" x="38"/>
        <item m="1" x="36"/>
        <item m="1" x="34"/>
        <item m="1" x="32"/>
        <item m="1" x="96"/>
        <item m="1" x="94"/>
        <item m="1" x="93"/>
        <item m="1" x="92"/>
        <item m="1" x="89"/>
        <item m="1" x="90"/>
        <item m="1" x="27"/>
        <item m="1" x="25"/>
        <item m="1" x="22"/>
        <item m="1" x="18"/>
        <item m="1" x="9"/>
        <item m="1" x="12"/>
        <item m="1" x="4"/>
        <item m="1" x="47"/>
        <item m="1" x="60"/>
        <item m="1" x="16"/>
        <item m="1" x="57"/>
        <item m="1" x="10"/>
        <item m="1" x="5"/>
        <item m="1" x="23"/>
        <item m="1" x="19"/>
        <item m="1" x="13"/>
        <item m="1" x="8"/>
        <item m="1" x="3"/>
        <item m="1" x="31"/>
        <item m="1" x="33"/>
        <item m="1" x="30"/>
        <item m="1" x="71"/>
        <item m="1" x="77"/>
        <item m="1" x="73"/>
        <item m="1" x="70"/>
        <item m="1" x="75"/>
        <item m="1" x="55"/>
        <item m="1" x="91"/>
        <item m="1" x="87"/>
        <item m="1" x="83"/>
        <item m="1" x="79"/>
        <item m="1" x="66"/>
        <item m="1" x="62"/>
        <item m="1" x="58"/>
        <item m="1" x="86"/>
        <item m="1" x="39"/>
        <item m="1" x="61"/>
        <item m="1" x="45"/>
        <item m="1" x="67"/>
        <item m="1" x="63"/>
        <item m="1" x="49"/>
        <item m="1" x="41"/>
        <item m="1" x="21"/>
        <item m="1" x="17"/>
        <item m="1" x="29"/>
        <item m="1" x="14"/>
        <item m="1" x="85"/>
        <item x="0"/>
        <item m="1" x="52"/>
        <item m="1" x="88"/>
        <item m="1" x="35"/>
        <item m="1" x="64"/>
        <item m="1" x="53"/>
        <item m="1" x="44"/>
        <item m="1" x="84"/>
        <item m="1" x="42"/>
        <item m="1" x="82"/>
        <item m="1" x="68"/>
        <item m="1" x="28"/>
        <item m="1" x="6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3">
        <item x="1"/>
        <item m="1" x="39"/>
        <item m="1" x="27"/>
        <item m="1" x="20"/>
        <item m="1" x="17"/>
        <item m="1" x="36"/>
        <item m="1" x="4"/>
        <item m="1" x="31"/>
        <item m="1" x="40"/>
        <item m="1" x="13"/>
        <item m="1" x="11"/>
        <item m="1" x="30"/>
        <item m="1" x="5"/>
        <item m="1" x="12"/>
        <item m="1" x="35"/>
        <item m="1" x="14"/>
        <item m="1" x="3"/>
        <item m="1" x="15"/>
        <item m="1" x="7"/>
        <item m="1" x="19"/>
        <item m="1" x="9"/>
        <item m="1" x="10"/>
        <item m="1" x="26"/>
        <item m="1" x="6"/>
        <item m="1" x="38"/>
        <item m="1" x="18"/>
        <item x="0"/>
        <item m="1" x="29"/>
        <item m="1" x="22"/>
        <item m="1" x="2"/>
        <item m="1" x="42"/>
        <item m="1" x="23"/>
        <item m="1" x="32"/>
        <item m="1" x="24"/>
        <item m="1" x="34"/>
        <item m="1" x="33"/>
        <item m="1" x="28"/>
        <item m="1" x="8"/>
        <item m="1" x="21"/>
        <item m="1" x="37"/>
        <item m="1" x="16"/>
        <item m="1" x="41"/>
        <item m="1" x="25"/>
      </items>
    </pivotField>
    <pivotField axis="axisRow" compact="0" outline="0" showAll="0" sortType="ascending" defaultSubtotal="0">
      <items count="47">
        <item m="1" x="5"/>
        <item m="1" x="11"/>
        <item m="1" x="26"/>
        <item m="1" x="23"/>
        <item m="1" x="15"/>
        <item m="1" x="9"/>
        <item m="1" x="38"/>
        <item m="1" x="17"/>
        <item m="1" x="4"/>
        <item m="1" x="18"/>
        <item m="1" x="20"/>
        <item m="1" x="39"/>
        <item m="1" x="45"/>
        <item m="1" x="41"/>
        <item m="1" x="2"/>
        <item m="1" x="34"/>
        <item m="1" x="25"/>
        <item m="1" x="21"/>
        <item m="1" x="13"/>
        <item m="1" x="43"/>
        <item m="1" x="3"/>
        <item m="1" x="40"/>
        <item m="1" x="27"/>
        <item m="1" x="44"/>
        <item m="1" x="19"/>
        <item m="1" x="6"/>
        <item x="0"/>
        <item m="1" x="32"/>
        <item m="1" x="7"/>
        <item m="1" x="10"/>
        <item m="1" x="12"/>
        <item m="1" x="14"/>
        <item m="1" x="22"/>
        <item m="1" x="16"/>
        <item m="1" x="8"/>
        <item m="1" x="46"/>
        <item m="1" x="24"/>
        <item m="1" x="28"/>
        <item m="1" x="29"/>
        <item m="1" x="30"/>
        <item m="1" x="31"/>
        <item m="1" x="35"/>
        <item m="1" x="36"/>
        <item m="1" x="33"/>
        <item m="1" x="42"/>
        <item m="1" x="37"/>
        <item x="1"/>
      </items>
    </pivotField>
    <pivotField dataField="1" compact="0" outline="0" showAll="0" defaultSubtotal="0"/>
    <pivotField dataField="1" compact="0" outline="0" showAll="0" defaultSubtotal="0"/>
    <pivotField compact="0" outline="0" showAll="0" defaultSubtotal="0"/>
    <pivotField compact="0" numFmtId="39" outline="0" showAll="0" defaultSubtotal="0"/>
  </pivotFields>
  <rowFields count="2">
    <field x="11"/>
    <field x="10"/>
  </rowFields>
  <rowItems count="2">
    <i>
      <x v="46"/>
      <x/>
    </i>
    <i t="grand">
      <x/>
    </i>
  </rowItems>
  <colFields count="1">
    <field x="-2"/>
  </colFields>
  <colItems count="2">
    <i>
      <x/>
    </i>
    <i i="1">
      <x v="1"/>
    </i>
  </colItems>
  <pageFields count="1">
    <pageField fld="3" item="0" hier="-1"/>
  </pageFields>
  <dataFields count="2">
    <dataField name="Sum of Debit" fld="12" baseField="0" baseItem="0"/>
    <dataField name="Sum of Credit" fld="13" baseField="0" baseItem="0"/>
  </dataFields>
  <formats count="5">
    <format dxfId="54">
      <pivotArea outline="0" collapsedLevelsAreSubtotals="1" fieldPosition="0"/>
    </format>
    <format dxfId="53">
      <pivotArea field="-2" type="button" dataOnly="0" labelOnly="1" outline="0" axis="axisCol" fieldPosition="0"/>
    </format>
    <format dxfId="52">
      <pivotArea type="topRight" dataOnly="0" labelOnly="1" outline="0" fieldPosition="0"/>
    </format>
    <format dxfId="51">
      <pivotArea dataOnly="0" labelOnly="1" outline="0" fieldPosition="0">
        <references count="1">
          <reference field="4294967294" count="2">
            <x v="0"/>
            <x v="1"/>
          </reference>
        </references>
      </pivotArea>
    </format>
    <format dxfId="50">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location ref="A3:C7" firstHeaderRow="1" firstDataRow="2" firstDataCol="1" rowPageCount="1" colPageCount="1"/>
  <pivotFields count="12">
    <pivotField showAll="0"/>
    <pivotField axis="axisPage" showAll="0">
      <items count="177">
        <item x="4"/>
        <item m="1" x="82"/>
        <item m="1" x="96"/>
        <item m="1" x="44"/>
        <item m="1" x="161"/>
        <item m="1" x="107"/>
        <item m="1" x="48"/>
        <item m="1" x="55"/>
        <item m="1" x="112"/>
        <item m="1" x="162"/>
        <item m="1" x="108"/>
        <item m="1" x="9"/>
        <item m="1" x="5"/>
        <item m="1" x="71"/>
        <item m="1" x="22"/>
        <item m="1" x="140"/>
        <item m="1" x="87"/>
        <item m="1" x="174"/>
        <item m="1" x="66"/>
        <item m="1" x="15"/>
        <item m="1" x="60"/>
        <item m="1" x="10"/>
        <item m="1" x="25"/>
        <item m="1" x="92"/>
        <item m="1" x="40"/>
        <item m="1" x="36"/>
        <item m="1" x="124"/>
        <item m="1" x="16"/>
        <item m="1" x="136"/>
        <item m="1" x="146"/>
        <item m="1" x="6"/>
        <item m="1" x="128"/>
        <item m="1" x="73"/>
        <item m="1" x="137"/>
        <item m="1" x="152"/>
        <item m="1" x="62"/>
        <item m="1" x="12"/>
        <item m="1" x="133"/>
        <item m="1" x="79"/>
        <item m="1" x="31"/>
        <item m="1" x="74"/>
        <item m="1" x="142"/>
        <item m="1" x="23"/>
        <item m="1" x="141"/>
        <item m="1" x="88"/>
        <item m="1" x="13"/>
        <item m="1" x="134"/>
        <item m="1" x="80"/>
        <item m="1" x="32"/>
        <item m="1" x="26"/>
        <item m="1" x="147"/>
        <item m="1" x="93"/>
        <item m="1" x="41"/>
        <item m="1" x="102"/>
        <item m="1" x="83"/>
        <item m="1" x="33"/>
        <item m="1" x="153"/>
        <item m="1" x="97"/>
        <item m="1" x="45"/>
        <item m="1" x="163"/>
        <item m="1" x="103"/>
        <item m="1" x="49"/>
        <item m="1" x="168"/>
        <item m="1" x="53"/>
        <item m="1" x="175"/>
        <item m="1" x="125"/>
        <item m="1" x="172"/>
        <item m="1" x="170"/>
        <item m="1" x="117"/>
        <item m="1" x="57"/>
        <item m="1" x="67"/>
        <item m="1" x="17"/>
        <item m="1" x="138"/>
        <item m="1" x="84"/>
        <item m="1" x="34"/>
        <item m="1" x="130"/>
        <item m="1" x="105"/>
        <item m="1" x="51"/>
        <item m="1" x="118"/>
        <item m="1" x="58"/>
        <item m="1" x="75"/>
        <item m="1" x="143"/>
        <item m="1" x="68"/>
        <item m="1" x="18"/>
        <item m="1" x="85"/>
        <item m="1" x="35"/>
        <item m="1" x="154"/>
        <item m="1" x="98"/>
        <item m="1" x="46"/>
        <item m="1" x="164"/>
        <item m="1" x="109"/>
        <item m="1" x="42"/>
        <item m="1" x="159"/>
        <item m="1" x="104"/>
        <item m="1" x="50"/>
        <item m="1" x="169"/>
        <item m="1" x="115"/>
        <item m="1" x="156"/>
        <item m="1" x="144"/>
        <item m="1" x="90"/>
        <item m="1" x="37"/>
        <item m="1" x="157"/>
        <item m="1" x="99"/>
        <item m="1" x="151"/>
        <item m="1" x="113"/>
        <item m="1" x="69"/>
        <item m="1" x="19"/>
        <item m="1" x="139"/>
        <item m="1" x="86"/>
        <item m="1" x="131"/>
        <item m="1" x="27"/>
        <item m="1" x="148"/>
        <item m="1" x="7"/>
        <item m="1" x="129"/>
        <item m="1" x="76"/>
        <item m="1" x="145"/>
        <item m="1" x="70"/>
        <item m="1" x="20"/>
        <item m="1" x="121"/>
        <item m="1" x="63"/>
        <item m="1" x="77"/>
        <item m="1" x="24"/>
        <item m="1" x="116"/>
        <item m="1" x="56"/>
        <item m="1" x="122"/>
        <item m="1" x="64"/>
        <item m="1" x="135"/>
        <item m="1" x="81"/>
        <item m="1" x="28"/>
        <item m="1" x="149"/>
        <item m="1" x="94"/>
        <item m="1" x="155"/>
        <item m="1" x="123"/>
        <item m="1" x="65"/>
        <item m="1" x="14"/>
        <item m="1" x="91"/>
        <item m="1" x="38"/>
        <item m="1" x="158"/>
        <item m="1" x="100"/>
        <item m="1" x="47"/>
        <item m="1" x="167"/>
        <item m="1" x="114"/>
        <item m="1" x="54"/>
        <item m="1" x="165"/>
        <item m="1" x="110"/>
        <item m="1" x="52"/>
        <item m="1" x="173"/>
        <item m="1" x="120"/>
        <item m="1" x="61"/>
        <item m="1" x="11"/>
        <item m="1" x="132"/>
        <item m="1" x="78"/>
        <item m="1" x="29"/>
        <item m="1" x="126"/>
        <item m="1" x="72"/>
        <item m="1" x="127"/>
        <item m="1" x="101"/>
        <item m="1" x="89"/>
        <item m="1" x="21"/>
        <item m="1" x="166"/>
        <item m="1" x="150"/>
        <item m="1" x="119"/>
        <item m="1" x="95"/>
        <item m="1" x="106"/>
        <item m="1" x="59"/>
        <item m="1" x="43"/>
        <item m="1" x="8"/>
        <item m="1" x="30"/>
        <item m="1" x="160"/>
        <item m="1" x="171"/>
        <item m="1" x="39"/>
        <item m="1" x="111"/>
        <item x="0"/>
        <item x="1"/>
        <item x="2"/>
        <item x="3"/>
        <item t="default"/>
      </items>
    </pivotField>
    <pivotField showAll="0"/>
    <pivotField showAll="0"/>
    <pivotField showAll="0"/>
    <pivotField showAll="0"/>
    <pivotField showAll="0"/>
    <pivotField showAll="0"/>
    <pivotField axis="axisRow" showAll="0" sortType="descending">
      <items count="90">
        <item h="1" x="15"/>
        <item h="1" m="1" x="20"/>
        <item h="1" m="1" x="76"/>
        <item h="1" m="1" x="28"/>
        <item h="1" m="1" x="64"/>
        <item h="1" x="6"/>
        <item x="5"/>
        <item h="1" m="1" x="74"/>
        <item h="1" m="1" x="71"/>
        <item h="1" m="1" x="18"/>
        <item h="1" m="1" x="83"/>
        <item h="1" m="1" x="19"/>
        <item h="1" m="1" x="56"/>
        <item h="1" m="1" x="81"/>
        <item h="1" m="1" x="53"/>
        <item h="1" m="1" x="47"/>
        <item h="1" m="1" x="45"/>
        <item h="1" m="1" x="41"/>
        <item h="1" m="1" x="37"/>
        <item h="1" m="1" x="77"/>
        <item h="1" m="1" x="17"/>
        <item h="1" m="1" x="86"/>
        <item h="1" m="1" x="82"/>
        <item h="1" m="1" x="79"/>
        <item h="1" m="1" x="69"/>
        <item h="1" m="1" x="52"/>
        <item h="1" m="1" x="49"/>
        <item h="1" x="9"/>
        <item h="1" m="1" x="38"/>
        <item h="1" m="1" x="32"/>
        <item h="1" m="1" x="67"/>
        <item h="1" m="1" x="36"/>
        <item h="1" m="1" x="33"/>
        <item h="1" m="1" x="30"/>
        <item h="1" m="1" x="27"/>
        <item h="1" m="1" x="73"/>
        <item h="1" m="1" x="68"/>
        <item h="1" m="1" x="22"/>
        <item h="1" m="1" x="42"/>
        <item h="1" m="1" x="35"/>
        <item h="1" m="1" x="23"/>
        <item h="1" m="1" x="66"/>
        <item h="1" m="1" x="62"/>
        <item h="1" m="1" x="78"/>
        <item h="1" m="1" x="75"/>
        <item h="1" m="1" x="44"/>
        <item h="1" m="1" x="72"/>
        <item h="1" x="3"/>
        <item h="1" m="1" x="55"/>
        <item h="1" x="4"/>
        <item h="1" x="2"/>
        <item h="1" m="1" x="46"/>
        <item h="1" m="1" x="54"/>
        <item h="1" x="1"/>
        <item h="1" x="0"/>
        <item h="1" m="1" x="16"/>
        <item h="1" m="1" x="63"/>
        <item h="1" m="1" x="88"/>
        <item h="1" m="1" x="87"/>
        <item h="1" m="1" x="40"/>
        <item h="1" m="1" x="51"/>
        <item h="1" m="1" x="59"/>
        <item h="1" m="1" x="70"/>
        <item h="1" m="1" x="85"/>
        <item h="1" m="1" x="84"/>
        <item h="1" m="1" x="80"/>
        <item h="1" m="1" x="50"/>
        <item h="1" x="14"/>
        <item h="1" m="1" x="58"/>
        <item h="1" x="8"/>
        <item x="7"/>
        <item h="1" m="1" x="25"/>
        <item h="1" x="12"/>
        <item h="1" x="11"/>
        <item h="1" m="1" x="29"/>
        <item h="1" m="1" x="60"/>
        <item h="1" m="1" x="57"/>
        <item h="1" m="1" x="21"/>
        <item h="1" m="1" x="39"/>
        <item h="1" m="1" x="65"/>
        <item h="1" m="1" x="61"/>
        <item h="1" x="10"/>
        <item h="1" m="1" x="48"/>
        <item h="1" m="1" x="34"/>
        <item h="1" m="1" x="26"/>
        <item h="1" m="1" x="43"/>
        <item h="1" x="13"/>
        <item h="1" m="1" x="31"/>
        <item h="1" m="1" x="24"/>
        <item t="default"/>
      </items>
    </pivotField>
    <pivotField dataField="1" showAll="0"/>
    <pivotField dataField="1" showAll="0"/>
    <pivotField numFmtId="39" showAll="0"/>
  </pivotFields>
  <rowFields count="1">
    <field x="8"/>
  </rowFields>
  <rowItems count="3">
    <i>
      <x v="6"/>
    </i>
    <i>
      <x v="70"/>
    </i>
    <i t="grand">
      <x/>
    </i>
  </rowItems>
  <colFields count="1">
    <field x="-2"/>
  </colFields>
  <colItems count="2">
    <i>
      <x/>
    </i>
    <i i="1">
      <x v="1"/>
    </i>
  </colItems>
  <pageFields count="1">
    <pageField fld="1" item="175" hier="-1"/>
  </pageFields>
  <dataFields count="2">
    <dataField name="Sum of Debit" fld="9" baseField="0" baseItem="0"/>
    <dataField name="Sum of Credit" fld="10"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6" name="Table6" displayName="Table6" ref="A9:H332" totalsRowCount="1" headerRowDxfId="290" dataDxfId="288" totalsRowDxfId="286" headerRowBorderDxfId="289" tableBorderDxfId="287" totalsRowBorderDxfId="285" headerRowCellStyle="Normal 2">
  <autoFilter ref="A9:H331">
    <filterColumn colId="7">
      <filters>
        <filter val="1,024,610.13"/>
        <filter val="1,306,042.57"/>
        <filter val="1,347.00"/>
        <filter val="1,529.87"/>
        <filter val="1,562,450.27"/>
        <filter val="10,000.00"/>
        <filter val="10,325.00"/>
        <filter val="10,385.82"/>
        <filter val="110,000.00"/>
        <filter val="114,848.86"/>
        <filter val="12,000.00"/>
        <filter val="12,043.21"/>
        <filter val="12,688.52"/>
        <filter val="126,153.50"/>
        <filter val="13,663,322.63"/>
        <filter val="130,561.81"/>
        <filter val="15,200.00"/>
        <filter val="16,300.00"/>
        <filter val="166,426.00"/>
        <filter val="18,532.50"/>
        <filter val="18,838.06"/>
        <filter val="2,234,493.57"/>
        <filter val="2,587.50"/>
        <filter val="2,676,406.96"/>
        <filter val="2,990,416.03"/>
        <filter val="24,829,548.32"/>
        <filter val="3,776,947.14"/>
        <filter val="306,031.28"/>
        <filter val="322,727.25"/>
        <filter val="331,823.00"/>
        <filter val="34,108.31"/>
        <filter val="4,370,388.76"/>
        <filter val="4,748.57"/>
        <filter val="404,505.40"/>
        <filter val="43,358.71"/>
        <filter val="449,579.93"/>
        <filter val="467,579.42"/>
        <filter val="48,380,070.08"/>
        <filter val="5,000.00"/>
        <filter val="50,500.00"/>
        <filter val="500.00"/>
        <filter val="55,000.00"/>
        <filter val="56,000.00"/>
        <filter val="587,358.60"/>
        <filter val="59,347.94"/>
        <filter val="6,000.00"/>
        <filter val="6,581,304.03"/>
        <filter val="600.00"/>
        <filter val="665,847.99"/>
        <filter val="695,522.00"/>
        <filter val="697,216.43"/>
        <filter val="7,649.33"/>
        <filter val="72,000.00"/>
        <filter val="720,000.00"/>
        <filter val="83,358,748.21"/>
        <filter val="86,355,798.57"/>
        <filter val="870.06"/>
        <filter val="9,539.54"/>
      </filters>
    </filterColumn>
  </autoFilter>
  <tableColumns count="8">
    <tableColumn id="1" name="ACCOUNT TITLE" totalsRowLabel="Total" dataDxfId="284" totalsRowDxfId="283" dataCellStyle="Normal 2">
      <calculatedColumnFormula array="1">INDEX(AccountCodes[ACCOUNT NAME],MATCH(B10,AccountCodes[NGAS CODE],0))</calculatedColumnFormula>
    </tableColumn>
    <tableColumn id="2" name="ACCOUNT CODE (NGAS)" dataDxfId="282" totalsRowDxfId="281"/>
    <tableColumn id="3" name="ACCOUNT_x000a_CODE_x000a_(PPSAS)" dataDxfId="280" totalsRowDxfId="279" dataCellStyle="Comma">
      <calculatedColumnFormula array="1">INDEX(AccountCodes[PPSAS CODE],MATCH(B10,AccountCodes[NGAS CODE],0))</calculatedColumnFormula>
    </tableColumn>
    <tableColumn id="4" name="DEBIT" totalsRowFunction="sum" dataDxfId="278" totalsRowDxfId="277" dataCellStyle="Comma">
      <calculatedColumnFormula>IF(INDEX(AccountCodes[Normal Balance], MATCH(C10,AccountCodes[PPSAS CODE]))="Debit",E10-F10,0)</calculatedColumnFormula>
    </tableColumn>
    <tableColumn id="5" name="DEBIT_x000a_TOTAL" totalsRowFunction="sum" dataDxfId="276" totalsRowDxfId="275" dataCellStyle="Comma">
      <calculatedColumnFormula>SUMIF(PostTB[Account Code (Old)],B10,(PostTB[Debit]))+SUMIF(CkDJ[Account Code],B10,(CkDJ[Debit]))+SUMIF(CsDJ[Account Code],B10,(CsDJ[Debit]))+SUMIF(CRDJ[Account Code],B10,(CRDJ[Debit]))+SUMIF(GJ[Account Code],B10,(GJ[Debit]))</calculatedColumnFormula>
    </tableColumn>
    <tableColumn id="6" name="CREDIT_x000a_TOTAL" totalsRowFunction="sum" dataDxfId="274" totalsRowDxfId="273" dataCellStyle="Comma 2">
      <calculatedColumnFormula>SUMIF(PostTB[Account Code (Old)],B10,(PostTB[Credit]))+SUMIF(CkDJ[Account Code],B10,(CkDJ[Credit]))+SUMIF(CsDJ[Account Code],B10,(CsDJ[Credit]))+SUMIF(CRDJ[Account Code],B10,(CRDJ[Credit]))+SUMIF(GJ[Account Code],B10,(GJ[Credit]))</calculatedColumnFormula>
    </tableColumn>
    <tableColumn id="7" name="CREDIT" totalsRowFunction="sum" dataDxfId="272" totalsRowDxfId="271" dataCellStyle="Comma 2">
      <calculatedColumnFormula>IF(INDEX(AccountCodes[Normal Balance], MATCH(C10,AccountCodes[PPSAS CODE]))="Credit",F10-E10,0)</calculatedColumnFormula>
    </tableColumn>
    <tableColumn id="8" name="DEBIT/CREDIT" totalsRowFunction="sum" dataDxfId="270" totalsRowDxfId="269" dataCellStyle="Comma">
      <calculatedColumnFormula>IF(D10=0,G10,D10)</calculatedColumnFormula>
    </tableColumn>
  </tableColumns>
  <tableStyleInfo name="TableStyleLight17" showFirstColumn="0" showLastColumn="0" showRowStripes="1" showColumnStripes="0"/>
</table>
</file>

<file path=xl/tables/table2.xml><?xml version="1.0" encoding="utf-8"?>
<table xmlns="http://schemas.openxmlformats.org/spreadsheetml/2006/main" id="5" name="TB" displayName="TB" ref="A9:H335" totalsRowCount="1" headerRowDxfId="268" dataDxfId="266" headerRowBorderDxfId="267" tableBorderDxfId="265" totalsRowBorderDxfId="264" headerRowCellStyle="Normal 2">
  <autoFilter ref="A9:H334">
    <filterColumn colId="7">
      <filters>
        <filter val="(3,547.31)"/>
        <filter val="1,005.22"/>
        <filter val="1,500.00"/>
        <filter val="1,797,900.61"/>
        <filter val="1,862,166.19"/>
        <filter val="10,046.75"/>
        <filter val="12,424.43"/>
        <filter val="143,727.27"/>
        <filter val="17,855.73"/>
        <filter val="18,258.12"/>
        <filter val="197,180.69"/>
        <filter val="2,429.06"/>
        <filter val="2,901.21"/>
        <filter val="2,944.89"/>
        <filter val="2,970.00"/>
        <filter val="21,767.94"/>
        <filter val="23,383,827.39"/>
        <filter val="25,417.85"/>
        <filter val="28,911,641.78"/>
        <filter val="3,129,616.83"/>
        <filter val="3,590,888.00"/>
        <filter val="3,724,524.80"/>
        <filter val="310,782.00"/>
        <filter val="34,364,382.17"/>
        <filter val="34,900.00"/>
        <filter val="406,336.00"/>
        <filter val="49,388.00"/>
        <filter val="5,932.95"/>
        <filter val="543.75"/>
        <filter val="56,172,039.56"/>
        <filter val="56,970.52"/>
        <filter val="6,000.00"/>
        <filter val="6,300.00"/>
        <filter val="6,927.04"/>
        <filter val="600.00"/>
        <filter val="63,384.10"/>
        <filter val="72,715.21"/>
        <filter val="747.00"/>
        <filter val="8,615.00"/>
        <filter val="81,796.44"/>
        <filter val="82,543.00"/>
        <filter val="83,471,602.90"/>
        <filter val="90,235.59"/>
        <filter val="98,271.00"/>
      </filters>
    </filterColumn>
  </autoFilter>
  <tableColumns count="8">
    <tableColumn id="1" name="ACCOUNT TITLE" totalsRowLabel="Total" dataDxfId="263" totalsRowDxfId="262" dataCellStyle="Normal 2">
      <calculatedColumnFormula array="1">INDEX(AccountCodes[ACCOUNT NAME],MATCH(B10,AccountCodes[NGAS CODE],0))</calculatedColumnFormula>
    </tableColumn>
    <tableColumn id="2" name="ACCOUNT CODE (NGAS)" dataDxfId="261" totalsRowDxfId="260"/>
    <tableColumn id="3" name="ACCOUNT_x000a_CODE_x000a_(PPSAS)" dataDxfId="259" totalsRowDxfId="258" dataCellStyle="Comma">
      <calculatedColumnFormula array="1">INDEX(AccountCodes[PPSAS CODE],MATCH(B10,AccountCodes[NGAS CODE],0))</calculatedColumnFormula>
    </tableColumn>
    <tableColumn id="4" name="DEBIT" totalsRowFunction="sum" dataDxfId="257" totalsRowDxfId="256" dataCellStyle="Comma">
      <calculatedColumnFormula>IF(INDEX(AccountCodes[Normal Balance], MATCH(C10,AccountCodes[PPSAS CODE]))="Debit",E10-F10,0)</calculatedColumnFormula>
    </tableColumn>
    <tableColumn id="5" name="DEBIT_x000a_TOTAL" totalsRowFunction="sum" dataDxfId="255" totalsRowDxfId="254" dataCellStyle="Comma">
      <calculatedColumnFormula array="1">(SUM(IF((PostTB[Account Code (Old)]=B10),(PostTB[Debit])))+(SUM(IF((CkDJ[Account Code]=B10)*(CkDJ[Date]&lt;=$A$7),(CkDJ[Debit])))+(SUM(IF((CsDJ[Account Code]=B10)*(CsDJ[Date]&lt;=$A$7),(CsDJ[Debit])))+(SUM(IF((CRDJ[Account Code]=B10)*(CRDJ[Date]&lt;=$A$7),(CRDJ[Debit])))+(SUM(IF((GJ[Account Code]=B10)*(GJ[Date]&lt;=$A$7),(GJ[Debit]))))))))</calculatedColumnFormula>
    </tableColumn>
    <tableColumn id="6" name="CREDIT_x000a_TOTAL" totalsRowFunction="sum" dataDxfId="253" totalsRowDxfId="252" dataCellStyle="Comma 2">
      <calculatedColumnFormula array="1">(SUM(IF((PostTB[Account Code (Old)]=B10),(PostTB[Credit])))+(SUM(IF((CkDJ[Account Code]=B10)*(CkDJ[Date]&lt;=$A$7),(CkDJ[Credit])))+(SUM(IF((CsDJ[Account Code]=B10)*(CsDJ[Date]&lt;=$A$7),(CsDJ[Credit])))+(SUM(IF((CRDJ[Account Code]=B10)*(CRDJ[Date]&lt;=$A$7),(CRDJ[Credit])))+(SUM(IF((GJ[Account Code]=B10)*(GJ[Date]&lt;=$A$7),(GJ[Credit]))))))))</calculatedColumnFormula>
    </tableColumn>
    <tableColumn id="7" name="CREDIT" totalsRowFunction="sum" dataDxfId="251" totalsRowDxfId="250" dataCellStyle="Comma 2">
      <calculatedColumnFormula>IF(INDEX(AccountCodes[Normal Balance], MATCH(C10,AccountCodes[PPSAS CODE]))="Credit",F10-E10,0)</calculatedColumnFormula>
    </tableColumn>
    <tableColumn id="8" name="DEBIT/CREDIT" totalsRowFunction="sum" dataDxfId="249" totalsRowDxfId="248" dataCellStyle="Comma">
      <calculatedColumnFormula>IF(D10=0,G10,D10)</calculatedColumnFormula>
    </tableColumn>
  </tableColumns>
  <tableStyleInfo name="TableStyleMedium9" showFirstColumn="0" showLastColumn="0" showRowStripes="1" showColumnStripes="0"/>
</table>
</file>

<file path=xl/tables/table3.xml><?xml version="1.0" encoding="utf-8"?>
<table xmlns="http://schemas.openxmlformats.org/spreadsheetml/2006/main" id="2" name="AccountCodes" displayName="AccountCodes" ref="A1:D335" totalsRowShown="0" headerRowDxfId="247" dataDxfId="245" headerRowBorderDxfId="246" tableBorderDxfId="244" totalsRowBorderDxfId="243">
  <autoFilter ref="A1:D335"/>
  <tableColumns count="4">
    <tableColumn id="1" name="NGAS CODE" dataDxfId="242"/>
    <tableColumn id="2" name="ACCOUNT NAME" dataDxfId="241"/>
    <tableColumn id="3" name="PPSAS CODE" dataDxfId="240"/>
    <tableColumn id="4" name="Normal Balance" dataDxfId="239"/>
  </tableColumns>
  <tableStyleInfo name="TableStyleMedium10" showFirstColumn="0" showLastColumn="0" showRowStripes="1" showColumnStripes="0"/>
</table>
</file>

<file path=xl/tables/table4.xml><?xml version="1.0" encoding="utf-8"?>
<table xmlns="http://schemas.openxmlformats.org/spreadsheetml/2006/main" id="4" name="CasheirCode" displayName="CasheirCode" ref="F5:H10" totalsRowShown="0" headerRowDxfId="238" dataDxfId="236" headerRowBorderDxfId="237" tableBorderDxfId="235" totalsRowBorderDxfId="234">
  <autoFilter ref="F5:H10"/>
  <tableColumns count="3">
    <tableColumn id="1" name="Name" dataDxfId="233"/>
    <tableColumn id="2" name="Office" dataDxfId="232"/>
    <tableColumn id="3" name="Sort Code" dataDxfId="231"/>
  </tableColumns>
  <tableStyleInfo name="TableStyleMedium9" showFirstColumn="0" showLastColumn="0" showRowStripes="1" showColumnStripes="0"/>
</table>
</file>

<file path=xl/tables/table5.xml><?xml version="1.0" encoding="utf-8"?>
<table xmlns="http://schemas.openxmlformats.org/spreadsheetml/2006/main" id="1" name="PostTB" displayName="PostTB" ref="A3:I74" totalsRowShown="0" headerRowDxfId="230" dataDxfId="228" totalsRowDxfId="226" headerRowBorderDxfId="229" tableBorderDxfId="227" totalsRowBorderDxfId="225" headerRowCellStyle="Normal 2">
  <autoFilter ref="A3:I74"/>
  <tableColumns count="9">
    <tableColumn id="1" name="Column1" dataDxfId="224" totalsRowDxfId="223" dataCellStyle="Normal 2">
      <calculatedColumnFormula>IF(E4=0,"",(INDEX(AccountCodes[ACCOUNT NAME],MATCH(E4,AccountCodes[NGAS CODE],0))))</calculatedColumnFormula>
    </tableColumn>
    <tableColumn id="9" name="Sort Code" dataDxfId="222" totalsRowDxfId="221" dataCellStyle="Normal 2"/>
    <tableColumn id="10" name="Ofc Code" dataDxfId="220" totalsRowDxfId="219" dataCellStyle="Normal 2"/>
    <tableColumn id="7" name="Sub Code" dataDxfId="218" totalsRowDxfId="217" dataCellStyle="Normal 2"/>
    <tableColumn id="2" name="Account Code (Old)" dataDxfId="216" totalsRowDxfId="215" dataCellStyle="Normal 2"/>
    <tableColumn id="3" name="Account Code (New)" dataDxfId="214" totalsRowDxfId="213" dataCellStyle="Comma">
      <calculatedColumnFormula>IF(E4=0,"",(INDEX(AccountCodes[PPSAS CODE],MATCH(E4,AccountCodes[NGAS CODE],0))))</calculatedColumnFormula>
    </tableColumn>
    <tableColumn id="4" name="Debit" dataDxfId="212" totalsRowDxfId="211" dataCellStyle="Comma 2"/>
    <tableColumn id="5" name="Credit" dataDxfId="210" totalsRowDxfId="209" dataCellStyle="Comma"/>
    <tableColumn id="6" name="Debit/Credit" dataDxfId="208" totalsRowDxfId="207" dataCellStyle="Comma 2">
      <calculatedColumnFormula>IF(G4=0,H4,G4)</calculatedColumnFormula>
    </tableColumn>
  </tableColumns>
  <tableStyleInfo name="TableStyleMedium7" showFirstColumn="0" showLastColumn="0" showRowStripes="1" showColumnStripes="0"/>
</table>
</file>

<file path=xl/tables/table6.xml><?xml version="1.0" encoding="utf-8"?>
<table xmlns="http://schemas.openxmlformats.org/spreadsheetml/2006/main" id="11" name="CRDJ" displayName="CRDJ" ref="A3:L15" totalsRowShown="0" headerRowDxfId="206" headerRowBorderDxfId="205" tableBorderDxfId="204" totalsRowBorderDxfId="203" headerRowCellStyle="Comma">
  <autoFilter ref="A3:L15"/>
  <tableColumns count="12">
    <tableColumn id="1" name="Date" dataDxfId="202"/>
    <tableColumn id="2" name="JEV Number" dataDxfId="201"/>
    <tableColumn id="3" name="Sort Code" dataDxfId="200"/>
    <tableColumn id="4" name="Ofc Code" dataDxfId="199"/>
    <tableColumn id="12" name="Sub Code" dataDxfId="198"/>
    <tableColumn id="11" name="CF Code" dataDxfId="197"/>
    <tableColumn id="5" name="Collecting Officer/Office" dataDxfId="196"/>
    <tableColumn id="6" name="Account Name" dataDxfId="195">
      <calculatedColumnFormula>IF(I4=0,"",(INDEX(AccountCodes[ACCOUNT NAME],MATCH(I4,AccountCodes[NGAS CODE],0))))</calculatedColumnFormula>
    </tableColumn>
    <tableColumn id="7" name="Account Code" dataDxfId="194"/>
    <tableColumn id="8" name="Debit" dataDxfId="193" dataCellStyle="Comma"/>
    <tableColumn id="9" name="Credit" dataDxfId="192" dataCellStyle="Comma"/>
    <tableColumn id="10" name="Running Balance" dataDxfId="191"/>
  </tableColumns>
  <tableStyleInfo name="TableStyleMedium9" showFirstColumn="0" showLastColumn="0" showRowStripes="1" showColumnStripes="0"/>
</table>
</file>

<file path=xl/tables/table7.xml><?xml version="1.0" encoding="utf-8"?>
<table xmlns="http://schemas.openxmlformats.org/spreadsheetml/2006/main" id="3" name="Table3" displayName="Table3" ref="A12:S16" headerRowDxfId="185" tableBorderDxfId="184">
  <autoFilter ref="A12:S16"/>
  <tableColumns count="19">
    <tableColumn id="1" name="Date" totalsRowLabel="Total" dataDxfId="183" totalsRowDxfId="182">
      <calculatedColumnFormula array="1">IF(OR(C13=C12,C13=0),"",INDEX(CRDJ[Date],MATCH(C13,CRDJ[JEV Number],0)))</calculatedColumnFormula>
    </tableColumn>
    <tableColumn id="3" name="JEV No." dataDxfId="181" totalsRowDxfId="180"/>
    <tableColumn id="2" name="JEV" dataDxfId="179" totalsRowDxfId="178" dataCellStyle="Comma">
      <calculatedColumnFormula>IF(B13=0,C12,B13)</calculatedColumnFormula>
    </tableColumn>
    <tableColumn id="4" name="Name of CO" dataDxfId="177" totalsRowDxfId="176">
      <calculatedColumnFormula array="1">IF(OR(C13=C12,C13=0),"",INDEX(CasheirCode[Name],MATCH((INDEX(CRDJ[Sort Code],MATCH(C13,CRDJ[JEV Number],0))),CasheirCode[Sort Code])))</calculatedColumnFormula>
    </tableColumn>
    <tableColumn id="5" name="102D" totalsRowFunction="sum" dataDxfId="175" totalsRowDxfId="174" dataCellStyle="Comma">
      <calculatedColumnFormula array="1">IF(OR($C13=$C12,$C13=0),0,(SUM(IF((CRDJ[JEV Number]=$C13)*(CRDJ[Account Code]=(E$10)),CRDJ[Debit]))))</calculatedColumnFormula>
    </tableColumn>
    <tableColumn id="6" name="454-1" totalsRowFunction="sum" dataDxfId="173" totalsRowDxfId="172" dataCellStyle="Comma">
      <calculatedColumnFormula array="1">IF(OR($C13=$C12,$C13=0),0,(SUM(IF((CRDJ[JEV Number]=$C13)*(CRDJ[Account Code]=(F$10)),CRDJ[Debit]))))</calculatedColumnFormula>
    </tableColumn>
    <tableColumn id="7" name="966" totalsRowFunction="sum" dataDxfId="171" totalsRowDxfId="170" dataCellStyle="Comma">
      <calculatedColumnFormula array="1">IF(OR($C13=$C12,$C13=0),0,(SUM(IF((CRDJ[JEV Number]=$C13)*(CRDJ[Account Code]=(G$10)),CRDJ[Debit]))))</calculatedColumnFormula>
    </tableColumn>
    <tableColumn id="8" name="121-1" totalsRowFunction="sum" dataDxfId="169" totalsRowDxfId="168" dataCellStyle="Comma">
      <calculatedColumnFormula array="1">IF(OR($C13=$C12,$C13=0),0,(SUM(IF((CRDJ[JEV Number]=$C13)*(CRDJ[Account Code]=(H$10)),CRDJ[Credit]))))</calculatedColumnFormula>
    </tableColumn>
    <tableColumn id="9" name="625-1" totalsRowFunction="sum" dataDxfId="167" totalsRowDxfId="166" dataCellStyle="Comma">
      <calculatedColumnFormula array="1">IF(OR($C13=$C12,$C13=0),0,(SUM(IF((CRDJ[JEV Number]=$C13)*(CRDJ[Account Code]=(I$10)),CRDJ[Credit]))))</calculatedColumnFormula>
    </tableColumn>
    <tableColumn id="10" name="625-2" totalsRowFunction="sum" dataDxfId="165" totalsRowDxfId="164" dataCellStyle="Comma">
      <calculatedColumnFormula array="1">IF(OR($C13=$C12,$C13=0),0,(SUM(IF((CRDJ[JEV Number]=$C13)*(CRDJ[Account Code]=(J$10)),CRDJ[Credit]))))</calculatedColumnFormula>
    </tableColumn>
    <tableColumn id="11" name="625-2A" totalsRowFunction="sum" dataDxfId="163" totalsRowDxfId="162" dataCellStyle="Comma">
      <calculatedColumnFormula array="1">IF(OR($C13=$C12,$C13=0),0,(SUM(IF((CRDJ[JEV Number]=$C13)*(CRDJ[Account Code]=(K$10)),CRDJ[Credit]))))</calculatedColumnFormula>
    </tableColumn>
    <tableColumn id="12" name="Column1" totalsRowFunction="sum" dataDxfId="161" totalsRowDxfId="160" dataCellStyle="Comma">
      <calculatedColumnFormula array="1">IF(OR($C13=$C12,$C13=0),0,(SUM(IF((CRDJ[JEV Number]=$C13)*(CRDJ[Account Code]=(L$10)),CRDJ[Credit]))))</calculatedColumnFormula>
    </tableColumn>
    <tableColumn id="16" name="Column2" totalsRowFunction="sum" dataDxfId="159" totalsRowDxfId="158" dataCellStyle="Comma">
      <calculatedColumnFormula array="1">IF(OR($C13=$C12,$C13=0),0,(SUM(IF((CRDJ[JEV Number]=$C13)*(CRDJ[Account Code]=(M$10)),CRDJ[Credit]))))</calculatedColumnFormula>
    </tableColumn>
    <tableColumn id="17" name="Sundry" dataDxfId="157" totalsRowDxfId="156" dataCellStyle="Comma"/>
    <tableColumn id="18" name="Amount" totalsRowFunction="sum" dataDxfId="155" totalsRowDxfId="154" dataCellStyle="Comma">
      <calculatedColumnFormula array="1">IF($C13=0,0,(SUM(IF((CRDJ[JEV Number]=$C13)*(CRDJ[Account Code]=(N13)),CRDJ[Credit]))))</calculatedColumnFormula>
    </tableColumn>
    <tableColumn id="19" name="111" totalsRowFunction="sum" dataDxfId="153" totalsRowDxfId="152" dataCellStyle="Comma">
      <calculatedColumnFormula array="1">IF(OR($C13=$C12,$C13=0),0,(SUM(IF((CRDJ[JEV Number]=$C13)*(CRDJ[Account Code]=(P$10)),CRDJ[Debit]))))</calculatedColumnFormula>
    </tableColumn>
    <tableColumn id="20" name="653" totalsRowFunction="sum" dataDxfId="151" totalsRowDxfId="150" dataCellStyle="Comma">
      <calculatedColumnFormula array="1">IF(OR($C13=$C12,$C13=0),0,(SUM(IF((CRDJ[JEV Number]=$C13)*(CRDJ[Account Code]=(Q$10)),CRDJ[Debit]))))</calculatedColumnFormula>
    </tableColumn>
    <tableColumn id="21" name="102C" totalsRowFunction="sum" dataDxfId="149" totalsRowDxfId="148" dataCellStyle="Comma">
      <calculatedColumnFormula array="1">IF(OR($C13=$C12,$C13=0),0,(SUM(IF((CRDJ[JEV Number]=$C13)*(CRDJ[Account Code]=(R$10)),CRDJ[Credit]))))</calculatedColumnFormula>
    </tableColumn>
    <tableColumn id="13" name="Running Balance" dataDxfId="147" totalsRowDxfId="146">
      <calculatedColumnFormula>S12+(SUM(E13:G13)+SUM(P13:Q13))-(SUM(H13:M13)+O13+R13)</calculatedColumnFormula>
    </tableColumn>
  </tableColumns>
  <tableStyleInfo name="TableStyleMedium9" showFirstColumn="0" showLastColumn="0" showRowStripes="1" showColumnStripes="0"/>
</table>
</file>

<file path=xl/tables/table8.xml><?xml version="1.0" encoding="utf-8"?>
<table xmlns="http://schemas.openxmlformats.org/spreadsheetml/2006/main" id="8" name="CkDJ" displayName="CkDJ" ref="A2:P632" totalsRowCount="1" headerRowDxfId="145" dataDxfId="143" headerRowBorderDxfId="144" tableBorderDxfId="142" totalsRowBorderDxfId="141" headerRowCellStyle="Comma" dataCellStyle="Comma">
  <autoFilter ref="A2:P631">
    <filterColumn colId="0">
      <filters>
        <dateGroupItem year="2023" month="6" dateTimeGrouping="month"/>
      </filters>
    </filterColumn>
    <filterColumn colId="11">
      <filters>
        <filter val="439"/>
      </filters>
    </filterColumn>
  </autoFilter>
  <tableColumns count="16">
    <tableColumn id="1" name="Date" dataDxfId="140" totalsRowDxfId="139"/>
    <tableColumn id="13" name="Check Date" dataDxfId="138" totalsRowDxfId="137"/>
    <tableColumn id="14" name="Check Number" dataDxfId="136" totalsRowDxfId="135"/>
    <tableColumn id="2" name="JEV Number" dataDxfId="134" totalsRowDxfId="133"/>
    <tableColumn id="3" name="Sort Code" dataDxfId="132" totalsRowDxfId="131" dataCellStyle="Comma"/>
    <tableColumn id="4" name="Ofc Code" dataDxfId="130" totalsRowDxfId="129"/>
    <tableColumn id="15" name="Sub Code" dataDxfId="128" totalsRowDxfId="127"/>
    <tableColumn id="12" name="CF Code" dataDxfId="126" totalsRowDxfId="125"/>
    <tableColumn id="5" name="Payee" dataDxfId="124" totalsRowDxfId="123"/>
    <tableColumn id="16" name="Particulars" dataDxfId="122" totalsRowDxfId="121" dataCellStyle="Normal 2"/>
    <tableColumn id="6" name="Account Name" dataDxfId="120" totalsRowDxfId="119">
      <calculatedColumnFormula>IF(L3=0,"",(INDEX(AccountCodes[ACCOUNT NAME],MATCH(L3,AccountCodes[NGAS CODE],0))))</calculatedColumnFormula>
    </tableColumn>
    <tableColumn id="7" name="Account Code" dataDxfId="118" totalsRowDxfId="117"/>
    <tableColumn id="8" name="Debit" totalsRowFunction="sum" totalsRowDxfId="116" dataCellStyle="Comma"/>
    <tableColumn id="9" name="Credit" totalsRowFunction="sum" totalsRowDxfId="115" dataCellStyle="Comma"/>
    <tableColumn id="10" name="ASA #" dataDxfId="114" totalsRowDxfId="113" dataCellStyle="Comma"/>
    <tableColumn id="11" name="Running Balance" dataDxfId="112" totalsRowDxfId="111">
      <calculatedColumnFormula>P2+M3-N3</calculatedColumnFormula>
    </tableColumn>
  </tableColumns>
  <tableStyleInfo name="TableStyleMedium9" showFirstColumn="0" showLastColumn="0" showRowStripes="1" showColumnStripes="0"/>
</table>
</file>

<file path=xl/tables/table9.xml><?xml version="1.0" encoding="utf-8"?>
<table xmlns="http://schemas.openxmlformats.org/spreadsheetml/2006/main" id="7" name="Table7" displayName="Table7" ref="A11:R231" totalsRowShown="0" headerRowDxfId="97" dataDxfId="95" headerRowBorderDxfId="96" tableBorderDxfId="94" totalsRowBorderDxfId="93" headerRowCellStyle="Comma">
  <autoFilter ref="A11:R231"/>
  <tableColumns count="18">
    <tableColumn id="1" name="Date" dataDxfId="92">
      <calculatedColumnFormula array="1">IF(OR(C12=C11,C12=0),"",INDEX(CkDJ[Date],MATCH(C12,CkDJ[JEV Number],0)))</calculatedColumnFormula>
    </tableColumn>
    <tableColumn id="2" name="JEV_x000a_No." dataDxfId="91"/>
    <tableColumn id="3" name="JEV_x000a_" dataDxfId="90">
      <calculatedColumnFormula>IF(B12=0,C11,B12)</calculatedColumnFormula>
    </tableColumn>
    <tableColumn id="4" name="RCI/DV_x000a_No." dataDxfId="89"/>
    <tableColumn id="5" name="From" dataDxfId="88"/>
    <tableColumn id="6" name="TO" dataDxfId="87"/>
    <tableColumn id="7" name="Name of Disbursing Officer" dataDxfId="86">
      <calculatedColumnFormula array="1">IF(OR(C12=C11,C12=0),"",INDEX(CasheirCode[Name],MATCH((INDEX(CkDJ[Sort Code],MATCH(C12,CkDJ[JEV Number],0))),CasheirCode[Sort Code])))</calculatedColumnFormula>
    </tableColumn>
    <tableColumn id="8" name="111" dataDxfId="85">
      <calculatedColumnFormula array="1">IF(OR($C12=$C11,$C12=0),0,(SUM(IF((CkDJ[JEV Number]=$C12)*(CkDJ[Account Code]=(H$9)),CkDJ[Credit]))))</calculatedColumnFormula>
    </tableColumn>
    <tableColumn id="9" name="412" dataDxfId="84">
      <calculatedColumnFormula array="1">IF(OR($C12=$C11,$C12=0),0,(SUM(IF((CkDJ[JEV Number]=$C12)*(CkDJ[Account Code]=(I$9)),CkDJ[Credit]))))</calculatedColumnFormula>
    </tableColumn>
    <tableColumn id="10" name="Sundry" dataDxfId="83"/>
    <tableColumn id="11" name="Amount" dataDxfId="82">
      <calculatedColumnFormula array="1">IF($C12=0,0,(SUM(IF((CkDJ[JEV Number]=$C12)*(CkDJ[Account Code]=(J12)),CkDJ[Credit]))))</calculatedColumnFormula>
    </tableColumn>
    <tableColumn id="12" name="106" dataDxfId="81">
      <calculatedColumnFormula array="1">IF(OR($C12=$C11,$C12=0),0,(SUM(IF((CkDJ[JEV Number]=$C12)*(CkDJ[Account Code]=(L$9)),CkDJ[Debit]))))</calculatedColumnFormula>
    </tableColumn>
    <tableColumn id="13" name="711" dataDxfId="80">
      <calculatedColumnFormula array="1">IF(OR($C12=$C11,$C12=0),0,(SUM(IF((CkDJ[JEV Number]=$C12)*(CkDJ[Account Code]=(M$9)),CkDJ[Debit]))))</calculatedColumnFormula>
    </tableColumn>
    <tableColumn id="14" name="751" dataDxfId="79">
      <calculatedColumnFormula array="1">IF(OR($C12=$C11,$C12=0),0,(SUM(IF((CkDJ[JEV Number]=$C12)*(CkDJ[Account Code]=(N$9)),CkDJ[Debit]))))</calculatedColumnFormula>
    </tableColumn>
    <tableColumn id="15" name="884-3" dataDxfId="78">
      <calculatedColumnFormula array="1">IF(OR($C12=$C11,$C12=0),0,(SUM(IF((CkDJ[JEV Number]=$C12)*(CkDJ[Account Code]=(O$9)),CkDJ[Debit]))))</calculatedColumnFormula>
    </tableColumn>
    <tableColumn id="16" name="Sundry2" dataDxfId="77"/>
    <tableColumn id="17" name="Amount2" dataDxfId="76">
      <calculatedColumnFormula array="1">IF($C12=0,0,(SUM(IF((CkDJ[JEV Number]=$C12)*(CkDJ[Account Code]=(P12)),CkDJ[Debit]))))</calculatedColumnFormula>
    </tableColumn>
    <tableColumn id="18" name="Running Balance" dataDxfId="75">
      <calculatedColumnFormula>R11+(SUM(L12:O12)+Q12)-(SUM(H12:I12)+K12)</calculatedColumnFormula>
    </tableColumn>
  </tableColumns>
  <tableStyleInfo name="TableStyleMedium9" showFirstColumn="0" showLastColumn="0" showRowStripes="1" showColumnStripes="0"/>
</table>
</file>

<file path=xl/tables/table10.xml><?xml version="1.0" encoding="utf-8"?>
<table xmlns="http://schemas.openxmlformats.org/spreadsheetml/2006/main" id="10" name="CsDJ" displayName="CsDJ" ref="A2:P110" totalsRowShown="0" headerRowDxfId="74" dataDxfId="72" headerRowBorderDxfId="73" tableBorderDxfId="71" headerRowCellStyle="Comma" dataCellStyle="Comma">
  <autoFilter ref="A2:P110"/>
  <tableColumns count="16">
    <tableColumn id="1" name="Date" dataDxfId="70"/>
    <tableColumn id="13" name="DV Date" dataDxfId="69"/>
    <tableColumn id="14" name="DV Number" dataDxfId="68"/>
    <tableColumn id="2" name="JEV Number" dataDxfId="67"/>
    <tableColumn id="3" name="Sort Code" dataDxfId="66"/>
    <tableColumn id="4" name="Ofc Code" dataDxfId="65"/>
    <tableColumn id="15" name="Sub Code" dataDxfId="64"/>
    <tableColumn id="12" name="CF Code" dataDxfId="63"/>
    <tableColumn id="5" name="Payee" dataDxfId="62"/>
    <tableColumn id="16" name="Particulars" dataDxfId="61" dataCellStyle="Normal 2"/>
    <tableColumn id="6" name="Account Name" dataDxfId="60">
      <calculatedColumnFormula>IF(L3=0,"",(INDEX(AccountCodes[ACCOUNT NAME],MATCH(L3,AccountCodes[NGAS CODE],0))))</calculatedColumnFormula>
    </tableColumn>
    <tableColumn id="7" name="Account Code" dataDxfId="59"/>
    <tableColumn id="8" name="Debit" dataDxfId="58" dataCellStyle="Comma"/>
    <tableColumn id="9" name="Credit" dataDxfId="57" dataCellStyle="Comma"/>
    <tableColumn id="10" name="ASA #" dataDxfId="56" dataCellStyle="Comma"/>
    <tableColumn id="11" name="Running Balance" dataDxfId="55">
      <calculatedColumnFormula>P2+M3-N3</calculatedColumnFormula>
    </tableColumn>
  </tableColumns>
  <tableStyleInfo name="TableStyleMedium9" showFirstColumn="0" showLastColumn="0" showRowStripes="1" showColumnStripes="0"/>
</table>
</file>

<file path=xl/tables/table11.xml><?xml version="1.0" encoding="utf-8"?>
<table xmlns="http://schemas.openxmlformats.org/spreadsheetml/2006/main" id="9" name="Table710" displayName="Table710" ref="A13:S55" totalsRowShown="0" headerRowDxfId="49" dataDxfId="47" headerRowBorderDxfId="48" tableBorderDxfId="46" totalsRowBorderDxfId="45" headerRowCellStyle="Comma">
  <autoFilter ref="A13:S55"/>
  <tableColumns count="19">
    <tableColumn id="1" name="Date" dataDxfId="44">
      <calculatedColumnFormula array="1">IF(OR(C14=C13,C14=0),"",INDEX(CsDJ[Date],MATCH(C14,CsDJ[JEV Number],0)))</calculatedColumnFormula>
    </tableColumn>
    <tableColumn id="2" name="JEV_x000a_No." dataDxfId="43"/>
    <tableColumn id="3" name="JEV_x000a_" dataDxfId="42">
      <calculatedColumnFormula>IF(B14=0,C13,B14)</calculatedColumnFormula>
    </tableColumn>
    <tableColumn id="4" name="RCI/DV_x000a_No." dataDxfId="41"/>
    <tableColumn id="5" name="From" dataDxfId="40"/>
    <tableColumn id="6" name="TO" dataDxfId="39"/>
    <tableColumn id="7" name="Name of Disbursing Officer" dataDxfId="38">
      <calculatedColumnFormula array="1">IF(OR(C14=C13,C14=0),"",INDEX(CasheirCode[Name],MATCH((INDEX(CsDJ[Sort Code],MATCH(C14,CsDJ[JEV Number],0))),CasheirCode[Sort Code])))</calculatedColumnFormula>
    </tableColumn>
    <tableColumn id="8" name="103" dataDxfId="37">
      <calculatedColumnFormula array="1">IF(OR($C14=$C13,$C14=0),0,(SUM(IF((CsDJ[JEV Number]=$C14)*(CsDJ[Account Code]=(H$11)),CsDJ[Credit]))))</calculatedColumnFormula>
    </tableColumn>
    <tableColumn id="9" name="106" dataDxfId="36">
      <calculatedColumnFormula array="1">IF(OR($C14=$C13,$C14=0),0,(SUM(IF((CsDJ[JEV Number]=$C14)*(CsDJ[Account Code]=(I$11)),CsDJ[Credit]))))</calculatedColumnFormula>
    </tableColumn>
    <tableColumn id="19" name="412" dataDxfId="35">
      <calculatedColumnFormula array="1">IF(OR($C14=$C13,$C14=0),0,(SUM(IF((CsDJ[JEV Number]=$C14)*(CsDJ[Account Code]=(J$11)),CsDJ[Credit]))))</calculatedColumnFormula>
    </tableColumn>
    <tableColumn id="10" name="Sundry" dataDxfId="34"/>
    <tableColumn id="11" name="Amount" dataDxfId="33">
      <calculatedColumnFormula array="1">IF($C14=0,0,(SUM(IF((CsDJ[JEV Number]=$C14)*(CsDJ[Account Code]=(K14)),CsDJ[Credit]))))</calculatedColumnFormula>
    </tableColumn>
    <tableColumn id="12" name="403" dataDxfId="32">
      <calculatedColumnFormula array="1">IF(OR($C14=$C13,$C14=0),0,(SUM(IF((CsDJ[JEV Number]=$C14)*(CsDJ[Account Code]=(M$11)),CsDJ[Debit]))))</calculatedColumnFormula>
    </tableColumn>
    <tableColumn id="13" name="701" dataDxfId="31">
      <calculatedColumnFormula array="1">IF(OR($C14=$C13,$C14=0),0,(SUM(IF((CsDJ[JEV Number]=$C14)*(CsDJ[Account Code]=(N$11)),CsDJ[Debit]))))</calculatedColumnFormula>
    </tableColumn>
    <tableColumn id="14" name="705" dataDxfId="30">
      <calculatedColumnFormula array="1">IF(OR($C14=$C13,$C14=0),0,(SUM(IF((CsDJ[JEV Number]=$C14)*(CsDJ[Account Code]=(O$11)),CsDJ[Debit]))))</calculatedColumnFormula>
    </tableColumn>
    <tableColumn id="15" name="711" dataDxfId="29">
      <calculatedColumnFormula array="1">IF(OR($C14=$C13,$C14=0),0,(SUM(IF((CsDJ[JEV Number]=$C14)*(CsDJ[Account Code]=(P$11)),CsDJ[Debit]))))</calculatedColumnFormula>
    </tableColumn>
    <tableColumn id="16" name="Sundry2" dataDxfId="28"/>
    <tableColumn id="17" name="Amount2" dataDxfId="27">
      <calculatedColumnFormula array="1">IF($C14=0,0,(SUM(IF((CsDJ[JEV Number]=$C14)*(CsDJ[Account Code]=(Q14)),CsDJ[Debit]))))</calculatedColumnFormula>
    </tableColumn>
    <tableColumn id="18" name="Running Balance" dataDxfId="26">
      <calculatedColumnFormula>S13+(SUM(M14:P14)+R14)-(SUM(H14:J14)+L14)</calculatedColumnFormula>
    </tableColumn>
  </tableColumns>
  <tableStyleInfo name="TableStyleMedium9" showFirstColumn="0" showLastColumn="0" showRowStripes="1" showColumnStripes="0"/>
</table>
</file>

<file path=xl/tables/table12.xml><?xml version="1.0" encoding="utf-8"?>
<table xmlns="http://schemas.openxmlformats.org/spreadsheetml/2006/main" id="12" name="GJ" displayName="GJ" ref="A9:L410" totalsRowShown="0" headerRowDxfId="25" headerRowBorderDxfId="24" tableBorderDxfId="23" totalsRowBorderDxfId="22" headerRowCellStyle="Comma">
  <tableColumns count="12">
    <tableColumn id="1" name="Date" dataDxfId="21"/>
    <tableColumn id="2" name="JEV Number" dataDxfId="20"/>
    <tableColumn id="3" name="Sort Code" dataDxfId="19"/>
    <tableColumn id="4" name="Ofc Code" dataDxfId="18"/>
    <tableColumn id="12" name="Sub Code" dataDxfId="17"/>
    <tableColumn id="11" name="CF Code" dataDxfId="16"/>
    <tableColumn id="5" name="Particulars" dataDxfId="15"/>
    <tableColumn id="6" name="Account Name" dataDxfId="14">
      <calculatedColumnFormula>IF(I10=0,"",(INDEX([1]!AccountCodes[ACCOUNT NAME],MATCH(I10,[1]!AccountCodes[NGAS CODE],0))))</calculatedColumnFormula>
    </tableColumn>
    <tableColumn id="7" name="Account Code" dataDxfId="13" dataCellStyle="Comma"/>
    <tableColumn id="8" name="Debit" dataDxfId="12" dataCellStyle="Comma"/>
    <tableColumn id="9" name="Credit" dataDxfId="11" dataCellStyle="Comma"/>
    <tableColumn id="10" name="Running Balance" dataDxfId="10"/>
  </tableColumns>
  <tableStyleInfo name="TableStyleMedium9" showFirstColumn="0" showLastColumn="0" showRowStripes="1" showColumnStripes="0"/>
</table>
</file>

<file path=xl/tables/table13.xml><?xml version="1.0" encoding="utf-8"?>
<table xmlns="http://schemas.openxmlformats.org/spreadsheetml/2006/main" id="20" name="Budget" displayName="Budget" ref="A1:F2917" totalsRowShown="0" headerRowDxfId="9" dataDxfId="7" headerRowBorderDxfId="8" tableBorderDxfId="6">
  <autoFilter ref="A1:F2917"/>
  <tableColumns count="6">
    <tableColumn id="1" name="Date" dataDxfId="5"/>
    <tableColumn id="2" name="Sort Code" dataDxfId="4"/>
    <tableColumn id="3" name="Ofc Code" dataDxfId="3"/>
    <tableColumn id="4" name="Account Name" dataDxfId="2">
      <calculatedColumnFormula array="1">IF(E2=0,0,(INDEX(AccountCodes[ACCOUNT NAME],MATCH(E2,AccountCodes[NGAS CODE],0))))</calculatedColumnFormula>
    </tableColumn>
    <tableColumn id="5" name="Account Code" dataDxfId="1"/>
    <tableColumn id="6" name="Amount" dataDxfId="0" dataCellStyle="Comma"/>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ivotTable" Target="../pivotTables/pivotTable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0000"/>
  </sheetPr>
  <dimension ref="A1:L354"/>
  <sheetViews>
    <sheetView zoomScale="90" zoomScaleNormal="90" workbookViewId="0">
      <selection activeCell="A77" sqref="A77:XFD77"/>
    </sheetView>
  </sheetViews>
  <sheetFormatPr defaultColWidth="9" defaultRowHeight="12.75"/>
  <cols>
    <col min="1" max="1" width="56.375" style="604" customWidth="1"/>
    <col min="2" max="3" width="13.625" style="604" customWidth="1"/>
    <col min="4" max="4" width="17.625" style="604" customWidth="1"/>
    <col min="5" max="5" width="18.125" style="604" hidden="1" customWidth="1"/>
    <col min="6" max="6" width="17.875" style="604" hidden="1" customWidth="1"/>
    <col min="7" max="7" width="18.125" style="604" customWidth="1"/>
    <col min="8" max="8" width="19.625" style="622" customWidth="1"/>
    <col min="9" max="9" width="9" style="142"/>
    <col min="10" max="10" width="17" style="142" customWidth="1"/>
    <col min="11" max="11" width="19.375" style="142" customWidth="1"/>
    <col min="12" max="12" width="16.25" style="142" customWidth="1"/>
    <col min="13" max="16384" width="9" style="142"/>
  </cols>
  <sheetData>
    <row r="1" spans="1:10" ht="27.75">
      <c r="A1" s="732" t="s">
        <v>355</v>
      </c>
      <c r="B1" s="606"/>
      <c r="C1" s="606"/>
      <c r="D1" s="606"/>
      <c r="E1" s="606"/>
      <c r="F1" s="606"/>
      <c r="G1" s="606"/>
    </row>
    <row r="2" spans="1:10" ht="15.75" customHeight="1">
      <c r="A2" s="607" t="s">
        <v>1064</v>
      </c>
      <c r="B2" s="606"/>
      <c r="C2" s="606"/>
      <c r="D2" s="606"/>
      <c r="E2" s="606"/>
      <c r="F2" s="606"/>
      <c r="G2" s="606"/>
    </row>
    <row r="3" spans="1:10" ht="17.25" customHeight="1">
      <c r="A3" s="589" t="s">
        <v>1538</v>
      </c>
      <c r="B3" s="606"/>
      <c r="C3" s="606"/>
      <c r="D3" s="606"/>
      <c r="E3" s="606"/>
      <c r="F3" s="606"/>
      <c r="G3" s="606"/>
    </row>
    <row r="4" spans="1:10" ht="15.75">
      <c r="A4" s="607" t="s">
        <v>1539</v>
      </c>
      <c r="B4" s="590"/>
      <c r="C4" s="590"/>
      <c r="D4" s="590"/>
      <c r="E4" s="590"/>
      <c r="F4" s="590"/>
      <c r="G4" s="590"/>
    </row>
    <row r="5" spans="1:10" ht="15.75">
      <c r="A5" s="589" t="s">
        <v>363</v>
      </c>
      <c r="B5" s="590"/>
      <c r="C5" s="590"/>
      <c r="D5" s="590"/>
      <c r="E5" s="591"/>
      <c r="F5" s="590"/>
      <c r="G5" s="590"/>
    </row>
    <row r="6" spans="1:10" ht="15.75">
      <c r="A6" s="607" t="str">
        <f>Account!$G$1</f>
        <v>FUND 501 CARP</v>
      </c>
      <c r="B6" s="590"/>
      <c r="C6" s="590"/>
      <c r="D6" s="590"/>
      <c r="E6" s="590"/>
      <c r="F6" s="590"/>
      <c r="G6" s="590"/>
    </row>
    <row r="7" spans="1:10" ht="15.75">
      <c r="A7" s="609">
        <f>Account!G2</f>
        <v>45291</v>
      </c>
      <c r="B7" s="590"/>
      <c r="C7" s="590"/>
      <c r="D7" s="590"/>
      <c r="E7" s="590"/>
      <c r="F7" s="590"/>
      <c r="G7" s="590"/>
    </row>
    <row r="8" spans="1:10" ht="18.75" hidden="1">
      <c r="A8" s="611"/>
      <c r="B8" s="590"/>
      <c r="C8" s="590"/>
      <c r="D8" s="590"/>
      <c r="E8" s="590"/>
      <c r="F8" s="590"/>
      <c r="G8" s="590"/>
    </row>
    <row r="9" spans="1:10" ht="47.25">
      <c r="A9" s="593" t="s">
        <v>364</v>
      </c>
      <c r="B9" s="594" t="s">
        <v>1242</v>
      </c>
      <c r="C9" s="594" t="s">
        <v>1243</v>
      </c>
      <c r="D9" s="594" t="s">
        <v>357</v>
      </c>
      <c r="E9" s="594" t="s">
        <v>383</v>
      </c>
      <c r="F9" s="594" t="s">
        <v>384</v>
      </c>
      <c r="G9" s="594" t="s">
        <v>356</v>
      </c>
      <c r="H9" s="595" t="s">
        <v>496</v>
      </c>
    </row>
    <row r="10" spans="1:10" ht="15.75" hidden="1">
      <c r="A10" s="623" t="str">
        <f t="array" ref="A10">INDEX(AccountCodes[ACCOUNT NAME],MATCH(B10,AccountCodes[NGAS CODE],0))</f>
        <v>Cash-Collecting Officers</v>
      </c>
      <c r="B10" s="624" t="s">
        <v>9</v>
      </c>
      <c r="C10" s="625">
        <f t="array" ref="C10">INDEX(AccountCodes[PPSAS CODE],MATCH(B10,AccountCodes[NGAS CODE],0))</f>
        <v>1010101000</v>
      </c>
      <c r="D10" s="626">
        <f>IF(INDEX(AccountCodes[Normal Balance], MATCH(C10,AccountCodes[PPSAS CODE]))="Debit",E10-F10,0)</f>
        <v>0</v>
      </c>
      <c r="E10" s="626">
        <f>SUMIF(PostTB[Account Code (Old)],B10,(PostTB[Debit]))+SUMIF(CkDJ[Account Code],B10,(CkDJ[Debit]))+SUMIF(CsDJ[Account Code],B10,(CsDJ[Debit]))+SUMIF(CRDJ[Account Code],B10,(CRDJ[Debit]))+SUMIF(GJ[Account Code],B10,(GJ[Debit]))</f>
        <v>0</v>
      </c>
      <c r="F10" s="627">
        <f>SUMIF(PostTB[Account Code (Old)],B10,(PostTB[Credit]))+SUMIF(CkDJ[Account Code],B10,(CkDJ[Credit]))+SUMIF(CsDJ[Account Code],B10,(CsDJ[Credit]))+SUMIF(CRDJ[Account Code],B10,(CRDJ[Credit]))+SUMIF(GJ[Account Code],B10,(GJ[Credit]))</f>
        <v>0</v>
      </c>
      <c r="G10" s="627">
        <f>IF(INDEX(AccountCodes[Normal Balance], MATCH(C10,AccountCodes[PPSAS CODE]))="Credit",F10-E10,0)</f>
        <v>0</v>
      </c>
      <c r="H10" s="626">
        <f t="shared" ref="H10:H65" si="0">IF(D10=0,G10,D10)</f>
        <v>0</v>
      </c>
    </row>
    <row r="11" spans="1:10" ht="15.75" hidden="1">
      <c r="A11" s="623" t="str">
        <f t="array" ref="A11">INDEX(AccountCodes[ACCOUNT NAME],MATCH(B11,AccountCodes[NGAS CODE],0))</f>
        <v>Petty Cash</v>
      </c>
      <c r="B11" s="597" t="s">
        <v>11</v>
      </c>
      <c r="C11" s="625">
        <f t="array" ref="C11">INDEX(AccountCodes[PPSAS CODE],MATCH(B11,AccountCodes[NGAS CODE],0))</f>
        <v>1010102000</v>
      </c>
      <c r="D11" s="626">
        <f>IF(INDEX(AccountCodes[Normal Balance], MATCH(C11,AccountCodes[PPSAS CODE]))="Debit",E11-F11,0)</f>
        <v>0</v>
      </c>
      <c r="E11" s="626">
        <f>SUMIF(PostTB[Account Code (Old)],B11,(PostTB[Debit]))+SUMIF(CkDJ[Account Code],B11,(CkDJ[Debit]))+SUMIF(CsDJ[Account Code],B11,(CsDJ[Debit]))+SUMIF(CRDJ[Account Code],B11,(CRDJ[Debit]))+SUMIF(GJ[Account Code],B11,(GJ[Debit]))</f>
        <v>0</v>
      </c>
      <c r="F11" s="627">
        <f>SUMIF(PostTB[Account Code (Old)],B11,(PostTB[Credit]))+SUMIF(CkDJ[Account Code],B11,(CkDJ[Credit]))+SUMIF(CsDJ[Account Code],B11,(CsDJ[Credit]))+SUMIF(CRDJ[Account Code],B11,(CRDJ[Credit]))+SUMIF(GJ[Account Code],B11,(GJ[Credit]))</f>
        <v>0</v>
      </c>
      <c r="G11" s="627">
        <f>IF(INDEX(AccountCodes[Normal Balance], MATCH(C11,AccountCodes[PPSAS CODE]))="Credit",F11-E11,0)</f>
        <v>0</v>
      </c>
      <c r="H11" s="626">
        <f t="shared" si="0"/>
        <v>0</v>
      </c>
    </row>
    <row r="12" spans="1:10" ht="15.75" hidden="1">
      <c r="A12" s="623" t="str">
        <f t="array" ref="A12">INDEX(AccountCodes[ACCOUNT NAME],MATCH(B12,AccountCodes[NGAS CODE],0))</f>
        <v>Cash in Bank-Local Currency, Current Account</v>
      </c>
      <c r="B12" s="597" t="s">
        <v>13</v>
      </c>
      <c r="C12" s="625">
        <f t="array" ref="C12">INDEX(AccountCodes[PPSAS CODE],MATCH(B12,AccountCodes[NGAS CODE],0))</f>
        <v>1010202000</v>
      </c>
      <c r="D12" s="626">
        <f>IF(INDEX(AccountCodes[Normal Balance], MATCH(C12,AccountCodes[PPSAS CODE]))="Debit",E12-F12,0)</f>
        <v>0</v>
      </c>
      <c r="E12" s="626">
        <f>SUMIF(PostTB[Account Code (Old)],B12,(PostTB[Debit]))+SUMIF(CkDJ[Account Code],B12,(CkDJ[Debit]))+SUMIF(CsDJ[Account Code],B12,(CsDJ[Debit]))+SUMIF(CRDJ[Account Code],B12,(CRDJ[Debit]))+SUMIF(GJ[Account Code],B12,(GJ[Debit]))</f>
        <v>0</v>
      </c>
      <c r="F12" s="627">
        <f>SUMIF(PostTB[Account Code (Old)],B12,(PostTB[Credit]))+SUMIF(CkDJ[Account Code],B12,(CkDJ[Credit]))+SUMIF(CsDJ[Account Code],B12,(CsDJ[Credit]))+SUMIF(CRDJ[Account Code],B12,(CRDJ[Credit]))+SUMIF(GJ[Account Code],B12,(GJ[Credit]))</f>
        <v>0</v>
      </c>
      <c r="G12" s="627">
        <f>IF(INDEX(AccountCodes[Normal Balance], MATCH(C12,AccountCodes[PPSAS CODE]))="Credit",F12-E12,0)</f>
        <v>0</v>
      </c>
      <c r="H12" s="626">
        <f t="shared" si="0"/>
        <v>0</v>
      </c>
    </row>
    <row r="13" spans="1:10" ht="15.75">
      <c r="A13" s="623" t="str">
        <f t="array" ref="A13">INDEX(AccountCodes[ACCOUNT NAME],MATCH(B13,AccountCodes[NGAS CODE],0))</f>
        <v>Cash in Bank-Local Currency, Current Account - RO</v>
      </c>
      <c r="B13" s="597" t="s">
        <v>1478</v>
      </c>
      <c r="C13" s="625" t="str">
        <f t="array" ref="C13">INDEX(AccountCodes[PPSAS CODE],MATCH(B13,AccountCodes[NGAS CODE],0))</f>
        <v>1010202000RO</v>
      </c>
      <c r="D13" s="626">
        <f>IF(INDEX(AccountCodes[Normal Balance], MATCH(C13,AccountCodes[PPSAS CODE]))="Debit",E13-F13,0)</f>
        <v>57202366.920000002</v>
      </c>
      <c r="E13" s="626">
        <f>SUMIF(PostTB[Account Code (Old)],B13,(PostTB[Debit]))+SUMIF(CkDJ[Account Code],B13,(CkDJ[Debit]))+SUMIF(CsDJ[Account Code],B13,(CsDJ[Debit]))+SUMIF(CRDJ[Account Code],B13,(CRDJ[Debit]))+SUMIF(GJ[Account Code],B13,(GJ[Debit]))</f>
        <v>57420514.25</v>
      </c>
      <c r="F13" s="627">
        <f>SUMIF(PostTB[Account Code (Old)],B13,(PostTB[Credit]))+SUMIF(CkDJ[Account Code],B13,(CkDJ[Credit]))+SUMIF(CsDJ[Account Code],B13,(CsDJ[Credit]))+SUMIF(CRDJ[Account Code],B13,(CRDJ[Credit]))+SUMIF(GJ[Account Code],B13,(GJ[Credit]))</f>
        <v>218147.33</v>
      </c>
      <c r="G13" s="627">
        <f>IF(INDEX(AccountCodes[Normal Balance], MATCH(C13,AccountCodes[PPSAS CODE]))="Credit",F13-E13,0)</f>
        <v>0</v>
      </c>
      <c r="H13" s="626">
        <f t="shared" si="0"/>
        <v>57202366.920000002</v>
      </c>
      <c r="J13" s="697">
        <f>Table6[[#This Row],[DEBIT]]+D19</f>
        <v>50256972.810000002</v>
      </c>
    </row>
    <row r="14" spans="1:10" ht="15.75" hidden="1">
      <c r="A14" s="623" t="str">
        <f t="array" ref="A14">INDEX(AccountCodes[ACCOUNT NAME],MATCH(B14,AccountCodes[NGAS CODE],0))</f>
        <v>Cash in Bank-Local Currency, Current Account - RO Subsidy/Capital Outlay</v>
      </c>
      <c r="B14" s="597" t="s">
        <v>1482</v>
      </c>
      <c r="C14" s="625" t="str">
        <f t="array" ref="C14">INDEX(AccountCodes[PPSAS CODE],MATCH(B14,AccountCodes[NGAS CODE],0))</f>
        <v>1010202000ROSCO</v>
      </c>
      <c r="D14" s="626">
        <f>IF(INDEX(AccountCodes[Normal Balance], MATCH(C14,AccountCodes[PPSAS CODE]))="Debit",E14-F14,0)</f>
        <v>0</v>
      </c>
      <c r="E14" s="626">
        <f>SUMIF(PostTB[Account Code (Old)],B14,(PostTB[Debit]))+SUMIF(CkDJ[Account Code],B14,(CkDJ[Debit]))+SUMIF(CsDJ[Account Code],B14,(CsDJ[Debit]))+SUMIF(CRDJ[Account Code],B14,(CRDJ[Debit]))+SUMIF(GJ[Account Code],B14,(GJ[Debit]))</f>
        <v>0</v>
      </c>
      <c r="F14" s="627">
        <f>SUMIF(PostTB[Account Code (Old)],B14,(PostTB[Credit]))+SUMIF(CkDJ[Account Code],B14,(CkDJ[Credit]))+SUMIF(CsDJ[Account Code],B14,(CsDJ[Credit]))+SUMIF(CRDJ[Account Code],B14,(CRDJ[Credit]))+SUMIF(GJ[Account Code],B14,(GJ[Credit]))</f>
        <v>0</v>
      </c>
      <c r="G14" s="627">
        <f>IF(INDEX(AccountCodes[Normal Balance], MATCH(C14,AccountCodes[PPSAS CODE]))="Credit",F14-E14,0)</f>
        <v>0</v>
      </c>
      <c r="H14" s="626">
        <f t="shared" si="0"/>
        <v>0</v>
      </c>
    </row>
    <row r="15" spans="1:10" ht="15.75" hidden="1">
      <c r="A15" s="623" t="str">
        <f t="array" ref="A15">INDEX(AccountCodes[ACCOUNT NAME],MATCH(B15,AccountCodes[NGAS CODE],0))</f>
        <v>Cash in Bank-Local Currency, Current Account - RO Back Accounts</v>
      </c>
      <c r="B15" s="597" t="s">
        <v>1484</v>
      </c>
      <c r="C15" s="625" t="str">
        <f t="array" ref="C15">INDEX(AccountCodes[PPSAS CODE],MATCH(B15,AccountCodes[NGAS CODE],0))</f>
        <v>1010202000ROBA</v>
      </c>
      <c r="D15" s="626">
        <f>IF(INDEX(AccountCodes[Normal Balance], MATCH(C15,AccountCodes[PPSAS CODE]))="Debit",E15-F15,0)</f>
        <v>0</v>
      </c>
      <c r="E15" s="626">
        <f>SUMIF(PostTB[Account Code (Old)],B15,(PostTB[Debit]))+SUMIF(CkDJ[Account Code],B15,(CkDJ[Debit]))+SUMIF(CsDJ[Account Code],B15,(CsDJ[Debit]))+SUMIF(CRDJ[Account Code],B15,(CRDJ[Debit]))+SUMIF(GJ[Account Code],B15,(GJ[Debit]))</f>
        <v>0</v>
      </c>
      <c r="F15" s="627">
        <f>SUMIF(PostTB[Account Code (Old)],B15,(PostTB[Credit]))+SUMIF(CkDJ[Account Code],B15,(CkDJ[Credit]))+SUMIF(CsDJ[Account Code],B15,(CsDJ[Credit]))+SUMIF(CRDJ[Account Code],B15,(CRDJ[Credit]))+SUMIF(GJ[Account Code],B15,(GJ[Credit]))</f>
        <v>0</v>
      </c>
      <c r="G15" s="627">
        <f>IF(INDEX(AccountCodes[Normal Balance], MATCH(C15,AccountCodes[PPSAS CODE]))="Credit",F15-E15,0)</f>
        <v>0</v>
      </c>
      <c r="H15" s="626">
        <f t="shared" si="0"/>
        <v>0</v>
      </c>
    </row>
    <row r="16" spans="1:10" ht="15.75" hidden="1">
      <c r="A16" s="623" t="str">
        <f t="array" ref="A16">INDEX(AccountCodes[ACCOUNT NAME],MATCH(B16,AccountCodes[NGAS CODE],0))</f>
        <v>Cash in Bank-Local Currency, Current Account - RO NIMF</v>
      </c>
      <c r="B16" s="597" t="s">
        <v>1486</v>
      </c>
      <c r="C16" s="625" t="str">
        <f t="array" ref="C16">INDEX(AccountCodes[PPSAS CODE],MATCH(B16,AccountCodes[NGAS CODE],0))</f>
        <v>1010202000RONIMF</v>
      </c>
      <c r="D16" s="626">
        <f>IF(INDEX(AccountCodes[Normal Balance], MATCH(C16,AccountCodes[PPSAS CODE]))="Debit",E16-F16,0)</f>
        <v>0</v>
      </c>
      <c r="E16" s="626">
        <f>SUMIF(PostTB[Account Code (Old)],B16,(PostTB[Debit]))+SUMIF(CkDJ[Account Code],B16,(CkDJ[Debit]))+SUMIF(CsDJ[Account Code],B16,(CsDJ[Debit]))+SUMIF(CRDJ[Account Code],B16,(CRDJ[Debit]))+SUMIF(GJ[Account Code],B16,(GJ[Debit]))</f>
        <v>0</v>
      </c>
      <c r="F16" s="627">
        <f>SUMIF(PostTB[Account Code (Old)],B16,(PostTB[Credit]))+SUMIF(CkDJ[Account Code],B16,(CkDJ[Credit]))+SUMIF(CsDJ[Account Code],B16,(CsDJ[Credit]))+SUMIF(CRDJ[Account Code],B16,(CRDJ[Credit]))+SUMIF(GJ[Account Code],B16,(GJ[Credit]))</f>
        <v>0</v>
      </c>
      <c r="G16" s="627">
        <f>IF(INDEX(AccountCodes[Normal Balance], MATCH(C16,AccountCodes[PPSAS CODE]))="Credit",F16-E16,0)</f>
        <v>0</v>
      </c>
      <c r="H16" s="626">
        <f t="shared" si="0"/>
        <v>0</v>
      </c>
    </row>
    <row r="17" spans="1:8" ht="15.75" hidden="1">
      <c r="A17" s="623" t="str">
        <f t="array" ref="A17">INDEX(AccountCodes[ACCOUNT NAME],MATCH(B17,AccountCodes[NGAS CODE],0))</f>
        <v>Cash in Bank-Local Currency, Current Account - RO - PC</v>
      </c>
      <c r="B17" s="597" t="s">
        <v>1488</v>
      </c>
      <c r="C17" s="625" t="str">
        <f t="array" ref="C17">INDEX(AccountCodes[PPSAS CODE],MATCH(B17,AccountCodes[NGAS CODE],0))</f>
        <v>1010202000ROPC</v>
      </c>
      <c r="D17" s="626">
        <f>IF(INDEX(AccountCodes[Normal Balance], MATCH(C17,AccountCodes[PPSAS CODE]))="Debit",E17-F17,0)</f>
        <v>0</v>
      </c>
      <c r="E17" s="626">
        <f>SUMIF(PostTB[Account Code (Old)],B17,(PostTB[Debit]))+SUMIF(CkDJ[Account Code],B17,(CkDJ[Debit]))+SUMIF(CsDJ[Account Code],B17,(CsDJ[Debit]))+SUMIF(CRDJ[Account Code],B17,(CRDJ[Debit]))+SUMIF(GJ[Account Code],B17,(GJ[Debit]))</f>
        <v>0</v>
      </c>
      <c r="F17" s="627">
        <f>SUMIF(PostTB[Account Code (Old)],B17,(PostTB[Credit]))+SUMIF(CkDJ[Account Code],B17,(CkDJ[Credit]))+SUMIF(CsDJ[Account Code],B17,(CsDJ[Credit]))+SUMIF(CRDJ[Account Code],B17,(CRDJ[Credit]))+SUMIF(GJ[Account Code],B17,(GJ[Credit]))</f>
        <v>0</v>
      </c>
      <c r="G17" s="627">
        <f>IF(INDEX(AccountCodes[Normal Balance], MATCH(C17,AccountCodes[PPSAS CODE]))="Credit",F17-E17,0)</f>
        <v>0</v>
      </c>
      <c r="H17" s="626">
        <f t="shared" si="0"/>
        <v>0</v>
      </c>
    </row>
    <row r="18" spans="1:8" ht="15.75" hidden="1">
      <c r="A18" s="623" t="str">
        <f t="array" ref="A18">INDEX(AccountCodes[ACCOUNT NAME],MATCH(B18,AccountCodes[NGAS CODE],0))</f>
        <v>Cash in Bank-Local Currency, Current Account - RO - LP</v>
      </c>
      <c r="B18" s="597" t="s">
        <v>1490</v>
      </c>
      <c r="C18" s="625" t="str">
        <f t="array" ref="C18">INDEX(AccountCodes[PPSAS CODE],MATCH(B18,AccountCodes[NGAS CODE],0))</f>
        <v>1010202000ROLP</v>
      </c>
      <c r="D18" s="626">
        <f>IF(INDEX(AccountCodes[Normal Balance], MATCH(C18,AccountCodes[PPSAS CODE]))="Debit",E18-F18,0)</f>
        <v>0</v>
      </c>
      <c r="E18" s="626">
        <f>SUMIF(PostTB[Account Code (Old)],B18,(PostTB[Debit]))+SUMIF(CkDJ[Account Code],B18,(CkDJ[Debit]))+SUMIF(CsDJ[Account Code],B18,(CsDJ[Debit]))+SUMIF(CRDJ[Account Code],B18,(CRDJ[Debit]))+SUMIF(GJ[Account Code],B18,(GJ[Debit]))</f>
        <v>0</v>
      </c>
      <c r="F18" s="627">
        <f>SUMIF(PostTB[Account Code (Old)],B18,(PostTB[Credit]))+SUMIF(CkDJ[Account Code],B18,(CkDJ[Credit]))+SUMIF(CsDJ[Account Code],B18,(CsDJ[Credit]))+SUMIF(CRDJ[Account Code],B18,(CRDJ[Credit]))+SUMIF(GJ[Account Code],B18,(GJ[Credit]))</f>
        <v>0</v>
      </c>
      <c r="G18" s="627">
        <f>IF(INDEX(AccountCodes[Normal Balance], MATCH(C18,AccountCodes[PPSAS CODE]))="Credit",F18-E18,0)</f>
        <v>0</v>
      </c>
      <c r="H18" s="626">
        <f t="shared" si="0"/>
        <v>0</v>
      </c>
    </row>
    <row r="19" spans="1:8" ht="15.75">
      <c r="A19" s="623" t="str">
        <f t="array" ref="A19">INDEX(AccountCodes[ACCOUNT NAME],MATCH(B19,AccountCodes[NGAS CODE],0))</f>
        <v>Cash in Bank-Local Currency, Current Account - FO</v>
      </c>
      <c r="B19" s="597" t="s">
        <v>1479</v>
      </c>
      <c r="C19" s="625" t="str">
        <f t="array" ref="C19">INDEX(AccountCodes[PPSAS CODE],MATCH(B19,AccountCodes[NGAS CODE],0))</f>
        <v>1010202000FO</v>
      </c>
      <c r="D19" s="626">
        <f>IF(INDEX(AccountCodes[Normal Balance], MATCH(C19,AccountCodes[PPSAS CODE]))="Debit",E19-F19,0)</f>
        <v>-6945394.1100000003</v>
      </c>
      <c r="E19" s="626">
        <f>SUMIF(PostTB[Account Code (Old)],B19,(PostTB[Debit]))+SUMIF(CkDJ[Account Code],B19,(CkDJ[Debit]))+SUMIF(CsDJ[Account Code],B19,(CsDJ[Debit]))+SUMIF(CRDJ[Account Code],B19,(CRDJ[Debit]))+SUMIF(GJ[Account Code],B19,(GJ[Debit]))</f>
        <v>13864641.73</v>
      </c>
      <c r="F19" s="627">
        <f>SUMIF(PostTB[Account Code (Old)],B19,(PostTB[Credit]))+SUMIF(CkDJ[Account Code],B19,(CkDJ[Credit]))+SUMIF(CsDJ[Account Code],B19,(CsDJ[Credit]))+SUMIF(CRDJ[Account Code],B19,(CRDJ[Credit]))+SUMIF(GJ[Account Code],B19,(GJ[Credit]))</f>
        <v>20810035.84</v>
      </c>
      <c r="G19" s="627">
        <f>IF(INDEX(AccountCodes[Normal Balance], MATCH(C19,AccountCodes[PPSAS CODE]))="Credit",F19-E19,0)</f>
        <v>0</v>
      </c>
      <c r="H19" s="626">
        <f t="shared" si="0"/>
        <v>-6945394.1100000003</v>
      </c>
    </row>
    <row r="20" spans="1:8" ht="15.75" hidden="1">
      <c r="A20" s="623" t="str">
        <f t="array" ref="A20">INDEX(AccountCodes[ACCOUNT NAME],MATCH(B20,AccountCodes[NGAS CODE],0))</f>
        <v>Cash in Bank-Local Currency, Current Account - FO - PC</v>
      </c>
      <c r="B20" s="597" t="s">
        <v>1492</v>
      </c>
      <c r="C20" s="625" t="str">
        <f t="array" ref="C20">INDEX(AccountCodes[PPSAS CODE],MATCH(B20,AccountCodes[NGAS CODE],0))</f>
        <v>1010202000FOPC</v>
      </c>
      <c r="D20" s="626">
        <f>IF(INDEX(AccountCodes[Normal Balance], MATCH(C20,AccountCodes[PPSAS CODE]))="Debit",E20-F20,0)</f>
        <v>0</v>
      </c>
      <c r="E20" s="626">
        <f>SUMIF(PostTB[Account Code (Old)],B20,(PostTB[Debit]))+SUMIF(CkDJ[Account Code],B20,(CkDJ[Debit]))+SUMIF(CsDJ[Account Code],B20,(CsDJ[Debit]))+SUMIF(CRDJ[Account Code],B20,(CRDJ[Debit]))+SUMIF(GJ[Account Code],B20,(GJ[Debit]))</f>
        <v>0</v>
      </c>
      <c r="F20" s="627">
        <f>SUMIF(PostTB[Account Code (Old)],B20,(PostTB[Credit]))+SUMIF(CkDJ[Account Code],B20,(CkDJ[Credit]))+SUMIF(CsDJ[Account Code],B20,(CsDJ[Credit]))+SUMIF(CRDJ[Account Code],B20,(CRDJ[Credit]))+SUMIF(GJ[Account Code],B20,(GJ[Credit]))</f>
        <v>0</v>
      </c>
      <c r="G20" s="627">
        <f>IF(INDEX(AccountCodes[Normal Balance], MATCH(C20,AccountCodes[PPSAS CODE]))="Credit",F20-E20,0)</f>
        <v>0</v>
      </c>
      <c r="H20" s="626">
        <f t="shared" si="0"/>
        <v>0</v>
      </c>
    </row>
    <row r="21" spans="1:8" ht="15.75" hidden="1">
      <c r="A21" s="623" t="str">
        <f t="array" ref="A21">INDEX(AccountCodes[ACCOUNT NAME],MATCH(B21,AccountCodes[NGAS CODE],0))</f>
        <v>Cash in Bank-Local Currency, Current Account - FO - LP</v>
      </c>
      <c r="B21" s="597" t="s">
        <v>1494</v>
      </c>
      <c r="C21" s="625" t="str">
        <f t="array" ref="C21">INDEX(AccountCodes[PPSAS CODE],MATCH(B21,AccountCodes[NGAS CODE],0))</f>
        <v>1010202000FOLP</v>
      </c>
      <c r="D21" s="626">
        <f>IF(INDEX(AccountCodes[Normal Balance], MATCH(C21,AccountCodes[PPSAS CODE]))="Debit",E21-F21,0)</f>
        <v>0</v>
      </c>
      <c r="E21" s="626">
        <f>SUMIF(PostTB[Account Code (Old)],B21,(PostTB[Debit]))+SUMIF(CkDJ[Account Code],B21,(CkDJ[Debit]))+SUMIF(CsDJ[Account Code],B21,(CsDJ[Debit]))+SUMIF(CRDJ[Account Code],B21,(CRDJ[Debit]))+SUMIF(GJ[Account Code],B21,(GJ[Debit]))</f>
        <v>0</v>
      </c>
      <c r="F21" s="627">
        <f>SUMIF(PostTB[Account Code (Old)],B21,(PostTB[Credit]))+SUMIF(CkDJ[Account Code],B21,(CkDJ[Credit]))+SUMIF(CsDJ[Account Code],B21,(CsDJ[Credit]))+SUMIF(CRDJ[Account Code],B21,(CRDJ[Credit]))+SUMIF(GJ[Account Code],B21,(GJ[Credit]))</f>
        <v>0</v>
      </c>
      <c r="G21" s="627">
        <f>IF(INDEX(AccountCodes[Normal Balance], MATCH(C21,AccountCodes[PPSAS CODE]))="Credit",F21-E21,0)</f>
        <v>0</v>
      </c>
      <c r="H21" s="626">
        <f>IF(D21=0,G21,D21)</f>
        <v>0</v>
      </c>
    </row>
    <row r="22" spans="1:8" ht="15.75" hidden="1">
      <c r="A22" s="623" t="str">
        <f t="array" ref="A22">INDEX(AccountCodes[ACCOUNT NAME],MATCH(B22,AccountCodes[NGAS CODE],0))</f>
        <v>Cash in Bank-Local Currency, Current Account</v>
      </c>
      <c r="B22" s="597" t="s">
        <v>13</v>
      </c>
      <c r="C22" s="625">
        <f t="array" ref="C22">INDEX(AccountCodes[PPSAS CODE],MATCH(B22,AccountCodes[NGAS CODE],0))</f>
        <v>1010202000</v>
      </c>
      <c r="D22" s="626">
        <f>IF(INDEX(AccountCodes[Normal Balance], MATCH(C22,AccountCodes[PPSAS CODE]))="Debit",E22-F22,0)</f>
        <v>0</v>
      </c>
      <c r="E22" s="626">
        <f>SUMIF(PostTB[Account Code (Old)],B22,(PostTB[Debit]))+SUMIF(CkDJ[Account Code],B22,(CkDJ[Debit]))+SUMIF(CsDJ[Account Code],B22,(CsDJ[Debit]))+SUMIF(CRDJ[Account Code],B22,(CRDJ[Debit]))+SUMIF(GJ[Account Code],B22,(GJ[Debit]))</f>
        <v>0</v>
      </c>
      <c r="F22" s="627">
        <f>SUMIF(PostTB[Account Code (Old)],B22,(PostTB[Credit]))+SUMIF(CkDJ[Account Code],B22,(CkDJ[Credit]))+SUMIF(CsDJ[Account Code],B22,(CsDJ[Credit]))+SUMIF(CRDJ[Account Code],B22,(CRDJ[Credit]))+SUMIF(GJ[Account Code],B22,(GJ[Credit]))</f>
        <v>0</v>
      </c>
      <c r="G22" s="627">
        <f>IF(INDEX(AccountCodes[Normal Balance], MATCH(C22,AccountCodes[PPSAS CODE]))="Credit",F22-E22,0)</f>
        <v>0</v>
      </c>
      <c r="H22" s="626">
        <f t="shared" si="0"/>
        <v>0</v>
      </c>
    </row>
    <row r="23" spans="1:8" ht="15.75" hidden="1">
      <c r="A23" s="623" t="str">
        <f t="array" ref="A23">INDEX(AccountCodes[ACCOUNT NAME],MATCH(B23,AccountCodes[NGAS CODE],0))</f>
        <v>Cash in Bank-Local Currency, Current Account</v>
      </c>
      <c r="B23" s="597" t="s">
        <v>13</v>
      </c>
      <c r="C23" s="625">
        <f t="array" ref="C23">INDEX(AccountCodes[PPSAS CODE],MATCH(B23,AccountCodes[NGAS CODE],0))</f>
        <v>1010202000</v>
      </c>
      <c r="D23" s="626">
        <f>IF(INDEX(AccountCodes[Normal Balance], MATCH(C23,AccountCodes[PPSAS CODE]))="Debit",E23-F23,0)</f>
        <v>0</v>
      </c>
      <c r="E23" s="626">
        <f>SUMIF(PostTB[Account Code (Old)],B23,(PostTB[Debit]))+SUMIF(CkDJ[Account Code],B23,(CkDJ[Debit]))+SUMIF(CsDJ[Account Code],B23,(CsDJ[Debit]))+SUMIF(CRDJ[Account Code],B23,(CRDJ[Debit]))+SUMIF(GJ[Account Code],B23,(GJ[Debit]))</f>
        <v>0</v>
      </c>
      <c r="F23" s="627">
        <f>SUMIF(PostTB[Account Code (Old)],B23,(PostTB[Credit]))+SUMIF(CkDJ[Account Code],B23,(CkDJ[Credit]))+SUMIF(CsDJ[Account Code],B23,(CsDJ[Credit]))+SUMIF(CRDJ[Account Code],B23,(CRDJ[Credit]))+SUMIF(GJ[Account Code],B23,(GJ[Credit]))</f>
        <v>0</v>
      </c>
      <c r="G23" s="627">
        <f>IF(INDEX(AccountCodes[Normal Balance], MATCH(C23,AccountCodes[PPSAS CODE]))="Credit",F23-E23,0)</f>
        <v>0</v>
      </c>
      <c r="H23" s="626">
        <f t="shared" si="0"/>
        <v>0</v>
      </c>
    </row>
    <row r="24" spans="1:8" ht="15.75" hidden="1">
      <c r="A24" s="623" t="str">
        <f t="array" ref="A24">INDEX(AccountCodes[ACCOUNT NAME],MATCH(B24,AccountCodes[NGAS CODE],0))</f>
        <v>Cash in Bank-Local Currency, Savings Account</v>
      </c>
      <c r="B24" s="597" t="s">
        <v>14</v>
      </c>
      <c r="C24" s="625">
        <f t="array" ref="C24">INDEX(AccountCodes[PPSAS CODE],MATCH(B24,AccountCodes[NGAS CODE],0))</f>
        <v>1010203000</v>
      </c>
      <c r="D24" s="626">
        <f>IF(INDEX(AccountCodes[Normal Balance], MATCH(C24,AccountCodes[PPSAS CODE]))="Debit",E24-F24,0)</f>
        <v>0</v>
      </c>
      <c r="E24" s="626">
        <f>SUMIF(PostTB[Account Code (Old)],B24,(PostTB[Debit]))+SUMIF(CkDJ[Account Code],B24,(CkDJ[Debit]))+SUMIF(CsDJ[Account Code],B24,(CsDJ[Debit]))+SUMIF(CRDJ[Account Code],B24,(CRDJ[Debit]))+SUMIF(GJ[Account Code],B24,(GJ[Debit]))</f>
        <v>0</v>
      </c>
      <c r="F24" s="627">
        <f>SUMIF(PostTB[Account Code (Old)],B24,(PostTB[Credit]))+SUMIF(CkDJ[Account Code],B24,(CkDJ[Credit]))+SUMIF(CsDJ[Account Code],B24,(CsDJ[Credit]))+SUMIF(CRDJ[Account Code],B24,(CRDJ[Credit]))+SUMIF(GJ[Account Code],B24,(GJ[Credit]))</f>
        <v>0</v>
      </c>
      <c r="G24" s="627">
        <f>IF(INDEX(AccountCodes[Normal Balance], MATCH(C24,AccountCodes[PPSAS CODE]))="Credit",F24-E24,0)</f>
        <v>0</v>
      </c>
      <c r="H24" s="626">
        <f t="shared" si="0"/>
        <v>0</v>
      </c>
    </row>
    <row r="25" spans="1:8" ht="15.75" hidden="1">
      <c r="A25" s="623" t="str">
        <f t="array" ref="A25">INDEX(AccountCodes[ACCOUNT NAME],MATCH(B25,AccountCodes[NGAS CODE],0))</f>
        <v>Cash in Bank-Local Currency, Savings Account</v>
      </c>
      <c r="B25" s="597" t="s">
        <v>14</v>
      </c>
      <c r="C25" s="625">
        <f t="array" ref="C25">INDEX(AccountCodes[PPSAS CODE],MATCH(B25,AccountCodes[NGAS CODE],0))</f>
        <v>1010203000</v>
      </c>
      <c r="D25" s="626">
        <f>IF(INDEX(AccountCodes[Normal Balance], MATCH(C25,AccountCodes[PPSAS CODE]))="Debit",E25-F25,0)</f>
        <v>0</v>
      </c>
      <c r="E25" s="626">
        <f>SUMIF(PostTB[Account Code (Old)],B25,(PostTB[Debit]))+SUMIF(CkDJ[Account Code],B25,(CkDJ[Debit]))+SUMIF(CsDJ[Account Code],B25,(CsDJ[Debit]))+SUMIF(CRDJ[Account Code],B25,(CRDJ[Debit]))+SUMIF(GJ[Account Code],B25,(GJ[Debit]))</f>
        <v>0</v>
      </c>
      <c r="F25" s="627">
        <f>SUMIF(PostTB[Account Code (Old)],B25,(PostTB[Credit]))+SUMIF(CkDJ[Account Code],B25,(CkDJ[Credit]))+SUMIF(CsDJ[Account Code],B25,(CsDJ[Credit]))+SUMIF(CRDJ[Account Code],B25,(CRDJ[Credit]))+SUMIF(GJ[Account Code],B25,(GJ[Credit]))</f>
        <v>0</v>
      </c>
      <c r="G25" s="627">
        <f>IF(INDEX(AccountCodes[Normal Balance], MATCH(C25,AccountCodes[PPSAS CODE]))="Credit",F25-E25,0)</f>
        <v>0</v>
      </c>
      <c r="H25" s="626">
        <f t="shared" si="0"/>
        <v>0</v>
      </c>
    </row>
    <row r="26" spans="1:8" ht="15.75" hidden="1">
      <c r="A26" s="623" t="str">
        <f t="array" ref="A26">INDEX(AccountCodes[ACCOUNT NAME],MATCH(B26,AccountCodes[NGAS CODE],0))</f>
        <v>Cash in Bank-Local Currency, Savings Account</v>
      </c>
      <c r="B26" s="597" t="s">
        <v>14</v>
      </c>
      <c r="C26" s="625">
        <f t="array" ref="C26">INDEX(AccountCodes[PPSAS CODE],MATCH(B26,AccountCodes[NGAS CODE],0))</f>
        <v>1010203000</v>
      </c>
      <c r="D26" s="626">
        <f>IF(INDEX(AccountCodes[Normal Balance], MATCH(C26,AccountCodes[PPSAS CODE]))="Debit",E26-F26,0)</f>
        <v>0</v>
      </c>
      <c r="E26" s="626">
        <f>SUMIF(PostTB[Account Code (Old)],B26,(PostTB[Debit]))+SUMIF(CkDJ[Account Code],B26,(CkDJ[Debit]))+SUMIF(CsDJ[Account Code],B26,(CsDJ[Debit]))+SUMIF(CRDJ[Account Code],B26,(CRDJ[Debit]))+SUMIF(GJ[Account Code],B26,(GJ[Debit]))</f>
        <v>0</v>
      </c>
      <c r="F26" s="627">
        <f>SUMIF(PostTB[Account Code (Old)],B26,(PostTB[Credit]))+SUMIF(CkDJ[Account Code],B26,(CkDJ[Credit]))+SUMIF(CsDJ[Account Code],B26,(CsDJ[Credit]))+SUMIF(CRDJ[Account Code],B26,(CRDJ[Credit]))+SUMIF(GJ[Account Code],B26,(GJ[Credit]))</f>
        <v>0</v>
      </c>
      <c r="G26" s="627">
        <f>IF(INDEX(AccountCodes[Normal Balance], MATCH(C26,AccountCodes[PPSAS CODE]))="Credit",F26-E26,0)</f>
        <v>0</v>
      </c>
      <c r="H26" s="626">
        <f t="shared" si="0"/>
        <v>0</v>
      </c>
    </row>
    <row r="27" spans="1:8" ht="15.75" hidden="1">
      <c r="A27" s="623" t="str">
        <f t="array" ref="A27">INDEX(AccountCodes[ACCOUNT NAME],MATCH(B27,AccountCodes[NGAS CODE],0))</f>
        <v>Cash in Bank-Local Currency, Time Deposits</v>
      </c>
      <c r="B27" s="597" t="s">
        <v>15</v>
      </c>
      <c r="C27" s="625">
        <f t="array" ref="C27">INDEX(AccountCodes[PPSAS CODE],MATCH(B27,AccountCodes[NGAS CODE],0))</f>
        <v>1010204000</v>
      </c>
      <c r="D27" s="626">
        <f>IF(INDEX(AccountCodes[Normal Balance], MATCH(C27,AccountCodes[PPSAS CODE]))="Debit",E27-F27,0)</f>
        <v>0</v>
      </c>
      <c r="E27" s="626">
        <f>SUMIF(PostTB[Account Code (Old)],B27,(PostTB[Debit]))+SUMIF(CkDJ[Account Code],B27,(CkDJ[Debit]))+SUMIF(CsDJ[Account Code],B27,(CsDJ[Debit]))+SUMIF(CRDJ[Account Code],B27,(CRDJ[Debit]))+SUMIF(GJ[Account Code],B27,(GJ[Debit]))</f>
        <v>0</v>
      </c>
      <c r="F27" s="627">
        <f>SUMIF(PostTB[Account Code (Old)],B27,(PostTB[Credit]))+SUMIF(CkDJ[Account Code],B27,(CkDJ[Credit]))+SUMIF(CsDJ[Account Code],B27,(CsDJ[Credit]))+SUMIF(CRDJ[Account Code],B27,(CRDJ[Credit]))+SUMIF(GJ[Account Code],B27,(GJ[Credit]))</f>
        <v>0</v>
      </c>
      <c r="G27" s="627">
        <f>IF(INDEX(AccountCodes[Normal Balance], MATCH(C27,AccountCodes[PPSAS CODE]))="Credit",F27-E27,0)</f>
        <v>0</v>
      </c>
      <c r="H27" s="626">
        <f t="shared" si="0"/>
        <v>0</v>
      </c>
    </row>
    <row r="28" spans="1:8" ht="15.75" hidden="1">
      <c r="A28" s="623" t="str">
        <f t="array" ref="A28">INDEX(AccountCodes[ACCOUNT NAME],MATCH(B28,AccountCodes[NGAS CODE],0))</f>
        <v>Cash in Bank-Local Currency, Time Deposits</v>
      </c>
      <c r="B28" s="597" t="s">
        <v>15</v>
      </c>
      <c r="C28" s="625">
        <f t="array" ref="C28">INDEX(AccountCodes[PPSAS CODE],MATCH(B28,AccountCodes[NGAS CODE],0))</f>
        <v>1010204000</v>
      </c>
      <c r="D28" s="626">
        <f>IF(INDEX(AccountCodes[Normal Balance], MATCH(C28,AccountCodes[PPSAS CODE]))="Debit",E28-F28,0)</f>
        <v>0</v>
      </c>
      <c r="E28" s="626">
        <f>SUMIF(PostTB[Account Code (Old)],B28,(PostTB[Debit]))+SUMIF(CkDJ[Account Code],B28,(CkDJ[Debit]))+SUMIF(CsDJ[Account Code],B28,(CsDJ[Debit]))+SUMIF(CRDJ[Account Code],B28,(CRDJ[Debit]))+SUMIF(GJ[Account Code],B28,(GJ[Debit]))</f>
        <v>0</v>
      </c>
      <c r="F28" s="627">
        <f>SUMIF(PostTB[Account Code (Old)],B28,(PostTB[Credit]))+SUMIF(CkDJ[Account Code],B28,(CkDJ[Credit]))+SUMIF(CsDJ[Account Code],B28,(CsDJ[Credit]))+SUMIF(CRDJ[Account Code],B28,(CRDJ[Credit]))+SUMIF(GJ[Account Code],B28,(GJ[Credit]))</f>
        <v>0</v>
      </c>
      <c r="G28" s="627">
        <f>IF(INDEX(AccountCodes[Normal Balance], MATCH(C28,AccountCodes[PPSAS CODE]))="Credit",F28-E28,0)</f>
        <v>0</v>
      </c>
      <c r="H28" s="626">
        <f t="shared" si="0"/>
        <v>0</v>
      </c>
    </row>
    <row r="29" spans="1:8" ht="15.75" hidden="1">
      <c r="A29" s="623" t="str">
        <f t="array" ref="A29">INDEX(AccountCodes[ACCOUNT NAME],MATCH(B29,AccountCodes[NGAS CODE],0))</f>
        <v>Cash in Bank-Foreign Currency, Current Account</v>
      </c>
      <c r="B29" s="597" t="s">
        <v>16</v>
      </c>
      <c r="C29" s="625">
        <f t="array" ref="C29">INDEX(AccountCodes[PPSAS CODE],MATCH(B29,AccountCodes[NGAS CODE],0))</f>
        <v>1010302000</v>
      </c>
      <c r="D29" s="626">
        <f>IF(INDEX(AccountCodes[Normal Balance], MATCH(C29,AccountCodes[PPSAS CODE]))="Debit",E29-F29,0)</f>
        <v>0</v>
      </c>
      <c r="E29" s="626">
        <f>SUMIF(PostTB[Account Code (Old)],B29,(PostTB[Debit]))+SUMIF(CkDJ[Account Code],B29,(CkDJ[Debit]))+SUMIF(CsDJ[Account Code],B29,(CsDJ[Debit]))+SUMIF(CRDJ[Account Code],B29,(CRDJ[Debit]))+SUMIF(GJ[Account Code],B29,(GJ[Debit]))</f>
        <v>0</v>
      </c>
      <c r="F29" s="627">
        <f>SUMIF(PostTB[Account Code (Old)],B29,(PostTB[Credit]))+SUMIF(CkDJ[Account Code],B29,(CkDJ[Credit]))+SUMIF(CsDJ[Account Code],B29,(CsDJ[Credit]))+SUMIF(CRDJ[Account Code],B29,(CRDJ[Credit]))+SUMIF(GJ[Account Code],B29,(GJ[Credit]))</f>
        <v>0</v>
      </c>
      <c r="G29" s="627">
        <f>IF(INDEX(AccountCodes[Normal Balance], MATCH(C29,AccountCodes[PPSAS CODE]))="Credit",F29-E29,0)</f>
        <v>0</v>
      </c>
      <c r="H29" s="626">
        <f t="shared" si="0"/>
        <v>0</v>
      </c>
    </row>
    <row r="30" spans="1:8" ht="15.75" hidden="1">
      <c r="A30" s="623" t="str">
        <f t="array" ref="A30">INDEX(AccountCodes[ACCOUNT NAME],MATCH(B30,AccountCodes[NGAS CODE],0))</f>
        <v>Cash in Bank-Foreign Currency, Current Account</v>
      </c>
      <c r="B30" s="597" t="s">
        <v>16</v>
      </c>
      <c r="C30" s="625">
        <f t="array" ref="C30">INDEX(AccountCodes[PPSAS CODE],MATCH(B30,AccountCodes[NGAS CODE],0))</f>
        <v>1010302000</v>
      </c>
      <c r="D30" s="626">
        <f>IF(INDEX(AccountCodes[Normal Balance], MATCH(C30,AccountCodes[PPSAS CODE]))="Debit",E30-F30,0)</f>
        <v>0</v>
      </c>
      <c r="E30" s="626">
        <f>SUMIF(PostTB[Account Code (Old)],B30,(PostTB[Debit]))+SUMIF(CkDJ[Account Code],B30,(CkDJ[Debit]))+SUMIF(CsDJ[Account Code],B30,(CsDJ[Debit]))+SUMIF(CRDJ[Account Code],B30,(CRDJ[Debit]))+SUMIF(GJ[Account Code],B30,(GJ[Debit]))</f>
        <v>0</v>
      </c>
      <c r="F30" s="627">
        <f>SUMIF(PostTB[Account Code (Old)],B30,(PostTB[Credit]))+SUMIF(CkDJ[Account Code],B30,(CkDJ[Credit]))+SUMIF(CsDJ[Account Code],B30,(CsDJ[Credit]))+SUMIF(CRDJ[Account Code],B30,(CRDJ[Credit]))+SUMIF(GJ[Account Code],B30,(GJ[Credit]))</f>
        <v>0</v>
      </c>
      <c r="G30" s="627">
        <f>IF(INDEX(AccountCodes[Normal Balance], MATCH(C30,AccountCodes[PPSAS CODE]))="Credit",F30-E30,0)</f>
        <v>0</v>
      </c>
      <c r="H30" s="626">
        <f t="shared" si="0"/>
        <v>0</v>
      </c>
    </row>
    <row r="31" spans="1:8" ht="15.75" hidden="1">
      <c r="A31" s="623" t="str">
        <f t="array" ref="A31">INDEX(AccountCodes[ACCOUNT NAME],MATCH(B31,AccountCodes[NGAS CODE],0))</f>
        <v>Cash in Bank-Foreign Currency, Current Account</v>
      </c>
      <c r="B31" s="597" t="s">
        <v>16</v>
      </c>
      <c r="C31" s="625">
        <f t="array" ref="C31">INDEX(AccountCodes[PPSAS CODE],MATCH(B31,AccountCodes[NGAS CODE],0))</f>
        <v>1010302000</v>
      </c>
      <c r="D31" s="626">
        <f>IF(INDEX(AccountCodes[Normal Balance], MATCH(C31,AccountCodes[PPSAS CODE]))="Debit",E31-F31,0)</f>
        <v>0</v>
      </c>
      <c r="E31" s="626">
        <f>SUMIF(PostTB[Account Code (Old)],B31,(PostTB[Debit]))+SUMIF(CkDJ[Account Code],B31,(CkDJ[Debit]))+SUMIF(CsDJ[Account Code],B31,(CsDJ[Debit]))+SUMIF(CRDJ[Account Code],B31,(CRDJ[Debit]))+SUMIF(GJ[Account Code],B31,(GJ[Debit]))</f>
        <v>0</v>
      </c>
      <c r="F31" s="627">
        <f>SUMIF(PostTB[Account Code (Old)],B31,(PostTB[Credit]))+SUMIF(CkDJ[Account Code],B31,(CkDJ[Credit]))+SUMIF(CsDJ[Account Code],B31,(CsDJ[Credit]))+SUMIF(CRDJ[Account Code],B31,(CRDJ[Credit]))+SUMIF(GJ[Account Code],B31,(GJ[Credit]))</f>
        <v>0</v>
      </c>
      <c r="G31" s="627">
        <f>IF(INDEX(AccountCodes[Normal Balance], MATCH(C31,AccountCodes[PPSAS CODE]))="Credit",F31-E31,0)</f>
        <v>0</v>
      </c>
      <c r="H31" s="626">
        <f t="shared" si="0"/>
        <v>0</v>
      </c>
    </row>
    <row r="32" spans="1:8" ht="15.75" hidden="1">
      <c r="A32" s="623" t="str">
        <f t="array" ref="A32">INDEX(AccountCodes[ACCOUNT NAME],MATCH(B32,AccountCodes[NGAS CODE],0))</f>
        <v>Cash in Bank-Foreign Currency, Time Deposits</v>
      </c>
      <c r="B32" s="597" t="s">
        <v>17</v>
      </c>
      <c r="C32" s="625">
        <f t="array" ref="C32">INDEX(AccountCodes[PPSAS CODE],MATCH(B32,AccountCodes[NGAS CODE],0))</f>
        <v>1010304000</v>
      </c>
      <c r="D32" s="626">
        <f>IF(INDEX(AccountCodes[Normal Balance], MATCH(C32,AccountCodes[PPSAS CODE]))="Debit",E32-F32,0)</f>
        <v>0</v>
      </c>
      <c r="E32" s="626">
        <f>SUMIF(PostTB[Account Code (Old)],B32,(PostTB[Debit]))+SUMIF(CkDJ[Account Code],B32,(CkDJ[Debit]))+SUMIF(CsDJ[Account Code],B32,(CsDJ[Debit]))+SUMIF(CRDJ[Account Code],B32,(CRDJ[Debit]))+SUMIF(GJ[Account Code],B32,(GJ[Debit]))</f>
        <v>0</v>
      </c>
      <c r="F32" s="627">
        <f>SUMIF(PostTB[Account Code (Old)],B32,(PostTB[Credit]))+SUMIF(CkDJ[Account Code],B32,(CkDJ[Credit]))+SUMIF(CsDJ[Account Code],B32,(CsDJ[Credit]))+SUMIF(CRDJ[Account Code],B32,(CRDJ[Credit]))+SUMIF(GJ[Account Code],B32,(GJ[Credit]))</f>
        <v>0</v>
      </c>
      <c r="G32" s="627">
        <f>IF(INDEX(AccountCodes[Normal Balance], MATCH(C32,AccountCodes[PPSAS CODE]))="Credit",F32-E32,0)</f>
        <v>0</v>
      </c>
      <c r="H32" s="626">
        <f t="shared" si="0"/>
        <v>0</v>
      </c>
    </row>
    <row r="33" spans="1:8" ht="15.75" hidden="1">
      <c r="A33" s="623" t="str">
        <f t="array" ref="A33">INDEX(AccountCodes[ACCOUNT NAME],MATCH(B33,AccountCodes[NGAS CODE],0))</f>
        <v>Cash in Bank-Foreign Currency, Time Deposits</v>
      </c>
      <c r="B33" s="597" t="s">
        <v>17</v>
      </c>
      <c r="C33" s="625">
        <f t="array" ref="C33">INDEX(AccountCodes[PPSAS CODE],MATCH(B33,AccountCodes[NGAS CODE],0))</f>
        <v>1010304000</v>
      </c>
      <c r="D33" s="626">
        <f>IF(INDEX(AccountCodes[Normal Balance], MATCH(C33,AccountCodes[PPSAS CODE]))="Debit",E33-F33,0)</f>
        <v>0</v>
      </c>
      <c r="E33" s="626">
        <f>SUMIF(PostTB[Account Code (Old)],B33,(PostTB[Debit]))+SUMIF(CkDJ[Account Code],B33,(CkDJ[Debit]))+SUMIF(CsDJ[Account Code],B33,(CsDJ[Debit]))+SUMIF(CRDJ[Account Code],B33,(CRDJ[Debit]))+SUMIF(GJ[Account Code],B33,(GJ[Debit]))</f>
        <v>0</v>
      </c>
      <c r="F33" s="627">
        <f>SUMIF(PostTB[Account Code (Old)],B33,(PostTB[Credit]))+SUMIF(CkDJ[Account Code],B33,(CkDJ[Credit]))+SUMIF(CsDJ[Account Code],B33,(CsDJ[Credit]))+SUMIF(CRDJ[Account Code],B33,(CRDJ[Credit]))+SUMIF(GJ[Account Code],B33,(GJ[Credit]))</f>
        <v>0</v>
      </c>
      <c r="G33" s="627">
        <f>IF(INDEX(AccountCodes[Normal Balance], MATCH(C33,AccountCodes[PPSAS CODE]))="Credit",F33-E33,0)</f>
        <v>0</v>
      </c>
      <c r="H33" s="626">
        <f t="shared" si="0"/>
        <v>0</v>
      </c>
    </row>
    <row r="34" spans="1:8" ht="15.75" hidden="1">
      <c r="A34" s="623" t="str">
        <f t="array" ref="A34">INDEX(AccountCodes[ACCOUNT NAME],MATCH(B34,AccountCodes[NGAS CODE],0))</f>
        <v>Accounts Receivable</v>
      </c>
      <c r="B34" s="597" t="s">
        <v>1437</v>
      </c>
      <c r="C34" s="625">
        <f t="array" ref="C34">INDEX(AccountCodes[PPSAS CODE],MATCH(B34,AccountCodes[NGAS CODE],0))</f>
        <v>1030101000</v>
      </c>
      <c r="D34" s="626">
        <f>IF(INDEX(AccountCodes[Normal Balance], MATCH(C34,AccountCodes[PPSAS CODE]))="Debit",E34-F34,0)</f>
        <v>0</v>
      </c>
      <c r="E34" s="626">
        <f>SUMIF(PostTB[Account Code (Old)],B34,(PostTB[Debit]))+SUMIF(CkDJ[Account Code],B34,(CkDJ[Debit]))+SUMIF(CsDJ[Account Code],B34,(CsDJ[Debit]))+SUMIF(CRDJ[Account Code],B34,(CRDJ[Debit]))+SUMIF(GJ[Account Code],B34,(GJ[Debit]))</f>
        <v>0</v>
      </c>
      <c r="F34" s="627">
        <f>SUMIF(PostTB[Account Code (Old)],B34,(PostTB[Credit]))+SUMIF(CkDJ[Account Code],B34,(CkDJ[Credit]))+SUMIF(CsDJ[Account Code],B34,(CsDJ[Credit]))+SUMIF(CRDJ[Account Code],B34,(CRDJ[Credit]))+SUMIF(GJ[Account Code],B34,(GJ[Credit]))</f>
        <v>0</v>
      </c>
      <c r="G34" s="627">
        <f>IF(INDEX(AccountCodes[Normal Balance], MATCH(C34,AccountCodes[PPSAS CODE]))="Credit",F34-E34,0)</f>
        <v>0</v>
      </c>
      <c r="H34" s="626">
        <f t="shared" si="0"/>
        <v>0</v>
      </c>
    </row>
    <row r="35" spans="1:8" ht="15.75" hidden="1">
      <c r="A35" s="623" t="str">
        <f t="array" ref="A35">INDEX(AccountCodes[ACCOUNT NAME],MATCH(B35,AccountCodes[NGAS CODE],0))</f>
        <v>Accounts Receivable - ISF (Current &amp; Back Accounts)</v>
      </c>
      <c r="B35" s="597" t="s">
        <v>351</v>
      </c>
      <c r="C35" s="625">
        <f t="array" ref="C35">INDEX(AccountCodes[PPSAS CODE],MATCH(B35,AccountCodes[NGAS CODE],0))</f>
        <v>1030101001</v>
      </c>
      <c r="D35" s="626">
        <f>IF(INDEX(AccountCodes[Normal Balance], MATCH(C35,AccountCodes[PPSAS CODE]))="Debit",E35-F35,0)</f>
        <v>0</v>
      </c>
      <c r="E35" s="626">
        <f>SUMIF(PostTB[Account Code (Old)],B35,(PostTB[Debit]))+SUMIF(CkDJ[Account Code],B35,(CkDJ[Debit]))+SUMIF(CsDJ[Account Code],B35,(CsDJ[Debit]))+SUMIF(CRDJ[Account Code],B35,(CRDJ[Debit]))+SUMIF(GJ[Account Code],B35,(GJ[Debit]))</f>
        <v>0</v>
      </c>
      <c r="F35" s="627">
        <f>SUMIF(PostTB[Account Code (Old)],B35,(PostTB[Credit]))+SUMIF(CkDJ[Account Code],B35,(CkDJ[Credit]))+SUMIF(CsDJ[Account Code],B35,(CsDJ[Credit]))+SUMIF(CRDJ[Account Code],B35,(CRDJ[Credit]))+SUMIF(GJ[Account Code],B35,(GJ[Credit]))</f>
        <v>0</v>
      </c>
      <c r="G35" s="627">
        <f>IF(INDEX(AccountCodes[Normal Balance], MATCH(C35,AccountCodes[PPSAS CODE]))="Credit",F35-E35,0)</f>
        <v>0</v>
      </c>
      <c r="H35" s="626">
        <f t="shared" si="0"/>
        <v>0</v>
      </c>
    </row>
    <row r="36" spans="1:8" ht="15.75" hidden="1">
      <c r="A36" s="623" t="str">
        <f t="array" ref="A36">INDEX(AccountCodes[ACCOUNT NAME],MATCH(B36,AccountCodes[NGAS CODE],0))</f>
        <v>Accounts Receivable - Pump/CIP/CIS Equity</v>
      </c>
      <c r="B36" s="597" t="s">
        <v>19</v>
      </c>
      <c r="C36" s="625">
        <f t="array" ref="C36">INDEX(AccountCodes[PPSAS CODE],MATCH(B36,AccountCodes[NGAS CODE],0))</f>
        <v>1030101002</v>
      </c>
      <c r="D36" s="626">
        <f>IF(INDEX(AccountCodes[Normal Balance], MATCH(C36,AccountCodes[PPSAS CODE]))="Debit",E36-F36,0)</f>
        <v>0</v>
      </c>
      <c r="E36" s="626">
        <f>SUMIF(PostTB[Account Code (Old)],B36,(PostTB[Debit]))+SUMIF(CkDJ[Account Code],B36,(CkDJ[Debit]))+SUMIF(CsDJ[Account Code],B36,(CsDJ[Debit]))+SUMIF(CRDJ[Account Code],B36,(CRDJ[Debit]))+SUMIF(GJ[Account Code],B36,(GJ[Debit]))</f>
        <v>0</v>
      </c>
      <c r="F36" s="627">
        <f>SUMIF(PostTB[Account Code (Old)],B36,(PostTB[Credit]))+SUMIF(CkDJ[Account Code],B36,(CkDJ[Credit]))+SUMIF(CsDJ[Account Code],B36,(CsDJ[Credit]))+SUMIF(CRDJ[Account Code],B36,(CRDJ[Credit]))+SUMIF(GJ[Account Code],B36,(GJ[Credit]))</f>
        <v>0</v>
      </c>
      <c r="G36" s="627">
        <f>IF(INDEX(AccountCodes[Normal Balance], MATCH(C36,AccountCodes[PPSAS CODE]))="Credit",F36-E36,0)</f>
        <v>0</v>
      </c>
      <c r="H36" s="626">
        <f t="shared" si="0"/>
        <v>0</v>
      </c>
    </row>
    <row r="37" spans="1:8" ht="15.75" hidden="1">
      <c r="A37" s="623" t="str">
        <f t="array" ref="A37">INDEX(AccountCodes[ACCOUNT NAME],MATCH(B37,AccountCodes[NGAS CODE],0))</f>
        <v>Accounts Receivable - Others</v>
      </c>
      <c r="B37" s="597" t="s">
        <v>18</v>
      </c>
      <c r="C37" s="625">
        <f t="array" ref="C37">INDEX(AccountCodes[PPSAS CODE],MATCH(B37,AccountCodes[NGAS CODE],0))</f>
        <v>1030101003</v>
      </c>
      <c r="D37" s="626">
        <f>IF(INDEX(AccountCodes[Normal Balance], MATCH(C37,AccountCodes[PPSAS CODE]))="Debit",E37-F37,0)</f>
        <v>0</v>
      </c>
      <c r="E37" s="626">
        <f>SUMIF(PostTB[Account Code (Old)],B37,(PostTB[Debit]))+SUMIF(CkDJ[Account Code],B37,(CkDJ[Debit]))+SUMIF(CsDJ[Account Code],B37,(CsDJ[Debit]))+SUMIF(CRDJ[Account Code],B37,(CRDJ[Debit]))+SUMIF(GJ[Account Code],B37,(GJ[Debit]))</f>
        <v>0</v>
      </c>
      <c r="F37" s="627">
        <f>SUMIF(PostTB[Account Code (Old)],B37,(PostTB[Credit]))+SUMIF(CkDJ[Account Code],B37,(CkDJ[Credit]))+SUMIF(CsDJ[Account Code],B37,(CsDJ[Credit]))+SUMIF(CRDJ[Account Code],B37,(CRDJ[Credit]))+SUMIF(GJ[Account Code],B37,(GJ[Credit]))</f>
        <v>0</v>
      </c>
      <c r="G37" s="627">
        <f>IF(INDEX(AccountCodes[Normal Balance], MATCH(C37,AccountCodes[PPSAS CODE]))="Credit",F37-E37,0)</f>
        <v>0</v>
      </c>
      <c r="H37" s="626">
        <f t="shared" si="0"/>
        <v>0</v>
      </c>
    </row>
    <row r="38" spans="1:8" ht="15.75" hidden="1">
      <c r="A38" s="623" t="str">
        <f t="array" ref="A38">INDEX(AccountCodes[ACCOUNT NAME],MATCH(B38,AccountCodes[NGAS CODE],0))</f>
        <v>Allowance for Impairment-Accounts Receivable</v>
      </c>
      <c r="B38" s="597" t="s">
        <v>84</v>
      </c>
      <c r="C38" s="625">
        <f t="array" ref="C38">INDEX(AccountCodes[PPSAS CODE],MATCH(B38,AccountCodes[NGAS CODE],0))</f>
        <v>1030101100</v>
      </c>
      <c r="D38" s="626">
        <f>IF(INDEX(AccountCodes[Normal Balance], MATCH(C38,AccountCodes[PPSAS CODE]))="Debit",E38-F38,0)</f>
        <v>0</v>
      </c>
      <c r="E38" s="626">
        <f>SUMIF(PostTB[Account Code (Old)],B38,(PostTB[Debit]))+SUMIF(CkDJ[Account Code],B38,(CkDJ[Debit]))+SUMIF(CsDJ[Account Code],B38,(CsDJ[Debit]))+SUMIF(CRDJ[Account Code],B38,(CRDJ[Debit]))+SUMIF(GJ[Account Code],B38,(GJ[Debit]))</f>
        <v>0</v>
      </c>
      <c r="F38" s="627">
        <f>SUMIF(PostTB[Account Code (Old)],B38,(PostTB[Credit]))+SUMIF(CkDJ[Account Code],B38,(CkDJ[Credit]))+SUMIF(CsDJ[Account Code],B38,(CsDJ[Credit]))+SUMIF(CRDJ[Account Code],B38,(CRDJ[Credit]))+SUMIF(GJ[Account Code],B38,(GJ[Credit]))</f>
        <v>0</v>
      </c>
      <c r="G38" s="627">
        <f>IF(INDEX(AccountCodes[Normal Balance], MATCH(C38,AccountCodes[PPSAS CODE]))="Credit",F38-E38,0)</f>
        <v>0</v>
      </c>
      <c r="H38" s="626">
        <f t="shared" si="0"/>
        <v>0</v>
      </c>
    </row>
    <row r="39" spans="1:8" ht="15.75" hidden="1">
      <c r="A39" s="623" t="str">
        <f t="array" ref="A39">INDEX(AccountCodes[ACCOUNT NAME],MATCH(B39,AccountCodes[NGAS CODE],0))</f>
        <v>Due from National Government Agencies</v>
      </c>
      <c r="B39" s="597" t="s">
        <v>21</v>
      </c>
      <c r="C39" s="625">
        <f t="array" ref="C39">INDEX(AccountCodes[PPSAS CODE],MATCH(B39,AccountCodes[NGAS CODE],0))</f>
        <v>1030301000</v>
      </c>
      <c r="D39" s="626">
        <f>IF(INDEX(AccountCodes[Normal Balance], MATCH(C39,AccountCodes[PPSAS CODE]))="Debit",E39-F39,0)</f>
        <v>0</v>
      </c>
      <c r="E39" s="626">
        <f>SUMIF(PostTB[Account Code (Old)],B39,(PostTB[Debit]))+SUMIF(CkDJ[Account Code],B39,(CkDJ[Debit]))+SUMIF(CsDJ[Account Code],B39,(CsDJ[Debit]))+SUMIF(CRDJ[Account Code],B39,(CRDJ[Debit]))+SUMIF(GJ[Account Code],B39,(GJ[Debit]))</f>
        <v>0</v>
      </c>
      <c r="F39" s="627">
        <f>SUMIF(PostTB[Account Code (Old)],B39,(PostTB[Credit]))+SUMIF(CkDJ[Account Code],B39,(CkDJ[Credit]))+SUMIF(CsDJ[Account Code],B39,(CsDJ[Credit]))+SUMIF(CRDJ[Account Code],B39,(CRDJ[Credit]))+SUMIF(GJ[Account Code],B39,(GJ[Credit]))</f>
        <v>0</v>
      </c>
      <c r="G39" s="627">
        <f>IF(INDEX(AccountCodes[Normal Balance], MATCH(C39,AccountCodes[PPSAS CODE]))="Credit",F39-E39,0)</f>
        <v>0</v>
      </c>
      <c r="H39" s="626">
        <f t="shared" si="0"/>
        <v>0</v>
      </c>
    </row>
    <row r="40" spans="1:8" ht="15.75" hidden="1">
      <c r="A40" s="623" t="str">
        <f t="array" ref="A40">INDEX(AccountCodes[ACCOUNT NAME],MATCH(B40,AccountCodes[NGAS CODE],0))</f>
        <v>Due from Government-Owned or Controlled Corporations</v>
      </c>
      <c r="B40" s="597" t="s">
        <v>22</v>
      </c>
      <c r="C40" s="625">
        <f t="array" ref="C40">INDEX(AccountCodes[PPSAS CODE],MATCH(B40,AccountCodes[NGAS CODE],0))</f>
        <v>1030302000</v>
      </c>
      <c r="D40" s="626">
        <f>IF(INDEX(AccountCodes[Normal Balance], MATCH(C40,AccountCodes[PPSAS CODE]))="Debit",E40-F40,0)</f>
        <v>0</v>
      </c>
      <c r="E40" s="626">
        <f>SUMIF(PostTB[Account Code (Old)],B40,(PostTB[Debit]))+SUMIF(CkDJ[Account Code],B40,(CkDJ[Debit]))+SUMIF(CsDJ[Account Code],B40,(CsDJ[Debit]))+SUMIF(CRDJ[Account Code],B40,(CRDJ[Debit]))+SUMIF(GJ[Account Code],B40,(GJ[Debit]))</f>
        <v>0</v>
      </c>
      <c r="F40" s="627">
        <f>SUMIF(PostTB[Account Code (Old)],B40,(PostTB[Credit]))+SUMIF(CkDJ[Account Code],B40,(CkDJ[Credit]))+SUMIF(CsDJ[Account Code],B40,(CsDJ[Credit]))+SUMIF(CRDJ[Account Code],B40,(CRDJ[Credit]))+SUMIF(GJ[Account Code],B40,(GJ[Credit]))</f>
        <v>0</v>
      </c>
      <c r="G40" s="627">
        <f>IF(INDEX(AccountCodes[Normal Balance], MATCH(C40,AccountCodes[PPSAS CODE]))="Credit",F40-E40,0)</f>
        <v>0</v>
      </c>
      <c r="H40" s="626">
        <f t="shared" si="0"/>
        <v>0</v>
      </c>
    </row>
    <row r="41" spans="1:8" ht="15.75" hidden="1">
      <c r="A41" s="623" t="str">
        <f t="array" ref="A41">INDEX(AccountCodes[ACCOUNT NAME],MATCH(B41,AccountCodes[NGAS CODE],0))</f>
        <v>Due from Local Government Units</v>
      </c>
      <c r="B41" s="597" t="s">
        <v>23</v>
      </c>
      <c r="C41" s="625">
        <f t="array" ref="C41">INDEX(AccountCodes[PPSAS CODE],MATCH(B41,AccountCodes[NGAS CODE],0))</f>
        <v>1030303000</v>
      </c>
      <c r="D41" s="626">
        <f>IF(INDEX(AccountCodes[Normal Balance], MATCH(C41,AccountCodes[PPSAS CODE]))="Debit",E41-F41,0)</f>
        <v>0</v>
      </c>
      <c r="E41" s="626">
        <f>SUMIF(PostTB[Account Code (Old)],B41,(PostTB[Debit]))+SUMIF(CkDJ[Account Code],B41,(CkDJ[Debit]))+SUMIF(CsDJ[Account Code],B41,(CsDJ[Debit]))+SUMIF(CRDJ[Account Code],B41,(CRDJ[Debit]))+SUMIF(GJ[Account Code],B41,(GJ[Debit]))</f>
        <v>0</v>
      </c>
      <c r="F41" s="627">
        <f>SUMIF(PostTB[Account Code (Old)],B41,(PostTB[Credit]))+SUMIF(CkDJ[Account Code],B41,(CkDJ[Credit]))+SUMIF(CsDJ[Account Code],B41,(CsDJ[Credit]))+SUMIF(CRDJ[Account Code],B41,(CRDJ[Credit]))+SUMIF(GJ[Account Code],B41,(GJ[Credit]))</f>
        <v>0</v>
      </c>
      <c r="G41" s="627">
        <f>IF(INDEX(AccountCodes[Normal Balance], MATCH(C41,AccountCodes[PPSAS CODE]))="Credit",F41-E41,0)</f>
        <v>0</v>
      </c>
      <c r="H41" s="626">
        <f t="shared" si="0"/>
        <v>0</v>
      </c>
    </row>
    <row r="42" spans="1:8" ht="15.75" hidden="1">
      <c r="A42" s="623" t="str">
        <f t="array" ref="A42">INDEX(AccountCodes[ACCOUNT NAME],MATCH(B42,AccountCodes[NGAS CODE],0))</f>
        <v>Due from Central Office</v>
      </c>
      <c r="B42" s="597" t="s">
        <v>1159</v>
      </c>
      <c r="C42" s="625">
        <f t="array" ref="C42">INDEX(AccountCodes[PPSAS CODE],MATCH(B42,AccountCodes[NGAS CODE],0))</f>
        <v>1030401000</v>
      </c>
      <c r="D42" s="626">
        <f>IF(INDEX(AccountCodes[Normal Balance], MATCH(C42,AccountCodes[PPSAS CODE]))="Debit",E42-F42,0)</f>
        <v>0</v>
      </c>
      <c r="E42" s="626">
        <f>SUMIF(PostTB[Account Code (Old)],B42,(PostTB[Debit]))+SUMIF(CkDJ[Account Code],B42,(CkDJ[Debit]))+SUMIF(CsDJ[Account Code],B42,(CsDJ[Debit]))+SUMIF(CRDJ[Account Code],B42,(CRDJ[Debit]))+SUMIF(GJ[Account Code],B42,(GJ[Debit]))</f>
        <v>0</v>
      </c>
      <c r="F42" s="627">
        <f>SUMIF(PostTB[Account Code (Old)],B42,(PostTB[Credit]))+SUMIF(CkDJ[Account Code],B42,(CkDJ[Credit]))+SUMIF(CsDJ[Account Code],B42,(CsDJ[Credit]))+SUMIF(CRDJ[Account Code],B42,(CRDJ[Credit]))+SUMIF(GJ[Account Code],B42,(GJ[Credit]))</f>
        <v>0</v>
      </c>
      <c r="G42" s="627">
        <f>IF(INDEX(AccountCodes[Normal Balance], MATCH(C42,AccountCodes[PPSAS CODE]))="Credit",F42-E42,0)</f>
        <v>0</v>
      </c>
      <c r="H42" s="626">
        <f t="shared" si="0"/>
        <v>0</v>
      </c>
    </row>
    <row r="43" spans="1:8" ht="15.75" hidden="1">
      <c r="A43" s="623" t="str">
        <f t="array" ref="A43">INDEX(AccountCodes[ACCOUNT NAME],MATCH(B43,AccountCodes[NGAS CODE],0))</f>
        <v>Due from Regional Offices</v>
      </c>
      <c r="B43" s="597" t="s">
        <v>24</v>
      </c>
      <c r="C43" s="625">
        <f t="array" ref="C43">INDEX(AccountCodes[PPSAS CODE],MATCH(B43,AccountCodes[NGAS CODE],0))</f>
        <v>1030403000</v>
      </c>
      <c r="D43" s="626">
        <f>IF(INDEX(AccountCodes[Normal Balance], MATCH(C43,AccountCodes[PPSAS CODE]))="Debit",E43-F43,0)</f>
        <v>0</v>
      </c>
      <c r="E43" s="626">
        <f>SUMIF(PostTB[Account Code (Old)],B43,(PostTB[Debit]))+SUMIF(CkDJ[Account Code],B43,(CkDJ[Debit]))+SUMIF(CsDJ[Account Code],B43,(CsDJ[Debit]))+SUMIF(CRDJ[Account Code],B43,(CRDJ[Debit]))+SUMIF(GJ[Account Code],B43,(GJ[Debit]))</f>
        <v>0</v>
      </c>
      <c r="F43" s="627">
        <f>SUMIF(PostTB[Account Code (Old)],B43,(PostTB[Credit]))+SUMIF(CkDJ[Account Code],B43,(CkDJ[Credit]))+SUMIF(CsDJ[Account Code],B43,(CsDJ[Credit]))+SUMIF(CRDJ[Account Code],B43,(CRDJ[Credit]))+SUMIF(GJ[Account Code],B43,(GJ[Credit]))</f>
        <v>0</v>
      </c>
      <c r="G43" s="627">
        <f>IF(INDEX(AccountCodes[Normal Balance], MATCH(C43,AccountCodes[PPSAS CODE]))="Credit",F43-E43,0)</f>
        <v>0</v>
      </c>
      <c r="H43" s="626">
        <f t="shared" si="0"/>
        <v>0</v>
      </c>
    </row>
    <row r="44" spans="1:8" ht="15.75" hidden="1">
      <c r="A44" s="623" t="str">
        <f t="array" ref="A44">INDEX(AccountCodes[ACCOUNT NAME],MATCH(B44,AccountCodes[NGAS CODE],0))</f>
        <v>Due from Other Funds</v>
      </c>
      <c r="B44" s="597" t="s">
        <v>25</v>
      </c>
      <c r="C44" s="625">
        <f t="array" ref="C44">INDEX(AccountCodes[PPSAS CODE],MATCH(B44,AccountCodes[NGAS CODE],0))</f>
        <v>1030405000</v>
      </c>
      <c r="D44" s="626">
        <f>IF(INDEX(AccountCodes[Normal Balance], MATCH(C44,AccountCodes[PPSAS CODE]))="Debit",E44-F44,0)</f>
        <v>0</v>
      </c>
      <c r="E44" s="626">
        <f>SUMIF(PostTB[Account Code (Old)],B44,(PostTB[Debit]))+SUMIF(CkDJ[Account Code],B44,(CkDJ[Debit]))+SUMIF(CsDJ[Account Code],B44,(CsDJ[Debit]))+SUMIF(CRDJ[Account Code],B44,(CRDJ[Debit]))+SUMIF(GJ[Account Code],B44,(GJ[Debit]))</f>
        <v>0</v>
      </c>
      <c r="F44" s="627">
        <f>SUMIF(PostTB[Account Code (Old)],B44,(PostTB[Credit]))+SUMIF(CkDJ[Account Code],B44,(CkDJ[Credit]))+SUMIF(CsDJ[Account Code],B44,(CsDJ[Credit]))+SUMIF(CRDJ[Account Code],B44,(CRDJ[Credit]))+SUMIF(GJ[Account Code],B44,(GJ[Credit]))</f>
        <v>0</v>
      </c>
      <c r="G44" s="627">
        <f>IF(INDEX(AccountCodes[Normal Balance], MATCH(C44,AccountCodes[PPSAS CODE]))="Credit",F44-E44,0)</f>
        <v>0</v>
      </c>
      <c r="H44" s="626">
        <f t="shared" si="0"/>
        <v>0</v>
      </c>
    </row>
    <row r="45" spans="1:8" ht="15.75" hidden="1">
      <c r="A45" s="623" t="str">
        <f t="array" ref="A45">INDEX(AccountCodes[ACCOUNT NAME],MATCH(B45,AccountCodes[NGAS CODE],0))</f>
        <v>Receivables-Disallowances/Charges</v>
      </c>
      <c r="B45" s="597" t="s">
        <v>26</v>
      </c>
      <c r="C45" s="625">
        <f t="array" ref="C45">INDEX(AccountCodes[PPSAS CODE],MATCH(B45,AccountCodes[NGAS CODE],0))</f>
        <v>1030501000</v>
      </c>
      <c r="D45" s="626">
        <f>IF(INDEX(AccountCodes[Normal Balance], MATCH(C45,AccountCodes[PPSAS CODE]))="Debit",E45-F45,0)</f>
        <v>0</v>
      </c>
      <c r="E45" s="626">
        <f>SUMIF(PostTB[Account Code (Old)],B45,(PostTB[Debit]))+SUMIF(CkDJ[Account Code],B45,(CkDJ[Debit]))+SUMIF(CsDJ[Account Code],B45,(CsDJ[Debit]))+SUMIF(CRDJ[Account Code],B45,(CRDJ[Debit]))+SUMIF(GJ[Account Code],B45,(GJ[Debit]))</f>
        <v>0</v>
      </c>
      <c r="F45" s="627">
        <f>SUMIF(PostTB[Account Code (Old)],B45,(PostTB[Credit]))+SUMIF(CkDJ[Account Code],B45,(CkDJ[Credit]))+SUMIF(CsDJ[Account Code],B45,(CsDJ[Credit]))+SUMIF(CRDJ[Account Code],B45,(CRDJ[Credit]))+SUMIF(GJ[Account Code],B45,(GJ[Credit]))</f>
        <v>0</v>
      </c>
      <c r="G45" s="627">
        <f>IF(INDEX(AccountCodes[Normal Balance], MATCH(C45,AccountCodes[PPSAS CODE]))="Credit",F45-E45,0)</f>
        <v>0</v>
      </c>
      <c r="H45" s="626">
        <f t="shared" si="0"/>
        <v>0</v>
      </c>
    </row>
    <row r="46" spans="1:8" ht="15.75" hidden="1">
      <c r="A46" s="623" t="str">
        <f t="array" ref="A46">INDEX(AccountCodes[ACCOUNT NAME],MATCH(B46,AccountCodes[NGAS CODE],0))</f>
        <v>Due from Officers and Employees</v>
      </c>
      <c r="B46" s="597" t="s">
        <v>20</v>
      </c>
      <c r="C46" s="625">
        <f t="array" ref="C46">INDEX(AccountCodes[PPSAS CODE],MATCH(B46,AccountCodes[NGAS CODE],0))</f>
        <v>1030502000</v>
      </c>
      <c r="D46" s="626">
        <f>IF(INDEX(AccountCodes[Normal Balance], MATCH(C46,AccountCodes[PPSAS CODE]))="Debit",E46-F46,0)</f>
        <v>73.88</v>
      </c>
      <c r="E46" s="626">
        <f>SUMIF(PostTB[Account Code (Old)],B46,(PostTB[Debit]))+SUMIF(CkDJ[Account Code],B46,(CkDJ[Debit]))+SUMIF(CsDJ[Account Code],B46,(CsDJ[Debit]))+SUMIF(CRDJ[Account Code],B46,(CRDJ[Debit]))+SUMIF(GJ[Account Code],B46,(GJ[Debit]))</f>
        <v>73.88</v>
      </c>
      <c r="F46" s="627">
        <f>SUMIF(PostTB[Account Code (Old)],B46,(PostTB[Credit]))+SUMIF(CkDJ[Account Code],B46,(CkDJ[Credit]))+SUMIF(CsDJ[Account Code],B46,(CsDJ[Credit]))+SUMIF(CRDJ[Account Code],B46,(CRDJ[Credit]))+SUMIF(GJ[Account Code],B46,(GJ[Credit]))</f>
        <v>0</v>
      </c>
      <c r="G46" s="627">
        <f>IF(INDEX(AccountCodes[Normal Balance], MATCH(C46,AccountCodes[PPSAS CODE]))="Credit",F46-E46,0)</f>
        <v>0</v>
      </c>
      <c r="H46" s="626">
        <f t="shared" si="0"/>
        <v>73.88</v>
      </c>
    </row>
    <row r="47" spans="1:8" ht="15.75" hidden="1">
      <c r="A47" s="623" t="str">
        <f t="array" ref="A47">INDEX(AccountCodes[ACCOUNT NAME],MATCH(B47,AccountCodes[NGAS CODE],0))</f>
        <v>Advances to Officers and Employees</v>
      </c>
      <c r="B47" s="597" t="s">
        <v>27</v>
      </c>
      <c r="C47" s="625">
        <f t="array" ref="C47">INDEX(AccountCodes[PPSAS CODE],MATCH(B47,AccountCodes[NGAS CODE],0))</f>
        <v>1990104000</v>
      </c>
      <c r="D47" s="626">
        <f>IF(INDEX(AccountCodes[Normal Balance], MATCH(C47,AccountCodes[PPSAS CODE]))="Debit",E47-F47,0)</f>
        <v>-202360</v>
      </c>
      <c r="E47" s="626">
        <f>SUMIF(PostTB[Account Code (Old)],B47,(PostTB[Debit]))+SUMIF(CkDJ[Account Code],B47,(CkDJ[Debit]))+SUMIF(CsDJ[Account Code],B47,(CsDJ[Debit]))+SUMIF(CRDJ[Account Code],B47,(CRDJ[Debit]))+SUMIF(GJ[Account Code],B47,(GJ[Debit]))</f>
        <v>0</v>
      </c>
      <c r="F47" s="627">
        <f>SUMIF(PostTB[Account Code (Old)],B47,(PostTB[Credit]))+SUMIF(CkDJ[Account Code],B47,(CkDJ[Credit]))+SUMIF(CsDJ[Account Code],B47,(CsDJ[Credit]))+SUMIF(CRDJ[Account Code],B47,(CRDJ[Credit]))+SUMIF(GJ[Account Code],B47,(GJ[Credit]))</f>
        <v>202360</v>
      </c>
      <c r="G47" s="627">
        <f>IF(INDEX(AccountCodes[Normal Balance], MATCH(C47,AccountCodes[PPSAS CODE]))="Credit",F47-E47,0)</f>
        <v>0</v>
      </c>
      <c r="H47" s="626">
        <f t="shared" si="0"/>
        <v>-202360</v>
      </c>
    </row>
    <row r="48" spans="1:8" ht="15.75" hidden="1">
      <c r="A48" s="623" t="str">
        <f t="array" ref="A48">INDEX(AccountCodes[ACCOUNT NAME],MATCH(B48,AccountCodes[NGAS CODE],0))</f>
        <v>Other Receivables</v>
      </c>
      <c r="B48" s="597" t="s">
        <v>28</v>
      </c>
      <c r="C48" s="625">
        <f t="array" ref="C48">INDEX(AccountCodes[PPSAS CODE],MATCH(B48,AccountCodes[NGAS CODE],0))</f>
        <v>1030599000</v>
      </c>
      <c r="D48" s="626">
        <f>IF(INDEX(AccountCodes[Normal Balance], MATCH(C48,AccountCodes[PPSAS CODE]))="Debit",E48-F48,0)</f>
        <v>0</v>
      </c>
      <c r="E48" s="626">
        <f>SUMIF(PostTB[Account Code (Old)],B48,(PostTB[Debit]))+SUMIF(CkDJ[Account Code],B48,(CkDJ[Debit]))+SUMIF(CsDJ[Account Code],B48,(CsDJ[Debit]))+SUMIF(CRDJ[Account Code],B48,(CRDJ[Debit]))+SUMIF(GJ[Account Code],B48,(GJ[Debit]))</f>
        <v>0</v>
      </c>
      <c r="F48" s="627">
        <f>SUMIF(PostTB[Account Code (Old)],B48,(PostTB[Credit]))+SUMIF(CkDJ[Account Code],B48,(CkDJ[Credit]))+SUMIF(CsDJ[Account Code],B48,(CsDJ[Credit]))+SUMIF(CRDJ[Account Code],B48,(CRDJ[Credit]))+SUMIF(GJ[Account Code],B48,(GJ[Credit]))</f>
        <v>0</v>
      </c>
      <c r="G48" s="627">
        <f>IF(INDEX(AccountCodes[Normal Balance], MATCH(C48,AccountCodes[PPSAS CODE]))="Credit",F48-E48,0)</f>
        <v>0</v>
      </c>
      <c r="H48" s="626">
        <f t="shared" si="0"/>
        <v>0</v>
      </c>
    </row>
    <row r="49" spans="1:8" ht="15.75" hidden="1">
      <c r="A49" s="623" t="str">
        <f t="array" ref="A49">INDEX(AccountCodes[ACCOUNT NAME],MATCH(B49,AccountCodes[NGAS CODE],0))</f>
        <v>Office Supplies Inventory</v>
      </c>
      <c r="B49" s="597" t="s">
        <v>30</v>
      </c>
      <c r="C49" s="625">
        <f t="array" ref="C49">INDEX(AccountCodes[PPSAS CODE],MATCH(B49,AccountCodes[NGAS CODE],0))</f>
        <v>1040401000</v>
      </c>
      <c r="D49" s="626">
        <f>IF(INDEX(AccountCodes[Normal Balance], MATCH(C49,AccountCodes[PPSAS CODE]))="Debit",E49-F49,0)</f>
        <v>-41246.959999999999</v>
      </c>
      <c r="E49" s="626">
        <f>SUMIF(PostTB[Account Code (Old)],B49,(PostTB[Debit]))+SUMIF(CkDJ[Account Code],B49,(CkDJ[Debit]))+SUMIF(CsDJ[Account Code],B49,(CsDJ[Debit]))+SUMIF(CRDJ[Account Code],B49,(CRDJ[Debit]))+SUMIF(GJ[Account Code],B49,(GJ[Debit]))</f>
        <v>384857</v>
      </c>
      <c r="F49" s="627">
        <f>SUMIF(PostTB[Account Code (Old)],B49,(PostTB[Credit]))+SUMIF(CkDJ[Account Code],B49,(CkDJ[Credit]))+SUMIF(CsDJ[Account Code],B49,(CsDJ[Credit]))+SUMIF(CRDJ[Account Code],B49,(CRDJ[Credit]))+SUMIF(GJ[Account Code],B49,(GJ[Credit]))</f>
        <v>426103.96</v>
      </c>
      <c r="G49" s="627">
        <f>IF(INDEX(AccountCodes[Normal Balance], MATCH(C49,AccountCodes[PPSAS CODE]))="Credit",F49-E49,0)</f>
        <v>0</v>
      </c>
      <c r="H49" s="626">
        <f t="shared" si="0"/>
        <v>-41246.959999999999</v>
      </c>
    </row>
    <row r="50" spans="1:8" ht="15.75" hidden="1">
      <c r="A50" s="623" t="str">
        <f t="array" ref="A50">INDEX(AccountCodes[ACCOUNT NAME],MATCH(B50,AccountCodes[NGAS CODE],0))</f>
        <v>Accountable Forms, Plates and Stickers Inventory</v>
      </c>
      <c r="B50" s="597" t="s">
        <v>1157</v>
      </c>
      <c r="C50" s="625">
        <f t="array" ref="C50">INDEX(AccountCodes[PPSAS CODE],MATCH(B50,AccountCodes[NGAS CODE],0))</f>
        <v>1040402000</v>
      </c>
      <c r="D50" s="626">
        <f>IF(INDEX(AccountCodes[Normal Balance], MATCH(C50,AccountCodes[PPSAS CODE]))="Debit",E50-F50,0)</f>
        <v>0</v>
      </c>
      <c r="E50" s="626">
        <f>SUMIF(PostTB[Account Code (Old)],B50,(PostTB[Debit]))+SUMIF(CkDJ[Account Code],B50,(CkDJ[Debit]))+SUMIF(CsDJ[Account Code],B50,(CsDJ[Debit]))+SUMIF(CRDJ[Account Code],B50,(CRDJ[Debit]))+SUMIF(GJ[Account Code],B50,(GJ[Debit]))</f>
        <v>0</v>
      </c>
      <c r="F50" s="627">
        <f>SUMIF(PostTB[Account Code (Old)],B50,(PostTB[Credit]))+SUMIF(CkDJ[Account Code],B50,(CkDJ[Credit]))+SUMIF(CsDJ[Account Code],B50,(CsDJ[Credit]))+SUMIF(CRDJ[Account Code],B50,(CRDJ[Credit]))+SUMIF(GJ[Account Code],B50,(GJ[Credit]))</f>
        <v>0</v>
      </c>
      <c r="G50" s="627">
        <f>IF(INDEX(AccountCodes[Normal Balance], MATCH(C50,AccountCodes[PPSAS CODE]))="Credit",F50-E50,0)</f>
        <v>0</v>
      </c>
      <c r="H50" s="626">
        <f t="shared" si="0"/>
        <v>0</v>
      </c>
    </row>
    <row r="51" spans="1:8" ht="15.75" hidden="1">
      <c r="A51" s="623" t="str">
        <f t="array" ref="A51">INDEX(AccountCodes[ACCOUNT NAME],MATCH(B51,AccountCodes[NGAS CODE],0))</f>
        <v>Medical, Dental and Laboratory Supplies Inventory</v>
      </c>
      <c r="B51" s="597" t="s">
        <v>1221</v>
      </c>
      <c r="C51" s="625">
        <f t="array" ref="C51">INDEX(AccountCodes[PPSAS CODE],MATCH(B51,AccountCodes[NGAS CODE],0))</f>
        <v>1040407000</v>
      </c>
      <c r="D51" s="626">
        <f>IF(INDEX(AccountCodes[Normal Balance], MATCH(C51,AccountCodes[PPSAS CODE]))="Debit",E51-F51,0)</f>
        <v>0</v>
      </c>
      <c r="E51" s="626">
        <f>SUMIF(PostTB[Account Code (Old)],B51,(PostTB[Debit]))+SUMIF(CkDJ[Account Code],B51,(CkDJ[Debit]))+SUMIF(CsDJ[Account Code],B51,(CsDJ[Debit]))+SUMIF(CRDJ[Account Code],B51,(CRDJ[Debit]))+SUMIF(GJ[Account Code],B51,(GJ[Debit]))</f>
        <v>0</v>
      </c>
      <c r="F51" s="627">
        <f>SUMIF(PostTB[Account Code (Old)],B51,(PostTB[Credit]))+SUMIF(CkDJ[Account Code],B51,(CkDJ[Credit]))+SUMIF(CsDJ[Account Code],B51,(CsDJ[Credit]))+SUMIF(CRDJ[Account Code],B51,(CRDJ[Credit]))+SUMIF(GJ[Account Code],B51,(GJ[Credit]))</f>
        <v>0</v>
      </c>
      <c r="G51" s="627">
        <f>IF(INDEX(AccountCodes[Normal Balance], MATCH(C51,AccountCodes[PPSAS CODE]))="Credit",F51-E51,0)</f>
        <v>0</v>
      </c>
      <c r="H51" s="626">
        <f t="shared" si="0"/>
        <v>0</v>
      </c>
    </row>
    <row r="52" spans="1:8" ht="15.75" hidden="1">
      <c r="A52" s="623" t="str">
        <f t="array" ref="A52">INDEX(AccountCodes[ACCOUNT NAME],MATCH(B52,AccountCodes[NGAS CODE],0))</f>
        <v>Fuel, Oil and Lubricants Inventory</v>
      </c>
      <c r="B52" s="597" t="s">
        <v>31</v>
      </c>
      <c r="C52" s="625">
        <f t="array" ref="C52">INDEX(AccountCodes[PPSAS CODE],MATCH(B52,AccountCodes[NGAS CODE],0))</f>
        <v>1040408000</v>
      </c>
      <c r="D52" s="626">
        <f>IF(INDEX(AccountCodes[Normal Balance], MATCH(C52,AccountCodes[PPSAS CODE]))="Debit",E52-F52,0)</f>
        <v>0</v>
      </c>
      <c r="E52" s="626">
        <f>SUMIF(PostTB[Account Code (Old)],B52,(PostTB[Debit]))+SUMIF(CkDJ[Account Code],B52,(CkDJ[Debit]))+SUMIF(CsDJ[Account Code],B52,(CsDJ[Debit]))+SUMIF(CRDJ[Account Code],B52,(CRDJ[Debit]))+SUMIF(GJ[Account Code],B52,(GJ[Debit]))</f>
        <v>0</v>
      </c>
      <c r="F52" s="627">
        <f>SUMIF(PostTB[Account Code (Old)],B52,(PostTB[Credit]))+SUMIF(CkDJ[Account Code],B52,(CkDJ[Credit]))+SUMIF(CsDJ[Account Code],B52,(CsDJ[Credit]))+SUMIF(CRDJ[Account Code],B52,(CRDJ[Credit]))+SUMIF(GJ[Account Code],B52,(GJ[Credit]))</f>
        <v>0</v>
      </c>
      <c r="G52" s="627">
        <f>IF(INDEX(AccountCodes[Normal Balance], MATCH(C52,AccountCodes[PPSAS CODE]))="Credit",F52-E52,0)</f>
        <v>0</v>
      </c>
      <c r="H52" s="626">
        <f t="shared" si="0"/>
        <v>0</v>
      </c>
    </row>
    <row r="53" spans="1:8" ht="15.75" hidden="1">
      <c r="A53" s="623" t="str">
        <f t="array" ref="A53">INDEX(AccountCodes[ACCOUNT NAME],MATCH(B53,AccountCodes[NGAS CODE],0))</f>
        <v>Textbooks and Instructional Materials Inventory</v>
      </c>
      <c r="B53" s="597" t="s">
        <v>1222</v>
      </c>
      <c r="C53" s="625">
        <f t="array" ref="C53">INDEX(AccountCodes[PPSAS CODE],MATCH(B53,AccountCodes[NGAS CODE],0))</f>
        <v>1040410000</v>
      </c>
      <c r="D53" s="626">
        <f>IF(INDEX(AccountCodes[Normal Balance], MATCH(C53,AccountCodes[PPSAS CODE]))="Debit",E53-F53,0)</f>
        <v>0</v>
      </c>
      <c r="E53" s="626">
        <f>SUMIF(PostTB[Account Code (Old)],B53,(PostTB[Debit]))+SUMIF(CkDJ[Account Code],B53,(CkDJ[Debit]))+SUMIF(CsDJ[Account Code],B53,(CsDJ[Debit]))+SUMIF(CRDJ[Account Code],B53,(CRDJ[Debit]))+SUMIF(GJ[Account Code],B53,(GJ[Debit]))</f>
        <v>0</v>
      </c>
      <c r="F53" s="627">
        <f>SUMIF(PostTB[Account Code (Old)],B53,(PostTB[Credit]))+SUMIF(CkDJ[Account Code],B53,(CkDJ[Credit]))+SUMIF(CsDJ[Account Code],B53,(CsDJ[Credit]))+SUMIF(CRDJ[Account Code],B53,(CRDJ[Credit]))+SUMIF(GJ[Account Code],B53,(GJ[Credit]))</f>
        <v>0</v>
      </c>
      <c r="G53" s="627">
        <f>IF(INDEX(AccountCodes[Normal Balance], MATCH(C53,AccountCodes[PPSAS CODE]))="Credit",F53-E53,0)</f>
        <v>0</v>
      </c>
      <c r="H53" s="626">
        <f t="shared" si="0"/>
        <v>0</v>
      </c>
    </row>
    <row r="54" spans="1:8" ht="15.75" hidden="1">
      <c r="A54" s="623" t="str">
        <f t="array" ref="A54">INDEX(AccountCodes[ACCOUNT NAME],MATCH(B54,AccountCodes[NGAS CODE],0))</f>
        <v>Construction Materials Inventory</v>
      </c>
      <c r="B54" s="597" t="s">
        <v>1223</v>
      </c>
      <c r="C54" s="625">
        <f t="array" ref="C54">INDEX(AccountCodes[PPSAS CODE],MATCH(B54,AccountCodes[NGAS CODE],0))</f>
        <v>1040413000</v>
      </c>
      <c r="D54" s="626">
        <f>IF(INDEX(AccountCodes[Normal Balance], MATCH(C54,AccountCodes[PPSAS CODE]))="Debit",E54-F54,0)</f>
        <v>0</v>
      </c>
      <c r="E54" s="626">
        <f>SUMIF(PostTB[Account Code (Old)],B54,(PostTB[Debit]))+SUMIF(CkDJ[Account Code],B54,(CkDJ[Debit]))+SUMIF(CsDJ[Account Code],B54,(CsDJ[Debit]))+SUMIF(CRDJ[Account Code],B54,(CRDJ[Debit]))+SUMIF(GJ[Account Code],B54,(GJ[Debit]))</f>
        <v>0</v>
      </c>
      <c r="F54" s="627">
        <f>SUMIF(PostTB[Account Code (Old)],B54,(PostTB[Credit]))+SUMIF(CkDJ[Account Code],B54,(CkDJ[Credit]))+SUMIF(CsDJ[Account Code],B54,(CsDJ[Credit]))+SUMIF(CRDJ[Account Code],B54,(CRDJ[Credit]))+SUMIF(GJ[Account Code],B54,(GJ[Credit]))</f>
        <v>0</v>
      </c>
      <c r="G54" s="627">
        <f>IF(INDEX(AccountCodes[Normal Balance], MATCH(C54,AccountCodes[PPSAS CODE]))="Credit",F54-E54,0)</f>
        <v>0</v>
      </c>
      <c r="H54" s="626">
        <f t="shared" si="0"/>
        <v>0</v>
      </c>
    </row>
    <row r="55" spans="1:8" ht="15.75" hidden="1">
      <c r="A55" s="623" t="str">
        <f t="array" ref="A55">INDEX(AccountCodes[ACCOUNT NAME],MATCH(B55,AccountCodes[NGAS CODE],0))</f>
        <v>Other Supplies and Materials Inventory</v>
      </c>
      <c r="B55" s="597" t="s">
        <v>32</v>
      </c>
      <c r="C55" s="625">
        <f t="array" ref="C55">INDEX(AccountCodes[PPSAS CODE],MATCH(B55,AccountCodes[NGAS CODE],0))</f>
        <v>1040499000</v>
      </c>
      <c r="D55" s="626">
        <f>IF(INDEX(AccountCodes[Normal Balance], MATCH(C55,AccountCodes[PPSAS CODE]))="Debit",E55-F55,0)</f>
        <v>-69491.350000000006</v>
      </c>
      <c r="E55" s="626">
        <f>SUMIF(PostTB[Account Code (Old)],B55,(PostTB[Debit]))+SUMIF(CkDJ[Account Code],B55,(CkDJ[Debit]))+SUMIF(CsDJ[Account Code],B55,(CsDJ[Debit]))+SUMIF(CRDJ[Account Code],B55,(CRDJ[Debit]))+SUMIF(GJ[Account Code],B55,(GJ[Debit]))</f>
        <v>0</v>
      </c>
      <c r="F55" s="627">
        <f>SUMIF(PostTB[Account Code (Old)],B55,(PostTB[Credit]))+SUMIF(CkDJ[Account Code],B55,(CkDJ[Credit]))+SUMIF(CsDJ[Account Code],B55,(CsDJ[Credit]))+SUMIF(CRDJ[Account Code],B55,(CRDJ[Credit]))+SUMIF(GJ[Account Code],B55,(GJ[Credit]))</f>
        <v>69491.350000000006</v>
      </c>
      <c r="G55" s="627">
        <f>IF(INDEX(AccountCodes[Normal Balance], MATCH(C55,AccountCodes[PPSAS CODE]))="Credit",F55-E55,0)</f>
        <v>0</v>
      </c>
      <c r="H55" s="626">
        <f t="shared" si="0"/>
        <v>-69491.350000000006</v>
      </c>
    </row>
    <row r="56" spans="1:8" ht="15.75" hidden="1">
      <c r="A56" s="623" t="str">
        <f t="array" ref="A56">INDEX(AccountCodes[ACCOUNT NAME],MATCH(B56,AccountCodes[NGAS CODE],0))</f>
        <v>Semi-Expendable Machinery</v>
      </c>
      <c r="B56" s="597" t="s">
        <v>1244</v>
      </c>
      <c r="C56" s="625">
        <f t="array" ref="C56">INDEX(AccountCodes[PPSAS CODE],MATCH(B56,AccountCodes[NGAS CODE],0))</f>
        <v>1040501000</v>
      </c>
      <c r="D56" s="626">
        <f>IF(INDEX(AccountCodes[Normal Balance], MATCH(C56,AccountCodes[PPSAS CODE]))="Debit",E56-F56,0)</f>
        <v>0</v>
      </c>
      <c r="E56" s="626">
        <f>SUMIF(PostTB[Account Code (Old)],B56,(PostTB[Debit]))+SUMIF(CkDJ[Account Code],B56,(CkDJ[Debit]))+SUMIF(CsDJ[Account Code],B56,(CsDJ[Debit]))+SUMIF(CRDJ[Account Code],B56,(CRDJ[Debit]))+SUMIF(GJ[Account Code],B56,(GJ[Debit]))</f>
        <v>0</v>
      </c>
      <c r="F56" s="627">
        <f>SUMIF(PostTB[Account Code (Old)],B56,(PostTB[Credit]))+SUMIF(CkDJ[Account Code],B56,(CkDJ[Credit]))+SUMIF(CsDJ[Account Code],B56,(CsDJ[Credit]))+SUMIF(CRDJ[Account Code],B56,(CRDJ[Credit]))+SUMIF(GJ[Account Code],B56,(GJ[Credit]))</f>
        <v>0</v>
      </c>
      <c r="G56" s="627">
        <f>IF(INDEX(AccountCodes[Normal Balance], MATCH(C56,AccountCodes[PPSAS CODE]))="Credit",F56-E56,0)</f>
        <v>0</v>
      </c>
      <c r="H56" s="626">
        <f t="shared" si="0"/>
        <v>0</v>
      </c>
    </row>
    <row r="57" spans="1:8" ht="15.75" hidden="1">
      <c r="A57" s="623" t="str">
        <f t="array" ref="A57">INDEX(AccountCodes[ACCOUNT NAME],MATCH(B57,AccountCodes[NGAS CODE],0))</f>
        <v>Semi-Expendable Office Equipment</v>
      </c>
      <c r="B57" s="597" t="s">
        <v>1245</v>
      </c>
      <c r="C57" s="625">
        <f t="array" ref="C57">INDEX(AccountCodes[PPSAS CODE],MATCH(B57,AccountCodes[NGAS CODE],0))</f>
        <v>1040502000</v>
      </c>
      <c r="D57" s="626">
        <f>IF(INDEX(AccountCodes[Normal Balance], MATCH(C57,AccountCodes[PPSAS CODE]))="Debit",E57-F57,0)</f>
        <v>189876</v>
      </c>
      <c r="E57" s="626">
        <f>SUMIF(PostTB[Account Code (Old)],B57,(PostTB[Debit]))+SUMIF(CkDJ[Account Code],B57,(CkDJ[Debit]))+SUMIF(CsDJ[Account Code],B57,(CsDJ[Debit]))+SUMIF(CRDJ[Account Code],B57,(CRDJ[Debit]))+SUMIF(GJ[Account Code],B57,(GJ[Debit]))</f>
        <v>270071</v>
      </c>
      <c r="F57" s="627">
        <f>SUMIF(PostTB[Account Code (Old)],B57,(PostTB[Credit]))+SUMIF(CkDJ[Account Code],B57,(CkDJ[Credit]))+SUMIF(CsDJ[Account Code],B57,(CsDJ[Credit]))+SUMIF(CRDJ[Account Code],B57,(CRDJ[Credit]))+SUMIF(GJ[Account Code],B57,(GJ[Credit]))</f>
        <v>80195</v>
      </c>
      <c r="G57" s="627">
        <f>IF(INDEX(AccountCodes[Normal Balance], MATCH(C57,AccountCodes[PPSAS CODE]))="Credit",F57-E57,0)</f>
        <v>0</v>
      </c>
      <c r="H57" s="626">
        <f t="shared" si="0"/>
        <v>189876</v>
      </c>
    </row>
    <row r="58" spans="1:8" ht="15.75" hidden="1">
      <c r="A58" s="623" t="str">
        <f t="array" ref="A58">INDEX(AccountCodes[ACCOUNT NAME],MATCH(B58,AccountCodes[NGAS CODE],0))</f>
        <v>Semi-Expendable Information and Communications Technology Equipment</v>
      </c>
      <c r="B58" s="597" t="s">
        <v>1246</v>
      </c>
      <c r="C58" s="625">
        <f t="array" ref="C58">INDEX(AccountCodes[PPSAS CODE],MATCH(B58,AccountCodes[NGAS CODE],0))</f>
        <v>1040503000</v>
      </c>
      <c r="D58" s="626">
        <f>IF(INDEX(AccountCodes[Normal Balance], MATCH(C58,AccountCodes[PPSAS CODE]))="Debit",E58-F58,0)</f>
        <v>-26900</v>
      </c>
      <c r="E58" s="626">
        <f>SUMIF(PostTB[Account Code (Old)],B58,(PostTB[Debit]))+SUMIF(CkDJ[Account Code],B58,(CkDJ[Debit]))+SUMIF(CsDJ[Account Code],B58,(CsDJ[Debit]))+SUMIF(CRDJ[Account Code],B58,(CRDJ[Debit]))+SUMIF(GJ[Account Code],B58,(GJ[Debit]))</f>
        <v>9230</v>
      </c>
      <c r="F58" s="627">
        <f>SUMIF(PostTB[Account Code (Old)],B58,(PostTB[Credit]))+SUMIF(CkDJ[Account Code],B58,(CkDJ[Credit]))+SUMIF(CsDJ[Account Code],B58,(CsDJ[Credit]))+SUMIF(CRDJ[Account Code],B58,(CRDJ[Credit]))+SUMIF(GJ[Account Code],B58,(GJ[Credit]))</f>
        <v>36130</v>
      </c>
      <c r="G58" s="627">
        <f>IF(INDEX(AccountCodes[Normal Balance], MATCH(C58,AccountCodes[PPSAS CODE]))="Credit",F58-E58,0)</f>
        <v>0</v>
      </c>
      <c r="H58" s="626">
        <f t="shared" si="0"/>
        <v>-26900</v>
      </c>
    </row>
    <row r="59" spans="1:8" ht="15.75" hidden="1">
      <c r="A59" s="623" t="str">
        <f t="array" ref="A59">INDEX(AccountCodes[ACCOUNT NAME],MATCH(B59,AccountCodes[NGAS CODE],0))</f>
        <v>Semi-Expendable Agricultural and Forestry Equipment</v>
      </c>
      <c r="B59" s="597" t="s">
        <v>1247</v>
      </c>
      <c r="C59" s="625">
        <f t="array" ref="C59">INDEX(AccountCodes[PPSAS CODE],MATCH(B59,AccountCodes[NGAS CODE],0))</f>
        <v>1040504000</v>
      </c>
      <c r="D59" s="626">
        <f>IF(INDEX(AccountCodes[Normal Balance], MATCH(C59,AccountCodes[PPSAS CODE]))="Debit",E59-F59,0)</f>
        <v>0</v>
      </c>
      <c r="E59" s="626">
        <f>SUMIF(PostTB[Account Code (Old)],B59,(PostTB[Debit]))+SUMIF(CkDJ[Account Code],B59,(CkDJ[Debit]))+SUMIF(CsDJ[Account Code],B59,(CsDJ[Debit]))+SUMIF(CRDJ[Account Code],B59,(CRDJ[Debit]))+SUMIF(GJ[Account Code],B59,(GJ[Debit]))</f>
        <v>0</v>
      </c>
      <c r="F59" s="627">
        <f>SUMIF(PostTB[Account Code (Old)],B59,(PostTB[Credit]))+SUMIF(CkDJ[Account Code],B59,(CkDJ[Credit]))+SUMIF(CsDJ[Account Code],B59,(CsDJ[Credit]))+SUMIF(CRDJ[Account Code],B59,(CRDJ[Credit]))+SUMIF(GJ[Account Code],B59,(GJ[Credit]))</f>
        <v>0</v>
      </c>
      <c r="G59" s="627">
        <f>IF(INDEX(AccountCodes[Normal Balance], MATCH(C59,AccountCodes[PPSAS CODE]))="Credit",F59-E59,0)</f>
        <v>0</v>
      </c>
      <c r="H59" s="626">
        <f t="shared" si="0"/>
        <v>0</v>
      </c>
    </row>
    <row r="60" spans="1:8" ht="15.75" hidden="1">
      <c r="A60" s="623" t="str">
        <f t="array" ref="A60">INDEX(AccountCodes[ACCOUNT NAME],MATCH(B60,AccountCodes[NGAS CODE],0))</f>
        <v>Semi-Expendable Marine and Fishery Equipment</v>
      </c>
      <c r="B60" s="597" t="s">
        <v>1248</v>
      </c>
      <c r="C60" s="625">
        <f t="array" ref="C60">INDEX(AccountCodes[PPSAS CODE],MATCH(B60,AccountCodes[NGAS CODE],0))</f>
        <v>1040505000</v>
      </c>
      <c r="D60" s="626">
        <f>IF(INDEX(AccountCodes[Normal Balance], MATCH(C60,AccountCodes[PPSAS CODE]))="Debit",E60-F60,0)</f>
        <v>0</v>
      </c>
      <c r="E60" s="626">
        <f>SUMIF(PostTB[Account Code (Old)],B60,(PostTB[Debit]))+SUMIF(CkDJ[Account Code],B60,(CkDJ[Debit]))+SUMIF(CsDJ[Account Code],B60,(CsDJ[Debit]))+SUMIF(CRDJ[Account Code],B60,(CRDJ[Debit]))+SUMIF(GJ[Account Code],B60,(GJ[Debit]))</f>
        <v>0</v>
      </c>
      <c r="F60" s="627">
        <f>SUMIF(PostTB[Account Code (Old)],B60,(PostTB[Credit]))+SUMIF(CkDJ[Account Code],B60,(CkDJ[Credit]))+SUMIF(CsDJ[Account Code],B60,(CsDJ[Credit]))+SUMIF(CRDJ[Account Code],B60,(CRDJ[Credit]))+SUMIF(GJ[Account Code],B60,(GJ[Credit]))</f>
        <v>0</v>
      </c>
      <c r="G60" s="627">
        <f>IF(INDEX(AccountCodes[Normal Balance], MATCH(C60,AccountCodes[PPSAS CODE]))="Credit",F60-E60,0)</f>
        <v>0</v>
      </c>
      <c r="H60" s="626">
        <f t="shared" si="0"/>
        <v>0</v>
      </c>
    </row>
    <row r="61" spans="1:8" ht="15.75" hidden="1">
      <c r="A61" s="623" t="str">
        <f t="array" ref="A61">INDEX(AccountCodes[ACCOUNT NAME],MATCH(B61,AccountCodes[NGAS CODE],0))</f>
        <v>Semi-Expendable Airport Equipment</v>
      </c>
      <c r="B61" s="597" t="s">
        <v>1249</v>
      </c>
      <c r="C61" s="625">
        <f t="array" ref="C61">INDEX(AccountCodes[PPSAS CODE],MATCH(B61,AccountCodes[NGAS CODE],0))</f>
        <v>1040506000</v>
      </c>
      <c r="D61" s="626">
        <f>IF(INDEX(AccountCodes[Normal Balance], MATCH(C61,AccountCodes[PPSAS CODE]))="Debit",E61-F61,0)</f>
        <v>0</v>
      </c>
      <c r="E61" s="626">
        <f>SUMIF(PostTB[Account Code (Old)],B61,(PostTB[Debit]))+SUMIF(CkDJ[Account Code],B61,(CkDJ[Debit]))+SUMIF(CsDJ[Account Code],B61,(CsDJ[Debit]))+SUMIF(CRDJ[Account Code],B61,(CRDJ[Debit]))+SUMIF(GJ[Account Code],B61,(GJ[Debit]))</f>
        <v>0</v>
      </c>
      <c r="F61" s="627">
        <f>SUMIF(PostTB[Account Code (Old)],B61,(PostTB[Credit]))+SUMIF(CkDJ[Account Code],B61,(CkDJ[Credit]))+SUMIF(CsDJ[Account Code],B61,(CsDJ[Credit]))+SUMIF(CRDJ[Account Code],B61,(CRDJ[Credit]))+SUMIF(GJ[Account Code],B61,(GJ[Credit]))</f>
        <v>0</v>
      </c>
      <c r="G61" s="627">
        <f>IF(INDEX(AccountCodes[Normal Balance], MATCH(C61,AccountCodes[PPSAS CODE]))="Credit",F61-E61,0)</f>
        <v>0</v>
      </c>
      <c r="H61" s="626">
        <f t="shared" si="0"/>
        <v>0</v>
      </c>
    </row>
    <row r="62" spans="1:8" ht="15.75" hidden="1">
      <c r="A62" s="623" t="str">
        <f t="array" ref="A62">INDEX(AccountCodes[ACCOUNT NAME],MATCH(B62,AccountCodes[NGAS CODE],0))</f>
        <v>Semi-Expendable Communications Equipment</v>
      </c>
      <c r="B62" s="597" t="s">
        <v>1250</v>
      </c>
      <c r="C62" s="625">
        <f t="array" ref="C62">INDEX(AccountCodes[PPSAS CODE],MATCH(B62,AccountCodes[NGAS CODE],0))</f>
        <v>1040507000</v>
      </c>
      <c r="D62" s="626">
        <f>IF(INDEX(AccountCodes[Normal Balance], MATCH(C62,AccountCodes[PPSAS CODE]))="Debit",E62-F62,0)</f>
        <v>-5398</v>
      </c>
      <c r="E62" s="626">
        <f>SUMIF(PostTB[Account Code (Old)],B62,(PostTB[Debit]))+SUMIF(CkDJ[Account Code],B62,(CkDJ[Debit]))+SUMIF(CsDJ[Account Code],B62,(CsDJ[Debit]))+SUMIF(CRDJ[Account Code],B62,(CRDJ[Debit]))+SUMIF(GJ[Account Code],B62,(GJ[Debit]))</f>
        <v>0</v>
      </c>
      <c r="F62" s="627">
        <f>SUMIF(PostTB[Account Code (Old)],B62,(PostTB[Credit]))+SUMIF(CkDJ[Account Code],B62,(CkDJ[Credit]))+SUMIF(CsDJ[Account Code],B62,(CsDJ[Credit]))+SUMIF(CRDJ[Account Code],B62,(CRDJ[Credit]))+SUMIF(GJ[Account Code],B62,(GJ[Credit]))</f>
        <v>5398</v>
      </c>
      <c r="G62" s="627">
        <f>IF(INDEX(AccountCodes[Normal Balance], MATCH(C62,AccountCodes[PPSAS CODE]))="Credit",F62-E62,0)</f>
        <v>0</v>
      </c>
      <c r="H62" s="626">
        <f t="shared" si="0"/>
        <v>-5398</v>
      </c>
    </row>
    <row r="63" spans="1:8" ht="15.75" hidden="1">
      <c r="A63" s="623" t="str">
        <f t="array" ref="A63">INDEX(AccountCodes[ACCOUNT NAME],MATCH(B63,AccountCodes[NGAS CODE],0))</f>
        <v>Semi-Expendable Disaster Response and Rescue Equipment</v>
      </c>
      <c r="B63" s="597" t="s">
        <v>1251</v>
      </c>
      <c r="C63" s="625">
        <f t="array" ref="C63">INDEX(AccountCodes[PPSAS CODE],MATCH(B63,AccountCodes[NGAS CODE],0))</f>
        <v>1040508000</v>
      </c>
      <c r="D63" s="626">
        <f>IF(INDEX(AccountCodes[Normal Balance], MATCH(C63,AccountCodes[PPSAS CODE]))="Debit",E63-F63,0)</f>
        <v>0</v>
      </c>
      <c r="E63" s="626">
        <f>SUMIF(PostTB[Account Code (Old)],B63,(PostTB[Debit]))+SUMIF(CkDJ[Account Code],B63,(CkDJ[Debit]))+SUMIF(CsDJ[Account Code],B63,(CsDJ[Debit]))+SUMIF(CRDJ[Account Code],B63,(CRDJ[Debit]))+SUMIF(GJ[Account Code],B63,(GJ[Debit]))</f>
        <v>0</v>
      </c>
      <c r="F63" s="627">
        <f>SUMIF(PostTB[Account Code (Old)],B63,(PostTB[Credit]))+SUMIF(CkDJ[Account Code],B63,(CkDJ[Credit]))+SUMIF(CsDJ[Account Code],B63,(CsDJ[Credit]))+SUMIF(CRDJ[Account Code],B63,(CRDJ[Credit]))+SUMIF(GJ[Account Code],B63,(GJ[Credit]))</f>
        <v>0</v>
      </c>
      <c r="G63" s="627">
        <f>IF(INDEX(AccountCodes[Normal Balance], MATCH(C63,AccountCodes[PPSAS CODE]))="Credit",F63-E63,0)</f>
        <v>0</v>
      </c>
      <c r="H63" s="626">
        <f t="shared" si="0"/>
        <v>0</v>
      </c>
    </row>
    <row r="64" spans="1:8" ht="15.75" hidden="1">
      <c r="A64" s="623" t="str">
        <f t="array" ref="A64">INDEX(AccountCodes[ACCOUNT NAME],MATCH(B64,AccountCodes[NGAS CODE],0))</f>
        <v>Semi-Expendable Military, Police and Security Equipment</v>
      </c>
      <c r="B64" s="597" t="s">
        <v>1252</v>
      </c>
      <c r="C64" s="625">
        <f t="array" ref="C64">INDEX(AccountCodes[PPSAS CODE],MATCH(B64,AccountCodes[NGAS CODE],0))</f>
        <v>1040509000</v>
      </c>
      <c r="D64" s="626">
        <f>IF(INDEX(AccountCodes[Normal Balance], MATCH(C64,AccountCodes[PPSAS CODE]))="Debit",E64-F64,0)</f>
        <v>0</v>
      </c>
      <c r="E64" s="626">
        <f>SUMIF(PostTB[Account Code (Old)],B64,(PostTB[Debit]))+SUMIF(CkDJ[Account Code],B64,(CkDJ[Debit]))+SUMIF(CsDJ[Account Code],B64,(CsDJ[Debit]))+SUMIF(CRDJ[Account Code],B64,(CRDJ[Debit]))+SUMIF(GJ[Account Code],B64,(GJ[Debit]))</f>
        <v>0</v>
      </c>
      <c r="F64" s="627">
        <f>SUMIF(PostTB[Account Code (Old)],B64,(PostTB[Credit]))+SUMIF(CkDJ[Account Code],B64,(CkDJ[Credit]))+SUMIF(CsDJ[Account Code],B64,(CsDJ[Credit]))+SUMIF(CRDJ[Account Code],B64,(CRDJ[Credit]))+SUMIF(GJ[Account Code],B64,(GJ[Credit]))</f>
        <v>0</v>
      </c>
      <c r="G64" s="627">
        <f>IF(INDEX(AccountCodes[Normal Balance], MATCH(C64,AccountCodes[PPSAS CODE]))="Credit",F64-E64,0)</f>
        <v>0</v>
      </c>
      <c r="H64" s="626">
        <f t="shared" si="0"/>
        <v>0</v>
      </c>
    </row>
    <row r="65" spans="1:8" ht="15.75" hidden="1">
      <c r="A65" s="623" t="str">
        <f t="array" ref="A65">INDEX(AccountCodes[ACCOUNT NAME],MATCH(B65,AccountCodes[NGAS CODE],0))</f>
        <v>Semi-Expendable Medical Equipment</v>
      </c>
      <c r="B65" s="597" t="s">
        <v>1253</v>
      </c>
      <c r="C65" s="625">
        <f t="array" ref="C65">INDEX(AccountCodes[PPSAS CODE],MATCH(B65,AccountCodes[NGAS CODE],0))</f>
        <v>1040510000</v>
      </c>
      <c r="D65" s="626">
        <f>IF(INDEX(AccountCodes[Normal Balance], MATCH(C65,AccountCodes[PPSAS CODE]))="Debit",E65-F65,0)</f>
        <v>0</v>
      </c>
      <c r="E65" s="626">
        <f>SUMIF(PostTB[Account Code (Old)],B65,(PostTB[Debit]))+SUMIF(CkDJ[Account Code],B65,(CkDJ[Debit]))+SUMIF(CsDJ[Account Code],B65,(CsDJ[Debit]))+SUMIF(CRDJ[Account Code],B65,(CRDJ[Debit]))+SUMIF(GJ[Account Code],B65,(GJ[Debit]))</f>
        <v>0</v>
      </c>
      <c r="F65" s="627">
        <f>SUMIF(PostTB[Account Code (Old)],B65,(PostTB[Credit]))+SUMIF(CkDJ[Account Code],B65,(CkDJ[Credit]))+SUMIF(CsDJ[Account Code],B65,(CsDJ[Credit]))+SUMIF(CRDJ[Account Code],B65,(CRDJ[Credit]))+SUMIF(GJ[Account Code],B65,(GJ[Credit]))</f>
        <v>0</v>
      </c>
      <c r="G65" s="627">
        <f>IF(INDEX(AccountCodes[Normal Balance], MATCH(C65,AccountCodes[PPSAS CODE]))="Credit",F65-E65,0)</f>
        <v>0</v>
      </c>
      <c r="H65" s="626">
        <f t="shared" si="0"/>
        <v>0</v>
      </c>
    </row>
    <row r="66" spans="1:8" ht="15.75" hidden="1">
      <c r="A66" s="623" t="str">
        <f t="array" ref="A66">INDEX(AccountCodes[ACCOUNT NAME],MATCH(B66,AccountCodes[NGAS CODE],0))</f>
        <v>Semi-Expendable Printing Equipment</v>
      </c>
      <c r="B66" s="597" t="s">
        <v>1254</v>
      </c>
      <c r="C66" s="625">
        <f t="array" ref="C66">INDEX(AccountCodes[PPSAS CODE],MATCH(B66,AccountCodes[NGAS CODE],0))</f>
        <v>1040511000</v>
      </c>
      <c r="D66" s="626">
        <f>IF(INDEX(AccountCodes[Normal Balance], MATCH(C66,AccountCodes[PPSAS CODE]))="Debit",E66-F66,0)</f>
        <v>0</v>
      </c>
      <c r="E66" s="626">
        <f>SUMIF(PostTB[Account Code (Old)],B66,(PostTB[Debit]))+SUMIF(CkDJ[Account Code],B66,(CkDJ[Debit]))+SUMIF(CsDJ[Account Code],B66,(CsDJ[Debit]))+SUMIF(CRDJ[Account Code],B66,(CRDJ[Debit]))+SUMIF(GJ[Account Code],B66,(GJ[Debit]))</f>
        <v>0</v>
      </c>
      <c r="F66" s="627">
        <f>SUMIF(PostTB[Account Code (Old)],B66,(PostTB[Credit]))+SUMIF(CkDJ[Account Code],B66,(CkDJ[Credit]))+SUMIF(CsDJ[Account Code],B66,(CsDJ[Credit]))+SUMIF(CRDJ[Account Code],B66,(CRDJ[Credit]))+SUMIF(GJ[Account Code],B66,(GJ[Credit]))</f>
        <v>0</v>
      </c>
      <c r="G66" s="627">
        <f>IF(INDEX(AccountCodes[Normal Balance], MATCH(C66,AccountCodes[PPSAS CODE]))="Credit",F66-E66,0)</f>
        <v>0</v>
      </c>
      <c r="H66" s="626">
        <f t="shared" ref="H66:H129" si="1">IF(D66=0,G66,D66)</f>
        <v>0</v>
      </c>
    </row>
    <row r="67" spans="1:8" ht="15.75" hidden="1">
      <c r="A67" s="623" t="str">
        <f t="array" ref="A67">INDEX(AccountCodes[ACCOUNT NAME],MATCH(B67,AccountCodes[NGAS CODE],0))</f>
        <v>Semi-Expendable Sports Equipment</v>
      </c>
      <c r="B67" s="597" t="s">
        <v>1255</v>
      </c>
      <c r="C67" s="625">
        <f t="array" ref="C67">INDEX(AccountCodes[PPSAS CODE],MATCH(B67,AccountCodes[NGAS CODE],0))</f>
        <v>1040512000</v>
      </c>
      <c r="D67" s="626">
        <f>IF(INDEX(AccountCodes[Normal Balance], MATCH(C67,AccountCodes[PPSAS CODE]))="Debit",E67-F67,0)</f>
        <v>0</v>
      </c>
      <c r="E67" s="626">
        <f>SUMIF(PostTB[Account Code (Old)],B67,(PostTB[Debit]))+SUMIF(CkDJ[Account Code],B67,(CkDJ[Debit]))+SUMIF(CsDJ[Account Code],B67,(CsDJ[Debit]))+SUMIF(CRDJ[Account Code],B67,(CRDJ[Debit]))+SUMIF(GJ[Account Code],B67,(GJ[Debit]))</f>
        <v>0</v>
      </c>
      <c r="F67" s="627">
        <f>SUMIF(PostTB[Account Code (Old)],B67,(PostTB[Credit]))+SUMIF(CkDJ[Account Code],B67,(CkDJ[Credit]))+SUMIF(CsDJ[Account Code],B67,(CsDJ[Credit]))+SUMIF(CRDJ[Account Code],B67,(CRDJ[Credit]))+SUMIF(GJ[Account Code],B67,(GJ[Credit]))</f>
        <v>0</v>
      </c>
      <c r="G67" s="627">
        <f>IF(INDEX(AccountCodes[Normal Balance], MATCH(C67,AccountCodes[PPSAS CODE]))="Credit",F67-E67,0)</f>
        <v>0</v>
      </c>
      <c r="H67" s="626">
        <f t="shared" si="1"/>
        <v>0</v>
      </c>
    </row>
    <row r="68" spans="1:8" ht="15.75">
      <c r="A68" s="623" t="str">
        <f t="array" ref="A68">INDEX(AccountCodes[ACCOUNT NAME],MATCH(B68,AccountCodes[NGAS CODE],0))</f>
        <v>Semi-Expendable Technical and Scientific Equipment</v>
      </c>
      <c r="B68" s="597" t="s">
        <v>1256</v>
      </c>
      <c r="C68" s="625">
        <f t="array" ref="C68">INDEX(AccountCodes[PPSAS CODE],MATCH(B68,AccountCodes[NGAS CODE],0))</f>
        <v>1040513000</v>
      </c>
      <c r="D68" s="626">
        <f>IF(INDEX(AccountCodes[Normal Balance], MATCH(C68,AccountCodes[PPSAS CODE]))="Debit",E68-F68,0)</f>
        <v>6000</v>
      </c>
      <c r="E68" s="626">
        <f>SUMIF(PostTB[Account Code (Old)],B68,(PostTB[Debit]))+SUMIF(CkDJ[Account Code],B68,(CkDJ[Debit]))+SUMIF(CsDJ[Account Code],B68,(CsDJ[Debit]))+SUMIF(CRDJ[Account Code],B68,(CRDJ[Debit]))+SUMIF(GJ[Account Code],B68,(GJ[Debit]))</f>
        <v>6000</v>
      </c>
      <c r="F68" s="627">
        <f>SUMIF(PostTB[Account Code (Old)],B68,(PostTB[Credit]))+SUMIF(CkDJ[Account Code],B68,(CkDJ[Credit]))+SUMIF(CsDJ[Account Code],B68,(CsDJ[Credit]))+SUMIF(CRDJ[Account Code],B68,(CRDJ[Credit]))+SUMIF(GJ[Account Code],B68,(GJ[Credit]))</f>
        <v>0</v>
      </c>
      <c r="G68" s="627">
        <f>IF(INDEX(AccountCodes[Normal Balance], MATCH(C68,AccountCodes[PPSAS CODE]))="Credit",F68-E68,0)</f>
        <v>0</v>
      </c>
      <c r="H68" s="626">
        <f t="shared" si="1"/>
        <v>6000</v>
      </c>
    </row>
    <row r="69" spans="1:8" ht="15.75" hidden="1">
      <c r="A69" s="623" t="str">
        <f t="array" ref="A69">INDEX(AccountCodes[ACCOUNT NAME],MATCH(B69,AccountCodes[NGAS CODE],0))</f>
        <v>Semi-Expendable Other Machinery and Equipment</v>
      </c>
      <c r="B69" s="597" t="s">
        <v>1257</v>
      </c>
      <c r="C69" s="625">
        <f t="array" ref="C69">INDEX(AccountCodes[PPSAS CODE],MATCH(B69,AccountCodes[NGAS CODE],0))</f>
        <v>1040519000</v>
      </c>
      <c r="D69" s="626">
        <f>IF(INDEX(AccountCodes[Normal Balance], MATCH(C69,AccountCodes[PPSAS CODE]))="Debit",E69-F69,0)</f>
        <v>-335</v>
      </c>
      <c r="E69" s="626">
        <f>SUMIF(PostTB[Account Code (Old)],B69,(PostTB[Debit]))+SUMIF(CkDJ[Account Code],B69,(CkDJ[Debit]))+SUMIF(CsDJ[Account Code],B69,(CsDJ[Debit]))+SUMIF(CRDJ[Account Code],B69,(CRDJ[Debit]))+SUMIF(GJ[Account Code],B69,(GJ[Debit]))</f>
        <v>0</v>
      </c>
      <c r="F69" s="627">
        <f>SUMIF(PostTB[Account Code (Old)],B69,(PostTB[Credit]))+SUMIF(CkDJ[Account Code],B69,(CkDJ[Credit]))+SUMIF(CsDJ[Account Code],B69,(CsDJ[Credit]))+SUMIF(CRDJ[Account Code],B69,(CRDJ[Credit]))+SUMIF(GJ[Account Code],B69,(GJ[Credit]))</f>
        <v>335</v>
      </c>
      <c r="G69" s="627">
        <f>IF(INDEX(AccountCodes[Normal Balance], MATCH(C69,AccountCodes[PPSAS CODE]))="Credit",F69-E69,0)</f>
        <v>0</v>
      </c>
      <c r="H69" s="626">
        <f t="shared" si="1"/>
        <v>-335</v>
      </c>
    </row>
    <row r="70" spans="1:8" ht="15.75" hidden="1">
      <c r="A70" s="623" t="str">
        <f t="array" ref="A70">INDEX(AccountCodes[ACCOUNT NAME],MATCH(B70,AccountCodes[NGAS CODE],0))</f>
        <v>Semi-Expendable Furniture and Fixtures</v>
      </c>
      <c r="B70" s="597" t="s">
        <v>1438</v>
      </c>
      <c r="C70" s="625">
        <f t="array" ref="C70">INDEX(AccountCodes[PPSAS CODE],MATCH(B70,AccountCodes[NGAS CODE],0))</f>
        <v>1040601000</v>
      </c>
      <c r="D70" s="626">
        <f>IF(INDEX(AccountCodes[Normal Balance], MATCH(C70,AccountCodes[PPSAS CODE]))="Debit",E70-F70,0)</f>
        <v>-51388</v>
      </c>
      <c r="E70" s="626">
        <f>SUMIF(PostTB[Account Code (Old)],B70,(PostTB[Debit]))+SUMIF(CkDJ[Account Code],B70,(CkDJ[Debit]))+SUMIF(CsDJ[Account Code],B70,(CsDJ[Debit]))+SUMIF(CRDJ[Account Code],B70,(CRDJ[Debit]))+SUMIF(GJ[Account Code],B70,(GJ[Debit]))</f>
        <v>0</v>
      </c>
      <c r="F70" s="627">
        <f>SUMIF(PostTB[Account Code (Old)],B70,(PostTB[Credit]))+SUMIF(CkDJ[Account Code],B70,(CkDJ[Credit]))+SUMIF(CsDJ[Account Code],B70,(CsDJ[Credit]))+SUMIF(CRDJ[Account Code],B70,(CRDJ[Credit]))+SUMIF(GJ[Account Code],B70,(GJ[Credit]))</f>
        <v>51388</v>
      </c>
      <c r="G70" s="627">
        <f>IF(INDEX(AccountCodes[Normal Balance], MATCH(C70,AccountCodes[PPSAS CODE]))="Credit",F70-E70,0)</f>
        <v>0</v>
      </c>
      <c r="H70" s="626">
        <f t="shared" si="1"/>
        <v>-51388</v>
      </c>
    </row>
    <row r="71" spans="1:8" ht="15.75" hidden="1">
      <c r="A71" s="623" t="str">
        <f t="array" ref="A71">INDEX(AccountCodes[ACCOUNT NAME],MATCH(B71,AccountCodes[NGAS CODE],0))</f>
        <v>Semi-Expendable Books</v>
      </c>
      <c r="B71" s="597" t="s">
        <v>1439</v>
      </c>
      <c r="C71" s="625">
        <f t="array" ref="C71">INDEX(AccountCodes[PPSAS CODE],MATCH(B71,AccountCodes[NGAS CODE],0))</f>
        <v>1040602000</v>
      </c>
      <c r="D71" s="626">
        <f>IF(INDEX(AccountCodes[Normal Balance], MATCH(C71,AccountCodes[PPSAS CODE]))="Debit",E71-F71,0)</f>
        <v>0</v>
      </c>
      <c r="E71" s="626">
        <f>SUMIF(PostTB[Account Code (Old)],B71,(PostTB[Debit]))+SUMIF(CkDJ[Account Code],B71,(CkDJ[Debit]))+SUMIF(CsDJ[Account Code],B71,(CsDJ[Debit]))+SUMIF(CRDJ[Account Code],B71,(CRDJ[Debit]))+SUMIF(GJ[Account Code],B71,(GJ[Debit]))</f>
        <v>16000</v>
      </c>
      <c r="F71" s="627">
        <f>SUMIF(PostTB[Account Code (Old)],B71,(PostTB[Credit]))+SUMIF(CkDJ[Account Code],B71,(CkDJ[Credit]))+SUMIF(CsDJ[Account Code],B71,(CsDJ[Credit]))+SUMIF(CRDJ[Account Code],B71,(CRDJ[Credit]))+SUMIF(GJ[Account Code],B71,(GJ[Credit]))</f>
        <v>16000</v>
      </c>
      <c r="G71" s="627">
        <f>IF(INDEX(AccountCodes[Normal Balance], MATCH(C71,AccountCodes[PPSAS CODE]))="Credit",F71-E71,0)</f>
        <v>0</v>
      </c>
      <c r="H71" s="626">
        <f t="shared" si="1"/>
        <v>0</v>
      </c>
    </row>
    <row r="72" spans="1:8" ht="15.75" hidden="1">
      <c r="A72" s="623" t="str">
        <f t="array" ref="A72">INDEX(AccountCodes[ACCOUNT NAME],MATCH(B72,AccountCodes[NGAS CODE],0))</f>
        <v>Land</v>
      </c>
      <c r="B72" s="597" t="s">
        <v>38</v>
      </c>
      <c r="C72" s="625">
        <f t="array" ref="C72">INDEX(AccountCodes[PPSAS CODE],MATCH(B72,AccountCodes[NGAS CODE],0))</f>
        <v>1060101000</v>
      </c>
      <c r="D72" s="626">
        <f>IF(INDEX(AccountCodes[Normal Balance], MATCH(C72,AccountCodes[PPSAS CODE]))="Debit",E72-F72,0)</f>
        <v>0</v>
      </c>
      <c r="E72" s="626">
        <f>SUMIF(PostTB[Account Code (Old)],B72,(PostTB[Debit]))+SUMIF(CkDJ[Account Code],B72,(CkDJ[Debit]))+SUMIF(CsDJ[Account Code],B72,(CsDJ[Debit]))+SUMIF(CRDJ[Account Code],B72,(CRDJ[Debit]))+SUMIF(GJ[Account Code],B72,(GJ[Debit]))</f>
        <v>0</v>
      </c>
      <c r="F72" s="627">
        <f>SUMIF(PostTB[Account Code (Old)],B72,(PostTB[Credit]))+SUMIF(CkDJ[Account Code],B72,(CkDJ[Credit]))+SUMIF(CsDJ[Account Code],B72,(CsDJ[Credit]))+SUMIF(CRDJ[Account Code],B72,(CRDJ[Credit]))+SUMIF(GJ[Account Code],B72,(GJ[Credit]))</f>
        <v>0</v>
      </c>
      <c r="G72" s="627">
        <f>IF(INDEX(AccountCodes[Normal Balance], MATCH(C72,AccountCodes[PPSAS CODE]))="Credit",F72-E72,0)</f>
        <v>0</v>
      </c>
      <c r="H72" s="626">
        <f t="shared" si="1"/>
        <v>0</v>
      </c>
    </row>
    <row r="73" spans="1:8" ht="15.75" hidden="1">
      <c r="A73" s="623" t="str">
        <f t="array" ref="A73">INDEX(AccountCodes[ACCOUNT NAME],MATCH(B73,AccountCodes[NGAS CODE],0))</f>
        <v>Other Land Improvements</v>
      </c>
      <c r="B73" s="597" t="s">
        <v>39</v>
      </c>
      <c r="C73" s="625">
        <f t="array" ref="C73">INDEX(AccountCodes[PPSAS CODE],MATCH(B73,AccountCodes[NGAS CODE],0))</f>
        <v>1060299000</v>
      </c>
      <c r="D73" s="626">
        <f>IF(INDEX(AccountCodes[Normal Balance], MATCH(C73,AccountCodes[PPSAS CODE]))="Debit",E73-F73,0)</f>
        <v>0</v>
      </c>
      <c r="E73" s="626">
        <f>SUMIF(PostTB[Account Code (Old)],B73,(PostTB[Debit]))+SUMIF(CkDJ[Account Code],B73,(CkDJ[Debit]))+SUMIF(CsDJ[Account Code],B73,(CsDJ[Debit]))+SUMIF(CRDJ[Account Code],B73,(CRDJ[Debit]))+SUMIF(GJ[Account Code],B73,(GJ[Debit]))</f>
        <v>0</v>
      </c>
      <c r="F73" s="627">
        <f>SUMIF(PostTB[Account Code (Old)],B73,(PostTB[Credit]))+SUMIF(CkDJ[Account Code],B73,(CkDJ[Credit]))+SUMIF(CsDJ[Account Code],B73,(CsDJ[Credit]))+SUMIF(CRDJ[Account Code],B73,(CRDJ[Credit]))+SUMIF(GJ[Account Code],B73,(GJ[Credit]))</f>
        <v>0</v>
      </c>
      <c r="G73" s="627">
        <f>IF(INDEX(AccountCodes[Normal Balance], MATCH(C73,AccountCodes[PPSAS CODE]))="Credit",F73-E73,0)</f>
        <v>0</v>
      </c>
      <c r="H73" s="626">
        <f t="shared" si="1"/>
        <v>0</v>
      </c>
    </row>
    <row r="74" spans="1:8" ht="15.75" hidden="1">
      <c r="A74" s="623" t="str">
        <f t="array" ref="A74">INDEX(AccountCodes[ACCOUNT NAME],MATCH(B74,AccountCodes[NGAS CODE],0))</f>
        <v>Accumulated Depreciation-Other Land Improvements</v>
      </c>
      <c r="B74" s="597" t="s">
        <v>85</v>
      </c>
      <c r="C74" s="625">
        <f t="array" ref="C74">INDEX(AccountCodes[PPSAS CODE],MATCH(B74,AccountCodes[NGAS CODE],0))</f>
        <v>1060299100</v>
      </c>
      <c r="D74" s="626">
        <f>IF(INDEX(AccountCodes[Normal Balance], MATCH(C74,AccountCodes[PPSAS CODE]))="Debit",E74-F74,0)</f>
        <v>0</v>
      </c>
      <c r="E74" s="626">
        <f>SUMIF(PostTB[Account Code (Old)],B74,(PostTB[Debit]))+SUMIF(CkDJ[Account Code],B74,(CkDJ[Debit]))+SUMIF(CsDJ[Account Code],B74,(CsDJ[Debit]))+SUMIF(CRDJ[Account Code],B74,(CRDJ[Debit]))+SUMIF(GJ[Account Code],B74,(GJ[Debit]))</f>
        <v>0</v>
      </c>
      <c r="F74" s="627">
        <f>SUMIF(PostTB[Account Code (Old)],B74,(PostTB[Credit]))+SUMIF(CkDJ[Account Code],B74,(CkDJ[Credit]))+SUMIF(CsDJ[Account Code],B74,(CsDJ[Credit]))+SUMIF(CRDJ[Account Code],B74,(CRDJ[Credit]))+SUMIF(GJ[Account Code],B74,(GJ[Credit]))</f>
        <v>0</v>
      </c>
      <c r="G74" s="627">
        <f>IF(INDEX(AccountCodes[Normal Balance], MATCH(C74,AccountCodes[PPSAS CODE]))="Credit",F74-E74,0)</f>
        <v>0</v>
      </c>
      <c r="H74" s="626">
        <f t="shared" si="1"/>
        <v>0</v>
      </c>
    </row>
    <row r="75" spans="1:8" ht="15.75" hidden="1">
      <c r="A75" s="623" t="str">
        <f t="array" ref="A75">INDEX(AccountCodes[ACCOUNT NAME],MATCH(B75,AccountCodes[NGAS CODE],0))</f>
        <v>Road Networks</v>
      </c>
      <c r="B75" s="597" t="s">
        <v>1226</v>
      </c>
      <c r="C75" s="625">
        <f t="array" ref="C75">INDEX(AccountCodes[PPSAS CODE],MATCH(B75,AccountCodes[NGAS CODE],0))</f>
        <v>1060301000</v>
      </c>
      <c r="D75" s="626">
        <f>IF(INDEX(AccountCodes[Normal Balance], MATCH(C75,AccountCodes[PPSAS CODE]))="Debit",E75-F75,0)</f>
        <v>0</v>
      </c>
      <c r="E75" s="626">
        <f>SUMIF(PostTB[Account Code (Old)],B75,(PostTB[Debit]))+SUMIF(CkDJ[Account Code],B75,(CkDJ[Debit]))+SUMIF(CsDJ[Account Code],B75,(CsDJ[Debit]))+SUMIF(CRDJ[Account Code],B75,(CRDJ[Debit]))+SUMIF(GJ[Account Code],B75,(GJ[Debit]))</f>
        <v>0</v>
      </c>
      <c r="F75" s="627">
        <f>SUMIF(PostTB[Account Code (Old)],B75,(PostTB[Credit]))+SUMIF(CkDJ[Account Code],B75,(CkDJ[Credit]))+SUMIF(CsDJ[Account Code],B75,(CsDJ[Credit]))+SUMIF(CRDJ[Account Code],B75,(CRDJ[Credit]))+SUMIF(GJ[Account Code],B75,(GJ[Credit]))</f>
        <v>0</v>
      </c>
      <c r="G75" s="627">
        <f>IF(INDEX(AccountCodes[Normal Balance], MATCH(C75,AccountCodes[PPSAS CODE]))="Credit",F75-E75,0)</f>
        <v>0</v>
      </c>
      <c r="H75" s="626">
        <f t="shared" si="1"/>
        <v>0</v>
      </c>
    </row>
    <row r="76" spans="1:8" ht="15.75" hidden="1">
      <c r="A76" s="623" t="str">
        <f t="array" ref="A76">INDEX(AccountCodes[ACCOUNT NAME],MATCH(B76,AccountCodes[NGAS CODE],0))</f>
        <v>Accumulated Depreciation-Road Networks</v>
      </c>
      <c r="B76" s="597" t="s">
        <v>1260</v>
      </c>
      <c r="C76" s="625">
        <f t="array" ref="C76">INDEX(AccountCodes[PPSAS CODE],MATCH(B76,AccountCodes[NGAS CODE],0))</f>
        <v>1060301100</v>
      </c>
      <c r="D76" s="626">
        <f>IF(INDEX(AccountCodes[Normal Balance], MATCH(C76,AccountCodes[PPSAS CODE]))="Debit",E76-F76,0)</f>
        <v>0</v>
      </c>
      <c r="E76" s="626">
        <f>SUMIF(PostTB[Account Code (Old)],B76,(PostTB[Debit]))+SUMIF(CkDJ[Account Code],B76,(CkDJ[Debit]))+SUMIF(CsDJ[Account Code],B76,(CsDJ[Debit]))+SUMIF(CRDJ[Account Code],B76,(CRDJ[Debit]))+SUMIF(GJ[Account Code],B76,(GJ[Debit]))</f>
        <v>0</v>
      </c>
      <c r="F76" s="627">
        <f>SUMIF(PostTB[Account Code (Old)],B76,(PostTB[Credit]))+SUMIF(CkDJ[Account Code],B76,(CkDJ[Credit]))+SUMIF(CsDJ[Account Code],B76,(CsDJ[Credit]))+SUMIF(CRDJ[Account Code],B76,(CRDJ[Credit]))+SUMIF(GJ[Account Code],B76,(GJ[Credit]))</f>
        <v>0</v>
      </c>
      <c r="G76" s="627">
        <f>IF(INDEX(AccountCodes[Normal Balance], MATCH(C76,AccountCodes[PPSAS CODE]))="Credit",F76-E76,0)</f>
        <v>0</v>
      </c>
      <c r="H76" s="626">
        <f t="shared" si="1"/>
        <v>0</v>
      </c>
    </row>
    <row r="77" spans="1:8" ht="15.75">
      <c r="A77" s="623" t="str">
        <f t="array" ref="A77">INDEX(AccountCodes[ACCOUNT NAME],MATCH(B77,AccountCodes[NGAS CODE],0))</f>
        <v>Water Supply Systems</v>
      </c>
      <c r="B77" s="597" t="s">
        <v>60</v>
      </c>
      <c r="C77" s="625">
        <f t="array" ref="C77">INDEX(AccountCodes[PPSAS CODE],MATCH(B77,AccountCodes[NGAS CODE],0))</f>
        <v>1060304000</v>
      </c>
      <c r="D77" s="626">
        <f>IF(INDEX(AccountCodes[Normal Balance], MATCH(C77,AccountCodes[PPSAS CODE]))="Debit",E77-F77,0)</f>
        <v>111326096.81999999</v>
      </c>
      <c r="E77" s="626">
        <f>SUMIF(PostTB[Account Code (Old)],B77,(PostTB[Debit]))+SUMIF(CkDJ[Account Code],B77,(CkDJ[Debit]))+SUMIF(CsDJ[Account Code],B77,(CsDJ[Debit]))+SUMIF(CRDJ[Account Code],B77,(CRDJ[Debit]))+SUMIF(GJ[Account Code],B77,(GJ[Debit]))</f>
        <v>111326096.81999999</v>
      </c>
      <c r="F77" s="627">
        <f>SUMIF(PostTB[Account Code (Old)],B77,(PostTB[Credit]))+SUMIF(CkDJ[Account Code],B77,(CkDJ[Credit]))+SUMIF(CsDJ[Account Code],B77,(CsDJ[Credit]))+SUMIF(CRDJ[Account Code],B77,(CRDJ[Credit]))+SUMIF(GJ[Account Code],B77,(GJ[Credit]))</f>
        <v>0</v>
      </c>
      <c r="G77" s="627">
        <f>IF(INDEX(AccountCodes[Normal Balance], MATCH(C77,AccountCodes[PPSAS CODE]))="Credit",F77-E77,0)</f>
        <v>0</v>
      </c>
      <c r="H77" s="626">
        <f t="shared" si="1"/>
        <v>111326096.81999999</v>
      </c>
    </row>
    <row r="78" spans="1:8" ht="15.75">
      <c r="A78" s="623" t="str">
        <f t="array" ref="A78">INDEX(AccountCodes[ACCOUNT NAME],MATCH(B78,AccountCodes[NGAS CODE],0))</f>
        <v>Accumulated Depreciation-Water Supply Systems</v>
      </c>
      <c r="B78" s="597" t="s">
        <v>1261</v>
      </c>
      <c r="C78" s="625">
        <f t="array" ref="C78">INDEX(AccountCodes[PPSAS CODE],MATCH(B78,AccountCodes[NGAS CODE],0))</f>
        <v>1060304100</v>
      </c>
      <c r="D78" s="626">
        <f>IF(INDEX(AccountCodes[Normal Balance], MATCH(C78,AccountCodes[PPSAS CODE]))="Debit",E78-F78,0)</f>
        <v>0</v>
      </c>
      <c r="E78" s="626">
        <f>SUMIF(PostTB[Account Code (Old)],B78,(PostTB[Debit]))+SUMIF(CkDJ[Account Code],B78,(CkDJ[Debit]))+SUMIF(CsDJ[Account Code],B78,(CsDJ[Debit]))+SUMIF(CRDJ[Account Code],B78,(CRDJ[Debit]))+SUMIF(GJ[Account Code],B78,(GJ[Debit]))</f>
        <v>0</v>
      </c>
      <c r="F78" s="627">
        <f>SUMIF(PostTB[Account Code (Old)],B78,(PostTB[Credit]))+SUMIF(CkDJ[Account Code],B78,(CkDJ[Credit]))+SUMIF(CsDJ[Account Code],B78,(CsDJ[Credit]))+SUMIF(CRDJ[Account Code],B78,(CRDJ[Credit]))+SUMIF(GJ[Account Code],B78,(GJ[Credit]))</f>
        <v>10951535.060000001</v>
      </c>
      <c r="G78" s="627">
        <f>IF(INDEX(AccountCodes[Normal Balance], MATCH(C78,AccountCodes[PPSAS CODE]))="Credit",F78-E78,0)</f>
        <v>10951535.060000001</v>
      </c>
      <c r="H78" s="626">
        <f t="shared" si="1"/>
        <v>10951535.060000001</v>
      </c>
    </row>
    <row r="79" spans="1:8" ht="15.75" hidden="1">
      <c r="A79" s="623" t="str">
        <f t="array" ref="A79">INDEX(AccountCodes[ACCOUNT NAME],MATCH(B79,AccountCodes[NGAS CODE],0))</f>
        <v>Power Supply Systems</v>
      </c>
      <c r="B79" s="597" t="s">
        <v>1225</v>
      </c>
      <c r="C79" s="625">
        <f t="array" ref="C79">INDEX(AccountCodes[PPSAS CODE],MATCH(B79,AccountCodes[NGAS CODE],0))</f>
        <v>1060305000</v>
      </c>
      <c r="D79" s="626">
        <f>IF(INDEX(AccountCodes[Normal Balance], MATCH(C79,AccountCodes[PPSAS CODE]))="Debit",E79-F79,0)</f>
        <v>0</v>
      </c>
      <c r="E79" s="626">
        <f>SUMIF(PostTB[Account Code (Old)],B79,(PostTB[Debit]))+SUMIF(CkDJ[Account Code],B79,(CkDJ[Debit]))+SUMIF(CsDJ[Account Code],B79,(CsDJ[Debit]))+SUMIF(CRDJ[Account Code],B79,(CRDJ[Debit]))+SUMIF(GJ[Account Code],B79,(GJ[Debit]))</f>
        <v>0</v>
      </c>
      <c r="F79" s="627">
        <f>SUMIF(PostTB[Account Code (Old)],B79,(PostTB[Credit]))+SUMIF(CkDJ[Account Code],B79,(CkDJ[Credit]))+SUMIF(CsDJ[Account Code],B79,(CsDJ[Credit]))+SUMIF(CRDJ[Account Code],B79,(CRDJ[Credit]))+SUMIF(GJ[Account Code],B79,(GJ[Credit]))</f>
        <v>0</v>
      </c>
      <c r="G79" s="627">
        <f>IF(INDEX(AccountCodes[Normal Balance], MATCH(C79,AccountCodes[PPSAS CODE]))="Credit",F79-E79,0)</f>
        <v>0</v>
      </c>
      <c r="H79" s="626">
        <f t="shared" si="1"/>
        <v>0</v>
      </c>
    </row>
    <row r="80" spans="1:8" ht="15.75" hidden="1">
      <c r="A80" s="623" t="str">
        <f t="array" ref="A80">INDEX(AccountCodes[ACCOUNT NAME],MATCH(B80,AccountCodes[NGAS CODE],0))</f>
        <v>Accumulated Depreciation-Power Supply Systems</v>
      </c>
      <c r="B80" s="597" t="s">
        <v>1227</v>
      </c>
      <c r="C80" s="625">
        <f t="array" ref="C80">INDEX(AccountCodes[PPSAS CODE],MATCH(B80,AccountCodes[NGAS CODE],0))</f>
        <v>1060305100</v>
      </c>
      <c r="D80" s="626">
        <f>IF(INDEX(AccountCodes[Normal Balance], MATCH(C80,AccountCodes[PPSAS CODE]))="Debit",E80-F80,0)</f>
        <v>0</v>
      </c>
      <c r="E80" s="626">
        <f>SUMIF(PostTB[Account Code (Old)],B80,(PostTB[Debit]))+SUMIF(CkDJ[Account Code],B80,(CkDJ[Debit]))+SUMIF(CsDJ[Account Code],B80,(CsDJ[Debit]))+SUMIF(CRDJ[Account Code],B80,(CRDJ[Debit]))+SUMIF(GJ[Account Code],B80,(GJ[Debit]))</f>
        <v>0</v>
      </c>
      <c r="F80" s="627">
        <f>SUMIF(PostTB[Account Code (Old)],B80,(PostTB[Credit]))+SUMIF(CkDJ[Account Code],B80,(CkDJ[Credit]))+SUMIF(CsDJ[Account Code],B80,(CsDJ[Credit]))+SUMIF(CRDJ[Account Code],B80,(CRDJ[Credit]))+SUMIF(GJ[Account Code],B80,(GJ[Credit]))</f>
        <v>0</v>
      </c>
      <c r="G80" s="627">
        <f>IF(INDEX(AccountCodes[Normal Balance], MATCH(C80,AccountCodes[PPSAS CODE]))="Credit",F80-E80,0)</f>
        <v>0</v>
      </c>
      <c r="H80" s="626">
        <f t="shared" si="1"/>
        <v>0</v>
      </c>
    </row>
    <row r="81" spans="1:8" ht="15.75" hidden="1">
      <c r="A81" s="623" t="str">
        <f t="array" ref="A81">INDEX(AccountCodes[ACCOUNT NAME],MATCH(B81,AccountCodes[NGAS CODE],0))</f>
        <v>Buildings</v>
      </c>
      <c r="B81" s="597" t="s">
        <v>40</v>
      </c>
      <c r="C81" s="625">
        <f t="array" ref="C81">INDEX(AccountCodes[PPSAS CODE],MATCH(B81,AccountCodes[NGAS CODE],0))</f>
        <v>1060401000</v>
      </c>
      <c r="D81" s="626">
        <f>IF(INDEX(AccountCodes[Normal Balance], MATCH(C81,AccountCodes[PPSAS CODE]))="Debit",E81-F81,0)</f>
        <v>0</v>
      </c>
      <c r="E81" s="626">
        <f>SUMIF(PostTB[Account Code (Old)],B81,(PostTB[Debit]))+SUMIF(CkDJ[Account Code],B81,(CkDJ[Debit]))+SUMIF(CsDJ[Account Code],B81,(CsDJ[Debit]))+SUMIF(CRDJ[Account Code],B81,(CRDJ[Debit]))+SUMIF(GJ[Account Code],B81,(GJ[Debit]))</f>
        <v>0</v>
      </c>
      <c r="F81" s="627">
        <f>SUMIF(PostTB[Account Code (Old)],B81,(PostTB[Credit]))+SUMIF(CkDJ[Account Code],B81,(CkDJ[Credit]))+SUMIF(CsDJ[Account Code],B81,(CsDJ[Credit]))+SUMIF(CRDJ[Account Code],B81,(CRDJ[Credit]))+SUMIF(GJ[Account Code],B81,(GJ[Credit]))</f>
        <v>0</v>
      </c>
      <c r="G81" s="627">
        <f>IF(INDEX(AccountCodes[Normal Balance], MATCH(C81,AccountCodes[PPSAS CODE]))="Credit",F81-E81,0)</f>
        <v>0</v>
      </c>
      <c r="H81" s="626">
        <f t="shared" si="1"/>
        <v>0</v>
      </c>
    </row>
    <row r="82" spans="1:8" ht="15.75" hidden="1">
      <c r="A82" s="623" t="str">
        <f t="array" ref="A82">INDEX(AccountCodes[ACCOUNT NAME],MATCH(B82,AccountCodes[NGAS CODE],0))</f>
        <v>Accumulated Depreciation-Buildings</v>
      </c>
      <c r="B82" s="597" t="s">
        <v>86</v>
      </c>
      <c r="C82" s="625">
        <f t="array" ref="C82">INDEX(AccountCodes[PPSAS CODE],MATCH(B82,AccountCodes[NGAS CODE],0))</f>
        <v>1060401100</v>
      </c>
      <c r="D82" s="626">
        <f>IF(INDEX(AccountCodes[Normal Balance], MATCH(C82,AccountCodes[PPSAS CODE]))="Debit",E82-F82,0)</f>
        <v>0</v>
      </c>
      <c r="E82" s="626">
        <f>SUMIF(PostTB[Account Code (Old)],B82,(PostTB[Debit]))+SUMIF(CkDJ[Account Code],B82,(CkDJ[Debit]))+SUMIF(CsDJ[Account Code],B82,(CsDJ[Debit]))+SUMIF(CRDJ[Account Code],B82,(CRDJ[Debit]))+SUMIF(GJ[Account Code],B82,(GJ[Debit]))</f>
        <v>0</v>
      </c>
      <c r="F82" s="627">
        <f>SUMIF(PostTB[Account Code (Old)],B82,(PostTB[Credit]))+SUMIF(CkDJ[Account Code],B82,(CkDJ[Credit]))+SUMIF(CsDJ[Account Code],B82,(CsDJ[Credit]))+SUMIF(CRDJ[Account Code],B82,(CRDJ[Credit]))+SUMIF(GJ[Account Code],B82,(GJ[Credit]))</f>
        <v>0</v>
      </c>
      <c r="G82" s="627">
        <f>IF(INDEX(AccountCodes[Normal Balance], MATCH(C82,AccountCodes[PPSAS CODE]))="Credit",F82-E82,0)</f>
        <v>0</v>
      </c>
      <c r="H82" s="626">
        <f t="shared" si="1"/>
        <v>0</v>
      </c>
    </row>
    <row r="83" spans="1:8" ht="15.75" hidden="1">
      <c r="A83" s="623" t="str">
        <f t="array" ref="A83">INDEX(AccountCodes[ACCOUNT NAME],MATCH(B83,AccountCodes[NGAS CODE],0))</f>
        <v>Other Structures</v>
      </c>
      <c r="B83" s="597" t="s">
        <v>41</v>
      </c>
      <c r="C83" s="625">
        <f t="array" ref="C83">INDEX(AccountCodes[PPSAS CODE],MATCH(B83,AccountCodes[NGAS CODE],0))</f>
        <v>1060499000</v>
      </c>
      <c r="D83" s="626">
        <f>IF(INDEX(AccountCodes[Normal Balance], MATCH(C83,AccountCodes[PPSAS CODE]))="Debit",E83-F83,0)</f>
        <v>0</v>
      </c>
      <c r="E83" s="626">
        <f>SUMIF(PostTB[Account Code (Old)],B83,(PostTB[Debit]))+SUMIF(CkDJ[Account Code],B83,(CkDJ[Debit]))+SUMIF(CsDJ[Account Code],B83,(CsDJ[Debit]))+SUMIF(CRDJ[Account Code],B83,(CRDJ[Debit]))+SUMIF(GJ[Account Code],B83,(GJ[Debit]))</f>
        <v>0</v>
      </c>
      <c r="F83" s="627">
        <f>SUMIF(PostTB[Account Code (Old)],B83,(PostTB[Credit]))+SUMIF(CkDJ[Account Code],B83,(CkDJ[Credit]))+SUMIF(CsDJ[Account Code],B83,(CsDJ[Credit]))+SUMIF(CRDJ[Account Code],B83,(CRDJ[Credit]))+SUMIF(GJ[Account Code],B83,(GJ[Credit]))</f>
        <v>0</v>
      </c>
      <c r="G83" s="627">
        <f>IF(INDEX(AccountCodes[Normal Balance], MATCH(C83,AccountCodes[PPSAS CODE]))="Credit",F83-E83,0)</f>
        <v>0</v>
      </c>
      <c r="H83" s="626">
        <f t="shared" si="1"/>
        <v>0</v>
      </c>
    </row>
    <row r="84" spans="1:8" ht="15.75" hidden="1">
      <c r="A84" s="623" t="str">
        <f t="array" ref="A84">INDEX(AccountCodes[ACCOUNT NAME],MATCH(B84,AccountCodes[NGAS CODE],0))</f>
        <v>Accumulated Depreciation-Other Structures</v>
      </c>
      <c r="B84" s="597" t="s">
        <v>87</v>
      </c>
      <c r="C84" s="625">
        <f t="array" ref="C84">INDEX(AccountCodes[PPSAS CODE],MATCH(B84,AccountCodes[NGAS CODE],0))</f>
        <v>1060499100</v>
      </c>
      <c r="D84" s="626">
        <f>IF(INDEX(AccountCodes[Normal Balance], MATCH(C84,AccountCodes[PPSAS CODE]))="Debit",E84-F84,0)</f>
        <v>0</v>
      </c>
      <c r="E84" s="626">
        <f>SUMIF(PostTB[Account Code (Old)],B84,(PostTB[Debit]))+SUMIF(CkDJ[Account Code],B84,(CkDJ[Debit]))+SUMIF(CsDJ[Account Code],B84,(CsDJ[Debit]))+SUMIF(CRDJ[Account Code],B84,(CRDJ[Debit]))+SUMIF(GJ[Account Code],B84,(GJ[Debit]))</f>
        <v>0</v>
      </c>
      <c r="F84" s="627">
        <f>SUMIF(PostTB[Account Code (Old)],B84,(PostTB[Credit]))+SUMIF(CkDJ[Account Code],B84,(CkDJ[Credit]))+SUMIF(CsDJ[Account Code],B84,(CsDJ[Credit]))+SUMIF(CRDJ[Account Code],B84,(CRDJ[Credit]))+SUMIF(GJ[Account Code],B84,(GJ[Credit]))</f>
        <v>0</v>
      </c>
      <c r="G84" s="627">
        <f>IF(INDEX(AccountCodes[Normal Balance], MATCH(C84,AccountCodes[PPSAS CODE]))="Credit",F84-E84,0)</f>
        <v>0</v>
      </c>
      <c r="H84" s="626">
        <f t="shared" si="1"/>
        <v>0</v>
      </c>
    </row>
    <row r="85" spans="1:8" ht="15.75" hidden="1">
      <c r="A85" s="623" t="str">
        <f t="array" ref="A85">INDEX(AccountCodes[ACCOUNT NAME],MATCH(B85,AccountCodes[NGAS CODE],0))</f>
        <v>Machinery</v>
      </c>
      <c r="B85" s="597" t="s">
        <v>46</v>
      </c>
      <c r="C85" s="625">
        <f t="array" ref="C85">INDEX(AccountCodes[PPSAS CODE],MATCH(B85,AccountCodes[NGAS CODE],0))</f>
        <v>1060501000</v>
      </c>
      <c r="D85" s="626">
        <f>IF(INDEX(AccountCodes[Normal Balance], MATCH(C85,AccountCodes[PPSAS CODE]))="Debit",E85-F85,0)</f>
        <v>0</v>
      </c>
      <c r="E85" s="626">
        <f>SUMIF(PostTB[Account Code (Old)],B85,(PostTB[Debit]))+SUMIF(CkDJ[Account Code],B85,(CkDJ[Debit]))+SUMIF(CsDJ[Account Code],B85,(CsDJ[Debit]))+SUMIF(CRDJ[Account Code],B85,(CRDJ[Debit]))+SUMIF(GJ[Account Code],B85,(GJ[Debit]))</f>
        <v>0</v>
      </c>
      <c r="F85" s="627">
        <f>SUMIF(PostTB[Account Code (Old)],B85,(PostTB[Credit]))+SUMIF(CkDJ[Account Code],B85,(CkDJ[Credit]))+SUMIF(CsDJ[Account Code],B85,(CsDJ[Credit]))+SUMIF(CRDJ[Account Code],B85,(CRDJ[Credit]))+SUMIF(GJ[Account Code],B85,(GJ[Credit]))</f>
        <v>0</v>
      </c>
      <c r="G85" s="627">
        <f>IF(INDEX(AccountCodes[Normal Balance], MATCH(C85,AccountCodes[PPSAS CODE]))="Credit",F85-E85,0)</f>
        <v>0</v>
      </c>
      <c r="H85" s="626">
        <f t="shared" si="1"/>
        <v>0</v>
      </c>
    </row>
    <row r="86" spans="1:8" ht="15.75" hidden="1">
      <c r="A86" s="623" t="str">
        <f t="array" ref="A86">INDEX(AccountCodes[ACCOUNT NAME],MATCH(B86,AccountCodes[NGAS CODE],0))</f>
        <v>Accumulated Depreciation-Machinery</v>
      </c>
      <c r="B86" s="597" t="s">
        <v>92</v>
      </c>
      <c r="C86" s="625">
        <f t="array" ref="C86">INDEX(AccountCodes[PPSAS CODE],MATCH(B86,AccountCodes[NGAS CODE],0))</f>
        <v>1060501100</v>
      </c>
      <c r="D86" s="626">
        <f>IF(INDEX(AccountCodes[Normal Balance], MATCH(C86,AccountCodes[PPSAS CODE]))="Debit",E86-F86,0)</f>
        <v>0</v>
      </c>
      <c r="E86" s="626">
        <f>SUMIF(PostTB[Account Code (Old)],B86,(PostTB[Debit]))+SUMIF(CkDJ[Account Code],B86,(CkDJ[Debit]))+SUMIF(CsDJ[Account Code],B86,(CsDJ[Debit]))+SUMIF(CRDJ[Account Code],B86,(CRDJ[Debit]))+SUMIF(GJ[Account Code],B86,(GJ[Debit]))</f>
        <v>0</v>
      </c>
      <c r="F86" s="627">
        <f>SUMIF(PostTB[Account Code (Old)],B86,(PostTB[Credit]))+SUMIF(CkDJ[Account Code],B86,(CkDJ[Credit]))+SUMIF(CsDJ[Account Code],B86,(CsDJ[Credit]))+SUMIF(CRDJ[Account Code],B86,(CRDJ[Credit]))+SUMIF(GJ[Account Code],B86,(GJ[Credit]))</f>
        <v>0</v>
      </c>
      <c r="G86" s="627">
        <f>IF(INDEX(AccountCodes[Normal Balance], MATCH(C86,AccountCodes[PPSAS CODE]))="Credit",F86-E86,0)</f>
        <v>0</v>
      </c>
      <c r="H86" s="626">
        <f t="shared" si="1"/>
        <v>0</v>
      </c>
    </row>
    <row r="87" spans="1:8" ht="15.75">
      <c r="A87" s="623" t="str">
        <f t="array" ref="A87">INDEX(AccountCodes[ACCOUNT NAME],MATCH(B87,AccountCodes[NGAS CODE],0))</f>
        <v>Office Equipment</v>
      </c>
      <c r="B87" s="597" t="s">
        <v>42</v>
      </c>
      <c r="C87" s="625">
        <f t="array" ref="C87">INDEX(AccountCodes[PPSAS CODE],MATCH(B87,AccountCodes[NGAS CODE],0))</f>
        <v>1060502000</v>
      </c>
      <c r="D87" s="626">
        <f>IF(INDEX(AccountCodes[Normal Balance], MATCH(C87,AccountCodes[PPSAS CODE]))="Debit",E87-F87,0)</f>
        <v>456823</v>
      </c>
      <c r="E87" s="626">
        <f>SUMIF(PostTB[Account Code (Old)],B87,(PostTB[Debit]))+SUMIF(CkDJ[Account Code],B87,(CkDJ[Debit]))+SUMIF(CsDJ[Account Code],B87,(CsDJ[Debit]))+SUMIF(CRDJ[Account Code],B87,(CRDJ[Debit]))+SUMIF(GJ[Account Code],B87,(GJ[Debit]))</f>
        <v>456823</v>
      </c>
      <c r="F87" s="627">
        <f>SUMIF(PostTB[Account Code (Old)],B87,(PostTB[Credit]))+SUMIF(CkDJ[Account Code],B87,(CkDJ[Credit]))+SUMIF(CsDJ[Account Code],B87,(CsDJ[Credit]))+SUMIF(CRDJ[Account Code],B87,(CRDJ[Credit]))+SUMIF(GJ[Account Code],B87,(GJ[Credit]))</f>
        <v>0</v>
      </c>
      <c r="G87" s="627">
        <f>IF(INDEX(AccountCodes[Normal Balance], MATCH(C87,AccountCodes[PPSAS CODE]))="Credit",F87-E87,0)</f>
        <v>0</v>
      </c>
      <c r="H87" s="626">
        <f t="shared" si="1"/>
        <v>456823</v>
      </c>
    </row>
    <row r="88" spans="1:8" ht="15.75">
      <c r="A88" s="623" t="str">
        <f t="array" ref="A88">INDEX(AccountCodes[ACCOUNT NAME],MATCH(B88,AccountCodes[NGAS CODE],0))</f>
        <v>Accumulated Depreciation-Office Equipment</v>
      </c>
      <c r="B88" s="597" t="s">
        <v>88</v>
      </c>
      <c r="C88" s="625">
        <f t="array" ref="C88">INDEX(AccountCodes[PPSAS CODE],MATCH(B88,AccountCodes[NGAS CODE],0))</f>
        <v>1060502100</v>
      </c>
      <c r="D88" s="626">
        <f>IF(INDEX(AccountCodes[Normal Balance], MATCH(C88,AccountCodes[PPSAS CODE]))="Debit",E88-F88,0)</f>
        <v>0</v>
      </c>
      <c r="E88" s="626">
        <f>SUMIF(PostTB[Account Code (Old)],B88,(PostTB[Debit]))+SUMIF(CkDJ[Account Code],B88,(CkDJ[Debit]))+SUMIF(CsDJ[Account Code],B88,(CsDJ[Debit]))+SUMIF(CRDJ[Account Code],B88,(CRDJ[Debit]))+SUMIF(GJ[Account Code],B88,(GJ[Debit]))</f>
        <v>0</v>
      </c>
      <c r="F88" s="627">
        <f>SUMIF(PostTB[Account Code (Old)],B88,(PostTB[Credit]))+SUMIF(CkDJ[Account Code],B88,(CkDJ[Credit]))+SUMIF(CsDJ[Account Code],B88,(CsDJ[Credit]))+SUMIF(CRDJ[Account Code],B88,(CRDJ[Credit]))+SUMIF(GJ[Account Code],B88,(GJ[Credit]))</f>
        <v>101594.86</v>
      </c>
      <c r="G88" s="627">
        <f>IF(INDEX(AccountCodes[Normal Balance], MATCH(C88,AccountCodes[PPSAS CODE]))="Credit",F88-E88,0)</f>
        <v>101594.86</v>
      </c>
      <c r="H88" s="626">
        <f t="shared" si="1"/>
        <v>101594.86</v>
      </c>
    </row>
    <row r="89" spans="1:8" ht="15.75">
      <c r="A89" s="623" t="str">
        <f t="array" ref="A89">INDEX(AccountCodes[ACCOUNT NAME],MATCH(B89,AccountCodes[NGAS CODE],0))</f>
        <v>Information and Communications Technology Equipment</v>
      </c>
      <c r="B89" s="597" t="s">
        <v>44</v>
      </c>
      <c r="C89" s="625">
        <f t="array" ref="C89">INDEX(AccountCodes[PPSAS CODE],MATCH(B89,AccountCodes[NGAS CODE],0))</f>
        <v>1060503000</v>
      </c>
      <c r="D89" s="626">
        <f>IF(INDEX(AccountCodes[Normal Balance], MATCH(C89,AccountCodes[PPSAS CODE]))="Debit",E89-F89,0)</f>
        <v>1435246</v>
      </c>
      <c r="E89" s="626">
        <f>SUMIF(PostTB[Account Code (Old)],B89,(PostTB[Debit]))+SUMIF(CkDJ[Account Code],B89,(CkDJ[Debit]))+SUMIF(CsDJ[Account Code],B89,(CsDJ[Debit]))+SUMIF(CRDJ[Account Code],B89,(CRDJ[Debit]))+SUMIF(GJ[Account Code],B89,(GJ[Debit]))</f>
        <v>1435246</v>
      </c>
      <c r="F89" s="627">
        <f>SUMIF(PostTB[Account Code (Old)],B89,(PostTB[Credit]))+SUMIF(CkDJ[Account Code],B89,(CkDJ[Credit]))+SUMIF(CsDJ[Account Code],B89,(CsDJ[Credit]))+SUMIF(CRDJ[Account Code],B89,(CRDJ[Credit]))+SUMIF(GJ[Account Code],B89,(GJ[Credit]))</f>
        <v>0</v>
      </c>
      <c r="G89" s="627">
        <f>IF(INDEX(AccountCodes[Normal Balance], MATCH(C89,AccountCodes[PPSAS CODE]))="Credit",F89-E89,0)</f>
        <v>0</v>
      </c>
      <c r="H89" s="626">
        <f t="shared" si="1"/>
        <v>1435246</v>
      </c>
    </row>
    <row r="90" spans="1:8" ht="15.75">
      <c r="A90" s="623" t="str">
        <f t="array" ref="A90">INDEX(AccountCodes[ACCOUNT NAME],MATCH(B90,AccountCodes[NGAS CODE],0))</f>
        <v>Accumulated Depreciation-Information and Communications Technology Equipment</v>
      </c>
      <c r="B90" s="597" t="s">
        <v>90</v>
      </c>
      <c r="C90" s="625">
        <f t="array" ref="C90">INDEX(AccountCodes[PPSAS CODE],MATCH(B90,AccountCodes[NGAS CODE],0))</f>
        <v>1060503100</v>
      </c>
      <c r="D90" s="626">
        <f>IF(INDEX(AccountCodes[Normal Balance], MATCH(C90,AccountCodes[PPSAS CODE]))="Debit",E90-F90,0)</f>
        <v>0</v>
      </c>
      <c r="E90" s="626">
        <f>SUMIF(PostTB[Account Code (Old)],B90,(PostTB[Debit]))+SUMIF(CkDJ[Account Code],B90,(CkDJ[Debit]))+SUMIF(CsDJ[Account Code],B90,(CsDJ[Debit]))+SUMIF(CRDJ[Account Code],B90,(CRDJ[Debit]))+SUMIF(GJ[Account Code],B90,(GJ[Debit]))</f>
        <v>0</v>
      </c>
      <c r="F90" s="627">
        <f>SUMIF(PostTB[Account Code (Old)],B90,(PostTB[Credit]))+SUMIF(CkDJ[Account Code],B90,(CkDJ[Credit]))+SUMIF(CsDJ[Account Code],B90,(CsDJ[Credit]))+SUMIF(CRDJ[Account Code],B90,(CRDJ[Credit]))+SUMIF(GJ[Account Code],B90,(GJ[Credit]))</f>
        <v>349169.17</v>
      </c>
      <c r="G90" s="627">
        <f>IF(INDEX(AccountCodes[Normal Balance], MATCH(C90,AccountCodes[PPSAS CODE]))="Credit",F90-E90,0)</f>
        <v>349169.17</v>
      </c>
      <c r="H90" s="626">
        <f t="shared" si="1"/>
        <v>349169.17</v>
      </c>
    </row>
    <row r="91" spans="1:8" ht="15.75" hidden="1">
      <c r="A91" s="623" t="str">
        <f t="array" ref="A91">INDEX(AccountCodes[ACCOUNT NAME],MATCH(B91,AccountCodes[NGAS CODE],0))</f>
        <v>Agricultural and Forestry Equipment</v>
      </c>
      <c r="B91" s="597" t="s">
        <v>47</v>
      </c>
      <c r="C91" s="625">
        <f t="array" ref="C91">INDEX(AccountCodes[PPSAS CODE],MATCH(B91,AccountCodes[NGAS CODE],0))</f>
        <v>1060504000</v>
      </c>
      <c r="D91" s="626">
        <f>IF(INDEX(AccountCodes[Normal Balance], MATCH(C91,AccountCodes[PPSAS CODE]))="Debit",E91-F91,0)</f>
        <v>0</v>
      </c>
      <c r="E91" s="626">
        <f>SUMIF(PostTB[Account Code (Old)],B91,(PostTB[Debit]))+SUMIF(CkDJ[Account Code],B91,(CkDJ[Debit]))+SUMIF(CsDJ[Account Code],B91,(CsDJ[Debit]))+SUMIF(CRDJ[Account Code],B91,(CRDJ[Debit]))+SUMIF(GJ[Account Code],B91,(GJ[Debit]))</f>
        <v>0</v>
      </c>
      <c r="F91" s="627">
        <f>SUMIF(PostTB[Account Code (Old)],B91,(PostTB[Credit]))+SUMIF(CkDJ[Account Code],B91,(CkDJ[Credit]))+SUMIF(CsDJ[Account Code],B91,(CsDJ[Credit]))+SUMIF(CRDJ[Account Code],B91,(CRDJ[Credit]))+SUMIF(GJ[Account Code],B91,(GJ[Credit]))</f>
        <v>0</v>
      </c>
      <c r="G91" s="627">
        <f>IF(INDEX(AccountCodes[Normal Balance], MATCH(C91,AccountCodes[PPSAS CODE]))="Credit",F91-E91,0)</f>
        <v>0</v>
      </c>
      <c r="H91" s="626">
        <f t="shared" si="1"/>
        <v>0</v>
      </c>
    </row>
    <row r="92" spans="1:8" ht="15.75" hidden="1">
      <c r="A92" s="623" t="str">
        <f t="array" ref="A92">INDEX(AccountCodes[ACCOUNT NAME],MATCH(B92,AccountCodes[NGAS CODE],0))</f>
        <v>Accumulated Depreciation-Agricultural and Forestry Equipment</v>
      </c>
      <c r="B92" s="597" t="s">
        <v>93</v>
      </c>
      <c r="C92" s="625">
        <f t="array" ref="C92">INDEX(AccountCodes[PPSAS CODE],MATCH(B92,AccountCodes[NGAS CODE],0))</f>
        <v>1060504100</v>
      </c>
      <c r="D92" s="626">
        <f>IF(INDEX(AccountCodes[Normal Balance], MATCH(C92,AccountCodes[PPSAS CODE]))="Debit",E92-F92,0)</f>
        <v>0</v>
      </c>
      <c r="E92" s="626">
        <f>SUMIF(PostTB[Account Code (Old)],B92,(PostTB[Debit]))+SUMIF(CkDJ[Account Code],B92,(CkDJ[Debit]))+SUMIF(CsDJ[Account Code],B92,(CsDJ[Debit]))+SUMIF(CRDJ[Account Code],B92,(CRDJ[Debit]))+SUMIF(GJ[Account Code],B92,(GJ[Debit]))</f>
        <v>0</v>
      </c>
      <c r="F92" s="627">
        <f>SUMIF(PostTB[Account Code (Old)],B92,(PostTB[Credit]))+SUMIF(CkDJ[Account Code],B92,(CkDJ[Credit]))+SUMIF(CsDJ[Account Code],B92,(CsDJ[Credit]))+SUMIF(CRDJ[Account Code],B92,(CRDJ[Credit]))+SUMIF(GJ[Account Code],B92,(GJ[Credit]))</f>
        <v>0</v>
      </c>
      <c r="G92" s="627">
        <f>IF(INDEX(AccountCodes[Normal Balance], MATCH(C92,AccountCodes[PPSAS CODE]))="Credit",F92-E92,0)</f>
        <v>0</v>
      </c>
      <c r="H92" s="626">
        <f t="shared" si="1"/>
        <v>0</v>
      </c>
    </row>
    <row r="93" spans="1:8" ht="15.75" hidden="1">
      <c r="A93" s="623" t="str">
        <f t="array" ref="A93">INDEX(AccountCodes[ACCOUNT NAME],MATCH(B93,AccountCodes[NGAS CODE],0))</f>
        <v>Marine and Fishery Equipment</v>
      </c>
      <c r="B93" s="597" t="s">
        <v>1258</v>
      </c>
      <c r="C93" s="625">
        <f t="array" ref="C93">INDEX(AccountCodes[PPSAS CODE],MATCH(B93,AccountCodes[NGAS CODE],0))</f>
        <v>1060505000</v>
      </c>
      <c r="D93" s="626">
        <f>IF(INDEX(AccountCodes[Normal Balance], MATCH(C93,AccountCodes[PPSAS CODE]))="Debit",E93-F93,0)</f>
        <v>0</v>
      </c>
      <c r="E93" s="626">
        <f>SUMIF(PostTB[Account Code (Old)],B93,(PostTB[Debit]))+SUMIF(CkDJ[Account Code],B93,(CkDJ[Debit]))+SUMIF(CsDJ[Account Code],B93,(CsDJ[Debit]))+SUMIF(CRDJ[Account Code],B93,(CRDJ[Debit]))+SUMIF(GJ[Account Code],B93,(GJ[Debit]))</f>
        <v>0</v>
      </c>
      <c r="F93" s="627">
        <f>SUMIF(PostTB[Account Code (Old)],B93,(PostTB[Credit]))+SUMIF(CkDJ[Account Code],B93,(CkDJ[Credit]))+SUMIF(CsDJ[Account Code],B93,(CsDJ[Credit]))+SUMIF(CRDJ[Account Code],B93,(CRDJ[Credit]))+SUMIF(GJ[Account Code],B93,(GJ[Credit]))</f>
        <v>0</v>
      </c>
      <c r="G93" s="627">
        <f>IF(INDEX(AccountCodes[Normal Balance], MATCH(C93,AccountCodes[PPSAS CODE]))="Credit",F93-E93,0)</f>
        <v>0</v>
      </c>
      <c r="H93" s="626">
        <f t="shared" si="1"/>
        <v>0</v>
      </c>
    </row>
    <row r="94" spans="1:8" ht="15.75" hidden="1">
      <c r="A94" s="623" t="str">
        <f t="array" ref="A94">INDEX(AccountCodes[ACCOUNT NAME],MATCH(B94,AccountCodes[NGAS CODE],0))</f>
        <v>Accumulated Depreciation-Marine and Fishery Equipment</v>
      </c>
      <c r="B94" s="597" t="s">
        <v>1259</v>
      </c>
      <c r="C94" s="625">
        <f t="array" ref="C94">INDEX(AccountCodes[PPSAS CODE],MATCH(B94,AccountCodes[NGAS CODE],0))</f>
        <v>1060505100</v>
      </c>
      <c r="D94" s="626">
        <f>IF(INDEX(AccountCodes[Normal Balance], MATCH(C94,AccountCodes[PPSAS CODE]))="Debit",E94-F94,0)</f>
        <v>0</v>
      </c>
      <c r="E94" s="626">
        <f>SUMIF(PostTB[Account Code (Old)],B94,(PostTB[Debit]))+SUMIF(CkDJ[Account Code],B94,(CkDJ[Debit]))+SUMIF(CsDJ[Account Code],B94,(CsDJ[Debit]))+SUMIF(CRDJ[Account Code],B94,(CRDJ[Debit]))+SUMIF(GJ[Account Code],B94,(GJ[Debit]))</f>
        <v>0</v>
      </c>
      <c r="F94" s="627">
        <f>SUMIF(PostTB[Account Code (Old)],B94,(PostTB[Credit]))+SUMIF(CkDJ[Account Code],B94,(CkDJ[Credit]))+SUMIF(CsDJ[Account Code],B94,(CsDJ[Credit]))+SUMIF(CRDJ[Account Code],B94,(CRDJ[Credit]))+SUMIF(GJ[Account Code],B94,(GJ[Credit]))</f>
        <v>0</v>
      </c>
      <c r="G94" s="627">
        <f>IF(INDEX(AccountCodes[Normal Balance], MATCH(C94,AccountCodes[PPSAS CODE]))="Credit",F94-E94,0)</f>
        <v>0</v>
      </c>
      <c r="H94" s="626">
        <f t="shared" si="1"/>
        <v>0</v>
      </c>
    </row>
    <row r="95" spans="1:8" ht="15.75" hidden="1">
      <c r="A95" s="623" t="str">
        <f t="array" ref="A95">INDEX(AccountCodes[ACCOUNT NAME],MATCH(B95,AccountCodes[NGAS CODE],0))</f>
        <v>Communication Equipment</v>
      </c>
      <c r="B95" s="597" t="s">
        <v>48</v>
      </c>
      <c r="C95" s="625">
        <f t="array" ref="C95">INDEX(AccountCodes[PPSAS CODE],MATCH(B95,AccountCodes[NGAS CODE],0))</f>
        <v>1060507000</v>
      </c>
      <c r="D95" s="626">
        <f>IF(INDEX(AccountCodes[Normal Balance], MATCH(C95,AccountCodes[PPSAS CODE]))="Debit",E95-F95,0)</f>
        <v>0</v>
      </c>
      <c r="E95" s="626">
        <f>SUMIF(PostTB[Account Code (Old)],B95,(PostTB[Debit]))+SUMIF(CkDJ[Account Code],B95,(CkDJ[Debit]))+SUMIF(CsDJ[Account Code],B95,(CsDJ[Debit]))+SUMIF(CRDJ[Account Code],B95,(CRDJ[Debit]))+SUMIF(GJ[Account Code],B95,(GJ[Debit]))</f>
        <v>0</v>
      </c>
      <c r="F95" s="627">
        <f>SUMIF(PostTB[Account Code (Old)],B95,(PostTB[Credit]))+SUMIF(CkDJ[Account Code],B95,(CkDJ[Credit]))+SUMIF(CsDJ[Account Code],B95,(CsDJ[Credit]))+SUMIF(CRDJ[Account Code],B95,(CRDJ[Credit]))+SUMIF(GJ[Account Code],B95,(GJ[Credit]))</f>
        <v>0</v>
      </c>
      <c r="G95" s="627">
        <f>IF(INDEX(AccountCodes[Normal Balance], MATCH(C95,AccountCodes[PPSAS CODE]))="Credit",F95-E95,0)</f>
        <v>0</v>
      </c>
      <c r="H95" s="626">
        <f t="shared" si="1"/>
        <v>0</v>
      </c>
    </row>
    <row r="96" spans="1:8" ht="15.75" hidden="1">
      <c r="A96" s="623" t="str">
        <f t="array" ref="A96">INDEX(AccountCodes[ACCOUNT NAME],MATCH(B96,AccountCodes[NGAS CODE],0))</f>
        <v>Accumulated Depreciation-Communication Equipment</v>
      </c>
      <c r="B96" s="597" t="s">
        <v>94</v>
      </c>
      <c r="C96" s="625">
        <f t="array" ref="C96">INDEX(AccountCodes[PPSAS CODE],MATCH(B96,AccountCodes[NGAS CODE],0))</f>
        <v>1060507100</v>
      </c>
      <c r="D96" s="626">
        <f>IF(INDEX(AccountCodes[Normal Balance], MATCH(C96,AccountCodes[PPSAS CODE]))="Debit",E96-F96,0)</f>
        <v>0</v>
      </c>
      <c r="E96" s="626">
        <f>SUMIF(PostTB[Account Code (Old)],B96,(PostTB[Debit]))+SUMIF(CkDJ[Account Code],B96,(CkDJ[Debit]))+SUMIF(CsDJ[Account Code],B96,(CsDJ[Debit]))+SUMIF(CRDJ[Account Code],B96,(CRDJ[Debit]))+SUMIF(GJ[Account Code],B96,(GJ[Debit]))</f>
        <v>0</v>
      </c>
      <c r="F96" s="627">
        <f>SUMIF(PostTB[Account Code (Old)],B96,(PostTB[Credit]))+SUMIF(CkDJ[Account Code],B96,(CkDJ[Credit]))+SUMIF(CsDJ[Account Code],B96,(CsDJ[Credit]))+SUMIF(CRDJ[Account Code],B96,(CRDJ[Credit]))+SUMIF(GJ[Account Code],B96,(GJ[Credit]))</f>
        <v>0</v>
      </c>
      <c r="G96" s="627">
        <f>IF(INDEX(AccountCodes[Normal Balance], MATCH(C96,AccountCodes[PPSAS CODE]))="Credit",F96-E96,0)</f>
        <v>0</v>
      </c>
      <c r="H96" s="626">
        <f t="shared" si="1"/>
        <v>0</v>
      </c>
    </row>
    <row r="97" spans="1:8" ht="15.75" hidden="1">
      <c r="A97" s="623" t="str">
        <f t="array" ref="A97">INDEX(AccountCodes[ACCOUNT NAME],MATCH(B97,AccountCodes[NGAS CODE],0))</f>
        <v>Construction and Heavy Equipment</v>
      </c>
      <c r="B97" s="597" t="s">
        <v>49</v>
      </c>
      <c r="C97" s="625">
        <f t="array" ref="C97">INDEX(AccountCodes[PPSAS CODE],MATCH(B97,AccountCodes[NGAS CODE],0))</f>
        <v>1060508000</v>
      </c>
      <c r="D97" s="626">
        <f>IF(INDEX(AccountCodes[Normal Balance], MATCH(C97,AccountCodes[PPSAS CODE]))="Debit",E97-F97,0)</f>
        <v>0</v>
      </c>
      <c r="E97" s="626">
        <f>SUMIF(PostTB[Account Code (Old)],B97,(PostTB[Debit]))+SUMIF(CkDJ[Account Code],B97,(CkDJ[Debit]))+SUMIF(CsDJ[Account Code],B97,(CsDJ[Debit]))+SUMIF(CRDJ[Account Code],B97,(CRDJ[Debit]))+SUMIF(GJ[Account Code],B97,(GJ[Debit]))</f>
        <v>0</v>
      </c>
      <c r="F97" s="627">
        <f>SUMIF(PostTB[Account Code (Old)],B97,(PostTB[Credit]))+SUMIF(CkDJ[Account Code],B97,(CkDJ[Credit]))+SUMIF(CsDJ[Account Code],B97,(CsDJ[Credit]))+SUMIF(CRDJ[Account Code],B97,(CRDJ[Credit]))+SUMIF(GJ[Account Code],B97,(GJ[Credit]))</f>
        <v>0</v>
      </c>
      <c r="G97" s="627">
        <f>IF(INDEX(AccountCodes[Normal Balance], MATCH(C97,AccountCodes[PPSAS CODE]))="Credit",F97-E97,0)</f>
        <v>0</v>
      </c>
      <c r="H97" s="626">
        <f t="shared" si="1"/>
        <v>0</v>
      </c>
    </row>
    <row r="98" spans="1:8" ht="15.75" hidden="1">
      <c r="A98" s="623" t="str">
        <f t="array" ref="A98">INDEX(AccountCodes[ACCOUNT NAME],MATCH(B98,AccountCodes[NGAS CODE],0))</f>
        <v>Accumulated Depreciation-Construction and Heavy Equipment</v>
      </c>
      <c r="B98" s="597" t="s">
        <v>95</v>
      </c>
      <c r="C98" s="625">
        <f t="array" ref="C98">INDEX(AccountCodes[PPSAS CODE],MATCH(B98,AccountCodes[NGAS CODE],0))</f>
        <v>1060508100</v>
      </c>
      <c r="D98" s="626">
        <f>IF(INDEX(AccountCodes[Normal Balance], MATCH(C98,AccountCodes[PPSAS CODE]))="Debit",E98-F98,0)</f>
        <v>0</v>
      </c>
      <c r="E98" s="626">
        <f>SUMIF(PostTB[Account Code (Old)],B98,(PostTB[Debit]))+SUMIF(CkDJ[Account Code],B98,(CkDJ[Debit]))+SUMIF(CsDJ[Account Code],B98,(CsDJ[Debit]))+SUMIF(CRDJ[Account Code],B98,(CRDJ[Debit]))+SUMIF(GJ[Account Code],B98,(GJ[Debit]))</f>
        <v>0</v>
      </c>
      <c r="F98" s="627">
        <f>SUMIF(PostTB[Account Code (Old)],B98,(PostTB[Credit]))+SUMIF(CkDJ[Account Code],B98,(CkDJ[Credit]))+SUMIF(CsDJ[Account Code],B98,(CsDJ[Credit]))+SUMIF(CRDJ[Account Code],B98,(CRDJ[Credit]))+SUMIF(GJ[Account Code],B98,(GJ[Credit]))</f>
        <v>0</v>
      </c>
      <c r="G98" s="627">
        <f>IF(INDEX(AccountCodes[Normal Balance], MATCH(C98,AccountCodes[PPSAS CODE]))="Credit",F98-E98,0)</f>
        <v>0</v>
      </c>
      <c r="H98" s="626">
        <f t="shared" si="1"/>
        <v>0</v>
      </c>
    </row>
    <row r="99" spans="1:8" ht="15.75" hidden="1">
      <c r="A99" s="623" t="str">
        <f t="array" ref="A99">INDEX(AccountCodes[ACCOUNT NAME],MATCH(B99,AccountCodes[NGAS CODE],0))</f>
        <v>Disaster Response and Rescue Equipment</v>
      </c>
      <c r="B99" s="597" t="s">
        <v>50</v>
      </c>
      <c r="C99" s="625">
        <f t="array" ref="C99">INDEX(AccountCodes[PPSAS CODE],MATCH(B99,AccountCodes[NGAS CODE],0))</f>
        <v>1060509000</v>
      </c>
      <c r="D99" s="626">
        <f>IF(INDEX(AccountCodes[Normal Balance], MATCH(C99,AccountCodes[PPSAS CODE]))="Debit",E99-F99,0)</f>
        <v>0</v>
      </c>
      <c r="E99" s="626">
        <f>SUMIF(PostTB[Account Code (Old)],B99,(PostTB[Debit]))+SUMIF(CkDJ[Account Code],B99,(CkDJ[Debit]))+SUMIF(CsDJ[Account Code],B99,(CsDJ[Debit]))+SUMIF(CRDJ[Account Code],B99,(CRDJ[Debit]))+SUMIF(GJ[Account Code],B99,(GJ[Debit]))</f>
        <v>0</v>
      </c>
      <c r="F99" s="627">
        <f>SUMIF(PostTB[Account Code (Old)],B99,(PostTB[Credit]))+SUMIF(CkDJ[Account Code],B99,(CkDJ[Credit]))+SUMIF(CsDJ[Account Code],B99,(CsDJ[Credit]))+SUMIF(CRDJ[Account Code],B99,(CRDJ[Credit]))+SUMIF(GJ[Account Code],B99,(GJ[Credit]))</f>
        <v>0</v>
      </c>
      <c r="G99" s="627">
        <f>IF(INDEX(AccountCodes[Normal Balance], MATCH(C99,AccountCodes[PPSAS CODE]))="Credit",F99-E99,0)</f>
        <v>0</v>
      </c>
      <c r="H99" s="626">
        <f t="shared" si="1"/>
        <v>0</v>
      </c>
    </row>
    <row r="100" spans="1:8" ht="15.75" hidden="1">
      <c r="A100" s="623" t="str">
        <f t="array" ref="A100">INDEX(AccountCodes[ACCOUNT NAME],MATCH(B100,AccountCodes[NGAS CODE],0))</f>
        <v>Accumulated Depreciation-Disaster Response and Rescue Equipment</v>
      </c>
      <c r="B100" s="597" t="s">
        <v>96</v>
      </c>
      <c r="C100" s="625">
        <f t="array" ref="C100">INDEX(AccountCodes[PPSAS CODE],MATCH(B100,AccountCodes[NGAS CODE],0))</f>
        <v>1060509100</v>
      </c>
      <c r="D100" s="626">
        <f>IF(INDEX(AccountCodes[Normal Balance], MATCH(C100,AccountCodes[PPSAS CODE]))="Debit",E100-F100,0)</f>
        <v>0</v>
      </c>
      <c r="E100" s="626">
        <f>SUMIF(PostTB[Account Code (Old)],B100,(PostTB[Debit]))+SUMIF(CkDJ[Account Code],B100,(CkDJ[Debit]))+SUMIF(CsDJ[Account Code],B100,(CsDJ[Debit]))+SUMIF(CRDJ[Account Code],B100,(CRDJ[Debit]))+SUMIF(GJ[Account Code],B100,(GJ[Debit]))</f>
        <v>0</v>
      </c>
      <c r="F100" s="627">
        <f>SUMIF(PostTB[Account Code (Old)],B100,(PostTB[Credit]))+SUMIF(CkDJ[Account Code],B100,(CkDJ[Credit]))+SUMIF(CsDJ[Account Code],B100,(CsDJ[Credit]))+SUMIF(CRDJ[Account Code],B100,(CRDJ[Credit]))+SUMIF(GJ[Account Code],B100,(GJ[Credit]))</f>
        <v>0</v>
      </c>
      <c r="G100" s="627">
        <f>IF(INDEX(AccountCodes[Normal Balance], MATCH(C100,AccountCodes[PPSAS CODE]))="Credit",F100-E100,0)</f>
        <v>0</v>
      </c>
      <c r="H100" s="626">
        <f t="shared" si="1"/>
        <v>0</v>
      </c>
    </row>
    <row r="101" spans="1:8" ht="15.75" hidden="1">
      <c r="A101" s="623" t="str">
        <f t="array" ref="A101">INDEX(AccountCodes[ACCOUNT NAME],MATCH(B101,AccountCodes[NGAS CODE],0))</f>
        <v>Military, Police and Security Equipment</v>
      </c>
      <c r="B101" s="597" t="s">
        <v>51</v>
      </c>
      <c r="C101" s="625">
        <f t="array" ref="C101">INDEX(AccountCodes[PPSAS CODE],MATCH(B101,AccountCodes[NGAS CODE],0))</f>
        <v>1060510000</v>
      </c>
      <c r="D101" s="626">
        <f>IF(INDEX(AccountCodes[Normal Balance], MATCH(C101,AccountCodes[PPSAS CODE]))="Debit",E101-F101,0)</f>
        <v>0</v>
      </c>
      <c r="E101" s="626">
        <f>SUMIF(PostTB[Account Code (Old)],B101,(PostTB[Debit]))+SUMIF(CkDJ[Account Code],B101,(CkDJ[Debit]))+SUMIF(CsDJ[Account Code],B101,(CsDJ[Debit]))+SUMIF(CRDJ[Account Code],B101,(CRDJ[Debit]))+SUMIF(GJ[Account Code],B101,(GJ[Debit]))</f>
        <v>0</v>
      </c>
      <c r="F101" s="627">
        <f>SUMIF(PostTB[Account Code (Old)],B101,(PostTB[Credit]))+SUMIF(CkDJ[Account Code],B101,(CkDJ[Credit]))+SUMIF(CsDJ[Account Code],B101,(CsDJ[Credit]))+SUMIF(CRDJ[Account Code],B101,(CRDJ[Credit]))+SUMIF(GJ[Account Code],B101,(GJ[Credit]))</f>
        <v>0</v>
      </c>
      <c r="G101" s="627">
        <f>IF(INDEX(AccountCodes[Normal Balance], MATCH(C101,AccountCodes[PPSAS CODE]))="Credit",F101-E101,0)</f>
        <v>0</v>
      </c>
      <c r="H101" s="626">
        <f t="shared" si="1"/>
        <v>0</v>
      </c>
    </row>
    <row r="102" spans="1:8" ht="15.75" hidden="1">
      <c r="A102" s="623" t="str">
        <f t="array" ref="A102">INDEX(AccountCodes[ACCOUNT NAME],MATCH(B102,AccountCodes[NGAS CODE],0))</f>
        <v>Accumulated Depreciation-Military, Police and Security Equipment</v>
      </c>
      <c r="B102" s="597" t="s">
        <v>97</v>
      </c>
      <c r="C102" s="625">
        <f t="array" ref="C102">INDEX(AccountCodes[PPSAS CODE],MATCH(B102,AccountCodes[NGAS CODE],0))</f>
        <v>1060510100</v>
      </c>
      <c r="D102" s="626">
        <f>IF(INDEX(AccountCodes[Normal Balance], MATCH(C102,AccountCodes[PPSAS CODE]))="Debit",E102-F102,0)</f>
        <v>0</v>
      </c>
      <c r="E102" s="626">
        <f>SUMIF(PostTB[Account Code (Old)],B102,(PostTB[Debit]))+SUMIF(CkDJ[Account Code],B102,(CkDJ[Debit]))+SUMIF(CsDJ[Account Code],B102,(CsDJ[Debit]))+SUMIF(CRDJ[Account Code],B102,(CRDJ[Debit]))+SUMIF(GJ[Account Code],B102,(GJ[Debit]))</f>
        <v>0</v>
      </c>
      <c r="F102" s="627">
        <f>SUMIF(PostTB[Account Code (Old)],B102,(PostTB[Credit]))+SUMIF(CkDJ[Account Code],B102,(CkDJ[Credit]))+SUMIF(CsDJ[Account Code],B102,(CsDJ[Credit]))+SUMIF(CRDJ[Account Code],B102,(CRDJ[Credit]))+SUMIF(GJ[Account Code],B102,(GJ[Credit]))</f>
        <v>0</v>
      </c>
      <c r="G102" s="627">
        <f>IF(INDEX(AccountCodes[Normal Balance], MATCH(C102,AccountCodes[PPSAS CODE]))="Credit",F102-E102,0)</f>
        <v>0</v>
      </c>
      <c r="H102" s="626">
        <f t="shared" si="1"/>
        <v>0</v>
      </c>
    </row>
    <row r="103" spans="1:8" ht="15.75" hidden="1">
      <c r="A103" s="623" t="str">
        <f t="array" ref="A103">INDEX(AccountCodes[ACCOUNT NAME],MATCH(B103,AccountCodes[NGAS CODE],0))</f>
        <v>Medical Equipment</v>
      </c>
      <c r="B103" s="597" t="s">
        <v>406</v>
      </c>
      <c r="C103" s="625">
        <f t="array" ref="C103">INDEX(AccountCodes[PPSAS CODE],MATCH(B103,AccountCodes[NGAS CODE],0))</f>
        <v>1060511000</v>
      </c>
      <c r="D103" s="626">
        <f>IF(INDEX(AccountCodes[Normal Balance], MATCH(C103,AccountCodes[PPSAS CODE]))="Debit",E103-F103,0)</f>
        <v>0</v>
      </c>
      <c r="E103" s="626">
        <f>SUMIF(PostTB[Account Code (Old)],B103,(PostTB[Debit]))+SUMIF(CkDJ[Account Code],B103,(CkDJ[Debit]))+SUMIF(CsDJ[Account Code],B103,(CsDJ[Debit]))+SUMIF(CRDJ[Account Code],B103,(CRDJ[Debit]))+SUMIF(GJ[Account Code],B103,(GJ[Debit]))</f>
        <v>0</v>
      </c>
      <c r="F103" s="627">
        <f>SUMIF(PostTB[Account Code (Old)],B103,(PostTB[Credit]))+SUMIF(CkDJ[Account Code],B103,(CkDJ[Credit]))+SUMIF(CsDJ[Account Code],B103,(CsDJ[Credit]))+SUMIF(CRDJ[Account Code],B103,(CRDJ[Credit]))+SUMIF(GJ[Account Code],B103,(GJ[Credit]))</f>
        <v>0</v>
      </c>
      <c r="G103" s="627">
        <f>IF(INDEX(AccountCodes[Normal Balance], MATCH(C103,AccountCodes[PPSAS CODE]))="Credit",F103-E103,0)</f>
        <v>0</v>
      </c>
      <c r="H103" s="626">
        <f t="shared" si="1"/>
        <v>0</v>
      </c>
    </row>
    <row r="104" spans="1:8" ht="15.75" hidden="1">
      <c r="A104" s="623" t="str">
        <f t="array" ref="A104">INDEX(AccountCodes[ACCOUNT NAME],MATCH(B104,AccountCodes[NGAS CODE],0))</f>
        <v>Accumulated Depreciation-Medical Equipment</v>
      </c>
      <c r="B104" s="597" t="s">
        <v>1228</v>
      </c>
      <c r="C104" s="625">
        <f t="array" ref="C104">INDEX(AccountCodes[PPSAS CODE],MATCH(B104,AccountCodes[NGAS CODE],0))</f>
        <v>1060511100</v>
      </c>
      <c r="D104" s="626">
        <f>IF(INDEX(AccountCodes[Normal Balance], MATCH(C104,AccountCodes[PPSAS CODE]))="Debit",E104-F104,0)</f>
        <v>0</v>
      </c>
      <c r="E104" s="626">
        <f>SUMIF(PostTB[Account Code (Old)],B104,(PostTB[Debit]))+SUMIF(CkDJ[Account Code],B104,(CkDJ[Debit]))+SUMIF(CsDJ[Account Code],B104,(CsDJ[Debit]))+SUMIF(CRDJ[Account Code],B104,(CRDJ[Debit]))+SUMIF(GJ[Account Code],B104,(GJ[Debit]))</f>
        <v>0</v>
      </c>
      <c r="F104" s="627">
        <f>SUMIF(PostTB[Account Code (Old)],B104,(PostTB[Credit]))+SUMIF(CkDJ[Account Code],B104,(CkDJ[Credit]))+SUMIF(CsDJ[Account Code],B104,(CsDJ[Credit]))+SUMIF(CRDJ[Account Code],B104,(CRDJ[Credit]))+SUMIF(GJ[Account Code],B104,(GJ[Credit]))</f>
        <v>0</v>
      </c>
      <c r="G104" s="627">
        <f>IF(INDEX(AccountCodes[Normal Balance], MATCH(C104,AccountCodes[PPSAS CODE]))="Credit",F104-E104,0)</f>
        <v>0</v>
      </c>
      <c r="H104" s="626">
        <f t="shared" si="1"/>
        <v>0</v>
      </c>
    </row>
    <row r="105" spans="1:8" ht="15.75" hidden="1">
      <c r="A105" s="623" t="str">
        <f t="array" ref="A105">INDEX(AccountCodes[ACCOUNT NAME],MATCH(B105,AccountCodes[NGAS CODE],0))</f>
        <v>Sports Equipment</v>
      </c>
      <c r="B105" s="597" t="s">
        <v>52</v>
      </c>
      <c r="C105" s="625">
        <f t="array" ref="C105">INDEX(AccountCodes[PPSAS CODE],MATCH(B105,AccountCodes[NGAS CODE],0))</f>
        <v>1060513000</v>
      </c>
      <c r="D105" s="626">
        <f>IF(INDEX(AccountCodes[Normal Balance], MATCH(C105,AccountCodes[PPSAS CODE]))="Debit",E105-F105,0)</f>
        <v>0</v>
      </c>
      <c r="E105" s="626">
        <f>SUMIF(PostTB[Account Code (Old)],B105,(PostTB[Debit]))+SUMIF(CkDJ[Account Code],B105,(CkDJ[Debit]))+SUMIF(CsDJ[Account Code],B105,(CsDJ[Debit]))+SUMIF(CRDJ[Account Code],B105,(CRDJ[Debit]))+SUMIF(GJ[Account Code],B105,(GJ[Debit]))</f>
        <v>0</v>
      </c>
      <c r="F105" s="627">
        <f>SUMIF(PostTB[Account Code (Old)],B105,(PostTB[Credit]))+SUMIF(CkDJ[Account Code],B105,(CkDJ[Credit]))+SUMIF(CsDJ[Account Code],B105,(CsDJ[Credit]))+SUMIF(CRDJ[Account Code],B105,(CRDJ[Credit]))+SUMIF(GJ[Account Code],B105,(GJ[Credit]))</f>
        <v>0</v>
      </c>
      <c r="G105" s="627">
        <f>IF(INDEX(AccountCodes[Normal Balance], MATCH(C105,AccountCodes[PPSAS CODE]))="Credit",F105-E105,0)</f>
        <v>0</v>
      </c>
      <c r="H105" s="626">
        <f t="shared" si="1"/>
        <v>0</v>
      </c>
    </row>
    <row r="106" spans="1:8" ht="15.75" hidden="1">
      <c r="A106" s="623" t="str">
        <f t="array" ref="A106">INDEX(AccountCodes[ACCOUNT NAME],MATCH(B106,AccountCodes[NGAS CODE],0))</f>
        <v>Accumulated Depreciation-Sports Equipment</v>
      </c>
      <c r="B106" s="597" t="s">
        <v>98</v>
      </c>
      <c r="C106" s="625">
        <f t="array" ref="C106">INDEX(AccountCodes[PPSAS CODE],MATCH(B106,AccountCodes[NGAS CODE],0))</f>
        <v>1060513100</v>
      </c>
      <c r="D106" s="626">
        <f>IF(INDEX(AccountCodes[Normal Balance], MATCH(C106,AccountCodes[PPSAS CODE]))="Debit",E106-F106,0)</f>
        <v>0</v>
      </c>
      <c r="E106" s="626">
        <f>SUMIF(PostTB[Account Code (Old)],B106,(PostTB[Debit]))+SUMIF(CkDJ[Account Code],B106,(CkDJ[Debit]))+SUMIF(CsDJ[Account Code],B106,(CsDJ[Debit]))+SUMIF(CRDJ[Account Code],B106,(CRDJ[Debit]))+SUMIF(GJ[Account Code],B106,(GJ[Debit]))</f>
        <v>0</v>
      </c>
      <c r="F106" s="627">
        <f>SUMIF(PostTB[Account Code (Old)],B106,(PostTB[Credit]))+SUMIF(CkDJ[Account Code],B106,(CkDJ[Credit]))+SUMIF(CsDJ[Account Code],B106,(CsDJ[Credit]))+SUMIF(CRDJ[Account Code],B106,(CRDJ[Credit]))+SUMIF(GJ[Account Code],B106,(GJ[Credit]))</f>
        <v>0</v>
      </c>
      <c r="G106" s="627">
        <f>IF(INDEX(AccountCodes[Normal Balance], MATCH(C106,AccountCodes[PPSAS CODE]))="Credit",F106-E106,0)</f>
        <v>0</v>
      </c>
      <c r="H106" s="626">
        <f t="shared" si="1"/>
        <v>0</v>
      </c>
    </row>
    <row r="107" spans="1:8" ht="15.75" hidden="1">
      <c r="A107" s="623" t="str">
        <f t="array" ref="A107">INDEX(AccountCodes[ACCOUNT NAME],MATCH(B107,AccountCodes[NGAS CODE],0))</f>
        <v>Technical and Scientific Equipment</v>
      </c>
      <c r="B107" s="597" t="s">
        <v>53</v>
      </c>
      <c r="C107" s="625">
        <f t="array" ref="C107">INDEX(AccountCodes[PPSAS CODE],MATCH(B107,AccountCodes[NGAS CODE],0))</f>
        <v>1060514000</v>
      </c>
      <c r="D107" s="626">
        <f>IF(INDEX(AccountCodes[Normal Balance], MATCH(C107,AccountCodes[PPSAS CODE]))="Debit",E107-F107,0)</f>
        <v>0</v>
      </c>
      <c r="E107" s="626">
        <f>SUMIF(PostTB[Account Code (Old)],B107,(PostTB[Debit]))+SUMIF(CkDJ[Account Code],B107,(CkDJ[Debit]))+SUMIF(CsDJ[Account Code],B107,(CsDJ[Debit]))+SUMIF(CRDJ[Account Code],B107,(CRDJ[Debit]))+SUMIF(GJ[Account Code],B107,(GJ[Debit]))</f>
        <v>0</v>
      </c>
      <c r="F107" s="627">
        <f>SUMIF(PostTB[Account Code (Old)],B107,(PostTB[Credit]))+SUMIF(CkDJ[Account Code],B107,(CkDJ[Credit]))+SUMIF(CsDJ[Account Code],B107,(CsDJ[Credit]))+SUMIF(CRDJ[Account Code],B107,(CRDJ[Credit]))+SUMIF(GJ[Account Code],B107,(GJ[Credit]))</f>
        <v>0</v>
      </c>
      <c r="G107" s="627">
        <f>IF(INDEX(AccountCodes[Normal Balance], MATCH(C107,AccountCodes[PPSAS CODE]))="Credit",F107-E107,0)</f>
        <v>0</v>
      </c>
      <c r="H107" s="626">
        <f t="shared" si="1"/>
        <v>0</v>
      </c>
    </row>
    <row r="108" spans="1:8" ht="15.75" hidden="1">
      <c r="A108" s="623" t="str">
        <f t="array" ref="A108">INDEX(AccountCodes[ACCOUNT NAME],MATCH(B108,AccountCodes[NGAS CODE],0))</f>
        <v>Accumulated Depreciation-Technical and Scientific Equipment</v>
      </c>
      <c r="B108" s="597" t="s">
        <v>99</v>
      </c>
      <c r="C108" s="625">
        <f t="array" ref="C108">INDEX(AccountCodes[PPSAS CODE],MATCH(B108,AccountCodes[NGAS CODE],0))</f>
        <v>1060514100</v>
      </c>
      <c r="D108" s="626">
        <f>IF(INDEX(AccountCodes[Normal Balance], MATCH(C108,AccountCodes[PPSAS CODE]))="Debit",E108-F108,0)</f>
        <v>0</v>
      </c>
      <c r="E108" s="626">
        <f>SUMIF(PostTB[Account Code (Old)],B108,(PostTB[Debit]))+SUMIF(CkDJ[Account Code],B108,(CkDJ[Debit]))+SUMIF(CsDJ[Account Code],B108,(CsDJ[Debit]))+SUMIF(CRDJ[Account Code],B108,(CRDJ[Debit]))+SUMIF(GJ[Account Code],B108,(GJ[Debit]))</f>
        <v>0</v>
      </c>
      <c r="F108" s="627">
        <f>SUMIF(PostTB[Account Code (Old)],B108,(PostTB[Credit]))+SUMIF(CkDJ[Account Code],B108,(CkDJ[Credit]))+SUMIF(CsDJ[Account Code],B108,(CsDJ[Credit]))+SUMIF(CRDJ[Account Code],B108,(CRDJ[Credit]))+SUMIF(GJ[Account Code],B108,(GJ[Credit]))</f>
        <v>0</v>
      </c>
      <c r="G108" s="627">
        <f>IF(INDEX(AccountCodes[Normal Balance], MATCH(C108,AccountCodes[PPSAS CODE]))="Credit",F108-E108,0)</f>
        <v>0</v>
      </c>
      <c r="H108" s="626">
        <f t="shared" si="1"/>
        <v>0</v>
      </c>
    </row>
    <row r="109" spans="1:8" ht="15.75" hidden="1">
      <c r="A109" s="623" t="str">
        <f t="array" ref="A109">INDEX(AccountCodes[ACCOUNT NAME],MATCH(B109,AccountCodes[NGAS CODE],0))</f>
        <v>Other Machinery and Equipment</v>
      </c>
      <c r="B109" s="597" t="s">
        <v>54</v>
      </c>
      <c r="C109" s="625">
        <f t="array" ref="C109">INDEX(AccountCodes[PPSAS CODE],MATCH(B109,AccountCodes[NGAS CODE],0))</f>
        <v>1060599000</v>
      </c>
      <c r="D109" s="626">
        <f>IF(INDEX(AccountCodes[Normal Balance], MATCH(C109,AccountCodes[PPSAS CODE]))="Debit",E109-F109,0)</f>
        <v>0</v>
      </c>
      <c r="E109" s="626">
        <f>SUMIF(PostTB[Account Code (Old)],B109,(PostTB[Debit]))+SUMIF(CkDJ[Account Code],B109,(CkDJ[Debit]))+SUMIF(CsDJ[Account Code],B109,(CsDJ[Debit]))+SUMIF(CRDJ[Account Code],B109,(CRDJ[Debit]))+SUMIF(GJ[Account Code],B109,(GJ[Debit]))</f>
        <v>0</v>
      </c>
      <c r="F109" s="627">
        <f>SUMIF(PostTB[Account Code (Old)],B109,(PostTB[Credit]))+SUMIF(CkDJ[Account Code],B109,(CkDJ[Credit]))+SUMIF(CsDJ[Account Code],B109,(CsDJ[Credit]))+SUMIF(CRDJ[Account Code],B109,(CRDJ[Credit]))+SUMIF(GJ[Account Code],B109,(GJ[Credit]))</f>
        <v>0</v>
      </c>
      <c r="G109" s="627">
        <f>IF(INDEX(AccountCodes[Normal Balance], MATCH(C109,AccountCodes[PPSAS CODE]))="Credit",F109-E109,0)</f>
        <v>0</v>
      </c>
      <c r="H109" s="626">
        <f t="shared" si="1"/>
        <v>0</v>
      </c>
    </row>
    <row r="110" spans="1:8" ht="15.75" hidden="1">
      <c r="A110" s="623" t="str">
        <f t="array" ref="A110">INDEX(AccountCodes[ACCOUNT NAME],MATCH(B110,AccountCodes[NGAS CODE],0))</f>
        <v>Accumulated Depreciation-Other Machinery and Equipment</v>
      </c>
      <c r="B110" s="597" t="s">
        <v>100</v>
      </c>
      <c r="C110" s="625">
        <f t="array" ref="C110">INDEX(AccountCodes[PPSAS CODE],MATCH(B110,AccountCodes[NGAS CODE],0))</f>
        <v>1060599100</v>
      </c>
      <c r="D110" s="626">
        <f>IF(INDEX(AccountCodes[Normal Balance], MATCH(C110,AccountCodes[PPSAS CODE]))="Debit",E110-F110,0)</f>
        <v>0</v>
      </c>
      <c r="E110" s="626">
        <f>SUMIF(PostTB[Account Code (Old)],B110,(PostTB[Debit]))+SUMIF(CkDJ[Account Code],B110,(CkDJ[Debit]))+SUMIF(CsDJ[Account Code],B110,(CsDJ[Debit]))+SUMIF(CRDJ[Account Code],B110,(CRDJ[Debit]))+SUMIF(GJ[Account Code],B110,(GJ[Debit]))</f>
        <v>0</v>
      </c>
      <c r="F110" s="627">
        <f>SUMIF(PostTB[Account Code (Old)],B110,(PostTB[Credit]))+SUMIF(CkDJ[Account Code],B110,(CkDJ[Credit]))+SUMIF(CsDJ[Account Code],B110,(CsDJ[Credit]))+SUMIF(CRDJ[Account Code],B110,(CRDJ[Credit]))+SUMIF(GJ[Account Code],B110,(GJ[Credit]))</f>
        <v>0</v>
      </c>
      <c r="G110" s="627">
        <f>IF(INDEX(AccountCodes[Normal Balance], MATCH(C110,AccountCodes[PPSAS CODE]))="Credit",F110-E110,0)</f>
        <v>0</v>
      </c>
      <c r="H110" s="626">
        <f t="shared" si="1"/>
        <v>0</v>
      </c>
    </row>
    <row r="111" spans="1:8" ht="15.75" hidden="1">
      <c r="A111" s="623" t="str">
        <f t="array" ref="A111">INDEX(AccountCodes[ACCOUNT NAME],MATCH(B111,AccountCodes[NGAS CODE],0))</f>
        <v>Motor Vehicles</v>
      </c>
      <c r="B111" s="597" t="s">
        <v>55</v>
      </c>
      <c r="C111" s="625">
        <f t="array" ref="C111">INDEX(AccountCodes[PPSAS CODE],MATCH(B111,AccountCodes[NGAS CODE],0))</f>
        <v>1060601000</v>
      </c>
      <c r="D111" s="626">
        <f>IF(INDEX(AccountCodes[Normal Balance], MATCH(C111,AccountCodes[PPSAS CODE]))="Debit",E111-F111,0)</f>
        <v>0</v>
      </c>
      <c r="E111" s="626">
        <f>SUMIF(PostTB[Account Code (Old)],B111,(PostTB[Debit]))+SUMIF(CkDJ[Account Code],B111,(CkDJ[Debit]))+SUMIF(CsDJ[Account Code],B111,(CsDJ[Debit]))+SUMIF(CRDJ[Account Code],B111,(CRDJ[Debit]))+SUMIF(GJ[Account Code],B111,(GJ[Debit]))</f>
        <v>0</v>
      </c>
      <c r="F111" s="627">
        <f>SUMIF(PostTB[Account Code (Old)],B111,(PostTB[Credit]))+SUMIF(CkDJ[Account Code],B111,(CkDJ[Credit]))+SUMIF(CsDJ[Account Code],B111,(CsDJ[Credit]))+SUMIF(CRDJ[Account Code],B111,(CRDJ[Credit]))+SUMIF(GJ[Account Code],B111,(GJ[Credit]))</f>
        <v>0</v>
      </c>
      <c r="G111" s="627">
        <f>IF(INDEX(AccountCodes[Normal Balance], MATCH(C111,AccountCodes[PPSAS CODE]))="Credit",F111-E111,0)</f>
        <v>0</v>
      </c>
      <c r="H111" s="626">
        <f t="shared" si="1"/>
        <v>0</v>
      </c>
    </row>
    <row r="112" spans="1:8" ht="15.75" hidden="1">
      <c r="A112" s="623" t="str">
        <f t="array" ref="A112">INDEX(AccountCodes[ACCOUNT NAME],MATCH(B112,AccountCodes[NGAS CODE],0))</f>
        <v>Accumulated Depreciation-Motor Vehicles</v>
      </c>
      <c r="B112" s="597" t="s">
        <v>101</v>
      </c>
      <c r="C112" s="625">
        <f t="array" ref="C112">INDEX(AccountCodes[PPSAS CODE],MATCH(B112,AccountCodes[NGAS CODE],0))</f>
        <v>1060601100</v>
      </c>
      <c r="D112" s="626">
        <f>IF(INDEX(AccountCodes[Normal Balance], MATCH(C112,AccountCodes[PPSAS CODE]))="Debit",E112-F112,0)</f>
        <v>0</v>
      </c>
      <c r="E112" s="626">
        <f>SUMIF(PostTB[Account Code (Old)],B112,(PostTB[Debit]))+SUMIF(CkDJ[Account Code],B112,(CkDJ[Debit]))+SUMIF(CsDJ[Account Code],B112,(CsDJ[Debit]))+SUMIF(CRDJ[Account Code],B112,(CRDJ[Debit]))+SUMIF(GJ[Account Code],B112,(GJ[Debit]))</f>
        <v>0</v>
      </c>
      <c r="F112" s="627">
        <f>SUMIF(PostTB[Account Code (Old)],B112,(PostTB[Credit]))+SUMIF(CkDJ[Account Code],B112,(CkDJ[Credit]))+SUMIF(CsDJ[Account Code],B112,(CsDJ[Credit]))+SUMIF(CRDJ[Account Code],B112,(CRDJ[Credit]))+SUMIF(GJ[Account Code],B112,(GJ[Credit]))</f>
        <v>0</v>
      </c>
      <c r="G112" s="627">
        <f>IF(INDEX(AccountCodes[Normal Balance], MATCH(C112,AccountCodes[PPSAS CODE]))="Credit",F112-E112,0)</f>
        <v>0</v>
      </c>
      <c r="H112" s="626">
        <f t="shared" si="1"/>
        <v>0</v>
      </c>
    </row>
    <row r="113" spans="1:8" ht="15.75" hidden="1">
      <c r="A113" s="623" t="str">
        <f t="array" ref="A113">INDEX(AccountCodes[ACCOUNT NAME],MATCH(B113,AccountCodes[NGAS CODE],0))</f>
        <v>Aircrafts and Aircrafts Ground Equipment</v>
      </c>
      <c r="B113" s="597" t="s">
        <v>56</v>
      </c>
      <c r="C113" s="625">
        <f t="array" ref="C113">INDEX(AccountCodes[PPSAS CODE],MATCH(B113,AccountCodes[NGAS CODE],0))</f>
        <v>1060603000</v>
      </c>
      <c r="D113" s="626">
        <f>IF(INDEX(AccountCodes[Normal Balance], MATCH(C113,AccountCodes[PPSAS CODE]))="Debit",E113-F113,0)</f>
        <v>0</v>
      </c>
      <c r="E113" s="626">
        <f>SUMIF(PostTB[Account Code (Old)],B113,(PostTB[Debit]))+SUMIF(CkDJ[Account Code],B113,(CkDJ[Debit]))+SUMIF(CsDJ[Account Code],B113,(CsDJ[Debit]))+SUMIF(CRDJ[Account Code],B113,(CRDJ[Debit]))+SUMIF(GJ[Account Code],B113,(GJ[Debit]))</f>
        <v>0</v>
      </c>
      <c r="F113" s="627">
        <f>SUMIF(PostTB[Account Code (Old)],B113,(PostTB[Credit]))+SUMIF(CkDJ[Account Code],B113,(CkDJ[Credit]))+SUMIF(CsDJ[Account Code],B113,(CsDJ[Credit]))+SUMIF(CRDJ[Account Code],B113,(CRDJ[Credit]))+SUMIF(GJ[Account Code],B113,(GJ[Credit]))</f>
        <v>0</v>
      </c>
      <c r="G113" s="627">
        <f>IF(INDEX(AccountCodes[Normal Balance], MATCH(C113,AccountCodes[PPSAS CODE]))="Credit",F113-E113,0)</f>
        <v>0</v>
      </c>
      <c r="H113" s="626">
        <f t="shared" si="1"/>
        <v>0</v>
      </c>
    </row>
    <row r="114" spans="1:8" ht="15.75" hidden="1">
      <c r="A114" s="623" t="str">
        <f t="array" ref="A114">INDEX(AccountCodes[ACCOUNT NAME],MATCH(B114,AccountCodes[NGAS CODE],0))</f>
        <v>Accumulated Depreciation-Aircrafts and Aircrafts Ground Equipment</v>
      </c>
      <c r="B114" s="597" t="s">
        <v>102</v>
      </c>
      <c r="C114" s="625">
        <f t="array" ref="C114">INDEX(AccountCodes[PPSAS CODE],MATCH(B114,AccountCodes[NGAS CODE],0))</f>
        <v>1060603100</v>
      </c>
      <c r="D114" s="626">
        <f>IF(INDEX(AccountCodes[Normal Balance], MATCH(C114,AccountCodes[PPSAS CODE]))="Debit",E114-F114,0)</f>
        <v>0</v>
      </c>
      <c r="E114" s="626">
        <f>SUMIF(PostTB[Account Code (Old)],B114,(PostTB[Debit]))+SUMIF(CkDJ[Account Code],B114,(CkDJ[Debit]))+SUMIF(CsDJ[Account Code],B114,(CsDJ[Debit]))+SUMIF(CRDJ[Account Code],B114,(CRDJ[Debit]))+SUMIF(GJ[Account Code],B114,(GJ[Debit]))</f>
        <v>0</v>
      </c>
      <c r="F114" s="627">
        <f>SUMIF(PostTB[Account Code (Old)],B114,(PostTB[Credit]))+SUMIF(CkDJ[Account Code],B114,(CkDJ[Credit]))+SUMIF(CsDJ[Account Code],B114,(CsDJ[Credit]))+SUMIF(CRDJ[Account Code],B114,(CRDJ[Credit]))+SUMIF(GJ[Account Code],B114,(GJ[Credit]))</f>
        <v>0</v>
      </c>
      <c r="G114" s="627">
        <f>IF(INDEX(AccountCodes[Normal Balance], MATCH(C114,AccountCodes[PPSAS CODE]))="Credit",F114-E114,0)</f>
        <v>0</v>
      </c>
      <c r="H114" s="626">
        <f t="shared" si="1"/>
        <v>0</v>
      </c>
    </row>
    <row r="115" spans="1:8" ht="15.75" hidden="1">
      <c r="A115" s="623" t="str">
        <f t="array" ref="A115">INDEX(AccountCodes[ACCOUNT NAME],MATCH(B115,AccountCodes[NGAS CODE],0))</f>
        <v>Watercrafts</v>
      </c>
      <c r="B115" s="597" t="s">
        <v>57</v>
      </c>
      <c r="C115" s="625">
        <f t="array" ref="C115">INDEX(AccountCodes[PPSAS CODE],MATCH(B115,AccountCodes[NGAS CODE],0))</f>
        <v>1060604000</v>
      </c>
      <c r="D115" s="626">
        <f>IF(INDEX(AccountCodes[Normal Balance], MATCH(C115,AccountCodes[PPSAS CODE]))="Debit",E115-F115,0)</f>
        <v>0</v>
      </c>
      <c r="E115" s="626">
        <f>SUMIF(PostTB[Account Code (Old)],B115,(PostTB[Debit]))+SUMIF(CkDJ[Account Code],B115,(CkDJ[Debit]))+SUMIF(CsDJ[Account Code],B115,(CsDJ[Debit]))+SUMIF(CRDJ[Account Code],B115,(CRDJ[Debit]))+SUMIF(GJ[Account Code],B115,(GJ[Debit]))</f>
        <v>0</v>
      </c>
      <c r="F115" s="627">
        <f>SUMIF(PostTB[Account Code (Old)],B115,(PostTB[Credit]))+SUMIF(CkDJ[Account Code],B115,(CkDJ[Credit]))+SUMIF(CsDJ[Account Code],B115,(CsDJ[Credit]))+SUMIF(CRDJ[Account Code],B115,(CRDJ[Credit]))+SUMIF(GJ[Account Code],B115,(GJ[Credit]))</f>
        <v>0</v>
      </c>
      <c r="G115" s="627">
        <f>IF(INDEX(AccountCodes[Normal Balance], MATCH(C115,AccountCodes[PPSAS CODE]))="Credit",F115-E115,0)</f>
        <v>0</v>
      </c>
      <c r="H115" s="626">
        <f t="shared" si="1"/>
        <v>0</v>
      </c>
    </row>
    <row r="116" spans="1:8" ht="15.75" hidden="1">
      <c r="A116" s="623" t="str">
        <f t="array" ref="A116">INDEX(AccountCodes[ACCOUNT NAME],MATCH(B116,AccountCodes[NGAS CODE],0))</f>
        <v>Accumulated Depreciation-Watercrafts</v>
      </c>
      <c r="B116" s="597" t="s">
        <v>103</v>
      </c>
      <c r="C116" s="625">
        <f t="array" ref="C116">INDEX(AccountCodes[PPSAS CODE],MATCH(B116,AccountCodes[NGAS CODE],0))</f>
        <v>1060604100</v>
      </c>
      <c r="D116" s="626">
        <f>IF(INDEX(AccountCodes[Normal Balance], MATCH(C116,AccountCodes[PPSAS CODE]))="Debit",E116-F116,0)</f>
        <v>0</v>
      </c>
      <c r="E116" s="626">
        <f>SUMIF(PostTB[Account Code (Old)],B116,(PostTB[Debit]))+SUMIF(CkDJ[Account Code],B116,(CkDJ[Debit]))+SUMIF(CsDJ[Account Code],B116,(CsDJ[Debit]))+SUMIF(CRDJ[Account Code],B116,(CRDJ[Debit]))+SUMIF(GJ[Account Code],B116,(GJ[Debit]))</f>
        <v>0</v>
      </c>
      <c r="F116" s="627">
        <f>SUMIF(PostTB[Account Code (Old)],B116,(PostTB[Credit]))+SUMIF(CkDJ[Account Code],B116,(CkDJ[Credit]))+SUMIF(CsDJ[Account Code],B116,(CsDJ[Credit]))+SUMIF(CRDJ[Account Code],B116,(CRDJ[Credit]))+SUMIF(GJ[Account Code],B116,(GJ[Credit]))</f>
        <v>0</v>
      </c>
      <c r="G116" s="627">
        <f>IF(INDEX(AccountCodes[Normal Balance], MATCH(C116,AccountCodes[PPSAS CODE]))="Credit",F116-E116,0)</f>
        <v>0</v>
      </c>
      <c r="H116" s="626">
        <f t="shared" si="1"/>
        <v>0</v>
      </c>
    </row>
    <row r="117" spans="1:8" ht="15.75" hidden="1">
      <c r="A117" s="623" t="str">
        <f t="array" ref="A117">INDEX(AccountCodes[ACCOUNT NAME],MATCH(B117,AccountCodes[NGAS CODE],0))</f>
        <v>Other Transportation Equipment</v>
      </c>
      <c r="B117" s="597" t="s">
        <v>58</v>
      </c>
      <c r="C117" s="625">
        <f t="array" ref="C117">INDEX(AccountCodes[PPSAS CODE],MATCH(B117,AccountCodes[NGAS CODE],0))</f>
        <v>1060699000</v>
      </c>
      <c r="D117" s="626">
        <f>IF(INDEX(AccountCodes[Normal Balance], MATCH(C117,AccountCodes[PPSAS CODE]))="Debit",E117-F117,0)</f>
        <v>0</v>
      </c>
      <c r="E117" s="626">
        <f>SUMIF(PostTB[Account Code (Old)],B117,(PostTB[Debit]))+SUMIF(CkDJ[Account Code],B117,(CkDJ[Debit]))+SUMIF(CsDJ[Account Code],B117,(CsDJ[Debit]))+SUMIF(CRDJ[Account Code],B117,(CRDJ[Debit]))+SUMIF(GJ[Account Code],B117,(GJ[Debit]))</f>
        <v>0</v>
      </c>
      <c r="F117" s="627">
        <f>SUMIF(PostTB[Account Code (Old)],B117,(PostTB[Credit]))+SUMIF(CkDJ[Account Code],B117,(CkDJ[Credit]))+SUMIF(CsDJ[Account Code],B117,(CsDJ[Credit]))+SUMIF(CRDJ[Account Code],B117,(CRDJ[Credit]))+SUMIF(GJ[Account Code],B117,(GJ[Credit]))</f>
        <v>0</v>
      </c>
      <c r="G117" s="627">
        <f>IF(INDEX(AccountCodes[Normal Balance], MATCH(C117,AccountCodes[PPSAS CODE]))="Credit",F117-E117,0)</f>
        <v>0</v>
      </c>
      <c r="H117" s="626">
        <f t="shared" si="1"/>
        <v>0</v>
      </c>
    </row>
    <row r="118" spans="1:8" ht="15.75" hidden="1">
      <c r="A118" s="623" t="str">
        <f t="array" ref="A118">INDEX(AccountCodes[ACCOUNT NAME],MATCH(B118,AccountCodes[NGAS CODE],0))</f>
        <v>Accumulated Depreciation-Other Transportation Equipment</v>
      </c>
      <c r="B118" s="597" t="s">
        <v>104</v>
      </c>
      <c r="C118" s="625">
        <f t="array" ref="C118">INDEX(AccountCodes[PPSAS CODE],MATCH(B118,AccountCodes[NGAS CODE],0))</f>
        <v>1060699100</v>
      </c>
      <c r="D118" s="626">
        <f>IF(INDEX(AccountCodes[Normal Balance], MATCH(C118,AccountCodes[PPSAS CODE]))="Debit",E118-F118,0)</f>
        <v>0</v>
      </c>
      <c r="E118" s="626">
        <f>SUMIF(PostTB[Account Code (Old)],B118,(PostTB[Debit]))+SUMIF(CkDJ[Account Code],B118,(CkDJ[Debit]))+SUMIF(CsDJ[Account Code],B118,(CsDJ[Debit]))+SUMIF(CRDJ[Account Code],B118,(CRDJ[Debit]))+SUMIF(GJ[Account Code],B118,(GJ[Debit]))</f>
        <v>0</v>
      </c>
      <c r="F118" s="627">
        <f>SUMIF(PostTB[Account Code (Old)],B118,(PostTB[Credit]))+SUMIF(CkDJ[Account Code],B118,(CkDJ[Credit]))+SUMIF(CsDJ[Account Code],B118,(CsDJ[Credit]))+SUMIF(CRDJ[Account Code],B118,(CRDJ[Credit]))+SUMIF(GJ[Account Code],B118,(GJ[Credit]))</f>
        <v>0</v>
      </c>
      <c r="G118" s="627">
        <f>IF(INDEX(AccountCodes[Normal Balance], MATCH(C118,AccountCodes[PPSAS CODE]))="Credit",F118-E118,0)</f>
        <v>0</v>
      </c>
      <c r="H118" s="626">
        <f t="shared" si="1"/>
        <v>0</v>
      </c>
    </row>
    <row r="119" spans="1:8" ht="15.75" hidden="1">
      <c r="A119" s="623" t="str">
        <f t="array" ref="A119">INDEX(AccountCodes[ACCOUNT NAME],MATCH(B119,AccountCodes[NGAS CODE],0))</f>
        <v>Furniture and Fixtures</v>
      </c>
      <c r="B119" s="597" t="s">
        <v>43</v>
      </c>
      <c r="C119" s="625">
        <f t="array" ref="C119">INDEX(AccountCodes[PPSAS CODE],MATCH(B119,AccountCodes[NGAS CODE],0))</f>
        <v>1060701000</v>
      </c>
      <c r="D119" s="626">
        <f>IF(INDEX(AccountCodes[Normal Balance], MATCH(C119,AccountCodes[PPSAS CODE]))="Debit",E119-F119,0)</f>
        <v>0</v>
      </c>
      <c r="E119" s="626">
        <f>SUMIF(PostTB[Account Code (Old)],B119,(PostTB[Debit]))+SUMIF(CkDJ[Account Code],B119,(CkDJ[Debit]))+SUMIF(CsDJ[Account Code],B119,(CsDJ[Debit]))+SUMIF(CRDJ[Account Code],B119,(CRDJ[Debit]))+SUMIF(GJ[Account Code],B119,(GJ[Debit]))</f>
        <v>0</v>
      </c>
      <c r="F119" s="627">
        <f>SUMIF(PostTB[Account Code (Old)],B119,(PostTB[Credit]))+SUMIF(CkDJ[Account Code],B119,(CkDJ[Credit]))+SUMIF(CsDJ[Account Code],B119,(CsDJ[Credit]))+SUMIF(CRDJ[Account Code],B119,(CRDJ[Credit]))+SUMIF(GJ[Account Code],B119,(GJ[Credit]))</f>
        <v>0</v>
      </c>
      <c r="G119" s="627">
        <f>IF(INDEX(AccountCodes[Normal Balance], MATCH(C119,AccountCodes[PPSAS CODE]))="Credit",F119-E119,0)</f>
        <v>0</v>
      </c>
      <c r="H119" s="626">
        <f t="shared" si="1"/>
        <v>0</v>
      </c>
    </row>
    <row r="120" spans="1:8" ht="15.75" hidden="1">
      <c r="A120" s="623" t="str">
        <f t="array" ref="A120">INDEX(AccountCodes[ACCOUNT NAME],MATCH(B120,AccountCodes[NGAS CODE],0))</f>
        <v>Accumulated Depreciation-Furniture and Fixtures</v>
      </c>
      <c r="B120" s="597" t="s">
        <v>89</v>
      </c>
      <c r="C120" s="625">
        <f t="array" ref="C120">INDEX(AccountCodes[PPSAS CODE],MATCH(B120,AccountCodes[NGAS CODE],0))</f>
        <v>1060701100</v>
      </c>
      <c r="D120" s="626">
        <f>IF(INDEX(AccountCodes[Normal Balance], MATCH(C120,AccountCodes[PPSAS CODE]))="Debit",E120-F120,0)</f>
        <v>0</v>
      </c>
      <c r="E120" s="626">
        <f>SUMIF(PostTB[Account Code (Old)],B120,(PostTB[Debit]))+SUMIF(CkDJ[Account Code],B120,(CkDJ[Debit]))+SUMIF(CsDJ[Account Code],B120,(CsDJ[Debit]))+SUMIF(CRDJ[Account Code],B120,(CRDJ[Debit]))+SUMIF(GJ[Account Code],B120,(GJ[Debit]))</f>
        <v>0</v>
      </c>
      <c r="F120" s="627">
        <f>SUMIF(PostTB[Account Code (Old)],B120,(PostTB[Credit]))+SUMIF(CkDJ[Account Code],B120,(CkDJ[Credit]))+SUMIF(CsDJ[Account Code],B120,(CsDJ[Credit]))+SUMIF(CRDJ[Account Code],B120,(CRDJ[Credit]))+SUMIF(GJ[Account Code],B120,(GJ[Credit]))</f>
        <v>0</v>
      </c>
      <c r="G120" s="627">
        <f>IF(INDEX(AccountCodes[Normal Balance], MATCH(C120,AccountCodes[PPSAS CODE]))="Credit",F120-E120,0)</f>
        <v>0</v>
      </c>
      <c r="H120" s="626">
        <f t="shared" si="1"/>
        <v>0</v>
      </c>
    </row>
    <row r="121" spans="1:8" ht="15.75" hidden="1">
      <c r="A121" s="623" t="str">
        <f t="array" ref="A121">INDEX(AccountCodes[ACCOUNT NAME],MATCH(B121,AccountCodes[NGAS CODE],0))</f>
        <v>Books</v>
      </c>
      <c r="B121" s="597" t="s">
        <v>45</v>
      </c>
      <c r="C121" s="625">
        <f t="array" ref="C121">INDEX(AccountCodes[PPSAS CODE],MATCH(B121,AccountCodes[NGAS CODE],0))</f>
        <v>1060702000</v>
      </c>
      <c r="D121" s="626">
        <f>IF(INDEX(AccountCodes[Normal Balance], MATCH(C121,AccountCodes[PPSAS CODE]))="Debit",E121-F121,0)</f>
        <v>0</v>
      </c>
      <c r="E121" s="626">
        <f>SUMIF(PostTB[Account Code (Old)],B121,(PostTB[Debit]))+SUMIF(CkDJ[Account Code],B121,(CkDJ[Debit]))+SUMIF(CsDJ[Account Code],B121,(CsDJ[Debit]))+SUMIF(CRDJ[Account Code],B121,(CRDJ[Debit]))+SUMIF(GJ[Account Code],B121,(GJ[Debit]))</f>
        <v>0</v>
      </c>
      <c r="F121" s="627">
        <f>SUMIF(PostTB[Account Code (Old)],B121,(PostTB[Credit]))+SUMIF(CkDJ[Account Code],B121,(CkDJ[Credit]))+SUMIF(CsDJ[Account Code],B121,(CsDJ[Credit]))+SUMIF(CRDJ[Account Code],B121,(CRDJ[Credit]))+SUMIF(GJ[Account Code],B121,(GJ[Credit]))</f>
        <v>0</v>
      </c>
      <c r="G121" s="627">
        <f>IF(INDEX(AccountCodes[Normal Balance], MATCH(C121,AccountCodes[PPSAS CODE]))="Credit",F121-E121,0)</f>
        <v>0</v>
      </c>
      <c r="H121" s="626">
        <f t="shared" si="1"/>
        <v>0</v>
      </c>
    </row>
    <row r="122" spans="1:8" ht="15.75" hidden="1">
      <c r="A122" s="623" t="str">
        <f t="array" ref="A122">INDEX(AccountCodes[ACCOUNT NAME],MATCH(B122,AccountCodes[NGAS CODE],0))</f>
        <v>Accumulated Depreciation-Books</v>
      </c>
      <c r="B122" s="597" t="s">
        <v>91</v>
      </c>
      <c r="C122" s="625">
        <f t="array" ref="C122">INDEX(AccountCodes[PPSAS CODE],MATCH(B122,AccountCodes[NGAS CODE],0))</f>
        <v>1060702100</v>
      </c>
      <c r="D122" s="626">
        <f>IF(INDEX(AccountCodes[Normal Balance], MATCH(C122,AccountCodes[PPSAS CODE]))="Debit",E122-F122,0)</f>
        <v>0</v>
      </c>
      <c r="E122" s="626">
        <f>SUMIF(PostTB[Account Code (Old)],B122,(PostTB[Debit]))+SUMIF(CkDJ[Account Code],B122,(CkDJ[Debit]))+SUMIF(CsDJ[Account Code],B122,(CsDJ[Debit]))+SUMIF(CRDJ[Account Code],B122,(CRDJ[Debit]))+SUMIF(GJ[Account Code],B122,(GJ[Debit]))</f>
        <v>0</v>
      </c>
      <c r="F122" s="627">
        <f>SUMIF(PostTB[Account Code (Old)],B122,(PostTB[Credit]))+SUMIF(CkDJ[Account Code],B122,(CkDJ[Credit]))+SUMIF(CsDJ[Account Code],B122,(CsDJ[Credit]))+SUMIF(CRDJ[Account Code],B122,(CRDJ[Credit]))+SUMIF(GJ[Account Code],B122,(GJ[Credit]))</f>
        <v>0</v>
      </c>
      <c r="G122" s="627">
        <f>IF(INDEX(AccountCodes[Normal Balance], MATCH(C122,AccountCodes[PPSAS CODE]))="Credit",F122-E122,0)</f>
        <v>0</v>
      </c>
      <c r="H122" s="626">
        <f t="shared" si="1"/>
        <v>0</v>
      </c>
    </row>
    <row r="123" spans="1:8" ht="15.75" hidden="1">
      <c r="A123" s="623" t="str">
        <f t="array" ref="A123">INDEX(AccountCodes[ACCOUNT NAME],MATCH(B123,AccountCodes[NGAS CODE],0))</f>
        <v>Other Property, Plant and Equipment</v>
      </c>
      <c r="B123" s="597" t="s">
        <v>59</v>
      </c>
      <c r="C123" s="625">
        <f t="array" ref="C123">INDEX(AccountCodes[PPSAS CODE],MATCH(B123,AccountCodes[NGAS CODE],0))</f>
        <v>1069899000</v>
      </c>
      <c r="D123" s="626">
        <f>IF(INDEX(AccountCodes[Normal Balance], MATCH(C123,AccountCodes[PPSAS CODE]))="Debit",E123-F123,0)</f>
        <v>0</v>
      </c>
      <c r="E123" s="626">
        <f>SUMIF(PostTB[Account Code (Old)],B123,(PostTB[Debit]))+SUMIF(CkDJ[Account Code],B123,(CkDJ[Debit]))+SUMIF(CsDJ[Account Code],B123,(CsDJ[Debit]))+SUMIF(CRDJ[Account Code],B123,(CRDJ[Debit]))+SUMIF(GJ[Account Code],B123,(GJ[Debit]))</f>
        <v>0</v>
      </c>
      <c r="F123" s="627">
        <f>SUMIF(PostTB[Account Code (Old)],B123,(PostTB[Credit]))+SUMIF(CkDJ[Account Code],B123,(CkDJ[Credit]))+SUMIF(CsDJ[Account Code],B123,(CsDJ[Credit]))+SUMIF(CRDJ[Account Code],B123,(CRDJ[Credit]))+SUMIF(GJ[Account Code],B123,(GJ[Credit]))</f>
        <v>0</v>
      </c>
      <c r="G123" s="627">
        <f>IF(INDEX(AccountCodes[Normal Balance], MATCH(C123,AccountCodes[PPSAS CODE]))="Credit",F123-E123,0)</f>
        <v>0</v>
      </c>
      <c r="H123" s="626">
        <f t="shared" si="1"/>
        <v>0</v>
      </c>
    </row>
    <row r="124" spans="1:8" ht="15.75" hidden="1">
      <c r="A124" s="623" t="str">
        <f t="array" ref="A124">INDEX(AccountCodes[ACCOUNT NAME],MATCH(B124,AccountCodes[NGAS CODE],0))</f>
        <v>Accumulated Depreciation-Other Property, Plant and Equipment</v>
      </c>
      <c r="B124" s="597" t="s">
        <v>105</v>
      </c>
      <c r="C124" s="625">
        <f t="array" ref="C124">INDEX(AccountCodes[PPSAS CODE],MATCH(B124,AccountCodes[NGAS CODE],0))</f>
        <v>1069899100</v>
      </c>
      <c r="D124" s="626">
        <f>IF(INDEX(AccountCodes[Normal Balance], MATCH(C124,AccountCodes[PPSAS CODE]))="Debit",E124-F124,0)</f>
        <v>0</v>
      </c>
      <c r="E124" s="626">
        <f>SUMIF(PostTB[Account Code (Old)],B124,(PostTB[Debit]))+SUMIF(CkDJ[Account Code],B124,(CkDJ[Debit]))+SUMIF(CsDJ[Account Code],B124,(CsDJ[Debit]))+SUMIF(CRDJ[Account Code],B124,(CRDJ[Debit]))+SUMIF(GJ[Account Code],B124,(GJ[Debit]))</f>
        <v>0</v>
      </c>
      <c r="F124" s="627">
        <f>SUMIF(PostTB[Account Code (Old)],B124,(PostTB[Credit]))+SUMIF(CkDJ[Account Code],B124,(CkDJ[Credit]))+SUMIF(CsDJ[Account Code],B124,(CsDJ[Credit]))+SUMIF(CRDJ[Account Code],B124,(CRDJ[Credit]))+SUMIF(GJ[Account Code],B124,(GJ[Credit]))</f>
        <v>0</v>
      </c>
      <c r="G124" s="627">
        <f>IF(INDEX(AccountCodes[Normal Balance], MATCH(C124,AccountCodes[PPSAS CODE]))="Credit",F124-E124,0)</f>
        <v>0</v>
      </c>
      <c r="H124" s="626">
        <f t="shared" si="1"/>
        <v>0</v>
      </c>
    </row>
    <row r="125" spans="1:8" ht="15.75" hidden="1">
      <c r="A125" s="623" t="str">
        <f t="array" ref="A125">INDEX(AccountCodes[ACCOUNT NAME],MATCH(B125,AccountCodes[NGAS CODE],0))</f>
        <v>Construction in Progress-Infrastructure Assets (Agency Assets)</v>
      </c>
      <c r="B125" s="597" t="s">
        <v>61</v>
      </c>
      <c r="C125" s="625">
        <f t="array" ref="C125">INDEX(AccountCodes[PPSAS CODE],MATCH(B125,AccountCodes[NGAS CODE],0))</f>
        <v>1069902099</v>
      </c>
      <c r="D125" s="626">
        <f>IF(INDEX(AccountCodes[Normal Balance], MATCH(C125,AccountCodes[PPSAS CODE]))="Debit",E125-F125,0)</f>
        <v>0</v>
      </c>
      <c r="E125" s="626">
        <f>SUMIF(PostTB[Account Code (Old)],B125,(PostTB[Debit]))+SUMIF(CkDJ[Account Code],B125,(CkDJ[Debit]))+SUMIF(CsDJ[Account Code],B125,(CsDJ[Debit]))+SUMIF(CRDJ[Account Code],B125,(CRDJ[Debit]))+SUMIF(GJ[Account Code],B125,(GJ[Debit]))</f>
        <v>0</v>
      </c>
      <c r="F125" s="627">
        <f>SUMIF(PostTB[Account Code (Old)],B125,(PostTB[Credit]))+SUMIF(CkDJ[Account Code],B125,(CkDJ[Credit]))+SUMIF(CsDJ[Account Code],B125,(CsDJ[Credit]))+SUMIF(CRDJ[Account Code],B125,(CRDJ[Credit]))+SUMIF(GJ[Account Code],B125,(GJ[Credit]))</f>
        <v>0</v>
      </c>
      <c r="G125" s="627">
        <f>IF(INDEX(AccountCodes[Normal Balance], MATCH(C125,AccountCodes[PPSAS CODE]))="Credit",F125-E125,0)</f>
        <v>0</v>
      </c>
      <c r="H125" s="626">
        <f t="shared" si="1"/>
        <v>0</v>
      </c>
    </row>
    <row r="126" spans="1:8" ht="15.75" hidden="1">
      <c r="A126" s="623" t="str">
        <f t="array" ref="A126">INDEX(AccountCodes[ACCOUNT NAME],MATCH(B126,AccountCodes[NGAS CODE],0))</f>
        <v>Construction in Progress-Infrastructure Assets (Artesian Wells, Reservoirs, Pumping Stations &amp; Conduits)</v>
      </c>
      <c r="B126" s="597" t="s">
        <v>62</v>
      </c>
      <c r="C126" s="625">
        <f t="array" ref="C126">INDEX(AccountCodes[PPSAS CODE],MATCH(B126,AccountCodes[NGAS CODE],0))</f>
        <v>1069902099</v>
      </c>
      <c r="D126" s="626">
        <f>IF(INDEX(AccountCodes[Normal Balance], MATCH(C126,AccountCodes[PPSAS CODE]))="Debit",E126-F126,0)</f>
        <v>0</v>
      </c>
      <c r="E126" s="626">
        <f>SUMIF(PostTB[Account Code (Old)],B126,(PostTB[Debit]))+SUMIF(CkDJ[Account Code],B126,(CkDJ[Debit]))+SUMIF(CsDJ[Account Code],B126,(CsDJ[Debit]))+SUMIF(CRDJ[Account Code],B126,(CRDJ[Debit]))+SUMIF(GJ[Account Code],B126,(GJ[Debit]))</f>
        <v>0</v>
      </c>
      <c r="F126" s="627">
        <f>SUMIF(PostTB[Account Code (Old)],B126,(PostTB[Credit]))+SUMIF(CkDJ[Account Code],B126,(CkDJ[Credit]))+SUMIF(CsDJ[Account Code],B126,(CsDJ[Credit]))+SUMIF(CRDJ[Account Code],B126,(CRDJ[Credit]))+SUMIF(GJ[Account Code],B126,(GJ[Credit]))</f>
        <v>0</v>
      </c>
      <c r="G126" s="627">
        <f>IF(INDEX(AccountCodes[Normal Balance], MATCH(C126,AccountCodes[PPSAS CODE]))="Credit",F126-E126,0)</f>
        <v>0</v>
      </c>
      <c r="H126" s="626">
        <f t="shared" si="1"/>
        <v>0</v>
      </c>
    </row>
    <row r="127" spans="1:8" ht="15.75">
      <c r="A127" s="623" t="str">
        <f t="array" ref="A127">INDEX(AccountCodes[ACCOUNT NAME],MATCH(B127,AccountCodes[NGAS CODE],0))</f>
        <v>Construction in Progress-Infrastructure Assets (Irrigation, Canals and Laterals)</v>
      </c>
      <c r="B127" s="597" t="s">
        <v>82</v>
      </c>
      <c r="C127" s="625">
        <f t="array" ref="C127">INDEX(AccountCodes[PPSAS CODE],MATCH(B127,AccountCodes[NGAS CODE],0))</f>
        <v>1069902099</v>
      </c>
      <c r="D127" s="626">
        <f>IF(INDEX(AccountCodes[Normal Balance], MATCH(C127,AccountCodes[PPSAS CODE]))="Debit",E127-F127,0)</f>
        <v>44408723.700000003</v>
      </c>
      <c r="E127" s="626">
        <f>SUMIF(PostTB[Account Code (Old)],B127,(PostTB[Debit]))+SUMIF(CkDJ[Account Code],B127,(CkDJ[Debit]))+SUMIF(CsDJ[Account Code],B127,(CsDJ[Debit]))+SUMIF(CRDJ[Account Code],B127,(CRDJ[Debit]))+SUMIF(GJ[Account Code],B127,(GJ[Debit]))</f>
        <v>44408723.700000003</v>
      </c>
      <c r="F127" s="627">
        <f>SUMIF(PostTB[Account Code (Old)],B127,(PostTB[Credit]))+SUMIF(CkDJ[Account Code],B127,(CkDJ[Credit]))+SUMIF(CsDJ[Account Code],B127,(CsDJ[Credit]))+SUMIF(CRDJ[Account Code],B127,(CRDJ[Credit]))+SUMIF(GJ[Account Code],B127,(GJ[Credit]))</f>
        <v>0</v>
      </c>
      <c r="G127" s="627">
        <f>IF(INDEX(AccountCodes[Normal Balance], MATCH(C127,AccountCodes[PPSAS CODE]))="Credit",F127-E127,0)</f>
        <v>0</v>
      </c>
      <c r="H127" s="626">
        <f t="shared" si="1"/>
        <v>44408723.700000003</v>
      </c>
    </row>
    <row r="128" spans="1:8" ht="15.75" hidden="1">
      <c r="A128" s="623" t="str">
        <f t="array" ref="A128">INDEX(AccountCodes[ACCOUNT NAME],MATCH(B128,AccountCodes[NGAS CODE],0))</f>
        <v>Advances for Payroll</v>
      </c>
      <c r="B128" s="597" t="s">
        <v>12</v>
      </c>
      <c r="C128" s="625">
        <f t="array" ref="C128">INDEX(AccountCodes[PPSAS CODE],MATCH(B128,AccountCodes[NGAS CODE],0))</f>
        <v>1990102000</v>
      </c>
      <c r="D128" s="626">
        <f>IF(INDEX(AccountCodes[Normal Balance], MATCH(C128,AccountCodes[PPSAS CODE]))="Debit",E128-F128,0)</f>
        <v>0</v>
      </c>
      <c r="E128" s="626">
        <f>SUMIF(PostTB[Account Code (Old)],B128,(PostTB[Debit]))+SUMIF(CkDJ[Account Code],B128,(CkDJ[Debit]))+SUMIF(CsDJ[Account Code],B128,(CsDJ[Debit]))+SUMIF(CRDJ[Account Code],B128,(CRDJ[Debit]))+SUMIF(GJ[Account Code],B128,(GJ[Debit]))</f>
        <v>0</v>
      </c>
      <c r="F128" s="627">
        <f>SUMIF(PostTB[Account Code (Old)],B128,(PostTB[Credit]))+SUMIF(CkDJ[Account Code],B128,(CkDJ[Credit]))+SUMIF(CsDJ[Account Code],B128,(CsDJ[Credit]))+SUMIF(CRDJ[Account Code],B128,(CRDJ[Credit]))+SUMIF(GJ[Account Code],B128,(GJ[Credit]))</f>
        <v>0</v>
      </c>
      <c r="G128" s="627">
        <f>IF(INDEX(AccountCodes[Normal Balance], MATCH(C128,AccountCodes[PPSAS CODE]))="Credit",F128-E128,0)</f>
        <v>0</v>
      </c>
      <c r="H128" s="626">
        <f t="shared" si="1"/>
        <v>0</v>
      </c>
    </row>
    <row r="129" spans="1:8" ht="15.75" hidden="1">
      <c r="A129" s="623" t="str">
        <f t="array" ref="A129">INDEX(AccountCodes[ACCOUNT NAME],MATCH(B129,AccountCodes[NGAS CODE],0))</f>
        <v>Advances to Special Disbursing Officer</v>
      </c>
      <c r="B129" s="597" t="s">
        <v>10</v>
      </c>
      <c r="C129" s="625">
        <f t="array" ref="C129">INDEX(AccountCodes[PPSAS CODE],MATCH(B129,AccountCodes[NGAS CODE],0))</f>
        <v>1990103000</v>
      </c>
      <c r="D129" s="626">
        <f>IF(INDEX(AccountCodes[Normal Balance], MATCH(C129,AccountCodes[PPSAS CODE]))="Debit",E129-F129,0)</f>
        <v>0</v>
      </c>
      <c r="E129" s="626">
        <f>SUMIF(PostTB[Account Code (Old)],B129,(PostTB[Debit]))+SUMIF(CkDJ[Account Code],B129,(CkDJ[Debit]))+SUMIF(CsDJ[Account Code],B129,(CsDJ[Debit]))+SUMIF(CRDJ[Account Code],B129,(CRDJ[Debit]))+SUMIF(GJ[Account Code],B129,(GJ[Debit]))</f>
        <v>0</v>
      </c>
      <c r="F129" s="627">
        <f>SUMIF(PostTB[Account Code (Old)],B129,(PostTB[Credit]))+SUMIF(CkDJ[Account Code],B129,(CkDJ[Credit]))+SUMIF(CsDJ[Account Code],B129,(CsDJ[Credit]))+SUMIF(CRDJ[Account Code],B129,(CRDJ[Credit]))+SUMIF(GJ[Account Code],B129,(GJ[Credit]))</f>
        <v>0</v>
      </c>
      <c r="G129" s="627">
        <f>IF(INDEX(AccountCodes[Normal Balance], MATCH(C129,AccountCodes[PPSAS CODE]))="Credit",F129-E129,0)</f>
        <v>0</v>
      </c>
      <c r="H129" s="626">
        <f t="shared" si="1"/>
        <v>0</v>
      </c>
    </row>
    <row r="130" spans="1:8" ht="15.75">
      <c r="A130" s="623" t="str">
        <f t="array" ref="A130">INDEX(AccountCodes[ACCOUNT NAME],MATCH(B130,AccountCodes[NGAS CODE],0))</f>
        <v>Advances to Contractors</v>
      </c>
      <c r="B130" s="597" t="s">
        <v>35</v>
      </c>
      <c r="C130" s="625">
        <f t="array" ref="C130">INDEX(AccountCodes[PPSAS CODE],MATCH(B130,AccountCodes[NGAS CODE],0))</f>
        <v>1990201000</v>
      </c>
      <c r="D130" s="626">
        <f>IF(INDEX(AccountCodes[Normal Balance], MATCH(C130,AccountCodes[PPSAS CODE]))="Debit",E130-F130,0)</f>
        <v>701974.69</v>
      </c>
      <c r="E130" s="626">
        <f>SUMIF(PostTB[Account Code (Old)],B130,(PostTB[Debit]))+SUMIF(CkDJ[Account Code],B130,(CkDJ[Debit]))+SUMIF(CsDJ[Account Code],B130,(CsDJ[Debit]))+SUMIF(CRDJ[Account Code],B130,(CRDJ[Debit]))+SUMIF(GJ[Account Code],B130,(GJ[Debit]))</f>
        <v>3858177.25</v>
      </c>
      <c r="F130" s="627">
        <f>SUMIF(PostTB[Account Code (Old)],B130,(PostTB[Credit]))+SUMIF(CkDJ[Account Code],B130,(CkDJ[Credit]))+SUMIF(CsDJ[Account Code],B130,(CsDJ[Credit]))+SUMIF(CRDJ[Account Code],B130,(CRDJ[Credit]))+SUMIF(GJ[Account Code],B130,(GJ[Credit]))</f>
        <v>3156202.56</v>
      </c>
      <c r="G130" s="627">
        <f>IF(INDEX(AccountCodes[Normal Balance], MATCH(C130,AccountCodes[PPSAS CODE]))="Credit",F130-E130,0)</f>
        <v>0</v>
      </c>
      <c r="H130" s="626">
        <f t="shared" ref="H130:H197" si="2">IF(D130=0,G130,D130)</f>
        <v>701974.69</v>
      </c>
    </row>
    <row r="131" spans="1:8" ht="15.75" hidden="1">
      <c r="A131" s="623" t="str">
        <f t="array" ref="A131">INDEX(AccountCodes[ACCOUNT NAME],MATCH(B131,AccountCodes[NGAS CODE],0))</f>
        <v>Prepaid Rent</v>
      </c>
      <c r="B131" s="597" t="s">
        <v>33</v>
      </c>
      <c r="C131" s="625">
        <f t="array" ref="C131">INDEX(AccountCodes[PPSAS CODE],MATCH(B131,AccountCodes[NGAS CODE],0))</f>
        <v>1990202000</v>
      </c>
      <c r="D131" s="626">
        <f>IF(INDEX(AccountCodes[Normal Balance], MATCH(C131,AccountCodes[PPSAS CODE]))="Debit",E131-F131,0)</f>
        <v>0</v>
      </c>
      <c r="E131" s="626">
        <f>SUMIF(PostTB[Account Code (Old)],B131,(PostTB[Debit]))+SUMIF(CkDJ[Account Code],B131,(CkDJ[Debit]))+SUMIF(CsDJ[Account Code],B131,(CsDJ[Debit]))+SUMIF(CRDJ[Account Code],B131,(CRDJ[Debit]))+SUMIF(GJ[Account Code],B131,(GJ[Debit]))</f>
        <v>0</v>
      </c>
      <c r="F131" s="627">
        <f>SUMIF(PostTB[Account Code (Old)],B131,(PostTB[Credit]))+SUMIF(CkDJ[Account Code],B131,(CkDJ[Credit]))+SUMIF(CsDJ[Account Code],B131,(CsDJ[Credit]))+SUMIF(CRDJ[Account Code],B131,(CRDJ[Credit]))+SUMIF(GJ[Account Code],B131,(GJ[Credit]))</f>
        <v>0</v>
      </c>
      <c r="G131" s="627">
        <f>IF(INDEX(AccountCodes[Normal Balance], MATCH(C131,AccountCodes[PPSAS CODE]))="Credit",F131-E131,0)</f>
        <v>0</v>
      </c>
      <c r="H131" s="626">
        <f t="shared" si="2"/>
        <v>0</v>
      </c>
    </row>
    <row r="132" spans="1:8" ht="15.75" hidden="1">
      <c r="A132" s="623" t="str">
        <f t="array" ref="A132">INDEX(AccountCodes[ACCOUNT NAME],MATCH(B132,AccountCodes[NGAS CODE],0))</f>
        <v>Prepaid Insurance</v>
      </c>
      <c r="B132" s="597" t="s">
        <v>1224</v>
      </c>
      <c r="C132" s="625">
        <f t="array" ref="C132">INDEX(AccountCodes[PPSAS CODE],MATCH(B132,AccountCodes[NGAS CODE],0))</f>
        <v>1990205000</v>
      </c>
      <c r="D132" s="626">
        <f>IF(INDEX(AccountCodes[Normal Balance], MATCH(C132,AccountCodes[PPSAS CODE]))="Debit",E132-F132,0)</f>
        <v>0</v>
      </c>
      <c r="E132" s="626">
        <f>SUMIF(PostTB[Account Code (Old)],B132,(PostTB[Debit]))+SUMIF(CkDJ[Account Code],B132,(CkDJ[Debit]))+SUMIF(CsDJ[Account Code],B132,(CsDJ[Debit]))+SUMIF(CRDJ[Account Code],B132,(CRDJ[Debit]))+SUMIF(GJ[Account Code],B132,(GJ[Debit]))</f>
        <v>0</v>
      </c>
      <c r="F132" s="627">
        <f>SUMIF(PostTB[Account Code (Old)],B132,(PostTB[Credit]))+SUMIF(CkDJ[Account Code],B132,(CkDJ[Credit]))+SUMIF(CsDJ[Account Code],B132,(CsDJ[Credit]))+SUMIF(CRDJ[Account Code],B132,(CRDJ[Credit]))+SUMIF(GJ[Account Code],B132,(GJ[Credit]))</f>
        <v>0</v>
      </c>
      <c r="G132" s="627">
        <f>IF(INDEX(AccountCodes[Normal Balance], MATCH(C132,AccountCodes[PPSAS CODE]))="Credit",F132-E132,0)</f>
        <v>0</v>
      </c>
      <c r="H132" s="626">
        <f t="shared" si="2"/>
        <v>0</v>
      </c>
    </row>
    <row r="133" spans="1:8" ht="15.75" hidden="1">
      <c r="A133" s="623" t="str">
        <f t="array" ref="A133">INDEX(AccountCodes[ACCOUNT NAME],MATCH(B133,AccountCodes[NGAS CODE],0))</f>
        <v>Other Prepayments</v>
      </c>
      <c r="B133" s="597" t="s">
        <v>36</v>
      </c>
      <c r="C133" s="625">
        <f t="array" ref="C133">INDEX(AccountCodes[PPSAS CODE],MATCH(B133,AccountCodes[NGAS CODE],0))</f>
        <v>1990299000</v>
      </c>
      <c r="D133" s="626">
        <f>IF(INDEX(AccountCodes[Normal Balance], MATCH(C133,AccountCodes[PPSAS CODE]))="Debit",E133-F133,0)</f>
        <v>0</v>
      </c>
      <c r="E133" s="626">
        <f>SUMIF(PostTB[Account Code (Old)],B133,(PostTB[Debit]))+SUMIF(CkDJ[Account Code],B133,(CkDJ[Debit]))+SUMIF(CsDJ[Account Code],B133,(CsDJ[Debit]))+SUMIF(CRDJ[Account Code],B133,(CRDJ[Debit]))+SUMIF(GJ[Account Code],B133,(GJ[Debit]))</f>
        <v>0</v>
      </c>
      <c r="F133" s="627">
        <f>SUMIF(PostTB[Account Code (Old)],B133,(PostTB[Credit]))+SUMIF(CkDJ[Account Code],B133,(CkDJ[Credit]))+SUMIF(CsDJ[Account Code],B133,(CsDJ[Credit]))+SUMIF(CRDJ[Account Code],B133,(CRDJ[Credit]))+SUMIF(GJ[Account Code],B133,(GJ[Credit]))</f>
        <v>0</v>
      </c>
      <c r="G133" s="627">
        <f>IF(INDEX(AccountCodes[Normal Balance], MATCH(C133,AccountCodes[PPSAS CODE]))="Credit",F133-E133,0)</f>
        <v>0</v>
      </c>
      <c r="H133" s="626">
        <f t="shared" si="2"/>
        <v>0</v>
      </c>
    </row>
    <row r="134" spans="1:8" ht="15.75" hidden="1">
      <c r="A134" s="623" t="str">
        <f t="array" ref="A134">INDEX(AccountCodes[ACCOUNT NAME],MATCH(B134,AccountCodes[NGAS CODE],0))</f>
        <v>Deposit on Letters of Credit</v>
      </c>
      <c r="B134" s="597" t="s">
        <v>34</v>
      </c>
      <c r="C134" s="625">
        <f t="array" ref="C134">INDEX(AccountCodes[PPSAS CODE],MATCH(B134,AccountCodes[NGAS CODE],0))</f>
        <v>1990301000</v>
      </c>
      <c r="D134" s="626">
        <f>IF(INDEX(AccountCodes[Normal Balance], MATCH(C134,AccountCodes[PPSAS CODE]))="Debit",E134-F134,0)</f>
        <v>0</v>
      </c>
      <c r="E134" s="626">
        <f>SUMIF(PostTB[Account Code (Old)],B134,(PostTB[Debit]))+SUMIF(CkDJ[Account Code],B134,(CkDJ[Debit]))+SUMIF(CsDJ[Account Code],B134,(CsDJ[Debit]))+SUMIF(CRDJ[Account Code],B134,(CRDJ[Debit]))+SUMIF(GJ[Account Code],B134,(GJ[Debit]))</f>
        <v>0</v>
      </c>
      <c r="F134" s="627">
        <f>SUMIF(PostTB[Account Code (Old)],B134,(PostTB[Credit]))+SUMIF(CkDJ[Account Code],B134,(CkDJ[Credit]))+SUMIF(CsDJ[Account Code],B134,(CsDJ[Credit]))+SUMIF(CRDJ[Account Code],B134,(CRDJ[Credit]))+SUMIF(GJ[Account Code],B134,(GJ[Credit]))</f>
        <v>0</v>
      </c>
      <c r="G134" s="627">
        <f>IF(INDEX(AccountCodes[Normal Balance], MATCH(C134,AccountCodes[PPSAS CODE]))="Credit",F134-E134,0)</f>
        <v>0</v>
      </c>
      <c r="H134" s="626">
        <f t="shared" si="2"/>
        <v>0</v>
      </c>
    </row>
    <row r="135" spans="1:8" ht="15.75" hidden="1">
      <c r="A135" s="623" t="str">
        <f t="array" ref="A135">INDEX(AccountCodes[ACCOUNT NAME],MATCH(B135,AccountCodes[NGAS CODE],0))</f>
        <v>Guaranty Deposits</v>
      </c>
      <c r="B135" s="597" t="s">
        <v>37</v>
      </c>
      <c r="C135" s="625">
        <f t="array" ref="C135">INDEX(AccountCodes[PPSAS CODE],MATCH(B135,AccountCodes[NGAS CODE],0))</f>
        <v>1990302000</v>
      </c>
      <c r="D135" s="626">
        <f>IF(INDEX(AccountCodes[Normal Balance], MATCH(C135,AccountCodes[PPSAS CODE]))="Debit",E135-F135,0)</f>
        <v>0</v>
      </c>
      <c r="E135" s="626">
        <f>SUMIF(PostTB[Account Code (Old)],B135,(PostTB[Debit]))+SUMIF(CkDJ[Account Code],B135,(CkDJ[Debit]))+SUMIF(CsDJ[Account Code],B135,(CsDJ[Debit]))+SUMIF(CRDJ[Account Code],B135,(CRDJ[Debit]))+SUMIF(GJ[Account Code],B135,(GJ[Debit]))</f>
        <v>0</v>
      </c>
      <c r="F135" s="627">
        <f>SUMIF(PostTB[Account Code (Old)],B135,(PostTB[Credit]))+SUMIF(CkDJ[Account Code],B135,(CkDJ[Credit]))+SUMIF(CsDJ[Account Code],B135,(CsDJ[Credit]))+SUMIF(CRDJ[Account Code],B135,(CRDJ[Credit]))+SUMIF(GJ[Account Code],B135,(GJ[Credit]))</f>
        <v>0</v>
      </c>
      <c r="G135" s="627">
        <f>IF(INDEX(AccountCodes[Normal Balance], MATCH(C135,AccountCodes[PPSAS CODE]))="Credit",F135-E135,0)</f>
        <v>0</v>
      </c>
      <c r="H135" s="626">
        <f t="shared" si="2"/>
        <v>0</v>
      </c>
    </row>
    <row r="136" spans="1:8" ht="15.75" hidden="1">
      <c r="A136" s="623" t="str">
        <f t="array" ref="A136">INDEX(AccountCodes[ACCOUNT NAME],MATCH(B136,AccountCodes[NGAS CODE],0))</f>
        <v>Other Assets</v>
      </c>
      <c r="B136" s="597" t="s">
        <v>83</v>
      </c>
      <c r="C136" s="625">
        <f t="array" ref="C136">INDEX(AccountCodes[PPSAS CODE],MATCH(B136,AccountCodes[NGAS CODE],0))</f>
        <v>1999999000</v>
      </c>
      <c r="D136" s="626">
        <f>IF(INDEX(AccountCodes[Normal Balance], MATCH(C136,AccountCodes[PPSAS CODE]))="Debit",E136-F136,0)</f>
        <v>0</v>
      </c>
      <c r="E136" s="626">
        <f>SUMIF(PostTB[Account Code (Old)],B136,(PostTB[Debit]))+SUMIF(CkDJ[Account Code],B136,(CkDJ[Debit]))+SUMIF(CsDJ[Account Code],B136,(CsDJ[Debit]))+SUMIF(CRDJ[Account Code],B136,(CRDJ[Debit]))+SUMIF(GJ[Account Code],B136,(GJ[Debit]))</f>
        <v>0</v>
      </c>
      <c r="F136" s="627">
        <f>SUMIF(PostTB[Account Code (Old)],B136,(PostTB[Credit]))+SUMIF(CkDJ[Account Code],B136,(CkDJ[Credit]))+SUMIF(CsDJ[Account Code],B136,(CsDJ[Credit]))+SUMIF(CRDJ[Account Code],B136,(CRDJ[Credit]))+SUMIF(GJ[Account Code],B136,(GJ[Credit]))</f>
        <v>0</v>
      </c>
      <c r="G136" s="627">
        <f>IF(INDEX(AccountCodes[Normal Balance], MATCH(C136,AccountCodes[PPSAS CODE]))="Credit",F136-E136,0)</f>
        <v>0</v>
      </c>
      <c r="H136" s="626">
        <f t="shared" si="2"/>
        <v>0</v>
      </c>
    </row>
    <row r="137" spans="1:8" ht="15.75" hidden="1">
      <c r="A137" s="623" t="str">
        <f t="array" ref="A137">INDEX(AccountCodes[ACCOUNT NAME],MATCH(B137,AccountCodes[NGAS CODE],0))</f>
        <v>Accumulated Impairment Losses-Other Assets</v>
      </c>
      <c r="B137" s="597" t="s">
        <v>509</v>
      </c>
      <c r="C137" s="625">
        <f t="array" ref="C137">INDEX(AccountCodes[PPSAS CODE],MATCH(B137,AccountCodes[NGAS CODE],0))</f>
        <v>1999999100</v>
      </c>
      <c r="D137" s="626">
        <f>IF(INDEX(AccountCodes[Normal Balance], MATCH(C137,AccountCodes[PPSAS CODE]))="Debit",E137-F137,0)</f>
        <v>0</v>
      </c>
      <c r="E137" s="626">
        <f>SUMIF(PostTB[Account Code (Old)],B137,(PostTB[Debit]))+SUMIF(CkDJ[Account Code],B137,(CkDJ[Debit]))+SUMIF(CsDJ[Account Code],B137,(CsDJ[Debit]))+SUMIF(CRDJ[Account Code],B137,(CRDJ[Debit]))+SUMIF(GJ[Account Code],B137,(GJ[Debit]))</f>
        <v>0</v>
      </c>
      <c r="F137" s="627">
        <f>SUMIF(PostTB[Account Code (Old)],B137,(PostTB[Credit]))+SUMIF(CkDJ[Account Code],B137,(CkDJ[Credit]))+SUMIF(CsDJ[Account Code],B137,(CsDJ[Credit]))+SUMIF(CRDJ[Account Code],B137,(CRDJ[Credit]))+SUMIF(GJ[Account Code],B137,(GJ[Credit]))</f>
        <v>0</v>
      </c>
      <c r="G137" s="627">
        <f>IF(INDEX(AccountCodes[Normal Balance], MATCH(C137,AccountCodes[PPSAS CODE]))="Credit",F137-E137,0)</f>
        <v>0</v>
      </c>
      <c r="H137" s="626">
        <f t="shared" si="2"/>
        <v>0</v>
      </c>
    </row>
    <row r="138" spans="1:8" ht="15.75">
      <c r="A138" s="623" t="str">
        <f t="array" ref="A138">INDEX(AccountCodes[ACCOUNT NAME],MATCH(B138,AccountCodes[NGAS CODE],0))</f>
        <v>Accounts Payable</v>
      </c>
      <c r="B138" s="597" t="s">
        <v>106</v>
      </c>
      <c r="C138" s="625">
        <f t="array" ref="C138">INDEX(AccountCodes[PPSAS CODE],MATCH(B138,AccountCodes[NGAS CODE],0))</f>
        <v>2010101000</v>
      </c>
      <c r="D138" s="626">
        <f>IF(INDEX(AccountCodes[Normal Balance], MATCH(C138,AccountCodes[PPSAS CODE]))="Debit",E138-F138,0)</f>
        <v>0</v>
      </c>
      <c r="E138" s="626">
        <f>SUMIF(PostTB[Account Code (Old)],B138,(PostTB[Debit]))+SUMIF(CkDJ[Account Code],B138,(CkDJ[Debit]))+SUMIF(CsDJ[Account Code],B138,(CsDJ[Debit]))+SUMIF(CRDJ[Account Code],B138,(CRDJ[Debit]))+SUMIF(GJ[Account Code],B138,(GJ[Debit]))</f>
        <v>610738.85</v>
      </c>
      <c r="F138" s="627">
        <f>SUMIF(PostTB[Account Code (Old)],B138,(PostTB[Credit]))+SUMIF(CkDJ[Account Code],B138,(CkDJ[Credit]))+SUMIF(CsDJ[Account Code],B138,(CsDJ[Credit]))+SUMIF(CRDJ[Account Code],B138,(CRDJ[Credit]))+SUMIF(GJ[Account Code],B138,(GJ[Credit]))</f>
        <v>1532450.27</v>
      </c>
      <c r="G138" s="627">
        <f>IF(INDEX(AccountCodes[Normal Balance], MATCH(C138,AccountCodes[PPSAS CODE]))="Credit",F138-E138,0)</f>
        <v>921711.42</v>
      </c>
      <c r="H138" s="626">
        <f t="shared" si="2"/>
        <v>921711.42</v>
      </c>
    </row>
    <row r="139" spans="1:8" ht="15.75" hidden="1">
      <c r="A139" s="623" t="str">
        <f t="array" ref="A139">INDEX(AccountCodes[ACCOUNT NAME],MATCH(B139,AccountCodes[NGAS CODE],0))</f>
        <v>Due to Officers and Employees</v>
      </c>
      <c r="B139" s="597" t="s">
        <v>108</v>
      </c>
      <c r="C139" s="625">
        <f t="array" ref="C139">INDEX(AccountCodes[PPSAS CODE],MATCH(B139,AccountCodes[NGAS CODE],0))</f>
        <v>2010102000</v>
      </c>
      <c r="D139" s="626">
        <f>IF(INDEX(AccountCodes[Normal Balance], MATCH(C139,AccountCodes[PPSAS CODE]))="Debit",E139-F139,0)</f>
        <v>0</v>
      </c>
      <c r="E139" s="626">
        <f>SUMIF(PostTB[Account Code (Old)],B139,(PostTB[Debit]))+SUMIF(CkDJ[Account Code],B139,(CkDJ[Debit]))+SUMIF(CsDJ[Account Code],B139,(CsDJ[Debit]))+SUMIF(CRDJ[Account Code],B139,(CRDJ[Debit]))+SUMIF(GJ[Account Code],B139,(GJ[Debit]))</f>
        <v>0</v>
      </c>
      <c r="F139" s="627">
        <f>SUMIF(PostTB[Account Code (Old)],B139,(PostTB[Credit]))+SUMIF(CkDJ[Account Code],B139,(CkDJ[Credit]))+SUMIF(CsDJ[Account Code],B139,(CsDJ[Credit]))+SUMIF(CRDJ[Account Code],B139,(CRDJ[Credit]))+SUMIF(GJ[Account Code],B139,(GJ[Credit]))</f>
        <v>0</v>
      </c>
      <c r="G139" s="627">
        <f>IF(INDEX(AccountCodes[Normal Balance], MATCH(C139,AccountCodes[PPSAS CODE]))="Credit",F139-E139,0)</f>
        <v>0</v>
      </c>
      <c r="H139" s="626">
        <f t="shared" si="2"/>
        <v>0</v>
      </c>
    </row>
    <row r="140" spans="1:8" ht="15.75" hidden="1">
      <c r="A140" s="623" t="str">
        <f t="array" ref="A140">INDEX(AccountCodes[ACCOUNT NAME],MATCH(B140,AccountCodes[NGAS CODE],0))</f>
        <v>Notes Payable</v>
      </c>
      <c r="B140" s="597" t="s">
        <v>107</v>
      </c>
      <c r="C140" s="625">
        <f t="array" ref="C140">INDEX(AccountCodes[PPSAS CODE],MATCH(B140,AccountCodes[NGAS CODE],0))</f>
        <v>2010104000</v>
      </c>
      <c r="D140" s="626">
        <f>IF(INDEX(AccountCodes[Normal Balance], MATCH(C140,AccountCodes[PPSAS CODE]))="Debit",E140-F140,0)</f>
        <v>0</v>
      </c>
      <c r="E140" s="626">
        <f>SUMIF(PostTB[Account Code (Old)],B140,(PostTB[Debit]))+SUMIF(CkDJ[Account Code],B140,(CkDJ[Debit]))+SUMIF(CsDJ[Account Code],B140,(CsDJ[Debit]))+SUMIF(CRDJ[Account Code],B140,(CRDJ[Debit]))+SUMIF(GJ[Account Code],B140,(GJ[Debit]))</f>
        <v>0</v>
      </c>
      <c r="F140" s="627">
        <f>SUMIF(PostTB[Account Code (Old)],B140,(PostTB[Credit]))+SUMIF(CkDJ[Account Code],B140,(CkDJ[Credit]))+SUMIF(CsDJ[Account Code],B140,(CsDJ[Credit]))+SUMIF(CRDJ[Account Code],B140,(CRDJ[Credit]))+SUMIF(GJ[Account Code],B140,(GJ[Credit]))</f>
        <v>0</v>
      </c>
      <c r="G140" s="627">
        <f>IF(INDEX(AccountCodes[Normal Balance], MATCH(C140,AccountCodes[PPSAS CODE]))="Credit",F140-E140,0)</f>
        <v>0</v>
      </c>
      <c r="H140" s="626">
        <f t="shared" si="2"/>
        <v>0</v>
      </c>
    </row>
    <row r="141" spans="1:8" ht="15.75" hidden="1">
      <c r="A141" s="623" t="str">
        <f t="array" ref="A141">INDEX(AccountCodes[ACCOUNT NAME],MATCH(B141,AccountCodes[NGAS CODE],0))</f>
        <v>Loans Payable-Domestic</v>
      </c>
      <c r="B141" s="597" t="s">
        <v>118</v>
      </c>
      <c r="C141" s="625">
        <f t="array" ref="C141">INDEX(AccountCodes[PPSAS CODE],MATCH(B141,AccountCodes[NGAS CODE],0))</f>
        <v>2010204000</v>
      </c>
      <c r="D141" s="626">
        <f>IF(INDEX(AccountCodes[Normal Balance], MATCH(C141,AccountCodes[PPSAS CODE]))="Debit",E141-F141,0)</f>
        <v>0</v>
      </c>
      <c r="E141" s="626">
        <f>SUMIF(PostTB[Account Code (Old)],B141,(PostTB[Debit]))+SUMIF(CkDJ[Account Code],B141,(CkDJ[Debit]))+SUMIF(CsDJ[Account Code],B141,(CsDJ[Debit]))+SUMIF(CRDJ[Account Code],B141,(CRDJ[Debit]))+SUMIF(GJ[Account Code],B141,(GJ[Debit]))</f>
        <v>0</v>
      </c>
      <c r="F141" s="627">
        <f>SUMIF(PostTB[Account Code (Old)],B141,(PostTB[Credit]))+SUMIF(CkDJ[Account Code],B141,(CkDJ[Credit]))+SUMIF(CsDJ[Account Code],B141,(CsDJ[Credit]))+SUMIF(CRDJ[Account Code],B141,(CRDJ[Credit]))+SUMIF(GJ[Account Code],B141,(GJ[Credit]))</f>
        <v>0</v>
      </c>
      <c r="G141" s="627">
        <f>IF(INDEX(AccountCodes[Normal Balance], MATCH(C141,AccountCodes[PPSAS CODE]))="Credit",F141-E141,0)</f>
        <v>0</v>
      </c>
      <c r="H141" s="626">
        <f t="shared" si="2"/>
        <v>0</v>
      </c>
    </row>
    <row r="142" spans="1:8" ht="15.75" hidden="1">
      <c r="A142" s="623" t="str">
        <f t="array" ref="A142">INDEX(AccountCodes[ACCOUNT NAME],MATCH(B142,AccountCodes[NGAS CODE],0))</f>
        <v>Loans Payable-Foreign</v>
      </c>
      <c r="B142" s="597" t="s">
        <v>119</v>
      </c>
      <c r="C142" s="625">
        <f t="array" ref="C142">INDEX(AccountCodes[PPSAS CODE],MATCH(B142,AccountCodes[NGAS CODE],0))</f>
        <v>2010205000</v>
      </c>
      <c r="D142" s="626">
        <f>IF(INDEX(AccountCodes[Normal Balance], MATCH(C142,AccountCodes[PPSAS CODE]))="Debit",E142-F142,0)</f>
        <v>0</v>
      </c>
      <c r="E142" s="626">
        <f>SUMIF(PostTB[Account Code (Old)],B142,(PostTB[Debit]))+SUMIF(CkDJ[Account Code],B142,(CkDJ[Debit]))+SUMIF(CsDJ[Account Code],B142,(CsDJ[Debit]))+SUMIF(CRDJ[Account Code],B142,(CRDJ[Debit]))+SUMIF(GJ[Account Code],B142,(GJ[Debit]))</f>
        <v>0</v>
      </c>
      <c r="F142" s="627">
        <f>SUMIF(PostTB[Account Code (Old)],B142,(PostTB[Credit]))+SUMIF(CkDJ[Account Code],B142,(CkDJ[Credit]))+SUMIF(CsDJ[Account Code],B142,(CsDJ[Credit]))+SUMIF(CRDJ[Account Code],B142,(CRDJ[Credit]))+SUMIF(GJ[Account Code],B142,(GJ[Credit]))</f>
        <v>0</v>
      </c>
      <c r="G142" s="627">
        <f>IF(INDEX(AccountCodes[Normal Balance], MATCH(C142,AccountCodes[PPSAS CODE]))="Credit",F142-E142,0)</f>
        <v>0</v>
      </c>
      <c r="H142" s="626">
        <f t="shared" si="2"/>
        <v>0</v>
      </c>
    </row>
    <row r="143" spans="1:8" ht="15.75">
      <c r="A143" s="623" t="str">
        <f t="array" ref="A143">INDEX(AccountCodes[ACCOUNT NAME],MATCH(B143,AccountCodes[NGAS CODE],0))</f>
        <v>Due to the Treasurer of the Philippines</v>
      </c>
      <c r="B143" s="597" t="s">
        <v>1496</v>
      </c>
      <c r="C143" s="625">
        <f t="array" ref="C143">INDEX(AccountCodes[PPSAS CODE],MATCH(B143,AccountCodes[NGAS CODE],0))</f>
        <v>2020109000</v>
      </c>
      <c r="D143" s="626">
        <f>IF(INDEX(AccountCodes[Normal Balance], MATCH(C143,AccountCodes[PPSAS CODE]))="Debit",E143-F143,0)</f>
        <v>0</v>
      </c>
      <c r="E143" s="626">
        <f>SUMIF(PostTB[Account Code (Old)],B143,(PostTB[Debit]))+SUMIF(CkDJ[Account Code],B143,(CkDJ[Debit]))+SUMIF(CsDJ[Account Code],B143,(CsDJ[Debit]))+SUMIF(CRDJ[Account Code],B143,(CRDJ[Debit]))+SUMIF(GJ[Account Code],B143,(GJ[Debit]))</f>
        <v>2098.6799999999998</v>
      </c>
      <c r="F143" s="627">
        <f>SUMIF(PostTB[Account Code (Old)],B143,(PostTB[Credit]))+SUMIF(CkDJ[Account Code],B143,(CkDJ[Credit]))+SUMIF(CsDJ[Account Code],B143,(CsDJ[Credit]))+SUMIF(CRDJ[Account Code],B143,(CRDJ[Credit]))+SUMIF(GJ[Account Code],B143,(GJ[Credit]))</f>
        <v>8432.14</v>
      </c>
      <c r="G143" s="627">
        <f>IF(INDEX(AccountCodes[Normal Balance], MATCH(C143,AccountCodes[PPSAS CODE]))="Credit",F143-E143,0)</f>
        <v>6333.46</v>
      </c>
      <c r="H143" s="626">
        <f t="shared" si="2"/>
        <v>6333.46</v>
      </c>
    </row>
    <row r="144" spans="1:8" ht="15.75" hidden="1">
      <c r="A144" s="623" t="str">
        <f t="array" ref="A144">INDEX(AccountCodes[ACCOUNT NAME],MATCH(B144,AccountCodes[NGAS CODE],0))</f>
        <v>Due to BIR</v>
      </c>
      <c r="B144" s="597" t="s">
        <v>109</v>
      </c>
      <c r="C144" s="625">
        <f t="array" ref="C144">INDEX(AccountCodes[PPSAS CODE],MATCH(B144,AccountCodes[NGAS CODE],0))</f>
        <v>2020101000</v>
      </c>
      <c r="D144" s="626">
        <f>IF(INDEX(AccountCodes[Normal Balance], MATCH(C144,AccountCodes[PPSAS CODE]))="Debit",E144-F144,0)</f>
        <v>0</v>
      </c>
      <c r="E144" s="626">
        <f>SUMIF(PostTB[Account Code (Old)],B144,(PostTB[Debit]))+SUMIF(CkDJ[Account Code],B144,(CkDJ[Debit]))+SUMIF(CsDJ[Account Code],B144,(CsDJ[Debit]))+SUMIF(CRDJ[Account Code],B144,(CRDJ[Debit]))+SUMIF(GJ[Account Code],B144,(GJ[Debit]))</f>
        <v>0</v>
      </c>
      <c r="F144" s="627">
        <f>SUMIF(PostTB[Account Code (Old)],B144,(PostTB[Credit]))+SUMIF(CkDJ[Account Code],B144,(CkDJ[Credit]))+SUMIF(CsDJ[Account Code],B144,(CsDJ[Credit]))+SUMIF(CRDJ[Account Code],B144,(CRDJ[Credit]))+SUMIF(GJ[Account Code],B144,(GJ[Credit]))</f>
        <v>0</v>
      </c>
      <c r="G144" s="627">
        <f>IF(INDEX(AccountCodes[Normal Balance], MATCH(C144,AccountCodes[PPSAS CODE]))="Credit",F144-E144,0)</f>
        <v>0</v>
      </c>
      <c r="H144" s="626">
        <f t="shared" si="2"/>
        <v>0</v>
      </c>
    </row>
    <row r="145" spans="1:10" ht="15.75">
      <c r="A145" s="635" t="str">
        <f t="array" ref="A145">INDEX(AccountCodes[ACCOUNT NAME],MATCH(B145,AccountCodes[NGAS CODE],0))</f>
        <v>Due to BIR - Compensation</v>
      </c>
      <c r="B145" s="631" t="s">
        <v>1546</v>
      </c>
      <c r="C145" s="632">
        <f t="array" ref="C145">INDEX(AccountCodes[PPSAS CODE],MATCH(B145,AccountCodes[NGAS CODE],0))</f>
        <v>2020101001</v>
      </c>
      <c r="D145" s="633">
        <f>IF(INDEX(AccountCodes[Normal Balance], MATCH(C145,AccountCodes[PPSAS CODE]))="Debit",E145-F145,0)</f>
        <v>0</v>
      </c>
      <c r="E145" s="633">
        <f>SUMIF(PostTB[Account Code (Old)],B145,(PostTB[Debit]))+SUMIF(CkDJ[Account Code],B145,(CkDJ[Debit]))+SUMIF(CsDJ[Account Code],B145,(CsDJ[Debit]))+SUMIF(CRDJ[Account Code],B145,(CRDJ[Debit]))+SUMIF(GJ[Account Code],B145,(GJ[Debit]))</f>
        <v>11976.84</v>
      </c>
      <c r="F145" s="634">
        <f>SUMIF(PostTB[Account Code (Old)],B145,(PostTB[Credit]))+SUMIF(CkDJ[Account Code],B145,(CkDJ[Credit]))+SUMIF(CsDJ[Account Code],B145,(CsDJ[Credit]))+SUMIF(CRDJ[Account Code],B145,(CRDJ[Credit]))+SUMIF(GJ[Account Code],B145,(GJ[Credit]))</f>
        <v>12846.9</v>
      </c>
      <c r="G145" s="634">
        <f>IF(INDEX(AccountCodes[Normal Balance], MATCH(C145,AccountCodes[PPSAS CODE]))="Credit",F145-E145,0)</f>
        <v>870.06</v>
      </c>
      <c r="H145" s="633">
        <f>IF(D145=0,G145,D145)</f>
        <v>870.06</v>
      </c>
      <c r="J145" s="697">
        <f>Table6[[#This Row],[CREDIT]]+G146+G147+G148+G149</f>
        <v>10049.26</v>
      </c>
    </row>
    <row r="146" spans="1:10" ht="15.75">
      <c r="A146" s="635" t="str">
        <f t="array" ref="A146">INDEX(AccountCodes[ACCOUNT NAME],MATCH(B146,AccountCodes[NGAS CODE],0))</f>
        <v>Due to BIR - 5%</v>
      </c>
      <c r="B146" s="631" t="s">
        <v>1548</v>
      </c>
      <c r="C146" s="653">
        <f t="array" ref="C146">INDEX(AccountCodes[PPSAS CODE],MATCH(B146,AccountCodes[NGAS CODE],0))</f>
        <v>2020101002</v>
      </c>
      <c r="D146" s="654">
        <f>IF(INDEX(AccountCodes[Normal Balance], MATCH(C146,AccountCodes[PPSAS CODE]))="Debit",E146-F146,0)</f>
        <v>0</v>
      </c>
      <c r="E146" s="654">
        <f>SUMIF(PostTB[Account Code (Old)],B146,(PostTB[Debit]))+SUMIF(CkDJ[Account Code],B146,(CkDJ[Debit]))+SUMIF(CsDJ[Account Code],B146,(CsDJ[Debit]))+SUMIF(CRDJ[Account Code],B146,(CRDJ[Debit]))+SUMIF(GJ[Account Code],B146,(GJ[Debit]))</f>
        <v>941533.12</v>
      </c>
      <c r="F146" s="655">
        <f>SUMIF(PostTB[Account Code (Old)],B146,(PostTB[Credit]))+SUMIF(CkDJ[Account Code],B146,(CkDJ[Credit]))+SUMIF(CsDJ[Account Code],B146,(CsDJ[Credit]))+SUMIF(CRDJ[Account Code],B146,(CRDJ[Credit]))+SUMIF(GJ[Account Code],B146,(GJ[Credit]))</f>
        <v>949182.45</v>
      </c>
      <c r="G146" s="655">
        <f>IF(INDEX(AccountCodes[Normal Balance], MATCH(C146,AccountCodes[PPSAS CODE]))="Credit",F146-E146,0)</f>
        <v>7649.33</v>
      </c>
      <c r="H146" s="654">
        <f>IF(D146=0,G146,D146)</f>
        <v>7649.33</v>
      </c>
    </row>
    <row r="147" spans="1:10" ht="15.75" hidden="1">
      <c r="A147" s="635" t="str">
        <f t="array" ref="A147">INDEX(AccountCodes[ACCOUNT NAME],MATCH(B147,AccountCodes[NGAS CODE],0))</f>
        <v>Due to BIR - 3%</v>
      </c>
      <c r="B147" s="631" t="s">
        <v>1549</v>
      </c>
      <c r="C147" s="653">
        <f t="array" ref="C147">INDEX(AccountCodes[PPSAS CODE],MATCH(B147,AccountCodes[NGAS CODE],0))</f>
        <v>2020101003</v>
      </c>
      <c r="D147" s="654">
        <f>IF(INDEX(AccountCodes[Normal Balance], MATCH(C147,AccountCodes[PPSAS CODE]))="Debit",E147-F147,0)</f>
        <v>0</v>
      </c>
      <c r="E147" s="654">
        <f>SUMIF(PostTB[Account Code (Old)],B147,(PostTB[Debit]))+SUMIF(CkDJ[Account Code],B147,(CkDJ[Debit]))+SUMIF(CsDJ[Account Code],B147,(CsDJ[Debit]))+SUMIF(CRDJ[Account Code],B147,(CRDJ[Debit]))+SUMIF(GJ[Account Code],B147,(GJ[Debit]))</f>
        <v>0</v>
      </c>
      <c r="F147" s="655">
        <f>SUMIF(PostTB[Account Code (Old)],B147,(PostTB[Credit]))+SUMIF(CkDJ[Account Code],B147,(CkDJ[Credit]))+SUMIF(CsDJ[Account Code],B147,(CsDJ[Credit]))+SUMIF(CRDJ[Account Code],B147,(CRDJ[Credit]))+SUMIF(GJ[Account Code],B147,(GJ[Credit]))</f>
        <v>0</v>
      </c>
      <c r="G147" s="655">
        <f>IF(INDEX(AccountCodes[Normal Balance], MATCH(C147,AccountCodes[PPSAS CODE]))="Credit",F147-E147,0)</f>
        <v>0</v>
      </c>
      <c r="H147" s="654">
        <f>IF(D147=0,G147,D147)</f>
        <v>0</v>
      </c>
    </row>
    <row r="148" spans="1:10" ht="15.75" hidden="1">
      <c r="A148" s="635" t="str">
        <f t="array" ref="A148">INDEX(AccountCodes[ACCOUNT NAME],MATCH(B148,AccountCodes[NGAS CODE],0))</f>
        <v>Due to BIR - 2%</v>
      </c>
      <c r="B148" s="631" t="s">
        <v>1550</v>
      </c>
      <c r="C148" s="653">
        <f t="array" ref="C148">INDEX(AccountCodes[PPSAS CODE],MATCH(B148,AccountCodes[NGAS CODE],0))</f>
        <v>2020101004</v>
      </c>
      <c r="D148" s="654">
        <f>IF(INDEX(AccountCodes[Normal Balance], MATCH(C148,AccountCodes[PPSAS CODE]))="Debit",E148-F148,0)</f>
        <v>0</v>
      </c>
      <c r="E148" s="654">
        <f>SUMIF(PostTB[Account Code (Old)],B148,(PostTB[Debit]))+SUMIF(CkDJ[Account Code],B148,(CkDJ[Debit]))+SUMIF(CsDJ[Account Code],B148,(CsDJ[Debit]))+SUMIF(CRDJ[Account Code],B148,(CRDJ[Debit]))+SUMIF(GJ[Account Code],B148,(GJ[Debit]))</f>
        <v>354640.33</v>
      </c>
      <c r="F148" s="655">
        <f>SUMIF(PostTB[Account Code (Old)],B148,(PostTB[Credit]))+SUMIF(CkDJ[Account Code],B148,(CkDJ[Credit]))+SUMIF(CsDJ[Account Code],B148,(CsDJ[Credit]))+SUMIF(CRDJ[Account Code],B148,(CRDJ[Credit]))+SUMIF(GJ[Account Code],B148,(GJ[Credit]))</f>
        <v>354640.33</v>
      </c>
      <c r="G148" s="655">
        <f>IF(INDEX(AccountCodes[Normal Balance], MATCH(C148,AccountCodes[PPSAS CODE]))="Credit",F148-E148,0)</f>
        <v>0</v>
      </c>
      <c r="H148" s="654">
        <f>IF(D148=0,G148,D148)</f>
        <v>0</v>
      </c>
    </row>
    <row r="149" spans="1:10" ht="15.75">
      <c r="A149" s="635" t="str">
        <f t="array" ref="A149">INDEX(AccountCodes[ACCOUNT NAME],MATCH(B149,AccountCodes[NGAS CODE],0))</f>
        <v>Due to BIR - 1%</v>
      </c>
      <c r="B149" s="631" t="s">
        <v>1554</v>
      </c>
      <c r="C149" s="653">
        <f t="array" ref="C149">INDEX(AccountCodes[PPSAS CODE],MATCH(B149,AccountCodes[NGAS CODE],0))</f>
        <v>2020101005</v>
      </c>
      <c r="D149" s="654">
        <f>IF(INDEX(AccountCodes[Normal Balance], MATCH(C149,AccountCodes[PPSAS CODE]))="Debit",E149-F149,0)</f>
        <v>0</v>
      </c>
      <c r="E149" s="654">
        <f>SUMIF(PostTB[Account Code (Old)],B149,(PostTB[Debit]))+SUMIF(CkDJ[Account Code],B149,(CkDJ[Debit]))+SUMIF(CsDJ[Account Code],B149,(CsDJ[Debit]))+SUMIF(CRDJ[Account Code],B149,(CRDJ[Debit]))+SUMIF(GJ[Account Code],B149,(GJ[Debit]))</f>
        <v>13429.41</v>
      </c>
      <c r="F149" s="655">
        <f>SUMIF(PostTB[Account Code (Old)],B149,(PostTB[Credit]))+SUMIF(CkDJ[Account Code],B149,(CkDJ[Credit]))+SUMIF(CsDJ[Account Code],B149,(CsDJ[Credit]))+SUMIF(CRDJ[Account Code],B149,(CRDJ[Credit]))+SUMIF(GJ[Account Code],B149,(GJ[Credit]))</f>
        <v>14959.28</v>
      </c>
      <c r="G149" s="655">
        <f>IF(INDEX(AccountCodes[Normal Balance], MATCH(C149,AccountCodes[PPSAS CODE]))="Credit",F149-E149,0)</f>
        <v>1529.87</v>
      </c>
      <c r="H149" s="654">
        <f>IF(D149=0,G149,D149)</f>
        <v>1529.87</v>
      </c>
    </row>
    <row r="150" spans="1:10" ht="15.75" hidden="1">
      <c r="A150" s="623" t="str">
        <f t="array" ref="A150">INDEX(AccountCodes[ACCOUNT NAME],MATCH(B150,AccountCodes[NGAS CODE],0))</f>
        <v>Due to GSIS</v>
      </c>
      <c r="B150" s="597" t="s">
        <v>110</v>
      </c>
      <c r="C150" s="625">
        <f t="array" ref="C150">INDEX(AccountCodes[PPSAS CODE],MATCH(B150,AccountCodes[NGAS CODE],0))</f>
        <v>2020102000</v>
      </c>
      <c r="D150" s="626">
        <f>IF(INDEX(AccountCodes[Normal Balance], MATCH(C150,AccountCodes[PPSAS CODE]))="Debit",E150-F150,0)</f>
        <v>0</v>
      </c>
      <c r="E150" s="626">
        <f>SUMIF(PostTB[Account Code (Old)],B150,(PostTB[Debit]))+SUMIF(CkDJ[Account Code],B150,(CkDJ[Debit]))+SUMIF(CsDJ[Account Code],B150,(CsDJ[Debit]))+SUMIF(CRDJ[Account Code],B150,(CRDJ[Debit]))+SUMIF(GJ[Account Code],B150,(GJ[Debit]))</f>
        <v>0</v>
      </c>
      <c r="F150" s="627">
        <f>SUMIF(PostTB[Account Code (Old)],B150,(PostTB[Credit]))+SUMIF(CkDJ[Account Code],B150,(CkDJ[Credit]))+SUMIF(CsDJ[Account Code],B150,(CsDJ[Credit]))+SUMIF(CRDJ[Account Code],B150,(CRDJ[Credit]))+SUMIF(GJ[Account Code],B150,(GJ[Credit]))</f>
        <v>0</v>
      </c>
      <c r="G150" s="627">
        <f>IF(INDEX(AccountCodes[Normal Balance], MATCH(C150,AccountCodes[PPSAS CODE]))="Credit",F150-E150,0)</f>
        <v>0</v>
      </c>
      <c r="H150" s="626">
        <f t="shared" si="2"/>
        <v>0</v>
      </c>
    </row>
    <row r="151" spans="1:10" ht="15.75">
      <c r="A151" s="623" t="str">
        <f t="array" ref="A151">INDEX(AccountCodes[ACCOUNT NAME],MATCH(B151,AccountCodes[NGAS CODE],0))</f>
        <v>Due to GSIS - Life and Retirement Premium</v>
      </c>
      <c r="B151" s="597" t="s">
        <v>1440</v>
      </c>
      <c r="C151" s="625">
        <f t="array" ref="C151">INDEX(AccountCodes[PPSAS CODE],MATCH(B151,AccountCodes[NGAS CODE],0))</f>
        <v>2020102001</v>
      </c>
      <c r="D151" s="626">
        <f>IF(INDEX(AccountCodes[Normal Balance], MATCH(C151,AccountCodes[PPSAS CODE]))="Debit",E151-F151,0)</f>
        <v>0</v>
      </c>
      <c r="E151" s="626">
        <f>SUMIF(PostTB[Account Code (Old)],B151,(PostTB[Debit]))+SUMIF(CkDJ[Account Code],B151,(CkDJ[Debit]))+SUMIF(CsDJ[Account Code],B151,(CsDJ[Debit]))+SUMIF(CRDJ[Account Code],B151,(CRDJ[Debit]))+SUMIF(GJ[Account Code],B151,(GJ[Debit]))</f>
        <v>53741.48</v>
      </c>
      <c r="F151" s="627">
        <f>SUMIF(PostTB[Account Code (Old)],B151,(PostTB[Credit]))+SUMIF(CkDJ[Account Code],B151,(CkDJ[Credit]))+SUMIF(CsDJ[Account Code],B151,(CsDJ[Credit]))+SUMIF(CRDJ[Account Code],B151,(CRDJ[Credit]))+SUMIF(GJ[Account Code],B151,(GJ[Credit]))</f>
        <v>64127.3</v>
      </c>
      <c r="G151" s="627">
        <f>IF(INDEX(AccountCodes[Normal Balance], MATCH(C151,AccountCodes[PPSAS CODE]))="Credit",F151-E151,0)</f>
        <v>10385.82</v>
      </c>
      <c r="H151" s="626">
        <f t="shared" si="2"/>
        <v>10385.82</v>
      </c>
      <c r="J151" s="697">
        <f>Table6[[#This Row],[DEBIT/CREDIT]]+H152+H153+H154+H155+H156+H157+H158</f>
        <v>10385.82</v>
      </c>
    </row>
    <row r="152" spans="1:10" ht="15.75" hidden="1">
      <c r="A152" s="623" t="str">
        <f t="array" ref="A152">INDEX(AccountCodes[ACCOUNT NAME],MATCH(B152,AccountCodes[NGAS CODE],0))</f>
        <v>Due to GSIS - ECC</v>
      </c>
      <c r="B152" s="597" t="s">
        <v>1441</v>
      </c>
      <c r="C152" s="625">
        <f t="array" ref="C152">INDEX(AccountCodes[PPSAS CODE],MATCH(B152,AccountCodes[NGAS CODE],0))</f>
        <v>2020102002</v>
      </c>
      <c r="D152" s="626">
        <f>IF(INDEX(AccountCodes[Normal Balance], MATCH(C152,AccountCodes[PPSAS CODE]))="Debit",E152-F152,0)</f>
        <v>0</v>
      </c>
      <c r="E152" s="626">
        <f>SUMIF(PostTB[Account Code (Old)],B152,(PostTB[Debit]))+SUMIF(CkDJ[Account Code],B152,(CkDJ[Debit]))+SUMIF(CsDJ[Account Code],B152,(CsDJ[Debit]))+SUMIF(CRDJ[Account Code],B152,(CRDJ[Debit]))+SUMIF(GJ[Account Code],B152,(GJ[Debit]))</f>
        <v>0</v>
      </c>
      <c r="F152" s="627">
        <f>SUMIF(PostTB[Account Code (Old)],B152,(PostTB[Credit]))+SUMIF(CkDJ[Account Code],B152,(CkDJ[Credit]))+SUMIF(CsDJ[Account Code],B152,(CsDJ[Credit]))+SUMIF(CRDJ[Account Code],B152,(CRDJ[Credit]))+SUMIF(GJ[Account Code],B152,(GJ[Credit]))</f>
        <v>0</v>
      </c>
      <c r="G152" s="627">
        <f>IF(INDEX(AccountCodes[Normal Balance], MATCH(C152,AccountCodes[PPSAS CODE]))="Credit",F152-E152,0)</f>
        <v>0</v>
      </c>
      <c r="H152" s="626">
        <f t="shared" si="2"/>
        <v>0</v>
      </c>
    </row>
    <row r="153" spans="1:10" ht="15.75" hidden="1">
      <c r="A153" s="623" t="str">
        <f t="array" ref="A153">INDEX(AccountCodes[ACCOUNT NAME],MATCH(B153,AccountCodes[NGAS CODE],0))</f>
        <v>Due to GSIS - Salary Loan</v>
      </c>
      <c r="B153" s="597" t="s">
        <v>1498</v>
      </c>
      <c r="C153" s="625">
        <f t="array" ref="C153">INDEX(AccountCodes[PPSAS CODE],MATCH(B153,AccountCodes[NGAS CODE],0))</f>
        <v>2020102003</v>
      </c>
      <c r="D153" s="626">
        <f>IF(INDEX(AccountCodes[Normal Balance], MATCH(C153,AccountCodes[PPSAS CODE]))="Debit",E153-F153,0)</f>
        <v>0</v>
      </c>
      <c r="E153" s="626">
        <f>SUMIF(PostTB[Account Code (Old)],B153,(PostTB[Debit]))+SUMIF(CkDJ[Account Code],B153,(CkDJ[Debit]))+SUMIF(CsDJ[Account Code],B153,(CsDJ[Debit]))+SUMIF(CRDJ[Account Code],B153,(CRDJ[Debit]))+SUMIF(GJ[Account Code],B153,(GJ[Debit]))</f>
        <v>0</v>
      </c>
      <c r="F153" s="627">
        <f>SUMIF(PostTB[Account Code (Old)],B153,(PostTB[Credit]))+SUMIF(CkDJ[Account Code],B153,(CkDJ[Credit]))+SUMIF(CsDJ[Account Code],B153,(CsDJ[Credit]))+SUMIF(CRDJ[Account Code],B153,(CRDJ[Credit]))+SUMIF(GJ[Account Code],B153,(GJ[Credit]))</f>
        <v>0</v>
      </c>
      <c r="G153" s="627">
        <f>IF(INDEX(AccountCodes[Normal Balance], MATCH(C153,AccountCodes[PPSAS CODE]))="Credit",F153-E153,0)</f>
        <v>0</v>
      </c>
      <c r="H153" s="626">
        <f t="shared" si="2"/>
        <v>0</v>
      </c>
    </row>
    <row r="154" spans="1:10" ht="15.75" hidden="1">
      <c r="A154" s="623" t="str">
        <f t="array" ref="A154">INDEX(AccountCodes[ACCOUNT NAME],MATCH(B154,AccountCodes[NGAS CODE],0))</f>
        <v>Due to GSIS - Policy Loan</v>
      </c>
      <c r="B154" s="597" t="s">
        <v>1442</v>
      </c>
      <c r="C154" s="625">
        <f t="array" ref="C154">INDEX(AccountCodes[PPSAS CODE],MATCH(B154,AccountCodes[NGAS CODE],0))</f>
        <v>2020102004</v>
      </c>
      <c r="D154" s="626">
        <f>IF(INDEX(AccountCodes[Normal Balance], MATCH(C154,AccountCodes[PPSAS CODE]))="Debit",E154-F154,0)</f>
        <v>0</v>
      </c>
      <c r="E154" s="626">
        <f>SUMIF(PostTB[Account Code (Old)],B154,(PostTB[Debit]))+SUMIF(CkDJ[Account Code],B154,(CkDJ[Debit]))+SUMIF(CsDJ[Account Code],B154,(CsDJ[Debit]))+SUMIF(CRDJ[Account Code],B154,(CRDJ[Debit]))+SUMIF(GJ[Account Code],B154,(GJ[Debit]))</f>
        <v>0</v>
      </c>
      <c r="F154" s="627">
        <f>SUMIF(PostTB[Account Code (Old)],B154,(PostTB[Credit]))+SUMIF(CkDJ[Account Code],B154,(CkDJ[Credit]))+SUMIF(CsDJ[Account Code],B154,(CsDJ[Credit]))+SUMIF(CRDJ[Account Code],B154,(CRDJ[Credit]))+SUMIF(GJ[Account Code],B154,(GJ[Credit]))</f>
        <v>0</v>
      </c>
      <c r="G154" s="627">
        <f>IF(INDEX(AccountCodes[Normal Balance], MATCH(C154,AccountCodes[PPSAS CODE]))="Credit",F154-E154,0)</f>
        <v>0</v>
      </c>
      <c r="H154" s="626">
        <f t="shared" si="2"/>
        <v>0</v>
      </c>
    </row>
    <row r="155" spans="1:10" ht="15.75" hidden="1">
      <c r="A155" s="623" t="str">
        <f t="array" ref="A155">INDEX(AccountCodes[ACCOUNT NAME],MATCH(B155,AccountCodes[NGAS CODE],0))</f>
        <v>Due to GSIS - Educ Assist Loan</v>
      </c>
      <c r="B155" s="597" t="s">
        <v>1443</v>
      </c>
      <c r="C155" s="625">
        <f t="array" ref="C155">INDEX(AccountCodes[PPSAS CODE],MATCH(B155,AccountCodes[NGAS CODE],0))</f>
        <v>2020102005</v>
      </c>
      <c r="D155" s="626">
        <f>IF(INDEX(AccountCodes[Normal Balance], MATCH(C155,AccountCodes[PPSAS CODE]))="Debit",E155-F155,0)</f>
        <v>0</v>
      </c>
      <c r="E155" s="626">
        <f>SUMIF(PostTB[Account Code (Old)],B155,(PostTB[Debit]))+SUMIF(CkDJ[Account Code],B155,(CkDJ[Debit]))+SUMIF(CsDJ[Account Code],B155,(CsDJ[Debit]))+SUMIF(CRDJ[Account Code],B155,(CRDJ[Debit]))+SUMIF(GJ[Account Code],B155,(GJ[Debit]))</f>
        <v>0</v>
      </c>
      <c r="F155" s="627">
        <f>SUMIF(PostTB[Account Code (Old)],B155,(PostTB[Credit]))+SUMIF(CkDJ[Account Code],B155,(CkDJ[Credit]))+SUMIF(CsDJ[Account Code],B155,(CsDJ[Credit]))+SUMIF(CRDJ[Account Code],B155,(CRDJ[Credit]))+SUMIF(GJ[Account Code],B155,(GJ[Credit]))</f>
        <v>0</v>
      </c>
      <c r="G155" s="627">
        <f>IF(INDEX(AccountCodes[Normal Balance], MATCH(C155,AccountCodes[PPSAS CODE]))="Credit",F155-E155,0)</f>
        <v>0</v>
      </c>
      <c r="H155" s="626">
        <f t="shared" si="2"/>
        <v>0</v>
      </c>
    </row>
    <row r="156" spans="1:10" ht="15.75" hidden="1">
      <c r="A156" s="623" t="str">
        <f t="array" ref="A156">INDEX(AccountCodes[ACCOUNT NAME],MATCH(B156,AccountCodes[NGAS CODE],0))</f>
        <v>Due to GSIS - Emergency Loan</v>
      </c>
      <c r="B156" s="597" t="s">
        <v>1500</v>
      </c>
      <c r="C156" s="625">
        <f t="array" ref="C156">INDEX(AccountCodes[PPSAS CODE],MATCH(B156,AccountCodes[NGAS CODE],0))</f>
        <v>2020102006</v>
      </c>
      <c r="D156" s="626">
        <f>IF(INDEX(AccountCodes[Normal Balance], MATCH(C156,AccountCodes[PPSAS CODE]))="Debit",E156-F156,0)</f>
        <v>0</v>
      </c>
      <c r="E156" s="626">
        <f>SUMIF(PostTB[Account Code (Old)],B156,(PostTB[Debit]))+SUMIF(CkDJ[Account Code],B156,(CkDJ[Debit]))+SUMIF(CsDJ[Account Code],B156,(CsDJ[Debit]))+SUMIF(CRDJ[Account Code],B156,(CRDJ[Debit]))+SUMIF(GJ[Account Code],B156,(GJ[Debit]))</f>
        <v>0</v>
      </c>
      <c r="F156" s="627">
        <f>SUMIF(PostTB[Account Code (Old)],B156,(PostTB[Credit]))+SUMIF(CkDJ[Account Code],B156,(CkDJ[Credit]))+SUMIF(CsDJ[Account Code],B156,(CsDJ[Credit]))+SUMIF(CRDJ[Account Code],B156,(CRDJ[Credit]))+SUMIF(GJ[Account Code],B156,(GJ[Credit]))</f>
        <v>0</v>
      </c>
      <c r="G156" s="627">
        <f>IF(INDEX(AccountCodes[Normal Balance], MATCH(C156,AccountCodes[PPSAS CODE]))="Credit",F156-E156,0)</f>
        <v>0</v>
      </c>
      <c r="H156" s="626">
        <f t="shared" si="2"/>
        <v>0</v>
      </c>
    </row>
    <row r="157" spans="1:10" ht="15.75" hidden="1">
      <c r="A157" s="623" t="str">
        <f t="array" ref="A157">INDEX(AccountCodes[ACCOUNT NAME],MATCH(B157,AccountCodes[NGAS CODE],0))</f>
        <v>Due to GSIS - Calamity Loan</v>
      </c>
      <c r="B157" s="597" t="s">
        <v>1502</v>
      </c>
      <c r="C157" s="625">
        <f t="array" ref="C157">INDEX(AccountCodes[PPSAS CODE],MATCH(B157,AccountCodes[NGAS CODE],0))</f>
        <v>2020102007</v>
      </c>
      <c r="D157" s="626">
        <f>IF(INDEX(AccountCodes[Normal Balance], MATCH(C157,AccountCodes[PPSAS CODE]))="Debit",E157-F157,0)</f>
        <v>0</v>
      </c>
      <c r="E157" s="626">
        <f>SUMIF(PostTB[Account Code (Old)],B157,(PostTB[Debit]))+SUMIF(CkDJ[Account Code],B157,(CkDJ[Debit]))+SUMIF(CsDJ[Account Code],B157,(CsDJ[Debit]))+SUMIF(CRDJ[Account Code],B157,(CRDJ[Debit]))+SUMIF(GJ[Account Code],B157,(GJ[Debit]))</f>
        <v>0</v>
      </c>
      <c r="F157" s="627">
        <f>SUMIF(PostTB[Account Code (Old)],B157,(PostTB[Credit]))+SUMIF(CkDJ[Account Code],B157,(CkDJ[Credit]))+SUMIF(CsDJ[Account Code],B157,(CsDJ[Credit]))+SUMIF(CRDJ[Account Code],B157,(CRDJ[Credit]))+SUMIF(GJ[Account Code],B157,(GJ[Credit]))</f>
        <v>0</v>
      </c>
      <c r="G157" s="627">
        <f>IF(INDEX(AccountCodes[Normal Balance], MATCH(C157,AccountCodes[PPSAS CODE]))="Credit",F157-E157,0)</f>
        <v>0</v>
      </c>
      <c r="H157" s="626">
        <f t="shared" si="2"/>
        <v>0</v>
      </c>
    </row>
    <row r="158" spans="1:10" ht="15.75" hidden="1">
      <c r="A158" s="623" t="str">
        <f t="array" ref="A158">INDEX(AccountCodes[ACCOUNT NAME],MATCH(B158,AccountCodes[NGAS CODE],0))</f>
        <v>Due to GSIS - Housing Loan</v>
      </c>
      <c r="B158" s="597" t="s">
        <v>1504</v>
      </c>
      <c r="C158" s="625">
        <f t="array" ref="C158">INDEX(AccountCodes[PPSAS CODE],MATCH(B158,AccountCodes[NGAS CODE],0))</f>
        <v>2020102008</v>
      </c>
      <c r="D158" s="626">
        <f>IF(INDEX(AccountCodes[Normal Balance], MATCH(C158,AccountCodes[PPSAS CODE]))="Debit",E158-F158,0)</f>
        <v>0</v>
      </c>
      <c r="E158" s="626">
        <f>SUMIF(PostTB[Account Code (Old)],B158,(PostTB[Debit]))+SUMIF(CkDJ[Account Code],B158,(CkDJ[Debit]))+SUMIF(CsDJ[Account Code],B158,(CsDJ[Debit]))+SUMIF(CRDJ[Account Code],B158,(CRDJ[Debit]))+SUMIF(GJ[Account Code],B158,(GJ[Debit]))</f>
        <v>0</v>
      </c>
      <c r="F158" s="627">
        <f>SUMIF(PostTB[Account Code (Old)],B158,(PostTB[Credit]))+SUMIF(CkDJ[Account Code],B158,(CkDJ[Credit]))+SUMIF(CsDJ[Account Code],B158,(CsDJ[Credit]))+SUMIF(CRDJ[Account Code],B158,(CRDJ[Credit]))+SUMIF(GJ[Account Code],B158,(GJ[Credit]))</f>
        <v>0</v>
      </c>
      <c r="G158" s="627">
        <f>IF(INDEX(AccountCodes[Normal Balance], MATCH(C158,AccountCodes[PPSAS CODE]))="Credit",F158-E158,0)</f>
        <v>0</v>
      </c>
      <c r="H158" s="626">
        <f t="shared" si="2"/>
        <v>0</v>
      </c>
    </row>
    <row r="159" spans="1:10" ht="15.75" hidden="1">
      <c r="A159" s="623" t="str">
        <f t="array" ref="A159">INDEX(AccountCodes[ACCOUNT NAME],MATCH(B159,AccountCodes[NGAS CODE],0))</f>
        <v>Due to Pag-IBIG</v>
      </c>
      <c r="B159" s="597" t="s">
        <v>111</v>
      </c>
      <c r="C159" s="625">
        <f t="array" ref="C159">INDEX(AccountCodes[PPSAS CODE],MATCH(B159,AccountCodes[NGAS CODE],0))</f>
        <v>2020103000</v>
      </c>
      <c r="D159" s="626">
        <f>IF(INDEX(AccountCodes[Normal Balance], MATCH(C159,AccountCodes[PPSAS CODE]))="Debit",E159-F159,0)</f>
        <v>0</v>
      </c>
      <c r="E159" s="626">
        <f>SUMIF(PostTB[Account Code (Old)],B159,(PostTB[Debit]))+SUMIF(CkDJ[Account Code],B159,(CkDJ[Debit]))+SUMIF(CsDJ[Account Code],B159,(CsDJ[Debit]))+SUMIF(CRDJ[Account Code],B159,(CRDJ[Debit]))+SUMIF(GJ[Account Code],B159,(GJ[Debit]))</f>
        <v>0</v>
      </c>
      <c r="F159" s="627">
        <f>SUMIF(PostTB[Account Code (Old)],B159,(PostTB[Credit]))+SUMIF(CkDJ[Account Code],B159,(CkDJ[Credit]))+SUMIF(CsDJ[Account Code],B159,(CsDJ[Credit]))+SUMIF(CRDJ[Account Code],B159,(CRDJ[Credit]))+SUMIF(GJ[Account Code],B159,(GJ[Credit]))</f>
        <v>0</v>
      </c>
      <c r="G159" s="627">
        <f>IF(INDEX(AccountCodes[Normal Balance], MATCH(C159,AccountCodes[PPSAS CODE]))="Credit",F159-E159,0)</f>
        <v>0</v>
      </c>
      <c r="H159" s="626">
        <f t="shared" si="2"/>
        <v>0</v>
      </c>
    </row>
    <row r="160" spans="1:10" ht="15.75" hidden="1">
      <c r="A160" s="623" t="str">
        <f t="array" ref="A160">INDEX(AccountCodes[ACCOUNT NAME],MATCH(B160,AccountCodes[NGAS CODE],0))</f>
        <v>Due to Pag-IBIG - Pag-IBIG Premium</v>
      </c>
      <c r="B160" s="597" t="s">
        <v>1444</v>
      </c>
      <c r="C160" s="625">
        <f t="array" ref="C160">INDEX(AccountCodes[PPSAS CODE],MATCH(B160,AccountCodes[NGAS CODE],0))</f>
        <v>2020103001</v>
      </c>
      <c r="D160" s="626">
        <f>IF(INDEX(AccountCodes[Normal Balance], MATCH(C160,AccountCodes[PPSAS CODE]))="Debit",E160-F160,0)</f>
        <v>0</v>
      </c>
      <c r="E160" s="626">
        <f>SUMIF(PostTB[Account Code (Old)],B160,(PostTB[Debit]))+SUMIF(CkDJ[Account Code],B160,(CkDJ[Debit]))+SUMIF(CsDJ[Account Code],B160,(CsDJ[Debit]))+SUMIF(CRDJ[Account Code],B160,(CRDJ[Debit]))+SUMIF(GJ[Account Code],B160,(GJ[Debit]))</f>
        <v>24487.919999999998</v>
      </c>
      <c r="F160" s="627">
        <f>SUMIF(PostTB[Account Code (Old)],B160,(PostTB[Credit]))+SUMIF(CkDJ[Account Code],B160,(CkDJ[Credit]))+SUMIF(CsDJ[Account Code],B160,(CsDJ[Credit]))+SUMIF(CRDJ[Account Code],B160,(CRDJ[Credit]))+SUMIF(GJ[Account Code],B160,(GJ[Credit]))</f>
        <v>27387.919999999998</v>
      </c>
      <c r="G160" s="627">
        <f>IF(INDEX(AccountCodes[Normal Balance], MATCH(C160,AccountCodes[PPSAS CODE]))="Credit",F160-E160,0)</f>
        <v>2900</v>
      </c>
      <c r="H160" s="626">
        <f t="shared" si="2"/>
        <v>2900</v>
      </c>
      <c r="J160" s="697">
        <f>Table6[[#This Row],[DEBIT/CREDIT]]+H161+H162+H163+H164</f>
        <v>5725.02</v>
      </c>
    </row>
    <row r="161" spans="1:10" ht="15.75" hidden="1">
      <c r="A161" s="623" t="str">
        <f t="array" ref="A161">INDEX(AccountCodes[ACCOUNT NAME],MATCH(B161,AccountCodes[NGAS CODE],0))</f>
        <v>Due to Pag-IBIG - Pag-IBIG Multi-Purpose Loan</v>
      </c>
      <c r="B161" s="597" t="s">
        <v>1445</v>
      </c>
      <c r="C161" s="625">
        <f t="array" ref="C161">INDEX(AccountCodes[PPSAS CODE],MATCH(B161,AccountCodes[NGAS CODE],0))</f>
        <v>2020103002</v>
      </c>
      <c r="D161" s="626">
        <f>IF(INDEX(AccountCodes[Normal Balance], MATCH(C161,AccountCodes[PPSAS CODE]))="Debit",E161-F161,0)</f>
        <v>0</v>
      </c>
      <c r="E161" s="626">
        <f>SUMIF(PostTB[Account Code (Old)],B161,(PostTB[Debit]))+SUMIF(CkDJ[Account Code],B161,(CkDJ[Debit]))+SUMIF(CsDJ[Account Code],B161,(CsDJ[Debit]))+SUMIF(CRDJ[Account Code],B161,(CRDJ[Debit]))+SUMIF(GJ[Account Code],B161,(GJ[Debit]))</f>
        <v>17360.080000000002</v>
      </c>
      <c r="F161" s="627">
        <f>SUMIF(PostTB[Account Code (Old)],B161,(PostTB[Credit]))+SUMIF(CkDJ[Account Code],B161,(CkDJ[Credit]))+SUMIF(CsDJ[Account Code],B161,(CsDJ[Credit]))+SUMIF(CRDJ[Account Code],B161,(CRDJ[Credit]))+SUMIF(GJ[Account Code],B161,(GJ[Credit]))</f>
        <v>20185.099999999999</v>
      </c>
      <c r="G161" s="627">
        <f>IF(INDEX(AccountCodes[Normal Balance], MATCH(C161,AccountCodes[PPSAS CODE]))="Credit",F161-E161,0)</f>
        <v>2825.02</v>
      </c>
      <c r="H161" s="626">
        <f t="shared" si="2"/>
        <v>2825.02</v>
      </c>
    </row>
    <row r="162" spans="1:10" ht="15.75" hidden="1">
      <c r="A162" s="623" t="str">
        <f t="array" ref="A162">INDEX(AccountCodes[ACCOUNT NAME],MATCH(B162,AccountCodes[NGAS CODE],0))</f>
        <v>Due to Pag-IBIG - Pag-IBIG Housing Loan</v>
      </c>
      <c r="B162" s="597" t="s">
        <v>1446</v>
      </c>
      <c r="C162" s="625">
        <f t="array" ref="C162">INDEX(AccountCodes[PPSAS CODE],MATCH(B162,AccountCodes[NGAS CODE],0))</f>
        <v>2020103003</v>
      </c>
      <c r="D162" s="626">
        <f>IF(INDEX(AccountCodes[Normal Balance], MATCH(C162,AccountCodes[PPSAS CODE]))="Debit",E162-F162,0)</f>
        <v>0</v>
      </c>
      <c r="E162" s="626">
        <f>SUMIF(PostTB[Account Code (Old)],B162,(PostTB[Debit]))+SUMIF(CkDJ[Account Code],B162,(CkDJ[Debit]))+SUMIF(CsDJ[Account Code],B162,(CsDJ[Debit]))+SUMIF(CRDJ[Account Code],B162,(CRDJ[Debit]))+SUMIF(GJ[Account Code],B162,(GJ[Debit]))</f>
        <v>0</v>
      </c>
      <c r="F162" s="627">
        <f>SUMIF(PostTB[Account Code (Old)],B162,(PostTB[Credit]))+SUMIF(CkDJ[Account Code],B162,(CkDJ[Credit]))+SUMIF(CsDJ[Account Code],B162,(CsDJ[Credit]))+SUMIF(CRDJ[Account Code],B162,(CRDJ[Credit]))+SUMIF(GJ[Account Code],B162,(GJ[Credit]))</f>
        <v>0</v>
      </c>
      <c r="G162" s="627">
        <f>IF(INDEX(AccountCodes[Normal Balance], MATCH(C162,AccountCodes[PPSAS CODE]))="Credit",F162-E162,0)</f>
        <v>0</v>
      </c>
      <c r="H162" s="626">
        <f t="shared" si="2"/>
        <v>0</v>
      </c>
    </row>
    <row r="163" spans="1:10" ht="15.75" hidden="1">
      <c r="A163" s="623" t="str">
        <f t="array" ref="A163">INDEX(AccountCodes[ACCOUNT NAME],MATCH(B163,AccountCodes[NGAS CODE],0))</f>
        <v>Due to Pag-IBIG - Calamity Loan</v>
      </c>
      <c r="B163" s="597" t="s">
        <v>1506</v>
      </c>
      <c r="C163" s="625">
        <f t="array" ref="C163">INDEX(AccountCodes[PPSAS CODE],MATCH(B163,AccountCodes[NGAS CODE],0))</f>
        <v>2020103004</v>
      </c>
      <c r="D163" s="626">
        <f>IF(INDEX(AccountCodes[Normal Balance], MATCH(C163,AccountCodes[PPSAS CODE]))="Debit",E163-F163,0)</f>
        <v>0</v>
      </c>
      <c r="E163" s="626">
        <f>SUMIF(PostTB[Account Code (Old)],B163,(PostTB[Debit]))+SUMIF(CkDJ[Account Code],B163,(CkDJ[Debit]))+SUMIF(CsDJ[Account Code],B163,(CsDJ[Debit]))+SUMIF(CRDJ[Account Code],B163,(CRDJ[Debit]))+SUMIF(GJ[Account Code],B163,(GJ[Debit]))</f>
        <v>0</v>
      </c>
      <c r="F163" s="627">
        <f>SUMIF(PostTB[Account Code (Old)],B163,(PostTB[Credit]))+SUMIF(CkDJ[Account Code],B163,(CkDJ[Credit]))+SUMIF(CsDJ[Account Code],B163,(CsDJ[Credit]))+SUMIF(CRDJ[Account Code],B163,(CRDJ[Credit]))+SUMIF(GJ[Account Code],B163,(GJ[Credit]))</f>
        <v>0</v>
      </c>
      <c r="G163" s="627">
        <f>IF(INDEX(AccountCodes[Normal Balance], MATCH(C163,AccountCodes[PPSAS CODE]))="Credit",F163-E163,0)</f>
        <v>0</v>
      </c>
      <c r="H163" s="626">
        <f t="shared" si="2"/>
        <v>0</v>
      </c>
    </row>
    <row r="164" spans="1:10" ht="15.75" hidden="1">
      <c r="A164" s="623" t="str">
        <f t="array" ref="A164">INDEX(AccountCodes[ACCOUNT NAME],MATCH(B164,AccountCodes[NGAS CODE],0))</f>
        <v>Due to Pag-IBIG - MP2</v>
      </c>
      <c r="B164" s="597" t="s">
        <v>1508</v>
      </c>
      <c r="C164" s="625">
        <f t="array" ref="C164">INDEX(AccountCodes[PPSAS CODE],MATCH(B164,AccountCodes[NGAS CODE],0))</f>
        <v>2020103005</v>
      </c>
      <c r="D164" s="626">
        <f>IF(INDEX(AccountCodes[Normal Balance], MATCH(C164,AccountCodes[PPSAS CODE]))="Debit",E164-F164,0)</f>
        <v>0</v>
      </c>
      <c r="E164" s="626">
        <f>SUMIF(PostTB[Account Code (Old)],B164,(PostTB[Debit]))+SUMIF(CkDJ[Account Code],B164,(CkDJ[Debit]))+SUMIF(CsDJ[Account Code],B164,(CsDJ[Debit]))+SUMIF(CRDJ[Account Code],B164,(CRDJ[Debit]))+SUMIF(GJ[Account Code],B164,(GJ[Debit]))</f>
        <v>36000</v>
      </c>
      <c r="F164" s="627">
        <f>SUMIF(PostTB[Account Code (Old)],B164,(PostTB[Credit]))+SUMIF(CkDJ[Account Code],B164,(CkDJ[Credit]))+SUMIF(CsDJ[Account Code],B164,(CsDJ[Credit]))+SUMIF(CRDJ[Account Code],B164,(CRDJ[Credit]))+SUMIF(GJ[Account Code],B164,(GJ[Credit]))</f>
        <v>36000</v>
      </c>
      <c r="G164" s="627">
        <f>IF(INDEX(AccountCodes[Normal Balance], MATCH(C164,AccountCodes[PPSAS CODE]))="Credit",F164-E164,0)</f>
        <v>0</v>
      </c>
      <c r="H164" s="626">
        <f t="shared" si="2"/>
        <v>0</v>
      </c>
    </row>
    <row r="165" spans="1:10" ht="15.75" hidden="1">
      <c r="A165" s="623" t="str">
        <f t="array" ref="A165">INDEX(AccountCodes[ACCOUNT NAME],MATCH(B165,AccountCodes[NGAS CODE],0))</f>
        <v>Due to PhilHealth</v>
      </c>
      <c r="B165" s="597" t="s">
        <v>112</v>
      </c>
      <c r="C165" s="625">
        <f t="array" ref="C165">INDEX(AccountCodes[PPSAS CODE],MATCH(B165,AccountCodes[NGAS CODE],0))</f>
        <v>2020104000</v>
      </c>
      <c r="D165" s="626">
        <f>IF(INDEX(AccountCodes[Normal Balance], MATCH(C165,AccountCodes[PPSAS CODE]))="Debit",E165-F165,0)</f>
        <v>0</v>
      </c>
      <c r="E165" s="626">
        <f>SUMIF(PostTB[Account Code (Old)],B165,(PostTB[Debit]))+SUMIF(CkDJ[Account Code],B165,(CkDJ[Debit]))+SUMIF(CsDJ[Account Code],B165,(CsDJ[Debit]))+SUMIF(CRDJ[Account Code],B165,(CRDJ[Debit]))+SUMIF(GJ[Account Code],B165,(GJ[Debit]))</f>
        <v>33122.11</v>
      </c>
      <c r="F165" s="627">
        <f>SUMIF(PostTB[Account Code (Old)],B165,(PostTB[Credit]))+SUMIF(CkDJ[Account Code],B165,(CkDJ[Credit]))+SUMIF(CsDJ[Account Code],B165,(CsDJ[Credit]))+SUMIF(CRDJ[Account Code],B165,(CRDJ[Credit]))+SUMIF(GJ[Account Code],B165,(GJ[Credit]))</f>
        <v>33195.99</v>
      </c>
      <c r="G165" s="627">
        <f>IF(INDEX(AccountCodes[Normal Balance], MATCH(C165,AccountCodes[PPSAS CODE]))="Credit",F165-E165,0)</f>
        <v>73.88</v>
      </c>
      <c r="H165" s="626">
        <f t="shared" si="2"/>
        <v>73.88</v>
      </c>
    </row>
    <row r="166" spans="1:10" ht="15.75" hidden="1">
      <c r="A166" s="623" t="str">
        <f t="array" ref="A166">INDEX(AccountCodes[ACCOUNT NAME],MATCH(B166,AccountCodes[NGAS CODE],0))</f>
        <v>Due to NGAs</v>
      </c>
      <c r="B166" s="597" t="s">
        <v>113</v>
      </c>
      <c r="C166" s="625">
        <f t="array" ref="C166">INDEX(AccountCodes[PPSAS CODE],MATCH(B166,AccountCodes[NGAS CODE],0))</f>
        <v>2020105000</v>
      </c>
      <c r="D166" s="626">
        <f>IF(INDEX(AccountCodes[Normal Balance], MATCH(C166,AccountCodes[PPSAS CODE]))="Debit",E166-F166,0)</f>
        <v>0</v>
      </c>
      <c r="E166" s="626">
        <f>SUMIF(PostTB[Account Code (Old)],B166,(PostTB[Debit]))+SUMIF(CkDJ[Account Code],B166,(CkDJ[Debit]))+SUMIF(CsDJ[Account Code],B166,(CsDJ[Debit]))+SUMIF(CRDJ[Account Code],B166,(CRDJ[Debit]))+SUMIF(GJ[Account Code],B166,(GJ[Debit]))</f>
        <v>0</v>
      </c>
      <c r="F166" s="627">
        <f>SUMIF(PostTB[Account Code (Old)],B166,(PostTB[Credit]))+SUMIF(CkDJ[Account Code],B166,(CkDJ[Credit]))+SUMIF(CsDJ[Account Code],B166,(CsDJ[Credit]))+SUMIF(CRDJ[Account Code],B166,(CRDJ[Credit]))+SUMIF(GJ[Account Code],B166,(GJ[Credit]))</f>
        <v>0</v>
      </c>
      <c r="G166" s="627">
        <f>IF(INDEX(AccountCodes[Normal Balance], MATCH(C166,AccountCodes[PPSAS CODE]))="Credit",F166-E166,0)</f>
        <v>0</v>
      </c>
      <c r="H166" s="626">
        <f t="shared" si="2"/>
        <v>0</v>
      </c>
    </row>
    <row r="167" spans="1:10" ht="15.75" hidden="1">
      <c r="A167" s="623" t="str">
        <f t="array" ref="A167">INDEX(AccountCodes[ACCOUNT NAME],MATCH(B167,AccountCodes[NGAS CODE],0))</f>
        <v>Due to Central Office</v>
      </c>
      <c r="B167" s="597" t="s">
        <v>407</v>
      </c>
      <c r="C167" s="625">
        <f t="array" ref="C167">INDEX(AccountCodes[PPSAS CODE],MATCH(B167,AccountCodes[NGAS CODE],0))</f>
        <v>2030101000</v>
      </c>
      <c r="D167" s="626">
        <f>IF(INDEX(AccountCodes[Normal Balance], MATCH(C167,AccountCodes[PPSAS CODE]))="Debit",E167-F167,0)</f>
        <v>0</v>
      </c>
      <c r="E167" s="626">
        <f>SUMIF(PostTB[Account Code (Old)],B167,(PostTB[Debit]))+SUMIF(CkDJ[Account Code],B167,(CkDJ[Debit]))+SUMIF(CsDJ[Account Code],B167,(CsDJ[Debit]))+SUMIF(CRDJ[Account Code],B167,(CRDJ[Debit]))+SUMIF(GJ[Account Code],B167,(GJ[Debit]))</f>
        <v>0</v>
      </c>
      <c r="F167" s="627">
        <f>SUMIF(PostTB[Account Code (Old)],B167,(PostTB[Credit]))+SUMIF(CkDJ[Account Code],B167,(CkDJ[Credit]))+SUMIF(CsDJ[Account Code],B167,(CsDJ[Credit]))+SUMIF(CRDJ[Account Code],B167,(CRDJ[Credit]))+SUMIF(GJ[Account Code],B167,(GJ[Credit]))</f>
        <v>0</v>
      </c>
      <c r="G167" s="627">
        <f>IF(INDEX(AccountCodes[Normal Balance], MATCH(C167,AccountCodes[PPSAS CODE]))="Credit",F167-E167,0)</f>
        <v>0</v>
      </c>
      <c r="H167" s="626">
        <f t="shared" si="2"/>
        <v>0</v>
      </c>
    </row>
    <row r="168" spans="1:10" ht="15.75" hidden="1">
      <c r="A168" s="623" t="str">
        <f t="array" ref="A168">INDEX(AccountCodes[ACCOUNT NAME],MATCH(B168,AccountCodes[NGAS CODE],0))</f>
        <v>Due to Regional Offices</v>
      </c>
      <c r="B168" s="597" t="s">
        <v>1229</v>
      </c>
      <c r="C168" s="625">
        <f t="array" ref="C168">INDEX(AccountCodes[PPSAS CODE],MATCH(B168,AccountCodes[NGAS CODE],0))</f>
        <v>2030103000</v>
      </c>
      <c r="D168" s="626">
        <f>IF(INDEX(AccountCodes[Normal Balance], MATCH(C168,AccountCodes[PPSAS CODE]))="Debit",E168-F168,0)</f>
        <v>0</v>
      </c>
      <c r="E168" s="626">
        <f>SUMIF(PostTB[Account Code (Old)],B168,(PostTB[Debit]))+SUMIF(CkDJ[Account Code],B168,(CkDJ[Debit]))+SUMIF(CsDJ[Account Code],B168,(CsDJ[Debit]))+SUMIF(CRDJ[Account Code],B168,(CRDJ[Debit]))+SUMIF(GJ[Account Code],B168,(GJ[Debit]))</f>
        <v>0</v>
      </c>
      <c r="F168" s="627">
        <f>SUMIF(PostTB[Account Code (Old)],B168,(PostTB[Credit]))+SUMIF(CkDJ[Account Code],B168,(CkDJ[Credit]))+SUMIF(CsDJ[Account Code],B168,(CsDJ[Credit]))+SUMIF(CRDJ[Account Code],B168,(CRDJ[Credit]))+SUMIF(GJ[Account Code],B168,(GJ[Credit]))</f>
        <v>0</v>
      </c>
      <c r="G168" s="627">
        <f>IF(INDEX(AccountCodes[Normal Balance], MATCH(C168,AccountCodes[PPSAS CODE]))="Credit",F168-E168,0)</f>
        <v>0</v>
      </c>
      <c r="H168" s="626">
        <f t="shared" si="2"/>
        <v>0</v>
      </c>
    </row>
    <row r="169" spans="1:10" ht="15.75" hidden="1">
      <c r="A169" s="623" t="str">
        <f t="array" ref="A169">INDEX(AccountCodes[ACCOUNT NAME],MATCH(B169,AccountCodes[NGAS CODE],0))</f>
        <v>Due to Other Funds</v>
      </c>
      <c r="B169" s="597" t="s">
        <v>114</v>
      </c>
      <c r="C169" s="625">
        <f t="array" ref="C169">INDEX(AccountCodes[PPSAS CODE],MATCH(B169,AccountCodes[NGAS CODE],0))</f>
        <v>2030105000</v>
      </c>
      <c r="D169" s="626">
        <f>IF(INDEX(AccountCodes[Normal Balance], MATCH(C169,AccountCodes[PPSAS CODE]))="Debit",E169-F169,0)</f>
        <v>0</v>
      </c>
      <c r="E169" s="626">
        <f>SUMIF(PostTB[Account Code (Old)],B169,(PostTB[Debit]))+SUMIF(CkDJ[Account Code],B169,(CkDJ[Debit]))+SUMIF(CsDJ[Account Code],B169,(CsDJ[Debit]))+SUMIF(CRDJ[Account Code],B169,(CRDJ[Debit]))+SUMIF(GJ[Account Code],B169,(GJ[Debit]))</f>
        <v>15211.73</v>
      </c>
      <c r="F169" s="627">
        <f>SUMIF(PostTB[Account Code (Old)],B169,(PostTB[Credit]))+SUMIF(CkDJ[Account Code],B169,(CkDJ[Credit]))+SUMIF(CsDJ[Account Code],B169,(CsDJ[Credit]))+SUMIF(CRDJ[Account Code],B169,(CRDJ[Credit]))+SUMIF(GJ[Account Code],B169,(GJ[Credit]))</f>
        <v>25211.73</v>
      </c>
      <c r="G169" s="627">
        <f>IF(INDEX(AccountCodes[Normal Balance], MATCH(C169,AccountCodes[PPSAS CODE]))="Credit",F169-E169,0)</f>
        <v>10000</v>
      </c>
      <c r="H169" s="626">
        <f t="shared" si="2"/>
        <v>10000</v>
      </c>
    </row>
    <row r="170" spans="1:10" ht="15.75" hidden="1">
      <c r="A170" s="623" t="str">
        <f t="array" ref="A170">INDEX(AccountCodes[ACCOUNT NAME],MATCH(B170,AccountCodes[NGAS CODE],0))</f>
        <v>Bail Bonds Payable</v>
      </c>
      <c r="B170" s="597" t="s">
        <v>116</v>
      </c>
      <c r="C170" s="625">
        <f t="array" ref="C170">INDEX(AccountCodes[PPSAS CODE],MATCH(B170,AccountCodes[NGAS CODE],0))</f>
        <v>2040103000</v>
      </c>
      <c r="D170" s="626">
        <f>IF(INDEX(AccountCodes[Normal Balance], MATCH(C170,AccountCodes[PPSAS CODE]))="Debit",E170-F170,0)</f>
        <v>0</v>
      </c>
      <c r="E170" s="626">
        <f>SUMIF(PostTB[Account Code (Old)],B170,(PostTB[Debit]))+SUMIF(CkDJ[Account Code],B170,(CkDJ[Debit]))+SUMIF(CsDJ[Account Code],B170,(CsDJ[Debit]))+SUMIF(CRDJ[Account Code],B170,(CRDJ[Debit]))+SUMIF(GJ[Account Code],B170,(GJ[Debit]))</f>
        <v>0</v>
      </c>
      <c r="F170" s="627">
        <f>SUMIF(PostTB[Account Code (Old)],B170,(PostTB[Credit]))+SUMIF(CkDJ[Account Code],B170,(CkDJ[Credit]))+SUMIF(CsDJ[Account Code],B170,(CsDJ[Credit]))+SUMIF(CRDJ[Account Code],B170,(CRDJ[Credit]))+SUMIF(GJ[Account Code],B170,(GJ[Credit]))</f>
        <v>0</v>
      </c>
      <c r="G170" s="627">
        <f>IF(INDEX(AccountCodes[Normal Balance], MATCH(C170,AccountCodes[PPSAS CODE]))="Credit",F170-E170,0)</f>
        <v>0</v>
      </c>
      <c r="H170" s="626">
        <f t="shared" si="2"/>
        <v>0</v>
      </c>
    </row>
    <row r="171" spans="1:10" ht="15.75">
      <c r="A171" s="623" t="str">
        <f t="array" ref="A171">INDEX(AccountCodes[ACCOUNT NAME],MATCH(B171,AccountCodes[NGAS CODE],0))</f>
        <v>Guaranty/Security Deposits Payable</v>
      </c>
      <c r="B171" s="597" t="s">
        <v>115</v>
      </c>
      <c r="C171" s="625">
        <f t="array" ref="C171">INDEX(AccountCodes[PPSAS CODE],MATCH(B171,AccountCodes[NGAS CODE],0))</f>
        <v>2040104000</v>
      </c>
      <c r="D171" s="626">
        <f>IF(INDEX(AccountCodes[Normal Balance], MATCH(C171,AccountCodes[PPSAS CODE]))="Debit",E171-F171,0)</f>
        <v>0</v>
      </c>
      <c r="E171" s="626">
        <f>SUMIF(PostTB[Account Code (Old)],B171,(PostTB[Debit]))+SUMIF(CkDJ[Account Code],B171,(CkDJ[Debit]))+SUMIF(CsDJ[Account Code],B171,(CsDJ[Debit]))+SUMIF(CRDJ[Account Code],B171,(CRDJ[Debit]))+SUMIF(GJ[Account Code],B171,(GJ[Debit]))</f>
        <v>197792.84</v>
      </c>
      <c r="F171" s="627">
        <f>SUMIF(PostTB[Account Code (Old)],B171,(PostTB[Credit]))+SUMIF(CkDJ[Account Code],B171,(CkDJ[Credit]))+SUMIF(CsDJ[Account Code],B171,(CsDJ[Credit]))+SUMIF(CRDJ[Account Code],B171,(CRDJ[Credit]))+SUMIF(GJ[Account Code],B171,(GJ[Credit]))</f>
        <v>3348414.28</v>
      </c>
      <c r="G171" s="627">
        <f>IF(INDEX(AccountCodes[Normal Balance], MATCH(C171,AccountCodes[PPSAS CODE]))="Credit",F171-E171,0)</f>
        <v>3150621.44</v>
      </c>
      <c r="H171" s="626">
        <f t="shared" si="2"/>
        <v>3150621.44</v>
      </c>
      <c r="J171" s="697">
        <f>Table6[[#This Row],[CREDIT]]+G175</f>
        <v>5827028.4000000004</v>
      </c>
    </row>
    <row r="172" spans="1:10" ht="15.75" hidden="1">
      <c r="A172" s="623" t="str">
        <f t="array" ref="A172">INDEX(AccountCodes[ACCOUNT NAME],MATCH(B172,AccountCodes[NGAS CODE],0))</f>
        <v>Other Deferred Credits (Irrigation Service Fee)</v>
      </c>
      <c r="B172" s="597" t="s">
        <v>120</v>
      </c>
      <c r="C172" s="625">
        <f t="array" ref="C172">INDEX(AccountCodes[PPSAS CODE],MATCH(B172,AccountCodes[NGAS CODE],0))</f>
        <v>2050199000</v>
      </c>
      <c r="D172" s="626">
        <f>IF(INDEX(AccountCodes[Normal Balance], MATCH(C172,AccountCodes[PPSAS CODE]))="Debit",E172-F172,0)</f>
        <v>0</v>
      </c>
      <c r="E172" s="626">
        <f>SUMIF(PostTB[Account Code (Old)],B172,(PostTB[Debit]))+SUMIF(CkDJ[Account Code],B172,(CkDJ[Debit]))+SUMIF(CsDJ[Account Code],B172,(CsDJ[Debit]))+SUMIF(CRDJ[Account Code],B172,(CRDJ[Debit]))+SUMIF(GJ[Account Code],B172,(GJ[Debit]))</f>
        <v>0</v>
      </c>
      <c r="F172" s="627">
        <f>SUMIF(PostTB[Account Code (Old)],B172,(PostTB[Credit]))+SUMIF(CkDJ[Account Code],B172,(CkDJ[Credit]))+SUMIF(CsDJ[Account Code],B172,(CsDJ[Credit]))+SUMIF(CRDJ[Account Code],B172,(CRDJ[Credit]))+SUMIF(GJ[Account Code],B172,(GJ[Credit]))</f>
        <v>0</v>
      </c>
      <c r="G172" s="627">
        <f>IF(INDEX(AccountCodes[Normal Balance], MATCH(C172,AccountCodes[PPSAS CODE]))="Credit",F172-E172,0)</f>
        <v>0</v>
      </c>
      <c r="H172" s="626">
        <f t="shared" si="2"/>
        <v>0</v>
      </c>
    </row>
    <row r="173" spans="1:10" ht="15.75" hidden="1">
      <c r="A173" s="623" t="str">
        <f t="array" ref="A173">INDEX(AccountCodes[ACCOUNT NAME],MATCH(B173,AccountCodes[NGAS CODE],0))</f>
        <v>Other Deferred Credits (PA/CIS/CIP Equity)</v>
      </c>
      <c r="B173" s="597" t="s">
        <v>8</v>
      </c>
      <c r="C173" s="625">
        <f t="array" ref="C173">INDEX(AccountCodes[PPSAS CODE],MATCH(B173,AccountCodes[NGAS CODE],0))</f>
        <v>2050199000</v>
      </c>
      <c r="D173" s="626">
        <f>IF(INDEX(AccountCodes[Normal Balance], MATCH(C173,AccountCodes[PPSAS CODE]))="Debit",E173-F173,0)</f>
        <v>0</v>
      </c>
      <c r="E173" s="626">
        <f>SUMIF(PostTB[Account Code (Old)],B173,(PostTB[Debit]))+SUMIF(CkDJ[Account Code],B173,(CkDJ[Debit]))+SUMIF(CsDJ[Account Code],B173,(CsDJ[Debit]))+SUMIF(CRDJ[Account Code],B173,(CRDJ[Debit]))+SUMIF(GJ[Account Code],B173,(GJ[Debit]))</f>
        <v>0</v>
      </c>
      <c r="F173" s="627">
        <f>SUMIF(PostTB[Account Code (Old)],B173,(PostTB[Credit]))+SUMIF(CkDJ[Account Code],B173,(CkDJ[Credit]))+SUMIF(CsDJ[Account Code],B173,(CsDJ[Credit]))+SUMIF(CRDJ[Account Code],B173,(CRDJ[Credit]))+SUMIF(GJ[Account Code],B173,(GJ[Credit]))</f>
        <v>0</v>
      </c>
      <c r="G173" s="627">
        <f>IF(INDEX(AccountCodes[Normal Balance], MATCH(C173,AccountCodes[PPSAS CODE]))="Credit",F173-E173,0)</f>
        <v>0</v>
      </c>
      <c r="H173" s="626">
        <f t="shared" si="2"/>
        <v>0</v>
      </c>
    </row>
    <row r="174" spans="1:10" ht="15.75" hidden="1">
      <c r="A174" s="623" t="str">
        <f t="array" ref="A174">INDEX(AccountCodes[ACCOUNT NAME],MATCH(B174,AccountCodes[NGAS CODE],0))</f>
        <v>Other Unearned Revenue</v>
      </c>
      <c r="B174" s="597" t="s">
        <v>121</v>
      </c>
      <c r="C174" s="625">
        <f t="array" ref="C174">INDEX(AccountCodes[PPSAS CODE],MATCH(B174,AccountCodes[NGAS CODE],0))</f>
        <v>2050299000</v>
      </c>
      <c r="D174" s="626">
        <f>IF(INDEX(AccountCodes[Normal Balance], MATCH(C174,AccountCodes[PPSAS CODE]))="Debit",E174-F174,0)</f>
        <v>0</v>
      </c>
      <c r="E174" s="626">
        <f>SUMIF(PostTB[Account Code (Old)],B174,(PostTB[Debit]))+SUMIF(CkDJ[Account Code],B174,(CkDJ[Debit]))+SUMIF(CsDJ[Account Code],B174,(CsDJ[Debit]))+SUMIF(CRDJ[Account Code],B174,(CRDJ[Debit]))+SUMIF(GJ[Account Code],B174,(GJ[Debit]))</f>
        <v>0</v>
      </c>
      <c r="F174" s="627">
        <f>SUMIF(PostTB[Account Code (Old)],B174,(PostTB[Credit]))+SUMIF(CkDJ[Account Code],B174,(CkDJ[Credit]))+SUMIF(CsDJ[Account Code],B174,(CsDJ[Credit]))+SUMIF(CRDJ[Account Code],B174,(CRDJ[Credit]))+SUMIF(GJ[Account Code],B174,(GJ[Credit]))</f>
        <v>0</v>
      </c>
      <c r="G174" s="627">
        <f>IF(INDEX(AccountCodes[Normal Balance], MATCH(C174,AccountCodes[PPSAS CODE]))="Credit",F174-E174,0)</f>
        <v>0</v>
      </c>
      <c r="H174" s="626">
        <f t="shared" si="2"/>
        <v>0</v>
      </c>
    </row>
    <row r="175" spans="1:10" ht="15.75">
      <c r="A175" s="623" t="str">
        <f t="array" ref="A175">INDEX(AccountCodes[ACCOUNT NAME],MATCH(B175,AccountCodes[NGAS CODE],0))</f>
        <v>Other Payables</v>
      </c>
      <c r="B175" s="597" t="s">
        <v>117</v>
      </c>
      <c r="C175" s="625">
        <f t="array" ref="C175">INDEX(AccountCodes[PPSAS CODE],MATCH(B175,AccountCodes[NGAS CODE],0))</f>
        <v>2999999000</v>
      </c>
      <c r="D175" s="626">
        <f>IF(INDEX(AccountCodes[Normal Balance], MATCH(C175,AccountCodes[PPSAS CODE]))="Debit",E175-F175,0)</f>
        <v>0</v>
      </c>
      <c r="E175" s="626">
        <f>SUMIF(PostTB[Account Code (Old)],B175,(PostTB[Debit]))+SUMIF(CkDJ[Account Code],B175,(CkDJ[Debit]))+SUMIF(CsDJ[Account Code],B175,(CsDJ[Debit]))+SUMIF(CRDJ[Account Code],B175,(CRDJ[Debit]))+SUMIF(GJ[Account Code],B175,(GJ[Debit]))</f>
        <v>83414.100000000006</v>
      </c>
      <c r="F175" s="627">
        <f>SUMIF(PostTB[Account Code (Old)],B175,(PostTB[Credit]))+SUMIF(CkDJ[Account Code],B175,(CkDJ[Credit]))+SUMIF(CsDJ[Account Code],B175,(CsDJ[Credit]))+SUMIF(CRDJ[Account Code],B175,(CRDJ[Credit]))+SUMIF(GJ[Account Code],B175,(GJ[Credit]))</f>
        <v>2759821.06</v>
      </c>
      <c r="G175" s="627">
        <f>IF(INDEX(AccountCodes[Normal Balance], MATCH(C175,AccountCodes[PPSAS CODE]))="Credit",F175-E175,0)</f>
        <v>2676406.96</v>
      </c>
      <c r="H175" s="626">
        <f t="shared" si="2"/>
        <v>2676406.96</v>
      </c>
    </row>
    <row r="176" spans="1:10" ht="15.75">
      <c r="A176" s="623" t="str">
        <f t="array" ref="A176">INDEX(AccountCodes[ACCOUNT NAME],MATCH(B176,AccountCodes[NGAS CODE],0))</f>
        <v>Accumulated Surplus/(Deficit) (Government Equity)</v>
      </c>
      <c r="B176" s="597" t="s">
        <v>122</v>
      </c>
      <c r="C176" s="625">
        <f t="array" ref="C176">INDEX(AccountCodes[PPSAS CODE],MATCH(B176,AccountCodes[NGAS CODE],0))</f>
        <v>3010101000</v>
      </c>
      <c r="D176" s="626">
        <f>IF(INDEX(AccountCodes[Normal Balance], MATCH(C176,AccountCodes[PPSAS CODE]))="Debit",E176-F176,0)</f>
        <v>0</v>
      </c>
      <c r="E176" s="626">
        <f>SUMIF(PostTB[Account Code (Old)],B176,(PostTB[Debit]))+SUMIF(CkDJ[Account Code],B176,(CkDJ[Debit]))+SUMIF(CsDJ[Account Code],B176,(CsDJ[Debit]))+SUMIF(CRDJ[Account Code],B176,(CRDJ[Debit]))+SUMIF(GJ[Account Code],B176,(GJ[Debit]))</f>
        <v>571126.93999999994</v>
      </c>
      <c r="F176" s="627">
        <f>SUMIF(PostTB[Account Code (Old)],B176,(PostTB[Credit]))+SUMIF(CkDJ[Account Code],B176,(CkDJ[Credit]))+SUMIF(CsDJ[Account Code],B176,(CsDJ[Credit]))+SUMIF(CRDJ[Account Code],B176,(CRDJ[Credit]))+SUMIF(GJ[Account Code],B176,(GJ[Credit]))</f>
        <v>117756365.22</v>
      </c>
      <c r="G176" s="627">
        <f>IF(INDEX(AccountCodes[Normal Balance], MATCH(C176,AccountCodes[PPSAS CODE]))="Credit",F176-E176,0)</f>
        <v>117185238.28</v>
      </c>
      <c r="H176" s="626">
        <f t="shared" si="2"/>
        <v>117185238.28</v>
      </c>
    </row>
    <row r="177" spans="1:8" ht="15.75" hidden="1">
      <c r="A177" s="623" t="str">
        <f t="array" ref="A177">INDEX(AccountCodes[ACCOUNT NAME],MATCH(B177,AccountCodes[NGAS CODE],0))</f>
        <v>Accumulated Surplus/(Deficit) (Retained Earnings)</v>
      </c>
      <c r="B177" s="597" t="s">
        <v>123</v>
      </c>
      <c r="C177" s="625">
        <f t="array" ref="C177">INDEX(AccountCodes[PPSAS CODE],MATCH(B177,AccountCodes[NGAS CODE],0))</f>
        <v>3010101000</v>
      </c>
      <c r="D177" s="626">
        <f>IF(INDEX(AccountCodes[Normal Balance], MATCH(C177,AccountCodes[PPSAS CODE]))="Debit",E177-F177,0)</f>
        <v>0</v>
      </c>
      <c r="E177" s="626">
        <f>SUMIF(PostTB[Account Code (Old)],B177,(PostTB[Debit]))+SUMIF(CkDJ[Account Code],B177,(CkDJ[Debit]))+SUMIF(CsDJ[Account Code],B177,(CsDJ[Debit]))+SUMIF(CRDJ[Account Code],B177,(CRDJ[Debit]))+SUMIF(GJ[Account Code],B177,(GJ[Debit]))</f>
        <v>0</v>
      </c>
      <c r="F177" s="627">
        <f>SUMIF(PostTB[Account Code (Old)],B177,(PostTB[Credit]))+SUMIF(CkDJ[Account Code],B177,(CkDJ[Credit]))+SUMIF(CsDJ[Account Code],B177,(CsDJ[Credit]))+SUMIF(CRDJ[Account Code],B177,(CRDJ[Credit]))+SUMIF(GJ[Account Code],B177,(GJ[Credit]))</f>
        <v>0</v>
      </c>
      <c r="G177" s="627">
        <f>IF(INDEX(AccountCodes[Normal Balance], MATCH(C177,AccountCodes[PPSAS CODE]))="Credit",F177-E177,0)</f>
        <v>0</v>
      </c>
      <c r="H177" s="626">
        <f t="shared" si="2"/>
        <v>0</v>
      </c>
    </row>
    <row r="178" spans="1:8" ht="15.75" hidden="1">
      <c r="A178" s="623" t="str">
        <f t="array" ref="A178">INDEX(AccountCodes[ACCOUNT NAME],MATCH(B178,AccountCodes[NGAS CODE],0))</f>
        <v>Revenue and Expense Summary</v>
      </c>
      <c r="B178" s="597" t="s">
        <v>124</v>
      </c>
      <c r="C178" s="625">
        <f t="array" ref="C178">INDEX(AccountCodes[PPSAS CODE],MATCH(B178,AccountCodes[NGAS CODE],0))</f>
        <v>3030101000</v>
      </c>
      <c r="D178" s="626">
        <f>IF(INDEX(AccountCodes[Normal Balance], MATCH(C178,AccountCodes[PPSAS CODE]))="Debit",E178-F178,0)</f>
        <v>0</v>
      </c>
      <c r="E178" s="626">
        <f>SUMIF(PostTB[Account Code (Old)],B178,(PostTB[Debit]))+SUMIF(CkDJ[Account Code],B178,(CkDJ[Debit]))+SUMIF(CsDJ[Account Code],B178,(CsDJ[Debit]))+SUMIF(CRDJ[Account Code],B178,(CRDJ[Debit]))+SUMIF(GJ[Account Code],B178,(GJ[Debit]))</f>
        <v>0</v>
      </c>
      <c r="F178" s="627">
        <f>SUMIF(PostTB[Account Code (Old)],B178,(PostTB[Credit]))+SUMIF(CkDJ[Account Code],B178,(CkDJ[Credit]))+SUMIF(CsDJ[Account Code],B178,(CsDJ[Credit]))+SUMIF(CRDJ[Account Code],B178,(CRDJ[Credit]))+SUMIF(GJ[Account Code],B178,(GJ[Credit]))</f>
        <v>0</v>
      </c>
      <c r="G178" s="627">
        <f>IF(INDEX(AccountCodes[Normal Balance], MATCH(C178,AccountCodes[PPSAS CODE]))="Credit",F178-E178,0)</f>
        <v>0</v>
      </c>
      <c r="H178" s="626">
        <f t="shared" si="2"/>
        <v>0</v>
      </c>
    </row>
    <row r="179" spans="1:8" ht="15.75" hidden="1">
      <c r="A179" s="623" t="str">
        <f t="array" ref="A179">INDEX(AccountCodes[ACCOUNT NAME],MATCH(B179,AccountCodes[NGAS CODE],0))</f>
        <v>Other Service Income - Irrigation Service Fee (Back Account)</v>
      </c>
      <c r="B179" s="597" t="s">
        <v>126</v>
      </c>
      <c r="C179" s="625">
        <f t="array" ref="C179">INDEX(AccountCodes[PPSAS CODE],MATCH(B179,AccountCodes[NGAS CODE],0))</f>
        <v>4020199099</v>
      </c>
      <c r="D179" s="626">
        <f>IF(INDEX(AccountCodes[Normal Balance], MATCH(C179,AccountCodes[PPSAS CODE]))="Debit",E179-F179,0)</f>
        <v>0</v>
      </c>
      <c r="E179" s="626">
        <f>SUMIF(PostTB[Account Code (Old)],B179,(PostTB[Debit]))+SUMIF(CkDJ[Account Code],B179,(CkDJ[Debit]))+SUMIF(CsDJ[Account Code],B179,(CsDJ[Debit]))+SUMIF(CRDJ[Account Code],B179,(CRDJ[Debit]))+SUMIF(GJ[Account Code],B179,(GJ[Debit]))</f>
        <v>0</v>
      </c>
      <c r="F179" s="627">
        <f>SUMIF(PostTB[Account Code (Old)],B179,(PostTB[Credit]))+SUMIF(CkDJ[Account Code],B179,(CkDJ[Credit]))+SUMIF(CsDJ[Account Code],B179,(CsDJ[Credit]))+SUMIF(CRDJ[Account Code],B179,(CRDJ[Credit]))+SUMIF(GJ[Account Code],B179,(GJ[Credit]))</f>
        <v>0</v>
      </c>
      <c r="G179" s="627">
        <f>IF(INDEX(AccountCodes[Normal Balance], MATCH(C179,AccountCodes[PPSAS CODE]))="Credit",F179-E179,0)</f>
        <v>0</v>
      </c>
      <c r="H179" s="626">
        <f t="shared" si="2"/>
        <v>0</v>
      </c>
    </row>
    <row r="180" spans="1:8" ht="15.75" hidden="1">
      <c r="A180" s="623" t="str">
        <f t="array" ref="A180">INDEX(AccountCodes[ACCOUNT NAME],MATCH(B180,AccountCodes[NGAS CODE],0))</f>
        <v>Other Service Income - Irrigation Service Fee (Back Account) (MC # 54)</v>
      </c>
      <c r="B180" s="597" t="s">
        <v>721</v>
      </c>
      <c r="C180" s="625">
        <f t="array" ref="C180">INDEX(AccountCodes[PPSAS CODE],MATCH(B180,AccountCodes[NGAS CODE],0))</f>
        <v>4020199099</v>
      </c>
      <c r="D180" s="626">
        <f>IF(INDEX(AccountCodes[Normal Balance], MATCH(C180,AccountCodes[PPSAS CODE]))="Debit",E180-F180,0)</f>
        <v>0</v>
      </c>
      <c r="E180" s="626">
        <f>SUMIF(PostTB[Account Code (Old)],B180,(PostTB[Debit]))+SUMIF(CkDJ[Account Code],B180,(CkDJ[Debit]))+SUMIF(CsDJ[Account Code],B180,(CsDJ[Debit]))+SUMIF(CRDJ[Account Code],B180,(CRDJ[Debit]))+SUMIF(GJ[Account Code],B180,(GJ[Debit]))</f>
        <v>0</v>
      </c>
      <c r="F180" s="627">
        <f>SUMIF(PostTB[Account Code (Old)],B180,(PostTB[Credit]))+SUMIF(CkDJ[Account Code],B180,(CkDJ[Credit]))+SUMIF(CsDJ[Account Code],B180,(CsDJ[Credit]))+SUMIF(CRDJ[Account Code],B180,(CRDJ[Credit]))+SUMIF(GJ[Account Code],B180,(GJ[Credit]))</f>
        <v>0</v>
      </c>
      <c r="G180" s="627">
        <f>IF(INDEX(AccountCodes[Normal Balance], MATCH(C180,AccountCodes[PPSAS CODE]))="Credit",F180-E180,0)</f>
        <v>0</v>
      </c>
      <c r="H180" s="626">
        <f t="shared" si="2"/>
        <v>0</v>
      </c>
    </row>
    <row r="181" spans="1:8" ht="15.75" hidden="1">
      <c r="A181" s="623" t="str">
        <f t="array" ref="A181">INDEX(AccountCodes[ACCOUNT NAME],MATCH(B181,AccountCodes[NGAS CODE],0))</f>
        <v>Other Service Income - CIS Equity &amp; Amortization</v>
      </c>
      <c r="B181" s="597" t="s">
        <v>127</v>
      </c>
      <c r="C181" s="625">
        <f t="array" ref="C181">INDEX(AccountCodes[PPSAS CODE],MATCH(B181,AccountCodes[NGAS CODE],0))</f>
        <v>4020199099</v>
      </c>
      <c r="D181" s="626">
        <f>IF(INDEX(AccountCodes[Normal Balance], MATCH(C181,AccountCodes[PPSAS CODE]))="Debit",E181-F181,0)</f>
        <v>0</v>
      </c>
      <c r="E181" s="626">
        <f>SUMIF(PostTB[Account Code (Old)],B181,(PostTB[Debit]))+SUMIF(CkDJ[Account Code],B181,(CkDJ[Debit]))+SUMIF(CsDJ[Account Code],B181,(CsDJ[Debit]))+SUMIF(CRDJ[Account Code],B181,(CRDJ[Debit]))+SUMIF(GJ[Account Code],B181,(GJ[Debit]))</f>
        <v>0</v>
      </c>
      <c r="F181" s="627">
        <f>SUMIF(PostTB[Account Code (Old)],B181,(PostTB[Credit]))+SUMIF(CkDJ[Account Code],B181,(CkDJ[Credit]))+SUMIF(CsDJ[Account Code],B181,(CsDJ[Credit]))+SUMIF(CRDJ[Account Code],B181,(CRDJ[Credit]))+SUMIF(GJ[Account Code],B181,(GJ[Credit]))</f>
        <v>0</v>
      </c>
      <c r="G181" s="627">
        <f>IF(INDEX(AccountCodes[Normal Balance], MATCH(C181,AccountCodes[PPSAS CODE]))="Credit",F181-E181,0)</f>
        <v>0</v>
      </c>
      <c r="H181" s="626">
        <f t="shared" si="2"/>
        <v>0</v>
      </c>
    </row>
    <row r="182" spans="1:8" ht="15.75" hidden="1">
      <c r="A182" s="623" t="str">
        <f t="array" ref="A182">INDEX(AccountCodes[ACCOUNT NAME],MATCH(B182,AccountCodes[NGAS CODE],0))</f>
        <v>Other Service Income - CIS Amortization (Current Account)</v>
      </c>
      <c r="B182" s="597" t="s">
        <v>128</v>
      </c>
      <c r="C182" s="625">
        <f t="array" ref="C182">INDEX(AccountCodes[PPSAS CODE],MATCH(B182,AccountCodes[NGAS CODE],0))</f>
        <v>4020199099</v>
      </c>
      <c r="D182" s="626">
        <f>IF(INDEX(AccountCodes[Normal Balance], MATCH(C182,AccountCodes[PPSAS CODE]))="Debit",E182-F182,0)</f>
        <v>0</v>
      </c>
      <c r="E182" s="626">
        <f>SUMIF(PostTB[Account Code (Old)],B182,(PostTB[Debit]))+SUMIF(CkDJ[Account Code],B182,(CkDJ[Debit]))+SUMIF(CsDJ[Account Code],B182,(CsDJ[Debit]))+SUMIF(CRDJ[Account Code],B182,(CRDJ[Debit]))+SUMIF(GJ[Account Code],B182,(GJ[Debit]))</f>
        <v>0</v>
      </c>
      <c r="F182" s="627">
        <f>SUMIF(PostTB[Account Code (Old)],B182,(PostTB[Credit]))+SUMIF(CkDJ[Account Code],B182,(CkDJ[Credit]))+SUMIF(CsDJ[Account Code],B182,(CsDJ[Credit]))+SUMIF(CRDJ[Account Code],B182,(CRDJ[Credit]))+SUMIF(GJ[Account Code],B182,(GJ[Credit]))</f>
        <v>0</v>
      </c>
      <c r="G182" s="627">
        <f>IF(INDEX(AccountCodes[Normal Balance], MATCH(C182,AccountCodes[PPSAS CODE]))="Credit",F182-E182,0)</f>
        <v>0</v>
      </c>
      <c r="H182" s="626">
        <f t="shared" si="2"/>
        <v>0</v>
      </c>
    </row>
    <row r="183" spans="1:8" ht="15.75" hidden="1">
      <c r="A183" s="623" t="str">
        <f t="array" ref="A183">INDEX(AccountCodes[ACCOUNT NAME],MATCH(B183,AccountCodes[NGAS CODE],0))</f>
        <v>Other Service Income - CIS Amortization (Back Account)</v>
      </c>
      <c r="B183" s="597" t="s">
        <v>129</v>
      </c>
      <c r="C183" s="625">
        <f t="array" ref="C183">INDEX(AccountCodes[PPSAS CODE],MATCH(B183,AccountCodes[NGAS CODE],0))</f>
        <v>4020199099</v>
      </c>
      <c r="D183" s="626">
        <f>IF(INDEX(AccountCodes[Normal Balance], MATCH(C183,AccountCodes[PPSAS CODE]))="Debit",E183-F183,0)</f>
        <v>0</v>
      </c>
      <c r="E183" s="626">
        <f>SUMIF(PostTB[Account Code (Old)],B183,(PostTB[Debit]))+SUMIF(CkDJ[Account Code],B183,(CkDJ[Debit]))+SUMIF(CsDJ[Account Code],B183,(CsDJ[Debit]))+SUMIF(CRDJ[Account Code],B183,(CRDJ[Debit]))+SUMIF(GJ[Account Code],B183,(GJ[Debit]))</f>
        <v>0</v>
      </c>
      <c r="F183" s="627">
        <f>SUMIF(PostTB[Account Code (Old)],B183,(PostTB[Credit]))+SUMIF(CkDJ[Account Code],B183,(CkDJ[Credit]))+SUMIF(CsDJ[Account Code],B183,(CsDJ[Credit]))+SUMIF(CRDJ[Account Code],B183,(CRDJ[Credit]))+SUMIF(GJ[Account Code],B183,(GJ[Credit]))</f>
        <v>0</v>
      </c>
      <c r="G183" s="627">
        <f>IF(INDEX(AccountCodes[Normal Balance], MATCH(C183,AccountCodes[PPSAS CODE]))="Credit",F183-E183,0)</f>
        <v>0</v>
      </c>
      <c r="H183" s="626">
        <f t="shared" si="2"/>
        <v>0</v>
      </c>
    </row>
    <row r="184" spans="1:8" ht="15.75" hidden="1">
      <c r="A184" s="623" t="str">
        <f t="array" ref="A184">INDEX(AccountCodes[ACCOUNT NAME],MATCH(B184,AccountCodes[NGAS CODE],0))</f>
        <v>Other Service Income - Pump Amortization (Current Account)</v>
      </c>
      <c r="B184" s="597" t="s">
        <v>131</v>
      </c>
      <c r="C184" s="625">
        <f t="array" ref="C184">INDEX(AccountCodes[PPSAS CODE],MATCH(B184,AccountCodes[NGAS CODE],0))</f>
        <v>4020199099</v>
      </c>
      <c r="D184" s="626">
        <f>IF(INDEX(AccountCodes[Normal Balance], MATCH(C184,AccountCodes[PPSAS CODE]))="Debit",E184-F184,0)</f>
        <v>0</v>
      </c>
      <c r="E184" s="626">
        <f>SUMIF(PostTB[Account Code (Old)],B184,(PostTB[Debit]))+SUMIF(CkDJ[Account Code],B184,(CkDJ[Debit]))+SUMIF(CsDJ[Account Code],B184,(CsDJ[Debit]))+SUMIF(CRDJ[Account Code],B184,(CRDJ[Debit]))+SUMIF(GJ[Account Code],B184,(GJ[Debit]))</f>
        <v>0</v>
      </c>
      <c r="F184" s="627">
        <f>SUMIF(PostTB[Account Code (Old)],B184,(PostTB[Credit]))+SUMIF(CkDJ[Account Code],B184,(CkDJ[Credit]))+SUMIF(CsDJ[Account Code],B184,(CsDJ[Credit]))+SUMIF(CRDJ[Account Code],B184,(CRDJ[Credit]))+SUMIF(GJ[Account Code],B184,(GJ[Credit]))</f>
        <v>0</v>
      </c>
      <c r="G184" s="627">
        <f>IF(INDEX(AccountCodes[Normal Balance], MATCH(C184,AccountCodes[PPSAS CODE]))="Credit",F184-E184,0)</f>
        <v>0</v>
      </c>
      <c r="H184" s="626">
        <f t="shared" si="2"/>
        <v>0</v>
      </c>
    </row>
    <row r="185" spans="1:8" ht="15.75" hidden="1">
      <c r="A185" s="623" t="str">
        <f t="array" ref="A185">INDEX(AccountCodes[ACCOUNT NAME],MATCH(B185,AccountCodes[NGAS CODE],0))</f>
        <v>Other Service Income - Pump Amortization (Back Account)</v>
      </c>
      <c r="B185" s="597" t="s">
        <v>140</v>
      </c>
      <c r="C185" s="625">
        <f t="array" ref="C185">INDEX(AccountCodes[PPSAS CODE],MATCH(B185,AccountCodes[NGAS CODE],0))</f>
        <v>4020199099</v>
      </c>
      <c r="D185" s="626">
        <f>IF(INDEX(AccountCodes[Normal Balance], MATCH(C185,AccountCodes[PPSAS CODE]))="Debit",E185-F185,0)</f>
        <v>0</v>
      </c>
      <c r="E185" s="626">
        <f>SUMIF(PostTB[Account Code (Old)],B185,(PostTB[Debit]))+SUMIF(CkDJ[Account Code],B185,(CkDJ[Debit]))+SUMIF(CsDJ[Account Code],B185,(CsDJ[Debit]))+SUMIF(CRDJ[Account Code],B185,(CRDJ[Debit]))+SUMIF(GJ[Account Code],B185,(GJ[Debit]))</f>
        <v>0</v>
      </c>
      <c r="F185" s="627">
        <f>SUMIF(PostTB[Account Code (Old)],B185,(PostTB[Credit]))+SUMIF(CkDJ[Account Code],B185,(CkDJ[Credit]))+SUMIF(CsDJ[Account Code],B185,(CsDJ[Credit]))+SUMIF(CRDJ[Account Code],B185,(CRDJ[Credit]))+SUMIF(GJ[Account Code],B185,(GJ[Credit]))</f>
        <v>0</v>
      </c>
      <c r="G185" s="627">
        <f>IF(INDEX(AccountCodes[Normal Balance], MATCH(C185,AccountCodes[PPSAS CODE]))="Credit",F185-E185,0)</f>
        <v>0</v>
      </c>
      <c r="H185" s="626">
        <f t="shared" si="2"/>
        <v>0</v>
      </c>
    </row>
    <row r="186" spans="1:8" ht="15.75" hidden="1">
      <c r="A186" s="623" t="str">
        <f t="array" ref="A186">INDEX(AccountCodes[ACCOUNT NAME],MATCH(B186,AccountCodes[NGAS CODE],0))</f>
        <v>Other Service Income - Pump Equity (Current Account)</v>
      </c>
      <c r="B186" s="597" t="s">
        <v>141</v>
      </c>
      <c r="C186" s="625">
        <f t="array" ref="C186">INDEX(AccountCodes[PPSAS CODE],MATCH(B186,AccountCodes[NGAS CODE],0))</f>
        <v>4020199099</v>
      </c>
      <c r="D186" s="626">
        <f>IF(INDEX(AccountCodes[Normal Balance], MATCH(C186,AccountCodes[PPSAS CODE]))="Debit",E186-F186,0)</f>
        <v>0</v>
      </c>
      <c r="E186" s="626">
        <f>SUMIF(PostTB[Account Code (Old)],B186,(PostTB[Debit]))+SUMIF(CkDJ[Account Code],B186,(CkDJ[Debit]))+SUMIF(CsDJ[Account Code],B186,(CsDJ[Debit]))+SUMIF(CRDJ[Account Code],B186,(CRDJ[Debit]))+SUMIF(GJ[Account Code],B186,(GJ[Debit]))</f>
        <v>0</v>
      </c>
      <c r="F186" s="627">
        <f>SUMIF(PostTB[Account Code (Old)],B186,(PostTB[Credit]))+SUMIF(CkDJ[Account Code],B186,(CkDJ[Credit]))+SUMIF(CsDJ[Account Code],B186,(CsDJ[Credit]))+SUMIF(CRDJ[Account Code],B186,(CRDJ[Credit]))+SUMIF(GJ[Account Code],B186,(GJ[Credit]))</f>
        <v>0</v>
      </c>
      <c r="G186" s="627">
        <f>IF(INDEX(AccountCodes[Normal Balance], MATCH(C186,AccountCodes[PPSAS CODE]))="Credit",F186-E186,0)</f>
        <v>0</v>
      </c>
      <c r="H186" s="626">
        <f t="shared" si="2"/>
        <v>0</v>
      </c>
    </row>
    <row r="187" spans="1:8" ht="15.75" hidden="1">
      <c r="A187" s="623" t="str">
        <f t="array" ref="A187">INDEX(AccountCodes[ACCOUNT NAME],MATCH(B187,AccountCodes[NGAS CODE],0))</f>
        <v>Other Service Income - Pump Equity (Back Account)</v>
      </c>
      <c r="B187" s="597" t="s">
        <v>142</v>
      </c>
      <c r="C187" s="625">
        <f t="array" ref="C187">INDEX(AccountCodes[PPSAS CODE],MATCH(B187,AccountCodes[NGAS CODE],0))</f>
        <v>4020199099</v>
      </c>
      <c r="D187" s="626">
        <f>IF(INDEX(AccountCodes[Normal Balance], MATCH(C187,AccountCodes[PPSAS CODE]))="Debit",E187-F187,0)</f>
        <v>0</v>
      </c>
      <c r="E187" s="626">
        <f>SUMIF(PostTB[Account Code (Old)],B187,(PostTB[Debit]))+SUMIF(CkDJ[Account Code],B187,(CkDJ[Debit]))+SUMIF(CsDJ[Account Code],B187,(CsDJ[Debit]))+SUMIF(CRDJ[Account Code],B187,(CRDJ[Debit]))+SUMIF(GJ[Account Code],B187,(GJ[Debit]))</f>
        <v>0</v>
      </c>
      <c r="F187" s="627">
        <f>SUMIF(PostTB[Account Code (Old)],B187,(PostTB[Credit]))+SUMIF(CkDJ[Account Code],B187,(CkDJ[Credit]))+SUMIF(CsDJ[Account Code],B187,(CsDJ[Credit]))+SUMIF(CRDJ[Account Code],B187,(CRDJ[Credit]))+SUMIF(GJ[Account Code],B187,(GJ[Credit]))</f>
        <v>0</v>
      </c>
      <c r="G187" s="627">
        <f>IF(INDEX(AccountCodes[Normal Balance], MATCH(C187,AccountCodes[PPSAS CODE]))="Credit",F187-E187,0)</f>
        <v>0</v>
      </c>
      <c r="H187" s="626">
        <f t="shared" si="2"/>
        <v>0</v>
      </c>
    </row>
    <row r="188" spans="1:8" ht="15.75" hidden="1">
      <c r="A188" s="623" t="str">
        <f t="array" ref="A188">INDEX(AccountCodes[ACCOUNT NAME],MATCH(B188,AccountCodes[NGAS CODE],0))</f>
        <v>Equipment Rental</v>
      </c>
      <c r="B188" s="597" t="s">
        <v>1540</v>
      </c>
      <c r="C188" s="625">
        <f t="array" ref="C188">INDEX(AccountCodes[PPSAS CODE],MATCH(B188,AccountCodes[NGAS CODE],0))</f>
        <v>4020205000</v>
      </c>
      <c r="D188" s="626">
        <f>IF(INDEX(AccountCodes[Normal Balance], MATCH(C188,AccountCodes[PPSAS CODE]))="Debit",E188-F188,0)</f>
        <v>0</v>
      </c>
      <c r="E188" s="626">
        <f>SUMIF(PostTB[Account Code (Old)],B188,(PostTB[Debit]))+SUMIF(CkDJ[Account Code],B188,(CkDJ[Debit]))+SUMIF(CsDJ[Account Code],B188,(CsDJ[Debit]))+SUMIF(CRDJ[Account Code],B188,(CRDJ[Debit]))+SUMIF(GJ[Account Code],B188,(GJ[Debit]))</f>
        <v>0</v>
      </c>
      <c r="F188" s="627">
        <f>SUMIF(PostTB[Account Code (Old)],B188,(PostTB[Credit]))+SUMIF(CkDJ[Account Code],B188,(CkDJ[Credit]))+SUMIF(CsDJ[Account Code],B188,(CsDJ[Credit]))+SUMIF(CRDJ[Account Code],B188,(CRDJ[Credit]))+SUMIF(GJ[Account Code],B188,(GJ[Credit]))</f>
        <v>0</v>
      </c>
      <c r="G188" s="627">
        <f>IF(INDEX(AccountCodes[Normal Balance], MATCH(C188,AccountCodes[PPSAS CODE]))="Credit",F188-E188,0)</f>
        <v>0</v>
      </c>
      <c r="H188" s="626">
        <f>IF(D188=0,G188,D188)</f>
        <v>0</v>
      </c>
    </row>
    <row r="189" spans="1:8" ht="15.75" hidden="1">
      <c r="A189" s="623" t="str">
        <f t="array" ref="A189">INDEX(AccountCodes[ACCOUNT NAME],MATCH(B189,AccountCodes[NGAS CODE],0))</f>
        <v>Equipment Rental - Internal (CA)</v>
      </c>
      <c r="B189" s="597" t="s">
        <v>146</v>
      </c>
      <c r="C189" s="625">
        <f t="array" ref="C189">INDEX(AccountCodes[PPSAS CODE],MATCH(B189,AccountCodes[NGAS CODE],0))</f>
        <v>4020205001</v>
      </c>
      <c r="D189" s="626">
        <f>IF(INDEX(AccountCodes[Normal Balance], MATCH(C189,AccountCodes[PPSAS CODE]))="Debit",E189-F189,0)</f>
        <v>0</v>
      </c>
      <c r="E189" s="626">
        <f>SUMIF(PostTB[Account Code (Old)],B189,(PostTB[Debit]))+SUMIF(CkDJ[Account Code],B189,(CkDJ[Debit]))+SUMIF(CsDJ[Account Code],B189,(CsDJ[Debit]))+SUMIF(CRDJ[Account Code],B189,(CRDJ[Debit]))+SUMIF(GJ[Account Code],B189,(GJ[Debit]))</f>
        <v>0</v>
      </c>
      <c r="F189" s="627">
        <f>SUMIF(PostTB[Account Code (Old)],B189,(PostTB[Credit]))+SUMIF(CkDJ[Account Code],B189,(CkDJ[Credit]))+SUMIF(CsDJ[Account Code],B189,(CsDJ[Credit]))+SUMIF(CRDJ[Account Code],B189,(CRDJ[Credit]))+SUMIF(GJ[Account Code],B189,(GJ[Credit]))</f>
        <v>0</v>
      </c>
      <c r="G189" s="627">
        <f>IF(INDEX(AccountCodes[Normal Balance], MATCH(C189,AccountCodes[PPSAS CODE]))="Credit",F189-E189,0)</f>
        <v>0</v>
      </c>
      <c r="H189" s="626">
        <f t="shared" si="2"/>
        <v>0</v>
      </c>
    </row>
    <row r="190" spans="1:8" ht="15.75" hidden="1">
      <c r="A190" s="623" t="str">
        <f t="array" ref="A190">INDEX(AccountCodes[ACCOUNT NAME],MATCH(B190,AccountCodes[NGAS CODE],0))</f>
        <v>Equipment Rental - External (CA)</v>
      </c>
      <c r="B190" s="597" t="s">
        <v>147</v>
      </c>
      <c r="C190" s="625">
        <f t="array" ref="C190">INDEX(AccountCodes[PPSAS CODE],MATCH(B190,AccountCodes[NGAS CODE],0))</f>
        <v>4020205002</v>
      </c>
      <c r="D190" s="626">
        <f>IF(INDEX(AccountCodes[Normal Balance], MATCH(C190,AccountCodes[PPSAS CODE]))="Debit",E190-F190,0)</f>
        <v>0</v>
      </c>
      <c r="E190" s="626">
        <f>SUMIF(PostTB[Account Code (Old)],B190,(PostTB[Debit]))+SUMIF(CkDJ[Account Code],B190,(CkDJ[Debit]))+SUMIF(CsDJ[Account Code],B190,(CsDJ[Debit]))+SUMIF(CRDJ[Account Code],B190,(CRDJ[Debit]))+SUMIF(GJ[Account Code],B190,(GJ[Debit]))</f>
        <v>0</v>
      </c>
      <c r="F190" s="627">
        <f>SUMIF(PostTB[Account Code (Old)],B190,(PostTB[Credit]))+SUMIF(CkDJ[Account Code],B190,(CkDJ[Credit]))+SUMIF(CsDJ[Account Code],B190,(CsDJ[Credit]))+SUMIF(CRDJ[Account Code],B190,(CRDJ[Credit]))+SUMIF(GJ[Account Code],B190,(GJ[Credit]))</f>
        <v>0</v>
      </c>
      <c r="G190" s="627">
        <f>IF(INDEX(AccountCodes[Normal Balance], MATCH(C190,AccountCodes[PPSAS CODE]))="Credit",F190-E190,0)</f>
        <v>0</v>
      </c>
      <c r="H190" s="626">
        <f t="shared" si="2"/>
        <v>0</v>
      </c>
    </row>
    <row r="191" spans="1:8" ht="15.75" hidden="1">
      <c r="A191" s="623" t="str">
        <f t="array" ref="A191">INDEX(AccountCodes[ACCOUNT NAME],MATCH(B191,AccountCodes[NGAS CODE],0))</f>
        <v>Equipment Rental - Internal (BA)</v>
      </c>
      <c r="B191" s="597" t="s">
        <v>148</v>
      </c>
      <c r="C191" s="625">
        <f t="array" ref="C191">INDEX(AccountCodes[PPSAS CODE],MATCH(B191,AccountCodes[NGAS CODE],0))</f>
        <v>4020205003</v>
      </c>
      <c r="D191" s="626">
        <f>IF(INDEX(AccountCodes[Normal Balance], MATCH(C191,AccountCodes[PPSAS CODE]))="Debit",E191-F191,0)</f>
        <v>0</v>
      </c>
      <c r="E191" s="626">
        <f>SUMIF(PostTB[Account Code (Old)],B191,(PostTB[Debit]))+SUMIF(CkDJ[Account Code],B191,(CkDJ[Debit]))+SUMIF(CsDJ[Account Code],B191,(CsDJ[Debit]))+SUMIF(CRDJ[Account Code],B191,(CRDJ[Debit]))+SUMIF(GJ[Account Code],B191,(GJ[Debit]))</f>
        <v>0</v>
      </c>
      <c r="F191" s="627">
        <f>SUMIF(PostTB[Account Code (Old)],B191,(PostTB[Credit]))+SUMIF(CkDJ[Account Code],B191,(CkDJ[Credit]))+SUMIF(CsDJ[Account Code],B191,(CsDJ[Credit]))+SUMIF(CRDJ[Account Code],B191,(CRDJ[Credit]))+SUMIF(GJ[Account Code],B191,(GJ[Credit]))</f>
        <v>0</v>
      </c>
      <c r="G191" s="627">
        <f>IF(INDEX(AccountCodes[Normal Balance], MATCH(C191,AccountCodes[PPSAS CODE]))="Credit",F191-E191,0)</f>
        <v>0</v>
      </c>
      <c r="H191" s="626">
        <f t="shared" si="2"/>
        <v>0</v>
      </c>
    </row>
    <row r="192" spans="1:8" ht="15.75" hidden="1">
      <c r="A192" s="623" t="str">
        <f t="array" ref="A192">INDEX(AccountCodes[ACCOUNT NAME],MATCH(B192,AccountCodes[NGAS CODE],0))</f>
        <v>Equipment Rental - External (BA)</v>
      </c>
      <c r="B192" s="597" t="s">
        <v>149</v>
      </c>
      <c r="C192" s="625">
        <f t="array" ref="C192">INDEX(AccountCodes[PPSAS CODE],MATCH(B192,AccountCodes[NGAS CODE],0))</f>
        <v>4020205004</v>
      </c>
      <c r="D192" s="626">
        <f>IF(INDEX(AccountCodes[Normal Balance], MATCH(C192,AccountCodes[PPSAS CODE]))="Debit",E192-F192,0)</f>
        <v>0</v>
      </c>
      <c r="E192" s="626">
        <f>SUMIF(PostTB[Account Code (Old)],B192,(PostTB[Debit]))+SUMIF(CkDJ[Account Code],B192,(CkDJ[Debit]))+SUMIF(CsDJ[Account Code],B192,(CsDJ[Debit]))+SUMIF(CRDJ[Account Code],B192,(CRDJ[Debit]))+SUMIF(GJ[Account Code],B192,(GJ[Debit]))</f>
        <v>0</v>
      </c>
      <c r="F192" s="627">
        <f>SUMIF(PostTB[Account Code (Old)],B192,(PostTB[Credit]))+SUMIF(CkDJ[Account Code],B192,(CkDJ[Credit]))+SUMIF(CsDJ[Account Code],B192,(CsDJ[Credit]))+SUMIF(CRDJ[Account Code],B192,(CRDJ[Credit]))+SUMIF(GJ[Account Code],B192,(GJ[Credit]))</f>
        <v>0</v>
      </c>
      <c r="G192" s="627">
        <f>IF(INDEX(AccountCodes[Normal Balance], MATCH(C192,AccountCodes[PPSAS CODE]))="Credit",F192-E192,0)</f>
        <v>0</v>
      </c>
      <c r="H192" s="626">
        <f t="shared" si="2"/>
        <v>0</v>
      </c>
    </row>
    <row r="193" spans="1:8" ht="15.75" hidden="1">
      <c r="A193" s="623" t="str">
        <f t="array" ref="A193">INDEX(AccountCodes[ACCOUNT NAME],MATCH(B193,AccountCodes[NGAS CODE],0))</f>
        <v>Income from Hostels/Dormitories and Other Like Facilities</v>
      </c>
      <c r="B193" s="597" t="s">
        <v>150</v>
      </c>
      <c r="C193" s="625">
        <f t="array" ref="C193">INDEX(AccountCodes[PPSAS CODE],MATCH(B193,AccountCodes[NGAS CODE],0))</f>
        <v>4020213000</v>
      </c>
      <c r="D193" s="626">
        <f>IF(INDEX(AccountCodes[Normal Balance], MATCH(C193,AccountCodes[PPSAS CODE]))="Debit",E193-F193,0)</f>
        <v>0</v>
      </c>
      <c r="E193" s="626">
        <f>SUMIF(PostTB[Account Code (Old)],B193,(PostTB[Debit]))+SUMIF(CkDJ[Account Code],B193,(CkDJ[Debit]))+SUMIF(CsDJ[Account Code],B193,(CsDJ[Debit]))+SUMIF(CRDJ[Account Code],B193,(CRDJ[Debit]))+SUMIF(GJ[Account Code],B193,(GJ[Debit]))</f>
        <v>0</v>
      </c>
      <c r="F193" s="627">
        <f>SUMIF(PostTB[Account Code (Old)],B193,(PostTB[Credit]))+SUMIF(CkDJ[Account Code],B193,(CkDJ[Credit]))+SUMIF(CsDJ[Account Code],B193,(CsDJ[Credit]))+SUMIF(CRDJ[Account Code],B193,(CRDJ[Credit]))+SUMIF(GJ[Account Code],B193,(GJ[Credit]))</f>
        <v>0</v>
      </c>
      <c r="G193" s="627">
        <f>IF(INDEX(AccountCodes[Normal Balance], MATCH(C193,AccountCodes[PPSAS CODE]))="Credit",F193-E193,0)</f>
        <v>0</v>
      </c>
      <c r="H193" s="626">
        <f t="shared" si="2"/>
        <v>0</v>
      </c>
    </row>
    <row r="194" spans="1:8" ht="15.75" hidden="1">
      <c r="A194" s="623" t="str">
        <f t="array" ref="A194">INDEX(AccountCodes[ACCOUNT NAME],MATCH(B194,AccountCodes[NGAS CODE],0))</f>
        <v>Interest Income</v>
      </c>
      <c r="B194" s="597" t="s">
        <v>154</v>
      </c>
      <c r="C194" s="625">
        <f t="array" ref="C194">INDEX(AccountCodes[PPSAS CODE],MATCH(B194,AccountCodes[NGAS CODE],0))</f>
        <v>4020221000</v>
      </c>
      <c r="D194" s="626">
        <f>IF(INDEX(AccountCodes[Normal Balance], MATCH(C194,AccountCodes[PPSAS CODE]))="Debit",E194-F194,0)</f>
        <v>0</v>
      </c>
      <c r="E194" s="626">
        <f>SUMIF(PostTB[Account Code (Old)],B194,(PostTB[Debit]))+SUMIF(CkDJ[Account Code],B194,(CkDJ[Debit]))+SUMIF(CsDJ[Account Code],B194,(CsDJ[Debit]))+SUMIF(CRDJ[Account Code],B194,(CRDJ[Debit]))+SUMIF(GJ[Account Code],B194,(GJ[Debit]))</f>
        <v>0</v>
      </c>
      <c r="F194" s="627">
        <f>SUMIF(PostTB[Account Code (Old)],B194,(PostTB[Credit]))+SUMIF(CkDJ[Account Code],B194,(CkDJ[Credit]))+SUMIF(CsDJ[Account Code],B194,(CsDJ[Credit]))+SUMIF(CRDJ[Account Code],B194,(CRDJ[Credit]))+SUMIF(GJ[Account Code],B194,(GJ[Credit]))</f>
        <v>0</v>
      </c>
      <c r="G194" s="627">
        <f>IF(INDEX(AccountCodes[Normal Balance], MATCH(C194,AccountCodes[PPSAS CODE]))="Credit",F194-E194,0)</f>
        <v>0</v>
      </c>
      <c r="H194" s="626">
        <f t="shared" si="2"/>
        <v>0</v>
      </c>
    </row>
    <row r="195" spans="1:8" ht="15.75" hidden="1">
      <c r="A195" s="623" t="str">
        <f t="array" ref="A195">INDEX(AccountCodes[ACCOUNT NAME],MATCH(B195,AccountCodes[NGAS CODE],0))</f>
        <v>Fines and Penalties-Irrigation Service Fee</v>
      </c>
      <c r="B195" s="597" t="s">
        <v>143</v>
      </c>
      <c r="C195" s="625">
        <f t="array" ref="C195">INDEX(AccountCodes[PPSAS CODE],MATCH(B195,AccountCodes[NGAS CODE],0))</f>
        <v>4020223000</v>
      </c>
      <c r="D195" s="626">
        <f>IF(INDEX(AccountCodes[Normal Balance], MATCH(C195,AccountCodes[PPSAS CODE]))="Debit",E195-F195,0)</f>
        <v>0</v>
      </c>
      <c r="E195" s="626">
        <f>SUMIF(PostTB[Account Code (Old)],B195,(PostTB[Debit]))+SUMIF(CkDJ[Account Code],B195,(CkDJ[Debit]))+SUMIF(CsDJ[Account Code],B195,(CsDJ[Debit]))+SUMIF(CRDJ[Account Code],B195,(CRDJ[Debit]))+SUMIF(GJ[Account Code],B195,(GJ[Debit]))</f>
        <v>0</v>
      </c>
      <c r="F195" s="627">
        <f>SUMIF(PostTB[Account Code (Old)],B195,(PostTB[Credit]))+SUMIF(CkDJ[Account Code],B195,(CkDJ[Credit]))+SUMIF(CsDJ[Account Code],B195,(CsDJ[Credit]))+SUMIF(CRDJ[Account Code],B195,(CRDJ[Credit]))+SUMIF(GJ[Account Code],B195,(GJ[Credit]))</f>
        <v>0</v>
      </c>
      <c r="G195" s="627">
        <f>IF(INDEX(AccountCodes[Normal Balance], MATCH(C195,AccountCodes[PPSAS CODE]))="Credit",F195-E195,0)</f>
        <v>0</v>
      </c>
      <c r="H195" s="626">
        <f t="shared" si="2"/>
        <v>0</v>
      </c>
    </row>
    <row r="196" spans="1:8" ht="15.75" hidden="1">
      <c r="A196" s="623" t="str">
        <f t="array" ref="A196">INDEX(AccountCodes[ACCOUNT NAME],MATCH(B196,AccountCodes[NGAS CODE],0))</f>
        <v>Subsidy from National Government</v>
      </c>
      <c r="B196" s="597" t="s">
        <v>151</v>
      </c>
      <c r="C196" s="625">
        <f t="array" ref="C196">INDEX(AccountCodes[PPSAS CODE],MATCH(B196,AccountCodes[NGAS CODE],0))</f>
        <v>4030101000</v>
      </c>
      <c r="D196" s="626">
        <f>IF(INDEX(AccountCodes[Normal Balance], MATCH(C196,AccountCodes[PPSAS CODE]))="Debit",E196-F196,0)</f>
        <v>0</v>
      </c>
      <c r="E196" s="626">
        <f>SUMIF(PostTB[Account Code (Old)],B196,(PostTB[Debit]))+SUMIF(CkDJ[Account Code],B196,(CkDJ[Debit]))+SUMIF(CsDJ[Account Code],B196,(CsDJ[Debit]))+SUMIF(CRDJ[Account Code],B196,(CRDJ[Debit]))+SUMIF(GJ[Account Code],B196,(GJ[Debit]))</f>
        <v>0</v>
      </c>
      <c r="F196" s="627">
        <f>SUMIF(PostTB[Account Code (Old)],B196,(PostTB[Credit]))+SUMIF(CkDJ[Account Code],B196,(CkDJ[Credit]))+SUMIF(CsDJ[Account Code],B196,(CsDJ[Credit]))+SUMIF(CRDJ[Account Code],B196,(CRDJ[Credit]))+SUMIF(GJ[Account Code],B196,(GJ[Credit]))</f>
        <v>0</v>
      </c>
      <c r="G196" s="627">
        <f>IF(INDEX(AccountCodes[Normal Balance], MATCH(C196,AccountCodes[PPSAS CODE]))="Credit",F196-E196,0)</f>
        <v>0</v>
      </c>
      <c r="H196" s="626">
        <f t="shared" si="2"/>
        <v>0</v>
      </c>
    </row>
    <row r="197" spans="1:8" ht="15.75" hidden="1">
      <c r="A197" s="623" t="str">
        <f t="array" ref="A197">INDEX(AccountCodes[ACCOUNT NAME],MATCH(B197,AccountCodes[NGAS CODE],0))</f>
        <v>Assistance from Local Government Units</v>
      </c>
      <c r="B197" s="597" t="s">
        <v>1230</v>
      </c>
      <c r="C197" s="625">
        <f t="array" ref="C197">INDEX(AccountCodes[PPSAS CODE],MATCH(B197,AccountCodes[NGAS CODE],0))</f>
        <v>4030103000</v>
      </c>
      <c r="D197" s="626">
        <f>IF(INDEX(AccountCodes[Normal Balance], MATCH(C197,AccountCodes[PPSAS CODE]))="Debit",E197-F197,0)</f>
        <v>0</v>
      </c>
      <c r="E197" s="626">
        <f>SUMIF(PostTB[Account Code (Old)],B197,(PostTB[Debit]))+SUMIF(CkDJ[Account Code],B197,(CkDJ[Debit]))+SUMIF(CsDJ[Account Code],B197,(CsDJ[Debit]))+SUMIF(CRDJ[Account Code],B197,(CRDJ[Debit]))+SUMIF(GJ[Account Code],B197,(GJ[Debit]))</f>
        <v>0</v>
      </c>
      <c r="F197" s="627">
        <f>SUMIF(PostTB[Account Code (Old)],B197,(PostTB[Credit]))+SUMIF(CkDJ[Account Code],B197,(CkDJ[Credit]))+SUMIF(CsDJ[Account Code],B197,(CsDJ[Credit]))+SUMIF(CRDJ[Account Code],B197,(CRDJ[Credit]))+SUMIF(GJ[Account Code],B197,(GJ[Credit]))</f>
        <v>0</v>
      </c>
      <c r="G197" s="627">
        <f>IF(INDEX(AccountCodes[Normal Balance], MATCH(C197,AccountCodes[PPSAS CODE]))="Credit",F197-E197,0)</f>
        <v>0</v>
      </c>
      <c r="H197" s="626">
        <f t="shared" si="2"/>
        <v>0</v>
      </c>
    </row>
    <row r="198" spans="1:8" ht="15.75" hidden="1">
      <c r="A198" s="623" t="str">
        <f t="array" ref="A198">INDEX(AccountCodes[ACCOUNT NAME],MATCH(B198,AccountCodes[NGAS CODE],0))</f>
        <v>Subsidy from Other Funds</v>
      </c>
      <c r="B198" s="597" t="s">
        <v>1232</v>
      </c>
      <c r="C198" s="625">
        <f t="array" ref="C198">INDEX(AccountCodes[PPSAS CODE],MATCH(B198,AccountCodes[NGAS CODE],0))</f>
        <v>4030105000</v>
      </c>
      <c r="D198" s="626">
        <f>IF(INDEX(AccountCodes[Normal Balance], MATCH(C198,AccountCodes[PPSAS CODE]))="Debit",E198-F198,0)</f>
        <v>0</v>
      </c>
      <c r="E198" s="626">
        <f>SUMIF(PostTB[Account Code (Old)],B198,(PostTB[Debit]))+SUMIF(CkDJ[Account Code],B198,(CkDJ[Debit]))+SUMIF(CsDJ[Account Code],B198,(CsDJ[Debit]))+SUMIF(CRDJ[Account Code],B198,(CRDJ[Debit]))+SUMIF(GJ[Account Code],B198,(GJ[Debit]))</f>
        <v>0</v>
      </c>
      <c r="F198" s="627">
        <f>SUMIF(PostTB[Account Code (Old)],B198,(PostTB[Credit]))+SUMIF(CkDJ[Account Code],B198,(CkDJ[Credit]))+SUMIF(CsDJ[Account Code],B198,(CsDJ[Credit]))+SUMIF(CRDJ[Account Code],B198,(CRDJ[Credit]))+SUMIF(GJ[Account Code],B198,(GJ[Credit]))</f>
        <v>0</v>
      </c>
      <c r="G198" s="627">
        <f>IF(INDEX(AccountCodes[Normal Balance], MATCH(C198,AccountCodes[PPSAS CODE]))="Credit",F198-E198,0)</f>
        <v>0</v>
      </c>
      <c r="H198" s="626">
        <f t="shared" ref="H198:H261" si="3">IF(D198=0,G198,D198)</f>
        <v>0</v>
      </c>
    </row>
    <row r="199" spans="1:8" ht="15.75">
      <c r="A199" s="623" t="str">
        <f t="array" ref="A199">INDEX(AccountCodes[ACCOUNT NAME],MATCH(B199,AccountCodes[NGAS CODE],0))</f>
        <v>Subsidy from Central Office</v>
      </c>
      <c r="B199" s="597" t="s">
        <v>152</v>
      </c>
      <c r="C199" s="625">
        <f t="array" ref="C199">INDEX(AccountCodes[PPSAS CODE],MATCH(B199,AccountCodes[NGAS CODE],0))</f>
        <v>4030106000</v>
      </c>
      <c r="D199" s="626">
        <f>IF(INDEX(AccountCodes[Normal Balance], MATCH(C199,AccountCodes[PPSAS CODE]))="Debit",E199-F199,0)</f>
        <v>0</v>
      </c>
      <c r="E199" s="626">
        <f>SUMIF(PostTB[Account Code (Old)],B199,(PostTB[Debit]))+SUMIF(CkDJ[Account Code],B199,(CkDJ[Debit]))+SUMIF(CsDJ[Account Code],B199,(CsDJ[Debit]))+SUMIF(CRDJ[Account Code],B199,(CRDJ[Debit]))+SUMIF(GJ[Account Code],B199,(GJ[Debit]))</f>
        <v>0</v>
      </c>
      <c r="F199" s="627">
        <f>SUMIF(PostTB[Account Code (Old)],B199,(PostTB[Credit]))+SUMIF(CkDJ[Account Code],B199,(CkDJ[Credit]))+SUMIF(CsDJ[Account Code],B199,(CsDJ[Credit]))+SUMIF(CRDJ[Account Code],B199,(CRDJ[Credit]))+SUMIF(GJ[Account Code],B199,(GJ[Credit]))</f>
        <v>53049726.840000004</v>
      </c>
      <c r="G199" s="627">
        <f>IF(INDEX(AccountCodes[Normal Balance], MATCH(C199,AccountCodes[PPSAS CODE]))="Credit",F199-E199,0)</f>
        <v>53049726.840000004</v>
      </c>
      <c r="H199" s="626">
        <f t="shared" si="3"/>
        <v>53049726.840000004</v>
      </c>
    </row>
    <row r="200" spans="1:8" ht="15.75" hidden="1">
      <c r="A200" s="623" t="str">
        <f t="array" ref="A200">INDEX(AccountCodes[ACCOUNT NAME],MATCH(B200,AccountCodes[NGAS CODE],0))</f>
        <v>Subsidy from Regional Office/Staff Bureau</v>
      </c>
      <c r="B200" s="597" t="s">
        <v>1231</v>
      </c>
      <c r="C200" s="625">
        <f t="array" ref="C200">INDEX(AccountCodes[PPSAS CODE],MATCH(B200,AccountCodes[NGAS CODE],0))</f>
        <v>4030107000</v>
      </c>
      <c r="D200" s="626">
        <f>IF(INDEX(AccountCodes[Normal Balance], MATCH(C200,AccountCodes[PPSAS CODE]))="Debit",E200-F200,0)</f>
        <v>0</v>
      </c>
      <c r="E200" s="626">
        <f>SUMIF(PostTB[Account Code (Old)],B200,(PostTB[Debit]))+SUMIF(CkDJ[Account Code],B200,(CkDJ[Debit]))+SUMIF(CsDJ[Account Code],B200,(CsDJ[Debit]))+SUMIF(CRDJ[Account Code],B200,(CRDJ[Debit]))+SUMIF(GJ[Account Code],B200,(GJ[Debit]))</f>
        <v>0</v>
      </c>
      <c r="F200" s="627">
        <f>SUMIF(PostTB[Account Code (Old)],B200,(PostTB[Credit]))+SUMIF(CkDJ[Account Code],B200,(CkDJ[Credit]))+SUMIF(CsDJ[Account Code],B200,(CsDJ[Credit]))+SUMIF(CRDJ[Account Code],B200,(CRDJ[Credit]))+SUMIF(GJ[Account Code],B200,(GJ[Credit]))</f>
        <v>0</v>
      </c>
      <c r="G200" s="627">
        <f>IF(INDEX(AccountCodes[Normal Balance], MATCH(C200,AccountCodes[PPSAS CODE]))="Credit",F200-E200,0)</f>
        <v>0</v>
      </c>
      <c r="H200" s="626">
        <f t="shared" si="3"/>
        <v>0</v>
      </c>
    </row>
    <row r="201" spans="1:8" ht="15.75" hidden="1">
      <c r="A201" s="623" t="str">
        <f t="array" ref="A201">INDEX(AccountCodes[ACCOUNT NAME],MATCH(B201,AccountCodes[NGAS CODE],0))</f>
        <v>Sale of Unserviceable Property</v>
      </c>
      <c r="B201" s="597" t="s">
        <v>156</v>
      </c>
      <c r="C201" s="625">
        <f t="array" ref="C201">INDEX(AccountCodes[PPSAS CODE],MATCH(B201,AccountCodes[NGAS CODE],0))</f>
        <v>4060102000</v>
      </c>
      <c r="D201" s="626">
        <f>IF(INDEX(AccountCodes[Normal Balance], MATCH(C201,AccountCodes[PPSAS CODE]))="Debit",E201-F201,0)</f>
        <v>0</v>
      </c>
      <c r="E201" s="626">
        <f>SUMIF(PostTB[Account Code (Old)],B201,(PostTB[Debit]))+SUMIF(CkDJ[Account Code],B201,(CkDJ[Debit]))+SUMIF(CsDJ[Account Code],B201,(CsDJ[Debit]))+SUMIF(CRDJ[Account Code],B201,(CRDJ[Debit]))+SUMIF(GJ[Account Code],B201,(GJ[Debit]))</f>
        <v>0</v>
      </c>
      <c r="F201" s="627">
        <f>SUMIF(PostTB[Account Code (Old)],B201,(PostTB[Credit]))+SUMIF(CkDJ[Account Code],B201,(CkDJ[Credit]))+SUMIF(CsDJ[Account Code],B201,(CsDJ[Credit]))+SUMIF(CRDJ[Account Code],B201,(CRDJ[Credit]))+SUMIF(GJ[Account Code],B201,(GJ[Credit]))</f>
        <v>0</v>
      </c>
      <c r="G201" s="627">
        <f>IF(INDEX(AccountCodes[Normal Balance], MATCH(C201,AccountCodes[PPSAS CODE]))="Credit",F201-E201,0)</f>
        <v>0</v>
      </c>
      <c r="H201" s="626">
        <f t="shared" si="3"/>
        <v>0</v>
      </c>
    </row>
    <row r="202" spans="1:8" ht="15.75" hidden="1">
      <c r="A202" s="623" t="str">
        <f t="array" ref="A202">INDEX(AccountCodes[ACCOUNT NAME],MATCH(B202,AccountCodes[NGAS CODE],0))</f>
        <v>Miscellaneous Income (Bid Documents)</v>
      </c>
      <c r="B202" s="597" t="s">
        <v>155</v>
      </c>
      <c r="C202" s="625">
        <f t="array" ref="C202">INDEX(AccountCodes[PPSAS CODE],MATCH(B202,AccountCodes[NGAS CODE],0))</f>
        <v>4060999000</v>
      </c>
      <c r="D202" s="626">
        <f>IF(INDEX(AccountCodes[Normal Balance], MATCH(C202,AccountCodes[PPSAS CODE]))="Debit",E202-F202,0)</f>
        <v>0</v>
      </c>
      <c r="E202" s="626">
        <f>SUMIF(PostTB[Account Code (Old)],B202,(PostTB[Debit]))+SUMIF(CkDJ[Account Code],B202,(CkDJ[Debit]))+SUMIF(CsDJ[Account Code],B202,(CsDJ[Debit]))+SUMIF(CRDJ[Account Code],B202,(CRDJ[Debit]))+SUMIF(GJ[Account Code],B202,(GJ[Debit]))</f>
        <v>0</v>
      </c>
      <c r="F202" s="627">
        <f>SUMIF(PostTB[Account Code (Old)],B202,(PostTB[Credit]))+SUMIF(CkDJ[Account Code],B202,(CkDJ[Credit]))+SUMIF(CsDJ[Account Code],B202,(CsDJ[Credit]))+SUMIF(CRDJ[Account Code],B202,(CRDJ[Credit]))+SUMIF(GJ[Account Code],B202,(GJ[Credit]))</f>
        <v>0</v>
      </c>
      <c r="G202" s="627">
        <f>IF(INDEX(AccountCodes[Normal Balance], MATCH(C202,AccountCodes[PPSAS CODE]))="Credit",F202-E202,0)</f>
        <v>0</v>
      </c>
      <c r="H202" s="626">
        <f t="shared" si="3"/>
        <v>0</v>
      </c>
    </row>
    <row r="203" spans="1:8" ht="15.75" hidden="1">
      <c r="A203" s="623" t="str">
        <f t="array" ref="A203">INDEX(AccountCodes[ACCOUNT NAME],MATCH(B203,AccountCodes[NGAS CODE],0))</f>
        <v>Miscellaneous Income (Scrap of Fixed Assets)</v>
      </c>
      <c r="B203" s="597" t="s">
        <v>159</v>
      </c>
      <c r="C203" s="625">
        <f t="array" ref="C203">INDEX(AccountCodes[PPSAS CODE],MATCH(B203,AccountCodes[NGAS CODE],0))</f>
        <v>4060999000</v>
      </c>
      <c r="D203" s="626">
        <f>IF(INDEX(AccountCodes[Normal Balance], MATCH(C203,AccountCodes[PPSAS CODE]))="Debit",E203-F203,0)</f>
        <v>0</v>
      </c>
      <c r="E203" s="626">
        <f>SUMIF(PostTB[Account Code (Old)],B203,(PostTB[Debit]))+SUMIF(CkDJ[Account Code],B203,(CkDJ[Debit]))+SUMIF(CsDJ[Account Code],B203,(CsDJ[Debit]))+SUMIF(CRDJ[Account Code],B203,(CRDJ[Debit]))+SUMIF(GJ[Account Code],B203,(GJ[Debit]))</f>
        <v>0</v>
      </c>
      <c r="F203" s="627">
        <f>SUMIF(PostTB[Account Code (Old)],B203,(PostTB[Credit]))+SUMIF(CkDJ[Account Code],B203,(CkDJ[Credit]))+SUMIF(CsDJ[Account Code],B203,(CsDJ[Credit]))+SUMIF(CRDJ[Account Code],B203,(CRDJ[Credit]))+SUMIF(GJ[Account Code],B203,(GJ[Credit]))</f>
        <v>0</v>
      </c>
      <c r="G203" s="627">
        <f>IF(INDEX(AccountCodes[Normal Balance], MATCH(C203,AccountCodes[PPSAS CODE]))="Credit",F203-E203,0)</f>
        <v>0</v>
      </c>
      <c r="H203" s="626">
        <f>IF(D203=0,G203,D203)</f>
        <v>0</v>
      </c>
    </row>
    <row r="204" spans="1:8" ht="15.75" hidden="1">
      <c r="A204" s="623" t="str">
        <f t="array" ref="A204">INDEX(AccountCodes[ACCOUNT NAME],MATCH(B204,AccountCodes[NGAS CODE],0))</f>
        <v>Miscellaneous Income (Others)</v>
      </c>
      <c r="B204" s="597" t="s">
        <v>160</v>
      </c>
      <c r="C204" s="625">
        <f t="array" ref="C204">INDEX(AccountCodes[PPSAS CODE],MATCH(B204,AccountCodes[NGAS CODE],0))</f>
        <v>4060999000</v>
      </c>
      <c r="D204" s="626">
        <f>IF(INDEX(AccountCodes[Normal Balance], MATCH(C204,AccountCodes[PPSAS CODE]))="Debit",E204-F204,0)</f>
        <v>0</v>
      </c>
      <c r="E204" s="626">
        <f>SUMIF(PostTB[Account Code (Old)],B204,(PostTB[Debit]))+SUMIF(CkDJ[Account Code],B204,(CkDJ[Debit]))+SUMIF(CsDJ[Account Code],B204,(CsDJ[Debit]))+SUMIF(CRDJ[Account Code],B204,(CRDJ[Debit]))+SUMIF(GJ[Account Code],B204,(GJ[Debit]))</f>
        <v>0</v>
      </c>
      <c r="F204" s="627">
        <f>SUMIF(PostTB[Account Code (Old)],B204,(PostTB[Credit]))+SUMIF(CkDJ[Account Code],B204,(CkDJ[Credit]))+SUMIF(CsDJ[Account Code],B204,(CsDJ[Credit]))+SUMIF(CRDJ[Account Code],B204,(CRDJ[Credit]))+SUMIF(GJ[Account Code],B204,(GJ[Credit]))</f>
        <v>0</v>
      </c>
      <c r="G204" s="627">
        <f>IF(INDEX(AccountCodes[Normal Balance], MATCH(C204,AccountCodes[PPSAS CODE]))="Credit",F204-E204,0)</f>
        <v>0</v>
      </c>
      <c r="H204" s="626">
        <f t="shared" si="3"/>
        <v>0</v>
      </c>
    </row>
    <row r="205" spans="1:8" ht="15.75" hidden="1">
      <c r="A205" s="623" t="str">
        <f t="array" ref="A205">INDEX(AccountCodes[ACCOUNT NAME],MATCH(B205,AccountCodes[NGAS CODE],0))</f>
        <v>Miscellaneous Income (Power)</v>
      </c>
      <c r="B205" s="597" t="s">
        <v>352</v>
      </c>
      <c r="C205" s="625">
        <f t="array" ref="C205">INDEX(AccountCodes[PPSAS CODE],MATCH(B205,AccountCodes[NGAS CODE],0))</f>
        <v>4060999000</v>
      </c>
      <c r="D205" s="626">
        <f>IF(INDEX(AccountCodes[Normal Balance], MATCH(C205,AccountCodes[PPSAS CODE]))="Debit",E205-F205,0)</f>
        <v>0</v>
      </c>
      <c r="E205" s="626">
        <f>SUMIF(PostTB[Account Code (Old)],B205,(PostTB[Debit]))+SUMIF(CkDJ[Account Code],B205,(CkDJ[Debit]))+SUMIF(CsDJ[Account Code],B205,(CsDJ[Debit]))+SUMIF(CRDJ[Account Code],B205,(CRDJ[Debit]))+SUMIF(GJ[Account Code],B205,(GJ[Debit]))</f>
        <v>0</v>
      </c>
      <c r="F205" s="627">
        <f>SUMIF(PostTB[Account Code (Old)],B205,(PostTB[Credit]))+SUMIF(CkDJ[Account Code],B205,(CkDJ[Credit]))+SUMIF(CsDJ[Account Code],B205,(CsDJ[Credit]))+SUMIF(CRDJ[Account Code],B205,(CRDJ[Credit]))+SUMIF(GJ[Account Code],B205,(GJ[Credit]))</f>
        <v>0</v>
      </c>
      <c r="G205" s="627">
        <f>IF(INDEX(AccountCodes[Normal Balance], MATCH(C205,AccountCodes[PPSAS CODE]))="Credit",F205-E205,0)</f>
        <v>0</v>
      </c>
      <c r="H205" s="626">
        <f t="shared" si="3"/>
        <v>0</v>
      </c>
    </row>
    <row r="206" spans="1:8" ht="15.75">
      <c r="A206" s="623" t="str">
        <f t="array" ref="A206">INDEX(AccountCodes[ACCOUNT NAME],MATCH(B206,AccountCodes[NGAS CODE],0))</f>
        <v>Salaries and Wages-Regular</v>
      </c>
      <c r="B206" s="597" t="s">
        <v>162</v>
      </c>
      <c r="C206" s="625">
        <f t="array" ref="C206">INDEX(AccountCodes[PPSAS CODE],MATCH(B206,AccountCodes[NGAS CODE],0))</f>
        <v>5010101000</v>
      </c>
      <c r="D206" s="626">
        <f>IF(INDEX(AccountCodes[Normal Balance], MATCH(C206,AccountCodes[PPSAS CODE]))="Debit",E206-F206,0)</f>
        <v>648564.1</v>
      </c>
      <c r="E206" s="626">
        <f>SUMIF(PostTB[Account Code (Old)],B206,(PostTB[Debit]))+SUMIF(CkDJ[Account Code],B206,(CkDJ[Debit]))+SUMIF(CsDJ[Account Code],B206,(CsDJ[Debit]))+SUMIF(CRDJ[Account Code],B206,(CRDJ[Debit]))+SUMIF(GJ[Account Code],B206,(GJ[Debit]))</f>
        <v>648564.1</v>
      </c>
      <c r="F206" s="627">
        <f>SUMIF(PostTB[Account Code (Old)],B206,(PostTB[Credit]))+SUMIF(CkDJ[Account Code],B206,(CkDJ[Credit]))+SUMIF(CsDJ[Account Code],B206,(CsDJ[Credit]))+SUMIF(CRDJ[Account Code],B206,(CRDJ[Credit]))+SUMIF(GJ[Account Code],B206,(GJ[Credit]))</f>
        <v>0</v>
      </c>
      <c r="G206" s="627">
        <f>IF(INDEX(AccountCodes[Normal Balance], MATCH(C206,AccountCodes[PPSAS CODE]))="Credit",F206-E206,0)</f>
        <v>0</v>
      </c>
      <c r="H206" s="626">
        <f t="shared" si="3"/>
        <v>648564.1</v>
      </c>
    </row>
    <row r="207" spans="1:8" ht="15.75" hidden="1">
      <c r="A207" s="623" t="str">
        <f t="array" ref="A207">INDEX(AccountCodes[ACCOUNT NAME],MATCH(B207,AccountCodes[NGAS CODE],0))</f>
        <v>Salaries and Wages-Casual/Contractual</v>
      </c>
      <c r="B207" s="597" t="s">
        <v>163</v>
      </c>
      <c r="C207" s="625">
        <f t="array" ref="C207">INDEX(AccountCodes[PPSAS CODE],MATCH(B207,AccountCodes[NGAS CODE],0))</f>
        <v>5010102000</v>
      </c>
      <c r="D207" s="626">
        <f>IF(INDEX(AccountCodes[Normal Balance], MATCH(C207,AccountCodes[PPSAS CODE]))="Debit",E207-F207,0)</f>
        <v>0</v>
      </c>
      <c r="E207" s="626">
        <f>SUMIF(PostTB[Account Code (Old)],B207,(PostTB[Debit]))+SUMIF(CkDJ[Account Code],B207,(CkDJ[Debit]))+SUMIF(CsDJ[Account Code],B207,(CsDJ[Debit]))+SUMIF(CRDJ[Account Code],B207,(CRDJ[Debit]))+SUMIF(GJ[Account Code],B207,(GJ[Debit]))</f>
        <v>0</v>
      </c>
      <c r="F207" s="627">
        <f>SUMIF(PostTB[Account Code (Old)],B207,(PostTB[Credit]))+SUMIF(CkDJ[Account Code],B207,(CkDJ[Credit]))+SUMIF(CsDJ[Account Code],B207,(CsDJ[Credit]))+SUMIF(CRDJ[Account Code],B207,(CRDJ[Credit]))+SUMIF(GJ[Account Code],B207,(GJ[Credit]))</f>
        <v>0</v>
      </c>
      <c r="G207" s="627">
        <f>IF(INDEX(AccountCodes[Normal Balance], MATCH(C207,AccountCodes[PPSAS CODE]))="Credit",F207-E207,0)</f>
        <v>0</v>
      </c>
      <c r="H207" s="626">
        <f t="shared" si="3"/>
        <v>0</v>
      </c>
    </row>
    <row r="208" spans="1:8" ht="15.75">
      <c r="A208" s="623" t="str">
        <f t="array" ref="A208">INDEX(AccountCodes[ACCOUNT NAME],MATCH(B208,AccountCodes[NGAS CODE],0))</f>
        <v>Personal Economic Relief Allowance (PERA)</v>
      </c>
      <c r="B208" s="597" t="s">
        <v>164</v>
      </c>
      <c r="C208" s="625">
        <f t="array" ref="C208">INDEX(AccountCodes[PPSAS CODE],MATCH(B208,AccountCodes[NGAS CODE],0))</f>
        <v>5010201000</v>
      </c>
      <c r="D208" s="626">
        <f>IF(INDEX(AccountCodes[Normal Balance], MATCH(C208,AccountCodes[PPSAS CODE]))="Debit",E208-F208,0)</f>
        <v>42909.11</v>
      </c>
      <c r="E208" s="626">
        <f>SUMIF(PostTB[Account Code (Old)],B208,(PostTB[Debit]))+SUMIF(CkDJ[Account Code],B208,(CkDJ[Debit]))+SUMIF(CsDJ[Account Code],B208,(CsDJ[Debit]))+SUMIF(CRDJ[Account Code],B208,(CRDJ[Debit]))+SUMIF(GJ[Account Code],B208,(GJ[Debit]))</f>
        <v>42909.11</v>
      </c>
      <c r="F208" s="627">
        <f>SUMIF(PostTB[Account Code (Old)],B208,(PostTB[Credit]))+SUMIF(CkDJ[Account Code],B208,(CkDJ[Credit]))+SUMIF(CsDJ[Account Code],B208,(CsDJ[Credit]))+SUMIF(CRDJ[Account Code],B208,(CRDJ[Credit]))+SUMIF(GJ[Account Code],B208,(GJ[Credit]))</f>
        <v>0</v>
      </c>
      <c r="G208" s="627">
        <f>IF(INDEX(AccountCodes[Normal Balance], MATCH(C208,AccountCodes[PPSAS CODE]))="Credit",F208-E208,0)</f>
        <v>0</v>
      </c>
      <c r="H208" s="626">
        <f t="shared" si="3"/>
        <v>42909.11</v>
      </c>
    </row>
    <row r="209" spans="1:8" ht="15.75" hidden="1">
      <c r="A209" s="623" t="str">
        <f t="array" ref="A209">INDEX(AccountCodes[ACCOUNT NAME],MATCH(B209,AccountCodes[NGAS CODE],0))</f>
        <v>Representation Allowance (RA)</v>
      </c>
      <c r="B209" s="597" t="s">
        <v>165</v>
      </c>
      <c r="C209" s="625">
        <f t="array" ref="C209">INDEX(AccountCodes[PPSAS CODE],MATCH(B209,AccountCodes[NGAS CODE],0))</f>
        <v>5010202000</v>
      </c>
      <c r="D209" s="626">
        <f>IF(INDEX(AccountCodes[Normal Balance], MATCH(C209,AccountCodes[PPSAS CODE]))="Debit",E209-F209,0)</f>
        <v>0</v>
      </c>
      <c r="E209" s="626">
        <f>SUMIF(PostTB[Account Code (Old)],B209,(PostTB[Debit]))+SUMIF(CkDJ[Account Code],B209,(CkDJ[Debit]))+SUMIF(CsDJ[Account Code],B209,(CsDJ[Debit]))+SUMIF(CRDJ[Account Code],B209,(CRDJ[Debit]))+SUMIF(GJ[Account Code],B209,(GJ[Debit]))</f>
        <v>0</v>
      </c>
      <c r="F209" s="627">
        <f>SUMIF(PostTB[Account Code (Old)],B209,(PostTB[Credit]))+SUMIF(CkDJ[Account Code],B209,(CkDJ[Credit]))+SUMIF(CsDJ[Account Code],B209,(CsDJ[Credit]))+SUMIF(CRDJ[Account Code],B209,(CRDJ[Credit]))+SUMIF(GJ[Account Code],B209,(GJ[Credit]))</f>
        <v>0</v>
      </c>
      <c r="G209" s="627">
        <f>IF(INDEX(AccountCodes[Normal Balance], MATCH(C209,AccountCodes[PPSAS CODE]))="Credit",F209-E209,0)</f>
        <v>0</v>
      </c>
      <c r="H209" s="626">
        <f t="shared" si="3"/>
        <v>0</v>
      </c>
    </row>
    <row r="210" spans="1:8" ht="15.75" hidden="1">
      <c r="A210" s="623" t="str">
        <f t="array" ref="A210">INDEX(AccountCodes[ACCOUNT NAME],MATCH(B210,AccountCodes[NGAS CODE],0))</f>
        <v>Transportation Allowance (TA)</v>
      </c>
      <c r="B210" s="597" t="s">
        <v>166</v>
      </c>
      <c r="C210" s="625">
        <f t="array" ref="C210">INDEX(AccountCodes[PPSAS CODE],MATCH(B210,AccountCodes[NGAS CODE],0))</f>
        <v>5010203000</v>
      </c>
      <c r="D210" s="626">
        <f>IF(INDEX(AccountCodes[Normal Balance], MATCH(C210,AccountCodes[PPSAS CODE]))="Debit",E210-F210,0)</f>
        <v>0</v>
      </c>
      <c r="E210" s="626">
        <f>SUMIF(PostTB[Account Code (Old)],B210,(PostTB[Debit]))+SUMIF(CkDJ[Account Code],B210,(CkDJ[Debit]))+SUMIF(CsDJ[Account Code],B210,(CsDJ[Debit]))+SUMIF(CRDJ[Account Code],B210,(CRDJ[Debit]))+SUMIF(GJ[Account Code],B210,(GJ[Debit]))</f>
        <v>0</v>
      </c>
      <c r="F210" s="627">
        <f>SUMIF(PostTB[Account Code (Old)],B210,(PostTB[Credit]))+SUMIF(CkDJ[Account Code],B210,(CkDJ[Credit]))+SUMIF(CsDJ[Account Code],B210,(CsDJ[Credit]))+SUMIF(CRDJ[Account Code],B210,(CRDJ[Credit]))+SUMIF(GJ[Account Code],B210,(GJ[Credit]))</f>
        <v>0</v>
      </c>
      <c r="G210" s="627">
        <f>IF(INDEX(AccountCodes[Normal Balance], MATCH(C210,AccountCodes[PPSAS CODE]))="Credit",F210-E210,0)</f>
        <v>0</v>
      </c>
      <c r="H210" s="626">
        <f t="shared" si="3"/>
        <v>0</v>
      </c>
    </row>
    <row r="211" spans="1:8" ht="15.75">
      <c r="A211" s="623" t="str">
        <f t="array" ref="A211">INDEX(AccountCodes[ACCOUNT NAME],MATCH(B211,AccountCodes[NGAS CODE],0))</f>
        <v>Clothing/Uniform Allowance</v>
      </c>
      <c r="B211" s="597" t="s">
        <v>167</v>
      </c>
      <c r="C211" s="625">
        <f t="array" ref="C211">INDEX(AccountCodes[PPSAS CODE],MATCH(B211,AccountCodes[NGAS CODE],0))</f>
        <v>5010204000</v>
      </c>
      <c r="D211" s="626">
        <f>IF(INDEX(AccountCodes[Normal Balance], MATCH(C211,AccountCodes[PPSAS CODE]))="Debit",E211-F211,0)</f>
        <v>12000</v>
      </c>
      <c r="E211" s="626">
        <f>SUMIF(PostTB[Account Code (Old)],B211,(PostTB[Debit]))+SUMIF(CkDJ[Account Code],B211,(CkDJ[Debit]))+SUMIF(CsDJ[Account Code],B211,(CsDJ[Debit]))+SUMIF(CRDJ[Account Code],B211,(CRDJ[Debit]))+SUMIF(GJ[Account Code],B211,(GJ[Debit]))</f>
        <v>12000</v>
      </c>
      <c r="F211" s="627">
        <f>SUMIF(PostTB[Account Code (Old)],B211,(PostTB[Credit]))+SUMIF(CkDJ[Account Code],B211,(CkDJ[Credit]))+SUMIF(CsDJ[Account Code],B211,(CsDJ[Credit]))+SUMIF(CRDJ[Account Code],B211,(CRDJ[Credit]))+SUMIF(GJ[Account Code],B211,(GJ[Credit]))</f>
        <v>0</v>
      </c>
      <c r="G211" s="627">
        <f>IF(INDEX(AccountCodes[Normal Balance], MATCH(C211,AccountCodes[PPSAS CODE]))="Credit",F211-E211,0)</f>
        <v>0</v>
      </c>
      <c r="H211" s="626">
        <f t="shared" si="3"/>
        <v>12000</v>
      </c>
    </row>
    <row r="212" spans="1:8" ht="15.75" hidden="1">
      <c r="A212" s="623" t="str">
        <f t="array" ref="A212">INDEX(AccountCodes[ACCOUNT NAME],MATCH(B212,AccountCodes[NGAS CODE],0))</f>
        <v>Subsistence Allowance</v>
      </c>
      <c r="B212" s="597" t="s">
        <v>1262</v>
      </c>
      <c r="C212" s="625">
        <f t="array" ref="C212">INDEX(AccountCodes[PPSAS CODE],MATCH(B212,AccountCodes[NGAS CODE],0))</f>
        <v>5010205000</v>
      </c>
      <c r="D212" s="626">
        <f>IF(INDEX(AccountCodes[Normal Balance], MATCH(C212,AccountCodes[PPSAS CODE]))="Debit",E212-F212,0)</f>
        <v>0</v>
      </c>
      <c r="E212" s="626">
        <f>SUMIF(PostTB[Account Code (Old)],B212,(PostTB[Debit]))+SUMIF(CkDJ[Account Code],B212,(CkDJ[Debit]))+SUMIF(CsDJ[Account Code],B212,(CsDJ[Debit]))+SUMIF(CRDJ[Account Code],B212,(CRDJ[Debit]))+SUMIF(GJ[Account Code],B212,(GJ[Debit]))</f>
        <v>0</v>
      </c>
      <c r="F212" s="627">
        <f>SUMIF(PostTB[Account Code (Old)],B212,(PostTB[Credit]))+SUMIF(CkDJ[Account Code],B212,(CkDJ[Credit]))+SUMIF(CsDJ[Account Code],B212,(CsDJ[Credit]))+SUMIF(CRDJ[Account Code],B212,(CRDJ[Credit]))+SUMIF(GJ[Account Code],B212,(GJ[Credit]))</f>
        <v>0</v>
      </c>
      <c r="G212" s="627">
        <f>IF(INDEX(AccountCodes[Normal Balance], MATCH(C212,AccountCodes[PPSAS CODE]))="Credit",F212-E212,0)</f>
        <v>0</v>
      </c>
      <c r="H212" s="626">
        <f t="shared" si="3"/>
        <v>0</v>
      </c>
    </row>
    <row r="213" spans="1:8" ht="15.75" hidden="1">
      <c r="A213" s="623" t="str">
        <f t="array" ref="A213">INDEX(AccountCodes[ACCOUNT NAME],MATCH(B213,AccountCodes[NGAS CODE],0))</f>
        <v>Laundry Allowance</v>
      </c>
      <c r="B213" s="597" t="s">
        <v>1263</v>
      </c>
      <c r="C213" s="625">
        <f t="array" ref="C213">INDEX(AccountCodes[PPSAS CODE],MATCH(B213,AccountCodes[NGAS CODE],0))</f>
        <v>5010206000</v>
      </c>
      <c r="D213" s="626">
        <f>IF(INDEX(AccountCodes[Normal Balance], MATCH(C213,AccountCodes[PPSAS CODE]))="Debit",E213-F213,0)</f>
        <v>0</v>
      </c>
      <c r="E213" s="626">
        <f>SUMIF(PostTB[Account Code (Old)],B213,(PostTB[Debit]))+SUMIF(CkDJ[Account Code],B213,(CkDJ[Debit]))+SUMIF(CsDJ[Account Code],B213,(CsDJ[Debit]))+SUMIF(CRDJ[Account Code],B213,(CRDJ[Debit]))+SUMIF(GJ[Account Code],B213,(GJ[Debit]))</f>
        <v>0</v>
      </c>
      <c r="F213" s="627">
        <f>SUMIF(PostTB[Account Code (Old)],B213,(PostTB[Credit]))+SUMIF(CkDJ[Account Code],B213,(CkDJ[Credit]))+SUMIF(CsDJ[Account Code],B213,(CsDJ[Credit]))+SUMIF(CRDJ[Account Code],B213,(CRDJ[Credit]))+SUMIF(GJ[Account Code],B213,(GJ[Credit]))</f>
        <v>0</v>
      </c>
      <c r="G213" s="627">
        <f>IF(INDEX(AccountCodes[Normal Balance], MATCH(C213,AccountCodes[PPSAS CODE]))="Credit",F213-E213,0)</f>
        <v>0</v>
      </c>
      <c r="H213" s="626">
        <f t="shared" si="3"/>
        <v>0</v>
      </c>
    </row>
    <row r="214" spans="1:8" ht="15.75" hidden="1">
      <c r="A214" s="623" t="str">
        <f t="array" ref="A214">INDEX(AccountCodes[ACCOUNT NAME],MATCH(B214,AccountCodes[NGAS CODE],0))</f>
        <v>Quarters Allowance</v>
      </c>
      <c r="B214" s="597" t="s">
        <v>1264</v>
      </c>
      <c r="C214" s="625">
        <f t="array" ref="C214">INDEX(AccountCodes[PPSAS CODE],MATCH(B214,AccountCodes[NGAS CODE],0))</f>
        <v>5010207000</v>
      </c>
      <c r="D214" s="626">
        <f>IF(INDEX(AccountCodes[Normal Balance], MATCH(C214,AccountCodes[PPSAS CODE]))="Debit",E214-F214,0)</f>
        <v>0</v>
      </c>
      <c r="E214" s="626">
        <f>SUMIF(PostTB[Account Code (Old)],B214,(PostTB[Debit]))+SUMIF(CkDJ[Account Code],B214,(CkDJ[Debit]))+SUMIF(CsDJ[Account Code],B214,(CsDJ[Debit]))+SUMIF(CRDJ[Account Code],B214,(CRDJ[Debit]))+SUMIF(GJ[Account Code],B214,(GJ[Debit]))</f>
        <v>0</v>
      </c>
      <c r="F214" s="627">
        <f>SUMIF(PostTB[Account Code (Old)],B214,(PostTB[Credit]))+SUMIF(CkDJ[Account Code],B214,(CkDJ[Credit]))+SUMIF(CsDJ[Account Code],B214,(CsDJ[Credit]))+SUMIF(CRDJ[Account Code],B214,(CRDJ[Credit]))+SUMIF(GJ[Account Code],B214,(GJ[Credit]))</f>
        <v>0</v>
      </c>
      <c r="G214" s="627">
        <f>IF(INDEX(AccountCodes[Normal Balance], MATCH(C214,AccountCodes[PPSAS CODE]))="Credit",F214-E214,0)</f>
        <v>0</v>
      </c>
      <c r="H214" s="626">
        <f t="shared" si="3"/>
        <v>0</v>
      </c>
    </row>
    <row r="215" spans="1:8" ht="15.75">
      <c r="A215" s="623" t="str">
        <f t="array" ref="A215">INDEX(AccountCodes[ACCOUNT NAME],MATCH(B215,AccountCodes[NGAS CODE],0))</f>
        <v>Productivity Incentive Allowance</v>
      </c>
      <c r="B215" s="597" t="s">
        <v>171</v>
      </c>
      <c r="C215" s="625">
        <f t="array" ref="C215">INDEX(AccountCodes[PPSAS CODE],MATCH(B215,AccountCodes[NGAS CODE],0))</f>
        <v>5010208000</v>
      </c>
      <c r="D215" s="626">
        <f>IF(INDEX(AccountCodes[Normal Balance], MATCH(C215,AccountCodes[PPSAS CODE]))="Debit",E215-F215,0)</f>
        <v>0</v>
      </c>
      <c r="E215" s="626">
        <f>SUMIF(PostTB[Account Code (Old)],B215,(PostTB[Debit]))+SUMIF(CkDJ[Account Code],B215,(CkDJ[Debit]))+SUMIF(CsDJ[Account Code],B215,(CsDJ[Debit]))+SUMIF(CRDJ[Account Code],B215,(CRDJ[Debit]))+SUMIF(GJ[Account Code],B215,(GJ[Debit]))</f>
        <v>0</v>
      </c>
      <c r="F215" s="627">
        <f>SUMIF(PostTB[Account Code (Old)],B215,(PostTB[Credit]))+SUMIF(CkDJ[Account Code],B215,(CkDJ[Credit]))+SUMIF(CsDJ[Account Code],B215,(CsDJ[Credit]))+SUMIF(CRDJ[Account Code],B215,(CRDJ[Credit]))+SUMIF(GJ[Account Code],B215,(GJ[Credit]))</f>
        <v>0</v>
      </c>
      <c r="G215" s="627">
        <f>IF(INDEX(AccountCodes[Normal Balance], MATCH(C215,AccountCodes[PPSAS CODE]))="Credit",F215-E215,0)</f>
        <v>0</v>
      </c>
      <c r="H215" s="626">
        <f t="shared" si="3"/>
        <v>0</v>
      </c>
    </row>
    <row r="216" spans="1:8" ht="15.75" hidden="1">
      <c r="A216" s="623" t="str">
        <f t="array" ref="A216">INDEX(AccountCodes[ACCOUNT NAME],MATCH(B216,AccountCodes[NGAS CODE],0))</f>
        <v>Honoraria</v>
      </c>
      <c r="B216" s="597" t="s">
        <v>173</v>
      </c>
      <c r="C216" s="625">
        <f t="array" ref="C216">INDEX(AccountCodes[PPSAS CODE],MATCH(B216,AccountCodes[NGAS CODE],0))</f>
        <v>5010210000</v>
      </c>
      <c r="D216" s="626">
        <f>IF(INDEX(AccountCodes[Normal Balance], MATCH(C216,AccountCodes[PPSAS CODE]))="Debit",E216-F216,0)</f>
        <v>0</v>
      </c>
      <c r="E216" s="626">
        <f>SUMIF(PostTB[Account Code (Old)],B216,(PostTB[Debit]))+SUMIF(CkDJ[Account Code],B216,(CkDJ[Debit]))+SUMIF(CsDJ[Account Code],B216,(CsDJ[Debit]))+SUMIF(CRDJ[Account Code],B216,(CRDJ[Debit]))+SUMIF(GJ[Account Code],B216,(GJ[Debit]))</f>
        <v>0</v>
      </c>
      <c r="F216" s="627">
        <f>SUMIF(PostTB[Account Code (Old)],B216,(PostTB[Credit]))+SUMIF(CkDJ[Account Code],B216,(CkDJ[Credit]))+SUMIF(CsDJ[Account Code],B216,(CsDJ[Credit]))+SUMIF(CRDJ[Account Code],B216,(CRDJ[Credit]))+SUMIF(GJ[Account Code],B216,(GJ[Credit]))</f>
        <v>0</v>
      </c>
      <c r="G216" s="627">
        <f>IF(INDEX(AccountCodes[Normal Balance], MATCH(C216,AccountCodes[PPSAS CODE]))="Credit",F216-E216,0)</f>
        <v>0</v>
      </c>
      <c r="H216" s="626">
        <f t="shared" si="3"/>
        <v>0</v>
      </c>
    </row>
    <row r="217" spans="1:8" ht="15.75">
      <c r="A217" s="623" t="str">
        <f t="array" ref="A217">INDEX(AccountCodes[ACCOUNT NAME],MATCH(B217,AccountCodes[NGAS CODE],0))</f>
        <v>Hazard Pay</v>
      </c>
      <c r="B217" s="597" t="s">
        <v>215</v>
      </c>
      <c r="C217" s="625">
        <f t="array" ref="C217">INDEX(AccountCodes[PPSAS CODE],MATCH(B217,AccountCodes[NGAS CODE],0))</f>
        <v>5010211000</v>
      </c>
      <c r="D217" s="626">
        <f>IF(INDEX(AccountCodes[Normal Balance], MATCH(C217,AccountCodes[PPSAS CODE]))="Debit",E217-F217,0)</f>
        <v>0</v>
      </c>
      <c r="E217" s="626">
        <f>SUMIF(PostTB[Account Code (Old)],B217,(PostTB[Debit]))+SUMIF(CkDJ[Account Code],B217,(CkDJ[Debit]))+SUMIF(CsDJ[Account Code],B217,(CsDJ[Debit]))+SUMIF(CRDJ[Account Code],B217,(CRDJ[Debit]))+SUMIF(GJ[Account Code],B217,(GJ[Debit]))</f>
        <v>0</v>
      </c>
      <c r="F217" s="627">
        <f>SUMIF(PostTB[Account Code (Old)],B217,(PostTB[Credit]))+SUMIF(CkDJ[Account Code],B217,(CkDJ[Credit]))+SUMIF(CsDJ[Account Code],B217,(CsDJ[Credit]))+SUMIF(CRDJ[Account Code],B217,(CRDJ[Credit]))+SUMIF(GJ[Account Code],B217,(GJ[Credit]))</f>
        <v>0</v>
      </c>
      <c r="G217" s="627">
        <f>IF(INDEX(AccountCodes[Normal Balance], MATCH(C217,AccountCodes[PPSAS CODE]))="Credit",F217-E217,0)</f>
        <v>0</v>
      </c>
      <c r="H217" s="626">
        <f t="shared" si="3"/>
        <v>0</v>
      </c>
    </row>
    <row r="218" spans="1:8" ht="15.75">
      <c r="A218" s="623" t="str">
        <f t="array" ref="A218">INDEX(AccountCodes[ACCOUNT NAME],MATCH(B218,AccountCodes[NGAS CODE],0))</f>
        <v>Longevity Pay</v>
      </c>
      <c r="B218" s="597" t="s">
        <v>216</v>
      </c>
      <c r="C218" s="625">
        <f t="array" ref="C218">INDEX(AccountCodes[PPSAS CODE],MATCH(B218,AccountCodes[NGAS CODE],0))</f>
        <v>5010212000</v>
      </c>
      <c r="D218" s="626">
        <f>IF(INDEX(AccountCodes[Normal Balance], MATCH(C218,AccountCodes[PPSAS CODE]))="Debit",E218-F218,0)</f>
        <v>10000</v>
      </c>
      <c r="E218" s="626">
        <f>SUMIF(PostTB[Account Code (Old)],B218,(PostTB[Debit]))+SUMIF(CkDJ[Account Code],B218,(CkDJ[Debit]))+SUMIF(CsDJ[Account Code],B218,(CsDJ[Debit]))+SUMIF(CRDJ[Account Code],B218,(CRDJ[Debit]))+SUMIF(GJ[Account Code],B218,(GJ[Debit]))</f>
        <v>10000</v>
      </c>
      <c r="F218" s="627">
        <f>SUMIF(PostTB[Account Code (Old)],B218,(PostTB[Credit]))+SUMIF(CkDJ[Account Code],B218,(CkDJ[Credit]))+SUMIF(CsDJ[Account Code],B218,(CsDJ[Credit]))+SUMIF(CRDJ[Account Code],B218,(CRDJ[Credit]))+SUMIF(GJ[Account Code],B218,(GJ[Credit]))</f>
        <v>0</v>
      </c>
      <c r="G218" s="627">
        <f>IF(INDEX(AccountCodes[Normal Balance], MATCH(C218,AccountCodes[PPSAS CODE]))="Credit",F218-E218,0)</f>
        <v>0</v>
      </c>
      <c r="H218" s="626">
        <f t="shared" si="3"/>
        <v>10000</v>
      </c>
    </row>
    <row r="219" spans="1:8" ht="15.75" hidden="1">
      <c r="A219" s="623" t="str">
        <f t="array" ref="A219">INDEX(AccountCodes[ACCOUNT NAME],MATCH(B219,AccountCodes[NGAS CODE],0))</f>
        <v>Overtime and Night Pay</v>
      </c>
      <c r="B219" s="597" t="s">
        <v>214</v>
      </c>
      <c r="C219" s="625">
        <f t="array" ref="C219">INDEX(AccountCodes[PPSAS CODE],MATCH(B219,AccountCodes[NGAS CODE],0))</f>
        <v>5010213000</v>
      </c>
      <c r="D219" s="626">
        <f>IF(INDEX(AccountCodes[Normal Balance], MATCH(C219,AccountCodes[PPSAS CODE]))="Debit",E219-F219,0)</f>
        <v>0</v>
      </c>
      <c r="E219" s="626">
        <f>SUMIF(PostTB[Account Code (Old)],B219,(PostTB[Debit]))+SUMIF(CkDJ[Account Code],B219,(CkDJ[Debit]))+SUMIF(CsDJ[Account Code],B219,(CsDJ[Debit]))+SUMIF(CRDJ[Account Code],B219,(CRDJ[Debit]))+SUMIF(GJ[Account Code],B219,(GJ[Debit]))</f>
        <v>0</v>
      </c>
      <c r="F219" s="627">
        <f>SUMIF(PostTB[Account Code (Old)],B219,(PostTB[Credit]))+SUMIF(CkDJ[Account Code],B219,(CkDJ[Credit]))+SUMIF(CsDJ[Account Code],B219,(CsDJ[Credit]))+SUMIF(CRDJ[Account Code],B219,(CRDJ[Credit]))+SUMIF(GJ[Account Code],B219,(GJ[Credit]))</f>
        <v>0</v>
      </c>
      <c r="G219" s="627">
        <f>IF(INDEX(AccountCodes[Normal Balance], MATCH(C219,AccountCodes[PPSAS CODE]))="Credit",F219-E219,0)</f>
        <v>0</v>
      </c>
      <c r="H219" s="626">
        <f t="shared" si="3"/>
        <v>0</v>
      </c>
    </row>
    <row r="220" spans="1:8" ht="15.75">
      <c r="A220" s="623" t="str">
        <f t="array" ref="A220">INDEX(AccountCodes[ACCOUNT NAME],MATCH(B220,AccountCodes[NGAS CODE],0))</f>
        <v>Mid-Year/Year End Bonus</v>
      </c>
      <c r="B220" s="597" t="s">
        <v>174</v>
      </c>
      <c r="C220" s="625">
        <f t="array" ref="C220">INDEX(AccountCodes[PPSAS CODE],MATCH(B220,AccountCodes[NGAS CODE],0))</f>
        <v>5010214000</v>
      </c>
      <c r="D220" s="626">
        <f>IF(INDEX(AccountCodes[Normal Balance], MATCH(C220,AccountCodes[PPSAS CODE]))="Debit",E220-F220,0)</f>
        <v>0</v>
      </c>
      <c r="E220" s="626">
        <f>SUMIF(PostTB[Account Code (Old)],B220,(PostTB[Debit]))+SUMIF(CkDJ[Account Code],B220,(CkDJ[Debit]))+SUMIF(CsDJ[Account Code],B220,(CsDJ[Debit]))+SUMIF(CRDJ[Account Code],B220,(CRDJ[Debit]))+SUMIF(GJ[Account Code],B220,(GJ[Debit]))</f>
        <v>0</v>
      </c>
      <c r="F220" s="627">
        <f>SUMIF(PostTB[Account Code (Old)],B220,(PostTB[Credit]))+SUMIF(CkDJ[Account Code],B220,(CkDJ[Credit]))+SUMIF(CsDJ[Account Code],B220,(CsDJ[Credit]))+SUMIF(CRDJ[Account Code],B220,(CRDJ[Credit]))+SUMIF(GJ[Account Code],B220,(GJ[Credit]))</f>
        <v>0</v>
      </c>
      <c r="G220" s="627">
        <f>IF(INDEX(AccountCodes[Normal Balance], MATCH(C220,AccountCodes[PPSAS CODE]))="Credit",F220-E220,0)</f>
        <v>0</v>
      </c>
      <c r="H220" s="626">
        <f t="shared" si="3"/>
        <v>0</v>
      </c>
    </row>
    <row r="221" spans="1:8" ht="15.75">
      <c r="A221" s="623" t="str">
        <f t="array" ref="A221">INDEX(AccountCodes[ACCOUNT NAME],MATCH(B221,AccountCodes[NGAS CODE],0))</f>
        <v>Cash Gift</v>
      </c>
      <c r="B221" s="597" t="s">
        <v>172</v>
      </c>
      <c r="C221" s="625">
        <f t="array" ref="C221">INDEX(AccountCodes[PPSAS CODE],MATCH(B221,AccountCodes[NGAS CODE],0))</f>
        <v>5010215000</v>
      </c>
      <c r="D221" s="626">
        <f>IF(INDEX(AccountCodes[Normal Balance], MATCH(C221,AccountCodes[PPSAS CODE]))="Debit",E221-F221,0)</f>
        <v>0</v>
      </c>
      <c r="E221" s="626">
        <f>SUMIF(PostTB[Account Code (Old)],B221,(PostTB[Debit]))+SUMIF(CkDJ[Account Code],B221,(CkDJ[Debit]))+SUMIF(CsDJ[Account Code],B221,(CsDJ[Debit]))+SUMIF(CRDJ[Account Code],B221,(CRDJ[Debit]))+SUMIF(GJ[Account Code],B221,(GJ[Debit]))</f>
        <v>0</v>
      </c>
      <c r="F221" s="627">
        <f>SUMIF(PostTB[Account Code (Old)],B221,(PostTB[Credit]))+SUMIF(CkDJ[Account Code],B221,(CkDJ[Credit]))+SUMIF(CsDJ[Account Code],B221,(CsDJ[Credit]))+SUMIF(CRDJ[Account Code],B221,(CRDJ[Credit]))+SUMIF(GJ[Account Code],B221,(GJ[Credit]))</f>
        <v>0</v>
      </c>
      <c r="G221" s="627">
        <f>IF(INDEX(AccountCodes[Normal Balance], MATCH(C221,AccountCodes[PPSAS CODE]))="Credit",F221-E221,0)</f>
        <v>0</v>
      </c>
      <c r="H221" s="626">
        <f t="shared" si="3"/>
        <v>0</v>
      </c>
    </row>
    <row r="222" spans="1:8" ht="15.75" hidden="1">
      <c r="A222" s="623" t="str">
        <f t="array" ref="A222">INDEX(AccountCodes[ACCOUNT NAME],MATCH(B222,AccountCodes[NGAS CODE],0))</f>
        <v>Other Bonuses and Allowances - Collective Negotiation Agreement Incentive-Civilian</v>
      </c>
      <c r="B222" s="597" t="s">
        <v>168</v>
      </c>
      <c r="C222" s="625">
        <f t="array" ref="C222">INDEX(AccountCodes[PPSAS CODE],MATCH(B222,AccountCodes[NGAS CODE],0))</f>
        <v>5010299011</v>
      </c>
      <c r="D222" s="626">
        <f>IF(INDEX(AccountCodes[Normal Balance], MATCH(C222,AccountCodes[PPSAS CODE]))="Debit",E222-F222,0)</f>
        <v>0</v>
      </c>
      <c r="E222" s="626">
        <f>SUMIF(PostTB[Account Code (Old)],B222,(PostTB[Debit]))+SUMIF(CkDJ[Account Code],B222,(CkDJ[Debit]))+SUMIF(CsDJ[Account Code],B222,(CsDJ[Debit]))+SUMIF(CRDJ[Account Code],B222,(CRDJ[Debit]))+SUMIF(GJ[Account Code],B222,(GJ[Debit]))</f>
        <v>0</v>
      </c>
      <c r="F222" s="627">
        <f>SUMIF(PostTB[Account Code (Old)],B222,(PostTB[Credit]))+SUMIF(CkDJ[Account Code],B222,(CkDJ[Credit]))+SUMIF(CsDJ[Account Code],B222,(CsDJ[Credit]))+SUMIF(CRDJ[Account Code],B222,(CRDJ[Credit]))+SUMIF(GJ[Account Code],B222,(GJ[Credit]))</f>
        <v>0</v>
      </c>
      <c r="G222" s="627">
        <f>IF(INDEX(AccountCodes[Normal Balance], MATCH(C222,AccountCodes[PPSAS CODE]))="Credit",F222-E222,0)</f>
        <v>0</v>
      </c>
      <c r="H222" s="626">
        <f t="shared" si="3"/>
        <v>0</v>
      </c>
    </row>
    <row r="223" spans="1:8" ht="15.75">
      <c r="A223" s="623" t="str">
        <f t="array" ref="A223">INDEX(AccountCodes[ACCOUNT NAME],MATCH(B223,AccountCodes[NGAS CODE],0))</f>
        <v>Other Bonuses and Allowances - Productivity Enhancement Incentive-Civilian</v>
      </c>
      <c r="B223" s="597" t="s">
        <v>170</v>
      </c>
      <c r="C223" s="625">
        <f t="array" ref="C223">INDEX(AccountCodes[PPSAS CODE],MATCH(B223,AccountCodes[NGAS CODE],0))</f>
        <v>5010299012</v>
      </c>
      <c r="D223" s="626">
        <f>IF(INDEX(AccountCodes[Normal Balance], MATCH(C223,AccountCodes[PPSAS CODE]))="Debit",E223-F223,0)</f>
        <v>0</v>
      </c>
      <c r="E223" s="626">
        <f>SUMIF(PostTB[Account Code (Old)],B223,(PostTB[Debit]))+SUMIF(CkDJ[Account Code],B223,(CkDJ[Debit]))+SUMIF(CsDJ[Account Code],B223,(CsDJ[Debit]))+SUMIF(CRDJ[Account Code],B223,(CRDJ[Debit]))+SUMIF(GJ[Account Code],B223,(GJ[Debit]))</f>
        <v>0</v>
      </c>
      <c r="F223" s="627">
        <f>SUMIF(PostTB[Account Code (Old)],B223,(PostTB[Credit]))+SUMIF(CkDJ[Account Code],B223,(CkDJ[Credit]))+SUMIF(CsDJ[Account Code],B223,(CsDJ[Credit]))+SUMIF(CRDJ[Account Code],B223,(CRDJ[Credit]))+SUMIF(GJ[Account Code],B223,(GJ[Credit]))</f>
        <v>0</v>
      </c>
      <c r="G223" s="627">
        <f>IF(INDEX(AccountCodes[Normal Balance], MATCH(C223,AccountCodes[PPSAS CODE]))="Credit",F223-E223,0)</f>
        <v>0</v>
      </c>
      <c r="H223" s="626">
        <f t="shared" si="3"/>
        <v>0</v>
      </c>
    </row>
    <row r="224" spans="1:8" ht="15.75" hidden="1">
      <c r="A224" s="623" t="str">
        <f t="array" ref="A224">INDEX(AccountCodes[ACCOUNT NAME],MATCH(B224,AccountCodes[NGAS CODE],0))</f>
        <v>Other Bonuses and Allowances - Medical Allowance</v>
      </c>
      <c r="B224" s="597" t="s">
        <v>5</v>
      </c>
      <c r="C224" s="625">
        <f t="array" ref="C224">INDEX(AccountCodes[PPSAS CODE],MATCH(B224,AccountCodes[NGAS CODE],0))</f>
        <v>5010299034</v>
      </c>
      <c r="D224" s="626">
        <f>IF(INDEX(AccountCodes[Normal Balance], MATCH(C224,AccountCodes[PPSAS CODE]))="Debit",E224-F224,0)</f>
        <v>0</v>
      </c>
      <c r="E224" s="626">
        <f>SUMIF(PostTB[Account Code (Old)],B224,(PostTB[Debit]))+SUMIF(CkDJ[Account Code],B224,(CkDJ[Debit]))+SUMIF(CsDJ[Account Code],B224,(CsDJ[Debit]))+SUMIF(CRDJ[Account Code],B224,(CRDJ[Debit]))+SUMIF(GJ[Account Code],B224,(GJ[Debit]))</f>
        <v>0</v>
      </c>
      <c r="F224" s="627">
        <f>SUMIF(PostTB[Account Code (Old)],B224,(PostTB[Credit]))+SUMIF(CkDJ[Account Code],B224,(CkDJ[Credit]))+SUMIF(CsDJ[Account Code],B224,(CsDJ[Credit]))+SUMIF(CRDJ[Account Code],B224,(CRDJ[Credit]))+SUMIF(GJ[Account Code],B224,(GJ[Credit]))</f>
        <v>0</v>
      </c>
      <c r="G224" s="627">
        <f>IF(INDEX(AccountCodes[Normal Balance], MATCH(C224,AccountCodes[PPSAS CODE]))="Credit",F224-E224,0)</f>
        <v>0</v>
      </c>
      <c r="H224" s="626">
        <f t="shared" si="3"/>
        <v>0</v>
      </c>
    </row>
    <row r="225" spans="1:8" ht="15.75" hidden="1">
      <c r="A225" s="623" t="str">
        <f t="array" ref="A225">INDEX(AccountCodes[ACCOUNT NAME],MATCH(B225,AccountCodes[NGAS CODE],0))</f>
        <v>Other Bonuses and Allowances - Meal Allowance</v>
      </c>
      <c r="B225" s="597" t="s">
        <v>6</v>
      </c>
      <c r="C225" s="625">
        <f t="array" ref="C225">INDEX(AccountCodes[PPSAS CODE],MATCH(B225,AccountCodes[NGAS CODE],0))</f>
        <v>5010299035</v>
      </c>
      <c r="D225" s="626">
        <f>IF(INDEX(AccountCodes[Normal Balance], MATCH(C225,AccountCodes[PPSAS CODE]))="Debit",E225-F225,0)</f>
        <v>0</v>
      </c>
      <c r="E225" s="626">
        <f>SUMIF(PostTB[Account Code (Old)],B225,(PostTB[Debit]))+SUMIF(CkDJ[Account Code],B225,(CkDJ[Debit]))+SUMIF(CsDJ[Account Code],B225,(CsDJ[Debit]))+SUMIF(CRDJ[Account Code],B225,(CRDJ[Debit]))+SUMIF(GJ[Account Code],B225,(GJ[Debit]))</f>
        <v>0</v>
      </c>
      <c r="F225" s="627">
        <f>SUMIF(PostTB[Account Code (Old)],B225,(PostTB[Credit]))+SUMIF(CkDJ[Account Code],B225,(CkDJ[Credit]))+SUMIF(CsDJ[Account Code],B225,(CsDJ[Credit]))+SUMIF(CRDJ[Account Code],B225,(CRDJ[Credit]))+SUMIF(GJ[Account Code],B225,(GJ[Credit]))</f>
        <v>0</v>
      </c>
      <c r="G225" s="627">
        <f>IF(INDEX(AccountCodes[Normal Balance], MATCH(C225,AccountCodes[PPSAS CODE]))="Credit",F225-E225,0)</f>
        <v>0</v>
      </c>
      <c r="H225" s="626">
        <f t="shared" si="3"/>
        <v>0</v>
      </c>
    </row>
    <row r="226" spans="1:8" ht="15.75" hidden="1">
      <c r="A226" s="623" t="str">
        <f t="array" ref="A226">INDEX(AccountCodes[ACCOUNT NAME],MATCH(B226,AccountCodes[NGAS CODE],0))</f>
        <v>Other Bonuses and Allowances - Children Allowance</v>
      </c>
      <c r="B226" s="597" t="s">
        <v>7</v>
      </c>
      <c r="C226" s="625">
        <f t="array" ref="C226">INDEX(AccountCodes[PPSAS CODE],MATCH(B226,AccountCodes[NGAS CODE],0))</f>
        <v>5010299036</v>
      </c>
      <c r="D226" s="626">
        <f>IF(INDEX(AccountCodes[Normal Balance], MATCH(C226,AccountCodes[PPSAS CODE]))="Debit",E226-F226,0)</f>
        <v>0</v>
      </c>
      <c r="E226" s="626">
        <f>SUMIF(PostTB[Account Code (Old)],B226,(PostTB[Debit]))+SUMIF(CkDJ[Account Code],B226,(CkDJ[Debit]))+SUMIF(CsDJ[Account Code],B226,(CsDJ[Debit]))+SUMIF(CRDJ[Account Code],B226,(CRDJ[Debit]))+SUMIF(GJ[Account Code],B226,(GJ[Debit]))</f>
        <v>0</v>
      </c>
      <c r="F226" s="627">
        <f>SUMIF(PostTB[Account Code (Old)],B226,(PostTB[Credit]))+SUMIF(CkDJ[Account Code],B226,(CkDJ[Credit]))+SUMIF(CsDJ[Account Code],B226,(CsDJ[Credit]))+SUMIF(CRDJ[Account Code],B226,(CRDJ[Credit]))+SUMIF(GJ[Account Code],B226,(GJ[Credit]))</f>
        <v>0</v>
      </c>
      <c r="G226" s="627">
        <f>IF(INDEX(AccountCodes[Normal Balance], MATCH(C226,AccountCodes[PPSAS CODE]))="Credit",F226-E226,0)</f>
        <v>0</v>
      </c>
      <c r="H226" s="626">
        <f t="shared" si="3"/>
        <v>0</v>
      </c>
    </row>
    <row r="227" spans="1:8" ht="15.75" hidden="1">
      <c r="A227" s="623" t="str">
        <f t="array" ref="A227">INDEX(AccountCodes[ACCOUNT NAME],MATCH(B227,AccountCodes[NGAS CODE],0))</f>
        <v>Other Bonuses and Allowances - Anniversary Bonus</v>
      </c>
      <c r="B227" s="597" t="s">
        <v>169</v>
      </c>
      <c r="C227" s="625">
        <f t="array" ref="C227">INDEX(AccountCodes[PPSAS CODE],MATCH(B227,AccountCodes[NGAS CODE],0))</f>
        <v>5010299037</v>
      </c>
      <c r="D227" s="626">
        <f>IF(INDEX(AccountCodes[Normal Balance], MATCH(C227,AccountCodes[PPSAS CODE]))="Debit",E227-F227,0)</f>
        <v>6000</v>
      </c>
      <c r="E227" s="626">
        <f>SUMIF(PostTB[Account Code (Old)],B227,(PostTB[Debit]))+SUMIF(CkDJ[Account Code],B227,(CkDJ[Debit]))+SUMIF(CsDJ[Account Code],B227,(CsDJ[Debit]))+SUMIF(CRDJ[Account Code],B227,(CRDJ[Debit]))+SUMIF(GJ[Account Code],B227,(GJ[Debit]))</f>
        <v>6000</v>
      </c>
      <c r="F227" s="627">
        <f>SUMIF(PostTB[Account Code (Old)],B227,(PostTB[Credit]))+SUMIF(CkDJ[Account Code],B227,(CkDJ[Credit]))+SUMIF(CsDJ[Account Code],B227,(CsDJ[Credit]))+SUMIF(CRDJ[Account Code],B227,(CRDJ[Credit]))+SUMIF(GJ[Account Code],B227,(GJ[Credit]))</f>
        <v>0</v>
      </c>
      <c r="G227" s="627">
        <f>IF(INDEX(AccountCodes[Normal Balance], MATCH(C227,AccountCodes[PPSAS CODE]))="Credit",F227-E227,0)</f>
        <v>0</v>
      </c>
      <c r="H227" s="626">
        <f t="shared" si="3"/>
        <v>6000</v>
      </c>
    </row>
    <row r="228" spans="1:8" ht="15.75" hidden="1">
      <c r="A228" s="623" t="str">
        <f t="array" ref="A228">INDEX(AccountCodes[ACCOUNT NAME],MATCH(B228,AccountCodes[NGAS CODE],0))</f>
        <v>Other Bonuses and Allowances - Performance Based Bonus-Civilian</v>
      </c>
      <c r="B228" s="597" t="s">
        <v>1510</v>
      </c>
      <c r="C228" s="625">
        <f t="array" ref="C228">INDEX(AccountCodes[PPSAS CODE],MATCH(B228,AccountCodes[NGAS CODE],0))</f>
        <v>5010299014</v>
      </c>
      <c r="D228" s="626">
        <f>IF(INDEX(AccountCodes[Normal Balance], MATCH(C228,AccountCodes[PPSAS CODE]))="Debit",E228-F228,0)</f>
        <v>0</v>
      </c>
      <c r="E228" s="626">
        <f>SUMIF(PostTB[Account Code (Old)],B228,(PostTB[Debit]))+SUMIF(CkDJ[Account Code],B228,(CkDJ[Debit]))+SUMIF(CsDJ[Account Code],B228,(CsDJ[Debit]))+SUMIF(CRDJ[Account Code],B228,(CRDJ[Debit]))+SUMIF(GJ[Account Code],B228,(GJ[Debit]))</f>
        <v>0</v>
      </c>
      <c r="F228" s="627">
        <f>SUMIF(PostTB[Account Code (Old)],B228,(PostTB[Credit]))+SUMIF(CkDJ[Account Code],B228,(CkDJ[Credit]))+SUMIF(CsDJ[Account Code],B228,(CsDJ[Credit]))+SUMIF(CRDJ[Account Code],B228,(CRDJ[Credit]))+SUMIF(GJ[Account Code],B228,(GJ[Credit]))</f>
        <v>0</v>
      </c>
      <c r="G228" s="627">
        <f>IF(INDEX(AccountCodes[Normal Balance], MATCH(C228,AccountCodes[PPSAS CODE]))="Credit",F228-E228,0)</f>
        <v>0</v>
      </c>
      <c r="H228" s="626">
        <f t="shared" si="3"/>
        <v>0</v>
      </c>
    </row>
    <row r="229" spans="1:8" ht="15.75">
      <c r="A229" s="623" t="str">
        <f t="array" ref="A229">INDEX(AccountCodes[ACCOUNT NAME],MATCH(B229,AccountCodes[NGAS CODE],0))</f>
        <v>Retirement and Life Insurance Premiums</v>
      </c>
      <c r="B229" s="597" t="s">
        <v>175</v>
      </c>
      <c r="C229" s="625">
        <f t="array" ref="C229">INDEX(AccountCodes[PPSAS CODE],MATCH(B229,AccountCodes[NGAS CODE],0))</f>
        <v>5010301000</v>
      </c>
      <c r="D229" s="626">
        <f>IF(INDEX(AccountCodes[Normal Balance], MATCH(C229,AccountCodes[PPSAS CODE]))="Debit",E229-F229,0)</f>
        <v>71655.31</v>
      </c>
      <c r="E229" s="626">
        <f>SUMIF(PostTB[Account Code (Old)],B229,(PostTB[Debit]))+SUMIF(CkDJ[Account Code],B229,(CkDJ[Debit]))+SUMIF(CsDJ[Account Code],B229,(CsDJ[Debit]))+SUMIF(CRDJ[Account Code],B229,(CRDJ[Debit]))+SUMIF(GJ[Account Code],B229,(GJ[Debit]))</f>
        <v>71655.31</v>
      </c>
      <c r="F229" s="627">
        <f>SUMIF(PostTB[Account Code (Old)],B229,(PostTB[Credit]))+SUMIF(CkDJ[Account Code],B229,(CkDJ[Credit]))+SUMIF(CsDJ[Account Code],B229,(CsDJ[Credit]))+SUMIF(CRDJ[Account Code],B229,(CRDJ[Credit]))+SUMIF(GJ[Account Code],B229,(GJ[Credit]))</f>
        <v>0</v>
      </c>
      <c r="G229" s="627">
        <f>IF(INDEX(AccountCodes[Normal Balance], MATCH(C229,AccountCodes[PPSAS CODE]))="Credit",F229-E229,0)</f>
        <v>0</v>
      </c>
      <c r="H229" s="626">
        <f t="shared" si="3"/>
        <v>71655.31</v>
      </c>
    </row>
    <row r="230" spans="1:8" ht="15.75">
      <c r="A230" s="623" t="str">
        <f t="array" ref="A230">INDEX(AccountCodes[ACCOUNT NAME],MATCH(B230,AccountCodes[NGAS CODE],0))</f>
        <v>Pag-IBIG Contributions</v>
      </c>
      <c r="B230" s="597" t="s">
        <v>176</v>
      </c>
      <c r="C230" s="625">
        <f t="array" ref="C230">INDEX(AccountCodes[PPSAS CODE],MATCH(B230,AccountCodes[NGAS CODE],0))</f>
        <v>5010302000</v>
      </c>
      <c r="D230" s="626">
        <f>IF(INDEX(AccountCodes[Normal Balance], MATCH(C230,AccountCodes[PPSAS CODE]))="Debit",E230-F230,0)</f>
        <v>2200</v>
      </c>
      <c r="E230" s="626">
        <f>SUMIF(PostTB[Account Code (Old)],B230,(PostTB[Debit]))+SUMIF(CkDJ[Account Code],B230,(CkDJ[Debit]))+SUMIF(CsDJ[Account Code],B230,(CsDJ[Debit]))+SUMIF(CRDJ[Account Code],B230,(CRDJ[Debit]))+SUMIF(GJ[Account Code],B230,(GJ[Debit]))</f>
        <v>2200</v>
      </c>
      <c r="F230" s="627">
        <f>SUMIF(PostTB[Account Code (Old)],B230,(PostTB[Credit]))+SUMIF(CkDJ[Account Code],B230,(CkDJ[Credit]))+SUMIF(CsDJ[Account Code],B230,(CsDJ[Credit]))+SUMIF(CRDJ[Account Code],B230,(CRDJ[Credit]))+SUMIF(GJ[Account Code],B230,(GJ[Credit]))</f>
        <v>0</v>
      </c>
      <c r="G230" s="627">
        <f>IF(INDEX(AccountCodes[Normal Balance], MATCH(C230,AccountCodes[PPSAS CODE]))="Credit",F230-E230,0)</f>
        <v>0</v>
      </c>
      <c r="H230" s="626">
        <f t="shared" si="3"/>
        <v>2200</v>
      </c>
    </row>
    <row r="231" spans="1:8" ht="15.75">
      <c r="A231" s="623" t="str">
        <f t="array" ref="A231">INDEX(AccountCodes[ACCOUNT NAME],MATCH(B231,AccountCodes[NGAS CODE],0))</f>
        <v>PhilHealth Contributions</v>
      </c>
      <c r="B231" s="597" t="s">
        <v>177</v>
      </c>
      <c r="C231" s="625">
        <f t="array" ref="C231">INDEX(AccountCodes[PPSAS CODE],MATCH(B231,AccountCodes[NGAS CODE],0))</f>
        <v>5010303000</v>
      </c>
      <c r="D231" s="626">
        <f>IF(INDEX(AccountCodes[Normal Balance], MATCH(C231,AccountCodes[PPSAS CODE]))="Debit",E231-F231,0)</f>
        <v>12187.92</v>
      </c>
      <c r="E231" s="626">
        <f>SUMIF(PostTB[Account Code (Old)],B231,(PostTB[Debit]))+SUMIF(CkDJ[Account Code],B231,(CkDJ[Debit]))+SUMIF(CsDJ[Account Code],B231,(CsDJ[Debit]))+SUMIF(CRDJ[Account Code],B231,(CRDJ[Debit]))+SUMIF(GJ[Account Code],B231,(GJ[Debit]))</f>
        <v>12187.92</v>
      </c>
      <c r="F231" s="627">
        <f>SUMIF(PostTB[Account Code (Old)],B231,(PostTB[Credit]))+SUMIF(CkDJ[Account Code],B231,(CkDJ[Credit]))+SUMIF(CsDJ[Account Code],B231,(CsDJ[Credit]))+SUMIF(CRDJ[Account Code],B231,(CRDJ[Credit]))+SUMIF(GJ[Account Code],B231,(GJ[Credit]))</f>
        <v>0</v>
      </c>
      <c r="G231" s="627">
        <f>IF(INDEX(AccountCodes[Normal Balance], MATCH(C231,AccountCodes[PPSAS CODE]))="Credit",F231-E231,0)</f>
        <v>0</v>
      </c>
      <c r="H231" s="626">
        <f t="shared" si="3"/>
        <v>12187.92</v>
      </c>
    </row>
    <row r="232" spans="1:8" ht="15.75">
      <c r="A232" s="623" t="str">
        <f t="array" ref="A232">INDEX(AccountCodes[ACCOUNT NAME],MATCH(B232,AccountCodes[NGAS CODE],0))</f>
        <v>Employees Compensation Insurance Premiums</v>
      </c>
      <c r="B232" s="597" t="s">
        <v>178</v>
      </c>
      <c r="C232" s="625">
        <f t="array" ref="C232">INDEX(AccountCodes[PPSAS CODE],MATCH(B232,AccountCodes[NGAS CODE],0))</f>
        <v>5010304000</v>
      </c>
      <c r="D232" s="626">
        <f>IF(INDEX(AccountCodes[Normal Balance], MATCH(C232,AccountCodes[PPSAS CODE]))="Debit",E232-F232,0)</f>
        <v>2200</v>
      </c>
      <c r="E232" s="626">
        <f>SUMIF(PostTB[Account Code (Old)],B232,(PostTB[Debit]))+SUMIF(CkDJ[Account Code],B232,(CkDJ[Debit]))+SUMIF(CsDJ[Account Code],B232,(CsDJ[Debit]))+SUMIF(CRDJ[Account Code],B232,(CRDJ[Debit]))+SUMIF(GJ[Account Code],B232,(GJ[Debit]))</f>
        <v>2200</v>
      </c>
      <c r="F232" s="627">
        <f>SUMIF(PostTB[Account Code (Old)],B232,(PostTB[Credit]))+SUMIF(CkDJ[Account Code],B232,(CkDJ[Credit]))+SUMIF(CsDJ[Account Code],B232,(CsDJ[Credit]))+SUMIF(CRDJ[Account Code],B232,(CRDJ[Credit]))+SUMIF(GJ[Account Code],B232,(GJ[Credit]))</f>
        <v>0</v>
      </c>
      <c r="G232" s="627">
        <f>IF(INDEX(AccountCodes[Normal Balance], MATCH(C232,AccountCodes[PPSAS CODE]))="Credit",F232-E232,0)</f>
        <v>0</v>
      </c>
      <c r="H232" s="626">
        <f t="shared" si="3"/>
        <v>2200</v>
      </c>
    </row>
    <row r="233" spans="1:8" ht="15.75" hidden="1">
      <c r="A233" s="623" t="str">
        <f t="array" ref="A233">INDEX(AccountCodes[ACCOUNT NAME],MATCH(B233,AccountCodes[NGAS CODE],0))</f>
        <v>Retirement Gratuity</v>
      </c>
      <c r="B233" s="597" t="s">
        <v>179</v>
      </c>
      <c r="C233" s="625">
        <f t="array" ref="C233">INDEX(AccountCodes[PPSAS CODE],MATCH(B233,AccountCodes[NGAS CODE],0))</f>
        <v>5010402000</v>
      </c>
      <c r="D233" s="626">
        <f>IF(INDEX(AccountCodes[Normal Balance], MATCH(C233,AccountCodes[PPSAS CODE]))="Debit",E233-F233,0)</f>
        <v>0</v>
      </c>
      <c r="E233" s="626">
        <f>SUMIF(PostTB[Account Code (Old)],B233,(PostTB[Debit]))+SUMIF(CkDJ[Account Code],B233,(CkDJ[Debit]))+SUMIF(CsDJ[Account Code],B233,(CsDJ[Debit]))+SUMIF(CRDJ[Account Code],B233,(CRDJ[Debit]))+SUMIF(GJ[Account Code],B233,(GJ[Debit]))</f>
        <v>0</v>
      </c>
      <c r="F233" s="627">
        <f>SUMIF(PostTB[Account Code (Old)],B233,(PostTB[Credit]))+SUMIF(CkDJ[Account Code],B233,(CkDJ[Credit]))+SUMIF(CsDJ[Account Code],B233,(CsDJ[Credit]))+SUMIF(CRDJ[Account Code],B233,(CRDJ[Credit]))+SUMIF(GJ[Account Code],B233,(GJ[Credit]))</f>
        <v>0</v>
      </c>
      <c r="G233" s="627">
        <f>IF(INDEX(AccountCodes[Normal Balance], MATCH(C233,AccountCodes[PPSAS CODE]))="Credit",F233-E233,0)</f>
        <v>0</v>
      </c>
      <c r="H233" s="626">
        <f t="shared" si="3"/>
        <v>0</v>
      </c>
    </row>
    <row r="234" spans="1:8" ht="15.75">
      <c r="A234" s="623" t="str">
        <f t="array" ref="A234">INDEX(AccountCodes[ACCOUNT NAME],MATCH(B234,AccountCodes[NGAS CODE],0))</f>
        <v>Terminal Leave Benefits</v>
      </c>
      <c r="B234" s="597" t="s">
        <v>212</v>
      </c>
      <c r="C234" s="625">
        <f t="array" ref="C234">INDEX(AccountCodes[PPSAS CODE],MATCH(B234,AccountCodes[NGAS CODE],0))</f>
        <v>5010403000</v>
      </c>
      <c r="D234" s="626">
        <f>IF(INDEX(AccountCodes[Normal Balance], MATCH(C234,AccountCodes[PPSAS CODE]))="Debit",E234-F234,0)</f>
        <v>0</v>
      </c>
      <c r="E234" s="626">
        <f>SUMIF(PostTB[Account Code (Old)],B234,(PostTB[Debit]))+SUMIF(CkDJ[Account Code],B234,(CkDJ[Debit]))+SUMIF(CsDJ[Account Code],B234,(CsDJ[Debit]))+SUMIF(CRDJ[Account Code],B234,(CRDJ[Debit]))+SUMIF(GJ[Account Code],B234,(GJ[Debit]))</f>
        <v>0</v>
      </c>
      <c r="F234" s="627">
        <f>SUMIF(PostTB[Account Code (Old)],B234,(PostTB[Credit]))+SUMIF(CkDJ[Account Code],B234,(CkDJ[Credit]))+SUMIF(CsDJ[Account Code],B234,(CsDJ[Credit]))+SUMIF(CRDJ[Account Code],B234,(CRDJ[Credit]))+SUMIF(GJ[Account Code],B234,(GJ[Credit]))</f>
        <v>0</v>
      </c>
      <c r="G234" s="627">
        <f>IF(INDEX(AccountCodes[Normal Balance], MATCH(C234,AccountCodes[PPSAS CODE]))="Credit",F234-E234,0)</f>
        <v>0</v>
      </c>
      <c r="H234" s="626">
        <f t="shared" si="3"/>
        <v>0</v>
      </c>
    </row>
    <row r="235" spans="1:8" ht="15.75" hidden="1">
      <c r="A235" s="623" t="str">
        <f t="array" ref="A235">INDEX(AccountCodes[ACCOUNT NAME],MATCH(B235,AccountCodes[NGAS CODE],0))</f>
        <v>Other Personnel Benefits</v>
      </c>
      <c r="B235" s="597" t="s">
        <v>213</v>
      </c>
      <c r="C235" s="625">
        <f t="array" ref="C235">INDEX(AccountCodes[PPSAS CODE],MATCH(B235,AccountCodes[NGAS CODE],0))</f>
        <v>5010499099</v>
      </c>
      <c r="D235" s="626">
        <f>IF(INDEX(AccountCodes[Normal Balance], MATCH(C235,AccountCodes[PPSAS CODE]))="Debit",E235-F235,0)</f>
        <v>0</v>
      </c>
      <c r="E235" s="626">
        <f>SUMIF(PostTB[Account Code (Old)],B235,(PostTB[Debit]))+SUMIF(CkDJ[Account Code],B235,(CkDJ[Debit]))+SUMIF(CsDJ[Account Code],B235,(CsDJ[Debit]))+SUMIF(CRDJ[Account Code],B235,(CRDJ[Debit]))+SUMIF(GJ[Account Code],B235,(GJ[Debit]))</f>
        <v>0</v>
      </c>
      <c r="F235" s="627">
        <f>SUMIF(PostTB[Account Code (Old)],B235,(PostTB[Credit]))+SUMIF(CkDJ[Account Code],B235,(CkDJ[Credit]))+SUMIF(CsDJ[Account Code],B235,(CsDJ[Credit]))+SUMIF(CRDJ[Account Code],B235,(CRDJ[Credit]))+SUMIF(GJ[Account Code],B235,(GJ[Credit]))</f>
        <v>0</v>
      </c>
      <c r="G235" s="627">
        <f>IF(INDEX(AccountCodes[Normal Balance], MATCH(C235,AccountCodes[PPSAS CODE]))="Credit",F235-E235,0)</f>
        <v>0</v>
      </c>
      <c r="H235" s="626">
        <f t="shared" si="3"/>
        <v>0</v>
      </c>
    </row>
    <row r="236" spans="1:8" ht="15.75">
      <c r="A236" s="623" t="str">
        <f t="array" ref="A236">INDEX(AccountCodes[ACCOUNT NAME],MATCH(B236,AccountCodes[NGAS CODE],0))</f>
        <v>Traveling Expenses-Local</v>
      </c>
      <c r="B236" s="597" t="s">
        <v>223</v>
      </c>
      <c r="C236" s="625">
        <f t="array" ref="C236">INDEX(AccountCodes[PPSAS CODE],MATCH(B236,AccountCodes[NGAS CODE],0))</f>
        <v>5020101000</v>
      </c>
      <c r="D236" s="626">
        <f>IF(INDEX(AccountCodes[Normal Balance], MATCH(C236,AccountCodes[PPSAS CODE]))="Debit",E236-F236,0)</f>
        <v>94710.09</v>
      </c>
      <c r="E236" s="626">
        <f>SUMIF(PostTB[Account Code (Old)],B236,(PostTB[Debit]))+SUMIF(CkDJ[Account Code],B236,(CkDJ[Debit]))+SUMIF(CsDJ[Account Code],B236,(CsDJ[Debit]))+SUMIF(CRDJ[Account Code],B236,(CRDJ[Debit]))+SUMIF(GJ[Account Code],B236,(GJ[Debit]))</f>
        <v>94710.09</v>
      </c>
      <c r="F236" s="627">
        <f>SUMIF(PostTB[Account Code (Old)],B236,(PostTB[Credit]))+SUMIF(CkDJ[Account Code],B236,(CkDJ[Credit]))+SUMIF(CsDJ[Account Code],B236,(CsDJ[Credit]))+SUMIF(CRDJ[Account Code],B236,(CRDJ[Credit]))+SUMIF(GJ[Account Code],B236,(GJ[Credit]))</f>
        <v>0</v>
      </c>
      <c r="G236" s="627">
        <f>IF(INDEX(AccountCodes[Normal Balance], MATCH(C236,AccountCodes[PPSAS CODE]))="Credit",F236-E236,0)</f>
        <v>0</v>
      </c>
      <c r="H236" s="626">
        <f t="shared" si="3"/>
        <v>94710.09</v>
      </c>
    </row>
    <row r="237" spans="1:8" ht="15.75" hidden="1">
      <c r="A237" s="623" t="str">
        <f t="array" ref="A237">INDEX(AccountCodes[ACCOUNT NAME],MATCH(B237,AccountCodes[NGAS CODE],0))</f>
        <v>Traveling Expenses-Foreign</v>
      </c>
      <c r="B237" s="597" t="s">
        <v>1233</v>
      </c>
      <c r="C237" s="625">
        <f t="array" ref="C237">INDEX(AccountCodes[PPSAS CODE],MATCH(B237,AccountCodes[NGAS CODE],0))</f>
        <v>5020102000</v>
      </c>
      <c r="D237" s="626">
        <f>IF(INDEX(AccountCodes[Normal Balance], MATCH(C237,AccountCodes[PPSAS CODE]))="Debit",E237-F237,0)</f>
        <v>0</v>
      </c>
      <c r="E237" s="626">
        <f>SUMIF(PostTB[Account Code (Old)],B237,(PostTB[Debit]))+SUMIF(CkDJ[Account Code],B237,(CkDJ[Debit]))+SUMIF(CsDJ[Account Code],B237,(CsDJ[Debit]))+SUMIF(CRDJ[Account Code],B237,(CRDJ[Debit]))+SUMIF(GJ[Account Code],B237,(GJ[Debit]))</f>
        <v>0</v>
      </c>
      <c r="F237" s="627">
        <f>SUMIF(PostTB[Account Code (Old)],B237,(PostTB[Credit]))+SUMIF(CkDJ[Account Code],B237,(CkDJ[Credit]))+SUMIF(CsDJ[Account Code],B237,(CsDJ[Credit]))+SUMIF(CRDJ[Account Code],B237,(CRDJ[Credit]))+SUMIF(GJ[Account Code],B237,(GJ[Credit]))</f>
        <v>0</v>
      </c>
      <c r="G237" s="627">
        <f>IF(INDEX(AccountCodes[Normal Balance], MATCH(C237,AccountCodes[PPSAS CODE]))="Credit",F237-E237,0)</f>
        <v>0</v>
      </c>
      <c r="H237" s="626">
        <f t="shared" si="3"/>
        <v>0</v>
      </c>
    </row>
    <row r="238" spans="1:8" ht="15.75">
      <c r="A238" s="623" t="str">
        <f t="array" ref="A238">INDEX(AccountCodes[ACCOUNT NAME],MATCH(B238,AccountCodes[NGAS CODE],0))</f>
        <v>Training Expenses</v>
      </c>
      <c r="B238" s="597" t="s">
        <v>224</v>
      </c>
      <c r="C238" s="625">
        <f t="array" ref="C238">INDEX(AccountCodes[PPSAS CODE],MATCH(B238,AccountCodes[NGAS CODE],0))</f>
        <v>5020201000</v>
      </c>
      <c r="D238" s="626">
        <f>IF(INDEX(AccountCodes[Normal Balance], MATCH(C238,AccountCodes[PPSAS CODE]))="Debit",E238-F238,0)</f>
        <v>1035215</v>
      </c>
      <c r="E238" s="626">
        <f>SUMIF(PostTB[Account Code (Old)],B238,(PostTB[Debit]))+SUMIF(CkDJ[Account Code],B238,(CkDJ[Debit]))+SUMIF(CsDJ[Account Code],B238,(CsDJ[Debit]))+SUMIF(CRDJ[Account Code],B238,(CRDJ[Debit]))+SUMIF(GJ[Account Code],B238,(GJ[Debit]))</f>
        <v>1035215</v>
      </c>
      <c r="F238" s="627">
        <f>SUMIF(PostTB[Account Code (Old)],B238,(PostTB[Credit]))+SUMIF(CkDJ[Account Code],B238,(CkDJ[Credit]))+SUMIF(CsDJ[Account Code],B238,(CsDJ[Credit]))+SUMIF(CRDJ[Account Code],B238,(CRDJ[Credit]))+SUMIF(GJ[Account Code],B238,(GJ[Credit]))</f>
        <v>0</v>
      </c>
      <c r="G238" s="627">
        <f>IF(INDEX(AccountCodes[Normal Balance], MATCH(C238,AccountCodes[PPSAS CODE]))="Credit",F238-E238,0)</f>
        <v>0</v>
      </c>
      <c r="H238" s="626">
        <f t="shared" si="3"/>
        <v>1035215</v>
      </c>
    </row>
    <row r="239" spans="1:8" ht="15.75" hidden="1">
      <c r="A239" s="623" t="str">
        <f t="array" ref="A239">INDEX(AccountCodes[ACCOUNT NAME],MATCH(B239,AccountCodes[NGAS CODE],0))</f>
        <v>Scholarship Grants/Expenses</v>
      </c>
      <c r="B239" s="597" t="s">
        <v>1234</v>
      </c>
      <c r="C239" s="625">
        <f t="array" ref="C239">INDEX(AccountCodes[PPSAS CODE],MATCH(B239,AccountCodes[NGAS CODE],0))</f>
        <v>5020202000</v>
      </c>
      <c r="D239" s="626">
        <f>IF(INDEX(AccountCodes[Normal Balance], MATCH(C239,AccountCodes[PPSAS CODE]))="Debit",E239-F239,0)</f>
        <v>0</v>
      </c>
      <c r="E239" s="626">
        <f>SUMIF(PostTB[Account Code (Old)],B239,(PostTB[Debit]))+SUMIF(CkDJ[Account Code],B239,(CkDJ[Debit]))+SUMIF(CsDJ[Account Code],B239,(CsDJ[Debit]))+SUMIF(CRDJ[Account Code],B239,(CRDJ[Debit]))+SUMIF(GJ[Account Code],B239,(GJ[Debit]))</f>
        <v>0</v>
      </c>
      <c r="F239" s="627">
        <f>SUMIF(PostTB[Account Code (Old)],B239,(PostTB[Credit]))+SUMIF(CkDJ[Account Code],B239,(CkDJ[Credit]))+SUMIF(CsDJ[Account Code],B239,(CsDJ[Credit]))+SUMIF(CRDJ[Account Code],B239,(CRDJ[Credit]))+SUMIF(GJ[Account Code],B239,(GJ[Credit]))</f>
        <v>0</v>
      </c>
      <c r="G239" s="627">
        <f>IF(INDEX(AccountCodes[Normal Balance], MATCH(C239,AccountCodes[PPSAS CODE]))="Credit",F239-E239,0)</f>
        <v>0</v>
      </c>
      <c r="H239" s="626">
        <f t="shared" si="3"/>
        <v>0</v>
      </c>
    </row>
    <row r="240" spans="1:8" ht="15.75">
      <c r="A240" s="623" t="str">
        <f t="array" ref="A240">INDEX(AccountCodes[ACCOUNT NAME],MATCH(B240,AccountCodes[NGAS CODE],0))</f>
        <v>Office Supplies Expenses</v>
      </c>
      <c r="B240" s="597" t="s">
        <v>225</v>
      </c>
      <c r="C240" s="625">
        <f t="array" ref="C240">INDEX(AccountCodes[PPSAS CODE],MATCH(B240,AccountCodes[NGAS CODE],0))</f>
        <v>5020301000</v>
      </c>
      <c r="D240" s="626">
        <f>IF(INDEX(AccountCodes[Normal Balance], MATCH(C240,AccountCodes[PPSAS CODE]))="Debit",E240-F240,0)</f>
        <v>426103.96</v>
      </c>
      <c r="E240" s="626">
        <f>SUMIF(PostTB[Account Code (Old)],B240,(PostTB[Debit]))+SUMIF(CkDJ[Account Code],B240,(CkDJ[Debit]))+SUMIF(CsDJ[Account Code],B240,(CsDJ[Debit]))+SUMIF(CRDJ[Account Code],B240,(CRDJ[Debit]))+SUMIF(GJ[Account Code],B240,(GJ[Debit]))</f>
        <v>426103.96</v>
      </c>
      <c r="F240" s="627">
        <f>SUMIF(PostTB[Account Code (Old)],B240,(PostTB[Credit]))+SUMIF(CkDJ[Account Code],B240,(CkDJ[Credit]))+SUMIF(CsDJ[Account Code],B240,(CsDJ[Credit]))+SUMIF(CRDJ[Account Code],B240,(CRDJ[Credit]))+SUMIF(GJ[Account Code],B240,(GJ[Credit]))</f>
        <v>0</v>
      </c>
      <c r="G240" s="627">
        <f>IF(INDEX(AccountCodes[Normal Balance], MATCH(C240,AccountCodes[PPSAS CODE]))="Credit",F240-E240,0)</f>
        <v>0</v>
      </c>
      <c r="H240" s="626">
        <f t="shared" si="3"/>
        <v>426103.96</v>
      </c>
    </row>
    <row r="241" spans="1:8" ht="15.75" hidden="1">
      <c r="A241" s="623" t="str">
        <f t="array" ref="A241">INDEX(AccountCodes[ACCOUNT NAME],MATCH(B241,AccountCodes[NGAS CODE],0))</f>
        <v>Accountable Forms Expenses</v>
      </c>
      <c r="B241" s="597" t="s">
        <v>226</v>
      </c>
      <c r="C241" s="625">
        <f t="array" ref="C241">INDEX(AccountCodes[PPSAS CODE],MATCH(B241,AccountCodes[NGAS CODE],0))</f>
        <v>5020302000</v>
      </c>
      <c r="D241" s="626">
        <f>IF(INDEX(AccountCodes[Normal Balance], MATCH(C241,AccountCodes[PPSAS CODE]))="Debit",E241-F241,0)</f>
        <v>0</v>
      </c>
      <c r="E241" s="626">
        <f>SUMIF(PostTB[Account Code (Old)],B241,(PostTB[Debit]))+SUMIF(CkDJ[Account Code],B241,(CkDJ[Debit]))+SUMIF(CsDJ[Account Code],B241,(CsDJ[Debit]))+SUMIF(CRDJ[Account Code],B241,(CRDJ[Debit]))+SUMIF(GJ[Account Code],B241,(GJ[Debit]))</f>
        <v>0</v>
      </c>
      <c r="F241" s="627">
        <f>SUMIF(PostTB[Account Code (Old)],B241,(PostTB[Credit]))+SUMIF(CkDJ[Account Code],B241,(CkDJ[Credit]))+SUMIF(CsDJ[Account Code],B241,(CsDJ[Credit]))+SUMIF(CRDJ[Account Code],B241,(CRDJ[Credit]))+SUMIF(GJ[Account Code],B241,(GJ[Credit]))</f>
        <v>0</v>
      </c>
      <c r="G241" s="627">
        <f>IF(INDEX(AccountCodes[Normal Balance], MATCH(C241,AccountCodes[PPSAS CODE]))="Credit",F241-E241,0)</f>
        <v>0</v>
      </c>
      <c r="H241" s="626">
        <f t="shared" si="3"/>
        <v>0</v>
      </c>
    </row>
    <row r="242" spans="1:8" ht="15.75" hidden="1">
      <c r="A242" s="623" t="str">
        <f t="array" ref="A242">INDEX(AccountCodes[ACCOUNT NAME],MATCH(B242,AccountCodes[NGAS CODE],0))</f>
        <v>Food Supplies Expenses</v>
      </c>
      <c r="B242" s="597" t="s">
        <v>1235</v>
      </c>
      <c r="C242" s="625">
        <f t="array" ref="C242">INDEX(AccountCodes[PPSAS CODE],MATCH(B242,AccountCodes[NGAS CODE],0))</f>
        <v>5020305000</v>
      </c>
      <c r="D242" s="626">
        <f>IF(INDEX(AccountCodes[Normal Balance], MATCH(C242,AccountCodes[PPSAS CODE]))="Debit",E242-F242,0)</f>
        <v>0</v>
      </c>
      <c r="E242" s="626">
        <f>SUMIF(PostTB[Account Code (Old)],B242,(PostTB[Debit]))+SUMIF(CkDJ[Account Code],B242,(CkDJ[Debit]))+SUMIF(CsDJ[Account Code],B242,(CsDJ[Debit]))+SUMIF(CRDJ[Account Code],B242,(CRDJ[Debit]))+SUMIF(GJ[Account Code],B242,(GJ[Debit]))</f>
        <v>0</v>
      </c>
      <c r="F242" s="627">
        <f>SUMIF(PostTB[Account Code (Old)],B242,(PostTB[Credit]))+SUMIF(CkDJ[Account Code],B242,(CkDJ[Credit]))+SUMIF(CsDJ[Account Code],B242,(CsDJ[Credit]))+SUMIF(CRDJ[Account Code],B242,(CRDJ[Credit]))+SUMIF(GJ[Account Code],B242,(GJ[Credit]))</f>
        <v>0</v>
      </c>
      <c r="G242" s="627">
        <f>IF(INDEX(AccountCodes[Normal Balance], MATCH(C242,AccountCodes[PPSAS CODE]))="Credit",F242-E242,0)</f>
        <v>0</v>
      </c>
      <c r="H242" s="626">
        <f t="shared" si="3"/>
        <v>0</v>
      </c>
    </row>
    <row r="243" spans="1:8" ht="15.75" hidden="1">
      <c r="A243" s="623" t="str">
        <f t="array" ref="A243">INDEX(AccountCodes[ACCOUNT NAME],MATCH(B243,AccountCodes[NGAS CODE],0))</f>
        <v>Drugs and Medicines Expenses</v>
      </c>
      <c r="B243" s="597" t="s">
        <v>227</v>
      </c>
      <c r="C243" s="625">
        <f t="array" ref="C243">INDEX(AccountCodes[PPSAS CODE],MATCH(B243,AccountCodes[NGAS CODE],0))</f>
        <v>5020307000</v>
      </c>
      <c r="D243" s="626">
        <f>IF(INDEX(AccountCodes[Normal Balance], MATCH(C243,AccountCodes[PPSAS CODE]))="Debit",E243-F243,0)</f>
        <v>0</v>
      </c>
      <c r="E243" s="626">
        <f>SUMIF(PostTB[Account Code (Old)],B243,(PostTB[Debit]))+SUMIF(CkDJ[Account Code],B243,(CkDJ[Debit]))+SUMIF(CsDJ[Account Code],B243,(CsDJ[Debit]))+SUMIF(CRDJ[Account Code],B243,(CRDJ[Debit]))+SUMIF(GJ[Account Code],B243,(GJ[Debit]))</f>
        <v>0</v>
      </c>
      <c r="F243" s="627">
        <f>SUMIF(PostTB[Account Code (Old)],B243,(PostTB[Credit]))+SUMIF(CkDJ[Account Code],B243,(CkDJ[Credit]))+SUMIF(CsDJ[Account Code],B243,(CsDJ[Credit]))+SUMIF(CRDJ[Account Code],B243,(CRDJ[Credit]))+SUMIF(GJ[Account Code],B243,(GJ[Credit]))</f>
        <v>0</v>
      </c>
      <c r="G243" s="627">
        <f>IF(INDEX(AccountCodes[Normal Balance], MATCH(C243,AccountCodes[PPSAS CODE]))="Credit",F243-E243,0)</f>
        <v>0</v>
      </c>
      <c r="H243" s="626">
        <f t="shared" si="3"/>
        <v>0</v>
      </c>
    </row>
    <row r="244" spans="1:8" ht="15.75" hidden="1">
      <c r="A244" s="623" t="str">
        <f t="array" ref="A244">INDEX(AccountCodes[ACCOUNT NAME],MATCH(B244,AccountCodes[NGAS CODE],0))</f>
        <v>Medical, Dental and Laboratory Supplies Expenses</v>
      </c>
      <c r="B244" s="597" t="s">
        <v>228</v>
      </c>
      <c r="C244" s="625">
        <f t="array" ref="C244">INDEX(AccountCodes[PPSAS CODE],MATCH(B244,AccountCodes[NGAS CODE],0))</f>
        <v>5020308000</v>
      </c>
      <c r="D244" s="626">
        <f>IF(INDEX(AccountCodes[Normal Balance], MATCH(C244,AccountCodes[PPSAS CODE]))="Debit",E244-F244,0)</f>
        <v>0</v>
      </c>
      <c r="E244" s="626">
        <f>SUMIF(PostTB[Account Code (Old)],B244,(PostTB[Debit]))+SUMIF(CkDJ[Account Code],B244,(CkDJ[Debit]))+SUMIF(CsDJ[Account Code],B244,(CsDJ[Debit]))+SUMIF(CRDJ[Account Code],B244,(CRDJ[Debit]))+SUMIF(GJ[Account Code],B244,(GJ[Debit]))</f>
        <v>0</v>
      </c>
      <c r="F244" s="627">
        <f>SUMIF(PostTB[Account Code (Old)],B244,(PostTB[Credit]))+SUMIF(CkDJ[Account Code],B244,(CkDJ[Credit]))+SUMIF(CsDJ[Account Code],B244,(CsDJ[Credit]))+SUMIF(CRDJ[Account Code],B244,(CRDJ[Credit]))+SUMIF(GJ[Account Code],B244,(GJ[Credit]))</f>
        <v>0</v>
      </c>
      <c r="G244" s="627">
        <f>IF(INDEX(AccountCodes[Normal Balance], MATCH(C244,AccountCodes[PPSAS CODE]))="Credit",F244-E244,0)</f>
        <v>0</v>
      </c>
      <c r="H244" s="626">
        <f t="shared" si="3"/>
        <v>0</v>
      </c>
    </row>
    <row r="245" spans="1:8" ht="15.75">
      <c r="A245" s="623" t="str">
        <f t="array" ref="A245">INDEX(AccountCodes[ACCOUNT NAME],MATCH(B245,AccountCodes[NGAS CODE],0))</f>
        <v>Fuel, Oil and Lubricants Expenses</v>
      </c>
      <c r="B245" s="597" t="s">
        <v>229</v>
      </c>
      <c r="C245" s="625">
        <f t="array" ref="C245">INDEX(AccountCodes[PPSAS CODE],MATCH(B245,AccountCodes[NGAS CODE],0))</f>
        <v>5020309000</v>
      </c>
      <c r="D245" s="626">
        <f>IF(INDEX(AccountCodes[Normal Balance], MATCH(C245,AccountCodes[PPSAS CODE]))="Debit",E245-F245,0)</f>
        <v>84485.21</v>
      </c>
      <c r="E245" s="626">
        <f>SUMIF(PostTB[Account Code (Old)],B245,(PostTB[Debit]))+SUMIF(CkDJ[Account Code],B245,(CkDJ[Debit]))+SUMIF(CsDJ[Account Code],B245,(CsDJ[Debit]))+SUMIF(CRDJ[Account Code],B245,(CRDJ[Debit]))+SUMIF(GJ[Account Code],B245,(GJ[Debit]))</f>
        <v>84485.21</v>
      </c>
      <c r="F245" s="627">
        <f>SUMIF(PostTB[Account Code (Old)],B245,(PostTB[Credit]))+SUMIF(CkDJ[Account Code],B245,(CkDJ[Credit]))+SUMIF(CsDJ[Account Code],B245,(CsDJ[Credit]))+SUMIF(CRDJ[Account Code],B245,(CRDJ[Credit]))+SUMIF(GJ[Account Code],B245,(GJ[Credit]))</f>
        <v>0</v>
      </c>
      <c r="G245" s="627">
        <f>IF(INDEX(AccountCodes[Normal Balance], MATCH(C245,AccountCodes[PPSAS CODE]))="Credit",F245-E245,0)</f>
        <v>0</v>
      </c>
      <c r="H245" s="626">
        <f t="shared" si="3"/>
        <v>84485.21</v>
      </c>
    </row>
    <row r="246" spans="1:8" ht="15.75" hidden="1">
      <c r="A246" s="623" t="str">
        <f t="array" ref="A246">INDEX(AccountCodes[ACCOUNT NAME],MATCH(B246,AccountCodes[NGAS CODE],0))</f>
        <v>Textbooks and Instructional Materials Expenses</v>
      </c>
      <c r="B246" s="597" t="s">
        <v>230</v>
      </c>
      <c r="C246" s="625">
        <f t="array" ref="C246">INDEX(AccountCodes[PPSAS CODE],MATCH(B246,AccountCodes[NGAS CODE],0))</f>
        <v>5020311000</v>
      </c>
      <c r="D246" s="626">
        <f>IF(INDEX(AccountCodes[Normal Balance], MATCH(C246,AccountCodes[PPSAS CODE]))="Debit",E246-F246,0)</f>
        <v>0</v>
      </c>
      <c r="E246" s="626">
        <f>SUMIF(PostTB[Account Code (Old)],B246,(PostTB[Debit]))+SUMIF(CkDJ[Account Code],B246,(CkDJ[Debit]))+SUMIF(CsDJ[Account Code],B246,(CsDJ[Debit]))+SUMIF(CRDJ[Account Code],B246,(CRDJ[Debit]))+SUMIF(GJ[Account Code],B246,(GJ[Debit]))</f>
        <v>0</v>
      </c>
      <c r="F246" s="627">
        <f>SUMIF(PostTB[Account Code (Old)],B246,(PostTB[Credit]))+SUMIF(CkDJ[Account Code],B246,(CkDJ[Credit]))+SUMIF(CsDJ[Account Code],B246,(CsDJ[Credit]))+SUMIF(CRDJ[Account Code],B246,(CRDJ[Credit]))+SUMIF(GJ[Account Code],B246,(GJ[Credit]))</f>
        <v>0</v>
      </c>
      <c r="G246" s="627">
        <f>IF(INDEX(AccountCodes[Normal Balance], MATCH(C246,AccountCodes[PPSAS CODE]))="Credit",F246-E246,0)</f>
        <v>0</v>
      </c>
      <c r="H246" s="626">
        <f t="shared" si="3"/>
        <v>0</v>
      </c>
    </row>
    <row r="247" spans="1:8" ht="15.75" hidden="1">
      <c r="A247" s="623" t="str">
        <f t="array" ref="A247">INDEX(AccountCodes[ACCOUNT NAME],MATCH(B247,AccountCodes[NGAS CODE],0))</f>
        <v>Military, Police and Traffic Supplies Expenses</v>
      </c>
      <c r="B247" s="597" t="s">
        <v>1236</v>
      </c>
      <c r="C247" s="625">
        <f t="array" ref="C247">INDEX(AccountCodes[PPSAS CODE],MATCH(B247,AccountCodes[NGAS CODE],0))</f>
        <v>5020312000</v>
      </c>
      <c r="D247" s="626">
        <f>IF(INDEX(AccountCodes[Normal Balance], MATCH(C247,AccountCodes[PPSAS CODE]))="Debit",E247-F247,0)</f>
        <v>0</v>
      </c>
      <c r="E247" s="626">
        <f>SUMIF(PostTB[Account Code (Old)],B247,(PostTB[Debit]))+SUMIF(CkDJ[Account Code],B247,(CkDJ[Debit]))+SUMIF(CsDJ[Account Code],B247,(CsDJ[Debit]))+SUMIF(CRDJ[Account Code],B247,(CRDJ[Debit]))+SUMIF(GJ[Account Code],B247,(GJ[Debit]))</f>
        <v>0</v>
      </c>
      <c r="F247" s="627">
        <f>SUMIF(PostTB[Account Code (Old)],B247,(PostTB[Credit]))+SUMIF(CkDJ[Account Code],B247,(CkDJ[Credit]))+SUMIF(CsDJ[Account Code],B247,(CsDJ[Credit]))+SUMIF(CRDJ[Account Code],B247,(CRDJ[Credit]))+SUMIF(GJ[Account Code],B247,(GJ[Credit]))</f>
        <v>0</v>
      </c>
      <c r="G247" s="627">
        <f>IF(INDEX(AccountCodes[Normal Balance], MATCH(C247,AccountCodes[PPSAS CODE]))="Credit",F247-E247,0)</f>
        <v>0</v>
      </c>
      <c r="H247" s="626">
        <f t="shared" si="3"/>
        <v>0</v>
      </c>
    </row>
    <row r="248" spans="1:8" ht="15.75">
      <c r="A248" s="623" t="str">
        <f t="array" ref="A248">INDEX(AccountCodes[ACCOUNT NAME],MATCH(B248,AccountCodes[NGAS CODE],0))</f>
        <v>Semi-Expendable Machinery and Equipment Expenses</v>
      </c>
      <c r="B248" s="597" t="s">
        <v>1265</v>
      </c>
      <c r="C248" s="625">
        <f t="array" ref="C248">INDEX(AccountCodes[PPSAS CODE],MATCH(B248,AccountCodes[NGAS CODE],0))</f>
        <v>5020321000</v>
      </c>
      <c r="D248" s="626">
        <f>IF(INDEX(AccountCodes[Normal Balance], MATCH(C248,AccountCodes[PPSAS CODE]))="Debit",E248-F248,0)</f>
        <v>122058</v>
      </c>
      <c r="E248" s="626">
        <f>SUMIF(PostTB[Account Code (Old)],B248,(PostTB[Debit]))+SUMIF(CkDJ[Account Code],B248,(CkDJ[Debit]))+SUMIF(CsDJ[Account Code],B248,(CsDJ[Debit]))+SUMIF(CRDJ[Account Code],B248,(CRDJ[Debit]))+SUMIF(GJ[Account Code],B248,(GJ[Debit]))</f>
        <v>122058</v>
      </c>
      <c r="F248" s="627">
        <f>SUMIF(PostTB[Account Code (Old)],B248,(PostTB[Credit]))+SUMIF(CkDJ[Account Code],B248,(CkDJ[Credit]))+SUMIF(CsDJ[Account Code],B248,(CsDJ[Credit]))+SUMIF(CRDJ[Account Code],B248,(CRDJ[Credit]))+SUMIF(GJ[Account Code],B248,(GJ[Credit]))</f>
        <v>0</v>
      </c>
      <c r="G248" s="627">
        <f>IF(INDEX(AccountCodes[Normal Balance], MATCH(C248,AccountCodes[PPSAS CODE]))="Credit",F248-E248,0)</f>
        <v>0</v>
      </c>
      <c r="H248" s="626">
        <f t="shared" si="3"/>
        <v>122058</v>
      </c>
    </row>
    <row r="249" spans="1:8" ht="15.75">
      <c r="A249" s="623" t="str">
        <f t="array" ref="A249">INDEX(AccountCodes[ACCOUNT NAME],MATCH(B249,AccountCodes[NGAS CODE],0))</f>
        <v>Semi-Expendable Furniture, Fixtures and Books Expenses</v>
      </c>
      <c r="B249" s="597" t="s">
        <v>1266</v>
      </c>
      <c r="C249" s="625">
        <f t="array" ref="C249">INDEX(AccountCodes[PPSAS CODE],MATCH(B249,AccountCodes[NGAS CODE],0))</f>
        <v>5020322000</v>
      </c>
      <c r="D249" s="626">
        <f>IF(INDEX(AccountCodes[Normal Balance], MATCH(C249,AccountCodes[PPSAS CODE]))="Debit",E249-F249,0)</f>
        <v>67388</v>
      </c>
      <c r="E249" s="626">
        <f>SUMIF(PostTB[Account Code (Old)],B249,(PostTB[Debit]))+SUMIF(CkDJ[Account Code],B249,(CkDJ[Debit]))+SUMIF(CsDJ[Account Code],B249,(CsDJ[Debit]))+SUMIF(CRDJ[Account Code],B249,(CRDJ[Debit]))+SUMIF(GJ[Account Code],B249,(GJ[Debit]))</f>
        <v>67388</v>
      </c>
      <c r="F249" s="627">
        <f>SUMIF(PostTB[Account Code (Old)],B249,(PostTB[Credit]))+SUMIF(CkDJ[Account Code],B249,(CkDJ[Credit]))+SUMIF(CsDJ[Account Code],B249,(CsDJ[Credit]))+SUMIF(CRDJ[Account Code],B249,(CRDJ[Credit]))+SUMIF(GJ[Account Code],B249,(GJ[Credit]))</f>
        <v>0</v>
      </c>
      <c r="G249" s="627">
        <f>IF(INDEX(AccountCodes[Normal Balance], MATCH(C249,AccountCodes[PPSAS CODE]))="Credit",F249-E249,0)</f>
        <v>0</v>
      </c>
      <c r="H249" s="626">
        <f t="shared" si="3"/>
        <v>67388</v>
      </c>
    </row>
    <row r="250" spans="1:8" ht="15.75">
      <c r="A250" s="623" t="str">
        <f t="array" ref="A250">INDEX(AccountCodes[ACCOUNT NAME],MATCH(B250,AccountCodes[NGAS CODE],0))</f>
        <v>Other Supplies and Materials Expenses</v>
      </c>
      <c r="B250" s="597" t="s">
        <v>231</v>
      </c>
      <c r="C250" s="625">
        <f t="array" ref="C250">INDEX(AccountCodes[PPSAS CODE],MATCH(B250,AccountCodes[NGAS CODE],0))</f>
        <v>5020399000</v>
      </c>
      <c r="D250" s="626">
        <f>IF(INDEX(AccountCodes[Normal Balance], MATCH(C250,AccountCodes[PPSAS CODE]))="Debit",E250-F250,0)</f>
        <v>23887.65</v>
      </c>
      <c r="E250" s="626">
        <f>SUMIF(PostTB[Account Code (Old)],B250,(PostTB[Debit]))+SUMIF(CkDJ[Account Code],B250,(CkDJ[Debit]))+SUMIF(CsDJ[Account Code],B250,(CsDJ[Debit]))+SUMIF(CRDJ[Account Code],B250,(CRDJ[Debit]))+SUMIF(GJ[Account Code],B250,(GJ[Debit]))</f>
        <v>25444.5</v>
      </c>
      <c r="F250" s="627">
        <f>SUMIF(PostTB[Account Code (Old)],B250,(PostTB[Credit]))+SUMIF(CkDJ[Account Code],B250,(CkDJ[Credit]))+SUMIF(CsDJ[Account Code],B250,(CsDJ[Credit]))+SUMIF(CRDJ[Account Code],B250,(CRDJ[Credit]))+SUMIF(GJ[Account Code],B250,(GJ[Credit]))</f>
        <v>1556.85</v>
      </c>
      <c r="G250" s="627">
        <f>IF(INDEX(AccountCodes[Normal Balance], MATCH(C250,AccountCodes[PPSAS CODE]))="Credit",F250-E250,0)</f>
        <v>0</v>
      </c>
      <c r="H250" s="626">
        <f t="shared" si="3"/>
        <v>23887.65</v>
      </c>
    </row>
    <row r="251" spans="1:8" ht="15.75">
      <c r="A251" s="623" t="str">
        <f t="array" ref="A251">INDEX(AccountCodes[ACCOUNT NAME],MATCH(B251,AccountCodes[NGAS CODE],0))</f>
        <v>Water Expenses</v>
      </c>
      <c r="B251" s="597" t="s">
        <v>232</v>
      </c>
      <c r="C251" s="625">
        <f t="array" ref="C251">INDEX(AccountCodes[PPSAS CODE],MATCH(B251,AccountCodes[NGAS CODE],0))</f>
        <v>5020401000</v>
      </c>
      <c r="D251" s="626">
        <f>IF(INDEX(AccountCodes[Normal Balance], MATCH(C251,AccountCodes[PPSAS CODE]))="Debit",E251-F251,0)</f>
        <v>0</v>
      </c>
      <c r="E251" s="626">
        <f>SUMIF(PostTB[Account Code (Old)],B251,(PostTB[Debit]))+SUMIF(CkDJ[Account Code],B251,(CkDJ[Debit]))+SUMIF(CsDJ[Account Code],B251,(CsDJ[Debit]))+SUMIF(CRDJ[Account Code],B251,(CRDJ[Debit]))+SUMIF(GJ[Account Code],B251,(GJ[Debit]))</f>
        <v>0</v>
      </c>
      <c r="F251" s="627">
        <f>SUMIF(PostTB[Account Code (Old)],B251,(PostTB[Credit]))+SUMIF(CkDJ[Account Code],B251,(CkDJ[Credit]))+SUMIF(CsDJ[Account Code],B251,(CsDJ[Credit]))+SUMIF(CRDJ[Account Code],B251,(CRDJ[Credit]))+SUMIF(GJ[Account Code],B251,(GJ[Credit]))</f>
        <v>0</v>
      </c>
      <c r="G251" s="627">
        <f>IF(INDEX(AccountCodes[Normal Balance], MATCH(C251,AccountCodes[PPSAS CODE]))="Credit",F251-E251,0)</f>
        <v>0</v>
      </c>
      <c r="H251" s="626">
        <f t="shared" si="3"/>
        <v>0</v>
      </c>
    </row>
    <row r="252" spans="1:8" ht="15.75">
      <c r="A252" s="623" t="str">
        <f t="array" ref="A252">INDEX(AccountCodes[ACCOUNT NAME],MATCH(B252,AccountCodes[NGAS CODE],0))</f>
        <v>Electricity Expenses</v>
      </c>
      <c r="B252" s="597" t="s">
        <v>233</v>
      </c>
      <c r="C252" s="625">
        <f t="array" ref="C252">INDEX(AccountCodes[PPSAS CODE],MATCH(B252,AccountCodes[NGAS CODE],0))</f>
        <v>5020402000</v>
      </c>
      <c r="D252" s="626">
        <f>IF(INDEX(AccountCodes[Normal Balance], MATCH(C252,AccountCodes[PPSAS CODE]))="Debit",E252-F252,0)</f>
        <v>0</v>
      </c>
      <c r="E252" s="626">
        <f>SUMIF(PostTB[Account Code (Old)],B252,(PostTB[Debit]))+SUMIF(CkDJ[Account Code],B252,(CkDJ[Debit]))+SUMIF(CsDJ[Account Code],B252,(CsDJ[Debit]))+SUMIF(CRDJ[Account Code],B252,(CRDJ[Debit]))+SUMIF(GJ[Account Code],B252,(GJ[Debit]))</f>
        <v>0</v>
      </c>
      <c r="F252" s="627">
        <f>SUMIF(PostTB[Account Code (Old)],B252,(PostTB[Credit]))+SUMIF(CkDJ[Account Code],B252,(CkDJ[Credit]))+SUMIF(CsDJ[Account Code],B252,(CsDJ[Credit]))+SUMIF(CRDJ[Account Code],B252,(CRDJ[Credit]))+SUMIF(GJ[Account Code],B252,(GJ[Credit]))</f>
        <v>0</v>
      </c>
      <c r="G252" s="627">
        <f>IF(INDEX(AccountCodes[Normal Balance], MATCH(C252,AccountCodes[PPSAS CODE]))="Credit",F252-E252,0)</f>
        <v>0</v>
      </c>
      <c r="H252" s="626">
        <f t="shared" si="3"/>
        <v>0</v>
      </c>
    </row>
    <row r="253" spans="1:8" ht="15.75">
      <c r="A253" s="623" t="str">
        <f t="array" ref="A253">INDEX(AccountCodes[ACCOUNT NAME],MATCH(B253,AccountCodes[NGAS CODE],0))</f>
        <v>Other Utility Expenses</v>
      </c>
      <c r="B253" s="597" t="s">
        <v>1237</v>
      </c>
      <c r="C253" s="625">
        <f t="array" ref="C253">INDEX(AccountCodes[PPSAS CODE],MATCH(B253,AccountCodes[NGAS CODE],0))</f>
        <v>5020499000</v>
      </c>
      <c r="D253" s="626">
        <f>IF(INDEX(AccountCodes[Normal Balance], MATCH(C253,AccountCodes[PPSAS CODE]))="Debit",E253-F253,0)</f>
        <v>0</v>
      </c>
      <c r="E253" s="626">
        <f>SUMIF(PostTB[Account Code (Old)],B253,(PostTB[Debit]))+SUMIF(CkDJ[Account Code],B253,(CkDJ[Debit]))+SUMIF(CsDJ[Account Code],B253,(CsDJ[Debit]))+SUMIF(CRDJ[Account Code],B253,(CRDJ[Debit]))+SUMIF(GJ[Account Code],B253,(GJ[Debit]))</f>
        <v>0</v>
      </c>
      <c r="F253" s="627">
        <f>SUMIF(PostTB[Account Code (Old)],B253,(PostTB[Credit]))+SUMIF(CkDJ[Account Code],B253,(CkDJ[Credit]))+SUMIF(CsDJ[Account Code],B253,(CsDJ[Credit]))+SUMIF(CRDJ[Account Code],B253,(CRDJ[Credit]))+SUMIF(GJ[Account Code],B253,(GJ[Credit]))</f>
        <v>0</v>
      </c>
      <c r="G253" s="627">
        <f>IF(INDEX(AccountCodes[Normal Balance], MATCH(C253,AccountCodes[PPSAS CODE]))="Credit",F253-E253,0)</f>
        <v>0</v>
      </c>
      <c r="H253" s="626">
        <f t="shared" si="3"/>
        <v>0</v>
      </c>
    </row>
    <row r="254" spans="1:8" ht="15.75" hidden="1">
      <c r="A254" s="623" t="str">
        <f t="array" ref="A254">INDEX(AccountCodes[ACCOUNT NAME],MATCH(B254,AccountCodes[NGAS CODE],0))</f>
        <v>Postage and Courier Expenses</v>
      </c>
      <c r="B254" s="597" t="s">
        <v>234</v>
      </c>
      <c r="C254" s="625">
        <f t="array" ref="C254">INDEX(AccountCodes[PPSAS CODE],MATCH(B254,AccountCodes[NGAS CODE],0))</f>
        <v>5020501000</v>
      </c>
      <c r="D254" s="626">
        <f>IF(INDEX(AccountCodes[Normal Balance], MATCH(C254,AccountCodes[PPSAS CODE]))="Debit",E254-F254,0)</f>
        <v>0</v>
      </c>
      <c r="E254" s="626">
        <f>SUMIF(PostTB[Account Code (Old)],B254,(PostTB[Debit]))+SUMIF(CkDJ[Account Code],B254,(CkDJ[Debit]))+SUMIF(CsDJ[Account Code],B254,(CsDJ[Debit]))+SUMIF(CRDJ[Account Code],B254,(CRDJ[Debit]))+SUMIF(GJ[Account Code],B254,(GJ[Debit]))</f>
        <v>0</v>
      </c>
      <c r="F254" s="627">
        <f>SUMIF(PostTB[Account Code (Old)],B254,(PostTB[Credit]))+SUMIF(CkDJ[Account Code],B254,(CkDJ[Credit]))+SUMIF(CsDJ[Account Code],B254,(CsDJ[Credit]))+SUMIF(CRDJ[Account Code],B254,(CRDJ[Credit]))+SUMIF(GJ[Account Code],B254,(GJ[Credit]))</f>
        <v>0</v>
      </c>
      <c r="G254" s="627">
        <f>IF(INDEX(AccountCodes[Normal Balance], MATCH(C254,AccountCodes[PPSAS CODE]))="Credit",F254-E254,0)</f>
        <v>0</v>
      </c>
      <c r="H254" s="626">
        <f t="shared" si="3"/>
        <v>0</v>
      </c>
    </row>
    <row r="255" spans="1:8" ht="15.75" hidden="1">
      <c r="A255" s="623" t="str">
        <f t="array" ref="A255">INDEX(AccountCodes[ACCOUNT NAME],MATCH(B255,AccountCodes[NGAS CODE],0))</f>
        <v>Telephone Expenses - Mobile</v>
      </c>
      <c r="B255" s="597" t="s">
        <v>236</v>
      </c>
      <c r="C255" s="625">
        <f t="array" ref="C255">INDEX(AccountCodes[PPSAS CODE],MATCH(B255,AccountCodes[NGAS CODE],0))</f>
        <v>5020502001</v>
      </c>
      <c r="D255" s="626">
        <f>IF(INDEX(AccountCodes[Normal Balance], MATCH(C255,AccountCodes[PPSAS CODE]))="Debit",E255-F255,0)</f>
        <v>0</v>
      </c>
      <c r="E255" s="626">
        <f>SUMIF(PostTB[Account Code (Old)],B255,(PostTB[Debit]))+SUMIF(CkDJ[Account Code],B255,(CkDJ[Debit]))+SUMIF(CsDJ[Account Code],B255,(CsDJ[Debit]))+SUMIF(CRDJ[Account Code],B255,(CRDJ[Debit]))+SUMIF(GJ[Account Code],B255,(GJ[Debit]))</f>
        <v>0</v>
      </c>
      <c r="F255" s="627">
        <f>SUMIF(PostTB[Account Code (Old)],B255,(PostTB[Credit]))+SUMIF(CkDJ[Account Code],B255,(CkDJ[Credit]))+SUMIF(CsDJ[Account Code],B255,(CsDJ[Credit]))+SUMIF(CRDJ[Account Code],B255,(CRDJ[Credit]))+SUMIF(GJ[Account Code],B255,(GJ[Credit]))</f>
        <v>0</v>
      </c>
      <c r="G255" s="627">
        <f>IF(INDEX(AccountCodes[Normal Balance], MATCH(C255,AccountCodes[PPSAS CODE]))="Credit",F255-E255,0)</f>
        <v>0</v>
      </c>
      <c r="H255" s="626">
        <f t="shared" si="3"/>
        <v>0</v>
      </c>
    </row>
    <row r="256" spans="1:8" ht="15.75">
      <c r="A256" s="623" t="str">
        <f t="array" ref="A256">INDEX(AccountCodes[ACCOUNT NAME],MATCH(B256,AccountCodes[NGAS CODE],0))</f>
        <v>Telephone Expenses - Landline</v>
      </c>
      <c r="B256" s="597" t="s">
        <v>235</v>
      </c>
      <c r="C256" s="625">
        <f t="array" ref="C256">INDEX(AccountCodes[PPSAS CODE],MATCH(B256,AccountCodes[NGAS CODE],0))</f>
        <v>5020502002</v>
      </c>
      <c r="D256" s="626">
        <f>IF(INDEX(AccountCodes[Normal Balance], MATCH(C256,AccountCodes[PPSAS CODE]))="Debit",E256-F256,0)</f>
        <v>0</v>
      </c>
      <c r="E256" s="626">
        <f>SUMIF(PostTB[Account Code (Old)],B256,(PostTB[Debit]))+SUMIF(CkDJ[Account Code],B256,(CkDJ[Debit]))+SUMIF(CsDJ[Account Code],B256,(CsDJ[Debit]))+SUMIF(CRDJ[Account Code],B256,(CRDJ[Debit]))+SUMIF(GJ[Account Code],B256,(GJ[Debit]))</f>
        <v>0</v>
      </c>
      <c r="F256" s="627">
        <f>SUMIF(PostTB[Account Code (Old)],B256,(PostTB[Credit]))+SUMIF(CkDJ[Account Code],B256,(CkDJ[Credit]))+SUMIF(CsDJ[Account Code],B256,(CsDJ[Credit]))+SUMIF(CRDJ[Account Code],B256,(CRDJ[Credit]))+SUMIF(GJ[Account Code],B256,(GJ[Credit]))</f>
        <v>0</v>
      </c>
      <c r="G256" s="627">
        <f>IF(INDEX(AccountCodes[Normal Balance], MATCH(C256,AccountCodes[PPSAS CODE]))="Credit",F256-E256,0)</f>
        <v>0</v>
      </c>
      <c r="H256" s="626">
        <f t="shared" si="3"/>
        <v>0</v>
      </c>
    </row>
    <row r="257" spans="1:8" ht="15.75" hidden="1">
      <c r="A257" s="623" t="str">
        <f t="array" ref="A257">INDEX(AccountCodes[ACCOUNT NAME],MATCH(B257,AccountCodes[NGAS CODE],0))</f>
        <v>Internet Subscription Expenses</v>
      </c>
      <c r="B257" s="597" t="s">
        <v>237</v>
      </c>
      <c r="C257" s="625">
        <f t="array" ref="C257">INDEX(AccountCodes[PPSAS CODE],MATCH(B257,AccountCodes[NGAS CODE],0))</f>
        <v>5020503000</v>
      </c>
      <c r="D257" s="626">
        <f>IF(INDEX(AccountCodes[Normal Balance], MATCH(C257,AccountCodes[PPSAS CODE]))="Debit",E257-F257,0)</f>
        <v>0</v>
      </c>
      <c r="E257" s="626">
        <f>SUMIF(PostTB[Account Code (Old)],B257,(PostTB[Debit]))+SUMIF(CkDJ[Account Code],B257,(CkDJ[Debit]))+SUMIF(CsDJ[Account Code],B257,(CsDJ[Debit]))+SUMIF(CRDJ[Account Code],B257,(CRDJ[Debit]))+SUMIF(GJ[Account Code],B257,(GJ[Debit]))</f>
        <v>0</v>
      </c>
      <c r="F257" s="627">
        <f>SUMIF(PostTB[Account Code (Old)],B257,(PostTB[Credit]))+SUMIF(CkDJ[Account Code],B257,(CkDJ[Credit]))+SUMIF(CsDJ[Account Code],B257,(CsDJ[Credit]))+SUMIF(CRDJ[Account Code],B257,(CRDJ[Credit]))+SUMIF(GJ[Account Code],B257,(GJ[Credit]))</f>
        <v>0</v>
      </c>
      <c r="G257" s="627">
        <f>IF(INDEX(AccountCodes[Normal Balance], MATCH(C257,AccountCodes[PPSAS CODE]))="Credit",F257-E257,0)</f>
        <v>0</v>
      </c>
      <c r="H257" s="626">
        <f t="shared" si="3"/>
        <v>0</v>
      </c>
    </row>
    <row r="258" spans="1:8" ht="15.75" hidden="1">
      <c r="A258" s="623" t="str">
        <f t="array" ref="A258">INDEX(AccountCodes[ACCOUNT NAME],MATCH(B258,AccountCodes[NGAS CODE],0))</f>
        <v>Cable, Satellite, Telegraph and Radio Expenses</v>
      </c>
      <c r="B258" s="597" t="s">
        <v>238</v>
      </c>
      <c r="C258" s="625">
        <f t="array" ref="C258">INDEX(AccountCodes[PPSAS CODE],MATCH(B258,AccountCodes[NGAS CODE],0))</f>
        <v>5020504000</v>
      </c>
      <c r="D258" s="626">
        <f>IF(INDEX(AccountCodes[Normal Balance], MATCH(C258,AccountCodes[PPSAS CODE]))="Debit",E258-F258,0)</f>
        <v>0</v>
      </c>
      <c r="E258" s="626">
        <f>SUMIF(PostTB[Account Code (Old)],B258,(PostTB[Debit]))+SUMIF(CkDJ[Account Code],B258,(CkDJ[Debit]))+SUMIF(CsDJ[Account Code],B258,(CsDJ[Debit]))+SUMIF(CRDJ[Account Code],B258,(CRDJ[Debit]))+SUMIF(GJ[Account Code],B258,(GJ[Debit]))</f>
        <v>0</v>
      </c>
      <c r="F258" s="627">
        <f>SUMIF(PostTB[Account Code (Old)],B258,(PostTB[Credit]))+SUMIF(CkDJ[Account Code],B258,(CkDJ[Credit]))+SUMIF(CsDJ[Account Code],B258,(CsDJ[Credit]))+SUMIF(CRDJ[Account Code],B258,(CRDJ[Credit]))+SUMIF(GJ[Account Code],B258,(GJ[Credit]))</f>
        <v>0</v>
      </c>
      <c r="G258" s="627">
        <f>IF(INDEX(AccountCodes[Normal Balance], MATCH(C258,AccountCodes[PPSAS CODE]))="Credit",F258-E258,0)</f>
        <v>0</v>
      </c>
      <c r="H258" s="626">
        <f t="shared" si="3"/>
        <v>0</v>
      </c>
    </row>
    <row r="259" spans="1:8" ht="15.75">
      <c r="A259" s="623" t="str">
        <f t="array" ref="A259">INDEX(AccountCodes[ACCOUNT NAME],MATCH(B259,AccountCodes[NGAS CODE],0))</f>
        <v>Awards/Rewards Expenses</v>
      </c>
      <c r="B259" s="597" t="s">
        <v>1238</v>
      </c>
      <c r="C259" s="625">
        <f t="array" ref="C259">INDEX(AccountCodes[PPSAS CODE],MATCH(B259,AccountCodes[NGAS CODE],0))</f>
        <v>5020601000</v>
      </c>
      <c r="D259" s="626">
        <f>IF(INDEX(AccountCodes[Normal Balance], MATCH(C259,AccountCodes[PPSAS CODE]))="Debit",E259-F259,0)</f>
        <v>0</v>
      </c>
      <c r="E259" s="626">
        <f>SUMIF(PostTB[Account Code (Old)],B259,(PostTB[Debit]))+SUMIF(CkDJ[Account Code],B259,(CkDJ[Debit]))+SUMIF(CsDJ[Account Code],B259,(CsDJ[Debit]))+SUMIF(CRDJ[Account Code],B259,(CRDJ[Debit]))+SUMIF(GJ[Account Code],B259,(GJ[Debit]))</f>
        <v>0</v>
      </c>
      <c r="F259" s="627">
        <f>SUMIF(PostTB[Account Code (Old)],B259,(PostTB[Credit]))+SUMIF(CkDJ[Account Code],B259,(CkDJ[Credit]))+SUMIF(CsDJ[Account Code],B259,(CsDJ[Credit]))+SUMIF(CRDJ[Account Code],B259,(CRDJ[Credit]))+SUMIF(GJ[Account Code],B259,(GJ[Credit]))</f>
        <v>0</v>
      </c>
      <c r="G259" s="627">
        <f>IF(INDEX(AccountCodes[Normal Balance], MATCH(C259,AccountCodes[PPSAS CODE]))="Credit",F259-E259,0)</f>
        <v>0</v>
      </c>
      <c r="H259" s="626">
        <f t="shared" si="3"/>
        <v>0</v>
      </c>
    </row>
    <row r="260" spans="1:8" ht="15.75" hidden="1">
      <c r="A260" s="623" t="str">
        <f t="array" ref="A260">INDEX(AccountCodes[ACCOUNT NAME],MATCH(B260,AccountCodes[NGAS CODE],0))</f>
        <v>Legal Services</v>
      </c>
      <c r="B260" s="597" t="s">
        <v>246</v>
      </c>
      <c r="C260" s="625">
        <f t="array" ref="C260">INDEX(AccountCodes[PPSAS CODE],MATCH(B260,AccountCodes[NGAS CODE],0))</f>
        <v>5021101000</v>
      </c>
      <c r="D260" s="626">
        <f>IF(INDEX(AccountCodes[Normal Balance], MATCH(C260,AccountCodes[PPSAS CODE]))="Debit",E260-F260,0)</f>
        <v>0</v>
      </c>
      <c r="E260" s="626">
        <f>SUMIF(PostTB[Account Code (Old)],B260,(PostTB[Debit]))+SUMIF(CkDJ[Account Code],B260,(CkDJ[Debit]))+SUMIF(CsDJ[Account Code],B260,(CsDJ[Debit]))+SUMIF(CRDJ[Account Code],B260,(CRDJ[Debit]))+SUMIF(GJ[Account Code],B260,(GJ[Debit]))</f>
        <v>0</v>
      </c>
      <c r="F260" s="627">
        <f>SUMIF(PostTB[Account Code (Old)],B260,(PostTB[Credit]))+SUMIF(CkDJ[Account Code],B260,(CkDJ[Credit]))+SUMIF(CsDJ[Account Code],B260,(CsDJ[Credit]))+SUMIF(CRDJ[Account Code],B260,(CRDJ[Credit]))+SUMIF(GJ[Account Code],B260,(GJ[Credit]))</f>
        <v>0</v>
      </c>
      <c r="G260" s="627">
        <f>IF(INDEX(AccountCodes[Normal Balance], MATCH(C260,AccountCodes[PPSAS CODE]))="Credit",F260-E260,0)</f>
        <v>0</v>
      </c>
      <c r="H260" s="626">
        <f t="shared" si="3"/>
        <v>0</v>
      </c>
    </row>
    <row r="261" spans="1:8" ht="15.75" hidden="1">
      <c r="A261" s="623" t="str">
        <f t="array" ref="A261">INDEX(AccountCodes[ACCOUNT NAME],MATCH(B261,AccountCodes[NGAS CODE],0))</f>
        <v>Auditing Services</v>
      </c>
      <c r="B261" s="597" t="s">
        <v>222</v>
      </c>
      <c r="C261" s="625">
        <f t="array" ref="C261">INDEX(AccountCodes[PPSAS CODE],MATCH(B261,AccountCodes[NGAS CODE],0))</f>
        <v>5021102000</v>
      </c>
      <c r="D261" s="626">
        <f>IF(INDEX(AccountCodes[Normal Balance], MATCH(C261,AccountCodes[PPSAS CODE]))="Debit",E261-F261,0)</f>
        <v>0</v>
      </c>
      <c r="E261" s="626">
        <f>SUMIF(PostTB[Account Code (Old)],B261,(PostTB[Debit]))+SUMIF(CkDJ[Account Code],B261,(CkDJ[Debit]))+SUMIF(CsDJ[Account Code],B261,(CsDJ[Debit]))+SUMIF(CRDJ[Account Code],B261,(CRDJ[Debit]))+SUMIF(GJ[Account Code],B261,(GJ[Debit]))</f>
        <v>0</v>
      </c>
      <c r="F261" s="627">
        <f>SUMIF(PostTB[Account Code (Old)],B261,(PostTB[Credit]))+SUMIF(CkDJ[Account Code],B261,(CkDJ[Credit]))+SUMIF(CsDJ[Account Code],B261,(CsDJ[Credit]))+SUMIF(CRDJ[Account Code],B261,(CRDJ[Credit]))+SUMIF(GJ[Account Code],B261,(GJ[Credit]))</f>
        <v>0</v>
      </c>
      <c r="G261" s="627">
        <f>IF(INDEX(AccountCodes[Normal Balance], MATCH(C261,AccountCodes[PPSAS CODE]))="Credit",F261-E261,0)</f>
        <v>0</v>
      </c>
      <c r="H261" s="626">
        <f t="shared" si="3"/>
        <v>0</v>
      </c>
    </row>
    <row r="262" spans="1:8" ht="15.75" hidden="1">
      <c r="A262" s="623" t="str">
        <f t="array" ref="A262">INDEX(AccountCodes[ACCOUNT NAME],MATCH(B262,AccountCodes[NGAS CODE],0))</f>
        <v>Consultancy Services</v>
      </c>
      <c r="B262" s="597" t="s">
        <v>247</v>
      </c>
      <c r="C262" s="625">
        <f t="array" ref="C262">INDEX(AccountCodes[PPSAS CODE],MATCH(B262,AccountCodes[NGAS CODE],0))</f>
        <v>5021103000</v>
      </c>
      <c r="D262" s="626">
        <f>IF(INDEX(AccountCodes[Normal Balance], MATCH(C262,AccountCodes[PPSAS CODE]))="Debit",E262-F262,0)</f>
        <v>0</v>
      </c>
      <c r="E262" s="626">
        <f>SUMIF(PostTB[Account Code (Old)],B262,(PostTB[Debit]))+SUMIF(CkDJ[Account Code],B262,(CkDJ[Debit]))+SUMIF(CsDJ[Account Code],B262,(CsDJ[Debit]))+SUMIF(CRDJ[Account Code],B262,(CRDJ[Debit]))+SUMIF(GJ[Account Code],B262,(GJ[Debit]))</f>
        <v>0</v>
      </c>
      <c r="F262" s="627">
        <f>SUMIF(PostTB[Account Code (Old)],B262,(PostTB[Credit]))+SUMIF(CkDJ[Account Code],B262,(CkDJ[Credit]))+SUMIF(CsDJ[Account Code],B262,(CsDJ[Credit]))+SUMIF(CRDJ[Account Code],B262,(CRDJ[Credit]))+SUMIF(GJ[Account Code],B262,(GJ[Credit]))</f>
        <v>0</v>
      </c>
      <c r="G262" s="627">
        <f>IF(INDEX(AccountCodes[Normal Balance], MATCH(C262,AccountCodes[PPSAS CODE]))="Credit",F262-E262,0)</f>
        <v>0</v>
      </c>
      <c r="H262" s="626">
        <f t="shared" ref="H262:H321" si="4">IF(D262=0,G262,D262)</f>
        <v>0</v>
      </c>
    </row>
    <row r="263" spans="1:8" ht="15.75">
      <c r="A263" s="623" t="str">
        <f t="array" ref="A263">INDEX(AccountCodes[ACCOUNT NAME],MATCH(B263,AccountCodes[NGAS CODE],0))</f>
        <v>Other Professional Services</v>
      </c>
      <c r="B263" s="597" t="s">
        <v>250</v>
      </c>
      <c r="C263" s="625">
        <f t="array" ref="C263">INDEX(AccountCodes[PPSAS CODE],MATCH(B263,AccountCodes[NGAS CODE],0))</f>
        <v>5021199000</v>
      </c>
      <c r="D263" s="626">
        <f>IF(INDEX(AccountCodes[Normal Balance], MATCH(C263,AccountCodes[PPSAS CODE]))="Debit",E263-F263,0)</f>
        <v>0</v>
      </c>
      <c r="E263" s="626">
        <f>SUMIF(PostTB[Account Code (Old)],B263,(PostTB[Debit]))+SUMIF(CkDJ[Account Code],B263,(CkDJ[Debit]))+SUMIF(CsDJ[Account Code],B263,(CsDJ[Debit]))+SUMIF(CRDJ[Account Code],B263,(CRDJ[Debit]))+SUMIF(GJ[Account Code],B263,(GJ[Debit]))</f>
        <v>0</v>
      </c>
      <c r="F263" s="627">
        <f>SUMIF(PostTB[Account Code (Old)],B263,(PostTB[Credit]))+SUMIF(CkDJ[Account Code],B263,(CkDJ[Credit]))+SUMIF(CsDJ[Account Code],B263,(CsDJ[Credit]))+SUMIF(CRDJ[Account Code],B263,(CRDJ[Credit]))+SUMIF(GJ[Account Code],B263,(GJ[Credit]))</f>
        <v>0</v>
      </c>
      <c r="G263" s="627">
        <f>IF(INDEX(AccountCodes[Normal Balance], MATCH(C263,AccountCodes[PPSAS CODE]))="Credit",F263-E263,0)</f>
        <v>0</v>
      </c>
      <c r="H263" s="626">
        <f t="shared" si="4"/>
        <v>0</v>
      </c>
    </row>
    <row r="264" spans="1:8" ht="15.75" hidden="1">
      <c r="A264" s="623" t="str">
        <f t="array" ref="A264">INDEX(AccountCodes[ACCOUNT NAME],MATCH(B264,AccountCodes[NGAS CODE],0))</f>
        <v>Janitorial Services</v>
      </c>
      <c r="B264" s="597" t="s">
        <v>249</v>
      </c>
      <c r="C264" s="625">
        <f t="array" ref="C264">INDEX(AccountCodes[PPSAS CODE],MATCH(B264,AccountCodes[NGAS CODE],0))</f>
        <v>5021202000</v>
      </c>
      <c r="D264" s="626">
        <f>IF(INDEX(AccountCodes[Normal Balance], MATCH(C264,AccountCodes[PPSAS CODE]))="Debit",E264-F264,0)</f>
        <v>0</v>
      </c>
      <c r="E264" s="626">
        <f>SUMIF(PostTB[Account Code (Old)],B264,(PostTB[Debit]))+SUMIF(CkDJ[Account Code],B264,(CkDJ[Debit]))+SUMIF(CsDJ[Account Code],B264,(CsDJ[Debit]))+SUMIF(CRDJ[Account Code],B264,(CRDJ[Debit]))+SUMIF(GJ[Account Code],B264,(GJ[Debit]))</f>
        <v>0</v>
      </c>
      <c r="F264" s="627">
        <f>SUMIF(PostTB[Account Code (Old)],B264,(PostTB[Credit]))+SUMIF(CkDJ[Account Code],B264,(CkDJ[Credit]))+SUMIF(CsDJ[Account Code],B264,(CsDJ[Credit]))+SUMIF(CRDJ[Account Code],B264,(CRDJ[Credit]))+SUMIF(GJ[Account Code],B264,(GJ[Credit]))</f>
        <v>0</v>
      </c>
      <c r="G264" s="627">
        <f>IF(INDEX(AccountCodes[Normal Balance], MATCH(C264,AccountCodes[PPSAS CODE]))="Credit",F264-E264,0)</f>
        <v>0</v>
      </c>
      <c r="H264" s="626">
        <f t="shared" si="4"/>
        <v>0</v>
      </c>
    </row>
    <row r="265" spans="1:8" ht="15.75" hidden="1">
      <c r="A265" s="623" t="str">
        <f t="array" ref="A265">INDEX(AccountCodes[ACCOUNT NAME],MATCH(B265,AccountCodes[NGAS CODE],0))</f>
        <v>Security Services</v>
      </c>
      <c r="B265" s="597" t="s">
        <v>1239</v>
      </c>
      <c r="C265" s="625">
        <f t="array" ref="C265">INDEX(AccountCodes[PPSAS CODE],MATCH(B265,AccountCodes[NGAS CODE],0))</f>
        <v>5021203000</v>
      </c>
      <c r="D265" s="626">
        <f>IF(INDEX(AccountCodes[Normal Balance], MATCH(C265,AccountCodes[PPSAS CODE]))="Debit",E265-F265,0)</f>
        <v>0</v>
      </c>
      <c r="E265" s="626">
        <f>SUMIF(PostTB[Account Code (Old)],B265,(PostTB[Debit]))+SUMIF(CkDJ[Account Code],B265,(CkDJ[Debit]))+SUMIF(CsDJ[Account Code],B265,(CsDJ[Debit]))+SUMIF(CRDJ[Account Code],B265,(CRDJ[Debit]))+SUMIF(GJ[Account Code],B265,(GJ[Debit]))</f>
        <v>0</v>
      </c>
      <c r="F265" s="627">
        <f>SUMIF(PostTB[Account Code (Old)],B265,(PostTB[Credit]))+SUMIF(CkDJ[Account Code],B265,(CkDJ[Credit]))+SUMIF(CsDJ[Account Code],B265,(CsDJ[Credit]))+SUMIF(CRDJ[Account Code],B265,(CRDJ[Credit]))+SUMIF(GJ[Account Code],B265,(GJ[Credit]))</f>
        <v>0</v>
      </c>
      <c r="G265" s="627">
        <f>IF(INDEX(AccountCodes[Normal Balance], MATCH(C265,AccountCodes[PPSAS CODE]))="Credit",F265-E265,0)</f>
        <v>0</v>
      </c>
      <c r="H265" s="626">
        <f t="shared" si="4"/>
        <v>0</v>
      </c>
    </row>
    <row r="266" spans="1:8" ht="15.75" hidden="1">
      <c r="A266" s="623" t="str">
        <f t="array" ref="A266">INDEX(AccountCodes[ACCOUNT NAME],MATCH(B266,AccountCodes[NGAS CODE],0))</f>
        <v>Other General Services</v>
      </c>
      <c r="B266" s="597" t="s">
        <v>248</v>
      </c>
      <c r="C266" s="625">
        <f t="array" ref="C266">INDEX(AccountCodes[PPSAS CODE],MATCH(B266,AccountCodes[NGAS CODE],0))</f>
        <v>5021299000</v>
      </c>
      <c r="D266" s="626">
        <f>IF(INDEX(AccountCodes[Normal Balance], MATCH(C266,AccountCodes[PPSAS CODE]))="Debit",E266-F266,0)</f>
        <v>0</v>
      </c>
      <c r="E266" s="626">
        <f>SUMIF(PostTB[Account Code (Old)],B266,(PostTB[Debit]))+SUMIF(CkDJ[Account Code],B266,(CkDJ[Debit]))+SUMIF(CsDJ[Account Code],B266,(CsDJ[Debit]))+SUMIF(CRDJ[Account Code],B266,(CRDJ[Debit]))+SUMIF(GJ[Account Code],B266,(GJ[Debit]))</f>
        <v>0</v>
      </c>
      <c r="F266" s="627">
        <f>SUMIF(PostTB[Account Code (Old)],B266,(PostTB[Credit]))+SUMIF(CkDJ[Account Code],B266,(CkDJ[Credit]))+SUMIF(CsDJ[Account Code],B266,(CsDJ[Credit]))+SUMIF(CRDJ[Account Code],B266,(CRDJ[Credit]))+SUMIF(GJ[Account Code],B266,(GJ[Credit]))</f>
        <v>0</v>
      </c>
      <c r="G266" s="627">
        <f>IF(INDEX(AccountCodes[Normal Balance], MATCH(C266,AccountCodes[PPSAS CODE]))="Credit",F266-E266,0)</f>
        <v>0</v>
      </c>
      <c r="H266" s="626">
        <f t="shared" si="4"/>
        <v>0</v>
      </c>
    </row>
    <row r="267" spans="1:8" ht="15.75" hidden="1">
      <c r="A267" s="623" t="str">
        <f t="array" ref="A267">INDEX(AccountCodes[ACCOUNT NAME],MATCH(B267,AccountCodes[NGAS CODE],0))</f>
        <v>Repairs and Maintenance-Land Improvements</v>
      </c>
      <c r="B267" s="597" t="s">
        <v>1240</v>
      </c>
      <c r="C267" s="625">
        <f t="array" ref="C267">INDEX(AccountCodes[PPSAS CODE],MATCH(B267,AccountCodes[NGAS CODE],0))</f>
        <v>5021302000</v>
      </c>
      <c r="D267" s="626">
        <f>IF(INDEX(AccountCodes[Normal Balance], MATCH(C267,AccountCodes[PPSAS CODE]))="Debit",E267-F267,0)</f>
        <v>0</v>
      </c>
      <c r="E267" s="626">
        <f>SUMIF(PostTB[Account Code (Old)],B267,(PostTB[Debit]))+SUMIF(CkDJ[Account Code],B267,(CkDJ[Debit]))+SUMIF(CsDJ[Account Code],B267,(CsDJ[Debit]))+SUMIF(CRDJ[Account Code],B267,(CRDJ[Debit]))+SUMIF(GJ[Account Code],B267,(GJ[Debit]))</f>
        <v>0</v>
      </c>
      <c r="F267" s="627">
        <f>SUMIF(PostTB[Account Code (Old)],B267,(PostTB[Credit]))+SUMIF(CkDJ[Account Code],B267,(CkDJ[Credit]))+SUMIF(CsDJ[Account Code],B267,(CsDJ[Credit]))+SUMIF(CRDJ[Account Code],B267,(CRDJ[Credit]))+SUMIF(GJ[Account Code],B267,(GJ[Credit]))</f>
        <v>0</v>
      </c>
      <c r="G267" s="627">
        <f>IF(INDEX(AccountCodes[Normal Balance], MATCH(C267,AccountCodes[PPSAS CODE]))="Credit",F267-E267,0)</f>
        <v>0</v>
      </c>
      <c r="H267" s="626">
        <f t="shared" si="4"/>
        <v>0</v>
      </c>
    </row>
    <row r="268" spans="1:8" ht="15.75" hidden="1">
      <c r="A268" s="623" t="str">
        <f t="array" ref="A268">INDEX(AccountCodes[ACCOUNT NAME],MATCH(B268,AccountCodes[NGAS CODE],0))</f>
        <v>Repairs and Maintenance-Infrastructure Assets - Other Infrastructure Assets (Artesian Wells, Reservoirs, Pumps)</v>
      </c>
      <c r="B268" s="597" t="s">
        <v>266</v>
      </c>
      <c r="C268" s="625">
        <f t="array" ref="C268">INDEX(AccountCodes[PPSAS CODE],MATCH(B268,AccountCodes[NGAS CODE],0))</f>
        <v>5021303097</v>
      </c>
      <c r="D268" s="626">
        <f>IF(INDEX(AccountCodes[Normal Balance], MATCH(C268,AccountCodes[PPSAS CODE]))="Debit",E268-F268,0)</f>
        <v>0</v>
      </c>
      <c r="E268" s="626">
        <f>SUMIF(PostTB[Account Code (Old)],B268,(PostTB[Debit]))+SUMIF(CkDJ[Account Code],B268,(CkDJ[Debit]))+SUMIF(CsDJ[Account Code],B268,(CsDJ[Debit]))+SUMIF(CRDJ[Account Code],B268,(CRDJ[Debit]))+SUMIF(GJ[Account Code],B268,(GJ[Debit]))</f>
        <v>0</v>
      </c>
      <c r="F268" s="627">
        <f>SUMIF(PostTB[Account Code (Old)],B268,(PostTB[Credit]))+SUMIF(CkDJ[Account Code],B268,(CkDJ[Credit]))+SUMIF(CsDJ[Account Code],B268,(CsDJ[Credit]))+SUMIF(CRDJ[Account Code],B268,(CRDJ[Credit]))+SUMIF(GJ[Account Code],B268,(GJ[Credit]))</f>
        <v>0</v>
      </c>
      <c r="G268" s="627">
        <f>IF(INDEX(AccountCodes[Normal Balance], MATCH(C268,AccountCodes[PPSAS CODE]))="Credit",F268-E268,0)</f>
        <v>0</v>
      </c>
      <c r="H268" s="626">
        <f t="shared" si="4"/>
        <v>0</v>
      </c>
    </row>
    <row r="269" spans="1:8" ht="15.75" hidden="1">
      <c r="A269" s="623" t="str">
        <f t="array" ref="A269">INDEX(AccountCodes[ACCOUNT NAME],MATCH(B269,AccountCodes[NGAS CODE],0))</f>
        <v>Repairs and Maintenance-Infrastructure Assets - Other Infrastructure Assets (Irrigation Canal &amp; Laterals)</v>
      </c>
      <c r="B269" s="597" t="s">
        <v>267</v>
      </c>
      <c r="C269" s="625">
        <f t="array" ref="C269">INDEX(AccountCodes[PPSAS CODE],MATCH(B269,AccountCodes[NGAS CODE],0))</f>
        <v>5021303098</v>
      </c>
      <c r="D269" s="626">
        <f>IF(INDEX(AccountCodes[Normal Balance], MATCH(C269,AccountCodes[PPSAS CODE]))="Debit",E269-F269,0)</f>
        <v>0</v>
      </c>
      <c r="E269" s="626">
        <f>SUMIF(PostTB[Account Code (Old)],B269,(PostTB[Debit]))+SUMIF(CkDJ[Account Code],B269,(CkDJ[Debit]))+SUMIF(CsDJ[Account Code],B269,(CsDJ[Debit]))+SUMIF(CRDJ[Account Code],B269,(CRDJ[Debit]))+SUMIF(GJ[Account Code],B269,(GJ[Debit]))</f>
        <v>0</v>
      </c>
      <c r="F269" s="627">
        <f>SUMIF(PostTB[Account Code (Old)],B269,(PostTB[Credit]))+SUMIF(CkDJ[Account Code],B269,(CkDJ[Credit]))+SUMIF(CsDJ[Account Code],B269,(CsDJ[Credit]))+SUMIF(CRDJ[Account Code],B269,(CRDJ[Credit]))+SUMIF(GJ[Account Code],B269,(GJ[Credit]))</f>
        <v>0</v>
      </c>
      <c r="G269" s="627">
        <f>IF(INDEX(AccountCodes[Normal Balance], MATCH(C269,AccountCodes[PPSAS CODE]))="Credit",F269-E269,0)</f>
        <v>0</v>
      </c>
      <c r="H269" s="626">
        <f t="shared" si="4"/>
        <v>0</v>
      </c>
    </row>
    <row r="270" spans="1:8" ht="15.75" hidden="1">
      <c r="A270" s="623" t="str">
        <f t="array" ref="A270">INDEX(AccountCodes[ACCOUNT NAME],MATCH(B270,AccountCodes[NGAS CODE],0))</f>
        <v>Repairs and Maintenance-Buildings and Other Structures - Buildings</v>
      </c>
      <c r="B270" s="597" t="s">
        <v>251</v>
      </c>
      <c r="C270" s="625">
        <f t="array" ref="C270">INDEX(AccountCodes[PPSAS CODE],MATCH(B270,AccountCodes[NGAS CODE],0))</f>
        <v>5021304001</v>
      </c>
      <c r="D270" s="626">
        <f>IF(INDEX(AccountCodes[Normal Balance], MATCH(C270,AccountCodes[PPSAS CODE]))="Debit",E270-F270,0)</f>
        <v>0</v>
      </c>
      <c r="E270" s="626">
        <f>SUMIF(PostTB[Account Code (Old)],B270,(PostTB[Debit]))+SUMIF(CkDJ[Account Code],B270,(CkDJ[Debit]))+SUMIF(CsDJ[Account Code],B270,(CsDJ[Debit]))+SUMIF(CRDJ[Account Code],B270,(CRDJ[Debit]))+SUMIF(GJ[Account Code],B270,(GJ[Debit]))</f>
        <v>0</v>
      </c>
      <c r="F270" s="627">
        <f>SUMIF(PostTB[Account Code (Old)],B270,(PostTB[Credit]))+SUMIF(CkDJ[Account Code],B270,(CkDJ[Credit]))+SUMIF(CsDJ[Account Code],B270,(CsDJ[Credit]))+SUMIF(CRDJ[Account Code],B270,(CRDJ[Credit]))+SUMIF(GJ[Account Code],B270,(GJ[Credit]))</f>
        <v>0</v>
      </c>
      <c r="G270" s="627">
        <f>IF(INDEX(AccountCodes[Normal Balance], MATCH(C270,AccountCodes[PPSAS CODE]))="Credit",F270-E270,0)</f>
        <v>0</v>
      </c>
      <c r="H270" s="626">
        <f t="shared" si="4"/>
        <v>0</v>
      </c>
    </row>
    <row r="271" spans="1:8" ht="15.75" hidden="1">
      <c r="A271" s="623" t="str">
        <f t="array" ref="A271">INDEX(AccountCodes[ACCOUNT NAME],MATCH(B271,AccountCodes[NGAS CODE],0))</f>
        <v>Repairs and Maintenance-Buildings and Other Structures - Other Structures</v>
      </c>
      <c r="B271" s="597" t="s">
        <v>252</v>
      </c>
      <c r="C271" s="625">
        <f t="array" ref="C271">INDEX(AccountCodes[PPSAS CODE],MATCH(B271,AccountCodes[NGAS CODE],0))</f>
        <v>5021304099</v>
      </c>
      <c r="D271" s="626">
        <f>IF(INDEX(AccountCodes[Normal Balance], MATCH(C271,AccountCodes[PPSAS CODE]))="Debit",E271-F271,0)</f>
        <v>0</v>
      </c>
      <c r="E271" s="626">
        <f>SUMIF(PostTB[Account Code (Old)],B271,(PostTB[Debit]))+SUMIF(CkDJ[Account Code],B271,(CkDJ[Debit]))+SUMIF(CsDJ[Account Code],B271,(CsDJ[Debit]))+SUMIF(CRDJ[Account Code],B271,(CRDJ[Debit]))+SUMIF(GJ[Account Code],B271,(GJ[Debit]))</f>
        <v>0</v>
      </c>
      <c r="F271" s="627">
        <f>SUMIF(PostTB[Account Code (Old)],B271,(PostTB[Credit]))+SUMIF(CkDJ[Account Code],B271,(CkDJ[Credit]))+SUMIF(CsDJ[Account Code],B271,(CsDJ[Credit]))+SUMIF(CRDJ[Account Code],B271,(CRDJ[Credit]))+SUMIF(GJ[Account Code],B271,(GJ[Credit]))</f>
        <v>0</v>
      </c>
      <c r="G271" s="627">
        <f>IF(INDEX(AccountCodes[Normal Balance], MATCH(C271,AccountCodes[PPSAS CODE]))="Credit",F271-E271,0)</f>
        <v>0</v>
      </c>
      <c r="H271" s="626">
        <f t="shared" si="4"/>
        <v>0</v>
      </c>
    </row>
    <row r="272" spans="1:8" ht="15.75" hidden="1">
      <c r="A272" s="623" t="str">
        <f t="array" ref="A272">INDEX(AccountCodes[ACCOUNT NAME],MATCH(B272,AccountCodes[NGAS CODE],0))</f>
        <v>Repairs and Maintenance-Machinery and Equipment - Machinery</v>
      </c>
      <c r="B272" s="597" t="s">
        <v>256</v>
      </c>
      <c r="C272" s="625">
        <f t="array" ref="C272">INDEX(AccountCodes[PPSAS CODE],MATCH(B272,AccountCodes[NGAS CODE],0))</f>
        <v>5021305001</v>
      </c>
      <c r="D272" s="626">
        <f>IF(INDEX(AccountCodes[Normal Balance], MATCH(C272,AccountCodes[PPSAS CODE]))="Debit",E272-F272,0)</f>
        <v>0</v>
      </c>
      <c r="E272" s="626">
        <f>SUMIF(PostTB[Account Code (Old)],B272,(PostTB[Debit]))+SUMIF(CkDJ[Account Code],B272,(CkDJ[Debit]))+SUMIF(CsDJ[Account Code],B272,(CsDJ[Debit]))+SUMIF(CRDJ[Account Code],B272,(CRDJ[Debit]))+SUMIF(GJ[Account Code],B272,(GJ[Debit]))</f>
        <v>0</v>
      </c>
      <c r="F272" s="627">
        <f>SUMIF(PostTB[Account Code (Old)],B272,(PostTB[Credit]))+SUMIF(CkDJ[Account Code],B272,(CkDJ[Credit]))+SUMIF(CsDJ[Account Code],B272,(CsDJ[Credit]))+SUMIF(CRDJ[Account Code],B272,(CRDJ[Credit]))+SUMIF(GJ[Account Code],B272,(GJ[Credit]))</f>
        <v>0</v>
      </c>
      <c r="G272" s="627">
        <f>IF(INDEX(AccountCodes[Normal Balance], MATCH(C272,AccountCodes[PPSAS CODE]))="Credit",F272-E272,0)</f>
        <v>0</v>
      </c>
      <c r="H272" s="626">
        <f t="shared" si="4"/>
        <v>0</v>
      </c>
    </row>
    <row r="273" spans="1:8" ht="15.75" hidden="1">
      <c r="A273" s="623" t="str">
        <f t="array" ref="A273">INDEX(AccountCodes[ACCOUNT NAME],MATCH(B273,AccountCodes[NGAS CODE],0))</f>
        <v>Repairs and Maintenance-Machinery and Equipment - Office Equipment</v>
      </c>
      <c r="B273" s="597" t="s">
        <v>253</v>
      </c>
      <c r="C273" s="625">
        <f t="array" ref="C273">INDEX(AccountCodes[PPSAS CODE],MATCH(B273,AccountCodes[NGAS CODE],0))</f>
        <v>5021305002</v>
      </c>
      <c r="D273" s="626">
        <f>IF(INDEX(AccountCodes[Normal Balance], MATCH(C273,AccountCodes[PPSAS CODE]))="Debit",E273-F273,0)</f>
        <v>0</v>
      </c>
      <c r="E273" s="626">
        <f>SUMIF(PostTB[Account Code (Old)],B273,(PostTB[Debit]))+SUMIF(CkDJ[Account Code],B273,(CkDJ[Debit]))+SUMIF(CsDJ[Account Code],B273,(CsDJ[Debit]))+SUMIF(CRDJ[Account Code],B273,(CRDJ[Debit]))+SUMIF(GJ[Account Code],B273,(GJ[Debit]))</f>
        <v>0</v>
      </c>
      <c r="F273" s="627">
        <f>SUMIF(PostTB[Account Code (Old)],B273,(PostTB[Credit]))+SUMIF(CkDJ[Account Code],B273,(CkDJ[Credit]))+SUMIF(CsDJ[Account Code],B273,(CsDJ[Credit]))+SUMIF(CRDJ[Account Code],B273,(CRDJ[Credit]))+SUMIF(GJ[Account Code],B273,(GJ[Credit]))</f>
        <v>0</v>
      </c>
      <c r="G273" s="627">
        <f>IF(INDEX(AccountCodes[Normal Balance], MATCH(C273,AccountCodes[PPSAS CODE]))="Credit",F273-E273,0)</f>
        <v>0</v>
      </c>
      <c r="H273" s="626">
        <f t="shared" si="4"/>
        <v>0</v>
      </c>
    </row>
    <row r="274" spans="1:8" ht="15.75" hidden="1">
      <c r="A274" s="623" t="str">
        <f t="array" ref="A274">INDEX(AccountCodes[ACCOUNT NAME],MATCH(B274,AccountCodes[NGAS CODE],0))</f>
        <v>Repairs and Maintenance-Machinery and Equipment - ICT Equipment</v>
      </c>
      <c r="B274" s="597" t="s">
        <v>255</v>
      </c>
      <c r="C274" s="625">
        <f t="array" ref="C274">INDEX(AccountCodes[PPSAS CODE],MATCH(B274,AccountCodes[NGAS CODE],0))</f>
        <v>5021305003</v>
      </c>
      <c r="D274" s="626">
        <f>IF(INDEX(AccountCodes[Normal Balance], MATCH(C274,AccountCodes[PPSAS CODE]))="Debit",E274-F274,0)</f>
        <v>0</v>
      </c>
      <c r="E274" s="626">
        <f>SUMIF(PostTB[Account Code (Old)],B274,(PostTB[Debit]))+SUMIF(CkDJ[Account Code],B274,(CkDJ[Debit]))+SUMIF(CsDJ[Account Code],B274,(CsDJ[Debit]))+SUMIF(CRDJ[Account Code],B274,(CRDJ[Debit]))+SUMIF(GJ[Account Code],B274,(GJ[Debit]))</f>
        <v>0</v>
      </c>
      <c r="F274" s="627">
        <f>SUMIF(PostTB[Account Code (Old)],B274,(PostTB[Credit]))+SUMIF(CkDJ[Account Code],B274,(CkDJ[Credit]))+SUMIF(CsDJ[Account Code],B274,(CsDJ[Credit]))+SUMIF(CRDJ[Account Code],B274,(CRDJ[Credit]))+SUMIF(GJ[Account Code],B274,(GJ[Credit]))</f>
        <v>0</v>
      </c>
      <c r="G274" s="627">
        <f>IF(INDEX(AccountCodes[Normal Balance], MATCH(C274,AccountCodes[PPSAS CODE]))="Credit",F274-E274,0)</f>
        <v>0</v>
      </c>
      <c r="H274" s="626">
        <f>IF(D274=0,G274,D274)</f>
        <v>0</v>
      </c>
    </row>
    <row r="275" spans="1:8" ht="15.75" hidden="1">
      <c r="A275" s="623" t="str">
        <f t="array" ref="A275">INDEX(AccountCodes[ACCOUNT NAME],MATCH(B275,AccountCodes[NGAS CODE],0))</f>
        <v>Repairs and Maintenance-Machinery and Equipment - Communication Equipment</v>
      </c>
      <c r="B275" s="597" t="s">
        <v>257</v>
      </c>
      <c r="C275" s="625">
        <f t="array" ref="C275">INDEX(AccountCodes[PPSAS CODE],MATCH(B275,AccountCodes[NGAS CODE],0))</f>
        <v>5021305007</v>
      </c>
      <c r="D275" s="626">
        <f>IF(INDEX(AccountCodes[Normal Balance], MATCH(C275,AccountCodes[PPSAS CODE]))="Debit",E275-F275,0)</f>
        <v>0</v>
      </c>
      <c r="E275" s="626">
        <f>SUMIF(PostTB[Account Code (Old)],B275,(PostTB[Debit]))+SUMIF(CkDJ[Account Code],B275,(CkDJ[Debit]))+SUMIF(CsDJ[Account Code],B275,(CsDJ[Debit]))+SUMIF(CRDJ[Account Code],B275,(CRDJ[Debit]))+SUMIF(GJ[Account Code],B275,(GJ[Debit]))</f>
        <v>0</v>
      </c>
      <c r="F275" s="627">
        <f>SUMIF(PostTB[Account Code (Old)],B275,(PostTB[Credit]))+SUMIF(CkDJ[Account Code],B275,(CkDJ[Credit]))+SUMIF(CsDJ[Account Code],B275,(CsDJ[Credit]))+SUMIF(CRDJ[Account Code],B275,(CRDJ[Credit]))+SUMIF(GJ[Account Code],B275,(GJ[Credit]))</f>
        <v>0</v>
      </c>
      <c r="G275" s="627">
        <f>IF(INDEX(AccountCodes[Normal Balance], MATCH(C275,AccountCodes[PPSAS CODE]))="Credit",F275-E275,0)</f>
        <v>0</v>
      </c>
      <c r="H275" s="626">
        <f t="shared" si="4"/>
        <v>0</v>
      </c>
    </row>
    <row r="276" spans="1:8" ht="15.75" hidden="1">
      <c r="A276" s="623" t="str">
        <f t="array" ref="A276">INDEX(AccountCodes[ACCOUNT NAME],MATCH(B276,AccountCodes[NGAS CODE],0))</f>
        <v>Repairs and Maintenance-Machinery and Equipment - Construction and Heavy Equipment</v>
      </c>
      <c r="B276" s="597" t="s">
        <v>258</v>
      </c>
      <c r="C276" s="625">
        <f t="array" ref="C276">INDEX(AccountCodes[PPSAS CODE],MATCH(B276,AccountCodes[NGAS CODE],0))</f>
        <v>5021305008</v>
      </c>
      <c r="D276" s="626">
        <f>IF(INDEX(AccountCodes[Normal Balance], MATCH(C276,AccountCodes[PPSAS CODE]))="Debit",E276-F276,0)</f>
        <v>0</v>
      </c>
      <c r="E276" s="626">
        <f>SUMIF(PostTB[Account Code (Old)],B276,(PostTB[Debit]))+SUMIF(CkDJ[Account Code],B276,(CkDJ[Debit]))+SUMIF(CsDJ[Account Code],B276,(CsDJ[Debit]))+SUMIF(CRDJ[Account Code],B276,(CRDJ[Debit]))+SUMIF(GJ[Account Code],B276,(GJ[Debit]))</f>
        <v>0</v>
      </c>
      <c r="F276" s="627">
        <f>SUMIF(PostTB[Account Code (Old)],B276,(PostTB[Credit]))+SUMIF(CkDJ[Account Code],B276,(CkDJ[Credit]))+SUMIF(CsDJ[Account Code],B276,(CsDJ[Credit]))+SUMIF(CRDJ[Account Code],B276,(CRDJ[Credit]))+SUMIF(GJ[Account Code],B276,(GJ[Credit]))</f>
        <v>0</v>
      </c>
      <c r="G276" s="627">
        <f>IF(INDEX(AccountCodes[Normal Balance], MATCH(C276,AccountCodes[PPSAS CODE]))="Credit",F276-E276,0)</f>
        <v>0</v>
      </c>
      <c r="H276" s="626">
        <f t="shared" si="4"/>
        <v>0</v>
      </c>
    </row>
    <row r="277" spans="1:8" ht="15.75" hidden="1">
      <c r="A277" s="623" t="str">
        <f t="array" ref="A277">INDEX(AccountCodes[ACCOUNT NAME],MATCH(B277,AccountCodes[NGAS CODE],0))</f>
        <v>Repairs and Maintenance-Machinery and Equipment - Disaster Response and Rescue Equipment</v>
      </c>
      <c r="B277" s="597" t="s">
        <v>259</v>
      </c>
      <c r="C277" s="625">
        <f t="array" ref="C277">INDEX(AccountCodes[PPSAS CODE],MATCH(B277,AccountCodes[NGAS CODE],0))</f>
        <v>5021305009</v>
      </c>
      <c r="D277" s="626">
        <f>IF(INDEX(AccountCodes[Normal Balance], MATCH(C277,AccountCodes[PPSAS CODE]))="Debit",E277-F277,0)</f>
        <v>0</v>
      </c>
      <c r="E277" s="626">
        <f>SUMIF(PostTB[Account Code (Old)],B277,(PostTB[Debit]))+SUMIF(CkDJ[Account Code],B277,(CkDJ[Debit]))+SUMIF(CsDJ[Account Code],B277,(CsDJ[Debit]))+SUMIF(CRDJ[Account Code],B277,(CRDJ[Debit]))+SUMIF(GJ[Account Code],B277,(GJ[Debit]))</f>
        <v>0</v>
      </c>
      <c r="F277" s="627">
        <f>SUMIF(PostTB[Account Code (Old)],B277,(PostTB[Credit]))+SUMIF(CkDJ[Account Code],B277,(CkDJ[Credit]))+SUMIF(CsDJ[Account Code],B277,(CsDJ[Credit]))+SUMIF(CRDJ[Account Code],B277,(CRDJ[Credit]))+SUMIF(GJ[Account Code],B277,(GJ[Credit]))</f>
        <v>0</v>
      </c>
      <c r="G277" s="627">
        <f>IF(INDEX(AccountCodes[Normal Balance], MATCH(C277,AccountCodes[PPSAS CODE]))="Credit",F277-E277,0)</f>
        <v>0</v>
      </c>
      <c r="H277" s="626">
        <f t="shared" si="4"/>
        <v>0</v>
      </c>
    </row>
    <row r="278" spans="1:8" ht="15.75" hidden="1">
      <c r="A278" s="623" t="str">
        <f t="array" ref="A278">INDEX(AccountCodes[ACCOUNT NAME],MATCH(B278,AccountCodes[NGAS CODE],0))</f>
        <v>Repairs and Maintenance-Machinery and Equipment - Military, Police and Security Equipment</v>
      </c>
      <c r="B278" s="597" t="s">
        <v>1447</v>
      </c>
      <c r="C278" s="625">
        <f t="array" ref="C278">INDEX(AccountCodes[PPSAS CODE],MATCH(B278,AccountCodes[NGAS CODE],0))</f>
        <v>5021305010</v>
      </c>
      <c r="D278" s="626">
        <f>IF(INDEX(AccountCodes[Normal Balance], MATCH(C278,AccountCodes[PPSAS CODE]))="Debit",E278-F278,0)</f>
        <v>0</v>
      </c>
      <c r="E278" s="626">
        <f>SUMIF(PostTB[Account Code (Old)],B278,(PostTB[Debit]))+SUMIF(CkDJ[Account Code],B278,(CkDJ[Debit]))+SUMIF(CsDJ[Account Code],B278,(CsDJ[Debit]))+SUMIF(CRDJ[Account Code],B278,(CRDJ[Debit]))+SUMIF(GJ[Account Code],B278,(GJ[Debit]))</f>
        <v>0</v>
      </c>
      <c r="F278" s="627">
        <f>SUMIF(PostTB[Account Code (Old)],B278,(PostTB[Credit]))+SUMIF(CkDJ[Account Code],B278,(CkDJ[Credit]))+SUMIF(CsDJ[Account Code],B278,(CsDJ[Credit]))+SUMIF(CRDJ[Account Code],B278,(CRDJ[Credit]))+SUMIF(GJ[Account Code],B278,(GJ[Credit]))</f>
        <v>0</v>
      </c>
      <c r="G278" s="627">
        <f>IF(INDEX(AccountCodes[Normal Balance], MATCH(C278,AccountCodes[PPSAS CODE]))="Credit",F278-E278,0)</f>
        <v>0</v>
      </c>
      <c r="H278" s="626">
        <f t="shared" si="4"/>
        <v>0</v>
      </c>
    </row>
    <row r="279" spans="1:8" ht="15.75" hidden="1">
      <c r="A279" s="623" t="str">
        <f t="array" ref="A279">INDEX(AccountCodes[ACCOUNT NAME],MATCH(B279,AccountCodes[NGAS CODE],0))</f>
        <v>Repairs and Maintenance-Machinery and Equipment - Medical Equipment</v>
      </c>
      <c r="B279" s="597" t="s">
        <v>1448</v>
      </c>
      <c r="C279" s="625">
        <f t="array" ref="C279">INDEX(AccountCodes[PPSAS CODE],MATCH(B279,AccountCodes[NGAS CODE],0))</f>
        <v>5021305011</v>
      </c>
      <c r="D279" s="626">
        <f>IF(INDEX(AccountCodes[Normal Balance], MATCH(C279,AccountCodes[PPSAS CODE]))="Debit",E279-F279,0)</f>
        <v>0</v>
      </c>
      <c r="E279" s="626">
        <f>SUMIF(PostTB[Account Code (Old)],B279,(PostTB[Debit]))+SUMIF(CkDJ[Account Code],B279,(CkDJ[Debit]))+SUMIF(CsDJ[Account Code],B279,(CsDJ[Debit]))+SUMIF(CRDJ[Account Code],B279,(CRDJ[Debit]))+SUMIF(GJ[Account Code],B279,(GJ[Debit]))</f>
        <v>0</v>
      </c>
      <c r="F279" s="627">
        <f>SUMIF(PostTB[Account Code (Old)],B279,(PostTB[Credit]))+SUMIF(CkDJ[Account Code],B279,(CkDJ[Credit]))+SUMIF(CsDJ[Account Code],B279,(CsDJ[Credit]))+SUMIF(CRDJ[Account Code],B279,(CRDJ[Credit]))+SUMIF(GJ[Account Code],B279,(GJ[Credit]))</f>
        <v>0</v>
      </c>
      <c r="G279" s="627">
        <f>IF(INDEX(AccountCodes[Normal Balance], MATCH(C279,AccountCodes[PPSAS CODE]))="Credit",F279-E279,0)</f>
        <v>0</v>
      </c>
      <c r="H279" s="626">
        <f t="shared" si="4"/>
        <v>0</v>
      </c>
    </row>
    <row r="280" spans="1:8" ht="15.75" hidden="1">
      <c r="A280" s="623" t="str">
        <f t="array" ref="A280">INDEX(AccountCodes[ACCOUNT NAME],MATCH(B280,AccountCodes[NGAS CODE],0))</f>
        <v>Repairs and Maintenance-Machinery and Equipment - Printing Equipment</v>
      </c>
      <c r="B280" s="597" t="s">
        <v>1449</v>
      </c>
      <c r="C280" s="625">
        <f t="array" ref="C280">INDEX(AccountCodes[PPSAS CODE],MATCH(B280,AccountCodes[NGAS CODE],0))</f>
        <v>5021305012</v>
      </c>
      <c r="D280" s="626">
        <f>IF(INDEX(AccountCodes[Normal Balance], MATCH(C280,AccountCodes[PPSAS CODE]))="Debit",E280-F280,0)</f>
        <v>0</v>
      </c>
      <c r="E280" s="626">
        <f>SUMIF(PostTB[Account Code (Old)],B280,(PostTB[Debit]))+SUMIF(CkDJ[Account Code],B280,(CkDJ[Debit]))+SUMIF(CsDJ[Account Code],B280,(CsDJ[Debit]))+SUMIF(CRDJ[Account Code],B280,(CRDJ[Debit]))+SUMIF(GJ[Account Code],B280,(GJ[Debit]))</f>
        <v>0</v>
      </c>
      <c r="F280" s="627">
        <f>SUMIF(PostTB[Account Code (Old)],B280,(PostTB[Credit]))+SUMIF(CkDJ[Account Code],B280,(CkDJ[Credit]))+SUMIF(CsDJ[Account Code],B280,(CsDJ[Credit]))+SUMIF(CRDJ[Account Code],B280,(CRDJ[Credit]))+SUMIF(GJ[Account Code],B280,(GJ[Credit]))</f>
        <v>0</v>
      </c>
      <c r="G280" s="627">
        <f>IF(INDEX(AccountCodes[Normal Balance], MATCH(C280,AccountCodes[PPSAS CODE]))="Credit",F280-E280,0)</f>
        <v>0</v>
      </c>
      <c r="H280" s="626">
        <f t="shared" si="4"/>
        <v>0</v>
      </c>
    </row>
    <row r="281" spans="1:8" ht="15.75" hidden="1">
      <c r="A281" s="623" t="str">
        <f t="array" ref="A281">INDEX(AccountCodes[ACCOUNT NAME],MATCH(B281,AccountCodes[NGAS CODE],0))</f>
        <v>Repairs and Maintenance-Machinery and Equipment - Sports Equipment</v>
      </c>
      <c r="B281" s="597" t="s">
        <v>1241</v>
      </c>
      <c r="C281" s="625">
        <f t="array" ref="C281">INDEX(AccountCodes[PPSAS CODE],MATCH(B281,AccountCodes[NGAS CODE],0))</f>
        <v>5021305013</v>
      </c>
      <c r="D281" s="626">
        <f>IF(INDEX(AccountCodes[Normal Balance], MATCH(C281,AccountCodes[PPSAS CODE]))="Debit",E281-F281,0)</f>
        <v>0</v>
      </c>
      <c r="E281" s="626">
        <f>SUMIF(PostTB[Account Code (Old)],B281,(PostTB[Debit]))+SUMIF(CkDJ[Account Code],B281,(CkDJ[Debit]))+SUMIF(CsDJ[Account Code],B281,(CsDJ[Debit]))+SUMIF(CRDJ[Account Code],B281,(CRDJ[Debit]))+SUMIF(GJ[Account Code],B281,(GJ[Debit]))</f>
        <v>0</v>
      </c>
      <c r="F281" s="627">
        <f>SUMIF(PostTB[Account Code (Old)],B281,(PostTB[Credit]))+SUMIF(CkDJ[Account Code],B281,(CkDJ[Credit]))+SUMIF(CsDJ[Account Code],B281,(CsDJ[Credit]))+SUMIF(CRDJ[Account Code],B281,(CRDJ[Credit]))+SUMIF(GJ[Account Code],B281,(GJ[Credit]))</f>
        <v>0</v>
      </c>
      <c r="G281" s="627">
        <f>IF(INDEX(AccountCodes[Normal Balance], MATCH(C281,AccountCodes[PPSAS CODE]))="Credit",F281-E281,0)</f>
        <v>0</v>
      </c>
      <c r="H281" s="626">
        <f t="shared" si="4"/>
        <v>0</v>
      </c>
    </row>
    <row r="282" spans="1:8" ht="15.75" hidden="1">
      <c r="A282" s="623" t="str">
        <f t="array" ref="A282">INDEX(AccountCodes[ACCOUNT NAME],MATCH(B282,AccountCodes[NGAS CODE],0))</f>
        <v>Repairs and Maintenance-Machinery and Equipment - Technical and Scientific Equipment</v>
      </c>
      <c r="B282" s="597" t="s">
        <v>260</v>
      </c>
      <c r="C282" s="625">
        <f t="array" ref="C282">INDEX(AccountCodes[PPSAS CODE],MATCH(B282,AccountCodes[NGAS CODE],0))</f>
        <v>5021305014</v>
      </c>
      <c r="D282" s="626">
        <f>IF(INDEX(AccountCodes[Normal Balance], MATCH(C282,AccountCodes[PPSAS CODE]))="Debit",E282-F282,0)</f>
        <v>0</v>
      </c>
      <c r="E282" s="626">
        <f>SUMIF(PostTB[Account Code (Old)],B282,(PostTB[Debit]))+SUMIF(CkDJ[Account Code],B282,(CkDJ[Debit]))+SUMIF(CsDJ[Account Code],B282,(CsDJ[Debit]))+SUMIF(CRDJ[Account Code],B282,(CRDJ[Debit]))+SUMIF(GJ[Account Code],B282,(GJ[Debit]))</f>
        <v>0</v>
      </c>
      <c r="F282" s="627">
        <f>SUMIF(PostTB[Account Code (Old)],B282,(PostTB[Credit]))+SUMIF(CkDJ[Account Code],B282,(CkDJ[Credit]))+SUMIF(CsDJ[Account Code],B282,(CsDJ[Credit]))+SUMIF(CRDJ[Account Code],B282,(CRDJ[Credit]))+SUMIF(GJ[Account Code],B282,(GJ[Credit]))</f>
        <v>0</v>
      </c>
      <c r="G282" s="627">
        <f>IF(INDEX(AccountCodes[Normal Balance], MATCH(C282,AccountCodes[PPSAS CODE]))="Credit",F282-E282,0)</f>
        <v>0</v>
      </c>
      <c r="H282" s="626">
        <f t="shared" si="4"/>
        <v>0</v>
      </c>
    </row>
    <row r="283" spans="1:8" ht="15.75" hidden="1">
      <c r="A283" s="623" t="str">
        <f t="array" ref="A283">INDEX(AccountCodes[ACCOUNT NAME],MATCH(B283,AccountCodes[NGAS CODE],0))</f>
        <v>Repairs and Maintenance-Machinery and Equipment - Other Machinery and Equipment</v>
      </c>
      <c r="B283" s="597" t="s">
        <v>261</v>
      </c>
      <c r="C283" s="625">
        <f t="array" ref="C283">INDEX(AccountCodes[PPSAS CODE],MATCH(B283,AccountCodes[NGAS CODE],0))</f>
        <v>5021305099</v>
      </c>
      <c r="D283" s="626">
        <f>IF(INDEX(AccountCodes[Normal Balance], MATCH(C283,AccountCodes[PPSAS CODE]))="Debit",E283-F283,0)</f>
        <v>0</v>
      </c>
      <c r="E283" s="626">
        <f>SUMIF(PostTB[Account Code (Old)],B283,(PostTB[Debit]))+SUMIF(CkDJ[Account Code],B283,(CkDJ[Debit]))+SUMIF(CsDJ[Account Code],B283,(CsDJ[Debit]))+SUMIF(CRDJ[Account Code],B283,(CRDJ[Debit]))+SUMIF(GJ[Account Code],B283,(GJ[Debit]))</f>
        <v>0</v>
      </c>
      <c r="F283" s="627">
        <f>SUMIF(PostTB[Account Code (Old)],B283,(PostTB[Credit]))+SUMIF(CkDJ[Account Code],B283,(CkDJ[Credit]))+SUMIF(CsDJ[Account Code],B283,(CsDJ[Credit]))+SUMIF(CRDJ[Account Code],B283,(CRDJ[Credit]))+SUMIF(GJ[Account Code],B283,(GJ[Credit]))</f>
        <v>0</v>
      </c>
      <c r="G283" s="627">
        <f>IF(INDEX(AccountCodes[Normal Balance], MATCH(C283,AccountCodes[PPSAS CODE]))="Credit",F283-E283,0)</f>
        <v>0</v>
      </c>
      <c r="H283" s="626">
        <f t="shared" si="4"/>
        <v>0</v>
      </c>
    </row>
    <row r="284" spans="1:8" ht="15.75">
      <c r="A284" s="623" t="str">
        <f t="array" ref="A284">INDEX(AccountCodes[ACCOUNT NAME],MATCH(B284,AccountCodes[NGAS CODE],0))</f>
        <v>Repairs and Maintenance-Transportation Equipment - Motor Vehicles</v>
      </c>
      <c r="B284" s="597" t="s">
        <v>262</v>
      </c>
      <c r="C284" s="625">
        <f t="array" ref="C284">INDEX(AccountCodes[PPSAS CODE],MATCH(B284,AccountCodes[NGAS CODE],0))</f>
        <v>5021306001</v>
      </c>
      <c r="D284" s="626">
        <f>IF(INDEX(AccountCodes[Normal Balance], MATCH(C284,AccountCodes[PPSAS CODE]))="Debit",E284-F284,0)</f>
        <v>0</v>
      </c>
      <c r="E284" s="626">
        <f>SUMIF(PostTB[Account Code (Old)],B284,(PostTB[Debit]))+SUMIF(CkDJ[Account Code],B284,(CkDJ[Debit]))+SUMIF(CsDJ[Account Code],B284,(CsDJ[Debit]))+SUMIF(CRDJ[Account Code],B284,(CRDJ[Debit]))+SUMIF(GJ[Account Code],B284,(GJ[Debit]))</f>
        <v>0</v>
      </c>
      <c r="F284" s="627">
        <f>SUMIF(PostTB[Account Code (Old)],B284,(PostTB[Credit]))+SUMIF(CkDJ[Account Code],B284,(CkDJ[Credit]))+SUMIF(CsDJ[Account Code],B284,(CsDJ[Credit]))+SUMIF(CRDJ[Account Code],B284,(CRDJ[Credit]))+SUMIF(GJ[Account Code],B284,(GJ[Credit]))</f>
        <v>0</v>
      </c>
      <c r="G284" s="627">
        <f>IF(INDEX(AccountCodes[Normal Balance], MATCH(C284,AccountCodes[PPSAS CODE]))="Credit",F284-E284,0)</f>
        <v>0</v>
      </c>
      <c r="H284" s="626">
        <f t="shared" si="4"/>
        <v>0</v>
      </c>
    </row>
    <row r="285" spans="1:8" ht="15.75" hidden="1">
      <c r="A285" s="623" t="str">
        <f t="array" ref="A285">INDEX(AccountCodes[ACCOUNT NAME],MATCH(B285,AccountCodes[NGAS CODE],0))</f>
        <v>Repairs and Maintenance-Transportation Equipment - Trains</v>
      </c>
      <c r="B285" s="597" t="s">
        <v>1450</v>
      </c>
      <c r="C285" s="625">
        <f t="array" ref="C285">INDEX(AccountCodes[PPSAS CODE],MATCH(B285,AccountCodes[NGAS CODE],0))</f>
        <v>5021306002</v>
      </c>
      <c r="D285" s="626">
        <f>IF(INDEX(AccountCodes[Normal Balance], MATCH(C285,AccountCodes[PPSAS CODE]))="Debit",E285-F285,0)</f>
        <v>0</v>
      </c>
      <c r="E285" s="626">
        <f>SUMIF(PostTB[Account Code (Old)],B285,(PostTB[Debit]))+SUMIF(CkDJ[Account Code],B285,(CkDJ[Debit]))+SUMIF(CsDJ[Account Code],B285,(CsDJ[Debit]))+SUMIF(CRDJ[Account Code],B285,(CRDJ[Debit]))+SUMIF(GJ[Account Code],B285,(GJ[Debit]))</f>
        <v>0</v>
      </c>
      <c r="F285" s="627">
        <f>SUMIF(PostTB[Account Code (Old)],B285,(PostTB[Credit]))+SUMIF(CkDJ[Account Code],B285,(CkDJ[Credit]))+SUMIF(CsDJ[Account Code],B285,(CsDJ[Credit]))+SUMIF(CRDJ[Account Code],B285,(CRDJ[Credit]))+SUMIF(GJ[Account Code],B285,(GJ[Credit]))</f>
        <v>0</v>
      </c>
      <c r="G285" s="627">
        <f>IF(INDEX(AccountCodes[Normal Balance], MATCH(C285,AccountCodes[PPSAS CODE]))="Credit",F285-E285,0)</f>
        <v>0</v>
      </c>
      <c r="H285" s="626">
        <f t="shared" si="4"/>
        <v>0</v>
      </c>
    </row>
    <row r="286" spans="1:8" ht="15.75" hidden="1">
      <c r="A286" s="623" t="str">
        <f t="array" ref="A286">INDEX(AccountCodes[ACCOUNT NAME],MATCH(B286,AccountCodes[NGAS CODE],0))</f>
        <v>Repairs and Maintenance-Transportation Equipment - Aircrafts and Aircrafts Ground Equipment</v>
      </c>
      <c r="B286" s="597" t="s">
        <v>1451</v>
      </c>
      <c r="C286" s="625">
        <f t="array" ref="C286">INDEX(AccountCodes[PPSAS CODE],MATCH(B286,AccountCodes[NGAS CODE],0))</f>
        <v>5021306003</v>
      </c>
      <c r="D286" s="626">
        <f>IF(INDEX(AccountCodes[Normal Balance], MATCH(C286,AccountCodes[PPSAS CODE]))="Debit",E286-F286,0)</f>
        <v>0</v>
      </c>
      <c r="E286" s="626">
        <f>SUMIF(PostTB[Account Code (Old)],B286,(PostTB[Debit]))+SUMIF(CkDJ[Account Code],B286,(CkDJ[Debit]))+SUMIF(CsDJ[Account Code],B286,(CsDJ[Debit]))+SUMIF(CRDJ[Account Code],B286,(CRDJ[Debit]))+SUMIF(GJ[Account Code],B286,(GJ[Debit]))</f>
        <v>0</v>
      </c>
      <c r="F286" s="627">
        <f>SUMIF(PostTB[Account Code (Old)],B286,(PostTB[Credit]))+SUMIF(CkDJ[Account Code],B286,(CkDJ[Credit]))+SUMIF(CsDJ[Account Code],B286,(CsDJ[Credit]))+SUMIF(CRDJ[Account Code],B286,(CRDJ[Credit]))+SUMIF(GJ[Account Code],B286,(GJ[Credit]))</f>
        <v>0</v>
      </c>
      <c r="G286" s="627">
        <f>IF(INDEX(AccountCodes[Normal Balance], MATCH(C286,AccountCodes[PPSAS CODE]))="Credit",F286-E286,0)</f>
        <v>0</v>
      </c>
      <c r="H286" s="626">
        <f t="shared" si="4"/>
        <v>0</v>
      </c>
    </row>
    <row r="287" spans="1:8" ht="15.75" hidden="1">
      <c r="A287" s="623" t="str">
        <f t="array" ref="A287">INDEX(AccountCodes[ACCOUNT NAME],MATCH(B287,AccountCodes[NGAS CODE],0))</f>
        <v>Repairs and Maintenance-Transportation Equipment - Watercrafts</v>
      </c>
      <c r="B287" s="597" t="s">
        <v>263</v>
      </c>
      <c r="C287" s="625">
        <f t="array" ref="C287">INDEX(AccountCodes[PPSAS CODE],MATCH(B287,AccountCodes[NGAS CODE],0))</f>
        <v>5021306004</v>
      </c>
      <c r="D287" s="626">
        <f>IF(INDEX(AccountCodes[Normal Balance], MATCH(C287,AccountCodes[PPSAS CODE]))="Debit",E287-F287,0)</f>
        <v>0</v>
      </c>
      <c r="E287" s="626">
        <f>SUMIF(PostTB[Account Code (Old)],B287,(PostTB[Debit]))+SUMIF(CkDJ[Account Code],B287,(CkDJ[Debit]))+SUMIF(CsDJ[Account Code],B287,(CsDJ[Debit]))+SUMIF(CRDJ[Account Code],B287,(CRDJ[Debit]))+SUMIF(GJ[Account Code],B287,(GJ[Debit]))</f>
        <v>0</v>
      </c>
      <c r="F287" s="627">
        <f>SUMIF(PostTB[Account Code (Old)],B287,(PostTB[Credit]))+SUMIF(CkDJ[Account Code],B287,(CkDJ[Credit]))+SUMIF(CsDJ[Account Code],B287,(CsDJ[Credit]))+SUMIF(CRDJ[Account Code],B287,(CRDJ[Credit]))+SUMIF(GJ[Account Code],B287,(GJ[Credit]))</f>
        <v>0</v>
      </c>
      <c r="G287" s="627">
        <f>IF(INDEX(AccountCodes[Normal Balance], MATCH(C287,AccountCodes[PPSAS CODE]))="Credit",F287-E287,0)</f>
        <v>0</v>
      </c>
      <c r="H287" s="626">
        <f t="shared" si="4"/>
        <v>0</v>
      </c>
    </row>
    <row r="288" spans="1:8" ht="15.75" hidden="1">
      <c r="A288" s="623" t="str">
        <f t="array" ref="A288">INDEX(AccountCodes[ACCOUNT NAME],MATCH(B288,AccountCodes[NGAS CODE],0))</f>
        <v>Repairs and Maintenance-Transportation Equipment - Other Transportation Equipment</v>
      </c>
      <c r="B288" s="597" t="s">
        <v>264</v>
      </c>
      <c r="C288" s="625">
        <f t="array" ref="C288">INDEX(AccountCodes[PPSAS CODE],MATCH(B288,AccountCodes[NGAS CODE],0))</f>
        <v>5021306099</v>
      </c>
      <c r="D288" s="626">
        <f>IF(INDEX(AccountCodes[Normal Balance], MATCH(C288,AccountCodes[PPSAS CODE]))="Debit",E288-F288,0)</f>
        <v>0</v>
      </c>
      <c r="E288" s="626">
        <f>SUMIF(PostTB[Account Code (Old)],B288,(PostTB[Debit]))+SUMIF(CkDJ[Account Code],B288,(CkDJ[Debit]))+SUMIF(CsDJ[Account Code],B288,(CsDJ[Debit]))+SUMIF(CRDJ[Account Code],B288,(CRDJ[Debit]))+SUMIF(GJ[Account Code],B288,(GJ[Debit]))</f>
        <v>0</v>
      </c>
      <c r="F288" s="627">
        <f>SUMIF(PostTB[Account Code (Old)],B288,(PostTB[Credit]))+SUMIF(CkDJ[Account Code],B288,(CkDJ[Credit]))+SUMIF(CsDJ[Account Code],B288,(CsDJ[Credit]))+SUMIF(CRDJ[Account Code],B288,(CRDJ[Credit]))+SUMIF(GJ[Account Code],B288,(GJ[Credit]))</f>
        <v>0</v>
      </c>
      <c r="G288" s="627">
        <f>IF(INDEX(AccountCodes[Normal Balance], MATCH(C288,AccountCodes[PPSAS CODE]))="Credit",F288-E288,0)</f>
        <v>0</v>
      </c>
      <c r="H288" s="626">
        <f t="shared" si="4"/>
        <v>0</v>
      </c>
    </row>
    <row r="289" spans="1:12" ht="15.75" hidden="1">
      <c r="A289" s="623" t="str">
        <f t="array" ref="A289">INDEX(AccountCodes[ACCOUNT NAME],MATCH(B289,AccountCodes[NGAS CODE],0))</f>
        <v>Repairs and Maintenance-Furniture and Fixtures</v>
      </c>
      <c r="B289" s="597" t="s">
        <v>254</v>
      </c>
      <c r="C289" s="625">
        <f t="array" ref="C289">INDEX(AccountCodes[PPSAS CODE],MATCH(B289,AccountCodes[NGAS CODE],0))</f>
        <v>5021307000</v>
      </c>
      <c r="D289" s="626">
        <f>IF(INDEX(AccountCodes[Normal Balance], MATCH(C289,AccountCodes[PPSAS CODE]))="Debit",E289-F289,0)</f>
        <v>0</v>
      </c>
      <c r="E289" s="626">
        <f>SUMIF(PostTB[Account Code (Old)],B289,(PostTB[Debit]))+SUMIF(CkDJ[Account Code],B289,(CkDJ[Debit]))+SUMIF(CsDJ[Account Code],B289,(CsDJ[Debit]))+SUMIF(CRDJ[Account Code],B289,(CRDJ[Debit]))+SUMIF(GJ[Account Code],B289,(GJ[Debit]))</f>
        <v>0</v>
      </c>
      <c r="F289" s="627">
        <f>SUMIF(PostTB[Account Code (Old)],B289,(PostTB[Credit]))+SUMIF(CkDJ[Account Code],B289,(CkDJ[Credit]))+SUMIF(CsDJ[Account Code],B289,(CsDJ[Credit]))+SUMIF(CRDJ[Account Code],B289,(CRDJ[Credit]))+SUMIF(GJ[Account Code],B289,(GJ[Credit]))</f>
        <v>0</v>
      </c>
      <c r="G289" s="627">
        <f>IF(INDEX(AccountCodes[Normal Balance], MATCH(C289,AccountCodes[PPSAS CODE]))="Credit",F289-E289,0)</f>
        <v>0</v>
      </c>
      <c r="H289" s="626">
        <f t="shared" si="4"/>
        <v>0</v>
      </c>
    </row>
    <row r="290" spans="1:12" ht="15.75" hidden="1">
      <c r="A290" s="623" t="str">
        <f t="array" ref="A290">INDEX(AccountCodes[ACCOUNT NAME],MATCH(B290,AccountCodes[NGAS CODE],0))</f>
        <v>Repairs and Maintenance-Other Property, Plant and Equipment - Other Property, Plant and Equipment</v>
      </c>
      <c r="B290" s="597" t="s">
        <v>265</v>
      </c>
      <c r="C290" s="625">
        <f t="array" ref="C290">INDEX(AccountCodes[PPSAS CODE],MATCH(B290,AccountCodes[NGAS CODE],0))</f>
        <v>5021399099</v>
      </c>
      <c r="D290" s="626">
        <f>IF(INDEX(AccountCodes[Normal Balance], MATCH(C290,AccountCodes[PPSAS CODE]))="Debit",E290-F290,0)</f>
        <v>0</v>
      </c>
      <c r="E290" s="626">
        <f>SUMIF(PostTB[Account Code (Old)],B290,(PostTB[Debit]))+SUMIF(CkDJ[Account Code],B290,(CkDJ[Debit]))+SUMIF(CsDJ[Account Code],B290,(CsDJ[Debit]))+SUMIF(CRDJ[Account Code],B290,(CRDJ[Debit]))+SUMIF(GJ[Account Code],B290,(GJ[Debit]))</f>
        <v>0</v>
      </c>
      <c r="F290" s="627">
        <f>SUMIF(PostTB[Account Code (Old)],B290,(PostTB[Credit]))+SUMIF(CkDJ[Account Code],B290,(CkDJ[Credit]))+SUMIF(CsDJ[Account Code],B290,(CsDJ[Credit]))+SUMIF(CRDJ[Account Code],B290,(CRDJ[Credit]))+SUMIF(GJ[Account Code],B290,(GJ[Credit]))</f>
        <v>0</v>
      </c>
      <c r="G290" s="627">
        <f>IF(INDEX(AccountCodes[Normal Balance], MATCH(C290,AccountCodes[PPSAS CODE]))="Credit",F290-E290,0)</f>
        <v>0</v>
      </c>
      <c r="H290" s="626">
        <f t="shared" si="4"/>
        <v>0</v>
      </c>
    </row>
    <row r="291" spans="1:12" ht="15.75" hidden="1">
      <c r="A291" s="623" t="str">
        <f t="array" ref="A291">INDEX(AccountCodes[ACCOUNT NAME],MATCH(B291,AccountCodes[NGAS CODE],0))</f>
        <v>Subsidy to Regional Offices/Staff Bureaus</v>
      </c>
      <c r="B291" s="597" t="s">
        <v>268</v>
      </c>
      <c r="C291" s="625">
        <f t="array" ref="C291">INDEX(AccountCodes[PPSAS CODE],MATCH(B291,AccountCodes[NGAS CODE],0))</f>
        <v>5021407000</v>
      </c>
      <c r="D291" s="626">
        <f>IF(INDEX(AccountCodes[Normal Balance], MATCH(C291,AccountCodes[PPSAS CODE]))="Debit",E291-F291,0)</f>
        <v>0</v>
      </c>
      <c r="E291" s="626">
        <f>SUMIF(PostTB[Account Code (Old)],B291,(PostTB[Debit]))+SUMIF(CkDJ[Account Code],B291,(CkDJ[Debit]))+SUMIF(CsDJ[Account Code],B291,(CsDJ[Debit]))+SUMIF(CRDJ[Account Code],B291,(CRDJ[Debit]))+SUMIF(GJ[Account Code],B291,(GJ[Debit]))</f>
        <v>0</v>
      </c>
      <c r="F291" s="627">
        <f>SUMIF(PostTB[Account Code (Old)],B291,(PostTB[Credit]))+SUMIF(CkDJ[Account Code],B291,(CkDJ[Credit]))+SUMIF(CsDJ[Account Code],B291,(CsDJ[Credit]))+SUMIF(CRDJ[Account Code],B291,(CRDJ[Credit]))+SUMIF(GJ[Account Code],B291,(GJ[Credit]))</f>
        <v>0</v>
      </c>
      <c r="G291" s="627">
        <f>IF(INDEX(AccountCodes[Normal Balance], MATCH(C291,AccountCodes[PPSAS CODE]))="Credit",F291-E291,0)</f>
        <v>0</v>
      </c>
      <c r="H291" s="626">
        <f t="shared" si="4"/>
        <v>0</v>
      </c>
    </row>
    <row r="292" spans="1:12" ht="15.75" hidden="1">
      <c r="A292" s="623" t="str">
        <f t="array" ref="A292">INDEX(AccountCodes[ACCOUNT NAME],MATCH(B292,AccountCodes[NGAS CODE],0))</f>
        <v>Taxes, Duties and Licenses</v>
      </c>
      <c r="B292" s="597" t="s">
        <v>272</v>
      </c>
      <c r="C292" s="625">
        <f t="array" ref="C292">INDEX(AccountCodes[PPSAS CODE],MATCH(B292,AccountCodes[NGAS CODE],0))</f>
        <v>5021501000</v>
      </c>
      <c r="D292" s="626">
        <f>IF(INDEX(AccountCodes[Normal Balance], MATCH(C292,AccountCodes[PPSAS CODE]))="Debit",E292-F292,0)</f>
        <v>0</v>
      </c>
      <c r="E292" s="626">
        <f>SUMIF(PostTB[Account Code (Old)],B292,(PostTB[Debit]))+SUMIF(CkDJ[Account Code],B292,(CkDJ[Debit]))+SUMIF(CsDJ[Account Code],B292,(CsDJ[Debit]))+SUMIF(CRDJ[Account Code],B292,(CRDJ[Debit]))+SUMIF(GJ[Account Code],B292,(GJ[Debit]))</f>
        <v>0</v>
      </c>
      <c r="F292" s="627">
        <f>SUMIF(PostTB[Account Code (Old)],B292,(PostTB[Credit]))+SUMIF(CkDJ[Account Code],B292,(CkDJ[Credit]))+SUMIF(CsDJ[Account Code],B292,(CsDJ[Credit]))+SUMIF(CRDJ[Account Code],B292,(CRDJ[Credit]))+SUMIF(GJ[Account Code],B292,(GJ[Credit]))</f>
        <v>0</v>
      </c>
      <c r="G292" s="627">
        <f>IF(INDEX(AccountCodes[Normal Balance], MATCH(C292,AccountCodes[PPSAS CODE]))="Credit",F292-E292,0)</f>
        <v>0</v>
      </c>
      <c r="H292" s="626">
        <f t="shared" si="4"/>
        <v>0</v>
      </c>
    </row>
    <row r="293" spans="1:12" ht="15.75">
      <c r="A293" s="623" t="str">
        <f t="array" ref="A293">INDEX(AccountCodes[ACCOUNT NAME],MATCH(B293,AccountCodes[NGAS CODE],0))</f>
        <v>Fidelity Bond Premiums</v>
      </c>
      <c r="B293" s="597" t="s">
        <v>273</v>
      </c>
      <c r="C293" s="625">
        <f t="array" ref="C293">INDEX(AccountCodes[PPSAS CODE],MATCH(B293,AccountCodes[NGAS CODE],0))</f>
        <v>5021502000</v>
      </c>
      <c r="D293" s="626">
        <f>IF(INDEX(AccountCodes[Normal Balance], MATCH(C293,AccountCodes[PPSAS CODE]))="Debit",E293-F293,0)</f>
        <v>0</v>
      </c>
      <c r="E293" s="626">
        <f>SUMIF(PostTB[Account Code (Old)],B293,(PostTB[Debit]))+SUMIF(CkDJ[Account Code],B293,(CkDJ[Debit]))+SUMIF(CsDJ[Account Code],B293,(CsDJ[Debit]))+SUMIF(CRDJ[Account Code],B293,(CRDJ[Debit]))+SUMIF(GJ[Account Code],B293,(GJ[Debit]))</f>
        <v>0</v>
      </c>
      <c r="F293" s="627">
        <f>SUMIF(PostTB[Account Code (Old)],B293,(PostTB[Credit]))+SUMIF(CkDJ[Account Code],B293,(CkDJ[Credit]))+SUMIF(CsDJ[Account Code],B293,(CsDJ[Credit]))+SUMIF(CRDJ[Account Code],B293,(CRDJ[Credit]))+SUMIF(GJ[Account Code],B293,(GJ[Credit]))</f>
        <v>0</v>
      </c>
      <c r="G293" s="627">
        <f>IF(INDEX(AccountCodes[Normal Balance], MATCH(C293,AccountCodes[PPSAS CODE]))="Credit",F293-E293,0)</f>
        <v>0</v>
      </c>
      <c r="H293" s="626">
        <f t="shared" si="4"/>
        <v>0</v>
      </c>
    </row>
    <row r="294" spans="1:12" ht="15.75">
      <c r="A294" s="623" t="str">
        <f t="array" ref="A294">INDEX(AccountCodes[ACCOUNT NAME],MATCH(B294,AccountCodes[NGAS CODE],0))</f>
        <v>Insurance Expenses</v>
      </c>
      <c r="B294" s="597" t="s">
        <v>274</v>
      </c>
      <c r="C294" s="625">
        <f t="array" ref="C294">INDEX(AccountCodes[PPSAS CODE],MATCH(B294,AccountCodes[NGAS CODE],0))</f>
        <v>5021503000</v>
      </c>
      <c r="D294" s="626">
        <f>IF(INDEX(AccountCodes[Normal Balance], MATCH(C294,AccountCodes[PPSAS CODE]))="Debit",E294-F294,0)</f>
        <v>0</v>
      </c>
      <c r="E294" s="626">
        <f>SUMIF(PostTB[Account Code (Old)],B294,(PostTB[Debit]))+SUMIF(CkDJ[Account Code],B294,(CkDJ[Debit]))+SUMIF(CsDJ[Account Code],B294,(CsDJ[Debit]))+SUMIF(CRDJ[Account Code],B294,(CRDJ[Debit]))+SUMIF(GJ[Account Code],B294,(GJ[Debit]))</f>
        <v>0</v>
      </c>
      <c r="F294" s="627">
        <f>SUMIF(PostTB[Account Code (Old)],B294,(PostTB[Credit]))+SUMIF(CkDJ[Account Code],B294,(CkDJ[Credit]))+SUMIF(CsDJ[Account Code],B294,(CsDJ[Credit]))+SUMIF(CRDJ[Account Code],B294,(CRDJ[Credit]))+SUMIF(GJ[Account Code],B294,(GJ[Credit]))</f>
        <v>0</v>
      </c>
      <c r="G294" s="627">
        <f>IF(INDEX(AccountCodes[Normal Balance], MATCH(C294,AccountCodes[PPSAS CODE]))="Credit",F294-E294,0)</f>
        <v>0</v>
      </c>
      <c r="H294" s="626">
        <f t="shared" si="4"/>
        <v>0</v>
      </c>
    </row>
    <row r="295" spans="1:12" ht="15.75" hidden="1">
      <c r="A295" s="623" t="str">
        <f t="array" ref="A295">INDEX(AccountCodes[ACCOUNT NAME],MATCH(B295,AccountCodes[NGAS CODE],0))</f>
        <v>Advertising Expenses</v>
      </c>
      <c r="B295" s="597" t="s">
        <v>240</v>
      </c>
      <c r="C295" s="625">
        <f t="array" ref="C295">INDEX(AccountCodes[PPSAS CODE],MATCH(B295,AccountCodes[NGAS CODE],0))</f>
        <v>5029901000</v>
      </c>
      <c r="D295" s="626">
        <f>IF(INDEX(AccountCodes[Normal Balance], MATCH(C295,AccountCodes[PPSAS CODE]))="Debit",E295-F295,0)</f>
        <v>0</v>
      </c>
      <c r="E295" s="626">
        <f>SUMIF(PostTB[Account Code (Old)],B295,(PostTB[Debit]))+SUMIF(CkDJ[Account Code],B295,(CkDJ[Debit]))+SUMIF(CsDJ[Account Code],B295,(CsDJ[Debit]))+SUMIF(CRDJ[Account Code],B295,(CRDJ[Debit]))+SUMIF(GJ[Account Code],B295,(GJ[Debit]))</f>
        <v>0</v>
      </c>
      <c r="F295" s="627">
        <f>SUMIF(PostTB[Account Code (Old)],B295,(PostTB[Credit]))+SUMIF(CkDJ[Account Code],B295,(CkDJ[Credit]))+SUMIF(CsDJ[Account Code],B295,(CsDJ[Credit]))+SUMIF(CRDJ[Account Code],B295,(CRDJ[Credit]))+SUMIF(GJ[Account Code],B295,(GJ[Credit]))</f>
        <v>0</v>
      </c>
      <c r="G295" s="627">
        <f>IF(INDEX(AccountCodes[Normal Balance], MATCH(C295,AccountCodes[PPSAS CODE]))="Credit",F295-E295,0)</f>
        <v>0</v>
      </c>
      <c r="H295" s="626">
        <f t="shared" si="4"/>
        <v>0</v>
      </c>
    </row>
    <row r="296" spans="1:12" ht="15.75" hidden="1">
      <c r="A296" s="623" t="str">
        <f t="array" ref="A296">INDEX(AccountCodes[ACCOUNT NAME],MATCH(B296,AccountCodes[NGAS CODE],0))</f>
        <v>Printing and Publication Expenses</v>
      </c>
      <c r="B296" s="597" t="s">
        <v>241</v>
      </c>
      <c r="C296" s="625">
        <f t="array" ref="C296">INDEX(AccountCodes[PPSAS CODE],MATCH(B296,AccountCodes[NGAS CODE],0))</f>
        <v>5029902000</v>
      </c>
      <c r="D296" s="626">
        <f>IF(INDEX(AccountCodes[Normal Balance], MATCH(C296,AccountCodes[PPSAS CODE]))="Debit",E296-F296,0)</f>
        <v>0</v>
      </c>
      <c r="E296" s="626">
        <f>SUMIF(PostTB[Account Code (Old)],B296,(PostTB[Debit]))+SUMIF(CkDJ[Account Code],B296,(CkDJ[Debit]))+SUMIF(CsDJ[Account Code],B296,(CsDJ[Debit]))+SUMIF(CRDJ[Account Code],B296,(CRDJ[Debit]))+SUMIF(GJ[Account Code],B296,(GJ[Debit]))</f>
        <v>0</v>
      </c>
      <c r="F296" s="627">
        <f>SUMIF(PostTB[Account Code (Old)],B296,(PostTB[Credit]))+SUMIF(CkDJ[Account Code],B296,(CkDJ[Credit]))+SUMIF(CsDJ[Account Code],B296,(CsDJ[Credit]))+SUMIF(CRDJ[Account Code],B296,(CRDJ[Credit]))+SUMIF(GJ[Account Code],B296,(GJ[Credit]))</f>
        <v>0</v>
      </c>
      <c r="G296" s="627">
        <f>IF(INDEX(AccountCodes[Normal Balance], MATCH(C296,AccountCodes[PPSAS CODE]))="Credit",F296-E296,0)</f>
        <v>0</v>
      </c>
      <c r="H296" s="626">
        <f t="shared" si="4"/>
        <v>0</v>
      </c>
    </row>
    <row r="297" spans="1:12" ht="15.75">
      <c r="A297" s="623" t="str">
        <f t="array" ref="A297">INDEX(AccountCodes[ACCOUNT NAME],MATCH(B297,AccountCodes[NGAS CODE],0))</f>
        <v>Representation Expenses</v>
      </c>
      <c r="B297" s="597" t="s">
        <v>243</v>
      </c>
      <c r="C297" s="625">
        <f t="array" ref="C297">INDEX(AccountCodes[PPSAS CODE],MATCH(B297,AccountCodes[NGAS CODE],0))</f>
        <v>5029903000</v>
      </c>
      <c r="D297" s="626">
        <f>IF(INDEX(AccountCodes[Normal Balance], MATCH(C297,AccountCodes[PPSAS CODE]))="Debit",E297-F297,0)</f>
        <v>0</v>
      </c>
      <c r="E297" s="626">
        <f>SUMIF(PostTB[Account Code (Old)],B297,(PostTB[Debit]))+SUMIF(CkDJ[Account Code],B297,(CkDJ[Debit]))+SUMIF(CsDJ[Account Code],B297,(CsDJ[Debit]))+SUMIF(CRDJ[Account Code],B297,(CRDJ[Debit]))+SUMIF(GJ[Account Code],B297,(GJ[Debit]))</f>
        <v>0</v>
      </c>
      <c r="F297" s="627">
        <f>SUMIF(PostTB[Account Code (Old)],B297,(PostTB[Credit]))+SUMIF(CkDJ[Account Code],B297,(CkDJ[Credit]))+SUMIF(CsDJ[Account Code],B297,(CsDJ[Credit]))+SUMIF(CRDJ[Account Code],B297,(CRDJ[Credit]))+SUMIF(GJ[Account Code],B297,(GJ[Credit]))</f>
        <v>0</v>
      </c>
      <c r="G297" s="627">
        <f>IF(INDEX(AccountCodes[Normal Balance], MATCH(C297,AccountCodes[PPSAS CODE]))="Credit",F297-E297,0)</f>
        <v>0</v>
      </c>
      <c r="H297" s="626">
        <f t="shared" si="4"/>
        <v>0</v>
      </c>
    </row>
    <row r="298" spans="1:12" ht="15.75" hidden="1">
      <c r="A298" s="623" t="str">
        <f t="array" ref="A298">INDEX(AccountCodes[ACCOUNT NAME],MATCH(B298,AccountCodes[NGAS CODE],0))</f>
        <v>Transportation and Delivery Expenses</v>
      </c>
      <c r="B298" s="597" t="s">
        <v>244</v>
      </c>
      <c r="C298" s="625">
        <f t="array" ref="C298">INDEX(AccountCodes[PPSAS CODE],MATCH(B298,AccountCodes[NGAS CODE],0))</f>
        <v>5029904000</v>
      </c>
      <c r="D298" s="626">
        <f>IF(INDEX(AccountCodes[Normal Balance], MATCH(C298,AccountCodes[PPSAS CODE]))="Debit",E298-F298,0)</f>
        <v>0</v>
      </c>
      <c r="E298" s="626">
        <f>SUMIF(PostTB[Account Code (Old)],B298,(PostTB[Debit]))+SUMIF(CkDJ[Account Code],B298,(CkDJ[Debit]))+SUMIF(CsDJ[Account Code],B298,(CsDJ[Debit]))+SUMIF(CRDJ[Account Code],B298,(CRDJ[Debit]))+SUMIF(GJ[Account Code],B298,(GJ[Debit]))</f>
        <v>0</v>
      </c>
      <c r="F298" s="627">
        <f>SUMIF(PostTB[Account Code (Old)],B298,(PostTB[Credit]))+SUMIF(CkDJ[Account Code],B298,(CkDJ[Credit]))+SUMIF(CsDJ[Account Code],B298,(CsDJ[Credit]))+SUMIF(CRDJ[Account Code],B298,(CRDJ[Credit]))+SUMIF(GJ[Account Code],B298,(GJ[Credit]))</f>
        <v>0</v>
      </c>
      <c r="G298" s="627">
        <f>IF(INDEX(AccountCodes[Normal Balance], MATCH(C298,AccountCodes[PPSAS CODE]))="Credit",F298-E298,0)</f>
        <v>0</v>
      </c>
      <c r="H298" s="626">
        <f t="shared" si="4"/>
        <v>0</v>
      </c>
    </row>
    <row r="299" spans="1:12" ht="15.75" hidden="1">
      <c r="A299" s="623" t="str">
        <f t="array" ref="A299">INDEX(AccountCodes[ACCOUNT NAME],MATCH(B299,AccountCodes[NGAS CODE],0))</f>
        <v>Rent/Lease Expenses</v>
      </c>
      <c r="B299" s="597" t="s">
        <v>242</v>
      </c>
      <c r="C299" s="625">
        <f t="array" ref="C299">INDEX(AccountCodes[PPSAS CODE],MATCH(B299,AccountCodes[NGAS CODE],0))</f>
        <v>5029905000</v>
      </c>
      <c r="D299" s="626">
        <f>IF(INDEX(AccountCodes[Normal Balance], MATCH(C299,AccountCodes[PPSAS CODE]))="Debit",E299-F299,0)</f>
        <v>0</v>
      </c>
      <c r="E299" s="626">
        <f>SUMIF(PostTB[Account Code (Old)],B299,(PostTB[Debit]))+SUMIF(CkDJ[Account Code],B299,(CkDJ[Debit]))+SUMIF(CsDJ[Account Code],B299,(CsDJ[Debit]))+SUMIF(CRDJ[Account Code],B299,(CRDJ[Debit]))+SUMIF(GJ[Account Code],B299,(GJ[Debit]))</f>
        <v>0</v>
      </c>
      <c r="F299" s="627">
        <f>SUMIF(PostTB[Account Code (Old)],B299,(PostTB[Credit]))+SUMIF(CkDJ[Account Code],B299,(CkDJ[Credit]))+SUMIF(CsDJ[Account Code],B299,(CsDJ[Credit]))+SUMIF(CRDJ[Account Code],B299,(CRDJ[Credit]))+SUMIF(GJ[Account Code],B299,(GJ[Credit]))</f>
        <v>0</v>
      </c>
      <c r="G299" s="627">
        <f>IF(INDEX(AccountCodes[Normal Balance], MATCH(C299,AccountCodes[PPSAS CODE]))="Credit",F299-E299,0)</f>
        <v>0</v>
      </c>
      <c r="H299" s="626">
        <f t="shared" si="4"/>
        <v>0</v>
      </c>
    </row>
    <row r="300" spans="1:12" ht="15.75" hidden="1">
      <c r="A300" s="623" t="str">
        <f t="array" ref="A300">INDEX(AccountCodes[ACCOUNT NAME],MATCH(B300,AccountCodes[NGAS CODE],0))</f>
        <v>Membership Dues and Contributions to Organizations</v>
      </c>
      <c r="B300" s="597" t="s">
        <v>239</v>
      </c>
      <c r="C300" s="625">
        <f t="array" ref="C300">INDEX(AccountCodes[PPSAS CODE],MATCH(B300,AccountCodes[NGAS CODE],0))</f>
        <v>5029906000</v>
      </c>
      <c r="D300" s="626">
        <f>IF(INDEX(AccountCodes[Normal Balance], MATCH(C300,AccountCodes[PPSAS CODE]))="Debit",E300-F300,0)</f>
        <v>0</v>
      </c>
      <c r="E300" s="626">
        <f>SUMIF(PostTB[Account Code (Old)],B300,(PostTB[Debit]))+SUMIF(CkDJ[Account Code],B300,(CkDJ[Debit]))+SUMIF(CsDJ[Account Code],B300,(CsDJ[Debit]))+SUMIF(CRDJ[Account Code],B300,(CRDJ[Debit]))+SUMIF(GJ[Account Code],B300,(GJ[Debit]))</f>
        <v>0</v>
      </c>
      <c r="F300" s="627">
        <f>SUMIF(PostTB[Account Code (Old)],B300,(PostTB[Credit]))+SUMIF(CkDJ[Account Code],B300,(CkDJ[Credit]))+SUMIF(CsDJ[Account Code],B300,(CsDJ[Credit]))+SUMIF(CRDJ[Account Code],B300,(CRDJ[Credit]))+SUMIF(GJ[Account Code],B300,(GJ[Credit]))</f>
        <v>0</v>
      </c>
      <c r="G300" s="627">
        <f>IF(INDEX(AccountCodes[Normal Balance], MATCH(C300,AccountCodes[PPSAS CODE]))="Credit",F300-E300,0)</f>
        <v>0</v>
      </c>
      <c r="H300" s="626">
        <f t="shared" si="4"/>
        <v>0</v>
      </c>
    </row>
    <row r="301" spans="1:12" ht="15.75" hidden="1">
      <c r="A301" s="623" t="str">
        <f t="array" ref="A301">INDEX(AccountCodes[ACCOUNT NAME],MATCH(B301,AccountCodes[NGAS CODE],0))</f>
        <v>Subscription Expenses</v>
      </c>
      <c r="B301" s="597" t="s">
        <v>339</v>
      </c>
      <c r="C301" s="625">
        <f t="array" ref="C301">INDEX(AccountCodes[PPSAS CODE],MATCH(B301,AccountCodes[NGAS CODE],0))</f>
        <v>5029907000</v>
      </c>
      <c r="D301" s="626">
        <f>IF(INDEX(AccountCodes[Normal Balance], MATCH(C301,AccountCodes[PPSAS CODE]))="Debit",E301-F301,0)</f>
        <v>0</v>
      </c>
      <c r="E301" s="626">
        <f>SUMIF(PostTB[Account Code (Old)],B301,(PostTB[Debit]))+SUMIF(CkDJ[Account Code],B301,(CkDJ[Debit]))+SUMIF(CsDJ[Account Code],B301,(CsDJ[Debit]))+SUMIF(CRDJ[Account Code],B301,(CRDJ[Debit]))+SUMIF(GJ[Account Code],B301,(GJ[Debit]))</f>
        <v>0</v>
      </c>
      <c r="F301" s="627">
        <f>SUMIF(PostTB[Account Code (Old)],B301,(PostTB[Credit]))+SUMIF(CkDJ[Account Code],B301,(CkDJ[Credit]))+SUMIF(CsDJ[Account Code],B301,(CsDJ[Credit]))+SUMIF(CRDJ[Account Code],B301,(CRDJ[Credit]))+SUMIF(GJ[Account Code],B301,(GJ[Credit]))</f>
        <v>0</v>
      </c>
      <c r="G301" s="627">
        <f>IF(INDEX(AccountCodes[Normal Balance], MATCH(C301,AccountCodes[PPSAS CODE]))="Credit",F301-E301,0)</f>
        <v>0</v>
      </c>
      <c r="H301" s="626">
        <f t="shared" si="4"/>
        <v>0</v>
      </c>
    </row>
    <row r="302" spans="1:12" ht="15.75">
      <c r="A302" s="623" t="str">
        <f t="array" ref="A302">INDEX(AccountCodes[ACCOUNT NAME],MATCH(B302,AccountCodes[NGAS CODE],0))</f>
        <v>Donations</v>
      </c>
      <c r="B302" s="597" t="s">
        <v>269</v>
      </c>
      <c r="C302" s="625">
        <f t="array" ref="C302">INDEX(AccountCodes[PPSAS CODE],MATCH(B302,AccountCodes[NGAS CODE],0))</f>
        <v>5029908000</v>
      </c>
      <c r="D302" s="626">
        <f>IF(INDEX(AccountCodes[Normal Balance], MATCH(C302,AccountCodes[PPSAS CODE]))="Debit",E302-F302,0)</f>
        <v>0</v>
      </c>
      <c r="E302" s="626">
        <f>SUMIF(PostTB[Account Code (Old)],B302,(PostTB[Debit]))+SUMIF(CkDJ[Account Code],B302,(CkDJ[Debit]))+SUMIF(CsDJ[Account Code],B302,(CsDJ[Debit]))+SUMIF(CRDJ[Account Code],B302,(CRDJ[Debit]))+SUMIF(GJ[Account Code],B302,(GJ[Debit]))</f>
        <v>0</v>
      </c>
      <c r="F302" s="627">
        <f>SUMIF(PostTB[Account Code (Old)],B302,(PostTB[Credit]))+SUMIF(CkDJ[Account Code],B302,(CkDJ[Credit]))+SUMIF(CsDJ[Account Code],B302,(CsDJ[Credit]))+SUMIF(CRDJ[Account Code],B302,(CRDJ[Credit]))+SUMIF(GJ[Account Code],B302,(GJ[Credit]))</f>
        <v>0</v>
      </c>
      <c r="G302" s="627">
        <f>IF(INDEX(AccountCodes[Normal Balance], MATCH(C302,AccountCodes[PPSAS CODE]))="Credit",F302-E302,0)</f>
        <v>0</v>
      </c>
      <c r="H302" s="626">
        <f t="shared" si="4"/>
        <v>0</v>
      </c>
    </row>
    <row r="303" spans="1:12" ht="15.75" hidden="1">
      <c r="A303" s="623" t="str">
        <f t="array" ref="A303">INDEX(AccountCodes[ACCOUNT NAME],MATCH(B303,AccountCodes[NGAS CODE],0))</f>
        <v>Other Maintenance and Operating Expenses</v>
      </c>
      <c r="B303" s="597" t="s">
        <v>408</v>
      </c>
      <c r="C303" s="625">
        <f t="array" ref="C303">INDEX(AccountCodes[PPSAS CODE],MATCH(B303,AccountCodes[NGAS CODE],0))</f>
        <v>5029999000</v>
      </c>
      <c r="D303" s="626">
        <f>IF(INDEX(AccountCodes[Normal Balance], MATCH(C303,AccountCodes[PPSAS CODE]))="Debit",E303-F303,0)</f>
        <v>0</v>
      </c>
      <c r="E303" s="626">
        <f>SUMIF(PostTB[Account Code (Old)],B303,(PostTB[Debit]))+SUMIF(CkDJ[Account Code],B303,(CkDJ[Debit]))+SUMIF(CsDJ[Account Code],B303,(CsDJ[Debit]))+SUMIF(CRDJ[Account Code],B303,(CRDJ[Debit]))+SUMIF(GJ[Account Code],B303,(GJ[Debit]))</f>
        <v>0</v>
      </c>
      <c r="F303" s="627">
        <f>SUMIF(PostTB[Account Code (Old)],B303,(PostTB[Credit]))+SUMIF(CkDJ[Account Code],B303,(CkDJ[Credit]))+SUMIF(CsDJ[Account Code],B303,(CsDJ[Credit]))+SUMIF(CRDJ[Account Code],B303,(CRDJ[Credit]))+SUMIF(GJ[Account Code],B303,(GJ[Credit]))</f>
        <v>0</v>
      </c>
      <c r="G303" s="627">
        <f>IF(INDEX(AccountCodes[Normal Balance], MATCH(C303,AccountCodes[PPSAS CODE]))="Credit",F303-E303,0)</f>
        <v>0</v>
      </c>
      <c r="H303" s="626">
        <f t="shared" si="4"/>
        <v>0</v>
      </c>
    </row>
    <row r="304" spans="1:12" ht="15.75" hidden="1">
      <c r="A304" s="623" t="str">
        <f t="array" ref="A304">INDEX(AccountCodes[ACCOUNT NAME],MATCH(B304,AccountCodes[NGAS CODE],0))</f>
        <v>Other Maintenance and Operating Expenses - Other Maintenance and Operating Expenses</v>
      </c>
      <c r="B304" s="597" t="s">
        <v>271</v>
      </c>
      <c r="C304" s="625">
        <f t="array" ref="C304">INDEX(AccountCodes[PPSAS CODE],MATCH(B304,AccountCodes[NGAS CODE],0))</f>
        <v>5029999002</v>
      </c>
      <c r="D304" s="626">
        <f>IF(INDEX(AccountCodes[Normal Balance], MATCH(C304,AccountCodes[PPSAS CODE]))="Debit",E304-F304,0)</f>
        <v>0</v>
      </c>
      <c r="E304" s="626">
        <f>SUMIF(PostTB[Account Code (Old)],B304,(PostTB[Debit]))+SUMIF(CkDJ[Account Code],B304,(CkDJ[Debit]))+SUMIF(CsDJ[Account Code],B304,(CsDJ[Debit]))+SUMIF(CRDJ[Account Code],B304,(CRDJ[Debit]))+SUMIF(GJ[Account Code],B304,(GJ[Debit]))</f>
        <v>0</v>
      </c>
      <c r="F304" s="627">
        <f>SUMIF(PostTB[Account Code (Old)],B304,(PostTB[Credit]))+SUMIF(CkDJ[Account Code],B304,(CkDJ[Credit]))+SUMIF(CsDJ[Account Code],B304,(CsDJ[Credit]))+SUMIF(CRDJ[Account Code],B304,(CRDJ[Credit]))+SUMIF(GJ[Account Code],B304,(GJ[Credit]))</f>
        <v>0</v>
      </c>
      <c r="G304" s="627">
        <f>IF(INDEX(AccountCodes[Normal Balance], MATCH(C304,AccountCodes[PPSAS CODE]))="Credit",F304-E304,0)</f>
        <v>0</v>
      </c>
      <c r="H304" s="626">
        <f t="shared" si="4"/>
        <v>0</v>
      </c>
      <c r="K304" s="162"/>
      <c r="L304" s="162">
        <f>G196</f>
        <v>0</v>
      </c>
    </row>
    <row r="305" spans="1:12" ht="15.75">
      <c r="A305" s="623" t="str">
        <f t="array" ref="A305">INDEX(AccountCodes[ACCOUNT NAME],MATCH(B305,AccountCodes[NGAS CODE],0))</f>
        <v>Other Maintenance and Operating Expenses - Other Maintenance and Operating Expenses</v>
      </c>
      <c r="B305" s="597" t="s">
        <v>405</v>
      </c>
      <c r="C305" s="625">
        <f t="array" ref="C305">INDEX(AccountCodes[PPSAS CODE],MATCH(B305,AccountCodes[NGAS CODE],0))</f>
        <v>5029999002</v>
      </c>
      <c r="D305" s="626">
        <f>IF(INDEX(AccountCodes[Normal Balance], MATCH(C305,AccountCodes[PPSAS CODE]))="Debit",E305-F305,0)</f>
        <v>788042.51</v>
      </c>
      <c r="E305" s="626">
        <f>SUMIF(PostTB[Account Code (Old)],B305,(PostTB[Debit]))+SUMIF(CkDJ[Account Code],B305,(CkDJ[Debit]))+SUMIF(CsDJ[Account Code],B305,(CsDJ[Debit]))+SUMIF(CRDJ[Account Code],B305,(CRDJ[Debit]))+SUMIF(GJ[Account Code],B305,(GJ[Debit]))</f>
        <v>788042.51</v>
      </c>
      <c r="F305" s="627">
        <f>SUMIF(PostTB[Account Code (Old)],B305,(PostTB[Credit]))+SUMIF(CkDJ[Account Code],B305,(CkDJ[Credit]))+SUMIF(CsDJ[Account Code],B305,(CsDJ[Credit]))+SUMIF(CRDJ[Account Code],B305,(CRDJ[Credit]))+SUMIF(GJ[Account Code],B305,(GJ[Credit]))</f>
        <v>0</v>
      </c>
      <c r="G305" s="627">
        <f>IF(INDEX(AccountCodes[Normal Balance], MATCH(C305,AccountCodes[PPSAS CODE]))="Credit",F305-E305,0)</f>
        <v>0</v>
      </c>
      <c r="H305" s="626">
        <f t="shared" si="4"/>
        <v>788042.51</v>
      </c>
      <c r="K305" s="162"/>
      <c r="L305" s="162"/>
    </row>
    <row r="306" spans="1:12" ht="15.75" hidden="1">
      <c r="A306" s="623" t="str">
        <f t="array" ref="A306">INDEX(AccountCodes[ACCOUNT NAME],MATCH(B306,AccountCodes[NGAS CODE],0))</f>
        <v>Other Maintenance and Operating Expenses (Irrigator's Share/Remuneration/Subsidy)</v>
      </c>
      <c r="B306" s="597" t="s">
        <v>333</v>
      </c>
      <c r="C306" s="625">
        <f t="array" ref="C306">INDEX(AccountCodes[PPSAS CODE],MATCH(B306,AccountCodes[NGAS CODE],0))</f>
        <v>5029999098</v>
      </c>
      <c r="D306" s="626">
        <f>IF(INDEX(AccountCodes[Normal Balance], MATCH(C306,AccountCodes[PPSAS CODE]))="Debit",E306-F306,0)</f>
        <v>0</v>
      </c>
      <c r="E306" s="626">
        <f>SUMIF(PostTB[Account Code (Old)],B306,(PostTB[Debit]))+SUMIF(CkDJ[Account Code],B306,(CkDJ[Debit]))+SUMIF(CsDJ[Account Code],B306,(CsDJ[Debit]))+SUMIF(CRDJ[Account Code],B306,(CRDJ[Debit]))+SUMIF(GJ[Account Code],B306,(GJ[Debit]))</f>
        <v>0</v>
      </c>
      <c r="F306" s="627">
        <f>SUMIF(PostTB[Account Code (Old)],B306,(PostTB[Credit]))+SUMIF(CkDJ[Account Code],B306,(CkDJ[Credit]))+SUMIF(CsDJ[Account Code],B306,(CsDJ[Credit]))+SUMIF(CRDJ[Account Code],B306,(CRDJ[Credit]))+SUMIF(GJ[Account Code],B306,(GJ[Credit]))</f>
        <v>0</v>
      </c>
      <c r="G306" s="627">
        <f>IF(INDEX(AccountCodes[Normal Balance], MATCH(C306,AccountCodes[PPSAS CODE]))="Credit",F306-E306,0)</f>
        <v>0</v>
      </c>
      <c r="H306" s="626">
        <f t="shared" si="4"/>
        <v>0</v>
      </c>
      <c r="K306" s="162"/>
      <c r="L306" s="162"/>
    </row>
    <row r="307" spans="1:12" ht="15.75" hidden="1">
      <c r="A307" s="623" t="str">
        <f t="array" ref="A307">INDEX(AccountCodes[ACCOUNT NAME],MATCH(B307,AccountCodes[NGAS CODE],0))</f>
        <v>Other Maintenance and Operating Expenses (Power Cost for Pumps)</v>
      </c>
      <c r="B307" s="597" t="s">
        <v>991</v>
      </c>
      <c r="C307" s="625">
        <f t="array" ref="C307">INDEX(AccountCodes[PPSAS CODE],MATCH(B307,AccountCodes[NGAS CODE],0))</f>
        <v>5029999099</v>
      </c>
      <c r="D307" s="626">
        <f>IF(INDEX(AccountCodes[Normal Balance], MATCH(C307,AccountCodes[PPSAS CODE]))="Debit",E307-F307,0)</f>
        <v>0</v>
      </c>
      <c r="E307" s="626">
        <f>SUMIF(PostTB[Account Code (Old)],B307,(PostTB[Debit]))+SUMIF(CkDJ[Account Code],B307,(CkDJ[Debit]))+SUMIF(CsDJ[Account Code],B307,(CsDJ[Debit]))+SUMIF(CRDJ[Account Code],B307,(CRDJ[Debit]))+SUMIF(GJ[Account Code],B307,(GJ[Debit]))</f>
        <v>0</v>
      </c>
      <c r="F307" s="627">
        <f>SUMIF(PostTB[Account Code (Old)],B307,(PostTB[Credit]))+SUMIF(CkDJ[Account Code],B307,(CkDJ[Credit]))+SUMIF(CsDJ[Account Code],B307,(CsDJ[Credit]))+SUMIF(CRDJ[Account Code],B307,(CRDJ[Credit]))+SUMIF(GJ[Account Code],B307,(GJ[Credit]))</f>
        <v>0</v>
      </c>
      <c r="G307" s="627">
        <f>IF(INDEX(AccountCodes[Normal Balance], MATCH(C307,AccountCodes[PPSAS CODE]))="Credit",F307-E307,0)</f>
        <v>0</v>
      </c>
      <c r="H307" s="626">
        <f t="shared" si="4"/>
        <v>0</v>
      </c>
      <c r="K307" s="162"/>
      <c r="L307" s="162"/>
    </row>
    <row r="308" spans="1:12" ht="15.75" hidden="1">
      <c r="A308" s="623" t="str">
        <f t="array" ref="A308">INDEX(AccountCodes[ACCOUNT NAME],MATCH(B308,AccountCodes[NGAS CODE],0))</f>
        <v>Interest Expenses</v>
      </c>
      <c r="B308" s="597" t="s">
        <v>341</v>
      </c>
      <c r="C308" s="625">
        <f t="array" ref="C308">INDEX(AccountCodes[PPSAS CODE],MATCH(B308,AccountCodes[NGAS CODE],0))</f>
        <v>5030102000</v>
      </c>
      <c r="D308" s="626">
        <f>IF(INDEX(AccountCodes[Normal Balance], MATCH(C308,AccountCodes[PPSAS CODE]))="Debit",E308-F308,0)</f>
        <v>0</v>
      </c>
      <c r="E308" s="626">
        <f>SUMIF(PostTB[Account Code (Old)],B308,(PostTB[Debit]))+SUMIF(CkDJ[Account Code],B308,(CkDJ[Debit]))+SUMIF(CsDJ[Account Code],B308,(CsDJ[Debit]))+SUMIF(CRDJ[Account Code],B308,(CRDJ[Debit]))+SUMIF(GJ[Account Code],B308,(GJ[Debit]))</f>
        <v>0</v>
      </c>
      <c r="F308" s="627">
        <f>SUMIF(PostTB[Account Code (Old)],B308,(PostTB[Credit]))+SUMIF(CkDJ[Account Code],B308,(CkDJ[Credit]))+SUMIF(CsDJ[Account Code],B308,(CsDJ[Credit]))+SUMIF(CRDJ[Account Code],B308,(CRDJ[Credit]))+SUMIF(GJ[Account Code],B308,(GJ[Credit]))</f>
        <v>0</v>
      </c>
      <c r="G308" s="627">
        <f>IF(INDEX(AccountCodes[Normal Balance], MATCH(C308,AccountCodes[PPSAS CODE]))="Credit",F308-E308,0)</f>
        <v>0</v>
      </c>
      <c r="H308" s="626">
        <f t="shared" si="4"/>
        <v>0</v>
      </c>
      <c r="K308" s="162"/>
      <c r="L308" s="162"/>
    </row>
    <row r="309" spans="1:12" ht="15.75">
      <c r="A309" s="623" t="str">
        <f t="array" ref="A309">INDEX(AccountCodes[ACCOUNT NAME],MATCH(B309,AccountCodes[NGAS CODE],0))</f>
        <v>Bank Charges</v>
      </c>
      <c r="B309" s="597" t="s">
        <v>340</v>
      </c>
      <c r="C309" s="625">
        <f t="array" ref="C309">INDEX(AccountCodes[PPSAS CODE],MATCH(B309,AccountCodes[NGAS CODE],0))</f>
        <v>5030104000</v>
      </c>
      <c r="D309" s="626">
        <f>IF(INDEX(AccountCodes[Normal Balance], MATCH(C309,AccountCodes[PPSAS CODE]))="Debit",E309-F309,0)</f>
        <v>1200</v>
      </c>
      <c r="E309" s="626">
        <f>SUMIF(PostTB[Account Code (Old)],B309,(PostTB[Debit]))+SUMIF(CkDJ[Account Code],B309,(CkDJ[Debit]))+SUMIF(CsDJ[Account Code],B309,(CsDJ[Debit]))+SUMIF(CRDJ[Account Code],B309,(CRDJ[Debit]))+SUMIF(GJ[Account Code],B309,(GJ[Debit]))</f>
        <v>1200</v>
      </c>
      <c r="F309" s="627">
        <f>SUMIF(PostTB[Account Code (Old)],B309,(PostTB[Credit]))+SUMIF(CkDJ[Account Code],B309,(CkDJ[Credit]))+SUMIF(CsDJ[Account Code],B309,(CsDJ[Credit]))+SUMIF(CRDJ[Account Code],B309,(CRDJ[Credit]))+SUMIF(GJ[Account Code],B309,(GJ[Credit]))</f>
        <v>0</v>
      </c>
      <c r="G309" s="627">
        <f>IF(INDEX(AccountCodes[Normal Balance], MATCH(C309,AccountCodes[PPSAS CODE]))="Credit",F309-E309,0)</f>
        <v>0</v>
      </c>
      <c r="H309" s="626">
        <f t="shared" si="4"/>
        <v>1200</v>
      </c>
      <c r="K309" s="162"/>
      <c r="L309" s="162">
        <f>H199</f>
        <v>53049726.840000004</v>
      </c>
    </row>
    <row r="310" spans="1:12" ht="15.75" hidden="1">
      <c r="A310" s="623" t="str">
        <f t="array" ref="A310">INDEX(AccountCodes[ACCOUNT NAME],MATCH(B310,AccountCodes[NGAS CODE],0))</f>
        <v>Depreciation-Land Improvements</v>
      </c>
      <c r="B310" s="597" t="s">
        <v>275</v>
      </c>
      <c r="C310" s="625">
        <f t="array" ref="C310">INDEX(AccountCodes[PPSAS CODE],MATCH(B310,AccountCodes[NGAS CODE],0))</f>
        <v>5050102000</v>
      </c>
      <c r="D310" s="626">
        <f>IF(INDEX(AccountCodes[Normal Balance], MATCH(C310,AccountCodes[PPSAS CODE]))="Debit",E310-F310,0)</f>
        <v>0</v>
      </c>
      <c r="E310" s="626">
        <f>SUMIF(PostTB[Account Code (Old)],B310,(PostTB[Debit]))+SUMIF(CkDJ[Account Code],B310,(CkDJ[Debit]))+SUMIF(CsDJ[Account Code],B310,(CsDJ[Debit]))+SUMIF(CRDJ[Account Code],B310,(CRDJ[Debit]))+SUMIF(GJ[Account Code],B310,(GJ[Debit]))</f>
        <v>0</v>
      </c>
      <c r="F310" s="627">
        <f>SUMIF(PostTB[Account Code (Old)],B310,(PostTB[Credit]))+SUMIF(CkDJ[Account Code],B310,(CkDJ[Credit]))+SUMIF(CsDJ[Account Code],B310,(CsDJ[Credit]))+SUMIF(CRDJ[Account Code],B310,(CRDJ[Credit]))+SUMIF(GJ[Account Code],B310,(GJ[Credit]))</f>
        <v>0</v>
      </c>
      <c r="G310" s="627">
        <f>IF(INDEX(AccountCodes[Normal Balance], MATCH(C310,AccountCodes[PPSAS CODE]))="Credit",F310-E310,0)</f>
        <v>0</v>
      </c>
      <c r="H310" s="626">
        <f t="shared" si="4"/>
        <v>0</v>
      </c>
      <c r="K310" s="162"/>
      <c r="L310" s="162"/>
    </row>
    <row r="311" spans="1:12" ht="15.75">
      <c r="A311" s="623" t="str">
        <f t="array" ref="A311">INDEX(AccountCodes[ACCOUNT NAME],MATCH(B311,AccountCodes[NGAS CODE],0))</f>
        <v>Depreciation-Infrastructure Assets - Other Infrastructure Assets (Irrigation Canals &amp; Laterals)</v>
      </c>
      <c r="B311" s="597" t="s">
        <v>1452</v>
      </c>
      <c r="C311" s="625">
        <f t="array" ref="C311">INDEX(AccountCodes[PPSAS CODE],MATCH(B311,AccountCodes[NGAS CODE],0))</f>
        <v>5050103099</v>
      </c>
      <c r="D311" s="626">
        <f>IF(INDEX(AccountCodes[Normal Balance], MATCH(C311,AccountCodes[PPSAS CODE]))="Debit",E311-F311,0)</f>
        <v>6388557.9699999997</v>
      </c>
      <c r="E311" s="626">
        <f>SUMIF(PostTB[Account Code (Old)],B311,(PostTB[Debit]))+SUMIF(CkDJ[Account Code],B311,(CkDJ[Debit]))+SUMIF(CsDJ[Account Code],B311,(CsDJ[Debit]))+SUMIF(CRDJ[Account Code],B311,(CRDJ[Debit]))+SUMIF(GJ[Account Code],B311,(GJ[Debit]))</f>
        <v>6388557.9699999997</v>
      </c>
      <c r="F311" s="627">
        <f>SUMIF(PostTB[Account Code (Old)],B311,(PostTB[Credit]))+SUMIF(CkDJ[Account Code],B311,(CkDJ[Credit]))+SUMIF(CsDJ[Account Code],B311,(CsDJ[Credit]))+SUMIF(CRDJ[Account Code],B311,(CRDJ[Credit]))+SUMIF(GJ[Account Code],B311,(GJ[Credit]))</f>
        <v>0</v>
      </c>
      <c r="G311" s="627">
        <f>IF(INDEX(AccountCodes[Normal Balance], MATCH(C311,AccountCodes[PPSAS CODE]))="Credit",F311-E311,0)</f>
        <v>0</v>
      </c>
      <c r="H311" s="626">
        <f t="shared" si="4"/>
        <v>6388557.9699999997</v>
      </c>
      <c r="K311" s="162"/>
      <c r="L311" s="162"/>
    </row>
    <row r="312" spans="1:12" ht="15.75" hidden="1">
      <c r="A312" s="623" t="str">
        <f t="array" ref="A312">INDEX(AccountCodes[ACCOUNT NAME],MATCH(B312,AccountCodes[NGAS CODE],0))</f>
        <v>Depreciation-Buildings and Other Structures - Buildings</v>
      </c>
      <c r="B312" s="597" t="s">
        <v>276</v>
      </c>
      <c r="C312" s="625">
        <f t="array" ref="C312">INDEX(AccountCodes[PPSAS CODE],MATCH(B312,AccountCodes[NGAS CODE],0))</f>
        <v>5050104001</v>
      </c>
      <c r="D312" s="626">
        <f>IF(INDEX(AccountCodes[Normal Balance], MATCH(C312,AccountCodes[PPSAS CODE]))="Debit",E312-F312,0)</f>
        <v>0</v>
      </c>
      <c r="E312" s="626">
        <f>SUMIF(PostTB[Account Code (Old)],B312,(PostTB[Debit]))+SUMIF(CkDJ[Account Code],B312,(CkDJ[Debit]))+SUMIF(CsDJ[Account Code],B312,(CsDJ[Debit]))+SUMIF(CRDJ[Account Code],B312,(CRDJ[Debit]))+SUMIF(GJ[Account Code],B312,(GJ[Debit]))</f>
        <v>0</v>
      </c>
      <c r="F312" s="627">
        <f>SUMIF(PostTB[Account Code (Old)],B312,(PostTB[Credit]))+SUMIF(CkDJ[Account Code],B312,(CkDJ[Credit]))+SUMIF(CsDJ[Account Code],B312,(CsDJ[Credit]))+SUMIF(CRDJ[Account Code],B312,(CRDJ[Credit]))+SUMIF(GJ[Account Code],B312,(GJ[Credit]))</f>
        <v>0</v>
      </c>
      <c r="G312" s="627">
        <f>IF(INDEX(AccountCodes[Normal Balance], MATCH(C312,AccountCodes[PPSAS CODE]))="Credit",F312-E312,0)</f>
        <v>0</v>
      </c>
      <c r="H312" s="626">
        <f t="shared" si="4"/>
        <v>0</v>
      </c>
      <c r="K312" s="162"/>
      <c r="L312" s="162"/>
    </row>
    <row r="313" spans="1:12" ht="15.75" hidden="1">
      <c r="A313" s="623" t="str">
        <f t="array" ref="A313">INDEX(AccountCodes[ACCOUNT NAME],MATCH(B313,AccountCodes[NGAS CODE],0))</f>
        <v>Depreciation-Buildings and Other Structures - Other Structures</v>
      </c>
      <c r="B313" s="597" t="s">
        <v>277</v>
      </c>
      <c r="C313" s="625">
        <f t="array" ref="C313">INDEX(AccountCodes[PPSAS CODE],MATCH(B313,AccountCodes[NGAS CODE],0))</f>
        <v>5050104099</v>
      </c>
      <c r="D313" s="626">
        <f>IF(INDEX(AccountCodes[Normal Balance], MATCH(C313,AccountCodes[PPSAS CODE]))="Debit",E313-F313,0)</f>
        <v>0</v>
      </c>
      <c r="E313" s="626">
        <f>SUMIF(PostTB[Account Code (Old)],B313,(PostTB[Debit]))+SUMIF(CkDJ[Account Code],B313,(CkDJ[Debit]))+SUMIF(CsDJ[Account Code],B313,(CsDJ[Debit]))+SUMIF(CRDJ[Account Code],B313,(CRDJ[Debit]))+SUMIF(GJ[Account Code],B313,(GJ[Debit]))</f>
        <v>0</v>
      </c>
      <c r="F313" s="627">
        <f>SUMIF(PostTB[Account Code (Old)],B313,(PostTB[Credit]))+SUMIF(CkDJ[Account Code],B313,(CkDJ[Credit]))+SUMIF(CsDJ[Account Code],B313,(CsDJ[Credit]))+SUMIF(CRDJ[Account Code],B313,(CRDJ[Credit]))+SUMIF(GJ[Account Code],B313,(GJ[Credit]))</f>
        <v>0</v>
      </c>
      <c r="G313" s="627">
        <f>IF(INDEX(AccountCodes[Normal Balance], MATCH(C313,AccountCodes[PPSAS CODE]))="Credit",F313-E313,0)</f>
        <v>0</v>
      </c>
      <c r="H313" s="626">
        <f t="shared" si="4"/>
        <v>0</v>
      </c>
      <c r="K313" s="162"/>
      <c r="L313" s="162"/>
    </row>
    <row r="314" spans="1:12" ht="15.75">
      <c r="A314" s="623" t="str">
        <f t="array" ref="A314">INDEX(AccountCodes[ACCOUNT NAME],MATCH(B314,AccountCodes[NGAS CODE],0))</f>
        <v>Depreciation-Machinery and Equipment - Office Equipment</v>
      </c>
      <c r="B314" s="597" t="s">
        <v>278</v>
      </c>
      <c r="C314" s="625">
        <f t="array" ref="C314">INDEX(AccountCodes[PPSAS CODE],MATCH(B314,AccountCodes[NGAS CODE],0))</f>
        <v>5050105002</v>
      </c>
      <c r="D314" s="626">
        <f>IF(INDEX(AccountCodes[Normal Balance], MATCH(C314,AccountCodes[PPSAS CODE]))="Debit",E314-F314,0)</f>
        <v>61615.62</v>
      </c>
      <c r="E314" s="626">
        <f>SUMIF(PostTB[Account Code (Old)],B314,(PostTB[Debit]))+SUMIF(CkDJ[Account Code],B314,(CkDJ[Debit]))+SUMIF(CsDJ[Account Code],B314,(CsDJ[Debit]))+SUMIF(CRDJ[Account Code],B314,(CRDJ[Debit]))+SUMIF(GJ[Account Code],B314,(GJ[Debit]))</f>
        <v>61615.62</v>
      </c>
      <c r="F314" s="627">
        <f>SUMIF(PostTB[Account Code (Old)],B314,(PostTB[Credit]))+SUMIF(CkDJ[Account Code],B314,(CkDJ[Credit]))+SUMIF(CsDJ[Account Code],B314,(CsDJ[Credit]))+SUMIF(CRDJ[Account Code],B314,(CRDJ[Credit]))+SUMIF(GJ[Account Code],B314,(GJ[Credit]))</f>
        <v>0</v>
      </c>
      <c r="G314" s="627">
        <f>IF(INDEX(AccountCodes[Normal Balance], MATCH(C314,AccountCodes[PPSAS CODE]))="Credit",F314-E314,0)</f>
        <v>0</v>
      </c>
      <c r="H314" s="626">
        <f t="shared" si="4"/>
        <v>61615.62</v>
      </c>
      <c r="K314" s="162"/>
      <c r="L314" s="162"/>
    </row>
    <row r="315" spans="1:12" ht="15.75">
      <c r="A315" s="623" t="str">
        <f t="array" ref="A315">INDEX(AccountCodes[ACCOUNT NAME],MATCH(B315,AccountCodes[NGAS CODE],0))</f>
        <v>Depreciation-Machinery and Equipment - ICT Equipment</v>
      </c>
      <c r="B315" s="597" t="s">
        <v>280</v>
      </c>
      <c r="C315" s="625">
        <f t="array" ref="C315">INDEX(AccountCodes[PPSAS CODE],MATCH(B315,AccountCodes[NGAS CODE],0))</f>
        <v>5050105003</v>
      </c>
      <c r="D315" s="626">
        <f>IF(INDEX(AccountCodes[Normal Balance], MATCH(C315,AccountCodes[PPSAS CODE]))="Debit",E315-F315,0)</f>
        <v>268918.84000000003</v>
      </c>
      <c r="E315" s="626">
        <f>SUMIF(PostTB[Account Code (Old)],B315,(PostTB[Debit]))+SUMIF(CkDJ[Account Code],B315,(CkDJ[Debit]))+SUMIF(CsDJ[Account Code],B315,(CsDJ[Debit]))+SUMIF(CRDJ[Account Code],B315,(CRDJ[Debit]))+SUMIF(GJ[Account Code],B315,(GJ[Debit]))</f>
        <v>268918.84000000003</v>
      </c>
      <c r="F315" s="627">
        <f>SUMIF(PostTB[Account Code (Old)],B315,(PostTB[Credit]))+SUMIF(CkDJ[Account Code],B315,(CkDJ[Credit]))+SUMIF(CsDJ[Account Code],B315,(CsDJ[Credit]))+SUMIF(CRDJ[Account Code],B315,(CRDJ[Credit]))+SUMIF(GJ[Account Code],B315,(GJ[Credit]))</f>
        <v>0</v>
      </c>
      <c r="G315" s="627">
        <f>IF(INDEX(AccountCodes[Normal Balance], MATCH(C315,AccountCodes[PPSAS CODE]))="Credit",F315-E315,0)</f>
        <v>0</v>
      </c>
      <c r="H315" s="626">
        <f t="shared" si="4"/>
        <v>268918.84000000003</v>
      </c>
      <c r="K315" s="162"/>
      <c r="L315" s="162"/>
    </row>
    <row r="316" spans="1:12" ht="15.75" hidden="1">
      <c r="A316" s="623" t="str">
        <f t="array" ref="A316">INDEX(AccountCodes[ACCOUNT NAME],MATCH(B316,AccountCodes[NGAS CODE],0))</f>
        <v>Depreciation-Machinery and Equipment - Agricultural and Forestry Equipment</v>
      </c>
      <c r="B316" s="597" t="s">
        <v>283</v>
      </c>
      <c r="C316" s="625">
        <f t="array" ref="C316">INDEX(AccountCodes[PPSAS CODE],MATCH(B316,AccountCodes[NGAS CODE],0))</f>
        <v>5050105004</v>
      </c>
      <c r="D316" s="626">
        <f>IF(INDEX(AccountCodes[Normal Balance], MATCH(C316,AccountCodes[PPSAS CODE]))="Debit",E316-F316,0)</f>
        <v>0</v>
      </c>
      <c r="E316" s="626">
        <f>SUMIF(PostTB[Account Code (Old)],B316,(PostTB[Debit]))+SUMIF(CkDJ[Account Code],B316,(CkDJ[Debit]))+SUMIF(CsDJ[Account Code],B316,(CsDJ[Debit]))+SUMIF(CRDJ[Account Code],B316,(CRDJ[Debit]))+SUMIF(GJ[Account Code],B316,(GJ[Debit]))</f>
        <v>0</v>
      </c>
      <c r="F316" s="627">
        <f>SUMIF(PostTB[Account Code (Old)],B316,(PostTB[Credit]))+SUMIF(CkDJ[Account Code],B316,(CkDJ[Credit]))+SUMIF(CsDJ[Account Code],B316,(CsDJ[Credit]))+SUMIF(CRDJ[Account Code],B316,(CRDJ[Credit]))+SUMIF(GJ[Account Code],B316,(GJ[Credit]))</f>
        <v>0</v>
      </c>
      <c r="G316" s="627">
        <f>IF(INDEX(AccountCodes[Normal Balance], MATCH(C316,AccountCodes[PPSAS CODE]))="Credit",F316-E316,0)</f>
        <v>0</v>
      </c>
      <c r="H316" s="626">
        <f t="shared" si="4"/>
        <v>0</v>
      </c>
      <c r="K316" s="162"/>
      <c r="L316" s="162"/>
    </row>
    <row r="317" spans="1:12" ht="15.75" hidden="1">
      <c r="A317" s="623" t="str">
        <f t="array" ref="A317">INDEX(AccountCodes[ACCOUNT NAME],MATCH(B317,AccountCodes[NGAS CODE],0))</f>
        <v>Depreciation-Machinery and Equipment - Communication Equipment</v>
      </c>
      <c r="B317" s="597" t="s">
        <v>319</v>
      </c>
      <c r="C317" s="625">
        <f t="array" ref="C317">INDEX(AccountCodes[PPSAS CODE],MATCH(B317,AccountCodes[NGAS CODE],0))</f>
        <v>5050105007</v>
      </c>
      <c r="D317" s="626">
        <f>IF(INDEX(AccountCodes[Normal Balance], MATCH(C317,AccountCodes[PPSAS CODE]))="Debit",E317-F317,0)</f>
        <v>0</v>
      </c>
      <c r="E317" s="626">
        <f>SUMIF(PostTB[Account Code (Old)],B317,(PostTB[Debit]))+SUMIF(CkDJ[Account Code],B317,(CkDJ[Debit]))+SUMIF(CsDJ[Account Code],B317,(CsDJ[Debit]))+SUMIF(CRDJ[Account Code],B317,(CRDJ[Debit]))+SUMIF(GJ[Account Code],B317,(GJ[Debit]))</f>
        <v>0</v>
      </c>
      <c r="F317" s="627">
        <f>SUMIF(PostTB[Account Code (Old)],B317,(PostTB[Credit]))+SUMIF(CkDJ[Account Code],B317,(CkDJ[Credit]))+SUMIF(CsDJ[Account Code],B317,(CsDJ[Credit]))+SUMIF(CRDJ[Account Code],B317,(CRDJ[Credit]))+SUMIF(GJ[Account Code],B317,(GJ[Credit]))</f>
        <v>0</v>
      </c>
      <c r="G317" s="627">
        <f>IF(INDEX(AccountCodes[Normal Balance], MATCH(C317,AccountCodes[PPSAS CODE]))="Credit",F317-E317,0)</f>
        <v>0</v>
      </c>
      <c r="H317" s="626">
        <f t="shared" si="4"/>
        <v>0</v>
      </c>
      <c r="K317" s="162"/>
      <c r="L317" s="162"/>
    </row>
    <row r="318" spans="1:12" ht="15.75" hidden="1">
      <c r="A318" s="623" t="str">
        <f t="array" ref="A318">INDEX(AccountCodes[ACCOUNT NAME],MATCH(B318,AccountCodes[NGAS CODE],0))</f>
        <v>Depreciation-Machinery and Equipment - Construction and Heavy Equipment</v>
      </c>
      <c r="B318" s="597" t="s">
        <v>320</v>
      </c>
      <c r="C318" s="625">
        <f t="array" ref="C318">INDEX(AccountCodes[PPSAS CODE],MATCH(B318,AccountCodes[NGAS CODE],0))</f>
        <v>5050105008</v>
      </c>
      <c r="D318" s="626">
        <f>IF(INDEX(AccountCodes[Normal Balance], MATCH(C318,AccountCodes[PPSAS CODE]))="Debit",E318-F318,0)</f>
        <v>0</v>
      </c>
      <c r="E318" s="626">
        <f>SUMIF(PostTB[Account Code (Old)],B318,(PostTB[Debit]))+SUMIF(CkDJ[Account Code],B318,(CkDJ[Debit]))+SUMIF(CsDJ[Account Code],B318,(CsDJ[Debit]))+SUMIF(CRDJ[Account Code],B318,(CRDJ[Debit]))+SUMIF(GJ[Account Code],B318,(GJ[Debit]))</f>
        <v>0</v>
      </c>
      <c r="F318" s="627">
        <f>SUMIF(PostTB[Account Code (Old)],B318,(PostTB[Credit]))+SUMIF(CkDJ[Account Code],B318,(CkDJ[Credit]))+SUMIF(CsDJ[Account Code],B318,(CsDJ[Credit]))+SUMIF(CRDJ[Account Code],B318,(CRDJ[Credit]))+SUMIF(GJ[Account Code],B318,(GJ[Credit]))</f>
        <v>0</v>
      </c>
      <c r="G318" s="627">
        <f>IF(INDEX(AccountCodes[Normal Balance], MATCH(C318,AccountCodes[PPSAS CODE]))="Credit",F318-E318,0)</f>
        <v>0</v>
      </c>
      <c r="H318" s="626">
        <f t="shared" si="4"/>
        <v>0</v>
      </c>
      <c r="K318" s="162"/>
      <c r="L318" s="162"/>
    </row>
    <row r="319" spans="1:12" ht="15.75" hidden="1">
      <c r="A319" s="623" t="str">
        <f t="array" ref="A319">INDEX(AccountCodes[ACCOUNT NAME],MATCH(B319,AccountCodes[NGAS CODE],0))</f>
        <v>Depreciation-Machinery and Equipment - Disaster Response and Rescue Equipment</v>
      </c>
      <c r="B319" s="597" t="s">
        <v>321</v>
      </c>
      <c r="C319" s="625">
        <f t="array" ref="C319">INDEX(AccountCodes[PPSAS CODE],MATCH(B319,AccountCodes[NGAS CODE],0))</f>
        <v>5050105009</v>
      </c>
      <c r="D319" s="626">
        <f>IF(INDEX(AccountCodes[Normal Balance], MATCH(C319,AccountCodes[PPSAS CODE]))="Debit",E319-F319,0)</f>
        <v>0</v>
      </c>
      <c r="E319" s="626">
        <f>SUMIF(PostTB[Account Code (Old)],B319,(PostTB[Debit]))+SUMIF(CkDJ[Account Code],B319,(CkDJ[Debit]))+SUMIF(CsDJ[Account Code],B319,(CsDJ[Debit]))+SUMIF(CRDJ[Account Code],B319,(CRDJ[Debit]))+SUMIF(GJ[Account Code],B319,(GJ[Debit]))</f>
        <v>0</v>
      </c>
      <c r="F319" s="627">
        <f>SUMIF(PostTB[Account Code (Old)],B319,(PostTB[Credit]))+SUMIF(CkDJ[Account Code],B319,(CkDJ[Credit]))+SUMIF(CsDJ[Account Code],B319,(CsDJ[Credit]))+SUMIF(CRDJ[Account Code],B319,(CRDJ[Credit]))+SUMIF(GJ[Account Code],B319,(GJ[Credit]))</f>
        <v>0</v>
      </c>
      <c r="G319" s="627">
        <f>IF(INDEX(AccountCodes[Normal Balance], MATCH(C319,AccountCodes[PPSAS CODE]))="Credit",F319-E319,0)</f>
        <v>0</v>
      </c>
      <c r="H319" s="626">
        <f t="shared" si="4"/>
        <v>0</v>
      </c>
      <c r="K319" s="162"/>
      <c r="L319" s="162"/>
    </row>
    <row r="320" spans="1:12" ht="15.75" hidden="1">
      <c r="A320" s="623" t="str">
        <f t="array" ref="A320">INDEX(AccountCodes[ACCOUNT NAME],MATCH(B320,AccountCodes[NGAS CODE],0))</f>
        <v>Depreciation-Machinery and Equipment - Military, Police and Security Equipment</v>
      </c>
      <c r="B320" s="597" t="s">
        <v>322</v>
      </c>
      <c r="C320" s="625">
        <f t="array" ref="C320">INDEX(AccountCodes[PPSAS CODE],MATCH(B320,AccountCodes[NGAS CODE],0))</f>
        <v>5050105010</v>
      </c>
      <c r="D320" s="626">
        <f>IF(INDEX(AccountCodes[Normal Balance], MATCH(C320,AccountCodes[PPSAS CODE]))="Debit",E320-F320,0)</f>
        <v>0</v>
      </c>
      <c r="E320" s="626">
        <f>SUMIF(PostTB[Account Code (Old)],B320,(PostTB[Debit]))+SUMIF(CkDJ[Account Code],B320,(CkDJ[Debit]))+SUMIF(CsDJ[Account Code],B320,(CsDJ[Debit]))+SUMIF(CRDJ[Account Code],B320,(CRDJ[Debit]))+SUMIF(GJ[Account Code],B320,(GJ[Debit]))</f>
        <v>0</v>
      </c>
      <c r="F320" s="627">
        <f>SUMIF(PostTB[Account Code (Old)],B320,(PostTB[Credit]))+SUMIF(CkDJ[Account Code],B320,(CkDJ[Credit]))+SUMIF(CsDJ[Account Code],B320,(CsDJ[Credit]))+SUMIF(CRDJ[Account Code],B320,(CRDJ[Credit]))+SUMIF(GJ[Account Code],B320,(GJ[Credit]))</f>
        <v>0</v>
      </c>
      <c r="G320" s="627">
        <f>IF(INDEX(AccountCodes[Normal Balance], MATCH(C320,AccountCodes[PPSAS CODE]))="Credit",F320-E320,0)</f>
        <v>0</v>
      </c>
      <c r="H320" s="626">
        <f t="shared" si="4"/>
        <v>0</v>
      </c>
      <c r="K320" s="162"/>
      <c r="L320" s="162"/>
    </row>
    <row r="321" spans="1:12" ht="15.75" hidden="1">
      <c r="A321" s="623" t="str">
        <f t="array" ref="A321">INDEX(AccountCodes[ACCOUNT NAME],MATCH(B321,AccountCodes[NGAS CODE],0))</f>
        <v>Depreciation-Machinery and Equipment - Sports Equipment</v>
      </c>
      <c r="B321" s="597" t="s">
        <v>323</v>
      </c>
      <c r="C321" s="625">
        <f t="array" ref="C321">INDEX(AccountCodes[PPSAS CODE],MATCH(B321,AccountCodes[NGAS CODE],0))</f>
        <v>5050105013</v>
      </c>
      <c r="D321" s="626">
        <f>IF(INDEX(AccountCodes[Normal Balance], MATCH(C321,AccountCodes[PPSAS CODE]))="Debit",E321-F321,0)</f>
        <v>0</v>
      </c>
      <c r="E321" s="626">
        <f>SUMIF(PostTB[Account Code (Old)],B321,(PostTB[Debit]))+SUMIF(CkDJ[Account Code],B321,(CkDJ[Debit]))+SUMIF(CsDJ[Account Code],B321,(CsDJ[Debit]))+SUMIF(CRDJ[Account Code],B321,(CRDJ[Debit]))+SUMIF(GJ[Account Code],B321,(GJ[Debit]))</f>
        <v>0</v>
      </c>
      <c r="F321" s="627">
        <f>SUMIF(PostTB[Account Code (Old)],B321,(PostTB[Credit]))+SUMIF(CkDJ[Account Code],B321,(CkDJ[Credit]))+SUMIF(CsDJ[Account Code],B321,(CsDJ[Credit]))+SUMIF(CRDJ[Account Code],B321,(CRDJ[Credit]))+SUMIF(GJ[Account Code],B321,(GJ[Credit]))</f>
        <v>0</v>
      </c>
      <c r="G321" s="627">
        <f>IF(INDEX(AccountCodes[Normal Balance], MATCH(C321,AccountCodes[PPSAS CODE]))="Credit",F321-E321,0)</f>
        <v>0</v>
      </c>
      <c r="H321" s="626">
        <f t="shared" si="4"/>
        <v>0</v>
      </c>
      <c r="K321" s="162"/>
      <c r="L321" s="162"/>
    </row>
    <row r="322" spans="1:12" ht="15.75" hidden="1">
      <c r="A322" s="623" t="str">
        <f t="array" ref="A322">INDEX(AccountCodes[ACCOUNT NAME],MATCH(B322,AccountCodes[NGAS CODE],0))</f>
        <v>Depreciation-Machinery and Equipment - Technical and Scientific Equipment</v>
      </c>
      <c r="B322" s="628" t="s">
        <v>324</v>
      </c>
      <c r="C322" s="625">
        <f t="array" ref="C322">INDEX(AccountCodes[PPSAS CODE],MATCH(B322,AccountCodes[NGAS CODE],0))</f>
        <v>5050105014</v>
      </c>
      <c r="D322" s="626">
        <f>IF(INDEX(AccountCodes[Normal Balance], MATCH(C322,AccountCodes[PPSAS CODE]))="Debit",E322-F322,0)</f>
        <v>0</v>
      </c>
      <c r="E322" s="626">
        <f>SUMIF(PostTB[Account Code (Old)],B322,(PostTB[Debit]))+SUMIF(CkDJ[Account Code],B322,(CkDJ[Debit]))+SUMIF(CsDJ[Account Code],B322,(CsDJ[Debit]))+SUMIF(CRDJ[Account Code],B322,(CRDJ[Debit]))+SUMIF(GJ[Account Code],B322,(GJ[Debit]))</f>
        <v>0</v>
      </c>
      <c r="F322" s="627">
        <f>SUMIF(PostTB[Account Code (Old)],B322,(PostTB[Credit]))+SUMIF(CkDJ[Account Code],B322,(CkDJ[Credit]))+SUMIF(CsDJ[Account Code],B322,(CsDJ[Credit]))+SUMIF(CRDJ[Account Code],B322,(CRDJ[Credit]))+SUMIF(GJ[Account Code],B322,(GJ[Credit]))</f>
        <v>0</v>
      </c>
      <c r="G322" s="627">
        <f>IF(INDEX(AccountCodes[Normal Balance], MATCH(C322,AccountCodes[PPSAS CODE]))="Credit",F322-E322,0)</f>
        <v>0</v>
      </c>
      <c r="H322" s="626">
        <f t="shared" ref="H322:H331" si="5">IF(D322=0,G322,D322)</f>
        <v>0</v>
      </c>
      <c r="K322" s="162"/>
      <c r="L322" s="162"/>
    </row>
    <row r="323" spans="1:12" ht="15.75" hidden="1">
      <c r="A323" s="623" t="str">
        <f t="array" ref="A323">INDEX(AccountCodes[ACCOUNT NAME],MATCH(B323,AccountCodes[NGAS CODE],0))</f>
        <v>Depreciation-Machinery and Equipment - Other Machinery and Equipment</v>
      </c>
      <c r="B323" s="628" t="s">
        <v>325</v>
      </c>
      <c r="C323" s="625">
        <f t="array" ref="C323">INDEX(AccountCodes[PPSAS CODE],MATCH(B323,AccountCodes[NGAS CODE],0))</f>
        <v>5050105099</v>
      </c>
      <c r="D323" s="626">
        <f>IF(INDEX(AccountCodes[Normal Balance], MATCH(C323,AccountCodes[PPSAS CODE]))="Debit",E323-F323,0)</f>
        <v>0</v>
      </c>
      <c r="E323" s="626">
        <f>SUMIF(PostTB[Account Code (Old)],B323,(PostTB[Debit]))+SUMIF(CkDJ[Account Code],B323,(CkDJ[Debit]))+SUMIF(CsDJ[Account Code],B323,(CsDJ[Debit]))+SUMIF(CRDJ[Account Code],B323,(CRDJ[Debit]))+SUMIF(GJ[Account Code],B323,(GJ[Debit]))</f>
        <v>0</v>
      </c>
      <c r="F323" s="627">
        <f>SUMIF(PostTB[Account Code (Old)],B323,(PostTB[Credit]))+SUMIF(CkDJ[Account Code],B323,(CkDJ[Credit]))+SUMIF(CsDJ[Account Code],B323,(CsDJ[Credit]))+SUMIF(CRDJ[Account Code],B323,(CRDJ[Credit]))+SUMIF(GJ[Account Code],B323,(GJ[Credit]))</f>
        <v>0</v>
      </c>
      <c r="G323" s="627">
        <f>IF(INDEX(AccountCodes[Normal Balance], MATCH(C323,AccountCodes[PPSAS CODE]))="Credit",F323-E323,0)</f>
        <v>0</v>
      </c>
      <c r="H323" s="626">
        <f t="shared" si="5"/>
        <v>0</v>
      </c>
      <c r="K323" s="162"/>
      <c r="L323" s="162"/>
    </row>
    <row r="324" spans="1:12" ht="15.75" hidden="1">
      <c r="A324" s="623" t="str">
        <f t="array" ref="A324">INDEX(AccountCodes[ACCOUNT NAME],MATCH(B324,AccountCodes[NGAS CODE],0))</f>
        <v>Depreciation-Transportation Equipment - Motor Vehicles</v>
      </c>
      <c r="B324" s="628" t="s">
        <v>326</v>
      </c>
      <c r="C324" s="625">
        <f t="array" ref="C324">INDEX(AccountCodes[PPSAS CODE],MATCH(B324,AccountCodes[NGAS CODE],0))</f>
        <v>5050106001</v>
      </c>
      <c r="D324" s="626">
        <f>IF(INDEX(AccountCodes[Normal Balance], MATCH(C324,AccountCodes[PPSAS CODE]))="Debit",E324-F324,0)</f>
        <v>0</v>
      </c>
      <c r="E324" s="626">
        <f>SUMIF(PostTB[Account Code (Old)],B324,(PostTB[Debit]))+SUMIF(CkDJ[Account Code],B324,(CkDJ[Debit]))+SUMIF(CsDJ[Account Code],B324,(CsDJ[Debit]))+SUMIF(CRDJ[Account Code],B324,(CRDJ[Debit]))+SUMIF(GJ[Account Code],B324,(GJ[Debit]))</f>
        <v>0</v>
      </c>
      <c r="F324" s="627">
        <f>SUMIF(PostTB[Account Code (Old)],B324,(PostTB[Credit]))+SUMIF(CkDJ[Account Code],B324,(CkDJ[Credit]))+SUMIF(CsDJ[Account Code],B324,(CsDJ[Credit]))+SUMIF(CRDJ[Account Code],B324,(CRDJ[Credit]))+SUMIF(GJ[Account Code],B324,(GJ[Credit]))</f>
        <v>0</v>
      </c>
      <c r="G324" s="627">
        <f>IF(INDEX(AccountCodes[Normal Balance], MATCH(C324,AccountCodes[PPSAS CODE]))="Credit",F324-E324,0)</f>
        <v>0</v>
      </c>
      <c r="H324" s="626">
        <f t="shared" si="5"/>
        <v>0</v>
      </c>
      <c r="K324" s="162"/>
      <c r="L324" s="162"/>
    </row>
    <row r="325" spans="1:12" ht="15.75" hidden="1">
      <c r="A325" s="623" t="str">
        <f t="array" ref="A325">INDEX(AccountCodes[ACCOUNT NAME],MATCH(B325,AccountCodes[NGAS CODE],0))</f>
        <v>Depreciation-Transportation Equipment - Trains</v>
      </c>
      <c r="B325" s="628" t="s">
        <v>1453</v>
      </c>
      <c r="C325" s="625">
        <f t="array" ref="C325">INDEX(AccountCodes[PPSAS CODE],MATCH(B325,AccountCodes[NGAS CODE],0))</f>
        <v>5050106002</v>
      </c>
      <c r="D325" s="626">
        <f>IF(INDEX(AccountCodes[Normal Balance], MATCH(C325,AccountCodes[PPSAS CODE]))="Debit",E325-F325,0)</f>
        <v>0</v>
      </c>
      <c r="E325" s="626">
        <f>SUMIF(PostTB[Account Code (Old)],B325,(PostTB[Debit]))+SUMIF(CkDJ[Account Code],B325,(CkDJ[Debit]))+SUMIF(CsDJ[Account Code],B325,(CsDJ[Debit]))+SUMIF(CRDJ[Account Code],B325,(CRDJ[Debit]))+SUMIF(GJ[Account Code],B325,(GJ[Debit]))</f>
        <v>0</v>
      </c>
      <c r="F325" s="627">
        <f>SUMIF(PostTB[Account Code (Old)],B325,(PostTB[Credit]))+SUMIF(CkDJ[Account Code],B325,(CkDJ[Credit]))+SUMIF(CsDJ[Account Code],B325,(CsDJ[Credit]))+SUMIF(CRDJ[Account Code],B325,(CRDJ[Credit]))+SUMIF(GJ[Account Code],B325,(GJ[Credit]))</f>
        <v>0</v>
      </c>
      <c r="G325" s="627">
        <f>IF(INDEX(AccountCodes[Normal Balance], MATCH(C325,AccountCodes[PPSAS CODE]))="Credit",F325-E325,0)</f>
        <v>0</v>
      </c>
      <c r="H325" s="626">
        <f t="shared" si="5"/>
        <v>0</v>
      </c>
      <c r="K325" s="162"/>
      <c r="L325" s="162"/>
    </row>
    <row r="326" spans="1:12" ht="15.75" hidden="1">
      <c r="A326" s="623" t="str">
        <f t="array" ref="A326">INDEX(AccountCodes[ACCOUNT NAME],MATCH(B326,AccountCodes[NGAS CODE],0))</f>
        <v>Depreciation-Transportation Equipment - Aircrafts and Aircrafts Ground Equipment</v>
      </c>
      <c r="B326" s="628" t="s">
        <v>327</v>
      </c>
      <c r="C326" s="625">
        <f t="array" ref="C326">INDEX(AccountCodes[PPSAS CODE],MATCH(B326,AccountCodes[NGAS CODE],0))</f>
        <v>5050106003</v>
      </c>
      <c r="D326" s="626">
        <f>IF(INDEX(AccountCodes[Normal Balance], MATCH(C326,AccountCodes[PPSAS CODE]))="Debit",E326-F326,0)</f>
        <v>0</v>
      </c>
      <c r="E326" s="626">
        <f>SUMIF(PostTB[Account Code (Old)],B326,(PostTB[Debit]))+SUMIF(CkDJ[Account Code],B326,(CkDJ[Debit]))+SUMIF(CsDJ[Account Code],B326,(CsDJ[Debit]))+SUMIF(CRDJ[Account Code],B326,(CRDJ[Debit]))+SUMIF(GJ[Account Code],B326,(GJ[Debit]))</f>
        <v>0</v>
      </c>
      <c r="F326" s="627">
        <f>SUMIF(PostTB[Account Code (Old)],B326,(PostTB[Credit]))+SUMIF(CkDJ[Account Code],B326,(CkDJ[Credit]))+SUMIF(CsDJ[Account Code],B326,(CsDJ[Credit]))+SUMIF(CRDJ[Account Code],B326,(CRDJ[Credit]))+SUMIF(GJ[Account Code],B326,(GJ[Credit]))</f>
        <v>0</v>
      </c>
      <c r="G326" s="627">
        <f>IF(INDEX(AccountCodes[Normal Balance], MATCH(C326,AccountCodes[PPSAS CODE]))="Credit",F326-E326,0)</f>
        <v>0</v>
      </c>
      <c r="H326" s="626">
        <f t="shared" si="5"/>
        <v>0</v>
      </c>
      <c r="K326" s="162"/>
      <c r="L326" s="162"/>
    </row>
    <row r="327" spans="1:12" ht="15.75" hidden="1">
      <c r="A327" s="623" t="str">
        <f t="array" ref="A327">INDEX(AccountCodes[ACCOUNT NAME],MATCH(B327,AccountCodes[NGAS CODE],0))</f>
        <v>Depreciation-Transportation Equipment - Watercrafts</v>
      </c>
      <c r="B327" s="628" t="s">
        <v>328</v>
      </c>
      <c r="C327" s="625">
        <f t="array" ref="C327">INDEX(AccountCodes[PPSAS CODE],MATCH(B327,AccountCodes[NGAS CODE],0))</f>
        <v>5050106004</v>
      </c>
      <c r="D327" s="626">
        <f>IF(INDEX(AccountCodes[Normal Balance], MATCH(C327,AccountCodes[PPSAS CODE]))="Debit",E327-F327,0)</f>
        <v>0</v>
      </c>
      <c r="E327" s="626">
        <f>SUMIF(PostTB[Account Code (Old)],B327,(PostTB[Debit]))+SUMIF(CkDJ[Account Code],B327,(CkDJ[Debit]))+SUMIF(CsDJ[Account Code],B327,(CsDJ[Debit]))+SUMIF(CRDJ[Account Code],B327,(CRDJ[Debit]))+SUMIF(GJ[Account Code],B327,(GJ[Debit]))</f>
        <v>0</v>
      </c>
      <c r="F327" s="627">
        <f>SUMIF(PostTB[Account Code (Old)],B327,(PostTB[Credit]))+SUMIF(CkDJ[Account Code],B327,(CkDJ[Credit]))+SUMIF(CsDJ[Account Code],B327,(CsDJ[Credit]))+SUMIF(CRDJ[Account Code],B327,(CRDJ[Credit]))+SUMIF(GJ[Account Code],B327,(GJ[Credit]))</f>
        <v>0</v>
      </c>
      <c r="G327" s="627">
        <f>IF(INDEX(AccountCodes[Normal Balance], MATCH(C327,AccountCodes[PPSAS CODE]))="Credit",F327-E327,0)</f>
        <v>0</v>
      </c>
      <c r="H327" s="626">
        <f t="shared" si="5"/>
        <v>0</v>
      </c>
      <c r="K327" s="162"/>
      <c r="L327" s="162"/>
    </row>
    <row r="328" spans="1:12" ht="15.75" hidden="1">
      <c r="A328" s="623" t="str">
        <f t="array" ref="A328">INDEX(AccountCodes[ACCOUNT NAME],MATCH(B328,AccountCodes[NGAS CODE],0))</f>
        <v>Depreciation-Transportation Equipment - Other Transportation Equipment</v>
      </c>
      <c r="B328" s="628" t="s">
        <v>329</v>
      </c>
      <c r="C328" s="625">
        <f t="array" ref="C328">INDEX(AccountCodes[PPSAS CODE],MATCH(B328,AccountCodes[NGAS CODE],0))</f>
        <v>5050106099</v>
      </c>
      <c r="D328" s="626">
        <f>IF(INDEX(AccountCodes[Normal Balance], MATCH(C328,AccountCodes[PPSAS CODE]))="Debit",E328-F328,0)</f>
        <v>0</v>
      </c>
      <c r="E328" s="626">
        <f>SUMIF(PostTB[Account Code (Old)],B328,(PostTB[Debit]))+SUMIF(CkDJ[Account Code],B328,(CkDJ[Debit]))+SUMIF(CsDJ[Account Code],B328,(CsDJ[Debit]))+SUMIF(CRDJ[Account Code],B328,(CRDJ[Debit]))+SUMIF(GJ[Account Code],B328,(GJ[Debit]))</f>
        <v>0</v>
      </c>
      <c r="F328" s="627">
        <f>SUMIF(PostTB[Account Code (Old)],B328,(PostTB[Credit]))+SUMIF(CkDJ[Account Code],B328,(CkDJ[Credit]))+SUMIF(CsDJ[Account Code],B328,(CsDJ[Credit]))+SUMIF(CRDJ[Account Code],B328,(CRDJ[Credit]))+SUMIF(GJ[Account Code],B328,(GJ[Credit]))</f>
        <v>0</v>
      </c>
      <c r="G328" s="627">
        <f>IF(INDEX(AccountCodes[Normal Balance], MATCH(C328,AccountCodes[PPSAS CODE]))="Credit",F328-E328,0)</f>
        <v>0</v>
      </c>
      <c r="H328" s="626">
        <f t="shared" si="5"/>
        <v>0</v>
      </c>
      <c r="K328" s="162"/>
      <c r="L328" s="162"/>
    </row>
    <row r="329" spans="1:12" ht="15.75" hidden="1">
      <c r="A329" s="623" t="str">
        <f t="array" ref="A329">INDEX(AccountCodes[ACCOUNT NAME],MATCH(B329,AccountCodes[NGAS CODE],0))</f>
        <v>Depreciation-Furniture, Fixtures and Books - Furniture and Fixtures</v>
      </c>
      <c r="B329" s="628" t="s">
        <v>279</v>
      </c>
      <c r="C329" s="625">
        <f t="array" ref="C329">INDEX(AccountCodes[PPSAS CODE],MATCH(B329,AccountCodes[NGAS CODE],0))</f>
        <v>5050107001</v>
      </c>
      <c r="D329" s="626">
        <f>IF(INDEX(AccountCodes[Normal Balance], MATCH(C329,AccountCodes[PPSAS CODE]))="Debit",E329-F329,0)</f>
        <v>0</v>
      </c>
      <c r="E329" s="626">
        <f>SUMIF(PostTB[Account Code (Old)],B329,(PostTB[Debit]))+SUMIF(CkDJ[Account Code],B329,(CkDJ[Debit]))+SUMIF(CsDJ[Account Code],B329,(CsDJ[Debit]))+SUMIF(CRDJ[Account Code],B329,(CRDJ[Debit]))+SUMIF(GJ[Account Code],B329,(GJ[Debit]))</f>
        <v>0</v>
      </c>
      <c r="F329" s="627">
        <f>SUMIF(PostTB[Account Code (Old)],B329,(PostTB[Credit]))+SUMIF(CkDJ[Account Code],B329,(CkDJ[Credit]))+SUMIF(CsDJ[Account Code],B329,(CsDJ[Credit]))+SUMIF(CRDJ[Account Code],B329,(CRDJ[Credit]))+SUMIF(GJ[Account Code],B329,(GJ[Credit]))</f>
        <v>0</v>
      </c>
      <c r="G329" s="627">
        <f>IF(INDEX(AccountCodes[Normal Balance], MATCH(C329,AccountCodes[PPSAS CODE]))="Credit",F329-E329,0)</f>
        <v>0</v>
      </c>
      <c r="H329" s="626">
        <f t="shared" si="5"/>
        <v>0</v>
      </c>
      <c r="K329" s="162"/>
      <c r="L329" s="162"/>
    </row>
    <row r="330" spans="1:12" ht="15.75" hidden="1">
      <c r="A330" s="623" t="str">
        <f t="array" ref="A330">INDEX(AccountCodes[ACCOUNT NAME],MATCH(B330,AccountCodes[NGAS CODE],0))</f>
        <v>Depreciation-Furniture, Fixtures and Books - Books</v>
      </c>
      <c r="B330" s="628" t="s">
        <v>281</v>
      </c>
      <c r="C330" s="625">
        <f t="array" ref="C330">INDEX(AccountCodes[PPSAS CODE],MATCH(B330,AccountCodes[NGAS CODE],0))</f>
        <v>5050107002</v>
      </c>
      <c r="D330" s="626">
        <f>IF(INDEX(AccountCodes[Normal Balance], MATCH(C330,AccountCodes[PPSAS CODE]))="Debit",E330-F330,0)</f>
        <v>0</v>
      </c>
      <c r="E330" s="626">
        <f>SUMIF(PostTB[Account Code (Old)],B330,(PostTB[Debit]))+SUMIF(CkDJ[Account Code],B330,(CkDJ[Debit]))+SUMIF(CsDJ[Account Code],B330,(CsDJ[Debit]))+SUMIF(CRDJ[Account Code],B330,(CRDJ[Debit]))+SUMIF(GJ[Account Code],B330,(GJ[Debit]))</f>
        <v>0</v>
      </c>
      <c r="F330" s="627">
        <f>SUMIF(PostTB[Account Code (Old)],B330,(PostTB[Credit]))+SUMIF(CkDJ[Account Code],B330,(CkDJ[Credit]))+SUMIF(CsDJ[Account Code],B330,(CsDJ[Credit]))+SUMIF(CRDJ[Account Code],B330,(CRDJ[Credit]))+SUMIF(GJ[Account Code],B330,(GJ[Credit]))</f>
        <v>0</v>
      </c>
      <c r="G330" s="627">
        <f>IF(INDEX(AccountCodes[Normal Balance], MATCH(C330,AccountCodes[PPSAS CODE]))="Credit",F330-E330,0)</f>
        <v>0</v>
      </c>
      <c r="H330" s="626">
        <f t="shared" si="5"/>
        <v>0</v>
      </c>
      <c r="K330" s="162"/>
      <c r="L330" s="162"/>
    </row>
    <row r="331" spans="1:12" ht="15.75" hidden="1">
      <c r="A331" s="623" t="str">
        <f t="array" ref="A331">INDEX(AccountCodes[ACCOUNT NAME],MATCH(B331,AccountCodes[NGAS CODE],0))</f>
        <v>Depreciation-Other Property, Plant and Equipment</v>
      </c>
      <c r="B331" s="628" t="s">
        <v>330</v>
      </c>
      <c r="C331" s="625">
        <f t="array" ref="C331">INDEX(AccountCodes[PPSAS CODE],MATCH(B331,AccountCodes[NGAS CODE],0))</f>
        <v>5050199000</v>
      </c>
      <c r="D331" s="626">
        <f>IF(INDEX(AccountCodes[Normal Balance], MATCH(C331,AccountCodes[PPSAS CODE]))="Debit",E331-F331,0)</f>
        <v>0</v>
      </c>
      <c r="E331" s="626">
        <f>SUMIF(PostTB[Account Code (Old)],B331,(PostTB[Debit]))+SUMIF(CkDJ[Account Code],B331,(CkDJ[Debit]))+SUMIF(CsDJ[Account Code],B331,(CsDJ[Debit]))+SUMIF(CRDJ[Account Code],B331,(CRDJ[Debit]))+SUMIF(GJ[Account Code],B331,(GJ[Debit]))</f>
        <v>0</v>
      </c>
      <c r="F331" s="627">
        <f>SUMIF(PostTB[Account Code (Old)],B331,(PostTB[Credit]))+SUMIF(CkDJ[Account Code],B331,(CkDJ[Credit]))+SUMIF(CsDJ[Account Code],B331,(CsDJ[Credit]))+SUMIF(CRDJ[Account Code],B331,(CRDJ[Credit]))+SUMIF(GJ[Account Code],B331,(GJ[Credit]))</f>
        <v>0</v>
      </c>
      <c r="G331" s="627">
        <f>IF(INDEX(AccountCodes[Normal Balance], MATCH(C331,AccountCodes[PPSAS CODE]))="Credit",F331-E331,0)</f>
        <v>0</v>
      </c>
      <c r="H331" s="626">
        <f t="shared" si="5"/>
        <v>0</v>
      </c>
      <c r="K331" s="162"/>
      <c r="L331" s="162"/>
    </row>
    <row r="332" spans="1:12" ht="15.75">
      <c r="A332" s="650" t="s">
        <v>831</v>
      </c>
      <c r="B332" s="651"/>
      <c r="C332" s="651"/>
      <c r="D332" s="652">
        <f>SUBTOTAL(109,Table6[DEBIT])</f>
        <v>218755736.31</v>
      </c>
      <c r="E332" s="652">
        <f>SUBTOTAL(109,Table6[DEBIT
TOTAL])</f>
        <v>245427531.15000001</v>
      </c>
      <c r="F332" s="652">
        <f>SUBTOTAL(109,Table6[CREDIT
TOTAL])</f>
        <v>215084567.41</v>
      </c>
      <c r="G332" s="652">
        <f>SUBTOTAL(109,Table6[CREDIT])</f>
        <v>188412772.56999999</v>
      </c>
      <c r="H332" s="652">
        <f>SUBTOTAL(109,Table6[DEBIT/CREDIT])</f>
        <v>407168508.88</v>
      </c>
      <c r="J332" s="142" t="s">
        <v>1572</v>
      </c>
      <c r="K332" s="162">
        <f>D206+D207+D208+D211+D215+D217+D218+D220+D221+D223+D229+D230+D231+D232+D234</f>
        <v>801716.44</v>
      </c>
      <c r="L332" s="162"/>
    </row>
    <row r="333" spans="1:12">
      <c r="J333" s="142" t="s">
        <v>1573</v>
      </c>
      <c r="K333" s="162">
        <f>D236+D238+D240+D245+D248+D249+D250+D251+D252+D253+D256+D259+D263+D284+D293+D294+D297+D302+D305+D309</f>
        <v>2643090.42</v>
      </c>
      <c r="L333" s="162"/>
    </row>
    <row r="334" spans="1:12" ht="15.75">
      <c r="A334" s="727" t="s">
        <v>1589</v>
      </c>
      <c r="B334" s="725"/>
      <c r="D334" s="725" t="s">
        <v>1606</v>
      </c>
      <c r="E334" s="725"/>
      <c r="F334" s="725"/>
      <c r="G334" s="725"/>
      <c r="J334" s="142" t="s">
        <v>1574</v>
      </c>
      <c r="K334" s="162">
        <v>0</v>
      </c>
    </row>
    <row r="335" spans="1:12" ht="15.75">
      <c r="A335" s="727"/>
      <c r="B335" s="725"/>
      <c r="C335" s="725"/>
      <c r="D335" s="725"/>
      <c r="E335" s="725"/>
      <c r="F335" s="725"/>
      <c r="G335" s="725"/>
      <c r="J335" s="142" t="s">
        <v>1596</v>
      </c>
      <c r="K335" s="698">
        <f>D311+D314+D315</f>
        <v>6719092.4299999997</v>
      </c>
    </row>
    <row r="336" spans="1:12" s="726" customFormat="1" ht="15.75">
      <c r="A336" s="728" t="s">
        <v>1569</v>
      </c>
      <c r="B336" s="733"/>
      <c r="D336" s="768" t="s">
        <v>1591</v>
      </c>
      <c r="E336" s="725"/>
      <c r="F336" s="725"/>
      <c r="H336" s="629"/>
      <c r="J336" s="142" t="s">
        <v>1574</v>
      </c>
      <c r="K336" s="734"/>
      <c r="L336" s="734">
        <f>K332+K333+K334+K335</f>
        <v>10163899.289999999</v>
      </c>
    </row>
    <row r="337" spans="1:12" s="726" customFormat="1" ht="15.75">
      <c r="A337" s="729" t="s">
        <v>1570</v>
      </c>
      <c r="B337" s="725"/>
      <c r="C337" s="725"/>
      <c r="D337" s="735" t="s">
        <v>1568</v>
      </c>
      <c r="E337" s="725"/>
      <c r="F337" s="725"/>
      <c r="H337" s="629"/>
      <c r="J337" s="142"/>
      <c r="K337" s="142"/>
      <c r="L337" s="698">
        <f>L309-L336</f>
        <v>42885827.549999997</v>
      </c>
    </row>
    <row r="338" spans="1:12" s="726" customFormat="1" ht="15.75">
      <c r="H338" s="629"/>
    </row>
    <row r="339" spans="1:12" s="726" customFormat="1" ht="15.75">
      <c r="H339" s="629"/>
      <c r="L339" s="726">
        <v>34321457.009999998</v>
      </c>
    </row>
    <row r="340" spans="1:12" s="726" customFormat="1" ht="15.75">
      <c r="A340" s="725"/>
      <c r="B340" s="725"/>
      <c r="C340" s="725"/>
      <c r="D340" s="725"/>
      <c r="E340" s="725"/>
      <c r="F340" s="725"/>
      <c r="G340" s="725"/>
      <c r="H340" s="629"/>
      <c r="J340" s="726">
        <f>Table6[[#Totals],[CREDIT]]-Table6[[#Totals],[DEBIT]]</f>
        <v>-30342963.739999998</v>
      </c>
      <c r="L340" s="872">
        <f>L337-L339</f>
        <v>8564370.5399999991</v>
      </c>
    </row>
    <row r="341" spans="1:12" s="726" customFormat="1" ht="15.75">
      <c r="A341" s="725"/>
      <c r="B341" s="725"/>
      <c r="C341" s="725"/>
      <c r="D341" s="725"/>
      <c r="E341" s="725"/>
      <c r="F341" s="725"/>
      <c r="G341" s="725"/>
      <c r="H341" s="629"/>
    </row>
    <row r="354" spans="7:7" ht="15.75">
      <c r="G354" s="629">
        <f>Table6[[#Totals],[CREDIT]]-Table6[[#Totals],[DEBIT]]</f>
        <v>-30342963.739999998</v>
      </c>
    </row>
  </sheetData>
  <sheetProtection autoFilter="0"/>
  <printOptions horizontalCentered="1"/>
  <pageMargins left="0.23622047244094491" right="0.23622047244094491" top="0.78740157480314965" bottom="0.11811023622047245" header="0.31496062992125984" footer="0.12"/>
  <pageSetup paperSize="14" scale="80" orientation="portrait" horizontalDpi="360" verticalDpi="360" r:id="rId1"/>
  <headerFooter alignWithMargins="0">
    <oddFooter>&amp;L&amp;"Arial,Italic"&amp;9NIA-RO1-AFD-FS-INT-Form39Rev00</oddFooter>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355"/>
  <sheetViews>
    <sheetView zoomScaleNormal="100" workbookViewId="0"/>
  </sheetViews>
  <sheetFormatPr defaultColWidth="9" defaultRowHeight="12.75"/>
  <cols>
    <col min="1" max="1" width="56.375" style="604" customWidth="1"/>
    <col min="2" max="2" width="13.625" style="619" customWidth="1"/>
    <col min="3" max="3" width="13.625" style="604" customWidth="1"/>
    <col min="4" max="4" width="17.625" style="604" customWidth="1"/>
    <col min="5" max="6" width="16.375" style="142" hidden="1" customWidth="1"/>
    <col min="7" max="7" width="18.125" style="142" customWidth="1"/>
    <col min="8" max="8" width="19.625" style="162" customWidth="1"/>
    <col min="9" max="16384" width="9" style="142"/>
  </cols>
  <sheetData>
    <row r="1" spans="1:8" ht="27.75">
      <c r="A1" s="732" t="s">
        <v>355</v>
      </c>
      <c r="B1" s="605"/>
      <c r="C1" s="606"/>
      <c r="D1" s="606"/>
      <c r="E1" s="161"/>
      <c r="F1" s="161"/>
      <c r="G1" s="161"/>
    </row>
    <row r="2" spans="1:8" ht="18.75" customHeight="1">
      <c r="A2" s="607" t="s">
        <v>1064</v>
      </c>
      <c r="B2" s="605"/>
      <c r="C2" s="606"/>
      <c r="D2" s="606"/>
      <c r="E2" s="161"/>
      <c r="F2" s="161"/>
      <c r="G2" s="161"/>
    </row>
    <row r="3" spans="1:8" ht="19.5" customHeight="1">
      <c r="A3" s="589" t="s">
        <v>1538</v>
      </c>
      <c r="B3" s="605"/>
      <c r="C3" s="606"/>
      <c r="D3" s="606"/>
      <c r="E3" s="161"/>
      <c r="F3" s="161"/>
      <c r="G3" s="161"/>
    </row>
    <row r="4" spans="1:8" ht="15.75">
      <c r="A4" s="607" t="s">
        <v>1539</v>
      </c>
      <c r="B4" s="608"/>
      <c r="C4" s="590"/>
      <c r="D4" s="590"/>
      <c r="E4" s="140"/>
      <c r="F4" s="140"/>
      <c r="G4" s="140"/>
    </row>
    <row r="5" spans="1:8" ht="15.75">
      <c r="A5" s="589" t="s">
        <v>363</v>
      </c>
      <c r="B5" s="608"/>
      <c r="C5" s="590"/>
      <c r="D5" s="590"/>
      <c r="E5" s="141"/>
      <c r="F5" s="140"/>
      <c r="G5" s="140"/>
    </row>
    <row r="6" spans="1:8" ht="15.75">
      <c r="A6" s="607" t="str">
        <f>Account!$G$1</f>
        <v>FUND 501 CARP</v>
      </c>
      <c r="B6" s="608"/>
      <c r="C6" s="590"/>
      <c r="D6" s="590"/>
      <c r="E6" s="140"/>
      <c r="F6" s="140"/>
      <c r="G6" s="140"/>
    </row>
    <row r="7" spans="1:8" ht="15.75">
      <c r="A7" s="609">
        <f>Account!G2</f>
        <v>45291</v>
      </c>
      <c r="B7" s="608"/>
      <c r="C7" s="590"/>
      <c r="D7" s="610"/>
      <c r="E7" s="140"/>
      <c r="F7" s="140"/>
      <c r="G7" s="140"/>
    </row>
    <row r="8" spans="1:8" ht="18.75">
      <c r="A8" s="611"/>
      <c r="B8" s="608"/>
      <c r="C8" s="590"/>
      <c r="D8" s="612"/>
      <c r="E8" s="342"/>
      <c r="F8" s="140"/>
      <c r="G8" s="140"/>
    </row>
    <row r="9" spans="1:8" ht="47.25">
      <c r="A9" s="593" t="s">
        <v>364</v>
      </c>
      <c r="B9" s="594" t="s">
        <v>1242</v>
      </c>
      <c r="C9" s="594" t="s">
        <v>1243</v>
      </c>
      <c r="D9" s="594" t="s">
        <v>357</v>
      </c>
      <c r="E9" s="486" t="s">
        <v>383</v>
      </c>
      <c r="F9" s="486" t="s">
        <v>384</v>
      </c>
      <c r="G9" s="486" t="s">
        <v>356</v>
      </c>
      <c r="H9" s="487" t="s">
        <v>496</v>
      </c>
    </row>
    <row r="10" spans="1:8" ht="15.75" hidden="1">
      <c r="A10" s="613" t="str">
        <f t="array" ref="A10">INDEX(AccountCodes[ACCOUNT NAME],MATCH(B10,AccountCodes[NGAS CODE],0))</f>
        <v>Cash-Collecting Officers</v>
      </c>
      <c r="B10" s="614" t="s">
        <v>9</v>
      </c>
      <c r="C10" s="615">
        <f t="array" ref="C10">INDEX(AccountCodes[PPSAS CODE],MATCH(B10,AccountCodes[NGAS CODE],0))</f>
        <v>1010101000</v>
      </c>
      <c r="D10" s="616">
        <f>IF(INDEX(AccountCodes[Normal Balance], MATCH(C10,AccountCodes[PPSAS CODE]))="Debit",E10-F10,0)</f>
        <v>0</v>
      </c>
      <c r="E10" s="489">
        <f t="array" ref="E10">(SUM(IF((PostTB[Account Code (Old)]=B10),(PostTB[Debit])))+(SUM(IF((CkDJ[Account Code]=B10)*(CkDJ[Date]&lt;=$A$7),(CkDJ[Debit])))+(SUM(IF((CsDJ[Account Code]=B10)*(CsDJ[Date]&lt;=$A$7),(CsDJ[Debit])))+(SUM(IF((CRDJ[Account Code]=B10)*(CRDJ[Date]&lt;=$A$7),(CRDJ[Debit])))+(SUM(IF((GJ[Account Code]=B10)*(GJ[Date]&lt;=$A$7),(GJ[Debit]))))))))</f>
        <v>0</v>
      </c>
      <c r="F10" s="490">
        <f t="array" ref="F10">(SUM(IF((PostTB[Account Code (Old)]=B10),(PostTB[Credit])))+(SUM(IF((CkDJ[Account Code]=B10)*(CkDJ[Date]&lt;=$A$7),(CkDJ[Credit])))+(SUM(IF((CsDJ[Account Code]=B10)*(CsDJ[Date]&lt;=$A$7),(CsDJ[Credit])))+(SUM(IF((CRDJ[Account Code]=B10)*(CRDJ[Date]&lt;=$A$7),(CRDJ[Credit])))+(SUM(IF((GJ[Account Code]=B10)*(GJ[Date]&lt;=$A$7),(GJ[Credit]))))))))</f>
        <v>0</v>
      </c>
      <c r="G10" s="620">
        <f>IF(INDEX(AccountCodes[Normal Balance], MATCH(C10,AccountCodes[PPSAS CODE]))="Credit",F10-E10,0)</f>
        <v>0</v>
      </c>
      <c r="H10" s="621">
        <f t="shared" ref="H10:H73" si="0">IF(D10=0,G10,D10)</f>
        <v>0</v>
      </c>
    </row>
    <row r="11" spans="1:8" ht="15.75" hidden="1">
      <c r="A11" s="613" t="str">
        <f t="array" ref="A11">INDEX(AccountCodes[ACCOUNT NAME],MATCH(B11,AccountCodes[NGAS CODE],0))</f>
        <v>Petty Cash</v>
      </c>
      <c r="B11" s="602" t="s">
        <v>11</v>
      </c>
      <c r="C11" s="615">
        <f t="array" ref="C11">INDEX(AccountCodes[PPSAS CODE],MATCH(B11,AccountCodes[NGAS CODE],0))</f>
        <v>1010102000</v>
      </c>
      <c r="D11" s="616">
        <f>IF(INDEX(AccountCodes[Normal Balance], MATCH(C11,AccountCodes[PPSAS CODE]))="Debit",E11-F11,0)</f>
        <v>0</v>
      </c>
      <c r="E11" s="488">
        <f t="array" ref="E11">(SUM(IF((PostTB[Account Code (Old)]=B11),(PostTB[Debit])))+(SUM(IF((CkDJ[Account Code]=B11)*(CkDJ[Date]&lt;=$A$7),(CkDJ[Debit])))+(SUM(IF((CsDJ[Account Code]=B11)*(CsDJ[Date]&lt;=$A$7),(CsDJ[Debit])))+(SUM(IF((CRDJ[Account Code]=B11)*(CRDJ[Date]&lt;=$A$7),(CRDJ[Debit])))+(SUM(IF((GJ[Account Code]=B11)*(GJ[Date]&lt;=$A$7),(GJ[Debit]))))))))</f>
        <v>0</v>
      </c>
      <c r="F11" s="490">
        <f t="array" ref="F11">(SUM(IF((PostTB[Account Code (Old)]=B11),(PostTB[Credit])))+(SUM(IF((CkDJ[Account Code]=B11)*(CkDJ[Date]&lt;=$A$7),(CkDJ[Credit])))+(SUM(IF((CsDJ[Account Code]=B11)*(CsDJ[Date]&lt;=$A$7),(CsDJ[Credit])))+(SUM(IF((CRDJ[Account Code]=B11)*(CRDJ[Date]&lt;=$A$7),(CRDJ[Credit])))+(SUM(IF((GJ[Account Code]=B11)*(GJ[Date]&lt;=$A$7),(GJ[Credit]))))))))</f>
        <v>0</v>
      </c>
      <c r="G11" s="620">
        <f>IF(INDEX(AccountCodes[Normal Balance], MATCH(C11,AccountCodes[PPSAS CODE]))="Credit",F11-E11,0)</f>
        <v>0</v>
      </c>
      <c r="H11" s="621">
        <f t="shared" si="0"/>
        <v>0</v>
      </c>
    </row>
    <row r="12" spans="1:8" ht="15.75" hidden="1">
      <c r="A12" s="613" t="str">
        <f t="array" ref="A12">INDEX(AccountCodes[ACCOUNT NAME],MATCH(B12,AccountCodes[NGAS CODE],0))</f>
        <v>Cash in Bank-Local Currency, Current Account</v>
      </c>
      <c r="B12" s="602" t="s">
        <v>13</v>
      </c>
      <c r="C12" s="615">
        <f t="array" ref="C12">INDEX(AccountCodes[PPSAS CODE],MATCH(B12,AccountCodes[NGAS CODE],0))</f>
        <v>1010202000</v>
      </c>
      <c r="D12" s="616">
        <f>IF(INDEX(AccountCodes[Normal Balance], MATCH(C12,AccountCodes[PPSAS CODE]))="Debit",E12-F12,0)</f>
        <v>0</v>
      </c>
      <c r="E12" s="488">
        <f t="array" ref="E12">(SUM(IF((PostTB[Account Code (Old)]=B12),(PostTB[Debit])))+(SUM(IF((CkDJ[Account Code]=B12)*(CkDJ[Date]&lt;=$A$7),(CkDJ[Debit])))+(SUM(IF((CsDJ[Account Code]=B12)*(CsDJ[Date]&lt;=$A$7),(CsDJ[Debit])))+(SUM(IF((CRDJ[Account Code]=B12)*(CRDJ[Date]&lt;=$A$7),(CRDJ[Debit])))+(SUM(IF((GJ[Account Code]=B12)*(GJ[Date]&lt;=$A$7),(GJ[Debit]))))))))</f>
        <v>0</v>
      </c>
      <c r="F12" s="490">
        <f t="array" ref="F12">(SUM(IF((PostTB[Account Code (Old)]=B12),(PostTB[Credit])))+(SUM(IF((CkDJ[Account Code]=B12)*(CkDJ[Date]&lt;=$A$7),(CkDJ[Credit])))+(SUM(IF((CsDJ[Account Code]=B12)*(CsDJ[Date]&lt;=$A$7),(CsDJ[Credit])))+(SUM(IF((CRDJ[Account Code]=B12)*(CRDJ[Date]&lt;=$A$7),(CRDJ[Credit])))+(SUM(IF((GJ[Account Code]=B12)*(GJ[Date]&lt;=$A$7),(GJ[Credit]))))))))</f>
        <v>0</v>
      </c>
      <c r="G12" s="620">
        <f>IF(INDEX(AccountCodes[Normal Balance], MATCH(C12,AccountCodes[PPSAS CODE]))="Credit",F12-E12,0)</f>
        <v>0</v>
      </c>
      <c r="H12" s="621">
        <f t="shared" si="0"/>
        <v>0</v>
      </c>
    </row>
    <row r="13" spans="1:8" ht="15.75">
      <c r="A13" s="613" t="str">
        <f t="array" ref="A13">INDEX(AccountCodes[ACCOUNT NAME],MATCH(B13,AccountCodes[NGAS CODE],0))</f>
        <v>Cash in Bank-Local Currency, Current Account - RO</v>
      </c>
      <c r="B13" s="602" t="s">
        <v>1478</v>
      </c>
      <c r="C13" s="615" t="str">
        <f t="array" ref="C13">INDEX(AccountCodes[PPSAS CODE],MATCH(B13,AccountCodes[NGAS CODE],0))</f>
        <v>1010202000RO</v>
      </c>
      <c r="D13" s="616">
        <f>IF(INDEX(AccountCodes[Normal Balance], MATCH(C13,AccountCodes[PPSAS CODE]))="Debit",E13-F13,0)</f>
        <v>57202366.920000002</v>
      </c>
      <c r="E13" s="488">
        <f t="array" ref="E13">(SUM(IF((PostTB[Account Code (Old)]=B13),(PostTB[Debit])))+(SUM(IF((CkDJ[Account Code]=B13)*(CkDJ[Date]&lt;=$A$7),(CkDJ[Debit])))+(SUM(IF((CsDJ[Account Code]=B13)*(CsDJ[Date]&lt;=$A$7),(CsDJ[Debit])))+(SUM(IF((CRDJ[Account Code]=B13)*(CRDJ[Date]&lt;=$A$7),(CRDJ[Debit])))+(SUM(IF((GJ[Account Code]=B13)*(GJ[Date]&lt;=$A$7),(GJ[Debit]))))))))</f>
        <v>57420514.25</v>
      </c>
      <c r="F13" s="490">
        <f t="array" ref="F13">(SUM(IF((PostTB[Account Code (Old)]=B13),(PostTB[Credit])))+(SUM(IF((CkDJ[Account Code]=B13)*(CkDJ[Date]&lt;=$A$7),(CkDJ[Credit])))+(SUM(IF((CsDJ[Account Code]=B13)*(CsDJ[Date]&lt;=$A$7),(CsDJ[Credit])))+(SUM(IF((CRDJ[Account Code]=B13)*(CRDJ[Date]&lt;=$A$7),(CRDJ[Credit])))+(SUM(IF((GJ[Account Code]=B13)*(GJ[Date]&lt;=$A$7),(GJ[Credit]))))))))</f>
        <v>218147.33</v>
      </c>
      <c r="G13" s="620">
        <f>IF(INDEX(AccountCodes[Normal Balance], MATCH(C13,AccountCodes[PPSAS CODE]))="Credit",F13-E13,0)</f>
        <v>0</v>
      </c>
      <c r="H13" s="621">
        <f t="shared" si="0"/>
        <v>57202366.920000002</v>
      </c>
    </row>
    <row r="14" spans="1:8" ht="15.75" hidden="1">
      <c r="A14" s="613" t="str">
        <f t="array" ref="A14">INDEX(AccountCodes[ACCOUNT NAME],MATCH(B14,AccountCodes[NGAS CODE],0))</f>
        <v>Cash in Bank-Local Currency, Current Account - RO Subsidy/Capital Outlay</v>
      </c>
      <c r="B14" s="602" t="s">
        <v>1482</v>
      </c>
      <c r="C14" s="615" t="str">
        <f t="array" ref="C14">INDEX(AccountCodes[PPSAS CODE],MATCH(B14,AccountCodes[NGAS CODE],0))</f>
        <v>1010202000ROSCO</v>
      </c>
      <c r="D14" s="616">
        <f>IF(INDEX(AccountCodes[Normal Balance], MATCH(C14,AccountCodes[PPSAS CODE]))="Debit",E14-F14,0)</f>
        <v>0</v>
      </c>
      <c r="E14" s="488">
        <f t="array" ref="E14">(SUM(IF((PostTB[Account Code (Old)]=B14),(PostTB[Debit])))+(SUM(IF((CkDJ[Account Code]=B14)*(CkDJ[Date]&lt;=$A$7),(CkDJ[Debit])))+(SUM(IF((CsDJ[Account Code]=B14)*(CsDJ[Date]&lt;=$A$7),(CsDJ[Debit])))+(SUM(IF((CRDJ[Account Code]=B14)*(CRDJ[Date]&lt;=$A$7),(CRDJ[Debit])))+(SUM(IF((GJ[Account Code]=B14)*(GJ[Date]&lt;=$A$7),(GJ[Debit]))))))))</f>
        <v>0</v>
      </c>
      <c r="F14" s="490">
        <f t="array" ref="F14">(SUM(IF((PostTB[Account Code (Old)]=B14),(PostTB[Credit])))+(SUM(IF((CkDJ[Account Code]=B14)*(CkDJ[Date]&lt;=$A$7),(CkDJ[Credit])))+(SUM(IF((CsDJ[Account Code]=B14)*(CsDJ[Date]&lt;=$A$7),(CsDJ[Credit])))+(SUM(IF((CRDJ[Account Code]=B14)*(CRDJ[Date]&lt;=$A$7),(CRDJ[Credit])))+(SUM(IF((GJ[Account Code]=B14)*(GJ[Date]&lt;=$A$7),(GJ[Credit]))))))))</f>
        <v>0</v>
      </c>
      <c r="G14" s="620">
        <f>IF(INDEX(AccountCodes[Normal Balance], MATCH(C14,AccountCodes[PPSAS CODE]))="Credit",F14-E14,0)</f>
        <v>0</v>
      </c>
      <c r="H14" s="621">
        <f t="shared" si="0"/>
        <v>0</v>
      </c>
    </row>
    <row r="15" spans="1:8" ht="15.75" hidden="1">
      <c r="A15" s="613" t="str">
        <f t="array" ref="A15">INDEX(AccountCodes[ACCOUNT NAME],MATCH(B15,AccountCodes[NGAS CODE],0))</f>
        <v>Cash in Bank-Local Currency, Current Account - RO Back Accounts</v>
      </c>
      <c r="B15" s="602" t="s">
        <v>1484</v>
      </c>
      <c r="C15" s="615" t="str">
        <f t="array" ref="C15">INDEX(AccountCodes[PPSAS CODE],MATCH(B15,AccountCodes[NGAS CODE],0))</f>
        <v>1010202000ROBA</v>
      </c>
      <c r="D15" s="616">
        <f>IF(INDEX(AccountCodes[Normal Balance], MATCH(C15,AccountCodes[PPSAS CODE]))="Debit",E15-F15,0)</f>
        <v>0</v>
      </c>
      <c r="E15" s="488">
        <f t="array" ref="E15">(SUM(IF((PostTB[Account Code (Old)]=B15),(PostTB[Debit])))+(SUM(IF((CkDJ[Account Code]=B15)*(CkDJ[Date]&lt;=$A$7),(CkDJ[Debit])))+(SUM(IF((CsDJ[Account Code]=B15)*(CsDJ[Date]&lt;=$A$7),(CsDJ[Debit])))+(SUM(IF((CRDJ[Account Code]=B15)*(CRDJ[Date]&lt;=$A$7),(CRDJ[Debit])))+(SUM(IF((GJ[Account Code]=B15)*(GJ[Date]&lt;=$A$7),(GJ[Debit]))))))))</f>
        <v>0</v>
      </c>
      <c r="F15" s="490">
        <f t="array" ref="F15">(SUM(IF((PostTB[Account Code (Old)]=B15),(PostTB[Credit])))+(SUM(IF((CkDJ[Account Code]=B15)*(CkDJ[Date]&lt;=$A$7),(CkDJ[Credit])))+(SUM(IF((CsDJ[Account Code]=B15)*(CsDJ[Date]&lt;=$A$7),(CsDJ[Credit])))+(SUM(IF((CRDJ[Account Code]=B15)*(CRDJ[Date]&lt;=$A$7),(CRDJ[Credit])))+(SUM(IF((GJ[Account Code]=B15)*(GJ[Date]&lt;=$A$7),(GJ[Credit]))))))))</f>
        <v>0</v>
      </c>
      <c r="G15" s="620">
        <f>IF(INDEX(AccountCodes[Normal Balance], MATCH(C15,AccountCodes[PPSAS CODE]))="Credit",F15-E15,0)</f>
        <v>0</v>
      </c>
      <c r="H15" s="621">
        <f t="shared" si="0"/>
        <v>0</v>
      </c>
    </row>
    <row r="16" spans="1:8" ht="15.75" hidden="1">
      <c r="A16" s="613" t="str">
        <f t="array" ref="A16">INDEX(AccountCodes[ACCOUNT NAME],MATCH(B16,AccountCodes[NGAS CODE],0))</f>
        <v>Cash in Bank-Local Currency, Current Account - RO NIMF</v>
      </c>
      <c r="B16" s="602" t="s">
        <v>1486</v>
      </c>
      <c r="C16" s="615" t="str">
        <f t="array" ref="C16">INDEX(AccountCodes[PPSAS CODE],MATCH(B16,AccountCodes[NGAS CODE],0))</f>
        <v>1010202000RONIMF</v>
      </c>
      <c r="D16" s="616">
        <f>IF(INDEX(AccountCodes[Normal Balance], MATCH(C16,AccountCodes[PPSAS CODE]))="Debit",E16-F16,0)</f>
        <v>0</v>
      </c>
      <c r="E16" s="488">
        <f t="array" ref="E16">(SUM(IF((PostTB[Account Code (Old)]=B16),(PostTB[Debit])))+(SUM(IF((CkDJ[Account Code]=B16)*(CkDJ[Date]&lt;=$A$7),(CkDJ[Debit])))+(SUM(IF((CsDJ[Account Code]=B16)*(CsDJ[Date]&lt;=$A$7),(CsDJ[Debit])))+(SUM(IF((CRDJ[Account Code]=B16)*(CRDJ[Date]&lt;=$A$7),(CRDJ[Debit])))+(SUM(IF((GJ[Account Code]=B16)*(GJ[Date]&lt;=$A$7),(GJ[Debit]))))))))</f>
        <v>0</v>
      </c>
      <c r="F16" s="490">
        <f t="array" ref="F16">(SUM(IF((PostTB[Account Code (Old)]=B16),(PostTB[Credit])))+(SUM(IF((CkDJ[Account Code]=B16)*(CkDJ[Date]&lt;=$A$7),(CkDJ[Credit])))+(SUM(IF((CsDJ[Account Code]=B16)*(CsDJ[Date]&lt;=$A$7),(CsDJ[Credit])))+(SUM(IF((CRDJ[Account Code]=B16)*(CRDJ[Date]&lt;=$A$7),(CRDJ[Credit])))+(SUM(IF((GJ[Account Code]=B16)*(GJ[Date]&lt;=$A$7),(GJ[Credit]))))))))</f>
        <v>0</v>
      </c>
      <c r="G16" s="620">
        <f>IF(INDEX(AccountCodes[Normal Balance], MATCH(C16,AccountCodes[PPSAS CODE]))="Credit",F16-E16,0)</f>
        <v>0</v>
      </c>
      <c r="H16" s="621">
        <f t="shared" si="0"/>
        <v>0</v>
      </c>
    </row>
    <row r="17" spans="1:8" ht="15.75" hidden="1">
      <c r="A17" s="613" t="str">
        <f t="array" ref="A17">INDEX(AccountCodes[ACCOUNT NAME],MATCH(B17,AccountCodes[NGAS CODE],0))</f>
        <v>Cash in Bank-Local Currency, Current Account - RO - PC</v>
      </c>
      <c r="B17" s="602" t="s">
        <v>1488</v>
      </c>
      <c r="C17" s="615" t="str">
        <f t="array" ref="C17">INDEX(AccountCodes[PPSAS CODE],MATCH(B17,AccountCodes[NGAS CODE],0))</f>
        <v>1010202000ROPC</v>
      </c>
      <c r="D17" s="616">
        <f>IF(INDEX(AccountCodes[Normal Balance], MATCH(C17,AccountCodes[PPSAS CODE]))="Debit",E17-F17,0)</f>
        <v>0</v>
      </c>
      <c r="E17" s="488">
        <f t="array" ref="E17">(SUM(IF((PostTB[Account Code (Old)]=B17),(PostTB[Debit])))+(SUM(IF((CkDJ[Account Code]=B17)*(CkDJ[Date]&lt;=$A$7),(CkDJ[Debit])))+(SUM(IF((CsDJ[Account Code]=B17)*(CsDJ[Date]&lt;=$A$7),(CsDJ[Debit])))+(SUM(IF((CRDJ[Account Code]=B17)*(CRDJ[Date]&lt;=$A$7),(CRDJ[Debit])))+(SUM(IF((GJ[Account Code]=B17)*(GJ[Date]&lt;=$A$7),(GJ[Debit]))))))))</f>
        <v>0</v>
      </c>
      <c r="F17" s="490">
        <f t="array" ref="F17">(SUM(IF((PostTB[Account Code (Old)]=B17),(PostTB[Credit])))+(SUM(IF((CkDJ[Account Code]=B17)*(CkDJ[Date]&lt;=$A$7),(CkDJ[Credit])))+(SUM(IF((CsDJ[Account Code]=B17)*(CsDJ[Date]&lt;=$A$7),(CsDJ[Credit])))+(SUM(IF((CRDJ[Account Code]=B17)*(CRDJ[Date]&lt;=$A$7),(CRDJ[Credit])))+(SUM(IF((GJ[Account Code]=B17)*(GJ[Date]&lt;=$A$7),(GJ[Credit]))))))))</f>
        <v>0</v>
      </c>
      <c r="G17" s="620">
        <f>IF(INDEX(AccountCodes[Normal Balance], MATCH(C17,AccountCodes[PPSAS CODE]))="Credit",F17-E17,0)</f>
        <v>0</v>
      </c>
      <c r="H17" s="621">
        <f t="shared" si="0"/>
        <v>0</v>
      </c>
    </row>
    <row r="18" spans="1:8" ht="15.75" hidden="1">
      <c r="A18" s="613" t="str">
        <f t="array" ref="A18">INDEX(AccountCodes[ACCOUNT NAME],MATCH(B18,AccountCodes[NGAS CODE],0))</f>
        <v>Cash in Bank-Local Currency, Current Account - RO - LP</v>
      </c>
      <c r="B18" s="602" t="s">
        <v>1490</v>
      </c>
      <c r="C18" s="615" t="str">
        <f t="array" ref="C18">INDEX(AccountCodes[PPSAS CODE],MATCH(B18,AccountCodes[NGAS CODE],0))</f>
        <v>1010202000ROLP</v>
      </c>
      <c r="D18" s="616">
        <f>IF(INDEX(AccountCodes[Normal Balance], MATCH(C18,AccountCodes[PPSAS CODE]))="Debit",E18-F18,0)</f>
        <v>0</v>
      </c>
      <c r="E18" s="488">
        <f t="array" ref="E18">(SUM(IF((PostTB[Account Code (Old)]=B18),(PostTB[Debit])))+(SUM(IF((CkDJ[Account Code]=B18)*(CkDJ[Date]&lt;=$A$7),(CkDJ[Debit])))+(SUM(IF((CsDJ[Account Code]=B18)*(CsDJ[Date]&lt;=$A$7),(CsDJ[Debit])))+(SUM(IF((CRDJ[Account Code]=B18)*(CRDJ[Date]&lt;=$A$7),(CRDJ[Debit])))+(SUM(IF((GJ[Account Code]=B18)*(GJ[Date]&lt;=$A$7),(GJ[Debit]))))))))</f>
        <v>0</v>
      </c>
      <c r="F18" s="490">
        <f t="array" ref="F18">(SUM(IF((PostTB[Account Code (Old)]=B18),(PostTB[Credit])))+(SUM(IF((CkDJ[Account Code]=B18)*(CkDJ[Date]&lt;=$A$7),(CkDJ[Credit])))+(SUM(IF((CsDJ[Account Code]=B18)*(CsDJ[Date]&lt;=$A$7),(CsDJ[Credit])))+(SUM(IF((CRDJ[Account Code]=B18)*(CRDJ[Date]&lt;=$A$7),(CRDJ[Credit])))+(SUM(IF((GJ[Account Code]=B18)*(GJ[Date]&lt;=$A$7),(GJ[Credit]))))))))</f>
        <v>0</v>
      </c>
      <c r="G18" s="620">
        <f>IF(INDEX(AccountCodes[Normal Balance], MATCH(C18,AccountCodes[PPSAS CODE]))="Credit",F18-E18,0)</f>
        <v>0</v>
      </c>
      <c r="H18" s="621">
        <f t="shared" si="0"/>
        <v>0</v>
      </c>
    </row>
    <row r="19" spans="1:8" ht="15.75">
      <c r="A19" s="613" t="str">
        <f t="array" ref="A19">INDEX(AccountCodes[ACCOUNT NAME],MATCH(B19,AccountCodes[NGAS CODE],0))</f>
        <v>Cash in Bank-Local Currency, Current Account - FO</v>
      </c>
      <c r="B19" s="602" t="s">
        <v>1479</v>
      </c>
      <c r="C19" s="615" t="str">
        <f t="array" ref="C19">INDEX(AccountCodes[PPSAS CODE],MATCH(B19,AccountCodes[NGAS CODE],0))</f>
        <v>1010202000FO</v>
      </c>
      <c r="D19" s="616">
        <f>IF(INDEX(AccountCodes[Normal Balance], MATCH(C19,AccountCodes[PPSAS CODE]))="Debit",E19-F19,0)</f>
        <v>-6945394.1100000003</v>
      </c>
      <c r="E19" s="488">
        <f t="array" ref="E19">(SUM(IF((PostTB[Account Code (Old)]=B19),(PostTB[Debit])))+(SUM(IF((CkDJ[Account Code]=B19)*(CkDJ[Date]&lt;=$A$7),(CkDJ[Debit])))+(SUM(IF((CsDJ[Account Code]=B19)*(CsDJ[Date]&lt;=$A$7),(CsDJ[Debit])))+(SUM(IF((CRDJ[Account Code]=B19)*(CRDJ[Date]&lt;=$A$7),(CRDJ[Debit])))+(SUM(IF((GJ[Account Code]=B19)*(GJ[Date]&lt;=$A$7),(GJ[Debit]))))))))</f>
        <v>13864641.73</v>
      </c>
      <c r="F19" s="490">
        <f t="array" ref="F19">(SUM(IF((PostTB[Account Code (Old)]=B19),(PostTB[Credit])))+(SUM(IF((CkDJ[Account Code]=B19)*(CkDJ[Date]&lt;=$A$7),(CkDJ[Credit])))+(SUM(IF((CsDJ[Account Code]=B19)*(CsDJ[Date]&lt;=$A$7),(CsDJ[Credit])))+(SUM(IF((CRDJ[Account Code]=B19)*(CRDJ[Date]&lt;=$A$7),(CRDJ[Credit])))+(SUM(IF((GJ[Account Code]=B19)*(GJ[Date]&lt;=$A$7),(GJ[Credit]))))))))</f>
        <v>20810035.84</v>
      </c>
      <c r="G19" s="620">
        <f>IF(INDEX(AccountCodes[Normal Balance], MATCH(C19,AccountCodes[PPSAS CODE]))="Credit",F19-E19,0)</f>
        <v>0</v>
      </c>
      <c r="H19" s="621">
        <f t="shared" si="0"/>
        <v>-6945394.1100000003</v>
      </c>
    </row>
    <row r="20" spans="1:8" ht="15.75" hidden="1">
      <c r="A20" s="613" t="str">
        <f t="array" ref="A20">INDEX(AccountCodes[ACCOUNT NAME],MATCH(B20,AccountCodes[NGAS CODE],0))</f>
        <v>Cash in Bank-Local Currency, Current Account - FO - PC</v>
      </c>
      <c r="B20" s="602" t="s">
        <v>1492</v>
      </c>
      <c r="C20" s="615" t="str">
        <f t="array" ref="C20">INDEX(AccountCodes[PPSAS CODE],MATCH(B20,AccountCodes[NGAS CODE],0))</f>
        <v>1010202000FOPC</v>
      </c>
      <c r="D20" s="616">
        <f>IF(INDEX(AccountCodes[Normal Balance], MATCH(C20,AccountCodes[PPSAS CODE]))="Debit",E20-F20,0)</f>
        <v>0</v>
      </c>
      <c r="E20" s="488">
        <f t="array" ref="E20">(SUM(IF((PostTB[Account Code (Old)]=B20),(PostTB[Debit])))+(SUM(IF((CkDJ[Account Code]=B20)*(CkDJ[Date]&lt;=$A$7),(CkDJ[Debit])))+(SUM(IF((CsDJ[Account Code]=B20)*(CsDJ[Date]&lt;=$A$7),(CsDJ[Debit])))+(SUM(IF((CRDJ[Account Code]=B20)*(CRDJ[Date]&lt;=$A$7),(CRDJ[Debit])))+(SUM(IF((GJ[Account Code]=B20)*(GJ[Date]&lt;=$A$7),(GJ[Debit]))))))))</f>
        <v>0</v>
      </c>
      <c r="F20" s="490">
        <f t="array" ref="F20">(SUM(IF((PostTB[Account Code (Old)]=B20),(PostTB[Credit])))+(SUM(IF((CkDJ[Account Code]=B20)*(CkDJ[Date]&lt;=$A$7),(CkDJ[Credit])))+(SUM(IF((CsDJ[Account Code]=B20)*(CsDJ[Date]&lt;=$A$7),(CsDJ[Credit])))+(SUM(IF((CRDJ[Account Code]=B20)*(CRDJ[Date]&lt;=$A$7),(CRDJ[Credit])))+(SUM(IF((GJ[Account Code]=B20)*(GJ[Date]&lt;=$A$7),(GJ[Credit]))))))))</f>
        <v>0</v>
      </c>
      <c r="G20" s="620">
        <f>IF(INDEX(AccountCodes[Normal Balance], MATCH(C20,AccountCodes[PPSAS CODE]))="Credit",F20-E20,0)</f>
        <v>0</v>
      </c>
      <c r="H20" s="621">
        <f t="shared" si="0"/>
        <v>0</v>
      </c>
    </row>
    <row r="21" spans="1:8" ht="15.75" hidden="1">
      <c r="A21" s="613" t="str">
        <f t="array" ref="A21">INDEX(AccountCodes[ACCOUNT NAME],MATCH(B21,AccountCodes[NGAS CODE],0))</f>
        <v>Cash in Bank-Local Currency, Current Account - FO - LP</v>
      </c>
      <c r="B21" s="602" t="s">
        <v>1494</v>
      </c>
      <c r="C21" s="615" t="str">
        <f t="array" ref="C21">INDEX(AccountCodes[PPSAS CODE],MATCH(B21,AccountCodes[NGAS CODE],0))</f>
        <v>1010202000FOLP</v>
      </c>
      <c r="D21" s="616">
        <f>IF(INDEX(AccountCodes[Normal Balance], MATCH(C21,AccountCodes[PPSAS CODE]))="Debit",E21-F21,0)</f>
        <v>0</v>
      </c>
      <c r="E21" s="488">
        <f t="array" ref="E21">(SUM(IF((PostTB[Account Code (Old)]=B21),(PostTB[Debit])))+(SUM(IF((CkDJ[Account Code]=B21)*(CkDJ[Date]&lt;=$A$7),(CkDJ[Debit])))+(SUM(IF((CsDJ[Account Code]=B21)*(CsDJ[Date]&lt;=$A$7),(CsDJ[Debit])))+(SUM(IF((CRDJ[Account Code]=B21)*(CRDJ[Date]&lt;=$A$7),(CRDJ[Debit])))+(SUM(IF((GJ[Account Code]=B21)*(GJ[Date]&lt;=$A$7),(GJ[Debit]))))))))</f>
        <v>0</v>
      </c>
      <c r="F21" s="490">
        <f t="array" ref="F21">(SUM(IF((PostTB[Account Code (Old)]=B21),(PostTB[Credit])))+(SUM(IF((CkDJ[Account Code]=B21)*(CkDJ[Date]&lt;=$A$7),(CkDJ[Credit])))+(SUM(IF((CsDJ[Account Code]=B21)*(CsDJ[Date]&lt;=$A$7),(CsDJ[Credit])))+(SUM(IF((CRDJ[Account Code]=B21)*(CRDJ[Date]&lt;=$A$7),(CRDJ[Credit])))+(SUM(IF((GJ[Account Code]=B21)*(GJ[Date]&lt;=$A$7),(GJ[Credit]))))))))</f>
        <v>0</v>
      </c>
      <c r="G21" s="620">
        <f>IF(INDEX(AccountCodes[Normal Balance], MATCH(C21,AccountCodes[PPSAS CODE]))="Credit",F21-E21,0)</f>
        <v>0</v>
      </c>
      <c r="H21" s="621">
        <f t="shared" si="0"/>
        <v>0</v>
      </c>
    </row>
    <row r="22" spans="1:8" ht="15.75" hidden="1">
      <c r="A22" s="613" t="str">
        <f t="array" ref="A22">INDEX(AccountCodes[ACCOUNT NAME],MATCH(B22,AccountCodes[NGAS CODE],0))</f>
        <v>Cash in Bank-Local Currency, Current Account</v>
      </c>
      <c r="B22" s="602" t="s">
        <v>13</v>
      </c>
      <c r="C22" s="615">
        <f t="array" ref="C22">INDEX(AccountCodes[PPSAS CODE],MATCH(B22,AccountCodes[NGAS CODE],0))</f>
        <v>1010202000</v>
      </c>
      <c r="D22" s="616">
        <f>IF(INDEX(AccountCodes[Normal Balance], MATCH(C22,AccountCodes[PPSAS CODE]))="Debit",E22-F22,0)</f>
        <v>0</v>
      </c>
      <c r="E22" s="488">
        <f t="array" ref="E22">(SUM(IF((PostTB[Account Code (Old)]=B22),(PostTB[Debit])))+(SUM(IF((CkDJ[Account Code]=B22)*(CkDJ[Date]&lt;=$A$7),(CkDJ[Debit])))+(SUM(IF((CsDJ[Account Code]=B22)*(CsDJ[Date]&lt;=$A$7),(CsDJ[Debit])))+(SUM(IF((CRDJ[Account Code]=B22)*(CRDJ[Date]&lt;=$A$7),(CRDJ[Debit])))+(SUM(IF((GJ[Account Code]=B22)*(GJ[Date]&lt;=$A$7),(GJ[Debit]))))))))</f>
        <v>0</v>
      </c>
      <c r="F22" s="490">
        <f t="array" ref="F22">(SUM(IF((PostTB[Account Code (Old)]=B22),(PostTB[Credit])))+(SUM(IF((CkDJ[Account Code]=B22)*(CkDJ[Date]&lt;=$A$7),(CkDJ[Credit])))+(SUM(IF((CsDJ[Account Code]=B22)*(CsDJ[Date]&lt;=$A$7),(CsDJ[Credit])))+(SUM(IF((CRDJ[Account Code]=B22)*(CRDJ[Date]&lt;=$A$7),(CRDJ[Credit])))+(SUM(IF((GJ[Account Code]=B22)*(GJ[Date]&lt;=$A$7),(GJ[Credit]))))))))</f>
        <v>0</v>
      </c>
      <c r="G22" s="620">
        <f>IF(INDEX(AccountCodes[Normal Balance], MATCH(C22,AccountCodes[PPSAS CODE]))="Credit",F22-E22,0)</f>
        <v>0</v>
      </c>
      <c r="H22" s="621">
        <f t="shared" si="0"/>
        <v>0</v>
      </c>
    </row>
    <row r="23" spans="1:8" ht="15.75" hidden="1">
      <c r="A23" s="613" t="str">
        <f t="array" ref="A23">INDEX(AccountCodes[ACCOUNT NAME],MATCH(B23,AccountCodes[NGAS CODE],0))</f>
        <v>Cash in Bank-Local Currency, Current Account</v>
      </c>
      <c r="B23" s="602" t="s">
        <v>13</v>
      </c>
      <c r="C23" s="615">
        <f t="array" ref="C23">INDEX(AccountCodes[PPSAS CODE],MATCH(B23,AccountCodes[NGAS CODE],0))</f>
        <v>1010202000</v>
      </c>
      <c r="D23" s="616">
        <f>IF(INDEX(AccountCodes[Normal Balance], MATCH(C23,AccountCodes[PPSAS CODE]))="Debit",E23-F23,0)</f>
        <v>0</v>
      </c>
      <c r="E23" s="488">
        <f t="array" ref="E23">(SUM(IF((PostTB[Account Code (Old)]=B23),(PostTB[Debit])))+(SUM(IF((CkDJ[Account Code]=B23)*(CkDJ[Date]&lt;=$A$7),(CkDJ[Debit])))+(SUM(IF((CsDJ[Account Code]=B23)*(CsDJ[Date]&lt;=$A$7),(CsDJ[Debit])))+(SUM(IF((CRDJ[Account Code]=B23)*(CRDJ[Date]&lt;=$A$7),(CRDJ[Debit])))+(SUM(IF((GJ[Account Code]=B23)*(GJ[Date]&lt;=$A$7),(GJ[Debit]))))))))</f>
        <v>0</v>
      </c>
      <c r="F23" s="490">
        <f t="array" ref="F23">(SUM(IF((PostTB[Account Code (Old)]=B23),(PostTB[Credit])))+(SUM(IF((CkDJ[Account Code]=B23)*(CkDJ[Date]&lt;=$A$7),(CkDJ[Credit])))+(SUM(IF((CsDJ[Account Code]=B23)*(CsDJ[Date]&lt;=$A$7),(CsDJ[Credit])))+(SUM(IF((CRDJ[Account Code]=B23)*(CRDJ[Date]&lt;=$A$7),(CRDJ[Credit])))+(SUM(IF((GJ[Account Code]=B23)*(GJ[Date]&lt;=$A$7),(GJ[Credit]))))))))</f>
        <v>0</v>
      </c>
      <c r="G23" s="620">
        <f>IF(INDEX(AccountCodes[Normal Balance], MATCH(C23,AccountCodes[PPSAS CODE]))="Credit",F23-E23,0)</f>
        <v>0</v>
      </c>
      <c r="H23" s="621">
        <f t="shared" si="0"/>
        <v>0</v>
      </c>
    </row>
    <row r="24" spans="1:8" ht="15.75" hidden="1">
      <c r="A24" s="613" t="str">
        <f t="array" ref="A24">INDEX(AccountCodes[ACCOUNT NAME],MATCH(B24,AccountCodes[NGAS CODE],0))</f>
        <v>Cash in Bank-Local Currency, Savings Account</v>
      </c>
      <c r="B24" s="602" t="s">
        <v>14</v>
      </c>
      <c r="C24" s="615">
        <f t="array" ref="C24">INDEX(AccountCodes[PPSAS CODE],MATCH(B24,AccountCodes[NGAS CODE],0))</f>
        <v>1010203000</v>
      </c>
      <c r="D24" s="616">
        <f>IF(INDEX(AccountCodes[Normal Balance], MATCH(C24,AccountCodes[PPSAS CODE]))="Debit",E24-F24,0)</f>
        <v>0</v>
      </c>
      <c r="E24" s="488">
        <f t="array" ref="E24">(SUM(IF((PostTB[Account Code (Old)]=B24),(PostTB[Debit])))+(SUM(IF((CkDJ[Account Code]=B24)*(CkDJ[Date]&lt;=$A$7),(CkDJ[Debit])))+(SUM(IF((CsDJ[Account Code]=B24)*(CsDJ[Date]&lt;=$A$7),(CsDJ[Debit])))+(SUM(IF((CRDJ[Account Code]=B24)*(CRDJ[Date]&lt;=$A$7),(CRDJ[Debit])))+(SUM(IF((GJ[Account Code]=B24)*(GJ[Date]&lt;=$A$7),(GJ[Debit]))))))))</f>
        <v>0</v>
      </c>
      <c r="F24" s="490">
        <f t="array" ref="F24">(SUM(IF((PostTB[Account Code (Old)]=B24),(PostTB[Credit])))+(SUM(IF((CkDJ[Account Code]=B24)*(CkDJ[Date]&lt;=$A$7),(CkDJ[Credit])))+(SUM(IF((CsDJ[Account Code]=B24)*(CsDJ[Date]&lt;=$A$7),(CsDJ[Credit])))+(SUM(IF((CRDJ[Account Code]=B24)*(CRDJ[Date]&lt;=$A$7),(CRDJ[Credit])))+(SUM(IF((GJ[Account Code]=B24)*(GJ[Date]&lt;=$A$7),(GJ[Credit]))))))))</f>
        <v>0</v>
      </c>
      <c r="G24" s="620">
        <f>IF(INDEX(AccountCodes[Normal Balance], MATCH(C24,AccountCodes[PPSAS CODE]))="Credit",F24-E24,0)</f>
        <v>0</v>
      </c>
      <c r="H24" s="621">
        <f t="shared" si="0"/>
        <v>0</v>
      </c>
    </row>
    <row r="25" spans="1:8" ht="15.75" hidden="1">
      <c r="A25" s="613" t="str">
        <f t="array" ref="A25">INDEX(AccountCodes[ACCOUNT NAME],MATCH(B25,AccountCodes[NGAS CODE],0))</f>
        <v>Cash in Bank-Local Currency, Savings Account</v>
      </c>
      <c r="B25" s="602" t="s">
        <v>14</v>
      </c>
      <c r="C25" s="615">
        <f t="array" ref="C25">INDEX(AccountCodes[PPSAS CODE],MATCH(B25,AccountCodes[NGAS CODE],0))</f>
        <v>1010203000</v>
      </c>
      <c r="D25" s="616">
        <f>IF(INDEX(AccountCodes[Normal Balance], MATCH(C25,AccountCodes[PPSAS CODE]))="Debit",E25-F25,0)</f>
        <v>0</v>
      </c>
      <c r="E25" s="488">
        <f t="array" ref="E25">(SUM(IF((PostTB[Account Code (Old)]=B25),(PostTB[Debit])))+(SUM(IF((CkDJ[Account Code]=B25)*(CkDJ[Date]&lt;=$A$7),(CkDJ[Debit])))+(SUM(IF((CsDJ[Account Code]=B25)*(CsDJ[Date]&lt;=$A$7),(CsDJ[Debit])))+(SUM(IF((CRDJ[Account Code]=B25)*(CRDJ[Date]&lt;=$A$7),(CRDJ[Debit])))+(SUM(IF((GJ[Account Code]=B25)*(GJ[Date]&lt;=$A$7),(GJ[Debit]))))))))</f>
        <v>0</v>
      </c>
      <c r="F25" s="490">
        <f t="array" ref="F25">(SUM(IF((PostTB[Account Code (Old)]=B25),(PostTB[Credit])))+(SUM(IF((CkDJ[Account Code]=B25)*(CkDJ[Date]&lt;=$A$7),(CkDJ[Credit])))+(SUM(IF((CsDJ[Account Code]=B25)*(CsDJ[Date]&lt;=$A$7),(CsDJ[Credit])))+(SUM(IF((CRDJ[Account Code]=B25)*(CRDJ[Date]&lt;=$A$7),(CRDJ[Credit])))+(SUM(IF((GJ[Account Code]=B25)*(GJ[Date]&lt;=$A$7),(GJ[Credit]))))))))</f>
        <v>0</v>
      </c>
      <c r="G25" s="620">
        <f>IF(INDEX(AccountCodes[Normal Balance], MATCH(C25,AccountCodes[PPSAS CODE]))="Credit",F25-E25,0)</f>
        <v>0</v>
      </c>
      <c r="H25" s="621">
        <f t="shared" si="0"/>
        <v>0</v>
      </c>
    </row>
    <row r="26" spans="1:8" ht="15.75" hidden="1">
      <c r="A26" s="613" t="str">
        <f t="array" ref="A26">INDEX(AccountCodes[ACCOUNT NAME],MATCH(B26,AccountCodes[NGAS CODE],0))</f>
        <v>Cash in Bank-Local Currency, Savings Account</v>
      </c>
      <c r="B26" s="602" t="s">
        <v>14</v>
      </c>
      <c r="C26" s="615">
        <f t="array" ref="C26">INDEX(AccountCodes[PPSAS CODE],MATCH(B26,AccountCodes[NGAS CODE],0))</f>
        <v>1010203000</v>
      </c>
      <c r="D26" s="616">
        <f>IF(INDEX(AccountCodes[Normal Balance], MATCH(C26,AccountCodes[PPSAS CODE]))="Debit",E26-F26,0)</f>
        <v>0</v>
      </c>
      <c r="E26" s="488">
        <f t="array" ref="E26">(SUM(IF((PostTB[Account Code (Old)]=B26),(PostTB[Debit])))+(SUM(IF((CkDJ[Account Code]=B26)*(CkDJ[Date]&lt;=$A$7),(CkDJ[Debit])))+(SUM(IF((CsDJ[Account Code]=B26)*(CsDJ[Date]&lt;=$A$7),(CsDJ[Debit])))+(SUM(IF((CRDJ[Account Code]=B26)*(CRDJ[Date]&lt;=$A$7),(CRDJ[Debit])))+(SUM(IF((GJ[Account Code]=B26)*(GJ[Date]&lt;=$A$7),(GJ[Debit]))))))))</f>
        <v>0</v>
      </c>
      <c r="F26" s="490">
        <f t="array" ref="F26">(SUM(IF((PostTB[Account Code (Old)]=B26),(PostTB[Credit])))+(SUM(IF((CkDJ[Account Code]=B26)*(CkDJ[Date]&lt;=$A$7),(CkDJ[Credit])))+(SUM(IF((CsDJ[Account Code]=B26)*(CsDJ[Date]&lt;=$A$7),(CsDJ[Credit])))+(SUM(IF((CRDJ[Account Code]=B26)*(CRDJ[Date]&lt;=$A$7),(CRDJ[Credit])))+(SUM(IF((GJ[Account Code]=B26)*(GJ[Date]&lt;=$A$7),(GJ[Credit]))))))))</f>
        <v>0</v>
      </c>
      <c r="G26" s="620">
        <f>IF(INDEX(AccountCodes[Normal Balance], MATCH(C26,AccountCodes[PPSAS CODE]))="Credit",F26-E26,0)</f>
        <v>0</v>
      </c>
      <c r="H26" s="621">
        <f t="shared" si="0"/>
        <v>0</v>
      </c>
    </row>
    <row r="27" spans="1:8" ht="15.75" hidden="1">
      <c r="A27" s="613" t="str">
        <f t="array" ref="A27">INDEX(AccountCodes[ACCOUNT NAME],MATCH(B27,AccountCodes[NGAS CODE],0))</f>
        <v>Cash in Bank-Local Currency, Time Deposits</v>
      </c>
      <c r="B27" s="602" t="s">
        <v>15</v>
      </c>
      <c r="C27" s="615">
        <f t="array" ref="C27">INDEX(AccountCodes[PPSAS CODE],MATCH(B27,AccountCodes[NGAS CODE],0))</f>
        <v>1010204000</v>
      </c>
      <c r="D27" s="616">
        <f>IF(INDEX(AccountCodes[Normal Balance], MATCH(C27,AccountCodes[PPSAS CODE]))="Debit",E27-F27,0)</f>
        <v>0</v>
      </c>
      <c r="E27" s="488">
        <f t="array" ref="E27">(SUM(IF((PostTB[Account Code (Old)]=B27),(PostTB[Debit])))+(SUM(IF((CkDJ[Account Code]=B27)*(CkDJ[Date]&lt;=$A$7),(CkDJ[Debit])))+(SUM(IF((CsDJ[Account Code]=B27)*(CsDJ[Date]&lt;=$A$7),(CsDJ[Debit])))+(SUM(IF((CRDJ[Account Code]=B27)*(CRDJ[Date]&lt;=$A$7),(CRDJ[Debit])))+(SUM(IF((GJ[Account Code]=B27)*(GJ[Date]&lt;=$A$7),(GJ[Debit]))))))))</f>
        <v>0</v>
      </c>
      <c r="F27" s="490">
        <f t="array" ref="F27">(SUM(IF((PostTB[Account Code (Old)]=B27),(PostTB[Credit])))+(SUM(IF((CkDJ[Account Code]=B27)*(CkDJ[Date]&lt;=$A$7),(CkDJ[Credit])))+(SUM(IF((CsDJ[Account Code]=B27)*(CsDJ[Date]&lt;=$A$7),(CsDJ[Credit])))+(SUM(IF((CRDJ[Account Code]=B27)*(CRDJ[Date]&lt;=$A$7),(CRDJ[Credit])))+(SUM(IF((GJ[Account Code]=B27)*(GJ[Date]&lt;=$A$7),(GJ[Credit]))))))))</f>
        <v>0</v>
      </c>
      <c r="G27" s="620">
        <f>IF(INDEX(AccountCodes[Normal Balance], MATCH(C27,AccountCodes[PPSAS CODE]))="Credit",F27-E27,0)</f>
        <v>0</v>
      </c>
      <c r="H27" s="621">
        <f t="shared" si="0"/>
        <v>0</v>
      </c>
    </row>
    <row r="28" spans="1:8" ht="15.75" hidden="1">
      <c r="A28" s="613" t="str">
        <f t="array" ref="A28">INDEX(AccountCodes[ACCOUNT NAME],MATCH(B28,AccountCodes[NGAS CODE],0))</f>
        <v>Cash in Bank-Local Currency, Time Deposits</v>
      </c>
      <c r="B28" s="602" t="s">
        <v>15</v>
      </c>
      <c r="C28" s="615">
        <f t="array" ref="C28">INDEX(AccountCodes[PPSAS CODE],MATCH(B28,AccountCodes[NGAS CODE],0))</f>
        <v>1010204000</v>
      </c>
      <c r="D28" s="616">
        <f>IF(INDEX(AccountCodes[Normal Balance], MATCH(C28,AccountCodes[PPSAS CODE]))="Debit",E28-F28,0)</f>
        <v>0</v>
      </c>
      <c r="E28" s="488">
        <f t="array" ref="E28">(SUM(IF((PostTB[Account Code (Old)]=B28),(PostTB[Debit])))+(SUM(IF((CkDJ[Account Code]=B28)*(CkDJ[Date]&lt;=$A$7),(CkDJ[Debit])))+(SUM(IF((CsDJ[Account Code]=B28)*(CsDJ[Date]&lt;=$A$7),(CsDJ[Debit])))+(SUM(IF((CRDJ[Account Code]=B28)*(CRDJ[Date]&lt;=$A$7),(CRDJ[Debit])))+(SUM(IF((GJ[Account Code]=B28)*(GJ[Date]&lt;=$A$7),(GJ[Debit]))))))))</f>
        <v>0</v>
      </c>
      <c r="F28" s="490">
        <f t="array" ref="F28">(SUM(IF((PostTB[Account Code (Old)]=B28),(PostTB[Credit])))+(SUM(IF((CkDJ[Account Code]=B28)*(CkDJ[Date]&lt;=$A$7),(CkDJ[Credit])))+(SUM(IF((CsDJ[Account Code]=B28)*(CsDJ[Date]&lt;=$A$7),(CsDJ[Credit])))+(SUM(IF((CRDJ[Account Code]=B28)*(CRDJ[Date]&lt;=$A$7),(CRDJ[Credit])))+(SUM(IF((GJ[Account Code]=B28)*(GJ[Date]&lt;=$A$7),(GJ[Credit]))))))))</f>
        <v>0</v>
      </c>
      <c r="G28" s="620">
        <f>IF(INDEX(AccountCodes[Normal Balance], MATCH(C28,AccountCodes[PPSAS CODE]))="Credit",F28-E28,0)</f>
        <v>0</v>
      </c>
      <c r="H28" s="621">
        <f t="shared" si="0"/>
        <v>0</v>
      </c>
    </row>
    <row r="29" spans="1:8" ht="15.75" hidden="1">
      <c r="A29" s="613" t="str">
        <f t="array" ref="A29">INDEX(AccountCodes[ACCOUNT NAME],MATCH(B29,AccountCodes[NGAS CODE],0))</f>
        <v>Cash in Bank-Foreign Currency, Current Account</v>
      </c>
      <c r="B29" s="602" t="s">
        <v>16</v>
      </c>
      <c r="C29" s="615">
        <f t="array" ref="C29">INDEX(AccountCodes[PPSAS CODE],MATCH(B29,AccountCodes[NGAS CODE],0))</f>
        <v>1010302000</v>
      </c>
      <c r="D29" s="616">
        <f>IF(INDEX(AccountCodes[Normal Balance], MATCH(C29,AccountCodes[PPSAS CODE]))="Debit",E29-F29,0)</f>
        <v>0</v>
      </c>
      <c r="E29" s="488">
        <f t="array" ref="E29">(SUM(IF((PostTB[Account Code (Old)]=B29),(PostTB[Debit])))+(SUM(IF((CkDJ[Account Code]=B29)*(CkDJ[Date]&lt;=$A$7),(CkDJ[Debit])))+(SUM(IF((CsDJ[Account Code]=B29)*(CsDJ[Date]&lt;=$A$7),(CsDJ[Debit])))+(SUM(IF((CRDJ[Account Code]=B29)*(CRDJ[Date]&lt;=$A$7),(CRDJ[Debit])))+(SUM(IF((GJ[Account Code]=B29)*(GJ[Date]&lt;=$A$7),(GJ[Debit]))))))))</f>
        <v>0</v>
      </c>
      <c r="F29" s="490">
        <f t="array" ref="F29">(SUM(IF((PostTB[Account Code (Old)]=B29),(PostTB[Credit])))+(SUM(IF((CkDJ[Account Code]=B29)*(CkDJ[Date]&lt;=$A$7),(CkDJ[Credit])))+(SUM(IF((CsDJ[Account Code]=B29)*(CsDJ[Date]&lt;=$A$7),(CsDJ[Credit])))+(SUM(IF((CRDJ[Account Code]=B29)*(CRDJ[Date]&lt;=$A$7),(CRDJ[Credit])))+(SUM(IF((GJ[Account Code]=B29)*(GJ[Date]&lt;=$A$7),(GJ[Credit]))))))))</f>
        <v>0</v>
      </c>
      <c r="G29" s="620">
        <f>IF(INDEX(AccountCodes[Normal Balance], MATCH(C29,AccountCodes[PPSAS CODE]))="Credit",F29-E29,0)</f>
        <v>0</v>
      </c>
      <c r="H29" s="621">
        <f t="shared" si="0"/>
        <v>0</v>
      </c>
    </row>
    <row r="30" spans="1:8" ht="15.75" hidden="1">
      <c r="A30" s="613" t="str">
        <f t="array" ref="A30">INDEX(AccountCodes[ACCOUNT NAME],MATCH(B30,AccountCodes[NGAS CODE],0))</f>
        <v>Cash in Bank-Foreign Currency, Current Account</v>
      </c>
      <c r="B30" s="602" t="s">
        <v>16</v>
      </c>
      <c r="C30" s="615">
        <f t="array" ref="C30">INDEX(AccountCodes[PPSAS CODE],MATCH(B30,AccountCodes[NGAS CODE],0))</f>
        <v>1010302000</v>
      </c>
      <c r="D30" s="616">
        <f>IF(INDEX(AccountCodes[Normal Balance], MATCH(C30,AccountCodes[PPSAS CODE]))="Debit",E30-F30,0)</f>
        <v>0</v>
      </c>
      <c r="E30" s="488">
        <f t="array" ref="E30">(SUM(IF((PostTB[Account Code (Old)]=B30),(PostTB[Debit])))+(SUM(IF((CkDJ[Account Code]=B30)*(CkDJ[Date]&lt;=$A$7),(CkDJ[Debit])))+(SUM(IF((CsDJ[Account Code]=B30)*(CsDJ[Date]&lt;=$A$7),(CsDJ[Debit])))+(SUM(IF((CRDJ[Account Code]=B30)*(CRDJ[Date]&lt;=$A$7),(CRDJ[Debit])))+(SUM(IF((GJ[Account Code]=B30)*(GJ[Date]&lt;=$A$7),(GJ[Debit]))))))))</f>
        <v>0</v>
      </c>
      <c r="F30" s="490">
        <f t="array" ref="F30">(SUM(IF((PostTB[Account Code (Old)]=B30),(PostTB[Credit])))+(SUM(IF((CkDJ[Account Code]=B30)*(CkDJ[Date]&lt;=$A$7),(CkDJ[Credit])))+(SUM(IF((CsDJ[Account Code]=B30)*(CsDJ[Date]&lt;=$A$7),(CsDJ[Credit])))+(SUM(IF((CRDJ[Account Code]=B30)*(CRDJ[Date]&lt;=$A$7),(CRDJ[Credit])))+(SUM(IF((GJ[Account Code]=B30)*(GJ[Date]&lt;=$A$7),(GJ[Credit]))))))))</f>
        <v>0</v>
      </c>
      <c r="G30" s="620">
        <f>IF(INDEX(AccountCodes[Normal Balance], MATCH(C30,AccountCodes[PPSAS CODE]))="Credit",F30-E30,0)</f>
        <v>0</v>
      </c>
      <c r="H30" s="621">
        <f t="shared" si="0"/>
        <v>0</v>
      </c>
    </row>
    <row r="31" spans="1:8" ht="15.75" hidden="1">
      <c r="A31" s="613" t="str">
        <f t="array" ref="A31">INDEX(AccountCodes[ACCOUNT NAME],MATCH(B31,AccountCodes[NGAS CODE],0))</f>
        <v>Cash in Bank-Foreign Currency, Current Account</v>
      </c>
      <c r="B31" s="602" t="s">
        <v>16</v>
      </c>
      <c r="C31" s="615">
        <f t="array" ref="C31">INDEX(AccountCodes[PPSAS CODE],MATCH(B31,AccountCodes[NGAS CODE],0))</f>
        <v>1010302000</v>
      </c>
      <c r="D31" s="616">
        <f>IF(INDEX(AccountCodes[Normal Balance], MATCH(C31,AccountCodes[PPSAS CODE]))="Debit",E31-F31,0)</f>
        <v>0</v>
      </c>
      <c r="E31" s="488">
        <f t="array" ref="E31">(SUM(IF((PostTB[Account Code (Old)]=B31),(PostTB[Debit])))+(SUM(IF((CkDJ[Account Code]=B31)*(CkDJ[Date]&lt;=$A$7),(CkDJ[Debit])))+(SUM(IF((CsDJ[Account Code]=B31)*(CsDJ[Date]&lt;=$A$7),(CsDJ[Debit])))+(SUM(IF((CRDJ[Account Code]=B31)*(CRDJ[Date]&lt;=$A$7),(CRDJ[Debit])))+(SUM(IF((GJ[Account Code]=B31)*(GJ[Date]&lt;=$A$7),(GJ[Debit]))))))))</f>
        <v>0</v>
      </c>
      <c r="F31" s="490">
        <f t="array" ref="F31">(SUM(IF((PostTB[Account Code (Old)]=B31),(PostTB[Credit])))+(SUM(IF((CkDJ[Account Code]=B31)*(CkDJ[Date]&lt;=$A$7),(CkDJ[Credit])))+(SUM(IF((CsDJ[Account Code]=B31)*(CsDJ[Date]&lt;=$A$7),(CsDJ[Credit])))+(SUM(IF((CRDJ[Account Code]=B31)*(CRDJ[Date]&lt;=$A$7),(CRDJ[Credit])))+(SUM(IF((GJ[Account Code]=B31)*(GJ[Date]&lt;=$A$7),(GJ[Credit]))))))))</f>
        <v>0</v>
      </c>
      <c r="G31" s="620">
        <f>IF(INDEX(AccountCodes[Normal Balance], MATCH(C31,AccountCodes[PPSAS CODE]))="Credit",F31-E31,0)</f>
        <v>0</v>
      </c>
      <c r="H31" s="621">
        <f t="shared" si="0"/>
        <v>0</v>
      </c>
    </row>
    <row r="32" spans="1:8" ht="15.75" hidden="1">
      <c r="A32" s="613" t="str">
        <f t="array" ref="A32">INDEX(AccountCodes[ACCOUNT NAME],MATCH(B32,AccountCodes[NGAS CODE],0))</f>
        <v>Cash in Bank-Foreign Currency, Time Deposits</v>
      </c>
      <c r="B32" s="602" t="s">
        <v>17</v>
      </c>
      <c r="C32" s="615">
        <f t="array" ref="C32">INDEX(AccountCodes[PPSAS CODE],MATCH(B32,AccountCodes[NGAS CODE],0))</f>
        <v>1010304000</v>
      </c>
      <c r="D32" s="616">
        <f>IF(INDEX(AccountCodes[Normal Balance], MATCH(C32,AccountCodes[PPSAS CODE]))="Debit",E32-F32,0)</f>
        <v>0</v>
      </c>
      <c r="E32" s="488">
        <f t="array" ref="E32">(SUM(IF((PostTB[Account Code (Old)]=B32),(PostTB[Debit])))+(SUM(IF((CkDJ[Account Code]=B32)*(CkDJ[Date]&lt;=$A$7),(CkDJ[Debit])))+(SUM(IF((CsDJ[Account Code]=B32)*(CsDJ[Date]&lt;=$A$7),(CsDJ[Debit])))+(SUM(IF((CRDJ[Account Code]=B32)*(CRDJ[Date]&lt;=$A$7),(CRDJ[Debit])))+(SUM(IF((GJ[Account Code]=B32)*(GJ[Date]&lt;=$A$7),(GJ[Debit]))))))))</f>
        <v>0</v>
      </c>
      <c r="F32" s="490">
        <f t="array" ref="F32">(SUM(IF((PostTB[Account Code (Old)]=B32),(PostTB[Credit])))+(SUM(IF((CkDJ[Account Code]=B32)*(CkDJ[Date]&lt;=$A$7),(CkDJ[Credit])))+(SUM(IF((CsDJ[Account Code]=B32)*(CsDJ[Date]&lt;=$A$7),(CsDJ[Credit])))+(SUM(IF((CRDJ[Account Code]=B32)*(CRDJ[Date]&lt;=$A$7),(CRDJ[Credit])))+(SUM(IF((GJ[Account Code]=B32)*(GJ[Date]&lt;=$A$7),(GJ[Credit]))))))))</f>
        <v>0</v>
      </c>
      <c r="G32" s="620">
        <f>IF(INDEX(AccountCodes[Normal Balance], MATCH(C32,AccountCodes[PPSAS CODE]))="Credit",F32-E32,0)</f>
        <v>0</v>
      </c>
      <c r="H32" s="621">
        <f t="shared" si="0"/>
        <v>0</v>
      </c>
    </row>
    <row r="33" spans="1:8" ht="15.75" hidden="1">
      <c r="A33" s="613" t="str">
        <f t="array" ref="A33">INDEX(AccountCodes[ACCOUNT NAME],MATCH(B33,AccountCodes[NGAS CODE],0))</f>
        <v>Cash in Bank-Foreign Currency, Time Deposits</v>
      </c>
      <c r="B33" s="602" t="s">
        <v>17</v>
      </c>
      <c r="C33" s="615">
        <f t="array" ref="C33">INDEX(AccountCodes[PPSAS CODE],MATCH(B33,AccountCodes[NGAS CODE],0))</f>
        <v>1010304000</v>
      </c>
      <c r="D33" s="616">
        <f>IF(INDEX(AccountCodes[Normal Balance], MATCH(C33,AccountCodes[PPSAS CODE]))="Debit",E33-F33,0)</f>
        <v>0</v>
      </c>
      <c r="E33" s="488">
        <f t="array" ref="E33">(SUM(IF((PostTB[Account Code (Old)]=B33),(PostTB[Debit])))+(SUM(IF((CkDJ[Account Code]=B33)*(CkDJ[Date]&lt;=$A$7),(CkDJ[Debit])))+(SUM(IF((CsDJ[Account Code]=B33)*(CsDJ[Date]&lt;=$A$7),(CsDJ[Debit])))+(SUM(IF((CRDJ[Account Code]=B33)*(CRDJ[Date]&lt;=$A$7),(CRDJ[Debit])))+(SUM(IF((GJ[Account Code]=B33)*(GJ[Date]&lt;=$A$7),(GJ[Debit]))))))))</f>
        <v>0</v>
      </c>
      <c r="F33" s="490">
        <f t="array" ref="F33">(SUM(IF((PostTB[Account Code (Old)]=B33),(PostTB[Credit])))+(SUM(IF((CkDJ[Account Code]=B33)*(CkDJ[Date]&lt;=$A$7),(CkDJ[Credit])))+(SUM(IF((CsDJ[Account Code]=B33)*(CsDJ[Date]&lt;=$A$7),(CsDJ[Credit])))+(SUM(IF((CRDJ[Account Code]=B33)*(CRDJ[Date]&lt;=$A$7),(CRDJ[Credit])))+(SUM(IF((GJ[Account Code]=B33)*(GJ[Date]&lt;=$A$7),(GJ[Credit]))))))))</f>
        <v>0</v>
      </c>
      <c r="G33" s="620">
        <f>IF(INDEX(AccountCodes[Normal Balance], MATCH(C33,AccountCodes[PPSAS CODE]))="Credit",F33-E33,0)</f>
        <v>0</v>
      </c>
      <c r="H33" s="621">
        <f t="shared" si="0"/>
        <v>0</v>
      </c>
    </row>
    <row r="34" spans="1:8" ht="15.75" hidden="1">
      <c r="A34" s="613" t="str">
        <f t="array" ref="A34">INDEX(AccountCodes[ACCOUNT NAME],MATCH(B34,AccountCodes[NGAS CODE],0))</f>
        <v>Accounts Receivable</v>
      </c>
      <c r="B34" s="602" t="s">
        <v>1437</v>
      </c>
      <c r="C34" s="615">
        <f t="array" ref="C34">INDEX(AccountCodes[PPSAS CODE],MATCH(B34,AccountCodes[NGAS CODE],0))</f>
        <v>1030101000</v>
      </c>
      <c r="D34" s="616">
        <f>IF(INDEX(AccountCodes[Normal Balance], MATCH(C34,AccountCodes[PPSAS CODE]))="Debit",E34-F34,0)</f>
        <v>0</v>
      </c>
      <c r="E34" s="488">
        <f t="array" ref="E34">(SUM(IF((PostTB[Account Code (Old)]=B34),(PostTB[Debit])))+(SUM(IF((CkDJ[Account Code]=B34)*(CkDJ[Date]&lt;=$A$7),(CkDJ[Debit])))+(SUM(IF((CsDJ[Account Code]=B34)*(CsDJ[Date]&lt;=$A$7),(CsDJ[Debit])))+(SUM(IF((CRDJ[Account Code]=B34)*(CRDJ[Date]&lt;=$A$7),(CRDJ[Debit])))+(SUM(IF((GJ[Account Code]=B34)*(GJ[Date]&lt;=$A$7),(GJ[Debit]))))))))</f>
        <v>0</v>
      </c>
      <c r="F34" s="490">
        <f t="array" ref="F34">(SUM(IF((PostTB[Account Code (Old)]=B34),(PostTB[Credit])))+(SUM(IF((CkDJ[Account Code]=B34)*(CkDJ[Date]&lt;=$A$7),(CkDJ[Credit])))+(SUM(IF((CsDJ[Account Code]=B34)*(CsDJ[Date]&lt;=$A$7),(CsDJ[Credit])))+(SUM(IF((CRDJ[Account Code]=B34)*(CRDJ[Date]&lt;=$A$7),(CRDJ[Credit])))+(SUM(IF((GJ[Account Code]=B34)*(GJ[Date]&lt;=$A$7),(GJ[Credit]))))))))</f>
        <v>0</v>
      </c>
      <c r="G34" s="620">
        <f>IF(INDEX(AccountCodes[Normal Balance], MATCH(C34,AccountCodes[PPSAS CODE]))="Credit",F34-E34,0)</f>
        <v>0</v>
      </c>
      <c r="H34" s="621">
        <f t="shared" si="0"/>
        <v>0</v>
      </c>
    </row>
    <row r="35" spans="1:8" ht="15.75" hidden="1">
      <c r="A35" s="613" t="str">
        <f t="array" ref="A35">INDEX(AccountCodes[ACCOUNT NAME],MATCH(B35,AccountCodes[NGAS CODE],0))</f>
        <v>Accounts Receivable - ISF (Current &amp; Back Accounts)</v>
      </c>
      <c r="B35" s="602" t="s">
        <v>351</v>
      </c>
      <c r="C35" s="615">
        <f t="array" ref="C35">INDEX(AccountCodes[PPSAS CODE],MATCH(B35,AccountCodes[NGAS CODE],0))</f>
        <v>1030101001</v>
      </c>
      <c r="D35" s="616">
        <f>IF(INDEX(AccountCodes[Normal Balance], MATCH(C35,AccountCodes[PPSAS CODE]))="Debit",E35-F35,0)</f>
        <v>0</v>
      </c>
      <c r="E35" s="488">
        <f t="array" ref="E35">(SUM(IF((PostTB[Account Code (Old)]=B35),(PostTB[Debit])))+(SUM(IF((CkDJ[Account Code]=B35)*(CkDJ[Date]&lt;=$A$7),(CkDJ[Debit])))+(SUM(IF((CsDJ[Account Code]=B35)*(CsDJ[Date]&lt;=$A$7),(CsDJ[Debit])))+(SUM(IF((CRDJ[Account Code]=B35)*(CRDJ[Date]&lt;=$A$7),(CRDJ[Debit])))+(SUM(IF((GJ[Account Code]=B35)*(GJ[Date]&lt;=$A$7),(GJ[Debit]))))))))</f>
        <v>0</v>
      </c>
      <c r="F35" s="490">
        <f t="array" ref="F35">(SUM(IF((PostTB[Account Code (Old)]=B35),(PostTB[Credit])))+(SUM(IF((CkDJ[Account Code]=B35)*(CkDJ[Date]&lt;=$A$7),(CkDJ[Credit])))+(SUM(IF((CsDJ[Account Code]=B35)*(CsDJ[Date]&lt;=$A$7),(CsDJ[Credit])))+(SUM(IF((CRDJ[Account Code]=B35)*(CRDJ[Date]&lt;=$A$7),(CRDJ[Credit])))+(SUM(IF((GJ[Account Code]=B35)*(GJ[Date]&lt;=$A$7),(GJ[Credit]))))))))</f>
        <v>0</v>
      </c>
      <c r="G35" s="620">
        <f>IF(INDEX(AccountCodes[Normal Balance], MATCH(C35,AccountCodes[PPSAS CODE]))="Credit",F35-E35,0)</f>
        <v>0</v>
      </c>
      <c r="H35" s="621">
        <f t="shared" si="0"/>
        <v>0</v>
      </c>
    </row>
    <row r="36" spans="1:8" ht="15.75" hidden="1">
      <c r="A36" s="613" t="str">
        <f t="array" ref="A36">INDEX(AccountCodes[ACCOUNT NAME],MATCH(B36,AccountCodes[NGAS CODE],0))</f>
        <v>Accounts Receivable - Pump/CIP/CIS Equity</v>
      </c>
      <c r="B36" s="602" t="s">
        <v>19</v>
      </c>
      <c r="C36" s="615">
        <f t="array" ref="C36">INDEX(AccountCodes[PPSAS CODE],MATCH(B36,AccountCodes[NGAS CODE],0))</f>
        <v>1030101002</v>
      </c>
      <c r="D36" s="616">
        <f>IF(INDEX(AccountCodes[Normal Balance], MATCH(C36,AccountCodes[PPSAS CODE]))="Debit",E36-F36,0)</f>
        <v>0</v>
      </c>
      <c r="E36" s="488">
        <f t="array" ref="E36">(SUM(IF((PostTB[Account Code (Old)]=B36),(PostTB[Debit])))+(SUM(IF((CkDJ[Account Code]=B36)*(CkDJ[Date]&lt;=$A$7),(CkDJ[Debit])))+(SUM(IF((CsDJ[Account Code]=B36)*(CsDJ[Date]&lt;=$A$7),(CsDJ[Debit])))+(SUM(IF((CRDJ[Account Code]=B36)*(CRDJ[Date]&lt;=$A$7),(CRDJ[Debit])))+(SUM(IF((GJ[Account Code]=B36)*(GJ[Date]&lt;=$A$7),(GJ[Debit]))))))))</f>
        <v>0</v>
      </c>
      <c r="F36" s="490">
        <f t="array" ref="F36">(SUM(IF((PostTB[Account Code (Old)]=B36),(PostTB[Credit])))+(SUM(IF((CkDJ[Account Code]=B36)*(CkDJ[Date]&lt;=$A$7),(CkDJ[Credit])))+(SUM(IF((CsDJ[Account Code]=B36)*(CsDJ[Date]&lt;=$A$7),(CsDJ[Credit])))+(SUM(IF((CRDJ[Account Code]=B36)*(CRDJ[Date]&lt;=$A$7),(CRDJ[Credit])))+(SUM(IF((GJ[Account Code]=B36)*(GJ[Date]&lt;=$A$7),(GJ[Credit]))))))))</f>
        <v>0</v>
      </c>
      <c r="G36" s="620">
        <f>IF(INDEX(AccountCodes[Normal Balance], MATCH(C36,AccountCodes[PPSAS CODE]))="Credit",F36-E36,0)</f>
        <v>0</v>
      </c>
      <c r="H36" s="621">
        <f t="shared" si="0"/>
        <v>0</v>
      </c>
    </row>
    <row r="37" spans="1:8" ht="15.75" hidden="1">
      <c r="A37" s="613" t="str">
        <f t="array" ref="A37">INDEX(AccountCodes[ACCOUNT NAME],MATCH(B37,AccountCodes[NGAS CODE],0))</f>
        <v>Accounts Receivable - Others</v>
      </c>
      <c r="B37" s="602" t="s">
        <v>18</v>
      </c>
      <c r="C37" s="615">
        <f t="array" ref="C37">INDEX(AccountCodes[PPSAS CODE],MATCH(B37,AccountCodes[NGAS CODE],0))</f>
        <v>1030101003</v>
      </c>
      <c r="D37" s="616">
        <f>IF(INDEX(AccountCodes[Normal Balance], MATCH(C37,AccountCodes[PPSAS CODE]))="Debit",E37-F37,0)</f>
        <v>0</v>
      </c>
      <c r="E37" s="488">
        <f t="array" ref="E37">(SUM(IF((PostTB[Account Code (Old)]=B37),(PostTB[Debit])))+(SUM(IF((CkDJ[Account Code]=B37)*(CkDJ[Date]&lt;=$A$7),(CkDJ[Debit])))+(SUM(IF((CsDJ[Account Code]=B37)*(CsDJ[Date]&lt;=$A$7),(CsDJ[Debit])))+(SUM(IF((CRDJ[Account Code]=B37)*(CRDJ[Date]&lt;=$A$7),(CRDJ[Debit])))+(SUM(IF((GJ[Account Code]=B37)*(GJ[Date]&lt;=$A$7),(GJ[Debit]))))))))</f>
        <v>0</v>
      </c>
      <c r="F37" s="490">
        <f t="array" ref="F37">(SUM(IF((PostTB[Account Code (Old)]=B37),(PostTB[Credit])))+(SUM(IF((CkDJ[Account Code]=B37)*(CkDJ[Date]&lt;=$A$7),(CkDJ[Credit])))+(SUM(IF((CsDJ[Account Code]=B37)*(CsDJ[Date]&lt;=$A$7),(CsDJ[Credit])))+(SUM(IF((CRDJ[Account Code]=B37)*(CRDJ[Date]&lt;=$A$7),(CRDJ[Credit])))+(SUM(IF((GJ[Account Code]=B37)*(GJ[Date]&lt;=$A$7),(GJ[Credit]))))))))</f>
        <v>0</v>
      </c>
      <c r="G37" s="620">
        <f>IF(INDEX(AccountCodes[Normal Balance], MATCH(C37,AccountCodes[PPSAS CODE]))="Credit",F37-E37,0)</f>
        <v>0</v>
      </c>
      <c r="H37" s="621">
        <f t="shared" si="0"/>
        <v>0</v>
      </c>
    </row>
    <row r="38" spans="1:8" ht="15.75" hidden="1">
      <c r="A38" s="613" t="str">
        <f t="array" ref="A38">INDEX(AccountCodes[ACCOUNT NAME],MATCH(B38,AccountCodes[NGAS CODE],0))</f>
        <v>Allowance for Impairment-Accounts Receivable</v>
      </c>
      <c r="B38" s="602" t="s">
        <v>84</v>
      </c>
      <c r="C38" s="615">
        <f t="array" ref="C38">INDEX(AccountCodes[PPSAS CODE],MATCH(B38,AccountCodes[NGAS CODE],0))</f>
        <v>1030101100</v>
      </c>
      <c r="D38" s="616">
        <f>IF(INDEX(AccountCodes[Normal Balance], MATCH(C38,AccountCodes[PPSAS CODE]))="Debit",E38-F38,0)</f>
        <v>0</v>
      </c>
      <c r="E38" s="488">
        <f t="array" ref="E38">(SUM(IF((PostTB[Account Code (Old)]=B38),(PostTB[Debit])))+(SUM(IF((CkDJ[Account Code]=B38)*(CkDJ[Date]&lt;=$A$7),(CkDJ[Debit])))+(SUM(IF((CsDJ[Account Code]=B38)*(CsDJ[Date]&lt;=$A$7),(CsDJ[Debit])))+(SUM(IF((CRDJ[Account Code]=B38)*(CRDJ[Date]&lt;=$A$7),(CRDJ[Debit])))+(SUM(IF((GJ[Account Code]=B38)*(GJ[Date]&lt;=$A$7),(GJ[Debit]))))))))</f>
        <v>0</v>
      </c>
      <c r="F38" s="490">
        <f t="array" ref="F38">(SUM(IF((PostTB[Account Code (Old)]=B38),(PostTB[Credit])))+(SUM(IF((CkDJ[Account Code]=B38)*(CkDJ[Date]&lt;=$A$7),(CkDJ[Credit])))+(SUM(IF((CsDJ[Account Code]=B38)*(CsDJ[Date]&lt;=$A$7),(CsDJ[Credit])))+(SUM(IF((CRDJ[Account Code]=B38)*(CRDJ[Date]&lt;=$A$7),(CRDJ[Credit])))+(SUM(IF((GJ[Account Code]=B38)*(GJ[Date]&lt;=$A$7),(GJ[Credit]))))))))</f>
        <v>0</v>
      </c>
      <c r="G38" s="620">
        <f>IF(INDEX(AccountCodes[Normal Balance], MATCH(C38,AccountCodes[PPSAS CODE]))="Credit",F38-E38,0)</f>
        <v>0</v>
      </c>
      <c r="H38" s="621">
        <f t="shared" si="0"/>
        <v>0</v>
      </c>
    </row>
    <row r="39" spans="1:8" ht="15.75" hidden="1">
      <c r="A39" s="613" t="str">
        <f t="array" ref="A39">INDEX(AccountCodes[ACCOUNT NAME],MATCH(B39,AccountCodes[NGAS CODE],0))</f>
        <v>Due from National Government Agencies</v>
      </c>
      <c r="B39" s="602" t="s">
        <v>21</v>
      </c>
      <c r="C39" s="615">
        <f t="array" ref="C39">INDEX(AccountCodes[PPSAS CODE],MATCH(B39,AccountCodes[NGAS CODE],0))</f>
        <v>1030301000</v>
      </c>
      <c r="D39" s="616">
        <f>IF(INDEX(AccountCodes[Normal Balance], MATCH(C39,AccountCodes[PPSAS CODE]))="Debit",E39-F39,0)</f>
        <v>0</v>
      </c>
      <c r="E39" s="488">
        <f t="array" ref="E39">(SUM(IF((PostTB[Account Code (Old)]=B39),(PostTB[Debit])))+(SUM(IF((CkDJ[Account Code]=B39)*(CkDJ[Date]&lt;=$A$7),(CkDJ[Debit])))+(SUM(IF((CsDJ[Account Code]=B39)*(CsDJ[Date]&lt;=$A$7),(CsDJ[Debit])))+(SUM(IF((CRDJ[Account Code]=B39)*(CRDJ[Date]&lt;=$A$7),(CRDJ[Debit])))+(SUM(IF((GJ[Account Code]=B39)*(GJ[Date]&lt;=$A$7),(GJ[Debit]))))))))</f>
        <v>0</v>
      </c>
      <c r="F39" s="490">
        <f t="array" ref="F39">(SUM(IF((PostTB[Account Code (Old)]=B39),(PostTB[Credit])))+(SUM(IF((CkDJ[Account Code]=B39)*(CkDJ[Date]&lt;=$A$7),(CkDJ[Credit])))+(SUM(IF((CsDJ[Account Code]=B39)*(CsDJ[Date]&lt;=$A$7),(CsDJ[Credit])))+(SUM(IF((CRDJ[Account Code]=B39)*(CRDJ[Date]&lt;=$A$7),(CRDJ[Credit])))+(SUM(IF((GJ[Account Code]=B39)*(GJ[Date]&lt;=$A$7),(GJ[Credit]))))))))</f>
        <v>0</v>
      </c>
      <c r="G39" s="620">
        <f>IF(INDEX(AccountCodes[Normal Balance], MATCH(C39,AccountCodes[PPSAS CODE]))="Credit",F39-E39,0)</f>
        <v>0</v>
      </c>
      <c r="H39" s="621">
        <f t="shared" si="0"/>
        <v>0</v>
      </c>
    </row>
    <row r="40" spans="1:8" ht="15.75" hidden="1">
      <c r="A40" s="613" t="str">
        <f t="array" ref="A40">INDEX(AccountCodes[ACCOUNT NAME],MATCH(B40,AccountCodes[NGAS CODE],0))</f>
        <v>Due from Government-Owned or Controlled Corporations</v>
      </c>
      <c r="B40" s="602" t="s">
        <v>22</v>
      </c>
      <c r="C40" s="615">
        <f t="array" ref="C40">INDEX(AccountCodes[PPSAS CODE],MATCH(B40,AccountCodes[NGAS CODE],0))</f>
        <v>1030302000</v>
      </c>
      <c r="D40" s="616">
        <f>IF(INDEX(AccountCodes[Normal Balance], MATCH(C40,AccountCodes[PPSAS CODE]))="Debit",E40-F40,0)</f>
        <v>0</v>
      </c>
      <c r="E40" s="488">
        <f t="array" ref="E40">(SUM(IF((PostTB[Account Code (Old)]=B40),(PostTB[Debit])))+(SUM(IF((CkDJ[Account Code]=B40)*(CkDJ[Date]&lt;=$A$7),(CkDJ[Debit])))+(SUM(IF((CsDJ[Account Code]=B40)*(CsDJ[Date]&lt;=$A$7),(CsDJ[Debit])))+(SUM(IF((CRDJ[Account Code]=B40)*(CRDJ[Date]&lt;=$A$7),(CRDJ[Debit])))+(SUM(IF((GJ[Account Code]=B40)*(GJ[Date]&lt;=$A$7),(GJ[Debit]))))))))</f>
        <v>0</v>
      </c>
      <c r="F40" s="490">
        <f t="array" ref="F40">(SUM(IF((PostTB[Account Code (Old)]=B40),(PostTB[Credit])))+(SUM(IF((CkDJ[Account Code]=B40)*(CkDJ[Date]&lt;=$A$7),(CkDJ[Credit])))+(SUM(IF((CsDJ[Account Code]=B40)*(CsDJ[Date]&lt;=$A$7),(CsDJ[Credit])))+(SUM(IF((CRDJ[Account Code]=B40)*(CRDJ[Date]&lt;=$A$7),(CRDJ[Credit])))+(SUM(IF((GJ[Account Code]=B40)*(GJ[Date]&lt;=$A$7),(GJ[Credit]))))))))</f>
        <v>0</v>
      </c>
      <c r="G40" s="620">
        <f>IF(INDEX(AccountCodes[Normal Balance], MATCH(C40,AccountCodes[PPSAS CODE]))="Credit",F40-E40,0)</f>
        <v>0</v>
      </c>
      <c r="H40" s="621">
        <f t="shared" si="0"/>
        <v>0</v>
      </c>
    </row>
    <row r="41" spans="1:8" ht="15.75" hidden="1">
      <c r="A41" s="613" t="str">
        <f t="array" ref="A41">INDEX(AccountCodes[ACCOUNT NAME],MATCH(B41,AccountCodes[NGAS CODE],0))</f>
        <v>Due from Local Government Units</v>
      </c>
      <c r="B41" s="602" t="s">
        <v>23</v>
      </c>
      <c r="C41" s="615">
        <f t="array" ref="C41">INDEX(AccountCodes[PPSAS CODE],MATCH(B41,AccountCodes[NGAS CODE],0))</f>
        <v>1030303000</v>
      </c>
      <c r="D41" s="616">
        <f>IF(INDEX(AccountCodes[Normal Balance], MATCH(C41,AccountCodes[PPSAS CODE]))="Debit",E41-F41,0)</f>
        <v>0</v>
      </c>
      <c r="E41" s="488">
        <f t="array" ref="E41">(SUM(IF((PostTB[Account Code (Old)]=B41),(PostTB[Debit])))+(SUM(IF((CkDJ[Account Code]=B41)*(CkDJ[Date]&lt;=$A$7),(CkDJ[Debit])))+(SUM(IF((CsDJ[Account Code]=B41)*(CsDJ[Date]&lt;=$A$7),(CsDJ[Debit])))+(SUM(IF((CRDJ[Account Code]=B41)*(CRDJ[Date]&lt;=$A$7),(CRDJ[Debit])))+(SUM(IF((GJ[Account Code]=B41)*(GJ[Date]&lt;=$A$7),(GJ[Debit]))))))))</f>
        <v>0</v>
      </c>
      <c r="F41" s="490">
        <f t="array" ref="F41">(SUM(IF((PostTB[Account Code (Old)]=B41),(PostTB[Credit])))+(SUM(IF((CkDJ[Account Code]=B41)*(CkDJ[Date]&lt;=$A$7),(CkDJ[Credit])))+(SUM(IF((CsDJ[Account Code]=B41)*(CsDJ[Date]&lt;=$A$7),(CsDJ[Credit])))+(SUM(IF((CRDJ[Account Code]=B41)*(CRDJ[Date]&lt;=$A$7),(CRDJ[Credit])))+(SUM(IF((GJ[Account Code]=B41)*(GJ[Date]&lt;=$A$7),(GJ[Credit]))))))))</f>
        <v>0</v>
      </c>
      <c r="G41" s="620">
        <f>IF(INDEX(AccountCodes[Normal Balance], MATCH(C41,AccountCodes[PPSAS CODE]))="Credit",F41-E41,0)</f>
        <v>0</v>
      </c>
      <c r="H41" s="621">
        <f t="shared" si="0"/>
        <v>0</v>
      </c>
    </row>
    <row r="42" spans="1:8" ht="15.75" hidden="1">
      <c r="A42" s="613" t="str">
        <f t="array" ref="A42">INDEX(AccountCodes[ACCOUNT NAME],MATCH(B42,AccountCodes[NGAS CODE],0))</f>
        <v>Due from Central Office</v>
      </c>
      <c r="B42" s="602" t="s">
        <v>1159</v>
      </c>
      <c r="C42" s="615">
        <f t="array" ref="C42">INDEX(AccountCodes[PPSAS CODE],MATCH(B42,AccountCodes[NGAS CODE],0))</f>
        <v>1030401000</v>
      </c>
      <c r="D42" s="616">
        <f>IF(INDEX(AccountCodes[Normal Balance], MATCH(C42,AccountCodes[PPSAS CODE]))="Debit",E42-F42,0)</f>
        <v>0</v>
      </c>
      <c r="E42" s="488">
        <f t="array" ref="E42">(SUM(IF((PostTB[Account Code (Old)]=B42),(PostTB[Debit])))+(SUM(IF((CkDJ[Account Code]=B42)*(CkDJ[Date]&lt;=$A$7),(CkDJ[Debit])))+(SUM(IF((CsDJ[Account Code]=B42)*(CsDJ[Date]&lt;=$A$7),(CsDJ[Debit])))+(SUM(IF((CRDJ[Account Code]=B42)*(CRDJ[Date]&lt;=$A$7),(CRDJ[Debit])))+(SUM(IF((GJ[Account Code]=B42)*(GJ[Date]&lt;=$A$7),(GJ[Debit]))))))))</f>
        <v>0</v>
      </c>
      <c r="F42" s="490">
        <f t="array" ref="F42">(SUM(IF((PostTB[Account Code (Old)]=B42),(PostTB[Credit])))+(SUM(IF((CkDJ[Account Code]=B42)*(CkDJ[Date]&lt;=$A$7),(CkDJ[Credit])))+(SUM(IF((CsDJ[Account Code]=B42)*(CsDJ[Date]&lt;=$A$7),(CsDJ[Credit])))+(SUM(IF((CRDJ[Account Code]=B42)*(CRDJ[Date]&lt;=$A$7),(CRDJ[Credit])))+(SUM(IF((GJ[Account Code]=B42)*(GJ[Date]&lt;=$A$7),(GJ[Credit]))))))))</f>
        <v>0</v>
      </c>
      <c r="G42" s="620">
        <f>IF(INDEX(AccountCodes[Normal Balance], MATCH(C42,AccountCodes[PPSAS CODE]))="Credit",F42-E42,0)</f>
        <v>0</v>
      </c>
      <c r="H42" s="621">
        <f t="shared" si="0"/>
        <v>0</v>
      </c>
    </row>
    <row r="43" spans="1:8" ht="15.75" hidden="1">
      <c r="A43" s="613" t="str">
        <f t="array" ref="A43">INDEX(AccountCodes[ACCOUNT NAME],MATCH(B43,AccountCodes[NGAS CODE],0))</f>
        <v>Due from Regional Offices</v>
      </c>
      <c r="B43" s="602" t="s">
        <v>24</v>
      </c>
      <c r="C43" s="615">
        <f t="array" ref="C43">INDEX(AccountCodes[PPSAS CODE],MATCH(B43,AccountCodes[NGAS CODE],0))</f>
        <v>1030403000</v>
      </c>
      <c r="D43" s="616">
        <f>IF(INDEX(AccountCodes[Normal Balance], MATCH(C43,AccountCodes[PPSAS CODE]))="Debit",E43-F43,0)</f>
        <v>0</v>
      </c>
      <c r="E43" s="488">
        <f t="array" ref="E43">(SUM(IF((PostTB[Account Code (Old)]=B43),(PostTB[Debit])))+(SUM(IF((CkDJ[Account Code]=B43)*(CkDJ[Date]&lt;=$A$7),(CkDJ[Debit])))+(SUM(IF((CsDJ[Account Code]=B43)*(CsDJ[Date]&lt;=$A$7),(CsDJ[Debit])))+(SUM(IF((CRDJ[Account Code]=B43)*(CRDJ[Date]&lt;=$A$7),(CRDJ[Debit])))+(SUM(IF((GJ[Account Code]=B43)*(GJ[Date]&lt;=$A$7),(GJ[Debit]))))))))</f>
        <v>0</v>
      </c>
      <c r="F43" s="490">
        <f t="array" ref="F43">(SUM(IF((PostTB[Account Code (Old)]=B43),(PostTB[Credit])))+(SUM(IF((CkDJ[Account Code]=B43)*(CkDJ[Date]&lt;=$A$7),(CkDJ[Credit])))+(SUM(IF((CsDJ[Account Code]=B43)*(CsDJ[Date]&lt;=$A$7),(CsDJ[Credit])))+(SUM(IF((CRDJ[Account Code]=B43)*(CRDJ[Date]&lt;=$A$7),(CRDJ[Credit])))+(SUM(IF((GJ[Account Code]=B43)*(GJ[Date]&lt;=$A$7),(GJ[Credit]))))))))</f>
        <v>0</v>
      </c>
      <c r="G43" s="620">
        <f>IF(INDEX(AccountCodes[Normal Balance], MATCH(C43,AccountCodes[PPSAS CODE]))="Credit",F43-E43,0)</f>
        <v>0</v>
      </c>
      <c r="H43" s="621">
        <f t="shared" si="0"/>
        <v>0</v>
      </c>
    </row>
    <row r="44" spans="1:8" ht="15.75" hidden="1">
      <c r="A44" s="613" t="str">
        <f t="array" ref="A44">INDEX(AccountCodes[ACCOUNT NAME],MATCH(B44,AccountCodes[NGAS CODE],0))</f>
        <v>Due from Other Funds</v>
      </c>
      <c r="B44" s="602" t="s">
        <v>25</v>
      </c>
      <c r="C44" s="615">
        <f t="array" ref="C44">INDEX(AccountCodes[PPSAS CODE],MATCH(B44,AccountCodes[NGAS CODE],0))</f>
        <v>1030405000</v>
      </c>
      <c r="D44" s="616">
        <f>IF(INDEX(AccountCodes[Normal Balance], MATCH(C44,AccountCodes[PPSAS CODE]))="Debit",E44-F44,0)</f>
        <v>0</v>
      </c>
      <c r="E44" s="488">
        <f t="array" ref="E44">(SUM(IF((PostTB[Account Code (Old)]=B44),(PostTB[Debit])))+(SUM(IF((CkDJ[Account Code]=B44)*(CkDJ[Date]&lt;=$A$7),(CkDJ[Debit])))+(SUM(IF((CsDJ[Account Code]=B44)*(CsDJ[Date]&lt;=$A$7),(CsDJ[Debit])))+(SUM(IF((CRDJ[Account Code]=B44)*(CRDJ[Date]&lt;=$A$7),(CRDJ[Debit])))+(SUM(IF((GJ[Account Code]=B44)*(GJ[Date]&lt;=$A$7),(GJ[Debit]))))))))</f>
        <v>0</v>
      </c>
      <c r="F44" s="490">
        <f t="array" ref="F44">(SUM(IF((PostTB[Account Code (Old)]=B44),(PostTB[Credit])))+(SUM(IF((CkDJ[Account Code]=B44)*(CkDJ[Date]&lt;=$A$7),(CkDJ[Credit])))+(SUM(IF((CsDJ[Account Code]=B44)*(CsDJ[Date]&lt;=$A$7),(CsDJ[Credit])))+(SUM(IF((CRDJ[Account Code]=B44)*(CRDJ[Date]&lt;=$A$7),(CRDJ[Credit])))+(SUM(IF((GJ[Account Code]=B44)*(GJ[Date]&lt;=$A$7),(GJ[Credit]))))))))</f>
        <v>0</v>
      </c>
      <c r="G44" s="620">
        <f>IF(INDEX(AccountCodes[Normal Balance], MATCH(C44,AccountCodes[PPSAS CODE]))="Credit",F44-E44,0)</f>
        <v>0</v>
      </c>
      <c r="H44" s="621">
        <f t="shared" si="0"/>
        <v>0</v>
      </c>
    </row>
    <row r="45" spans="1:8" ht="15.75" hidden="1">
      <c r="A45" s="613" t="str">
        <f t="array" ref="A45">INDEX(AccountCodes[ACCOUNT NAME],MATCH(B45,AccountCodes[NGAS CODE],0))</f>
        <v>Receivables-Disallowances/Charges</v>
      </c>
      <c r="B45" s="602" t="s">
        <v>26</v>
      </c>
      <c r="C45" s="615">
        <f t="array" ref="C45">INDEX(AccountCodes[PPSAS CODE],MATCH(B45,AccountCodes[NGAS CODE],0))</f>
        <v>1030501000</v>
      </c>
      <c r="D45" s="616">
        <f>IF(INDEX(AccountCodes[Normal Balance], MATCH(C45,AccountCodes[PPSAS CODE]))="Debit",E45-F45,0)</f>
        <v>0</v>
      </c>
      <c r="E45" s="488">
        <f t="array" ref="E45">(SUM(IF((PostTB[Account Code (Old)]=B45),(PostTB[Debit])))+(SUM(IF((CkDJ[Account Code]=B45)*(CkDJ[Date]&lt;=$A$7),(CkDJ[Debit])))+(SUM(IF((CsDJ[Account Code]=B45)*(CsDJ[Date]&lt;=$A$7),(CsDJ[Debit])))+(SUM(IF((CRDJ[Account Code]=B45)*(CRDJ[Date]&lt;=$A$7),(CRDJ[Debit])))+(SUM(IF((GJ[Account Code]=B45)*(GJ[Date]&lt;=$A$7),(GJ[Debit]))))))))</f>
        <v>0</v>
      </c>
      <c r="F45" s="490">
        <f t="array" ref="F45">(SUM(IF((PostTB[Account Code (Old)]=B45),(PostTB[Credit])))+(SUM(IF((CkDJ[Account Code]=B45)*(CkDJ[Date]&lt;=$A$7),(CkDJ[Credit])))+(SUM(IF((CsDJ[Account Code]=B45)*(CsDJ[Date]&lt;=$A$7),(CsDJ[Credit])))+(SUM(IF((CRDJ[Account Code]=B45)*(CRDJ[Date]&lt;=$A$7),(CRDJ[Credit])))+(SUM(IF((GJ[Account Code]=B45)*(GJ[Date]&lt;=$A$7),(GJ[Credit]))))))))</f>
        <v>0</v>
      </c>
      <c r="G45" s="620">
        <f>IF(INDEX(AccountCodes[Normal Balance], MATCH(C45,AccountCodes[PPSAS CODE]))="Credit",F45-E45,0)</f>
        <v>0</v>
      </c>
      <c r="H45" s="621">
        <f t="shared" si="0"/>
        <v>0</v>
      </c>
    </row>
    <row r="46" spans="1:8" ht="15.75" hidden="1">
      <c r="A46" s="613" t="str">
        <f t="array" ref="A46">INDEX(AccountCodes[ACCOUNT NAME],MATCH(B46,AccountCodes[NGAS CODE],0))</f>
        <v>Due from Officers and Employees</v>
      </c>
      <c r="B46" s="602" t="s">
        <v>20</v>
      </c>
      <c r="C46" s="615">
        <f t="array" ref="C46">INDEX(AccountCodes[PPSAS CODE],MATCH(B46,AccountCodes[NGAS CODE],0))</f>
        <v>1030502000</v>
      </c>
      <c r="D46" s="616">
        <f>IF(INDEX(AccountCodes[Normal Balance], MATCH(C46,AccountCodes[PPSAS CODE]))="Debit",E46-F46,0)</f>
        <v>73.88</v>
      </c>
      <c r="E46" s="488">
        <f t="array" ref="E46">(SUM(IF((PostTB[Account Code (Old)]=B46),(PostTB[Debit])))+(SUM(IF((CkDJ[Account Code]=B46)*(CkDJ[Date]&lt;=$A$7),(CkDJ[Debit])))+(SUM(IF((CsDJ[Account Code]=B46)*(CsDJ[Date]&lt;=$A$7),(CsDJ[Debit])))+(SUM(IF((CRDJ[Account Code]=B46)*(CRDJ[Date]&lt;=$A$7),(CRDJ[Debit])))+(SUM(IF((GJ[Account Code]=B46)*(GJ[Date]&lt;=$A$7),(GJ[Debit]))))))))</f>
        <v>73.88</v>
      </c>
      <c r="F46" s="490">
        <f t="array" ref="F46">(SUM(IF((PostTB[Account Code (Old)]=B46),(PostTB[Credit])))+(SUM(IF((CkDJ[Account Code]=B46)*(CkDJ[Date]&lt;=$A$7),(CkDJ[Credit])))+(SUM(IF((CsDJ[Account Code]=B46)*(CsDJ[Date]&lt;=$A$7),(CsDJ[Credit])))+(SUM(IF((CRDJ[Account Code]=B46)*(CRDJ[Date]&lt;=$A$7),(CRDJ[Credit])))+(SUM(IF((GJ[Account Code]=B46)*(GJ[Date]&lt;=$A$7),(GJ[Credit]))))))))</f>
        <v>0</v>
      </c>
      <c r="G46" s="620">
        <f>IF(INDEX(AccountCodes[Normal Balance], MATCH(C46,AccountCodes[PPSAS CODE]))="Credit",F46-E46,0)</f>
        <v>0</v>
      </c>
      <c r="H46" s="621">
        <f t="shared" si="0"/>
        <v>73.88</v>
      </c>
    </row>
    <row r="47" spans="1:8" ht="15.75" hidden="1">
      <c r="A47" s="613" t="str">
        <f t="array" ref="A47">INDEX(AccountCodes[ACCOUNT NAME],MATCH(B47,AccountCodes[NGAS CODE],0))</f>
        <v>Other Receivables</v>
      </c>
      <c r="B47" s="602" t="s">
        <v>28</v>
      </c>
      <c r="C47" s="615">
        <f t="array" ref="C47">INDEX(AccountCodes[PPSAS CODE],MATCH(B47,AccountCodes[NGAS CODE],0))</f>
        <v>1030599000</v>
      </c>
      <c r="D47" s="616">
        <f>IF(INDEX(AccountCodes[Normal Balance], MATCH(C47,AccountCodes[PPSAS CODE]))="Debit",E47-F47,0)</f>
        <v>0</v>
      </c>
      <c r="E47" s="488">
        <f t="array" ref="E47">(SUM(IF((PostTB[Account Code (Old)]=B47),(PostTB[Debit])))+(SUM(IF((CkDJ[Account Code]=B47)*(CkDJ[Date]&lt;=$A$7),(CkDJ[Debit])))+(SUM(IF((CsDJ[Account Code]=B47)*(CsDJ[Date]&lt;=$A$7),(CsDJ[Debit])))+(SUM(IF((CRDJ[Account Code]=B47)*(CRDJ[Date]&lt;=$A$7),(CRDJ[Debit])))+(SUM(IF((GJ[Account Code]=B47)*(GJ[Date]&lt;=$A$7),(GJ[Debit]))))))))</f>
        <v>0</v>
      </c>
      <c r="F47" s="490">
        <f t="array" ref="F47">(SUM(IF((PostTB[Account Code (Old)]=B47),(PostTB[Credit])))+(SUM(IF((CkDJ[Account Code]=B47)*(CkDJ[Date]&lt;=$A$7),(CkDJ[Credit])))+(SUM(IF((CsDJ[Account Code]=B47)*(CsDJ[Date]&lt;=$A$7),(CsDJ[Credit])))+(SUM(IF((CRDJ[Account Code]=B47)*(CRDJ[Date]&lt;=$A$7),(CRDJ[Credit])))+(SUM(IF((GJ[Account Code]=B47)*(GJ[Date]&lt;=$A$7),(GJ[Credit]))))))))</f>
        <v>0</v>
      </c>
      <c r="G47" s="620">
        <f>IF(INDEX(AccountCodes[Normal Balance], MATCH(C47,AccountCodes[PPSAS CODE]))="Credit",F47-E47,0)</f>
        <v>0</v>
      </c>
      <c r="H47" s="621">
        <f t="shared" si="0"/>
        <v>0</v>
      </c>
    </row>
    <row r="48" spans="1:8" ht="15.75" hidden="1">
      <c r="A48" s="613" t="str">
        <f t="array" ref="A48">INDEX(AccountCodes[ACCOUNT NAME],MATCH(B48,AccountCodes[NGAS CODE],0))</f>
        <v>Merchandise Inventory</v>
      </c>
      <c r="B48" s="602" t="s">
        <v>29</v>
      </c>
      <c r="C48" s="615">
        <f t="array" ref="C48">INDEX(AccountCodes[PPSAS CODE],MATCH(B48,AccountCodes[NGAS CODE],0))</f>
        <v>1040101000</v>
      </c>
      <c r="D48" s="616">
        <f>IF(INDEX(AccountCodes[Normal Balance], MATCH(C48,AccountCodes[PPSAS CODE]))="Debit",E48-F48,0)</f>
        <v>0</v>
      </c>
      <c r="E48" s="488">
        <f t="array" ref="E48">(SUM(IF((PostTB[Account Code (Old)]=B48),(PostTB[Debit])))+(SUM(IF((CkDJ[Account Code]=B48)*(CkDJ[Date]&lt;=$A$7),(CkDJ[Debit])))+(SUM(IF((CsDJ[Account Code]=B48)*(CsDJ[Date]&lt;=$A$7),(CsDJ[Debit])))+(SUM(IF((CRDJ[Account Code]=B48)*(CRDJ[Date]&lt;=$A$7),(CRDJ[Debit])))+(SUM(IF((GJ[Account Code]=B48)*(GJ[Date]&lt;=$A$7),(GJ[Debit]))))))))</f>
        <v>0</v>
      </c>
      <c r="F48" s="490">
        <f t="array" ref="F48">(SUM(IF((PostTB[Account Code (Old)]=B48),(PostTB[Credit])))+(SUM(IF((CkDJ[Account Code]=B48)*(CkDJ[Date]&lt;=$A$7),(CkDJ[Credit])))+(SUM(IF((CsDJ[Account Code]=B48)*(CsDJ[Date]&lt;=$A$7),(CsDJ[Credit])))+(SUM(IF((CRDJ[Account Code]=B48)*(CRDJ[Date]&lt;=$A$7),(CRDJ[Credit])))+(SUM(IF((GJ[Account Code]=B48)*(GJ[Date]&lt;=$A$7),(GJ[Credit]))))))))</f>
        <v>0</v>
      </c>
      <c r="G48" s="620">
        <f>IF(INDEX(AccountCodes[Normal Balance], MATCH(C48,AccountCodes[PPSAS CODE]))="Credit",F48-E48,0)</f>
        <v>0</v>
      </c>
      <c r="H48" s="621">
        <f t="shared" si="0"/>
        <v>0</v>
      </c>
    </row>
    <row r="49" spans="1:8" ht="15.75" hidden="1">
      <c r="A49" s="613" t="str">
        <f t="array" ref="A49">INDEX(AccountCodes[ACCOUNT NAME],MATCH(B49,AccountCodes[NGAS CODE],0))</f>
        <v>Office Supplies Inventory</v>
      </c>
      <c r="B49" s="602" t="s">
        <v>30</v>
      </c>
      <c r="C49" s="615">
        <f t="array" ref="C49">INDEX(AccountCodes[PPSAS CODE],MATCH(B49,AccountCodes[NGAS CODE],0))</f>
        <v>1040401000</v>
      </c>
      <c r="D49" s="616">
        <f>IF(INDEX(AccountCodes[Normal Balance], MATCH(C49,AccountCodes[PPSAS CODE]))="Debit",E49-F49,0)</f>
        <v>-41246.959999999999</v>
      </c>
      <c r="E49" s="488">
        <f t="array" ref="E49">(SUM(IF((PostTB[Account Code (Old)]=B49),(PostTB[Debit])))+(SUM(IF((CkDJ[Account Code]=B49)*(CkDJ[Date]&lt;=$A$7),(CkDJ[Debit])))+(SUM(IF((CsDJ[Account Code]=B49)*(CsDJ[Date]&lt;=$A$7),(CsDJ[Debit])))+(SUM(IF((CRDJ[Account Code]=B49)*(CRDJ[Date]&lt;=$A$7),(CRDJ[Debit])))+(SUM(IF((GJ[Account Code]=B49)*(GJ[Date]&lt;=$A$7),(GJ[Debit]))))))))</f>
        <v>384857</v>
      </c>
      <c r="F49" s="490">
        <f t="array" ref="F49">(SUM(IF((PostTB[Account Code (Old)]=B49),(PostTB[Credit])))+(SUM(IF((CkDJ[Account Code]=B49)*(CkDJ[Date]&lt;=$A$7),(CkDJ[Credit])))+(SUM(IF((CsDJ[Account Code]=B49)*(CsDJ[Date]&lt;=$A$7),(CsDJ[Credit])))+(SUM(IF((CRDJ[Account Code]=B49)*(CRDJ[Date]&lt;=$A$7),(CRDJ[Credit])))+(SUM(IF((GJ[Account Code]=B49)*(GJ[Date]&lt;=$A$7),(GJ[Credit]))))))))</f>
        <v>426103.96</v>
      </c>
      <c r="G49" s="620">
        <f>IF(INDEX(AccountCodes[Normal Balance], MATCH(C49,AccountCodes[PPSAS CODE]))="Credit",F49-E49,0)</f>
        <v>0</v>
      </c>
      <c r="H49" s="621">
        <f t="shared" si="0"/>
        <v>-41246.959999999999</v>
      </c>
    </row>
    <row r="50" spans="1:8" ht="15.75" hidden="1">
      <c r="A50" s="613" t="str">
        <f t="array" ref="A50">INDEX(AccountCodes[ACCOUNT NAME],MATCH(B50,AccountCodes[NGAS CODE],0))</f>
        <v>Accountable Forms, Plates and Stickers Inventory</v>
      </c>
      <c r="B50" s="602" t="s">
        <v>1157</v>
      </c>
      <c r="C50" s="615">
        <f t="array" ref="C50">INDEX(AccountCodes[PPSAS CODE],MATCH(B50,AccountCodes[NGAS CODE],0))</f>
        <v>1040402000</v>
      </c>
      <c r="D50" s="616">
        <f>IF(INDEX(AccountCodes[Normal Balance], MATCH(C50,AccountCodes[PPSAS CODE]))="Debit",E50-F50,0)</f>
        <v>0</v>
      </c>
      <c r="E50" s="488">
        <f t="array" ref="E50">(SUM(IF((PostTB[Account Code (Old)]=B50),(PostTB[Debit])))+(SUM(IF((CkDJ[Account Code]=B50)*(CkDJ[Date]&lt;=$A$7),(CkDJ[Debit])))+(SUM(IF((CsDJ[Account Code]=B50)*(CsDJ[Date]&lt;=$A$7),(CsDJ[Debit])))+(SUM(IF((CRDJ[Account Code]=B50)*(CRDJ[Date]&lt;=$A$7),(CRDJ[Debit])))+(SUM(IF((GJ[Account Code]=B50)*(GJ[Date]&lt;=$A$7),(GJ[Debit]))))))))</f>
        <v>0</v>
      </c>
      <c r="F50" s="490">
        <f t="array" ref="F50">(SUM(IF((PostTB[Account Code (Old)]=B50),(PostTB[Credit])))+(SUM(IF((CkDJ[Account Code]=B50)*(CkDJ[Date]&lt;=$A$7),(CkDJ[Credit])))+(SUM(IF((CsDJ[Account Code]=B50)*(CsDJ[Date]&lt;=$A$7),(CsDJ[Credit])))+(SUM(IF((CRDJ[Account Code]=B50)*(CRDJ[Date]&lt;=$A$7),(CRDJ[Credit])))+(SUM(IF((GJ[Account Code]=B50)*(GJ[Date]&lt;=$A$7),(GJ[Credit]))))))))</f>
        <v>0</v>
      </c>
      <c r="G50" s="620">
        <f>IF(INDEX(AccountCodes[Normal Balance], MATCH(C50,AccountCodes[PPSAS CODE]))="Credit",F50-E50,0)</f>
        <v>0</v>
      </c>
      <c r="H50" s="621">
        <f t="shared" si="0"/>
        <v>0</v>
      </c>
    </row>
    <row r="51" spans="1:8" ht="15.75" hidden="1">
      <c r="A51" s="613" t="str">
        <f t="array" ref="A51">INDEX(AccountCodes[ACCOUNT NAME],MATCH(B51,AccountCodes[NGAS CODE],0))</f>
        <v>Medical, Dental and Laboratory Supplies Inventory</v>
      </c>
      <c r="B51" s="602" t="s">
        <v>1221</v>
      </c>
      <c r="C51" s="615">
        <f t="array" ref="C51">INDEX(AccountCodes[PPSAS CODE],MATCH(B51,AccountCodes[NGAS CODE],0))</f>
        <v>1040407000</v>
      </c>
      <c r="D51" s="616">
        <f>IF(INDEX(AccountCodes[Normal Balance], MATCH(C51,AccountCodes[PPSAS CODE]))="Debit",E51-F51,0)</f>
        <v>0</v>
      </c>
      <c r="E51" s="488">
        <f t="array" ref="E51">(SUM(IF((PostTB[Account Code (Old)]=B51),(PostTB[Debit])))+(SUM(IF((CkDJ[Account Code]=B51)*(CkDJ[Date]&lt;=$A$7),(CkDJ[Debit])))+(SUM(IF((CsDJ[Account Code]=B51)*(CsDJ[Date]&lt;=$A$7),(CsDJ[Debit])))+(SUM(IF((CRDJ[Account Code]=B51)*(CRDJ[Date]&lt;=$A$7),(CRDJ[Debit])))+(SUM(IF((GJ[Account Code]=B51)*(GJ[Date]&lt;=$A$7),(GJ[Debit]))))))))</f>
        <v>0</v>
      </c>
      <c r="F51" s="490">
        <f t="array" ref="F51">(SUM(IF((PostTB[Account Code (Old)]=B51),(PostTB[Credit])))+(SUM(IF((CkDJ[Account Code]=B51)*(CkDJ[Date]&lt;=$A$7),(CkDJ[Credit])))+(SUM(IF((CsDJ[Account Code]=B51)*(CsDJ[Date]&lt;=$A$7),(CsDJ[Credit])))+(SUM(IF((CRDJ[Account Code]=B51)*(CRDJ[Date]&lt;=$A$7),(CRDJ[Credit])))+(SUM(IF((GJ[Account Code]=B51)*(GJ[Date]&lt;=$A$7),(GJ[Credit]))))))))</f>
        <v>0</v>
      </c>
      <c r="G51" s="620">
        <f>IF(INDEX(AccountCodes[Normal Balance], MATCH(C51,AccountCodes[PPSAS CODE]))="Credit",F51-E51,0)</f>
        <v>0</v>
      </c>
      <c r="H51" s="621">
        <f t="shared" si="0"/>
        <v>0</v>
      </c>
    </row>
    <row r="52" spans="1:8" ht="15.75" hidden="1">
      <c r="A52" s="613" t="str">
        <f t="array" ref="A52">INDEX(AccountCodes[ACCOUNT NAME],MATCH(B52,AccountCodes[NGAS CODE],0))</f>
        <v>Fuel, Oil and Lubricants Inventory</v>
      </c>
      <c r="B52" s="602" t="s">
        <v>31</v>
      </c>
      <c r="C52" s="615">
        <f t="array" ref="C52">INDEX(AccountCodes[PPSAS CODE],MATCH(B52,AccountCodes[NGAS CODE],0))</f>
        <v>1040408000</v>
      </c>
      <c r="D52" s="616">
        <f>IF(INDEX(AccountCodes[Normal Balance], MATCH(C52,AccountCodes[PPSAS CODE]))="Debit",E52-F52,0)</f>
        <v>0</v>
      </c>
      <c r="E52" s="488">
        <f t="array" ref="E52">(SUM(IF((PostTB[Account Code (Old)]=B52),(PostTB[Debit])))+(SUM(IF((CkDJ[Account Code]=B52)*(CkDJ[Date]&lt;=$A$7),(CkDJ[Debit])))+(SUM(IF((CsDJ[Account Code]=B52)*(CsDJ[Date]&lt;=$A$7),(CsDJ[Debit])))+(SUM(IF((CRDJ[Account Code]=B52)*(CRDJ[Date]&lt;=$A$7),(CRDJ[Debit])))+(SUM(IF((GJ[Account Code]=B52)*(GJ[Date]&lt;=$A$7),(GJ[Debit]))))))))</f>
        <v>0</v>
      </c>
      <c r="F52" s="490">
        <f t="array" ref="F52">(SUM(IF((PostTB[Account Code (Old)]=B52),(PostTB[Credit])))+(SUM(IF((CkDJ[Account Code]=B52)*(CkDJ[Date]&lt;=$A$7),(CkDJ[Credit])))+(SUM(IF((CsDJ[Account Code]=B52)*(CsDJ[Date]&lt;=$A$7),(CsDJ[Credit])))+(SUM(IF((CRDJ[Account Code]=B52)*(CRDJ[Date]&lt;=$A$7),(CRDJ[Credit])))+(SUM(IF((GJ[Account Code]=B52)*(GJ[Date]&lt;=$A$7),(GJ[Credit]))))))))</f>
        <v>0</v>
      </c>
      <c r="G52" s="620">
        <f>IF(INDEX(AccountCodes[Normal Balance], MATCH(C52,AccountCodes[PPSAS CODE]))="Credit",F52-E52,0)</f>
        <v>0</v>
      </c>
      <c r="H52" s="621">
        <f t="shared" si="0"/>
        <v>0</v>
      </c>
    </row>
    <row r="53" spans="1:8" ht="15.75" hidden="1">
      <c r="A53" s="613" t="str">
        <f t="array" ref="A53">INDEX(AccountCodes[ACCOUNT NAME],MATCH(B53,AccountCodes[NGAS CODE],0))</f>
        <v>Textbooks and Instructional Materials Inventory</v>
      </c>
      <c r="B53" s="602" t="s">
        <v>1222</v>
      </c>
      <c r="C53" s="615">
        <f t="array" ref="C53">INDEX(AccountCodes[PPSAS CODE],MATCH(B53,AccountCodes[NGAS CODE],0))</f>
        <v>1040410000</v>
      </c>
      <c r="D53" s="616">
        <f>IF(INDEX(AccountCodes[Normal Balance], MATCH(C53,AccountCodes[PPSAS CODE]))="Debit",E53-F53,0)</f>
        <v>0</v>
      </c>
      <c r="E53" s="488">
        <f t="array" ref="E53">(SUM(IF((PostTB[Account Code (Old)]=B53),(PostTB[Debit])))+(SUM(IF((CkDJ[Account Code]=B53)*(CkDJ[Date]&lt;=$A$7),(CkDJ[Debit])))+(SUM(IF((CsDJ[Account Code]=B53)*(CsDJ[Date]&lt;=$A$7),(CsDJ[Debit])))+(SUM(IF((CRDJ[Account Code]=B53)*(CRDJ[Date]&lt;=$A$7),(CRDJ[Debit])))+(SUM(IF((GJ[Account Code]=B53)*(GJ[Date]&lt;=$A$7),(GJ[Debit]))))))))</f>
        <v>0</v>
      </c>
      <c r="F53" s="490">
        <f t="array" ref="F53">(SUM(IF((PostTB[Account Code (Old)]=B53),(PostTB[Credit])))+(SUM(IF((CkDJ[Account Code]=B53)*(CkDJ[Date]&lt;=$A$7),(CkDJ[Credit])))+(SUM(IF((CsDJ[Account Code]=B53)*(CsDJ[Date]&lt;=$A$7),(CsDJ[Credit])))+(SUM(IF((CRDJ[Account Code]=B53)*(CRDJ[Date]&lt;=$A$7),(CRDJ[Credit])))+(SUM(IF((GJ[Account Code]=B53)*(GJ[Date]&lt;=$A$7),(GJ[Credit]))))))))</f>
        <v>0</v>
      </c>
      <c r="G53" s="620">
        <f>IF(INDEX(AccountCodes[Normal Balance], MATCH(C53,AccountCodes[PPSAS CODE]))="Credit",F53-E53,0)</f>
        <v>0</v>
      </c>
      <c r="H53" s="621">
        <f t="shared" si="0"/>
        <v>0</v>
      </c>
    </row>
    <row r="54" spans="1:8" ht="15.75" hidden="1">
      <c r="A54" s="613" t="str">
        <f t="array" ref="A54">INDEX(AccountCodes[ACCOUNT NAME],MATCH(B54,AccountCodes[NGAS CODE],0))</f>
        <v>Construction Materials Inventory</v>
      </c>
      <c r="B54" s="602" t="s">
        <v>1223</v>
      </c>
      <c r="C54" s="615">
        <f t="array" ref="C54">INDEX(AccountCodes[PPSAS CODE],MATCH(B54,AccountCodes[NGAS CODE],0))</f>
        <v>1040413000</v>
      </c>
      <c r="D54" s="616">
        <f>IF(INDEX(AccountCodes[Normal Balance], MATCH(C54,AccountCodes[PPSAS CODE]))="Debit",E54-F54,0)</f>
        <v>0</v>
      </c>
      <c r="E54" s="488">
        <f t="array" ref="E54">(SUM(IF((PostTB[Account Code (Old)]=B54),(PostTB[Debit])))+(SUM(IF((CkDJ[Account Code]=B54)*(CkDJ[Date]&lt;=$A$7),(CkDJ[Debit])))+(SUM(IF((CsDJ[Account Code]=B54)*(CsDJ[Date]&lt;=$A$7),(CsDJ[Debit])))+(SUM(IF((CRDJ[Account Code]=B54)*(CRDJ[Date]&lt;=$A$7),(CRDJ[Debit])))+(SUM(IF((GJ[Account Code]=B54)*(GJ[Date]&lt;=$A$7),(GJ[Debit]))))))))</f>
        <v>0</v>
      </c>
      <c r="F54" s="490">
        <f t="array" ref="F54">(SUM(IF((PostTB[Account Code (Old)]=B54),(PostTB[Credit])))+(SUM(IF((CkDJ[Account Code]=B54)*(CkDJ[Date]&lt;=$A$7),(CkDJ[Credit])))+(SUM(IF((CsDJ[Account Code]=B54)*(CsDJ[Date]&lt;=$A$7),(CsDJ[Credit])))+(SUM(IF((CRDJ[Account Code]=B54)*(CRDJ[Date]&lt;=$A$7),(CRDJ[Credit])))+(SUM(IF((GJ[Account Code]=B54)*(GJ[Date]&lt;=$A$7),(GJ[Credit]))))))))</f>
        <v>0</v>
      </c>
      <c r="G54" s="620">
        <f>IF(INDEX(AccountCodes[Normal Balance], MATCH(C54,AccountCodes[PPSAS CODE]))="Credit",F54-E54,0)</f>
        <v>0</v>
      </c>
      <c r="H54" s="621">
        <f t="shared" si="0"/>
        <v>0</v>
      </c>
    </row>
    <row r="55" spans="1:8" ht="15.75" hidden="1">
      <c r="A55" s="613" t="str">
        <f t="array" ref="A55">INDEX(AccountCodes[ACCOUNT NAME],MATCH(B55,AccountCodes[NGAS CODE],0))</f>
        <v>Other Supplies and Materials Inventory</v>
      </c>
      <c r="B55" s="602" t="s">
        <v>32</v>
      </c>
      <c r="C55" s="615">
        <f t="array" ref="C55">INDEX(AccountCodes[PPSAS CODE],MATCH(B55,AccountCodes[NGAS CODE],0))</f>
        <v>1040499000</v>
      </c>
      <c r="D55" s="616">
        <f>IF(INDEX(AccountCodes[Normal Balance], MATCH(C55,AccountCodes[PPSAS CODE]))="Debit",E55-F55,0)</f>
        <v>-69491.350000000006</v>
      </c>
      <c r="E55" s="488">
        <f t="array" ref="E55">(SUM(IF((PostTB[Account Code (Old)]=B55),(PostTB[Debit])))+(SUM(IF((CkDJ[Account Code]=B55)*(CkDJ[Date]&lt;=$A$7),(CkDJ[Debit])))+(SUM(IF((CsDJ[Account Code]=B55)*(CsDJ[Date]&lt;=$A$7),(CsDJ[Debit])))+(SUM(IF((CRDJ[Account Code]=B55)*(CRDJ[Date]&lt;=$A$7),(CRDJ[Debit])))+(SUM(IF((GJ[Account Code]=B55)*(GJ[Date]&lt;=$A$7),(GJ[Debit]))))))))</f>
        <v>0</v>
      </c>
      <c r="F55" s="490">
        <f t="array" ref="F55">(SUM(IF((PostTB[Account Code (Old)]=B55),(PostTB[Credit])))+(SUM(IF((CkDJ[Account Code]=B55)*(CkDJ[Date]&lt;=$A$7),(CkDJ[Credit])))+(SUM(IF((CsDJ[Account Code]=B55)*(CsDJ[Date]&lt;=$A$7),(CsDJ[Credit])))+(SUM(IF((CRDJ[Account Code]=B55)*(CRDJ[Date]&lt;=$A$7),(CRDJ[Credit])))+(SUM(IF((GJ[Account Code]=B55)*(GJ[Date]&lt;=$A$7),(GJ[Credit]))))))))</f>
        <v>69491.350000000006</v>
      </c>
      <c r="G55" s="620">
        <f>IF(INDEX(AccountCodes[Normal Balance], MATCH(C55,AccountCodes[PPSAS CODE]))="Credit",F55-E55,0)</f>
        <v>0</v>
      </c>
      <c r="H55" s="621">
        <f t="shared" si="0"/>
        <v>-69491.350000000006</v>
      </c>
    </row>
    <row r="56" spans="1:8" ht="15.75" hidden="1">
      <c r="A56" s="613" t="str">
        <f t="array" ref="A56">INDEX(AccountCodes[ACCOUNT NAME],MATCH(B56,AccountCodes[NGAS CODE],0))</f>
        <v>Semi-Expendable Machinery</v>
      </c>
      <c r="B56" s="602" t="s">
        <v>1244</v>
      </c>
      <c r="C56" s="615">
        <f t="array" ref="C56">INDEX(AccountCodes[PPSAS CODE],MATCH(B56,AccountCodes[NGAS CODE],0))</f>
        <v>1040501000</v>
      </c>
      <c r="D56" s="616">
        <f>IF(INDEX(AccountCodes[Normal Balance], MATCH(C56,AccountCodes[PPSAS CODE]))="Debit",E56-F56,0)</f>
        <v>0</v>
      </c>
      <c r="E56" s="488">
        <f t="array" ref="E56">(SUM(IF((PostTB[Account Code (Old)]=B56),(PostTB[Debit])))+(SUM(IF((CkDJ[Account Code]=B56)*(CkDJ[Date]&lt;=$A$7),(CkDJ[Debit])))+(SUM(IF((CsDJ[Account Code]=B56)*(CsDJ[Date]&lt;=$A$7),(CsDJ[Debit])))+(SUM(IF((CRDJ[Account Code]=B56)*(CRDJ[Date]&lt;=$A$7),(CRDJ[Debit])))+(SUM(IF((GJ[Account Code]=B56)*(GJ[Date]&lt;=$A$7),(GJ[Debit]))))))))</f>
        <v>0</v>
      </c>
      <c r="F56" s="490">
        <f t="array" ref="F56">(SUM(IF((PostTB[Account Code (Old)]=B56),(PostTB[Credit])))+(SUM(IF((CkDJ[Account Code]=B56)*(CkDJ[Date]&lt;=$A$7),(CkDJ[Credit])))+(SUM(IF((CsDJ[Account Code]=B56)*(CsDJ[Date]&lt;=$A$7),(CsDJ[Credit])))+(SUM(IF((CRDJ[Account Code]=B56)*(CRDJ[Date]&lt;=$A$7),(CRDJ[Credit])))+(SUM(IF((GJ[Account Code]=B56)*(GJ[Date]&lt;=$A$7),(GJ[Credit]))))))))</f>
        <v>0</v>
      </c>
      <c r="G56" s="620">
        <f>IF(INDEX(AccountCodes[Normal Balance], MATCH(C56,AccountCodes[PPSAS CODE]))="Credit",F56-E56,0)</f>
        <v>0</v>
      </c>
      <c r="H56" s="621">
        <f t="shared" si="0"/>
        <v>0</v>
      </c>
    </row>
    <row r="57" spans="1:8" ht="15.75" hidden="1">
      <c r="A57" s="613" t="str">
        <f t="array" ref="A57">INDEX(AccountCodes[ACCOUNT NAME],MATCH(B57,AccountCodes[NGAS CODE],0))</f>
        <v>Semi-Expendable Office Equipment</v>
      </c>
      <c r="B57" s="602" t="s">
        <v>1245</v>
      </c>
      <c r="C57" s="615">
        <f t="array" ref="C57">INDEX(AccountCodes[PPSAS CODE],MATCH(B57,AccountCodes[NGAS CODE],0))</f>
        <v>1040502000</v>
      </c>
      <c r="D57" s="616">
        <f>IF(INDEX(AccountCodes[Normal Balance], MATCH(C57,AccountCodes[PPSAS CODE]))="Debit",E57-F57,0)</f>
        <v>189876</v>
      </c>
      <c r="E57" s="488">
        <f t="array" ref="E57">(SUM(IF((PostTB[Account Code (Old)]=B57),(PostTB[Debit])))+(SUM(IF((CkDJ[Account Code]=B57)*(CkDJ[Date]&lt;=$A$7),(CkDJ[Debit])))+(SUM(IF((CsDJ[Account Code]=B57)*(CsDJ[Date]&lt;=$A$7),(CsDJ[Debit])))+(SUM(IF((CRDJ[Account Code]=B57)*(CRDJ[Date]&lt;=$A$7),(CRDJ[Debit])))+(SUM(IF((GJ[Account Code]=B57)*(GJ[Date]&lt;=$A$7),(GJ[Debit]))))))))</f>
        <v>270071</v>
      </c>
      <c r="F57" s="490">
        <f t="array" ref="F57">(SUM(IF((PostTB[Account Code (Old)]=B57),(PostTB[Credit])))+(SUM(IF((CkDJ[Account Code]=B57)*(CkDJ[Date]&lt;=$A$7),(CkDJ[Credit])))+(SUM(IF((CsDJ[Account Code]=B57)*(CsDJ[Date]&lt;=$A$7),(CsDJ[Credit])))+(SUM(IF((CRDJ[Account Code]=B57)*(CRDJ[Date]&lt;=$A$7),(CRDJ[Credit])))+(SUM(IF((GJ[Account Code]=B57)*(GJ[Date]&lt;=$A$7),(GJ[Credit]))))))))</f>
        <v>80195</v>
      </c>
      <c r="G57" s="620">
        <f>IF(INDEX(AccountCodes[Normal Balance], MATCH(C57,AccountCodes[PPSAS CODE]))="Credit",F57-E57,0)</f>
        <v>0</v>
      </c>
      <c r="H57" s="621">
        <f t="shared" si="0"/>
        <v>189876</v>
      </c>
    </row>
    <row r="58" spans="1:8" ht="15.75" hidden="1">
      <c r="A58" s="613" t="str">
        <f t="array" ref="A58">INDEX(AccountCodes[ACCOUNT NAME],MATCH(B58,AccountCodes[NGAS CODE],0))</f>
        <v>Semi-Expendable Information and Communications Technology Equipment</v>
      </c>
      <c r="B58" s="602" t="s">
        <v>1246</v>
      </c>
      <c r="C58" s="615">
        <f t="array" ref="C58">INDEX(AccountCodes[PPSAS CODE],MATCH(B58,AccountCodes[NGAS CODE],0))</f>
        <v>1040503000</v>
      </c>
      <c r="D58" s="616">
        <f>IF(INDEX(AccountCodes[Normal Balance], MATCH(C58,AccountCodes[PPSAS CODE]))="Debit",E58-F58,0)</f>
        <v>-26900</v>
      </c>
      <c r="E58" s="488">
        <f t="array" ref="E58">(SUM(IF((PostTB[Account Code (Old)]=B58),(PostTB[Debit])))+(SUM(IF((CkDJ[Account Code]=B58)*(CkDJ[Date]&lt;=$A$7),(CkDJ[Debit])))+(SUM(IF((CsDJ[Account Code]=B58)*(CsDJ[Date]&lt;=$A$7),(CsDJ[Debit])))+(SUM(IF((CRDJ[Account Code]=B58)*(CRDJ[Date]&lt;=$A$7),(CRDJ[Debit])))+(SUM(IF((GJ[Account Code]=B58)*(GJ[Date]&lt;=$A$7),(GJ[Debit]))))))))</f>
        <v>9230</v>
      </c>
      <c r="F58" s="490">
        <f t="array" ref="F58">(SUM(IF((PostTB[Account Code (Old)]=B58),(PostTB[Credit])))+(SUM(IF((CkDJ[Account Code]=B58)*(CkDJ[Date]&lt;=$A$7),(CkDJ[Credit])))+(SUM(IF((CsDJ[Account Code]=B58)*(CsDJ[Date]&lt;=$A$7),(CsDJ[Credit])))+(SUM(IF((CRDJ[Account Code]=B58)*(CRDJ[Date]&lt;=$A$7),(CRDJ[Credit])))+(SUM(IF((GJ[Account Code]=B58)*(GJ[Date]&lt;=$A$7),(GJ[Credit]))))))))</f>
        <v>36130</v>
      </c>
      <c r="G58" s="620">
        <f>IF(INDEX(AccountCodes[Normal Balance], MATCH(C58,AccountCodes[PPSAS CODE]))="Credit",F58-E58,0)</f>
        <v>0</v>
      </c>
      <c r="H58" s="621">
        <f t="shared" si="0"/>
        <v>-26900</v>
      </c>
    </row>
    <row r="59" spans="1:8" ht="15.75" hidden="1">
      <c r="A59" s="613" t="str">
        <f t="array" ref="A59">INDEX(AccountCodes[ACCOUNT NAME],MATCH(B59,AccountCodes[NGAS CODE],0))</f>
        <v>Semi-Expendable Agricultural and Forestry Equipment</v>
      </c>
      <c r="B59" s="602" t="s">
        <v>1247</v>
      </c>
      <c r="C59" s="615">
        <f t="array" ref="C59">INDEX(AccountCodes[PPSAS CODE],MATCH(B59,AccountCodes[NGAS CODE],0))</f>
        <v>1040504000</v>
      </c>
      <c r="D59" s="616">
        <f>IF(INDEX(AccountCodes[Normal Balance], MATCH(C59,AccountCodes[PPSAS CODE]))="Debit",E59-F59,0)</f>
        <v>0</v>
      </c>
      <c r="E59" s="488">
        <f t="array" ref="E59">(SUM(IF((PostTB[Account Code (Old)]=B59),(PostTB[Debit])))+(SUM(IF((CkDJ[Account Code]=B59)*(CkDJ[Date]&lt;=$A$7),(CkDJ[Debit])))+(SUM(IF((CsDJ[Account Code]=B59)*(CsDJ[Date]&lt;=$A$7),(CsDJ[Debit])))+(SUM(IF((CRDJ[Account Code]=B59)*(CRDJ[Date]&lt;=$A$7),(CRDJ[Debit])))+(SUM(IF((GJ[Account Code]=B59)*(GJ[Date]&lt;=$A$7),(GJ[Debit]))))))))</f>
        <v>0</v>
      </c>
      <c r="F59" s="490">
        <f t="array" ref="F59">(SUM(IF((PostTB[Account Code (Old)]=B59),(PostTB[Credit])))+(SUM(IF((CkDJ[Account Code]=B59)*(CkDJ[Date]&lt;=$A$7),(CkDJ[Credit])))+(SUM(IF((CsDJ[Account Code]=B59)*(CsDJ[Date]&lt;=$A$7),(CsDJ[Credit])))+(SUM(IF((CRDJ[Account Code]=B59)*(CRDJ[Date]&lt;=$A$7),(CRDJ[Credit])))+(SUM(IF((GJ[Account Code]=B59)*(GJ[Date]&lt;=$A$7),(GJ[Credit]))))))))</f>
        <v>0</v>
      </c>
      <c r="G59" s="620">
        <f>IF(INDEX(AccountCodes[Normal Balance], MATCH(C59,AccountCodes[PPSAS CODE]))="Credit",F59-E59,0)</f>
        <v>0</v>
      </c>
      <c r="H59" s="621">
        <f t="shared" si="0"/>
        <v>0</v>
      </c>
    </row>
    <row r="60" spans="1:8" ht="15.75" hidden="1">
      <c r="A60" s="613" t="str">
        <f t="array" ref="A60">INDEX(AccountCodes[ACCOUNT NAME],MATCH(B60,AccountCodes[NGAS CODE],0))</f>
        <v>Semi-Expendable Marine and Fishery Equipment</v>
      </c>
      <c r="B60" s="602" t="s">
        <v>1248</v>
      </c>
      <c r="C60" s="615">
        <f t="array" ref="C60">INDEX(AccountCodes[PPSAS CODE],MATCH(B60,AccountCodes[NGAS CODE],0))</f>
        <v>1040505000</v>
      </c>
      <c r="D60" s="616">
        <f>IF(INDEX(AccountCodes[Normal Balance], MATCH(C60,AccountCodes[PPSAS CODE]))="Debit",E60-F60,0)</f>
        <v>0</v>
      </c>
      <c r="E60" s="488">
        <f t="array" ref="E60">(SUM(IF((PostTB[Account Code (Old)]=B60),(PostTB[Debit])))+(SUM(IF((CkDJ[Account Code]=B60)*(CkDJ[Date]&lt;=$A$7),(CkDJ[Debit])))+(SUM(IF((CsDJ[Account Code]=B60)*(CsDJ[Date]&lt;=$A$7),(CsDJ[Debit])))+(SUM(IF((CRDJ[Account Code]=B60)*(CRDJ[Date]&lt;=$A$7),(CRDJ[Debit])))+(SUM(IF((GJ[Account Code]=B60)*(GJ[Date]&lt;=$A$7),(GJ[Debit]))))))))</f>
        <v>0</v>
      </c>
      <c r="F60" s="490">
        <f t="array" ref="F60">(SUM(IF((PostTB[Account Code (Old)]=B60),(PostTB[Credit])))+(SUM(IF((CkDJ[Account Code]=B60)*(CkDJ[Date]&lt;=$A$7),(CkDJ[Credit])))+(SUM(IF((CsDJ[Account Code]=B60)*(CsDJ[Date]&lt;=$A$7),(CsDJ[Credit])))+(SUM(IF((CRDJ[Account Code]=B60)*(CRDJ[Date]&lt;=$A$7),(CRDJ[Credit])))+(SUM(IF((GJ[Account Code]=B60)*(GJ[Date]&lt;=$A$7),(GJ[Credit]))))))))</f>
        <v>0</v>
      </c>
      <c r="G60" s="620">
        <f>IF(INDEX(AccountCodes[Normal Balance], MATCH(C60,AccountCodes[PPSAS CODE]))="Credit",F60-E60,0)</f>
        <v>0</v>
      </c>
      <c r="H60" s="621">
        <f t="shared" si="0"/>
        <v>0</v>
      </c>
    </row>
    <row r="61" spans="1:8" ht="15.75" hidden="1">
      <c r="A61" s="613" t="str">
        <f t="array" ref="A61">INDEX(AccountCodes[ACCOUNT NAME],MATCH(B61,AccountCodes[NGAS CODE],0))</f>
        <v>Semi-Expendable Airport Equipment</v>
      </c>
      <c r="B61" s="602" t="s">
        <v>1249</v>
      </c>
      <c r="C61" s="615">
        <f t="array" ref="C61">INDEX(AccountCodes[PPSAS CODE],MATCH(B61,AccountCodes[NGAS CODE],0))</f>
        <v>1040506000</v>
      </c>
      <c r="D61" s="616">
        <f>IF(INDEX(AccountCodes[Normal Balance], MATCH(C61,AccountCodes[PPSAS CODE]))="Debit",E61-F61,0)</f>
        <v>0</v>
      </c>
      <c r="E61" s="488">
        <f t="array" ref="E61">(SUM(IF((PostTB[Account Code (Old)]=B61),(PostTB[Debit])))+(SUM(IF((CkDJ[Account Code]=B61)*(CkDJ[Date]&lt;=$A$7),(CkDJ[Debit])))+(SUM(IF((CsDJ[Account Code]=B61)*(CsDJ[Date]&lt;=$A$7),(CsDJ[Debit])))+(SUM(IF((CRDJ[Account Code]=B61)*(CRDJ[Date]&lt;=$A$7),(CRDJ[Debit])))+(SUM(IF((GJ[Account Code]=B61)*(GJ[Date]&lt;=$A$7),(GJ[Debit]))))))))</f>
        <v>0</v>
      </c>
      <c r="F61" s="490">
        <f t="array" ref="F61">(SUM(IF((PostTB[Account Code (Old)]=B61),(PostTB[Credit])))+(SUM(IF((CkDJ[Account Code]=B61)*(CkDJ[Date]&lt;=$A$7),(CkDJ[Credit])))+(SUM(IF((CsDJ[Account Code]=B61)*(CsDJ[Date]&lt;=$A$7),(CsDJ[Credit])))+(SUM(IF((CRDJ[Account Code]=B61)*(CRDJ[Date]&lt;=$A$7),(CRDJ[Credit])))+(SUM(IF((GJ[Account Code]=B61)*(GJ[Date]&lt;=$A$7),(GJ[Credit]))))))))</f>
        <v>0</v>
      </c>
      <c r="G61" s="620">
        <f>IF(INDEX(AccountCodes[Normal Balance], MATCH(C61,AccountCodes[PPSAS CODE]))="Credit",F61-E61,0)</f>
        <v>0</v>
      </c>
      <c r="H61" s="621">
        <f t="shared" si="0"/>
        <v>0</v>
      </c>
    </row>
    <row r="62" spans="1:8" ht="15.75" hidden="1">
      <c r="A62" s="613" t="str">
        <f t="array" ref="A62">INDEX(AccountCodes[ACCOUNT NAME],MATCH(B62,AccountCodes[NGAS CODE],0))</f>
        <v>Semi-Expendable Communications Equipment</v>
      </c>
      <c r="B62" s="602" t="s">
        <v>1250</v>
      </c>
      <c r="C62" s="615">
        <f t="array" ref="C62">INDEX(AccountCodes[PPSAS CODE],MATCH(B62,AccountCodes[NGAS CODE],0))</f>
        <v>1040507000</v>
      </c>
      <c r="D62" s="616">
        <f>IF(INDEX(AccountCodes[Normal Balance], MATCH(C62,AccountCodes[PPSAS CODE]))="Debit",E62-F62,0)</f>
        <v>-5398</v>
      </c>
      <c r="E62" s="488">
        <f t="array" ref="E62">(SUM(IF((PostTB[Account Code (Old)]=B62),(PostTB[Debit])))+(SUM(IF((CkDJ[Account Code]=B62)*(CkDJ[Date]&lt;=$A$7),(CkDJ[Debit])))+(SUM(IF((CsDJ[Account Code]=B62)*(CsDJ[Date]&lt;=$A$7),(CsDJ[Debit])))+(SUM(IF((CRDJ[Account Code]=B62)*(CRDJ[Date]&lt;=$A$7),(CRDJ[Debit])))+(SUM(IF((GJ[Account Code]=B62)*(GJ[Date]&lt;=$A$7),(GJ[Debit]))))))))</f>
        <v>0</v>
      </c>
      <c r="F62" s="490">
        <f t="array" ref="F62">(SUM(IF((PostTB[Account Code (Old)]=B62),(PostTB[Credit])))+(SUM(IF((CkDJ[Account Code]=B62)*(CkDJ[Date]&lt;=$A$7),(CkDJ[Credit])))+(SUM(IF((CsDJ[Account Code]=B62)*(CsDJ[Date]&lt;=$A$7),(CsDJ[Credit])))+(SUM(IF((CRDJ[Account Code]=B62)*(CRDJ[Date]&lt;=$A$7),(CRDJ[Credit])))+(SUM(IF((GJ[Account Code]=B62)*(GJ[Date]&lt;=$A$7),(GJ[Credit]))))))))</f>
        <v>5398</v>
      </c>
      <c r="G62" s="620">
        <f>IF(INDEX(AccountCodes[Normal Balance], MATCH(C62,AccountCodes[PPSAS CODE]))="Credit",F62-E62,0)</f>
        <v>0</v>
      </c>
      <c r="H62" s="621">
        <f t="shared" si="0"/>
        <v>-5398</v>
      </c>
    </row>
    <row r="63" spans="1:8" ht="15.75" hidden="1">
      <c r="A63" s="613" t="str">
        <f t="array" ref="A63">INDEX(AccountCodes[ACCOUNT NAME],MATCH(B63,AccountCodes[NGAS CODE],0))</f>
        <v>Semi-Expendable Disaster Response and Rescue Equipment</v>
      </c>
      <c r="B63" s="602" t="s">
        <v>1251</v>
      </c>
      <c r="C63" s="615">
        <f t="array" ref="C63">INDEX(AccountCodes[PPSAS CODE],MATCH(B63,AccountCodes[NGAS CODE],0))</f>
        <v>1040508000</v>
      </c>
      <c r="D63" s="616">
        <f>IF(INDEX(AccountCodes[Normal Balance], MATCH(C63,AccountCodes[PPSAS CODE]))="Debit",E63-F63,0)</f>
        <v>0</v>
      </c>
      <c r="E63" s="488">
        <f t="array" ref="E63">(SUM(IF((PostTB[Account Code (Old)]=B63),(PostTB[Debit])))+(SUM(IF((CkDJ[Account Code]=B63)*(CkDJ[Date]&lt;=$A$7),(CkDJ[Debit])))+(SUM(IF((CsDJ[Account Code]=B63)*(CsDJ[Date]&lt;=$A$7),(CsDJ[Debit])))+(SUM(IF((CRDJ[Account Code]=B63)*(CRDJ[Date]&lt;=$A$7),(CRDJ[Debit])))+(SUM(IF((GJ[Account Code]=B63)*(GJ[Date]&lt;=$A$7),(GJ[Debit]))))))))</f>
        <v>0</v>
      </c>
      <c r="F63" s="490">
        <f t="array" ref="F63">(SUM(IF((PostTB[Account Code (Old)]=B63),(PostTB[Credit])))+(SUM(IF((CkDJ[Account Code]=B63)*(CkDJ[Date]&lt;=$A$7),(CkDJ[Credit])))+(SUM(IF((CsDJ[Account Code]=B63)*(CsDJ[Date]&lt;=$A$7),(CsDJ[Credit])))+(SUM(IF((CRDJ[Account Code]=B63)*(CRDJ[Date]&lt;=$A$7),(CRDJ[Credit])))+(SUM(IF((GJ[Account Code]=B63)*(GJ[Date]&lt;=$A$7),(GJ[Credit]))))))))</f>
        <v>0</v>
      </c>
      <c r="G63" s="620">
        <f>IF(INDEX(AccountCodes[Normal Balance], MATCH(C63,AccountCodes[PPSAS CODE]))="Credit",F63-E63,0)</f>
        <v>0</v>
      </c>
      <c r="H63" s="621">
        <f t="shared" si="0"/>
        <v>0</v>
      </c>
    </row>
    <row r="64" spans="1:8" ht="15.75" hidden="1">
      <c r="A64" s="613" t="str">
        <f t="array" ref="A64">INDEX(AccountCodes[ACCOUNT NAME],MATCH(B64,AccountCodes[NGAS CODE],0))</f>
        <v>Semi-Expendable Military, Police and Security Equipment</v>
      </c>
      <c r="B64" s="602" t="s">
        <v>1252</v>
      </c>
      <c r="C64" s="615">
        <f t="array" ref="C64">INDEX(AccountCodes[PPSAS CODE],MATCH(B64,AccountCodes[NGAS CODE],0))</f>
        <v>1040509000</v>
      </c>
      <c r="D64" s="616">
        <f>IF(INDEX(AccountCodes[Normal Balance], MATCH(C64,AccountCodes[PPSAS CODE]))="Debit",E64-F64,0)</f>
        <v>0</v>
      </c>
      <c r="E64" s="488">
        <f t="array" ref="E64">(SUM(IF((PostTB[Account Code (Old)]=B64),(PostTB[Debit])))+(SUM(IF((CkDJ[Account Code]=B64)*(CkDJ[Date]&lt;=$A$7),(CkDJ[Debit])))+(SUM(IF((CsDJ[Account Code]=B64)*(CsDJ[Date]&lt;=$A$7),(CsDJ[Debit])))+(SUM(IF((CRDJ[Account Code]=B64)*(CRDJ[Date]&lt;=$A$7),(CRDJ[Debit])))+(SUM(IF((GJ[Account Code]=B64)*(GJ[Date]&lt;=$A$7),(GJ[Debit]))))))))</f>
        <v>0</v>
      </c>
      <c r="F64" s="490">
        <f t="array" ref="F64">(SUM(IF((PostTB[Account Code (Old)]=B64),(PostTB[Credit])))+(SUM(IF((CkDJ[Account Code]=B64)*(CkDJ[Date]&lt;=$A$7),(CkDJ[Credit])))+(SUM(IF((CsDJ[Account Code]=B64)*(CsDJ[Date]&lt;=$A$7),(CsDJ[Credit])))+(SUM(IF((CRDJ[Account Code]=B64)*(CRDJ[Date]&lt;=$A$7),(CRDJ[Credit])))+(SUM(IF((GJ[Account Code]=B64)*(GJ[Date]&lt;=$A$7),(GJ[Credit]))))))))</f>
        <v>0</v>
      </c>
      <c r="G64" s="620">
        <f>IF(INDEX(AccountCodes[Normal Balance], MATCH(C64,AccountCodes[PPSAS CODE]))="Credit",F64-E64,0)</f>
        <v>0</v>
      </c>
      <c r="H64" s="621">
        <f t="shared" si="0"/>
        <v>0</v>
      </c>
    </row>
    <row r="65" spans="1:8" ht="15.75" hidden="1">
      <c r="A65" s="613" t="str">
        <f t="array" ref="A65">INDEX(AccountCodes[ACCOUNT NAME],MATCH(B65,AccountCodes[NGAS CODE],0))</f>
        <v>Semi-Expendable Medical Equipment</v>
      </c>
      <c r="B65" s="602" t="s">
        <v>1253</v>
      </c>
      <c r="C65" s="615">
        <f t="array" ref="C65">INDEX(AccountCodes[PPSAS CODE],MATCH(B65,AccountCodes[NGAS CODE],0))</f>
        <v>1040510000</v>
      </c>
      <c r="D65" s="616">
        <f>IF(INDEX(AccountCodes[Normal Balance], MATCH(C65,AccountCodes[PPSAS CODE]))="Debit",E65-F65,0)</f>
        <v>0</v>
      </c>
      <c r="E65" s="488">
        <f t="array" ref="E65">(SUM(IF((PostTB[Account Code (Old)]=B65),(PostTB[Debit])))+(SUM(IF((CkDJ[Account Code]=B65)*(CkDJ[Date]&lt;=$A$7),(CkDJ[Debit])))+(SUM(IF((CsDJ[Account Code]=B65)*(CsDJ[Date]&lt;=$A$7),(CsDJ[Debit])))+(SUM(IF((CRDJ[Account Code]=B65)*(CRDJ[Date]&lt;=$A$7),(CRDJ[Debit])))+(SUM(IF((GJ[Account Code]=B65)*(GJ[Date]&lt;=$A$7),(GJ[Debit]))))))))</f>
        <v>0</v>
      </c>
      <c r="F65" s="490">
        <f t="array" ref="F65">(SUM(IF((PostTB[Account Code (Old)]=B65),(PostTB[Credit])))+(SUM(IF((CkDJ[Account Code]=B65)*(CkDJ[Date]&lt;=$A$7),(CkDJ[Credit])))+(SUM(IF((CsDJ[Account Code]=B65)*(CsDJ[Date]&lt;=$A$7),(CsDJ[Credit])))+(SUM(IF((CRDJ[Account Code]=B65)*(CRDJ[Date]&lt;=$A$7),(CRDJ[Credit])))+(SUM(IF((GJ[Account Code]=B65)*(GJ[Date]&lt;=$A$7),(GJ[Credit]))))))))</f>
        <v>0</v>
      </c>
      <c r="G65" s="620">
        <f>IF(INDEX(AccountCodes[Normal Balance], MATCH(C65,AccountCodes[PPSAS CODE]))="Credit",F65-E65,0)</f>
        <v>0</v>
      </c>
      <c r="H65" s="621">
        <f t="shared" si="0"/>
        <v>0</v>
      </c>
    </row>
    <row r="66" spans="1:8" ht="15.75" hidden="1">
      <c r="A66" s="613" t="str">
        <f t="array" ref="A66">INDEX(AccountCodes[ACCOUNT NAME],MATCH(B66,AccountCodes[NGAS CODE],0))</f>
        <v>Semi-Expendable Printing Equipment</v>
      </c>
      <c r="B66" s="602" t="s">
        <v>1254</v>
      </c>
      <c r="C66" s="615">
        <f t="array" ref="C66">INDEX(AccountCodes[PPSAS CODE],MATCH(B66,AccountCodes[NGAS CODE],0))</f>
        <v>1040511000</v>
      </c>
      <c r="D66" s="616">
        <f>IF(INDEX(AccountCodes[Normal Balance], MATCH(C66,AccountCodes[PPSAS CODE]))="Debit",E66-F66,0)</f>
        <v>0</v>
      </c>
      <c r="E66" s="488">
        <f t="array" ref="E66">(SUM(IF((PostTB[Account Code (Old)]=B66),(PostTB[Debit])))+(SUM(IF((CkDJ[Account Code]=B66)*(CkDJ[Date]&lt;=$A$7),(CkDJ[Debit])))+(SUM(IF((CsDJ[Account Code]=B66)*(CsDJ[Date]&lt;=$A$7),(CsDJ[Debit])))+(SUM(IF((CRDJ[Account Code]=B66)*(CRDJ[Date]&lt;=$A$7),(CRDJ[Debit])))+(SUM(IF((GJ[Account Code]=B66)*(GJ[Date]&lt;=$A$7),(GJ[Debit]))))))))</f>
        <v>0</v>
      </c>
      <c r="F66" s="490">
        <f t="array" ref="F66">(SUM(IF((PostTB[Account Code (Old)]=B66),(PostTB[Credit])))+(SUM(IF((CkDJ[Account Code]=B66)*(CkDJ[Date]&lt;=$A$7),(CkDJ[Credit])))+(SUM(IF((CsDJ[Account Code]=B66)*(CsDJ[Date]&lt;=$A$7),(CsDJ[Credit])))+(SUM(IF((CRDJ[Account Code]=B66)*(CRDJ[Date]&lt;=$A$7),(CRDJ[Credit])))+(SUM(IF((GJ[Account Code]=B66)*(GJ[Date]&lt;=$A$7),(GJ[Credit]))))))))</f>
        <v>0</v>
      </c>
      <c r="G66" s="620">
        <f>IF(INDEX(AccountCodes[Normal Balance], MATCH(C66,AccountCodes[PPSAS CODE]))="Credit",F66-E66,0)</f>
        <v>0</v>
      </c>
      <c r="H66" s="621">
        <f t="shared" si="0"/>
        <v>0</v>
      </c>
    </row>
    <row r="67" spans="1:8" ht="15.75" hidden="1">
      <c r="A67" s="613" t="str">
        <f t="array" ref="A67">INDEX(AccountCodes[ACCOUNT NAME],MATCH(B67,AccountCodes[NGAS CODE],0))</f>
        <v>Semi-Expendable Sports Equipment</v>
      </c>
      <c r="B67" s="602" t="s">
        <v>1255</v>
      </c>
      <c r="C67" s="615">
        <f t="array" ref="C67">INDEX(AccountCodes[PPSAS CODE],MATCH(B67,AccountCodes[NGAS CODE],0))</f>
        <v>1040512000</v>
      </c>
      <c r="D67" s="616">
        <f>IF(INDEX(AccountCodes[Normal Balance], MATCH(C67,AccountCodes[PPSAS CODE]))="Debit",E67-F67,0)</f>
        <v>0</v>
      </c>
      <c r="E67" s="488">
        <f t="array" ref="E67">(SUM(IF((PostTB[Account Code (Old)]=B67),(PostTB[Debit])))+(SUM(IF((CkDJ[Account Code]=B67)*(CkDJ[Date]&lt;=$A$7),(CkDJ[Debit])))+(SUM(IF((CsDJ[Account Code]=B67)*(CsDJ[Date]&lt;=$A$7),(CsDJ[Debit])))+(SUM(IF((CRDJ[Account Code]=B67)*(CRDJ[Date]&lt;=$A$7),(CRDJ[Debit])))+(SUM(IF((GJ[Account Code]=B67)*(GJ[Date]&lt;=$A$7),(GJ[Debit]))))))))</f>
        <v>0</v>
      </c>
      <c r="F67" s="490">
        <f t="array" ref="F67">(SUM(IF((PostTB[Account Code (Old)]=B67),(PostTB[Credit])))+(SUM(IF((CkDJ[Account Code]=B67)*(CkDJ[Date]&lt;=$A$7),(CkDJ[Credit])))+(SUM(IF((CsDJ[Account Code]=B67)*(CsDJ[Date]&lt;=$A$7),(CsDJ[Credit])))+(SUM(IF((CRDJ[Account Code]=B67)*(CRDJ[Date]&lt;=$A$7),(CRDJ[Credit])))+(SUM(IF((GJ[Account Code]=B67)*(GJ[Date]&lt;=$A$7),(GJ[Credit]))))))))</f>
        <v>0</v>
      </c>
      <c r="G67" s="620">
        <f>IF(INDEX(AccountCodes[Normal Balance], MATCH(C67,AccountCodes[PPSAS CODE]))="Credit",F67-E67,0)</f>
        <v>0</v>
      </c>
      <c r="H67" s="621">
        <f t="shared" si="0"/>
        <v>0</v>
      </c>
    </row>
    <row r="68" spans="1:8" ht="15.75" hidden="1">
      <c r="A68" s="613" t="str">
        <f t="array" ref="A68">INDEX(AccountCodes[ACCOUNT NAME],MATCH(B68,AccountCodes[NGAS CODE],0))</f>
        <v>Semi-Expendable Technical and Scientific Equipment</v>
      </c>
      <c r="B68" s="602" t="s">
        <v>1256</v>
      </c>
      <c r="C68" s="615">
        <f t="array" ref="C68">INDEX(AccountCodes[PPSAS CODE],MATCH(B68,AccountCodes[NGAS CODE],0))</f>
        <v>1040513000</v>
      </c>
      <c r="D68" s="616">
        <f>IF(INDEX(AccountCodes[Normal Balance], MATCH(C68,AccountCodes[PPSAS CODE]))="Debit",E68-F68,0)</f>
        <v>6000</v>
      </c>
      <c r="E68" s="488">
        <f t="array" ref="E68">(SUM(IF((PostTB[Account Code (Old)]=B68),(PostTB[Debit])))+(SUM(IF((CkDJ[Account Code]=B68)*(CkDJ[Date]&lt;=$A$7),(CkDJ[Debit])))+(SUM(IF((CsDJ[Account Code]=B68)*(CsDJ[Date]&lt;=$A$7),(CsDJ[Debit])))+(SUM(IF((CRDJ[Account Code]=B68)*(CRDJ[Date]&lt;=$A$7),(CRDJ[Debit])))+(SUM(IF((GJ[Account Code]=B68)*(GJ[Date]&lt;=$A$7),(GJ[Debit]))))))))</f>
        <v>6000</v>
      </c>
      <c r="F68" s="490">
        <f t="array" ref="F68">(SUM(IF((PostTB[Account Code (Old)]=B68),(PostTB[Credit])))+(SUM(IF((CkDJ[Account Code]=B68)*(CkDJ[Date]&lt;=$A$7),(CkDJ[Credit])))+(SUM(IF((CsDJ[Account Code]=B68)*(CsDJ[Date]&lt;=$A$7),(CsDJ[Credit])))+(SUM(IF((CRDJ[Account Code]=B68)*(CRDJ[Date]&lt;=$A$7),(CRDJ[Credit])))+(SUM(IF((GJ[Account Code]=B68)*(GJ[Date]&lt;=$A$7),(GJ[Credit]))))))))</f>
        <v>0</v>
      </c>
      <c r="G68" s="620">
        <f>IF(INDEX(AccountCodes[Normal Balance], MATCH(C68,AccountCodes[PPSAS CODE]))="Credit",F68-E68,0)</f>
        <v>0</v>
      </c>
      <c r="H68" s="621">
        <f t="shared" si="0"/>
        <v>6000</v>
      </c>
    </row>
    <row r="69" spans="1:8" ht="15.75" hidden="1">
      <c r="A69" s="613" t="str">
        <f t="array" ref="A69">INDEX(AccountCodes[ACCOUNT NAME],MATCH(B69,AccountCodes[NGAS CODE],0))</f>
        <v>Semi-Expendable Other Machinery and Equipment</v>
      </c>
      <c r="B69" s="602" t="s">
        <v>1257</v>
      </c>
      <c r="C69" s="615">
        <f t="array" ref="C69">INDEX(AccountCodes[PPSAS CODE],MATCH(B69,AccountCodes[NGAS CODE],0))</f>
        <v>1040519000</v>
      </c>
      <c r="D69" s="616">
        <f>IF(INDEX(AccountCodes[Normal Balance], MATCH(C69,AccountCodes[PPSAS CODE]))="Debit",E69-F69,0)</f>
        <v>-335</v>
      </c>
      <c r="E69" s="488">
        <f t="array" ref="E69">(SUM(IF((PostTB[Account Code (Old)]=B69),(PostTB[Debit])))+(SUM(IF((CkDJ[Account Code]=B69)*(CkDJ[Date]&lt;=$A$7),(CkDJ[Debit])))+(SUM(IF((CsDJ[Account Code]=B69)*(CsDJ[Date]&lt;=$A$7),(CsDJ[Debit])))+(SUM(IF((CRDJ[Account Code]=B69)*(CRDJ[Date]&lt;=$A$7),(CRDJ[Debit])))+(SUM(IF((GJ[Account Code]=B69)*(GJ[Date]&lt;=$A$7),(GJ[Debit]))))))))</f>
        <v>0</v>
      </c>
      <c r="F69" s="490">
        <f t="array" ref="F69">(SUM(IF((PostTB[Account Code (Old)]=B69),(PostTB[Credit])))+(SUM(IF((CkDJ[Account Code]=B69)*(CkDJ[Date]&lt;=$A$7),(CkDJ[Credit])))+(SUM(IF((CsDJ[Account Code]=B69)*(CsDJ[Date]&lt;=$A$7),(CsDJ[Credit])))+(SUM(IF((CRDJ[Account Code]=B69)*(CRDJ[Date]&lt;=$A$7),(CRDJ[Credit])))+(SUM(IF((GJ[Account Code]=B69)*(GJ[Date]&lt;=$A$7),(GJ[Credit]))))))))</f>
        <v>335</v>
      </c>
      <c r="G69" s="620">
        <f>IF(INDEX(AccountCodes[Normal Balance], MATCH(C69,AccountCodes[PPSAS CODE]))="Credit",F69-E69,0)</f>
        <v>0</v>
      </c>
      <c r="H69" s="621">
        <f t="shared" si="0"/>
        <v>-335</v>
      </c>
    </row>
    <row r="70" spans="1:8" ht="15.75" hidden="1">
      <c r="A70" s="613" t="str">
        <f t="array" ref="A70">INDEX(AccountCodes[ACCOUNT NAME],MATCH(B70,AccountCodes[NGAS CODE],0))</f>
        <v>Semi-Expendable Furniture and Fixtures</v>
      </c>
      <c r="B70" s="602" t="s">
        <v>1438</v>
      </c>
      <c r="C70" s="615">
        <f t="array" ref="C70">INDEX(AccountCodes[PPSAS CODE],MATCH(B70,AccountCodes[NGAS CODE],0))</f>
        <v>1040601000</v>
      </c>
      <c r="D70" s="616">
        <f>IF(INDEX(AccountCodes[Normal Balance], MATCH(C70,AccountCodes[PPSAS CODE]))="Debit",E70-F70,0)</f>
        <v>-51388</v>
      </c>
      <c r="E70" s="488">
        <f t="array" ref="E70">(SUM(IF((PostTB[Account Code (Old)]=B70),(PostTB[Debit])))+(SUM(IF((CkDJ[Account Code]=B70)*(CkDJ[Date]&lt;=$A$7),(CkDJ[Debit])))+(SUM(IF((CsDJ[Account Code]=B70)*(CsDJ[Date]&lt;=$A$7),(CsDJ[Debit])))+(SUM(IF((CRDJ[Account Code]=B70)*(CRDJ[Date]&lt;=$A$7),(CRDJ[Debit])))+(SUM(IF((GJ[Account Code]=B70)*(GJ[Date]&lt;=$A$7),(GJ[Debit]))))))))</f>
        <v>0</v>
      </c>
      <c r="F70" s="490">
        <f t="array" ref="F70">(SUM(IF((PostTB[Account Code (Old)]=B70),(PostTB[Credit])))+(SUM(IF((CkDJ[Account Code]=B70)*(CkDJ[Date]&lt;=$A$7),(CkDJ[Credit])))+(SUM(IF((CsDJ[Account Code]=B70)*(CsDJ[Date]&lt;=$A$7),(CsDJ[Credit])))+(SUM(IF((CRDJ[Account Code]=B70)*(CRDJ[Date]&lt;=$A$7),(CRDJ[Credit])))+(SUM(IF((GJ[Account Code]=B70)*(GJ[Date]&lt;=$A$7),(GJ[Credit]))))))))</f>
        <v>51388</v>
      </c>
      <c r="G70" s="620">
        <f>IF(INDEX(AccountCodes[Normal Balance], MATCH(C70,AccountCodes[PPSAS CODE]))="Credit",F70-E70,0)</f>
        <v>0</v>
      </c>
      <c r="H70" s="621">
        <f t="shared" si="0"/>
        <v>-51388</v>
      </c>
    </row>
    <row r="71" spans="1:8" ht="15.75" hidden="1">
      <c r="A71" s="613" t="str">
        <f t="array" ref="A71">INDEX(AccountCodes[ACCOUNT NAME],MATCH(B71,AccountCodes[NGAS CODE],0))</f>
        <v>Semi-Expendable Books</v>
      </c>
      <c r="B71" s="602" t="s">
        <v>1439</v>
      </c>
      <c r="C71" s="615">
        <f t="array" ref="C71">INDEX(AccountCodes[PPSAS CODE],MATCH(B71,AccountCodes[NGAS CODE],0))</f>
        <v>1040602000</v>
      </c>
      <c r="D71" s="616">
        <f>IF(INDEX(AccountCodes[Normal Balance], MATCH(C71,AccountCodes[PPSAS CODE]))="Debit",E71-F71,0)</f>
        <v>0</v>
      </c>
      <c r="E71" s="488">
        <f t="array" ref="E71">(SUM(IF((PostTB[Account Code (Old)]=B71),(PostTB[Debit])))+(SUM(IF((CkDJ[Account Code]=B71)*(CkDJ[Date]&lt;=$A$7),(CkDJ[Debit])))+(SUM(IF((CsDJ[Account Code]=B71)*(CsDJ[Date]&lt;=$A$7),(CsDJ[Debit])))+(SUM(IF((CRDJ[Account Code]=B71)*(CRDJ[Date]&lt;=$A$7),(CRDJ[Debit])))+(SUM(IF((GJ[Account Code]=B71)*(GJ[Date]&lt;=$A$7),(GJ[Debit]))))))))</f>
        <v>16000</v>
      </c>
      <c r="F71" s="490">
        <f t="array" ref="F71">(SUM(IF((PostTB[Account Code (Old)]=B71),(PostTB[Credit])))+(SUM(IF((CkDJ[Account Code]=B71)*(CkDJ[Date]&lt;=$A$7),(CkDJ[Credit])))+(SUM(IF((CsDJ[Account Code]=B71)*(CsDJ[Date]&lt;=$A$7),(CsDJ[Credit])))+(SUM(IF((CRDJ[Account Code]=B71)*(CRDJ[Date]&lt;=$A$7),(CRDJ[Credit])))+(SUM(IF((GJ[Account Code]=B71)*(GJ[Date]&lt;=$A$7),(GJ[Credit]))))))))</f>
        <v>16000</v>
      </c>
      <c r="G71" s="620">
        <f>IF(INDEX(AccountCodes[Normal Balance], MATCH(C71,AccountCodes[PPSAS CODE]))="Credit",F71-E71,0)</f>
        <v>0</v>
      </c>
      <c r="H71" s="621">
        <f t="shared" si="0"/>
        <v>0</v>
      </c>
    </row>
    <row r="72" spans="1:8" ht="15.75" hidden="1">
      <c r="A72" s="613" t="str">
        <f t="array" ref="A72">INDEX(AccountCodes[ACCOUNT NAME],MATCH(B72,AccountCodes[NGAS CODE],0))</f>
        <v>Land</v>
      </c>
      <c r="B72" s="602" t="s">
        <v>38</v>
      </c>
      <c r="C72" s="615">
        <f t="array" ref="C72">INDEX(AccountCodes[PPSAS CODE],MATCH(B72,AccountCodes[NGAS CODE],0))</f>
        <v>1060101000</v>
      </c>
      <c r="D72" s="616">
        <f>IF(INDEX(AccountCodes[Normal Balance], MATCH(C72,AccountCodes[PPSAS CODE]))="Debit",E72-F72,0)</f>
        <v>0</v>
      </c>
      <c r="E72" s="488">
        <f t="array" ref="E72">(SUM(IF((PostTB[Account Code (Old)]=B72),(PostTB[Debit])))+(SUM(IF((CkDJ[Account Code]=B72)*(CkDJ[Date]&lt;=$A$7),(CkDJ[Debit])))+(SUM(IF((CsDJ[Account Code]=B72)*(CsDJ[Date]&lt;=$A$7),(CsDJ[Debit])))+(SUM(IF((CRDJ[Account Code]=B72)*(CRDJ[Date]&lt;=$A$7),(CRDJ[Debit])))+(SUM(IF((GJ[Account Code]=B72)*(GJ[Date]&lt;=$A$7),(GJ[Debit]))))))))</f>
        <v>0</v>
      </c>
      <c r="F72" s="490">
        <f t="array" ref="F72">(SUM(IF((PostTB[Account Code (Old)]=B72),(PostTB[Credit])))+(SUM(IF((CkDJ[Account Code]=B72)*(CkDJ[Date]&lt;=$A$7),(CkDJ[Credit])))+(SUM(IF((CsDJ[Account Code]=B72)*(CsDJ[Date]&lt;=$A$7),(CsDJ[Credit])))+(SUM(IF((CRDJ[Account Code]=B72)*(CRDJ[Date]&lt;=$A$7),(CRDJ[Credit])))+(SUM(IF((GJ[Account Code]=B72)*(GJ[Date]&lt;=$A$7),(GJ[Credit]))))))))</f>
        <v>0</v>
      </c>
      <c r="G72" s="620">
        <f>IF(INDEX(AccountCodes[Normal Balance], MATCH(C72,AccountCodes[PPSAS CODE]))="Credit",F72-E72,0)</f>
        <v>0</v>
      </c>
      <c r="H72" s="621">
        <f t="shared" si="0"/>
        <v>0</v>
      </c>
    </row>
    <row r="73" spans="1:8" ht="15.75" hidden="1">
      <c r="A73" s="613" t="str">
        <f t="array" ref="A73">INDEX(AccountCodes[ACCOUNT NAME],MATCH(B73,AccountCodes[NGAS CODE],0))</f>
        <v>Other Land Improvements</v>
      </c>
      <c r="B73" s="602" t="s">
        <v>39</v>
      </c>
      <c r="C73" s="615">
        <f t="array" ref="C73">INDEX(AccountCodes[PPSAS CODE],MATCH(B73,AccountCodes[NGAS CODE],0))</f>
        <v>1060299000</v>
      </c>
      <c r="D73" s="616">
        <f>IF(INDEX(AccountCodes[Normal Balance], MATCH(C73,AccountCodes[PPSAS CODE]))="Debit",E73-F73,0)</f>
        <v>0</v>
      </c>
      <c r="E73" s="488">
        <f t="array" ref="E73">(SUM(IF((PostTB[Account Code (Old)]=B73),(PostTB[Debit])))+(SUM(IF((CkDJ[Account Code]=B73)*(CkDJ[Date]&lt;=$A$7),(CkDJ[Debit])))+(SUM(IF((CsDJ[Account Code]=B73)*(CsDJ[Date]&lt;=$A$7),(CsDJ[Debit])))+(SUM(IF((CRDJ[Account Code]=B73)*(CRDJ[Date]&lt;=$A$7),(CRDJ[Debit])))+(SUM(IF((GJ[Account Code]=B73)*(GJ[Date]&lt;=$A$7),(GJ[Debit]))))))))</f>
        <v>0</v>
      </c>
      <c r="F73" s="490">
        <f t="array" ref="F73">(SUM(IF((PostTB[Account Code (Old)]=B73),(PostTB[Credit])))+(SUM(IF((CkDJ[Account Code]=B73)*(CkDJ[Date]&lt;=$A$7),(CkDJ[Credit])))+(SUM(IF((CsDJ[Account Code]=B73)*(CsDJ[Date]&lt;=$A$7),(CsDJ[Credit])))+(SUM(IF((CRDJ[Account Code]=B73)*(CRDJ[Date]&lt;=$A$7),(CRDJ[Credit])))+(SUM(IF((GJ[Account Code]=B73)*(GJ[Date]&lt;=$A$7),(GJ[Credit]))))))))</f>
        <v>0</v>
      </c>
      <c r="G73" s="620">
        <f>IF(INDEX(AccountCodes[Normal Balance], MATCH(C73,AccountCodes[PPSAS CODE]))="Credit",F73-E73,0)</f>
        <v>0</v>
      </c>
      <c r="H73" s="621">
        <f t="shared" si="0"/>
        <v>0</v>
      </c>
    </row>
    <row r="74" spans="1:8" ht="15.75" hidden="1">
      <c r="A74" s="613" t="str">
        <f t="array" ref="A74">INDEX(AccountCodes[ACCOUNT NAME],MATCH(B74,AccountCodes[NGAS CODE],0))</f>
        <v>Accumulated Depreciation-Other Land Improvements</v>
      </c>
      <c r="B74" s="602" t="s">
        <v>85</v>
      </c>
      <c r="C74" s="615">
        <f t="array" ref="C74">INDEX(AccountCodes[PPSAS CODE],MATCH(B74,AccountCodes[NGAS CODE],0))</f>
        <v>1060299100</v>
      </c>
      <c r="D74" s="616">
        <f>IF(INDEX(AccountCodes[Normal Balance], MATCH(C74,AccountCodes[PPSAS CODE]))="Debit",E74-F74,0)</f>
        <v>0</v>
      </c>
      <c r="E74" s="488">
        <f t="array" ref="E74">(SUM(IF((PostTB[Account Code (Old)]=B74),(PostTB[Debit])))+(SUM(IF((CkDJ[Account Code]=B74)*(CkDJ[Date]&lt;=$A$7),(CkDJ[Debit])))+(SUM(IF((CsDJ[Account Code]=B74)*(CsDJ[Date]&lt;=$A$7),(CsDJ[Debit])))+(SUM(IF((CRDJ[Account Code]=B74)*(CRDJ[Date]&lt;=$A$7),(CRDJ[Debit])))+(SUM(IF((GJ[Account Code]=B74)*(GJ[Date]&lt;=$A$7),(GJ[Debit]))))))))</f>
        <v>0</v>
      </c>
      <c r="F74" s="490">
        <f t="array" ref="F74">(SUM(IF((PostTB[Account Code (Old)]=B74),(PostTB[Credit])))+(SUM(IF((CkDJ[Account Code]=B74)*(CkDJ[Date]&lt;=$A$7),(CkDJ[Credit])))+(SUM(IF((CsDJ[Account Code]=B74)*(CsDJ[Date]&lt;=$A$7),(CsDJ[Credit])))+(SUM(IF((CRDJ[Account Code]=B74)*(CRDJ[Date]&lt;=$A$7),(CRDJ[Credit])))+(SUM(IF((GJ[Account Code]=B74)*(GJ[Date]&lt;=$A$7),(GJ[Credit]))))))))</f>
        <v>0</v>
      </c>
      <c r="G74" s="620">
        <f>IF(INDEX(AccountCodes[Normal Balance], MATCH(C74,AccountCodes[PPSAS CODE]))="Credit",F74-E74,0)</f>
        <v>0</v>
      </c>
      <c r="H74" s="621">
        <f t="shared" ref="H74:H137" si="1">IF(D74=0,G74,D74)</f>
        <v>0</v>
      </c>
    </row>
    <row r="75" spans="1:8" ht="15.75" hidden="1">
      <c r="A75" s="613" t="str">
        <f t="array" ref="A75">INDEX(AccountCodes[ACCOUNT NAME],MATCH(B75,AccountCodes[NGAS CODE],0))</f>
        <v>Road Networks</v>
      </c>
      <c r="B75" s="602" t="s">
        <v>1226</v>
      </c>
      <c r="C75" s="615">
        <f t="array" ref="C75">INDEX(AccountCodes[PPSAS CODE],MATCH(B75,AccountCodes[NGAS CODE],0))</f>
        <v>1060301000</v>
      </c>
      <c r="D75" s="616">
        <f>IF(INDEX(AccountCodes[Normal Balance], MATCH(C75,AccountCodes[PPSAS CODE]))="Debit",E75-F75,0)</f>
        <v>0</v>
      </c>
      <c r="E75" s="488">
        <f t="array" ref="E75">(SUM(IF((PostTB[Account Code (Old)]=B75),(PostTB[Debit])))+(SUM(IF((CkDJ[Account Code]=B75)*(CkDJ[Date]&lt;=$A$7),(CkDJ[Debit])))+(SUM(IF((CsDJ[Account Code]=B75)*(CsDJ[Date]&lt;=$A$7),(CsDJ[Debit])))+(SUM(IF((CRDJ[Account Code]=B75)*(CRDJ[Date]&lt;=$A$7),(CRDJ[Debit])))+(SUM(IF((GJ[Account Code]=B75)*(GJ[Date]&lt;=$A$7),(GJ[Debit]))))))))</f>
        <v>0</v>
      </c>
      <c r="F75" s="490">
        <f t="array" ref="F75">(SUM(IF((PostTB[Account Code (Old)]=B75),(PostTB[Credit])))+(SUM(IF((CkDJ[Account Code]=B75)*(CkDJ[Date]&lt;=$A$7),(CkDJ[Credit])))+(SUM(IF((CsDJ[Account Code]=B75)*(CsDJ[Date]&lt;=$A$7),(CsDJ[Credit])))+(SUM(IF((CRDJ[Account Code]=B75)*(CRDJ[Date]&lt;=$A$7),(CRDJ[Credit])))+(SUM(IF((GJ[Account Code]=B75)*(GJ[Date]&lt;=$A$7),(GJ[Credit]))))))))</f>
        <v>0</v>
      </c>
      <c r="G75" s="620">
        <f>IF(INDEX(AccountCodes[Normal Balance], MATCH(C75,AccountCodes[PPSAS CODE]))="Credit",F75-E75,0)</f>
        <v>0</v>
      </c>
      <c r="H75" s="621">
        <f t="shared" si="1"/>
        <v>0</v>
      </c>
    </row>
    <row r="76" spans="1:8" ht="15.75" hidden="1">
      <c r="A76" s="613" t="str">
        <f t="array" ref="A76">INDEX(AccountCodes[ACCOUNT NAME],MATCH(B76,AccountCodes[NGAS CODE],0))</f>
        <v>Accumulated Depreciation-Road Networks</v>
      </c>
      <c r="B76" s="602" t="s">
        <v>1260</v>
      </c>
      <c r="C76" s="615">
        <f t="array" ref="C76">INDEX(AccountCodes[PPSAS CODE],MATCH(B76,AccountCodes[NGAS CODE],0))</f>
        <v>1060301100</v>
      </c>
      <c r="D76" s="616">
        <f>IF(INDEX(AccountCodes[Normal Balance], MATCH(C76,AccountCodes[PPSAS CODE]))="Debit",E76-F76,0)</f>
        <v>0</v>
      </c>
      <c r="E76" s="488">
        <f t="array" ref="E76">(SUM(IF((PostTB[Account Code (Old)]=B76),(PostTB[Debit])))+(SUM(IF((CkDJ[Account Code]=B76)*(CkDJ[Date]&lt;=$A$7),(CkDJ[Debit])))+(SUM(IF((CsDJ[Account Code]=B76)*(CsDJ[Date]&lt;=$A$7),(CsDJ[Debit])))+(SUM(IF((CRDJ[Account Code]=B76)*(CRDJ[Date]&lt;=$A$7),(CRDJ[Debit])))+(SUM(IF((GJ[Account Code]=B76)*(GJ[Date]&lt;=$A$7),(GJ[Debit]))))))))</f>
        <v>0</v>
      </c>
      <c r="F76" s="490">
        <f t="array" ref="F76">(SUM(IF((PostTB[Account Code (Old)]=B76),(PostTB[Credit])))+(SUM(IF((CkDJ[Account Code]=B76)*(CkDJ[Date]&lt;=$A$7),(CkDJ[Credit])))+(SUM(IF((CsDJ[Account Code]=B76)*(CsDJ[Date]&lt;=$A$7),(CsDJ[Credit])))+(SUM(IF((CRDJ[Account Code]=B76)*(CRDJ[Date]&lt;=$A$7),(CRDJ[Credit])))+(SUM(IF((GJ[Account Code]=B76)*(GJ[Date]&lt;=$A$7),(GJ[Credit]))))))))</f>
        <v>0</v>
      </c>
      <c r="G76" s="620">
        <f>IF(INDEX(AccountCodes[Normal Balance], MATCH(C76,AccountCodes[PPSAS CODE]))="Credit",F76-E76,0)</f>
        <v>0</v>
      </c>
      <c r="H76" s="621">
        <f t="shared" si="1"/>
        <v>0</v>
      </c>
    </row>
    <row r="77" spans="1:8" ht="15.75">
      <c r="A77" s="613" t="str">
        <f t="array" ref="A77">INDEX(AccountCodes[ACCOUNT NAME],MATCH(B77,AccountCodes[NGAS CODE],0))</f>
        <v>Water Supply Systems</v>
      </c>
      <c r="B77" s="602" t="s">
        <v>60</v>
      </c>
      <c r="C77" s="615">
        <f t="array" ref="C77">INDEX(AccountCodes[PPSAS CODE],MATCH(B77,AccountCodes[NGAS CODE],0))</f>
        <v>1060304000</v>
      </c>
      <c r="D77" s="616">
        <f>IF(INDEX(AccountCodes[Normal Balance], MATCH(C77,AccountCodes[PPSAS CODE]))="Debit",E77-F77,0)</f>
        <v>111326096.81999999</v>
      </c>
      <c r="E77" s="488">
        <f t="array" ref="E77">(SUM(IF((PostTB[Account Code (Old)]=B77),(PostTB[Debit])))+(SUM(IF((CkDJ[Account Code]=B77)*(CkDJ[Date]&lt;=$A$7),(CkDJ[Debit])))+(SUM(IF((CsDJ[Account Code]=B77)*(CsDJ[Date]&lt;=$A$7),(CsDJ[Debit])))+(SUM(IF((CRDJ[Account Code]=B77)*(CRDJ[Date]&lt;=$A$7),(CRDJ[Debit])))+(SUM(IF((GJ[Account Code]=B77)*(GJ[Date]&lt;=$A$7),(GJ[Debit]))))))))</f>
        <v>111326096.81999999</v>
      </c>
      <c r="F77" s="490">
        <f t="array" ref="F77">(SUM(IF((PostTB[Account Code (Old)]=B77),(PostTB[Credit])))+(SUM(IF((CkDJ[Account Code]=B77)*(CkDJ[Date]&lt;=$A$7),(CkDJ[Credit])))+(SUM(IF((CsDJ[Account Code]=B77)*(CsDJ[Date]&lt;=$A$7),(CsDJ[Credit])))+(SUM(IF((CRDJ[Account Code]=B77)*(CRDJ[Date]&lt;=$A$7),(CRDJ[Credit])))+(SUM(IF((GJ[Account Code]=B77)*(GJ[Date]&lt;=$A$7),(GJ[Credit]))))))))</f>
        <v>0</v>
      </c>
      <c r="G77" s="620">
        <f>IF(INDEX(AccountCodes[Normal Balance], MATCH(C77,AccountCodes[PPSAS CODE]))="Credit",F77-E77,0)</f>
        <v>0</v>
      </c>
      <c r="H77" s="621">
        <f t="shared" si="1"/>
        <v>111326096.81999999</v>
      </c>
    </row>
    <row r="78" spans="1:8" ht="15.75">
      <c r="A78" s="613" t="str">
        <f t="array" ref="A78">INDEX(AccountCodes[ACCOUNT NAME],MATCH(B78,AccountCodes[NGAS CODE],0))</f>
        <v>Accumulated Depreciation-Water Supply Systems</v>
      </c>
      <c r="B78" s="602" t="s">
        <v>1261</v>
      </c>
      <c r="C78" s="615">
        <f t="array" ref="C78">INDEX(AccountCodes[PPSAS CODE],MATCH(B78,AccountCodes[NGAS CODE],0))</f>
        <v>1060304100</v>
      </c>
      <c r="D78" s="616">
        <f>IF(INDEX(AccountCodes[Normal Balance], MATCH(C78,AccountCodes[PPSAS CODE]))="Debit",E78-F78,0)</f>
        <v>0</v>
      </c>
      <c r="E78" s="488">
        <f t="array" ref="E78">(SUM(IF((PostTB[Account Code (Old)]=B78),(PostTB[Debit])))+(SUM(IF((CkDJ[Account Code]=B78)*(CkDJ[Date]&lt;=$A$7),(CkDJ[Debit])))+(SUM(IF((CsDJ[Account Code]=B78)*(CsDJ[Date]&lt;=$A$7),(CsDJ[Debit])))+(SUM(IF((CRDJ[Account Code]=B78)*(CRDJ[Date]&lt;=$A$7),(CRDJ[Debit])))+(SUM(IF((GJ[Account Code]=B78)*(GJ[Date]&lt;=$A$7),(GJ[Debit]))))))))</f>
        <v>0</v>
      </c>
      <c r="F78" s="490">
        <f t="array" ref="F78">(SUM(IF((PostTB[Account Code (Old)]=B78),(PostTB[Credit])))+(SUM(IF((CkDJ[Account Code]=B78)*(CkDJ[Date]&lt;=$A$7),(CkDJ[Credit])))+(SUM(IF((CsDJ[Account Code]=B78)*(CsDJ[Date]&lt;=$A$7),(CsDJ[Credit])))+(SUM(IF((CRDJ[Account Code]=B78)*(CRDJ[Date]&lt;=$A$7),(CRDJ[Credit])))+(SUM(IF((GJ[Account Code]=B78)*(GJ[Date]&lt;=$A$7),(GJ[Credit]))))))))</f>
        <v>10951535.060000001</v>
      </c>
      <c r="G78" s="620">
        <f>IF(INDEX(AccountCodes[Normal Balance], MATCH(C78,AccountCodes[PPSAS CODE]))="Credit",F78-E78,0)</f>
        <v>10951535.060000001</v>
      </c>
      <c r="H78" s="621">
        <f t="shared" si="1"/>
        <v>10951535.060000001</v>
      </c>
    </row>
    <row r="79" spans="1:8" ht="15.75" hidden="1">
      <c r="A79" s="613" t="str">
        <f t="array" ref="A79">INDEX(AccountCodes[ACCOUNT NAME],MATCH(B79,AccountCodes[NGAS CODE],0))</f>
        <v>Power Supply Systems</v>
      </c>
      <c r="B79" s="602" t="s">
        <v>1225</v>
      </c>
      <c r="C79" s="615">
        <f t="array" ref="C79">INDEX(AccountCodes[PPSAS CODE],MATCH(B79,AccountCodes[NGAS CODE],0))</f>
        <v>1060305000</v>
      </c>
      <c r="D79" s="616">
        <f>IF(INDEX(AccountCodes[Normal Balance], MATCH(C79,AccountCodes[PPSAS CODE]))="Debit",E79-F79,0)</f>
        <v>0</v>
      </c>
      <c r="E79" s="488">
        <f t="array" ref="E79">(SUM(IF((PostTB[Account Code (Old)]=B79),(PostTB[Debit])))+(SUM(IF((CkDJ[Account Code]=B79)*(CkDJ[Date]&lt;=$A$7),(CkDJ[Debit])))+(SUM(IF((CsDJ[Account Code]=B79)*(CsDJ[Date]&lt;=$A$7),(CsDJ[Debit])))+(SUM(IF((CRDJ[Account Code]=B79)*(CRDJ[Date]&lt;=$A$7),(CRDJ[Debit])))+(SUM(IF((GJ[Account Code]=B79)*(GJ[Date]&lt;=$A$7),(GJ[Debit]))))))))</f>
        <v>0</v>
      </c>
      <c r="F79" s="490">
        <f t="array" ref="F79">(SUM(IF((PostTB[Account Code (Old)]=B79),(PostTB[Credit])))+(SUM(IF((CkDJ[Account Code]=B79)*(CkDJ[Date]&lt;=$A$7),(CkDJ[Credit])))+(SUM(IF((CsDJ[Account Code]=B79)*(CsDJ[Date]&lt;=$A$7),(CsDJ[Credit])))+(SUM(IF((CRDJ[Account Code]=B79)*(CRDJ[Date]&lt;=$A$7),(CRDJ[Credit])))+(SUM(IF((GJ[Account Code]=B79)*(GJ[Date]&lt;=$A$7),(GJ[Credit]))))))))</f>
        <v>0</v>
      </c>
      <c r="G79" s="620">
        <f>IF(INDEX(AccountCodes[Normal Balance], MATCH(C79,AccountCodes[PPSAS CODE]))="Credit",F79-E79,0)</f>
        <v>0</v>
      </c>
      <c r="H79" s="621">
        <f t="shared" si="1"/>
        <v>0</v>
      </c>
    </row>
    <row r="80" spans="1:8" ht="15.75" hidden="1">
      <c r="A80" s="613" t="str">
        <f t="array" ref="A80">INDEX(AccountCodes[ACCOUNT NAME],MATCH(B80,AccountCodes[NGAS CODE],0))</f>
        <v>Accumulated Depreciation-Power Supply Systems</v>
      </c>
      <c r="B80" s="602" t="s">
        <v>1227</v>
      </c>
      <c r="C80" s="615">
        <f t="array" ref="C80">INDEX(AccountCodes[PPSAS CODE],MATCH(B80,AccountCodes[NGAS CODE],0))</f>
        <v>1060305100</v>
      </c>
      <c r="D80" s="616">
        <f>IF(INDEX(AccountCodes[Normal Balance], MATCH(C80,AccountCodes[PPSAS CODE]))="Debit",E80-F80,0)</f>
        <v>0</v>
      </c>
      <c r="E80" s="488">
        <f t="array" ref="E80">(SUM(IF((PostTB[Account Code (Old)]=B80),(PostTB[Debit])))+(SUM(IF((CkDJ[Account Code]=B80)*(CkDJ[Date]&lt;=$A$7),(CkDJ[Debit])))+(SUM(IF((CsDJ[Account Code]=B80)*(CsDJ[Date]&lt;=$A$7),(CsDJ[Debit])))+(SUM(IF((CRDJ[Account Code]=B80)*(CRDJ[Date]&lt;=$A$7),(CRDJ[Debit])))+(SUM(IF((GJ[Account Code]=B80)*(GJ[Date]&lt;=$A$7),(GJ[Debit]))))))))</f>
        <v>0</v>
      </c>
      <c r="F80" s="490">
        <f t="array" ref="F80">(SUM(IF((PostTB[Account Code (Old)]=B80),(PostTB[Credit])))+(SUM(IF((CkDJ[Account Code]=B80)*(CkDJ[Date]&lt;=$A$7),(CkDJ[Credit])))+(SUM(IF((CsDJ[Account Code]=B80)*(CsDJ[Date]&lt;=$A$7),(CsDJ[Credit])))+(SUM(IF((CRDJ[Account Code]=B80)*(CRDJ[Date]&lt;=$A$7),(CRDJ[Credit])))+(SUM(IF((GJ[Account Code]=B80)*(GJ[Date]&lt;=$A$7),(GJ[Credit]))))))))</f>
        <v>0</v>
      </c>
      <c r="G80" s="620">
        <f>IF(INDEX(AccountCodes[Normal Balance], MATCH(C80,AccountCodes[PPSAS CODE]))="Credit",F80-E80,0)</f>
        <v>0</v>
      </c>
      <c r="H80" s="621">
        <f t="shared" si="1"/>
        <v>0</v>
      </c>
    </row>
    <row r="81" spans="1:8" ht="15.75" hidden="1">
      <c r="A81" s="613" t="str">
        <f t="array" ref="A81">INDEX(AccountCodes[ACCOUNT NAME],MATCH(B81,AccountCodes[NGAS CODE],0))</f>
        <v>Buildings</v>
      </c>
      <c r="B81" s="602" t="s">
        <v>40</v>
      </c>
      <c r="C81" s="615">
        <f t="array" ref="C81">INDEX(AccountCodes[PPSAS CODE],MATCH(B81,AccountCodes[NGAS CODE],0))</f>
        <v>1060401000</v>
      </c>
      <c r="D81" s="616">
        <f>IF(INDEX(AccountCodes[Normal Balance], MATCH(C81,AccountCodes[PPSAS CODE]))="Debit",E81-F81,0)</f>
        <v>0</v>
      </c>
      <c r="E81" s="488">
        <f t="array" ref="E81">(SUM(IF((PostTB[Account Code (Old)]=B81),(PostTB[Debit])))+(SUM(IF((CkDJ[Account Code]=B81)*(CkDJ[Date]&lt;=$A$7),(CkDJ[Debit])))+(SUM(IF((CsDJ[Account Code]=B81)*(CsDJ[Date]&lt;=$A$7),(CsDJ[Debit])))+(SUM(IF((CRDJ[Account Code]=B81)*(CRDJ[Date]&lt;=$A$7),(CRDJ[Debit])))+(SUM(IF((GJ[Account Code]=B81)*(GJ[Date]&lt;=$A$7),(GJ[Debit]))))))))</f>
        <v>0</v>
      </c>
      <c r="F81" s="490">
        <f t="array" ref="F81">(SUM(IF((PostTB[Account Code (Old)]=B81),(PostTB[Credit])))+(SUM(IF((CkDJ[Account Code]=B81)*(CkDJ[Date]&lt;=$A$7),(CkDJ[Credit])))+(SUM(IF((CsDJ[Account Code]=B81)*(CsDJ[Date]&lt;=$A$7),(CsDJ[Credit])))+(SUM(IF((CRDJ[Account Code]=B81)*(CRDJ[Date]&lt;=$A$7),(CRDJ[Credit])))+(SUM(IF((GJ[Account Code]=B81)*(GJ[Date]&lt;=$A$7),(GJ[Credit]))))))))</f>
        <v>0</v>
      </c>
      <c r="G81" s="620">
        <f>IF(INDEX(AccountCodes[Normal Balance], MATCH(C81,AccountCodes[PPSAS CODE]))="Credit",F81-E81,0)</f>
        <v>0</v>
      </c>
      <c r="H81" s="621">
        <f t="shared" si="1"/>
        <v>0</v>
      </c>
    </row>
    <row r="82" spans="1:8" ht="15.75" hidden="1">
      <c r="A82" s="613" t="str">
        <f t="array" ref="A82">INDEX(AccountCodes[ACCOUNT NAME],MATCH(B82,AccountCodes[NGAS CODE],0))</f>
        <v>Accumulated Depreciation-Buildings</v>
      </c>
      <c r="B82" s="602" t="s">
        <v>86</v>
      </c>
      <c r="C82" s="615">
        <f t="array" ref="C82">INDEX(AccountCodes[PPSAS CODE],MATCH(B82,AccountCodes[NGAS CODE],0))</f>
        <v>1060401100</v>
      </c>
      <c r="D82" s="616">
        <f>IF(INDEX(AccountCodes[Normal Balance], MATCH(C82,AccountCodes[PPSAS CODE]))="Debit",E82-F82,0)</f>
        <v>0</v>
      </c>
      <c r="E82" s="488">
        <f t="array" ref="E82">(SUM(IF((PostTB[Account Code (Old)]=B82),(PostTB[Debit])))+(SUM(IF((CkDJ[Account Code]=B82)*(CkDJ[Date]&lt;=$A$7),(CkDJ[Debit])))+(SUM(IF((CsDJ[Account Code]=B82)*(CsDJ[Date]&lt;=$A$7),(CsDJ[Debit])))+(SUM(IF((CRDJ[Account Code]=B82)*(CRDJ[Date]&lt;=$A$7),(CRDJ[Debit])))+(SUM(IF((GJ[Account Code]=B82)*(GJ[Date]&lt;=$A$7),(GJ[Debit]))))))))</f>
        <v>0</v>
      </c>
      <c r="F82" s="490">
        <f t="array" ref="F82">(SUM(IF((PostTB[Account Code (Old)]=B82),(PostTB[Credit])))+(SUM(IF((CkDJ[Account Code]=B82)*(CkDJ[Date]&lt;=$A$7),(CkDJ[Credit])))+(SUM(IF((CsDJ[Account Code]=B82)*(CsDJ[Date]&lt;=$A$7),(CsDJ[Credit])))+(SUM(IF((CRDJ[Account Code]=B82)*(CRDJ[Date]&lt;=$A$7),(CRDJ[Credit])))+(SUM(IF((GJ[Account Code]=B82)*(GJ[Date]&lt;=$A$7),(GJ[Credit]))))))))</f>
        <v>0</v>
      </c>
      <c r="G82" s="620">
        <f>IF(INDEX(AccountCodes[Normal Balance], MATCH(C82,AccountCodes[PPSAS CODE]))="Credit",F82-E82,0)</f>
        <v>0</v>
      </c>
      <c r="H82" s="621">
        <f t="shared" si="1"/>
        <v>0</v>
      </c>
    </row>
    <row r="83" spans="1:8" ht="15.75" hidden="1">
      <c r="A83" s="613" t="str">
        <f t="array" ref="A83">INDEX(AccountCodes[ACCOUNT NAME],MATCH(B83,AccountCodes[NGAS CODE],0))</f>
        <v>Other Structures</v>
      </c>
      <c r="B83" s="602" t="s">
        <v>41</v>
      </c>
      <c r="C83" s="615">
        <f t="array" ref="C83">INDEX(AccountCodes[PPSAS CODE],MATCH(B83,AccountCodes[NGAS CODE],0))</f>
        <v>1060499000</v>
      </c>
      <c r="D83" s="616">
        <f>IF(INDEX(AccountCodes[Normal Balance], MATCH(C83,AccountCodes[PPSAS CODE]))="Debit",E83-F83,0)</f>
        <v>0</v>
      </c>
      <c r="E83" s="488">
        <f t="array" ref="E83">(SUM(IF((PostTB[Account Code (Old)]=B83),(PostTB[Debit])))+(SUM(IF((CkDJ[Account Code]=B83)*(CkDJ[Date]&lt;=$A$7),(CkDJ[Debit])))+(SUM(IF((CsDJ[Account Code]=B83)*(CsDJ[Date]&lt;=$A$7),(CsDJ[Debit])))+(SUM(IF((CRDJ[Account Code]=B83)*(CRDJ[Date]&lt;=$A$7),(CRDJ[Debit])))+(SUM(IF((GJ[Account Code]=B83)*(GJ[Date]&lt;=$A$7),(GJ[Debit]))))))))</f>
        <v>0</v>
      </c>
      <c r="F83" s="490">
        <f t="array" ref="F83">(SUM(IF((PostTB[Account Code (Old)]=B83),(PostTB[Credit])))+(SUM(IF((CkDJ[Account Code]=B83)*(CkDJ[Date]&lt;=$A$7),(CkDJ[Credit])))+(SUM(IF((CsDJ[Account Code]=B83)*(CsDJ[Date]&lt;=$A$7),(CsDJ[Credit])))+(SUM(IF((CRDJ[Account Code]=B83)*(CRDJ[Date]&lt;=$A$7),(CRDJ[Credit])))+(SUM(IF((GJ[Account Code]=B83)*(GJ[Date]&lt;=$A$7),(GJ[Credit]))))))))</f>
        <v>0</v>
      </c>
      <c r="G83" s="620">
        <f>IF(INDEX(AccountCodes[Normal Balance], MATCH(C83,AccountCodes[PPSAS CODE]))="Credit",F83-E83,0)</f>
        <v>0</v>
      </c>
      <c r="H83" s="621">
        <f t="shared" si="1"/>
        <v>0</v>
      </c>
    </row>
    <row r="84" spans="1:8" ht="15.75" hidden="1">
      <c r="A84" s="613" t="str">
        <f t="array" ref="A84">INDEX(AccountCodes[ACCOUNT NAME],MATCH(B84,AccountCodes[NGAS CODE],0))</f>
        <v>Accumulated Depreciation-Other Structures</v>
      </c>
      <c r="B84" s="602" t="s">
        <v>87</v>
      </c>
      <c r="C84" s="615">
        <f t="array" ref="C84">INDEX(AccountCodes[PPSAS CODE],MATCH(B84,AccountCodes[NGAS CODE],0))</f>
        <v>1060499100</v>
      </c>
      <c r="D84" s="616">
        <f>IF(INDEX(AccountCodes[Normal Balance], MATCH(C84,AccountCodes[PPSAS CODE]))="Debit",E84-F84,0)</f>
        <v>0</v>
      </c>
      <c r="E84" s="488">
        <f t="array" ref="E84">(SUM(IF((PostTB[Account Code (Old)]=B84),(PostTB[Debit])))+(SUM(IF((CkDJ[Account Code]=B84)*(CkDJ[Date]&lt;=$A$7),(CkDJ[Debit])))+(SUM(IF((CsDJ[Account Code]=B84)*(CsDJ[Date]&lt;=$A$7),(CsDJ[Debit])))+(SUM(IF((CRDJ[Account Code]=B84)*(CRDJ[Date]&lt;=$A$7),(CRDJ[Debit])))+(SUM(IF((GJ[Account Code]=B84)*(GJ[Date]&lt;=$A$7),(GJ[Debit]))))))))</f>
        <v>0</v>
      </c>
      <c r="F84" s="490">
        <f t="array" ref="F84">(SUM(IF((PostTB[Account Code (Old)]=B84),(PostTB[Credit])))+(SUM(IF((CkDJ[Account Code]=B84)*(CkDJ[Date]&lt;=$A$7),(CkDJ[Credit])))+(SUM(IF((CsDJ[Account Code]=B84)*(CsDJ[Date]&lt;=$A$7),(CsDJ[Credit])))+(SUM(IF((CRDJ[Account Code]=B84)*(CRDJ[Date]&lt;=$A$7),(CRDJ[Credit])))+(SUM(IF((GJ[Account Code]=B84)*(GJ[Date]&lt;=$A$7),(GJ[Credit]))))))))</f>
        <v>0</v>
      </c>
      <c r="G84" s="620">
        <f>IF(INDEX(AccountCodes[Normal Balance], MATCH(C84,AccountCodes[PPSAS CODE]))="Credit",F84-E84,0)</f>
        <v>0</v>
      </c>
      <c r="H84" s="621">
        <f t="shared" si="1"/>
        <v>0</v>
      </c>
    </row>
    <row r="85" spans="1:8" ht="15.75" hidden="1">
      <c r="A85" s="613" t="str">
        <f t="array" ref="A85">INDEX(AccountCodes[ACCOUNT NAME],MATCH(B85,AccountCodes[NGAS CODE],0))</f>
        <v>Machinery</v>
      </c>
      <c r="B85" s="602" t="s">
        <v>46</v>
      </c>
      <c r="C85" s="615">
        <f t="array" ref="C85">INDEX(AccountCodes[PPSAS CODE],MATCH(B85,AccountCodes[NGAS CODE],0))</f>
        <v>1060501000</v>
      </c>
      <c r="D85" s="616">
        <f>IF(INDEX(AccountCodes[Normal Balance], MATCH(C85,AccountCodes[PPSAS CODE]))="Debit",E85-F85,0)</f>
        <v>0</v>
      </c>
      <c r="E85" s="488">
        <f t="array" ref="E85">(SUM(IF((PostTB[Account Code (Old)]=B85),(PostTB[Debit])))+(SUM(IF((CkDJ[Account Code]=B85)*(CkDJ[Date]&lt;=$A$7),(CkDJ[Debit])))+(SUM(IF((CsDJ[Account Code]=B85)*(CsDJ[Date]&lt;=$A$7),(CsDJ[Debit])))+(SUM(IF((CRDJ[Account Code]=B85)*(CRDJ[Date]&lt;=$A$7),(CRDJ[Debit])))+(SUM(IF((GJ[Account Code]=B85)*(GJ[Date]&lt;=$A$7),(GJ[Debit]))))))))</f>
        <v>0</v>
      </c>
      <c r="F85" s="490">
        <f t="array" ref="F85">(SUM(IF((PostTB[Account Code (Old)]=B85),(PostTB[Credit])))+(SUM(IF((CkDJ[Account Code]=B85)*(CkDJ[Date]&lt;=$A$7),(CkDJ[Credit])))+(SUM(IF((CsDJ[Account Code]=B85)*(CsDJ[Date]&lt;=$A$7),(CsDJ[Credit])))+(SUM(IF((CRDJ[Account Code]=B85)*(CRDJ[Date]&lt;=$A$7),(CRDJ[Credit])))+(SUM(IF((GJ[Account Code]=B85)*(GJ[Date]&lt;=$A$7),(GJ[Credit]))))))))</f>
        <v>0</v>
      </c>
      <c r="G85" s="620">
        <f>IF(INDEX(AccountCodes[Normal Balance], MATCH(C85,AccountCodes[PPSAS CODE]))="Credit",F85-E85,0)</f>
        <v>0</v>
      </c>
      <c r="H85" s="621">
        <f t="shared" si="1"/>
        <v>0</v>
      </c>
    </row>
    <row r="86" spans="1:8" ht="15.75" hidden="1">
      <c r="A86" s="613" t="str">
        <f t="array" ref="A86">INDEX(AccountCodes[ACCOUNT NAME],MATCH(B86,AccountCodes[NGAS CODE],0))</f>
        <v>Accumulated Depreciation-Machinery</v>
      </c>
      <c r="B86" s="602" t="s">
        <v>92</v>
      </c>
      <c r="C86" s="615">
        <f t="array" ref="C86">INDEX(AccountCodes[PPSAS CODE],MATCH(B86,AccountCodes[NGAS CODE],0))</f>
        <v>1060501100</v>
      </c>
      <c r="D86" s="616">
        <f>IF(INDEX(AccountCodes[Normal Balance], MATCH(C86,AccountCodes[PPSAS CODE]))="Debit",E86-F86,0)</f>
        <v>0</v>
      </c>
      <c r="E86" s="488">
        <f t="array" ref="E86">(SUM(IF((PostTB[Account Code (Old)]=B86),(PostTB[Debit])))+(SUM(IF((CkDJ[Account Code]=B86)*(CkDJ[Date]&lt;=$A$7),(CkDJ[Debit])))+(SUM(IF((CsDJ[Account Code]=B86)*(CsDJ[Date]&lt;=$A$7),(CsDJ[Debit])))+(SUM(IF((CRDJ[Account Code]=B86)*(CRDJ[Date]&lt;=$A$7),(CRDJ[Debit])))+(SUM(IF((GJ[Account Code]=B86)*(GJ[Date]&lt;=$A$7),(GJ[Debit]))))))))</f>
        <v>0</v>
      </c>
      <c r="F86" s="490">
        <f t="array" ref="F86">(SUM(IF((PostTB[Account Code (Old)]=B86),(PostTB[Credit])))+(SUM(IF((CkDJ[Account Code]=B86)*(CkDJ[Date]&lt;=$A$7),(CkDJ[Credit])))+(SUM(IF((CsDJ[Account Code]=B86)*(CsDJ[Date]&lt;=$A$7),(CsDJ[Credit])))+(SUM(IF((CRDJ[Account Code]=B86)*(CRDJ[Date]&lt;=$A$7),(CRDJ[Credit])))+(SUM(IF((GJ[Account Code]=B86)*(GJ[Date]&lt;=$A$7),(GJ[Credit]))))))))</f>
        <v>0</v>
      </c>
      <c r="G86" s="620">
        <f>IF(INDEX(AccountCodes[Normal Balance], MATCH(C86,AccountCodes[PPSAS CODE]))="Credit",F86-E86,0)</f>
        <v>0</v>
      </c>
      <c r="H86" s="621">
        <f t="shared" si="1"/>
        <v>0</v>
      </c>
    </row>
    <row r="87" spans="1:8" ht="15.75">
      <c r="A87" s="613" t="str">
        <f t="array" ref="A87">INDEX(AccountCodes[ACCOUNT NAME],MATCH(B87,AccountCodes[NGAS CODE],0))</f>
        <v>Office Equipment</v>
      </c>
      <c r="B87" s="602" t="s">
        <v>42</v>
      </c>
      <c r="C87" s="615">
        <f t="array" ref="C87">INDEX(AccountCodes[PPSAS CODE],MATCH(B87,AccountCodes[NGAS CODE],0))</f>
        <v>1060502000</v>
      </c>
      <c r="D87" s="616">
        <f>IF(INDEX(AccountCodes[Normal Balance], MATCH(C87,AccountCodes[PPSAS CODE]))="Debit",E87-F87,0)</f>
        <v>456823</v>
      </c>
      <c r="E87" s="488">
        <f t="array" ref="E87">(SUM(IF((PostTB[Account Code (Old)]=B87),(PostTB[Debit])))+(SUM(IF((CkDJ[Account Code]=B87)*(CkDJ[Date]&lt;=$A$7),(CkDJ[Debit])))+(SUM(IF((CsDJ[Account Code]=B87)*(CsDJ[Date]&lt;=$A$7),(CsDJ[Debit])))+(SUM(IF((CRDJ[Account Code]=B87)*(CRDJ[Date]&lt;=$A$7),(CRDJ[Debit])))+(SUM(IF((GJ[Account Code]=B87)*(GJ[Date]&lt;=$A$7),(GJ[Debit]))))))))</f>
        <v>456823</v>
      </c>
      <c r="F87" s="490">
        <f t="array" ref="F87">(SUM(IF((PostTB[Account Code (Old)]=B87),(PostTB[Credit])))+(SUM(IF((CkDJ[Account Code]=B87)*(CkDJ[Date]&lt;=$A$7),(CkDJ[Credit])))+(SUM(IF((CsDJ[Account Code]=B87)*(CsDJ[Date]&lt;=$A$7),(CsDJ[Credit])))+(SUM(IF((CRDJ[Account Code]=B87)*(CRDJ[Date]&lt;=$A$7),(CRDJ[Credit])))+(SUM(IF((GJ[Account Code]=B87)*(GJ[Date]&lt;=$A$7),(GJ[Credit]))))))))</f>
        <v>0</v>
      </c>
      <c r="G87" s="620">
        <f>IF(INDEX(AccountCodes[Normal Balance], MATCH(C87,AccountCodes[PPSAS CODE]))="Credit",F87-E87,0)</f>
        <v>0</v>
      </c>
      <c r="H87" s="621">
        <f t="shared" si="1"/>
        <v>456823</v>
      </c>
    </row>
    <row r="88" spans="1:8" ht="15.75">
      <c r="A88" s="613" t="str">
        <f t="array" ref="A88">INDEX(AccountCodes[ACCOUNT NAME],MATCH(B88,AccountCodes[NGAS CODE],0))</f>
        <v>Accumulated Depreciation-Office Equipment</v>
      </c>
      <c r="B88" s="602" t="s">
        <v>88</v>
      </c>
      <c r="C88" s="615">
        <f t="array" ref="C88">INDEX(AccountCodes[PPSAS CODE],MATCH(B88,AccountCodes[NGAS CODE],0))</f>
        <v>1060502100</v>
      </c>
      <c r="D88" s="616">
        <f>IF(INDEX(AccountCodes[Normal Balance], MATCH(C88,AccountCodes[PPSAS CODE]))="Debit",E88-F88,0)</f>
        <v>0</v>
      </c>
      <c r="E88" s="488">
        <f t="array" ref="E88">(SUM(IF((PostTB[Account Code (Old)]=B88),(PostTB[Debit])))+(SUM(IF((CkDJ[Account Code]=B88)*(CkDJ[Date]&lt;=$A$7),(CkDJ[Debit])))+(SUM(IF((CsDJ[Account Code]=B88)*(CsDJ[Date]&lt;=$A$7),(CsDJ[Debit])))+(SUM(IF((CRDJ[Account Code]=B88)*(CRDJ[Date]&lt;=$A$7),(CRDJ[Debit])))+(SUM(IF((GJ[Account Code]=B88)*(GJ[Date]&lt;=$A$7),(GJ[Debit]))))))))</f>
        <v>0</v>
      </c>
      <c r="F88" s="490">
        <f t="array" ref="F88">(SUM(IF((PostTB[Account Code (Old)]=B88),(PostTB[Credit])))+(SUM(IF((CkDJ[Account Code]=B88)*(CkDJ[Date]&lt;=$A$7),(CkDJ[Credit])))+(SUM(IF((CsDJ[Account Code]=B88)*(CsDJ[Date]&lt;=$A$7),(CsDJ[Credit])))+(SUM(IF((CRDJ[Account Code]=B88)*(CRDJ[Date]&lt;=$A$7),(CRDJ[Credit])))+(SUM(IF((GJ[Account Code]=B88)*(GJ[Date]&lt;=$A$7),(GJ[Credit]))))))))</f>
        <v>101594.86</v>
      </c>
      <c r="G88" s="620">
        <f>IF(INDEX(AccountCodes[Normal Balance], MATCH(C88,AccountCodes[PPSAS CODE]))="Credit",F88-E88,0)</f>
        <v>101594.86</v>
      </c>
      <c r="H88" s="621">
        <f t="shared" si="1"/>
        <v>101594.86</v>
      </c>
    </row>
    <row r="89" spans="1:8" ht="15.75">
      <c r="A89" s="613" t="str">
        <f t="array" ref="A89">INDEX(AccountCodes[ACCOUNT NAME],MATCH(B89,AccountCodes[NGAS CODE],0))</f>
        <v>Information and Communications Technology Equipment</v>
      </c>
      <c r="B89" s="602" t="s">
        <v>44</v>
      </c>
      <c r="C89" s="615">
        <f t="array" ref="C89">INDEX(AccountCodes[PPSAS CODE],MATCH(B89,AccountCodes[NGAS CODE],0))</f>
        <v>1060503000</v>
      </c>
      <c r="D89" s="616">
        <f>IF(INDEX(AccountCodes[Normal Balance], MATCH(C89,AccountCodes[PPSAS CODE]))="Debit",E89-F89,0)</f>
        <v>1435246</v>
      </c>
      <c r="E89" s="488">
        <f t="array" ref="E89">(SUM(IF((PostTB[Account Code (Old)]=B89),(PostTB[Debit])))+(SUM(IF((CkDJ[Account Code]=B89)*(CkDJ[Date]&lt;=$A$7),(CkDJ[Debit])))+(SUM(IF((CsDJ[Account Code]=B89)*(CsDJ[Date]&lt;=$A$7),(CsDJ[Debit])))+(SUM(IF((CRDJ[Account Code]=B89)*(CRDJ[Date]&lt;=$A$7),(CRDJ[Debit])))+(SUM(IF((GJ[Account Code]=B89)*(GJ[Date]&lt;=$A$7),(GJ[Debit]))))))))</f>
        <v>1435246</v>
      </c>
      <c r="F89" s="490">
        <f t="array" ref="F89">(SUM(IF((PostTB[Account Code (Old)]=B89),(PostTB[Credit])))+(SUM(IF((CkDJ[Account Code]=B89)*(CkDJ[Date]&lt;=$A$7),(CkDJ[Credit])))+(SUM(IF((CsDJ[Account Code]=B89)*(CsDJ[Date]&lt;=$A$7),(CsDJ[Credit])))+(SUM(IF((CRDJ[Account Code]=B89)*(CRDJ[Date]&lt;=$A$7),(CRDJ[Credit])))+(SUM(IF((GJ[Account Code]=B89)*(GJ[Date]&lt;=$A$7),(GJ[Credit]))))))))</f>
        <v>0</v>
      </c>
      <c r="G89" s="620">
        <f>IF(INDEX(AccountCodes[Normal Balance], MATCH(C89,AccountCodes[PPSAS CODE]))="Credit",F89-E89,0)</f>
        <v>0</v>
      </c>
      <c r="H89" s="621">
        <f t="shared" si="1"/>
        <v>1435246</v>
      </c>
    </row>
    <row r="90" spans="1:8" ht="15.75">
      <c r="A90" s="613" t="str">
        <f t="array" ref="A90">INDEX(AccountCodes[ACCOUNT NAME],MATCH(B90,AccountCodes[NGAS CODE],0))</f>
        <v>Accumulated Depreciation-Information and Communications Technology Equipment</v>
      </c>
      <c r="B90" s="602" t="s">
        <v>90</v>
      </c>
      <c r="C90" s="615">
        <f t="array" ref="C90">INDEX(AccountCodes[PPSAS CODE],MATCH(B90,AccountCodes[NGAS CODE],0))</f>
        <v>1060503100</v>
      </c>
      <c r="D90" s="616">
        <f>IF(INDEX(AccountCodes[Normal Balance], MATCH(C90,AccountCodes[PPSAS CODE]))="Debit",E90-F90,0)</f>
        <v>0</v>
      </c>
      <c r="E90" s="488">
        <f t="array" ref="E90">(SUM(IF((PostTB[Account Code (Old)]=B90),(PostTB[Debit])))+(SUM(IF((CkDJ[Account Code]=B90)*(CkDJ[Date]&lt;=$A$7),(CkDJ[Debit])))+(SUM(IF((CsDJ[Account Code]=B90)*(CsDJ[Date]&lt;=$A$7),(CsDJ[Debit])))+(SUM(IF((CRDJ[Account Code]=B90)*(CRDJ[Date]&lt;=$A$7),(CRDJ[Debit])))+(SUM(IF((GJ[Account Code]=B90)*(GJ[Date]&lt;=$A$7),(GJ[Debit]))))))))</f>
        <v>0</v>
      </c>
      <c r="F90" s="490">
        <f t="array" ref="F90">(SUM(IF((PostTB[Account Code (Old)]=B90),(PostTB[Credit])))+(SUM(IF((CkDJ[Account Code]=B90)*(CkDJ[Date]&lt;=$A$7),(CkDJ[Credit])))+(SUM(IF((CsDJ[Account Code]=B90)*(CsDJ[Date]&lt;=$A$7),(CsDJ[Credit])))+(SUM(IF((CRDJ[Account Code]=B90)*(CRDJ[Date]&lt;=$A$7),(CRDJ[Credit])))+(SUM(IF((GJ[Account Code]=B90)*(GJ[Date]&lt;=$A$7),(GJ[Credit]))))))))</f>
        <v>349169.17</v>
      </c>
      <c r="G90" s="620">
        <f>IF(INDEX(AccountCodes[Normal Balance], MATCH(C90,AccountCodes[PPSAS CODE]))="Credit",F90-E90,0)</f>
        <v>349169.17</v>
      </c>
      <c r="H90" s="621">
        <f t="shared" si="1"/>
        <v>349169.17</v>
      </c>
    </row>
    <row r="91" spans="1:8" ht="15.75" hidden="1">
      <c r="A91" s="613" t="str">
        <f t="array" ref="A91">INDEX(AccountCodes[ACCOUNT NAME],MATCH(B91,AccountCodes[NGAS CODE],0))</f>
        <v>Agricultural and Forestry Equipment</v>
      </c>
      <c r="B91" s="602" t="s">
        <v>47</v>
      </c>
      <c r="C91" s="615">
        <f t="array" ref="C91">INDEX(AccountCodes[PPSAS CODE],MATCH(B91,AccountCodes[NGAS CODE],0))</f>
        <v>1060504000</v>
      </c>
      <c r="D91" s="616">
        <f>IF(INDEX(AccountCodes[Normal Balance], MATCH(C91,AccountCodes[PPSAS CODE]))="Debit",E91-F91,0)</f>
        <v>0</v>
      </c>
      <c r="E91" s="488">
        <f t="array" ref="E91">(SUM(IF((PostTB[Account Code (Old)]=B91),(PostTB[Debit])))+(SUM(IF((CkDJ[Account Code]=B91)*(CkDJ[Date]&lt;=$A$7),(CkDJ[Debit])))+(SUM(IF((CsDJ[Account Code]=B91)*(CsDJ[Date]&lt;=$A$7),(CsDJ[Debit])))+(SUM(IF((CRDJ[Account Code]=B91)*(CRDJ[Date]&lt;=$A$7),(CRDJ[Debit])))+(SUM(IF((GJ[Account Code]=B91)*(GJ[Date]&lt;=$A$7),(GJ[Debit]))))))))</f>
        <v>0</v>
      </c>
      <c r="F91" s="490">
        <f t="array" ref="F91">(SUM(IF((PostTB[Account Code (Old)]=B91),(PostTB[Credit])))+(SUM(IF((CkDJ[Account Code]=B91)*(CkDJ[Date]&lt;=$A$7),(CkDJ[Credit])))+(SUM(IF((CsDJ[Account Code]=B91)*(CsDJ[Date]&lt;=$A$7),(CsDJ[Credit])))+(SUM(IF((CRDJ[Account Code]=B91)*(CRDJ[Date]&lt;=$A$7),(CRDJ[Credit])))+(SUM(IF((GJ[Account Code]=B91)*(GJ[Date]&lt;=$A$7),(GJ[Credit]))))))))</f>
        <v>0</v>
      </c>
      <c r="G91" s="620">
        <f>IF(INDEX(AccountCodes[Normal Balance], MATCH(C91,AccountCodes[PPSAS CODE]))="Credit",F91-E91,0)</f>
        <v>0</v>
      </c>
      <c r="H91" s="621">
        <f t="shared" si="1"/>
        <v>0</v>
      </c>
    </row>
    <row r="92" spans="1:8" ht="15.75" hidden="1">
      <c r="A92" s="613" t="str">
        <f t="array" ref="A92">INDEX(AccountCodes[ACCOUNT NAME],MATCH(B92,AccountCodes[NGAS CODE],0))</f>
        <v>Accumulated Depreciation-Agricultural and Forestry Equipment</v>
      </c>
      <c r="B92" s="602" t="s">
        <v>93</v>
      </c>
      <c r="C92" s="615">
        <f t="array" ref="C92">INDEX(AccountCodes[PPSAS CODE],MATCH(B92,AccountCodes[NGAS CODE],0))</f>
        <v>1060504100</v>
      </c>
      <c r="D92" s="616">
        <f>IF(INDEX(AccountCodes[Normal Balance], MATCH(C92,AccountCodes[PPSAS CODE]))="Debit",E92-F92,0)</f>
        <v>0</v>
      </c>
      <c r="E92" s="488">
        <f t="array" ref="E92">(SUM(IF((PostTB[Account Code (Old)]=B92),(PostTB[Debit])))+(SUM(IF((CkDJ[Account Code]=B92)*(CkDJ[Date]&lt;=$A$7),(CkDJ[Debit])))+(SUM(IF((CsDJ[Account Code]=B92)*(CsDJ[Date]&lt;=$A$7),(CsDJ[Debit])))+(SUM(IF((CRDJ[Account Code]=B92)*(CRDJ[Date]&lt;=$A$7),(CRDJ[Debit])))+(SUM(IF((GJ[Account Code]=B92)*(GJ[Date]&lt;=$A$7),(GJ[Debit]))))))))</f>
        <v>0</v>
      </c>
      <c r="F92" s="490">
        <f t="array" ref="F92">(SUM(IF((PostTB[Account Code (Old)]=B92),(PostTB[Credit])))+(SUM(IF((CkDJ[Account Code]=B92)*(CkDJ[Date]&lt;=$A$7),(CkDJ[Credit])))+(SUM(IF((CsDJ[Account Code]=B92)*(CsDJ[Date]&lt;=$A$7),(CsDJ[Credit])))+(SUM(IF((CRDJ[Account Code]=B92)*(CRDJ[Date]&lt;=$A$7),(CRDJ[Credit])))+(SUM(IF((GJ[Account Code]=B92)*(GJ[Date]&lt;=$A$7),(GJ[Credit]))))))))</f>
        <v>0</v>
      </c>
      <c r="G92" s="620">
        <f>IF(INDEX(AccountCodes[Normal Balance], MATCH(C92,AccountCodes[PPSAS CODE]))="Credit",F92-E92,0)</f>
        <v>0</v>
      </c>
      <c r="H92" s="621">
        <f t="shared" si="1"/>
        <v>0</v>
      </c>
    </row>
    <row r="93" spans="1:8" ht="15.75" hidden="1">
      <c r="A93" s="613" t="str">
        <f t="array" ref="A93">INDEX(AccountCodes[ACCOUNT NAME],MATCH(B93,AccountCodes[NGAS CODE],0))</f>
        <v>Marine and Fishery Equipment</v>
      </c>
      <c r="B93" s="602" t="s">
        <v>1258</v>
      </c>
      <c r="C93" s="615">
        <f t="array" ref="C93">INDEX(AccountCodes[PPSAS CODE],MATCH(B93,AccountCodes[NGAS CODE],0))</f>
        <v>1060505000</v>
      </c>
      <c r="D93" s="616">
        <f>IF(INDEX(AccountCodes[Normal Balance], MATCH(C93,AccountCodes[PPSAS CODE]))="Debit",E93-F93,0)</f>
        <v>0</v>
      </c>
      <c r="E93" s="488">
        <f t="array" ref="E93">(SUM(IF((PostTB[Account Code (Old)]=B93),(PostTB[Debit])))+(SUM(IF((CkDJ[Account Code]=B93)*(CkDJ[Date]&lt;=$A$7),(CkDJ[Debit])))+(SUM(IF((CsDJ[Account Code]=B93)*(CsDJ[Date]&lt;=$A$7),(CsDJ[Debit])))+(SUM(IF((CRDJ[Account Code]=B93)*(CRDJ[Date]&lt;=$A$7),(CRDJ[Debit])))+(SUM(IF((GJ[Account Code]=B93)*(GJ[Date]&lt;=$A$7),(GJ[Debit]))))))))</f>
        <v>0</v>
      </c>
      <c r="F93" s="490">
        <f t="array" ref="F93">(SUM(IF((PostTB[Account Code (Old)]=B93),(PostTB[Credit])))+(SUM(IF((CkDJ[Account Code]=B93)*(CkDJ[Date]&lt;=$A$7),(CkDJ[Credit])))+(SUM(IF((CsDJ[Account Code]=B93)*(CsDJ[Date]&lt;=$A$7),(CsDJ[Credit])))+(SUM(IF((CRDJ[Account Code]=B93)*(CRDJ[Date]&lt;=$A$7),(CRDJ[Credit])))+(SUM(IF((GJ[Account Code]=B93)*(GJ[Date]&lt;=$A$7),(GJ[Credit]))))))))</f>
        <v>0</v>
      </c>
      <c r="G93" s="620">
        <f>IF(INDEX(AccountCodes[Normal Balance], MATCH(C93,AccountCodes[PPSAS CODE]))="Credit",F93-E93,0)</f>
        <v>0</v>
      </c>
      <c r="H93" s="621">
        <f t="shared" si="1"/>
        <v>0</v>
      </c>
    </row>
    <row r="94" spans="1:8" ht="15.75" hidden="1">
      <c r="A94" s="613" t="str">
        <f t="array" ref="A94">INDEX(AccountCodes[ACCOUNT NAME],MATCH(B94,AccountCodes[NGAS CODE],0))</f>
        <v>Accumulated Depreciation-Marine and Fishery Equipment</v>
      </c>
      <c r="B94" s="602" t="s">
        <v>1259</v>
      </c>
      <c r="C94" s="615">
        <f t="array" ref="C94">INDEX(AccountCodes[PPSAS CODE],MATCH(B94,AccountCodes[NGAS CODE],0))</f>
        <v>1060505100</v>
      </c>
      <c r="D94" s="616">
        <f>IF(INDEX(AccountCodes[Normal Balance], MATCH(C94,AccountCodes[PPSAS CODE]))="Debit",E94-F94,0)</f>
        <v>0</v>
      </c>
      <c r="E94" s="488">
        <f t="array" ref="E94">(SUM(IF((PostTB[Account Code (Old)]=B94),(PostTB[Debit])))+(SUM(IF((CkDJ[Account Code]=B94)*(CkDJ[Date]&lt;=$A$7),(CkDJ[Debit])))+(SUM(IF((CsDJ[Account Code]=B94)*(CsDJ[Date]&lt;=$A$7),(CsDJ[Debit])))+(SUM(IF((CRDJ[Account Code]=B94)*(CRDJ[Date]&lt;=$A$7),(CRDJ[Debit])))+(SUM(IF((GJ[Account Code]=B94)*(GJ[Date]&lt;=$A$7),(GJ[Debit]))))))))</f>
        <v>0</v>
      </c>
      <c r="F94" s="490">
        <f t="array" ref="F94">(SUM(IF((PostTB[Account Code (Old)]=B94),(PostTB[Credit])))+(SUM(IF((CkDJ[Account Code]=B94)*(CkDJ[Date]&lt;=$A$7),(CkDJ[Credit])))+(SUM(IF((CsDJ[Account Code]=B94)*(CsDJ[Date]&lt;=$A$7),(CsDJ[Credit])))+(SUM(IF((CRDJ[Account Code]=B94)*(CRDJ[Date]&lt;=$A$7),(CRDJ[Credit])))+(SUM(IF((GJ[Account Code]=B94)*(GJ[Date]&lt;=$A$7),(GJ[Credit]))))))))</f>
        <v>0</v>
      </c>
      <c r="G94" s="620">
        <f>IF(INDEX(AccountCodes[Normal Balance], MATCH(C94,AccountCodes[PPSAS CODE]))="Credit",F94-E94,0)</f>
        <v>0</v>
      </c>
      <c r="H94" s="621">
        <f t="shared" si="1"/>
        <v>0</v>
      </c>
    </row>
    <row r="95" spans="1:8" ht="15.75" hidden="1">
      <c r="A95" s="613" t="str">
        <f t="array" ref="A95">INDEX(AccountCodes[ACCOUNT NAME],MATCH(B95,AccountCodes[NGAS CODE],0))</f>
        <v>Communication Equipment</v>
      </c>
      <c r="B95" s="602" t="s">
        <v>48</v>
      </c>
      <c r="C95" s="615">
        <f t="array" ref="C95">INDEX(AccountCodes[PPSAS CODE],MATCH(B95,AccountCodes[NGAS CODE],0))</f>
        <v>1060507000</v>
      </c>
      <c r="D95" s="616">
        <f>IF(INDEX(AccountCodes[Normal Balance], MATCH(C95,AccountCodes[PPSAS CODE]))="Debit",E95-F95,0)</f>
        <v>0</v>
      </c>
      <c r="E95" s="488">
        <f t="array" ref="E95">(SUM(IF((PostTB[Account Code (Old)]=B95),(PostTB[Debit])))+(SUM(IF((CkDJ[Account Code]=B95)*(CkDJ[Date]&lt;=$A$7),(CkDJ[Debit])))+(SUM(IF((CsDJ[Account Code]=B95)*(CsDJ[Date]&lt;=$A$7),(CsDJ[Debit])))+(SUM(IF((CRDJ[Account Code]=B95)*(CRDJ[Date]&lt;=$A$7),(CRDJ[Debit])))+(SUM(IF((GJ[Account Code]=B95)*(GJ[Date]&lt;=$A$7),(GJ[Debit]))))))))</f>
        <v>0</v>
      </c>
      <c r="F95" s="490">
        <f t="array" ref="F95">(SUM(IF((PostTB[Account Code (Old)]=B95),(PostTB[Credit])))+(SUM(IF((CkDJ[Account Code]=B95)*(CkDJ[Date]&lt;=$A$7),(CkDJ[Credit])))+(SUM(IF((CsDJ[Account Code]=B95)*(CsDJ[Date]&lt;=$A$7),(CsDJ[Credit])))+(SUM(IF((CRDJ[Account Code]=B95)*(CRDJ[Date]&lt;=$A$7),(CRDJ[Credit])))+(SUM(IF((GJ[Account Code]=B95)*(GJ[Date]&lt;=$A$7),(GJ[Credit]))))))))</f>
        <v>0</v>
      </c>
      <c r="G95" s="620">
        <f>IF(INDEX(AccountCodes[Normal Balance], MATCH(C95,AccountCodes[PPSAS CODE]))="Credit",F95-E95,0)</f>
        <v>0</v>
      </c>
      <c r="H95" s="621">
        <f t="shared" si="1"/>
        <v>0</v>
      </c>
    </row>
    <row r="96" spans="1:8" ht="15.75" hidden="1">
      <c r="A96" s="613" t="str">
        <f t="array" ref="A96">INDEX(AccountCodes[ACCOUNT NAME],MATCH(B96,AccountCodes[NGAS CODE],0))</f>
        <v>Accumulated Depreciation-Communication Equipment</v>
      </c>
      <c r="B96" s="602" t="s">
        <v>94</v>
      </c>
      <c r="C96" s="615">
        <f t="array" ref="C96">INDEX(AccountCodes[PPSAS CODE],MATCH(B96,AccountCodes[NGAS CODE],0))</f>
        <v>1060507100</v>
      </c>
      <c r="D96" s="616">
        <f>IF(INDEX(AccountCodes[Normal Balance], MATCH(C96,AccountCodes[PPSAS CODE]))="Debit",E96-F96,0)</f>
        <v>0</v>
      </c>
      <c r="E96" s="488">
        <f t="array" ref="E96">(SUM(IF((PostTB[Account Code (Old)]=B96),(PostTB[Debit])))+(SUM(IF((CkDJ[Account Code]=B96)*(CkDJ[Date]&lt;=$A$7),(CkDJ[Debit])))+(SUM(IF((CsDJ[Account Code]=B96)*(CsDJ[Date]&lt;=$A$7),(CsDJ[Debit])))+(SUM(IF((CRDJ[Account Code]=B96)*(CRDJ[Date]&lt;=$A$7),(CRDJ[Debit])))+(SUM(IF((GJ[Account Code]=B96)*(GJ[Date]&lt;=$A$7),(GJ[Debit]))))))))</f>
        <v>0</v>
      </c>
      <c r="F96" s="490">
        <f t="array" ref="F96">(SUM(IF((PostTB[Account Code (Old)]=B96),(PostTB[Credit])))+(SUM(IF((CkDJ[Account Code]=B96)*(CkDJ[Date]&lt;=$A$7),(CkDJ[Credit])))+(SUM(IF((CsDJ[Account Code]=B96)*(CsDJ[Date]&lt;=$A$7),(CsDJ[Credit])))+(SUM(IF((CRDJ[Account Code]=B96)*(CRDJ[Date]&lt;=$A$7),(CRDJ[Credit])))+(SUM(IF((GJ[Account Code]=B96)*(GJ[Date]&lt;=$A$7),(GJ[Credit]))))))))</f>
        <v>0</v>
      </c>
      <c r="G96" s="620">
        <f>IF(INDEX(AccountCodes[Normal Balance], MATCH(C96,AccountCodes[PPSAS CODE]))="Credit",F96-E96,0)</f>
        <v>0</v>
      </c>
      <c r="H96" s="621">
        <f t="shared" si="1"/>
        <v>0</v>
      </c>
    </row>
    <row r="97" spans="1:8" ht="15.75" hidden="1">
      <c r="A97" s="613" t="str">
        <f t="array" ref="A97">INDEX(AccountCodes[ACCOUNT NAME],MATCH(B97,AccountCodes[NGAS CODE],0))</f>
        <v>Construction and Heavy Equipment</v>
      </c>
      <c r="B97" s="602" t="s">
        <v>49</v>
      </c>
      <c r="C97" s="615">
        <f t="array" ref="C97">INDEX(AccountCodes[PPSAS CODE],MATCH(B97,AccountCodes[NGAS CODE],0))</f>
        <v>1060508000</v>
      </c>
      <c r="D97" s="616">
        <f>IF(INDEX(AccountCodes[Normal Balance], MATCH(C97,AccountCodes[PPSAS CODE]))="Debit",E97-F97,0)</f>
        <v>0</v>
      </c>
      <c r="E97" s="488">
        <f t="array" ref="E97">(SUM(IF((PostTB[Account Code (Old)]=B97),(PostTB[Debit])))+(SUM(IF((CkDJ[Account Code]=B97)*(CkDJ[Date]&lt;=$A$7),(CkDJ[Debit])))+(SUM(IF((CsDJ[Account Code]=B97)*(CsDJ[Date]&lt;=$A$7),(CsDJ[Debit])))+(SUM(IF((CRDJ[Account Code]=B97)*(CRDJ[Date]&lt;=$A$7),(CRDJ[Debit])))+(SUM(IF((GJ[Account Code]=B97)*(GJ[Date]&lt;=$A$7),(GJ[Debit]))))))))</f>
        <v>0</v>
      </c>
      <c r="F97" s="490">
        <f t="array" ref="F97">(SUM(IF((PostTB[Account Code (Old)]=B97),(PostTB[Credit])))+(SUM(IF((CkDJ[Account Code]=B97)*(CkDJ[Date]&lt;=$A$7),(CkDJ[Credit])))+(SUM(IF((CsDJ[Account Code]=B97)*(CsDJ[Date]&lt;=$A$7),(CsDJ[Credit])))+(SUM(IF((CRDJ[Account Code]=B97)*(CRDJ[Date]&lt;=$A$7),(CRDJ[Credit])))+(SUM(IF((GJ[Account Code]=B97)*(GJ[Date]&lt;=$A$7),(GJ[Credit]))))))))</f>
        <v>0</v>
      </c>
      <c r="G97" s="620">
        <f>IF(INDEX(AccountCodes[Normal Balance], MATCH(C97,AccountCodes[PPSAS CODE]))="Credit",F97-E97,0)</f>
        <v>0</v>
      </c>
      <c r="H97" s="621">
        <f t="shared" si="1"/>
        <v>0</v>
      </c>
    </row>
    <row r="98" spans="1:8" ht="15.75" hidden="1">
      <c r="A98" s="613" t="str">
        <f t="array" ref="A98">INDEX(AccountCodes[ACCOUNT NAME],MATCH(B98,AccountCodes[NGAS CODE],0))</f>
        <v>Accumulated Depreciation-Construction and Heavy Equipment</v>
      </c>
      <c r="B98" s="602" t="s">
        <v>95</v>
      </c>
      <c r="C98" s="615">
        <f t="array" ref="C98">INDEX(AccountCodes[PPSAS CODE],MATCH(B98,AccountCodes[NGAS CODE],0))</f>
        <v>1060508100</v>
      </c>
      <c r="D98" s="616">
        <f>IF(INDEX(AccountCodes[Normal Balance], MATCH(C98,AccountCodes[PPSAS CODE]))="Debit",E98-F98,0)</f>
        <v>0</v>
      </c>
      <c r="E98" s="488">
        <f t="array" ref="E98">(SUM(IF((PostTB[Account Code (Old)]=B98),(PostTB[Debit])))+(SUM(IF((CkDJ[Account Code]=B98)*(CkDJ[Date]&lt;=$A$7),(CkDJ[Debit])))+(SUM(IF((CsDJ[Account Code]=B98)*(CsDJ[Date]&lt;=$A$7),(CsDJ[Debit])))+(SUM(IF((CRDJ[Account Code]=B98)*(CRDJ[Date]&lt;=$A$7),(CRDJ[Debit])))+(SUM(IF((GJ[Account Code]=B98)*(GJ[Date]&lt;=$A$7),(GJ[Debit]))))))))</f>
        <v>0</v>
      </c>
      <c r="F98" s="490">
        <f t="array" ref="F98">(SUM(IF((PostTB[Account Code (Old)]=B98),(PostTB[Credit])))+(SUM(IF((CkDJ[Account Code]=B98)*(CkDJ[Date]&lt;=$A$7),(CkDJ[Credit])))+(SUM(IF((CsDJ[Account Code]=B98)*(CsDJ[Date]&lt;=$A$7),(CsDJ[Credit])))+(SUM(IF((CRDJ[Account Code]=B98)*(CRDJ[Date]&lt;=$A$7),(CRDJ[Credit])))+(SUM(IF((GJ[Account Code]=B98)*(GJ[Date]&lt;=$A$7),(GJ[Credit]))))))))</f>
        <v>0</v>
      </c>
      <c r="G98" s="620">
        <f>IF(INDEX(AccountCodes[Normal Balance], MATCH(C98,AccountCodes[PPSAS CODE]))="Credit",F98-E98,0)</f>
        <v>0</v>
      </c>
      <c r="H98" s="621">
        <f t="shared" si="1"/>
        <v>0</v>
      </c>
    </row>
    <row r="99" spans="1:8" ht="15.75" hidden="1">
      <c r="A99" s="613" t="str">
        <f t="array" ref="A99">INDEX(AccountCodes[ACCOUNT NAME],MATCH(B99,AccountCodes[NGAS CODE],0))</f>
        <v>Disaster Response and Rescue Equipment</v>
      </c>
      <c r="B99" s="602" t="s">
        <v>50</v>
      </c>
      <c r="C99" s="615">
        <f t="array" ref="C99">INDEX(AccountCodes[PPSAS CODE],MATCH(B99,AccountCodes[NGAS CODE],0))</f>
        <v>1060509000</v>
      </c>
      <c r="D99" s="616">
        <f>IF(INDEX(AccountCodes[Normal Balance], MATCH(C99,AccountCodes[PPSAS CODE]))="Debit",E99-F99,0)</f>
        <v>0</v>
      </c>
      <c r="E99" s="488">
        <f t="array" ref="E99">(SUM(IF((PostTB[Account Code (Old)]=B99),(PostTB[Debit])))+(SUM(IF((CkDJ[Account Code]=B99)*(CkDJ[Date]&lt;=$A$7),(CkDJ[Debit])))+(SUM(IF((CsDJ[Account Code]=B99)*(CsDJ[Date]&lt;=$A$7),(CsDJ[Debit])))+(SUM(IF((CRDJ[Account Code]=B99)*(CRDJ[Date]&lt;=$A$7),(CRDJ[Debit])))+(SUM(IF((GJ[Account Code]=B99)*(GJ[Date]&lt;=$A$7),(GJ[Debit]))))))))</f>
        <v>0</v>
      </c>
      <c r="F99" s="490">
        <f t="array" ref="F99">(SUM(IF((PostTB[Account Code (Old)]=B99),(PostTB[Credit])))+(SUM(IF((CkDJ[Account Code]=B99)*(CkDJ[Date]&lt;=$A$7),(CkDJ[Credit])))+(SUM(IF((CsDJ[Account Code]=B99)*(CsDJ[Date]&lt;=$A$7),(CsDJ[Credit])))+(SUM(IF((CRDJ[Account Code]=B99)*(CRDJ[Date]&lt;=$A$7),(CRDJ[Credit])))+(SUM(IF((GJ[Account Code]=B99)*(GJ[Date]&lt;=$A$7),(GJ[Credit]))))))))</f>
        <v>0</v>
      </c>
      <c r="G99" s="620">
        <f>IF(INDEX(AccountCodes[Normal Balance], MATCH(C99,AccountCodes[PPSAS CODE]))="Credit",F99-E99,0)</f>
        <v>0</v>
      </c>
      <c r="H99" s="621">
        <f t="shared" si="1"/>
        <v>0</v>
      </c>
    </row>
    <row r="100" spans="1:8" ht="15.75" hidden="1">
      <c r="A100" s="613" t="str">
        <f t="array" ref="A100">INDEX(AccountCodes[ACCOUNT NAME],MATCH(B100,AccountCodes[NGAS CODE],0))</f>
        <v>Accumulated Depreciation-Disaster Response and Rescue Equipment</v>
      </c>
      <c r="B100" s="602" t="s">
        <v>96</v>
      </c>
      <c r="C100" s="615">
        <f t="array" ref="C100">INDEX(AccountCodes[PPSAS CODE],MATCH(B100,AccountCodes[NGAS CODE],0))</f>
        <v>1060509100</v>
      </c>
      <c r="D100" s="616">
        <f>IF(INDEX(AccountCodes[Normal Balance], MATCH(C100,AccountCodes[PPSAS CODE]))="Debit",E100-F100,0)</f>
        <v>0</v>
      </c>
      <c r="E100" s="488">
        <f t="array" ref="E100">(SUM(IF((PostTB[Account Code (Old)]=B100),(PostTB[Debit])))+(SUM(IF((CkDJ[Account Code]=B100)*(CkDJ[Date]&lt;=$A$7),(CkDJ[Debit])))+(SUM(IF((CsDJ[Account Code]=B100)*(CsDJ[Date]&lt;=$A$7),(CsDJ[Debit])))+(SUM(IF((CRDJ[Account Code]=B100)*(CRDJ[Date]&lt;=$A$7),(CRDJ[Debit])))+(SUM(IF((GJ[Account Code]=B100)*(GJ[Date]&lt;=$A$7),(GJ[Debit]))))))))</f>
        <v>0</v>
      </c>
      <c r="F100" s="490">
        <f t="array" ref="F100">(SUM(IF((PostTB[Account Code (Old)]=B100),(PostTB[Credit])))+(SUM(IF((CkDJ[Account Code]=B100)*(CkDJ[Date]&lt;=$A$7),(CkDJ[Credit])))+(SUM(IF((CsDJ[Account Code]=B100)*(CsDJ[Date]&lt;=$A$7),(CsDJ[Credit])))+(SUM(IF((CRDJ[Account Code]=B100)*(CRDJ[Date]&lt;=$A$7),(CRDJ[Credit])))+(SUM(IF((GJ[Account Code]=B100)*(GJ[Date]&lt;=$A$7),(GJ[Credit]))))))))</f>
        <v>0</v>
      </c>
      <c r="G100" s="620">
        <f>IF(INDEX(AccountCodes[Normal Balance], MATCH(C100,AccountCodes[PPSAS CODE]))="Credit",F100-E100,0)</f>
        <v>0</v>
      </c>
      <c r="H100" s="621">
        <f t="shared" si="1"/>
        <v>0</v>
      </c>
    </row>
    <row r="101" spans="1:8" ht="15.75" hidden="1">
      <c r="A101" s="613" t="str">
        <f t="array" ref="A101">INDEX(AccountCodes[ACCOUNT NAME],MATCH(B101,AccountCodes[NGAS CODE],0))</f>
        <v>Military, Police and Security Equipment</v>
      </c>
      <c r="B101" s="602" t="s">
        <v>51</v>
      </c>
      <c r="C101" s="615">
        <f t="array" ref="C101">INDEX(AccountCodes[PPSAS CODE],MATCH(B101,AccountCodes[NGAS CODE],0))</f>
        <v>1060510000</v>
      </c>
      <c r="D101" s="616">
        <f>IF(INDEX(AccountCodes[Normal Balance], MATCH(C101,AccountCodes[PPSAS CODE]))="Debit",E101-F101,0)</f>
        <v>0</v>
      </c>
      <c r="E101" s="488">
        <f t="array" ref="E101">(SUM(IF((PostTB[Account Code (Old)]=B101),(PostTB[Debit])))+(SUM(IF((CkDJ[Account Code]=B101)*(CkDJ[Date]&lt;=$A$7),(CkDJ[Debit])))+(SUM(IF((CsDJ[Account Code]=B101)*(CsDJ[Date]&lt;=$A$7),(CsDJ[Debit])))+(SUM(IF((CRDJ[Account Code]=B101)*(CRDJ[Date]&lt;=$A$7),(CRDJ[Debit])))+(SUM(IF((GJ[Account Code]=B101)*(GJ[Date]&lt;=$A$7),(GJ[Debit]))))))))</f>
        <v>0</v>
      </c>
      <c r="F101" s="490">
        <f t="array" ref="F101">(SUM(IF((PostTB[Account Code (Old)]=B101),(PostTB[Credit])))+(SUM(IF((CkDJ[Account Code]=B101)*(CkDJ[Date]&lt;=$A$7),(CkDJ[Credit])))+(SUM(IF((CsDJ[Account Code]=B101)*(CsDJ[Date]&lt;=$A$7),(CsDJ[Credit])))+(SUM(IF((CRDJ[Account Code]=B101)*(CRDJ[Date]&lt;=$A$7),(CRDJ[Credit])))+(SUM(IF((GJ[Account Code]=B101)*(GJ[Date]&lt;=$A$7),(GJ[Credit]))))))))</f>
        <v>0</v>
      </c>
      <c r="G101" s="620">
        <f>IF(INDEX(AccountCodes[Normal Balance], MATCH(C101,AccountCodes[PPSAS CODE]))="Credit",F101-E101,0)</f>
        <v>0</v>
      </c>
      <c r="H101" s="621">
        <f t="shared" si="1"/>
        <v>0</v>
      </c>
    </row>
    <row r="102" spans="1:8" ht="15.75" hidden="1">
      <c r="A102" s="613" t="str">
        <f t="array" ref="A102">INDEX(AccountCodes[ACCOUNT NAME],MATCH(B102,AccountCodes[NGAS CODE],0))</f>
        <v>Accumulated Depreciation-Military, Police and Security Equipment</v>
      </c>
      <c r="B102" s="602" t="s">
        <v>97</v>
      </c>
      <c r="C102" s="615">
        <f t="array" ref="C102">INDEX(AccountCodes[PPSAS CODE],MATCH(B102,AccountCodes[NGAS CODE],0))</f>
        <v>1060510100</v>
      </c>
      <c r="D102" s="616">
        <f>IF(INDEX(AccountCodes[Normal Balance], MATCH(C102,AccountCodes[PPSAS CODE]))="Debit",E102-F102,0)</f>
        <v>0</v>
      </c>
      <c r="E102" s="488">
        <f t="array" ref="E102">(SUM(IF((PostTB[Account Code (Old)]=B102),(PostTB[Debit])))+(SUM(IF((CkDJ[Account Code]=B102)*(CkDJ[Date]&lt;=$A$7),(CkDJ[Debit])))+(SUM(IF((CsDJ[Account Code]=B102)*(CsDJ[Date]&lt;=$A$7),(CsDJ[Debit])))+(SUM(IF((CRDJ[Account Code]=B102)*(CRDJ[Date]&lt;=$A$7),(CRDJ[Debit])))+(SUM(IF((GJ[Account Code]=B102)*(GJ[Date]&lt;=$A$7),(GJ[Debit]))))))))</f>
        <v>0</v>
      </c>
      <c r="F102" s="490">
        <f t="array" ref="F102">(SUM(IF((PostTB[Account Code (Old)]=B102),(PostTB[Credit])))+(SUM(IF((CkDJ[Account Code]=B102)*(CkDJ[Date]&lt;=$A$7),(CkDJ[Credit])))+(SUM(IF((CsDJ[Account Code]=B102)*(CsDJ[Date]&lt;=$A$7),(CsDJ[Credit])))+(SUM(IF((CRDJ[Account Code]=B102)*(CRDJ[Date]&lt;=$A$7),(CRDJ[Credit])))+(SUM(IF((GJ[Account Code]=B102)*(GJ[Date]&lt;=$A$7),(GJ[Credit]))))))))</f>
        <v>0</v>
      </c>
      <c r="G102" s="620">
        <f>IF(INDEX(AccountCodes[Normal Balance], MATCH(C102,AccountCodes[PPSAS CODE]))="Credit",F102-E102,0)</f>
        <v>0</v>
      </c>
      <c r="H102" s="621">
        <f t="shared" si="1"/>
        <v>0</v>
      </c>
    </row>
    <row r="103" spans="1:8" ht="15.75" hidden="1">
      <c r="A103" s="613" t="str">
        <f t="array" ref="A103">INDEX(AccountCodes[ACCOUNT NAME],MATCH(B103,AccountCodes[NGAS CODE],0))</f>
        <v>Medical Equipment</v>
      </c>
      <c r="B103" s="602" t="s">
        <v>406</v>
      </c>
      <c r="C103" s="615">
        <f t="array" ref="C103">INDEX(AccountCodes[PPSAS CODE],MATCH(B103,AccountCodes[NGAS CODE],0))</f>
        <v>1060511000</v>
      </c>
      <c r="D103" s="616">
        <f>IF(INDEX(AccountCodes[Normal Balance], MATCH(C103,AccountCodes[PPSAS CODE]))="Debit",E103-F103,0)</f>
        <v>0</v>
      </c>
      <c r="E103" s="488">
        <f t="array" ref="E103">(SUM(IF((PostTB[Account Code (Old)]=B103),(PostTB[Debit])))+(SUM(IF((CkDJ[Account Code]=B103)*(CkDJ[Date]&lt;=$A$7),(CkDJ[Debit])))+(SUM(IF((CsDJ[Account Code]=B103)*(CsDJ[Date]&lt;=$A$7),(CsDJ[Debit])))+(SUM(IF((CRDJ[Account Code]=B103)*(CRDJ[Date]&lt;=$A$7),(CRDJ[Debit])))+(SUM(IF((GJ[Account Code]=B103)*(GJ[Date]&lt;=$A$7),(GJ[Debit]))))))))</f>
        <v>0</v>
      </c>
      <c r="F103" s="490">
        <f t="array" ref="F103">(SUM(IF((PostTB[Account Code (Old)]=B103),(PostTB[Credit])))+(SUM(IF((CkDJ[Account Code]=B103)*(CkDJ[Date]&lt;=$A$7),(CkDJ[Credit])))+(SUM(IF((CsDJ[Account Code]=B103)*(CsDJ[Date]&lt;=$A$7),(CsDJ[Credit])))+(SUM(IF((CRDJ[Account Code]=B103)*(CRDJ[Date]&lt;=$A$7),(CRDJ[Credit])))+(SUM(IF((GJ[Account Code]=B103)*(GJ[Date]&lt;=$A$7),(GJ[Credit]))))))))</f>
        <v>0</v>
      </c>
      <c r="G103" s="620">
        <f>IF(INDEX(AccountCodes[Normal Balance], MATCH(C103,AccountCodes[PPSAS CODE]))="Credit",F103-E103,0)</f>
        <v>0</v>
      </c>
      <c r="H103" s="621">
        <f t="shared" si="1"/>
        <v>0</v>
      </c>
    </row>
    <row r="104" spans="1:8" ht="15.75" hidden="1">
      <c r="A104" s="613" t="str">
        <f t="array" ref="A104">INDEX(AccountCodes[ACCOUNT NAME],MATCH(B104,AccountCodes[NGAS CODE],0))</f>
        <v>Accumulated Depreciation-Medical Equipment</v>
      </c>
      <c r="B104" s="602" t="s">
        <v>1228</v>
      </c>
      <c r="C104" s="615">
        <f t="array" ref="C104">INDEX(AccountCodes[PPSAS CODE],MATCH(B104,AccountCodes[NGAS CODE],0))</f>
        <v>1060511100</v>
      </c>
      <c r="D104" s="616">
        <f>IF(INDEX(AccountCodes[Normal Balance], MATCH(C104,AccountCodes[PPSAS CODE]))="Debit",E104-F104,0)</f>
        <v>0</v>
      </c>
      <c r="E104" s="488">
        <f t="array" ref="E104">(SUM(IF((PostTB[Account Code (Old)]=B104),(PostTB[Debit])))+(SUM(IF((CkDJ[Account Code]=B104)*(CkDJ[Date]&lt;=$A$7),(CkDJ[Debit])))+(SUM(IF((CsDJ[Account Code]=B104)*(CsDJ[Date]&lt;=$A$7),(CsDJ[Debit])))+(SUM(IF((CRDJ[Account Code]=B104)*(CRDJ[Date]&lt;=$A$7),(CRDJ[Debit])))+(SUM(IF((GJ[Account Code]=B104)*(GJ[Date]&lt;=$A$7),(GJ[Debit]))))))))</f>
        <v>0</v>
      </c>
      <c r="F104" s="490">
        <f t="array" ref="F104">(SUM(IF((PostTB[Account Code (Old)]=B104),(PostTB[Credit])))+(SUM(IF((CkDJ[Account Code]=B104)*(CkDJ[Date]&lt;=$A$7),(CkDJ[Credit])))+(SUM(IF((CsDJ[Account Code]=B104)*(CsDJ[Date]&lt;=$A$7),(CsDJ[Credit])))+(SUM(IF((CRDJ[Account Code]=B104)*(CRDJ[Date]&lt;=$A$7),(CRDJ[Credit])))+(SUM(IF((GJ[Account Code]=B104)*(GJ[Date]&lt;=$A$7),(GJ[Credit]))))))))</f>
        <v>0</v>
      </c>
      <c r="G104" s="620">
        <f>IF(INDEX(AccountCodes[Normal Balance], MATCH(C104,AccountCodes[PPSAS CODE]))="Credit",F104-E104,0)</f>
        <v>0</v>
      </c>
      <c r="H104" s="621">
        <f t="shared" si="1"/>
        <v>0</v>
      </c>
    </row>
    <row r="105" spans="1:8" ht="15.75" hidden="1">
      <c r="A105" s="613" t="str">
        <f t="array" ref="A105">INDEX(AccountCodes[ACCOUNT NAME],MATCH(B105,AccountCodes[NGAS CODE],0))</f>
        <v>Sports Equipment</v>
      </c>
      <c r="B105" s="602" t="s">
        <v>52</v>
      </c>
      <c r="C105" s="615">
        <f t="array" ref="C105">INDEX(AccountCodes[PPSAS CODE],MATCH(B105,AccountCodes[NGAS CODE],0))</f>
        <v>1060513000</v>
      </c>
      <c r="D105" s="616">
        <f>IF(INDEX(AccountCodes[Normal Balance], MATCH(C105,AccountCodes[PPSAS CODE]))="Debit",E105-F105,0)</f>
        <v>0</v>
      </c>
      <c r="E105" s="488">
        <f t="array" ref="E105">(SUM(IF((PostTB[Account Code (Old)]=B105),(PostTB[Debit])))+(SUM(IF((CkDJ[Account Code]=B105)*(CkDJ[Date]&lt;=$A$7),(CkDJ[Debit])))+(SUM(IF((CsDJ[Account Code]=B105)*(CsDJ[Date]&lt;=$A$7),(CsDJ[Debit])))+(SUM(IF((CRDJ[Account Code]=B105)*(CRDJ[Date]&lt;=$A$7),(CRDJ[Debit])))+(SUM(IF((GJ[Account Code]=B105)*(GJ[Date]&lt;=$A$7),(GJ[Debit]))))))))</f>
        <v>0</v>
      </c>
      <c r="F105" s="490">
        <f t="array" ref="F105">(SUM(IF((PostTB[Account Code (Old)]=B105),(PostTB[Credit])))+(SUM(IF((CkDJ[Account Code]=B105)*(CkDJ[Date]&lt;=$A$7),(CkDJ[Credit])))+(SUM(IF((CsDJ[Account Code]=B105)*(CsDJ[Date]&lt;=$A$7),(CsDJ[Credit])))+(SUM(IF((CRDJ[Account Code]=B105)*(CRDJ[Date]&lt;=$A$7),(CRDJ[Credit])))+(SUM(IF((GJ[Account Code]=B105)*(GJ[Date]&lt;=$A$7),(GJ[Credit]))))))))</f>
        <v>0</v>
      </c>
      <c r="G105" s="620">
        <f>IF(INDEX(AccountCodes[Normal Balance], MATCH(C105,AccountCodes[PPSAS CODE]))="Credit",F105-E105,0)</f>
        <v>0</v>
      </c>
      <c r="H105" s="621">
        <f t="shared" si="1"/>
        <v>0</v>
      </c>
    </row>
    <row r="106" spans="1:8" ht="15.75" hidden="1">
      <c r="A106" s="613" t="str">
        <f t="array" ref="A106">INDEX(AccountCodes[ACCOUNT NAME],MATCH(B106,AccountCodes[NGAS CODE],0))</f>
        <v>Accumulated Depreciation-Sports Equipment</v>
      </c>
      <c r="B106" s="602" t="s">
        <v>98</v>
      </c>
      <c r="C106" s="615">
        <f t="array" ref="C106">INDEX(AccountCodes[PPSAS CODE],MATCH(B106,AccountCodes[NGAS CODE],0))</f>
        <v>1060513100</v>
      </c>
      <c r="D106" s="616">
        <f>IF(INDEX(AccountCodes[Normal Balance], MATCH(C106,AccountCodes[PPSAS CODE]))="Debit",E106-F106,0)</f>
        <v>0</v>
      </c>
      <c r="E106" s="488">
        <f t="array" ref="E106">(SUM(IF((PostTB[Account Code (Old)]=B106),(PostTB[Debit])))+(SUM(IF((CkDJ[Account Code]=B106)*(CkDJ[Date]&lt;=$A$7),(CkDJ[Debit])))+(SUM(IF((CsDJ[Account Code]=B106)*(CsDJ[Date]&lt;=$A$7),(CsDJ[Debit])))+(SUM(IF((CRDJ[Account Code]=B106)*(CRDJ[Date]&lt;=$A$7),(CRDJ[Debit])))+(SUM(IF((GJ[Account Code]=B106)*(GJ[Date]&lt;=$A$7),(GJ[Debit]))))))))</f>
        <v>0</v>
      </c>
      <c r="F106" s="490">
        <f t="array" ref="F106">(SUM(IF((PostTB[Account Code (Old)]=B106),(PostTB[Credit])))+(SUM(IF((CkDJ[Account Code]=B106)*(CkDJ[Date]&lt;=$A$7),(CkDJ[Credit])))+(SUM(IF((CsDJ[Account Code]=B106)*(CsDJ[Date]&lt;=$A$7),(CsDJ[Credit])))+(SUM(IF((CRDJ[Account Code]=B106)*(CRDJ[Date]&lt;=$A$7),(CRDJ[Credit])))+(SUM(IF((GJ[Account Code]=B106)*(GJ[Date]&lt;=$A$7),(GJ[Credit]))))))))</f>
        <v>0</v>
      </c>
      <c r="G106" s="620">
        <f>IF(INDEX(AccountCodes[Normal Balance], MATCH(C106,AccountCodes[PPSAS CODE]))="Credit",F106-E106,0)</f>
        <v>0</v>
      </c>
      <c r="H106" s="621">
        <f t="shared" si="1"/>
        <v>0</v>
      </c>
    </row>
    <row r="107" spans="1:8" ht="15.75" hidden="1">
      <c r="A107" s="613" t="str">
        <f t="array" ref="A107">INDEX(AccountCodes[ACCOUNT NAME],MATCH(B107,AccountCodes[NGAS CODE],0))</f>
        <v>Technical and Scientific Equipment</v>
      </c>
      <c r="B107" s="602" t="s">
        <v>53</v>
      </c>
      <c r="C107" s="615">
        <f t="array" ref="C107">INDEX(AccountCodes[PPSAS CODE],MATCH(B107,AccountCodes[NGAS CODE],0))</f>
        <v>1060514000</v>
      </c>
      <c r="D107" s="616">
        <f>IF(INDEX(AccountCodes[Normal Balance], MATCH(C107,AccountCodes[PPSAS CODE]))="Debit",E107-F107,0)</f>
        <v>0</v>
      </c>
      <c r="E107" s="488">
        <f t="array" ref="E107">(SUM(IF((PostTB[Account Code (Old)]=B107),(PostTB[Debit])))+(SUM(IF((CkDJ[Account Code]=B107)*(CkDJ[Date]&lt;=$A$7),(CkDJ[Debit])))+(SUM(IF((CsDJ[Account Code]=B107)*(CsDJ[Date]&lt;=$A$7),(CsDJ[Debit])))+(SUM(IF((CRDJ[Account Code]=B107)*(CRDJ[Date]&lt;=$A$7),(CRDJ[Debit])))+(SUM(IF((GJ[Account Code]=B107)*(GJ[Date]&lt;=$A$7),(GJ[Debit]))))))))</f>
        <v>0</v>
      </c>
      <c r="F107" s="490">
        <f t="array" ref="F107">(SUM(IF((PostTB[Account Code (Old)]=B107),(PostTB[Credit])))+(SUM(IF((CkDJ[Account Code]=B107)*(CkDJ[Date]&lt;=$A$7),(CkDJ[Credit])))+(SUM(IF((CsDJ[Account Code]=B107)*(CsDJ[Date]&lt;=$A$7),(CsDJ[Credit])))+(SUM(IF((CRDJ[Account Code]=B107)*(CRDJ[Date]&lt;=$A$7),(CRDJ[Credit])))+(SUM(IF((GJ[Account Code]=B107)*(GJ[Date]&lt;=$A$7),(GJ[Credit]))))))))</f>
        <v>0</v>
      </c>
      <c r="G107" s="620">
        <f>IF(INDEX(AccountCodes[Normal Balance], MATCH(C107,AccountCodes[PPSAS CODE]))="Credit",F107-E107,0)</f>
        <v>0</v>
      </c>
      <c r="H107" s="621">
        <f t="shared" si="1"/>
        <v>0</v>
      </c>
    </row>
    <row r="108" spans="1:8" ht="15.75" hidden="1">
      <c r="A108" s="613" t="str">
        <f t="array" ref="A108">INDEX(AccountCodes[ACCOUNT NAME],MATCH(B108,AccountCodes[NGAS CODE],0))</f>
        <v>Accumulated Depreciation-Technical and Scientific Equipment</v>
      </c>
      <c r="B108" s="602" t="s">
        <v>99</v>
      </c>
      <c r="C108" s="615">
        <f t="array" ref="C108">INDEX(AccountCodes[PPSAS CODE],MATCH(B108,AccountCodes[NGAS CODE],0))</f>
        <v>1060514100</v>
      </c>
      <c r="D108" s="616">
        <f>IF(INDEX(AccountCodes[Normal Balance], MATCH(C108,AccountCodes[PPSAS CODE]))="Debit",E108-F108,0)</f>
        <v>0</v>
      </c>
      <c r="E108" s="488">
        <f t="array" ref="E108">(SUM(IF((PostTB[Account Code (Old)]=B108),(PostTB[Debit])))+(SUM(IF((CkDJ[Account Code]=B108)*(CkDJ[Date]&lt;=$A$7),(CkDJ[Debit])))+(SUM(IF((CsDJ[Account Code]=B108)*(CsDJ[Date]&lt;=$A$7),(CsDJ[Debit])))+(SUM(IF((CRDJ[Account Code]=B108)*(CRDJ[Date]&lt;=$A$7),(CRDJ[Debit])))+(SUM(IF((GJ[Account Code]=B108)*(GJ[Date]&lt;=$A$7),(GJ[Debit]))))))))</f>
        <v>0</v>
      </c>
      <c r="F108" s="490">
        <f t="array" ref="F108">(SUM(IF((PostTB[Account Code (Old)]=B108),(PostTB[Credit])))+(SUM(IF((CkDJ[Account Code]=B108)*(CkDJ[Date]&lt;=$A$7),(CkDJ[Credit])))+(SUM(IF((CsDJ[Account Code]=B108)*(CsDJ[Date]&lt;=$A$7),(CsDJ[Credit])))+(SUM(IF((CRDJ[Account Code]=B108)*(CRDJ[Date]&lt;=$A$7),(CRDJ[Credit])))+(SUM(IF((GJ[Account Code]=B108)*(GJ[Date]&lt;=$A$7),(GJ[Credit]))))))))</f>
        <v>0</v>
      </c>
      <c r="G108" s="620">
        <f>IF(INDEX(AccountCodes[Normal Balance], MATCH(C108,AccountCodes[PPSAS CODE]))="Credit",F108-E108,0)</f>
        <v>0</v>
      </c>
      <c r="H108" s="621">
        <f t="shared" si="1"/>
        <v>0</v>
      </c>
    </row>
    <row r="109" spans="1:8" ht="15.75" hidden="1">
      <c r="A109" s="613" t="str">
        <f t="array" ref="A109">INDEX(AccountCodes[ACCOUNT NAME],MATCH(B109,AccountCodes[NGAS CODE],0))</f>
        <v>Other Machinery and Equipment</v>
      </c>
      <c r="B109" s="602" t="s">
        <v>54</v>
      </c>
      <c r="C109" s="615">
        <f t="array" ref="C109">INDEX(AccountCodes[PPSAS CODE],MATCH(B109,AccountCodes[NGAS CODE],0))</f>
        <v>1060599000</v>
      </c>
      <c r="D109" s="616">
        <f>IF(INDEX(AccountCodes[Normal Balance], MATCH(C109,AccountCodes[PPSAS CODE]))="Debit",E109-F109,0)</f>
        <v>0</v>
      </c>
      <c r="E109" s="488">
        <f t="array" ref="E109">(SUM(IF((PostTB[Account Code (Old)]=B109),(PostTB[Debit])))+(SUM(IF((CkDJ[Account Code]=B109)*(CkDJ[Date]&lt;=$A$7),(CkDJ[Debit])))+(SUM(IF((CsDJ[Account Code]=B109)*(CsDJ[Date]&lt;=$A$7),(CsDJ[Debit])))+(SUM(IF((CRDJ[Account Code]=B109)*(CRDJ[Date]&lt;=$A$7),(CRDJ[Debit])))+(SUM(IF((GJ[Account Code]=B109)*(GJ[Date]&lt;=$A$7),(GJ[Debit]))))))))</f>
        <v>0</v>
      </c>
      <c r="F109" s="490">
        <f t="array" ref="F109">(SUM(IF((PostTB[Account Code (Old)]=B109),(PostTB[Credit])))+(SUM(IF((CkDJ[Account Code]=B109)*(CkDJ[Date]&lt;=$A$7),(CkDJ[Credit])))+(SUM(IF((CsDJ[Account Code]=B109)*(CsDJ[Date]&lt;=$A$7),(CsDJ[Credit])))+(SUM(IF((CRDJ[Account Code]=B109)*(CRDJ[Date]&lt;=$A$7),(CRDJ[Credit])))+(SUM(IF((GJ[Account Code]=B109)*(GJ[Date]&lt;=$A$7),(GJ[Credit]))))))))</f>
        <v>0</v>
      </c>
      <c r="G109" s="620">
        <f>IF(INDEX(AccountCodes[Normal Balance], MATCH(C109,AccountCodes[PPSAS CODE]))="Credit",F109-E109,0)</f>
        <v>0</v>
      </c>
      <c r="H109" s="621">
        <f t="shared" si="1"/>
        <v>0</v>
      </c>
    </row>
    <row r="110" spans="1:8" ht="15.75" hidden="1">
      <c r="A110" s="613" t="str">
        <f t="array" ref="A110">INDEX(AccountCodes[ACCOUNT NAME],MATCH(B110,AccountCodes[NGAS CODE],0))</f>
        <v>Accumulated Depreciation-Other Machinery and Equipment</v>
      </c>
      <c r="B110" s="602" t="s">
        <v>100</v>
      </c>
      <c r="C110" s="615">
        <f t="array" ref="C110">INDEX(AccountCodes[PPSAS CODE],MATCH(B110,AccountCodes[NGAS CODE],0))</f>
        <v>1060599100</v>
      </c>
      <c r="D110" s="616">
        <f>IF(INDEX(AccountCodes[Normal Balance], MATCH(C110,AccountCodes[PPSAS CODE]))="Debit",E110-F110,0)</f>
        <v>0</v>
      </c>
      <c r="E110" s="488">
        <f t="array" ref="E110">(SUM(IF((PostTB[Account Code (Old)]=B110),(PostTB[Debit])))+(SUM(IF((CkDJ[Account Code]=B110)*(CkDJ[Date]&lt;=$A$7),(CkDJ[Debit])))+(SUM(IF((CsDJ[Account Code]=B110)*(CsDJ[Date]&lt;=$A$7),(CsDJ[Debit])))+(SUM(IF((CRDJ[Account Code]=B110)*(CRDJ[Date]&lt;=$A$7),(CRDJ[Debit])))+(SUM(IF((GJ[Account Code]=B110)*(GJ[Date]&lt;=$A$7),(GJ[Debit]))))))))</f>
        <v>0</v>
      </c>
      <c r="F110" s="490">
        <f t="array" ref="F110">(SUM(IF((PostTB[Account Code (Old)]=B110),(PostTB[Credit])))+(SUM(IF((CkDJ[Account Code]=B110)*(CkDJ[Date]&lt;=$A$7),(CkDJ[Credit])))+(SUM(IF((CsDJ[Account Code]=B110)*(CsDJ[Date]&lt;=$A$7),(CsDJ[Credit])))+(SUM(IF((CRDJ[Account Code]=B110)*(CRDJ[Date]&lt;=$A$7),(CRDJ[Credit])))+(SUM(IF((GJ[Account Code]=B110)*(GJ[Date]&lt;=$A$7),(GJ[Credit]))))))))</f>
        <v>0</v>
      </c>
      <c r="G110" s="620">
        <f>IF(INDEX(AccountCodes[Normal Balance], MATCH(C110,AccountCodes[PPSAS CODE]))="Credit",F110-E110,0)</f>
        <v>0</v>
      </c>
      <c r="H110" s="621">
        <f t="shared" si="1"/>
        <v>0</v>
      </c>
    </row>
    <row r="111" spans="1:8" ht="15.75" hidden="1">
      <c r="A111" s="613" t="str">
        <f t="array" ref="A111">INDEX(AccountCodes[ACCOUNT NAME],MATCH(B111,AccountCodes[NGAS CODE],0))</f>
        <v>Motor Vehicles</v>
      </c>
      <c r="B111" s="602" t="s">
        <v>55</v>
      </c>
      <c r="C111" s="615">
        <f t="array" ref="C111">INDEX(AccountCodes[PPSAS CODE],MATCH(B111,AccountCodes[NGAS CODE],0))</f>
        <v>1060601000</v>
      </c>
      <c r="D111" s="616">
        <f>IF(INDEX(AccountCodes[Normal Balance], MATCH(C111,AccountCodes[PPSAS CODE]))="Debit",E111-F111,0)</f>
        <v>0</v>
      </c>
      <c r="E111" s="488">
        <f t="array" ref="E111">(SUM(IF((PostTB[Account Code (Old)]=B111),(PostTB[Debit])))+(SUM(IF((CkDJ[Account Code]=B111)*(CkDJ[Date]&lt;=$A$7),(CkDJ[Debit])))+(SUM(IF((CsDJ[Account Code]=B111)*(CsDJ[Date]&lt;=$A$7),(CsDJ[Debit])))+(SUM(IF((CRDJ[Account Code]=B111)*(CRDJ[Date]&lt;=$A$7),(CRDJ[Debit])))+(SUM(IF((GJ[Account Code]=B111)*(GJ[Date]&lt;=$A$7),(GJ[Debit]))))))))</f>
        <v>0</v>
      </c>
      <c r="F111" s="490">
        <f t="array" ref="F111">(SUM(IF((PostTB[Account Code (Old)]=B111),(PostTB[Credit])))+(SUM(IF((CkDJ[Account Code]=B111)*(CkDJ[Date]&lt;=$A$7),(CkDJ[Credit])))+(SUM(IF((CsDJ[Account Code]=B111)*(CsDJ[Date]&lt;=$A$7),(CsDJ[Credit])))+(SUM(IF((CRDJ[Account Code]=B111)*(CRDJ[Date]&lt;=$A$7),(CRDJ[Credit])))+(SUM(IF((GJ[Account Code]=B111)*(GJ[Date]&lt;=$A$7),(GJ[Credit]))))))))</f>
        <v>0</v>
      </c>
      <c r="G111" s="620">
        <f>IF(INDEX(AccountCodes[Normal Balance], MATCH(C111,AccountCodes[PPSAS CODE]))="Credit",F111-E111,0)</f>
        <v>0</v>
      </c>
      <c r="H111" s="621">
        <f t="shared" si="1"/>
        <v>0</v>
      </c>
    </row>
    <row r="112" spans="1:8" ht="15.75" hidden="1">
      <c r="A112" s="613" t="str">
        <f t="array" ref="A112">INDEX(AccountCodes[ACCOUNT NAME],MATCH(B112,AccountCodes[NGAS CODE],0))</f>
        <v>Accumulated Depreciation-Motor Vehicles</v>
      </c>
      <c r="B112" s="602" t="s">
        <v>101</v>
      </c>
      <c r="C112" s="615">
        <f t="array" ref="C112">INDEX(AccountCodes[PPSAS CODE],MATCH(B112,AccountCodes[NGAS CODE],0))</f>
        <v>1060601100</v>
      </c>
      <c r="D112" s="616">
        <f>IF(INDEX(AccountCodes[Normal Balance], MATCH(C112,AccountCodes[PPSAS CODE]))="Debit",E112-F112,0)</f>
        <v>0</v>
      </c>
      <c r="E112" s="488">
        <f t="array" ref="E112">(SUM(IF((PostTB[Account Code (Old)]=B112),(PostTB[Debit])))+(SUM(IF((CkDJ[Account Code]=B112)*(CkDJ[Date]&lt;=$A$7),(CkDJ[Debit])))+(SUM(IF((CsDJ[Account Code]=B112)*(CsDJ[Date]&lt;=$A$7),(CsDJ[Debit])))+(SUM(IF((CRDJ[Account Code]=B112)*(CRDJ[Date]&lt;=$A$7),(CRDJ[Debit])))+(SUM(IF((GJ[Account Code]=B112)*(GJ[Date]&lt;=$A$7),(GJ[Debit]))))))))</f>
        <v>0</v>
      </c>
      <c r="F112" s="490">
        <f t="array" ref="F112">(SUM(IF((PostTB[Account Code (Old)]=B112),(PostTB[Credit])))+(SUM(IF((CkDJ[Account Code]=B112)*(CkDJ[Date]&lt;=$A$7),(CkDJ[Credit])))+(SUM(IF((CsDJ[Account Code]=B112)*(CsDJ[Date]&lt;=$A$7),(CsDJ[Credit])))+(SUM(IF((CRDJ[Account Code]=B112)*(CRDJ[Date]&lt;=$A$7),(CRDJ[Credit])))+(SUM(IF((GJ[Account Code]=B112)*(GJ[Date]&lt;=$A$7),(GJ[Credit]))))))))</f>
        <v>0</v>
      </c>
      <c r="G112" s="620">
        <f>IF(INDEX(AccountCodes[Normal Balance], MATCH(C112,AccountCodes[PPSAS CODE]))="Credit",F112-E112,0)</f>
        <v>0</v>
      </c>
      <c r="H112" s="621">
        <f t="shared" si="1"/>
        <v>0</v>
      </c>
    </row>
    <row r="113" spans="1:8" ht="15.75" hidden="1">
      <c r="A113" s="613" t="str">
        <f t="array" ref="A113">INDEX(AccountCodes[ACCOUNT NAME],MATCH(B113,AccountCodes[NGAS CODE],0))</f>
        <v>Aircrafts and Aircrafts Ground Equipment</v>
      </c>
      <c r="B113" s="602" t="s">
        <v>56</v>
      </c>
      <c r="C113" s="615">
        <f t="array" ref="C113">INDEX(AccountCodes[PPSAS CODE],MATCH(B113,AccountCodes[NGAS CODE],0))</f>
        <v>1060603000</v>
      </c>
      <c r="D113" s="616">
        <f>IF(INDEX(AccountCodes[Normal Balance], MATCH(C113,AccountCodes[PPSAS CODE]))="Debit",E113-F113,0)</f>
        <v>0</v>
      </c>
      <c r="E113" s="488">
        <f t="array" ref="E113">(SUM(IF((PostTB[Account Code (Old)]=B113),(PostTB[Debit])))+(SUM(IF((CkDJ[Account Code]=B113)*(CkDJ[Date]&lt;=$A$7),(CkDJ[Debit])))+(SUM(IF((CsDJ[Account Code]=B113)*(CsDJ[Date]&lt;=$A$7),(CsDJ[Debit])))+(SUM(IF((CRDJ[Account Code]=B113)*(CRDJ[Date]&lt;=$A$7),(CRDJ[Debit])))+(SUM(IF((GJ[Account Code]=B113)*(GJ[Date]&lt;=$A$7),(GJ[Debit]))))))))</f>
        <v>0</v>
      </c>
      <c r="F113" s="490">
        <f t="array" ref="F113">(SUM(IF((PostTB[Account Code (Old)]=B113),(PostTB[Credit])))+(SUM(IF((CkDJ[Account Code]=B113)*(CkDJ[Date]&lt;=$A$7),(CkDJ[Credit])))+(SUM(IF((CsDJ[Account Code]=B113)*(CsDJ[Date]&lt;=$A$7),(CsDJ[Credit])))+(SUM(IF((CRDJ[Account Code]=B113)*(CRDJ[Date]&lt;=$A$7),(CRDJ[Credit])))+(SUM(IF((GJ[Account Code]=B113)*(GJ[Date]&lt;=$A$7),(GJ[Credit]))))))))</f>
        <v>0</v>
      </c>
      <c r="G113" s="620">
        <f>IF(INDEX(AccountCodes[Normal Balance], MATCH(C113,AccountCodes[PPSAS CODE]))="Credit",F113-E113,0)</f>
        <v>0</v>
      </c>
      <c r="H113" s="621">
        <f t="shared" si="1"/>
        <v>0</v>
      </c>
    </row>
    <row r="114" spans="1:8" ht="15.75" hidden="1">
      <c r="A114" s="613" t="str">
        <f t="array" ref="A114">INDEX(AccountCodes[ACCOUNT NAME],MATCH(B114,AccountCodes[NGAS CODE],0))</f>
        <v>Accumulated Depreciation-Aircrafts and Aircrafts Ground Equipment</v>
      </c>
      <c r="B114" s="602" t="s">
        <v>102</v>
      </c>
      <c r="C114" s="615">
        <f t="array" ref="C114">INDEX(AccountCodes[PPSAS CODE],MATCH(B114,AccountCodes[NGAS CODE],0))</f>
        <v>1060603100</v>
      </c>
      <c r="D114" s="616">
        <f>IF(INDEX(AccountCodes[Normal Balance], MATCH(C114,AccountCodes[PPSAS CODE]))="Debit",E114-F114,0)</f>
        <v>0</v>
      </c>
      <c r="E114" s="488">
        <f t="array" ref="E114">(SUM(IF((PostTB[Account Code (Old)]=B114),(PostTB[Debit])))+(SUM(IF((CkDJ[Account Code]=B114)*(CkDJ[Date]&lt;=$A$7),(CkDJ[Debit])))+(SUM(IF((CsDJ[Account Code]=B114)*(CsDJ[Date]&lt;=$A$7),(CsDJ[Debit])))+(SUM(IF((CRDJ[Account Code]=B114)*(CRDJ[Date]&lt;=$A$7),(CRDJ[Debit])))+(SUM(IF((GJ[Account Code]=B114)*(GJ[Date]&lt;=$A$7),(GJ[Debit]))))))))</f>
        <v>0</v>
      </c>
      <c r="F114" s="490">
        <f t="array" ref="F114">(SUM(IF((PostTB[Account Code (Old)]=B114),(PostTB[Credit])))+(SUM(IF((CkDJ[Account Code]=B114)*(CkDJ[Date]&lt;=$A$7),(CkDJ[Credit])))+(SUM(IF((CsDJ[Account Code]=B114)*(CsDJ[Date]&lt;=$A$7),(CsDJ[Credit])))+(SUM(IF((CRDJ[Account Code]=B114)*(CRDJ[Date]&lt;=$A$7),(CRDJ[Credit])))+(SUM(IF((GJ[Account Code]=B114)*(GJ[Date]&lt;=$A$7),(GJ[Credit]))))))))</f>
        <v>0</v>
      </c>
      <c r="G114" s="620">
        <f>IF(INDEX(AccountCodes[Normal Balance], MATCH(C114,AccountCodes[PPSAS CODE]))="Credit",F114-E114,0)</f>
        <v>0</v>
      </c>
      <c r="H114" s="621">
        <f t="shared" si="1"/>
        <v>0</v>
      </c>
    </row>
    <row r="115" spans="1:8" ht="15.75" hidden="1">
      <c r="A115" s="613" t="str">
        <f t="array" ref="A115">INDEX(AccountCodes[ACCOUNT NAME],MATCH(B115,AccountCodes[NGAS CODE],0))</f>
        <v>Watercrafts</v>
      </c>
      <c r="B115" s="602" t="s">
        <v>57</v>
      </c>
      <c r="C115" s="615">
        <f t="array" ref="C115">INDEX(AccountCodes[PPSAS CODE],MATCH(B115,AccountCodes[NGAS CODE],0))</f>
        <v>1060604000</v>
      </c>
      <c r="D115" s="616">
        <f>IF(INDEX(AccountCodes[Normal Balance], MATCH(C115,AccountCodes[PPSAS CODE]))="Debit",E115-F115,0)</f>
        <v>0</v>
      </c>
      <c r="E115" s="488">
        <f t="array" ref="E115">(SUM(IF((PostTB[Account Code (Old)]=B115),(PostTB[Debit])))+(SUM(IF((CkDJ[Account Code]=B115)*(CkDJ[Date]&lt;=$A$7),(CkDJ[Debit])))+(SUM(IF((CsDJ[Account Code]=B115)*(CsDJ[Date]&lt;=$A$7),(CsDJ[Debit])))+(SUM(IF((CRDJ[Account Code]=B115)*(CRDJ[Date]&lt;=$A$7),(CRDJ[Debit])))+(SUM(IF((GJ[Account Code]=B115)*(GJ[Date]&lt;=$A$7),(GJ[Debit]))))))))</f>
        <v>0</v>
      </c>
      <c r="F115" s="490">
        <f t="array" ref="F115">(SUM(IF((PostTB[Account Code (Old)]=B115),(PostTB[Credit])))+(SUM(IF((CkDJ[Account Code]=B115)*(CkDJ[Date]&lt;=$A$7),(CkDJ[Credit])))+(SUM(IF((CsDJ[Account Code]=B115)*(CsDJ[Date]&lt;=$A$7),(CsDJ[Credit])))+(SUM(IF((CRDJ[Account Code]=B115)*(CRDJ[Date]&lt;=$A$7),(CRDJ[Credit])))+(SUM(IF((GJ[Account Code]=B115)*(GJ[Date]&lt;=$A$7),(GJ[Credit]))))))))</f>
        <v>0</v>
      </c>
      <c r="G115" s="620">
        <f>IF(INDEX(AccountCodes[Normal Balance], MATCH(C115,AccountCodes[PPSAS CODE]))="Credit",F115-E115,0)</f>
        <v>0</v>
      </c>
      <c r="H115" s="621">
        <f t="shared" si="1"/>
        <v>0</v>
      </c>
    </row>
    <row r="116" spans="1:8" ht="15.75" hidden="1">
      <c r="A116" s="613" t="str">
        <f t="array" ref="A116">INDEX(AccountCodes[ACCOUNT NAME],MATCH(B116,AccountCodes[NGAS CODE],0))</f>
        <v>Accumulated Depreciation-Watercrafts</v>
      </c>
      <c r="B116" s="602" t="s">
        <v>103</v>
      </c>
      <c r="C116" s="615">
        <f t="array" ref="C116">INDEX(AccountCodes[PPSAS CODE],MATCH(B116,AccountCodes[NGAS CODE],0))</f>
        <v>1060604100</v>
      </c>
      <c r="D116" s="616">
        <f>IF(INDEX(AccountCodes[Normal Balance], MATCH(C116,AccountCodes[PPSAS CODE]))="Debit",E116-F116,0)</f>
        <v>0</v>
      </c>
      <c r="E116" s="488">
        <f t="array" ref="E116">(SUM(IF((PostTB[Account Code (Old)]=B116),(PostTB[Debit])))+(SUM(IF((CkDJ[Account Code]=B116)*(CkDJ[Date]&lt;=$A$7),(CkDJ[Debit])))+(SUM(IF((CsDJ[Account Code]=B116)*(CsDJ[Date]&lt;=$A$7),(CsDJ[Debit])))+(SUM(IF((CRDJ[Account Code]=B116)*(CRDJ[Date]&lt;=$A$7),(CRDJ[Debit])))+(SUM(IF((GJ[Account Code]=B116)*(GJ[Date]&lt;=$A$7),(GJ[Debit]))))))))</f>
        <v>0</v>
      </c>
      <c r="F116" s="490">
        <f t="array" ref="F116">(SUM(IF((PostTB[Account Code (Old)]=B116),(PostTB[Credit])))+(SUM(IF((CkDJ[Account Code]=B116)*(CkDJ[Date]&lt;=$A$7),(CkDJ[Credit])))+(SUM(IF((CsDJ[Account Code]=B116)*(CsDJ[Date]&lt;=$A$7),(CsDJ[Credit])))+(SUM(IF((CRDJ[Account Code]=B116)*(CRDJ[Date]&lt;=$A$7),(CRDJ[Credit])))+(SUM(IF((GJ[Account Code]=B116)*(GJ[Date]&lt;=$A$7),(GJ[Credit]))))))))</f>
        <v>0</v>
      </c>
      <c r="G116" s="620">
        <f>IF(INDEX(AccountCodes[Normal Balance], MATCH(C116,AccountCodes[PPSAS CODE]))="Credit",F116-E116,0)</f>
        <v>0</v>
      </c>
      <c r="H116" s="621">
        <f t="shared" si="1"/>
        <v>0</v>
      </c>
    </row>
    <row r="117" spans="1:8" ht="15.75" hidden="1">
      <c r="A117" s="613" t="str">
        <f t="array" ref="A117">INDEX(AccountCodes[ACCOUNT NAME],MATCH(B117,AccountCodes[NGAS CODE],0))</f>
        <v>Other Transportation Equipment</v>
      </c>
      <c r="B117" s="602" t="s">
        <v>58</v>
      </c>
      <c r="C117" s="615">
        <f t="array" ref="C117">INDEX(AccountCodes[PPSAS CODE],MATCH(B117,AccountCodes[NGAS CODE],0))</f>
        <v>1060699000</v>
      </c>
      <c r="D117" s="616">
        <f>IF(INDEX(AccountCodes[Normal Balance], MATCH(C117,AccountCodes[PPSAS CODE]))="Debit",E117-F117,0)</f>
        <v>0</v>
      </c>
      <c r="E117" s="488">
        <f t="array" ref="E117">(SUM(IF((PostTB[Account Code (Old)]=B117),(PostTB[Debit])))+(SUM(IF((CkDJ[Account Code]=B117)*(CkDJ[Date]&lt;=$A$7),(CkDJ[Debit])))+(SUM(IF((CsDJ[Account Code]=B117)*(CsDJ[Date]&lt;=$A$7),(CsDJ[Debit])))+(SUM(IF((CRDJ[Account Code]=B117)*(CRDJ[Date]&lt;=$A$7),(CRDJ[Debit])))+(SUM(IF((GJ[Account Code]=B117)*(GJ[Date]&lt;=$A$7),(GJ[Debit]))))))))</f>
        <v>0</v>
      </c>
      <c r="F117" s="490">
        <f t="array" ref="F117">(SUM(IF((PostTB[Account Code (Old)]=B117),(PostTB[Credit])))+(SUM(IF((CkDJ[Account Code]=B117)*(CkDJ[Date]&lt;=$A$7),(CkDJ[Credit])))+(SUM(IF((CsDJ[Account Code]=B117)*(CsDJ[Date]&lt;=$A$7),(CsDJ[Credit])))+(SUM(IF((CRDJ[Account Code]=B117)*(CRDJ[Date]&lt;=$A$7),(CRDJ[Credit])))+(SUM(IF((GJ[Account Code]=B117)*(GJ[Date]&lt;=$A$7),(GJ[Credit]))))))))</f>
        <v>0</v>
      </c>
      <c r="G117" s="620">
        <f>IF(INDEX(AccountCodes[Normal Balance], MATCH(C117,AccountCodes[PPSAS CODE]))="Credit",F117-E117,0)</f>
        <v>0</v>
      </c>
      <c r="H117" s="621">
        <f t="shared" si="1"/>
        <v>0</v>
      </c>
    </row>
    <row r="118" spans="1:8" ht="15.75" hidden="1">
      <c r="A118" s="613" t="str">
        <f t="array" ref="A118">INDEX(AccountCodes[ACCOUNT NAME],MATCH(B118,AccountCodes[NGAS CODE],0))</f>
        <v>Accumulated Depreciation-Other Transportation Equipment</v>
      </c>
      <c r="B118" s="602" t="s">
        <v>104</v>
      </c>
      <c r="C118" s="615">
        <f t="array" ref="C118">INDEX(AccountCodes[PPSAS CODE],MATCH(B118,AccountCodes[NGAS CODE],0))</f>
        <v>1060699100</v>
      </c>
      <c r="D118" s="616">
        <f>IF(INDEX(AccountCodes[Normal Balance], MATCH(C118,AccountCodes[PPSAS CODE]))="Debit",E118-F118,0)</f>
        <v>0</v>
      </c>
      <c r="E118" s="488">
        <f t="array" ref="E118">(SUM(IF((PostTB[Account Code (Old)]=B118),(PostTB[Debit])))+(SUM(IF((CkDJ[Account Code]=B118)*(CkDJ[Date]&lt;=$A$7),(CkDJ[Debit])))+(SUM(IF((CsDJ[Account Code]=B118)*(CsDJ[Date]&lt;=$A$7),(CsDJ[Debit])))+(SUM(IF((CRDJ[Account Code]=B118)*(CRDJ[Date]&lt;=$A$7),(CRDJ[Debit])))+(SUM(IF((GJ[Account Code]=B118)*(GJ[Date]&lt;=$A$7),(GJ[Debit]))))))))</f>
        <v>0</v>
      </c>
      <c r="F118" s="490">
        <f t="array" ref="F118">(SUM(IF((PostTB[Account Code (Old)]=B118),(PostTB[Credit])))+(SUM(IF((CkDJ[Account Code]=B118)*(CkDJ[Date]&lt;=$A$7),(CkDJ[Credit])))+(SUM(IF((CsDJ[Account Code]=B118)*(CsDJ[Date]&lt;=$A$7),(CsDJ[Credit])))+(SUM(IF((CRDJ[Account Code]=B118)*(CRDJ[Date]&lt;=$A$7),(CRDJ[Credit])))+(SUM(IF((GJ[Account Code]=B118)*(GJ[Date]&lt;=$A$7),(GJ[Credit]))))))))</f>
        <v>0</v>
      </c>
      <c r="G118" s="620">
        <f>IF(INDEX(AccountCodes[Normal Balance], MATCH(C118,AccountCodes[PPSAS CODE]))="Credit",F118-E118,0)</f>
        <v>0</v>
      </c>
      <c r="H118" s="621">
        <f t="shared" si="1"/>
        <v>0</v>
      </c>
    </row>
    <row r="119" spans="1:8" ht="15.75" hidden="1">
      <c r="A119" s="613" t="str">
        <f t="array" ref="A119">INDEX(AccountCodes[ACCOUNT NAME],MATCH(B119,AccountCodes[NGAS CODE],0))</f>
        <v>Furniture and Fixtures</v>
      </c>
      <c r="B119" s="602" t="s">
        <v>43</v>
      </c>
      <c r="C119" s="615">
        <f t="array" ref="C119">INDEX(AccountCodes[PPSAS CODE],MATCH(B119,AccountCodes[NGAS CODE],0))</f>
        <v>1060701000</v>
      </c>
      <c r="D119" s="616">
        <f>IF(INDEX(AccountCodes[Normal Balance], MATCH(C119,AccountCodes[PPSAS CODE]))="Debit",E119-F119,0)</f>
        <v>0</v>
      </c>
      <c r="E119" s="488">
        <f t="array" ref="E119">(SUM(IF((PostTB[Account Code (Old)]=B119),(PostTB[Debit])))+(SUM(IF((CkDJ[Account Code]=B119)*(CkDJ[Date]&lt;=$A$7),(CkDJ[Debit])))+(SUM(IF((CsDJ[Account Code]=B119)*(CsDJ[Date]&lt;=$A$7),(CsDJ[Debit])))+(SUM(IF((CRDJ[Account Code]=B119)*(CRDJ[Date]&lt;=$A$7),(CRDJ[Debit])))+(SUM(IF((GJ[Account Code]=B119)*(GJ[Date]&lt;=$A$7),(GJ[Debit]))))))))</f>
        <v>0</v>
      </c>
      <c r="F119" s="490">
        <f t="array" ref="F119">(SUM(IF((PostTB[Account Code (Old)]=B119),(PostTB[Credit])))+(SUM(IF((CkDJ[Account Code]=B119)*(CkDJ[Date]&lt;=$A$7),(CkDJ[Credit])))+(SUM(IF((CsDJ[Account Code]=B119)*(CsDJ[Date]&lt;=$A$7),(CsDJ[Credit])))+(SUM(IF((CRDJ[Account Code]=B119)*(CRDJ[Date]&lt;=$A$7),(CRDJ[Credit])))+(SUM(IF((GJ[Account Code]=B119)*(GJ[Date]&lt;=$A$7),(GJ[Credit]))))))))</f>
        <v>0</v>
      </c>
      <c r="G119" s="620">
        <f>IF(INDEX(AccountCodes[Normal Balance], MATCH(C119,AccountCodes[PPSAS CODE]))="Credit",F119-E119,0)</f>
        <v>0</v>
      </c>
      <c r="H119" s="621">
        <f t="shared" si="1"/>
        <v>0</v>
      </c>
    </row>
    <row r="120" spans="1:8" ht="15.75" hidden="1">
      <c r="A120" s="613" t="str">
        <f t="array" ref="A120">INDEX(AccountCodes[ACCOUNT NAME],MATCH(B120,AccountCodes[NGAS CODE],0))</f>
        <v>Accumulated Depreciation-Furniture and Fixtures</v>
      </c>
      <c r="B120" s="602" t="s">
        <v>89</v>
      </c>
      <c r="C120" s="615">
        <f t="array" ref="C120">INDEX(AccountCodes[PPSAS CODE],MATCH(B120,AccountCodes[NGAS CODE],0))</f>
        <v>1060701100</v>
      </c>
      <c r="D120" s="616">
        <f>IF(INDEX(AccountCodes[Normal Balance], MATCH(C120,AccountCodes[PPSAS CODE]))="Debit",E120-F120,0)</f>
        <v>0</v>
      </c>
      <c r="E120" s="488">
        <f t="array" ref="E120">(SUM(IF((PostTB[Account Code (Old)]=B120),(PostTB[Debit])))+(SUM(IF((CkDJ[Account Code]=B120)*(CkDJ[Date]&lt;=$A$7),(CkDJ[Debit])))+(SUM(IF((CsDJ[Account Code]=B120)*(CsDJ[Date]&lt;=$A$7),(CsDJ[Debit])))+(SUM(IF((CRDJ[Account Code]=B120)*(CRDJ[Date]&lt;=$A$7),(CRDJ[Debit])))+(SUM(IF((GJ[Account Code]=B120)*(GJ[Date]&lt;=$A$7),(GJ[Debit]))))))))</f>
        <v>0</v>
      </c>
      <c r="F120" s="490">
        <f t="array" ref="F120">(SUM(IF((PostTB[Account Code (Old)]=B120),(PostTB[Credit])))+(SUM(IF((CkDJ[Account Code]=B120)*(CkDJ[Date]&lt;=$A$7),(CkDJ[Credit])))+(SUM(IF((CsDJ[Account Code]=B120)*(CsDJ[Date]&lt;=$A$7),(CsDJ[Credit])))+(SUM(IF((CRDJ[Account Code]=B120)*(CRDJ[Date]&lt;=$A$7),(CRDJ[Credit])))+(SUM(IF((GJ[Account Code]=B120)*(GJ[Date]&lt;=$A$7),(GJ[Credit]))))))))</f>
        <v>0</v>
      </c>
      <c r="G120" s="620">
        <f>IF(INDEX(AccountCodes[Normal Balance], MATCH(C120,AccountCodes[PPSAS CODE]))="Credit",F120-E120,0)</f>
        <v>0</v>
      </c>
      <c r="H120" s="621">
        <f t="shared" si="1"/>
        <v>0</v>
      </c>
    </row>
    <row r="121" spans="1:8" ht="15.75" hidden="1">
      <c r="A121" s="613" t="str">
        <f t="array" ref="A121">INDEX(AccountCodes[ACCOUNT NAME],MATCH(B121,AccountCodes[NGAS CODE],0))</f>
        <v>Books</v>
      </c>
      <c r="B121" s="602" t="s">
        <v>45</v>
      </c>
      <c r="C121" s="615">
        <f t="array" ref="C121">INDEX(AccountCodes[PPSAS CODE],MATCH(B121,AccountCodes[NGAS CODE],0))</f>
        <v>1060702000</v>
      </c>
      <c r="D121" s="616">
        <f>IF(INDEX(AccountCodes[Normal Balance], MATCH(C121,AccountCodes[PPSAS CODE]))="Debit",E121-F121,0)</f>
        <v>0</v>
      </c>
      <c r="E121" s="488">
        <f t="array" ref="E121">(SUM(IF((PostTB[Account Code (Old)]=B121),(PostTB[Debit])))+(SUM(IF((CkDJ[Account Code]=B121)*(CkDJ[Date]&lt;=$A$7),(CkDJ[Debit])))+(SUM(IF((CsDJ[Account Code]=B121)*(CsDJ[Date]&lt;=$A$7),(CsDJ[Debit])))+(SUM(IF((CRDJ[Account Code]=B121)*(CRDJ[Date]&lt;=$A$7),(CRDJ[Debit])))+(SUM(IF((GJ[Account Code]=B121)*(GJ[Date]&lt;=$A$7),(GJ[Debit]))))))))</f>
        <v>0</v>
      </c>
      <c r="F121" s="490">
        <f t="array" ref="F121">(SUM(IF((PostTB[Account Code (Old)]=B121),(PostTB[Credit])))+(SUM(IF((CkDJ[Account Code]=B121)*(CkDJ[Date]&lt;=$A$7),(CkDJ[Credit])))+(SUM(IF((CsDJ[Account Code]=B121)*(CsDJ[Date]&lt;=$A$7),(CsDJ[Credit])))+(SUM(IF((CRDJ[Account Code]=B121)*(CRDJ[Date]&lt;=$A$7),(CRDJ[Credit])))+(SUM(IF((GJ[Account Code]=B121)*(GJ[Date]&lt;=$A$7),(GJ[Credit]))))))))</f>
        <v>0</v>
      </c>
      <c r="G121" s="620">
        <f>IF(INDEX(AccountCodes[Normal Balance], MATCH(C121,AccountCodes[PPSAS CODE]))="Credit",F121-E121,0)</f>
        <v>0</v>
      </c>
      <c r="H121" s="621">
        <f t="shared" si="1"/>
        <v>0</v>
      </c>
    </row>
    <row r="122" spans="1:8" ht="15.75" hidden="1">
      <c r="A122" s="613" t="str">
        <f t="array" ref="A122">INDEX(AccountCodes[ACCOUNT NAME],MATCH(B122,AccountCodes[NGAS CODE],0))</f>
        <v>Accumulated Depreciation-Books</v>
      </c>
      <c r="B122" s="602" t="s">
        <v>91</v>
      </c>
      <c r="C122" s="615">
        <f t="array" ref="C122">INDEX(AccountCodes[PPSAS CODE],MATCH(B122,AccountCodes[NGAS CODE],0))</f>
        <v>1060702100</v>
      </c>
      <c r="D122" s="616">
        <f>IF(INDEX(AccountCodes[Normal Balance], MATCH(C122,AccountCodes[PPSAS CODE]))="Debit",E122-F122,0)</f>
        <v>0</v>
      </c>
      <c r="E122" s="488">
        <f t="array" ref="E122">(SUM(IF((PostTB[Account Code (Old)]=B122),(PostTB[Debit])))+(SUM(IF((CkDJ[Account Code]=B122)*(CkDJ[Date]&lt;=$A$7),(CkDJ[Debit])))+(SUM(IF((CsDJ[Account Code]=B122)*(CsDJ[Date]&lt;=$A$7),(CsDJ[Debit])))+(SUM(IF((CRDJ[Account Code]=B122)*(CRDJ[Date]&lt;=$A$7),(CRDJ[Debit])))+(SUM(IF((GJ[Account Code]=B122)*(GJ[Date]&lt;=$A$7),(GJ[Debit]))))))))</f>
        <v>0</v>
      </c>
      <c r="F122" s="490">
        <f t="array" ref="F122">(SUM(IF((PostTB[Account Code (Old)]=B122),(PostTB[Credit])))+(SUM(IF((CkDJ[Account Code]=B122)*(CkDJ[Date]&lt;=$A$7),(CkDJ[Credit])))+(SUM(IF((CsDJ[Account Code]=B122)*(CsDJ[Date]&lt;=$A$7),(CsDJ[Credit])))+(SUM(IF((CRDJ[Account Code]=B122)*(CRDJ[Date]&lt;=$A$7),(CRDJ[Credit])))+(SUM(IF((GJ[Account Code]=B122)*(GJ[Date]&lt;=$A$7),(GJ[Credit]))))))))</f>
        <v>0</v>
      </c>
      <c r="G122" s="620">
        <f>IF(INDEX(AccountCodes[Normal Balance], MATCH(C122,AccountCodes[PPSAS CODE]))="Credit",F122-E122,0)</f>
        <v>0</v>
      </c>
      <c r="H122" s="621">
        <f t="shared" si="1"/>
        <v>0</v>
      </c>
    </row>
    <row r="123" spans="1:8" ht="15.75" hidden="1">
      <c r="A123" s="613" t="str">
        <f t="array" ref="A123">INDEX(AccountCodes[ACCOUNT NAME],MATCH(B123,AccountCodes[NGAS CODE],0))</f>
        <v>Other Property, Plant and Equipment</v>
      </c>
      <c r="B123" s="602" t="s">
        <v>59</v>
      </c>
      <c r="C123" s="615">
        <f t="array" ref="C123">INDEX(AccountCodes[PPSAS CODE],MATCH(B123,AccountCodes[NGAS CODE],0))</f>
        <v>1069899000</v>
      </c>
      <c r="D123" s="616">
        <f>IF(INDEX(AccountCodes[Normal Balance], MATCH(C123,AccountCodes[PPSAS CODE]))="Debit",E123-F123,0)</f>
        <v>0</v>
      </c>
      <c r="E123" s="488">
        <f t="array" ref="E123">(SUM(IF((PostTB[Account Code (Old)]=B123),(PostTB[Debit])))+(SUM(IF((CkDJ[Account Code]=B123)*(CkDJ[Date]&lt;=$A$7),(CkDJ[Debit])))+(SUM(IF((CsDJ[Account Code]=B123)*(CsDJ[Date]&lt;=$A$7),(CsDJ[Debit])))+(SUM(IF((CRDJ[Account Code]=B123)*(CRDJ[Date]&lt;=$A$7),(CRDJ[Debit])))+(SUM(IF((GJ[Account Code]=B123)*(GJ[Date]&lt;=$A$7),(GJ[Debit]))))))))</f>
        <v>0</v>
      </c>
      <c r="F123" s="490">
        <f t="array" ref="F123">(SUM(IF((PostTB[Account Code (Old)]=B123),(PostTB[Credit])))+(SUM(IF((CkDJ[Account Code]=B123)*(CkDJ[Date]&lt;=$A$7),(CkDJ[Credit])))+(SUM(IF((CsDJ[Account Code]=B123)*(CsDJ[Date]&lt;=$A$7),(CsDJ[Credit])))+(SUM(IF((CRDJ[Account Code]=B123)*(CRDJ[Date]&lt;=$A$7),(CRDJ[Credit])))+(SUM(IF((GJ[Account Code]=B123)*(GJ[Date]&lt;=$A$7),(GJ[Credit]))))))))</f>
        <v>0</v>
      </c>
      <c r="G123" s="620">
        <f>IF(INDEX(AccountCodes[Normal Balance], MATCH(C123,AccountCodes[PPSAS CODE]))="Credit",F123-E123,0)</f>
        <v>0</v>
      </c>
      <c r="H123" s="621">
        <f t="shared" si="1"/>
        <v>0</v>
      </c>
    </row>
    <row r="124" spans="1:8" ht="15.75" hidden="1">
      <c r="A124" s="613" t="str">
        <f t="array" ref="A124">INDEX(AccountCodes[ACCOUNT NAME],MATCH(B124,AccountCodes[NGAS CODE],0))</f>
        <v>Accumulated Depreciation-Other Property, Plant and Equipment</v>
      </c>
      <c r="B124" s="602" t="s">
        <v>105</v>
      </c>
      <c r="C124" s="615">
        <f t="array" ref="C124">INDEX(AccountCodes[PPSAS CODE],MATCH(B124,AccountCodes[NGAS CODE],0))</f>
        <v>1069899100</v>
      </c>
      <c r="D124" s="616">
        <f>IF(INDEX(AccountCodes[Normal Balance], MATCH(C124,AccountCodes[PPSAS CODE]))="Debit",E124-F124,0)</f>
        <v>0</v>
      </c>
      <c r="E124" s="488">
        <f t="array" ref="E124">(SUM(IF((PostTB[Account Code (Old)]=B124),(PostTB[Debit])))+(SUM(IF((CkDJ[Account Code]=B124)*(CkDJ[Date]&lt;=$A$7),(CkDJ[Debit])))+(SUM(IF((CsDJ[Account Code]=B124)*(CsDJ[Date]&lt;=$A$7),(CsDJ[Debit])))+(SUM(IF((CRDJ[Account Code]=B124)*(CRDJ[Date]&lt;=$A$7),(CRDJ[Debit])))+(SUM(IF((GJ[Account Code]=B124)*(GJ[Date]&lt;=$A$7),(GJ[Debit]))))))))</f>
        <v>0</v>
      </c>
      <c r="F124" s="490">
        <f t="array" ref="F124">(SUM(IF((PostTB[Account Code (Old)]=B124),(PostTB[Credit])))+(SUM(IF((CkDJ[Account Code]=B124)*(CkDJ[Date]&lt;=$A$7),(CkDJ[Credit])))+(SUM(IF((CsDJ[Account Code]=B124)*(CsDJ[Date]&lt;=$A$7),(CsDJ[Credit])))+(SUM(IF((CRDJ[Account Code]=B124)*(CRDJ[Date]&lt;=$A$7),(CRDJ[Credit])))+(SUM(IF((GJ[Account Code]=B124)*(GJ[Date]&lt;=$A$7),(GJ[Credit]))))))))</f>
        <v>0</v>
      </c>
      <c r="G124" s="620">
        <f>IF(INDEX(AccountCodes[Normal Balance], MATCH(C124,AccountCodes[PPSAS CODE]))="Credit",F124-E124,0)</f>
        <v>0</v>
      </c>
      <c r="H124" s="621">
        <f t="shared" si="1"/>
        <v>0</v>
      </c>
    </row>
    <row r="125" spans="1:8" ht="15.75" hidden="1">
      <c r="A125" s="613" t="str">
        <f t="array" ref="A125">INDEX(AccountCodes[ACCOUNT NAME],MATCH(B125,AccountCodes[NGAS CODE],0))</f>
        <v>Construction in Progress-Infrastructure Assets (Agency Assets)</v>
      </c>
      <c r="B125" s="602" t="s">
        <v>61</v>
      </c>
      <c r="C125" s="615">
        <f t="array" ref="C125">INDEX(AccountCodes[PPSAS CODE],MATCH(B125,AccountCodes[NGAS CODE],0))</f>
        <v>1069902099</v>
      </c>
      <c r="D125" s="616">
        <f>IF(INDEX(AccountCodes[Normal Balance], MATCH(C125,AccountCodes[PPSAS CODE]))="Debit",E125-F125,0)</f>
        <v>0</v>
      </c>
      <c r="E125" s="488">
        <f t="array" ref="E125">(SUM(IF((PostTB[Account Code (Old)]=B125),(PostTB[Debit])))+(SUM(IF((CkDJ[Account Code]=B125)*(CkDJ[Date]&lt;=$A$7),(CkDJ[Debit])))+(SUM(IF((CsDJ[Account Code]=B125)*(CsDJ[Date]&lt;=$A$7),(CsDJ[Debit])))+(SUM(IF((CRDJ[Account Code]=B125)*(CRDJ[Date]&lt;=$A$7),(CRDJ[Debit])))+(SUM(IF((GJ[Account Code]=B125)*(GJ[Date]&lt;=$A$7),(GJ[Debit]))))))))</f>
        <v>0</v>
      </c>
      <c r="F125" s="490">
        <f t="array" ref="F125">(SUM(IF((PostTB[Account Code (Old)]=B125),(PostTB[Credit])))+(SUM(IF((CkDJ[Account Code]=B125)*(CkDJ[Date]&lt;=$A$7),(CkDJ[Credit])))+(SUM(IF((CsDJ[Account Code]=B125)*(CsDJ[Date]&lt;=$A$7),(CsDJ[Credit])))+(SUM(IF((CRDJ[Account Code]=B125)*(CRDJ[Date]&lt;=$A$7),(CRDJ[Credit])))+(SUM(IF((GJ[Account Code]=B125)*(GJ[Date]&lt;=$A$7),(GJ[Credit]))))))))</f>
        <v>0</v>
      </c>
      <c r="G125" s="620">
        <f>IF(INDEX(AccountCodes[Normal Balance], MATCH(C125,AccountCodes[PPSAS CODE]))="Credit",F125-E125,0)</f>
        <v>0</v>
      </c>
      <c r="H125" s="621">
        <f t="shared" si="1"/>
        <v>0</v>
      </c>
    </row>
    <row r="126" spans="1:8" ht="15.75" hidden="1">
      <c r="A126" s="613" t="str">
        <f t="array" ref="A126">INDEX(AccountCodes[ACCOUNT NAME],MATCH(B126,AccountCodes[NGAS CODE],0))</f>
        <v>Construction in Progress-Infrastructure Assets (Artesian Wells, Reservoirs, Pumping Stations &amp; Conduits)</v>
      </c>
      <c r="B126" s="602" t="s">
        <v>62</v>
      </c>
      <c r="C126" s="615">
        <f t="array" ref="C126">INDEX(AccountCodes[PPSAS CODE],MATCH(B126,AccountCodes[NGAS CODE],0))</f>
        <v>1069902099</v>
      </c>
      <c r="D126" s="616">
        <f>IF(INDEX(AccountCodes[Normal Balance], MATCH(C126,AccountCodes[PPSAS CODE]))="Debit",E126-F126,0)</f>
        <v>0</v>
      </c>
      <c r="E126" s="488">
        <f t="array" ref="E126">(SUM(IF((PostTB[Account Code (Old)]=B126),(PostTB[Debit])))+(SUM(IF((CkDJ[Account Code]=B126)*(CkDJ[Date]&lt;=$A$7),(CkDJ[Debit])))+(SUM(IF((CsDJ[Account Code]=B126)*(CsDJ[Date]&lt;=$A$7),(CsDJ[Debit])))+(SUM(IF((CRDJ[Account Code]=B126)*(CRDJ[Date]&lt;=$A$7),(CRDJ[Debit])))+(SUM(IF((GJ[Account Code]=B126)*(GJ[Date]&lt;=$A$7),(GJ[Debit]))))))))</f>
        <v>0</v>
      </c>
      <c r="F126" s="490">
        <f t="array" ref="F126">(SUM(IF((PostTB[Account Code (Old)]=B126),(PostTB[Credit])))+(SUM(IF((CkDJ[Account Code]=B126)*(CkDJ[Date]&lt;=$A$7),(CkDJ[Credit])))+(SUM(IF((CsDJ[Account Code]=B126)*(CsDJ[Date]&lt;=$A$7),(CsDJ[Credit])))+(SUM(IF((CRDJ[Account Code]=B126)*(CRDJ[Date]&lt;=$A$7),(CRDJ[Credit])))+(SUM(IF((GJ[Account Code]=B126)*(GJ[Date]&lt;=$A$7),(GJ[Credit]))))))))</f>
        <v>0</v>
      </c>
      <c r="G126" s="620">
        <f>IF(INDEX(AccountCodes[Normal Balance], MATCH(C126,AccountCodes[PPSAS CODE]))="Credit",F126-E126,0)</f>
        <v>0</v>
      </c>
      <c r="H126" s="621">
        <f t="shared" si="1"/>
        <v>0</v>
      </c>
    </row>
    <row r="127" spans="1:8" ht="15.75">
      <c r="A127" s="613" t="str">
        <f t="array" ref="A127">INDEX(AccountCodes[ACCOUNT NAME],MATCH(B127,AccountCodes[NGAS CODE],0))</f>
        <v>Construction in Progress-Infrastructure Assets (Irrigation, Canals and Laterals)</v>
      </c>
      <c r="B127" s="602" t="s">
        <v>82</v>
      </c>
      <c r="C127" s="615">
        <f t="array" ref="C127">INDEX(AccountCodes[PPSAS CODE],MATCH(B127,AccountCodes[NGAS CODE],0))</f>
        <v>1069902099</v>
      </c>
      <c r="D127" s="616">
        <f>IF(INDEX(AccountCodes[Normal Balance], MATCH(C127,AccountCodes[PPSAS CODE]))="Debit",E127-F127,0)</f>
        <v>44408723.700000003</v>
      </c>
      <c r="E127" s="488">
        <f t="array" ref="E127">(SUM(IF((PostTB[Account Code (Old)]=B127),(PostTB[Debit])))+(SUM(IF((CkDJ[Account Code]=B127)*(CkDJ[Date]&lt;=$A$7),(CkDJ[Debit])))+(SUM(IF((CsDJ[Account Code]=B127)*(CsDJ[Date]&lt;=$A$7),(CsDJ[Debit])))+(SUM(IF((CRDJ[Account Code]=B127)*(CRDJ[Date]&lt;=$A$7),(CRDJ[Debit])))+(SUM(IF((GJ[Account Code]=B127)*(GJ[Date]&lt;=$A$7),(GJ[Debit]))))))))</f>
        <v>44408723.700000003</v>
      </c>
      <c r="F127" s="490">
        <f t="array" ref="F127">(SUM(IF((PostTB[Account Code (Old)]=B127),(PostTB[Credit])))+(SUM(IF((CkDJ[Account Code]=B127)*(CkDJ[Date]&lt;=$A$7),(CkDJ[Credit])))+(SUM(IF((CsDJ[Account Code]=B127)*(CsDJ[Date]&lt;=$A$7),(CsDJ[Credit])))+(SUM(IF((CRDJ[Account Code]=B127)*(CRDJ[Date]&lt;=$A$7),(CRDJ[Credit])))+(SUM(IF((GJ[Account Code]=B127)*(GJ[Date]&lt;=$A$7),(GJ[Credit]))))))))</f>
        <v>0</v>
      </c>
      <c r="G127" s="620">
        <f>IF(INDEX(AccountCodes[Normal Balance], MATCH(C127,AccountCodes[PPSAS CODE]))="Credit",F127-E127,0)</f>
        <v>0</v>
      </c>
      <c r="H127" s="621">
        <f t="shared" si="1"/>
        <v>44408723.700000003</v>
      </c>
    </row>
    <row r="128" spans="1:8" ht="15.75" hidden="1">
      <c r="A128" s="613" t="str">
        <f t="array" ref="A128">INDEX(AccountCodes[ACCOUNT NAME],MATCH(B128,AccountCodes[NGAS CODE],0))</f>
        <v>Advances for Payroll</v>
      </c>
      <c r="B128" s="602" t="s">
        <v>12</v>
      </c>
      <c r="C128" s="615">
        <f t="array" ref="C128">INDEX(AccountCodes[PPSAS CODE],MATCH(B128,AccountCodes[NGAS CODE],0))</f>
        <v>1990102000</v>
      </c>
      <c r="D128" s="616">
        <f>IF(INDEX(AccountCodes[Normal Balance], MATCH(C128,AccountCodes[PPSAS CODE]))="Debit",E128-F128,0)</f>
        <v>0</v>
      </c>
      <c r="E128" s="488">
        <f t="array" ref="E128">(SUM(IF((PostTB[Account Code (Old)]=B128),(PostTB[Debit])))+(SUM(IF((CkDJ[Account Code]=B128)*(CkDJ[Date]&lt;=$A$7),(CkDJ[Debit])))+(SUM(IF((CsDJ[Account Code]=B128)*(CsDJ[Date]&lt;=$A$7),(CsDJ[Debit])))+(SUM(IF((CRDJ[Account Code]=B128)*(CRDJ[Date]&lt;=$A$7),(CRDJ[Debit])))+(SUM(IF((GJ[Account Code]=B128)*(GJ[Date]&lt;=$A$7),(GJ[Debit]))))))))</f>
        <v>0</v>
      </c>
      <c r="F128" s="490">
        <f t="array" ref="F128">(SUM(IF((PostTB[Account Code (Old)]=B128),(PostTB[Credit])))+(SUM(IF((CkDJ[Account Code]=B128)*(CkDJ[Date]&lt;=$A$7),(CkDJ[Credit])))+(SUM(IF((CsDJ[Account Code]=B128)*(CsDJ[Date]&lt;=$A$7),(CsDJ[Credit])))+(SUM(IF((CRDJ[Account Code]=B128)*(CRDJ[Date]&lt;=$A$7),(CRDJ[Credit])))+(SUM(IF((GJ[Account Code]=B128)*(GJ[Date]&lt;=$A$7),(GJ[Credit]))))))))</f>
        <v>0</v>
      </c>
      <c r="G128" s="620">
        <f>IF(INDEX(AccountCodes[Normal Balance], MATCH(C128,AccountCodes[PPSAS CODE]))="Credit",F128-E128,0)</f>
        <v>0</v>
      </c>
      <c r="H128" s="621">
        <f t="shared" si="1"/>
        <v>0</v>
      </c>
    </row>
    <row r="129" spans="1:8" ht="15.75" hidden="1">
      <c r="A129" s="613" t="str">
        <f t="array" ref="A129">INDEX(AccountCodes[ACCOUNT NAME],MATCH(B129,AccountCodes[NGAS CODE],0))</f>
        <v>Advances to Special Disbursing Officer</v>
      </c>
      <c r="B129" s="602" t="s">
        <v>10</v>
      </c>
      <c r="C129" s="615">
        <f t="array" ref="C129">INDEX(AccountCodes[PPSAS CODE],MATCH(B129,AccountCodes[NGAS CODE],0))</f>
        <v>1990103000</v>
      </c>
      <c r="D129" s="616">
        <f>IF(INDEX(AccountCodes[Normal Balance], MATCH(C129,AccountCodes[PPSAS CODE]))="Debit",E129-F129,0)</f>
        <v>0</v>
      </c>
      <c r="E129" s="488">
        <f t="array" ref="E129">(SUM(IF((PostTB[Account Code (Old)]=B129),(PostTB[Debit])))+(SUM(IF((CkDJ[Account Code]=B129)*(CkDJ[Date]&lt;=$A$7),(CkDJ[Debit])))+(SUM(IF((CsDJ[Account Code]=B129)*(CsDJ[Date]&lt;=$A$7),(CsDJ[Debit])))+(SUM(IF((CRDJ[Account Code]=B129)*(CRDJ[Date]&lt;=$A$7),(CRDJ[Debit])))+(SUM(IF((GJ[Account Code]=B129)*(GJ[Date]&lt;=$A$7),(GJ[Debit]))))))))</f>
        <v>0</v>
      </c>
      <c r="F129" s="490">
        <f t="array" ref="F129">(SUM(IF((PostTB[Account Code (Old)]=B129),(PostTB[Credit])))+(SUM(IF((CkDJ[Account Code]=B129)*(CkDJ[Date]&lt;=$A$7),(CkDJ[Credit])))+(SUM(IF((CsDJ[Account Code]=B129)*(CsDJ[Date]&lt;=$A$7),(CsDJ[Credit])))+(SUM(IF((CRDJ[Account Code]=B129)*(CRDJ[Date]&lt;=$A$7),(CRDJ[Credit])))+(SUM(IF((GJ[Account Code]=B129)*(GJ[Date]&lt;=$A$7),(GJ[Credit]))))))))</f>
        <v>0</v>
      </c>
      <c r="G129" s="620">
        <f>IF(INDEX(AccountCodes[Normal Balance], MATCH(C129,AccountCodes[PPSAS CODE]))="Credit",F129-E129,0)</f>
        <v>0</v>
      </c>
      <c r="H129" s="621">
        <f t="shared" si="1"/>
        <v>0</v>
      </c>
    </row>
    <row r="130" spans="1:8" ht="15.75" hidden="1">
      <c r="A130" s="613" t="str">
        <f t="array" ref="A130">INDEX(AccountCodes[ACCOUNT NAME],MATCH(B130,AccountCodes[NGAS CODE],0))</f>
        <v>Advances to Officers and Employees</v>
      </c>
      <c r="B130" s="602" t="s">
        <v>27</v>
      </c>
      <c r="C130" s="615">
        <f t="array" ref="C130">INDEX(AccountCodes[PPSAS CODE],MATCH(B130,AccountCodes[NGAS CODE],0))</f>
        <v>1990104000</v>
      </c>
      <c r="D130" s="616">
        <f>IF(INDEX(AccountCodes[Normal Balance], MATCH(C130,AccountCodes[PPSAS CODE]))="Debit",E130-F130,0)</f>
        <v>-202360</v>
      </c>
      <c r="E130" s="488">
        <f t="array" ref="E130">(SUM(IF((PostTB[Account Code (Old)]=B130),(PostTB[Debit])))+(SUM(IF((CkDJ[Account Code]=B130)*(CkDJ[Date]&lt;=$A$7),(CkDJ[Debit])))+(SUM(IF((CsDJ[Account Code]=B130)*(CsDJ[Date]&lt;=$A$7),(CsDJ[Debit])))+(SUM(IF((CRDJ[Account Code]=B130)*(CRDJ[Date]&lt;=$A$7),(CRDJ[Debit])))+(SUM(IF((GJ[Account Code]=B130)*(GJ[Date]&lt;=$A$7),(GJ[Debit]))))))))</f>
        <v>0</v>
      </c>
      <c r="F130" s="490">
        <f t="array" ref="F130">(SUM(IF((PostTB[Account Code (Old)]=B130),(PostTB[Credit])))+(SUM(IF((CkDJ[Account Code]=B130)*(CkDJ[Date]&lt;=$A$7),(CkDJ[Credit])))+(SUM(IF((CsDJ[Account Code]=B130)*(CsDJ[Date]&lt;=$A$7),(CsDJ[Credit])))+(SUM(IF((CRDJ[Account Code]=B130)*(CRDJ[Date]&lt;=$A$7),(CRDJ[Credit])))+(SUM(IF((GJ[Account Code]=B130)*(GJ[Date]&lt;=$A$7),(GJ[Credit]))))))))</f>
        <v>202360</v>
      </c>
      <c r="G130" s="620">
        <f>IF(INDEX(AccountCodes[Normal Balance], MATCH(C130,AccountCodes[PPSAS CODE]))="Credit",F130-E130,0)</f>
        <v>0</v>
      </c>
      <c r="H130" s="621">
        <f t="shared" si="1"/>
        <v>-202360</v>
      </c>
    </row>
    <row r="131" spans="1:8" ht="15.75" hidden="1">
      <c r="A131" s="613" t="str">
        <f t="array" ref="A131">INDEX(AccountCodes[ACCOUNT NAME],MATCH(B131,AccountCodes[NGAS CODE],0))</f>
        <v>Advances to Contractors</v>
      </c>
      <c r="B131" s="602" t="s">
        <v>35</v>
      </c>
      <c r="C131" s="615">
        <f t="array" ref="C131">INDEX(AccountCodes[PPSAS CODE],MATCH(B131,AccountCodes[NGAS CODE],0))</f>
        <v>1990201000</v>
      </c>
      <c r="D131" s="616">
        <f>IF(INDEX(AccountCodes[Normal Balance], MATCH(C131,AccountCodes[PPSAS CODE]))="Debit",E131-F131,0)</f>
        <v>701974.69</v>
      </c>
      <c r="E131" s="488">
        <f t="array" ref="E131">(SUM(IF((PostTB[Account Code (Old)]=B131),(PostTB[Debit])))+(SUM(IF((CkDJ[Account Code]=B131)*(CkDJ[Date]&lt;=$A$7),(CkDJ[Debit])))+(SUM(IF((CsDJ[Account Code]=B131)*(CsDJ[Date]&lt;=$A$7),(CsDJ[Debit])))+(SUM(IF((CRDJ[Account Code]=B131)*(CRDJ[Date]&lt;=$A$7),(CRDJ[Debit])))+(SUM(IF((GJ[Account Code]=B131)*(GJ[Date]&lt;=$A$7),(GJ[Debit]))))))))</f>
        <v>3858177.25</v>
      </c>
      <c r="F131" s="490">
        <f t="array" ref="F131">(SUM(IF((PostTB[Account Code (Old)]=B131),(PostTB[Credit])))+(SUM(IF((CkDJ[Account Code]=B131)*(CkDJ[Date]&lt;=$A$7),(CkDJ[Credit])))+(SUM(IF((CsDJ[Account Code]=B131)*(CsDJ[Date]&lt;=$A$7),(CsDJ[Credit])))+(SUM(IF((CRDJ[Account Code]=B131)*(CRDJ[Date]&lt;=$A$7),(CRDJ[Credit])))+(SUM(IF((GJ[Account Code]=B131)*(GJ[Date]&lt;=$A$7),(GJ[Credit]))))))))</f>
        <v>3156202.56</v>
      </c>
      <c r="G131" s="620">
        <f>IF(INDEX(AccountCodes[Normal Balance], MATCH(C131,AccountCodes[PPSAS CODE]))="Credit",F131-E131,0)</f>
        <v>0</v>
      </c>
      <c r="H131" s="621">
        <f t="shared" si="1"/>
        <v>701974.69</v>
      </c>
    </row>
    <row r="132" spans="1:8" ht="15.75" hidden="1">
      <c r="A132" s="613" t="str">
        <f t="array" ref="A132">INDEX(AccountCodes[ACCOUNT NAME],MATCH(B132,AccountCodes[NGAS CODE],0))</f>
        <v>Prepaid Rent</v>
      </c>
      <c r="B132" s="602" t="s">
        <v>33</v>
      </c>
      <c r="C132" s="615">
        <f t="array" ref="C132">INDEX(AccountCodes[PPSAS CODE],MATCH(B132,AccountCodes[NGAS CODE],0))</f>
        <v>1990202000</v>
      </c>
      <c r="D132" s="616">
        <f>IF(INDEX(AccountCodes[Normal Balance], MATCH(C132,AccountCodes[PPSAS CODE]))="Debit",E132-F132,0)</f>
        <v>0</v>
      </c>
      <c r="E132" s="488">
        <f t="array" ref="E132">(SUM(IF((PostTB[Account Code (Old)]=B132),(PostTB[Debit])))+(SUM(IF((CkDJ[Account Code]=B132)*(CkDJ[Date]&lt;=$A$7),(CkDJ[Debit])))+(SUM(IF((CsDJ[Account Code]=B132)*(CsDJ[Date]&lt;=$A$7),(CsDJ[Debit])))+(SUM(IF((CRDJ[Account Code]=B132)*(CRDJ[Date]&lt;=$A$7),(CRDJ[Debit])))+(SUM(IF((GJ[Account Code]=B132)*(GJ[Date]&lt;=$A$7),(GJ[Debit]))))))))</f>
        <v>0</v>
      </c>
      <c r="F132" s="490">
        <f t="array" ref="F132">(SUM(IF((PostTB[Account Code (Old)]=B132),(PostTB[Credit])))+(SUM(IF((CkDJ[Account Code]=B132)*(CkDJ[Date]&lt;=$A$7),(CkDJ[Credit])))+(SUM(IF((CsDJ[Account Code]=B132)*(CsDJ[Date]&lt;=$A$7),(CsDJ[Credit])))+(SUM(IF((CRDJ[Account Code]=B132)*(CRDJ[Date]&lt;=$A$7),(CRDJ[Credit])))+(SUM(IF((GJ[Account Code]=B132)*(GJ[Date]&lt;=$A$7),(GJ[Credit]))))))))</f>
        <v>0</v>
      </c>
      <c r="G132" s="620">
        <f>IF(INDEX(AccountCodes[Normal Balance], MATCH(C132,AccountCodes[PPSAS CODE]))="Credit",F132-E132,0)</f>
        <v>0</v>
      </c>
      <c r="H132" s="621">
        <f t="shared" si="1"/>
        <v>0</v>
      </c>
    </row>
    <row r="133" spans="1:8" ht="15.75" hidden="1">
      <c r="A133" s="613" t="str">
        <f t="array" ref="A133">INDEX(AccountCodes[ACCOUNT NAME],MATCH(B133,AccountCodes[NGAS CODE],0))</f>
        <v>Prepaid Insurance</v>
      </c>
      <c r="B133" s="602" t="s">
        <v>1224</v>
      </c>
      <c r="C133" s="615">
        <f t="array" ref="C133">INDEX(AccountCodes[PPSAS CODE],MATCH(B133,AccountCodes[NGAS CODE],0))</f>
        <v>1990205000</v>
      </c>
      <c r="D133" s="616">
        <f>IF(INDEX(AccountCodes[Normal Balance], MATCH(C133,AccountCodes[PPSAS CODE]))="Debit",E133-F133,0)</f>
        <v>0</v>
      </c>
      <c r="E133" s="488">
        <f t="array" ref="E133">(SUM(IF((PostTB[Account Code (Old)]=B133),(PostTB[Debit])))+(SUM(IF((CkDJ[Account Code]=B133)*(CkDJ[Date]&lt;=$A$7),(CkDJ[Debit])))+(SUM(IF((CsDJ[Account Code]=B133)*(CsDJ[Date]&lt;=$A$7),(CsDJ[Debit])))+(SUM(IF((CRDJ[Account Code]=B133)*(CRDJ[Date]&lt;=$A$7),(CRDJ[Debit])))+(SUM(IF((GJ[Account Code]=B133)*(GJ[Date]&lt;=$A$7),(GJ[Debit]))))))))</f>
        <v>0</v>
      </c>
      <c r="F133" s="490">
        <f t="array" ref="F133">(SUM(IF((PostTB[Account Code (Old)]=B133),(PostTB[Credit])))+(SUM(IF((CkDJ[Account Code]=B133)*(CkDJ[Date]&lt;=$A$7),(CkDJ[Credit])))+(SUM(IF((CsDJ[Account Code]=B133)*(CsDJ[Date]&lt;=$A$7),(CsDJ[Credit])))+(SUM(IF((CRDJ[Account Code]=B133)*(CRDJ[Date]&lt;=$A$7),(CRDJ[Credit])))+(SUM(IF((GJ[Account Code]=B133)*(GJ[Date]&lt;=$A$7),(GJ[Credit]))))))))</f>
        <v>0</v>
      </c>
      <c r="G133" s="620">
        <f>IF(INDEX(AccountCodes[Normal Balance], MATCH(C133,AccountCodes[PPSAS CODE]))="Credit",F133-E133,0)</f>
        <v>0</v>
      </c>
      <c r="H133" s="621">
        <f t="shared" si="1"/>
        <v>0</v>
      </c>
    </row>
    <row r="134" spans="1:8" ht="15.75" hidden="1">
      <c r="A134" s="613" t="str">
        <f t="array" ref="A134">INDEX(AccountCodes[ACCOUNT NAME],MATCH(B134,AccountCodes[NGAS CODE],0))</f>
        <v>Other Prepayments</v>
      </c>
      <c r="B134" s="602" t="s">
        <v>36</v>
      </c>
      <c r="C134" s="615">
        <f t="array" ref="C134">INDEX(AccountCodes[PPSAS CODE],MATCH(B134,AccountCodes[NGAS CODE],0))</f>
        <v>1990299000</v>
      </c>
      <c r="D134" s="616">
        <f>IF(INDEX(AccountCodes[Normal Balance], MATCH(C134,AccountCodes[PPSAS CODE]))="Debit",E134-F134,0)</f>
        <v>0</v>
      </c>
      <c r="E134" s="488">
        <f t="array" ref="E134">(SUM(IF((PostTB[Account Code (Old)]=B134),(PostTB[Debit])))+(SUM(IF((CkDJ[Account Code]=B134)*(CkDJ[Date]&lt;=$A$7),(CkDJ[Debit])))+(SUM(IF((CsDJ[Account Code]=B134)*(CsDJ[Date]&lt;=$A$7),(CsDJ[Debit])))+(SUM(IF((CRDJ[Account Code]=B134)*(CRDJ[Date]&lt;=$A$7),(CRDJ[Debit])))+(SUM(IF((GJ[Account Code]=B134)*(GJ[Date]&lt;=$A$7),(GJ[Debit]))))))))</f>
        <v>0</v>
      </c>
      <c r="F134" s="490">
        <f t="array" ref="F134">(SUM(IF((PostTB[Account Code (Old)]=B134),(PostTB[Credit])))+(SUM(IF((CkDJ[Account Code]=B134)*(CkDJ[Date]&lt;=$A$7),(CkDJ[Credit])))+(SUM(IF((CsDJ[Account Code]=B134)*(CsDJ[Date]&lt;=$A$7),(CsDJ[Credit])))+(SUM(IF((CRDJ[Account Code]=B134)*(CRDJ[Date]&lt;=$A$7),(CRDJ[Credit])))+(SUM(IF((GJ[Account Code]=B134)*(GJ[Date]&lt;=$A$7),(GJ[Credit]))))))))</f>
        <v>0</v>
      </c>
      <c r="G134" s="620">
        <f>IF(INDEX(AccountCodes[Normal Balance], MATCH(C134,AccountCodes[PPSAS CODE]))="Credit",F134-E134,0)</f>
        <v>0</v>
      </c>
      <c r="H134" s="621">
        <f t="shared" si="1"/>
        <v>0</v>
      </c>
    </row>
    <row r="135" spans="1:8" ht="15.75" hidden="1">
      <c r="A135" s="613" t="str">
        <f t="array" ref="A135">INDEX(AccountCodes[ACCOUNT NAME],MATCH(B135,AccountCodes[NGAS CODE],0))</f>
        <v>Deposit on Letters of Credit</v>
      </c>
      <c r="B135" s="602" t="s">
        <v>34</v>
      </c>
      <c r="C135" s="615">
        <f t="array" ref="C135">INDEX(AccountCodes[PPSAS CODE],MATCH(B135,AccountCodes[NGAS CODE],0))</f>
        <v>1990301000</v>
      </c>
      <c r="D135" s="616">
        <f>IF(INDEX(AccountCodes[Normal Balance], MATCH(C135,AccountCodes[PPSAS CODE]))="Debit",E135-F135,0)</f>
        <v>0</v>
      </c>
      <c r="E135" s="488">
        <f t="array" ref="E135">(SUM(IF((PostTB[Account Code (Old)]=B135),(PostTB[Debit])))+(SUM(IF((CkDJ[Account Code]=B135)*(CkDJ[Date]&lt;=$A$7),(CkDJ[Debit])))+(SUM(IF((CsDJ[Account Code]=B135)*(CsDJ[Date]&lt;=$A$7),(CsDJ[Debit])))+(SUM(IF((CRDJ[Account Code]=B135)*(CRDJ[Date]&lt;=$A$7),(CRDJ[Debit])))+(SUM(IF((GJ[Account Code]=B135)*(GJ[Date]&lt;=$A$7),(GJ[Debit]))))))))</f>
        <v>0</v>
      </c>
      <c r="F135" s="490">
        <f t="array" ref="F135">(SUM(IF((PostTB[Account Code (Old)]=B135),(PostTB[Credit])))+(SUM(IF((CkDJ[Account Code]=B135)*(CkDJ[Date]&lt;=$A$7),(CkDJ[Credit])))+(SUM(IF((CsDJ[Account Code]=B135)*(CsDJ[Date]&lt;=$A$7),(CsDJ[Credit])))+(SUM(IF((CRDJ[Account Code]=B135)*(CRDJ[Date]&lt;=$A$7),(CRDJ[Credit])))+(SUM(IF((GJ[Account Code]=B135)*(GJ[Date]&lt;=$A$7),(GJ[Credit]))))))))</f>
        <v>0</v>
      </c>
      <c r="G135" s="620">
        <f>IF(INDEX(AccountCodes[Normal Balance], MATCH(C135,AccountCodes[PPSAS CODE]))="Credit",F135-E135,0)</f>
        <v>0</v>
      </c>
      <c r="H135" s="621">
        <f t="shared" si="1"/>
        <v>0</v>
      </c>
    </row>
    <row r="136" spans="1:8" ht="15.75" hidden="1">
      <c r="A136" s="613" t="str">
        <f t="array" ref="A136">INDEX(AccountCodes[ACCOUNT NAME],MATCH(B136,AccountCodes[NGAS CODE],0))</f>
        <v>Guaranty Deposits</v>
      </c>
      <c r="B136" s="602" t="s">
        <v>37</v>
      </c>
      <c r="C136" s="615">
        <f t="array" ref="C136">INDEX(AccountCodes[PPSAS CODE],MATCH(B136,AccountCodes[NGAS CODE],0))</f>
        <v>1990302000</v>
      </c>
      <c r="D136" s="616">
        <f>IF(INDEX(AccountCodes[Normal Balance], MATCH(C136,AccountCodes[PPSAS CODE]))="Debit",E136-F136,0)</f>
        <v>0</v>
      </c>
      <c r="E136" s="488">
        <f t="array" ref="E136">(SUM(IF((PostTB[Account Code (Old)]=B136),(PostTB[Debit])))+(SUM(IF((CkDJ[Account Code]=B136)*(CkDJ[Date]&lt;=$A$7),(CkDJ[Debit])))+(SUM(IF((CsDJ[Account Code]=B136)*(CsDJ[Date]&lt;=$A$7),(CsDJ[Debit])))+(SUM(IF((CRDJ[Account Code]=B136)*(CRDJ[Date]&lt;=$A$7),(CRDJ[Debit])))+(SUM(IF((GJ[Account Code]=B136)*(GJ[Date]&lt;=$A$7),(GJ[Debit]))))))))</f>
        <v>0</v>
      </c>
      <c r="F136" s="490">
        <f t="array" ref="F136">(SUM(IF((PostTB[Account Code (Old)]=B136),(PostTB[Credit])))+(SUM(IF((CkDJ[Account Code]=B136)*(CkDJ[Date]&lt;=$A$7),(CkDJ[Credit])))+(SUM(IF((CsDJ[Account Code]=B136)*(CsDJ[Date]&lt;=$A$7),(CsDJ[Credit])))+(SUM(IF((CRDJ[Account Code]=B136)*(CRDJ[Date]&lt;=$A$7),(CRDJ[Credit])))+(SUM(IF((GJ[Account Code]=B136)*(GJ[Date]&lt;=$A$7),(GJ[Credit]))))))))</f>
        <v>0</v>
      </c>
      <c r="G136" s="620">
        <f>IF(INDEX(AccountCodes[Normal Balance], MATCH(C136,AccountCodes[PPSAS CODE]))="Credit",F136-E136,0)</f>
        <v>0</v>
      </c>
      <c r="H136" s="621">
        <f t="shared" si="1"/>
        <v>0</v>
      </c>
    </row>
    <row r="137" spans="1:8" ht="15.75" hidden="1">
      <c r="A137" s="613" t="str">
        <f t="array" ref="A137">INDEX(AccountCodes[ACCOUNT NAME],MATCH(B137,AccountCodes[NGAS CODE],0))</f>
        <v>Other Assets</v>
      </c>
      <c r="B137" s="602" t="s">
        <v>83</v>
      </c>
      <c r="C137" s="615">
        <f t="array" ref="C137">INDEX(AccountCodes[PPSAS CODE],MATCH(B137,AccountCodes[NGAS CODE],0))</f>
        <v>1999999000</v>
      </c>
      <c r="D137" s="616">
        <f>IF(INDEX(AccountCodes[Normal Balance], MATCH(C137,AccountCodes[PPSAS CODE]))="Debit",E137-F137,0)</f>
        <v>0</v>
      </c>
      <c r="E137" s="488">
        <f t="array" ref="E137">(SUM(IF((PostTB[Account Code (Old)]=B137),(PostTB[Debit])))+(SUM(IF((CkDJ[Account Code]=B137)*(CkDJ[Date]&lt;=$A$7),(CkDJ[Debit])))+(SUM(IF((CsDJ[Account Code]=B137)*(CsDJ[Date]&lt;=$A$7),(CsDJ[Debit])))+(SUM(IF((CRDJ[Account Code]=B137)*(CRDJ[Date]&lt;=$A$7),(CRDJ[Debit])))+(SUM(IF((GJ[Account Code]=B137)*(GJ[Date]&lt;=$A$7),(GJ[Debit]))))))))</f>
        <v>0</v>
      </c>
      <c r="F137" s="490">
        <f t="array" ref="F137">(SUM(IF((PostTB[Account Code (Old)]=B137),(PostTB[Credit])))+(SUM(IF((CkDJ[Account Code]=B137)*(CkDJ[Date]&lt;=$A$7),(CkDJ[Credit])))+(SUM(IF((CsDJ[Account Code]=B137)*(CsDJ[Date]&lt;=$A$7),(CsDJ[Credit])))+(SUM(IF((CRDJ[Account Code]=B137)*(CRDJ[Date]&lt;=$A$7),(CRDJ[Credit])))+(SUM(IF((GJ[Account Code]=B137)*(GJ[Date]&lt;=$A$7),(GJ[Credit]))))))))</f>
        <v>0</v>
      </c>
      <c r="G137" s="620">
        <f>IF(INDEX(AccountCodes[Normal Balance], MATCH(C137,AccountCodes[PPSAS CODE]))="Credit",F137-E137,0)</f>
        <v>0</v>
      </c>
      <c r="H137" s="621">
        <f t="shared" si="1"/>
        <v>0</v>
      </c>
    </row>
    <row r="138" spans="1:8" ht="15.75" hidden="1">
      <c r="A138" s="613" t="str">
        <f t="array" ref="A138">INDEX(AccountCodes[ACCOUNT NAME],MATCH(B138,AccountCodes[NGAS CODE],0))</f>
        <v>Accumulated Impairment Losses-Other Assets</v>
      </c>
      <c r="B138" s="602" t="s">
        <v>509</v>
      </c>
      <c r="C138" s="615">
        <f t="array" ref="C138">INDEX(AccountCodes[PPSAS CODE],MATCH(B138,AccountCodes[NGAS CODE],0))</f>
        <v>1999999100</v>
      </c>
      <c r="D138" s="616">
        <f>IF(INDEX(AccountCodes[Normal Balance], MATCH(C138,AccountCodes[PPSAS CODE]))="Debit",E138-F138,0)</f>
        <v>0</v>
      </c>
      <c r="E138" s="488">
        <f t="array" ref="E138">(SUM(IF((PostTB[Account Code (Old)]=B138),(PostTB[Debit])))+(SUM(IF((CkDJ[Account Code]=B138)*(CkDJ[Date]&lt;=$A$7),(CkDJ[Debit])))+(SUM(IF((CsDJ[Account Code]=B138)*(CsDJ[Date]&lt;=$A$7),(CsDJ[Debit])))+(SUM(IF((CRDJ[Account Code]=B138)*(CRDJ[Date]&lt;=$A$7),(CRDJ[Debit])))+(SUM(IF((GJ[Account Code]=B138)*(GJ[Date]&lt;=$A$7),(GJ[Debit]))))))))</f>
        <v>0</v>
      </c>
      <c r="F138" s="490">
        <f t="array" ref="F138">(SUM(IF((PostTB[Account Code (Old)]=B138),(PostTB[Credit])))+(SUM(IF((CkDJ[Account Code]=B138)*(CkDJ[Date]&lt;=$A$7),(CkDJ[Credit])))+(SUM(IF((CsDJ[Account Code]=B138)*(CsDJ[Date]&lt;=$A$7),(CsDJ[Credit])))+(SUM(IF((CRDJ[Account Code]=B138)*(CRDJ[Date]&lt;=$A$7),(CRDJ[Credit])))+(SUM(IF((GJ[Account Code]=B138)*(GJ[Date]&lt;=$A$7),(GJ[Credit]))))))))</f>
        <v>0</v>
      </c>
      <c r="G138" s="620">
        <f>IF(INDEX(AccountCodes[Normal Balance], MATCH(C138,AccountCodes[PPSAS CODE]))="Credit",F138-E138,0)</f>
        <v>0</v>
      </c>
      <c r="H138" s="621">
        <f t="shared" ref="H138:H207" si="2">IF(D138=0,G138,D138)</f>
        <v>0</v>
      </c>
    </row>
    <row r="139" spans="1:8" ht="15.75" hidden="1">
      <c r="A139" s="613" t="str">
        <f t="array" ref="A139">INDEX(AccountCodes[ACCOUNT NAME],MATCH(B139,AccountCodes[NGAS CODE],0))</f>
        <v>Accounts Payable</v>
      </c>
      <c r="B139" s="602" t="s">
        <v>106</v>
      </c>
      <c r="C139" s="615">
        <f t="array" ref="C139">INDEX(AccountCodes[PPSAS CODE],MATCH(B139,AccountCodes[NGAS CODE],0))</f>
        <v>2010101000</v>
      </c>
      <c r="D139" s="616">
        <f>IF(INDEX(AccountCodes[Normal Balance], MATCH(C139,AccountCodes[PPSAS CODE]))="Debit",E139-F139,0)</f>
        <v>0</v>
      </c>
      <c r="E139" s="488">
        <f t="array" ref="E139">(SUM(IF((PostTB[Account Code (Old)]=B139),(PostTB[Debit])))+(SUM(IF((CkDJ[Account Code]=B139)*(CkDJ[Date]&lt;=$A$7),(CkDJ[Debit])))+(SUM(IF((CsDJ[Account Code]=B139)*(CsDJ[Date]&lt;=$A$7),(CsDJ[Debit])))+(SUM(IF((CRDJ[Account Code]=B139)*(CRDJ[Date]&lt;=$A$7),(CRDJ[Debit])))+(SUM(IF((GJ[Account Code]=B139)*(GJ[Date]&lt;=$A$7),(GJ[Debit]))))))))</f>
        <v>610738.85</v>
      </c>
      <c r="F139" s="490">
        <f t="array" ref="F139">(SUM(IF((PostTB[Account Code (Old)]=B139),(PostTB[Credit])))+(SUM(IF((CkDJ[Account Code]=B139)*(CkDJ[Date]&lt;=$A$7),(CkDJ[Credit])))+(SUM(IF((CsDJ[Account Code]=B139)*(CsDJ[Date]&lt;=$A$7),(CsDJ[Credit])))+(SUM(IF((CRDJ[Account Code]=B139)*(CRDJ[Date]&lt;=$A$7),(CRDJ[Credit])))+(SUM(IF((GJ[Account Code]=B139)*(GJ[Date]&lt;=$A$7),(GJ[Credit]))))))))</f>
        <v>1532450.27</v>
      </c>
      <c r="G139" s="620">
        <f>IF(INDEX(AccountCodes[Normal Balance], MATCH(C139,AccountCodes[PPSAS CODE]))="Credit",F139-E139,0)</f>
        <v>921711.42</v>
      </c>
      <c r="H139" s="621">
        <f t="shared" si="2"/>
        <v>921711.42</v>
      </c>
    </row>
    <row r="140" spans="1:8" ht="15.75" hidden="1">
      <c r="A140" s="613" t="str">
        <f t="array" ref="A140">INDEX(AccountCodes[ACCOUNT NAME],MATCH(B140,AccountCodes[NGAS CODE],0))</f>
        <v>Due to Officers and Employees</v>
      </c>
      <c r="B140" s="602" t="s">
        <v>108</v>
      </c>
      <c r="C140" s="615">
        <f t="array" ref="C140">INDEX(AccountCodes[PPSAS CODE],MATCH(B140,AccountCodes[NGAS CODE],0))</f>
        <v>2010102000</v>
      </c>
      <c r="D140" s="616">
        <f>IF(INDEX(AccountCodes[Normal Balance], MATCH(C140,AccountCodes[PPSAS CODE]))="Debit",E140-F140,0)</f>
        <v>0</v>
      </c>
      <c r="E140" s="488">
        <f t="array" ref="E140">(SUM(IF((PostTB[Account Code (Old)]=B140),(PostTB[Debit])))+(SUM(IF((CkDJ[Account Code]=B140)*(CkDJ[Date]&lt;=$A$7),(CkDJ[Debit])))+(SUM(IF((CsDJ[Account Code]=B140)*(CsDJ[Date]&lt;=$A$7),(CsDJ[Debit])))+(SUM(IF((CRDJ[Account Code]=B140)*(CRDJ[Date]&lt;=$A$7),(CRDJ[Debit])))+(SUM(IF((GJ[Account Code]=B140)*(GJ[Date]&lt;=$A$7),(GJ[Debit]))))))))</f>
        <v>0</v>
      </c>
      <c r="F140" s="490">
        <f t="array" ref="F140">(SUM(IF((PostTB[Account Code (Old)]=B140),(PostTB[Credit])))+(SUM(IF((CkDJ[Account Code]=B140)*(CkDJ[Date]&lt;=$A$7),(CkDJ[Credit])))+(SUM(IF((CsDJ[Account Code]=B140)*(CsDJ[Date]&lt;=$A$7),(CsDJ[Credit])))+(SUM(IF((CRDJ[Account Code]=B140)*(CRDJ[Date]&lt;=$A$7),(CRDJ[Credit])))+(SUM(IF((GJ[Account Code]=B140)*(GJ[Date]&lt;=$A$7),(GJ[Credit]))))))))</f>
        <v>0</v>
      </c>
      <c r="G140" s="620">
        <f>IF(INDEX(AccountCodes[Normal Balance], MATCH(C140,AccountCodes[PPSAS CODE]))="Credit",F140-E140,0)</f>
        <v>0</v>
      </c>
      <c r="H140" s="621">
        <f t="shared" si="2"/>
        <v>0</v>
      </c>
    </row>
    <row r="141" spans="1:8" ht="15.75" hidden="1">
      <c r="A141" s="613" t="str">
        <f t="array" ref="A141">INDEX(AccountCodes[ACCOUNT NAME],MATCH(B141,AccountCodes[NGAS CODE],0))</f>
        <v>Notes Payable</v>
      </c>
      <c r="B141" s="602" t="s">
        <v>107</v>
      </c>
      <c r="C141" s="615">
        <f t="array" ref="C141">INDEX(AccountCodes[PPSAS CODE],MATCH(B141,AccountCodes[NGAS CODE],0))</f>
        <v>2010104000</v>
      </c>
      <c r="D141" s="616">
        <f>IF(INDEX(AccountCodes[Normal Balance], MATCH(C141,AccountCodes[PPSAS CODE]))="Debit",E141-F141,0)</f>
        <v>0</v>
      </c>
      <c r="E141" s="488">
        <f t="array" ref="E141">(SUM(IF((PostTB[Account Code (Old)]=B141),(PostTB[Debit])))+(SUM(IF((CkDJ[Account Code]=B141)*(CkDJ[Date]&lt;=$A$7),(CkDJ[Debit])))+(SUM(IF((CsDJ[Account Code]=B141)*(CsDJ[Date]&lt;=$A$7),(CsDJ[Debit])))+(SUM(IF((CRDJ[Account Code]=B141)*(CRDJ[Date]&lt;=$A$7),(CRDJ[Debit])))+(SUM(IF((GJ[Account Code]=B141)*(GJ[Date]&lt;=$A$7),(GJ[Debit]))))))))</f>
        <v>0</v>
      </c>
      <c r="F141" s="490">
        <f t="array" ref="F141">(SUM(IF((PostTB[Account Code (Old)]=B141),(PostTB[Credit])))+(SUM(IF((CkDJ[Account Code]=B141)*(CkDJ[Date]&lt;=$A$7),(CkDJ[Credit])))+(SUM(IF((CsDJ[Account Code]=B141)*(CsDJ[Date]&lt;=$A$7),(CsDJ[Credit])))+(SUM(IF((CRDJ[Account Code]=B141)*(CRDJ[Date]&lt;=$A$7),(CRDJ[Credit])))+(SUM(IF((GJ[Account Code]=B141)*(GJ[Date]&lt;=$A$7),(GJ[Credit]))))))))</f>
        <v>0</v>
      </c>
      <c r="G141" s="620">
        <f>IF(INDEX(AccountCodes[Normal Balance], MATCH(C141,AccountCodes[PPSAS CODE]))="Credit",F141-E141,0)</f>
        <v>0</v>
      </c>
      <c r="H141" s="621">
        <f t="shared" si="2"/>
        <v>0</v>
      </c>
    </row>
    <row r="142" spans="1:8" ht="15.75" hidden="1">
      <c r="A142" s="613" t="str">
        <f t="array" ref="A142">INDEX(AccountCodes[ACCOUNT NAME],MATCH(B142,AccountCodes[NGAS CODE],0))</f>
        <v>Loans Payable-Domestic</v>
      </c>
      <c r="B142" s="602" t="s">
        <v>118</v>
      </c>
      <c r="C142" s="615">
        <f t="array" ref="C142">INDEX(AccountCodes[PPSAS CODE],MATCH(B142,AccountCodes[NGAS CODE],0))</f>
        <v>2010204000</v>
      </c>
      <c r="D142" s="616">
        <f>IF(INDEX(AccountCodes[Normal Balance], MATCH(C142,AccountCodes[PPSAS CODE]))="Debit",E142-F142,0)</f>
        <v>0</v>
      </c>
      <c r="E142" s="488">
        <f t="array" ref="E142">(SUM(IF((PostTB[Account Code (Old)]=B142),(PostTB[Debit])))+(SUM(IF((CkDJ[Account Code]=B142)*(CkDJ[Date]&lt;=$A$7),(CkDJ[Debit])))+(SUM(IF((CsDJ[Account Code]=B142)*(CsDJ[Date]&lt;=$A$7),(CsDJ[Debit])))+(SUM(IF((CRDJ[Account Code]=B142)*(CRDJ[Date]&lt;=$A$7),(CRDJ[Debit])))+(SUM(IF((GJ[Account Code]=B142)*(GJ[Date]&lt;=$A$7),(GJ[Debit]))))))))</f>
        <v>0</v>
      </c>
      <c r="F142" s="490">
        <f t="array" ref="F142">(SUM(IF((PostTB[Account Code (Old)]=B142),(PostTB[Credit])))+(SUM(IF((CkDJ[Account Code]=B142)*(CkDJ[Date]&lt;=$A$7),(CkDJ[Credit])))+(SUM(IF((CsDJ[Account Code]=B142)*(CsDJ[Date]&lt;=$A$7),(CsDJ[Credit])))+(SUM(IF((CRDJ[Account Code]=B142)*(CRDJ[Date]&lt;=$A$7),(CRDJ[Credit])))+(SUM(IF((GJ[Account Code]=B142)*(GJ[Date]&lt;=$A$7),(GJ[Credit]))))))))</f>
        <v>0</v>
      </c>
      <c r="G142" s="620">
        <f>IF(INDEX(AccountCodes[Normal Balance], MATCH(C142,AccountCodes[PPSAS CODE]))="Credit",F142-E142,0)</f>
        <v>0</v>
      </c>
      <c r="H142" s="621">
        <f t="shared" si="2"/>
        <v>0</v>
      </c>
    </row>
    <row r="143" spans="1:8" ht="15.75" hidden="1">
      <c r="A143" s="613" t="str">
        <f t="array" ref="A143">INDEX(AccountCodes[ACCOUNT NAME],MATCH(B143,AccountCodes[NGAS CODE],0))</f>
        <v>Loans Payable-Foreign</v>
      </c>
      <c r="B143" s="602" t="s">
        <v>119</v>
      </c>
      <c r="C143" s="615">
        <f t="array" ref="C143">INDEX(AccountCodes[PPSAS CODE],MATCH(B143,AccountCodes[NGAS CODE],0))</f>
        <v>2010205000</v>
      </c>
      <c r="D143" s="616">
        <f>IF(INDEX(AccountCodes[Normal Balance], MATCH(C143,AccountCodes[PPSAS CODE]))="Debit",E143-F143,0)</f>
        <v>0</v>
      </c>
      <c r="E143" s="488">
        <f t="array" ref="E143">(SUM(IF((PostTB[Account Code (Old)]=B143),(PostTB[Debit])))+(SUM(IF((CkDJ[Account Code]=B143)*(CkDJ[Date]&lt;=$A$7),(CkDJ[Debit])))+(SUM(IF((CsDJ[Account Code]=B143)*(CsDJ[Date]&lt;=$A$7),(CsDJ[Debit])))+(SUM(IF((CRDJ[Account Code]=B143)*(CRDJ[Date]&lt;=$A$7),(CRDJ[Debit])))+(SUM(IF((GJ[Account Code]=B143)*(GJ[Date]&lt;=$A$7),(GJ[Debit]))))))))</f>
        <v>0</v>
      </c>
      <c r="F143" s="490">
        <f t="array" ref="F143">(SUM(IF((PostTB[Account Code (Old)]=B143),(PostTB[Credit])))+(SUM(IF((CkDJ[Account Code]=B143)*(CkDJ[Date]&lt;=$A$7),(CkDJ[Credit])))+(SUM(IF((CsDJ[Account Code]=B143)*(CsDJ[Date]&lt;=$A$7),(CsDJ[Credit])))+(SUM(IF((CRDJ[Account Code]=B143)*(CRDJ[Date]&lt;=$A$7),(CRDJ[Credit])))+(SUM(IF((GJ[Account Code]=B143)*(GJ[Date]&lt;=$A$7),(GJ[Credit]))))))))</f>
        <v>0</v>
      </c>
      <c r="G143" s="620">
        <f>IF(INDEX(AccountCodes[Normal Balance], MATCH(C143,AccountCodes[PPSAS CODE]))="Credit",F143-E143,0)</f>
        <v>0</v>
      </c>
      <c r="H143" s="621">
        <f t="shared" si="2"/>
        <v>0</v>
      </c>
    </row>
    <row r="144" spans="1:8" ht="15.75">
      <c r="A144" s="613" t="str">
        <f t="array" ref="A144">INDEX(AccountCodes[ACCOUNT NAME],MATCH(B144,AccountCodes[NGAS CODE],0))</f>
        <v>Due to the Treasurer of the Philippines</v>
      </c>
      <c r="B144" s="602" t="s">
        <v>1496</v>
      </c>
      <c r="C144" s="615">
        <f t="array" ref="C144">INDEX(AccountCodes[PPSAS CODE],MATCH(B144,AccountCodes[NGAS CODE],0))</f>
        <v>2020109000</v>
      </c>
      <c r="D144" s="616">
        <f>IF(INDEX(AccountCodes[Normal Balance], MATCH(C144,AccountCodes[PPSAS CODE]))="Debit",E144-F144,0)</f>
        <v>0</v>
      </c>
      <c r="E144" s="488">
        <f t="array" ref="E144">(SUM(IF((PostTB[Account Code (Old)]=B144),(PostTB[Debit])))+(SUM(IF((CkDJ[Account Code]=B144)*(CkDJ[Date]&lt;=$A$7),(CkDJ[Debit])))+(SUM(IF((CsDJ[Account Code]=B144)*(CsDJ[Date]&lt;=$A$7),(CsDJ[Debit])))+(SUM(IF((CRDJ[Account Code]=B144)*(CRDJ[Date]&lt;=$A$7),(CRDJ[Debit])))+(SUM(IF((GJ[Account Code]=B144)*(GJ[Date]&lt;=$A$7),(GJ[Debit]))))))))</f>
        <v>2098.6799999999998</v>
      </c>
      <c r="F144" s="490">
        <f t="array" ref="F144">(SUM(IF((PostTB[Account Code (Old)]=B144),(PostTB[Credit])))+(SUM(IF((CkDJ[Account Code]=B144)*(CkDJ[Date]&lt;=$A$7),(CkDJ[Credit])))+(SUM(IF((CsDJ[Account Code]=B144)*(CsDJ[Date]&lt;=$A$7),(CsDJ[Credit])))+(SUM(IF((CRDJ[Account Code]=B144)*(CRDJ[Date]&lt;=$A$7),(CRDJ[Credit])))+(SUM(IF((GJ[Account Code]=B144)*(GJ[Date]&lt;=$A$7),(GJ[Credit]))))))))</f>
        <v>8432.14</v>
      </c>
      <c r="G144" s="620">
        <f>IF(INDEX(AccountCodes[Normal Balance], MATCH(C144,AccountCodes[PPSAS CODE]))="Credit",F144-E144,0)</f>
        <v>6333.46</v>
      </c>
      <c r="H144" s="621">
        <f t="shared" si="2"/>
        <v>6333.46</v>
      </c>
    </row>
    <row r="145" spans="1:8" ht="15.75" hidden="1">
      <c r="A145" s="613" t="str">
        <f t="array" ref="A145">INDEX(AccountCodes[ACCOUNT NAME],MATCH(B145,AccountCodes[NGAS CODE],0))</f>
        <v>Due to BIR</v>
      </c>
      <c r="B145" s="602" t="s">
        <v>109</v>
      </c>
      <c r="C145" s="615">
        <f t="array" ref="C145">INDEX(AccountCodes[PPSAS CODE],MATCH(B145,AccountCodes[NGAS CODE],0))</f>
        <v>2020101000</v>
      </c>
      <c r="D145" s="616">
        <f>IF(INDEX(AccountCodes[Normal Balance], MATCH(C145,AccountCodes[PPSAS CODE]))="Debit",E145-F145,0)</f>
        <v>0</v>
      </c>
      <c r="E145" s="488">
        <f t="array" ref="E145">(SUM(IF((PostTB[Account Code (Old)]=B145),(PostTB[Debit])))+(SUM(IF((CkDJ[Account Code]=B145)*(CkDJ[Date]&lt;=$A$7),(CkDJ[Debit])))+(SUM(IF((CsDJ[Account Code]=B145)*(CsDJ[Date]&lt;=$A$7),(CsDJ[Debit])))+(SUM(IF((CRDJ[Account Code]=B145)*(CRDJ[Date]&lt;=$A$7),(CRDJ[Debit])))+(SUM(IF((GJ[Account Code]=B145)*(GJ[Date]&lt;=$A$7),(GJ[Debit]))))))))</f>
        <v>0</v>
      </c>
      <c r="F145" s="490">
        <f t="array" ref="F145">(SUM(IF((PostTB[Account Code (Old)]=B145),(PostTB[Credit])))+(SUM(IF((CkDJ[Account Code]=B145)*(CkDJ[Date]&lt;=$A$7),(CkDJ[Credit])))+(SUM(IF((CsDJ[Account Code]=B145)*(CsDJ[Date]&lt;=$A$7),(CsDJ[Credit])))+(SUM(IF((CRDJ[Account Code]=B145)*(CRDJ[Date]&lt;=$A$7),(CRDJ[Credit])))+(SUM(IF((GJ[Account Code]=B145)*(GJ[Date]&lt;=$A$7),(GJ[Credit]))))))))</f>
        <v>0</v>
      </c>
      <c r="G145" s="620">
        <f>IF(INDEX(AccountCodes[Normal Balance], MATCH(C145,AccountCodes[PPSAS CODE]))="Credit",F145-E145,0)</f>
        <v>0</v>
      </c>
      <c r="H145" s="621">
        <f t="shared" si="2"/>
        <v>0</v>
      </c>
    </row>
    <row r="146" spans="1:8" ht="15.75">
      <c r="A146" s="643" t="str">
        <f t="array" ref="A146">INDEX(AccountCodes[ACCOUNT NAME],MATCH(B146,AccountCodes[NGAS CODE],0))</f>
        <v>Due to BIR - Compensation</v>
      </c>
      <c r="B146" s="636" t="s">
        <v>1546</v>
      </c>
      <c r="C146" s="644">
        <f t="array" ref="C146">INDEX(AccountCodes[PPSAS CODE],MATCH(B146,AccountCodes[NGAS CODE],0))</f>
        <v>2020101001</v>
      </c>
      <c r="D146" s="645">
        <f>IF(INDEX(AccountCodes[Normal Balance], MATCH(C146,AccountCodes[PPSAS CODE]))="Debit",E146-F146,0)</f>
        <v>0</v>
      </c>
      <c r="E146" s="646">
        <f t="array" ref="E146">(SUM(IF((PostTB[Account Code (Old)]=B146),(PostTB[Debit])))+(SUM(IF((CkDJ[Account Code]=B146)*(CkDJ[Date]&lt;=$A$7),(CkDJ[Debit])))+(SUM(IF((CsDJ[Account Code]=B146)*(CsDJ[Date]&lt;=$A$7),(CsDJ[Debit])))+(SUM(IF((CRDJ[Account Code]=B146)*(CRDJ[Date]&lt;=$A$7),(CRDJ[Debit])))+(SUM(IF((GJ[Account Code]=B146)*(GJ[Date]&lt;=$A$7),(GJ[Debit]))))))))</f>
        <v>11976.84</v>
      </c>
      <c r="F146" s="647">
        <f t="array" ref="F146">(SUM(IF((PostTB[Account Code (Old)]=B146),(PostTB[Credit])))+(SUM(IF((CkDJ[Account Code]=B146)*(CkDJ[Date]&lt;=$A$7),(CkDJ[Credit])))+(SUM(IF((CsDJ[Account Code]=B146)*(CsDJ[Date]&lt;=$A$7),(CsDJ[Credit])))+(SUM(IF((CRDJ[Account Code]=B146)*(CRDJ[Date]&lt;=$A$7),(CRDJ[Credit])))+(SUM(IF((GJ[Account Code]=B146)*(GJ[Date]&lt;=$A$7),(GJ[Credit]))))))))</f>
        <v>12846.9</v>
      </c>
      <c r="G146" s="648">
        <f>IF(INDEX(AccountCodes[Normal Balance], MATCH(C146,AccountCodes[PPSAS CODE]))="Credit",F146-E146,0)</f>
        <v>870.06</v>
      </c>
      <c r="H146" s="649">
        <f>IF(D146=0,G146,D146)</f>
        <v>870.06</v>
      </c>
    </row>
    <row r="147" spans="1:8" ht="15.75">
      <c r="A147" s="643" t="str">
        <f t="array" ref="A147">INDEX(AccountCodes[ACCOUNT NAME],MATCH(B147,AccountCodes[NGAS CODE],0))</f>
        <v>Due to BIR - 5%</v>
      </c>
      <c r="B147" s="636" t="s">
        <v>1548</v>
      </c>
      <c r="C147" s="637">
        <f t="array" ref="C147">INDEX(AccountCodes[PPSAS CODE],MATCH(B147,AccountCodes[NGAS CODE],0))</f>
        <v>2020101002</v>
      </c>
      <c r="D147" s="638">
        <f>IF(INDEX(AccountCodes[Normal Balance], MATCH(C147,AccountCodes[PPSAS CODE]))="Debit",E147-F147,0)</f>
        <v>0</v>
      </c>
      <c r="E147" s="639">
        <f t="array" ref="E147">(SUM(IF((PostTB[Account Code (Old)]=B147),(PostTB[Debit])))+(SUM(IF((CkDJ[Account Code]=B147)*(CkDJ[Date]&lt;=$A$7),(CkDJ[Debit])))+(SUM(IF((CsDJ[Account Code]=B147)*(CsDJ[Date]&lt;=$A$7),(CsDJ[Debit])))+(SUM(IF((CRDJ[Account Code]=B147)*(CRDJ[Date]&lt;=$A$7),(CRDJ[Debit])))+(SUM(IF((GJ[Account Code]=B147)*(GJ[Date]&lt;=$A$7),(GJ[Debit]))))))))</f>
        <v>941533.12</v>
      </c>
      <c r="F147" s="640">
        <f t="array" ref="F147">(SUM(IF((PostTB[Account Code (Old)]=B147),(PostTB[Credit])))+(SUM(IF((CkDJ[Account Code]=B147)*(CkDJ[Date]&lt;=$A$7),(CkDJ[Credit])))+(SUM(IF((CsDJ[Account Code]=B147)*(CsDJ[Date]&lt;=$A$7),(CsDJ[Credit])))+(SUM(IF((CRDJ[Account Code]=B147)*(CRDJ[Date]&lt;=$A$7),(CRDJ[Credit])))+(SUM(IF((GJ[Account Code]=B147)*(GJ[Date]&lt;=$A$7),(GJ[Credit]))))))))</f>
        <v>949182.45</v>
      </c>
      <c r="G147" s="641">
        <f>IF(INDEX(AccountCodes[Normal Balance], MATCH(C147,AccountCodes[PPSAS CODE]))="Credit",F147-E147,0)</f>
        <v>7649.33</v>
      </c>
      <c r="H147" s="642">
        <f>IF(D147=0,G147,D147)</f>
        <v>7649.33</v>
      </c>
    </row>
    <row r="148" spans="1:8" ht="15.75">
      <c r="A148" s="643" t="str">
        <f t="array" ref="A148">INDEX(AccountCodes[ACCOUNT NAME],MATCH(B148,AccountCodes[NGAS CODE],0))</f>
        <v>Due to BIR - 3%</v>
      </c>
      <c r="B148" s="636" t="s">
        <v>1549</v>
      </c>
      <c r="C148" s="637">
        <f t="array" ref="C148">INDEX(AccountCodes[PPSAS CODE],MATCH(B148,AccountCodes[NGAS CODE],0))</f>
        <v>2020101003</v>
      </c>
      <c r="D148" s="638">
        <f>IF(INDEX(AccountCodes[Normal Balance], MATCH(C148,AccountCodes[PPSAS CODE]))="Debit",E148-F148,0)</f>
        <v>0</v>
      </c>
      <c r="E148" s="639">
        <f t="array" ref="E148">(SUM(IF((PostTB[Account Code (Old)]=B148),(PostTB[Debit])))+(SUM(IF((CkDJ[Account Code]=B148)*(CkDJ[Date]&lt;=$A$7),(CkDJ[Debit])))+(SUM(IF((CsDJ[Account Code]=B148)*(CsDJ[Date]&lt;=$A$7),(CsDJ[Debit])))+(SUM(IF((CRDJ[Account Code]=B148)*(CRDJ[Date]&lt;=$A$7),(CRDJ[Debit])))+(SUM(IF((GJ[Account Code]=B148)*(GJ[Date]&lt;=$A$7),(GJ[Debit]))))))))</f>
        <v>0</v>
      </c>
      <c r="F148" s="640">
        <f t="array" ref="F148">(SUM(IF((PostTB[Account Code (Old)]=B148),(PostTB[Credit])))+(SUM(IF((CkDJ[Account Code]=B148)*(CkDJ[Date]&lt;=$A$7),(CkDJ[Credit])))+(SUM(IF((CsDJ[Account Code]=B148)*(CsDJ[Date]&lt;=$A$7),(CsDJ[Credit])))+(SUM(IF((CRDJ[Account Code]=B148)*(CRDJ[Date]&lt;=$A$7),(CRDJ[Credit])))+(SUM(IF((GJ[Account Code]=B148)*(GJ[Date]&lt;=$A$7),(GJ[Credit]))))))))</f>
        <v>0</v>
      </c>
      <c r="G148" s="641">
        <f>IF(INDEX(AccountCodes[Normal Balance], MATCH(C148,AccountCodes[PPSAS CODE]))="Credit",F148-E148,0)</f>
        <v>0</v>
      </c>
      <c r="H148" s="642">
        <f>IF(D148=0,G148,D148)</f>
        <v>0</v>
      </c>
    </row>
    <row r="149" spans="1:8" ht="15.75">
      <c r="A149" s="643" t="str">
        <f t="array" ref="A149">INDEX(AccountCodes[ACCOUNT NAME],MATCH(B149,AccountCodes[NGAS CODE],0))</f>
        <v>Due to BIR - 2%</v>
      </c>
      <c r="B149" s="636" t="s">
        <v>1550</v>
      </c>
      <c r="C149" s="637">
        <f t="array" ref="C149">INDEX(AccountCodes[PPSAS CODE],MATCH(B149,AccountCodes[NGAS CODE],0))</f>
        <v>2020101004</v>
      </c>
      <c r="D149" s="638">
        <f>IF(INDEX(AccountCodes[Normal Balance], MATCH(C149,AccountCodes[PPSAS CODE]))="Debit",E149-F149,0)</f>
        <v>0</v>
      </c>
      <c r="E149" s="639">
        <f t="array" ref="E149">(SUM(IF((PostTB[Account Code (Old)]=B149),(PostTB[Debit])))+(SUM(IF((CkDJ[Account Code]=B149)*(CkDJ[Date]&lt;=$A$7),(CkDJ[Debit])))+(SUM(IF((CsDJ[Account Code]=B149)*(CsDJ[Date]&lt;=$A$7),(CsDJ[Debit])))+(SUM(IF((CRDJ[Account Code]=B149)*(CRDJ[Date]&lt;=$A$7),(CRDJ[Debit])))+(SUM(IF((GJ[Account Code]=B149)*(GJ[Date]&lt;=$A$7),(GJ[Debit]))))))))</f>
        <v>354640.33</v>
      </c>
      <c r="F149" s="640">
        <f t="array" ref="F149">(SUM(IF((PostTB[Account Code (Old)]=B149),(PostTB[Credit])))+(SUM(IF((CkDJ[Account Code]=B149)*(CkDJ[Date]&lt;=$A$7),(CkDJ[Credit])))+(SUM(IF((CsDJ[Account Code]=B149)*(CsDJ[Date]&lt;=$A$7),(CsDJ[Credit])))+(SUM(IF((CRDJ[Account Code]=B149)*(CRDJ[Date]&lt;=$A$7),(CRDJ[Credit])))+(SUM(IF((GJ[Account Code]=B149)*(GJ[Date]&lt;=$A$7),(GJ[Credit]))))))))</f>
        <v>354640.33</v>
      </c>
      <c r="G149" s="641">
        <f>IF(INDEX(AccountCodes[Normal Balance], MATCH(C149,AccountCodes[PPSAS CODE]))="Credit",F149-E149,0)</f>
        <v>0</v>
      </c>
      <c r="H149" s="642">
        <f>IF(D149=0,G149,D149)</f>
        <v>0</v>
      </c>
    </row>
    <row r="150" spans="1:8" ht="15.75">
      <c r="A150" s="643" t="str">
        <f t="array" ref="A150">INDEX(AccountCodes[ACCOUNT NAME],MATCH(B150,AccountCodes[NGAS CODE],0))</f>
        <v>Due to BIR - 1%</v>
      </c>
      <c r="B150" s="636" t="s">
        <v>1554</v>
      </c>
      <c r="C150" s="637">
        <f t="array" ref="C150">INDEX(AccountCodes[PPSAS CODE],MATCH(B150,AccountCodes[NGAS CODE],0))</f>
        <v>2020101005</v>
      </c>
      <c r="D150" s="638">
        <f>IF(INDEX(AccountCodes[Normal Balance], MATCH(C150,AccountCodes[PPSAS CODE]))="Debit",E150-F150,0)</f>
        <v>0</v>
      </c>
      <c r="E150" s="639">
        <f t="array" ref="E150">(SUM(IF((PostTB[Account Code (Old)]=B150),(PostTB[Debit])))+(SUM(IF((CkDJ[Account Code]=B150)*(CkDJ[Date]&lt;=$A$7),(CkDJ[Debit])))+(SUM(IF((CsDJ[Account Code]=B150)*(CsDJ[Date]&lt;=$A$7),(CsDJ[Debit])))+(SUM(IF((CRDJ[Account Code]=B150)*(CRDJ[Date]&lt;=$A$7),(CRDJ[Debit])))+(SUM(IF((GJ[Account Code]=B150)*(GJ[Date]&lt;=$A$7),(GJ[Debit]))))))))</f>
        <v>13429.41</v>
      </c>
      <c r="F150" s="640">
        <f t="array" ref="F150">(SUM(IF((PostTB[Account Code (Old)]=B150),(PostTB[Credit])))+(SUM(IF((CkDJ[Account Code]=B150)*(CkDJ[Date]&lt;=$A$7),(CkDJ[Credit])))+(SUM(IF((CsDJ[Account Code]=B150)*(CsDJ[Date]&lt;=$A$7),(CsDJ[Credit])))+(SUM(IF((CRDJ[Account Code]=B150)*(CRDJ[Date]&lt;=$A$7),(CRDJ[Credit])))+(SUM(IF((GJ[Account Code]=B150)*(GJ[Date]&lt;=$A$7),(GJ[Credit]))))))))</f>
        <v>14959.28</v>
      </c>
      <c r="G150" s="641">
        <f>IF(INDEX(AccountCodes[Normal Balance], MATCH(C150,AccountCodes[PPSAS CODE]))="Credit",F150-E150,0)</f>
        <v>1529.87</v>
      </c>
      <c r="H150" s="642">
        <f>IF(D150=0,G150,D150)</f>
        <v>1529.87</v>
      </c>
    </row>
    <row r="151" spans="1:8" ht="15.75" hidden="1">
      <c r="A151" s="613" t="str">
        <f t="array" ref="A151">INDEX(AccountCodes[ACCOUNT NAME],MATCH(B151,AccountCodes[NGAS CODE],0))</f>
        <v>Due to GSIS</v>
      </c>
      <c r="B151" s="602" t="s">
        <v>110</v>
      </c>
      <c r="C151" s="615">
        <f t="array" ref="C151">INDEX(AccountCodes[PPSAS CODE],MATCH(B151,AccountCodes[NGAS CODE],0))</f>
        <v>2020102000</v>
      </c>
      <c r="D151" s="616">
        <f>IF(INDEX(AccountCodes[Normal Balance], MATCH(C151,AccountCodes[PPSAS CODE]))="Debit",E151-F151,0)</f>
        <v>0</v>
      </c>
      <c r="E151" s="488">
        <f t="array" ref="E151">(SUM(IF((PostTB[Account Code (Old)]=B151),(PostTB[Debit])))+(SUM(IF((CkDJ[Account Code]=B151)*(CkDJ[Date]&lt;=$A$7),(CkDJ[Debit])))+(SUM(IF((CsDJ[Account Code]=B151)*(CsDJ[Date]&lt;=$A$7),(CsDJ[Debit])))+(SUM(IF((CRDJ[Account Code]=B151)*(CRDJ[Date]&lt;=$A$7),(CRDJ[Debit])))+(SUM(IF((GJ[Account Code]=B151)*(GJ[Date]&lt;=$A$7),(GJ[Debit]))))))))</f>
        <v>0</v>
      </c>
      <c r="F151" s="490">
        <f t="array" ref="F151">(SUM(IF((PostTB[Account Code (Old)]=B151),(PostTB[Credit])))+(SUM(IF((CkDJ[Account Code]=B151)*(CkDJ[Date]&lt;=$A$7),(CkDJ[Credit])))+(SUM(IF((CsDJ[Account Code]=B151)*(CsDJ[Date]&lt;=$A$7),(CsDJ[Credit])))+(SUM(IF((CRDJ[Account Code]=B151)*(CRDJ[Date]&lt;=$A$7),(CRDJ[Credit])))+(SUM(IF((GJ[Account Code]=B151)*(GJ[Date]&lt;=$A$7),(GJ[Credit]))))))))</f>
        <v>0</v>
      </c>
      <c r="G151" s="620">
        <f>IF(INDEX(AccountCodes[Normal Balance], MATCH(C151,AccountCodes[PPSAS CODE]))="Credit",F151-E151,0)</f>
        <v>0</v>
      </c>
      <c r="H151" s="621">
        <f t="shared" si="2"/>
        <v>0</v>
      </c>
    </row>
    <row r="152" spans="1:8" ht="15.75">
      <c r="A152" s="613" t="str">
        <f t="array" ref="A152">INDEX(AccountCodes[ACCOUNT NAME],MATCH(B152,AccountCodes[NGAS CODE],0))</f>
        <v>Due to GSIS - Life and Retirement Premium</v>
      </c>
      <c r="B152" s="602" t="s">
        <v>1440</v>
      </c>
      <c r="C152" s="615">
        <f t="array" ref="C152">INDEX(AccountCodes[PPSAS CODE],MATCH(B152,AccountCodes[NGAS CODE],0))</f>
        <v>2020102001</v>
      </c>
      <c r="D152" s="616">
        <f>IF(INDEX(AccountCodes[Normal Balance], MATCH(C152,AccountCodes[PPSAS CODE]))="Debit",E152-F152,0)</f>
        <v>0</v>
      </c>
      <c r="E152" s="488">
        <f t="array" ref="E152">(SUM(IF((PostTB[Account Code (Old)]=B152),(PostTB[Debit])))+(SUM(IF((CkDJ[Account Code]=B152)*(CkDJ[Date]&lt;=$A$7),(CkDJ[Debit])))+(SUM(IF((CsDJ[Account Code]=B152)*(CsDJ[Date]&lt;=$A$7),(CsDJ[Debit])))+(SUM(IF((CRDJ[Account Code]=B152)*(CRDJ[Date]&lt;=$A$7),(CRDJ[Debit])))+(SUM(IF((GJ[Account Code]=B152)*(GJ[Date]&lt;=$A$7),(GJ[Debit]))))))))</f>
        <v>53741.48</v>
      </c>
      <c r="F152" s="490">
        <f t="array" ref="F152">(SUM(IF((PostTB[Account Code (Old)]=B152),(PostTB[Credit])))+(SUM(IF((CkDJ[Account Code]=B152)*(CkDJ[Date]&lt;=$A$7),(CkDJ[Credit])))+(SUM(IF((CsDJ[Account Code]=B152)*(CsDJ[Date]&lt;=$A$7),(CsDJ[Credit])))+(SUM(IF((CRDJ[Account Code]=B152)*(CRDJ[Date]&lt;=$A$7),(CRDJ[Credit])))+(SUM(IF((GJ[Account Code]=B152)*(GJ[Date]&lt;=$A$7),(GJ[Credit]))))))))</f>
        <v>64127.3</v>
      </c>
      <c r="G152" s="620">
        <f>IF(INDEX(AccountCodes[Normal Balance], MATCH(C152,AccountCodes[PPSAS CODE]))="Credit",F152-E152,0)</f>
        <v>10385.82</v>
      </c>
      <c r="H152" s="621">
        <f t="shared" si="2"/>
        <v>10385.82</v>
      </c>
    </row>
    <row r="153" spans="1:8" ht="15.75" hidden="1">
      <c r="A153" s="613" t="str">
        <f t="array" ref="A153">INDEX(AccountCodes[ACCOUNT NAME],MATCH(B153,AccountCodes[NGAS CODE],0))</f>
        <v>Due to GSIS - ECC</v>
      </c>
      <c r="B153" s="602" t="s">
        <v>1441</v>
      </c>
      <c r="C153" s="615">
        <f t="array" ref="C153">INDEX(AccountCodes[PPSAS CODE],MATCH(B153,AccountCodes[NGAS CODE],0))</f>
        <v>2020102002</v>
      </c>
      <c r="D153" s="616">
        <f>IF(INDEX(AccountCodes[Normal Balance], MATCH(C153,AccountCodes[PPSAS CODE]))="Debit",E153-F153,0)</f>
        <v>0</v>
      </c>
      <c r="E153" s="488">
        <f t="array" ref="E153">(SUM(IF((PostTB[Account Code (Old)]=B153),(PostTB[Debit])))+(SUM(IF((CkDJ[Account Code]=B153)*(CkDJ[Date]&lt;=$A$7),(CkDJ[Debit])))+(SUM(IF((CsDJ[Account Code]=B153)*(CsDJ[Date]&lt;=$A$7),(CsDJ[Debit])))+(SUM(IF((CRDJ[Account Code]=B153)*(CRDJ[Date]&lt;=$A$7),(CRDJ[Debit])))+(SUM(IF((GJ[Account Code]=B153)*(GJ[Date]&lt;=$A$7),(GJ[Debit]))))))))</f>
        <v>0</v>
      </c>
      <c r="F153" s="490">
        <f t="array" ref="F153">(SUM(IF((PostTB[Account Code (Old)]=B153),(PostTB[Credit])))+(SUM(IF((CkDJ[Account Code]=B153)*(CkDJ[Date]&lt;=$A$7),(CkDJ[Credit])))+(SUM(IF((CsDJ[Account Code]=B153)*(CsDJ[Date]&lt;=$A$7),(CsDJ[Credit])))+(SUM(IF((CRDJ[Account Code]=B153)*(CRDJ[Date]&lt;=$A$7),(CRDJ[Credit])))+(SUM(IF((GJ[Account Code]=B153)*(GJ[Date]&lt;=$A$7),(GJ[Credit]))))))))</f>
        <v>0</v>
      </c>
      <c r="G153" s="620">
        <f>IF(INDEX(AccountCodes[Normal Balance], MATCH(C153,AccountCodes[PPSAS CODE]))="Credit",F153-E153,0)</f>
        <v>0</v>
      </c>
      <c r="H153" s="621">
        <f t="shared" si="2"/>
        <v>0</v>
      </c>
    </row>
    <row r="154" spans="1:8" ht="15.75">
      <c r="A154" s="613" t="str">
        <f t="array" ref="A154">INDEX(AccountCodes[ACCOUNT NAME],MATCH(B154,AccountCodes[NGAS CODE],0))</f>
        <v>Due to GSIS - Salary Loan</v>
      </c>
      <c r="B154" s="602" t="s">
        <v>1498</v>
      </c>
      <c r="C154" s="615">
        <f t="array" ref="C154">INDEX(AccountCodes[PPSAS CODE],MATCH(B154,AccountCodes[NGAS CODE],0))</f>
        <v>2020102003</v>
      </c>
      <c r="D154" s="616">
        <f>IF(INDEX(AccountCodes[Normal Balance], MATCH(C154,AccountCodes[PPSAS CODE]))="Debit",E154-F154,0)</f>
        <v>0</v>
      </c>
      <c r="E154" s="488">
        <f t="array" ref="E154">(SUM(IF((PostTB[Account Code (Old)]=B154),(PostTB[Debit])))+(SUM(IF((CkDJ[Account Code]=B154)*(CkDJ[Date]&lt;=$A$7),(CkDJ[Debit])))+(SUM(IF((CsDJ[Account Code]=B154)*(CsDJ[Date]&lt;=$A$7),(CsDJ[Debit])))+(SUM(IF((CRDJ[Account Code]=B154)*(CRDJ[Date]&lt;=$A$7),(CRDJ[Debit])))+(SUM(IF((GJ[Account Code]=B154)*(GJ[Date]&lt;=$A$7),(GJ[Debit]))))))))</f>
        <v>0</v>
      </c>
      <c r="F154" s="490">
        <f t="array" ref="F154">(SUM(IF((PostTB[Account Code (Old)]=B154),(PostTB[Credit])))+(SUM(IF((CkDJ[Account Code]=B154)*(CkDJ[Date]&lt;=$A$7),(CkDJ[Credit])))+(SUM(IF((CsDJ[Account Code]=B154)*(CsDJ[Date]&lt;=$A$7),(CsDJ[Credit])))+(SUM(IF((CRDJ[Account Code]=B154)*(CRDJ[Date]&lt;=$A$7),(CRDJ[Credit])))+(SUM(IF((GJ[Account Code]=B154)*(GJ[Date]&lt;=$A$7),(GJ[Credit]))))))))</f>
        <v>0</v>
      </c>
      <c r="G154" s="620">
        <f>IF(INDEX(AccountCodes[Normal Balance], MATCH(C154,AccountCodes[PPSAS CODE]))="Credit",F154-E154,0)</f>
        <v>0</v>
      </c>
      <c r="H154" s="621">
        <f t="shared" si="2"/>
        <v>0</v>
      </c>
    </row>
    <row r="155" spans="1:8" ht="15.75" hidden="1">
      <c r="A155" s="613" t="str">
        <f t="array" ref="A155">INDEX(AccountCodes[ACCOUNT NAME],MATCH(B155,AccountCodes[NGAS CODE],0))</f>
        <v>Due to GSIS - Policy Loan</v>
      </c>
      <c r="B155" s="602" t="s">
        <v>1442</v>
      </c>
      <c r="C155" s="615">
        <f t="array" ref="C155">INDEX(AccountCodes[PPSAS CODE],MATCH(B155,AccountCodes[NGAS CODE],0))</f>
        <v>2020102004</v>
      </c>
      <c r="D155" s="616">
        <f>IF(INDEX(AccountCodes[Normal Balance], MATCH(C155,AccountCodes[PPSAS CODE]))="Debit",E155-F155,0)</f>
        <v>0</v>
      </c>
      <c r="E155" s="488">
        <f t="array" ref="E155">(SUM(IF((PostTB[Account Code (Old)]=B155),(PostTB[Debit])))+(SUM(IF((CkDJ[Account Code]=B155)*(CkDJ[Date]&lt;=$A$7),(CkDJ[Debit])))+(SUM(IF((CsDJ[Account Code]=B155)*(CsDJ[Date]&lt;=$A$7),(CsDJ[Debit])))+(SUM(IF((CRDJ[Account Code]=B155)*(CRDJ[Date]&lt;=$A$7),(CRDJ[Debit])))+(SUM(IF((GJ[Account Code]=B155)*(GJ[Date]&lt;=$A$7),(GJ[Debit]))))))))</f>
        <v>0</v>
      </c>
      <c r="F155" s="490">
        <f t="array" ref="F155">(SUM(IF((PostTB[Account Code (Old)]=B155),(PostTB[Credit])))+(SUM(IF((CkDJ[Account Code]=B155)*(CkDJ[Date]&lt;=$A$7),(CkDJ[Credit])))+(SUM(IF((CsDJ[Account Code]=B155)*(CsDJ[Date]&lt;=$A$7),(CsDJ[Credit])))+(SUM(IF((CRDJ[Account Code]=B155)*(CRDJ[Date]&lt;=$A$7),(CRDJ[Credit])))+(SUM(IF((GJ[Account Code]=B155)*(GJ[Date]&lt;=$A$7),(GJ[Credit]))))))))</f>
        <v>0</v>
      </c>
      <c r="G155" s="620">
        <f>IF(INDEX(AccountCodes[Normal Balance], MATCH(C155,AccountCodes[PPSAS CODE]))="Credit",F155-E155,0)</f>
        <v>0</v>
      </c>
      <c r="H155" s="621">
        <f t="shared" si="2"/>
        <v>0</v>
      </c>
    </row>
    <row r="156" spans="1:8" ht="15.75" hidden="1">
      <c r="A156" s="613" t="str">
        <f t="array" ref="A156">INDEX(AccountCodes[ACCOUNT NAME],MATCH(B156,AccountCodes[NGAS CODE],0))</f>
        <v>Due to GSIS - Educ Assist Loan</v>
      </c>
      <c r="B156" s="602" t="s">
        <v>1443</v>
      </c>
      <c r="C156" s="615">
        <f t="array" ref="C156">INDEX(AccountCodes[PPSAS CODE],MATCH(B156,AccountCodes[NGAS CODE],0))</f>
        <v>2020102005</v>
      </c>
      <c r="D156" s="616">
        <f>IF(INDEX(AccountCodes[Normal Balance], MATCH(C156,AccountCodes[PPSAS CODE]))="Debit",E156-F156,0)</f>
        <v>0</v>
      </c>
      <c r="E156" s="488">
        <f t="array" ref="E156">(SUM(IF((PostTB[Account Code (Old)]=B156),(PostTB[Debit])))+(SUM(IF((CkDJ[Account Code]=B156)*(CkDJ[Date]&lt;=$A$7),(CkDJ[Debit])))+(SUM(IF((CsDJ[Account Code]=B156)*(CsDJ[Date]&lt;=$A$7),(CsDJ[Debit])))+(SUM(IF((CRDJ[Account Code]=B156)*(CRDJ[Date]&lt;=$A$7),(CRDJ[Debit])))+(SUM(IF((GJ[Account Code]=B156)*(GJ[Date]&lt;=$A$7),(GJ[Debit]))))))))</f>
        <v>0</v>
      </c>
      <c r="F156" s="490">
        <f t="array" ref="F156">(SUM(IF((PostTB[Account Code (Old)]=B156),(PostTB[Credit])))+(SUM(IF((CkDJ[Account Code]=B156)*(CkDJ[Date]&lt;=$A$7),(CkDJ[Credit])))+(SUM(IF((CsDJ[Account Code]=B156)*(CsDJ[Date]&lt;=$A$7),(CsDJ[Credit])))+(SUM(IF((CRDJ[Account Code]=B156)*(CRDJ[Date]&lt;=$A$7),(CRDJ[Credit])))+(SUM(IF((GJ[Account Code]=B156)*(GJ[Date]&lt;=$A$7),(GJ[Credit]))))))))</f>
        <v>0</v>
      </c>
      <c r="G156" s="620">
        <f>IF(INDEX(AccountCodes[Normal Balance], MATCH(C156,AccountCodes[PPSAS CODE]))="Credit",F156-E156,0)</f>
        <v>0</v>
      </c>
      <c r="H156" s="621">
        <f t="shared" si="2"/>
        <v>0</v>
      </c>
    </row>
    <row r="157" spans="1:8" ht="15.75" hidden="1">
      <c r="A157" s="613" t="str">
        <f t="array" ref="A157">INDEX(AccountCodes[ACCOUNT NAME],MATCH(B157,AccountCodes[NGAS CODE],0))</f>
        <v>Due to GSIS - Emergency Loan</v>
      </c>
      <c r="B157" s="602" t="s">
        <v>1500</v>
      </c>
      <c r="C157" s="615">
        <f t="array" ref="C157">INDEX(AccountCodes[PPSAS CODE],MATCH(B157,AccountCodes[NGAS CODE],0))</f>
        <v>2020102006</v>
      </c>
      <c r="D157" s="616">
        <f>IF(INDEX(AccountCodes[Normal Balance], MATCH(C157,AccountCodes[PPSAS CODE]))="Debit",E157-F157,0)</f>
        <v>0</v>
      </c>
      <c r="E157" s="488">
        <f t="array" ref="E157">(SUM(IF((PostTB[Account Code (Old)]=B157),(PostTB[Debit])))+(SUM(IF((CkDJ[Account Code]=B157)*(CkDJ[Date]&lt;=$A$7),(CkDJ[Debit])))+(SUM(IF((CsDJ[Account Code]=B157)*(CsDJ[Date]&lt;=$A$7),(CsDJ[Debit])))+(SUM(IF((CRDJ[Account Code]=B157)*(CRDJ[Date]&lt;=$A$7),(CRDJ[Debit])))+(SUM(IF((GJ[Account Code]=B157)*(GJ[Date]&lt;=$A$7),(GJ[Debit]))))))))</f>
        <v>0</v>
      </c>
      <c r="F157" s="490">
        <f t="array" ref="F157">(SUM(IF((PostTB[Account Code (Old)]=B157),(PostTB[Credit])))+(SUM(IF((CkDJ[Account Code]=B157)*(CkDJ[Date]&lt;=$A$7),(CkDJ[Credit])))+(SUM(IF((CsDJ[Account Code]=B157)*(CsDJ[Date]&lt;=$A$7),(CsDJ[Credit])))+(SUM(IF((CRDJ[Account Code]=B157)*(CRDJ[Date]&lt;=$A$7),(CRDJ[Credit])))+(SUM(IF((GJ[Account Code]=B157)*(GJ[Date]&lt;=$A$7),(GJ[Credit]))))))))</f>
        <v>0</v>
      </c>
      <c r="G157" s="620">
        <f>IF(INDEX(AccountCodes[Normal Balance], MATCH(C157,AccountCodes[PPSAS CODE]))="Credit",F157-E157,0)</f>
        <v>0</v>
      </c>
      <c r="H157" s="621">
        <f t="shared" si="2"/>
        <v>0</v>
      </c>
    </row>
    <row r="158" spans="1:8" ht="15.75" hidden="1">
      <c r="A158" s="613" t="str">
        <f t="array" ref="A158">INDEX(AccountCodes[ACCOUNT NAME],MATCH(B158,AccountCodes[NGAS CODE],0))</f>
        <v>Due to GSIS - Calamity Loan</v>
      </c>
      <c r="B158" s="602" t="s">
        <v>1502</v>
      </c>
      <c r="C158" s="615">
        <f t="array" ref="C158">INDEX(AccountCodes[PPSAS CODE],MATCH(B158,AccountCodes[NGAS CODE],0))</f>
        <v>2020102007</v>
      </c>
      <c r="D158" s="616">
        <f>IF(INDEX(AccountCodes[Normal Balance], MATCH(C158,AccountCodes[PPSAS CODE]))="Debit",E158-F158,0)</f>
        <v>0</v>
      </c>
      <c r="E158" s="488">
        <f t="array" ref="E158">(SUM(IF((PostTB[Account Code (Old)]=B158),(PostTB[Debit])))+(SUM(IF((CkDJ[Account Code]=B158)*(CkDJ[Date]&lt;=$A$7),(CkDJ[Debit])))+(SUM(IF((CsDJ[Account Code]=B158)*(CsDJ[Date]&lt;=$A$7),(CsDJ[Debit])))+(SUM(IF((CRDJ[Account Code]=B158)*(CRDJ[Date]&lt;=$A$7),(CRDJ[Debit])))+(SUM(IF((GJ[Account Code]=B158)*(GJ[Date]&lt;=$A$7),(GJ[Debit]))))))))</f>
        <v>0</v>
      </c>
      <c r="F158" s="490">
        <f t="array" ref="F158">(SUM(IF((PostTB[Account Code (Old)]=B158),(PostTB[Credit])))+(SUM(IF((CkDJ[Account Code]=B158)*(CkDJ[Date]&lt;=$A$7),(CkDJ[Credit])))+(SUM(IF((CsDJ[Account Code]=B158)*(CsDJ[Date]&lt;=$A$7),(CsDJ[Credit])))+(SUM(IF((CRDJ[Account Code]=B158)*(CRDJ[Date]&lt;=$A$7),(CRDJ[Credit])))+(SUM(IF((GJ[Account Code]=B158)*(GJ[Date]&lt;=$A$7),(GJ[Credit]))))))))</f>
        <v>0</v>
      </c>
      <c r="G158" s="620">
        <f>IF(INDEX(AccountCodes[Normal Balance], MATCH(C158,AccountCodes[PPSAS CODE]))="Credit",F158-E158,0)</f>
        <v>0</v>
      </c>
      <c r="H158" s="621">
        <f t="shared" si="2"/>
        <v>0</v>
      </c>
    </row>
    <row r="159" spans="1:8" ht="15.75" hidden="1">
      <c r="A159" s="613" t="str">
        <f t="array" ref="A159">INDEX(AccountCodes[ACCOUNT NAME],MATCH(B159,AccountCodes[NGAS CODE],0))</f>
        <v>Due to GSIS - Housing Loan</v>
      </c>
      <c r="B159" s="602" t="s">
        <v>1504</v>
      </c>
      <c r="C159" s="615">
        <f t="array" ref="C159">INDEX(AccountCodes[PPSAS CODE],MATCH(B159,AccountCodes[NGAS CODE],0))</f>
        <v>2020102008</v>
      </c>
      <c r="D159" s="616">
        <f>IF(INDEX(AccountCodes[Normal Balance], MATCH(C159,AccountCodes[PPSAS CODE]))="Debit",E159-F159,0)</f>
        <v>0</v>
      </c>
      <c r="E159" s="488">
        <f t="array" ref="E159">(SUM(IF((PostTB[Account Code (Old)]=B159),(PostTB[Debit])))+(SUM(IF((CkDJ[Account Code]=B159)*(CkDJ[Date]&lt;=$A$7),(CkDJ[Debit])))+(SUM(IF((CsDJ[Account Code]=B159)*(CsDJ[Date]&lt;=$A$7),(CsDJ[Debit])))+(SUM(IF((CRDJ[Account Code]=B159)*(CRDJ[Date]&lt;=$A$7),(CRDJ[Debit])))+(SUM(IF((GJ[Account Code]=B159)*(GJ[Date]&lt;=$A$7),(GJ[Debit]))))))))</f>
        <v>0</v>
      </c>
      <c r="F159" s="490">
        <f t="array" ref="F159">(SUM(IF((PostTB[Account Code (Old)]=B159),(PostTB[Credit])))+(SUM(IF((CkDJ[Account Code]=B159)*(CkDJ[Date]&lt;=$A$7),(CkDJ[Credit])))+(SUM(IF((CsDJ[Account Code]=B159)*(CsDJ[Date]&lt;=$A$7),(CsDJ[Credit])))+(SUM(IF((CRDJ[Account Code]=B159)*(CRDJ[Date]&lt;=$A$7),(CRDJ[Credit])))+(SUM(IF((GJ[Account Code]=B159)*(GJ[Date]&lt;=$A$7),(GJ[Credit]))))))))</f>
        <v>0</v>
      </c>
      <c r="G159" s="620">
        <f>IF(INDEX(AccountCodes[Normal Balance], MATCH(C159,AccountCodes[PPSAS CODE]))="Credit",F159-E159,0)</f>
        <v>0</v>
      </c>
      <c r="H159" s="621">
        <f t="shared" si="2"/>
        <v>0</v>
      </c>
    </row>
    <row r="160" spans="1:8" ht="15.75" hidden="1">
      <c r="A160" s="613" t="str">
        <f t="array" ref="A160">INDEX(AccountCodes[ACCOUNT NAME],MATCH(B160,AccountCodes[NGAS CODE],0))</f>
        <v>Due to Pag-IBIG</v>
      </c>
      <c r="B160" s="602" t="s">
        <v>111</v>
      </c>
      <c r="C160" s="615">
        <f t="array" ref="C160">INDEX(AccountCodes[PPSAS CODE],MATCH(B160,AccountCodes[NGAS CODE],0))</f>
        <v>2020103000</v>
      </c>
      <c r="D160" s="616">
        <f>IF(INDEX(AccountCodes[Normal Balance], MATCH(C160,AccountCodes[PPSAS CODE]))="Debit",E160-F160,0)</f>
        <v>0</v>
      </c>
      <c r="E160" s="488">
        <f t="array" ref="E160">(SUM(IF((PostTB[Account Code (Old)]=B160),(PostTB[Debit])))+(SUM(IF((CkDJ[Account Code]=B160)*(CkDJ[Date]&lt;=$A$7),(CkDJ[Debit])))+(SUM(IF((CsDJ[Account Code]=B160)*(CsDJ[Date]&lt;=$A$7),(CsDJ[Debit])))+(SUM(IF((CRDJ[Account Code]=B160)*(CRDJ[Date]&lt;=$A$7),(CRDJ[Debit])))+(SUM(IF((GJ[Account Code]=B160)*(GJ[Date]&lt;=$A$7),(GJ[Debit]))))))))</f>
        <v>0</v>
      </c>
      <c r="F160" s="490">
        <f t="array" ref="F160">(SUM(IF((PostTB[Account Code (Old)]=B160),(PostTB[Credit])))+(SUM(IF((CkDJ[Account Code]=B160)*(CkDJ[Date]&lt;=$A$7),(CkDJ[Credit])))+(SUM(IF((CsDJ[Account Code]=B160)*(CsDJ[Date]&lt;=$A$7),(CsDJ[Credit])))+(SUM(IF((CRDJ[Account Code]=B160)*(CRDJ[Date]&lt;=$A$7),(CRDJ[Credit])))+(SUM(IF((GJ[Account Code]=B160)*(GJ[Date]&lt;=$A$7),(GJ[Credit]))))))))</f>
        <v>0</v>
      </c>
      <c r="G160" s="620">
        <f>IF(INDEX(AccountCodes[Normal Balance], MATCH(C160,AccountCodes[PPSAS CODE]))="Credit",F160-E160,0)</f>
        <v>0</v>
      </c>
      <c r="H160" s="621">
        <f t="shared" si="2"/>
        <v>0</v>
      </c>
    </row>
    <row r="161" spans="1:8" ht="15.75">
      <c r="A161" s="613" t="str">
        <f t="array" ref="A161">INDEX(AccountCodes[ACCOUNT NAME],MATCH(B161,AccountCodes[NGAS CODE],0))</f>
        <v>Due to Pag-IBIG - Pag-IBIG Premium</v>
      </c>
      <c r="B161" s="602" t="s">
        <v>1444</v>
      </c>
      <c r="C161" s="615">
        <f t="array" ref="C161">INDEX(AccountCodes[PPSAS CODE],MATCH(B161,AccountCodes[NGAS CODE],0))</f>
        <v>2020103001</v>
      </c>
      <c r="D161" s="616">
        <f>IF(INDEX(AccountCodes[Normal Balance], MATCH(C161,AccountCodes[PPSAS CODE]))="Debit",E161-F161,0)</f>
        <v>0</v>
      </c>
      <c r="E161" s="488">
        <f t="array" ref="E161">(SUM(IF((PostTB[Account Code (Old)]=B161),(PostTB[Debit])))+(SUM(IF((CkDJ[Account Code]=B161)*(CkDJ[Date]&lt;=$A$7),(CkDJ[Debit])))+(SUM(IF((CsDJ[Account Code]=B161)*(CsDJ[Date]&lt;=$A$7),(CsDJ[Debit])))+(SUM(IF((CRDJ[Account Code]=B161)*(CRDJ[Date]&lt;=$A$7),(CRDJ[Debit])))+(SUM(IF((GJ[Account Code]=B161)*(GJ[Date]&lt;=$A$7),(GJ[Debit]))))))))</f>
        <v>24487.919999999998</v>
      </c>
      <c r="F161" s="490">
        <f t="array" ref="F161">(SUM(IF((PostTB[Account Code (Old)]=B161),(PostTB[Credit])))+(SUM(IF((CkDJ[Account Code]=B161)*(CkDJ[Date]&lt;=$A$7),(CkDJ[Credit])))+(SUM(IF((CsDJ[Account Code]=B161)*(CsDJ[Date]&lt;=$A$7),(CsDJ[Credit])))+(SUM(IF((CRDJ[Account Code]=B161)*(CRDJ[Date]&lt;=$A$7),(CRDJ[Credit])))+(SUM(IF((GJ[Account Code]=B161)*(GJ[Date]&lt;=$A$7),(GJ[Credit]))))))))</f>
        <v>27387.919999999998</v>
      </c>
      <c r="G161" s="620">
        <f>IF(INDEX(AccountCodes[Normal Balance], MATCH(C161,AccountCodes[PPSAS CODE]))="Credit",F161-E161,0)</f>
        <v>2900</v>
      </c>
      <c r="H161" s="621">
        <f t="shared" si="2"/>
        <v>2900</v>
      </c>
    </row>
    <row r="162" spans="1:8" ht="15.75" hidden="1">
      <c r="A162" s="613" t="str">
        <f t="array" ref="A162">INDEX(AccountCodes[ACCOUNT NAME],MATCH(B162,AccountCodes[NGAS CODE],0))</f>
        <v>Due to Pag-IBIG - Pag-IBIG Multi-Purpose Loan</v>
      </c>
      <c r="B162" s="602" t="s">
        <v>1445</v>
      </c>
      <c r="C162" s="615">
        <f t="array" ref="C162">INDEX(AccountCodes[PPSAS CODE],MATCH(B162,AccountCodes[NGAS CODE],0))</f>
        <v>2020103002</v>
      </c>
      <c r="D162" s="616">
        <f>IF(INDEX(AccountCodes[Normal Balance], MATCH(C162,AccountCodes[PPSAS CODE]))="Debit",E162-F162,0)</f>
        <v>0</v>
      </c>
      <c r="E162" s="488">
        <f t="array" ref="E162">(SUM(IF((PostTB[Account Code (Old)]=B162),(PostTB[Debit])))+(SUM(IF((CkDJ[Account Code]=B162)*(CkDJ[Date]&lt;=$A$7),(CkDJ[Debit])))+(SUM(IF((CsDJ[Account Code]=B162)*(CsDJ[Date]&lt;=$A$7),(CsDJ[Debit])))+(SUM(IF((CRDJ[Account Code]=B162)*(CRDJ[Date]&lt;=$A$7),(CRDJ[Debit])))+(SUM(IF((GJ[Account Code]=B162)*(GJ[Date]&lt;=$A$7),(GJ[Debit]))))))))</f>
        <v>17360.080000000002</v>
      </c>
      <c r="F162" s="490">
        <f t="array" ref="F162">(SUM(IF((PostTB[Account Code (Old)]=B162),(PostTB[Credit])))+(SUM(IF((CkDJ[Account Code]=B162)*(CkDJ[Date]&lt;=$A$7),(CkDJ[Credit])))+(SUM(IF((CsDJ[Account Code]=B162)*(CsDJ[Date]&lt;=$A$7),(CsDJ[Credit])))+(SUM(IF((CRDJ[Account Code]=B162)*(CRDJ[Date]&lt;=$A$7),(CRDJ[Credit])))+(SUM(IF((GJ[Account Code]=B162)*(GJ[Date]&lt;=$A$7),(GJ[Credit]))))))))</f>
        <v>20185.099999999999</v>
      </c>
      <c r="G162" s="620">
        <f>IF(INDEX(AccountCodes[Normal Balance], MATCH(C162,AccountCodes[PPSAS CODE]))="Credit",F162-E162,0)</f>
        <v>2825.02</v>
      </c>
      <c r="H162" s="621">
        <f t="shared" si="2"/>
        <v>2825.02</v>
      </c>
    </row>
    <row r="163" spans="1:8" ht="15.75" hidden="1">
      <c r="A163" s="613" t="str">
        <f t="array" ref="A163">INDEX(AccountCodes[ACCOUNT NAME],MATCH(B163,AccountCodes[NGAS CODE],0))</f>
        <v>Due to Pag-IBIG - Pag-IBIG Housing Loan</v>
      </c>
      <c r="B163" s="602" t="s">
        <v>1446</v>
      </c>
      <c r="C163" s="615">
        <f t="array" ref="C163">INDEX(AccountCodes[PPSAS CODE],MATCH(B163,AccountCodes[NGAS CODE],0))</f>
        <v>2020103003</v>
      </c>
      <c r="D163" s="616">
        <f>IF(INDEX(AccountCodes[Normal Balance], MATCH(C163,AccountCodes[PPSAS CODE]))="Debit",E163-F163,0)</f>
        <v>0</v>
      </c>
      <c r="E163" s="488">
        <f t="array" ref="E163">(SUM(IF((PostTB[Account Code (Old)]=B163),(PostTB[Debit])))+(SUM(IF((CkDJ[Account Code]=B163)*(CkDJ[Date]&lt;=$A$7),(CkDJ[Debit])))+(SUM(IF((CsDJ[Account Code]=B163)*(CsDJ[Date]&lt;=$A$7),(CsDJ[Debit])))+(SUM(IF((CRDJ[Account Code]=B163)*(CRDJ[Date]&lt;=$A$7),(CRDJ[Debit])))+(SUM(IF((GJ[Account Code]=B163)*(GJ[Date]&lt;=$A$7),(GJ[Debit]))))))))</f>
        <v>0</v>
      </c>
      <c r="F163" s="490">
        <f t="array" ref="F163">(SUM(IF((PostTB[Account Code (Old)]=B163),(PostTB[Credit])))+(SUM(IF((CkDJ[Account Code]=B163)*(CkDJ[Date]&lt;=$A$7),(CkDJ[Credit])))+(SUM(IF((CsDJ[Account Code]=B163)*(CsDJ[Date]&lt;=$A$7),(CsDJ[Credit])))+(SUM(IF((CRDJ[Account Code]=B163)*(CRDJ[Date]&lt;=$A$7),(CRDJ[Credit])))+(SUM(IF((GJ[Account Code]=B163)*(GJ[Date]&lt;=$A$7),(GJ[Credit]))))))))</f>
        <v>0</v>
      </c>
      <c r="G163" s="620">
        <f>IF(INDEX(AccountCodes[Normal Balance], MATCH(C163,AccountCodes[PPSAS CODE]))="Credit",F163-E163,0)</f>
        <v>0</v>
      </c>
      <c r="H163" s="621">
        <f t="shared" si="2"/>
        <v>0</v>
      </c>
    </row>
    <row r="164" spans="1:8" ht="15.75" hidden="1">
      <c r="A164" s="613" t="str">
        <f t="array" ref="A164">INDEX(AccountCodes[ACCOUNT NAME],MATCH(B164,AccountCodes[NGAS CODE],0))</f>
        <v>Due to Pag-IBIG - Calamity Loan</v>
      </c>
      <c r="B164" s="602" t="s">
        <v>1506</v>
      </c>
      <c r="C164" s="615">
        <f t="array" ref="C164">INDEX(AccountCodes[PPSAS CODE],MATCH(B164,AccountCodes[NGAS CODE],0))</f>
        <v>2020103004</v>
      </c>
      <c r="D164" s="616">
        <f>IF(INDEX(AccountCodes[Normal Balance], MATCH(C164,AccountCodes[PPSAS CODE]))="Debit",E164-F164,0)</f>
        <v>0</v>
      </c>
      <c r="E164" s="488">
        <f t="array" ref="E164">(SUM(IF((PostTB[Account Code (Old)]=B164),(PostTB[Debit])))+(SUM(IF((CkDJ[Account Code]=B164)*(CkDJ[Date]&lt;=$A$7),(CkDJ[Debit])))+(SUM(IF((CsDJ[Account Code]=B164)*(CsDJ[Date]&lt;=$A$7),(CsDJ[Debit])))+(SUM(IF((CRDJ[Account Code]=B164)*(CRDJ[Date]&lt;=$A$7),(CRDJ[Debit])))+(SUM(IF((GJ[Account Code]=B164)*(GJ[Date]&lt;=$A$7),(GJ[Debit]))))))))</f>
        <v>0</v>
      </c>
      <c r="F164" s="490">
        <f t="array" ref="F164">(SUM(IF((PostTB[Account Code (Old)]=B164),(PostTB[Credit])))+(SUM(IF((CkDJ[Account Code]=B164)*(CkDJ[Date]&lt;=$A$7),(CkDJ[Credit])))+(SUM(IF((CsDJ[Account Code]=B164)*(CsDJ[Date]&lt;=$A$7),(CsDJ[Credit])))+(SUM(IF((CRDJ[Account Code]=B164)*(CRDJ[Date]&lt;=$A$7),(CRDJ[Credit])))+(SUM(IF((GJ[Account Code]=B164)*(GJ[Date]&lt;=$A$7),(GJ[Credit]))))))))</f>
        <v>0</v>
      </c>
      <c r="G164" s="620">
        <f>IF(INDEX(AccountCodes[Normal Balance], MATCH(C164,AccountCodes[PPSAS CODE]))="Credit",F164-E164,0)</f>
        <v>0</v>
      </c>
      <c r="H164" s="621">
        <f t="shared" si="2"/>
        <v>0</v>
      </c>
    </row>
    <row r="165" spans="1:8" ht="15.75" hidden="1">
      <c r="A165" s="613" t="str">
        <f t="array" ref="A165">INDEX(AccountCodes[ACCOUNT NAME],MATCH(B165,AccountCodes[NGAS CODE],0))</f>
        <v>Due to Pag-IBIG - MP2</v>
      </c>
      <c r="B165" s="602" t="s">
        <v>1508</v>
      </c>
      <c r="C165" s="615">
        <f t="array" ref="C165">INDEX(AccountCodes[PPSAS CODE],MATCH(B165,AccountCodes[NGAS CODE],0))</f>
        <v>2020103005</v>
      </c>
      <c r="D165" s="616">
        <f>IF(INDEX(AccountCodes[Normal Balance], MATCH(C165,AccountCodes[PPSAS CODE]))="Debit",E165-F165,0)</f>
        <v>0</v>
      </c>
      <c r="E165" s="488">
        <f t="array" ref="E165">(SUM(IF((PostTB[Account Code (Old)]=B165),(PostTB[Debit])))+(SUM(IF((CkDJ[Account Code]=B165)*(CkDJ[Date]&lt;=$A$7),(CkDJ[Debit])))+(SUM(IF((CsDJ[Account Code]=B165)*(CsDJ[Date]&lt;=$A$7),(CsDJ[Debit])))+(SUM(IF((CRDJ[Account Code]=B165)*(CRDJ[Date]&lt;=$A$7),(CRDJ[Debit])))+(SUM(IF((GJ[Account Code]=B165)*(GJ[Date]&lt;=$A$7),(GJ[Debit]))))))))</f>
        <v>36000</v>
      </c>
      <c r="F165" s="490">
        <f t="array" ref="F165">(SUM(IF((PostTB[Account Code (Old)]=B165),(PostTB[Credit])))+(SUM(IF((CkDJ[Account Code]=B165)*(CkDJ[Date]&lt;=$A$7),(CkDJ[Credit])))+(SUM(IF((CsDJ[Account Code]=B165)*(CsDJ[Date]&lt;=$A$7),(CsDJ[Credit])))+(SUM(IF((CRDJ[Account Code]=B165)*(CRDJ[Date]&lt;=$A$7),(CRDJ[Credit])))+(SUM(IF((GJ[Account Code]=B165)*(GJ[Date]&lt;=$A$7),(GJ[Credit]))))))))</f>
        <v>36000</v>
      </c>
      <c r="G165" s="620">
        <f>IF(INDEX(AccountCodes[Normal Balance], MATCH(C165,AccountCodes[PPSAS CODE]))="Credit",F165-E165,0)</f>
        <v>0</v>
      </c>
      <c r="H165" s="621">
        <f t="shared" si="2"/>
        <v>0</v>
      </c>
    </row>
    <row r="166" spans="1:8" ht="15.75">
      <c r="A166" s="613" t="str">
        <f t="array" ref="A166">INDEX(AccountCodes[ACCOUNT NAME],MATCH(B166,AccountCodes[NGAS CODE],0))</f>
        <v>Due to PhilHealth</v>
      </c>
      <c r="B166" s="602" t="s">
        <v>112</v>
      </c>
      <c r="C166" s="615">
        <f t="array" ref="C166">INDEX(AccountCodes[PPSAS CODE],MATCH(B166,AccountCodes[NGAS CODE],0))</f>
        <v>2020104000</v>
      </c>
      <c r="D166" s="616">
        <f>IF(INDEX(AccountCodes[Normal Balance], MATCH(C166,AccountCodes[PPSAS CODE]))="Debit",E166-F166,0)</f>
        <v>0</v>
      </c>
      <c r="E166" s="488">
        <f t="array" ref="E166">(SUM(IF((PostTB[Account Code (Old)]=B166),(PostTB[Debit])))+(SUM(IF((CkDJ[Account Code]=B166)*(CkDJ[Date]&lt;=$A$7),(CkDJ[Debit])))+(SUM(IF((CsDJ[Account Code]=B166)*(CsDJ[Date]&lt;=$A$7),(CsDJ[Debit])))+(SUM(IF((CRDJ[Account Code]=B166)*(CRDJ[Date]&lt;=$A$7),(CRDJ[Debit])))+(SUM(IF((GJ[Account Code]=B166)*(GJ[Date]&lt;=$A$7),(GJ[Debit]))))))))</f>
        <v>33122.11</v>
      </c>
      <c r="F166" s="490">
        <f t="array" ref="F166">(SUM(IF((PostTB[Account Code (Old)]=B166),(PostTB[Credit])))+(SUM(IF((CkDJ[Account Code]=B166)*(CkDJ[Date]&lt;=$A$7),(CkDJ[Credit])))+(SUM(IF((CsDJ[Account Code]=B166)*(CsDJ[Date]&lt;=$A$7),(CsDJ[Credit])))+(SUM(IF((CRDJ[Account Code]=B166)*(CRDJ[Date]&lt;=$A$7),(CRDJ[Credit])))+(SUM(IF((GJ[Account Code]=B166)*(GJ[Date]&lt;=$A$7),(GJ[Credit]))))))))</f>
        <v>33195.99</v>
      </c>
      <c r="G166" s="620">
        <f>IF(INDEX(AccountCodes[Normal Balance], MATCH(C166,AccountCodes[PPSAS CODE]))="Credit",F166-E166,0)</f>
        <v>73.88</v>
      </c>
      <c r="H166" s="621">
        <f t="shared" si="2"/>
        <v>73.88</v>
      </c>
    </row>
    <row r="167" spans="1:8" ht="15.75" hidden="1">
      <c r="A167" s="613" t="str">
        <f t="array" ref="A167">INDEX(AccountCodes[ACCOUNT NAME],MATCH(B167,AccountCodes[NGAS CODE],0))</f>
        <v>Due to NGAs</v>
      </c>
      <c r="B167" s="602" t="s">
        <v>113</v>
      </c>
      <c r="C167" s="615">
        <f t="array" ref="C167">INDEX(AccountCodes[PPSAS CODE],MATCH(B167,AccountCodes[NGAS CODE],0))</f>
        <v>2020105000</v>
      </c>
      <c r="D167" s="616">
        <f>IF(INDEX(AccountCodes[Normal Balance], MATCH(C167,AccountCodes[PPSAS CODE]))="Debit",E167-F167,0)</f>
        <v>0</v>
      </c>
      <c r="E167" s="488">
        <f t="array" ref="E167">(SUM(IF((PostTB[Account Code (Old)]=B167),(PostTB[Debit])))+(SUM(IF((CkDJ[Account Code]=B167)*(CkDJ[Date]&lt;=$A$7),(CkDJ[Debit])))+(SUM(IF((CsDJ[Account Code]=B167)*(CsDJ[Date]&lt;=$A$7),(CsDJ[Debit])))+(SUM(IF((CRDJ[Account Code]=B167)*(CRDJ[Date]&lt;=$A$7),(CRDJ[Debit])))+(SUM(IF((GJ[Account Code]=B167)*(GJ[Date]&lt;=$A$7),(GJ[Debit]))))))))</f>
        <v>0</v>
      </c>
      <c r="F167" s="490">
        <f t="array" ref="F167">(SUM(IF((PostTB[Account Code (Old)]=B167),(PostTB[Credit])))+(SUM(IF((CkDJ[Account Code]=B167)*(CkDJ[Date]&lt;=$A$7),(CkDJ[Credit])))+(SUM(IF((CsDJ[Account Code]=B167)*(CsDJ[Date]&lt;=$A$7),(CsDJ[Credit])))+(SUM(IF((CRDJ[Account Code]=B167)*(CRDJ[Date]&lt;=$A$7),(CRDJ[Credit])))+(SUM(IF((GJ[Account Code]=B167)*(GJ[Date]&lt;=$A$7),(GJ[Credit]))))))))</f>
        <v>0</v>
      </c>
      <c r="G167" s="620">
        <f>IF(INDEX(AccountCodes[Normal Balance], MATCH(C167,AccountCodes[PPSAS CODE]))="Credit",F167-E167,0)</f>
        <v>0</v>
      </c>
      <c r="H167" s="621">
        <f t="shared" si="2"/>
        <v>0</v>
      </c>
    </row>
    <row r="168" spans="1:8" ht="15.75" hidden="1">
      <c r="A168" s="613" t="str">
        <f t="array" ref="A168">INDEX(AccountCodes[ACCOUNT NAME],MATCH(B168,AccountCodes[NGAS CODE],0))</f>
        <v>Due to Central Office</v>
      </c>
      <c r="B168" s="602" t="s">
        <v>407</v>
      </c>
      <c r="C168" s="615">
        <f t="array" ref="C168">INDEX(AccountCodes[PPSAS CODE],MATCH(B168,AccountCodes[NGAS CODE],0))</f>
        <v>2030101000</v>
      </c>
      <c r="D168" s="616">
        <f>IF(INDEX(AccountCodes[Normal Balance], MATCH(C168,AccountCodes[PPSAS CODE]))="Debit",E168-F168,0)</f>
        <v>0</v>
      </c>
      <c r="E168" s="488">
        <f t="array" ref="E168">(SUM(IF((PostTB[Account Code (Old)]=B168),(PostTB[Debit])))+(SUM(IF((CkDJ[Account Code]=B168)*(CkDJ[Date]&lt;=$A$7),(CkDJ[Debit])))+(SUM(IF((CsDJ[Account Code]=B168)*(CsDJ[Date]&lt;=$A$7),(CsDJ[Debit])))+(SUM(IF((CRDJ[Account Code]=B168)*(CRDJ[Date]&lt;=$A$7),(CRDJ[Debit])))+(SUM(IF((GJ[Account Code]=B168)*(GJ[Date]&lt;=$A$7),(GJ[Debit]))))))))</f>
        <v>0</v>
      </c>
      <c r="F168" s="490">
        <f t="array" ref="F168">(SUM(IF((PostTB[Account Code (Old)]=B168),(PostTB[Credit])))+(SUM(IF((CkDJ[Account Code]=B168)*(CkDJ[Date]&lt;=$A$7),(CkDJ[Credit])))+(SUM(IF((CsDJ[Account Code]=B168)*(CsDJ[Date]&lt;=$A$7),(CsDJ[Credit])))+(SUM(IF((CRDJ[Account Code]=B168)*(CRDJ[Date]&lt;=$A$7),(CRDJ[Credit])))+(SUM(IF((GJ[Account Code]=B168)*(GJ[Date]&lt;=$A$7),(GJ[Credit]))))))))</f>
        <v>0</v>
      </c>
      <c r="G168" s="620">
        <f>IF(INDEX(AccountCodes[Normal Balance], MATCH(C168,AccountCodes[PPSAS CODE]))="Credit",F168-E168,0)</f>
        <v>0</v>
      </c>
      <c r="H168" s="621">
        <f t="shared" si="2"/>
        <v>0</v>
      </c>
    </row>
    <row r="169" spans="1:8" ht="15.75" hidden="1">
      <c r="A169" s="613" t="str">
        <f t="array" ref="A169">INDEX(AccountCodes[ACCOUNT NAME],MATCH(B169,AccountCodes[NGAS CODE],0))</f>
        <v>Due to Regional Offices</v>
      </c>
      <c r="B169" s="602" t="s">
        <v>1229</v>
      </c>
      <c r="C169" s="615">
        <f t="array" ref="C169">INDEX(AccountCodes[PPSAS CODE],MATCH(B169,AccountCodes[NGAS CODE],0))</f>
        <v>2030103000</v>
      </c>
      <c r="D169" s="616">
        <f>IF(INDEX(AccountCodes[Normal Balance], MATCH(C169,AccountCodes[PPSAS CODE]))="Debit",E169-F169,0)</f>
        <v>0</v>
      </c>
      <c r="E169" s="488">
        <f t="array" ref="E169">(SUM(IF((PostTB[Account Code (Old)]=B169),(PostTB[Debit])))+(SUM(IF((CkDJ[Account Code]=B169)*(CkDJ[Date]&lt;=$A$7),(CkDJ[Debit])))+(SUM(IF((CsDJ[Account Code]=B169)*(CsDJ[Date]&lt;=$A$7),(CsDJ[Debit])))+(SUM(IF((CRDJ[Account Code]=B169)*(CRDJ[Date]&lt;=$A$7),(CRDJ[Debit])))+(SUM(IF((GJ[Account Code]=B169)*(GJ[Date]&lt;=$A$7),(GJ[Debit]))))))))</f>
        <v>0</v>
      </c>
      <c r="F169" s="490">
        <f t="array" ref="F169">(SUM(IF((PostTB[Account Code (Old)]=B169),(PostTB[Credit])))+(SUM(IF((CkDJ[Account Code]=B169)*(CkDJ[Date]&lt;=$A$7),(CkDJ[Credit])))+(SUM(IF((CsDJ[Account Code]=B169)*(CsDJ[Date]&lt;=$A$7),(CsDJ[Credit])))+(SUM(IF((CRDJ[Account Code]=B169)*(CRDJ[Date]&lt;=$A$7),(CRDJ[Credit])))+(SUM(IF((GJ[Account Code]=B169)*(GJ[Date]&lt;=$A$7),(GJ[Credit]))))))))</f>
        <v>0</v>
      </c>
      <c r="G169" s="620">
        <f>IF(INDEX(AccountCodes[Normal Balance], MATCH(C169,AccountCodes[PPSAS CODE]))="Credit",F169-E169,0)</f>
        <v>0</v>
      </c>
      <c r="H169" s="621">
        <f t="shared" si="2"/>
        <v>0</v>
      </c>
    </row>
    <row r="170" spans="1:8" ht="15.75" hidden="1">
      <c r="A170" s="613" t="str">
        <f t="array" ref="A170">INDEX(AccountCodes[ACCOUNT NAME],MATCH(B170,AccountCodes[NGAS CODE],0))</f>
        <v>Due to Other Funds</v>
      </c>
      <c r="B170" s="602" t="s">
        <v>114</v>
      </c>
      <c r="C170" s="615">
        <f t="array" ref="C170">INDEX(AccountCodes[PPSAS CODE],MATCH(B170,AccountCodes[NGAS CODE],0))</f>
        <v>2030105000</v>
      </c>
      <c r="D170" s="616">
        <f>IF(INDEX(AccountCodes[Normal Balance], MATCH(C170,AccountCodes[PPSAS CODE]))="Debit",E170-F170,0)</f>
        <v>0</v>
      </c>
      <c r="E170" s="488">
        <f t="array" ref="E170">(SUM(IF((PostTB[Account Code (Old)]=B170),(PostTB[Debit])))+(SUM(IF((CkDJ[Account Code]=B170)*(CkDJ[Date]&lt;=$A$7),(CkDJ[Debit])))+(SUM(IF((CsDJ[Account Code]=B170)*(CsDJ[Date]&lt;=$A$7),(CsDJ[Debit])))+(SUM(IF((CRDJ[Account Code]=B170)*(CRDJ[Date]&lt;=$A$7),(CRDJ[Debit])))+(SUM(IF((GJ[Account Code]=B170)*(GJ[Date]&lt;=$A$7),(GJ[Debit]))))))))</f>
        <v>15211.73</v>
      </c>
      <c r="F170" s="490">
        <f t="array" ref="F170">(SUM(IF((PostTB[Account Code (Old)]=B170),(PostTB[Credit])))+(SUM(IF((CkDJ[Account Code]=B170)*(CkDJ[Date]&lt;=$A$7),(CkDJ[Credit])))+(SUM(IF((CsDJ[Account Code]=B170)*(CsDJ[Date]&lt;=$A$7),(CsDJ[Credit])))+(SUM(IF((CRDJ[Account Code]=B170)*(CRDJ[Date]&lt;=$A$7),(CRDJ[Credit])))+(SUM(IF((GJ[Account Code]=B170)*(GJ[Date]&lt;=$A$7),(GJ[Credit]))))))))</f>
        <v>25211.73</v>
      </c>
      <c r="G170" s="620">
        <f>IF(INDEX(AccountCodes[Normal Balance], MATCH(C170,AccountCodes[PPSAS CODE]))="Credit",F170-E170,0)</f>
        <v>10000</v>
      </c>
      <c r="H170" s="621">
        <f t="shared" si="2"/>
        <v>10000</v>
      </c>
    </row>
    <row r="171" spans="1:8" ht="15.75" hidden="1">
      <c r="A171" s="613" t="str">
        <f t="array" ref="A171">INDEX(AccountCodes[ACCOUNT NAME],MATCH(B171,AccountCodes[NGAS CODE],0))</f>
        <v>Bail Bonds Payable</v>
      </c>
      <c r="B171" s="602" t="s">
        <v>116</v>
      </c>
      <c r="C171" s="615">
        <f t="array" ref="C171">INDEX(AccountCodes[PPSAS CODE],MATCH(B171,AccountCodes[NGAS CODE],0))</f>
        <v>2040103000</v>
      </c>
      <c r="D171" s="616">
        <f>IF(INDEX(AccountCodes[Normal Balance], MATCH(C171,AccountCodes[PPSAS CODE]))="Debit",E171-F171,0)</f>
        <v>0</v>
      </c>
      <c r="E171" s="488">
        <f t="array" ref="E171">(SUM(IF((PostTB[Account Code (Old)]=B171),(PostTB[Debit])))+(SUM(IF((CkDJ[Account Code]=B171)*(CkDJ[Date]&lt;=$A$7),(CkDJ[Debit])))+(SUM(IF((CsDJ[Account Code]=B171)*(CsDJ[Date]&lt;=$A$7),(CsDJ[Debit])))+(SUM(IF((CRDJ[Account Code]=B171)*(CRDJ[Date]&lt;=$A$7),(CRDJ[Debit])))+(SUM(IF((GJ[Account Code]=B171)*(GJ[Date]&lt;=$A$7),(GJ[Debit]))))))))</f>
        <v>0</v>
      </c>
      <c r="F171" s="490">
        <f t="array" ref="F171">(SUM(IF((PostTB[Account Code (Old)]=B171),(PostTB[Credit])))+(SUM(IF((CkDJ[Account Code]=B171)*(CkDJ[Date]&lt;=$A$7),(CkDJ[Credit])))+(SUM(IF((CsDJ[Account Code]=B171)*(CsDJ[Date]&lt;=$A$7),(CsDJ[Credit])))+(SUM(IF((CRDJ[Account Code]=B171)*(CRDJ[Date]&lt;=$A$7),(CRDJ[Credit])))+(SUM(IF((GJ[Account Code]=B171)*(GJ[Date]&lt;=$A$7),(GJ[Credit]))))))))</f>
        <v>0</v>
      </c>
      <c r="G171" s="620">
        <f>IF(INDEX(AccountCodes[Normal Balance], MATCH(C171,AccountCodes[PPSAS CODE]))="Credit",F171-E171,0)</f>
        <v>0</v>
      </c>
      <c r="H171" s="621">
        <f t="shared" si="2"/>
        <v>0</v>
      </c>
    </row>
    <row r="172" spans="1:8" ht="15.75">
      <c r="A172" s="613" t="str">
        <f t="array" ref="A172">INDEX(AccountCodes[ACCOUNT NAME],MATCH(B172,AccountCodes[NGAS CODE],0))</f>
        <v>Guaranty/Security Deposits Payable</v>
      </c>
      <c r="B172" s="602" t="s">
        <v>115</v>
      </c>
      <c r="C172" s="615">
        <f t="array" ref="C172">INDEX(AccountCodes[PPSAS CODE],MATCH(B172,AccountCodes[NGAS CODE],0))</f>
        <v>2040104000</v>
      </c>
      <c r="D172" s="616">
        <f>IF(INDEX(AccountCodes[Normal Balance], MATCH(C172,AccountCodes[PPSAS CODE]))="Debit",E172-F172,0)</f>
        <v>0</v>
      </c>
      <c r="E172" s="488">
        <f t="array" ref="E172">(SUM(IF((PostTB[Account Code (Old)]=B172),(PostTB[Debit])))+(SUM(IF((CkDJ[Account Code]=B172)*(CkDJ[Date]&lt;=$A$7),(CkDJ[Debit])))+(SUM(IF((CsDJ[Account Code]=B172)*(CsDJ[Date]&lt;=$A$7),(CsDJ[Debit])))+(SUM(IF((CRDJ[Account Code]=B172)*(CRDJ[Date]&lt;=$A$7),(CRDJ[Debit])))+(SUM(IF((GJ[Account Code]=B172)*(GJ[Date]&lt;=$A$7),(GJ[Debit]))))))))</f>
        <v>197792.84</v>
      </c>
      <c r="F172" s="490">
        <f t="array" ref="F172">(SUM(IF((PostTB[Account Code (Old)]=B172),(PostTB[Credit])))+(SUM(IF((CkDJ[Account Code]=B172)*(CkDJ[Date]&lt;=$A$7),(CkDJ[Credit])))+(SUM(IF((CsDJ[Account Code]=B172)*(CsDJ[Date]&lt;=$A$7),(CsDJ[Credit])))+(SUM(IF((CRDJ[Account Code]=B172)*(CRDJ[Date]&lt;=$A$7),(CRDJ[Credit])))+(SUM(IF((GJ[Account Code]=B172)*(GJ[Date]&lt;=$A$7),(GJ[Credit]))))))))</f>
        <v>3348414.28</v>
      </c>
      <c r="G172" s="620">
        <f>IF(INDEX(AccountCodes[Normal Balance], MATCH(C172,AccountCodes[PPSAS CODE]))="Credit",F172-E172,0)</f>
        <v>3150621.44</v>
      </c>
      <c r="H172" s="621">
        <f t="shared" si="2"/>
        <v>3150621.44</v>
      </c>
    </row>
    <row r="173" spans="1:8" ht="15.75" hidden="1">
      <c r="A173" s="613" t="str">
        <f t="array" ref="A173">INDEX(AccountCodes[ACCOUNT NAME],MATCH(B173,AccountCodes[NGAS CODE],0))</f>
        <v>Other Deferred Credits (Irrigation Service Fee)</v>
      </c>
      <c r="B173" s="602" t="s">
        <v>120</v>
      </c>
      <c r="C173" s="615">
        <f t="array" ref="C173">INDEX(AccountCodes[PPSAS CODE],MATCH(B173,AccountCodes[NGAS CODE],0))</f>
        <v>2050199000</v>
      </c>
      <c r="D173" s="616">
        <f>IF(INDEX(AccountCodes[Normal Balance], MATCH(C173,AccountCodes[PPSAS CODE]))="Debit",E173-F173,0)</f>
        <v>0</v>
      </c>
      <c r="E173" s="488">
        <f t="array" ref="E173">(SUM(IF((PostTB[Account Code (Old)]=B173),(PostTB[Debit])))+(SUM(IF((CkDJ[Account Code]=B173)*(CkDJ[Date]&lt;=$A$7),(CkDJ[Debit])))+(SUM(IF((CsDJ[Account Code]=B173)*(CsDJ[Date]&lt;=$A$7),(CsDJ[Debit])))+(SUM(IF((CRDJ[Account Code]=B173)*(CRDJ[Date]&lt;=$A$7),(CRDJ[Debit])))+(SUM(IF((GJ[Account Code]=B173)*(GJ[Date]&lt;=$A$7),(GJ[Debit]))))))))</f>
        <v>0</v>
      </c>
      <c r="F173" s="490">
        <f t="array" ref="F173">(SUM(IF((PostTB[Account Code (Old)]=B173),(PostTB[Credit])))+(SUM(IF((CkDJ[Account Code]=B173)*(CkDJ[Date]&lt;=$A$7),(CkDJ[Credit])))+(SUM(IF((CsDJ[Account Code]=B173)*(CsDJ[Date]&lt;=$A$7),(CsDJ[Credit])))+(SUM(IF((CRDJ[Account Code]=B173)*(CRDJ[Date]&lt;=$A$7),(CRDJ[Credit])))+(SUM(IF((GJ[Account Code]=B173)*(GJ[Date]&lt;=$A$7),(GJ[Credit]))))))))</f>
        <v>0</v>
      </c>
      <c r="G173" s="620">
        <f>IF(INDEX(AccountCodes[Normal Balance], MATCH(C173,AccountCodes[PPSAS CODE]))="Credit",F173-E173,0)</f>
        <v>0</v>
      </c>
      <c r="H173" s="621">
        <f t="shared" si="2"/>
        <v>0</v>
      </c>
    </row>
    <row r="174" spans="1:8" ht="15.75" hidden="1">
      <c r="A174" s="613" t="str">
        <f t="array" ref="A174">INDEX(AccountCodes[ACCOUNT NAME],MATCH(B174,AccountCodes[NGAS CODE],0))</f>
        <v>Other Deferred Credits (PA/CIS/CIP Equity)</v>
      </c>
      <c r="B174" s="602" t="s">
        <v>8</v>
      </c>
      <c r="C174" s="615">
        <f t="array" ref="C174">INDEX(AccountCodes[PPSAS CODE],MATCH(B174,AccountCodes[NGAS CODE],0))</f>
        <v>2050199000</v>
      </c>
      <c r="D174" s="616">
        <f>IF(INDEX(AccountCodes[Normal Balance], MATCH(C174,AccountCodes[PPSAS CODE]))="Debit",E174-F174,0)</f>
        <v>0</v>
      </c>
      <c r="E174" s="488">
        <f t="array" ref="E174">(SUM(IF((PostTB[Account Code (Old)]=B174),(PostTB[Debit])))+(SUM(IF((CkDJ[Account Code]=B174)*(CkDJ[Date]&lt;=$A$7),(CkDJ[Debit])))+(SUM(IF((CsDJ[Account Code]=B174)*(CsDJ[Date]&lt;=$A$7),(CsDJ[Debit])))+(SUM(IF((CRDJ[Account Code]=B174)*(CRDJ[Date]&lt;=$A$7),(CRDJ[Debit])))+(SUM(IF((GJ[Account Code]=B174)*(GJ[Date]&lt;=$A$7),(GJ[Debit]))))))))</f>
        <v>0</v>
      </c>
      <c r="F174" s="490">
        <f t="array" ref="F174">(SUM(IF((PostTB[Account Code (Old)]=B174),(PostTB[Credit])))+(SUM(IF((CkDJ[Account Code]=B174)*(CkDJ[Date]&lt;=$A$7),(CkDJ[Credit])))+(SUM(IF((CsDJ[Account Code]=B174)*(CsDJ[Date]&lt;=$A$7),(CsDJ[Credit])))+(SUM(IF((CRDJ[Account Code]=B174)*(CRDJ[Date]&lt;=$A$7),(CRDJ[Credit])))+(SUM(IF((GJ[Account Code]=B174)*(GJ[Date]&lt;=$A$7),(GJ[Credit]))))))))</f>
        <v>0</v>
      </c>
      <c r="G174" s="620">
        <f>IF(INDEX(AccountCodes[Normal Balance], MATCH(C174,AccountCodes[PPSAS CODE]))="Credit",F174-E174,0)</f>
        <v>0</v>
      </c>
      <c r="H174" s="621">
        <f t="shared" si="2"/>
        <v>0</v>
      </c>
    </row>
    <row r="175" spans="1:8" ht="15.75" hidden="1">
      <c r="A175" s="613" t="str">
        <f t="array" ref="A175">INDEX(AccountCodes[ACCOUNT NAME],MATCH(B175,AccountCodes[NGAS CODE],0))</f>
        <v>Other Unearned Revenue</v>
      </c>
      <c r="B175" s="602" t="s">
        <v>121</v>
      </c>
      <c r="C175" s="615">
        <f t="array" ref="C175">INDEX(AccountCodes[PPSAS CODE],MATCH(B175,AccountCodes[NGAS CODE],0))</f>
        <v>2050299000</v>
      </c>
      <c r="D175" s="616">
        <f>IF(INDEX(AccountCodes[Normal Balance], MATCH(C175,AccountCodes[PPSAS CODE]))="Debit",E175-F175,0)</f>
        <v>0</v>
      </c>
      <c r="E175" s="488">
        <f t="array" ref="E175">(SUM(IF((PostTB[Account Code (Old)]=B175),(PostTB[Debit])))+(SUM(IF((CkDJ[Account Code]=B175)*(CkDJ[Date]&lt;=$A$7),(CkDJ[Debit])))+(SUM(IF((CsDJ[Account Code]=B175)*(CsDJ[Date]&lt;=$A$7),(CsDJ[Debit])))+(SUM(IF((CRDJ[Account Code]=B175)*(CRDJ[Date]&lt;=$A$7),(CRDJ[Debit])))+(SUM(IF((GJ[Account Code]=B175)*(GJ[Date]&lt;=$A$7),(GJ[Debit]))))))))</f>
        <v>0</v>
      </c>
      <c r="F175" s="490">
        <f t="array" ref="F175">(SUM(IF((PostTB[Account Code (Old)]=B175),(PostTB[Credit])))+(SUM(IF((CkDJ[Account Code]=B175)*(CkDJ[Date]&lt;=$A$7),(CkDJ[Credit])))+(SUM(IF((CsDJ[Account Code]=B175)*(CsDJ[Date]&lt;=$A$7),(CsDJ[Credit])))+(SUM(IF((CRDJ[Account Code]=B175)*(CRDJ[Date]&lt;=$A$7),(CRDJ[Credit])))+(SUM(IF((GJ[Account Code]=B175)*(GJ[Date]&lt;=$A$7),(GJ[Credit]))))))))</f>
        <v>0</v>
      </c>
      <c r="G175" s="620">
        <f>IF(INDEX(AccountCodes[Normal Balance], MATCH(C175,AccountCodes[PPSAS CODE]))="Credit",F175-E175,0)</f>
        <v>0</v>
      </c>
      <c r="H175" s="621">
        <f t="shared" si="2"/>
        <v>0</v>
      </c>
    </row>
    <row r="176" spans="1:8" ht="15.75">
      <c r="A176" s="613" t="str">
        <f t="array" ref="A176">INDEX(AccountCodes[ACCOUNT NAME],MATCH(B176,AccountCodes[NGAS CODE],0))</f>
        <v>Other Payables</v>
      </c>
      <c r="B176" s="602" t="s">
        <v>117</v>
      </c>
      <c r="C176" s="615">
        <f t="array" ref="C176">INDEX(AccountCodes[PPSAS CODE],MATCH(B176,AccountCodes[NGAS CODE],0))</f>
        <v>2999999000</v>
      </c>
      <c r="D176" s="616">
        <f>IF(INDEX(AccountCodes[Normal Balance], MATCH(C176,AccountCodes[PPSAS CODE]))="Debit",E176-F176,0)</f>
        <v>0</v>
      </c>
      <c r="E176" s="488">
        <f t="array" ref="E176">(SUM(IF((PostTB[Account Code (Old)]=B176),(PostTB[Debit])))+(SUM(IF((CkDJ[Account Code]=B176)*(CkDJ[Date]&lt;=$A$7),(CkDJ[Debit])))+(SUM(IF((CsDJ[Account Code]=B176)*(CsDJ[Date]&lt;=$A$7),(CsDJ[Debit])))+(SUM(IF((CRDJ[Account Code]=B176)*(CRDJ[Date]&lt;=$A$7),(CRDJ[Debit])))+(SUM(IF((GJ[Account Code]=B176)*(GJ[Date]&lt;=$A$7),(GJ[Debit]))))))))</f>
        <v>83414.100000000006</v>
      </c>
      <c r="F176" s="490">
        <f t="array" ref="F176">(SUM(IF((PostTB[Account Code (Old)]=B176),(PostTB[Credit])))+(SUM(IF((CkDJ[Account Code]=B176)*(CkDJ[Date]&lt;=$A$7),(CkDJ[Credit])))+(SUM(IF((CsDJ[Account Code]=B176)*(CsDJ[Date]&lt;=$A$7),(CsDJ[Credit])))+(SUM(IF((CRDJ[Account Code]=B176)*(CRDJ[Date]&lt;=$A$7),(CRDJ[Credit])))+(SUM(IF((GJ[Account Code]=B176)*(GJ[Date]&lt;=$A$7),(GJ[Credit]))))))))</f>
        <v>2759821.06</v>
      </c>
      <c r="G176" s="620">
        <f>IF(INDEX(AccountCodes[Normal Balance], MATCH(C176,AccountCodes[PPSAS CODE]))="Credit",F176-E176,0)</f>
        <v>2676406.96</v>
      </c>
      <c r="H176" s="621">
        <f t="shared" si="2"/>
        <v>2676406.96</v>
      </c>
    </row>
    <row r="177" spans="1:8" ht="15.75">
      <c r="A177" s="613" t="str">
        <f t="array" ref="A177">INDEX(AccountCodes[ACCOUNT NAME],MATCH(B177,AccountCodes[NGAS CODE],0))</f>
        <v>Accumulated Surplus/(Deficit) (Government Equity)</v>
      </c>
      <c r="B177" s="602" t="s">
        <v>122</v>
      </c>
      <c r="C177" s="615">
        <f t="array" ref="C177">INDEX(AccountCodes[PPSAS CODE],MATCH(B177,AccountCodes[NGAS CODE],0))</f>
        <v>3010101000</v>
      </c>
      <c r="D177" s="616">
        <f>IF(INDEX(AccountCodes[Normal Balance], MATCH(C177,AccountCodes[PPSAS CODE]))="Debit",E177-F177,0)</f>
        <v>0</v>
      </c>
      <c r="E177" s="488">
        <f t="array" ref="E177">(SUM(IF((PostTB[Account Code (Old)]=B177),(PostTB[Debit])))+(SUM(IF((CkDJ[Account Code]=B177)*(CkDJ[Date]&lt;=$A$7),(CkDJ[Debit])))+(SUM(IF((CsDJ[Account Code]=B177)*(CsDJ[Date]&lt;=$A$7),(CsDJ[Debit])))+(SUM(IF((CRDJ[Account Code]=B177)*(CRDJ[Date]&lt;=$A$7),(CRDJ[Debit])))+(SUM(IF((GJ[Account Code]=B177)*(GJ[Date]&lt;=$A$7),(GJ[Debit]))))))))</f>
        <v>571126.93999999994</v>
      </c>
      <c r="F177" s="490">
        <f t="array" ref="F177">(SUM(IF((PostTB[Account Code (Old)]=B177),(PostTB[Credit])))+(SUM(IF((CkDJ[Account Code]=B177)*(CkDJ[Date]&lt;=$A$7),(CkDJ[Credit])))+(SUM(IF((CsDJ[Account Code]=B177)*(CsDJ[Date]&lt;=$A$7),(CsDJ[Credit])))+(SUM(IF((CRDJ[Account Code]=B177)*(CRDJ[Date]&lt;=$A$7),(CRDJ[Credit])))+(SUM(IF((GJ[Account Code]=B177)*(GJ[Date]&lt;=$A$7),(GJ[Credit]))))))))</f>
        <v>117756365.22</v>
      </c>
      <c r="G177" s="620">
        <f>IF(INDEX(AccountCodes[Normal Balance], MATCH(C177,AccountCodes[PPSAS CODE]))="Credit",F177-E177,0)</f>
        <v>117185238.28</v>
      </c>
      <c r="H177" s="621">
        <f t="shared" si="2"/>
        <v>117185238.28</v>
      </c>
    </row>
    <row r="178" spans="1:8" ht="15.75" hidden="1">
      <c r="A178" s="613" t="str">
        <f t="array" ref="A178">INDEX(AccountCodes[ACCOUNT NAME],MATCH(B178,AccountCodes[NGAS CODE],0))</f>
        <v>Accumulated Surplus/(Deficit) (Retained Earnings)</v>
      </c>
      <c r="B178" s="602" t="s">
        <v>123</v>
      </c>
      <c r="C178" s="615">
        <f t="array" ref="C178">INDEX(AccountCodes[PPSAS CODE],MATCH(B178,AccountCodes[NGAS CODE],0))</f>
        <v>3010101000</v>
      </c>
      <c r="D178" s="616">
        <f>IF(INDEX(AccountCodes[Normal Balance], MATCH(C178,AccountCodes[PPSAS CODE]))="Debit",E178-F178,0)</f>
        <v>0</v>
      </c>
      <c r="E178" s="488">
        <f t="array" ref="E178">(SUM(IF((PostTB[Account Code (Old)]=B178),(PostTB[Debit])))+(SUM(IF((CkDJ[Account Code]=B178)*(CkDJ[Date]&lt;=$A$7),(CkDJ[Debit])))+(SUM(IF((CsDJ[Account Code]=B178)*(CsDJ[Date]&lt;=$A$7),(CsDJ[Debit])))+(SUM(IF((CRDJ[Account Code]=B178)*(CRDJ[Date]&lt;=$A$7),(CRDJ[Debit])))+(SUM(IF((GJ[Account Code]=B178)*(GJ[Date]&lt;=$A$7),(GJ[Debit]))))))))</f>
        <v>0</v>
      </c>
      <c r="F178" s="490">
        <f t="array" ref="F178">(SUM(IF((PostTB[Account Code (Old)]=B178),(PostTB[Credit])))+(SUM(IF((CkDJ[Account Code]=B178)*(CkDJ[Date]&lt;=$A$7),(CkDJ[Credit])))+(SUM(IF((CsDJ[Account Code]=B178)*(CsDJ[Date]&lt;=$A$7),(CsDJ[Credit])))+(SUM(IF((CRDJ[Account Code]=B178)*(CRDJ[Date]&lt;=$A$7),(CRDJ[Credit])))+(SUM(IF((GJ[Account Code]=B178)*(GJ[Date]&lt;=$A$7),(GJ[Credit]))))))))</f>
        <v>0</v>
      </c>
      <c r="G178" s="620">
        <f>IF(INDEX(AccountCodes[Normal Balance], MATCH(C178,AccountCodes[PPSAS CODE]))="Credit",F178-E178,0)</f>
        <v>0</v>
      </c>
      <c r="H178" s="621">
        <f t="shared" si="2"/>
        <v>0</v>
      </c>
    </row>
    <row r="179" spans="1:8" ht="15.75" hidden="1">
      <c r="A179" s="613" t="str">
        <f t="array" ref="A179">INDEX(AccountCodes[ACCOUNT NAME],MATCH(B179,AccountCodes[NGAS CODE],0))</f>
        <v>Revenue and Expense Summary</v>
      </c>
      <c r="B179" s="602" t="s">
        <v>124</v>
      </c>
      <c r="C179" s="615">
        <f t="array" ref="C179">INDEX(AccountCodes[PPSAS CODE],MATCH(B179,AccountCodes[NGAS CODE],0))</f>
        <v>3030101000</v>
      </c>
      <c r="D179" s="616">
        <f>IF(INDEX(AccountCodes[Normal Balance], MATCH(C179,AccountCodes[PPSAS CODE]))="Debit",E179-F179,0)</f>
        <v>0</v>
      </c>
      <c r="E179" s="488">
        <f t="array" ref="E179">(SUM(IF((PostTB[Account Code (Old)]=B179),(PostTB[Debit])))+(SUM(IF((CkDJ[Account Code]=B179)*(CkDJ[Date]&lt;=$A$7),(CkDJ[Debit])))+(SUM(IF((CsDJ[Account Code]=B179)*(CsDJ[Date]&lt;=$A$7),(CsDJ[Debit])))+(SUM(IF((CRDJ[Account Code]=B179)*(CRDJ[Date]&lt;=$A$7),(CRDJ[Debit])))+(SUM(IF((GJ[Account Code]=B179)*(GJ[Date]&lt;=$A$7),(GJ[Debit]))))))))</f>
        <v>0</v>
      </c>
      <c r="F179" s="490">
        <f t="array" ref="F179">(SUM(IF((PostTB[Account Code (Old)]=B179),(PostTB[Credit])))+(SUM(IF((CkDJ[Account Code]=B179)*(CkDJ[Date]&lt;=$A$7),(CkDJ[Credit])))+(SUM(IF((CsDJ[Account Code]=B179)*(CsDJ[Date]&lt;=$A$7),(CsDJ[Credit])))+(SUM(IF((CRDJ[Account Code]=B179)*(CRDJ[Date]&lt;=$A$7),(CRDJ[Credit])))+(SUM(IF((GJ[Account Code]=B179)*(GJ[Date]&lt;=$A$7),(GJ[Credit]))))))))</f>
        <v>0</v>
      </c>
      <c r="G179" s="620">
        <f>IF(INDEX(AccountCodes[Normal Balance], MATCH(C179,AccountCodes[PPSAS CODE]))="Credit",F179-E179,0)</f>
        <v>0</v>
      </c>
      <c r="H179" s="621">
        <f t="shared" si="2"/>
        <v>0</v>
      </c>
    </row>
    <row r="180" spans="1:8" ht="15.75" hidden="1">
      <c r="A180" s="613" t="str">
        <f t="array" ref="A180">INDEX(AccountCodes[ACCOUNT NAME],MATCH(B180,AccountCodes[NGAS CODE],0))</f>
        <v>Other Service Income - Irrigation Service Fee (Back Account)</v>
      </c>
      <c r="B180" s="602" t="s">
        <v>126</v>
      </c>
      <c r="C180" s="615">
        <f t="array" ref="C180">INDEX(AccountCodes[PPSAS CODE],MATCH(B180,AccountCodes[NGAS CODE],0))</f>
        <v>4020199099</v>
      </c>
      <c r="D180" s="616">
        <f>IF(INDEX(AccountCodes[Normal Balance], MATCH(C180,AccountCodes[PPSAS CODE]))="Debit",E180-F180,0)</f>
        <v>0</v>
      </c>
      <c r="E180" s="488">
        <f t="array" ref="E180">(SUM(IF((PostTB[Account Code (Old)]=B180),(PostTB[Debit])))+(SUM(IF((CkDJ[Account Code]=B180)*(CkDJ[Date]&lt;=$A$7),(CkDJ[Debit])))+(SUM(IF((CsDJ[Account Code]=B180)*(CsDJ[Date]&lt;=$A$7),(CsDJ[Debit])))+(SUM(IF((CRDJ[Account Code]=B180)*(CRDJ[Date]&lt;=$A$7),(CRDJ[Debit])))+(SUM(IF((GJ[Account Code]=B180)*(GJ[Date]&lt;=$A$7),(GJ[Debit]))))))))</f>
        <v>0</v>
      </c>
      <c r="F180" s="490">
        <f t="array" ref="F180">(SUM(IF((PostTB[Account Code (Old)]=B180),(PostTB[Credit])))+(SUM(IF((CkDJ[Account Code]=B180)*(CkDJ[Date]&lt;=$A$7),(CkDJ[Credit])))+(SUM(IF((CsDJ[Account Code]=B180)*(CsDJ[Date]&lt;=$A$7),(CsDJ[Credit])))+(SUM(IF((CRDJ[Account Code]=B180)*(CRDJ[Date]&lt;=$A$7),(CRDJ[Credit])))+(SUM(IF((GJ[Account Code]=B180)*(GJ[Date]&lt;=$A$7),(GJ[Credit]))))))))</f>
        <v>0</v>
      </c>
      <c r="G180" s="620">
        <f>IF(INDEX(AccountCodes[Normal Balance], MATCH(C180,AccountCodes[PPSAS CODE]))="Credit",F180-E180,0)</f>
        <v>0</v>
      </c>
      <c r="H180" s="621">
        <f t="shared" si="2"/>
        <v>0</v>
      </c>
    </row>
    <row r="181" spans="1:8" ht="15.75" hidden="1">
      <c r="A181" s="613" t="str">
        <f t="array" ref="A181">INDEX(AccountCodes[ACCOUNT NAME],MATCH(B181,AccountCodes[NGAS CODE],0))</f>
        <v>Other Service Income - Irrigation Service Fee (Back Account) (MC # 54)</v>
      </c>
      <c r="B181" s="602" t="s">
        <v>721</v>
      </c>
      <c r="C181" s="615">
        <f t="array" ref="C181">INDEX(AccountCodes[PPSAS CODE],MATCH(B181,AccountCodes[NGAS CODE],0))</f>
        <v>4020199099</v>
      </c>
      <c r="D181" s="616">
        <f>IF(INDEX(AccountCodes[Normal Balance], MATCH(C181,AccountCodes[PPSAS CODE]))="Debit",E181-F181,0)</f>
        <v>0</v>
      </c>
      <c r="E181" s="488">
        <f t="array" ref="E181">(SUM(IF((PostTB[Account Code (Old)]=B181),(PostTB[Debit])))+(SUM(IF((CkDJ[Account Code]=B181)*(CkDJ[Date]&lt;=$A$7),(CkDJ[Debit])))+(SUM(IF((CsDJ[Account Code]=B181)*(CsDJ[Date]&lt;=$A$7),(CsDJ[Debit])))+(SUM(IF((CRDJ[Account Code]=B181)*(CRDJ[Date]&lt;=$A$7),(CRDJ[Debit])))+(SUM(IF((GJ[Account Code]=B181)*(GJ[Date]&lt;=$A$7),(GJ[Debit]))))))))</f>
        <v>0</v>
      </c>
      <c r="F181" s="490">
        <f t="array" ref="F181">(SUM(IF((PostTB[Account Code (Old)]=B181),(PostTB[Credit])))+(SUM(IF((CkDJ[Account Code]=B181)*(CkDJ[Date]&lt;=$A$7),(CkDJ[Credit])))+(SUM(IF((CsDJ[Account Code]=B181)*(CsDJ[Date]&lt;=$A$7),(CsDJ[Credit])))+(SUM(IF((CRDJ[Account Code]=B181)*(CRDJ[Date]&lt;=$A$7),(CRDJ[Credit])))+(SUM(IF((GJ[Account Code]=B181)*(GJ[Date]&lt;=$A$7),(GJ[Credit]))))))))</f>
        <v>0</v>
      </c>
      <c r="G181" s="620">
        <f>IF(INDEX(AccountCodes[Normal Balance], MATCH(C181,AccountCodes[PPSAS CODE]))="Credit",F181-E181,0)</f>
        <v>0</v>
      </c>
      <c r="H181" s="621">
        <f t="shared" si="2"/>
        <v>0</v>
      </c>
    </row>
    <row r="182" spans="1:8" ht="15.75" hidden="1">
      <c r="A182" s="613" t="str">
        <f t="array" ref="A182">INDEX(AccountCodes[ACCOUNT NAME],MATCH(B182,AccountCodes[NGAS CODE],0))</f>
        <v>Other Service Income - CIS Equity &amp; Amortization</v>
      </c>
      <c r="B182" s="602" t="s">
        <v>127</v>
      </c>
      <c r="C182" s="615">
        <f t="array" ref="C182">INDEX(AccountCodes[PPSAS CODE],MATCH(B182,AccountCodes[NGAS CODE],0))</f>
        <v>4020199099</v>
      </c>
      <c r="D182" s="616">
        <f>IF(INDEX(AccountCodes[Normal Balance], MATCH(C182,AccountCodes[PPSAS CODE]))="Debit",E182-F182,0)</f>
        <v>0</v>
      </c>
      <c r="E182" s="488">
        <f t="array" ref="E182">(SUM(IF((PostTB[Account Code (Old)]=B182),(PostTB[Debit])))+(SUM(IF((CkDJ[Account Code]=B182)*(CkDJ[Date]&lt;=$A$7),(CkDJ[Debit])))+(SUM(IF((CsDJ[Account Code]=B182)*(CsDJ[Date]&lt;=$A$7),(CsDJ[Debit])))+(SUM(IF((CRDJ[Account Code]=B182)*(CRDJ[Date]&lt;=$A$7),(CRDJ[Debit])))+(SUM(IF((GJ[Account Code]=B182)*(GJ[Date]&lt;=$A$7),(GJ[Debit]))))))))</f>
        <v>0</v>
      </c>
      <c r="F182" s="490">
        <f t="array" ref="F182">(SUM(IF((PostTB[Account Code (Old)]=B182),(PostTB[Credit])))+(SUM(IF((CkDJ[Account Code]=B182)*(CkDJ[Date]&lt;=$A$7),(CkDJ[Credit])))+(SUM(IF((CsDJ[Account Code]=B182)*(CsDJ[Date]&lt;=$A$7),(CsDJ[Credit])))+(SUM(IF((CRDJ[Account Code]=B182)*(CRDJ[Date]&lt;=$A$7),(CRDJ[Credit])))+(SUM(IF((GJ[Account Code]=B182)*(GJ[Date]&lt;=$A$7),(GJ[Credit]))))))))</f>
        <v>0</v>
      </c>
      <c r="G182" s="620">
        <f>IF(INDEX(AccountCodes[Normal Balance], MATCH(C182,AccountCodes[PPSAS CODE]))="Credit",F182-E182,0)</f>
        <v>0</v>
      </c>
      <c r="H182" s="621">
        <f t="shared" si="2"/>
        <v>0</v>
      </c>
    </row>
    <row r="183" spans="1:8" ht="15.75" hidden="1">
      <c r="A183" s="613" t="str">
        <f t="array" ref="A183">INDEX(AccountCodes[ACCOUNT NAME],MATCH(B183,AccountCodes[NGAS CODE],0))</f>
        <v>Other Service Income - CIS Amortization (Current Account)</v>
      </c>
      <c r="B183" s="602" t="s">
        <v>128</v>
      </c>
      <c r="C183" s="615">
        <f t="array" ref="C183">INDEX(AccountCodes[PPSAS CODE],MATCH(B183,AccountCodes[NGAS CODE],0))</f>
        <v>4020199099</v>
      </c>
      <c r="D183" s="616">
        <f>IF(INDEX(AccountCodes[Normal Balance], MATCH(C183,AccountCodes[PPSAS CODE]))="Debit",E183-F183,0)</f>
        <v>0</v>
      </c>
      <c r="E183" s="488">
        <f t="array" ref="E183">(SUM(IF((PostTB[Account Code (Old)]=B183),(PostTB[Debit])))+(SUM(IF((CkDJ[Account Code]=B183)*(CkDJ[Date]&lt;=$A$7),(CkDJ[Debit])))+(SUM(IF((CsDJ[Account Code]=B183)*(CsDJ[Date]&lt;=$A$7),(CsDJ[Debit])))+(SUM(IF((CRDJ[Account Code]=B183)*(CRDJ[Date]&lt;=$A$7),(CRDJ[Debit])))+(SUM(IF((GJ[Account Code]=B183)*(GJ[Date]&lt;=$A$7),(GJ[Debit]))))))))</f>
        <v>0</v>
      </c>
      <c r="F183" s="490">
        <f t="array" ref="F183">(SUM(IF((PostTB[Account Code (Old)]=B183),(PostTB[Credit])))+(SUM(IF((CkDJ[Account Code]=B183)*(CkDJ[Date]&lt;=$A$7),(CkDJ[Credit])))+(SUM(IF((CsDJ[Account Code]=B183)*(CsDJ[Date]&lt;=$A$7),(CsDJ[Credit])))+(SUM(IF((CRDJ[Account Code]=B183)*(CRDJ[Date]&lt;=$A$7),(CRDJ[Credit])))+(SUM(IF((GJ[Account Code]=B183)*(GJ[Date]&lt;=$A$7),(GJ[Credit]))))))))</f>
        <v>0</v>
      </c>
      <c r="G183" s="620">
        <f>IF(INDEX(AccountCodes[Normal Balance], MATCH(C183,AccountCodes[PPSAS CODE]))="Credit",F183-E183,0)</f>
        <v>0</v>
      </c>
      <c r="H183" s="621">
        <f t="shared" si="2"/>
        <v>0</v>
      </c>
    </row>
    <row r="184" spans="1:8" ht="15.75" hidden="1">
      <c r="A184" s="613" t="str">
        <f t="array" ref="A184">INDEX(AccountCodes[ACCOUNT NAME],MATCH(B184,AccountCodes[NGAS CODE],0))</f>
        <v>Other Service Income - CIS Amortization (Back Account)</v>
      </c>
      <c r="B184" s="602" t="s">
        <v>129</v>
      </c>
      <c r="C184" s="615">
        <f t="array" ref="C184">INDEX(AccountCodes[PPSAS CODE],MATCH(B184,AccountCodes[NGAS CODE],0))</f>
        <v>4020199099</v>
      </c>
      <c r="D184" s="616">
        <f>IF(INDEX(AccountCodes[Normal Balance], MATCH(C184,AccountCodes[PPSAS CODE]))="Debit",E184-F184,0)</f>
        <v>0</v>
      </c>
      <c r="E184" s="488">
        <f t="array" ref="E184">(SUM(IF((PostTB[Account Code (Old)]=B184),(PostTB[Debit])))+(SUM(IF((CkDJ[Account Code]=B184)*(CkDJ[Date]&lt;=$A$7),(CkDJ[Debit])))+(SUM(IF((CsDJ[Account Code]=B184)*(CsDJ[Date]&lt;=$A$7),(CsDJ[Debit])))+(SUM(IF((CRDJ[Account Code]=B184)*(CRDJ[Date]&lt;=$A$7),(CRDJ[Debit])))+(SUM(IF((GJ[Account Code]=B184)*(GJ[Date]&lt;=$A$7),(GJ[Debit]))))))))</f>
        <v>0</v>
      </c>
      <c r="F184" s="490">
        <f t="array" ref="F184">(SUM(IF((PostTB[Account Code (Old)]=B184),(PostTB[Credit])))+(SUM(IF((CkDJ[Account Code]=B184)*(CkDJ[Date]&lt;=$A$7),(CkDJ[Credit])))+(SUM(IF((CsDJ[Account Code]=B184)*(CsDJ[Date]&lt;=$A$7),(CsDJ[Credit])))+(SUM(IF((CRDJ[Account Code]=B184)*(CRDJ[Date]&lt;=$A$7),(CRDJ[Credit])))+(SUM(IF((GJ[Account Code]=B184)*(GJ[Date]&lt;=$A$7),(GJ[Credit]))))))))</f>
        <v>0</v>
      </c>
      <c r="G184" s="620">
        <f>IF(INDEX(AccountCodes[Normal Balance], MATCH(C184,AccountCodes[PPSAS CODE]))="Credit",F184-E184,0)</f>
        <v>0</v>
      </c>
      <c r="H184" s="621">
        <f t="shared" si="2"/>
        <v>0</v>
      </c>
    </row>
    <row r="185" spans="1:8" ht="15.75" hidden="1">
      <c r="A185" s="613" t="str">
        <f t="array" ref="A185">INDEX(AccountCodes[ACCOUNT NAME],MATCH(B185,AccountCodes[NGAS CODE],0))</f>
        <v>Other Service Income - Pump Amortization (Current Account)</v>
      </c>
      <c r="B185" s="602" t="s">
        <v>131</v>
      </c>
      <c r="C185" s="615">
        <f t="array" ref="C185">INDEX(AccountCodes[PPSAS CODE],MATCH(B185,AccountCodes[NGAS CODE],0))</f>
        <v>4020199099</v>
      </c>
      <c r="D185" s="616">
        <f>IF(INDEX(AccountCodes[Normal Balance], MATCH(C185,AccountCodes[PPSAS CODE]))="Debit",E185-F185,0)</f>
        <v>0</v>
      </c>
      <c r="E185" s="488">
        <f t="array" ref="E185">(SUM(IF((PostTB[Account Code (Old)]=B185),(PostTB[Debit])))+(SUM(IF((CkDJ[Account Code]=B185)*(CkDJ[Date]&lt;=$A$7),(CkDJ[Debit])))+(SUM(IF((CsDJ[Account Code]=B185)*(CsDJ[Date]&lt;=$A$7),(CsDJ[Debit])))+(SUM(IF((CRDJ[Account Code]=B185)*(CRDJ[Date]&lt;=$A$7),(CRDJ[Debit])))+(SUM(IF((GJ[Account Code]=B185)*(GJ[Date]&lt;=$A$7),(GJ[Debit]))))))))</f>
        <v>0</v>
      </c>
      <c r="F185" s="490">
        <f t="array" ref="F185">(SUM(IF((PostTB[Account Code (Old)]=B185),(PostTB[Credit])))+(SUM(IF((CkDJ[Account Code]=B185)*(CkDJ[Date]&lt;=$A$7),(CkDJ[Credit])))+(SUM(IF((CsDJ[Account Code]=B185)*(CsDJ[Date]&lt;=$A$7),(CsDJ[Credit])))+(SUM(IF((CRDJ[Account Code]=B185)*(CRDJ[Date]&lt;=$A$7),(CRDJ[Credit])))+(SUM(IF((GJ[Account Code]=B185)*(GJ[Date]&lt;=$A$7),(GJ[Credit]))))))))</f>
        <v>0</v>
      </c>
      <c r="G185" s="620">
        <f>IF(INDEX(AccountCodes[Normal Balance], MATCH(C185,AccountCodes[PPSAS CODE]))="Credit",F185-E185,0)</f>
        <v>0</v>
      </c>
      <c r="H185" s="621">
        <f t="shared" si="2"/>
        <v>0</v>
      </c>
    </row>
    <row r="186" spans="1:8" ht="15.75" hidden="1">
      <c r="A186" s="613" t="str">
        <f t="array" ref="A186">INDEX(AccountCodes[ACCOUNT NAME],MATCH(B186,AccountCodes[NGAS CODE],0))</f>
        <v>Other Service Income - Pump Amortization (Back Account)</v>
      </c>
      <c r="B186" s="602" t="s">
        <v>140</v>
      </c>
      <c r="C186" s="615">
        <f t="array" ref="C186">INDEX(AccountCodes[PPSAS CODE],MATCH(B186,AccountCodes[NGAS CODE],0))</f>
        <v>4020199099</v>
      </c>
      <c r="D186" s="616">
        <f>IF(INDEX(AccountCodes[Normal Balance], MATCH(C186,AccountCodes[PPSAS CODE]))="Debit",E186-F186,0)</f>
        <v>0</v>
      </c>
      <c r="E186" s="488">
        <f t="array" ref="E186">(SUM(IF((PostTB[Account Code (Old)]=B186),(PostTB[Debit])))+(SUM(IF((CkDJ[Account Code]=B186)*(CkDJ[Date]&lt;=$A$7),(CkDJ[Debit])))+(SUM(IF((CsDJ[Account Code]=B186)*(CsDJ[Date]&lt;=$A$7),(CsDJ[Debit])))+(SUM(IF((CRDJ[Account Code]=B186)*(CRDJ[Date]&lt;=$A$7),(CRDJ[Debit])))+(SUM(IF((GJ[Account Code]=B186)*(GJ[Date]&lt;=$A$7),(GJ[Debit]))))))))</f>
        <v>0</v>
      </c>
      <c r="F186" s="490">
        <f t="array" ref="F186">(SUM(IF((PostTB[Account Code (Old)]=B186),(PostTB[Credit])))+(SUM(IF((CkDJ[Account Code]=B186)*(CkDJ[Date]&lt;=$A$7),(CkDJ[Credit])))+(SUM(IF((CsDJ[Account Code]=B186)*(CsDJ[Date]&lt;=$A$7),(CsDJ[Credit])))+(SUM(IF((CRDJ[Account Code]=B186)*(CRDJ[Date]&lt;=$A$7),(CRDJ[Credit])))+(SUM(IF((GJ[Account Code]=B186)*(GJ[Date]&lt;=$A$7),(GJ[Credit]))))))))</f>
        <v>0</v>
      </c>
      <c r="G186" s="620">
        <f>IF(INDEX(AccountCodes[Normal Balance], MATCH(C186,AccountCodes[PPSAS CODE]))="Credit",F186-E186,0)</f>
        <v>0</v>
      </c>
      <c r="H186" s="621">
        <f t="shared" si="2"/>
        <v>0</v>
      </c>
    </row>
    <row r="187" spans="1:8" ht="15.75" hidden="1">
      <c r="A187" s="613" t="str">
        <f t="array" ref="A187">INDEX(AccountCodes[ACCOUNT NAME],MATCH(B187,AccountCodes[NGAS CODE],0))</f>
        <v>Other Service Income - Pump Equity (Current Account)</v>
      </c>
      <c r="B187" s="602" t="s">
        <v>141</v>
      </c>
      <c r="C187" s="615">
        <f t="array" ref="C187">INDEX(AccountCodes[PPSAS CODE],MATCH(B187,AccountCodes[NGAS CODE],0))</f>
        <v>4020199099</v>
      </c>
      <c r="D187" s="616">
        <f>IF(INDEX(AccountCodes[Normal Balance], MATCH(C187,AccountCodes[PPSAS CODE]))="Debit",E187-F187,0)</f>
        <v>0</v>
      </c>
      <c r="E187" s="488">
        <f t="array" ref="E187">(SUM(IF((PostTB[Account Code (Old)]=B187),(PostTB[Debit])))+(SUM(IF((CkDJ[Account Code]=B187)*(CkDJ[Date]&lt;=$A$7),(CkDJ[Debit])))+(SUM(IF((CsDJ[Account Code]=B187)*(CsDJ[Date]&lt;=$A$7),(CsDJ[Debit])))+(SUM(IF((CRDJ[Account Code]=B187)*(CRDJ[Date]&lt;=$A$7),(CRDJ[Debit])))+(SUM(IF((GJ[Account Code]=B187)*(GJ[Date]&lt;=$A$7),(GJ[Debit]))))))))</f>
        <v>0</v>
      </c>
      <c r="F187" s="490">
        <f t="array" ref="F187">(SUM(IF((PostTB[Account Code (Old)]=B187),(PostTB[Credit])))+(SUM(IF((CkDJ[Account Code]=B187)*(CkDJ[Date]&lt;=$A$7),(CkDJ[Credit])))+(SUM(IF((CsDJ[Account Code]=B187)*(CsDJ[Date]&lt;=$A$7),(CsDJ[Credit])))+(SUM(IF((CRDJ[Account Code]=B187)*(CRDJ[Date]&lt;=$A$7),(CRDJ[Credit])))+(SUM(IF((GJ[Account Code]=B187)*(GJ[Date]&lt;=$A$7),(GJ[Credit]))))))))</f>
        <v>0</v>
      </c>
      <c r="G187" s="620">
        <f>IF(INDEX(AccountCodes[Normal Balance], MATCH(C187,AccountCodes[PPSAS CODE]))="Credit",F187-E187,0)</f>
        <v>0</v>
      </c>
      <c r="H187" s="621">
        <f t="shared" si="2"/>
        <v>0</v>
      </c>
    </row>
    <row r="188" spans="1:8" ht="15.75" hidden="1">
      <c r="A188" s="613" t="str">
        <f t="array" ref="A188">INDEX(AccountCodes[ACCOUNT NAME],MATCH(B188,AccountCodes[NGAS CODE],0))</f>
        <v>Other Service Income - Pump Equity (Back Account)</v>
      </c>
      <c r="B188" s="602" t="s">
        <v>142</v>
      </c>
      <c r="C188" s="615">
        <f t="array" ref="C188">INDEX(AccountCodes[PPSAS CODE],MATCH(B188,AccountCodes[NGAS CODE],0))</f>
        <v>4020199099</v>
      </c>
      <c r="D188" s="616">
        <f>IF(INDEX(AccountCodes[Normal Balance], MATCH(C188,AccountCodes[PPSAS CODE]))="Debit",E188-F188,0)</f>
        <v>0</v>
      </c>
      <c r="E188" s="488">
        <f t="array" ref="E188">(SUM(IF((PostTB[Account Code (Old)]=B188),(PostTB[Debit])))+(SUM(IF((CkDJ[Account Code]=B188)*(CkDJ[Date]&lt;=$A$7),(CkDJ[Debit])))+(SUM(IF((CsDJ[Account Code]=B188)*(CsDJ[Date]&lt;=$A$7),(CsDJ[Debit])))+(SUM(IF((CRDJ[Account Code]=B188)*(CRDJ[Date]&lt;=$A$7),(CRDJ[Debit])))+(SUM(IF((GJ[Account Code]=B188)*(GJ[Date]&lt;=$A$7),(GJ[Debit]))))))))</f>
        <v>0</v>
      </c>
      <c r="F188" s="490">
        <f t="array" ref="F188">(SUM(IF((PostTB[Account Code (Old)]=B188),(PostTB[Credit])))+(SUM(IF((CkDJ[Account Code]=B188)*(CkDJ[Date]&lt;=$A$7),(CkDJ[Credit])))+(SUM(IF((CsDJ[Account Code]=B188)*(CsDJ[Date]&lt;=$A$7),(CsDJ[Credit])))+(SUM(IF((CRDJ[Account Code]=B188)*(CRDJ[Date]&lt;=$A$7),(CRDJ[Credit])))+(SUM(IF((GJ[Account Code]=B188)*(GJ[Date]&lt;=$A$7),(GJ[Credit]))))))))</f>
        <v>0</v>
      </c>
      <c r="G188" s="620">
        <f>IF(INDEX(AccountCodes[Normal Balance], MATCH(C188,AccountCodes[PPSAS CODE]))="Credit",F188-E188,0)</f>
        <v>0</v>
      </c>
      <c r="H188" s="621">
        <f t="shared" si="2"/>
        <v>0</v>
      </c>
    </row>
    <row r="189" spans="1:8" ht="15.75" hidden="1">
      <c r="A189" s="613" t="str">
        <f t="array" ref="A189">INDEX(AccountCodes[ACCOUNT NAME],MATCH(B189,AccountCodes[NGAS CODE],0))</f>
        <v>Equipment Rental</v>
      </c>
      <c r="B189" s="602" t="s">
        <v>1540</v>
      </c>
      <c r="C189" s="615">
        <f t="array" ref="C189">INDEX(AccountCodes[PPSAS CODE],MATCH(B189,AccountCodes[NGAS CODE],0))</f>
        <v>4020205000</v>
      </c>
      <c r="D189" s="616">
        <f>IF(INDEX(AccountCodes[Normal Balance], MATCH(C189,AccountCodes[PPSAS CODE]))="Debit",E189-F189,0)</f>
        <v>0</v>
      </c>
      <c r="E189" s="488">
        <f t="array" ref="E189">(SUM(IF((PostTB[Account Code (Old)]=B189),(PostTB[Debit])))+(SUM(IF((CkDJ[Account Code]=B189)*(CkDJ[Date]&lt;=$A$7),(CkDJ[Debit])))+(SUM(IF((CsDJ[Account Code]=B189)*(CsDJ[Date]&lt;=$A$7),(CsDJ[Debit])))+(SUM(IF((CRDJ[Account Code]=B189)*(CRDJ[Date]&lt;=$A$7),(CRDJ[Debit])))+(SUM(IF((GJ[Account Code]=B189)*(GJ[Date]&lt;=$A$7),(GJ[Debit]))))))))</f>
        <v>0</v>
      </c>
      <c r="F189" s="490">
        <f t="array" ref="F189">(SUM(IF((PostTB[Account Code (Old)]=B189),(PostTB[Credit])))+(SUM(IF((CkDJ[Account Code]=B189)*(CkDJ[Date]&lt;=$A$7),(CkDJ[Credit])))+(SUM(IF((CsDJ[Account Code]=B189)*(CsDJ[Date]&lt;=$A$7),(CsDJ[Credit])))+(SUM(IF((CRDJ[Account Code]=B189)*(CRDJ[Date]&lt;=$A$7),(CRDJ[Credit])))+(SUM(IF((GJ[Account Code]=B189)*(GJ[Date]&lt;=$A$7),(GJ[Credit]))))))))</f>
        <v>0</v>
      </c>
      <c r="G189" s="620">
        <f>IF(INDEX(AccountCodes[Normal Balance], MATCH(C189,AccountCodes[PPSAS CODE]))="Credit",F189-E189,0)</f>
        <v>0</v>
      </c>
      <c r="H189" s="621">
        <f>IF(D189=0,G189,D189)</f>
        <v>0</v>
      </c>
    </row>
    <row r="190" spans="1:8" ht="15.75" hidden="1">
      <c r="A190" s="613" t="str">
        <f t="array" ref="A190">INDEX(AccountCodes[ACCOUNT NAME],MATCH(B190,AccountCodes[NGAS CODE],0))</f>
        <v>Equipment Rental - Internal (CA)</v>
      </c>
      <c r="B190" s="602" t="s">
        <v>146</v>
      </c>
      <c r="C190" s="615">
        <f t="array" ref="C190">INDEX(AccountCodes[PPSAS CODE],MATCH(B190,AccountCodes[NGAS CODE],0))</f>
        <v>4020205001</v>
      </c>
      <c r="D190" s="616">
        <f>IF(INDEX(AccountCodes[Normal Balance], MATCH(C190,AccountCodes[PPSAS CODE]))="Debit",E190-F190,0)</f>
        <v>0</v>
      </c>
      <c r="E190" s="488">
        <f t="array" ref="E190">(SUM(IF((PostTB[Account Code (Old)]=B190),(PostTB[Debit])))+(SUM(IF((CkDJ[Account Code]=B190)*(CkDJ[Date]&lt;=$A$7),(CkDJ[Debit])))+(SUM(IF((CsDJ[Account Code]=B190)*(CsDJ[Date]&lt;=$A$7),(CsDJ[Debit])))+(SUM(IF((CRDJ[Account Code]=B190)*(CRDJ[Date]&lt;=$A$7),(CRDJ[Debit])))+(SUM(IF((GJ[Account Code]=B190)*(GJ[Date]&lt;=$A$7),(GJ[Debit]))))))))</f>
        <v>0</v>
      </c>
      <c r="F190" s="490">
        <f t="array" ref="F190">(SUM(IF((PostTB[Account Code (Old)]=B190),(PostTB[Credit])))+(SUM(IF((CkDJ[Account Code]=B190)*(CkDJ[Date]&lt;=$A$7),(CkDJ[Credit])))+(SUM(IF((CsDJ[Account Code]=B190)*(CsDJ[Date]&lt;=$A$7),(CsDJ[Credit])))+(SUM(IF((CRDJ[Account Code]=B190)*(CRDJ[Date]&lt;=$A$7),(CRDJ[Credit])))+(SUM(IF((GJ[Account Code]=B190)*(GJ[Date]&lt;=$A$7),(GJ[Credit]))))))))</f>
        <v>0</v>
      </c>
      <c r="G190" s="620">
        <f>IF(INDEX(AccountCodes[Normal Balance], MATCH(C190,AccountCodes[PPSAS CODE]))="Credit",F190-E190,0)</f>
        <v>0</v>
      </c>
      <c r="H190" s="621">
        <f t="shared" si="2"/>
        <v>0</v>
      </c>
    </row>
    <row r="191" spans="1:8" ht="15.75" hidden="1">
      <c r="A191" s="613" t="str">
        <f t="array" ref="A191">INDEX(AccountCodes[ACCOUNT NAME],MATCH(B191,AccountCodes[NGAS CODE],0))</f>
        <v>Equipment Rental - External (CA)</v>
      </c>
      <c r="B191" s="602" t="s">
        <v>147</v>
      </c>
      <c r="C191" s="615">
        <f t="array" ref="C191">INDEX(AccountCodes[PPSAS CODE],MATCH(B191,AccountCodes[NGAS CODE],0))</f>
        <v>4020205002</v>
      </c>
      <c r="D191" s="616">
        <f>IF(INDEX(AccountCodes[Normal Balance], MATCH(C191,AccountCodes[PPSAS CODE]))="Debit",E191-F191,0)</f>
        <v>0</v>
      </c>
      <c r="E191" s="488">
        <f t="array" ref="E191">(SUM(IF((PostTB[Account Code (Old)]=B191),(PostTB[Debit])))+(SUM(IF((CkDJ[Account Code]=B191)*(CkDJ[Date]&lt;=$A$7),(CkDJ[Debit])))+(SUM(IF((CsDJ[Account Code]=B191)*(CsDJ[Date]&lt;=$A$7),(CsDJ[Debit])))+(SUM(IF((CRDJ[Account Code]=B191)*(CRDJ[Date]&lt;=$A$7),(CRDJ[Debit])))+(SUM(IF((GJ[Account Code]=B191)*(GJ[Date]&lt;=$A$7),(GJ[Debit]))))))))</f>
        <v>0</v>
      </c>
      <c r="F191" s="490">
        <f t="array" ref="F191">(SUM(IF((PostTB[Account Code (Old)]=B191),(PostTB[Credit])))+(SUM(IF((CkDJ[Account Code]=B191)*(CkDJ[Date]&lt;=$A$7),(CkDJ[Credit])))+(SUM(IF((CsDJ[Account Code]=B191)*(CsDJ[Date]&lt;=$A$7),(CsDJ[Credit])))+(SUM(IF((CRDJ[Account Code]=B191)*(CRDJ[Date]&lt;=$A$7),(CRDJ[Credit])))+(SUM(IF((GJ[Account Code]=B191)*(GJ[Date]&lt;=$A$7),(GJ[Credit]))))))))</f>
        <v>0</v>
      </c>
      <c r="G191" s="620">
        <f>IF(INDEX(AccountCodes[Normal Balance], MATCH(C191,AccountCodes[PPSAS CODE]))="Credit",F191-E191,0)</f>
        <v>0</v>
      </c>
      <c r="H191" s="621">
        <f t="shared" si="2"/>
        <v>0</v>
      </c>
    </row>
    <row r="192" spans="1:8" ht="15.75" hidden="1">
      <c r="A192" s="613" t="str">
        <f t="array" ref="A192">INDEX(AccountCodes[ACCOUNT NAME],MATCH(B192,AccountCodes[NGAS CODE],0))</f>
        <v>Equipment Rental - Internal (BA)</v>
      </c>
      <c r="B192" s="602" t="s">
        <v>148</v>
      </c>
      <c r="C192" s="615">
        <f t="array" ref="C192">INDEX(AccountCodes[PPSAS CODE],MATCH(B192,AccountCodes[NGAS CODE],0))</f>
        <v>4020205003</v>
      </c>
      <c r="D192" s="616">
        <f>IF(INDEX(AccountCodes[Normal Balance], MATCH(C192,AccountCodes[PPSAS CODE]))="Debit",E192-F192,0)</f>
        <v>0</v>
      </c>
      <c r="E192" s="488">
        <f t="array" ref="E192">(SUM(IF((PostTB[Account Code (Old)]=B192),(PostTB[Debit])))+(SUM(IF((CkDJ[Account Code]=B192)*(CkDJ[Date]&lt;=$A$7),(CkDJ[Debit])))+(SUM(IF((CsDJ[Account Code]=B192)*(CsDJ[Date]&lt;=$A$7),(CsDJ[Debit])))+(SUM(IF((CRDJ[Account Code]=B192)*(CRDJ[Date]&lt;=$A$7),(CRDJ[Debit])))+(SUM(IF((GJ[Account Code]=B192)*(GJ[Date]&lt;=$A$7),(GJ[Debit]))))))))</f>
        <v>0</v>
      </c>
      <c r="F192" s="490">
        <f t="array" ref="F192">(SUM(IF((PostTB[Account Code (Old)]=B192),(PostTB[Credit])))+(SUM(IF((CkDJ[Account Code]=B192)*(CkDJ[Date]&lt;=$A$7),(CkDJ[Credit])))+(SUM(IF((CsDJ[Account Code]=B192)*(CsDJ[Date]&lt;=$A$7),(CsDJ[Credit])))+(SUM(IF((CRDJ[Account Code]=B192)*(CRDJ[Date]&lt;=$A$7),(CRDJ[Credit])))+(SUM(IF((GJ[Account Code]=B192)*(GJ[Date]&lt;=$A$7),(GJ[Credit]))))))))</f>
        <v>0</v>
      </c>
      <c r="G192" s="620">
        <f>IF(INDEX(AccountCodes[Normal Balance], MATCH(C192,AccountCodes[PPSAS CODE]))="Credit",F192-E192,0)</f>
        <v>0</v>
      </c>
      <c r="H192" s="621">
        <f t="shared" si="2"/>
        <v>0</v>
      </c>
    </row>
    <row r="193" spans="1:8" ht="15.75" hidden="1">
      <c r="A193" s="613" t="str">
        <f t="array" ref="A193">INDEX(AccountCodes[ACCOUNT NAME],MATCH(B193,AccountCodes[NGAS CODE],0))</f>
        <v>Equipment Rental - External (BA)</v>
      </c>
      <c r="B193" s="602" t="s">
        <v>149</v>
      </c>
      <c r="C193" s="615">
        <f t="array" ref="C193">INDEX(AccountCodes[PPSAS CODE],MATCH(B193,AccountCodes[NGAS CODE],0))</f>
        <v>4020205004</v>
      </c>
      <c r="D193" s="616">
        <f>IF(INDEX(AccountCodes[Normal Balance], MATCH(C193,AccountCodes[PPSAS CODE]))="Debit",E193-F193,0)</f>
        <v>0</v>
      </c>
      <c r="E193" s="488">
        <f t="array" ref="E193">(SUM(IF((PostTB[Account Code (Old)]=B193),(PostTB[Debit])))+(SUM(IF((CkDJ[Account Code]=B193)*(CkDJ[Date]&lt;=$A$7),(CkDJ[Debit])))+(SUM(IF((CsDJ[Account Code]=B193)*(CsDJ[Date]&lt;=$A$7),(CsDJ[Debit])))+(SUM(IF((CRDJ[Account Code]=B193)*(CRDJ[Date]&lt;=$A$7),(CRDJ[Debit])))+(SUM(IF((GJ[Account Code]=B193)*(GJ[Date]&lt;=$A$7),(GJ[Debit]))))))))</f>
        <v>0</v>
      </c>
      <c r="F193" s="490">
        <f t="array" ref="F193">(SUM(IF((PostTB[Account Code (Old)]=B193),(PostTB[Credit])))+(SUM(IF((CkDJ[Account Code]=B193)*(CkDJ[Date]&lt;=$A$7),(CkDJ[Credit])))+(SUM(IF((CsDJ[Account Code]=B193)*(CsDJ[Date]&lt;=$A$7),(CsDJ[Credit])))+(SUM(IF((CRDJ[Account Code]=B193)*(CRDJ[Date]&lt;=$A$7),(CRDJ[Credit])))+(SUM(IF((GJ[Account Code]=B193)*(GJ[Date]&lt;=$A$7),(GJ[Credit]))))))))</f>
        <v>0</v>
      </c>
      <c r="G193" s="620">
        <f>IF(INDEX(AccountCodes[Normal Balance], MATCH(C193,AccountCodes[PPSAS CODE]))="Credit",F193-E193,0)</f>
        <v>0</v>
      </c>
      <c r="H193" s="621">
        <f t="shared" si="2"/>
        <v>0</v>
      </c>
    </row>
    <row r="194" spans="1:8" ht="15.75" hidden="1">
      <c r="A194" s="613" t="str">
        <f t="array" ref="A194">INDEX(AccountCodes[ACCOUNT NAME],MATCH(B194,AccountCodes[NGAS CODE],0))</f>
        <v>Income from Hostels/Dormitories and Other Like Facilities</v>
      </c>
      <c r="B194" s="602" t="s">
        <v>150</v>
      </c>
      <c r="C194" s="615">
        <f t="array" ref="C194">INDEX(AccountCodes[PPSAS CODE],MATCH(B194,AccountCodes[NGAS CODE],0))</f>
        <v>4020213000</v>
      </c>
      <c r="D194" s="616">
        <f>IF(INDEX(AccountCodes[Normal Balance], MATCH(C194,AccountCodes[PPSAS CODE]))="Debit",E194-F194,0)</f>
        <v>0</v>
      </c>
      <c r="E194" s="488">
        <f t="array" ref="E194">(SUM(IF((PostTB[Account Code (Old)]=B194),(PostTB[Debit])))+(SUM(IF((CkDJ[Account Code]=B194)*(CkDJ[Date]&lt;=$A$7),(CkDJ[Debit])))+(SUM(IF((CsDJ[Account Code]=B194)*(CsDJ[Date]&lt;=$A$7),(CsDJ[Debit])))+(SUM(IF((CRDJ[Account Code]=B194)*(CRDJ[Date]&lt;=$A$7),(CRDJ[Debit])))+(SUM(IF((GJ[Account Code]=B194)*(GJ[Date]&lt;=$A$7),(GJ[Debit]))))))))</f>
        <v>0</v>
      </c>
      <c r="F194" s="490">
        <f t="array" ref="F194">(SUM(IF((PostTB[Account Code (Old)]=B194),(PostTB[Credit])))+(SUM(IF((CkDJ[Account Code]=B194)*(CkDJ[Date]&lt;=$A$7),(CkDJ[Credit])))+(SUM(IF((CsDJ[Account Code]=B194)*(CsDJ[Date]&lt;=$A$7),(CsDJ[Credit])))+(SUM(IF((CRDJ[Account Code]=B194)*(CRDJ[Date]&lt;=$A$7),(CRDJ[Credit])))+(SUM(IF((GJ[Account Code]=B194)*(GJ[Date]&lt;=$A$7),(GJ[Credit]))))))))</f>
        <v>0</v>
      </c>
      <c r="G194" s="620">
        <f>IF(INDEX(AccountCodes[Normal Balance], MATCH(C194,AccountCodes[PPSAS CODE]))="Credit",F194-E194,0)</f>
        <v>0</v>
      </c>
      <c r="H194" s="621">
        <f t="shared" si="2"/>
        <v>0</v>
      </c>
    </row>
    <row r="195" spans="1:8" ht="15.75" hidden="1">
      <c r="A195" s="613" t="str">
        <f t="array" ref="A195">INDEX(AccountCodes[ACCOUNT NAME],MATCH(B195,AccountCodes[NGAS CODE],0))</f>
        <v>Interest Income</v>
      </c>
      <c r="B195" s="602" t="s">
        <v>154</v>
      </c>
      <c r="C195" s="615">
        <f t="array" ref="C195">INDEX(AccountCodes[PPSAS CODE],MATCH(B195,AccountCodes[NGAS CODE],0))</f>
        <v>4020221000</v>
      </c>
      <c r="D195" s="616">
        <f>IF(INDEX(AccountCodes[Normal Balance], MATCH(C195,AccountCodes[PPSAS CODE]))="Debit",E195-F195,0)</f>
        <v>0</v>
      </c>
      <c r="E195" s="488">
        <f t="array" ref="E195">(SUM(IF((PostTB[Account Code (Old)]=B195),(PostTB[Debit])))+(SUM(IF((CkDJ[Account Code]=B195)*(CkDJ[Date]&lt;=$A$7),(CkDJ[Debit])))+(SUM(IF((CsDJ[Account Code]=B195)*(CsDJ[Date]&lt;=$A$7),(CsDJ[Debit])))+(SUM(IF((CRDJ[Account Code]=B195)*(CRDJ[Date]&lt;=$A$7),(CRDJ[Debit])))+(SUM(IF((GJ[Account Code]=B195)*(GJ[Date]&lt;=$A$7),(GJ[Debit]))))))))</f>
        <v>0</v>
      </c>
      <c r="F195" s="490">
        <f t="array" ref="F195">(SUM(IF((PostTB[Account Code (Old)]=B195),(PostTB[Credit])))+(SUM(IF((CkDJ[Account Code]=B195)*(CkDJ[Date]&lt;=$A$7),(CkDJ[Credit])))+(SUM(IF((CsDJ[Account Code]=B195)*(CsDJ[Date]&lt;=$A$7),(CsDJ[Credit])))+(SUM(IF((CRDJ[Account Code]=B195)*(CRDJ[Date]&lt;=$A$7),(CRDJ[Credit])))+(SUM(IF((GJ[Account Code]=B195)*(GJ[Date]&lt;=$A$7),(GJ[Credit]))))))))</f>
        <v>0</v>
      </c>
      <c r="G195" s="620">
        <f>IF(INDEX(AccountCodes[Normal Balance], MATCH(C195,AccountCodes[PPSAS CODE]))="Credit",F195-E195,0)</f>
        <v>0</v>
      </c>
      <c r="H195" s="621">
        <f t="shared" si="2"/>
        <v>0</v>
      </c>
    </row>
    <row r="196" spans="1:8" ht="15.75" hidden="1">
      <c r="A196" s="613" t="str">
        <f t="array" ref="A196">INDEX(AccountCodes[ACCOUNT NAME],MATCH(B196,AccountCodes[NGAS CODE],0))</f>
        <v>Fines and Penalties-Irrigation Service Fee</v>
      </c>
      <c r="B196" s="602" t="s">
        <v>143</v>
      </c>
      <c r="C196" s="615">
        <f t="array" ref="C196">INDEX(AccountCodes[PPSAS CODE],MATCH(B196,AccountCodes[NGAS CODE],0))</f>
        <v>4020223000</v>
      </c>
      <c r="D196" s="616">
        <f>IF(INDEX(AccountCodes[Normal Balance], MATCH(C196,AccountCodes[PPSAS CODE]))="Debit",E196-F196,0)</f>
        <v>0</v>
      </c>
      <c r="E196" s="488">
        <f t="array" ref="E196">(SUM(IF((PostTB[Account Code (Old)]=B196),(PostTB[Debit])))+(SUM(IF((CkDJ[Account Code]=B196)*(CkDJ[Date]&lt;=$A$7),(CkDJ[Debit])))+(SUM(IF((CsDJ[Account Code]=B196)*(CsDJ[Date]&lt;=$A$7),(CsDJ[Debit])))+(SUM(IF((CRDJ[Account Code]=B196)*(CRDJ[Date]&lt;=$A$7),(CRDJ[Debit])))+(SUM(IF((GJ[Account Code]=B196)*(GJ[Date]&lt;=$A$7),(GJ[Debit]))))))))</f>
        <v>0</v>
      </c>
      <c r="F196" s="490">
        <f t="array" ref="F196">(SUM(IF((PostTB[Account Code (Old)]=B196),(PostTB[Credit])))+(SUM(IF((CkDJ[Account Code]=B196)*(CkDJ[Date]&lt;=$A$7),(CkDJ[Credit])))+(SUM(IF((CsDJ[Account Code]=B196)*(CsDJ[Date]&lt;=$A$7),(CsDJ[Credit])))+(SUM(IF((CRDJ[Account Code]=B196)*(CRDJ[Date]&lt;=$A$7),(CRDJ[Credit])))+(SUM(IF((GJ[Account Code]=B196)*(GJ[Date]&lt;=$A$7),(GJ[Credit]))))))))</f>
        <v>0</v>
      </c>
      <c r="G196" s="620">
        <f>IF(INDEX(AccountCodes[Normal Balance], MATCH(C196,AccountCodes[PPSAS CODE]))="Credit",F196-E196,0)</f>
        <v>0</v>
      </c>
      <c r="H196" s="621">
        <f t="shared" si="2"/>
        <v>0</v>
      </c>
    </row>
    <row r="197" spans="1:8" ht="15.75" hidden="1">
      <c r="A197" s="613" t="str">
        <f t="array" ref="A197">INDEX(AccountCodes[ACCOUNT NAME],MATCH(B197,AccountCodes[NGAS CODE],0))</f>
        <v>Subsidy from National Government</v>
      </c>
      <c r="B197" s="602" t="s">
        <v>151</v>
      </c>
      <c r="C197" s="615">
        <f t="array" ref="C197">INDEX(AccountCodes[PPSAS CODE],MATCH(B197,AccountCodes[NGAS CODE],0))</f>
        <v>4030101000</v>
      </c>
      <c r="D197" s="616">
        <f>IF(INDEX(AccountCodes[Normal Balance], MATCH(C197,AccountCodes[PPSAS CODE]))="Debit",E197-F197,0)</f>
        <v>0</v>
      </c>
      <c r="E197" s="488">
        <f t="array" ref="E197">(SUM(IF((PostTB[Account Code (Old)]=B197),(PostTB[Debit])))+(SUM(IF((CkDJ[Account Code]=B197)*(CkDJ[Date]&lt;=$A$7),(CkDJ[Debit])))+(SUM(IF((CsDJ[Account Code]=B197)*(CsDJ[Date]&lt;=$A$7),(CsDJ[Debit])))+(SUM(IF((CRDJ[Account Code]=B197)*(CRDJ[Date]&lt;=$A$7),(CRDJ[Debit])))+(SUM(IF((GJ[Account Code]=B197)*(GJ[Date]&lt;=$A$7),(GJ[Debit]))))))))</f>
        <v>0</v>
      </c>
      <c r="F197" s="490">
        <f t="array" ref="F197">(SUM(IF((PostTB[Account Code (Old)]=B197),(PostTB[Credit])))+(SUM(IF((CkDJ[Account Code]=B197)*(CkDJ[Date]&lt;=$A$7),(CkDJ[Credit])))+(SUM(IF((CsDJ[Account Code]=B197)*(CsDJ[Date]&lt;=$A$7),(CsDJ[Credit])))+(SUM(IF((CRDJ[Account Code]=B197)*(CRDJ[Date]&lt;=$A$7),(CRDJ[Credit])))+(SUM(IF((GJ[Account Code]=B197)*(GJ[Date]&lt;=$A$7),(GJ[Credit]))))))))</f>
        <v>0</v>
      </c>
      <c r="G197" s="620">
        <f>IF(INDEX(AccountCodes[Normal Balance], MATCH(C197,AccountCodes[PPSAS CODE]))="Credit",F197-E197,0)</f>
        <v>0</v>
      </c>
      <c r="H197" s="621">
        <f t="shared" si="2"/>
        <v>0</v>
      </c>
    </row>
    <row r="198" spans="1:8" ht="15.75" hidden="1">
      <c r="A198" s="613" t="str">
        <f t="array" ref="A198">INDEX(AccountCodes[ACCOUNT NAME],MATCH(B198,AccountCodes[NGAS CODE],0))</f>
        <v>Assistance from Local Government Units</v>
      </c>
      <c r="B198" s="602" t="s">
        <v>1230</v>
      </c>
      <c r="C198" s="615">
        <f t="array" ref="C198">INDEX(AccountCodes[PPSAS CODE],MATCH(B198,AccountCodes[NGAS CODE],0))</f>
        <v>4030103000</v>
      </c>
      <c r="D198" s="616">
        <f>IF(INDEX(AccountCodes[Normal Balance], MATCH(C198,AccountCodes[PPSAS CODE]))="Debit",E198-F198,0)</f>
        <v>0</v>
      </c>
      <c r="E198" s="488">
        <f t="array" ref="E198">(SUM(IF((PostTB[Account Code (Old)]=B198),(PostTB[Debit])))+(SUM(IF((CkDJ[Account Code]=B198)*(CkDJ[Date]&lt;=$A$7),(CkDJ[Debit])))+(SUM(IF((CsDJ[Account Code]=B198)*(CsDJ[Date]&lt;=$A$7),(CsDJ[Debit])))+(SUM(IF((CRDJ[Account Code]=B198)*(CRDJ[Date]&lt;=$A$7),(CRDJ[Debit])))+(SUM(IF((GJ[Account Code]=B198)*(GJ[Date]&lt;=$A$7),(GJ[Debit]))))))))</f>
        <v>0</v>
      </c>
      <c r="F198" s="490">
        <f t="array" ref="F198">(SUM(IF((PostTB[Account Code (Old)]=B198),(PostTB[Credit])))+(SUM(IF((CkDJ[Account Code]=B198)*(CkDJ[Date]&lt;=$A$7),(CkDJ[Credit])))+(SUM(IF((CsDJ[Account Code]=B198)*(CsDJ[Date]&lt;=$A$7),(CsDJ[Credit])))+(SUM(IF((CRDJ[Account Code]=B198)*(CRDJ[Date]&lt;=$A$7),(CRDJ[Credit])))+(SUM(IF((GJ[Account Code]=B198)*(GJ[Date]&lt;=$A$7),(GJ[Credit]))))))))</f>
        <v>0</v>
      </c>
      <c r="G198" s="620">
        <f>IF(INDEX(AccountCodes[Normal Balance], MATCH(C198,AccountCodes[PPSAS CODE]))="Credit",F198-E198,0)</f>
        <v>0</v>
      </c>
      <c r="H198" s="621">
        <f t="shared" si="2"/>
        <v>0</v>
      </c>
    </row>
    <row r="199" spans="1:8" ht="15.75" hidden="1">
      <c r="A199" s="613" t="str">
        <f t="array" ref="A199">INDEX(AccountCodes[ACCOUNT NAME],MATCH(B199,AccountCodes[NGAS CODE],0))</f>
        <v>Subsidy from Other Funds</v>
      </c>
      <c r="B199" s="602" t="s">
        <v>1232</v>
      </c>
      <c r="C199" s="615">
        <f t="array" ref="C199">INDEX(AccountCodes[PPSAS CODE],MATCH(B199,AccountCodes[NGAS CODE],0))</f>
        <v>4030105000</v>
      </c>
      <c r="D199" s="616">
        <f>IF(INDEX(AccountCodes[Normal Balance], MATCH(C199,AccountCodes[PPSAS CODE]))="Debit",E199-F199,0)</f>
        <v>0</v>
      </c>
      <c r="E199" s="488">
        <f t="array" ref="E199">(SUM(IF((PostTB[Account Code (Old)]=B199),(PostTB[Debit])))+(SUM(IF((CkDJ[Account Code]=B199)*(CkDJ[Date]&lt;=$A$7),(CkDJ[Debit])))+(SUM(IF((CsDJ[Account Code]=B199)*(CsDJ[Date]&lt;=$A$7),(CsDJ[Debit])))+(SUM(IF((CRDJ[Account Code]=B199)*(CRDJ[Date]&lt;=$A$7),(CRDJ[Debit])))+(SUM(IF((GJ[Account Code]=B199)*(GJ[Date]&lt;=$A$7),(GJ[Debit]))))))))</f>
        <v>0</v>
      </c>
      <c r="F199" s="490">
        <f t="array" ref="F199">(SUM(IF((PostTB[Account Code (Old)]=B199),(PostTB[Credit])))+(SUM(IF((CkDJ[Account Code]=B199)*(CkDJ[Date]&lt;=$A$7),(CkDJ[Credit])))+(SUM(IF((CsDJ[Account Code]=B199)*(CsDJ[Date]&lt;=$A$7),(CsDJ[Credit])))+(SUM(IF((CRDJ[Account Code]=B199)*(CRDJ[Date]&lt;=$A$7),(CRDJ[Credit])))+(SUM(IF((GJ[Account Code]=B199)*(GJ[Date]&lt;=$A$7),(GJ[Credit]))))))))</f>
        <v>0</v>
      </c>
      <c r="G199" s="620">
        <f>IF(INDEX(AccountCodes[Normal Balance], MATCH(C199,AccountCodes[PPSAS CODE]))="Credit",F199-E199,0)</f>
        <v>0</v>
      </c>
      <c r="H199" s="621">
        <f t="shared" si="2"/>
        <v>0</v>
      </c>
    </row>
    <row r="200" spans="1:8" ht="15.75">
      <c r="A200" s="613" t="str">
        <f t="array" ref="A200">INDEX(AccountCodes[ACCOUNT NAME],MATCH(B200,AccountCodes[NGAS CODE],0))</f>
        <v>Subsidy from Central Office</v>
      </c>
      <c r="B200" s="602" t="s">
        <v>152</v>
      </c>
      <c r="C200" s="615">
        <f t="array" ref="C200">INDEX(AccountCodes[PPSAS CODE],MATCH(B200,AccountCodes[NGAS CODE],0))</f>
        <v>4030106000</v>
      </c>
      <c r="D200" s="616">
        <f>IF(INDEX(AccountCodes[Normal Balance], MATCH(C200,AccountCodes[PPSAS CODE]))="Debit",E200-F200,0)</f>
        <v>0</v>
      </c>
      <c r="E200" s="488">
        <f t="array" ref="E200">(SUM(IF((PostTB[Account Code (Old)]=B200),(PostTB[Debit])))+(SUM(IF((CkDJ[Account Code]=B200)*(CkDJ[Date]&lt;=$A$7),(CkDJ[Debit])))+(SUM(IF((CsDJ[Account Code]=B200)*(CsDJ[Date]&lt;=$A$7),(CsDJ[Debit])))+(SUM(IF((CRDJ[Account Code]=B200)*(CRDJ[Date]&lt;=$A$7),(CRDJ[Debit])))+(SUM(IF((GJ[Account Code]=B200)*(GJ[Date]&lt;=$A$7),(GJ[Debit]))))))))</f>
        <v>0</v>
      </c>
      <c r="F200" s="490">
        <f t="array" ref="F200">(SUM(IF((PostTB[Account Code (Old)]=B200),(PostTB[Credit])))+(SUM(IF((CkDJ[Account Code]=B200)*(CkDJ[Date]&lt;=$A$7),(CkDJ[Credit])))+(SUM(IF((CsDJ[Account Code]=B200)*(CsDJ[Date]&lt;=$A$7),(CsDJ[Credit])))+(SUM(IF((CRDJ[Account Code]=B200)*(CRDJ[Date]&lt;=$A$7),(CRDJ[Credit])))+(SUM(IF((GJ[Account Code]=B200)*(GJ[Date]&lt;=$A$7),(GJ[Credit]))))))))</f>
        <v>53049726.840000004</v>
      </c>
      <c r="G200" s="620">
        <f>IF(INDEX(AccountCodes[Normal Balance], MATCH(C200,AccountCodes[PPSAS CODE]))="Credit",F200-E200,0)</f>
        <v>53049726.840000004</v>
      </c>
      <c r="H200" s="621">
        <f t="shared" si="2"/>
        <v>53049726.840000004</v>
      </c>
    </row>
    <row r="201" spans="1:8" ht="15.75" hidden="1">
      <c r="A201" s="613" t="str">
        <f t="array" ref="A201">INDEX(AccountCodes[ACCOUNT NAME],MATCH(B201,AccountCodes[NGAS CODE],0))</f>
        <v>Subsidy from Regional Office/Staff Bureau</v>
      </c>
      <c r="B201" s="602" t="s">
        <v>1231</v>
      </c>
      <c r="C201" s="615">
        <f t="array" ref="C201">INDEX(AccountCodes[PPSAS CODE],MATCH(B201,AccountCodes[NGAS CODE],0))</f>
        <v>4030107000</v>
      </c>
      <c r="D201" s="616">
        <f>IF(INDEX(AccountCodes[Normal Balance], MATCH(C201,AccountCodes[PPSAS CODE]))="Debit",E201-F201,0)</f>
        <v>0</v>
      </c>
      <c r="E201" s="488">
        <f t="array" ref="E201">(SUM(IF((PostTB[Account Code (Old)]=B201),(PostTB[Debit])))+(SUM(IF((CkDJ[Account Code]=B201)*(CkDJ[Date]&lt;=$A$7),(CkDJ[Debit])))+(SUM(IF((CsDJ[Account Code]=B201)*(CsDJ[Date]&lt;=$A$7),(CsDJ[Debit])))+(SUM(IF((CRDJ[Account Code]=B201)*(CRDJ[Date]&lt;=$A$7),(CRDJ[Debit])))+(SUM(IF((GJ[Account Code]=B201)*(GJ[Date]&lt;=$A$7),(GJ[Debit]))))))))</f>
        <v>0</v>
      </c>
      <c r="F201" s="490">
        <f t="array" ref="F201">(SUM(IF((PostTB[Account Code (Old)]=B201),(PostTB[Credit])))+(SUM(IF((CkDJ[Account Code]=B201)*(CkDJ[Date]&lt;=$A$7),(CkDJ[Credit])))+(SUM(IF((CsDJ[Account Code]=B201)*(CsDJ[Date]&lt;=$A$7),(CsDJ[Credit])))+(SUM(IF((CRDJ[Account Code]=B201)*(CRDJ[Date]&lt;=$A$7),(CRDJ[Credit])))+(SUM(IF((GJ[Account Code]=B201)*(GJ[Date]&lt;=$A$7),(GJ[Credit]))))))))</f>
        <v>0</v>
      </c>
      <c r="G201" s="620">
        <f>IF(INDEX(AccountCodes[Normal Balance], MATCH(C201,AccountCodes[PPSAS CODE]))="Credit",F201-E201,0)</f>
        <v>0</v>
      </c>
      <c r="H201" s="621">
        <f t="shared" si="2"/>
        <v>0</v>
      </c>
    </row>
    <row r="202" spans="1:8" ht="15.75" hidden="1">
      <c r="A202" s="613" t="str">
        <f t="array" ref="A202">INDEX(AccountCodes[ACCOUNT NAME],MATCH(B202,AccountCodes[NGAS CODE],0))</f>
        <v>Sale of Unserviceable Property</v>
      </c>
      <c r="B202" s="602" t="s">
        <v>156</v>
      </c>
      <c r="C202" s="615">
        <f t="array" ref="C202">INDEX(AccountCodes[PPSAS CODE],MATCH(B202,AccountCodes[NGAS CODE],0))</f>
        <v>4060102000</v>
      </c>
      <c r="D202" s="616">
        <f>IF(INDEX(AccountCodes[Normal Balance], MATCH(C202,AccountCodes[PPSAS CODE]))="Debit",E202-F202,0)</f>
        <v>0</v>
      </c>
      <c r="E202" s="488">
        <f t="array" ref="E202">(SUM(IF((PostTB[Account Code (Old)]=B202),(PostTB[Debit])))+(SUM(IF((CkDJ[Account Code]=B202)*(CkDJ[Date]&lt;=$A$7),(CkDJ[Debit])))+(SUM(IF((CsDJ[Account Code]=B202)*(CsDJ[Date]&lt;=$A$7),(CsDJ[Debit])))+(SUM(IF((CRDJ[Account Code]=B202)*(CRDJ[Date]&lt;=$A$7),(CRDJ[Debit])))+(SUM(IF((GJ[Account Code]=B202)*(GJ[Date]&lt;=$A$7),(GJ[Debit]))))))))</f>
        <v>0</v>
      </c>
      <c r="F202" s="490">
        <f t="array" ref="F202">(SUM(IF((PostTB[Account Code (Old)]=B202),(PostTB[Credit])))+(SUM(IF((CkDJ[Account Code]=B202)*(CkDJ[Date]&lt;=$A$7),(CkDJ[Credit])))+(SUM(IF((CsDJ[Account Code]=B202)*(CsDJ[Date]&lt;=$A$7),(CsDJ[Credit])))+(SUM(IF((CRDJ[Account Code]=B202)*(CRDJ[Date]&lt;=$A$7),(CRDJ[Credit])))+(SUM(IF((GJ[Account Code]=B202)*(GJ[Date]&lt;=$A$7),(GJ[Credit]))))))))</f>
        <v>0</v>
      </c>
      <c r="G202" s="620">
        <f>IF(INDEX(AccountCodes[Normal Balance], MATCH(C202,AccountCodes[PPSAS CODE]))="Credit",F202-E202,0)</f>
        <v>0</v>
      </c>
      <c r="H202" s="621">
        <f t="shared" si="2"/>
        <v>0</v>
      </c>
    </row>
    <row r="203" spans="1:8" ht="15.75" hidden="1">
      <c r="A203" s="613" t="str">
        <f t="array" ref="A203">INDEX(AccountCodes[ACCOUNT NAME],MATCH(B203,AccountCodes[NGAS CODE],0))</f>
        <v>Miscellaneous Income (Bid Documents)</v>
      </c>
      <c r="B203" s="602" t="s">
        <v>155</v>
      </c>
      <c r="C203" s="615">
        <f t="array" ref="C203">INDEX(AccountCodes[PPSAS CODE],MATCH(B203,AccountCodes[NGAS CODE],0))</f>
        <v>4060999000</v>
      </c>
      <c r="D203" s="616">
        <f>IF(INDEX(AccountCodes[Normal Balance], MATCH(C203,AccountCodes[PPSAS CODE]))="Debit",E203-F203,0)</f>
        <v>0</v>
      </c>
      <c r="E203" s="488">
        <f t="array" ref="E203">(SUM(IF((PostTB[Account Code (Old)]=B203),(PostTB[Debit])))+(SUM(IF((CkDJ[Account Code]=B203)*(CkDJ[Date]&lt;=$A$7),(CkDJ[Debit])))+(SUM(IF((CsDJ[Account Code]=B203)*(CsDJ[Date]&lt;=$A$7),(CsDJ[Debit])))+(SUM(IF((CRDJ[Account Code]=B203)*(CRDJ[Date]&lt;=$A$7),(CRDJ[Debit])))+(SUM(IF((GJ[Account Code]=B203)*(GJ[Date]&lt;=$A$7),(GJ[Debit]))))))))</f>
        <v>0</v>
      </c>
      <c r="F203" s="490">
        <f t="array" ref="F203">(SUM(IF((PostTB[Account Code (Old)]=B203),(PostTB[Credit])))+(SUM(IF((CkDJ[Account Code]=B203)*(CkDJ[Date]&lt;=$A$7),(CkDJ[Credit])))+(SUM(IF((CsDJ[Account Code]=B203)*(CsDJ[Date]&lt;=$A$7),(CsDJ[Credit])))+(SUM(IF((CRDJ[Account Code]=B203)*(CRDJ[Date]&lt;=$A$7),(CRDJ[Credit])))+(SUM(IF((GJ[Account Code]=B203)*(GJ[Date]&lt;=$A$7),(GJ[Credit]))))))))</f>
        <v>0</v>
      </c>
      <c r="G203" s="620">
        <f>IF(INDEX(AccountCodes[Normal Balance], MATCH(C203,AccountCodes[PPSAS CODE]))="Credit",F203-E203,0)</f>
        <v>0</v>
      </c>
      <c r="H203" s="621">
        <f t="shared" si="2"/>
        <v>0</v>
      </c>
    </row>
    <row r="204" spans="1:8" ht="15.75" hidden="1">
      <c r="A204" s="613" t="str">
        <f t="array" ref="A204">INDEX(AccountCodes[ACCOUNT NAME],MATCH(B204,AccountCodes[NGAS CODE],0))</f>
        <v>Miscellaneous Income (Scrap of Fixed Assets)</v>
      </c>
      <c r="B204" s="602" t="s">
        <v>159</v>
      </c>
      <c r="C204" s="615">
        <f t="array" ref="C204">INDEX(AccountCodes[PPSAS CODE],MATCH(B204,AccountCodes[NGAS CODE],0))</f>
        <v>4060999000</v>
      </c>
      <c r="D204" s="616">
        <f>IF(INDEX(AccountCodes[Normal Balance], MATCH(C204,AccountCodes[PPSAS CODE]))="Debit",E204-F204,0)</f>
        <v>0</v>
      </c>
      <c r="E204" s="488">
        <f t="array" ref="E204">(SUM(IF((PostTB[Account Code (Old)]=B204),(PostTB[Debit])))+(SUM(IF((CkDJ[Account Code]=B204)*(CkDJ[Date]&lt;=$A$7),(CkDJ[Debit])))+(SUM(IF((CsDJ[Account Code]=B204)*(CsDJ[Date]&lt;=$A$7),(CsDJ[Debit])))+(SUM(IF((CRDJ[Account Code]=B204)*(CRDJ[Date]&lt;=$A$7),(CRDJ[Debit])))+(SUM(IF((GJ[Account Code]=B204)*(GJ[Date]&lt;=$A$7),(GJ[Debit]))))))))</f>
        <v>0</v>
      </c>
      <c r="F204" s="490">
        <f t="array" ref="F204">(SUM(IF((PostTB[Account Code (Old)]=B204),(PostTB[Credit])))+(SUM(IF((CkDJ[Account Code]=B204)*(CkDJ[Date]&lt;=$A$7),(CkDJ[Credit])))+(SUM(IF((CsDJ[Account Code]=B204)*(CsDJ[Date]&lt;=$A$7),(CsDJ[Credit])))+(SUM(IF((CRDJ[Account Code]=B204)*(CRDJ[Date]&lt;=$A$7),(CRDJ[Credit])))+(SUM(IF((GJ[Account Code]=B204)*(GJ[Date]&lt;=$A$7),(GJ[Credit]))))))))</f>
        <v>0</v>
      </c>
      <c r="G204" s="620">
        <f>IF(INDEX(AccountCodes[Normal Balance], MATCH(C204,AccountCodes[PPSAS CODE]))="Credit",F204-E204,0)</f>
        <v>0</v>
      </c>
      <c r="H204" s="621">
        <f>IF(D204=0,G204,D204)</f>
        <v>0</v>
      </c>
    </row>
    <row r="205" spans="1:8" ht="15.75" hidden="1">
      <c r="A205" s="613" t="str">
        <f t="array" ref="A205">INDEX(AccountCodes[ACCOUNT NAME],MATCH(B205,AccountCodes[NGAS CODE],0))</f>
        <v>Miscellaneous Income (Others)</v>
      </c>
      <c r="B205" s="602" t="s">
        <v>160</v>
      </c>
      <c r="C205" s="615">
        <f t="array" ref="C205">INDEX(AccountCodes[PPSAS CODE],MATCH(B205,AccountCodes[NGAS CODE],0))</f>
        <v>4060999000</v>
      </c>
      <c r="D205" s="616">
        <f>IF(INDEX(AccountCodes[Normal Balance], MATCH(C205,AccountCodes[PPSAS CODE]))="Debit",E205-F205,0)</f>
        <v>0</v>
      </c>
      <c r="E205" s="488">
        <f t="array" ref="E205">(SUM(IF((PostTB[Account Code (Old)]=B205),(PostTB[Debit])))+(SUM(IF((CkDJ[Account Code]=B205)*(CkDJ[Date]&lt;=$A$7),(CkDJ[Debit])))+(SUM(IF((CsDJ[Account Code]=B205)*(CsDJ[Date]&lt;=$A$7),(CsDJ[Debit])))+(SUM(IF((CRDJ[Account Code]=B205)*(CRDJ[Date]&lt;=$A$7),(CRDJ[Debit])))+(SUM(IF((GJ[Account Code]=B205)*(GJ[Date]&lt;=$A$7),(GJ[Debit]))))))))</f>
        <v>0</v>
      </c>
      <c r="F205" s="490">
        <f t="array" ref="F205">(SUM(IF((PostTB[Account Code (Old)]=B205),(PostTB[Credit])))+(SUM(IF((CkDJ[Account Code]=B205)*(CkDJ[Date]&lt;=$A$7),(CkDJ[Credit])))+(SUM(IF((CsDJ[Account Code]=B205)*(CsDJ[Date]&lt;=$A$7),(CsDJ[Credit])))+(SUM(IF((CRDJ[Account Code]=B205)*(CRDJ[Date]&lt;=$A$7),(CRDJ[Credit])))+(SUM(IF((GJ[Account Code]=B205)*(GJ[Date]&lt;=$A$7),(GJ[Credit]))))))))</f>
        <v>0</v>
      </c>
      <c r="G205" s="620">
        <f>IF(INDEX(AccountCodes[Normal Balance], MATCH(C205,AccountCodes[PPSAS CODE]))="Credit",F205-E205,0)</f>
        <v>0</v>
      </c>
      <c r="H205" s="621">
        <f t="shared" si="2"/>
        <v>0</v>
      </c>
    </row>
    <row r="206" spans="1:8" ht="15.75" hidden="1">
      <c r="A206" s="613" t="str">
        <f t="array" ref="A206">INDEX(AccountCodes[ACCOUNT NAME],MATCH(B206,AccountCodes[NGAS CODE],0))</f>
        <v>Miscellaneous Income (Power)</v>
      </c>
      <c r="B206" s="602" t="s">
        <v>352</v>
      </c>
      <c r="C206" s="615">
        <f t="array" ref="C206">INDEX(AccountCodes[PPSAS CODE],MATCH(B206,AccountCodes[NGAS CODE],0))</f>
        <v>4060999000</v>
      </c>
      <c r="D206" s="616">
        <f>IF(INDEX(AccountCodes[Normal Balance], MATCH(C206,AccountCodes[PPSAS CODE]))="Debit",E206-F206,0)</f>
        <v>0</v>
      </c>
      <c r="E206" s="488">
        <f t="array" ref="E206">(SUM(IF((PostTB[Account Code (Old)]=B206),(PostTB[Debit])))+(SUM(IF((CkDJ[Account Code]=B206)*(CkDJ[Date]&lt;=$A$7),(CkDJ[Debit])))+(SUM(IF((CsDJ[Account Code]=B206)*(CsDJ[Date]&lt;=$A$7),(CsDJ[Debit])))+(SUM(IF((CRDJ[Account Code]=B206)*(CRDJ[Date]&lt;=$A$7),(CRDJ[Debit])))+(SUM(IF((GJ[Account Code]=B206)*(GJ[Date]&lt;=$A$7),(GJ[Debit]))))))))</f>
        <v>0</v>
      </c>
      <c r="F206" s="490">
        <f t="array" ref="F206">(SUM(IF((PostTB[Account Code (Old)]=B206),(PostTB[Credit])))+(SUM(IF((CkDJ[Account Code]=B206)*(CkDJ[Date]&lt;=$A$7),(CkDJ[Credit])))+(SUM(IF((CsDJ[Account Code]=B206)*(CsDJ[Date]&lt;=$A$7),(CsDJ[Credit])))+(SUM(IF((CRDJ[Account Code]=B206)*(CRDJ[Date]&lt;=$A$7),(CRDJ[Credit])))+(SUM(IF((GJ[Account Code]=B206)*(GJ[Date]&lt;=$A$7),(GJ[Credit]))))))))</f>
        <v>0</v>
      </c>
      <c r="G206" s="620">
        <f>IF(INDEX(AccountCodes[Normal Balance], MATCH(C206,AccountCodes[PPSAS CODE]))="Credit",F206-E206,0)</f>
        <v>0</v>
      </c>
      <c r="H206" s="621">
        <f t="shared" si="2"/>
        <v>0</v>
      </c>
    </row>
    <row r="207" spans="1:8" ht="15.75">
      <c r="A207" s="613" t="str">
        <f t="array" ref="A207">INDEX(AccountCodes[ACCOUNT NAME],MATCH(B207,AccountCodes[NGAS CODE],0))</f>
        <v>Salaries and Wages-Regular</v>
      </c>
      <c r="B207" s="602" t="s">
        <v>162</v>
      </c>
      <c r="C207" s="615">
        <f t="array" ref="C207">INDEX(AccountCodes[PPSAS CODE],MATCH(B207,AccountCodes[NGAS CODE],0))</f>
        <v>5010101000</v>
      </c>
      <c r="D207" s="616">
        <f>IF(INDEX(AccountCodes[Normal Balance], MATCH(C207,AccountCodes[PPSAS CODE]))="Debit",E207-F207,0)</f>
        <v>648564.1</v>
      </c>
      <c r="E207" s="488">
        <f t="array" ref="E207">(SUM(IF((PostTB[Account Code (Old)]=B207),(PostTB[Debit])))+(SUM(IF((CkDJ[Account Code]=B207)*(CkDJ[Date]&lt;=$A$7),(CkDJ[Debit])))+(SUM(IF((CsDJ[Account Code]=B207)*(CsDJ[Date]&lt;=$A$7),(CsDJ[Debit])))+(SUM(IF((CRDJ[Account Code]=B207)*(CRDJ[Date]&lt;=$A$7),(CRDJ[Debit])))+(SUM(IF((GJ[Account Code]=B207)*(GJ[Date]&lt;=$A$7),(GJ[Debit]))))))))</f>
        <v>648564.1</v>
      </c>
      <c r="F207" s="490">
        <f t="array" ref="F207">(SUM(IF((PostTB[Account Code (Old)]=B207),(PostTB[Credit])))+(SUM(IF((CkDJ[Account Code]=B207)*(CkDJ[Date]&lt;=$A$7),(CkDJ[Credit])))+(SUM(IF((CsDJ[Account Code]=B207)*(CsDJ[Date]&lt;=$A$7),(CsDJ[Credit])))+(SUM(IF((CRDJ[Account Code]=B207)*(CRDJ[Date]&lt;=$A$7),(CRDJ[Credit])))+(SUM(IF((GJ[Account Code]=B207)*(GJ[Date]&lt;=$A$7),(GJ[Credit]))))))))</f>
        <v>0</v>
      </c>
      <c r="G207" s="620">
        <f>IF(INDEX(AccountCodes[Normal Balance], MATCH(C207,AccountCodes[PPSAS CODE]))="Credit",F207-E207,0)</f>
        <v>0</v>
      </c>
      <c r="H207" s="621">
        <f t="shared" si="2"/>
        <v>648564.1</v>
      </c>
    </row>
    <row r="208" spans="1:8" ht="15.75" hidden="1">
      <c r="A208" s="613" t="str">
        <f t="array" ref="A208">INDEX(AccountCodes[ACCOUNT NAME],MATCH(B208,AccountCodes[NGAS CODE],0))</f>
        <v>Salaries and Wages-Casual/Contractual</v>
      </c>
      <c r="B208" s="602" t="s">
        <v>163</v>
      </c>
      <c r="C208" s="615">
        <f t="array" ref="C208">INDEX(AccountCodes[PPSAS CODE],MATCH(B208,AccountCodes[NGAS CODE],0))</f>
        <v>5010102000</v>
      </c>
      <c r="D208" s="616">
        <f>IF(INDEX(AccountCodes[Normal Balance], MATCH(C208,AccountCodes[PPSAS CODE]))="Debit",E208-F208,0)</f>
        <v>0</v>
      </c>
      <c r="E208" s="488">
        <f t="array" ref="E208">(SUM(IF((PostTB[Account Code (Old)]=B208),(PostTB[Debit])))+(SUM(IF((CkDJ[Account Code]=B208)*(CkDJ[Date]&lt;=$A$7),(CkDJ[Debit])))+(SUM(IF((CsDJ[Account Code]=B208)*(CsDJ[Date]&lt;=$A$7),(CsDJ[Debit])))+(SUM(IF((CRDJ[Account Code]=B208)*(CRDJ[Date]&lt;=$A$7),(CRDJ[Debit])))+(SUM(IF((GJ[Account Code]=B208)*(GJ[Date]&lt;=$A$7),(GJ[Debit]))))))))</f>
        <v>0</v>
      </c>
      <c r="F208" s="490">
        <f t="array" ref="F208">(SUM(IF((PostTB[Account Code (Old)]=B208),(PostTB[Credit])))+(SUM(IF((CkDJ[Account Code]=B208)*(CkDJ[Date]&lt;=$A$7),(CkDJ[Credit])))+(SUM(IF((CsDJ[Account Code]=B208)*(CsDJ[Date]&lt;=$A$7),(CsDJ[Credit])))+(SUM(IF((CRDJ[Account Code]=B208)*(CRDJ[Date]&lt;=$A$7),(CRDJ[Credit])))+(SUM(IF((GJ[Account Code]=B208)*(GJ[Date]&lt;=$A$7),(GJ[Credit]))))))))</f>
        <v>0</v>
      </c>
      <c r="G208" s="620">
        <f>IF(INDEX(AccountCodes[Normal Balance], MATCH(C208,AccountCodes[PPSAS CODE]))="Credit",F208-E208,0)</f>
        <v>0</v>
      </c>
      <c r="H208" s="621">
        <f t="shared" ref="H208:H271" si="3">IF(D208=0,G208,D208)</f>
        <v>0</v>
      </c>
    </row>
    <row r="209" spans="1:8" ht="15.75">
      <c r="A209" s="613" t="str">
        <f t="array" ref="A209">INDEX(AccountCodes[ACCOUNT NAME],MATCH(B209,AccountCodes[NGAS CODE],0))</f>
        <v>Personal Economic Relief Allowance (PERA)</v>
      </c>
      <c r="B209" s="602" t="s">
        <v>164</v>
      </c>
      <c r="C209" s="615">
        <f t="array" ref="C209">INDEX(AccountCodes[PPSAS CODE],MATCH(B209,AccountCodes[NGAS CODE],0))</f>
        <v>5010201000</v>
      </c>
      <c r="D209" s="616">
        <f>IF(INDEX(AccountCodes[Normal Balance], MATCH(C209,AccountCodes[PPSAS CODE]))="Debit",E209-F209,0)</f>
        <v>42909.11</v>
      </c>
      <c r="E209" s="488">
        <f t="array" ref="E209">(SUM(IF((PostTB[Account Code (Old)]=B209),(PostTB[Debit])))+(SUM(IF((CkDJ[Account Code]=B209)*(CkDJ[Date]&lt;=$A$7),(CkDJ[Debit])))+(SUM(IF((CsDJ[Account Code]=B209)*(CsDJ[Date]&lt;=$A$7),(CsDJ[Debit])))+(SUM(IF((CRDJ[Account Code]=B209)*(CRDJ[Date]&lt;=$A$7),(CRDJ[Debit])))+(SUM(IF((GJ[Account Code]=B209)*(GJ[Date]&lt;=$A$7),(GJ[Debit]))))))))</f>
        <v>42909.11</v>
      </c>
      <c r="F209" s="490">
        <f t="array" ref="F209">(SUM(IF((PostTB[Account Code (Old)]=B209),(PostTB[Credit])))+(SUM(IF((CkDJ[Account Code]=B209)*(CkDJ[Date]&lt;=$A$7),(CkDJ[Credit])))+(SUM(IF((CsDJ[Account Code]=B209)*(CsDJ[Date]&lt;=$A$7),(CsDJ[Credit])))+(SUM(IF((CRDJ[Account Code]=B209)*(CRDJ[Date]&lt;=$A$7),(CRDJ[Credit])))+(SUM(IF((GJ[Account Code]=B209)*(GJ[Date]&lt;=$A$7),(GJ[Credit]))))))))</f>
        <v>0</v>
      </c>
      <c r="G209" s="620">
        <f>IF(INDEX(AccountCodes[Normal Balance], MATCH(C209,AccountCodes[PPSAS CODE]))="Credit",F209-E209,0)</f>
        <v>0</v>
      </c>
      <c r="H209" s="621">
        <f t="shared" si="3"/>
        <v>42909.11</v>
      </c>
    </row>
    <row r="210" spans="1:8" ht="15.75" hidden="1">
      <c r="A210" s="613" t="str">
        <f t="array" ref="A210">INDEX(AccountCodes[ACCOUNT NAME],MATCH(B210,AccountCodes[NGAS CODE],0))</f>
        <v>Representation Allowance (RA)</v>
      </c>
      <c r="B210" s="602" t="s">
        <v>165</v>
      </c>
      <c r="C210" s="615">
        <f t="array" ref="C210">INDEX(AccountCodes[PPSAS CODE],MATCH(B210,AccountCodes[NGAS CODE],0))</f>
        <v>5010202000</v>
      </c>
      <c r="D210" s="616">
        <f>IF(INDEX(AccountCodes[Normal Balance], MATCH(C210,AccountCodes[PPSAS CODE]))="Debit",E210-F210,0)</f>
        <v>0</v>
      </c>
      <c r="E210" s="488">
        <f t="array" ref="E210">(SUM(IF((PostTB[Account Code (Old)]=B210),(PostTB[Debit])))+(SUM(IF((CkDJ[Account Code]=B210)*(CkDJ[Date]&lt;=$A$7),(CkDJ[Debit])))+(SUM(IF((CsDJ[Account Code]=B210)*(CsDJ[Date]&lt;=$A$7),(CsDJ[Debit])))+(SUM(IF((CRDJ[Account Code]=B210)*(CRDJ[Date]&lt;=$A$7),(CRDJ[Debit])))+(SUM(IF((GJ[Account Code]=B210)*(GJ[Date]&lt;=$A$7),(GJ[Debit]))))))))</f>
        <v>0</v>
      </c>
      <c r="F210" s="490">
        <f t="array" ref="F210">(SUM(IF((PostTB[Account Code (Old)]=B210),(PostTB[Credit])))+(SUM(IF((CkDJ[Account Code]=B210)*(CkDJ[Date]&lt;=$A$7),(CkDJ[Credit])))+(SUM(IF((CsDJ[Account Code]=B210)*(CsDJ[Date]&lt;=$A$7),(CsDJ[Credit])))+(SUM(IF((CRDJ[Account Code]=B210)*(CRDJ[Date]&lt;=$A$7),(CRDJ[Credit])))+(SUM(IF((GJ[Account Code]=B210)*(GJ[Date]&lt;=$A$7),(GJ[Credit]))))))))</f>
        <v>0</v>
      </c>
      <c r="G210" s="620">
        <f>IF(INDEX(AccountCodes[Normal Balance], MATCH(C210,AccountCodes[PPSAS CODE]))="Credit",F210-E210,0)</f>
        <v>0</v>
      </c>
      <c r="H210" s="621">
        <f t="shared" si="3"/>
        <v>0</v>
      </c>
    </row>
    <row r="211" spans="1:8" ht="15.75" hidden="1">
      <c r="A211" s="613" t="str">
        <f t="array" ref="A211">INDEX(AccountCodes[ACCOUNT NAME],MATCH(B211,AccountCodes[NGAS CODE],0))</f>
        <v>Transportation Allowance (TA)</v>
      </c>
      <c r="B211" s="602" t="s">
        <v>166</v>
      </c>
      <c r="C211" s="615">
        <f t="array" ref="C211">INDEX(AccountCodes[PPSAS CODE],MATCH(B211,AccountCodes[NGAS CODE],0))</f>
        <v>5010203000</v>
      </c>
      <c r="D211" s="616">
        <f>IF(INDEX(AccountCodes[Normal Balance], MATCH(C211,AccountCodes[PPSAS CODE]))="Debit",E211-F211,0)</f>
        <v>0</v>
      </c>
      <c r="E211" s="488">
        <f t="array" ref="E211">(SUM(IF((PostTB[Account Code (Old)]=B211),(PostTB[Debit])))+(SUM(IF((CkDJ[Account Code]=B211)*(CkDJ[Date]&lt;=$A$7),(CkDJ[Debit])))+(SUM(IF((CsDJ[Account Code]=B211)*(CsDJ[Date]&lt;=$A$7),(CsDJ[Debit])))+(SUM(IF((CRDJ[Account Code]=B211)*(CRDJ[Date]&lt;=$A$7),(CRDJ[Debit])))+(SUM(IF((GJ[Account Code]=B211)*(GJ[Date]&lt;=$A$7),(GJ[Debit]))))))))</f>
        <v>0</v>
      </c>
      <c r="F211" s="490">
        <f t="array" ref="F211">(SUM(IF((PostTB[Account Code (Old)]=B211),(PostTB[Credit])))+(SUM(IF((CkDJ[Account Code]=B211)*(CkDJ[Date]&lt;=$A$7),(CkDJ[Credit])))+(SUM(IF((CsDJ[Account Code]=B211)*(CsDJ[Date]&lt;=$A$7),(CsDJ[Credit])))+(SUM(IF((CRDJ[Account Code]=B211)*(CRDJ[Date]&lt;=$A$7),(CRDJ[Credit])))+(SUM(IF((GJ[Account Code]=B211)*(GJ[Date]&lt;=$A$7),(GJ[Credit]))))))))</f>
        <v>0</v>
      </c>
      <c r="G211" s="620">
        <f>IF(INDEX(AccountCodes[Normal Balance], MATCH(C211,AccountCodes[PPSAS CODE]))="Credit",F211-E211,0)</f>
        <v>0</v>
      </c>
      <c r="H211" s="621">
        <f t="shared" si="3"/>
        <v>0</v>
      </c>
    </row>
    <row r="212" spans="1:8" ht="15.75">
      <c r="A212" s="613" t="str">
        <f t="array" ref="A212">INDEX(AccountCodes[ACCOUNT NAME],MATCH(B212,AccountCodes[NGAS CODE],0))</f>
        <v>Clothing/Uniform Allowance</v>
      </c>
      <c r="B212" s="602" t="s">
        <v>167</v>
      </c>
      <c r="C212" s="615">
        <f t="array" ref="C212">INDEX(AccountCodes[PPSAS CODE],MATCH(B212,AccountCodes[NGAS CODE],0))</f>
        <v>5010204000</v>
      </c>
      <c r="D212" s="616">
        <f>IF(INDEX(AccountCodes[Normal Balance], MATCH(C212,AccountCodes[PPSAS CODE]))="Debit",E212-F212,0)</f>
        <v>12000</v>
      </c>
      <c r="E212" s="488">
        <f t="array" ref="E212">(SUM(IF((PostTB[Account Code (Old)]=B212),(PostTB[Debit])))+(SUM(IF((CkDJ[Account Code]=B212)*(CkDJ[Date]&lt;=$A$7),(CkDJ[Debit])))+(SUM(IF((CsDJ[Account Code]=B212)*(CsDJ[Date]&lt;=$A$7),(CsDJ[Debit])))+(SUM(IF((CRDJ[Account Code]=B212)*(CRDJ[Date]&lt;=$A$7),(CRDJ[Debit])))+(SUM(IF((GJ[Account Code]=B212)*(GJ[Date]&lt;=$A$7),(GJ[Debit]))))))))</f>
        <v>12000</v>
      </c>
      <c r="F212" s="490">
        <f t="array" ref="F212">(SUM(IF((PostTB[Account Code (Old)]=B212),(PostTB[Credit])))+(SUM(IF((CkDJ[Account Code]=B212)*(CkDJ[Date]&lt;=$A$7),(CkDJ[Credit])))+(SUM(IF((CsDJ[Account Code]=B212)*(CsDJ[Date]&lt;=$A$7),(CsDJ[Credit])))+(SUM(IF((CRDJ[Account Code]=B212)*(CRDJ[Date]&lt;=$A$7),(CRDJ[Credit])))+(SUM(IF((GJ[Account Code]=B212)*(GJ[Date]&lt;=$A$7),(GJ[Credit]))))))))</f>
        <v>0</v>
      </c>
      <c r="G212" s="620">
        <f>IF(INDEX(AccountCodes[Normal Balance], MATCH(C212,AccountCodes[PPSAS CODE]))="Credit",F212-E212,0)</f>
        <v>0</v>
      </c>
      <c r="H212" s="621">
        <f t="shared" si="3"/>
        <v>12000</v>
      </c>
    </row>
    <row r="213" spans="1:8" ht="15.75" hidden="1">
      <c r="A213" s="613" t="str">
        <f t="array" ref="A213">INDEX(AccountCodes[ACCOUNT NAME],MATCH(B213,AccountCodes[NGAS CODE],0))</f>
        <v>Subsistence Allowance</v>
      </c>
      <c r="B213" s="602" t="s">
        <v>1262</v>
      </c>
      <c r="C213" s="615">
        <f t="array" ref="C213">INDEX(AccountCodes[PPSAS CODE],MATCH(B213,AccountCodes[NGAS CODE],0))</f>
        <v>5010205000</v>
      </c>
      <c r="D213" s="616">
        <f>IF(INDEX(AccountCodes[Normal Balance], MATCH(C213,AccountCodes[PPSAS CODE]))="Debit",E213-F213,0)</f>
        <v>0</v>
      </c>
      <c r="E213" s="488">
        <f t="array" ref="E213">(SUM(IF((PostTB[Account Code (Old)]=B213),(PostTB[Debit])))+(SUM(IF((CkDJ[Account Code]=B213)*(CkDJ[Date]&lt;=$A$7),(CkDJ[Debit])))+(SUM(IF((CsDJ[Account Code]=B213)*(CsDJ[Date]&lt;=$A$7),(CsDJ[Debit])))+(SUM(IF((CRDJ[Account Code]=B213)*(CRDJ[Date]&lt;=$A$7),(CRDJ[Debit])))+(SUM(IF((GJ[Account Code]=B213)*(GJ[Date]&lt;=$A$7),(GJ[Debit]))))))))</f>
        <v>0</v>
      </c>
      <c r="F213" s="490">
        <f t="array" ref="F213">(SUM(IF((PostTB[Account Code (Old)]=B213),(PostTB[Credit])))+(SUM(IF((CkDJ[Account Code]=B213)*(CkDJ[Date]&lt;=$A$7),(CkDJ[Credit])))+(SUM(IF((CsDJ[Account Code]=B213)*(CsDJ[Date]&lt;=$A$7),(CsDJ[Credit])))+(SUM(IF((CRDJ[Account Code]=B213)*(CRDJ[Date]&lt;=$A$7),(CRDJ[Credit])))+(SUM(IF((GJ[Account Code]=B213)*(GJ[Date]&lt;=$A$7),(GJ[Credit]))))))))</f>
        <v>0</v>
      </c>
      <c r="G213" s="620">
        <f>IF(INDEX(AccountCodes[Normal Balance], MATCH(C213,AccountCodes[PPSAS CODE]))="Credit",F213-E213,0)</f>
        <v>0</v>
      </c>
      <c r="H213" s="621">
        <f t="shared" si="3"/>
        <v>0</v>
      </c>
    </row>
    <row r="214" spans="1:8" ht="15.75" hidden="1">
      <c r="A214" s="613" t="str">
        <f t="array" ref="A214">INDEX(AccountCodes[ACCOUNT NAME],MATCH(B214,AccountCodes[NGAS CODE],0))</f>
        <v>Laundry Allowance</v>
      </c>
      <c r="B214" s="602" t="s">
        <v>1263</v>
      </c>
      <c r="C214" s="615">
        <f t="array" ref="C214">INDEX(AccountCodes[PPSAS CODE],MATCH(B214,AccountCodes[NGAS CODE],0))</f>
        <v>5010206000</v>
      </c>
      <c r="D214" s="616">
        <f>IF(INDEX(AccountCodes[Normal Balance], MATCH(C214,AccountCodes[PPSAS CODE]))="Debit",E214-F214,0)</f>
        <v>0</v>
      </c>
      <c r="E214" s="488">
        <f t="array" ref="E214">(SUM(IF((PostTB[Account Code (Old)]=B214),(PostTB[Debit])))+(SUM(IF((CkDJ[Account Code]=B214)*(CkDJ[Date]&lt;=$A$7),(CkDJ[Debit])))+(SUM(IF((CsDJ[Account Code]=B214)*(CsDJ[Date]&lt;=$A$7),(CsDJ[Debit])))+(SUM(IF((CRDJ[Account Code]=B214)*(CRDJ[Date]&lt;=$A$7),(CRDJ[Debit])))+(SUM(IF((GJ[Account Code]=B214)*(GJ[Date]&lt;=$A$7),(GJ[Debit]))))))))</f>
        <v>0</v>
      </c>
      <c r="F214" s="490">
        <f t="array" ref="F214">(SUM(IF((PostTB[Account Code (Old)]=B214),(PostTB[Credit])))+(SUM(IF((CkDJ[Account Code]=B214)*(CkDJ[Date]&lt;=$A$7),(CkDJ[Credit])))+(SUM(IF((CsDJ[Account Code]=B214)*(CsDJ[Date]&lt;=$A$7),(CsDJ[Credit])))+(SUM(IF((CRDJ[Account Code]=B214)*(CRDJ[Date]&lt;=$A$7),(CRDJ[Credit])))+(SUM(IF((GJ[Account Code]=B214)*(GJ[Date]&lt;=$A$7),(GJ[Credit]))))))))</f>
        <v>0</v>
      </c>
      <c r="G214" s="620">
        <f>IF(INDEX(AccountCodes[Normal Balance], MATCH(C214,AccountCodes[PPSAS CODE]))="Credit",F214-E214,0)</f>
        <v>0</v>
      </c>
      <c r="H214" s="621">
        <f t="shared" si="3"/>
        <v>0</v>
      </c>
    </row>
    <row r="215" spans="1:8" ht="15.75" hidden="1">
      <c r="A215" s="613" t="str">
        <f t="array" ref="A215">INDEX(AccountCodes[ACCOUNT NAME],MATCH(B215,AccountCodes[NGAS CODE],0))</f>
        <v>Quarters Allowance</v>
      </c>
      <c r="B215" s="602" t="s">
        <v>1264</v>
      </c>
      <c r="C215" s="615">
        <f t="array" ref="C215">INDEX(AccountCodes[PPSAS CODE],MATCH(B215,AccountCodes[NGAS CODE],0))</f>
        <v>5010207000</v>
      </c>
      <c r="D215" s="616">
        <f>IF(INDEX(AccountCodes[Normal Balance], MATCH(C215,AccountCodes[PPSAS CODE]))="Debit",E215-F215,0)</f>
        <v>0</v>
      </c>
      <c r="E215" s="488">
        <f t="array" ref="E215">(SUM(IF((PostTB[Account Code (Old)]=B215),(PostTB[Debit])))+(SUM(IF((CkDJ[Account Code]=B215)*(CkDJ[Date]&lt;=$A$7),(CkDJ[Debit])))+(SUM(IF((CsDJ[Account Code]=B215)*(CsDJ[Date]&lt;=$A$7),(CsDJ[Debit])))+(SUM(IF((CRDJ[Account Code]=B215)*(CRDJ[Date]&lt;=$A$7),(CRDJ[Debit])))+(SUM(IF((GJ[Account Code]=B215)*(GJ[Date]&lt;=$A$7),(GJ[Debit]))))))))</f>
        <v>0</v>
      </c>
      <c r="F215" s="490">
        <f t="array" ref="F215">(SUM(IF((PostTB[Account Code (Old)]=B215),(PostTB[Credit])))+(SUM(IF((CkDJ[Account Code]=B215)*(CkDJ[Date]&lt;=$A$7),(CkDJ[Credit])))+(SUM(IF((CsDJ[Account Code]=B215)*(CsDJ[Date]&lt;=$A$7),(CsDJ[Credit])))+(SUM(IF((CRDJ[Account Code]=B215)*(CRDJ[Date]&lt;=$A$7),(CRDJ[Credit])))+(SUM(IF((GJ[Account Code]=B215)*(GJ[Date]&lt;=$A$7),(GJ[Credit]))))))))</f>
        <v>0</v>
      </c>
      <c r="G215" s="620">
        <f>IF(INDEX(AccountCodes[Normal Balance], MATCH(C215,AccountCodes[PPSAS CODE]))="Credit",F215-E215,0)</f>
        <v>0</v>
      </c>
      <c r="H215" s="621">
        <f t="shared" si="3"/>
        <v>0</v>
      </c>
    </row>
    <row r="216" spans="1:8" ht="15.75" hidden="1">
      <c r="A216" s="613" t="str">
        <f t="array" ref="A216">INDEX(AccountCodes[ACCOUNT NAME],MATCH(B216,AccountCodes[NGAS CODE],0))</f>
        <v>Productivity Incentive Allowance</v>
      </c>
      <c r="B216" s="602" t="s">
        <v>171</v>
      </c>
      <c r="C216" s="615">
        <f t="array" ref="C216">INDEX(AccountCodes[PPSAS CODE],MATCH(B216,AccountCodes[NGAS CODE],0))</f>
        <v>5010208000</v>
      </c>
      <c r="D216" s="616">
        <f>IF(INDEX(AccountCodes[Normal Balance], MATCH(C216,AccountCodes[PPSAS CODE]))="Debit",E216-F216,0)</f>
        <v>0</v>
      </c>
      <c r="E216" s="488">
        <f t="array" ref="E216">(SUM(IF((PostTB[Account Code (Old)]=B216),(PostTB[Debit])))+(SUM(IF((CkDJ[Account Code]=B216)*(CkDJ[Date]&lt;=$A$7),(CkDJ[Debit])))+(SUM(IF((CsDJ[Account Code]=B216)*(CsDJ[Date]&lt;=$A$7),(CsDJ[Debit])))+(SUM(IF((CRDJ[Account Code]=B216)*(CRDJ[Date]&lt;=$A$7),(CRDJ[Debit])))+(SUM(IF((GJ[Account Code]=B216)*(GJ[Date]&lt;=$A$7),(GJ[Debit]))))))))</f>
        <v>0</v>
      </c>
      <c r="F216" s="490">
        <f t="array" ref="F216">(SUM(IF((PostTB[Account Code (Old)]=B216),(PostTB[Credit])))+(SUM(IF((CkDJ[Account Code]=B216)*(CkDJ[Date]&lt;=$A$7),(CkDJ[Credit])))+(SUM(IF((CsDJ[Account Code]=B216)*(CsDJ[Date]&lt;=$A$7),(CsDJ[Credit])))+(SUM(IF((CRDJ[Account Code]=B216)*(CRDJ[Date]&lt;=$A$7),(CRDJ[Credit])))+(SUM(IF((GJ[Account Code]=B216)*(GJ[Date]&lt;=$A$7),(GJ[Credit]))))))))</f>
        <v>0</v>
      </c>
      <c r="G216" s="620">
        <f>IF(INDEX(AccountCodes[Normal Balance], MATCH(C216,AccountCodes[PPSAS CODE]))="Credit",F216-E216,0)</f>
        <v>0</v>
      </c>
      <c r="H216" s="621">
        <f t="shared" si="3"/>
        <v>0</v>
      </c>
    </row>
    <row r="217" spans="1:8" ht="15.75" hidden="1">
      <c r="A217" s="613" t="str">
        <f t="array" ref="A217">INDEX(AccountCodes[ACCOUNT NAME],MATCH(B217,AccountCodes[NGAS CODE],0))</f>
        <v>Honoraria</v>
      </c>
      <c r="B217" s="602" t="s">
        <v>173</v>
      </c>
      <c r="C217" s="615">
        <f t="array" ref="C217">INDEX(AccountCodes[PPSAS CODE],MATCH(B217,AccountCodes[NGAS CODE],0))</f>
        <v>5010210000</v>
      </c>
      <c r="D217" s="616">
        <f>IF(INDEX(AccountCodes[Normal Balance], MATCH(C217,AccountCodes[PPSAS CODE]))="Debit",E217-F217,0)</f>
        <v>0</v>
      </c>
      <c r="E217" s="488">
        <f t="array" ref="E217">(SUM(IF((PostTB[Account Code (Old)]=B217),(PostTB[Debit])))+(SUM(IF((CkDJ[Account Code]=B217)*(CkDJ[Date]&lt;=$A$7),(CkDJ[Debit])))+(SUM(IF((CsDJ[Account Code]=B217)*(CsDJ[Date]&lt;=$A$7),(CsDJ[Debit])))+(SUM(IF((CRDJ[Account Code]=B217)*(CRDJ[Date]&lt;=$A$7),(CRDJ[Debit])))+(SUM(IF((GJ[Account Code]=B217)*(GJ[Date]&lt;=$A$7),(GJ[Debit]))))))))</f>
        <v>0</v>
      </c>
      <c r="F217" s="490">
        <f t="array" ref="F217">(SUM(IF((PostTB[Account Code (Old)]=B217),(PostTB[Credit])))+(SUM(IF((CkDJ[Account Code]=B217)*(CkDJ[Date]&lt;=$A$7),(CkDJ[Credit])))+(SUM(IF((CsDJ[Account Code]=B217)*(CsDJ[Date]&lt;=$A$7),(CsDJ[Credit])))+(SUM(IF((CRDJ[Account Code]=B217)*(CRDJ[Date]&lt;=$A$7),(CRDJ[Credit])))+(SUM(IF((GJ[Account Code]=B217)*(GJ[Date]&lt;=$A$7),(GJ[Credit]))))))))</f>
        <v>0</v>
      </c>
      <c r="G217" s="620">
        <f>IF(INDEX(AccountCodes[Normal Balance], MATCH(C217,AccountCodes[PPSAS CODE]))="Credit",F217-E217,0)</f>
        <v>0</v>
      </c>
      <c r="H217" s="621">
        <f t="shared" si="3"/>
        <v>0</v>
      </c>
    </row>
    <row r="218" spans="1:8" ht="15.75" hidden="1">
      <c r="A218" s="613" t="str">
        <f t="array" ref="A218">INDEX(AccountCodes[ACCOUNT NAME],MATCH(B218,AccountCodes[NGAS CODE],0))</f>
        <v>Hazard Pay</v>
      </c>
      <c r="B218" s="602" t="s">
        <v>215</v>
      </c>
      <c r="C218" s="615">
        <f t="array" ref="C218">INDEX(AccountCodes[PPSAS CODE],MATCH(B218,AccountCodes[NGAS CODE],0))</f>
        <v>5010211000</v>
      </c>
      <c r="D218" s="616">
        <f>IF(INDEX(AccountCodes[Normal Balance], MATCH(C218,AccountCodes[PPSAS CODE]))="Debit",E218-F218,0)</f>
        <v>0</v>
      </c>
      <c r="E218" s="488">
        <f t="array" ref="E218">(SUM(IF((PostTB[Account Code (Old)]=B218),(PostTB[Debit])))+(SUM(IF((CkDJ[Account Code]=B218)*(CkDJ[Date]&lt;=$A$7),(CkDJ[Debit])))+(SUM(IF((CsDJ[Account Code]=B218)*(CsDJ[Date]&lt;=$A$7),(CsDJ[Debit])))+(SUM(IF((CRDJ[Account Code]=B218)*(CRDJ[Date]&lt;=$A$7),(CRDJ[Debit])))+(SUM(IF((GJ[Account Code]=B218)*(GJ[Date]&lt;=$A$7),(GJ[Debit]))))))))</f>
        <v>0</v>
      </c>
      <c r="F218" s="490">
        <f t="array" ref="F218">(SUM(IF((PostTB[Account Code (Old)]=B218),(PostTB[Credit])))+(SUM(IF((CkDJ[Account Code]=B218)*(CkDJ[Date]&lt;=$A$7),(CkDJ[Credit])))+(SUM(IF((CsDJ[Account Code]=B218)*(CsDJ[Date]&lt;=$A$7),(CsDJ[Credit])))+(SUM(IF((CRDJ[Account Code]=B218)*(CRDJ[Date]&lt;=$A$7),(CRDJ[Credit])))+(SUM(IF((GJ[Account Code]=B218)*(GJ[Date]&lt;=$A$7),(GJ[Credit]))))))))</f>
        <v>0</v>
      </c>
      <c r="G218" s="620">
        <f>IF(INDEX(AccountCodes[Normal Balance], MATCH(C218,AccountCodes[PPSAS CODE]))="Credit",F218-E218,0)</f>
        <v>0</v>
      </c>
      <c r="H218" s="621">
        <f t="shared" si="3"/>
        <v>0</v>
      </c>
    </row>
    <row r="219" spans="1:8" ht="15.75" hidden="1">
      <c r="A219" s="613" t="str">
        <f t="array" ref="A219">INDEX(AccountCodes[ACCOUNT NAME],MATCH(B219,AccountCodes[NGAS CODE],0))</f>
        <v>Longevity Pay</v>
      </c>
      <c r="B219" s="602" t="s">
        <v>216</v>
      </c>
      <c r="C219" s="615">
        <f t="array" ref="C219">INDEX(AccountCodes[PPSAS CODE],MATCH(B219,AccountCodes[NGAS CODE],0))</f>
        <v>5010212000</v>
      </c>
      <c r="D219" s="616">
        <f>IF(INDEX(AccountCodes[Normal Balance], MATCH(C219,AccountCodes[PPSAS CODE]))="Debit",E219-F219,0)</f>
        <v>10000</v>
      </c>
      <c r="E219" s="488">
        <f t="array" ref="E219">(SUM(IF((PostTB[Account Code (Old)]=B219),(PostTB[Debit])))+(SUM(IF((CkDJ[Account Code]=B219)*(CkDJ[Date]&lt;=$A$7),(CkDJ[Debit])))+(SUM(IF((CsDJ[Account Code]=B219)*(CsDJ[Date]&lt;=$A$7),(CsDJ[Debit])))+(SUM(IF((CRDJ[Account Code]=B219)*(CRDJ[Date]&lt;=$A$7),(CRDJ[Debit])))+(SUM(IF((GJ[Account Code]=B219)*(GJ[Date]&lt;=$A$7),(GJ[Debit]))))))))</f>
        <v>10000</v>
      </c>
      <c r="F219" s="490">
        <f t="array" ref="F219">(SUM(IF((PostTB[Account Code (Old)]=B219),(PostTB[Credit])))+(SUM(IF((CkDJ[Account Code]=B219)*(CkDJ[Date]&lt;=$A$7),(CkDJ[Credit])))+(SUM(IF((CsDJ[Account Code]=B219)*(CsDJ[Date]&lt;=$A$7),(CsDJ[Credit])))+(SUM(IF((CRDJ[Account Code]=B219)*(CRDJ[Date]&lt;=$A$7),(CRDJ[Credit])))+(SUM(IF((GJ[Account Code]=B219)*(GJ[Date]&lt;=$A$7),(GJ[Credit]))))))))</f>
        <v>0</v>
      </c>
      <c r="G219" s="620">
        <f>IF(INDEX(AccountCodes[Normal Balance], MATCH(C219,AccountCodes[PPSAS CODE]))="Credit",F219-E219,0)</f>
        <v>0</v>
      </c>
      <c r="H219" s="621">
        <f t="shared" si="3"/>
        <v>10000</v>
      </c>
    </row>
    <row r="220" spans="1:8" ht="15.75" hidden="1">
      <c r="A220" s="613" t="str">
        <f t="array" ref="A220">INDEX(AccountCodes[ACCOUNT NAME],MATCH(B220,AccountCodes[NGAS CODE],0))</f>
        <v>Overtime and Night Pay</v>
      </c>
      <c r="B220" s="602" t="s">
        <v>214</v>
      </c>
      <c r="C220" s="615">
        <f t="array" ref="C220">INDEX(AccountCodes[PPSAS CODE],MATCH(B220,AccountCodes[NGAS CODE],0))</f>
        <v>5010213000</v>
      </c>
      <c r="D220" s="616">
        <f>IF(INDEX(AccountCodes[Normal Balance], MATCH(C220,AccountCodes[PPSAS CODE]))="Debit",E220-F220,0)</f>
        <v>0</v>
      </c>
      <c r="E220" s="488">
        <f t="array" ref="E220">(SUM(IF((PostTB[Account Code (Old)]=B220),(PostTB[Debit])))+(SUM(IF((CkDJ[Account Code]=B220)*(CkDJ[Date]&lt;=$A$7),(CkDJ[Debit])))+(SUM(IF((CsDJ[Account Code]=B220)*(CsDJ[Date]&lt;=$A$7),(CsDJ[Debit])))+(SUM(IF((CRDJ[Account Code]=B220)*(CRDJ[Date]&lt;=$A$7),(CRDJ[Debit])))+(SUM(IF((GJ[Account Code]=B220)*(GJ[Date]&lt;=$A$7),(GJ[Debit]))))))))</f>
        <v>0</v>
      </c>
      <c r="F220" s="490">
        <f t="array" ref="F220">(SUM(IF((PostTB[Account Code (Old)]=B220),(PostTB[Credit])))+(SUM(IF((CkDJ[Account Code]=B220)*(CkDJ[Date]&lt;=$A$7),(CkDJ[Credit])))+(SUM(IF((CsDJ[Account Code]=B220)*(CsDJ[Date]&lt;=$A$7),(CsDJ[Credit])))+(SUM(IF((CRDJ[Account Code]=B220)*(CRDJ[Date]&lt;=$A$7),(CRDJ[Credit])))+(SUM(IF((GJ[Account Code]=B220)*(GJ[Date]&lt;=$A$7),(GJ[Credit]))))))))</f>
        <v>0</v>
      </c>
      <c r="G220" s="620">
        <f>IF(INDEX(AccountCodes[Normal Balance], MATCH(C220,AccountCodes[PPSAS CODE]))="Credit",F220-E220,0)</f>
        <v>0</v>
      </c>
      <c r="H220" s="621">
        <f t="shared" si="3"/>
        <v>0</v>
      </c>
    </row>
    <row r="221" spans="1:8" ht="15.75">
      <c r="A221" s="613" t="str">
        <f t="array" ref="A221">INDEX(AccountCodes[ACCOUNT NAME],MATCH(B221,AccountCodes[NGAS CODE],0))</f>
        <v>Mid-Year/Year End Bonus</v>
      </c>
      <c r="B221" s="602" t="s">
        <v>174</v>
      </c>
      <c r="C221" s="615">
        <f t="array" ref="C221">INDEX(AccountCodes[PPSAS CODE],MATCH(B221,AccountCodes[NGAS CODE],0))</f>
        <v>5010214000</v>
      </c>
      <c r="D221" s="616">
        <f>IF(INDEX(AccountCodes[Normal Balance], MATCH(C221,AccountCodes[PPSAS CODE]))="Debit",E221-F221,0)</f>
        <v>0</v>
      </c>
      <c r="E221" s="488">
        <f t="array" ref="E221">(SUM(IF((PostTB[Account Code (Old)]=B221),(PostTB[Debit])))+(SUM(IF((CkDJ[Account Code]=B221)*(CkDJ[Date]&lt;=$A$7),(CkDJ[Debit])))+(SUM(IF((CsDJ[Account Code]=B221)*(CsDJ[Date]&lt;=$A$7),(CsDJ[Debit])))+(SUM(IF((CRDJ[Account Code]=B221)*(CRDJ[Date]&lt;=$A$7),(CRDJ[Debit])))+(SUM(IF((GJ[Account Code]=B221)*(GJ[Date]&lt;=$A$7),(GJ[Debit]))))))))</f>
        <v>0</v>
      </c>
      <c r="F221" s="490">
        <f t="array" ref="F221">(SUM(IF((PostTB[Account Code (Old)]=B221),(PostTB[Credit])))+(SUM(IF((CkDJ[Account Code]=B221)*(CkDJ[Date]&lt;=$A$7),(CkDJ[Credit])))+(SUM(IF((CsDJ[Account Code]=B221)*(CsDJ[Date]&lt;=$A$7),(CsDJ[Credit])))+(SUM(IF((CRDJ[Account Code]=B221)*(CRDJ[Date]&lt;=$A$7),(CRDJ[Credit])))+(SUM(IF((GJ[Account Code]=B221)*(GJ[Date]&lt;=$A$7),(GJ[Credit]))))))))</f>
        <v>0</v>
      </c>
      <c r="G221" s="620">
        <f>IF(INDEX(AccountCodes[Normal Balance], MATCH(C221,AccountCodes[PPSAS CODE]))="Credit",F221-E221,0)</f>
        <v>0</v>
      </c>
      <c r="H221" s="621">
        <f t="shared" si="3"/>
        <v>0</v>
      </c>
    </row>
    <row r="222" spans="1:8" ht="15.75" hidden="1">
      <c r="A222" s="613" t="str">
        <f t="array" ref="A222">INDEX(AccountCodes[ACCOUNT NAME],MATCH(B222,AccountCodes[NGAS CODE],0))</f>
        <v>Cash Gift</v>
      </c>
      <c r="B222" s="602" t="s">
        <v>172</v>
      </c>
      <c r="C222" s="615">
        <f t="array" ref="C222">INDEX(AccountCodes[PPSAS CODE],MATCH(B222,AccountCodes[NGAS CODE],0))</f>
        <v>5010215000</v>
      </c>
      <c r="D222" s="616">
        <f>IF(INDEX(AccountCodes[Normal Balance], MATCH(C222,AccountCodes[PPSAS CODE]))="Debit",E222-F222,0)</f>
        <v>0</v>
      </c>
      <c r="E222" s="488">
        <f t="array" ref="E222">(SUM(IF((PostTB[Account Code (Old)]=B222),(PostTB[Debit])))+(SUM(IF((CkDJ[Account Code]=B222)*(CkDJ[Date]&lt;=$A$7),(CkDJ[Debit])))+(SUM(IF((CsDJ[Account Code]=B222)*(CsDJ[Date]&lt;=$A$7),(CsDJ[Debit])))+(SUM(IF((CRDJ[Account Code]=B222)*(CRDJ[Date]&lt;=$A$7),(CRDJ[Debit])))+(SUM(IF((GJ[Account Code]=B222)*(GJ[Date]&lt;=$A$7),(GJ[Debit]))))))))</f>
        <v>0</v>
      </c>
      <c r="F222" s="490">
        <f t="array" ref="F222">(SUM(IF((PostTB[Account Code (Old)]=B222),(PostTB[Credit])))+(SUM(IF((CkDJ[Account Code]=B222)*(CkDJ[Date]&lt;=$A$7),(CkDJ[Credit])))+(SUM(IF((CsDJ[Account Code]=B222)*(CsDJ[Date]&lt;=$A$7),(CsDJ[Credit])))+(SUM(IF((CRDJ[Account Code]=B222)*(CRDJ[Date]&lt;=$A$7),(CRDJ[Credit])))+(SUM(IF((GJ[Account Code]=B222)*(GJ[Date]&lt;=$A$7),(GJ[Credit]))))))))</f>
        <v>0</v>
      </c>
      <c r="G222" s="620">
        <f>IF(INDEX(AccountCodes[Normal Balance], MATCH(C222,AccountCodes[PPSAS CODE]))="Credit",F222-E222,0)</f>
        <v>0</v>
      </c>
      <c r="H222" s="621">
        <f t="shared" si="3"/>
        <v>0</v>
      </c>
    </row>
    <row r="223" spans="1:8" ht="15.75" hidden="1">
      <c r="A223" s="613" t="str">
        <f t="array" ref="A223">INDEX(AccountCodes[ACCOUNT NAME],MATCH(B223,AccountCodes[NGAS CODE],0))</f>
        <v>Other Bonuses and Allowances - Collective Negotiation Agreement Incentive-Civilian</v>
      </c>
      <c r="B223" s="602" t="s">
        <v>168</v>
      </c>
      <c r="C223" s="615">
        <f t="array" ref="C223">INDEX(AccountCodes[PPSAS CODE],MATCH(B223,AccountCodes[NGAS CODE],0))</f>
        <v>5010299011</v>
      </c>
      <c r="D223" s="616">
        <f>IF(INDEX(AccountCodes[Normal Balance], MATCH(C223,AccountCodes[PPSAS CODE]))="Debit",E223-F223,0)</f>
        <v>0</v>
      </c>
      <c r="E223" s="488">
        <f t="array" ref="E223">(SUM(IF((PostTB[Account Code (Old)]=B223),(PostTB[Debit])))+(SUM(IF((CkDJ[Account Code]=B223)*(CkDJ[Date]&lt;=$A$7),(CkDJ[Debit])))+(SUM(IF((CsDJ[Account Code]=B223)*(CsDJ[Date]&lt;=$A$7),(CsDJ[Debit])))+(SUM(IF((CRDJ[Account Code]=B223)*(CRDJ[Date]&lt;=$A$7),(CRDJ[Debit])))+(SUM(IF((GJ[Account Code]=B223)*(GJ[Date]&lt;=$A$7),(GJ[Debit]))))))))</f>
        <v>0</v>
      </c>
      <c r="F223" s="490">
        <f t="array" ref="F223">(SUM(IF((PostTB[Account Code (Old)]=B223),(PostTB[Credit])))+(SUM(IF((CkDJ[Account Code]=B223)*(CkDJ[Date]&lt;=$A$7),(CkDJ[Credit])))+(SUM(IF((CsDJ[Account Code]=B223)*(CsDJ[Date]&lt;=$A$7),(CsDJ[Credit])))+(SUM(IF((CRDJ[Account Code]=B223)*(CRDJ[Date]&lt;=$A$7),(CRDJ[Credit])))+(SUM(IF((GJ[Account Code]=B223)*(GJ[Date]&lt;=$A$7),(GJ[Credit]))))))))</f>
        <v>0</v>
      </c>
      <c r="G223" s="620">
        <f>IF(INDEX(AccountCodes[Normal Balance], MATCH(C223,AccountCodes[PPSAS CODE]))="Credit",F223-E223,0)</f>
        <v>0</v>
      </c>
      <c r="H223" s="621">
        <f t="shared" si="3"/>
        <v>0</v>
      </c>
    </row>
    <row r="224" spans="1:8" ht="15.75" hidden="1">
      <c r="A224" s="613" t="str">
        <f t="array" ref="A224">INDEX(AccountCodes[ACCOUNT NAME],MATCH(B224,AccountCodes[NGAS CODE],0))</f>
        <v>Other Bonuses and Allowances - Productivity Enhancement Incentive-Civilian</v>
      </c>
      <c r="B224" s="602" t="s">
        <v>170</v>
      </c>
      <c r="C224" s="615">
        <f t="array" ref="C224">INDEX(AccountCodes[PPSAS CODE],MATCH(B224,AccountCodes[NGAS CODE],0))</f>
        <v>5010299012</v>
      </c>
      <c r="D224" s="616">
        <f>IF(INDEX(AccountCodes[Normal Balance], MATCH(C224,AccountCodes[PPSAS CODE]))="Debit",E224-F224,0)</f>
        <v>0</v>
      </c>
      <c r="E224" s="488">
        <f t="array" ref="E224">(SUM(IF((PostTB[Account Code (Old)]=B224),(PostTB[Debit])))+(SUM(IF((CkDJ[Account Code]=B224)*(CkDJ[Date]&lt;=$A$7),(CkDJ[Debit])))+(SUM(IF((CsDJ[Account Code]=B224)*(CsDJ[Date]&lt;=$A$7),(CsDJ[Debit])))+(SUM(IF((CRDJ[Account Code]=B224)*(CRDJ[Date]&lt;=$A$7),(CRDJ[Debit])))+(SUM(IF((GJ[Account Code]=B224)*(GJ[Date]&lt;=$A$7),(GJ[Debit]))))))))</f>
        <v>0</v>
      </c>
      <c r="F224" s="490">
        <f t="array" ref="F224">(SUM(IF((PostTB[Account Code (Old)]=B224),(PostTB[Credit])))+(SUM(IF((CkDJ[Account Code]=B224)*(CkDJ[Date]&lt;=$A$7),(CkDJ[Credit])))+(SUM(IF((CsDJ[Account Code]=B224)*(CsDJ[Date]&lt;=$A$7),(CsDJ[Credit])))+(SUM(IF((CRDJ[Account Code]=B224)*(CRDJ[Date]&lt;=$A$7),(CRDJ[Credit])))+(SUM(IF((GJ[Account Code]=B224)*(GJ[Date]&lt;=$A$7),(GJ[Credit]))))))))</f>
        <v>0</v>
      </c>
      <c r="G224" s="620">
        <f>IF(INDEX(AccountCodes[Normal Balance], MATCH(C224,AccountCodes[PPSAS CODE]))="Credit",F224-E224,0)</f>
        <v>0</v>
      </c>
      <c r="H224" s="621">
        <f t="shared" si="3"/>
        <v>0</v>
      </c>
    </row>
    <row r="225" spans="1:8" ht="15.75" hidden="1">
      <c r="A225" s="613" t="str">
        <f t="array" ref="A225">INDEX(AccountCodes[ACCOUNT NAME],MATCH(B225,AccountCodes[NGAS CODE],0))</f>
        <v>Other Bonuses and Allowances - Medical Allowance</v>
      </c>
      <c r="B225" s="602" t="s">
        <v>5</v>
      </c>
      <c r="C225" s="615">
        <f t="array" ref="C225">INDEX(AccountCodes[PPSAS CODE],MATCH(B225,AccountCodes[NGAS CODE],0))</f>
        <v>5010299034</v>
      </c>
      <c r="D225" s="616">
        <f>IF(INDEX(AccountCodes[Normal Balance], MATCH(C225,AccountCodes[PPSAS CODE]))="Debit",E225-F225,0)</f>
        <v>0</v>
      </c>
      <c r="E225" s="488">
        <f t="array" ref="E225">(SUM(IF((PostTB[Account Code (Old)]=B225),(PostTB[Debit])))+(SUM(IF((CkDJ[Account Code]=B225)*(CkDJ[Date]&lt;=$A$7),(CkDJ[Debit])))+(SUM(IF((CsDJ[Account Code]=B225)*(CsDJ[Date]&lt;=$A$7),(CsDJ[Debit])))+(SUM(IF((CRDJ[Account Code]=B225)*(CRDJ[Date]&lt;=$A$7),(CRDJ[Debit])))+(SUM(IF((GJ[Account Code]=B225)*(GJ[Date]&lt;=$A$7),(GJ[Debit]))))))))</f>
        <v>0</v>
      </c>
      <c r="F225" s="490">
        <f t="array" ref="F225">(SUM(IF((PostTB[Account Code (Old)]=B225),(PostTB[Credit])))+(SUM(IF((CkDJ[Account Code]=B225)*(CkDJ[Date]&lt;=$A$7),(CkDJ[Credit])))+(SUM(IF((CsDJ[Account Code]=B225)*(CsDJ[Date]&lt;=$A$7),(CsDJ[Credit])))+(SUM(IF((CRDJ[Account Code]=B225)*(CRDJ[Date]&lt;=$A$7),(CRDJ[Credit])))+(SUM(IF((GJ[Account Code]=B225)*(GJ[Date]&lt;=$A$7),(GJ[Credit]))))))))</f>
        <v>0</v>
      </c>
      <c r="G225" s="620">
        <f>IF(INDEX(AccountCodes[Normal Balance], MATCH(C225,AccountCodes[PPSAS CODE]))="Credit",F225-E225,0)</f>
        <v>0</v>
      </c>
      <c r="H225" s="621">
        <f t="shared" si="3"/>
        <v>0</v>
      </c>
    </row>
    <row r="226" spans="1:8" ht="15.75" hidden="1">
      <c r="A226" s="613" t="str">
        <f t="array" ref="A226">INDEX(AccountCodes[ACCOUNT NAME],MATCH(B226,AccountCodes[NGAS CODE],0))</f>
        <v>Other Bonuses and Allowances - Meal Allowance</v>
      </c>
      <c r="B226" s="602" t="s">
        <v>6</v>
      </c>
      <c r="C226" s="615">
        <f t="array" ref="C226">INDEX(AccountCodes[PPSAS CODE],MATCH(B226,AccountCodes[NGAS CODE],0))</f>
        <v>5010299035</v>
      </c>
      <c r="D226" s="616">
        <f>IF(INDEX(AccountCodes[Normal Balance], MATCH(C226,AccountCodes[PPSAS CODE]))="Debit",E226-F226,0)</f>
        <v>0</v>
      </c>
      <c r="E226" s="488">
        <f t="array" ref="E226">(SUM(IF((PostTB[Account Code (Old)]=B226),(PostTB[Debit])))+(SUM(IF((CkDJ[Account Code]=B226)*(CkDJ[Date]&lt;=$A$7),(CkDJ[Debit])))+(SUM(IF((CsDJ[Account Code]=B226)*(CsDJ[Date]&lt;=$A$7),(CsDJ[Debit])))+(SUM(IF((CRDJ[Account Code]=B226)*(CRDJ[Date]&lt;=$A$7),(CRDJ[Debit])))+(SUM(IF((GJ[Account Code]=B226)*(GJ[Date]&lt;=$A$7),(GJ[Debit]))))))))</f>
        <v>0</v>
      </c>
      <c r="F226" s="490">
        <f t="array" ref="F226">(SUM(IF((PostTB[Account Code (Old)]=B226),(PostTB[Credit])))+(SUM(IF((CkDJ[Account Code]=B226)*(CkDJ[Date]&lt;=$A$7),(CkDJ[Credit])))+(SUM(IF((CsDJ[Account Code]=B226)*(CsDJ[Date]&lt;=$A$7),(CsDJ[Credit])))+(SUM(IF((CRDJ[Account Code]=B226)*(CRDJ[Date]&lt;=$A$7),(CRDJ[Credit])))+(SUM(IF((GJ[Account Code]=B226)*(GJ[Date]&lt;=$A$7),(GJ[Credit]))))))))</f>
        <v>0</v>
      </c>
      <c r="G226" s="620">
        <f>IF(INDEX(AccountCodes[Normal Balance], MATCH(C226,AccountCodes[PPSAS CODE]))="Credit",F226-E226,0)</f>
        <v>0</v>
      </c>
      <c r="H226" s="621">
        <f t="shared" si="3"/>
        <v>0</v>
      </c>
    </row>
    <row r="227" spans="1:8" ht="15.75" hidden="1">
      <c r="A227" s="613" t="str">
        <f t="array" ref="A227">INDEX(AccountCodes[ACCOUNT NAME],MATCH(B227,AccountCodes[NGAS CODE],0))</f>
        <v>Other Bonuses and Allowances - Children Allowance</v>
      </c>
      <c r="B227" s="602" t="s">
        <v>7</v>
      </c>
      <c r="C227" s="615">
        <f t="array" ref="C227">INDEX(AccountCodes[PPSAS CODE],MATCH(B227,AccountCodes[NGAS CODE],0))</f>
        <v>5010299036</v>
      </c>
      <c r="D227" s="616">
        <f>IF(INDEX(AccountCodes[Normal Balance], MATCH(C227,AccountCodes[PPSAS CODE]))="Debit",E227-F227,0)</f>
        <v>0</v>
      </c>
      <c r="E227" s="488">
        <f t="array" ref="E227">(SUM(IF((PostTB[Account Code (Old)]=B227),(PostTB[Debit])))+(SUM(IF((CkDJ[Account Code]=B227)*(CkDJ[Date]&lt;=$A$7),(CkDJ[Debit])))+(SUM(IF((CsDJ[Account Code]=B227)*(CsDJ[Date]&lt;=$A$7),(CsDJ[Debit])))+(SUM(IF((CRDJ[Account Code]=B227)*(CRDJ[Date]&lt;=$A$7),(CRDJ[Debit])))+(SUM(IF((GJ[Account Code]=B227)*(GJ[Date]&lt;=$A$7),(GJ[Debit]))))))))</f>
        <v>0</v>
      </c>
      <c r="F227" s="490">
        <f t="array" ref="F227">(SUM(IF((PostTB[Account Code (Old)]=B227),(PostTB[Credit])))+(SUM(IF((CkDJ[Account Code]=B227)*(CkDJ[Date]&lt;=$A$7),(CkDJ[Credit])))+(SUM(IF((CsDJ[Account Code]=B227)*(CsDJ[Date]&lt;=$A$7),(CsDJ[Credit])))+(SUM(IF((CRDJ[Account Code]=B227)*(CRDJ[Date]&lt;=$A$7),(CRDJ[Credit])))+(SUM(IF((GJ[Account Code]=B227)*(GJ[Date]&lt;=$A$7),(GJ[Credit]))))))))</f>
        <v>0</v>
      </c>
      <c r="G227" s="620">
        <f>IF(INDEX(AccountCodes[Normal Balance], MATCH(C227,AccountCodes[PPSAS CODE]))="Credit",F227-E227,0)</f>
        <v>0</v>
      </c>
      <c r="H227" s="621">
        <f t="shared" si="3"/>
        <v>0</v>
      </c>
    </row>
    <row r="228" spans="1:8" ht="15.75" hidden="1">
      <c r="A228" s="613" t="str">
        <f t="array" ref="A228">INDEX(AccountCodes[ACCOUNT NAME],MATCH(B228,AccountCodes[NGAS CODE],0))</f>
        <v>Other Bonuses and Allowances - Anniversary Bonus</v>
      </c>
      <c r="B228" s="602" t="s">
        <v>169</v>
      </c>
      <c r="C228" s="615">
        <f t="array" ref="C228">INDEX(AccountCodes[PPSAS CODE],MATCH(B228,AccountCodes[NGAS CODE],0))</f>
        <v>5010299037</v>
      </c>
      <c r="D228" s="616">
        <f>IF(INDEX(AccountCodes[Normal Balance], MATCH(C228,AccountCodes[PPSAS CODE]))="Debit",E228-F228,0)</f>
        <v>6000</v>
      </c>
      <c r="E228" s="488">
        <f t="array" ref="E228">(SUM(IF((PostTB[Account Code (Old)]=B228),(PostTB[Debit])))+(SUM(IF((CkDJ[Account Code]=B228)*(CkDJ[Date]&lt;=$A$7),(CkDJ[Debit])))+(SUM(IF((CsDJ[Account Code]=B228)*(CsDJ[Date]&lt;=$A$7),(CsDJ[Debit])))+(SUM(IF((CRDJ[Account Code]=B228)*(CRDJ[Date]&lt;=$A$7),(CRDJ[Debit])))+(SUM(IF((GJ[Account Code]=B228)*(GJ[Date]&lt;=$A$7),(GJ[Debit]))))))))</f>
        <v>6000</v>
      </c>
      <c r="F228" s="490">
        <f t="array" ref="F228">(SUM(IF((PostTB[Account Code (Old)]=B228),(PostTB[Credit])))+(SUM(IF((CkDJ[Account Code]=B228)*(CkDJ[Date]&lt;=$A$7),(CkDJ[Credit])))+(SUM(IF((CsDJ[Account Code]=B228)*(CsDJ[Date]&lt;=$A$7),(CsDJ[Credit])))+(SUM(IF((CRDJ[Account Code]=B228)*(CRDJ[Date]&lt;=$A$7),(CRDJ[Credit])))+(SUM(IF((GJ[Account Code]=B228)*(GJ[Date]&lt;=$A$7),(GJ[Credit]))))))))</f>
        <v>0</v>
      </c>
      <c r="G228" s="620">
        <f>IF(INDEX(AccountCodes[Normal Balance], MATCH(C228,AccountCodes[PPSAS CODE]))="Credit",F228-E228,0)</f>
        <v>0</v>
      </c>
      <c r="H228" s="621">
        <f t="shared" si="3"/>
        <v>6000</v>
      </c>
    </row>
    <row r="229" spans="1:8" ht="15.75" hidden="1">
      <c r="A229" s="613" t="str">
        <f t="array" ref="A229">INDEX(AccountCodes[ACCOUNT NAME],MATCH(B229,AccountCodes[NGAS CODE],0))</f>
        <v>Other Bonuses and Allowances - Performance Based Bonus-Civilian</v>
      </c>
      <c r="B229" s="602" t="s">
        <v>1510</v>
      </c>
      <c r="C229" s="615">
        <f t="array" ref="C229">INDEX(AccountCodes[PPSAS CODE],MATCH(B229,AccountCodes[NGAS CODE],0))</f>
        <v>5010299014</v>
      </c>
      <c r="D229" s="616">
        <f>IF(INDEX(AccountCodes[Normal Balance], MATCH(C229,AccountCodes[PPSAS CODE]))="Debit",E229-F229,0)</f>
        <v>0</v>
      </c>
      <c r="E229" s="488">
        <f t="array" ref="E229">(SUM(IF((PostTB[Account Code (Old)]=B229),(PostTB[Debit])))+(SUM(IF((CkDJ[Account Code]=B229)*(CkDJ[Date]&lt;=$A$7),(CkDJ[Debit])))+(SUM(IF((CsDJ[Account Code]=B229)*(CsDJ[Date]&lt;=$A$7),(CsDJ[Debit])))+(SUM(IF((CRDJ[Account Code]=B229)*(CRDJ[Date]&lt;=$A$7),(CRDJ[Debit])))+(SUM(IF((GJ[Account Code]=B229)*(GJ[Date]&lt;=$A$7),(GJ[Debit]))))))))</f>
        <v>0</v>
      </c>
      <c r="F229" s="490">
        <f t="array" ref="F229">(SUM(IF((PostTB[Account Code (Old)]=B229),(PostTB[Credit])))+(SUM(IF((CkDJ[Account Code]=B229)*(CkDJ[Date]&lt;=$A$7),(CkDJ[Credit])))+(SUM(IF((CsDJ[Account Code]=B229)*(CsDJ[Date]&lt;=$A$7),(CsDJ[Credit])))+(SUM(IF((CRDJ[Account Code]=B229)*(CRDJ[Date]&lt;=$A$7),(CRDJ[Credit])))+(SUM(IF((GJ[Account Code]=B229)*(GJ[Date]&lt;=$A$7),(GJ[Credit]))))))))</f>
        <v>0</v>
      </c>
      <c r="G229" s="620">
        <f>IF(INDEX(AccountCodes[Normal Balance], MATCH(C229,AccountCodes[PPSAS CODE]))="Credit",F229-E229,0)</f>
        <v>0</v>
      </c>
      <c r="H229" s="621">
        <f t="shared" si="3"/>
        <v>0</v>
      </c>
    </row>
    <row r="230" spans="1:8" ht="15.75">
      <c r="A230" s="613" t="str">
        <f t="array" ref="A230">INDEX(AccountCodes[ACCOUNT NAME],MATCH(B230,AccountCodes[NGAS CODE],0))</f>
        <v>Retirement and Life Insurance Premiums</v>
      </c>
      <c r="B230" s="602" t="s">
        <v>175</v>
      </c>
      <c r="C230" s="615">
        <f t="array" ref="C230">INDEX(AccountCodes[PPSAS CODE],MATCH(B230,AccountCodes[NGAS CODE],0))</f>
        <v>5010301000</v>
      </c>
      <c r="D230" s="616">
        <f>IF(INDEX(AccountCodes[Normal Balance], MATCH(C230,AccountCodes[PPSAS CODE]))="Debit",E230-F230,0)</f>
        <v>71655.31</v>
      </c>
      <c r="E230" s="488">
        <f t="array" ref="E230">(SUM(IF((PostTB[Account Code (Old)]=B230),(PostTB[Debit])))+(SUM(IF((CkDJ[Account Code]=B230)*(CkDJ[Date]&lt;=$A$7),(CkDJ[Debit])))+(SUM(IF((CsDJ[Account Code]=B230)*(CsDJ[Date]&lt;=$A$7),(CsDJ[Debit])))+(SUM(IF((CRDJ[Account Code]=B230)*(CRDJ[Date]&lt;=$A$7),(CRDJ[Debit])))+(SUM(IF((GJ[Account Code]=B230)*(GJ[Date]&lt;=$A$7),(GJ[Debit]))))))))</f>
        <v>71655.31</v>
      </c>
      <c r="F230" s="490">
        <f t="array" ref="F230">(SUM(IF((PostTB[Account Code (Old)]=B230),(PostTB[Credit])))+(SUM(IF((CkDJ[Account Code]=B230)*(CkDJ[Date]&lt;=$A$7),(CkDJ[Credit])))+(SUM(IF((CsDJ[Account Code]=B230)*(CsDJ[Date]&lt;=$A$7),(CsDJ[Credit])))+(SUM(IF((CRDJ[Account Code]=B230)*(CRDJ[Date]&lt;=$A$7),(CRDJ[Credit])))+(SUM(IF((GJ[Account Code]=B230)*(GJ[Date]&lt;=$A$7),(GJ[Credit]))))))))</f>
        <v>0</v>
      </c>
      <c r="G230" s="620">
        <f>IF(INDEX(AccountCodes[Normal Balance], MATCH(C230,AccountCodes[PPSAS CODE]))="Credit",F230-E230,0)</f>
        <v>0</v>
      </c>
      <c r="H230" s="621">
        <f t="shared" si="3"/>
        <v>71655.31</v>
      </c>
    </row>
    <row r="231" spans="1:8" ht="15.75">
      <c r="A231" s="613" t="str">
        <f t="array" ref="A231">INDEX(AccountCodes[ACCOUNT NAME],MATCH(B231,AccountCodes[NGAS CODE],0))</f>
        <v>Pag-IBIG Contributions</v>
      </c>
      <c r="B231" s="602" t="s">
        <v>176</v>
      </c>
      <c r="C231" s="615">
        <f t="array" ref="C231">INDEX(AccountCodes[PPSAS CODE],MATCH(B231,AccountCodes[NGAS CODE],0))</f>
        <v>5010302000</v>
      </c>
      <c r="D231" s="616">
        <f>IF(INDEX(AccountCodes[Normal Balance], MATCH(C231,AccountCodes[PPSAS CODE]))="Debit",E231-F231,0)</f>
        <v>2200</v>
      </c>
      <c r="E231" s="488">
        <f t="array" ref="E231">(SUM(IF((PostTB[Account Code (Old)]=B231),(PostTB[Debit])))+(SUM(IF((CkDJ[Account Code]=B231)*(CkDJ[Date]&lt;=$A$7),(CkDJ[Debit])))+(SUM(IF((CsDJ[Account Code]=B231)*(CsDJ[Date]&lt;=$A$7),(CsDJ[Debit])))+(SUM(IF((CRDJ[Account Code]=B231)*(CRDJ[Date]&lt;=$A$7),(CRDJ[Debit])))+(SUM(IF((GJ[Account Code]=B231)*(GJ[Date]&lt;=$A$7),(GJ[Debit]))))))))</f>
        <v>2200</v>
      </c>
      <c r="F231" s="490">
        <f t="array" ref="F231">(SUM(IF((PostTB[Account Code (Old)]=B231),(PostTB[Credit])))+(SUM(IF((CkDJ[Account Code]=B231)*(CkDJ[Date]&lt;=$A$7),(CkDJ[Credit])))+(SUM(IF((CsDJ[Account Code]=B231)*(CsDJ[Date]&lt;=$A$7),(CsDJ[Credit])))+(SUM(IF((CRDJ[Account Code]=B231)*(CRDJ[Date]&lt;=$A$7),(CRDJ[Credit])))+(SUM(IF((GJ[Account Code]=B231)*(GJ[Date]&lt;=$A$7),(GJ[Credit]))))))))</f>
        <v>0</v>
      </c>
      <c r="G231" s="620">
        <f>IF(INDEX(AccountCodes[Normal Balance], MATCH(C231,AccountCodes[PPSAS CODE]))="Credit",F231-E231,0)</f>
        <v>0</v>
      </c>
      <c r="H231" s="621">
        <f t="shared" si="3"/>
        <v>2200</v>
      </c>
    </row>
    <row r="232" spans="1:8" ht="15.75">
      <c r="A232" s="613" t="str">
        <f t="array" ref="A232">INDEX(AccountCodes[ACCOUNT NAME],MATCH(B232,AccountCodes[NGAS CODE],0))</f>
        <v>PhilHealth Contributions</v>
      </c>
      <c r="B232" s="602" t="s">
        <v>177</v>
      </c>
      <c r="C232" s="615">
        <f t="array" ref="C232">INDEX(AccountCodes[PPSAS CODE],MATCH(B232,AccountCodes[NGAS CODE],0))</f>
        <v>5010303000</v>
      </c>
      <c r="D232" s="616">
        <f>IF(INDEX(AccountCodes[Normal Balance], MATCH(C232,AccountCodes[PPSAS CODE]))="Debit",E232-F232,0)</f>
        <v>12187.92</v>
      </c>
      <c r="E232" s="488">
        <f t="array" ref="E232">(SUM(IF((PostTB[Account Code (Old)]=B232),(PostTB[Debit])))+(SUM(IF((CkDJ[Account Code]=B232)*(CkDJ[Date]&lt;=$A$7),(CkDJ[Debit])))+(SUM(IF((CsDJ[Account Code]=B232)*(CsDJ[Date]&lt;=$A$7),(CsDJ[Debit])))+(SUM(IF((CRDJ[Account Code]=B232)*(CRDJ[Date]&lt;=$A$7),(CRDJ[Debit])))+(SUM(IF((GJ[Account Code]=B232)*(GJ[Date]&lt;=$A$7),(GJ[Debit]))))))))</f>
        <v>12187.92</v>
      </c>
      <c r="F232" s="490">
        <f t="array" ref="F232">(SUM(IF((PostTB[Account Code (Old)]=B232),(PostTB[Credit])))+(SUM(IF((CkDJ[Account Code]=B232)*(CkDJ[Date]&lt;=$A$7),(CkDJ[Credit])))+(SUM(IF((CsDJ[Account Code]=B232)*(CsDJ[Date]&lt;=$A$7),(CsDJ[Credit])))+(SUM(IF((CRDJ[Account Code]=B232)*(CRDJ[Date]&lt;=$A$7),(CRDJ[Credit])))+(SUM(IF((GJ[Account Code]=B232)*(GJ[Date]&lt;=$A$7),(GJ[Credit]))))))))</f>
        <v>0</v>
      </c>
      <c r="G232" s="620">
        <f>IF(INDEX(AccountCodes[Normal Balance], MATCH(C232,AccountCodes[PPSAS CODE]))="Credit",F232-E232,0)</f>
        <v>0</v>
      </c>
      <c r="H232" s="621">
        <f t="shared" si="3"/>
        <v>12187.92</v>
      </c>
    </row>
    <row r="233" spans="1:8" ht="15.75">
      <c r="A233" s="613" t="str">
        <f t="array" ref="A233">INDEX(AccountCodes[ACCOUNT NAME],MATCH(B233,AccountCodes[NGAS CODE],0))</f>
        <v>Employees Compensation Insurance Premiums</v>
      </c>
      <c r="B233" s="602" t="s">
        <v>178</v>
      </c>
      <c r="C233" s="615">
        <f t="array" ref="C233">INDEX(AccountCodes[PPSAS CODE],MATCH(B233,AccountCodes[NGAS CODE],0))</f>
        <v>5010304000</v>
      </c>
      <c r="D233" s="616">
        <f>IF(INDEX(AccountCodes[Normal Balance], MATCH(C233,AccountCodes[PPSAS CODE]))="Debit",E233-F233,0)</f>
        <v>2200</v>
      </c>
      <c r="E233" s="488">
        <f t="array" ref="E233">(SUM(IF((PostTB[Account Code (Old)]=B233),(PostTB[Debit])))+(SUM(IF((CkDJ[Account Code]=B233)*(CkDJ[Date]&lt;=$A$7),(CkDJ[Debit])))+(SUM(IF((CsDJ[Account Code]=B233)*(CsDJ[Date]&lt;=$A$7),(CsDJ[Debit])))+(SUM(IF((CRDJ[Account Code]=B233)*(CRDJ[Date]&lt;=$A$7),(CRDJ[Debit])))+(SUM(IF((GJ[Account Code]=B233)*(GJ[Date]&lt;=$A$7),(GJ[Debit]))))))))</f>
        <v>2200</v>
      </c>
      <c r="F233" s="490">
        <f t="array" ref="F233">(SUM(IF((PostTB[Account Code (Old)]=B233),(PostTB[Credit])))+(SUM(IF((CkDJ[Account Code]=B233)*(CkDJ[Date]&lt;=$A$7),(CkDJ[Credit])))+(SUM(IF((CsDJ[Account Code]=B233)*(CsDJ[Date]&lt;=$A$7),(CsDJ[Credit])))+(SUM(IF((CRDJ[Account Code]=B233)*(CRDJ[Date]&lt;=$A$7),(CRDJ[Credit])))+(SUM(IF((GJ[Account Code]=B233)*(GJ[Date]&lt;=$A$7),(GJ[Credit]))))))))</f>
        <v>0</v>
      </c>
      <c r="G233" s="620">
        <f>IF(INDEX(AccountCodes[Normal Balance], MATCH(C233,AccountCodes[PPSAS CODE]))="Credit",F233-E233,0)</f>
        <v>0</v>
      </c>
      <c r="H233" s="621">
        <f t="shared" si="3"/>
        <v>2200</v>
      </c>
    </row>
    <row r="234" spans="1:8" ht="15.75" hidden="1">
      <c r="A234" s="613" t="str">
        <f t="array" ref="A234">INDEX(AccountCodes[ACCOUNT NAME],MATCH(B234,AccountCodes[NGAS CODE],0))</f>
        <v>Retirement Gratuity</v>
      </c>
      <c r="B234" s="602" t="s">
        <v>179</v>
      </c>
      <c r="C234" s="615">
        <f t="array" ref="C234">INDEX(AccountCodes[PPSAS CODE],MATCH(B234,AccountCodes[NGAS CODE],0))</f>
        <v>5010402000</v>
      </c>
      <c r="D234" s="616">
        <f>IF(INDEX(AccountCodes[Normal Balance], MATCH(C234,AccountCodes[PPSAS CODE]))="Debit",E234-F234,0)</f>
        <v>0</v>
      </c>
      <c r="E234" s="488">
        <f t="array" ref="E234">(SUM(IF((PostTB[Account Code (Old)]=B234),(PostTB[Debit])))+(SUM(IF((CkDJ[Account Code]=B234)*(CkDJ[Date]&lt;=$A$7),(CkDJ[Debit])))+(SUM(IF((CsDJ[Account Code]=B234)*(CsDJ[Date]&lt;=$A$7),(CsDJ[Debit])))+(SUM(IF((CRDJ[Account Code]=B234)*(CRDJ[Date]&lt;=$A$7),(CRDJ[Debit])))+(SUM(IF((GJ[Account Code]=B234)*(GJ[Date]&lt;=$A$7),(GJ[Debit]))))))))</f>
        <v>0</v>
      </c>
      <c r="F234" s="490">
        <f t="array" ref="F234">(SUM(IF((PostTB[Account Code (Old)]=B234),(PostTB[Credit])))+(SUM(IF((CkDJ[Account Code]=B234)*(CkDJ[Date]&lt;=$A$7),(CkDJ[Credit])))+(SUM(IF((CsDJ[Account Code]=B234)*(CsDJ[Date]&lt;=$A$7),(CsDJ[Credit])))+(SUM(IF((CRDJ[Account Code]=B234)*(CRDJ[Date]&lt;=$A$7),(CRDJ[Credit])))+(SUM(IF((GJ[Account Code]=B234)*(GJ[Date]&lt;=$A$7),(GJ[Credit]))))))))</f>
        <v>0</v>
      </c>
      <c r="G234" s="620">
        <f>IF(INDEX(AccountCodes[Normal Balance], MATCH(C234,AccountCodes[PPSAS CODE]))="Credit",F234-E234,0)</f>
        <v>0</v>
      </c>
      <c r="H234" s="621">
        <f t="shared" si="3"/>
        <v>0</v>
      </c>
    </row>
    <row r="235" spans="1:8" ht="15.75" hidden="1">
      <c r="A235" s="613" t="str">
        <f t="array" ref="A235">INDEX(AccountCodes[ACCOUNT NAME],MATCH(B235,AccountCodes[NGAS CODE],0))</f>
        <v>Terminal Leave Benefits</v>
      </c>
      <c r="B235" s="602" t="s">
        <v>212</v>
      </c>
      <c r="C235" s="615">
        <f t="array" ref="C235">INDEX(AccountCodes[PPSAS CODE],MATCH(B235,AccountCodes[NGAS CODE],0))</f>
        <v>5010403000</v>
      </c>
      <c r="D235" s="616">
        <f>IF(INDEX(AccountCodes[Normal Balance], MATCH(C235,AccountCodes[PPSAS CODE]))="Debit",E235-F235,0)</f>
        <v>0</v>
      </c>
      <c r="E235" s="488">
        <f t="array" ref="E235">(SUM(IF((PostTB[Account Code (Old)]=B235),(PostTB[Debit])))+(SUM(IF((CkDJ[Account Code]=B235)*(CkDJ[Date]&lt;=$A$7),(CkDJ[Debit])))+(SUM(IF((CsDJ[Account Code]=B235)*(CsDJ[Date]&lt;=$A$7),(CsDJ[Debit])))+(SUM(IF((CRDJ[Account Code]=B235)*(CRDJ[Date]&lt;=$A$7),(CRDJ[Debit])))+(SUM(IF((GJ[Account Code]=B235)*(GJ[Date]&lt;=$A$7),(GJ[Debit]))))))))</f>
        <v>0</v>
      </c>
      <c r="F235" s="490">
        <f t="array" ref="F235">(SUM(IF((PostTB[Account Code (Old)]=B235),(PostTB[Credit])))+(SUM(IF((CkDJ[Account Code]=B235)*(CkDJ[Date]&lt;=$A$7),(CkDJ[Credit])))+(SUM(IF((CsDJ[Account Code]=B235)*(CsDJ[Date]&lt;=$A$7),(CsDJ[Credit])))+(SUM(IF((CRDJ[Account Code]=B235)*(CRDJ[Date]&lt;=$A$7),(CRDJ[Credit])))+(SUM(IF((GJ[Account Code]=B235)*(GJ[Date]&lt;=$A$7),(GJ[Credit]))))))))</f>
        <v>0</v>
      </c>
      <c r="G235" s="620">
        <f>IF(INDEX(AccountCodes[Normal Balance], MATCH(C235,AccountCodes[PPSAS CODE]))="Credit",F235-E235,0)</f>
        <v>0</v>
      </c>
      <c r="H235" s="621">
        <f t="shared" si="3"/>
        <v>0</v>
      </c>
    </row>
    <row r="236" spans="1:8" ht="15.75" hidden="1">
      <c r="A236" s="613" t="str">
        <f t="array" ref="A236">INDEX(AccountCodes[ACCOUNT NAME],MATCH(B236,AccountCodes[NGAS CODE],0))</f>
        <v>Other Personnel Benefits</v>
      </c>
      <c r="B236" s="602" t="s">
        <v>213</v>
      </c>
      <c r="C236" s="615">
        <f t="array" ref="C236">INDEX(AccountCodes[PPSAS CODE],MATCH(B236,AccountCodes[NGAS CODE],0))</f>
        <v>5010499099</v>
      </c>
      <c r="D236" s="616">
        <f>IF(INDEX(AccountCodes[Normal Balance], MATCH(C236,AccountCodes[PPSAS CODE]))="Debit",E236-F236,0)</f>
        <v>0</v>
      </c>
      <c r="E236" s="488">
        <f t="array" ref="E236">(SUM(IF((PostTB[Account Code (Old)]=B236),(PostTB[Debit])))+(SUM(IF((CkDJ[Account Code]=B236)*(CkDJ[Date]&lt;=$A$7),(CkDJ[Debit])))+(SUM(IF((CsDJ[Account Code]=B236)*(CsDJ[Date]&lt;=$A$7),(CsDJ[Debit])))+(SUM(IF((CRDJ[Account Code]=B236)*(CRDJ[Date]&lt;=$A$7),(CRDJ[Debit])))+(SUM(IF((GJ[Account Code]=B236)*(GJ[Date]&lt;=$A$7),(GJ[Debit]))))))))</f>
        <v>0</v>
      </c>
      <c r="F236" s="490">
        <f t="array" ref="F236">(SUM(IF((PostTB[Account Code (Old)]=B236),(PostTB[Credit])))+(SUM(IF((CkDJ[Account Code]=B236)*(CkDJ[Date]&lt;=$A$7),(CkDJ[Credit])))+(SUM(IF((CsDJ[Account Code]=B236)*(CsDJ[Date]&lt;=$A$7),(CsDJ[Credit])))+(SUM(IF((CRDJ[Account Code]=B236)*(CRDJ[Date]&lt;=$A$7),(CRDJ[Credit])))+(SUM(IF((GJ[Account Code]=B236)*(GJ[Date]&lt;=$A$7),(GJ[Credit]))))))))</f>
        <v>0</v>
      </c>
      <c r="G236" s="620">
        <f>IF(INDEX(AccountCodes[Normal Balance], MATCH(C236,AccountCodes[PPSAS CODE]))="Credit",F236-E236,0)</f>
        <v>0</v>
      </c>
      <c r="H236" s="621">
        <f t="shared" si="3"/>
        <v>0</v>
      </c>
    </row>
    <row r="237" spans="1:8" ht="15.75">
      <c r="A237" s="613" t="str">
        <f t="array" ref="A237">INDEX(AccountCodes[ACCOUNT NAME],MATCH(B237,AccountCodes[NGAS CODE],0))</f>
        <v>Traveling Expenses-Local</v>
      </c>
      <c r="B237" s="602" t="s">
        <v>223</v>
      </c>
      <c r="C237" s="615">
        <f t="array" ref="C237">INDEX(AccountCodes[PPSAS CODE],MATCH(B237,AccountCodes[NGAS CODE],0))</f>
        <v>5020101000</v>
      </c>
      <c r="D237" s="616">
        <f>IF(INDEX(AccountCodes[Normal Balance], MATCH(C237,AccountCodes[PPSAS CODE]))="Debit",E237-F237,0)</f>
        <v>94710.09</v>
      </c>
      <c r="E237" s="488">
        <f t="array" ref="E237">(SUM(IF((PostTB[Account Code (Old)]=B237),(PostTB[Debit])))+(SUM(IF((CkDJ[Account Code]=B237)*(CkDJ[Date]&lt;=$A$7),(CkDJ[Debit])))+(SUM(IF((CsDJ[Account Code]=B237)*(CsDJ[Date]&lt;=$A$7),(CsDJ[Debit])))+(SUM(IF((CRDJ[Account Code]=B237)*(CRDJ[Date]&lt;=$A$7),(CRDJ[Debit])))+(SUM(IF((GJ[Account Code]=B237)*(GJ[Date]&lt;=$A$7),(GJ[Debit]))))))))</f>
        <v>94710.09</v>
      </c>
      <c r="F237" s="490">
        <f t="array" ref="F237">(SUM(IF((PostTB[Account Code (Old)]=B237),(PostTB[Credit])))+(SUM(IF((CkDJ[Account Code]=B237)*(CkDJ[Date]&lt;=$A$7),(CkDJ[Credit])))+(SUM(IF((CsDJ[Account Code]=B237)*(CsDJ[Date]&lt;=$A$7),(CsDJ[Credit])))+(SUM(IF((CRDJ[Account Code]=B237)*(CRDJ[Date]&lt;=$A$7),(CRDJ[Credit])))+(SUM(IF((GJ[Account Code]=B237)*(GJ[Date]&lt;=$A$7),(GJ[Credit]))))))))</f>
        <v>0</v>
      </c>
      <c r="G237" s="620">
        <f>IF(INDEX(AccountCodes[Normal Balance], MATCH(C237,AccountCodes[PPSAS CODE]))="Credit",F237-E237,0)</f>
        <v>0</v>
      </c>
      <c r="H237" s="621">
        <f t="shared" si="3"/>
        <v>94710.09</v>
      </c>
    </row>
    <row r="238" spans="1:8" ht="15.75" hidden="1">
      <c r="A238" s="613" t="str">
        <f t="array" ref="A238">INDEX(AccountCodes[ACCOUNT NAME],MATCH(B238,AccountCodes[NGAS CODE],0))</f>
        <v>Traveling Expenses-Foreign</v>
      </c>
      <c r="B238" s="602" t="s">
        <v>1233</v>
      </c>
      <c r="C238" s="615">
        <f t="array" ref="C238">INDEX(AccountCodes[PPSAS CODE],MATCH(B238,AccountCodes[NGAS CODE],0))</f>
        <v>5020102000</v>
      </c>
      <c r="D238" s="616">
        <f>IF(INDEX(AccountCodes[Normal Balance], MATCH(C238,AccountCodes[PPSAS CODE]))="Debit",E238-F238,0)</f>
        <v>0</v>
      </c>
      <c r="E238" s="488">
        <f t="array" ref="E238">(SUM(IF((PostTB[Account Code (Old)]=B238),(PostTB[Debit])))+(SUM(IF((CkDJ[Account Code]=B238)*(CkDJ[Date]&lt;=$A$7),(CkDJ[Debit])))+(SUM(IF((CsDJ[Account Code]=B238)*(CsDJ[Date]&lt;=$A$7),(CsDJ[Debit])))+(SUM(IF((CRDJ[Account Code]=B238)*(CRDJ[Date]&lt;=$A$7),(CRDJ[Debit])))+(SUM(IF((GJ[Account Code]=B238)*(GJ[Date]&lt;=$A$7),(GJ[Debit]))))))))</f>
        <v>0</v>
      </c>
      <c r="F238" s="490">
        <f t="array" ref="F238">(SUM(IF((PostTB[Account Code (Old)]=B238),(PostTB[Credit])))+(SUM(IF((CkDJ[Account Code]=B238)*(CkDJ[Date]&lt;=$A$7),(CkDJ[Credit])))+(SUM(IF((CsDJ[Account Code]=B238)*(CsDJ[Date]&lt;=$A$7),(CsDJ[Credit])))+(SUM(IF((CRDJ[Account Code]=B238)*(CRDJ[Date]&lt;=$A$7),(CRDJ[Credit])))+(SUM(IF((GJ[Account Code]=B238)*(GJ[Date]&lt;=$A$7),(GJ[Credit]))))))))</f>
        <v>0</v>
      </c>
      <c r="G238" s="620">
        <f>IF(INDEX(AccountCodes[Normal Balance], MATCH(C238,AccountCodes[PPSAS CODE]))="Credit",F238-E238,0)</f>
        <v>0</v>
      </c>
      <c r="H238" s="621">
        <f t="shared" si="3"/>
        <v>0</v>
      </c>
    </row>
    <row r="239" spans="1:8" ht="15.75">
      <c r="A239" s="613" t="str">
        <f t="array" ref="A239">INDEX(AccountCodes[ACCOUNT NAME],MATCH(B239,AccountCodes[NGAS CODE],0))</f>
        <v>Training Expenses</v>
      </c>
      <c r="B239" s="602" t="s">
        <v>224</v>
      </c>
      <c r="C239" s="615">
        <f t="array" ref="C239">INDEX(AccountCodes[PPSAS CODE],MATCH(B239,AccountCodes[NGAS CODE],0))</f>
        <v>5020201000</v>
      </c>
      <c r="D239" s="616">
        <f>IF(INDEX(AccountCodes[Normal Balance], MATCH(C239,AccountCodes[PPSAS CODE]))="Debit",E239-F239,0)</f>
        <v>1035215</v>
      </c>
      <c r="E239" s="488">
        <f t="array" ref="E239">(SUM(IF((PostTB[Account Code (Old)]=B239),(PostTB[Debit])))+(SUM(IF((CkDJ[Account Code]=B239)*(CkDJ[Date]&lt;=$A$7),(CkDJ[Debit])))+(SUM(IF((CsDJ[Account Code]=B239)*(CsDJ[Date]&lt;=$A$7),(CsDJ[Debit])))+(SUM(IF((CRDJ[Account Code]=B239)*(CRDJ[Date]&lt;=$A$7),(CRDJ[Debit])))+(SUM(IF((GJ[Account Code]=B239)*(GJ[Date]&lt;=$A$7),(GJ[Debit]))))))))</f>
        <v>1035215</v>
      </c>
      <c r="F239" s="490">
        <f t="array" ref="F239">(SUM(IF((PostTB[Account Code (Old)]=B239),(PostTB[Credit])))+(SUM(IF((CkDJ[Account Code]=B239)*(CkDJ[Date]&lt;=$A$7),(CkDJ[Credit])))+(SUM(IF((CsDJ[Account Code]=B239)*(CsDJ[Date]&lt;=$A$7),(CsDJ[Credit])))+(SUM(IF((CRDJ[Account Code]=B239)*(CRDJ[Date]&lt;=$A$7),(CRDJ[Credit])))+(SUM(IF((GJ[Account Code]=B239)*(GJ[Date]&lt;=$A$7),(GJ[Credit]))))))))</f>
        <v>0</v>
      </c>
      <c r="G239" s="620">
        <f>IF(INDEX(AccountCodes[Normal Balance], MATCH(C239,AccountCodes[PPSAS CODE]))="Credit",F239-E239,0)</f>
        <v>0</v>
      </c>
      <c r="H239" s="621">
        <f t="shared" si="3"/>
        <v>1035215</v>
      </c>
    </row>
    <row r="240" spans="1:8" ht="15.75" hidden="1">
      <c r="A240" s="613" t="str">
        <f t="array" ref="A240">INDEX(AccountCodes[ACCOUNT NAME],MATCH(B240,AccountCodes[NGAS CODE],0))</f>
        <v>Scholarship Grants/Expenses</v>
      </c>
      <c r="B240" s="602" t="s">
        <v>1234</v>
      </c>
      <c r="C240" s="615">
        <f t="array" ref="C240">INDEX(AccountCodes[PPSAS CODE],MATCH(B240,AccountCodes[NGAS CODE],0))</f>
        <v>5020202000</v>
      </c>
      <c r="D240" s="616">
        <f>IF(INDEX(AccountCodes[Normal Balance], MATCH(C240,AccountCodes[PPSAS CODE]))="Debit",E240-F240,0)</f>
        <v>0</v>
      </c>
      <c r="E240" s="488">
        <f t="array" ref="E240">(SUM(IF((PostTB[Account Code (Old)]=B240),(PostTB[Debit])))+(SUM(IF((CkDJ[Account Code]=B240)*(CkDJ[Date]&lt;=$A$7),(CkDJ[Debit])))+(SUM(IF((CsDJ[Account Code]=B240)*(CsDJ[Date]&lt;=$A$7),(CsDJ[Debit])))+(SUM(IF((CRDJ[Account Code]=B240)*(CRDJ[Date]&lt;=$A$7),(CRDJ[Debit])))+(SUM(IF((GJ[Account Code]=B240)*(GJ[Date]&lt;=$A$7),(GJ[Debit]))))))))</f>
        <v>0</v>
      </c>
      <c r="F240" s="490">
        <f t="array" ref="F240">(SUM(IF((PostTB[Account Code (Old)]=B240),(PostTB[Credit])))+(SUM(IF((CkDJ[Account Code]=B240)*(CkDJ[Date]&lt;=$A$7),(CkDJ[Credit])))+(SUM(IF((CsDJ[Account Code]=B240)*(CsDJ[Date]&lt;=$A$7),(CsDJ[Credit])))+(SUM(IF((CRDJ[Account Code]=B240)*(CRDJ[Date]&lt;=$A$7),(CRDJ[Credit])))+(SUM(IF((GJ[Account Code]=B240)*(GJ[Date]&lt;=$A$7),(GJ[Credit]))))))))</f>
        <v>0</v>
      </c>
      <c r="G240" s="620">
        <f>IF(INDEX(AccountCodes[Normal Balance], MATCH(C240,AccountCodes[PPSAS CODE]))="Credit",F240-E240,0)</f>
        <v>0</v>
      </c>
      <c r="H240" s="621">
        <f t="shared" si="3"/>
        <v>0</v>
      </c>
    </row>
    <row r="241" spans="1:8" ht="15.75">
      <c r="A241" s="613" t="str">
        <f t="array" ref="A241">INDEX(AccountCodes[ACCOUNT NAME],MATCH(B241,AccountCodes[NGAS CODE],0))</f>
        <v>Office Supplies Expenses</v>
      </c>
      <c r="B241" s="602" t="s">
        <v>225</v>
      </c>
      <c r="C241" s="615">
        <f t="array" ref="C241">INDEX(AccountCodes[PPSAS CODE],MATCH(B241,AccountCodes[NGAS CODE],0))</f>
        <v>5020301000</v>
      </c>
      <c r="D241" s="616">
        <f>IF(INDEX(AccountCodes[Normal Balance], MATCH(C241,AccountCodes[PPSAS CODE]))="Debit",E241-F241,0)</f>
        <v>426103.96</v>
      </c>
      <c r="E241" s="488">
        <f t="array" ref="E241">(SUM(IF((PostTB[Account Code (Old)]=B241),(PostTB[Debit])))+(SUM(IF((CkDJ[Account Code]=B241)*(CkDJ[Date]&lt;=$A$7),(CkDJ[Debit])))+(SUM(IF((CsDJ[Account Code]=B241)*(CsDJ[Date]&lt;=$A$7),(CsDJ[Debit])))+(SUM(IF((CRDJ[Account Code]=B241)*(CRDJ[Date]&lt;=$A$7),(CRDJ[Debit])))+(SUM(IF((GJ[Account Code]=B241)*(GJ[Date]&lt;=$A$7),(GJ[Debit]))))))))</f>
        <v>426103.96</v>
      </c>
      <c r="F241" s="490">
        <f t="array" ref="F241">(SUM(IF((PostTB[Account Code (Old)]=B241),(PostTB[Credit])))+(SUM(IF((CkDJ[Account Code]=B241)*(CkDJ[Date]&lt;=$A$7),(CkDJ[Credit])))+(SUM(IF((CsDJ[Account Code]=B241)*(CsDJ[Date]&lt;=$A$7),(CsDJ[Credit])))+(SUM(IF((CRDJ[Account Code]=B241)*(CRDJ[Date]&lt;=$A$7),(CRDJ[Credit])))+(SUM(IF((GJ[Account Code]=B241)*(GJ[Date]&lt;=$A$7),(GJ[Credit]))))))))</f>
        <v>0</v>
      </c>
      <c r="G241" s="620">
        <f>IF(INDEX(AccountCodes[Normal Balance], MATCH(C241,AccountCodes[PPSAS CODE]))="Credit",F241-E241,0)</f>
        <v>0</v>
      </c>
      <c r="H241" s="621">
        <f t="shared" si="3"/>
        <v>426103.96</v>
      </c>
    </row>
    <row r="242" spans="1:8" ht="15.75" hidden="1">
      <c r="A242" s="613" t="str">
        <f t="array" ref="A242">INDEX(AccountCodes[ACCOUNT NAME],MATCH(B242,AccountCodes[NGAS CODE],0))</f>
        <v>Accountable Forms Expenses</v>
      </c>
      <c r="B242" s="602" t="s">
        <v>226</v>
      </c>
      <c r="C242" s="615">
        <f t="array" ref="C242">INDEX(AccountCodes[PPSAS CODE],MATCH(B242,AccountCodes[NGAS CODE],0))</f>
        <v>5020302000</v>
      </c>
      <c r="D242" s="616">
        <f>IF(INDEX(AccountCodes[Normal Balance], MATCH(C242,AccountCodes[PPSAS CODE]))="Debit",E242-F242,0)</f>
        <v>0</v>
      </c>
      <c r="E242" s="488">
        <f t="array" ref="E242">(SUM(IF((PostTB[Account Code (Old)]=B242),(PostTB[Debit])))+(SUM(IF((CkDJ[Account Code]=B242)*(CkDJ[Date]&lt;=$A$7),(CkDJ[Debit])))+(SUM(IF((CsDJ[Account Code]=B242)*(CsDJ[Date]&lt;=$A$7),(CsDJ[Debit])))+(SUM(IF((CRDJ[Account Code]=B242)*(CRDJ[Date]&lt;=$A$7),(CRDJ[Debit])))+(SUM(IF((GJ[Account Code]=B242)*(GJ[Date]&lt;=$A$7),(GJ[Debit]))))))))</f>
        <v>0</v>
      </c>
      <c r="F242" s="490">
        <f t="array" ref="F242">(SUM(IF((PostTB[Account Code (Old)]=B242),(PostTB[Credit])))+(SUM(IF((CkDJ[Account Code]=B242)*(CkDJ[Date]&lt;=$A$7),(CkDJ[Credit])))+(SUM(IF((CsDJ[Account Code]=B242)*(CsDJ[Date]&lt;=$A$7),(CsDJ[Credit])))+(SUM(IF((CRDJ[Account Code]=B242)*(CRDJ[Date]&lt;=$A$7),(CRDJ[Credit])))+(SUM(IF((GJ[Account Code]=B242)*(GJ[Date]&lt;=$A$7),(GJ[Credit]))))))))</f>
        <v>0</v>
      </c>
      <c r="G242" s="620">
        <f>IF(INDEX(AccountCodes[Normal Balance], MATCH(C242,AccountCodes[PPSAS CODE]))="Credit",F242-E242,0)</f>
        <v>0</v>
      </c>
      <c r="H242" s="621">
        <f t="shared" si="3"/>
        <v>0</v>
      </c>
    </row>
    <row r="243" spans="1:8" ht="15.75" hidden="1">
      <c r="A243" s="613" t="str">
        <f t="array" ref="A243">INDEX(AccountCodes[ACCOUNT NAME],MATCH(B243,AccountCodes[NGAS CODE],0))</f>
        <v>Food Supplies Expenses</v>
      </c>
      <c r="B243" s="602" t="s">
        <v>1235</v>
      </c>
      <c r="C243" s="615">
        <f t="array" ref="C243">INDEX(AccountCodes[PPSAS CODE],MATCH(B243,AccountCodes[NGAS CODE],0))</f>
        <v>5020305000</v>
      </c>
      <c r="D243" s="616">
        <f>IF(INDEX(AccountCodes[Normal Balance], MATCH(C243,AccountCodes[PPSAS CODE]))="Debit",E243-F243,0)</f>
        <v>0</v>
      </c>
      <c r="E243" s="488">
        <f t="array" ref="E243">(SUM(IF((PostTB[Account Code (Old)]=B243),(PostTB[Debit])))+(SUM(IF((CkDJ[Account Code]=B243)*(CkDJ[Date]&lt;=$A$7),(CkDJ[Debit])))+(SUM(IF((CsDJ[Account Code]=B243)*(CsDJ[Date]&lt;=$A$7),(CsDJ[Debit])))+(SUM(IF((CRDJ[Account Code]=B243)*(CRDJ[Date]&lt;=$A$7),(CRDJ[Debit])))+(SUM(IF((GJ[Account Code]=B243)*(GJ[Date]&lt;=$A$7),(GJ[Debit]))))))))</f>
        <v>0</v>
      </c>
      <c r="F243" s="490">
        <f t="array" ref="F243">(SUM(IF((PostTB[Account Code (Old)]=B243),(PostTB[Credit])))+(SUM(IF((CkDJ[Account Code]=B243)*(CkDJ[Date]&lt;=$A$7),(CkDJ[Credit])))+(SUM(IF((CsDJ[Account Code]=B243)*(CsDJ[Date]&lt;=$A$7),(CsDJ[Credit])))+(SUM(IF((CRDJ[Account Code]=B243)*(CRDJ[Date]&lt;=$A$7),(CRDJ[Credit])))+(SUM(IF((GJ[Account Code]=B243)*(GJ[Date]&lt;=$A$7),(GJ[Credit]))))))))</f>
        <v>0</v>
      </c>
      <c r="G243" s="620">
        <f>IF(INDEX(AccountCodes[Normal Balance], MATCH(C243,AccountCodes[PPSAS CODE]))="Credit",F243-E243,0)</f>
        <v>0</v>
      </c>
      <c r="H243" s="621">
        <f t="shared" si="3"/>
        <v>0</v>
      </c>
    </row>
    <row r="244" spans="1:8" ht="15.75">
      <c r="A244" s="613" t="str">
        <f t="array" ref="A244">INDEX(AccountCodes[ACCOUNT NAME],MATCH(B244,AccountCodes[NGAS CODE],0))</f>
        <v>Drugs and Medicines Expenses</v>
      </c>
      <c r="B244" s="602" t="s">
        <v>227</v>
      </c>
      <c r="C244" s="615">
        <f t="array" ref="C244">INDEX(AccountCodes[PPSAS CODE],MATCH(B244,AccountCodes[NGAS CODE],0))</f>
        <v>5020307000</v>
      </c>
      <c r="D244" s="616">
        <f>IF(INDEX(AccountCodes[Normal Balance], MATCH(C244,AccountCodes[PPSAS CODE]))="Debit",E244-F244,0)</f>
        <v>0</v>
      </c>
      <c r="E244" s="488">
        <f t="array" ref="E244">(SUM(IF((PostTB[Account Code (Old)]=B244),(PostTB[Debit])))+(SUM(IF((CkDJ[Account Code]=B244)*(CkDJ[Date]&lt;=$A$7),(CkDJ[Debit])))+(SUM(IF((CsDJ[Account Code]=B244)*(CsDJ[Date]&lt;=$A$7),(CsDJ[Debit])))+(SUM(IF((CRDJ[Account Code]=B244)*(CRDJ[Date]&lt;=$A$7),(CRDJ[Debit])))+(SUM(IF((GJ[Account Code]=B244)*(GJ[Date]&lt;=$A$7),(GJ[Debit]))))))))</f>
        <v>0</v>
      </c>
      <c r="F244" s="490">
        <f t="array" ref="F244">(SUM(IF((PostTB[Account Code (Old)]=B244),(PostTB[Credit])))+(SUM(IF((CkDJ[Account Code]=B244)*(CkDJ[Date]&lt;=$A$7),(CkDJ[Credit])))+(SUM(IF((CsDJ[Account Code]=B244)*(CsDJ[Date]&lt;=$A$7),(CsDJ[Credit])))+(SUM(IF((CRDJ[Account Code]=B244)*(CRDJ[Date]&lt;=$A$7),(CRDJ[Credit])))+(SUM(IF((GJ[Account Code]=B244)*(GJ[Date]&lt;=$A$7),(GJ[Credit]))))))))</f>
        <v>0</v>
      </c>
      <c r="G244" s="620">
        <f>IF(INDEX(AccountCodes[Normal Balance], MATCH(C244,AccountCodes[PPSAS CODE]))="Credit",F244-E244,0)</f>
        <v>0</v>
      </c>
      <c r="H244" s="621">
        <f t="shared" si="3"/>
        <v>0</v>
      </c>
    </row>
    <row r="245" spans="1:8" ht="15.75" hidden="1">
      <c r="A245" s="613" t="str">
        <f t="array" ref="A245">INDEX(AccountCodes[ACCOUNT NAME],MATCH(B245,AccountCodes[NGAS CODE],0))</f>
        <v>Medical, Dental and Laboratory Supplies Expenses</v>
      </c>
      <c r="B245" s="602" t="s">
        <v>228</v>
      </c>
      <c r="C245" s="615">
        <f t="array" ref="C245">INDEX(AccountCodes[PPSAS CODE],MATCH(B245,AccountCodes[NGAS CODE],0))</f>
        <v>5020308000</v>
      </c>
      <c r="D245" s="616">
        <f>IF(INDEX(AccountCodes[Normal Balance], MATCH(C245,AccountCodes[PPSAS CODE]))="Debit",E245-F245,0)</f>
        <v>0</v>
      </c>
      <c r="E245" s="488">
        <f t="array" ref="E245">(SUM(IF((PostTB[Account Code (Old)]=B245),(PostTB[Debit])))+(SUM(IF((CkDJ[Account Code]=B245)*(CkDJ[Date]&lt;=$A$7),(CkDJ[Debit])))+(SUM(IF((CsDJ[Account Code]=B245)*(CsDJ[Date]&lt;=$A$7),(CsDJ[Debit])))+(SUM(IF((CRDJ[Account Code]=B245)*(CRDJ[Date]&lt;=$A$7),(CRDJ[Debit])))+(SUM(IF((GJ[Account Code]=B245)*(GJ[Date]&lt;=$A$7),(GJ[Debit]))))))))</f>
        <v>0</v>
      </c>
      <c r="F245" s="490">
        <f t="array" ref="F245">(SUM(IF((PostTB[Account Code (Old)]=B245),(PostTB[Credit])))+(SUM(IF((CkDJ[Account Code]=B245)*(CkDJ[Date]&lt;=$A$7),(CkDJ[Credit])))+(SUM(IF((CsDJ[Account Code]=B245)*(CsDJ[Date]&lt;=$A$7),(CsDJ[Credit])))+(SUM(IF((CRDJ[Account Code]=B245)*(CRDJ[Date]&lt;=$A$7),(CRDJ[Credit])))+(SUM(IF((GJ[Account Code]=B245)*(GJ[Date]&lt;=$A$7),(GJ[Credit]))))))))</f>
        <v>0</v>
      </c>
      <c r="G245" s="620">
        <f>IF(INDEX(AccountCodes[Normal Balance], MATCH(C245,AccountCodes[PPSAS CODE]))="Credit",F245-E245,0)</f>
        <v>0</v>
      </c>
      <c r="H245" s="621">
        <f t="shared" si="3"/>
        <v>0</v>
      </c>
    </row>
    <row r="246" spans="1:8" ht="15.75">
      <c r="A246" s="613" t="str">
        <f t="array" ref="A246">INDEX(AccountCodes[ACCOUNT NAME],MATCH(B246,AccountCodes[NGAS CODE],0))</f>
        <v>Fuel, Oil and Lubricants Expenses</v>
      </c>
      <c r="B246" s="602" t="s">
        <v>229</v>
      </c>
      <c r="C246" s="615">
        <f t="array" ref="C246">INDEX(AccountCodes[PPSAS CODE],MATCH(B246,AccountCodes[NGAS CODE],0))</f>
        <v>5020309000</v>
      </c>
      <c r="D246" s="616">
        <f>IF(INDEX(AccountCodes[Normal Balance], MATCH(C246,AccountCodes[PPSAS CODE]))="Debit",E246-F246,0)</f>
        <v>84485.21</v>
      </c>
      <c r="E246" s="488">
        <f t="array" ref="E246">(SUM(IF((PostTB[Account Code (Old)]=B246),(PostTB[Debit])))+(SUM(IF((CkDJ[Account Code]=B246)*(CkDJ[Date]&lt;=$A$7),(CkDJ[Debit])))+(SUM(IF((CsDJ[Account Code]=B246)*(CsDJ[Date]&lt;=$A$7),(CsDJ[Debit])))+(SUM(IF((CRDJ[Account Code]=B246)*(CRDJ[Date]&lt;=$A$7),(CRDJ[Debit])))+(SUM(IF((GJ[Account Code]=B246)*(GJ[Date]&lt;=$A$7),(GJ[Debit]))))))))</f>
        <v>84485.21</v>
      </c>
      <c r="F246" s="490">
        <f t="array" ref="F246">(SUM(IF((PostTB[Account Code (Old)]=B246),(PostTB[Credit])))+(SUM(IF((CkDJ[Account Code]=B246)*(CkDJ[Date]&lt;=$A$7),(CkDJ[Credit])))+(SUM(IF((CsDJ[Account Code]=B246)*(CsDJ[Date]&lt;=$A$7),(CsDJ[Credit])))+(SUM(IF((CRDJ[Account Code]=B246)*(CRDJ[Date]&lt;=$A$7),(CRDJ[Credit])))+(SUM(IF((GJ[Account Code]=B246)*(GJ[Date]&lt;=$A$7),(GJ[Credit]))))))))</f>
        <v>0</v>
      </c>
      <c r="G246" s="620">
        <f>IF(INDEX(AccountCodes[Normal Balance], MATCH(C246,AccountCodes[PPSAS CODE]))="Credit",F246-E246,0)</f>
        <v>0</v>
      </c>
      <c r="H246" s="621">
        <f t="shared" si="3"/>
        <v>84485.21</v>
      </c>
    </row>
    <row r="247" spans="1:8" ht="15.75" hidden="1">
      <c r="A247" s="613" t="str">
        <f t="array" ref="A247">INDEX(AccountCodes[ACCOUNT NAME],MATCH(B247,AccountCodes[NGAS CODE],0))</f>
        <v>Textbooks and Instructional Materials Expenses</v>
      </c>
      <c r="B247" s="602" t="s">
        <v>230</v>
      </c>
      <c r="C247" s="615">
        <f t="array" ref="C247">INDEX(AccountCodes[PPSAS CODE],MATCH(B247,AccountCodes[NGAS CODE],0))</f>
        <v>5020311000</v>
      </c>
      <c r="D247" s="616">
        <f>IF(INDEX(AccountCodes[Normal Balance], MATCH(C247,AccountCodes[PPSAS CODE]))="Debit",E247-F247,0)</f>
        <v>0</v>
      </c>
      <c r="E247" s="488">
        <f t="array" ref="E247">(SUM(IF((PostTB[Account Code (Old)]=B247),(PostTB[Debit])))+(SUM(IF((CkDJ[Account Code]=B247)*(CkDJ[Date]&lt;=$A$7),(CkDJ[Debit])))+(SUM(IF((CsDJ[Account Code]=B247)*(CsDJ[Date]&lt;=$A$7),(CsDJ[Debit])))+(SUM(IF((CRDJ[Account Code]=B247)*(CRDJ[Date]&lt;=$A$7),(CRDJ[Debit])))+(SUM(IF((GJ[Account Code]=B247)*(GJ[Date]&lt;=$A$7),(GJ[Debit]))))))))</f>
        <v>0</v>
      </c>
      <c r="F247" s="490">
        <f t="array" ref="F247">(SUM(IF((PostTB[Account Code (Old)]=B247),(PostTB[Credit])))+(SUM(IF((CkDJ[Account Code]=B247)*(CkDJ[Date]&lt;=$A$7),(CkDJ[Credit])))+(SUM(IF((CsDJ[Account Code]=B247)*(CsDJ[Date]&lt;=$A$7),(CsDJ[Credit])))+(SUM(IF((CRDJ[Account Code]=B247)*(CRDJ[Date]&lt;=$A$7),(CRDJ[Credit])))+(SUM(IF((GJ[Account Code]=B247)*(GJ[Date]&lt;=$A$7),(GJ[Credit]))))))))</f>
        <v>0</v>
      </c>
      <c r="G247" s="620">
        <f>IF(INDEX(AccountCodes[Normal Balance], MATCH(C247,AccountCodes[PPSAS CODE]))="Credit",F247-E247,0)</f>
        <v>0</v>
      </c>
      <c r="H247" s="621">
        <f t="shared" si="3"/>
        <v>0</v>
      </c>
    </row>
    <row r="248" spans="1:8" ht="15.75" hidden="1">
      <c r="A248" s="613" t="str">
        <f t="array" ref="A248">INDEX(AccountCodes[ACCOUNT NAME],MATCH(B248,AccountCodes[NGAS CODE],0))</f>
        <v>Military, Police and Traffic Supplies Expenses</v>
      </c>
      <c r="B248" s="602" t="s">
        <v>1236</v>
      </c>
      <c r="C248" s="615">
        <f t="array" ref="C248">INDEX(AccountCodes[PPSAS CODE],MATCH(B248,AccountCodes[NGAS CODE],0))</f>
        <v>5020312000</v>
      </c>
      <c r="D248" s="616">
        <f>IF(INDEX(AccountCodes[Normal Balance], MATCH(C248,AccountCodes[PPSAS CODE]))="Debit",E248-F248,0)</f>
        <v>0</v>
      </c>
      <c r="E248" s="488">
        <f t="array" ref="E248">(SUM(IF((PostTB[Account Code (Old)]=B248),(PostTB[Debit])))+(SUM(IF((CkDJ[Account Code]=B248)*(CkDJ[Date]&lt;=$A$7),(CkDJ[Debit])))+(SUM(IF((CsDJ[Account Code]=B248)*(CsDJ[Date]&lt;=$A$7),(CsDJ[Debit])))+(SUM(IF((CRDJ[Account Code]=B248)*(CRDJ[Date]&lt;=$A$7),(CRDJ[Debit])))+(SUM(IF((GJ[Account Code]=B248)*(GJ[Date]&lt;=$A$7),(GJ[Debit]))))))))</f>
        <v>0</v>
      </c>
      <c r="F248" s="490">
        <f t="array" ref="F248">(SUM(IF((PostTB[Account Code (Old)]=B248),(PostTB[Credit])))+(SUM(IF((CkDJ[Account Code]=B248)*(CkDJ[Date]&lt;=$A$7),(CkDJ[Credit])))+(SUM(IF((CsDJ[Account Code]=B248)*(CsDJ[Date]&lt;=$A$7),(CsDJ[Credit])))+(SUM(IF((CRDJ[Account Code]=B248)*(CRDJ[Date]&lt;=$A$7),(CRDJ[Credit])))+(SUM(IF((GJ[Account Code]=B248)*(GJ[Date]&lt;=$A$7),(GJ[Credit]))))))))</f>
        <v>0</v>
      </c>
      <c r="G248" s="620">
        <f>IF(INDEX(AccountCodes[Normal Balance], MATCH(C248,AccountCodes[PPSAS CODE]))="Credit",F248-E248,0)</f>
        <v>0</v>
      </c>
      <c r="H248" s="621">
        <f t="shared" si="3"/>
        <v>0</v>
      </c>
    </row>
    <row r="249" spans="1:8" ht="15.75">
      <c r="A249" s="613" t="str">
        <f t="array" ref="A249">INDEX(AccountCodes[ACCOUNT NAME],MATCH(B249,AccountCodes[NGAS CODE],0))</f>
        <v>Semi-Expendable Machinery and Equipment Expenses</v>
      </c>
      <c r="B249" s="602" t="s">
        <v>1265</v>
      </c>
      <c r="C249" s="615">
        <f t="array" ref="C249">INDEX(AccountCodes[PPSAS CODE],MATCH(B249,AccountCodes[NGAS CODE],0))</f>
        <v>5020321000</v>
      </c>
      <c r="D249" s="616">
        <f>IF(INDEX(AccountCodes[Normal Balance], MATCH(C249,AccountCodes[PPSAS CODE]))="Debit",E249-F249,0)</f>
        <v>122058</v>
      </c>
      <c r="E249" s="488">
        <f t="array" ref="E249">(SUM(IF((PostTB[Account Code (Old)]=B249),(PostTB[Debit])))+(SUM(IF((CkDJ[Account Code]=B249)*(CkDJ[Date]&lt;=$A$7),(CkDJ[Debit])))+(SUM(IF((CsDJ[Account Code]=B249)*(CsDJ[Date]&lt;=$A$7),(CsDJ[Debit])))+(SUM(IF((CRDJ[Account Code]=B249)*(CRDJ[Date]&lt;=$A$7),(CRDJ[Debit])))+(SUM(IF((GJ[Account Code]=B249)*(GJ[Date]&lt;=$A$7),(GJ[Debit]))))))))</f>
        <v>122058</v>
      </c>
      <c r="F249" s="490">
        <f t="array" ref="F249">(SUM(IF((PostTB[Account Code (Old)]=B249),(PostTB[Credit])))+(SUM(IF((CkDJ[Account Code]=B249)*(CkDJ[Date]&lt;=$A$7),(CkDJ[Credit])))+(SUM(IF((CsDJ[Account Code]=B249)*(CsDJ[Date]&lt;=$A$7),(CsDJ[Credit])))+(SUM(IF((CRDJ[Account Code]=B249)*(CRDJ[Date]&lt;=$A$7),(CRDJ[Credit])))+(SUM(IF((GJ[Account Code]=B249)*(GJ[Date]&lt;=$A$7),(GJ[Credit]))))))))</f>
        <v>0</v>
      </c>
      <c r="G249" s="620">
        <f>IF(INDEX(AccountCodes[Normal Balance], MATCH(C249,AccountCodes[PPSAS CODE]))="Credit",F249-E249,0)</f>
        <v>0</v>
      </c>
      <c r="H249" s="621">
        <f t="shared" si="3"/>
        <v>122058</v>
      </c>
    </row>
    <row r="250" spans="1:8" ht="15.75" hidden="1">
      <c r="A250" s="613" t="str">
        <f t="array" ref="A250">INDEX(AccountCodes[ACCOUNT NAME],MATCH(B250,AccountCodes[NGAS CODE],0))</f>
        <v>Semi-Expendable Furniture, Fixtures and Books Expenses</v>
      </c>
      <c r="B250" s="602" t="s">
        <v>1266</v>
      </c>
      <c r="C250" s="615">
        <f t="array" ref="C250">INDEX(AccountCodes[PPSAS CODE],MATCH(B250,AccountCodes[NGAS CODE],0))</f>
        <v>5020322000</v>
      </c>
      <c r="D250" s="616">
        <f>IF(INDEX(AccountCodes[Normal Balance], MATCH(C250,AccountCodes[PPSAS CODE]))="Debit",E250-F250,0)</f>
        <v>67388</v>
      </c>
      <c r="E250" s="488">
        <f t="array" ref="E250">(SUM(IF((PostTB[Account Code (Old)]=B250),(PostTB[Debit])))+(SUM(IF((CkDJ[Account Code]=B250)*(CkDJ[Date]&lt;=$A$7),(CkDJ[Debit])))+(SUM(IF((CsDJ[Account Code]=B250)*(CsDJ[Date]&lt;=$A$7),(CsDJ[Debit])))+(SUM(IF((CRDJ[Account Code]=B250)*(CRDJ[Date]&lt;=$A$7),(CRDJ[Debit])))+(SUM(IF((GJ[Account Code]=B250)*(GJ[Date]&lt;=$A$7),(GJ[Debit]))))))))</f>
        <v>67388</v>
      </c>
      <c r="F250" s="490">
        <f t="array" ref="F250">(SUM(IF((PostTB[Account Code (Old)]=B250),(PostTB[Credit])))+(SUM(IF((CkDJ[Account Code]=B250)*(CkDJ[Date]&lt;=$A$7),(CkDJ[Credit])))+(SUM(IF((CsDJ[Account Code]=B250)*(CsDJ[Date]&lt;=$A$7),(CsDJ[Credit])))+(SUM(IF((CRDJ[Account Code]=B250)*(CRDJ[Date]&lt;=$A$7),(CRDJ[Credit])))+(SUM(IF((GJ[Account Code]=B250)*(GJ[Date]&lt;=$A$7),(GJ[Credit]))))))))</f>
        <v>0</v>
      </c>
      <c r="G250" s="620">
        <f>IF(INDEX(AccountCodes[Normal Balance], MATCH(C250,AccountCodes[PPSAS CODE]))="Credit",F250-E250,0)</f>
        <v>0</v>
      </c>
      <c r="H250" s="621">
        <f t="shared" si="3"/>
        <v>67388</v>
      </c>
    </row>
    <row r="251" spans="1:8" ht="15.75">
      <c r="A251" s="613" t="str">
        <f t="array" ref="A251">INDEX(AccountCodes[ACCOUNT NAME],MATCH(B251,AccountCodes[NGAS CODE],0))</f>
        <v>Other Supplies and Materials Expenses</v>
      </c>
      <c r="B251" s="602" t="s">
        <v>231</v>
      </c>
      <c r="C251" s="615">
        <f t="array" ref="C251">INDEX(AccountCodes[PPSAS CODE],MATCH(B251,AccountCodes[NGAS CODE],0))</f>
        <v>5020399000</v>
      </c>
      <c r="D251" s="616">
        <f>IF(INDEX(AccountCodes[Normal Balance], MATCH(C251,AccountCodes[PPSAS CODE]))="Debit",E251-F251,0)</f>
        <v>23887.65</v>
      </c>
      <c r="E251" s="488">
        <f t="array" ref="E251">(SUM(IF((PostTB[Account Code (Old)]=B251),(PostTB[Debit])))+(SUM(IF((CkDJ[Account Code]=B251)*(CkDJ[Date]&lt;=$A$7),(CkDJ[Debit])))+(SUM(IF((CsDJ[Account Code]=B251)*(CsDJ[Date]&lt;=$A$7),(CsDJ[Debit])))+(SUM(IF((CRDJ[Account Code]=B251)*(CRDJ[Date]&lt;=$A$7),(CRDJ[Debit])))+(SUM(IF((GJ[Account Code]=B251)*(GJ[Date]&lt;=$A$7),(GJ[Debit]))))))))</f>
        <v>25444.5</v>
      </c>
      <c r="F251" s="490">
        <f t="array" ref="F251">(SUM(IF((PostTB[Account Code (Old)]=B251),(PostTB[Credit])))+(SUM(IF((CkDJ[Account Code]=B251)*(CkDJ[Date]&lt;=$A$7),(CkDJ[Credit])))+(SUM(IF((CsDJ[Account Code]=B251)*(CsDJ[Date]&lt;=$A$7),(CsDJ[Credit])))+(SUM(IF((CRDJ[Account Code]=B251)*(CRDJ[Date]&lt;=$A$7),(CRDJ[Credit])))+(SUM(IF((GJ[Account Code]=B251)*(GJ[Date]&lt;=$A$7),(GJ[Credit]))))))))</f>
        <v>1556.85</v>
      </c>
      <c r="G251" s="620">
        <f>IF(INDEX(AccountCodes[Normal Balance], MATCH(C251,AccountCodes[PPSAS CODE]))="Credit",F251-E251,0)</f>
        <v>0</v>
      </c>
      <c r="H251" s="621">
        <f t="shared" si="3"/>
        <v>23887.65</v>
      </c>
    </row>
    <row r="252" spans="1:8" ht="15.75">
      <c r="A252" s="613" t="str">
        <f t="array" ref="A252">INDEX(AccountCodes[ACCOUNT NAME],MATCH(B252,AccountCodes[NGAS CODE],0))</f>
        <v>Water Expenses</v>
      </c>
      <c r="B252" s="602" t="s">
        <v>232</v>
      </c>
      <c r="C252" s="615">
        <f t="array" ref="C252">INDEX(AccountCodes[PPSAS CODE],MATCH(B252,AccountCodes[NGAS CODE],0))</f>
        <v>5020401000</v>
      </c>
      <c r="D252" s="616">
        <f>IF(INDEX(AccountCodes[Normal Balance], MATCH(C252,AccountCodes[PPSAS CODE]))="Debit",E252-F252,0)</f>
        <v>0</v>
      </c>
      <c r="E252" s="488">
        <f t="array" ref="E252">(SUM(IF((PostTB[Account Code (Old)]=B252),(PostTB[Debit])))+(SUM(IF((CkDJ[Account Code]=B252)*(CkDJ[Date]&lt;=$A$7),(CkDJ[Debit])))+(SUM(IF((CsDJ[Account Code]=B252)*(CsDJ[Date]&lt;=$A$7),(CsDJ[Debit])))+(SUM(IF((CRDJ[Account Code]=B252)*(CRDJ[Date]&lt;=$A$7),(CRDJ[Debit])))+(SUM(IF((GJ[Account Code]=B252)*(GJ[Date]&lt;=$A$7),(GJ[Debit]))))))))</f>
        <v>0</v>
      </c>
      <c r="F252" s="490">
        <f t="array" ref="F252">(SUM(IF((PostTB[Account Code (Old)]=B252),(PostTB[Credit])))+(SUM(IF((CkDJ[Account Code]=B252)*(CkDJ[Date]&lt;=$A$7),(CkDJ[Credit])))+(SUM(IF((CsDJ[Account Code]=B252)*(CsDJ[Date]&lt;=$A$7),(CsDJ[Credit])))+(SUM(IF((CRDJ[Account Code]=B252)*(CRDJ[Date]&lt;=$A$7),(CRDJ[Credit])))+(SUM(IF((GJ[Account Code]=B252)*(GJ[Date]&lt;=$A$7),(GJ[Credit]))))))))</f>
        <v>0</v>
      </c>
      <c r="G252" s="620">
        <f>IF(INDEX(AccountCodes[Normal Balance], MATCH(C252,AccountCodes[PPSAS CODE]))="Credit",F252-E252,0)</f>
        <v>0</v>
      </c>
      <c r="H252" s="621">
        <f t="shared" si="3"/>
        <v>0</v>
      </c>
    </row>
    <row r="253" spans="1:8" ht="15.75">
      <c r="A253" s="613" t="str">
        <f t="array" ref="A253">INDEX(AccountCodes[ACCOUNT NAME],MATCH(B253,AccountCodes[NGAS CODE],0))</f>
        <v>Electricity Expenses</v>
      </c>
      <c r="B253" s="602" t="s">
        <v>233</v>
      </c>
      <c r="C253" s="615">
        <f t="array" ref="C253">INDEX(AccountCodes[PPSAS CODE],MATCH(B253,AccountCodes[NGAS CODE],0))</f>
        <v>5020402000</v>
      </c>
      <c r="D253" s="616">
        <f>IF(INDEX(AccountCodes[Normal Balance], MATCH(C253,AccountCodes[PPSAS CODE]))="Debit",E253-F253,0)</f>
        <v>0</v>
      </c>
      <c r="E253" s="488">
        <f t="array" ref="E253">(SUM(IF((PostTB[Account Code (Old)]=B253),(PostTB[Debit])))+(SUM(IF((CkDJ[Account Code]=B253)*(CkDJ[Date]&lt;=$A$7),(CkDJ[Debit])))+(SUM(IF((CsDJ[Account Code]=B253)*(CsDJ[Date]&lt;=$A$7),(CsDJ[Debit])))+(SUM(IF((CRDJ[Account Code]=B253)*(CRDJ[Date]&lt;=$A$7),(CRDJ[Debit])))+(SUM(IF((GJ[Account Code]=B253)*(GJ[Date]&lt;=$A$7),(GJ[Debit]))))))))</f>
        <v>0</v>
      </c>
      <c r="F253" s="490">
        <f t="array" ref="F253">(SUM(IF((PostTB[Account Code (Old)]=B253),(PostTB[Credit])))+(SUM(IF((CkDJ[Account Code]=B253)*(CkDJ[Date]&lt;=$A$7),(CkDJ[Credit])))+(SUM(IF((CsDJ[Account Code]=B253)*(CsDJ[Date]&lt;=$A$7),(CsDJ[Credit])))+(SUM(IF((CRDJ[Account Code]=B253)*(CRDJ[Date]&lt;=$A$7),(CRDJ[Credit])))+(SUM(IF((GJ[Account Code]=B253)*(GJ[Date]&lt;=$A$7),(GJ[Credit]))))))))</f>
        <v>0</v>
      </c>
      <c r="G253" s="620">
        <f>IF(INDEX(AccountCodes[Normal Balance], MATCH(C253,AccountCodes[PPSAS CODE]))="Credit",F253-E253,0)</f>
        <v>0</v>
      </c>
      <c r="H253" s="621">
        <f t="shared" si="3"/>
        <v>0</v>
      </c>
    </row>
    <row r="254" spans="1:8" ht="15.75">
      <c r="A254" s="613" t="str">
        <f t="array" ref="A254">INDEX(AccountCodes[ACCOUNT NAME],MATCH(B254,AccountCodes[NGAS CODE],0))</f>
        <v>Other Utility Expenses</v>
      </c>
      <c r="B254" s="602" t="s">
        <v>1237</v>
      </c>
      <c r="C254" s="615">
        <f t="array" ref="C254">INDEX(AccountCodes[PPSAS CODE],MATCH(B254,AccountCodes[NGAS CODE],0))</f>
        <v>5020499000</v>
      </c>
      <c r="D254" s="616">
        <f>IF(INDEX(AccountCodes[Normal Balance], MATCH(C254,AccountCodes[PPSAS CODE]))="Debit",E254-F254,0)</f>
        <v>0</v>
      </c>
      <c r="E254" s="488">
        <f t="array" ref="E254">(SUM(IF((PostTB[Account Code (Old)]=B254),(PostTB[Debit])))+(SUM(IF((CkDJ[Account Code]=B254)*(CkDJ[Date]&lt;=$A$7),(CkDJ[Debit])))+(SUM(IF((CsDJ[Account Code]=B254)*(CsDJ[Date]&lt;=$A$7),(CsDJ[Debit])))+(SUM(IF((CRDJ[Account Code]=B254)*(CRDJ[Date]&lt;=$A$7),(CRDJ[Debit])))+(SUM(IF((GJ[Account Code]=B254)*(GJ[Date]&lt;=$A$7),(GJ[Debit]))))))))</f>
        <v>0</v>
      </c>
      <c r="F254" s="490">
        <f t="array" ref="F254">(SUM(IF((PostTB[Account Code (Old)]=B254),(PostTB[Credit])))+(SUM(IF((CkDJ[Account Code]=B254)*(CkDJ[Date]&lt;=$A$7),(CkDJ[Credit])))+(SUM(IF((CsDJ[Account Code]=B254)*(CsDJ[Date]&lt;=$A$7),(CsDJ[Credit])))+(SUM(IF((CRDJ[Account Code]=B254)*(CRDJ[Date]&lt;=$A$7),(CRDJ[Credit])))+(SUM(IF((GJ[Account Code]=B254)*(GJ[Date]&lt;=$A$7),(GJ[Credit]))))))))</f>
        <v>0</v>
      </c>
      <c r="G254" s="620">
        <f>IF(INDEX(AccountCodes[Normal Balance], MATCH(C254,AccountCodes[PPSAS CODE]))="Credit",F254-E254,0)</f>
        <v>0</v>
      </c>
      <c r="H254" s="621">
        <f t="shared" si="3"/>
        <v>0</v>
      </c>
    </row>
    <row r="255" spans="1:8" ht="15.75" hidden="1">
      <c r="A255" s="613" t="str">
        <f t="array" ref="A255">INDEX(AccountCodes[ACCOUNT NAME],MATCH(B255,AccountCodes[NGAS CODE],0))</f>
        <v>Postage and Courier Expenses</v>
      </c>
      <c r="B255" s="602" t="s">
        <v>234</v>
      </c>
      <c r="C255" s="615">
        <f t="array" ref="C255">INDEX(AccountCodes[PPSAS CODE],MATCH(B255,AccountCodes[NGAS CODE],0))</f>
        <v>5020501000</v>
      </c>
      <c r="D255" s="616">
        <f>IF(INDEX(AccountCodes[Normal Balance], MATCH(C255,AccountCodes[PPSAS CODE]))="Debit",E255-F255,0)</f>
        <v>0</v>
      </c>
      <c r="E255" s="488">
        <f t="array" ref="E255">(SUM(IF((PostTB[Account Code (Old)]=B255),(PostTB[Debit])))+(SUM(IF((CkDJ[Account Code]=B255)*(CkDJ[Date]&lt;=$A$7),(CkDJ[Debit])))+(SUM(IF((CsDJ[Account Code]=B255)*(CsDJ[Date]&lt;=$A$7),(CsDJ[Debit])))+(SUM(IF((CRDJ[Account Code]=B255)*(CRDJ[Date]&lt;=$A$7),(CRDJ[Debit])))+(SUM(IF((GJ[Account Code]=B255)*(GJ[Date]&lt;=$A$7),(GJ[Debit]))))))))</f>
        <v>0</v>
      </c>
      <c r="F255" s="490">
        <f t="array" ref="F255">(SUM(IF((PostTB[Account Code (Old)]=B255),(PostTB[Credit])))+(SUM(IF((CkDJ[Account Code]=B255)*(CkDJ[Date]&lt;=$A$7),(CkDJ[Credit])))+(SUM(IF((CsDJ[Account Code]=B255)*(CsDJ[Date]&lt;=$A$7),(CsDJ[Credit])))+(SUM(IF((CRDJ[Account Code]=B255)*(CRDJ[Date]&lt;=$A$7),(CRDJ[Credit])))+(SUM(IF((GJ[Account Code]=B255)*(GJ[Date]&lt;=$A$7),(GJ[Credit]))))))))</f>
        <v>0</v>
      </c>
      <c r="G255" s="620">
        <f>IF(INDEX(AccountCodes[Normal Balance], MATCH(C255,AccountCodes[PPSAS CODE]))="Credit",F255-E255,0)</f>
        <v>0</v>
      </c>
      <c r="H255" s="621">
        <f t="shared" si="3"/>
        <v>0</v>
      </c>
    </row>
    <row r="256" spans="1:8" ht="15.75" hidden="1">
      <c r="A256" s="613" t="str">
        <f t="array" ref="A256">INDEX(AccountCodes[ACCOUNT NAME],MATCH(B256,AccountCodes[NGAS CODE],0))</f>
        <v>Telephone Expenses - Mobile</v>
      </c>
      <c r="B256" s="602" t="s">
        <v>236</v>
      </c>
      <c r="C256" s="615">
        <f t="array" ref="C256">INDEX(AccountCodes[PPSAS CODE],MATCH(B256,AccountCodes[NGAS CODE],0))</f>
        <v>5020502001</v>
      </c>
      <c r="D256" s="616">
        <f>IF(INDEX(AccountCodes[Normal Balance], MATCH(C256,AccountCodes[PPSAS CODE]))="Debit",E256-F256,0)</f>
        <v>0</v>
      </c>
      <c r="E256" s="488">
        <f t="array" ref="E256">(SUM(IF((PostTB[Account Code (Old)]=B256),(PostTB[Debit])))+(SUM(IF((CkDJ[Account Code]=B256)*(CkDJ[Date]&lt;=$A$7),(CkDJ[Debit])))+(SUM(IF((CsDJ[Account Code]=B256)*(CsDJ[Date]&lt;=$A$7),(CsDJ[Debit])))+(SUM(IF((CRDJ[Account Code]=B256)*(CRDJ[Date]&lt;=$A$7),(CRDJ[Debit])))+(SUM(IF((GJ[Account Code]=B256)*(GJ[Date]&lt;=$A$7),(GJ[Debit]))))))))</f>
        <v>0</v>
      </c>
      <c r="F256" s="490">
        <f t="array" ref="F256">(SUM(IF((PostTB[Account Code (Old)]=B256),(PostTB[Credit])))+(SUM(IF((CkDJ[Account Code]=B256)*(CkDJ[Date]&lt;=$A$7),(CkDJ[Credit])))+(SUM(IF((CsDJ[Account Code]=B256)*(CsDJ[Date]&lt;=$A$7),(CsDJ[Credit])))+(SUM(IF((CRDJ[Account Code]=B256)*(CRDJ[Date]&lt;=$A$7),(CRDJ[Credit])))+(SUM(IF((GJ[Account Code]=B256)*(GJ[Date]&lt;=$A$7),(GJ[Credit]))))))))</f>
        <v>0</v>
      </c>
      <c r="G256" s="620">
        <f>IF(INDEX(AccountCodes[Normal Balance], MATCH(C256,AccountCodes[PPSAS CODE]))="Credit",F256-E256,0)</f>
        <v>0</v>
      </c>
      <c r="H256" s="621">
        <f t="shared" si="3"/>
        <v>0</v>
      </c>
    </row>
    <row r="257" spans="1:8" ht="15.75" hidden="1">
      <c r="A257" s="613" t="str">
        <f t="array" ref="A257">INDEX(AccountCodes[ACCOUNT NAME],MATCH(B257,AccountCodes[NGAS CODE],0))</f>
        <v>Telephone Expenses - Landline</v>
      </c>
      <c r="B257" s="602" t="s">
        <v>235</v>
      </c>
      <c r="C257" s="615">
        <f t="array" ref="C257">INDEX(AccountCodes[PPSAS CODE],MATCH(B257,AccountCodes[NGAS CODE],0))</f>
        <v>5020502002</v>
      </c>
      <c r="D257" s="616">
        <f>IF(INDEX(AccountCodes[Normal Balance], MATCH(C257,AccountCodes[PPSAS CODE]))="Debit",E257-F257,0)</f>
        <v>0</v>
      </c>
      <c r="E257" s="488">
        <f t="array" ref="E257">(SUM(IF((PostTB[Account Code (Old)]=B257),(PostTB[Debit])))+(SUM(IF((CkDJ[Account Code]=B257)*(CkDJ[Date]&lt;=$A$7),(CkDJ[Debit])))+(SUM(IF((CsDJ[Account Code]=B257)*(CsDJ[Date]&lt;=$A$7),(CsDJ[Debit])))+(SUM(IF((CRDJ[Account Code]=B257)*(CRDJ[Date]&lt;=$A$7),(CRDJ[Debit])))+(SUM(IF((GJ[Account Code]=B257)*(GJ[Date]&lt;=$A$7),(GJ[Debit]))))))))</f>
        <v>0</v>
      </c>
      <c r="F257" s="490">
        <f t="array" ref="F257">(SUM(IF((PostTB[Account Code (Old)]=B257),(PostTB[Credit])))+(SUM(IF((CkDJ[Account Code]=B257)*(CkDJ[Date]&lt;=$A$7),(CkDJ[Credit])))+(SUM(IF((CsDJ[Account Code]=B257)*(CsDJ[Date]&lt;=$A$7),(CsDJ[Credit])))+(SUM(IF((CRDJ[Account Code]=B257)*(CRDJ[Date]&lt;=$A$7),(CRDJ[Credit])))+(SUM(IF((GJ[Account Code]=B257)*(GJ[Date]&lt;=$A$7),(GJ[Credit]))))))))</f>
        <v>0</v>
      </c>
      <c r="G257" s="620">
        <f>IF(INDEX(AccountCodes[Normal Balance], MATCH(C257,AccountCodes[PPSAS CODE]))="Credit",F257-E257,0)</f>
        <v>0</v>
      </c>
      <c r="H257" s="621">
        <f t="shared" si="3"/>
        <v>0</v>
      </c>
    </row>
    <row r="258" spans="1:8" ht="15.75" hidden="1">
      <c r="A258" s="613" t="str">
        <f t="array" ref="A258">INDEX(AccountCodes[ACCOUNT NAME],MATCH(B258,AccountCodes[NGAS CODE],0))</f>
        <v>Internet Subscription Expenses</v>
      </c>
      <c r="B258" s="602" t="s">
        <v>237</v>
      </c>
      <c r="C258" s="615">
        <f t="array" ref="C258">INDEX(AccountCodes[PPSAS CODE],MATCH(B258,AccountCodes[NGAS CODE],0))</f>
        <v>5020503000</v>
      </c>
      <c r="D258" s="616">
        <f>IF(INDEX(AccountCodes[Normal Balance], MATCH(C258,AccountCodes[PPSAS CODE]))="Debit",E258-F258,0)</f>
        <v>0</v>
      </c>
      <c r="E258" s="488">
        <f t="array" ref="E258">(SUM(IF((PostTB[Account Code (Old)]=B258),(PostTB[Debit])))+(SUM(IF((CkDJ[Account Code]=B258)*(CkDJ[Date]&lt;=$A$7),(CkDJ[Debit])))+(SUM(IF((CsDJ[Account Code]=B258)*(CsDJ[Date]&lt;=$A$7),(CsDJ[Debit])))+(SUM(IF((CRDJ[Account Code]=B258)*(CRDJ[Date]&lt;=$A$7),(CRDJ[Debit])))+(SUM(IF((GJ[Account Code]=B258)*(GJ[Date]&lt;=$A$7),(GJ[Debit]))))))))</f>
        <v>0</v>
      </c>
      <c r="F258" s="490">
        <f t="array" ref="F258">(SUM(IF((PostTB[Account Code (Old)]=B258),(PostTB[Credit])))+(SUM(IF((CkDJ[Account Code]=B258)*(CkDJ[Date]&lt;=$A$7),(CkDJ[Credit])))+(SUM(IF((CsDJ[Account Code]=B258)*(CsDJ[Date]&lt;=$A$7),(CsDJ[Credit])))+(SUM(IF((CRDJ[Account Code]=B258)*(CRDJ[Date]&lt;=$A$7),(CRDJ[Credit])))+(SUM(IF((GJ[Account Code]=B258)*(GJ[Date]&lt;=$A$7),(GJ[Credit]))))))))</f>
        <v>0</v>
      </c>
      <c r="G258" s="620">
        <f>IF(INDEX(AccountCodes[Normal Balance], MATCH(C258,AccountCodes[PPSAS CODE]))="Credit",F258-E258,0)</f>
        <v>0</v>
      </c>
      <c r="H258" s="621">
        <f t="shared" si="3"/>
        <v>0</v>
      </c>
    </row>
    <row r="259" spans="1:8" ht="15.75" hidden="1">
      <c r="A259" s="613" t="str">
        <f t="array" ref="A259">INDEX(AccountCodes[ACCOUNT NAME],MATCH(B259,AccountCodes[NGAS CODE],0))</f>
        <v>Cable, Satellite, Telegraph and Radio Expenses</v>
      </c>
      <c r="B259" s="602" t="s">
        <v>238</v>
      </c>
      <c r="C259" s="615">
        <f t="array" ref="C259">INDEX(AccountCodes[PPSAS CODE],MATCH(B259,AccountCodes[NGAS CODE],0))</f>
        <v>5020504000</v>
      </c>
      <c r="D259" s="616">
        <f>IF(INDEX(AccountCodes[Normal Balance], MATCH(C259,AccountCodes[PPSAS CODE]))="Debit",E259-F259,0)</f>
        <v>0</v>
      </c>
      <c r="E259" s="488">
        <f t="array" ref="E259">(SUM(IF((PostTB[Account Code (Old)]=B259),(PostTB[Debit])))+(SUM(IF((CkDJ[Account Code]=B259)*(CkDJ[Date]&lt;=$A$7),(CkDJ[Debit])))+(SUM(IF((CsDJ[Account Code]=B259)*(CsDJ[Date]&lt;=$A$7),(CsDJ[Debit])))+(SUM(IF((CRDJ[Account Code]=B259)*(CRDJ[Date]&lt;=$A$7),(CRDJ[Debit])))+(SUM(IF((GJ[Account Code]=B259)*(GJ[Date]&lt;=$A$7),(GJ[Debit]))))))))</f>
        <v>0</v>
      </c>
      <c r="F259" s="490">
        <f t="array" ref="F259">(SUM(IF((PostTB[Account Code (Old)]=B259),(PostTB[Credit])))+(SUM(IF((CkDJ[Account Code]=B259)*(CkDJ[Date]&lt;=$A$7),(CkDJ[Credit])))+(SUM(IF((CsDJ[Account Code]=B259)*(CsDJ[Date]&lt;=$A$7),(CsDJ[Credit])))+(SUM(IF((CRDJ[Account Code]=B259)*(CRDJ[Date]&lt;=$A$7),(CRDJ[Credit])))+(SUM(IF((GJ[Account Code]=B259)*(GJ[Date]&lt;=$A$7),(GJ[Credit]))))))))</f>
        <v>0</v>
      </c>
      <c r="G259" s="620">
        <f>IF(INDEX(AccountCodes[Normal Balance], MATCH(C259,AccountCodes[PPSAS CODE]))="Credit",F259-E259,0)</f>
        <v>0</v>
      </c>
      <c r="H259" s="621">
        <f t="shared" si="3"/>
        <v>0</v>
      </c>
    </row>
    <row r="260" spans="1:8" ht="15.75" hidden="1">
      <c r="A260" s="613" t="str">
        <f t="array" ref="A260">INDEX(AccountCodes[ACCOUNT NAME],MATCH(B260,AccountCodes[NGAS CODE],0))</f>
        <v>Awards/Rewards Expenses</v>
      </c>
      <c r="B260" s="602" t="s">
        <v>1238</v>
      </c>
      <c r="C260" s="615">
        <f t="array" ref="C260">INDEX(AccountCodes[PPSAS CODE],MATCH(B260,AccountCodes[NGAS CODE],0))</f>
        <v>5020601000</v>
      </c>
      <c r="D260" s="616">
        <f>IF(INDEX(AccountCodes[Normal Balance], MATCH(C260,AccountCodes[PPSAS CODE]))="Debit",E260-F260,0)</f>
        <v>0</v>
      </c>
      <c r="E260" s="488">
        <f t="array" ref="E260">(SUM(IF((PostTB[Account Code (Old)]=B260),(PostTB[Debit])))+(SUM(IF((CkDJ[Account Code]=B260)*(CkDJ[Date]&lt;=$A$7),(CkDJ[Debit])))+(SUM(IF((CsDJ[Account Code]=B260)*(CsDJ[Date]&lt;=$A$7),(CsDJ[Debit])))+(SUM(IF((CRDJ[Account Code]=B260)*(CRDJ[Date]&lt;=$A$7),(CRDJ[Debit])))+(SUM(IF((GJ[Account Code]=B260)*(GJ[Date]&lt;=$A$7),(GJ[Debit]))))))))</f>
        <v>0</v>
      </c>
      <c r="F260" s="490">
        <f t="array" ref="F260">(SUM(IF((PostTB[Account Code (Old)]=B260),(PostTB[Credit])))+(SUM(IF((CkDJ[Account Code]=B260)*(CkDJ[Date]&lt;=$A$7),(CkDJ[Credit])))+(SUM(IF((CsDJ[Account Code]=B260)*(CsDJ[Date]&lt;=$A$7),(CsDJ[Credit])))+(SUM(IF((CRDJ[Account Code]=B260)*(CRDJ[Date]&lt;=$A$7),(CRDJ[Credit])))+(SUM(IF((GJ[Account Code]=B260)*(GJ[Date]&lt;=$A$7),(GJ[Credit]))))))))</f>
        <v>0</v>
      </c>
      <c r="G260" s="620">
        <f>IF(INDEX(AccountCodes[Normal Balance], MATCH(C260,AccountCodes[PPSAS CODE]))="Credit",F260-E260,0)</f>
        <v>0</v>
      </c>
      <c r="H260" s="621">
        <f t="shared" si="3"/>
        <v>0</v>
      </c>
    </row>
    <row r="261" spans="1:8" ht="15.75" hidden="1">
      <c r="A261" s="613" t="str">
        <f t="array" ref="A261">INDEX(AccountCodes[ACCOUNT NAME],MATCH(B261,AccountCodes[NGAS CODE],0))</f>
        <v>Indemnities</v>
      </c>
      <c r="B261" s="602" t="s">
        <v>1267</v>
      </c>
      <c r="C261" s="615">
        <f t="array" ref="C261">INDEX(AccountCodes[PPSAS CODE],MATCH(B261,AccountCodes[NGAS CODE],0))</f>
        <v>5020603000</v>
      </c>
      <c r="D261" s="616">
        <f>IF(INDEX(AccountCodes[Normal Balance], MATCH(C261,AccountCodes[PPSAS CODE]))="Debit",E261-F261,0)</f>
        <v>0</v>
      </c>
      <c r="E261" s="488">
        <f t="array" ref="E261">(SUM(IF((PostTB[Account Code (Old)]=B261),(PostTB[Debit])))+(SUM(IF((CkDJ[Account Code]=B261)*(CkDJ[Date]&lt;=$A$7),(CkDJ[Debit])))+(SUM(IF((CsDJ[Account Code]=B261)*(CsDJ[Date]&lt;=$A$7),(CsDJ[Debit])))+(SUM(IF((CRDJ[Account Code]=B261)*(CRDJ[Date]&lt;=$A$7),(CRDJ[Debit])))+(SUM(IF((GJ[Account Code]=B261)*(GJ[Date]&lt;=$A$7),(GJ[Debit]))))))))</f>
        <v>0</v>
      </c>
      <c r="F261" s="490">
        <f t="array" ref="F261">(SUM(IF((PostTB[Account Code (Old)]=B261),(PostTB[Credit])))+(SUM(IF((CkDJ[Account Code]=B261)*(CkDJ[Date]&lt;=$A$7),(CkDJ[Credit])))+(SUM(IF((CsDJ[Account Code]=B261)*(CsDJ[Date]&lt;=$A$7),(CsDJ[Credit])))+(SUM(IF((CRDJ[Account Code]=B261)*(CRDJ[Date]&lt;=$A$7),(CRDJ[Credit])))+(SUM(IF((GJ[Account Code]=B261)*(GJ[Date]&lt;=$A$7),(GJ[Credit]))))))))</f>
        <v>0</v>
      </c>
      <c r="G261" s="620">
        <f>IF(INDEX(AccountCodes[Normal Balance], MATCH(C261,AccountCodes[PPSAS CODE]))="Credit",F261-E261,0)</f>
        <v>0</v>
      </c>
      <c r="H261" s="621">
        <f t="shared" si="3"/>
        <v>0</v>
      </c>
    </row>
    <row r="262" spans="1:8" ht="15.75" hidden="1">
      <c r="A262" s="613" t="str">
        <f t="array" ref="A262">INDEX(AccountCodes[ACCOUNT NAME],MATCH(B262,AccountCodes[NGAS CODE],0))</f>
        <v>Legal Services</v>
      </c>
      <c r="B262" s="602" t="s">
        <v>246</v>
      </c>
      <c r="C262" s="615">
        <f t="array" ref="C262">INDEX(AccountCodes[PPSAS CODE],MATCH(B262,AccountCodes[NGAS CODE],0))</f>
        <v>5021101000</v>
      </c>
      <c r="D262" s="616">
        <f>IF(INDEX(AccountCodes[Normal Balance], MATCH(C262,AccountCodes[PPSAS CODE]))="Debit",E262-F262,0)</f>
        <v>0</v>
      </c>
      <c r="E262" s="488">
        <f t="array" ref="E262">(SUM(IF((PostTB[Account Code (Old)]=B262),(PostTB[Debit])))+(SUM(IF((CkDJ[Account Code]=B262)*(CkDJ[Date]&lt;=$A$7),(CkDJ[Debit])))+(SUM(IF((CsDJ[Account Code]=B262)*(CsDJ[Date]&lt;=$A$7),(CsDJ[Debit])))+(SUM(IF((CRDJ[Account Code]=B262)*(CRDJ[Date]&lt;=$A$7),(CRDJ[Debit])))+(SUM(IF((GJ[Account Code]=B262)*(GJ[Date]&lt;=$A$7),(GJ[Debit]))))))))</f>
        <v>0</v>
      </c>
      <c r="F262" s="490">
        <f t="array" ref="F262">(SUM(IF((PostTB[Account Code (Old)]=B262),(PostTB[Credit])))+(SUM(IF((CkDJ[Account Code]=B262)*(CkDJ[Date]&lt;=$A$7),(CkDJ[Credit])))+(SUM(IF((CsDJ[Account Code]=B262)*(CsDJ[Date]&lt;=$A$7),(CsDJ[Credit])))+(SUM(IF((CRDJ[Account Code]=B262)*(CRDJ[Date]&lt;=$A$7),(CRDJ[Credit])))+(SUM(IF((GJ[Account Code]=B262)*(GJ[Date]&lt;=$A$7),(GJ[Credit]))))))))</f>
        <v>0</v>
      </c>
      <c r="G262" s="620">
        <f>IF(INDEX(AccountCodes[Normal Balance], MATCH(C262,AccountCodes[PPSAS CODE]))="Credit",F262-E262,0)</f>
        <v>0</v>
      </c>
      <c r="H262" s="621">
        <f t="shared" si="3"/>
        <v>0</v>
      </c>
    </row>
    <row r="263" spans="1:8" ht="15.75" hidden="1">
      <c r="A263" s="613" t="str">
        <f t="array" ref="A263">INDEX(AccountCodes[ACCOUNT NAME],MATCH(B263,AccountCodes[NGAS CODE],0))</f>
        <v>Auditing Services</v>
      </c>
      <c r="B263" s="602" t="s">
        <v>222</v>
      </c>
      <c r="C263" s="615">
        <f t="array" ref="C263">INDEX(AccountCodes[PPSAS CODE],MATCH(B263,AccountCodes[NGAS CODE],0))</f>
        <v>5021102000</v>
      </c>
      <c r="D263" s="616">
        <f>IF(INDEX(AccountCodes[Normal Balance], MATCH(C263,AccountCodes[PPSAS CODE]))="Debit",E263-F263,0)</f>
        <v>0</v>
      </c>
      <c r="E263" s="488">
        <f t="array" ref="E263">(SUM(IF((PostTB[Account Code (Old)]=B263),(PostTB[Debit])))+(SUM(IF((CkDJ[Account Code]=B263)*(CkDJ[Date]&lt;=$A$7),(CkDJ[Debit])))+(SUM(IF((CsDJ[Account Code]=B263)*(CsDJ[Date]&lt;=$A$7),(CsDJ[Debit])))+(SUM(IF((CRDJ[Account Code]=B263)*(CRDJ[Date]&lt;=$A$7),(CRDJ[Debit])))+(SUM(IF((GJ[Account Code]=B263)*(GJ[Date]&lt;=$A$7),(GJ[Debit]))))))))</f>
        <v>0</v>
      </c>
      <c r="F263" s="490">
        <f t="array" ref="F263">(SUM(IF((PostTB[Account Code (Old)]=B263),(PostTB[Credit])))+(SUM(IF((CkDJ[Account Code]=B263)*(CkDJ[Date]&lt;=$A$7),(CkDJ[Credit])))+(SUM(IF((CsDJ[Account Code]=B263)*(CsDJ[Date]&lt;=$A$7),(CsDJ[Credit])))+(SUM(IF((CRDJ[Account Code]=B263)*(CRDJ[Date]&lt;=$A$7),(CRDJ[Credit])))+(SUM(IF((GJ[Account Code]=B263)*(GJ[Date]&lt;=$A$7),(GJ[Credit]))))))))</f>
        <v>0</v>
      </c>
      <c r="G263" s="620">
        <f>IF(INDEX(AccountCodes[Normal Balance], MATCH(C263,AccountCodes[PPSAS CODE]))="Credit",F263-E263,0)</f>
        <v>0</v>
      </c>
      <c r="H263" s="621">
        <f t="shared" si="3"/>
        <v>0</v>
      </c>
    </row>
    <row r="264" spans="1:8" ht="15.75" hidden="1">
      <c r="A264" s="613" t="str">
        <f t="array" ref="A264">INDEX(AccountCodes[ACCOUNT NAME],MATCH(B264,AccountCodes[NGAS CODE],0))</f>
        <v>Consultancy Services</v>
      </c>
      <c r="B264" s="602" t="s">
        <v>247</v>
      </c>
      <c r="C264" s="615">
        <f t="array" ref="C264">INDEX(AccountCodes[PPSAS CODE],MATCH(B264,AccountCodes[NGAS CODE],0))</f>
        <v>5021103000</v>
      </c>
      <c r="D264" s="616">
        <f>IF(INDEX(AccountCodes[Normal Balance], MATCH(C264,AccountCodes[PPSAS CODE]))="Debit",E264-F264,0)</f>
        <v>0</v>
      </c>
      <c r="E264" s="488">
        <f t="array" ref="E264">(SUM(IF((PostTB[Account Code (Old)]=B264),(PostTB[Debit])))+(SUM(IF((CkDJ[Account Code]=B264)*(CkDJ[Date]&lt;=$A$7),(CkDJ[Debit])))+(SUM(IF((CsDJ[Account Code]=B264)*(CsDJ[Date]&lt;=$A$7),(CsDJ[Debit])))+(SUM(IF((CRDJ[Account Code]=B264)*(CRDJ[Date]&lt;=$A$7),(CRDJ[Debit])))+(SUM(IF((GJ[Account Code]=B264)*(GJ[Date]&lt;=$A$7),(GJ[Debit]))))))))</f>
        <v>0</v>
      </c>
      <c r="F264" s="490">
        <f t="array" ref="F264">(SUM(IF((PostTB[Account Code (Old)]=B264),(PostTB[Credit])))+(SUM(IF((CkDJ[Account Code]=B264)*(CkDJ[Date]&lt;=$A$7),(CkDJ[Credit])))+(SUM(IF((CsDJ[Account Code]=B264)*(CsDJ[Date]&lt;=$A$7),(CsDJ[Credit])))+(SUM(IF((CRDJ[Account Code]=B264)*(CRDJ[Date]&lt;=$A$7),(CRDJ[Credit])))+(SUM(IF((GJ[Account Code]=B264)*(GJ[Date]&lt;=$A$7),(GJ[Credit]))))))))</f>
        <v>0</v>
      </c>
      <c r="G264" s="620">
        <f>IF(INDEX(AccountCodes[Normal Balance], MATCH(C264,AccountCodes[PPSAS CODE]))="Credit",F264-E264,0)</f>
        <v>0</v>
      </c>
      <c r="H264" s="621">
        <f t="shared" si="3"/>
        <v>0</v>
      </c>
    </row>
    <row r="265" spans="1:8" ht="15.75" hidden="1">
      <c r="A265" s="613" t="str">
        <f t="array" ref="A265">INDEX(AccountCodes[ACCOUNT NAME],MATCH(B265,AccountCodes[NGAS CODE],0))</f>
        <v>Other Professional Services</v>
      </c>
      <c r="B265" s="602" t="s">
        <v>250</v>
      </c>
      <c r="C265" s="615">
        <f t="array" ref="C265">INDEX(AccountCodes[PPSAS CODE],MATCH(B265,AccountCodes[NGAS CODE],0))</f>
        <v>5021199000</v>
      </c>
      <c r="D265" s="616">
        <f>IF(INDEX(AccountCodes[Normal Balance], MATCH(C265,AccountCodes[PPSAS CODE]))="Debit",E265-F265,0)</f>
        <v>0</v>
      </c>
      <c r="E265" s="488">
        <f t="array" ref="E265">(SUM(IF((PostTB[Account Code (Old)]=B265),(PostTB[Debit])))+(SUM(IF((CkDJ[Account Code]=B265)*(CkDJ[Date]&lt;=$A$7),(CkDJ[Debit])))+(SUM(IF((CsDJ[Account Code]=B265)*(CsDJ[Date]&lt;=$A$7),(CsDJ[Debit])))+(SUM(IF((CRDJ[Account Code]=B265)*(CRDJ[Date]&lt;=$A$7),(CRDJ[Debit])))+(SUM(IF((GJ[Account Code]=B265)*(GJ[Date]&lt;=$A$7),(GJ[Debit]))))))))</f>
        <v>0</v>
      </c>
      <c r="F265" s="490">
        <f t="array" ref="F265">(SUM(IF((PostTB[Account Code (Old)]=B265),(PostTB[Credit])))+(SUM(IF((CkDJ[Account Code]=B265)*(CkDJ[Date]&lt;=$A$7),(CkDJ[Credit])))+(SUM(IF((CsDJ[Account Code]=B265)*(CsDJ[Date]&lt;=$A$7),(CsDJ[Credit])))+(SUM(IF((CRDJ[Account Code]=B265)*(CRDJ[Date]&lt;=$A$7),(CRDJ[Credit])))+(SUM(IF((GJ[Account Code]=B265)*(GJ[Date]&lt;=$A$7),(GJ[Credit]))))))))</f>
        <v>0</v>
      </c>
      <c r="G265" s="620">
        <f>IF(INDEX(AccountCodes[Normal Balance], MATCH(C265,AccountCodes[PPSAS CODE]))="Credit",F265-E265,0)</f>
        <v>0</v>
      </c>
      <c r="H265" s="621">
        <f t="shared" si="3"/>
        <v>0</v>
      </c>
    </row>
    <row r="266" spans="1:8" ht="15.75" hidden="1">
      <c r="A266" s="613" t="str">
        <f t="array" ref="A266">INDEX(AccountCodes[ACCOUNT NAME],MATCH(B266,AccountCodes[NGAS CODE],0))</f>
        <v>Janitorial Services</v>
      </c>
      <c r="B266" s="602" t="s">
        <v>249</v>
      </c>
      <c r="C266" s="615">
        <f t="array" ref="C266">INDEX(AccountCodes[PPSAS CODE],MATCH(B266,AccountCodes[NGAS CODE],0))</f>
        <v>5021202000</v>
      </c>
      <c r="D266" s="616">
        <f>IF(INDEX(AccountCodes[Normal Balance], MATCH(C266,AccountCodes[PPSAS CODE]))="Debit",E266-F266,0)</f>
        <v>0</v>
      </c>
      <c r="E266" s="488">
        <f t="array" ref="E266">(SUM(IF((PostTB[Account Code (Old)]=B266),(PostTB[Debit])))+(SUM(IF((CkDJ[Account Code]=B266)*(CkDJ[Date]&lt;=$A$7),(CkDJ[Debit])))+(SUM(IF((CsDJ[Account Code]=B266)*(CsDJ[Date]&lt;=$A$7),(CsDJ[Debit])))+(SUM(IF((CRDJ[Account Code]=B266)*(CRDJ[Date]&lt;=$A$7),(CRDJ[Debit])))+(SUM(IF((GJ[Account Code]=B266)*(GJ[Date]&lt;=$A$7),(GJ[Debit]))))))))</f>
        <v>0</v>
      </c>
      <c r="F266" s="490">
        <f t="array" ref="F266">(SUM(IF((PostTB[Account Code (Old)]=B266),(PostTB[Credit])))+(SUM(IF((CkDJ[Account Code]=B266)*(CkDJ[Date]&lt;=$A$7),(CkDJ[Credit])))+(SUM(IF((CsDJ[Account Code]=B266)*(CsDJ[Date]&lt;=$A$7),(CsDJ[Credit])))+(SUM(IF((CRDJ[Account Code]=B266)*(CRDJ[Date]&lt;=$A$7),(CRDJ[Credit])))+(SUM(IF((GJ[Account Code]=B266)*(GJ[Date]&lt;=$A$7),(GJ[Credit]))))))))</f>
        <v>0</v>
      </c>
      <c r="G266" s="620">
        <f>IF(INDEX(AccountCodes[Normal Balance], MATCH(C266,AccountCodes[PPSAS CODE]))="Credit",F266-E266,0)</f>
        <v>0</v>
      </c>
      <c r="H266" s="621">
        <f t="shared" si="3"/>
        <v>0</v>
      </c>
    </row>
    <row r="267" spans="1:8" ht="15.75" hidden="1">
      <c r="A267" s="613" t="str">
        <f t="array" ref="A267">INDEX(AccountCodes[ACCOUNT NAME],MATCH(B267,AccountCodes[NGAS CODE],0))</f>
        <v>Security Services</v>
      </c>
      <c r="B267" s="602" t="s">
        <v>1239</v>
      </c>
      <c r="C267" s="615">
        <f t="array" ref="C267">INDEX(AccountCodes[PPSAS CODE],MATCH(B267,AccountCodes[NGAS CODE],0))</f>
        <v>5021203000</v>
      </c>
      <c r="D267" s="616">
        <f>IF(INDEX(AccountCodes[Normal Balance], MATCH(C267,AccountCodes[PPSAS CODE]))="Debit",E267-F267,0)</f>
        <v>0</v>
      </c>
      <c r="E267" s="488">
        <f t="array" ref="E267">(SUM(IF((PostTB[Account Code (Old)]=B267),(PostTB[Debit])))+(SUM(IF((CkDJ[Account Code]=B267)*(CkDJ[Date]&lt;=$A$7),(CkDJ[Debit])))+(SUM(IF((CsDJ[Account Code]=B267)*(CsDJ[Date]&lt;=$A$7),(CsDJ[Debit])))+(SUM(IF((CRDJ[Account Code]=B267)*(CRDJ[Date]&lt;=$A$7),(CRDJ[Debit])))+(SUM(IF((GJ[Account Code]=B267)*(GJ[Date]&lt;=$A$7),(GJ[Debit]))))))))</f>
        <v>0</v>
      </c>
      <c r="F267" s="490">
        <f t="array" ref="F267">(SUM(IF((PostTB[Account Code (Old)]=B267),(PostTB[Credit])))+(SUM(IF((CkDJ[Account Code]=B267)*(CkDJ[Date]&lt;=$A$7),(CkDJ[Credit])))+(SUM(IF((CsDJ[Account Code]=B267)*(CsDJ[Date]&lt;=$A$7),(CsDJ[Credit])))+(SUM(IF((CRDJ[Account Code]=B267)*(CRDJ[Date]&lt;=$A$7),(CRDJ[Credit])))+(SUM(IF((GJ[Account Code]=B267)*(GJ[Date]&lt;=$A$7),(GJ[Credit]))))))))</f>
        <v>0</v>
      </c>
      <c r="G267" s="620">
        <f>IF(INDEX(AccountCodes[Normal Balance], MATCH(C267,AccountCodes[PPSAS CODE]))="Credit",F267-E267,0)</f>
        <v>0</v>
      </c>
      <c r="H267" s="621">
        <f t="shared" si="3"/>
        <v>0</v>
      </c>
    </row>
    <row r="268" spans="1:8" ht="15.75" hidden="1">
      <c r="A268" s="613" t="str">
        <f t="array" ref="A268">INDEX(AccountCodes[ACCOUNT NAME],MATCH(B268,AccountCodes[NGAS CODE],0))</f>
        <v>Other General Services</v>
      </c>
      <c r="B268" s="602" t="s">
        <v>248</v>
      </c>
      <c r="C268" s="615">
        <f t="array" ref="C268">INDEX(AccountCodes[PPSAS CODE],MATCH(B268,AccountCodes[NGAS CODE],0))</f>
        <v>5021299000</v>
      </c>
      <c r="D268" s="616">
        <f>IF(INDEX(AccountCodes[Normal Balance], MATCH(C268,AccountCodes[PPSAS CODE]))="Debit",E268-F268,0)</f>
        <v>0</v>
      </c>
      <c r="E268" s="488">
        <f t="array" ref="E268">(SUM(IF((PostTB[Account Code (Old)]=B268),(PostTB[Debit])))+(SUM(IF((CkDJ[Account Code]=B268)*(CkDJ[Date]&lt;=$A$7),(CkDJ[Debit])))+(SUM(IF((CsDJ[Account Code]=B268)*(CsDJ[Date]&lt;=$A$7),(CsDJ[Debit])))+(SUM(IF((CRDJ[Account Code]=B268)*(CRDJ[Date]&lt;=$A$7),(CRDJ[Debit])))+(SUM(IF((GJ[Account Code]=B268)*(GJ[Date]&lt;=$A$7),(GJ[Debit]))))))))</f>
        <v>0</v>
      </c>
      <c r="F268" s="490">
        <f t="array" ref="F268">(SUM(IF((PostTB[Account Code (Old)]=B268),(PostTB[Credit])))+(SUM(IF((CkDJ[Account Code]=B268)*(CkDJ[Date]&lt;=$A$7),(CkDJ[Credit])))+(SUM(IF((CsDJ[Account Code]=B268)*(CsDJ[Date]&lt;=$A$7),(CsDJ[Credit])))+(SUM(IF((CRDJ[Account Code]=B268)*(CRDJ[Date]&lt;=$A$7),(CRDJ[Credit])))+(SUM(IF((GJ[Account Code]=B268)*(GJ[Date]&lt;=$A$7),(GJ[Credit]))))))))</f>
        <v>0</v>
      </c>
      <c r="G268" s="620">
        <f>IF(INDEX(AccountCodes[Normal Balance], MATCH(C268,AccountCodes[PPSAS CODE]))="Credit",F268-E268,0)</f>
        <v>0</v>
      </c>
      <c r="H268" s="621">
        <f t="shared" si="3"/>
        <v>0</v>
      </c>
    </row>
    <row r="269" spans="1:8" ht="15.75" hidden="1">
      <c r="A269" s="613" t="str">
        <f t="array" ref="A269">INDEX(AccountCodes[ACCOUNT NAME],MATCH(B269,AccountCodes[NGAS CODE],0))</f>
        <v>Repairs and Maintenance-Land Improvements</v>
      </c>
      <c r="B269" s="602" t="s">
        <v>1240</v>
      </c>
      <c r="C269" s="615">
        <f t="array" ref="C269">INDEX(AccountCodes[PPSAS CODE],MATCH(B269,AccountCodes[NGAS CODE],0))</f>
        <v>5021302000</v>
      </c>
      <c r="D269" s="616">
        <f>IF(INDEX(AccountCodes[Normal Balance], MATCH(C269,AccountCodes[PPSAS CODE]))="Debit",E269-F269,0)</f>
        <v>0</v>
      </c>
      <c r="E269" s="488">
        <f t="array" ref="E269">(SUM(IF((PostTB[Account Code (Old)]=B269),(PostTB[Debit])))+(SUM(IF((CkDJ[Account Code]=B269)*(CkDJ[Date]&lt;=$A$7),(CkDJ[Debit])))+(SUM(IF((CsDJ[Account Code]=B269)*(CsDJ[Date]&lt;=$A$7),(CsDJ[Debit])))+(SUM(IF((CRDJ[Account Code]=B269)*(CRDJ[Date]&lt;=$A$7),(CRDJ[Debit])))+(SUM(IF((GJ[Account Code]=B269)*(GJ[Date]&lt;=$A$7),(GJ[Debit]))))))))</f>
        <v>0</v>
      </c>
      <c r="F269" s="490">
        <f t="array" ref="F269">(SUM(IF((PostTB[Account Code (Old)]=B269),(PostTB[Credit])))+(SUM(IF((CkDJ[Account Code]=B269)*(CkDJ[Date]&lt;=$A$7),(CkDJ[Credit])))+(SUM(IF((CsDJ[Account Code]=B269)*(CsDJ[Date]&lt;=$A$7),(CsDJ[Credit])))+(SUM(IF((CRDJ[Account Code]=B269)*(CRDJ[Date]&lt;=$A$7),(CRDJ[Credit])))+(SUM(IF((GJ[Account Code]=B269)*(GJ[Date]&lt;=$A$7),(GJ[Credit]))))))))</f>
        <v>0</v>
      </c>
      <c r="G269" s="620">
        <f>IF(INDEX(AccountCodes[Normal Balance], MATCH(C269,AccountCodes[PPSAS CODE]))="Credit",F269-E269,0)</f>
        <v>0</v>
      </c>
      <c r="H269" s="621">
        <f t="shared" si="3"/>
        <v>0</v>
      </c>
    </row>
    <row r="270" spans="1:8" ht="15.75" hidden="1">
      <c r="A270" s="613" t="str">
        <f t="array" ref="A270">INDEX(AccountCodes[ACCOUNT NAME],MATCH(B270,AccountCodes[NGAS CODE],0))</f>
        <v>Repairs and Maintenance-Infrastructure Assets - Other Infrastructure Assets (Artesian Wells, Reservoirs, Pumps)</v>
      </c>
      <c r="B270" s="602" t="s">
        <v>266</v>
      </c>
      <c r="C270" s="615">
        <f t="array" ref="C270">INDEX(AccountCodes[PPSAS CODE],MATCH(B270,AccountCodes[NGAS CODE],0))</f>
        <v>5021303097</v>
      </c>
      <c r="D270" s="616">
        <f>IF(INDEX(AccountCodes[Normal Balance], MATCH(C270,AccountCodes[PPSAS CODE]))="Debit",E270-F270,0)</f>
        <v>0</v>
      </c>
      <c r="E270" s="488">
        <f t="array" ref="E270">(SUM(IF((PostTB[Account Code (Old)]=B270),(PostTB[Debit])))+(SUM(IF((CkDJ[Account Code]=B270)*(CkDJ[Date]&lt;=$A$7),(CkDJ[Debit])))+(SUM(IF((CsDJ[Account Code]=B270)*(CsDJ[Date]&lt;=$A$7),(CsDJ[Debit])))+(SUM(IF((CRDJ[Account Code]=B270)*(CRDJ[Date]&lt;=$A$7),(CRDJ[Debit])))+(SUM(IF((GJ[Account Code]=B270)*(GJ[Date]&lt;=$A$7),(GJ[Debit]))))))))</f>
        <v>0</v>
      </c>
      <c r="F270" s="490">
        <f t="array" ref="F270">(SUM(IF((PostTB[Account Code (Old)]=B270),(PostTB[Credit])))+(SUM(IF((CkDJ[Account Code]=B270)*(CkDJ[Date]&lt;=$A$7),(CkDJ[Credit])))+(SUM(IF((CsDJ[Account Code]=B270)*(CsDJ[Date]&lt;=$A$7),(CsDJ[Credit])))+(SUM(IF((CRDJ[Account Code]=B270)*(CRDJ[Date]&lt;=$A$7),(CRDJ[Credit])))+(SUM(IF((GJ[Account Code]=B270)*(GJ[Date]&lt;=$A$7),(GJ[Credit]))))))))</f>
        <v>0</v>
      </c>
      <c r="G270" s="620">
        <f>IF(INDEX(AccountCodes[Normal Balance], MATCH(C270,AccountCodes[PPSAS CODE]))="Credit",F270-E270,0)</f>
        <v>0</v>
      </c>
      <c r="H270" s="621">
        <f t="shared" si="3"/>
        <v>0</v>
      </c>
    </row>
    <row r="271" spans="1:8" ht="15.75" hidden="1">
      <c r="A271" s="613" t="str">
        <f t="array" ref="A271">INDEX(AccountCodes[ACCOUNT NAME],MATCH(B271,AccountCodes[NGAS CODE],0))</f>
        <v>Repairs and Maintenance-Infrastructure Assets - Other Infrastructure Assets (Irrigation Canal &amp; Laterals)</v>
      </c>
      <c r="B271" s="602" t="s">
        <v>267</v>
      </c>
      <c r="C271" s="615">
        <f t="array" ref="C271">INDEX(AccountCodes[PPSAS CODE],MATCH(B271,AccountCodes[NGAS CODE],0))</f>
        <v>5021303098</v>
      </c>
      <c r="D271" s="616">
        <f>IF(INDEX(AccountCodes[Normal Balance], MATCH(C271,AccountCodes[PPSAS CODE]))="Debit",E271-F271,0)</f>
        <v>0</v>
      </c>
      <c r="E271" s="488">
        <f t="array" ref="E271">(SUM(IF((PostTB[Account Code (Old)]=B271),(PostTB[Debit])))+(SUM(IF((CkDJ[Account Code]=B271)*(CkDJ[Date]&lt;=$A$7),(CkDJ[Debit])))+(SUM(IF((CsDJ[Account Code]=B271)*(CsDJ[Date]&lt;=$A$7),(CsDJ[Debit])))+(SUM(IF((CRDJ[Account Code]=B271)*(CRDJ[Date]&lt;=$A$7),(CRDJ[Debit])))+(SUM(IF((GJ[Account Code]=B271)*(GJ[Date]&lt;=$A$7),(GJ[Debit]))))))))</f>
        <v>0</v>
      </c>
      <c r="F271" s="490">
        <f t="array" ref="F271">(SUM(IF((PostTB[Account Code (Old)]=B271),(PostTB[Credit])))+(SUM(IF((CkDJ[Account Code]=B271)*(CkDJ[Date]&lt;=$A$7),(CkDJ[Credit])))+(SUM(IF((CsDJ[Account Code]=B271)*(CsDJ[Date]&lt;=$A$7),(CsDJ[Credit])))+(SUM(IF((CRDJ[Account Code]=B271)*(CRDJ[Date]&lt;=$A$7),(CRDJ[Credit])))+(SUM(IF((GJ[Account Code]=B271)*(GJ[Date]&lt;=$A$7),(GJ[Credit]))))))))</f>
        <v>0</v>
      </c>
      <c r="G271" s="620">
        <f>IF(INDEX(AccountCodes[Normal Balance], MATCH(C271,AccountCodes[PPSAS CODE]))="Credit",F271-E271,0)</f>
        <v>0</v>
      </c>
      <c r="H271" s="621">
        <f t="shared" si="3"/>
        <v>0</v>
      </c>
    </row>
    <row r="272" spans="1:8" ht="15.75" hidden="1">
      <c r="A272" s="613" t="str">
        <f t="array" ref="A272">INDEX(AccountCodes[ACCOUNT NAME],MATCH(B272,AccountCodes[NGAS CODE],0))</f>
        <v>Repairs and Maintenance-Buildings and Other Structures - Buildings</v>
      </c>
      <c r="B272" s="602" t="s">
        <v>251</v>
      </c>
      <c r="C272" s="615">
        <f t="array" ref="C272">INDEX(AccountCodes[PPSAS CODE],MATCH(B272,AccountCodes[NGAS CODE],0))</f>
        <v>5021304001</v>
      </c>
      <c r="D272" s="616">
        <f>IF(INDEX(AccountCodes[Normal Balance], MATCH(C272,AccountCodes[PPSAS CODE]))="Debit",E272-F272,0)</f>
        <v>0</v>
      </c>
      <c r="E272" s="488">
        <f t="array" ref="E272">(SUM(IF((PostTB[Account Code (Old)]=B272),(PostTB[Debit])))+(SUM(IF((CkDJ[Account Code]=B272)*(CkDJ[Date]&lt;=$A$7),(CkDJ[Debit])))+(SUM(IF((CsDJ[Account Code]=B272)*(CsDJ[Date]&lt;=$A$7),(CsDJ[Debit])))+(SUM(IF((CRDJ[Account Code]=B272)*(CRDJ[Date]&lt;=$A$7),(CRDJ[Debit])))+(SUM(IF((GJ[Account Code]=B272)*(GJ[Date]&lt;=$A$7),(GJ[Debit]))))))))</f>
        <v>0</v>
      </c>
      <c r="F272" s="490">
        <f t="array" ref="F272">(SUM(IF((PostTB[Account Code (Old)]=B272),(PostTB[Credit])))+(SUM(IF((CkDJ[Account Code]=B272)*(CkDJ[Date]&lt;=$A$7),(CkDJ[Credit])))+(SUM(IF((CsDJ[Account Code]=B272)*(CsDJ[Date]&lt;=$A$7),(CsDJ[Credit])))+(SUM(IF((CRDJ[Account Code]=B272)*(CRDJ[Date]&lt;=$A$7),(CRDJ[Credit])))+(SUM(IF((GJ[Account Code]=B272)*(GJ[Date]&lt;=$A$7),(GJ[Credit]))))))))</f>
        <v>0</v>
      </c>
      <c r="G272" s="620">
        <f>IF(INDEX(AccountCodes[Normal Balance], MATCH(C272,AccountCodes[PPSAS CODE]))="Credit",F272-E272,0)</f>
        <v>0</v>
      </c>
      <c r="H272" s="621">
        <f t="shared" ref="H272:H324" si="4">IF(D272=0,G272,D272)</f>
        <v>0</v>
      </c>
    </row>
    <row r="273" spans="1:8" ht="15.75" hidden="1">
      <c r="A273" s="613" t="str">
        <f t="array" ref="A273">INDEX(AccountCodes[ACCOUNT NAME],MATCH(B273,AccountCodes[NGAS CODE],0))</f>
        <v>Repairs and Maintenance-Buildings and Other Structures - Other Structures</v>
      </c>
      <c r="B273" s="602" t="s">
        <v>252</v>
      </c>
      <c r="C273" s="615">
        <f t="array" ref="C273">INDEX(AccountCodes[PPSAS CODE],MATCH(B273,AccountCodes[NGAS CODE],0))</f>
        <v>5021304099</v>
      </c>
      <c r="D273" s="616">
        <f>IF(INDEX(AccountCodes[Normal Balance], MATCH(C273,AccountCodes[PPSAS CODE]))="Debit",E273-F273,0)</f>
        <v>0</v>
      </c>
      <c r="E273" s="488">
        <f t="array" ref="E273">(SUM(IF((PostTB[Account Code (Old)]=B273),(PostTB[Debit])))+(SUM(IF((CkDJ[Account Code]=B273)*(CkDJ[Date]&lt;=$A$7),(CkDJ[Debit])))+(SUM(IF((CsDJ[Account Code]=B273)*(CsDJ[Date]&lt;=$A$7),(CsDJ[Debit])))+(SUM(IF((CRDJ[Account Code]=B273)*(CRDJ[Date]&lt;=$A$7),(CRDJ[Debit])))+(SUM(IF((GJ[Account Code]=B273)*(GJ[Date]&lt;=$A$7),(GJ[Debit]))))))))</f>
        <v>0</v>
      </c>
      <c r="F273" s="490">
        <f t="array" ref="F273">(SUM(IF((PostTB[Account Code (Old)]=B273),(PostTB[Credit])))+(SUM(IF((CkDJ[Account Code]=B273)*(CkDJ[Date]&lt;=$A$7),(CkDJ[Credit])))+(SUM(IF((CsDJ[Account Code]=B273)*(CsDJ[Date]&lt;=$A$7),(CsDJ[Credit])))+(SUM(IF((CRDJ[Account Code]=B273)*(CRDJ[Date]&lt;=$A$7),(CRDJ[Credit])))+(SUM(IF((GJ[Account Code]=B273)*(GJ[Date]&lt;=$A$7),(GJ[Credit]))))))))</f>
        <v>0</v>
      </c>
      <c r="G273" s="620">
        <f>IF(INDEX(AccountCodes[Normal Balance], MATCH(C273,AccountCodes[PPSAS CODE]))="Credit",F273-E273,0)</f>
        <v>0</v>
      </c>
      <c r="H273" s="621">
        <f t="shared" si="4"/>
        <v>0</v>
      </c>
    </row>
    <row r="274" spans="1:8" ht="15.75" hidden="1">
      <c r="A274" s="613" t="str">
        <f t="array" ref="A274">INDEX(AccountCodes[ACCOUNT NAME],MATCH(B274,AccountCodes[NGAS CODE],0))</f>
        <v>Repairs and Maintenance-Machinery and Equipment - Machinery</v>
      </c>
      <c r="B274" s="602" t="s">
        <v>256</v>
      </c>
      <c r="C274" s="615">
        <f t="array" ref="C274">INDEX(AccountCodes[PPSAS CODE],MATCH(B274,AccountCodes[NGAS CODE],0))</f>
        <v>5021305001</v>
      </c>
      <c r="D274" s="616">
        <f>IF(INDEX(AccountCodes[Normal Balance], MATCH(C274,AccountCodes[PPSAS CODE]))="Debit",E274-F274,0)</f>
        <v>0</v>
      </c>
      <c r="E274" s="488">
        <f t="array" ref="E274">(SUM(IF((PostTB[Account Code (Old)]=B274),(PostTB[Debit])))+(SUM(IF((CkDJ[Account Code]=B274)*(CkDJ[Date]&lt;=$A$7),(CkDJ[Debit])))+(SUM(IF((CsDJ[Account Code]=B274)*(CsDJ[Date]&lt;=$A$7),(CsDJ[Debit])))+(SUM(IF((CRDJ[Account Code]=B274)*(CRDJ[Date]&lt;=$A$7),(CRDJ[Debit])))+(SUM(IF((GJ[Account Code]=B274)*(GJ[Date]&lt;=$A$7),(GJ[Debit]))))))))</f>
        <v>0</v>
      </c>
      <c r="F274" s="490">
        <f t="array" ref="F274">(SUM(IF((PostTB[Account Code (Old)]=B274),(PostTB[Credit])))+(SUM(IF((CkDJ[Account Code]=B274)*(CkDJ[Date]&lt;=$A$7),(CkDJ[Credit])))+(SUM(IF((CsDJ[Account Code]=B274)*(CsDJ[Date]&lt;=$A$7),(CsDJ[Credit])))+(SUM(IF((CRDJ[Account Code]=B274)*(CRDJ[Date]&lt;=$A$7),(CRDJ[Credit])))+(SUM(IF((GJ[Account Code]=B274)*(GJ[Date]&lt;=$A$7),(GJ[Credit]))))))))</f>
        <v>0</v>
      </c>
      <c r="G274" s="620">
        <f>IF(INDEX(AccountCodes[Normal Balance], MATCH(C274,AccountCodes[PPSAS CODE]))="Credit",F274-E274,0)</f>
        <v>0</v>
      </c>
      <c r="H274" s="621">
        <f t="shared" si="4"/>
        <v>0</v>
      </c>
    </row>
    <row r="275" spans="1:8" ht="15.75" hidden="1">
      <c r="A275" s="613" t="str">
        <f t="array" ref="A275">INDEX(AccountCodes[ACCOUNT NAME],MATCH(B275,AccountCodes[NGAS CODE],0))</f>
        <v>Repairs and Maintenance-Machinery and Equipment - Office Equipment</v>
      </c>
      <c r="B275" s="602" t="s">
        <v>253</v>
      </c>
      <c r="C275" s="615">
        <f t="array" ref="C275">INDEX(AccountCodes[PPSAS CODE],MATCH(B275,AccountCodes[NGAS CODE],0))</f>
        <v>5021305002</v>
      </c>
      <c r="D275" s="616">
        <f>IF(INDEX(AccountCodes[Normal Balance], MATCH(C275,AccountCodes[PPSAS CODE]))="Debit",E275-F275,0)</f>
        <v>0</v>
      </c>
      <c r="E275" s="488">
        <f t="array" ref="E275">(SUM(IF((PostTB[Account Code (Old)]=B275),(PostTB[Debit])))+(SUM(IF((CkDJ[Account Code]=B275)*(CkDJ[Date]&lt;=$A$7),(CkDJ[Debit])))+(SUM(IF((CsDJ[Account Code]=B275)*(CsDJ[Date]&lt;=$A$7),(CsDJ[Debit])))+(SUM(IF((CRDJ[Account Code]=B275)*(CRDJ[Date]&lt;=$A$7),(CRDJ[Debit])))+(SUM(IF((GJ[Account Code]=B275)*(GJ[Date]&lt;=$A$7),(GJ[Debit]))))))))</f>
        <v>0</v>
      </c>
      <c r="F275" s="490">
        <f t="array" ref="F275">(SUM(IF((PostTB[Account Code (Old)]=B275),(PostTB[Credit])))+(SUM(IF((CkDJ[Account Code]=B275)*(CkDJ[Date]&lt;=$A$7),(CkDJ[Credit])))+(SUM(IF((CsDJ[Account Code]=B275)*(CsDJ[Date]&lt;=$A$7),(CsDJ[Credit])))+(SUM(IF((CRDJ[Account Code]=B275)*(CRDJ[Date]&lt;=$A$7),(CRDJ[Credit])))+(SUM(IF((GJ[Account Code]=B275)*(GJ[Date]&lt;=$A$7),(GJ[Credit]))))))))</f>
        <v>0</v>
      </c>
      <c r="G275" s="620">
        <f>IF(INDEX(AccountCodes[Normal Balance], MATCH(C275,AccountCodes[PPSAS CODE]))="Credit",F275-E275,0)</f>
        <v>0</v>
      </c>
      <c r="H275" s="621">
        <f t="shared" si="4"/>
        <v>0</v>
      </c>
    </row>
    <row r="276" spans="1:8" ht="15.75" hidden="1">
      <c r="A276" s="613" t="str">
        <f t="array" ref="A276">INDEX(AccountCodes[ACCOUNT NAME],MATCH(B276,AccountCodes[NGAS CODE],0))</f>
        <v>Repairs and Maintenance-Machinery and Equipment - ICT Equipment</v>
      </c>
      <c r="B276" s="602" t="s">
        <v>255</v>
      </c>
      <c r="C276" s="615">
        <f t="array" ref="C276">INDEX(AccountCodes[PPSAS CODE],MATCH(B276,AccountCodes[NGAS CODE],0))</f>
        <v>5021305003</v>
      </c>
      <c r="D276" s="616">
        <f>IF(INDEX(AccountCodes[Normal Balance], MATCH(C276,AccountCodes[PPSAS CODE]))="Debit",E276-F276,0)</f>
        <v>0</v>
      </c>
      <c r="E276" s="488">
        <f t="array" ref="E276">(SUM(IF((PostTB[Account Code (Old)]=B276),(PostTB[Debit])))+(SUM(IF((CkDJ[Account Code]=B276)*(CkDJ[Date]&lt;=$A$7),(CkDJ[Debit])))+(SUM(IF((CsDJ[Account Code]=B276)*(CsDJ[Date]&lt;=$A$7),(CsDJ[Debit])))+(SUM(IF((CRDJ[Account Code]=B276)*(CRDJ[Date]&lt;=$A$7),(CRDJ[Debit])))+(SUM(IF((GJ[Account Code]=B276)*(GJ[Date]&lt;=$A$7),(GJ[Debit]))))))))</f>
        <v>0</v>
      </c>
      <c r="F276" s="490">
        <f t="array" ref="F276">(SUM(IF((PostTB[Account Code (Old)]=B276),(PostTB[Credit])))+(SUM(IF((CkDJ[Account Code]=B276)*(CkDJ[Date]&lt;=$A$7),(CkDJ[Credit])))+(SUM(IF((CsDJ[Account Code]=B276)*(CsDJ[Date]&lt;=$A$7),(CsDJ[Credit])))+(SUM(IF((CRDJ[Account Code]=B276)*(CRDJ[Date]&lt;=$A$7),(CRDJ[Credit])))+(SUM(IF((GJ[Account Code]=B276)*(GJ[Date]&lt;=$A$7),(GJ[Credit]))))))))</f>
        <v>0</v>
      </c>
      <c r="G276" s="620">
        <f>IF(INDEX(AccountCodes[Normal Balance], MATCH(C276,AccountCodes[PPSAS CODE]))="Credit",F276-E276,0)</f>
        <v>0</v>
      </c>
      <c r="H276" s="621">
        <f>IF(D276=0,G276,D276)</f>
        <v>0</v>
      </c>
    </row>
    <row r="277" spans="1:8" ht="15.75" hidden="1">
      <c r="A277" s="613" t="str">
        <f t="array" ref="A277">INDEX(AccountCodes[ACCOUNT NAME],MATCH(B277,AccountCodes[NGAS CODE],0))</f>
        <v>Repairs and Maintenance-Machinery and Equipment - Communication Equipment</v>
      </c>
      <c r="B277" s="602" t="s">
        <v>257</v>
      </c>
      <c r="C277" s="615">
        <f t="array" ref="C277">INDEX(AccountCodes[PPSAS CODE],MATCH(B277,AccountCodes[NGAS CODE],0))</f>
        <v>5021305007</v>
      </c>
      <c r="D277" s="616">
        <f>IF(INDEX(AccountCodes[Normal Balance], MATCH(C277,AccountCodes[PPSAS CODE]))="Debit",E277-F277,0)</f>
        <v>0</v>
      </c>
      <c r="E277" s="488">
        <f t="array" ref="E277">(SUM(IF((PostTB[Account Code (Old)]=B277),(PostTB[Debit])))+(SUM(IF((CkDJ[Account Code]=B277)*(CkDJ[Date]&lt;=$A$7),(CkDJ[Debit])))+(SUM(IF((CsDJ[Account Code]=B277)*(CsDJ[Date]&lt;=$A$7),(CsDJ[Debit])))+(SUM(IF((CRDJ[Account Code]=B277)*(CRDJ[Date]&lt;=$A$7),(CRDJ[Debit])))+(SUM(IF((GJ[Account Code]=B277)*(GJ[Date]&lt;=$A$7),(GJ[Debit]))))))))</f>
        <v>0</v>
      </c>
      <c r="F277" s="490">
        <f t="array" ref="F277">(SUM(IF((PostTB[Account Code (Old)]=B277),(PostTB[Credit])))+(SUM(IF((CkDJ[Account Code]=B277)*(CkDJ[Date]&lt;=$A$7),(CkDJ[Credit])))+(SUM(IF((CsDJ[Account Code]=B277)*(CsDJ[Date]&lt;=$A$7),(CsDJ[Credit])))+(SUM(IF((CRDJ[Account Code]=B277)*(CRDJ[Date]&lt;=$A$7),(CRDJ[Credit])))+(SUM(IF((GJ[Account Code]=B277)*(GJ[Date]&lt;=$A$7),(GJ[Credit]))))))))</f>
        <v>0</v>
      </c>
      <c r="G277" s="620">
        <f>IF(INDEX(AccountCodes[Normal Balance], MATCH(C277,AccountCodes[PPSAS CODE]))="Credit",F277-E277,0)</f>
        <v>0</v>
      </c>
      <c r="H277" s="621">
        <f t="shared" si="4"/>
        <v>0</v>
      </c>
    </row>
    <row r="278" spans="1:8" ht="15.75" hidden="1">
      <c r="A278" s="613" t="str">
        <f t="array" ref="A278">INDEX(AccountCodes[ACCOUNT NAME],MATCH(B278,AccountCodes[NGAS CODE],0))</f>
        <v>Repairs and Maintenance-Machinery and Equipment - Construction and Heavy Equipment</v>
      </c>
      <c r="B278" s="602" t="s">
        <v>258</v>
      </c>
      <c r="C278" s="615">
        <f t="array" ref="C278">INDEX(AccountCodes[PPSAS CODE],MATCH(B278,AccountCodes[NGAS CODE],0))</f>
        <v>5021305008</v>
      </c>
      <c r="D278" s="616">
        <f>IF(INDEX(AccountCodes[Normal Balance], MATCH(C278,AccountCodes[PPSAS CODE]))="Debit",E278-F278,0)</f>
        <v>0</v>
      </c>
      <c r="E278" s="488">
        <f t="array" ref="E278">(SUM(IF((PostTB[Account Code (Old)]=B278),(PostTB[Debit])))+(SUM(IF((CkDJ[Account Code]=B278)*(CkDJ[Date]&lt;=$A$7),(CkDJ[Debit])))+(SUM(IF((CsDJ[Account Code]=B278)*(CsDJ[Date]&lt;=$A$7),(CsDJ[Debit])))+(SUM(IF((CRDJ[Account Code]=B278)*(CRDJ[Date]&lt;=$A$7),(CRDJ[Debit])))+(SUM(IF((GJ[Account Code]=B278)*(GJ[Date]&lt;=$A$7),(GJ[Debit]))))))))</f>
        <v>0</v>
      </c>
      <c r="F278" s="490">
        <f t="array" ref="F278">(SUM(IF((PostTB[Account Code (Old)]=B278),(PostTB[Credit])))+(SUM(IF((CkDJ[Account Code]=B278)*(CkDJ[Date]&lt;=$A$7),(CkDJ[Credit])))+(SUM(IF((CsDJ[Account Code]=B278)*(CsDJ[Date]&lt;=$A$7),(CsDJ[Credit])))+(SUM(IF((CRDJ[Account Code]=B278)*(CRDJ[Date]&lt;=$A$7),(CRDJ[Credit])))+(SUM(IF((GJ[Account Code]=B278)*(GJ[Date]&lt;=$A$7),(GJ[Credit]))))))))</f>
        <v>0</v>
      </c>
      <c r="G278" s="620">
        <f>IF(INDEX(AccountCodes[Normal Balance], MATCH(C278,AccountCodes[PPSAS CODE]))="Credit",F278-E278,0)</f>
        <v>0</v>
      </c>
      <c r="H278" s="621">
        <f t="shared" si="4"/>
        <v>0</v>
      </c>
    </row>
    <row r="279" spans="1:8" ht="15.75" hidden="1">
      <c r="A279" s="613" t="str">
        <f t="array" ref="A279">INDEX(AccountCodes[ACCOUNT NAME],MATCH(B279,AccountCodes[NGAS CODE],0))</f>
        <v>Repairs and Maintenance-Machinery and Equipment - Disaster Response and Rescue Equipment</v>
      </c>
      <c r="B279" s="602" t="s">
        <v>259</v>
      </c>
      <c r="C279" s="615">
        <f t="array" ref="C279">INDEX(AccountCodes[PPSAS CODE],MATCH(B279,AccountCodes[NGAS CODE],0))</f>
        <v>5021305009</v>
      </c>
      <c r="D279" s="616">
        <f>IF(INDEX(AccountCodes[Normal Balance], MATCH(C279,AccountCodes[PPSAS CODE]))="Debit",E279-F279,0)</f>
        <v>0</v>
      </c>
      <c r="E279" s="488">
        <f t="array" ref="E279">(SUM(IF((PostTB[Account Code (Old)]=B279),(PostTB[Debit])))+(SUM(IF((CkDJ[Account Code]=B279)*(CkDJ[Date]&lt;=$A$7),(CkDJ[Debit])))+(SUM(IF((CsDJ[Account Code]=B279)*(CsDJ[Date]&lt;=$A$7),(CsDJ[Debit])))+(SUM(IF((CRDJ[Account Code]=B279)*(CRDJ[Date]&lt;=$A$7),(CRDJ[Debit])))+(SUM(IF((GJ[Account Code]=B279)*(GJ[Date]&lt;=$A$7),(GJ[Debit]))))))))</f>
        <v>0</v>
      </c>
      <c r="F279" s="490">
        <f t="array" ref="F279">(SUM(IF((PostTB[Account Code (Old)]=B279),(PostTB[Credit])))+(SUM(IF((CkDJ[Account Code]=B279)*(CkDJ[Date]&lt;=$A$7),(CkDJ[Credit])))+(SUM(IF((CsDJ[Account Code]=B279)*(CsDJ[Date]&lt;=$A$7),(CsDJ[Credit])))+(SUM(IF((CRDJ[Account Code]=B279)*(CRDJ[Date]&lt;=$A$7),(CRDJ[Credit])))+(SUM(IF((GJ[Account Code]=B279)*(GJ[Date]&lt;=$A$7),(GJ[Credit]))))))))</f>
        <v>0</v>
      </c>
      <c r="G279" s="620">
        <f>IF(INDEX(AccountCodes[Normal Balance], MATCH(C279,AccountCodes[PPSAS CODE]))="Credit",F279-E279,0)</f>
        <v>0</v>
      </c>
      <c r="H279" s="621">
        <f t="shared" si="4"/>
        <v>0</v>
      </c>
    </row>
    <row r="280" spans="1:8" ht="15.75" hidden="1">
      <c r="A280" s="613" t="str">
        <f t="array" ref="A280">INDEX(AccountCodes[ACCOUNT NAME],MATCH(B280,AccountCodes[NGAS CODE],0))</f>
        <v>Repairs and Maintenance-Machinery and Equipment - Military, Police and Security Equipment</v>
      </c>
      <c r="B280" s="602" t="s">
        <v>1447</v>
      </c>
      <c r="C280" s="615">
        <f t="array" ref="C280">INDEX(AccountCodes[PPSAS CODE],MATCH(B280,AccountCodes[NGAS CODE],0))</f>
        <v>5021305010</v>
      </c>
      <c r="D280" s="616">
        <f>IF(INDEX(AccountCodes[Normal Balance], MATCH(C280,AccountCodes[PPSAS CODE]))="Debit",E280-F280,0)</f>
        <v>0</v>
      </c>
      <c r="E280" s="488">
        <f t="array" ref="E280">(SUM(IF((PostTB[Account Code (Old)]=B280),(PostTB[Debit])))+(SUM(IF((CkDJ[Account Code]=B280)*(CkDJ[Date]&lt;=$A$7),(CkDJ[Debit])))+(SUM(IF((CsDJ[Account Code]=B280)*(CsDJ[Date]&lt;=$A$7),(CsDJ[Debit])))+(SUM(IF((CRDJ[Account Code]=B280)*(CRDJ[Date]&lt;=$A$7),(CRDJ[Debit])))+(SUM(IF((GJ[Account Code]=B280)*(GJ[Date]&lt;=$A$7),(GJ[Debit]))))))))</f>
        <v>0</v>
      </c>
      <c r="F280" s="490">
        <f t="array" ref="F280">(SUM(IF((PostTB[Account Code (Old)]=B280),(PostTB[Credit])))+(SUM(IF((CkDJ[Account Code]=B280)*(CkDJ[Date]&lt;=$A$7),(CkDJ[Credit])))+(SUM(IF((CsDJ[Account Code]=B280)*(CsDJ[Date]&lt;=$A$7),(CsDJ[Credit])))+(SUM(IF((CRDJ[Account Code]=B280)*(CRDJ[Date]&lt;=$A$7),(CRDJ[Credit])))+(SUM(IF((GJ[Account Code]=B280)*(GJ[Date]&lt;=$A$7),(GJ[Credit]))))))))</f>
        <v>0</v>
      </c>
      <c r="G280" s="620">
        <f>IF(INDEX(AccountCodes[Normal Balance], MATCH(C280,AccountCodes[PPSAS CODE]))="Credit",F280-E280,0)</f>
        <v>0</v>
      </c>
      <c r="H280" s="621">
        <f t="shared" si="4"/>
        <v>0</v>
      </c>
    </row>
    <row r="281" spans="1:8" ht="15.75" hidden="1">
      <c r="A281" s="613" t="str">
        <f t="array" ref="A281">INDEX(AccountCodes[ACCOUNT NAME],MATCH(B281,AccountCodes[NGAS CODE],0))</f>
        <v>Repairs and Maintenance-Machinery and Equipment - Medical Equipment</v>
      </c>
      <c r="B281" s="602" t="s">
        <v>1448</v>
      </c>
      <c r="C281" s="615">
        <f t="array" ref="C281">INDEX(AccountCodes[PPSAS CODE],MATCH(B281,AccountCodes[NGAS CODE],0))</f>
        <v>5021305011</v>
      </c>
      <c r="D281" s="616">
        <f>IF(INDEX(AccountCodes[Normal Balance], MATCH(C281,AccountCodes[PPSAS CODE]))="Debit",E281-F281,0)</f>
        <v>0</v>
      </c>
      <c r="E281" s="488">
        <f t="array" ref="E281">(SUM(IF((PostTB[Account Code (Old)]=B281),(PostTB[Debit])))+(SUM(IF((CkDJ[Account Code]=B281)*(CkDJ[Date]&lt;=$A$7),(CkDJ[Debit])))+(SUM(IF((CsDJ[Account Code]=B281)*(CsDJ[Date]&lt;=$A$7),(CsDJ[Debit])))+(SUM(IF((CRDJ[Account Code]=B281)*(CRDJ[Date]&lt;=$A$7),(CRDJ[Debit])))+(SUM(IF((GJ[Account Code]=B281)*(GJ[Date]&lt;=$A$7),(GJ[Debit]))))))))</f>
        <v>0</v>
      </c>
      <c r="F281" s="490">
        <f t="array" ref="F281">(SUM(IF((PostTB[Account Code (Old)]=B281),(PostTB[Credit])))+(SUM(IF((CkDJ[Account Code]=B281)*(CkDJ[Date]&lt;=$A$7),(CkDJ[Credit])))+(SUM(IF((CsDJ[Account Code]=B281)*(CsDJ[Date]&lt;=$A$7),(CsDJ[Credit])))+(SUM(IF((CRDJ[Account Code]=B281)*(CRDJ[Date]&lt;=$A$7),(CRDJ[Credit])))+(SUM(IF((GJ[Account Code]=B281)*(GJ[Date]&lt;=$A$7),(GJ[Credit]))))))))</f>
        <v>0</v>
      </c>
      <c r="G281" s="620">
        <f>IF(INDEX(AccountCodes[Normal Balance], MATCH(C281,AccountCodes[PPSAS CODE]))="Credit",F281-E281,0)</f>
        <v>0</v>
      </c>
      <c r="H281" s="621">
        <f t="shared" si="4"/>
        <v>0</v>
      </c>
    </row>
    <row r="282" spans="1:8" ht="15.75" hidden="1">
      <c r="A282" s="613" t="str">
        <f t="array" ref="A282">INDEX(AccountCodes[ACCOUNT NAME],MATCH(B282,AccountCodes[NGAS CODE],0))</f>
        <v>Repairs and Maintenance-Machinery and Equipment - Printing Equipment</v>
      </c>
      <c r="B282" s="602" t="s">
        <v>1449</v>
      </c>
      <c r="C282" s="615">
        <f t="array" ref="C282">INDEX(AccountCodes[PPSAS CODE],MATCH(B282,AccountCodes[NGAS CODE],0))</f>
        <v>5021305012</v>
      </c>
      <c r="D282" s="616">
        <f>IF(INDEX(AccountCodes[Normal Balance], MATCH(C282,AccountCodes[PPSAS CODE]))="Debit",E282-F282,0)</f>
        <v>0</v>
      </c>
      <c r="E282" s="488">
        <f t="array" ref="E282">(SUM(IF((PostTB[Account Code (Old)]=B282),(PostTB[Debit])))+(SUM(IF((CkDJ[Account Code]=B282)*(CkDJ[Date]&lt;=$A$7),(CkDJ[Debit])))+(SUM(IF((CsDJ[Account Code]=B282)*(CsDJ[Date]&lt;=$A$7),(CsDJ[Debit])))+(SUM(IF((CRDJ[Account Code]=B282)*(CRDJ[Date]&lt;=$A$7),(CRDJ[Debit])))+(SUM(IF((GJ[Account Code]=B282)*(GJ[Date]&lt;=$A$7),(GJ[Debit]))))))))</f>
        <v>0</v>
      </c>
      <c r="F282" s="490">
        <f t="array" ref="F282">(SUM(IF((PostTB[Account Code (Old)]=B282),(PostTB[Credit])))+(SUM(IF((CkDJ[Account Code]=B282)*(CkDJ[Date]&lt;=$A$7),(CkDJ[Credit])))+(SUM(IF((CsDJ[Account Code]=B282)*(CsDJ[Date]&lt;=$A$7),(CsDJ[Credit])))+(SUM(IF((CRDJ[Account Code]=B282)*(CRDJ[Date]&lt;=$A$7),(CRDJ[Credit])))+(SUM(IF((GJ[Account Code]=B282)*(GJ[Date]&lt;=$A$7),(GJ[Credit]))))))))</f>
        <v>0</v>
      </c>
      <c r="G282" s="620">
        <f>IF(INDEX(AccountCodes[Normal Balance], MATCH(C282,AccountCodes[PPSAS CODE]))="Credit",F282-E282,0)</f>
        <v>0</v>
      </c>
      <c r="H282" s="621">
        <f t="shared" si="4"/>
        <v>0</v>
      </c>
    </row>
    <row r="283" spans="1:8" ht="15.75" hidden="1">
      <c r="A283" s="613" t="str">
        <f t="array" ref="A283">INDEX(AccountCodes[ACCOUNT NAME],MATCH(B283,AccountCodes[NGAS CODE],0))</f>
        <v>Repairs and Maintenance-Machinery and Equipment - Sports Equipment</v>
      </c>
      <c r="B283" s="602" t="s">
        <v>1241</v>
      </c>
      <c r="C283" s="615">
        <f t="array" ref="C283">INDEX(AccountCodes[PPSAS CODE],MATCH(B283,AccountCodes[NGAS CODE],0))</f>
        <v>5021305013</v>
      </c>
      <c r="D283" s="616">
        <f>IF(INDEX(AccountCodes[Normal Balance], MATCH(C283,AccountCodes[PPSAS CODE]))="Debit",E283-F283,0)</f>
        <v>0</v>
      </c>
      <c r="E283" s="488">
        <f t="array" ref="E283">(SUM(IF((PostTB[Account Code (Old)]=B283),(PostTB[Debit])))+(SUM(IF((CkDJ[Account Code]=B283)*(CkDJ[Date]&lt;=$A$7),(CkDJ[Debit])))+(SUM(IF((CsDJ[Account Code]=B283)*(CsDJ[Date]&lt;=$A$7),(CsDJ[Debit])))+(SUM(IF((CRDJ[Account Code]=B283)*(CRDJ[Date]&lt;=$A$7),(CRDJ[Debit])))+(SUM(IF((GJ[Account Code]=B283)*(GJ[Date]&lt;=$A$7),(GJ[Debit]))))))))</f>
        <v>0</v>
      </c>
      <c r="F283" s="490">
        <f t="array" ref="F283">(SUM(IF((PostTB[Account Code (Old)]=B283),(PostTB[Credit])))+(SUM(IF((CkDJ[Account Code]=B283)*(CkDJ[Date]&lt;=$A$7),(CkDJ[Credit])))+(SUM(IF((CsDJ[Account Code]=B283)*(CsDJ[Date]&lt;=$A$7),(CsDJ[Credit])))+(SUM(IF((CRDJ[Account Code]=B283)*(CRDJ[Date]&lt;=$A$7),(CRDJ[Credit])))+(SUM(IF((GJ[Account Code]=B283)*(GJ[Date]&lt;=$A$7),(GJ[Credit]))))))))</f>
        <v>0</v>
      </c>
      <c r="G283" s="620">
        <f>IF(INDEX(AccountCodes[Normal Balance], MATCH(C283,AccountCodes[PPSAS CODE]))="Credit",F283-E283,0)</f>
        <v>0</v>
      </c>
      <c r="H283" s="621">
        <f t="shared" si="4"/>
        <v>0</v>
      </c>
    </row>
    <row r="284" spans="1:8" ht="15.75" hidden="1">
      <c r="A284" s="613" t="str">
        <f t="array" ref="A284">INDEX(AccountCodes[ACCOUNT NAME],MATCH(B284,AccountCodes[NGAS CODE],0))</f>
        <v>Repairs and Maintenance-Machinery and Equipment - Technical and Scientific Equipment</v>
      </c>
      <c r="B284" s="602" t="s">
        <v>260</v>
      </c>
      <c r="C284" s="615">
        <f t="array" ref="C284">INDEX(AccountCodes[PPSAS CODE],MATCH(B284,AccountCodes[NGAS CODE],0))</f>
        <v>5021305014</v>
      </c>
      <c r="D284" s="616">
        <f>IF(INDEX(AccountCodes[Normal Balance], MATCH(C284,AccountCodes[PPSAS CODE]))="Debit",E284-F284,0)</f>
        <v>0</v>
      </c>
      <c r="E284" s="488">
        <f t="array" ref="E284">(SUM(IF((PostTB[Account Code (Old)]=B284),(PostTB[Debit])))+(SUM(IF((CkDJ[Account Code]=B284)*(CkDJ[Date]&lt;=$A$7),(CkDJ[Debit])))+(SUM(IF((CsDJ[Account Code]=B284)*(CsDJ[Date]&lt;=$A$7),(CsDJ[Debit])))+(SUM(IF((CRDJ[Account Code]=B284)*(CRDJ[Date]&lt;=$A$7),(CRDJ[Debit])))+(SUM(IF((GJ[Account Code]=B284)*(GJ[Date]&lt;=$A$7),(GJ[Debit]))))))))</f>
        <v>0</v>
      </c>
      <c r="F284" s="490">
        <f t="array" ref="F284">(SUM(IF((PostTB[Account Code (Old)]=B284),(PostTB[Credit])))+(SUM(IF((CkDJ[Account Code]=B284)*(CkDJ[Date]&lt;=$A$7),(CkDJ[Credit])))+(SUM(IF((CsDJ[Account Code]=B284)*(CsDJ[Date]&lt;=$A$7),(CsDJ[Credit])))+(SUM(IF((CRDJ[Account Code]=B284)*(CRDJ[Date]&lt;=$A$7),(CRDJ[Credit])))+(SUM(IF((GJ[Account Code]=B284)*(GJ[Date]&lt;=$A$7),(GJ[Credit]))))))))</f>
        <v>0</v>
      </c>
      <c r="G284" s="620">
        <f>IF(INDEX(AccountCodes[Normal Balance], MATCH(C284,AccountCodes[PPSAS CODE]))="Credit",F284-E284,0)</f>
        <v>0</v>
      </c>
      <c r="H284" s="621">
        <f t="shared" si="4"/>
        <v>0</v>
      </c>
    </row>
    <row r="285" spans="1:8" ht="15.75" hidden="1">
      <c r="A285" s="613" t="str">
        <f t="array" ref="A285">INDEX(AccountCodes[ACCOUNT NAME],MATCH(B285,AccountCodes[NGAS CODE],0))</f>
        <v>Repairs and Maintenance-Machinery and Equipment - Other Machinery and Equipment</v>
      </c>
      <c r="B285" s="602" t="s">
        <v>261</v>
      </c>
      <c r="C285" s="615">
        <f t="array" ref="C285">INDEX(AccountCodes[PPSAS CODE],MATCH(B285,AccountCodes[NGAS CODE],0))</f>
        <v>5021305099</v>
      </c>
      <c r="D285" s="616">
        <f>IF(INDEX(AccountCodes[Normal Balance], MATCH(C285,AccountCodes[PPSAS CODE]))="Debit",E285-F285,0)</f>
        <v>0</v>
      </c>
      <c r="E285" s="488">
        <f t="array" ref="E285">(SUM(IF((PostTB[Account Code (Old)]=B285),(PostTB[Debit])))+(SUM(IF((CkDJ[Account Code]=B285)*(CkDJ[Date]&lt;=$A$7),(CkDJ[Debit])))+(SUM(IF((CsDJ[Account Code]=B285)*(CsDJ[Date]&lt;=$A$7),(CsDJ[Debit])))+(SUM(IF((CRDJ[Account Code]=B285)*(CRDJ[Date]&lt;=$A$7),(CRDJ[Debit])))+(SUM(IF((GJ[Account Code]=B285)*(GJ[Date]&lt;=$A$7),(GJ[Debit]))))))))</f>
        <v>0</v>
      </c>
      <c r="F285" s="490">
        <f t="array" ref="F285">(SUM(IF((PostTB[Account Code (Old)]=B285),(PostTB[Credit])))+(SUM(IF((CkDJ[Account Code]=B285)*(CkDJ[Date]&lt;=$A$7),(CkDJ[Credit])))+(SUM(IF((CsDJ[Account Code]=B285)*(CsDJ[Date]&lt;=$A$7),(CsDJ[Credit])))+(SUM(IF((CRDJ[Account Code]=B285)*(CRDJ[Date]&lt;=$A$7),(CRDJ[Credit])))+(SUM(IF((GJ[Account Code]=B285)*(GJ[Date]&lt;=$A$7),(GJ[Credit]))))))))</f>
        <v>0</v>
      </c>
      <c r="G285" s="620">
        <f>IF(INDEX(AccountCodes[Normal Balance], MATCH(C285,AccountCodes[PPSAS CODE]))="Credit",F285-E285,0)</f>
        <v>0</v>
      </c>
      <c r="H285" s="621">
        <f t="shared" si="4"/>
        <v>0</v>
      </c>
    </row>
    <row r="286" spans="1:8" ht="15.75">
      <c r="A286" s="613" t="str">
        <f t="array" ref="A286">INDEX(AccountCodes[ACCOUNT NAME],MATCH(B286,AccountCodes[NGAS CODE],0))</f>
        <v>Repairs and Maintenance-Transportation Equipment - Motor Vehicles</v>
      </c>
      <c r="B286" s="602" t="s">
        <v>262</v>
      </c>
      <c r="C286" s="615">
        <f t="array" ref="C286">INDEX(AccountCodes[PPSAS CODE],MATCH(B286,AccountCodes[NGAS CODE],0))</f>
        <v>5021306001</v>
      </c>
      <c r="D286" s="616">
        <f>IF(INDEX(AccountCodes[Normal Balance], MATCH(C286,AccountCodes[PPSAS CODE]))="Debit",E286-F286,0)</f>
        <v>0</v>
      </c>
      <c r="E286" s="488">
        <f t="array" ref="E286">(SUM(IF((PostTB[Account Code (Old)]=B286),(PostTB[Debit])))+(SUM(IF((CkDJ[Account Code]=B286)*(CkDJ[Date]&lt;=$A$7),(CkDJ[Debit])))+(SUM(IF((CsDJ[Account Code]=B286)*(CsDJ[Date]&lt;=$A$7),(CsDJ[Debit])))+(SUM(IF((CRDJ[Account Code]=B286)*(CRDJ[Date]&lt;=$A$7),(CRDJ[Debit])))+(SUM(IF((GJ[Account Code]=B286)*(GJ[Date]&lt;=$A$7),(GJ[Debit]))))))))</f>
        <v>0</v>
      </c>
      <c r="F286" s="490">
        <f t="array" ref="F286">(SUM(IF((PostTB[Account Code (Old)]=B286),(PostTB[Credit])))+(SUM(IF((CkDJ[Account Code]=B286)*(CkDJ[Date]&lt;=$A$7),(CkDJ[Credit])))+(SUM(IF((CsDJ[Account Code]=B286)*(CsDJ[Date]&lt;=$A$7),(CsDJ[Credit])))+(SUM(IF((CRDJ[Account Code]=B286)*(CRDJ[Date]&lt;=$A$7),(CRDJ[Credit])))+(SUM(IF((GJ[Account Code]=B286)*(GJ[Date]&lt;=$A$7),(GJ[Credit]))))))))</f>
        <v>0</v>
      </c>
      <c r="G286" s="620">
        <f>IF(INDEX(AccountCodes[Normal Balance], MATCH(C286,AccountCodes[PPSAS CODE]))="Credit",F286-E286,0)</f>
        <v>0</v>
      </c>
      <c r="H286" s="621">
        <f t="shared" si="4"/>
        <v>0</v>
      </c>
    </row>
    <row r="287" spans="1:8" ht="15.75" hidden="1">
      <c r="A287" s="613" t="str">
        <f t="array" ref="A287">INDEX(AccountCodes[ACCOUNT NAME],MATCH(B287,AccountCodes[NGAS CODE],0))</f>
        <v>Repairs and Maintenance-Transportation Equipment - Trains</v>
      </c>
      <c r="B287" s="602" t="s">
        <v>1450</v>
      </c>
      <c r="C287" s="615">
        <f t="array" ref="C287">INDEX(AccountCodes[PPSAS CODE],MATCH(B287,AccountCodes[NGAS CODE],0))</f>
        <v>5021306002</v>
      </c>
      <c r="D287" s="616">
        <f>IF(INDEX(AccountCodes[Normal Balance], MATCH(C287,AccountCodes[PPSAS CODE]))="Debit",E287-F287,0)</f>
        <v>0</v>
      </c>
      <c r="E287" s="488">
        <f t="array" ref="E287">(SUM(IF((PostTB[Account Code (Old)]=B287),(PostTB[Debit])))+(SUM(IF((CkDJ[Account Code]=B287)*(CkDJ[Date]&lt;=$A$7),(CkDJ[Debit])))+(SUM(IF((CsDJ[Account Code]=B287)*(CsDJ[Date]&lt;=$A$7),(CsDJ[Debit])))+(SUM(IF((CRDJ[Account Code]=B287)*(CRDJ[Date]&lt;=$A$7),(CRDJ[Debit])))+(SUM(IF((GJ[Account Code]=B287)*(GJ[Date]&lt;=$A$7),(GJ[Debit]))))))))</f>
        <v>0</v>
      </c>
      <c r="F287" s="490">
        <f t="array" ref="F287">(SUM(IF((PostTB[Account Code (Old)]=B287),(PostTB[Credit])))+(SUM(IF((CkDJ[Account Code]=B287)*(CkDJ[Date]&lt;=$A$7),(CkDJ[Credit])))+(SUM(IF((CsDJ[Account Code]=B287)*(CsDJ[Date]&lt;=$A$7),(CsDJ[Credit])))+(SUM(IF((CRDJ[Account Code]=B287)*(CRDJ[Date]&lt;=$A$7),(CRDJ[Credit])))+(SUM(IF((GJ[Account Code]=B287)*(GJ[Date]&lt;=$A$7),(GJ[Credit]))))))))</f>
        <v>0</v>
      </c>
      <c r="G287" s="620">
        <f>IF(INDEX(AccountCodes[Normal Balance], MATCH(C287,AccountCodes[PPSAS CODE]))="Credit",F287-E287,0)</f>
        <v>0</v>
      </c>
      <c r="H287" s="621">
        <f t="shared" si="4"/>
        <v>0</v>
      </c>
    </row>
    <row r="288" spans="1:8" ht="15.75" hidden="1">
      <c r="A288" s="613" t="str">
        <f t="array" ref="A288">INDEX(AccountCodes[ACCOUNT NAME],MATCH(B288,AccountCodes[NGAS CODE],0))</f>
        <v>Repairs and Maintenance-Transportation Equipment - Aircrafts and Aircrafts Ground Equipment</v>
      </c>
      <c r="B288" s="602" t="s">
        <v>1451</v>
      </c>
      <c r="C288" s="615">
        <f t="array" ref="C288">INDEX(AccountCodes[PPSAS CODE],MATCH(B288,AccountCodes[NGAS CODE],0))</f>
        <v>5021306003</v>
      </c>
      <c r="D288" s="616">
        <f>IF(INDEX(AccountCodes[Normal Balance], MATCH(C288,AccountCodes[PPSAS CODE]))="Debit",E288-F288,0)</f>
        <v>0</v>
      </c>
      <c r="E288" s="488">
        <f t="array" ref="E288">(SUM(IF((PostTB[Account Code (Old)]=B288),(PostTB[Debit])))+(SUM(IF((CkDJ[Account Code]=B288)*(CkDJ[Date]&lt;=$A$7),(CkDJ[Debit])))+(SUM(IF((CsDJ[Account Code]=B288)*(CsDJ[Date]&lt;=$A$7),(CsDJ[Debit])))+(SUM(IF((CRDJ[Account Code]=B288)*(CRDJ[Date]&lt;=$A$7),(CRDJ[Debit])))+(SUM(IF((GJ[Account Code]=B288)*(GJ[Date]&lt;=$A$7),(GJ[Debit]))))))))</f>
        <v>0</v>
      </c>
      <c r="F288" s="490">
        <f t="array" ref="F288">(SUM(IF((PostTB[Account Code (Old)]=B288),(PostTB[Credit])))+(SUM(IF((CkDJ[Account Code]=B288)*(CkDJ[Date]&lt;=$A$7),(CkDJ[Credit])))+(SUM(IF((CsDJ[Account Code]=B288)*(CsDJ[Date]&lt;=$A$7),(CsDJ[Credit])))+(SUM(IF((CRDJ[Account Code]=B288)*(CRDJ[Date]&lt;=$A$7),(CRDJ[Credit])))+(SUM(IF((GJ[Account Code]=B288)*(GJ[Date]&lt;=$A$7),(GJ[Credit]))))))))</f>
        <v>0</v>
      </c>
      <c r="G288" s="620">
        <f>IF(INDEX(AccountCodes[Normal Balance], MATCH(C288,AccountCodes[PPSAS CODE]))="Credit",F288-E288,0)</f>
        <v>0</v>
      </c>
      <c r="H288" s="621">
        <f t="shared" si="4"/>
        <v>0</v>
      </c>
    </row>
    <row r="289" spans="1:8" ht="15.75" hidden="1">
      <c r="A289" s="613" t="str">
        <f t="array" ref="A289">INDEX(AccountCodes[ACCOUNT NAME],MATCH(B289,AccountCodes[NGAS CODE],0))</f>
        <v>Repairs and Maintenance-Transportation Equipment - Watercrafts</v>
      </c>
      <c r="B289" s="602" t="s">
        <v>263</v>
      </c>
      <c r="C289" s="615">
        <f t="array" ref="C289">INDEX(AccountCodes[PPSAS CODE],MATCH(B289,AccountCodes[NGAS CODE],0))</f>
        <v>5021306004</v>
      </c>
      <c r="D289" s="616">
        <f>IF(INDEX(AccountCodes[Normal Balance], MATCH(C289,AccountCodes[PPSAS CODE]))="Debit",E289-F289,0)</f>
        <v>0</v>
      </c>
      <c r="E289" s="488">
        <f t="array" ref="E289">(SUM(IF((PostTB[Account Code (Old)]=B289),(PostTB[Debit])))+(SUM(IF((CkDJ[Account Code]=B289)*(CkDJ[Date]&lt;=$A$7),(CkDJ[Debit])))+(SUM(IF((CsDJ[Account Code]=B289)*(CsDJ[Date]&lt;=$A$7),(CsDJ[Debit])))+(SUM(IF((CRDJ[Account Code]=B289)*(CRDJ[Date]&lt;=$A$7),(CRDJ[Debit])))+(SUM(IF((GJ[Account Code]=B289)*(GJ[Date]&lt;=$A$7),(GJ[Debit]))))))))</f>
        <v>0</v>
      </c>
      <c r="F289" s="490">
        <f t="array" ref="F289">(SUM(IF((PostTB[Account Code (Old)]=B289),(PostTB[Credit])))+(SUM(IF((CkDJ[Account Code]=B289)*(CkDJ[Date]&lt;=$A$7),(CkDJ[Credit])))+(SUM(IF((CsDJ[Account Code]=B289)*(CsDJ[Date]&lt;=$A$7),(CsDJ[Credit])))+(SUM(IF((CRDJ[Account Code]=B289)*(CRDJ[Date]&lt;=$A$7),(CRDJ[Credit])))+(SUM(IF((GJ[Account Code]=B289)*(GJ[Date]&lt;=$A$7),(GJ[Credit]))))))))</f>
        <v>0</v>
      </c>
      <c r="G289" s="620">
        <f>IF(INDEX(AccountCodes[Normal Balance], MATCH(C289,AccountCodes[PPSAS CODE]))="Credit",F289-E289,0)</f>
        <v>0</v>
      </c>
      <c r="H289" s="621">
        <f t="shared" si="4"/>
        <v>0</v>
      </c>
    </row>
    <row r="290" spans="1:8" ht="15.75" hidden="1">
      <c r="A290" s="613" t="str">
        <f t="array" ref="A290">INDEX(AccountCodes[ACCOUNT NAME],MATCH(B290,AccountCodes[NGAS CODE],0))</f>
        <v>Repairs and Maintenance-Transportation Equipment - Other Transportation Equipment</v>
      </c>
      <c r="B290" s="602" t="s">
        <v>264</v>
      </c>
      <c r="C290" s="615">
        <f t="array" ref="C290">INDEX(AccountCodes[PPSAS CODE],MATCH(B290,AccountCodes[NGAS CODE],0))</f>
        <v>5021306099</v>
      </c>
      <c r="D290" s="616">
        <f>IF(INDEX(AccountCodes[Normal Balance], MATCH(C290,AccountCodes[PPSAS CODE]))="Debit",E290-F290,0)</f>
        <v>0</v>
      </c>
      <c r="E290" s="488">
        <f t="array" ref="E290">(SUM(IF((PostTB[Account Code (Old)]=B290),(PostTB[Debit])))+(SUM(IF((CkDJ[Account Code]=B290)*(CkDJ[Date]&lt;=$A$7),(CkDJ[Debit])))+(SUM(IF((CsDJ[Account Code]=B290)*(CsDJ[Date]&lt;=$A$7),(CsDJ[Debit])))+(SUM(IF((CRDJ[Account Code]=B290)*(CRDJ[Date]&lt;=$A$7),(CRDJ[Debit])))+(SUM(IF((GJ[Account Code]=B290)*(GJ[Date]&lt;=$A$7),(GJ[Debit]))))))))</f>
        <v>0</v>
      </c>
      <c r="F290" s="490">
        <f t="array" ref="F290">(SUM(IF((PostTB[Account Code (Old)]=B290),(PostTB[Credit])))+(SUM(IF((CkDJ[Account Code]=B290)*(CkDJ[Date]&lt;=$A$7),(CkDJ[Credit])))+(SUM(IF((CsDJ[Account Code]=B290)*(CsDJ[Date]&lt;=$A$7),(CsDJ[Credit])))+(SUM(IF((CRDJ[Account Code]=B290)*(CRDJ[Date]&lt;=$A$7),(CRDJ[Credit])))+(SUM(IF((GJ[Account Code]=B290)*(GJ[Date]&lt;=$A$7),(GJ[Credit]))))))))</f>
        <v>0</v>
      </c>
      <c r="G290" s="620">
        <f>IF(INDEX(AccountCodes[Normal Balance], MATCH(C290,AccountCodes[PPSAS CODE]))="Credit",F290-E290,0)</f>
        <v>0</v>
      </c>
      <c r="H290" s="621">
        <f t="shared" si="4"/>
        <v>0</v>
      </c>
    </row>
    <row r="291" spans="1:8" ht="15.75" hidden="1">
      <c r="A291" s="613" t="str">
        <f t="array" ref="A291">INDEX(AccountCodes[ACCOUNT NAME],MATCH(B291,AccountCodes[NGAS CODE],0))</f>
        <v>Repairs and Maintenance-Furniture and Fixtures</v>
      </c>
      <c r="B291" s="602" t="s">
        <v>254</v>
      </c>
      <c r="C291" s="615">
        <f t="array" ref="C291">INDEX(AccountCodes[PPSAS CODE],MATCH(B291,AccountCodes[NGAS CODE],0))</f>
        <v>5021307000</v>
      </c>
      <c r="D291" s="616">
        <f>IF(INDEX(AccountCodes[Normal Balance], MATCH(C291,AccountCodes[PPSAS CODE]))="Debit",E291-F291,0)</f>
        <v>0</v>
      </c>
      <c r="E291" s="488">
        <f t="array" ref="E291">(SUM(IF((PostTB[Account Code (Old)]=B291),(PostTB[Debit])))+(SUM(IF((CkDJ[Account Code]=B291)*(CkDJ[Date]&lt;=$A$7),(CkDJ[Debit])))+(SUM(IF((CsDJ[Account Code]=B291)*(CsDJ[Date]&lt;=$A$7),(CsDJ[Debit])))+(SUM(IF((CRDJ[Account Code]=B291)*(CRDJ[Date]&lt;=$A$7),(CRDJ[Debit])))+(SUM(IF((GJ[Account Code]=B291)*(GJ[Date]&lt;=$A$7),(GJ[Debit]))))))))</f>
        <v>0</v>
      </c>
      <c r="F291" s="490">
        <f t="array" ref="F291">(SUM(IF((PostTB[Account Code (Old)]=B291),(PostTB[Credit])))+(SUM(IF((CkDJ[Account Code]=B291)*(CkDJ[Date]&lt;=$A$7),(CkDJ[Credit])))+(SUM(IF((CsDJ[Account Code]=B291)*(CsDJ[Date]&lt;=$A$7),(CsDJ[Credit])))+(SUM(IF((CRDJ[Account Code]=B291)*(CRDJ[Date]&lt;=$A$7),(CRDJ[Credit])))+(SUM(IF((GJ[Account Code]=B291)*(GJ[Date]&lt;=$A$7),(GJ[Credit]))))))))</f>
        <v>0</v>
      </c>
      <c r="G291" s="620">
        <f>IF(INDEX(AccountCodes[Normal Balance], MATCH(C291,AccountCodes[PPSAS CODE]))="Credit",F291-E291,0)</f>
        <v>0</v>
      </c>
      <c r="H291" s="621">
        <f t="shared" si="4"/>
        <v>0</v>
      </c>
    </row>
    <row r="292" spans="1:8" ht="15.75" hidden="1">
      <c r="A292" s="613" t="str">
        <f t="array" ref="A292">INDEX(AccountCodes[ACCOUNT NAME],MATCH(B292,AccountCodes[NGAS CODE],0))</f>
        <v>Repairs and Maintenance-Other Property, Plant and Equipment - Other Property, Plant and Equipment</v>
      </c>
      <c r="B292" s="602" t="s">
        <v>265</v>
      </c>
      <c r="C292" s="615">
        <f t="array" ref="C292">INDEX(AccountCodes[PPSAS CODE],MATCH(B292,AccountCodes[NGAS CODE],0))</f>
        <v>5021399099</v>
      </c>
      <c r="D292" s="616">
        <f>IF(INDEX(AccountCodes[Normal Balance], MATCH(C292,AccountCodes[PPSAS CODE]))="Debit",E292-F292,0)</f>
        <v>0</v>
      </c>
      <c r="E292" s="488">
        <f t="array" ref="E292">(SUM(IF((PostTB[Account Code (Old)]=B292),(PostTB[Debit])))+(SUM(IF((CkDJ[Account Code]=B292)*(CkDJ[Date]&lt;=$A$7),(CkDJ[Debit])))+(SUM(IF((CsDJ[Account Code]=B292)*(CsDJ[Date]&lt;=$A$7),(CsDJ[Debit])))+(SUM(IF((CRDJ[Account Code]=B292)*(CRDJ[Date]&lt;=$A$7),(CRDJ[Debit])))+(SUM(IF((GJ[Account Code]=B292)*(GJ[Date]&lt;=$A$7),(GJ[Debit]))))))))</f>
        <v>0</v>
      </c>
      <c r="F292" s="490">
        <f t="array" ref="F292">(SUM(IF((PostTB[Account Code (Old)]=B292),(PostTB[Credit])))+(SUM(IF((CkDJ[Account Code]=B292)*(CkDJ[Date]&lt;=$A$7),(CkDJ[Credit])))+(SUM(IF((CsDJ[Account Code]=B292)*(CsDJ[Date]&lt;=$A$7),(CsDJ[Credit])))+(SUM(IF((CRDJ[Account Code]=B292)*(CRDJ[Date]&lt;=$A$7),(CRDJ[Credit])))+(SUM(IF((GJ[Account Code]=B292)*(GJ[Date]&lt;=$A$7),(GJ[Credit]))))))))</f>
        <v>0</v>
      </c>
      <c r="G292" s="620">
        <f>IF(INDEX(AccountCodes[Normal Balance], MATCH(C292,AccountCodes[PPSAS CODE]))="Credit",F292-E292,0)</f>
        <v>0</v>
      </c>
      <c r="H292" s="621">
        <f t="shared" si="4"/>
        <v>0</v>
      </c>
    </row>
    <row r="293" spans="1:8" ht="15.75" hidden="1">
      <c r="A293" s="613" t="str">
        <f t="array" ref="A293">INDEX(AccountCodes[ACCOUNT NAME],MATCH(B293,AccountCodes[NGAS CODE],0))</f>
        <v>Subsidy to Regional Offices/Staff Bureaus</v>
      </c>
      <c r="B293" s="602" t="s">
        <v>268</v>
      </c>
      <c r="C293" s="615">
        <f t="array" ref="C293">INDEX(AccountCodes[PPSAS CODE],MATCH(B293,AccountCodes[NGAS CODE],0))</f>
        <v>5021407000</v>
      </c>
      <c r="D293" s="616">
        <f>IF(INDEX(AccountCodes[Normal Balance], MATCH(C293,AccountCodes[PPSAS CODE]))="Debit",E293-F293,0)</f>
        <v>0</v>
      </c>
      <c r="E293" s="488">
        <f t="array" ref="E293">(SUM(IF((PostTB[Account Code (Old)]=B293),(PostTB[Debit])))+(SUM(IF((CkDJ[Account Code]=B293)*(CkDJ[Date]&lt;=$A$7),(CkDJ[Debit])))+(SUM(IF((CsDJ[Account Code]=B293)*(CsDJ[Date]&lt;=$A$7),(CsDJ[Debit])))+(SUM(IF((CRDJ[Account Code]=B293)*(CRDJ[Date]&lt;=$A$7),(CRDJ[Debit])))+(SUM(IF((GJ[Account Code]=B293)*(GJ[Date]&lt;=$A$7),(GJ[Debit]))))))))</f>
        <v>0</v>
      </c>
      <c r="F293" s="490">
        <f t="array" ref="F293">(SUM(IF((PostTB[Account Code (Old)]=B293),(PostTB[Credit])))+(SUM(IF((CkDJ[Account Code]=B293)*(CkDJ[Date]&lt;=$A$7),(CkDJ[Credit])))+(SUM(IF((CsDJ[Account Code]=B293)*(CsDJ[Date]&lt;=$A$7),(CsDJ[Credit])))+(SUM(IF((CRDJ[Account Code]=B293)*(CRDJ[Date]&lt;=$A$7),(CRDJ[Credit])))+(SUM(IF((GJ[Account Code]=B293)*(GJ[Date]&lt;=$A$7),(GJ[Credit]))))))))</f>
        <v>0</v>
      </c>
      <c r="G293" s="620">
        <f>IF(INDEX(AccountCodes[Normal Balance], MATCH(C293,AccountCodes[PPSAS CODE]))="Credit",F293-E293,0)</f>
        <v>0</v>
      </c>
      <c r="H293" s="621">
        <f t="shared" si="4"/>
        <v>0</v>
      </c>
    </row>
    <row r="294" spans="1:8" ht="15.75" hidden="1">
      <c r="A294" s="613" t="str">
        <f t="array" ref="A294">INDEX(AccountCodes[ACCOUNT NAME],MATCH(B294,AccountCodes[NGAS CODE],0))</f>
        <v>Taxes, Duties and Licenses</v>
      </c>
      <c r="B294" s="602" t="s">
        <v>272</v>
      </c>
      <c r="C294" s="615">
        <f t="array" ref="C294">INDEX(AccountCodes[PPSAS CODE],MATCH(B294,AccountCodes[NGAS CODE],0))</f>
        <v>5021501000</v>
      </c>
      <c r="D294" s="616">
        <f>IF(INDEX(AccountCodes[Normal Balance], MATCH(C294,AccountCodes[PPSAS CODE]))="Debit",E294-F294,0)</f>
        <v>0</v>
      </c>
      <c r="E294" s="488">
        <f t="array" ref="E294">(SUM(IF((PostTB[Account Code (Old)]=B294),(PostTB[Debit])))+(SUM(IF((CkDJ[Account Code]=B294)*(CkDJ[Date]&lt;=$A$7),(CkDJ[Debit])))+(SUM(IF((CsDJ[Account Code]=B294)*(CsDJ[Date]&lt;=$A$7),(CsDJ[Debit])))+(SUM(IF((CRDJ[Account Code]=B294)*(CRDJ[Date]&lt;=$A$7),(CRDJ[Debit])))+(SUM(IF((GJ[Account Code]=B294)*(GJ[Date]&lt;=$A$7),(GJ[Debit]))))))))</f>
        <v>0</v>
      </c>
      <c r="F294" s="490">
        <f t="array" ref="F294">(SUM(IF((PostTB[Account Code (Old)]=B294),(PostTB[Credit])))+(SUM(IF((CkDJ[Account Code]=B294)*(CkDJ[Date]&lt;=$A$7),(CkDJ[Credit])))+(SUM(IF((CsDJ[Account Code]=B294)*(CsDJ[Date]&lt;=$A$7),(CsDJ[Credit])))+(SUM(IF((CRDJ[Account Code]=B294)*(CRDJ[Date]&lt;=$A$7),(CRDJ[Credit])))+(SUM(IF((GJ[Account Code]=B294)*(GJ[Date]&lt;=$A$7),(GJ[Credit]))))))))</f>
        <v>0</v>
      </c>
      <c r="G294" s="620">
        <f>IF(INDEX(AccountCodes[Normal Balance], MATCH(C294,AccountCodes[PPSAS CODE]))="Credit",F294-E294,0)</f>
        <v>0</v>
      </c>
      <c r="H294" s="621">
        <f t="shared" si="4"/>
        <v>0</v>
      </c>
    </row>
    <row r="295" spans="1:8" ht="15.75" hidden="1">
      <c r="A295" s="613" t="str">
        <f t="array" ref="A295">INDEX(AccountCodes[ACCOUNT NAME],MATCH(B295,AccountCodes[NGAS CODE],0))</f>
        <v>Fidelity Bond Premiums</v>
      </c>
      <c r="B295" s="602" t="s">
        <v>273</v>
      </c>
      <c r="C295" s="615">
        <f t="array" ref="C295">INDEX(AccountCodes[PPSAS CODE],MATCH(B295,AccountCodes[NGAS CODE],0))</f>
        <v>5021502000</v>
      </c>
      <c r="D295" s="616">
        <f>IF(INDEX(AccountCodes[Normal Balance], MATCH(C295,AccountCodes[PPSAS CODE]))="Debit",E295-F295,0)</f>
        <v>0</v>
      </c>
      <c r="E295" s="488">
        <f t="array" ref="E295">(SUM(IF((PostTB[Account Code (Old)]=B295),(PostTB[Debit])))+(SUM(IF((CkDJ[Account Code]=B295)*(CkDJ[Date]&lt;=$A$7),(CkDJ[Debit])))+(SUM(IF((CsDJ[Account Code]=B295)*(CsDJ[Date]&lt;=$A$7),(CsDJ[Debit])))+(SUM(IF((CRDJ[Account Code]=B295)*(CRDJ[Date]&lt;=$A$7),(CRDJ[Debit])))+(SUM(IF((GJ[Account Code]=B295)*(GJ[Date]&lt;=$A$7),(GJ[Debit]))))))))</f>
        <v>0</v>
      </c>
      <c r="F295" s="490">
        <f t="array" ref="F295">(SUM(IF((PostTB[Account Code (Old)]=B295),(PostTB[Credit])))+(SUM(IF((CkDJ[Account Code]=B295)*(CkDJ[Date]&lt;=$A$7),(CkDJ[Credit])))+(SUM(IF((CsDJ[Account Code]=B295)*(CsDJ[Date]&lt;=$A$7),(CsDJ[Credit])))+(SUM(IF((CRDJ[Account Code]=B295)*(CRDJ[Date]&lt;=$A$7),(CRDJ[Credit])))+(SUM(IF((GJ[Account Code]=B295)*(GJ[Date]&lt;=$A$7),(GJ[Credit]))))))))</f>
        <v>0</v>
      </c>
      <c r="G295" s="620">
        <f>IF(INDEX(AccountCodes[Normal Balance], MATCH(C295,AccountCodes[PPSAS CODE]))="Credit",F295-E295,0)</f>
        <v>0</v>
      </c>
      <c r="H295" s="621">
        <f t="shared" si="4"/>
        <v>0</v>
      </c>
    </row>
    <row r="296" spans="1:8" ht="15.75" hidden="1">
      <c r="A296" s="613" t="str">
        <f t="array" ref="A296">INDEX(AccountCodes[ACCOUNT NAME],MATCH(B296,AccountCodes[NGAS CODE],0))</f>
        <v>Insurance Expenses</v>
      </c>
      <c r="B296" s="602" t="s">
        <v>274</v>
      </c>
      <c r="C296" s="615">
        <f t="array" ref="C296">INDEX(AccountCodes[PPSAS CODE],MATCH(B296,AccountCodes[NGAS CODE],0))</f>
        <v>5021503000</v>
      </c>
      <c r="D296" s="616">
        <f>IF(INDEX(AccountCodes[Normal Balance], MATCH(C296,AccountCodes[PPSAS CODE]))="Debit",E296-F296,0)</f>
        <v>0</v>
      </c>
      <c r="E296" s="488">
        <f t="array" ref="E296">(SUM(IF((PostTB[Account Code (Old)]=B296),(PostTB[Debit])))+(SUM(IF((CkDJ[Account Code]=B296)*(CkDJ[Date]&lt;=$A$7),(CkDJ[Debit])))+(SUM(IF((CsDJ[Account Code]=B296)*(CsDJ[Date]&lt;=$A$7),(CsDJ[Debit])))+(SUM(IF((CRDJ[Account Code]=B296)*(CRDJ[Date]&lt;=$A$7),(CRDJ[Debit])))+(SUM(IF((GJ[Account Code]=B296)*(GJ[Date]&lt;=$A$7),(GJ[Debit]))))))))</f>
        <v>0</v>
      </c>
      <c r="F296" s="490">
        <f t="array" ref="F296">(SUM(IF((PostTB[Account Code (Old)]=B296),(PostTB[Credit])))+(SUM(IF((CkDJ[Account Code]=B296)*(CkDJ[Date]&lt;=$A$7),(CkDJ[Credit])))+(SUM(IF((CsDJ[Account Code]=B296)*(CsDJ[Date]&lt;=$A$7),(CsDJ[Credit])))+(SUM(IF((CRDJ[Account Code]=B296)*(CRDJ[Date]&lt;=$A$7),(CRDJ[Credit])))+(SUM(IF((GJ[Account Code]=B296)*(GJ[Date]&lt;=$A$7),(GJ[Credit]))))))))</f>
        <v>0</v>
      </c>
      <c r="G296" s="620">
        <f>IF(INDEX(AccountCodes[Normal Balance], MATCH(C296,AccountCodes[PPSAS CODE]))="Credit",F296-E296,0)</f>
        <v>0</v>
      </c>
      <c r="H296" s="621">
        <f t="shared" si="4"/>
        <v>0</v>
      </c>
    </row>
    <row r="297" spans="1:8" ht="15.75" hidden="1">
      <c r="A297" s="613" t="str">
        <f t="array" ref="A297">INDEX(AccountCodes[ACCOUNT NAME],MATCH(B297,AccountCodes[NGAS CODE],0))</f>
        <v>Advertising Expenses</v>
      </c>
      <c r="B297" s="602" t="s">
        <v>240</v>
      </c>
      <c r="C297" s="615">
        <f t="array" ref="C297">INDEX(AccountCodes[PPSAS CODE],MATCH(B297,AccountCodes[NGAS CODE],0))</f>
        <v>5029901000</v>
      </c>
      <c r="D297" s="616">
        <f>IF(INDEX(AccountCodes[Normal Balance], MATCH(C297,AccountCodes[PPSAS CODE]))="Debit",E297-F297,0)</f>
        <v>0</v>
      </c>
      <c r="E297" s="488">
        <f t="array" ref="E297">(SUM(IF((PostTB[Account Code (Old)]=B297),(PostTB[Debit])))+(SUM(IF((CkDJ[Account Code]=B297)*(CkDJ[Date]&lt;=$A$7),(CkDJ[Debit])))+(SUM(IF((CsDJ[Account Code]=B297)*(CsDJ[Date]&lt;=$A$7),(CsDJ[Debit])))+(SUM(IF((CRDJ[Account Code]=B297)*(CRDJ[Date]&lt;=$A$7),(CRDJ[Debit])))+(SUM(IF((GJ[Account Code]=B297)*(GJ[Date]&lt;=$A$7),(GJ[Debit]))))))))</f>
        <v>0</v>
      </c>
      <c r="F297" s="490">
        <f t="array" ref="F297">(SUM(IF((PostTB[Account Code (Old)]=B297),(PostTB[Credit])))+(SUM(IF((CkDJ[Account Code]=B297)*(CkDJ[Date]&lt;=$A$7),(CkDJ[Credit])))+(SUM(IF((CsDJ[Account Code]=B297)*(CsDJ[Date]&lt;=$A$7),(CsDJ[Credit])))+(SUM(IF((CRDJ[Account Code]=B297)*(CRDJ[Date]&lt;=$A$7),(CRDJ[Credit])))+(SUM(IF((GJ[Account Code]=B297)*(GJ[Date]&lt;=$A$7),(GJ[Credit]))))))))</f>
        <v>0</v>
      </c>
      <c r="G297" s="620">
        <f>IF(INDEX(AccountCodes[Normal Balance], MATCH(C297,AccountCodes[PPSAS CODE]))="Credit",F297-E297,0)</f>
        <v>0</v>
      </c>
      <c r="H297" s="621">
        <f t="shared" si="4"/>
        <v>0</v>
      </c>
    </row>
    <row r="298" spans="1:8" ht="15.75" hidden="1">
      <c r="A298" s="613" t="str">
        <f t="array" ref="A298">INDEX(AccountCodes[ACCOUNT NAME],MATCH(B298,AccountCodes[NGAS CODE],0))</f>
        <v>Printing and Publication Expenses</v>
      </c>
      <c r="B298" s="602" t="s">
        <v>241</v>
      </c>
      <c r="C298" s="615">
        <f t="array" ref="C298">INDEX(AccountCodes[PPSAS CODE],MATCH(B298,AccountCodes[NGAS CODE],0))</f>
        <v>5029902000</v>
      </c>
      <c r="D298" s="616">
        <f>IF(INDEX(AccountCodes[Normal Balance], MATCH(C298,AccountCodes[PPSAS CODE]))="Debit",E298-F298,0)</f>
        <v>0</v>
      </c>
      <c r="E298" s="488">
        <f t="array" ref="E298">(SUM(IF((PostTB[Account Code (Old)]=B298),(PostTB[Debit])))+(SUM(IF((CkDJ[Account Code]=B298)*(CkDJ[Date]&lt;=$A$7),(CkDJ[Debit])))+(SUM(IF((CsDJ[Account Code]=B298)*(CsDJ[Date]&lt;=$A$7),(CsDJ[Debit])))+(SUM(IF((CRDJ[Account Code]=B298)*(CRDJ[Date]&lt;=$A$7),(CRDJ[Debit])))+(SUM(IF((GJ[Account Code]=B298)*(GJ[Date]&lt;=$A$7),(GJ[Debit]))))))))</f>
        <v>0</v>
      </c>
      <c r="F298" s="490">
        <f t="array" ref="F298">(SUM(IF((PostTB[Account Code (Old)]=B298),(PostTB[Credit])))+(SUM(IF((CkDJ[Account Code]=B298)*(CkDJ[Date]&lt;=$A$7),(CkDJ[Credit])))+(SUM(IF((CsDJ[Account Code]=B298)*(CsDJ[Date]&lt;=$A$7),(CsDJ[Credit])))+(SUM(IF((CRDJ[Account Code]=B298)*(CRDJ[Date]&lt;=$A$7),(CRDJ[Credit])))+(SUM(IF((GJ[Account Code]=B298)*(GJ[Date]&lt;=$A$7),(GJ[Credit]))))))))</f>
        <v>0</v>
      </c>
      <c r="G298" s="620">
        <f>IF(INDEX(AccountCodes[Normal Balance], MATCH(C298,AccountCodes[PPSAS CODE]))="Credit",F298-E298,0)</f>
        <v>0</v>
      </c>
      <c r="H298" s="621">
        <f t="shared" si="4"/>
        <v>0</v>
      </c>
    </row>
    <row r="299" spans="1:8" ht="15.75">
      <c r="A299" s="613" t="str">
        <f t="array" ref="A299">INDEX(AccountCodes[ACCOUNT NAME],MATCH(B299,AccountCodes[NGAS CODE],0))</f>
        <v>Representation Expenses</v>
      </c>
      <c r="B299" s="602" t="s">
        <v>243</v>
      </c>
      <c r="C299" s="615">
        <f t="array" ref="C299">INDEX(AccountCodes[PPSAS CODE],MATCH(B299,AccountCodes[NGAS CODE],0))</f>
        <v>5029903000</v>
      </c>
      <c r="D299" s="616">
        <f>IF(INDEX(AccountCodes[Normal Balance], MATCH(C299,AccountCodes[PPSAS CODE]))="Debit",E299-F299,0)</f>
        <v>0</v>
      </c>
      <c r="E299" s="488">
        <f t="array" ref="E299">(SUM(IF((PostTB[Account Code (Old)]=B299),(PostTB[Debit])))+(SUM(IF((CkDJ[Account Code]=B299)*(CkDJ[Date]&lt;=$A$7),(CkDJ[Debit])))+(SUM(IF((CsDJ[Account Code]=B299)*(CsDJ[Date]&lt;=$A$7),(CsDJ[Debit])))+(SUM(IF((CRDJ[Account Code]=B299)*(CRDJ[Date]&lt;=$A$7),(CRDJ[Debit])))+(SUM(IF((GJ[Account Code]=B299)*(GJ[Date]&lt;=$A$7),(GJ[Debit]))))))))</f>
        <v>0</v>
      </c>
      <c r="F299" s="490">
        <f t="array" ref="F299">(SUM(IF((PostTB[Account Code (Old)]=B299),(PostTB[Credit])))+(SUM(IF((CkDJ[Account Code]=B299)*(CkDJ[Date]&lt;=$A$7),(CkDJ[Credit])))+(SUM(IF((CsDJ[Account Code]=B299)*(CsDJ[Date]&lt;=$A$7),(CsDJ[Credit])))+(SUM(IF((CRDJ[Account Code]=B299)*(CRDJ[Date]&lt;=$A$7),(CRDJ[Credit])))+(SUM(IF((GJ[Account Code]=B299)*(GJ[Date]&lt;=$A$7),(GJ[Credit]))))))))</f>
        <v>0</v>
      </c>
      <c r="G299" s="620">
        <f>IF(INDEX(AccountCodes[Normal Balance], MATCH(C299,AccountCodes[PPSAS CODE]))="Credit",F299-E299,0)</f>
        <v>0</v>
      </c>
      <c r="H299" s="621">
        <f t="shared" si="4"/>
        <v>0</v>
      </c>
    </row>
    <row r="300" spans="1:8" ht="15.75" hidden="1">
      <c r="A300" s="613" t="str">
        <f t="array" ref="A300">INDEX(AccountCodes[ACCOUNT NAME],MATCH(B300,AccountCodes[NGAS CODE],0))</f>
        <v>Transportation and Delivery Expenses</v>
      </c>
      <c r="B300" s="602" t="s">
        <v>244</v>
      </c>
      <c r="C300" s="615">
        <f t="array" ref="C300">INDEX(AccountCodes[PPSAS CODE],MATCH(B300,AccountCodes[NGAS CODE],0))</f>
        <v>5029904000</v>
      </c>
      <c r="D300" s="616">
        <f>IF(INDEX(AccountCodes[Normal Balance], MATCH(C300,AccountCodes[PPSAS CODE]))="Debit",E300-F300,0)</f>
        <v>0</v>
      </c>
      <c r="E300" s="488">
        <f t="array" ref="E300">(SUM(IF((PostTB[Account Code (Old)]=B300),(PostTB[Debit])))+(SUM(IF((CkDJ[Account Code]=B300)*(CkDJ[Date]&lt;=$A$7),(CkDJ[Debit])))+(SUM(IF((CsDJ[Account Code]=B300)*(CsDJ[Date]&lt;=$A$7),(CsDJ[Debit])))+(SUM(IF((CRDJ[Account Code]=B300)*(CRDJ[Date]&lt;=$A$7),(CRDJ[Debit])))+(SUM(IF((GJ[Account Code]=B300)*(GJ[Date]&lt;=$A$7),(GJ[Debit]))))))))</f>
        <v>0</v>
      </c>
      <c r="F300" s="490">
        <f t="array" ref="F300">(SUM(IF((PostTB[Account Code (Old)]=B300),(PostTB[Credit])))+(SUM(IF((CkDJ[Account Code]=B300)*(CkDJ[Date]&lt;=$A$7),(CkDJ[Credit])))+(SUM(IF((CsDJ[Account Code]=B300)*(CsDJ[Date]&lt;=$A$7),(CsDJ[Credit])))+(SUM(IF((CRDJ[Account Code]=B300)*(CRDJ[Date]&lt;=$A$7),(CRDJ[Credit])))+(SUM(IF((GJ[Account Code]=B300)*(GJ[Date]&lt;=$A$7),(GJ[Credit]))))))))</f>
        <v>0</v>
      </c>
      <c r="G300" s="620">
        <f>IF(INDEX(AccountCodes[Normal Balance], MATCH(C300,AccountCodes[PPSAS CODE]))="Credit",F300-E300,0)</f>
        <v>0</v>
      </c>
      <c r="H300" s="621">
        <f t="shared" si="4"/>
        <v>0</v>
      </c>
    </row>
    <row r="301" spans="1:8" ht="15.75" hidden="1">
      <c r="A301" s="613" t="str">
        <f t="array" ref="A301">INDEX(AccountCodes[ACCOUNT NAME],MATCH(B301,AccountCodes[NGAS CODE],0))</f>
        <v>Rent/Lease Expenses</v>
      </c>
      <c r="B301" s="602" t="s">
        <v>242</v>
      </c>
      <c r="C301" s="615">
        <f t="array" ref="C301">INDEX(AccountCodes[PPSAS CODE],MATCH(B301,AccountCodes[NGAS CODE],0))</f>
        <v>5029905000</v>
      </c>
      <c r="D301" s="616">
        <f>IF(INDEX(AccountCodes[Normal Balance], MATCH(C301,AccountCodes[PPSAS CODE]))="Debit",E301-F301,0)</f>
        <v>0</v>
      </c>
      <c r="E301" s="488">
        <f t="array" ref="E301">(SUM(IF((PostTB[Account Code (Old)]=B301),(PostTB[Debit])))+(SUM(IF((CkDJ[Account Code]=B301)*(CkDJ[Date]&lt;=$A$7),(CkDJ[Debit])))+(SUM(IF((CsDJ[Account Code]=B301)*(CsDJ[Date]&lt;=$A$7),(CsDJ[Debit])))+(SUM(IF((CRDJ[Account Code]=B301)*(CRDJ[Date]&lt;=$A$7),(CRDJ[Debit])))+(SUM(IF((GJ[Account Code]=B301)*(GJ[Date]&lt;=$A$7),(GJ[Debit]))))))))</f>
        <v>0</v>
      </c>
      <c r="F301" s="490">
        <f t="array" ref="F301">(SUM(IF((PostTB[Account Code (Old)]=B301),(PostTB[Credit])))+(SUM(IF((CkDJ[Account Code]=B301)*(CkDJ[Date]&lt;=$A$7),(CkDJ[Credit])))+(SUM(IF((CsDJ[Account Code]=B301)*(CsDJ[Date]&lt;=$A$7),(CsDJ[Credit])))+(SUM(IF((CRDJ[Account Code]=B301)*(CRDJ[Date]&lt;=$A$7),(CRDJ[Credit])))+(SUM(IF((GJ[Account Code]=B301)*(GJ[Date]&lt;=$A$7),(GJ[Credit]))))))))</f>
        <v>0</v>
      </c>
      <c r="G301" s="620">
        <f>IF(INDEX(AccountCodes[Normal Balance], MATCH(C301,AccountCodes[PPSAS CODE]))="Credit",F301-E301,0)</f>
        <v>0</v>
      </c>
      <c r="H301" s="621">
        <f t="shared" si="4"/>
        <v>0</v>
      </c>
    </row>
    <row r="302" spans="1:8" ht="15.75" hidden="1">
      <c r="A302" s="613" t="str">
        <f t="array" ref="A302">INDEX(AccountCodes[ACCOUNT NAME],MATCH(B302,AccountCodes[NGAS CODE],0))</f>
        <v>Membership Dues and Contributions to Organizations</v>
      </c>
      <c r="B302" s="602" t="s">
        <v>239</v>
      </c>
      <c r="C302" s="615">
        <f t="array" ref="C302">INDEX(AccountCodes[PPSAS CODE],MATCH(B302,AccountCodes[NGAS CODE],0))</f>
        <v>5029906000</v>
      </c>
      <c r="D302" s="616">
        <f>IF(INDEX(AccountCodes[Normal Balance], MATCH(C302,AccountCodes[PPSAS CODE]))="Debit",E302-F302,0)</f>
        <v>0</v>
      </c>
      <c r="E302" s="488">
        <f t="array" ref="E302">(SUM(IF((PostTB[Account Code (Old)]=B302),(PostTB[Debit])))+(SUM(IF((CkDJ[Account Code]=B302)*(CkDJ[Date]&lt;=$A$7),(CkDJ[Debit])))+(SUM(IF((CsDJ[Account Code]=B302)*(CsDJ[Date]&lt;=$A$7),(CsDJ[Debit])))+(SUM(IF((CRDJ[Account Code]=B302)*(CRDJ[Date]&lt;=$A$7),(CRDJ[Debit])))+(SUM(IF((GJ[Account Code]=B302)*(GJ[Date]&lt;=$A$7),(GJ[Debit]))))))))</f>
        <v>0</v>
      </c>
      <c r="F302" s="490">
        <f t="array" ref="F302">(SUM(IF((PostTB[Account Code (Old)]=B302),(PostTB[Credit])))+(SUM(IF((CkDJ[Account Code]=B302)*(CkDJ[Date]&lt;=$A$7),(CkDJ[Credit])))+(SUM(IF((CsDJ[Account Code]=B302)*(CsDJ[Date]&lt;=$A$7),(CsDJ[Credit])))+(SUM(IF((CRDJ[Account Code]=B302)*(CRDJ[Date]&lt;=$A$7),(CRDJ[Credit])))+(SUM(IF((GJ[Account Code]=B302)*(GJ[Date]&lt;=$A$7),(GJ[Credit]))))))))</f>
        <v>0</v>
      </c>
      <c r="G302" s="620">
        <f>IF(INDEX(AccountCodes[Normal Balance], MATCH(C302,AccountCodes[PPSAS CODE]))="Credit",F302-E302,0)</f>
        <v>0</v>
      </c>
      <c r="H302" s="621">
        <f t="shared" si="4"/>
        <v>0</v>
      </c>
    </row>
    <row r="303" spans="1:8" ht="15.75" hidden="1">
      <c r="A303" s="613" t="str">
        <f t="array" ref="A303">INDEX(AccountCodes[ACCOUNT NAME],MATCH(B303,AccountCodes[NGAS CODE],0))</f>
        <v>Subscription Expenses</v>
      </c>
      <c r="B303" s="602" t="s">
        <v>339</v>
      </c>
      <c r="C303" s="615">
        <f t="array" ref="C303">INDEX(AccountCodes[PPSAS CODE],MATCH(B303,AccountCodes[NGAS CODE],0))</f>
        <v>5029907000</v>
      </c>
      <c r="D303" s="616">
        <f>IF(INDEX(AccountCodes[Normal Balance], MATCH(C303,AccountCodes[PPSAS CODE]))="Debit",E303-F303,0)</f>
        <v>0</v>
      </c>
      <c r="E303" s="488">
        <f t="array" ref="E303">(SUM(IF((PostTB[Account Code (Old)]=B303),(PostTB[Debit])))+(SUM(IF((CkDJ[Account Code]=B303)*(CkDJ[Date]&lt;=$A$7),(CkDJ[Debit])))+(SUM(IF((CsDJ[Account Code]=B303)*(CsDJ[Date]&lt;=$A$7),(CsDJ[Debit])))+(SUM(IF((CRDJ[Account Code]=B303)*(CRDJ[Date]&lt;=$A$7),(CRDJ[Debit])))+(SUM(IF((GJ[Account Code]=B303)*(GJ[Date]&lt;=$A$7),(GJ[Debit]))))))))</f>
        <v>0</v>
      </c>
      <c r="F303" s="490">
        <f t="array" ref="F303">(SUM(IF((PostTB[Account Code (Old)]=B303),(PostTB[Credit])))+(SUM(IF((CkDJ[Account Code]=B303)*(CkDJ[Date]&lt;=$A$7),(CkDJ[Credit])))+(SUM(IF((CsDJ[Account Code]=B303)*(CsDJ[Date]&lt;=$A$7),(CsDJ[Credit])))+(SUM(IF((CRDJ[Account Code]=B303)*(CRDJ[Date]&lt;=$A$7),(CRDJ[Credit])))+(SUM(IF((GJ[Account Code]=B303)*(GJ[Date]&lt;=$A$7),(GJ[Credit]))))))))</f>
        <v>0</v>
      </c>
      <c r="G303" s="620">
        <f>IF(INDEX(AccountCodes[Normal Balance], MATCH(C303,AccountCodes[PPSAS CODE]))="Credit",F303-E303,0)</f>
        <v>0</v>
      </c>
      <c r="H303" s="621">
        <f t="shared" si="4"/>
        <v>0</v>
      </c>
    </row>
    <row r="304" spans="1:8" ht="15.75" hidden="1">
      <c r="A304" s="613" t="str">
        <f t="array" ref="A304">INDEX(AccountCodes[ACCOUNT NAME],MATCH(B304,AccountCodes[NGAS CODE],0))</f>
        <v>Donations</v>
      </c>
      <c r="B304" s="602" t="s">
        <v>269</v>
      </c>
      <c r="C304" s="615">
        <f t="array" ref="C304">INDEX(AccountCodes[PPSAS CODE],MATCH(B304,AccountCodes[NGAS CODE],0))</f>
        <v>5029908000</v>
      </c>
      <c r="D304" s="616">
        <f>IF(INDEX(AccountCodes[Normal Balance], MATCH(C304,AccountCodes[PPSAS CODE]))="Debit",E304-F304,0)</f>
        <v>0</v>
      </c>
      <c r="E304" s="488">
        <f t="array" ref="E304">(SUM(IF((PostTB[Account Code (Old)]=B304),(PostTB[Debit])))+(SUM(IF((CkDJ[Account Code]=B304)*(CkDJ[Date]&lt;=$A$7),(CkDJ[Debit])))+(SUM(IF((CsDJ[Account Code]=B304)*(CsDJ[Date]&lt;=$A$7),(CsDJ[Debit])))+(SUM(IF((CRDJ[Account Code]=B304)*(CRDJ[Date]&lt;=$A$7),(CRDJ[Debit])))+(SUM(IF((GJ[Account Code]=B304)*(GJ[Date]&lt;=$A$7),(GJ[Debit]))))))))</f>
        <v>0</v>
      </c>
      <c r="F304" s="490">
        <f t="array" ref="F304">(SUM(IF((PostTB[Account Code (Old)]=B304),(PostTB[Credit])))+(SUM(IF((CkDJ[Account Code]=B304)*(CkDJ[Date]&lt;=$A$7),(CkDJ[Credit])))+(SUM(IF((CsDJ[Account Code]=B304)*(CsDJ[Date]&lt;=$A$7),(CsDJ[Credit])))+(SUM(IF((CRDJ[Account Code]=B304)*(CRDJ[Date]&lt;=$A$7),(CRDJ[Credit])))+(SUM(IF((GJ[Account Code]=B304)*(GJ[Date]&lt;=$A$7),(GJ[Credit]))))))))</f>
        <v>0</v>
      </c>
      <c r="G304" s="620">
        <f>IF(INDEX(AccountCodes[Normal Balance], MATCH(C304,AccountCodes[PPSAS CODE]))="Credit",F304-E304,0)</f>
        <v>0</v>
      </c>
      <c r="H304" s="621">
        <f t="shared" si="4"/>
        <v>0</v>
      </c>
    </row>
    <row r="305" spans="1:8" ht="15.75" hidden="1">
      <c r="A305" s="613" t="str">
        <f t="array" ref="A305">INDEX(AccountCodes[ACCOUNT NAME],MATCH(B305,AccountCodes[NGAS CODE],0))</f>
        <v>Other Maintenance and Operating Expenses</v>
      </c>
      <c r="B305" s="602" t="s">
        <v>408</v>
      </c>
      <c r="C305" s="615">
        <f t="array" ref="C305">INDEX(AccountCodes[PPSAS CODE],MATCH(B305,AccountCodes[NGAS CODE],0))</f>
        <v>5029999000</v>
      </c>
      <c r="D305" s="616">
        <f>IF(INDEX(AccountCodes[Normal Balance], MATCH(C305,AccountCodes[PPSAS CODE]))="Debit",E305-F305,0)</f>
        <v>0</v>
      </c>
      <c r="E305" s="488">
        <f t="array" ref="E305">(SUM(IF((PostTB[Account Code (Old)]=B305),(PostTB[Debit])))+(SUM(IF((CkDJ[Account Code]=B305)*(CkDJ[Date]&lt;=$A$7),(CkDJ[Debit])))+(SUM(IF((CsDJ[Account Code]=B305)*(CsDJ[Date]&lt;=$A$7),(CsDJ[Debit])))+(SUM(IF((CRDJ[Account Code]=B305)*(CRDJ[Date]&lt;=$A$7),(CRDJ[Debit])))+(SUM(IF((GJ[Account Code]=B305)*(GJ[Date]&lt;=$A$7),(GJ[Debit]))))))))</f>
        <v>0</v>
      </c>
      <c r="F305" s="490">
        <f t="array" ref="F305">(SUM(IF((PostTB[Account Code (Old)]=B305),(PostTB[Credit])))+(SUM(IF((CkDJ[Account Code]=B305)*(CkDJ[Date]&lt;=$A$7),(CkDJ[Credit])))+(SUM(IF((CsDJ[Account Code]=B305)*(CsDJ[Date]&lt;=$A$7),(CsDJ[Credit])))+(SUM(IF((CRDJ[Account Code]=B305)*(CRDJ[Date]&lt;=$A$7),(CRDJ[Credit])))+(SUM(IF((GJ[Account Code]=B305)*(GJ[Date]&lt;=$A$7),(GJ[Credit]))))))))</f>
        <v>0</v>
      </c>
      <c r="G305" s="620">
        <f>IF(INDEX(AccountCodes[Normal Balance], MATCH(C305,AccountCodes[PPSAS CODE]))="Credit",F305-E305,0)</f>
        <v>0</v>
      </c>
      <c r="H305" s="621">
        <f t="shared" si="4"/>
        <v>0</v>
      </c>
    </row>
    <row r="306" spans="1:8" ht="15.75" hidden="1">
      <c r="A306" s="613" t="str">
        <f t="array" ref="A306">INDEX(AccountCodes[ACCOUNT NAME],MATCH(B306,AccountCodes[NGAS CODE],0))</f>
        <v>Other Maintenance and Operating Expenses - Other Maintenance and Operating Expenses</v>
      </c>
      <c r="B306" s="602" t="s">
        <v>271</v>
      </c>
      <c r="C306" s="615">
        <f t="array" ref="C306">INDEX(AccountCodes[PPSAS CODE],MATCH(B306,AccountCodes[NGAS CODE],0))</f>
        <v>5029999002</v>
      </c>
      <c r="D306" s="616">
        <f>IF(INDEX(AccountCodes[Normal Balance], MATCH(C306,AccountCodes[PPSAS CODE]))="Debit",E306-F306,0)</f>
        <v>0</v>
      </c>
      <c r="E306" s="488">
        <f t="array" ref="E306">(SUM(IF((PostTB[Account Code (Old)]=B306),(PostTB[Debit])))+(SUM(IF((CkDJ[Account Code]=B306)*(CkDJ[Date]&lt;=$A$7),(CkDJ[Debit])))+(SUM(IF((CsDJ[Account Code]=B306)*(CsDJ[Date]&lt;=$A$7),(CsDJ[Debit])))+(SUM(IF((CRDJ[Account Code]=B306)*(CRDJ[Date]&lt;=$A$7),(CRDJ[Debit])))+(SUM(IF((GJ[Account Code]=B306)*(GJ[Date]&lt;=$A$7),(GJ[Debit]))))))))</f>
        <v>0</v>
      </c>
      <c r="F306" s="490">
        <f t="array" ref="F306">(SUM(IF((PostTB[Account Code (Old)]=B306),(PostTB[Credit])))+(SUM(IF((CkDJ[Account Code]=B306)*(CkDJ[Date]&lt;=$A$7),(CkDJ[Credit])))+(SUM(IF((CsDJ[Account Code]=B306)*(CsDJ[Date]&lt;=$A$7),(CsDJ[Credit])))+(SUM(IF((CRDJ[Account Code]=B306)*(CRDJ[Date]&lt;=$A$7),(CRDJ[Credit])))+(SUM(IF((GJ[Account Code]=B306)*(GJ[Date]&lt;=$A$7),(GJ[Credit]))))))))</f>
        <v>0</v>
      </c>
      <c r="G306" s="620">
        <f>IF(INDEX(AccountCodes[Normal Balance], MATCH(C306,AccountCodes[PPSAS CODE]))="Credit",F306-E306,0)</f>
        <v>0</v>
      </c>
      <c r="H306" s="621">
        <f t="shared" si="4"/>
        <v>0</v>
      </c>
    </row>
    <row r="307" spans="1:8" ht="15.75">
      <c r="A307" s="613" t="str">
        <f t="array" ref="A307">INDEX(AccountCodes[ACCOUNT NAME],MATCH(B307,AccountCodes[NGAS CODE],0))</f>
        <v>Other Maintenance and Operating Expenses - Other Maintenance and Operating Expenses</v>
      </c>
      <c r="B307" s="602" t="s">
        <v>405</v>
      </c>
      <c r="C307" s="615">
        <f t="array" ref="C307">INDEX(AccountCodes[PPSAS CODE],MATCH(B307,AccountCodes[NGAS CODE],0))</f>
        <v>5029999002</v>
      </c>
      <c r="D307" s="616">
        <f>IF(INDEX(AccountCodes[Normal Balance], MATCH(C307,AccountCodes[PPSAS CODE]))="Debit",E307-F307,0)</f>
        <v>788042.51</v>
      </c>
      <c r="E307" s="488">
        <f t="array" ref="E307">(SUM(IF((PostTB[Account Code (Old)]=B307),(PostTB[Debit])))+(SUM(IF((CkDJ[Account Code]=B307)*(CkDJ[Date]&lt;=$A$7),(CkDJ[Debit])))+(SUM(IF((CsDJ[Account Code]=B307)*(CsDJ[Date]&lt;=$A$7),(CsDJ[Debit])))+(SUM(IF((CRDJ[Account Code]=B307)*(CRDJ[Date]&lt;=$A$7),(CRDJ[Debit])))+(SUM(IF((GJ[Account Code]=B307)*(GJ[Date]&lt;=$A$7),(GJ[Debit]))))))))</f>
        <v>788042.51</v>
      </c>
      <c r="F307" s="490">
        <f t="array" ref="F307">(SUM(IF((PostTB[Account Code (Old)]=B307),(PostTB[Credit])))+(SUM(IF((CkDJ[Account Code]=B307)*(CkDJ[Date]&lt;=$A$7),(CkDJ[Credit])))+(SUM(IF((CsDJ[Account Code]=B307)*(CsDJ[Date]&lt;=$A$7),(CsDJ[Credit])))+(SUM(IF((CRDJ[Account Code]=B307)*(CRDJ[Date]&lt;=$A$7),(CRDJ[Credit])))+(SUM(IF((GJ[Account Code]=B307)*(GJ[Date]&lt;=$A$7),(GJ[Credit]))))))))</f>
        <v>0</v>
      </c>
      <c r="G307" s="620">
        <f>IF(INDEX(AccountCodes[Normal Balance], MATCH(C307,AccountCodes[PPSAS CODE]))="Credit",F307-E307,0)</f>
        <v>0</v>
      </c>
      <c r="H307" s="621">
        <f t="shared" si="4"/>
        <v>788042.51</v>
      </c>
    </row>
    <row r="308" spans="1:8" ht="15.75" hidden="1">
      <c r="A308" s="613" t="str">
        <f t="array" ref="A308">INDEX(AccountCodes[ACCOUNT NAME],MATCH(B308,AccountCodes[NGAS CODE],0))</f>
        <v>Other Maintenance and Operating Expenses (Irrigator's Share/Remuneration/Subsidy)</v>
      </c>
      <c r="B308" s="602" t="s">
        <v>333</v>
      </c>
      <c r="C308" s="615">
        <f t="array" ref="C308">INDEX(AccountCodes[PPSAS CODE],MATCH(B308,AccountCodes[NGAS CODE],0))</f>
        <v>5029999098</v>
      </c>
      <c r="D308" s="616">
        <f>IF(INDEX(AccountCodes[Normal Balance], MATCH(C308,AccountCodes[PPSAS CODE]))="Debit",E308-F308,0)</f>
        <v>0</v>
      </c>
      <c r="E308" s="488">
        <f t="array" ref="E308">(SUM(IF((PostTB[Account Code (Old)]=B308),(PostTB[Debit])))+(SUM(IF((CkDJ[Account Code]=B308)*(CkDJ[Date]&lt;=$A$7),(CkDJ[Debit])))+(SUM(IF((CsDJ[Account Code]=B308)*(CsDJ[Date]&lt;=$A$7),(CsDJ[Debit])))+(SUM(IF((CRDJ[Account Code]=B308)*(CRDJ[Date]&lt;=$A$7),(CRDJ[Debit])))+(SUM(IF((GJ[Account Code]=B308)*(GJ[Date]&lt;=$A$7),(GJ[Debit]))))))))</f>
        <v>0</v>
      </c>
      <c r="F308" s="490">
        <f t="array" ref="F308">(SUM(IF((PostTB[Account Code (Old)]=B308),(PostTB[Credit])))+(SUM(IF((CkDJ[Account Code]=B308)*(CkDJ[Date]&lt;=$A$7),(CkDJ[Credit])))+(SUM(IF((CsDJ[Account Code]=B308)*(CsDJ[Date]&lt;=$A$7),(CsDJ[Credit])))+(SUM(IF((CRDJ[Account Code]=B308)*(CRDJ[Date]&lt;=$A$7),(CRDJ[Credit])))+(SUM(IF((GJ[Account Code]=B308)*(GJ[Date]&lt;=$A$7),(GJ[Credit]))))))))</f>
        <v>0</v>
      </c>
      <c r="G308" s="620">
        <f>IF(INDEX(AccountCodes[Normal Balance], MATCH(C308,AccountCodes[PPSAS CODE]))="Credit",F308-E308,0)</f>
        <v>0</v>
      </c>
      <c r="H308" s="621">
        <f t="shared" si="4"/>
        <v>0</v>
      </c>
    </row>
    <row r="309" spans="1:8" ht="15.75" hidden="1">
      <c r="A309" s="613" t="str">
        <f t="array" ref="A309">INDEX(AccountCodes[ACCOUNT NAME],MATCH(B309,AccountCodes[NGAS CODE],0))</f>
        <v>Other Maintenance and Operating Expenses (Power Cost for Pumps)</v>
      </c>
      <c r="B309" s="602" t="s">
        <v>991</v>
      </c>
      <c r="C309" s="615">
        <f t="array" ref="C309">INDEX(AccountCodes[PPSAS CODE],MATCH(B309,AccountCodes[NGAS CODE],0))</f>
        <v>5029999099</v>
      </c>
      <c r="D309" s="616">
        <f>IF(INDEX(AccountCodes[Normal Balance], MATCH(C309,AccountCodes[PPSAS CODE]))="Debit",E309-F309,0)</f>
        <v>0</v>
      </c>
      <c r="E309" s="488">
        <f t="array" ref="E309">(SUM(IF((PostTB[Account Code (Old)]=B309),(PostTB[Debit])))+(SUM(IF((CkDJ[Account Code]=B309)*(CkDJ[Date]&lt;=$A$7),(CkDJ[Debit])))+(SUM(IF((CsDJ[Account Code]=B309)*(CsDJ[Date]&lt;=$A$7),(CsDJ[Debit])))+(SUM(IF((CRDJ[Account Code]=B309)*(CRDJ[Date]&lt;=$A$7),(CRDJ[Debit])))+(SUM(IF((GJ[Account Code]=B309)*(GJ[Date]&lt;=$A$7),(GJ[Debit]))))))))</f>
        <v>0</v>
      </c>
      <c r="F309" s="490">
        <f t="array" ref="F309">(SUM(IF((PostTB[Account Code (Old)]=B309),(PostTB[Credit])))+(SUM(IF((CkDJ[Account Code]=B309)*(CkDJ[Date]&lt;=$A$7),(CkDJ[Credit])))+(SUM(IF((CsDJ[Account Code]=B309)*(CsDJ[Date]&lt;=$A$7),(CsDJ[Credit])))+(SUM(IF((CRDJ[Account Code]=B309)*(CRDJ[Date]&lt;=$A$7),(CRDJ[Credit])))+(SUM(IF((GJ[Account Code]=B309)*(GJ[Date]&lt;=$A$7),(GJ[Credit]))))))))</f>
        <v>0</v>
      </c>
      <c r="G309" s="620">
        <f>IF(INDEX(AccountCodes[Normal Balance], MATCH(C309,AccountCodes[PPSAS CODE]))="Credit",F309-E309,0)</f>
        <v>0</v>
      </c>
      <c r="H309" s="621">
        <f t="shared" si="4"/>
        <v>0</v>
      </c>
    </row>
    <row r="310" spans="1:8" ht="15.75" hidden="1">
      <c r="A310" s="613" t="str">
        <f t="array" ref="A310">INDEX(AccountCodes[ACCOUNT NAME],MATCH(B310,AccountCodes[NGAS CODE],0))</f>
        <v>Interest Expenses</v>
      </c>
      <c r="B310" s="602" t="s">
        <v>341</v>
      </c>
      <c r="C310" s="615">
        <f t="array" ref="C310">INDEX(AccountCodes[PPSAS CODE],MATCH(B310,AccountCodes[NGAS CODE],0))</f>
        <v>5030102000</v>
      </c>
      <c r="D310" s="616">
        <f>IF(INDEX(AccountCodes[Normal Balance], MATCH(C310,AccountCodes[PPSAS CODE]))="Debit",E310-F310,0)</f>
        <v>0</v>
      </c>
      <c r="E310" s="488">
        <f t="array" ref="E310">(SUM(IF((PostTB[Account Code (Old)]=B310),(PostTB[Debit])))+(SUM(IF((CkDJ[Account Code]=B310)*(CkDJ[Date]&lt;=$A$7),(CkDJ[Debit])))+(SUM(IF((CsDJ[Account Code]=B310)*(CsDJ[Date]&lt;=$A$7),(CsDJ[Debit])))+(SUM(IF((CRDJ[Account Code]=B310)*(CRDJ[Date]&lt;=$A$7),(CRDJ[Debit])))+(SUM(IF((GJ[Account Code]=B310)*(GJ[Date]&lt;=$A$7),(GJ[Debit]))))))))</f>
        <v>0</v>
      </c>
      <c r="F310" s="490">
        <f t="array" ref="F310">(SUM(IF((PostTB[Account Code (Old)]=B310),(PostTB[Credit])))+(SUM(IF((CkDJ[Account Code]=B310)*(CkDJ[Date]&lt;=$A$7),(CkDJ[Credit])))+(SUM(IF((CsDJ[Account Code]=B310)*(CsDJ[Date]&lt;=$A$7),(CsDJ[Credit])))+(SUM(IF((CRDJ[Account Code]=B310)*(CRDJ[Date]&lt;=$A$7),(CRDJ[Credit])))+(SUM(IF((GJ[Account Code]=B310)*(GJ[Date]&lt;=$A$7),(GJ[Credit]))))))))</f>
        <v>0</v>
      </c>
      <c r="G310" s="620">
        <f>IF(INDEX(AccountCodes[Normal Balance], MATCH(C310,AccountCodes[PPSAS CODE]))="Credit",F310-E310,0)</f>
        <v>0</v>
      </c>
      <c r="H310" s="621">
        <f t="shared" si="4"/>
        <v>0</v>
      </c>
    </row>
    <row r="311" spans="1:8" ht="15.75">
      <c r="A311" s="613" t="str">
        <f t="array" ref="A311">INDEX(AccountCodes[ACCOUNT NAME],MATCH(B311,AccountCodes[NGAS CODE],0))</f>
        <v>Bank Charges</v>
      </c>
      <c r="B311" s="602" t="s">
        <v>340</v>
      </c>
      <c r="C311" s="615">
        <f t="array" ref="C311">INDEX(AccountCodes[PPSAS CODE],MATCH(B311,AccountCodes[NGAS CODE],0))</f>
        <v>5030104000</v>
      </c>
      <c r="D311" s="616">
        <f>IF(INDEX(AccountCodes[Normal Balance], MATCH(C311,AccountCodes[PPSAS CODE]))="Debit",E311-F311,0)</f>
        <v>1200</v>
      </c>
      <c r="E311" s="488">
        <f t="array" ref="E311">(SUM(IF((PostTB[Account Code (Old)]=B311),(PostTB[Debit])))+(SUM(IF((CkDJ[Account Code]=B311)*(CkDJ[Date]&lt;=$A$7),(CkDJ[Debit])))+(SUM(IF((CsDJ[Account Code]=B311)*(CsDJ[Date]&lt;=$A$7),(CsDJ[Debit])))+(SUM(IF((CRDJ[Account Code]=B311)*(CRDJ[Date]&lt;=$A$7),(CRDJ[Debit])))+(SUM(IF((GJ[Account Code]=B311)*(GJ[Date]&lt;=$A$7),(GJ[Debit]))))))))</f>
        <v>1200</v>
      </c>
      <c r="F311" s="490">
        <f t="array" ref="F311">(SUM(IF((PostTB[Account Code (Old)]=B311),(PostTB[Credit])))+(SUM(IF((CkDJ[Account Code]=B311)*(CkDJ[Date]&lt;=$A$7),(CkDJ[Credit])))+(SUM(IF((CsDJ[Account Code]=B311)*(CsDJ[Date]&lt;=$A$7),(CsDJ[Credit])))+(SUM(IF((CRDJ[Account Code]=B311)*(CRDJ[Date]&lt;=$A$7),(CRDJ[Credit])))+(SUM(IF((GJ[Account Code]=B311)*(GJ[Date]&lt;=$A$7),(GJ[Credit]))))))))</f>
        <v>0</v>
      </c>
      <c r="G311" s="620">
        <f>IF(INDEX(AccountCodes[Normal Balance], MATCH(C311,AccountCodes[PPSAS CODE]))="Credit",F311-E311,0)</f>
        <v>0</v>
      </c>
      <c r="H311" s="621">
        <f t="shared" si="4"/>
        <v>1200</v>
      </c>
    </row>
    <row r="312" spans="1:8" ht="15.75" hidden="1">
      <c r="A312" s="613" t="str">
        <f t="array" ref="A312">INDEX(AccountCodes[ACCOUNT NAME],MATCH(B312,AccountCodes[NGAS CODE],0))</f>
        <v>Depreciation-Land Improvements</v>
      </c>
      <c r="B312" s="602" t="s">
        <v>275</v>
      </c>
      <c r="C312" s="615">
        <f t="array" ref="C312">INDEX(AccountCodes[PPSAS CODE],MATCH(B312,AccountCodes[NGAS CODE],0))</f>
        <v>5050102000</v>
      </c>
      <c r="D312" s="616">
        <f>IF(INDEX(AccountCodes[Normal Balance], MATCH(C312,AccountCodes[PPSAS CODE]))="Debit",E312-F312,0)</f>
        <v>0</v>
      </c>
      <c r="E312" s="488">
        <f t="array" ref="E312">(SUM(IF((PostTB[Account Code (Old)]=B312),(PostTB[Debit])))+(SUM(IF((CkDJ[Account Code]=B312)*(CkDJ[Date]&lt;=$A$7),(CkDJ[Debit])))+(SUM(IF((CsDJ[Account Code]=B312)*(CsDJ[Date]&lt;=$A$7),(CsDJ[Debit])))+(SUM(IF((CRDJ[Account Code]=B312)*(CRDJ[Date]&lt;=$A$7),(CRDJ[Debit])))+(SUM(IF((GJ[Account Code]=B312)*(GJ[Date]&lt;=$A$7),(GJ[Debit]))))))))</f>
        <v>0</v>
      </c>
      <c r="F312" s="490">
        <f t="array" ref="F312">(SUM(IF((PostTB[Account Code (Old)]=B312),(PostTB[Credit])))+(SUM(IF((CkDJ[Account Code]=B312)*(CkDJ[Date]&lt;=$A$7),(CkDJ[Credit])))+(SUM(IF((CsDJ[Account Code]=B312)*(CsDJ[Date]&lt;=$A$7),(CsDJ[Credit])))+(SUM(IF((CRDJ[Account Code]=B312)*(CRDJ[Date]&lt;=$A$7),(CRDJ[Credit])))+(SUM(IF((GJ[Account Code]=B312)*(GJ[Date]&lt;=$A$7),(GJ[Credit]))))))))</f>
        <v>0</v>
      </c>
      <c r="G312" s="620">
        <f>IF(INDEX(AccountCodes[Normal Balance], MATCH(C312,AccountCodes[PPSAS CODE]))="Credit",F312-E312,0)</f>
        <v>0</v>
      </c>
      <c r="H312" s="621">
        <f t="shared" si="4"/>
        <v>0</v>
      </c>
    </row>
    <row r="313" spans="1:8" ht="15.75" hidden="1">
      <c r="A313" s="613" t="str">
        <f t="array" ref="A313">INDEX(AccountCodes[ACCOUNT NAME],MATCH(B313,AccountCodes[NGAS CODE],0))</f>
        <v>Depreciation-Infrastructure Assets - Other Infrastructure Assets (Irrigation Canals &amp; Laterals)</v>
      </c>
      <c r="B313" s="602" t="s">
        <v>1452</v>
      </c>
      <c r="C313" s="615">
        <f t="array" ref="C313">INDEX(AccountCodes[PPSAS CODE],MATCH(B313,AccountCodes[NGAS CODE],0))</f>
        <v>5050103099</v>
      </c>
      <c r="D313" s="616">
        <f>IF(INDEX(AccountCodes[Normal Balance], MATCH(C313,AccountCodes[PPSAS CODE]))="Debit",E313-F313,0)</f>
        <v>6388557.9699999997</v>
      </c>
      <c r="E313" s="488">
        <f t="array" ref="E313">(SUM(IF((PostTB[Account Code (Old)]=B313),(PostTB[Debit])))+(SUM(IF((CkDJ[Account Code]=B313)*(CkDJ[Date]&lt;=$A$7),(CkDJ[Debit])))+(SUM(IF((CsDJ[Account Code]=B313)*(CsDJ[Date]&lt;=$A$7),(CsDJ[Debit])))+(SUM(IF((CRDJ[Account Code]=B313)*(CRDJ[Date]&lt;=$A$7),(CRDJ[Debit])))+(SUM(IF((GJ[Account Code]=B313)*(GJ[Date]&lt;=$A$7),(GJ[Debit]))))))))</f>
        <v>6388557.9699999997</v>
      </c>
      <c r="F313" s="490">
        <f t="array" ref="F313">(SUM(IF((PostTB[Account Code (Old)]=B313),(PostTB[Credit])))+(SUM(IF((CkDJ[Account Code]=B313)*(CkDJ[Date]&lt;=$A$7),(CkDJ[Credit])))+(SUM(IF((CsDJ[Account Code]=B313)*(CsDJ[Date]&lt;=$A$7),(CsDJ[Credit])))+(SUM(IF((CRDJ[Account Code]=B313)*(CRDJ[Date]&lt;=$A$7),(CRDJ[Credit])))+(SUM(IF((GJ[Account Code]=B313)*(GJ[Date]&lt;=$A$7),(GJ[Credit]))))))))</f>
        <v>0</v>
      </c>
      <c r="G313" s="620">
        <f>IF(INDEX(AccountCodes[Normal Balance], MATCH(C313,AccountCodes[PPSAS CODE]))="Credit",F313-E313,0)</f>
        <v>0</v>
      </c>
      <c r="H313" s="621">
        <f t="shared" si="4"/>
        <v>6388557.9699999997</v>
      </c>
    </row>
    <row r="314" spans="1:8" ht="15.75" hidden="1">
      <c r="A314" s="613" t="str">
        <f t="array" ref="A314">INDEX(AccountCodes[ACCOUNT NAME],MATCH(B314,AccountCodes[NGAS CODE],0))</f>
        <v>Depreciation-Buildings and Other Structures - Buildings</v>
      </c>
      <c r="B314" s="602" t="s">
        <v>276</v>
      </c>
      <c r="C314" s="615">
        <f t="array" ref="C314">INDEX(AccountCodes[PPSAS CODE],MATCH(B314,AccountCodes[NGAS CODE],0))</f>
        <v>5050104001</v>
      </c>
      <c r="D314" s="616">
        <f>IF(INDEX(AccountCodes[Normal Balance], MATCH(C314,AccountCodes[PPSAS CODE]))="Debit",E314-F314,0)</f>
        <v>0</v>
      </c>
      <c r="E314" s="488">
        <f t="array" ref="E314">(SUM(IF((PostTB[Account Code (Old)]=B314),(PostTB[Debit])))+(SUM(IF((CkDJ[Account Code]=B314)*(CkDJ[Date]&lt;=$A$7),(CkDJ[Debit])))+(SUM(IF((CsDJ[Account Code]=B314)*(CsDJ[Date]&lt;=$A$7),(CsDJ[Debit])))+(SUM(IF((CRDJ[Account Code]=B314)*(CRDJ[Date]&lt;=$A$7),(CRDJ[Debit])))+(SUM(IF((GJ[Account Code]=B314)*(GJ[Date]&lt;=$A$7),(GJ[Debit]))))))))</f>
        <v>0</v>
      </c>
      <c r="F314" s="490">
        <f t="array" ref="F314">(SUM(IF((PostTB[Account Code (Old)]=B314),(PostTB[Credit])))+(SUM(IF((CkDJ[Account Code]=B314)*(CkDJ[Date]&lt;=$A$7),(CkDJ[Credit])))+(SUM(IF((CsDJ[Account Code]=B314)*(CsDJ[Date]&lt;=$A$7),(CsDJ[Credit])))+(SUM(IF((CRDJ[Account Code]=B314)*(CRDJ[Date]&lt;=$A$7),(CRDJ[Credit])))+(SUM(IF((GJ[Account Code]=B314)*(GJ[Date]&lt;=$A$7),(GJ[Credit]))))))))</f>
        <v>0</v>
      </c>
      <c r="G314" s="620">
        <f>IF(INDEX(AccountCodes[Normal Balance], MATCH(C314,AccountCodes[PPSAS CODE]))="Credit",F314-E314,0)</f>
        <v>0</v>
      </c>
      <c r="H314" s="621">
        <f t="shared" si="4"/>
        <v>0</v>
      </c>
    </row>
    <row r="315" spans="1:8" ht="15.75" hidden="1">
      <c r="A315" s="613" t="str">
        <f t="array" ref="A315">INDEX(AccountCodes[ACCOUNT NAME],MATCH(B315,AccountCodes[NGAS CODE],0))</f>
        <v>Depreciation-Buildings and Other Structures - Other Structures</v>
      </c>
      <c r="B315" s="602" t="s">
        <v>277</v>
      </c>
      <c r="C315" s="615">
        <f t="array" ref="C315">INDEX(AccountCodes[PPSAS CODE],MATCH(B315,AccountCodes[NGAS CODE],0))</f>
        <v>5050104099</v>
      </c>
      <c r="D315" s="616">
        <f>IF(INDEX(AccountCodes[Normal Balance], MATCH(C315,AccountCodes[PPSAS CODE]))="Debit",E315-F315,0)</f>
        <v>0</v>
      </c>
      <c r="E315" s="488">
        <f t="array" ref="E315">(SUM(IF((PostTB[Account Code (Old)]=B315),(PostTB[Debit])))+(SUM(IF((CkDJ[Account Code]=B315)*(CkDJ[Date]&lt;=$A$7),(CkDJ[Debit])))+(SUM(IF((CsDJ[Account Code]=B315)*(CsDJ[Date]&lt;=$A$7),(CsDJ[Debit])))+(SUM(IF((CRDJ[Account Code]=B315)*(CRDJ[Date]&lt;=$A$7),(CRDJ[Debit])))+(SUM(IF((GJ[Account Code]=B315)*(GJ[Date]&lt;=$A$7),(GJ[Debit]))))))))</f>
        <v>0</v>
      </c>
      <c r="F315" s="490">
        <f t="array" ref="F315">(SUM(IF((PostTB[Account Code (Old)]=B315),(PostTB[Credit])))+(SUM(IF((CkDJ[Account Code]=B315)*(CkDJ[Date]&lt;=$A$7),(CkDJ[Credit])))+(SUM(IF((CsDJ[Account Code]=B315)*(CsDJ[Date]&lt;=$A$7),(CsDJ[Credit])))+(SUM(IF((CRDJ[Account Code]=B315)*(CRDJ[Date]&lt;=$A$7),(CRDJ[Credit])))+(SUM(IF((GJ[Account Code]=B315)*(GJ[Date]&lt;=$A$7),(GJ[Credit]))))))))</f>
        <v>0</v>
      </c>
      <c r="G315" s="620">
        <f>IF(INDEX(AccountCodes[Normal Balance], MATCH(C315,AccountCodes[PPSAS CODE]))="Credit",F315-E315,0)</f>
        <v>0</v>
      </c>
      <c r="H315" s="621">
        <f t="shared" si="4"/>
        <v>0</v>
      </c>
    </row>
    <row r="316" spans="1:8" ht="15.75" hidden="1">
      <c r="A316" s="613" t="str">
        <f t="array" ref="A316">INDEX(AccountCodes[ACCOUNT NAME],MATCH(B316,AccountCodes[NGAS CODE],0))</f>
        <v>Depreciation-Machinery and Equipment - Machinery</v>
      </c>
      <c r="B316" s="602" t="s">
        <v>282</v>
      </c>
      <c r="C316" s="615">
        <f t="array" ref="C316">INDEX(AccountCodes[PPSAS CODE],MATCH(B316,AccountCodes[NGAS CODE],0))</f>
        <v>5050105001</v>
      </c>
      <c r="D316" s="616">
        <f>IF(INDEX(AccountCodes[Normal Balance], MATCH(C316,AccountCodes[PPSAS CODE]))="Debit",E316-F316,0)</f>
        <v>0</v>
      </c>
      <c r="E316" s="488">
        <f t="array" ref="E316">(SUM(IF((PostTB[Account Code (Old)]=B316),(PostTB[Debit])))+(SUM(IF((CkDJ[Account Code]=B316)*(CkDJ[Date]&lt;=$A$7),(CkDJ[Debit])))+(SUM(IF((CsDJ[Account Code]=B316)*(CsDJ[Date]&lt;=$A$7),(CsDJ[Debit])))+(SUM(IF((CRDJ[Account Code]=B316)*(CRDJ[Date]&lt;=$A$7),(CRDJ[Debit])))+(SUM(IF((GJ[Account Code]=B316)*(GJ[Date]&lt;=$A$7),(GJ[Debit]))))))))</f>
        <v>0</v>
      </c>
      <c r="F316" s="490">
        <f t="array" ref="F316">(SUM(IF((PostTB[Account Code (Old)]=B316),(PostTB[Credit])))+(SUM(IF((CkDJ[Account Code]=B316)*(CkDJ[Date]&lt;=$A$7),(CkDJ[Credit])))+(SUM(IF((CsDJ[Account Code]=B316)*(CsDJ[Date]&lt;=$A$7),(CsDJ[Credit])))+(SUM(IF((CRDJ[Account Code]=B316)*(CRDJ[Date]&lt;=$A$7),(CRDJ[Credit])))+(SUM(IF((GJ[Account Code]=B316)*(GJ[Date]&lt;=$A$7),(GJ[Credit]))))))))</f>
        <v>0</v>
      </c>
      <c r="G316" s="620">
        <f>IF(INDEX(AccountCodes[Normal Balance], MATCH(C316,AccountCodes[PPSAS CODE]))="Credit",F316-E316,0)</f>
        <v>0</v>
      </c>
      <c r="H316" s="621">
        <f t="shared" si="4"/>
        <v>0</v>
      </c>
    </row>
    <row r="317" spans="1:8" ht="15.75" hidden="1">
      <c r="A317" s="613" t="str">
        <f t="array" ref="A317">INDEX(AccountCodes[ACCOUNT NAME],MATCH(B317,AccountCodes[NGAS CODE],0))</f>
        <v>Depreciation-Machinery and Equipment - Office Equipment</v>
      </c>
      <c r="B317" s="602" t="s">
        <v>278</v>
      </c>
      <c r="C317" s="615">
        <f t="array" ref="C317">INDEX(AccountCodes[PPSAS CODE],MATCH(B317,AccountCodes[NGAS CODE],0))</f>
        <v>5050105002</v>
      </c>
      <c r="D317" s="616">
        <f>IF(INDEX(AccountCodes[Normal Balance], MATCH(C317,AccountCodes[PPSAS CODE]))="Debit",E317-F317,0)</f>
        <v>61615.62</v>
      </c>
      <c r="E317" s="488">
        <f t="array" ref="E317">(SUM(IF((PostTB[Account Code (Old)]=B317),(PostTB[Debit])))+(SUM(IF((CkDJ[Account Code]=B317)*(CkDJ[Date]&lt;=$A$7),(CkDJ[Debit])))+(SUM(IF((CsDJ[Account Code]=B317)*(CsDJ[Date]&lt;=$A$7),(CsDJ[Debit])))+(SUM(IF((CRDJ[Account Code]=B317)*(CRDJ[Date]&lt;=$A$7),(CRDJ[Debit])))+(SUM(IF((GJ[Account Code]=B317)*(GJ[Date]&lt;=$A$7),(GJ[Debit]))))))))</f>
        <v>61615.62</v>
      </c>
      <c r="F317" s="490">
        <f t="array" ref="F317">(SUM(IF((PostTB[Account Code (Old)]=B317),(PostTB[Credit])))+(SUM(IF((CkDJ[Account Code]=B317)*(CkDJ[Date]&lt;=$A$7),(CkDJ[Credit])))+(SUM(IF((CsDJ[Account Code]=B317)*(CsDJ[Date]&lt;=$A$7),(CsDJ[Credit])))+(SUM(IF((CRDJ[Account Code]=B317)*(CRDJ[Date]&lt;=$A$7),(CRDJ[Credit])))+(SUM(IF((GJ[Account Code]=B317)*(GJ[Date]&lt;=$A$7),(GJ[Credit]))))))))</f>
        <v>0</v>
      </c>
      <c r="G317" s="620">
        <f>IF(INDEX(AccountCodes[Normal Balance], MATCH(C317,AccountCodes[PPSAS CODE]))="Credit",F317-E317,0)</f>
        <v>0</v>
      </c>
      <c r="H317" s="621">
        <f t="shared" si="4"/>
        <v>61615.62</v>
      </c>
    </row>
    <row r="318" spans="1:8" ht="15.75" hidden="1">
      <c r="A318" s="613" t="str">
        <f t="array" ref="A318">INDEX(AccountCodes[ACCOUNT NAME],MATCH(B318,AccountCodes[NGAS CODE],0))</f>
        <v>Depreciation-Machinery and Equipment - ICT Equipment</v>
      </c>
      <c r="B318" s="602" t="s">
        <v>280</v>
      </c>
      <c r="C318" s="615">
        <f t="array" ref="C318">INDEX(AccountCodes[PPSAS CODE],MATCH(B318,AccountCodes[NGAS CODE],0))</f>
        <v>5050105003</v>
      </c>
      <c r="D318" s="616">
        <f>IF(INDEX(AccountCodes[Normal Balance], MATCH(C318,AccountCodes[PPSAS CODE]))="Debit",E318-F318,0)</f>
        <v>268918.84000000003</v>
      </c>
      <c r="E318" s="488">
        <f t="array" ref="E318">(SUM(IF((PostTB[Account Code (Old)]=B318),(PostTB[Debit])))+(SUM(IF((CkDJ[Account Code]=B318)*(CkDJ[Date]&lt;=$A$7),(CkDJ[Debit])))+(SUM(IF((CsDJ[Account Code]=B318)*(CsDJ[Date]&lt;=$A$7),(CsDJ[Debit])))+(SUM(IF((CRDJ[Account Code]=B318)*(CRDJ[Date]&lt;=$A$7),(CRDJ[Debit])))+(SUM(IF((GJ[Account Code]=B318)*(GJ[Date]&lt;=$A$7),(GJ[Debit]))))))))</f>
        <v>268918.84000000003</v>
      </c>
      <c r="F318" s="490">
        <f t="array" ref="F318">(SUM(IF((PostTB[Account Code (Old)]=B318),(PostTB[Credit])))+(SUM(IF((CkDJ[Account Code]=B318)*(CkDJ[Date]&lt;=$A$7),(CkDJ[Credit])))+(SUM(IF((CsDJ[Account Code]=B318)*(CsDJ[Date]&lt;=$A$7),(CsDJ[Credit])))+(SUM(IF((CRDJ[Account Code]=B318)*(CRDJ[Date]&lt;=$A$7),(CRDJ[Credit])))+(SUM(IF((GJ[Account Code]=B318)*(GJ[Date]&lt;=$A$7),(GJ[Credit]))))))))</f>
        <v>0</v>
      </c>
      <c r="G318" s="620">
        <f>IF(INDEX(AccountCodes[Normal Balance], MATCH(C318,AccountCodes[PPSAS CODE]))="Credit",F318-E318,0)</f>
        <v>0</v>
      </c>
      <c r="H318" s="621">
        <f t="shared" si="4"/>
        <v>268918.84000000003</v>
      </c>
    </row>
    <row r="319" spans="1:8" ht="15.75" hidden="1">
      <c r="A319" s="613" t="str">
        <f t="array" ref="A319">INDEX(AccountCodes[ACCOUNT NAME],MATCH(B319,AccountCodes[NGAS CODE],0))</f>
        <v>Depreciation-Machinery and Equipment - Agricultural and Forestry Equipment</v>
      </c>
      <c r="B319" s="602" t="s">
        <v>283</v>
      </c>
      <c r="C319" s="615">
        <f t="array" ref="C319">INDEX(AccountCodes[PPSAS CODE],MATCH(B319,AccountCodes[NGAS CODE],0))</f>
        <v>5050105004</v>
      </c>
      <c r="D319" s="616">
        <f>IF(INDEX(AccountCodes[Normal Balance], MATCH(C319,AccountCodes[PPSAS CODE]))="Debit",E319-F319,0)</f>
        <v>0</v>
      </c>
      <c r="E319" s="488">
        <f t="array" ref="E319">(SUM(IF((PostTB[Account Code (Old)]=B319),(PostTB[Debit])))+(SUM(IF((CkDJ[Account Code]=B319)*(CkDJ[Date]&lt;=$A$7),(CkDJ[Debit])))+(SUM(IF((CsDJ[Account Code]=B319)*(CsDJ[Date]&lt;=$A$7),(CsDJ[Debit])))+(SUM(IF((CRDJ[Account Code]=B319)*(CRDJ[Date]&lt;=$A$7),(CRDJ[Debit])))+(SUM(IF((GJ[Account Code]=B319)*(GJ[Date]&lt;=$A$7),(GJ[Debit]))))))))</f>
        <v>0</v>
      </c>
      <c r="F319" s="490">
        <f t="array" ref="F319">(SUM(IF((PostTB[Account Code (Old)]=B319),(PostTB[Credit])))+(SUM(IF((CkDJ[Account Code]=B319)*(CkDJ[Date]&lt;=$A$7),(CkDJ[Credit])))+(SUM(IF((CsDJ[Account Code]=B319)*(CsDJ[Date]&lt;=$A$7),(CsDJ[Credit])))+(SUM(IF((CRDJ[Account Code]=B319)*(CRDJ[Date]&lt;=$A$7),(CRDJ[Credit])))+(SUM(IF((GJ[Account Code]=B319)*(GJ[Date]&lt;=$A$7),(GJ[Credit]))))))))</f>
        <v>0</v>
      </c>
      <c r="G319" s="620">
        <f>IF(INDEX(AccountCodes[Normal Balance], MATCH(C319,AccountCodes[PPSAS CODE]))="Credit",F319-E319,0)</f>
        <v>0</v>
      </c>
      <c r="H319" s="621">
        <f t="shared" si="4"/>
        <v>0</v>
      </c>
    </row>
    <row r="320" spans="1:8" ht="15.75" hidden="1">
      <c r="A320" s="613" t="str">
        <f t="array" ref="A320">INDEX(AccountCodes[ACCOUNT NAME],MATCH(B320,AccountCodes[NGAS CODE],0))</f>
        <v>Depreciation-Machinery and Equipment - Communication Equipment</v>
      </c>
      <c r="B320" s="602" t="s">
        <v>319</v>
      </c>
      <c r="C320" s="615">
        <f t="array" ref="C320">INDEX(AccountCodes[PPSAS CODE],MATCH(B320,AccountCodes[NGAS CODE],0))</f>
        <v>5050105007</v>
      </c>
      <c r="D320" s="616">
        <f>IF(INDEX(AccountCodes[Normal Balance], MATCH(C320,AccountCodes[PPSAS CODE]))="Debit",E320-F320,0)</f>
        <v>0</v>
      </c>
      <c r="E320" s="488">
        <f t="array" ref="E320">(SUM(IF((PostTB[Account Code (Old)]=B320),(PostTB[Debit])))+(SUM(IF((CkDJ[Account Code]=B320)*(CkDJ[Date]&lt;=$A$7),(CkDJ[Debit])))+(SUM(IF((CsDJ[Account Code]=B320)*(CsDJ[Date]&lt;=$A$7),(CsDJ[Debit])))+(SUM(IF((CRDJ[Account Code]=B320)*(CRDJ[Date]&lt;=$A$7),(CRDJ[Debit])))+(SUM(IF((GJ[Account Code]=B320)*(GJ[Date]&lt;=$A$7),(GJ[Debit]))))))))</f>
        <v>0</v>
      </c>
      <c r="F320" s="490">
        <f t="array" ref="F320">(SUM(IF((PostTB[Account Code (Old)]=B320),(PostTB[Credit])))+(SUM(IF((CkDJ[Account Code]=B320)*(CkDJ[Date]&lt;=$A$7),(CkDJ[Credit])))+(SUM(IF((CsDJ[Account Code]=B320)*(CsDJ[Date]&lt;=$A$7),(CsDJ[Credit])))+(SUM(IF((CRDJ[Account Code]=B320)*(CRDJ[Date]&lt;=$A$7),(CRDJ[Credit])))+(SUM(IF((GJ[Account Code]=B320)*(GJ[Date]&lt;=$A$7),(GJ[Credit]))))))))</f>
        <v>0</v>
      </c>
      <c r="G320" s="620">
        <f>IF(INDEX(AccountCodes[Normal Balance], MATCH(C320,AccountCodes[PPSAS CODE]))="Credit",F320-E320,0)</f>
        <v>0</v>
      </c>
      <c r="H320" s="621">
        <f t="shared" si="4"/>
        <v>0</v>
      </c>
    </row>
    <row r="321" spans="1:8" ht="15.75" hidden="1">
      <c r="A321" s="613" t="str">
        <f t="array" ref="A321">INDEX(AccountCodes[ACCOUNT NAME],MATCH(B321,AccountCodes[NGAS CODE],0))</f>
        <v>Depreciation-Machinery and Equipment - Construction and Heavy Equipment</v>
      </c>
      <c r="B321" s="602" t="s">
        <v>320</v>
      </c>
      <c r="C321" s="615">
        <f t="array" ref="C321">INDEX(AccountCodes[PPSAS CODE],MATCH(B321,AccountCodes[NGAS CODE],0))</f>
        <v>5050105008</v>
      </c>
      <c r="D321" s="616">
        <f>IF(INDEX(AccountCodes[Normal Balance], MATCH(C321,AccountCodes[PPSAS CODE]))="Debit",E321-F321,0)</f>
        <v>0</v>
      </c>
      <c r="E321" s="488">
        <f t="array" ref="E321">(SUM(IF((PostTB[Account Code (Old)]=B321),(PostTB[Debit])))+(SUM(IF((CkDJ[Account Code]=B321)*(CkDJ[Date]&lt;=$A$7),(CkDJ[Debit])))+(SUM(IF((CsDJ[Account Code]=B321)*(CsDJ[Date]&lt;=$A$7),(CsDJ[Debit])))+(SUM(IF((CRDJ[Account Code]=B321)*(CRDJ[Date]&lt;=$A$7),(CRDJ[Debit])))+(SUM(IF((GJ[Account Code]=B321)*(GJ[Date]&lt;=$A$7),(GJ[Debit]))))))))</f>
        <v>0</v>
      </c>
      <c r="F321" s="490">
        <f t="array" ref="F321">(SUM(IF((PostTB[Account Code (Old)]=B321),(PostTB[Credit])))+(SUM(IF((CkDJ[Account Code]=B321)*(CkDJ[Date]&lt;=$A$7),(CkDJ[Credit])))+(SUM(IF((CsDJ[Account Code]=B321)*(CsDJ[Date]&lt;=$A$7),(CsDJ[Credit])))+(SUM(IF((CRDJ[Account Code]=B321)*(CRDJ[Date]&lt;=$A$7),(CRDJ[Credit])))+(SUM(IF((GJ[Account Code]=B321)*(GJ[Date]&lt;=$A$7),(GJ[Credit]))))))))</f>
        <v>0</v>
      </c>
      <c r="G321" s="620">
        <f>IF(INDEX(AccountCodes[Normal Balance], MATCH(C321,AccountCodes[PPSAS CODE]))="Credit",F321-E321,0)</f>
        <v>0</v>
      </c>
      <c r="H321" s="621">
        <f t="shared" si="4"/>
        <v>0</v>
      </c>
    </row>
    <row r="322" spans="1:8" ht="15.75" hidden="1">
      <c r="A322" s="613" t="str">
        <f t="array" ref="A322">INDEX(AccountCodes[ACCOUNT NAME],MATCH(B322,AccountCodes[NGAS CODE],0))</f>
        <v>Depreciation-Machinery and Equipment - Disaster Response and Rescue Equipment</v>
      </c>
      <c r="B322" s="602" t="s">
        <v>321</v>
      </c>
      <c r="C322" s="615">
        <f t="array" ref="C322">INDEX(AccountCodes[PPSAS CODE],MATCH(B322,AccountCodes[NGAS CODE],0))</f>
        <v>5050105009</v>
      </c>
      <c r="D322" s="616">
        <f>IF(INDEX(AccountCodes[Normal Balance], MATCH(C322,AccountCodes[PPSAS CODE]))="Debit",E322-F322,0)</f>
        <v>0</v>
      </c>
      <c r="E322" s="488">
        <f t="array" ref="E322">(SUM(IF((PostTB[Account Code (Old)]=B322),(PostTB[Debit])))+(SUM(IF((CkDJ[Account Code]=B322)*(CkDJ[Date]&lt;=$A$7),(CkDJ[Debit])))+(SUM(IF((CsDJ[Account Code]=B322)*(CsDJ[Date]&lt;=$A$7),(CsDJ[Debit])))+(SUM(IF((CRDJ[Account Code]=B322)*(CRDJ[Date]&lt;=$A$7),(CRDJ[Debit])))+(SUM(IF((GJ[Account Code]=B322)*(GJ[Date]&lt;=$A$7),(GJ[Debit]))))))))</f>
        <v>0</v>
      </c>
      <c r="F322" s="490">
        <f t="array" ref="F322">(SUM(IF((PostTB[Account Code (Old)]=B322),(PostTB[Credit])))+(SUM(IF((CkDJ[Account Code]=B322)*(CkDJ[Date]&lt;=$A$7),(CkDJ[Credit])))+(SUM(IF((CsDJ[Account Code]=B322)*(CsDJ[Date]&lt;=$A$7),(CsDJ[Credit])))+(SUM(IF((CRDJ[Account Code]=B322)*(CRDJ[Date]&lt;=$A$7),(CRDJ[Credit])))+(SUM(IF((GJ[Account Code]=B322)*(GJ[Date]&lt;=$A$7),(GJ[Credit]))))))))</f>
        <v>0</v>
      </c>
      <c r="G322" s="620">
        <f>IF(INDEX(AccountCodes[Normal Balance], MATCH(C322,AccountCodes[PPSAS CODE]))="Credit",F322-E322,0)</f>
        <v>0</v>
      </c>
      <c r="H322" s="621">
        <f t="shared" si="4"/>
        <v>0</v>
      </c>
    </row>
    <row r="323" spans="1:8" ht="15.75" hidden="1">
      <c r="A323" s="613" t="str">
        <f t="array" ref="A323">INDEX(AccountCodes[ACCOUNT NAME],MATCH(B323,AccountCodes[NGAS CODE],0))</f>
        <v>Depreciation-Machinery and Equipment - Military, Police and Security Equipment</v>
      </c>
      <c r="B323" s="602" t="s">
        <v>322</v>
      </c>
      <c r="C323" s="615">
        <f t="array" ref="C323">INDEX(AccountCodes[PPSAS CODE],MATCH(B323,AccountCodes[NGAS CODE],0))</f>
        <v>5050105010</v>
      </c>
      <c r="D323" s="616">
        <f>IF(INDEX(AccountCodes[Normal Balance], MATCH(C323,AccountCodes[PPSAS CODE]))="Debit",E323-F323,0)</f>
        <v>0</v>
      </c>
      <c r="E323" s="488">
        <f t="array" ref="E323">(SUM(IF((PostTB[Account Code (Old)]=B323),(PostTB[Debit])))+(SUM(IF((CkDJ[Account Code]=B323)*(CkDJ[Date]&lt;=$A$7),(CkDJ[Debit])))+(SUM(IF((CsDJ[Account Code]=B323)*(CsDJ[Date]&lt;=$A$7),(CsDJ[Debit])))+(SUM(IF((CRDJ[Account Code]=B323)*(CRDJ[Date]&lt;=$A$7),(CRDJ[Debit])))+(SUM(IF((GJ[Account Code]=B323)*(GJ[Date]&lt;=$A$7),(GJ[Debit]))))))))</f>
        <v>0</v>
      </c>
      <c r="F323" s="490">
        <f t="array" ref="F323">(SUM(IF((PostTB[Account Code (Old)]=B323),(PostTB[Credit])))+(SUM(IF((CkDJ[Account Code]=B323)*(CkDJ[Date]&lt;=$A$7),(CkDJ[Credit])))+(SUM(IF((CsDJ[Account Code]=B323)*(CsDJ[Date]&lt;=$A$7),(CsDJ[Credit])))+(SUM(IF((CRDJ[Account Code]=B323)*(CRDJ[Date]&lt;=$A$7),(CRDJ[Credit])))+(SUM(IF((GJ[Account Code]=B323)*(GJ[Date]&lt;=$A$7),(GJ[Credit]))))))))</f>
        <v>0</v>
      </c>
      <c r="G323" s="620">
        <f>IF(INDEX(AccountCodes[Normal Balance], MATCH(C323,AccountCodes[PPSAS CODE]))="Credit",F323-E323,0)</f>
        <v>0</v>
      </c>
      <c r="H323" s="621">
        <f t="shared" si="4"/>
        <v>0</v>
      </c>
    </row>
    <row r="324" spans="1:8" ht="15.75" hidden="1">
      <c r="A324" s="613" t="str">
        <f t="array" ref="A324">INDEX(AccountCodes[ACCOUNT NAME],MATCH(B324,AccountCodes[NGAS CODE],0))</f>
        <v>Depreciation-Machinery and Equipment - Sports Equipment</v>
      </c>
      <c r="B324" s="602" t="s">
        <v>323</v>
      </c>
      <c r="C324" s="615">
        <f t="array" ref="C324">INDEX(AccountCodes[PPSAS CODE],MATCH(B324,AccountCodes[NGAS CODE],0))</f>
        <v>5050105013</v>
      </c>
      <c r="D324" s="616">
        <f>IF(INDEX(AccountCodes[Normal Balance], MATCH(C324,AccountCodes[PPSAS CODE]))="Debit",E324-F324,0)</f>
        <v>0</v>
      </c>
      <c r="E324" s="488">
        <f t="array" ref="E324">(SUM(IF((PostTB[Account Code (Old)]=B324),(PostTB[Debit])))+(SUM(IF((CkDJ[Account Code]=B324)*(CkDJ[Date]&lt;=$A$7),(CkDJ[Debit])))+(SUM(IF((CsDJ[Account Code]=B324)*(CsDJ[Date]&lt;=$A$7),(CsDJ[Debit])))+(SUM(IF((CRDJ[Account Code]=B324)*(CRDJ[Date]&lt;=$A$7),(CRDJ[Debit])))+(SUM(IF((GJ[Account Code]=B324)*(GJ[Date]&lt;=$A$7),(GJ[Debit]))))))))</f>
        <v>0</v>
      </c>
      <c r="F324" s="490">
        <f t="array" ref="F324">(SUM(IF((PostTB[Account Code (Old)]=B324),(PostTB[Credit])))+(SUM(IF((CkDJ[Account Code]=B324)*(CkDJ[Date]&lt;=$A$7),(CkDJ[Credit])))+(SUM(IF((CsDJ[Account Code]=B324)*(CsDJ[Date]&lt;=$A$7),(CsDJ[Credit])))+(SUM(IF((CRDJ[Account Code]=B324)*(CRDJ[Date]&lt;=$A$7),(CRDJ[Credit])))+(SUM(IF((GJ[Account Code]=B324)*(GJ[Date]&lt;=$A$7),(GJ[Credit]))))))))</f>
        <v>0</v>
      </c>
      <c r="G324" s="620">
        <f>IF(INDEX(AccountCodes[Normal Balance], MATCH(C324,AccountCodes[PPSAS CODE]))="Credit",F324-E324,0)</f>
        <v>0</v>
      </c>
      <c r="H324" s="621">
        <f t="shared" si="4"/>
        <v>0</v>
      </c>
    </row>
    <row r="325" spans="1:8" ht="15.75" hidden="1">
      <c r="A325" s="613" t="str">
        <f t="array" ref="A325">INDEX(AccountCodes[ACCOUNT NAME],MATCH(B325,AccountCodes[NGAS CODE],0))</f>
        <v>Depreciation-Machinery and Equipment - Technical and Scientific Equipment</v>
      </c>
      <c r="B325" s="617" t="s">
        <v>324</v>
      </c>
      <c r="C325" s="615">
        <f t="array" ref="C325">INDEX(AccountCodes[PPSAS CODE],MATCH(B325,AccountCodes[NGAS CODE],0))</f>
        <v>5050105014</v>
      </c>
      <c r="D325" s="616">
        <f>IF(INDEX(AccountCodes[Normal Balance], MATCH(C325,AccountCodes[PPSAS CODE]))="Debit",E325-F325,0)</f>
        <v>0</v>
      </c>
      <c r="E325" s="488">
        <f t="array" ref="E325">(SUM(IF((PostTB[Account Code (Old)]=B325),(PostTB[Debit])))+(SUM(IF((CkDJ[Account Code]=B325)*(CkDJ[Date]&lt;=$A$7),(CkDJ[Debit])))+(SUM(IF((CsDJ[Account Code]=B325)*(CsDJ[Date]&lt;=$A$7),(CsDJ[Debit])))+(SUM(IF((CRDJ[Account Code]=B325)*(CRDJ[Date]&lt;=$A$7),(CRDJ[Debit])))+(SUM(IF((GJ[Account Code]=B325)*(GJ[Date]&lt;=$A$7),(GJ[Debit]))))))))</f>
        <v>0</v>
      </c>
      <c r="F325" s="490">
        <f t="array" ref="F325">(SUM(IF((PostTB[Account Code (Old)]=B325),(PostTB[Credit])))+(SUM(IF((CkDJ[Account Code]=B325)*(CkDJ[Date]&lt;=$A$7),(CkDJ[Credit])))+(SUM(IF((CsDJ[Account Code]=B325)*(CsDJ[Date]&lt;=$A$7),(CsDJ[Credit])))+(SUM(IF((CRDJ[Account Code]=B325)*(CRDJ[Date]&lt;=$A$7),(CRDJ[Credit])))+(SUM(IF((GJ[Account Code]=B325)*(GJ[Date]&lt;=$A$7),(GJ[Credit]))))))))</f>
        <v>0</v>
      </c>
      <c r="G325" s="620">
        <f>IF(INDEX(AccountCodes[Normal Balance], MATCH(C325,AccountCodes[PPSAS CODE]))="Credit",F325-E325,0)</f>
        <v>0</v>
      </c>
      <c r="H325" s="621">
        <f t="shared" ref="H325:H334" si="5">IF(D325=0,G325,D325)</f>
        <v>0</v>
      </c>
    </row>
    <row r="326" spans="1:8" ht="15.75" hidden="1">
      <c r="A326" s="618" t="str">
        <f t="array" ref="A326">INDEX(AccountCodes[ACCOUNT NAME],MATCH(B326,AccountCodes[NGAS CODE],0))</f>
        <v>Depreciation-Machinery and Equipment - Other Machinery and Equipment</v>
      </c>
      <c r="B326" s="617" t="s">
        <v>325</v>
      </c>
      <c r="C326" s="615">
        <f t="array" ref="C326">INDEX(AccountCodes[PPSAS CODE],MATCH(B326,AccountCodes[NGAS CODE],0))</f>
        <v>5050105099</v>
      </c>
      <c r="D326" s="616">
        <f>IF(INDEX(AccountCodes[Normal Balance], MATCH(C326,AccountCodes[PPSAS CODE]))="Debit",E326-F326,0)</f>
        <v>0</v>
      </c>
      <c r="E326" s="488">
        <f t="array" ref="E326">(SUM(IF((PostTB[Account Code (Old)]=B326),(PostTB[Debit])))+(SUM(IF((CkDJ[Account Code]=B326)*(CkDJ[Date]&lt;=$A$7),(CkDJ[Debit])))+(SUM(IF((CsDJ[Account Code]=B326)*(CsDJ[Date]&lt;=$A$7),(CsDJ[Debit])))+(SUM(IF((CRDJ[Account Code]=B326)*(CRDJ[Date]&lt;=$A$7),(CRDJ[Debit])))+(SUM(IF((GJ[Account Code]=B326)*(GJ[Date]&lt;=$A$7),(GJ[Debit]))))))))</f>
        <v>0</v>
      </c>
      <c r="F326" s="490">
        <f t="array" ref="F326">(SUM(IF((PostTB[Account Code (Old)]=B326),(PostTB[Credit])))+(SUM(IF((CkDJ[Account Code]=B326)*(CkDJ[Date]&lt;=$A$7),(CkDJ[Credit])))+(SUM(IF((CsDJ[Account Code]=B326)*(CsDJ[Date]&lt;=$A$7),(CsDJ[Credit])))+(SUM(IF((CRDJ[Account Code]=B326)*(CRDJ[Date]&lt;=$A$7),(CRDJ[Credit])))+(SUM(IF((GJ[Account Code]=B326)*(GJ[Date]&lt;=$A$7),(GJ[Credit]))))))))</f>
        <v>0</v>
      </c>
      <c r="G326" s="620">
        <f>IF(INDEX(AccountCodes[Normal Balance], MATCH(C326,AccountCodes[PPSAS CODE]))="Credit",F326-E326,0)</f>
        <v>0</v>
      </c>
      <c r="H326" s="621">
        <f t="shared" si="5"/>
        <v>0</v>
      </c>
    </row>
    <row r="327" spans="1:8" ht="15.75" hidden="1">
      <c r="A327" s="618" t="str">
        <f t="array" ref="A327">INDEX(AccountCodes[ACCOUNT NAME],MATCH(B327,AccountCodes[NGAS CODE],0))</f>
        <v>Depreciation-Transportation Equipment - Motor Vehicles</v>
      </c>
      <c r="B327" s="617" t="s">
        <v>326</v>
      </c>
      <c r="C327" s="615">
        <f t="array" ref="C327">INDEX(AccountCodes[PPSAS CODE],MATCH(B327,AccountCodes[NGAS CODE],0))</f>
        <v>5050106001</v>
      </c>
      <c r="D327" s="616">
        <f>IF(INDEX(AccountCodes[Normal Balance], MATCH(C327,AccountCodes[PPSAS CODE]))="Debit",E327-F327,0)</f>
        <v>0</v>
      </c>
      <c r="E327" s="488">
        <f t="array" ref="E327">(SUM(IF((PostTB[Account Code (Old)]=B327),(PostTB[Debit])))+(SUM(IF((CkDJ[Account Code]=B327)*(CkDJ[Date]&lt;=$A$7),(CkDJ[Debit])))+(SUM(IF((CsDJ[Account Code]=B327)*(CsDJ[Date]&lt;=$A$7),(CsDJ[Debit])))+(SUM(IF((CRDJ[Account Code]=B327)*(CRDJ[Date]&lt;=$A$7),(CRDJ[Debit])))+(SUM(IF((GJ[Account Code]=B327)*(GJ[Date]&lt;=$A$7),(GJ[Debit]))))))))</f>
        <v>0</v>
      </c>
      <c r="F327" s="490">
        <f t="array" ref="F327">(SUM(IF((PostTB[Account Code (Old)]=B327),(PostTB[Credit])))+(SUM(IF((CkDJ[Account Code]=B327)*(CkDJ[Date]&lt;=$A$7),(CkDJ[Credit])))+(SUM(IF((CsDJ[Account Code]=B327)*(CsDJ[Date]&lt;=$A$7),(CsDJ[Credit])))+(SUM(IF((CRDJ[Account Code]=B327)*(CRDJ[Date]&lt;=$A$7),(CRDJ[Credit])))+(SUM(IF((GJ[Account Code]=B327)*(GJ[Date]&lt;=$A$7),(GJ[Credit]))))))))</f>
        <v>0</v>
      </c>
      <c r="G327" s="620">
        <f>IF(INDEX(AccountCodes[Normal Balance], MATCH(C327,AccountCodes[PPSAS CODE]))="Credit",F327-E327,0)</f>
        <v>0</v>
      </c>
      <c r="H327" s="621">
        <f t="shared" si="5"/>
        <v>0</v>
      </c>
    </row>
    <row r="328" spans="1:8" ht="15.75" hidden="1">
      <c r="A328" s="618" t="str">
        <f t="array" ref="A328">INDEX(AccountCodes[ACCOUNT NAME],MATCH(B328,AccountCodes[NGAS CODE],0))</f>
        <v>Depreciation-Transportation Equipment - Trains</v>
      </c>
      <c r="B328" s="617" t="s">
        <v>1453</v>
      </c>
      <c r="C328" s="615">
        <f t="array" ref="C328">INDEX(AccountCodes[PPSAS CODE],MATCH(B328,AccountCodes[NGAS CODE],0))</f>
        <v>5050106002</v>
      </c>
      <c r="D328" s="616">
        <f>IF(INDEX(AccountCodes[Normal Balance], MATCH(C328,AccountCodes[PPSAS CODE]))="Debit",E328-F328,0)</f>
        <v>0</v>
      </c>
      <c r="E328" s="488">
        <f t="array" ref="E328">(SUM(IF((PostTB[Account Code (Old)]=B328),(PostTB[Debit])))+(SUM(IF((CkDJ[Account Code]=B328)*(CkDJ[Date]&lt;=$A$7),(CkDJ[Debit])))+(SUM(IF((CsDJ[Account Code]=B328)*(CsDJ[Date]&lt;=$A$7),(CsDJ[Debit])))+(SUM(IF((CRDJ[Account Code]=B328)*(CRDJ[Date]&lt;=$A$7),(CRDJ[Debit])))+(SUM(IF((GJ[Account Code]=B328)*(GJ[Date]&lt;=$A$7),(GJ[Debit]))))))))</f>
        <v>0</v>
      </c>
      <c r="F328" s="490">
        <f t="array" ref="F328">(SUM(IF((PostTB[Account Code (Old)]=B328),(PostTB[Credit])))+(SUM(IF((CkDJ[Account Code]=B328)*(CkDJ[Date]&lt;=$A$7),(CkDJ[Credit])))+(SUM(IF((CsDJ[Account Code]=B328)*(CsDJ[Date]&lt;=$A$7),(CsDJ[Credit])))+(SUM(IF((CRDJ[Account Code]=B328)*(CRDJ[Date]&lt;=$A$7),(CRDJ[Credit])))+(SUM(IF((GJ[Account Code]=B328)*(GJ[Date]&lt;=$A$7),(GJ[Credit]))))))))</f>
        <v>0</v>
      </c>
      <c r="G328" s="620">
        <f>IF(INDEX(AccountCodes[Normal Balance], MATCH(C328,AccountCodes[PPSAS CODE]))="Credit",F328-E328,0)</f>
        <v>0</v>
      </c>
      <c r="H328" s="621">
        <f t="shared" si="5"/>
        <v>0</v>
      </c>
    </row>
    <row r="329" spans="1:8" ht="15.75" hidden="1">
      <c r="A329" s="618" t="str">
        <f t="array" ref="A329">INDEX(AccountCodes[ACCOUNT NAME],MATCH(B329,AccountCodes[NGAS CODE],0))</f>
        <v>Depreciation-Transportation Equipment - Aircrafts and Aircrafts Ground Equipment</v>
      </c>
      <c r="B329" s="617" t="s">
        <v>327</v>
      </c>
      <c r="C329" s="615">
        <f t="array" ref="C329">INDEX(AccountCodes[PPSAS CODE],MATCH(B329,AccountCodes[NGAS CODE],0))</f>
        <v>5050106003</v>
      </c>
      <c r="D329" s="616">
        <f>IF(INDEX(AccountCodes[Normal Balance], MATCH(C329,AccountCodes[PPSAS CODE]))="Debit",E329-F329,0)</f>
        <v>0</v>
      </c>
      <c r="E329" s="488">
        <f t="array" ref="E329">(SUM(IF((PostTB[Account Code (Old)]=B329),(PostTB[Debit])))+(SUM(IF((CkDJ[Account Code]=B329)*(CkDJ[Date]&lt;=$A$7),(CkDJ[Debit])))+(SUM(IF((CsDJ[Account Code]=B329)*(CsDJ[Date]&lt;=$A$7),(CsDJ[Debit])))+(SUM(IF((CRDJ[Account Code]=B329)*(CRDJ[Date]&lt;=$A$7),(CRDJ[Debit])))+(SUM(IF((GJ[Account Code]=B329)*(GJ[Date]&lt;=$A$7),(GJ[Debit]))))))))</f>
        <v>0</v>
      </c>
      <c r="F329" s="490">
        <f t="array" ref="F329">(SUM(IF((PostTB[Account Code (Old)]=B329),(PostTB[Credit])))+(SUM(IF((CkDJ[Account Code]=B329)*(CkDJ[Date]&lt;=$A$7),(CkDJ[Credit])))+(SUM(IF((CsDJ[Account Code]=B329)*(CsDJ[Date]&lt;=$A$7),(CsDJ[Credit])))+(SUM(IF((CRDJ[Account Code]=B329)*(CRDJ[Date]&lt;=$A$7),(CRDJ[Credit])))+(SUM(IF((GJ[Account Code]=B329)*(GJ[Date]&lt;=$A$7),(GJ[Credit]))))))))</f>
        <v>0</v>
      </c>
      <c r="G329" s="620">
        <f>IF(INDEX(AccountCodes[Normal Balance], MATCH(C329,AccountCodes[PPSAS CODE]))="Credit",F329-E329,0)</f>
        <v>0</v>
      </c>
      <c r="H329" s="621">
        <f t="shared" si="5"/>
        <v>0</v>
      </c>
    </row>
    <row r="330" spans="1:8" ht="15.75" hidden="1">
      <c r="A330" s="618" t="str">
        <f t="array" ref="A330">INDEX(AccountCodes[ACCOUNT NAME],MATCH(B330,AccountCodes[NGAS CODE],0))</f>
        <v>Depreciation-Transportation Equipment - Watercrafts</v>
      </c>
      <c r="B330" s="617" t="s">
        <v>328</v>
      </c>
      <c r="C330" s="615">
        <f t="array" ref="C330">INDEX(AccountCodes[PPSAS CODE],MATCH(B330,AccountCodes[NGAS CODE],0))</f>
        <v>5050106004</v>
      </c>
      <c r="D330" s="616">
        <f>IF(INDEX(AccountCodes[Normal Balance], MATCH(C330,AccountCodes[PPSAS CODE]))="Debit",E330-F330,0)</f>
        <v>0</v>
      </c>
      <c r="E330" s="488">
        <f t="array" ref="E330">(SUM(IF((PostTB[Account Code (Old)]=B330),(PostTB[Debit])))+(SUM(IF((CkDJ[Account Code]=B330)*(CkDJ[Date]&lt;=$A$7),(CkDJ[Debit])))+(SUM(IF((CsDJ[Account Code]=B330)*(CsDJ[Date]&lt;=$A$7),(CsDJ[Debit])))+(SUM(IF((CRDJ[Account Code]=B330)*(CRDJ[Date]&lt;=$A$7),(CRDJ[Debit])))+(SUM(IF((GJ[Account Code]=B330)*(GJ[Date]&lt;=$A$7),(GJ[Debit]))))))))</f>
        <v>0</v>
      </c>
      <c r="F330" s="490">
        <f t="array" ref="F330">(SUM(IF((PostTB[Account Code (Old)]=B330),(PostTB[Credit])))+(SUM(IF((CkDJ[Account Code]=B330)*(CkDJ[Date]&lt;=$A$7),(CkDJ[Credit])))+(SUM(IF((CsDJ[Account Code]=B330)*(CsDJ[Date]&lt;=$A$7),(CsDJ[Credit])))+(SUM(IF((CRDJ[Account Code]=B330)*(CRDJ[Date]&lt;=$A$7),(CRDJ[Credit])))+(SUM(IF((GJ[Account Code]=B330)*(GJ[Date]&lt;=$A$7),(GJ[Credit]))))))))</f>
        <v>0</v>
      </c>
      <c r="G330" s="620">
        <f>IF(INDEX(AccountCodes[Normal Balance], MATCH(C330,AccountCodes[PPSAS CODE]))="Credit",F330-E330,0)</f>
        <v>0</v>
      </c>
      <c r="H330" s="621">
        <f t="shared" si="5"/>
        <v>0</v>
      </c>
    </row>
    <row r="331" spans="1:8" ht="15.75" hidden="1">
      <c r="A331" s="618" t="str">
        <f t="array" ref="A331">INDEX(AccountCodes[ACCOUNT NAME],MATCH(B331,AccountCodes[NGAS CODE],0))</f>
        <v>Depreciation-Transportation Equipment - Other Transportation Equipment</v>
      </c>
      <c r="B331" s="617" t="s">
        <v>329</v>
      </c>
      <c r="C331" s="615">
        <f t="array" ref="C331">INDEX(AccountCodes[PPSAS CODE],MATCH(B331,AccountCodes[NGAS CODE],0))</f>
        <v>5050106099</v>
      </c>
      <c r="D331" s="616">
        <f>IF(INDEX(AccountCodes[Normal Balance], MATCH(C331,AccountCodes[PPSAS CODE]))="Debit",E331-F331,0)</f>
        <v>0</v>
      </c>
      <c r="E331" s="488">
        <f t="array" ref="E331">(SUM(IF((PostTB[Account Code (Old)]=B331),(PostTB[Debit])))+(SUM(IF((CkDJ[Account Code]=B331)*(CkDJ[Date]&lt;=$A$7),(CkDJ[Debit])))+(SUM(IF((CsDJ[Account Code]=B331)*(CsDJ[Date]&lt;=$A$7),(CsDJ[Debit])))+(SUM(IF((CRDJ[Account Code]=B331)*(CRDJ[Date]&lt;=$A$7),(CRDJ[Debit])))+(SUM(IF((GJ[Account Code]=B331)*(GJ[Date]&lt;=$A$7),(GJ[Debit]))))))))</f>
        <v>0</v>
      </c>
      <c r="F331" s="490">
        <f t="array" ref="F331">(SUM(IF((PostTB[Account Code (Old)]=B331),(PostTB[Credit])))+(SUM(IF((CkDJ[Account Code]=B331)*(CkDJ[Date]&lt;=$A$7),(CkDJ[Credit])))+(SUM(IF((CsDJ[Account Code]=B331)*(CsDJ[Date]&lt;=$A$7),(CsDJ[Credit])))+(SUM(IF((CRDJ[Account Code]=B331)*(CRDJ[Date]&lt;=$A$7),(CRDJ[Credit])))+(SUM(IF((GJ[Account Code]=B331)*(GJ[Date]&lt;=$A$7),(GJ[Credit]))))))))</f>
        <v>0</v>
      </c>
      <c r="G331" s="620">
        <f>IF(INDEX(AccountCodes[Normal Balance], MATCH(C331,AccountCodes[PPSAS CODE]))="Credit",F331-E331,0)</f>
        <v>0</v>
      </c>
      <c r="H331" s="621">
        <f t="shared" si="5"/>
        <v>0</v>
      </c>
    </row>
    <row r="332" spans="1:8" ht="15.75" hidden="1">
      <c r="A332" s="618" t="str">
        <f t="array" ref="A332">INDEX(AccountCodes[ACCOUNT NAME],MATCH(B332,AccountCodes[NGAS CODE],0))</f>
        <v>Depreciation-Furniture, Fixtures and Books - Furniture and Fixtures</v>
      </c>
      <c r="B332" s="617" t="s">
        <v>279</v>
      </c>
      <c r="C332" s="615">
        <f t="array" ref="C332">INDEX(AccountCodes[PPSAS CODE],MATCH(B332,AccountCodes[NGAS CODE],0))</f>
        <v>5050107001</v>
      </c>
      <c r="D332" s="616">
        <f>IF(INDEX(AccountCodes[Normal Balance], MATCH(C332,AccountCodes[PPSAS CODE]))="Debit",E332-F332,0)</f>
        <v>0</v>
      </c>
      <c r="E332" s="488">
        <f t="array" ref="E332">(SUM(IF((PostTB[Account Code (Old)]=B332),(PostTB[Debit])))+(SUM(IF((CkDJ[Account Code]=B332)*(CkDJ[Date]&lt;=$A$7),(CkDJ[Debit])))+(SUM(IF((CsDJ[Account Code]=B332)*(CsDJ[Date]&lt;=$A$7),(CsDJ[Debit])))+(SUM(IF((CRDJ[Account Code]=B332)*(CRDJ[Date]&lt;=$A$7),(CRDJ[Debit])))+(SUM(IF((GJ[Account Code]=B332)*(GJ[Date]&lt;=$A$7),(GJ[Debit]))))))))</f>
        <v>0</v>
      </c>
      <c r="F332" s="490">
        <f t="array" ref="F332">(SUM(IF((PostTB[Account Code (Old)]=B332),(PostTB[Credit])))+(SUM(IF((CkDJ[Account Code]=B332)*(CkDJ[Date]&lt;=$A$7),(CkDJ[Credit])))+(SUM(IF((CsDJ[Account Code]=B332)*(CsDJ[Date]&lt;=$A$7),(CsDJ[Credit])))+(SUM(IF((CRDJ[Account Code]=B332)*(CRDJ[Date]&lt;=$A$7),(CRDJ[Credit])))+(SUM(IF((GJ[Account Code]=B332)*(GJ[Date]&lt;=$A$7),(GJ[Credit]))))))))</f>
        <v>0</v>
      </c>
      <c r="G332" s="620">
        <f>IF(INDEX(AccountCodes[Normal Balance], MATCH(C332,AccountCodes[PPSAS CODE]))="Credit",F332-E332,0)</f>
        <v>0</v>
      </c>
      <c r="H332" s="621">
        <f t="shared" si="5"/>
        <v>0</v>
      </c>
    </row>
    <row r="333" spans="1:8" ht="15.75" hidden="1">
      <c r="A333" s="618" t="str">
        <f t="array" ref="A333">INDEX(AccountCodes[ACCOUNT NAME],MATCH(B333,AccountCodes[NGAS CODE],0))</f>
        <v>Depreciation-Furniture, Fixtures and Books - Books</v>
      </c>
      <c r="B333" s="617" t="s">
        <v>281</v>
      </c>
      <c r="C333" s="615">
        <f t="array" ref="C333">INDEX(AccountCodes[PPSAS CODE],MATCH(B333,AccountCodes[NGAS CODE],0))</f>
        <v>5050107002</v>
      </c>
      <c r="D333" s="616">
        <f>IF(INDEX(AccountCodes[Normal Balance], MATCH(C333,AccountCodes[PPSAS CODE]))="Debit",E333-F333,0)</f>
        <v>0</v>
      </c>
      <c r="E333" s="488">
        <f t="array" ref="E333">(SUM(IF((PostTB[Account Code (Old)]=B333),(PostTB[Debit])))+(SUM(IF((CkDJ[Account Code]=B333)*(CkDJ[Date]&lt;=$A$7),(CkDJ[Debit])))+(SUM(IF((CsDJ[Account Code]=B333)*(CsDJ[Date]&lt;=$A$7),(CsDJ[Debit])))+(SUM(IF((CRDJ[Account Code]=B333)*(CRDJ[Date]&lt;=$A$7),(CRDJ[Debit])))+(SUM(IF((GJ[Account Code]=B333)*(GJ[Date]&lt;=$A$7),(GJ[Debit]))))))))</f>
        <v>0</v>
      </c>
      <c r="F333" s="490">
        <f t="array" ref="F333">(SUM(IF((PostTB[Account Code (Old)]=B333),(PostTB[Credit])))+(SUM(IF((CkDJ[Account Code]=B333)*(CkDJ[Date]&lt;=$A$7),(CkDJ[Credit])))+(SUM(IF((CsDJ[Account Code]=B333)*(CsDJ[Date]&lt;=$A$7),(CsDJ[Credit])))+(SUM(IF((CRDJ[Account Code]=B333)*(CRDJ[Date]&lt;=$A$7),(CRDJ[Credit])))+(SUM(IF((GJ[Account Code]=B333)*(GJ[Date]&lt;=$A$7),(GJ[Credit]))))))))</f>
        <v>0</v>
      </c>
      <c r="G333" s="620">
        <f>IF(INDEX(AccountCodes[Normal Balance], MATCH(C333,AccountCodes[PPSAS CODE]))="Credit",F333-E333,0)</f>
        <v>0</v>
      </c>
      <c r="H333" s="621">
        <f t="shared" si="5"/>
        <v>0</v>
      </c>
    </row>
    <row r="334" spans="1:8" ht="15.75" hidden="1">
      <c r="A334" s="618" t="str">
        <f t="array" ref="A334">INDEX(AccountCodes[ACCOUNT NAME],MATCH(B334,AccountCodes[NGAS CODE],0))</f>
        <v>Depreciation-Other Property, Plant and Equipment</v>
      </c>
      <c r="B334" s="617" t="s">
        <v>330</v>
      </c>
      <c r="C334" s="615">
        <f t="array" ref="C334">INDEX(AccountCodes[PPSAS CODE],MATCH(B334,AccountCodes[NGAS CODE],0))</f>
        <v>5050199000</v>
      </c>
      <c r="D334" s="616">
        <f>IF(INDEX(AccountCodes[Normal Balance], MATCH(C334,AccountCodes[PPSAS CODE]))="Debit",E334-F334,0)</f>
        <v>0</v>
      </c>
      <c r="E334" s="488">
        <f t="array" ref="E334">(SUM(IF((PostTB[Account Code (Old)]=B334),(PostTB[Debit])))+(SUM(IF((CkDJ[Account Code]=B334)*(CkDJ[Date]&lt;=$A$7),(CkDJ[Debit])))+(SUM(IF((CsDJ[Account Code]=B334)*(CsDJ[Date]&lt;=$A$7),(CsDJ[Debit])))+(SUM(IF((CRDJ[Account Code]=B334)*(CRDJ[Date]&lt;=$A$7),(CRDJ[Debit])))+(SUM(IF((GJ[Account Code]=B334)*(GJ[Date]&lt;=$A$7),(GJ[Debit]))))))))</f>
        <v>0</v>
      </c>
      <c r="F334" s="490">
        <f t="array" ref="F334">(SUM(IF((PostTB[Account Code (Old)]=B334),(PostTB[Credit])))+(SUM(IF((CkDJ[Account Code]=B334)*(CkDJ[Date]&lt;=$A$7),(CkDJ[Credit])))+(SUM(IF((CsDJ[Account Code]=B334)*(CsDJ[Date]&lt;=$A$7),(CsDJ[Credit])))+(SUM(IF((CRDJ[Account Code]=B334)*(CRDJ[Date]&lt;=$A$7),(CRDJ[Credit])))+(SUM(IF((GJ[Account Code]=B334)*(GJ[Date]&lt;=$A$7),(GJ[Credit]))))))))</f>
        <v>0</v>
      </c>
      <c r="G334" s="620">
        <f>IF(INDEX(AccountCodes[Normal Balance], MATCH(C334,AccountCodes[PPSAS CODE]))="Credit",F334-E334,0)</f>
        <v>0</v>
      </c>
      <c r="H334" s="621">
        <f t="shared" si="5"/>
        <v>0</v>
      </c>
    </row>
    <row r="335" spans="1:8" ht="15.75">
      <c r="A335" s="656" t="s">
        <v>831</v>
      </c>
      <c r="B335" s="657"/>
      <c r="C335" s="651"/>
      <c r="D335" s="652">
        <f>SUBTOTAL(109,TB[DEBIT])</f>
        <v>211251281.19</v>
      </c>
      <c r="E335" s="658">
        <f>SUBTOTAL(109,TB[DEBIT
TOTAL])</f>
        <v>234568384.97999999</v>
      </c>
      <c r="F335" s="658">
        <f>SUBTOTAL(109,TB[CREDIT
TOTAL])</f>
        <v>210811138.81999999</v>
      </c>
      <c r="G335" s="658">
        <f>SUBTOTAL(109,TB[CREDIT])</f>
        <v>187494035.03</v>
      </c>
      <c r="H335" s="659">
        <f>SUBTOTAL(109,TB[DEBIT/CREDIT])</f>
        <v>398745316.22000003</v>
      </c>
    </row>
    <row r="351" spans="1:7" ht="15.75">
      <c r="A351" s="727" t="s">
        <v>1571</v>
      </c>
      <c r="B351" s="725"/>
      <c r="C351" s="725"/>
      <c r="D351" s="725" t="s">
        <v>461</v>
      </c>
      <c r="E351" s="725"/>
      <c r="F351" s="725"/>
      <c r="G351" s="725"/>
    </row>
    <row r="352" spans="1:7" ht="15.75">
      <c r="A352" s="727"/>
      <c r="B352" s="725"/>
      <c r="C352" s="725"/>
      <c r="D352" s="725"/>
      <c r="E352" s="725"/>
      <c r="F352" s="725"/>
      <c r="G352" s="725"/>
    </row>
    <row r="353" spans="1:7" ht="15.75">
      <c r="A353" s="725"/>
      <c r="B353" s="725"/>
      <c r="C353" s="725"/>
      <c r="D353" s="725"/>
      <c r="E353" s="725"/>
      <c r="F353" s="725"/>
      <c r="G353" s="725"/>
    </row>
    <row r="354" spans="1:7" ht="15.75">
      <c r="A354" s="728" t="s">
        <v>1569</v>
      </c>
      <c r="B354" s="733"/>
      <c r="C354" s="726"/>
      <c r="D354" s="730" t="s">
        <v>1562</v>
      </c>
      <c r="E354" s="725"/>
      <c r="F354" s="725"/>
      <c r="G354" s="726"/>
    </row>
    <row r="355" spans="1:7" ht="15.75">
      <c r="A355" s="729" t="s">
        <v>1570</v>
      </c>
      <c r="B355" s="725"/>
      <c r="C355" s="725"/>
      <c r="D355" s="731" t="s">
        <v>1568</v>
      </c>
      <c r="E355" s="725"/>
      <c r="F355" s="725"/>
      <c r="G355" s="726"/>
    </row>
  </sheetData>
  <sheetProtection autoFilter="0"/>
  <printOptions horizontalCentered="1"/>
  <pageMargins left="0.25" right="0.25" top="0.75" bottom="1.75" header="0.3" footer="1.5"/>
  <pageSetup paperSize="41" scale="80" orientation="portrait" horizontalDpi="300" verticalDpi="300" r:id="rId1"/>
  <headerFooter>
    <oddFooter>Page &amp;P of &amp;N</oddFooter>
  </headerFooter>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0000"/>
  </sheetPr>
  <dimension ref="A1:J173"/>
  <sheetViews>
    <sheetView view="pageBreakPreview" topLeftCell="A104" zoomScale="80" zoomScaleNormal="100" zoomScaleSheetLayoutView="80" workbookViewId="0">
      <selection activeCell="A146" sqref="A146"/>
    </sheetView>
  </sheetViews>
  <sheetFormatPr defaultColWidth="9" defaultRowHeight="15.75"/>
  <cols>
    <col min="1" max="2" width="9" style="108"/>
    <col min="3" max="3" width="13.5" style="108" customWidth="1"/>
    <col min="4" max="4" width="14.5" style="108" customWidth="1"/>
    <col min="5" max="5" width="11.375" style="108" customWidth="1"/>
    <col min="6" max="6" width="13.875" style="108" customWidth="1"/>
    <col min="7" max="7" width="9.125" style="198" customWidth="1"/>
    <col min="8" max="8" width="12.625" style="198" customWidth="1"/>
    <col min="9" max="9" width="16.5" style="108" customWidth="1"/>
    <col min="10" max="10" width="15" style="108" hidden="1" customWidth="1"/>
    <col min="11" max="11" width="9" style="108"/>
    <col min="12" max="12" width="16.125" style="108" customWidth="1"/>
    <col min="13" max="16384" width="9" style="108"/>
  </cols>
  <sheetData>
    <row r="1" spans="1:9" ht="24" customHeight="1"/>
    <row r="2" spans="1:9" s="849" customFormat="1" ht="23.25">
      <c r="A2" s="848" t="s">
        <v>355</v>
      </c>
      <c r="B2" s="873"/>
      <c r="C2" s="873"/>
      <c r="D2" s="898"/>
      <c r="E2" s="873"/>
      <c r="F2" s="873"/>
      <c r="G2" s="874"/>
      <c r="H2" s="874"/>
      <c r="I2" s="873"/>
    </row>
    <row r="3" spans="1:9">
      <c r="A3" s="875" t="s">
        <v>1064</v>
      </c>
      <c r="B3" s="128"/>
      <c r="C3" s="128"/>
      <c r="D3" s="128"/>
      <c r="E3" s="128"/>
      <c r="F3" s="128"/>
      <c r="G3" s="876"/>
      <c r="H3" s="876"/>
      <c r="I3" s="128"/>
    </row>
    <row r="4" spans="1:9">
      <c r="A4" s="2" t="s">
        <v>1538</v>
      </c>
      <c r="B4" s="128"/>
      <c r="C4" s="128"/>
      <c r="D4" s="128"/>
      <c r="E4" s="128"/>
      <c r="F4" s="128"/>
      <c r="G4" s="876"/>
      <c r="H4" s="876"/>
      <c r="I4" s="128"/>
    </row>
    <row r="5" spans="1:9">
      <c r="A5" s="877" t="str">
        <f>Account!$G$1</f>
        <v>FUND 501 CARP</v>
      </c>
      <c r="B5" s="128"/>
      <c r="C5" s="128"/>
      <c r="D5" s="128"/>
      <c r="E5" s="128"/>
      <c r="F5" s="128"/>
      <c r="G5" s="876"/>
      <c r="H5" s="876"/>
      <c r="I5" s="128"/>
    </row>
    <row r="6" spans="1:9">
      <c r="A6" s="2" t="s">
        <v>1622</v>
      </c>
      <c r="B6" s="2"/>
      <c r="C6" s="2"/>
      <c r="D6" s="2"/>
      <c r="E6" s="2"/>
      <c r="F6" s="2"/>
      <c r="G6" s="878"/>
      <c r="H6" s="878"/>
      <c r="I6" s="2"/>
    </row>
    <row r="7" spans="1:9">
      <c r="A7" s="877">
        <f>Account!$G$2</f>
        <v>45291</v>
      </c>
      <c r="B7" s="2"/>
      <c r="C7" s="2"/>
      <c r="D7" s="2"/>
      <c r="E7" s="2"/>
      <c r="F7" s="2"/>
      <c r="G7" s="878"/>
      <c r="H7" s="878"/>
      <c r="I7" s="2"/>
    </row>
    <row r="9" spans="1:9">
      <c r="A9" s="879" t="s">
        <v>402</v>
      </c>
      <c r="B9" s="879"/>
      <c r="C9" s="879"/>
      <c r="D9" s="879"/>
      <c r="E9" s="879"/>
      <c r="F9" s="879"/>
      <c r="G9" s="880" t="s">
        <v>403</v>
      </c>
      <c r="H9" s="880"/>
      <c r="I9" s="879" t="s">
        <v>404</v>
      </c>
    </row>
    <row r="11" spans="1:9">
      <c r="A11" s="29" t="s">
        <v>427</v>
      </c>
    </row>
    <row r="12" spans="1:9">
      <c r="A12" s="881" t="str">
        <f t="array" ref="A12">INDEX(AccountCodes[ACCOUNT NAME],MATCH(G12,AccountCodes[NGAS CODE],0))</f>
        <v>Other Service Income - Irrigation Service Fee (Back Account)</v>
      </c>
      <c r="B12" s="882"/>
      <c r="C12" s="882"/>
      <c r="D12" s="882"/>
      <c r="E12" s="882"/>
      <c r="F12" s="882"/>
      <c r="G12" s="460" t="s">
        <v>126</v>
      </c>
      <c r="H12" s="459">
        <f>INDEX(AccountCodes[PPSAS CODE],MATCH(G12,AccountCodes[NGAS CODE],0))</f>
        <v>4020199099</v>
      </c>
      <c r="I12" s="883">
        <f>SUMIF(TB[ACCOUNT CODE (NGAS)],G12,TB[DEBIT/CREDIT])</f>
        <v>0</v>
      </c>
    </row>
    <row r="13" spans="1:9" hidden="1">
      <c r="A13" s="881" t="str">
        <f t="array" ref="A13">INDEX(AccountCodes[ACCOUNT NAME],MATCH(G13,AccountCodes[NGAS CODE],0))</f>
        <v>Other Service Income - Irrigation Service Fee (Back Account) (MC # 54)</v>
      </c>
      <c r="B13" s="882"/>
      <c r="C13" s="882"/>
      <c r="D13" s="882"/>
      <c r="E13" s="882"/>
      <c r="F13" s="882"/>
      <c r="G13" s="460" t="s">
        <v>721</v>
      </c>
      <c r="H13" s="459">
        <f>INDEX(AccountCodes[PPSAS CODE],MATCH(G13,AccountCodes[NGAS CODE],0))</f>
        <v>4020199099</v>
      </c>
      <c r="I13" s="883">
        <f>SUMIF(TB[ACCOUNT CODE (NGAS)],G13,TB[DEBIT/CREDIT])</f>
        <v>0</v>
      </c>
    </row>
    <row r="14" spans="1:9" hidden="1">
      <c r="A14" s="881" t="str">
        <f t="array" ref="A14">INDEX(AccountCodes[ACCOUNT NAME],MATCH(G14,AccountCodes[NGAS CODE],0))</f>
        <v>Other Service Income - CIS Equity &amp; Amortization</v>
      </c>
      <c r="B14" s="882"/>
      <c r="C14" s="882"/>
      <c r="D14" s="882"/>
      <c r="E14" s="882"/>
      <c r="F14" s="882"/>
      <c r="G14" s="460" t="s">
        <v>127</v>
      </c>
      <c r="H14" s="459">
        <f>INDEX(AccountCodes[PPSAS CODE],MATCH(G14,AccountCodes[NGAS CODE],0))</f>
        <v>4020199099</v>
      </c>
      <c r="I14" s="883">
        <f>SUMIF(TB[ACCOUNT CODE (NGAS)],G14,TB[DEBIT/CREDIT])</f>
        <v>0</v>
      </c>
    </row>
    <row r="15" spans="1:9" hidden="1">
      <c r="A15" s="881" t="str">
        <f t="array" ref="A15">INDEX(AccountCodes[ACCOUNT NAME],MATCH(G15,AccountCodes[NGAS CODE],0))</f>
        <v>Other Service Income - CIS Amortization (Current Account)</v>
      </c>
      <c r="B15" s="882"/>
      <c r="C15" s="882"/>
      <c r="D15" s="882"/>
      <c r="E15" s="882"/>
      <c r="F15" s="882"/>
      <c r="G15" s="460" t="s">
        <v>128</v>
      </c>
      <c r="H15" s="459">
        <f>INDEX(AccountCodes[PPSAS CODE],MATCH(G15,AccountCodes[NGAS CODE],0))</f>
        <v>4020199099</v>
      </c>
      <c r="I15" s="883">
        <f>SUMIF(TB[ACCOUNT CODE (NGAS)],G15,TB[DEBIT/CREDIT])</f>
        <v>0</v>
      </c>
    </row>
    <row r="16" spans="1:9" hidden="1">
      <c r="A16" s="881" t="str">
        <f t="array" ref="A16">INDEX(AccountCodes[ACCOUNT NAME],MATCH(G16,AccountCodes[NGAS CODE],0))</f>
        <v>Other Service Income - CIS Amortization (Back Account)</v>
      </c>
      <c r="B16" s="882"/>
      <c r="C16" s="882"/>
      <c r="D16" s="882"/>
      <c r="E16" s="882"/>
      <c r="F16" s="882"/>
      <c r="G16" s="460" t="s">
        <v>129</v>
      </c>
      <c r="H16" s="459">
        <f>INDEX(AccountCodes[PPSAS CODE],MATCH(G16,AccountCodes[NGAS CODE],0))</f>
        <v>4020199099</v>
      </c>
      <c r="I16" s="883">
        <f>SUMIF(TB[ACCOUNT CODE (NGAS)],G16,TB[DEBIT/CREDIT])</f>
        <v>0</v>
      </c>
    </row>
    <row r="17" spans="1:9" hidden="1">
      <c r="A17" s="881" t="str">
        <f t="array" ref="A17">INDEX(AccountCodes[ACCOUNT NAME],MATCH(G17,AccountCodes[NGAS CODE],0))</f>
        <v>Other Service Income - Pump Amortization (Current Account)</v>
      </c>
      <c r="B17" s="882"/>
      <c r="C17" s="882"/>
      <c r="D17" s="882"/>
      <c r="E17" s="882"/>
      <c r="F17" s="882"/>
      <c r="G17" s="460" t="s">
        <v>131</v>
      </c>
      <c r="H17" s="459">
        <f>INDEX(AccountCodes[PPSAS CODE],MATCH(G17,AccountCodes[NGAS CODE],0))</f>
        <v>4020199099</v>
      </c>
      <c r="I17" s="883">
        <f>SUMIF(TB[ACCOUNT CODE (NGAS)],G17,TB[DEBIT/CREDIT])</f>
        <v>0</v>
      </c>
    </row>
    <row r="18" spans="1:9" hidden="1">
      <c r="A18" s="881" t="str">
        <f t="array" ref="A18">INDEX(AccountCodes[ACCOUNT NAME],MATCH(G18,AccountCodes[NGAS CODE],0))</f>
        <v>Other Service Income - Pump Equity (Current Account)</v>
      </c>
      <c r="B18" s="882"/>
      <c r="C18" s="882"/>
      <c r="D18" s="882"/>
      <c r="E18" s="882"/>
      <c r="F18" s="882"/>
      <c r="G18" s="460" t="s">
        <v>141</v>
      </c>
      <c r="H18" s="459">
        <f>INDEX(AccountCodes[PPSAS CODE],MATCH(G18,AccountCodes[NGAS CODE],0))</f>
        <v>4020199099</v>
      </c>
      <c r="I18" s="883">
        <f>SUMIF(TB[ACCOUNT CODE (NGAS)],G18,TB[DEBIT/CREDIT])</f>
        <v>0</v>
      </c>
    </row>
    <row r="19" spans="1:9" hidden="1">
      <c r="A19" s="881" t="str">
        <f t="array" ref="A19">INDEX(AccountCodes[ACCOUNT NAME],MATCH(G19,AccountCodes[NGAS CODE],0))</f>
        <v>Other Service Income - Pump Equity (Back Account)</v>
      </c>
      <c r="B19" s="882"/>
      <c r="C19" s="882"/>
      <c r="D19" s="882"/>
      <c r="E19" s="882"/>
      <c r="F19" s="882"/>
      <c r="G19" s="460" t="s">
        <v>142</v>
      </c>
      <c r="H19" s="459">
        <f>INDEX(AccountCodes[PPSAS CODE],MATCH(G19,AccountCodes[NGAS CODE],0))</f>
        <v>4020199099</v>
      </c>
      <c r="I19" s="883">
        <f>SUMIF(TB[ACCOUNT CODE (NGAS)],G19,TB[DEBIT/CREDIT])</f>
        <v>0</v>
      </c>
    </row>
    <row r="20" spans="1:9" hidden="1">
      <c r="A20" s="881" t="str">
        <f t="array" ref="A20">INDEX(AccountCodes[ACCOUNT NAME],MATCH(G20,AccountCodes[NGAS CODE],0))</f>
        <v>Fines and Penalties-Irrigation Service Fee</v>
      </c>
      <c r="B20" s="882"/>
      <c r="C20" s="882"/>
      <c r="D20" s="882"/>
      <c r="E20" s="882"/>
      <c r="F20" s="882"/>
      <c r="G20" s="460" t="s">
        <v>143</v>
      </c>
      <c r="H20" s="459">
        <f>INDEX(AccountCodes[PPSAS CODE],MATCH(G20,AccountCodes[NGAS CODE],0))</f>
        <v>4020223000</v>
      </c>
      <c r="I20" s="883">
        <f>SUMIF(TB[ACCOUNT CODE (NGAS)],G20,TB[DEBIT/CREDIT])</f>
        <v>0</v>
      </c>
    </row>
    <row r="21" spans="1:9" hidden="1">
      <c r="A21" s="881" t="str">
        <f t="array" ref="A21">INDEX(AccountCodes[ACCOUNT NAME],MATCH(G21,AccountCodes[NGAS CODE],0))</f>
        <v>Equipment Rental</v>
      </c>
      <c r="B21" s="882"/>
      <c r="C21" s="882"/>
      <c r="D21" s="882"/>
      <c r="E21" s="882"/>
      <c r="F21" s="882"/>
      <c r="G21" s="460" t="s">
        <v>1540</v>
      </c>
      <c r="H21" s="459">
        <f>INDEX(AccountCodes[PPSAS CODE],MATCH(G21,AccountCodes[NGAS CODE],0))</f>
        <v>4020205000</v>
      </c>
      <c r="I21" s="883">
        <f>SUMIF(TB[ACCOUNT CODE (NGAS)],G21,TB[DEBIT/CREDIT])</f>
        <v>0</v>
      </c>
    </row>
    <row r="22" spans="1:9" hidden="1">
      <c r="A22" s="881" t="str">
        <f t="array" ref="A22">INDEX(AccountCodes[ACCOUNT NAME],MATCH(G22,AccountCodes[NGAS CODE],0))</f>
        <v>Equipment Rental - Internal (CA)</v>
      </c>
      <c r="B22" s="882"/>
      <c r="C22" s="882"/>
      <c r="D22" s="882"/>
      <c r="E22" s="882"/>
      <c r="F22" s="882"/>
      <c r="G22" s="460" t="s">
        <v>146</v>
      </c>
      <c r="H22" s="459">
        <f>INDEX(AccountCodes[PPSAS CODE],MATCH(G22,AccountCodes[NGAS CODE],0))</f>
        <v>4020205001</v>
      </c>
      <c r="I22" s="883">
        <f>SUMIF(TB[ACCOUNT CODE (NGAS)],G22,TB[DEBIT/CREDIT])</f>
        <v>0</v>
      </c>
    </row>
    <row r="23" spans="1:9" hidden="1">
      <c r="A23" s="881" t="str">
        <f t="array" ref="A23">INDEX(AccountCodes[ACCOUNT NAME],MATCH(G23,AccountCodes[NGAS CODE],0))</f>
        <v>Equipment Rental - External (CA)</v>
      </c>
      <c r="B23" s="882"/>
      <c r="C23" s="882"/>
      <c r="D23" s="882"/>
      <c r="E23" s="882"/>
      <c r="F23" s="882"/>
      <c r="G23" s="460" t="s">
        <v>147</v>
      </c>
      <c r="H23" s="459">
        <f>INDEX(AccountCodes[PPSAS CODE],MATCH(G23,AccountCodes[NGAS CODE],0))</f>
        <v>4020205002</v>
      </c>
      <c r="I23" s="883">
        <f>SUMIF(TB[ACCOUNT CODE (NGAS)],G23,TB[DEBIT/CREDIT])</f>
        <v>0</v>
      </c>
    </row>
    <row r="24" spans="1:9" hidden="1">
      <c r="A24" s="881" t="str">
        <f t="array" ref="A24">INDEX(AccountCodes[ACCOUNT NAME],MATCH(G24,AccountCodes[NGAS CODE],0))</f>
        <v>Income from Hostels/Dormitories and Other Like Facilities</v>
      </c>
      <c r="B24" s="882"/>
      <c r="C24" s="882"/>
      <c r="D24" s="882"/>
      <c r="E24" s="882"/>
      <c r="F24" s="882"/>
      <c r="G24" s="460" t="s">
        <v>150</v>
      </c>
      <c r="H24" s="459">
        <f>INDEX(AccountCodes[PPSAS CODE],MATCH(G24,AccountCodes[NGAS CODE],0))</f>
        <v>4020213000</v>
      </c>
      <c r="I24" s="883">
        <f>SUMIF(TB[ACCOUNT CODE (NGAS)],G24,TB[DEBIT/CREDIT])</f>
        <v>0</v>
      </c>
    </row>
    <row r="25" spans="1:9" hidden="1">
      <c r="A25" s="881" t="str">
        <f t="array" ref="A25">INDEX(AccountCodes[ACCOUNT NAME],MATCH(G25,AccountCodes[NGAS CODE],0))</f>
        <v>Interest Income</v>
      </c>
      <c r="B25" s="882"/>
      <c r="C25" s="882"/>
      <c r="D25" s="882"/>
      <c r="E25" s="882"/>
      <c r="F25" s="882"/>
      <c r="G25" s="460" t="s">
        <v>154</v>
      </c>
      <c r="H25" s="459">
        <f>INDEX(AccountCodes[PPSAS CODE],MATCH(G25,AccountCodes[NGAS CODE],0))</f>
        <v>4020221000</v>
      </c>
      <c r="I25" s="883">
        <f>SUMIF(TB[ACCOUNT CODE (NGAS)],G25,TB[DEBIT/CREDIT])</f>
        <v>0</v>
      </c>
    </row>
    <row r="26" spans="1:9" hidden="1">
      <c r="A26" s="881" t="str">
        <f t="array" ref="A26">INDEX(AccountCodes[ACCOUNT NAME],MATCH(G26,AccountCodes[NGAS CODE],0))</f>
        <v>Miscellaneous Income (Bid Documents)</v>
      </c>
      <c r="B26" s="882"/>
      <c r="C26" s="882"/>
      <c r="D26" s="882"/>
      <c r="E26" s="882"/>
      <c r="F26" s="882"/>
      <c r="G26" s="460" t="s">
        <v>155</v>
      </c>
      <c r="H26" s="459">
        <f>INDEX(AccountCodes[PPSAS CODE],MATCH(G26,AccountCodes[NGAS CODE],0))</f>
        <v>4060999000</v>
      </c>
      <c r="I26" s="883">
        <f>SUMIF(TB[ACCOUNT CODE (NGAS)],G26,TB[DEBIT/CREDIT])</f>
        <v>0</v>
      </c>
    </row>
    <row r="27" spans="1:9" hidden="1">
      <c r="A27" s="881" t="str">
        <f t="array" ref="A27">INDEX(AccountCodes[ACCOUNT NAME],MATCH(G27,AccountCodes[NGAS CODE],0))</f>
        <v>Sale of Unserviceable Property</v>
      </c>
      <c r="B27" s="882"/>
      <c r="C27" s="882"/>
      <c r="D27" s="882"/>
      <c r="E27" s="882"/>
      <c r="F27" s="882"/>
      <c r="G27" s="460" t="s">
        <v>156</v>
      </c>
      <c r="H27" s="459">
        <f>INDEX(AccountCodes[PPSAS CODE],MATCH(G27,AccountCodes[NGAS CODE],0))</f>
        <v>4060102000</v>
      </c>
      <c r="I27" s="883">
        <f>SUMIF(TB[ACCOUNT CODE (NGAS)],G27,TB[DEBIT/CREDIT])</f>
        <v>0</v>
      </c>
    </row>
    <row r="28" spans="1:9" hidden="1">
      <c r="A28" s="881" t="str">
        <f t="array" ref="A28">INDEX(AccountCodes[ACCOUNT NAME],MATCH(G28,AccountCodes[NGAS CODE],0))</f>
        <v>Miscellaneous Income (Scrap of Fixed Assets)</v>
      </c>
      <c r="B28" s="882"/>
      <c r="C28" s="882"/>
      <c r="D28" s="882"/>
      <c r="E28" s="882"/>
      <c r="F28" s="882"/>
      <c r="G28" s="460" t="s">
        <v>159</v>
      </c>
      <c r="H28" s="459">
        <f>INDEX(AccountCodes[PPSAS CODE],MATCH(G28,AccountCodes[NGAS CODE],0))</f>
        <v>4060999000</v>
      </c>
      <c r="I28" s="883">
        <f>SUMIF(TB[ACCOUNT CODE (NGAS)],G28,TB[DEBIT/CREDIT])</f>
        <v>0</v>
      </c>
    </row>
    <row r="29" spans="1:9" hidden="1">
      <c r="A29" s="881" t="str">
        <f t="array" ref="A29">INDEX(AccountCodes[ACCOUNT NAME],MATCH(G29,AccountCodes[NGAS CODE],0))</f>
        <v>Miscellaneous Income (Others)</v>
      </c>
      <c r="B29" s="882"/>
      <c r="C29" s="882"/>
      <c r="D29" s="882"/>
      <c r="E29" s="882"/>
      <c r="F29" s="882"/>
      <c r="G29" s="460" t="s">
        <v>160</v>
      </c>
      <c r="H29" s="459">
        <f>INDEX(AccountCodes[PPSAS CODE],MATCH(G29,AccountCodes[NGAS CODE],0))</f>
        <v>4060999000</v>
      </c>
      <c r="I29" s="883">
        <f>SUMIF(TB[ACCOUNT CODE (NGAS)],G29,TB[DEBIT/CREDIT])</f>
        <v>0</v>
      </c>
    </row>
    <row r="30" spans="1:9">
      <c r="A30" s="881" t="str">
        <f t="array" ref="A30">INDEX(AccountCodes[ACCOUNT NAME],MATCH(G30,AccountCodes[NGAS CODE],0))</f>
        <v>Miscellaneous Income (Power)</v>
      </c>
      <c r="B30" s="882"/>
      <c r="C30" s="882"/>
      <c r="D30" s="882"/>
      <c r="E30" s="882"/>
      <c r="F30" s="882"/>
      <c r="G30" s="460" t="s">
        <v>352</v>
      </c>
      <c r="H30" s="459">
        <f>INDEX(AccountCodes[PPSAS CODE],MATCH(G30,AccountCodes[NGAS CODE],0))</f>
        <v>4060999000</v>
      </c>
      <c r="I30" s="883">
        <f>SUMIF(TB[ACCOUNT CODE (NGAS)],G30,TB[DEBIT/CREDIT])</f>
        <v>0</v>
      </c>
    </row>
    <row r="31" spans="1:9">
      <c r="A31" s="29" t="s">
        <v>428</v>
      </c>
      <c r="I31" s="884">
        <f>SUM(I12:I30)</f>
        <v>0</v>
      </c>
    </row>
    <row r="32" spans="1:9">
      <c r="A32" s="29"/>
    </row>
    <row r="33" spans="1:10">
      <c r="A33" s="29" t="s">
        <v>426</v>
      </c>
    </row>
    <row r="34" spans="1:10">
      <c r="A34" s="29" t="s">
        <v>429</v>
      </c>
    </row>
    <row r="35" spans="1:10">
      <c r="A35" s="885" t="s">
        <v>1575</v>
      </c>
      <c r="J35" s="108">
        <f>I36+I37</f>
        <v>648564.1</v>
      </c>
    </row>
    <row r="36" spans="1:10">
      <c r="A36" s="881" t="str">
        <f t="array" ref="A36">INDEX(AccountCodes[ACCOUNT NAME],MATCH(G36,AccountCodes[NGAS CODE],0))</f>
        <v>Salaries and Wages-Regular</v>
      </c>
      <c r="G36" s="129" t="s">
        <v>162</v>
      </c>
      <c r="H36" s="459">
        <f>INDEX(AccountCodes[PPSAS CODE],MATCH(G36,AccountCodes[NGAS CODE],0))</f>
        <v>5010101000</v>
      </c>
      <c r="I36" s="883">
        <f>SUMIF(TB[ACCOUNT CODE (NGAS)],G36,TB[DEBIT/CREDIT])</f>
        <v>648564.1</v>
      </c>
    </row>
    <row r="37" spans="1:10">
      <c r="A37" s="881" t="str">
        <f t="array" ref="A37">INDEX(AccountCodes[ACCOUNT NAME],MATCH(G37,AccountCodes[NGAS CODE],0))</f>
        <v>Salaries and Wages-Casual/Contractual</v>
      </c>
      <c r="G37" s="129" t="s">
        <v>163</v>
      </c>
      <c r="H37" s="459">
        <f>INDEX(AccountCodes[PPSAS CODE],MATCH(G37,AccountCodes[NGAS CODE],0))</f>
        <v>5010102000</v>
      </c>
      <c r="I37" s="883">
        <f>SUMIF(TB[ACCOUNT CODE (NGAS)],G37,TB[DEBIT/CREDIT])</f>
        <v>0</v>
      </c>
    </row>
    <row r="38" spans="1:10">
      <c r="A38" s="885" t="s">
        <v>1577</v>
      </c>
      <c r="G38" s="129"/>
      <c r="H38" s="459"/>
      <c r="I38" s="883"/>
      <c r="J38" s="108">
        <f>I39+I42+I44+I50+I52+I53+I55+I56</f>
        <v>64909.11</v>
      </c>
    </row>
    <row r="39" spans="1:10">
      <c r="A39" s="881" t="str">
        <f t="array" ref="A39">INDEX(AccountCodes[ACCOUNT NAME],MATCH(G39,AccountCodes[NGAS CODE],0))</f>
        <v>Personal Economic Relief Allowance (PERA)</v>
      </c>
      <c r="G39" s="129" t="s">
        <v>164</v>
      </c>
      <c r="H39" s="459">
        <f>INDEX(AccountCodes[PPSAS CODE],MATCH(G39,AccountCodes[NGAS CODE],0))</f>
        <v>5010201000</v>
      </c>
      <c r="I39" s="883">
        <f>SUMIF(TB[ACCOUNT CODE (NGAS)],G39,TB[DEBIT/CREDIT])</f>
        <v>42909.11</v>
      </c>
    </row>
    <row r="40" spans="1:10" hidden="1">
      <c r="A40" s="881" t="str">
        <f t="array" ref="A40">INDEX(AccountCodes[ACCOUNT NAME],MATCH(G40,AccountCodes[NGAS CODE],0))</f>
        <v>Representation Allowance (RA)</v>
      </c>
      <c r="G40" s="129" t="s">
        <v>165</v>
      </c>
      <c r="H40" s="459">
        <f>INDEX(AccountCodes[PPSAS CODE],MATCH(G40,AccountCodes[NGAS CODE],0))</f>
        <v>5010202000</v>
      </c>
      <c r="I40" s="883">
        <f>SUMIF(TB[ACCOUNT CODE (NGAS)],G40,TB[DEBIT/CREDIT])</f>
        <v>0</v>
      </c>
    </row>
    <row r="41" spans="1:10" hidden="1">
      <c r="A41" s="881" t="str">
        <f t="array" ref="A41">INDEX(AccountCodes[ACCOUNT NAME],MATCH(G41,AccountCodes[NGAS CODE],0))</f>
        <v>Transportation Allowance (TA)</v>
      </c>
      <c r="G41" s="129" t="s">
        <v>166</v>
      </c>
      <c r="H41" s="459">
        <f>INDEX(AccountCodes[PPSAS CODE],MATCH(G41,AccountCodes[NGAS CODE],0))</f>
        <v>5010203000</v>
      </c>
      <c r="I41" s="883">
        <f>SUMIF(TB[ACCOUNT CODE (NGAS)],G41,TB[DEBIT/CREDIT])</f>
        <v>0</v>
      </c>
    </row>
    <row r="42" spans="1:10">
      <c r="A42" s="881" t="str">
        <f t="array" ref="A42">INDEX(AccountCodes[ACCOUNT NAME],MATCH(G42,AccountCodes[NGAS CODE],0))</f>
        <v>Clothing/Uniform Allowance</v>
      </c>
      <c r="G42" s="129" t="s">
        <v>167</v>
      </c>
      <c r="H42" s="459">
        <f>INDEX(AccountCodes[PPSAS CODE],MATCH(G42,AccountCodes[NGAS CODE],0))</f>
        <v>5010204000</v>
      </c>
      <c r="I42" s="883">
        <f>SUMIF(TB[ACCOUNT CODE (NGAS)],G42,TB[DEBIT/CREDIT])</f>
        <v>12000</v>
      </c>
    </row>
    <row r="43" spans="1:10" hidden="1">
      <c r="A43" s="881" t="str">
        <f t="array" ref="A43">INDEX(AccountCodes[ACCOUNT NAME],MATCH(G43,AccountCodes[NGAS CODE],0))</f>
        <v>Subsistence Allowance</v>
      </c>
      <c r="G43" s="129" t="s">
        <v>1262</v>
      </c>
      <c r="H43" s="459">
        <f>INDEX(AccountCodes[PPSAS CODE],MATCH(G43,AccountCodes[NGAS CODE],0))</f>
        <v>5010205000</v>
      </c>
      <c r="I43" s="883">
        <f>SUMIF(TB[ACCOUNT CODE (NGAS)],G43,TB[DEBIT/CREDIT])</f>
        <v>0</v>
      </c>
    </row>
    <row r="44" spans="1:10">
      <c r="A44" s="881" t="str">
        <f t="array" ref="A44">INDEX(AccountCodes[ACCOUNT NAME],MATCH(G44,AccountCodes[NGAS CODE],0))</f>
        <v>Productivity Incentive Allowance</v>
      </c>
      <c r="G44" s="129" t="s">
        <v>171</v>
      </c>
      <c r="H44" s="459">
        <f>INDEX(AccountCodes[PPSAS CODE],MATCH(G44,AccountCodes[NGAS CODE],0))</f>
        <v>5010208000</v>
      </c>
      <c r="I44" s="883">
        <f>SUMIF(TB[ACCOUNT CODE (NGAS)],G44,TB[DEBIT/CREDIT])</f>
        <v>0</v>
      </c>
    </row>
    <row r="45" spans="1:10" hidden="1">
      <c r="A45" s="881" t="str">
        <f t="array" ref="A45">INDEX(AccountCodes[ACCOUNT NAME],MATCH(G45,AccountCodes[NGAS CODE],0))</f>
        <v>Other Bonuses and Allowances - Medical Allowance</v>
      </c>
      <c r="G45" s="129" t="s">
        <v>5</v>
      </c>
      <c r="H45" s="459">
        <f>INDEX(AccountCodes[PPSAS CODE],MATCH(G45,AccountCodes[NGAS CODE],0))</f>
        <v>5010299034</v>
      </c>
      <c r="I45" s="883">
        <f>SUMIF(TB[ACCOUNT CODE (NGAS)],G45,TB[DEBIT/CREDIT])</f>
        <v>0</v>
      </c>
    </row>
    <row r="46" spans="1:10" hidden="1">
      <c r="A46" s="881" t="str">
        <f t="array" ref="A46">INDEX(AccountCodes[ACCOUNT NAME],MATCH(G46,AccountCodes[NGAS CODE],0))</f>
        <v>Other Bonuses and Allowances - Meal Allowance</v>
      </c>
      <c r="G46" s="129" t="s">
        <v>6</v>
      </c>
      <c r="H46" s="459">
        <f>INDEX(AccountCodes[PPSAS CODE],MATCH(G46,AccountCodes[NGAS CODE],0))</f>
        <v>5010299035</v>
      </c>
      <c r="I46" s="883">
        <f>SUMIF(TB[ACCOUNT CODE (NGAS)],G46,TB[DEBIT/CREDIT])</f>
        <v>0</v>
      </c>
    </row>
    <row r="47" spans="1:10" hidden="1">
      <c r="A47" s="881" t="str">
        <f t="array" ref="A47">INDEX(AccountCodes[ACCOUNT NAME],MATCH(G47,AccountCodes[NGAS CODE],0))</f>
        <v>Other Bonuses and Allowances - Children Allowance</v>
      </c>
      <c r="G47" s="129" t="s">
        <v>7</v>
      </c>
      <c r="H47" s="459">
        <f>INDEX(AccountCodes[PPSAS CODE],MATCH(G47,AccountCodes[NGAS CODE],0))</f>
        <v>5010299036</v>
      </c>
      <c r="I47" s="883">
        <f>SUMIF(TB[ACCOUNT CODE (NGAS)],G47,TB[DEBIT/CREDIT])</f>
        <v>0</v>
      </c>
    </row>
    <row r="48" spans="1:10" hidden="1">
      <c r="A48" s="881" t="str">
        <f t="array" ref="A48">INDEX(AccountCodes[ACCOUNT NAME],MATCH(G48,AccountCodes[NGAS CODE],0))</f>
        <v>Other Bonuses and Allowances - Collective Negotiation Agreement Incentive-Civilian</v>
      </c>
      <c r="G48" s="129" t="s">
        <v>168</v>
      </c>
      <c r="H48" s="459">
        <f>INDEX(AccountCodes[PPSAS CODE],MATCH(G48,AccountCodes[NGAS CODE],0))</f>
        <v>5010299011</v>
      </c>
      <c r="I48" s="883">
        <f>SUMIF(TB[ACCOUNT CODE (NGAS)],G48,TB[DEBIT/CREDIT])</f>
        <v>0</v>
      </c>
    </row>
    <row r="49" spans="1:10" hidden="1">
      <c r="A49" s="881" t="str">
        <f t="array" ref="A49">INDEX(AccountCodes[ACCOUNT NAME],MATCH(G49,AccountCodes[NGAS CODE],0))</f>
        <v>Other Bonuses and Allowances - Anniversary Bonus</v>
      </c>
      <c r="G49" s="129" t="s">
        <v>169</v>
      </c>
      <c r="H49" s="459">
        <f>INDEX(AccountCodes[PPSAS CODE],MATCH(G49,AccountCodes[NGAS CODE],0))</f>
        <v>5010299037</v>
      </c>
      <c r="I49" s="883">
        <f>SUMIF(TB[ACCOUNT CODE (NGAS)],G49,TB[DEBIT/CREDIT])</f>
        <v>6000</v>
      </c>
    </row>
    <row r="50" spans="1:10">
      <c r="A50" s="881" t="str">
        <f t="array" ref="A50">INDEX(AccountCodes[ACCOUNT NAME],MATCH(G50,AccountCodes[NGAS CODE],0))</f>
        <v>Other Bonuses and Allowances - Productivity Enhancement Incentive-Civilian</v>
      </c>
      <c r="G50" s="129" t="s">
        <v>170</v>
      </c>
      <c r="H50" s="459">
        <f>INDEX(AccountCodes[PPSAS CODE],MATCH(G50,AccountCodes[NGAS CODE],0))</f>
        <v>5010299012</v>
      </c>
      <c r="I50" s="883">
        <f>SUMIF(TB[ACCOUNT CODE (NGAS)],G50,TB[DEBIT/CREDIT])</f>
        <v>0</v>
      </c>
    </row>
    <row r="51" spans="1:10" hidden="1">
      <c r="A51" s="881" t="str">
        <f t="array" ref="A51">INDEX(AccountCodes[ACCOUNT NAME],MATCH(G51,AccountCodes[NGAS CODE],0))</f>
        <v>Other Bonuses and Allowances - Performance Based Bonus-Civilian</v>
      </c>
      <c r="G51" s="129" t="s">
        <v>1510</v>
      </c>
      <c r="H51" s="459">
        <f>INDEX(AccountCodes[PPSAS CODE],MATCH(G51,AccountCodes[NGAS CODE],0))</f>
        <v>5010299014</v>
      </c>
      <c r="I51" s="883">
        <f>SUMIF(TB[ACCOUNT CODE (NGAS)],G51,TB[DEBIT/CREDIT])</f>
        <v>0</v>
      </c>
    </row>
    <row r="52" spans="1:10">
      <c r="A52" s="881" t="str">
        <f t="array" ref="A52">INDEX(AccountCodes[ACCOUNT NAME],MATCH(G52,AccountCodes[NGAS CODE],0))</f>
        <v>Hazard Pay</v>
      </c>
      <c r="G52" s="129" t="s">
        <v>215</v>
      </c>
      <c r="H52" s="459">
        <f>INDEX(AccountCodes[PPSAS CODE],MATCH(G52,AccountCodes[NGAS CODE],0))</f>
        <v>5010211000</v>
      </c>
      <c r="I52" s="883">
        <f>SUMIF(TB[ACCOUNT CODE (NGAS)],G52,TB[DEBIT/CREDIT])</f>
        <v>0</v>
      </c>
    </row>
    <row r="53" spans="1:10">
      <c r="A53" s="881" t="str">
        <f t="array" ref="A53">INDEX(AccountCodes[ACCOUNT NAME],MATCH(G53,AccountCodes[NGAS CODE],0))</f>
        <v>Longevity Pay</v>
      </c>
      <c r="G53" s="129" t="s">
        <v>216</v>
      </c>
      <c r="H53" s="459">
        <f>INDEX(AccountCodes[PPSAS CODE],MATCH(G53,AccountCodes[NGAS CODE],0))</f>
        <v>5010212000</v>
      </c>
      <c r="I53" s="883">
        <f>SUMIF(TB[ACCOUNT CODE (NGAS)],G53,TB[DEBIT/CREDIT])</f>
        <v>10000</v>
      </c>
    </row>
    <row r="54" spans="1:10" hidden="1">
      <c r="A54" s="881" t="str">
        <f t="array" ref="A54">INDEX(AccountCodes[ACCOUNT NAME],MATCH(G54,AccountCodes[NGAS CODE],0))</f>
        <v>Overtime and Night Pay</v>
      </c>
      <c r="G54" s="129" t="s">
        <v>214</v>
      </c>
      <c r="H54" s="459">
        <f>INDEX(AccountCodes[PPSAS CODE],MATCH(G54,AccountCodes[NGAS CODE],0))</f>
        <v>5010213000</v>
      </c>
      <c r="I54" s="883">
        <f>SUMIF(TB[ACCOUNT CODE (NGAS)],G54,TB[DEBIT/CREDIT])</f>
        <v>0</v>
      </c>
    </row>
    <row r="55" spans="1:10">
      <c r="A55" s="881" t="str">
        <f t="array" ref="A55">INDEX(AccountCodes[ACCOUNT NAME],MATCH(G55,AccountCodes[NGAS CODE],0))</f>
        <v>Cash Gift</v>
      </c>
      <c r="G55" s="129" t="s">
        <v>172</v>
      </c>
      <c r="H55" s="459">
        <f>INDEX(AccountCodes[PPSAS CODE],MATCH(G55,AccountCodes[NGAS CODE],0))</f>
        <v>5010215000</v>
      </c>
      <c r="I55" s="883">
        <f>SUMIF(TB[ACCOUNT CODE (NGAS)],G55,TB[DEBIT/CREDIT])</f>
        <v>0</v>
      </c>
    </row>
    <row r="56" spans="1:10">
      <c r="A56" s="881" t="str">
        <f t="array" ref="A56">INDEX(AccountCodes[ACCOUNT NAME],MATCH(G56,AccountCodes[NGAS CODE],0))</f>
        <v>Mid-Year/Year End Bonus</v>
      </c>
      <c r="G56" s="129" t="s">
        <v>174</v>
      </c>
      <c r="H56" s="459">
        <f>INDEX(AccountCodes[PPSAS CODE],MATCH(G56,AccountCodes[NGAS CODE],0))</f>
        <v>5010214000</v>
      </c>
      <c r="I56" s="883">
        <f>SUMIF(TB[ACCOUNT CODE (NGAS)],G56,TB[DEBIT/CREDIT])</f>
        <v>0</v>
      </c>
    </row>
    <row r="57" spans="1:10">
      <c r="A57" s="885" t="s">
        <v>1578</v>
      </c>
      <c r="G57" s="129"/>
      <c r="H57" s="459"/>
      <c r="I57" s="883"/>
      <c r="J57" s="108">
        <f>I58+I59+I60+I61</f>
        <v>88243.23</v>
      </c>
    </row>
    <row r="58" spans="1:10">
      <c r="A58" s="881" t="str">
        <f t="array" ref="A58">INDEX(AccountCodes[ACCOUNT NAME],MATCH(G58,AccountCodes[NGAS CODE],0))</f>
        <v>Retirement and Life Insurance Premiums</v>
      </c>
      <c r="G58" s="129" t="s">
        <v>175</v>
      </c>
      <c r="H58" s="459">
        <f>INDEX(AccountCodes[PPSAS CODE],MATCH(G58,AccountCodes[NGAS CODE],0))</f>
        <v>5010301000</v>
      </c>
      <c r="I58" s="883">
        <f>SUMIF(TB[ACCOUNT CODE (NGAS)],G58,TB[DEBIT/CREDIT])</f>
        <v>71655.31</v>
      </c>
    </row>
    <row r="59" spans="1:10">
      <c r="A59" s="881" t="str">
        <f t="array" ref="A59">INDEX(AccountCodes[ACCOUNT NAME],MATCH(G59,AccountCodes[NGAS CODE],0))</f>
        <v>Pag-IBIG Contributions</v>
      </c>
      <c r="G59" s="129" t="s">
        <v>176</v>
      </c>
      <c r="H59" s="459">
        <f>INDEX(AccountCodes[PPSAS CODE],MATCH(G59,AccountCodes[NGAS CODE],0))</f>
        <v>5010302000</v>
      </c>
      <c r="I59" s="883">
        <f>SUMIF(TB[ACCOUNT CODE (NGAS)],G59,TB[DEBIT/CREDIT])</f>
        <v>2200</v>
      </c>
    </row>
    <row r="60" spans="1:10">
      <c r="A60" s="881" t="str">
        <f t="array" ref="A60">INDEX(AccountCodes[ACCOUNT NAME],MATCH(G60,AccountCodes[NGAS CODE],0))</f>
        <v>PhilHealth Contributions</v>
      </c>
      <c r="G60" s="129" t="s">
        <v>177</v>
      </c>
      <c r="H60" s="459">
        <f>INDEX(AccountCodes[PPSAS CODE],MATCH(G60,AccountCodes[NGAS CODE],0))</f>
        <v>5010303000</v>
      </c>
      <c r="I60" s="883">
        <f>SUMIF(TB[ACCOUNT CODE (NGAS)],G60,TB[DEBIT/CREDIT])</f>
        <v>12187.92</v>
      </c>
    </row>
    <row r="61" spans="1:10">
      <c r="A61" s="881" t="str">
        <f t="array" ref="A61">INDEX(AccountCodes[ACCOUNT NAME],MATCH(G61,AccountCodes[NGAS CODE],0))</f>
        <v>Employees Compensation Insurance Premiums</v>
      </c>
      <c r="G61" s="129" t="s">
        <v>178</v>
      </c>
      <c r="H61" s="459">
        <f>INDEX(AccountCodes[PPSAS CODE],MATCH(G61,AccountCodes[NGAS CODE],0))</f>
        <v>5010304000</v>
      </c>
      <c r="I61" s="883">
        <f>SUMIF(TB[ACCOUNT CODE (NGAS)],G61,TB[DEBIT/CREDIT])</f>
        <v>2200</v>
      </c>
    </row>
    <row r="62" spans="1:10">
      <c r="A62" s="885" t="s">
        <v>1579</v>
      </c>
      <c r="G62" s="129"/>
      <c r="H62" s="459"/>
      <c r="I62" s="883"/>
      <c r="J62" s="108">
        <f>I64+I65</f>
        <v>0</v>
      </c>
    </row>
    <row r="63" spans="1:10" hidden="1">
      <c r="A63" s="881" t="str">
        <f t="array" ref="A63">INDEX(AccountCodes[ACCOUNT NAME],MATCH(G63,AccountCodes[NGAS CODE],0))</f>
        <v>Retirement Gratuity</v>
      </c>
      <c r="G63" s="129" t="s">
        <v>179</v>
      </c>
      <c r="H63" s="459">
        <f>INDEX(AccountCodes[PPSAS CODE],MATCH(G63,AccountCodes[NGAS CODE],0))</f>
        <v>5010402000</v>
      </c>
      <c r="I63" s="883">
        <f>SUMIF(TB[ACCOUNT CODE (NGAS)],G63,TB[DEBIT/CREDIT])</f>
        <v>0</v>
      </c>
    </row>
    <row r="64" spans="1:10">
      <c r="A64" s="881" t="str">
        <f t="array" ref="A64">INDEX(AccountCodes[ACCOUNT NAME],MATCH(G64,AccountCodes[NGAS CODE],0))</f>
        <v>Terminal Leave Benefits</v>
      </c>
      <c r="G64" s="129" t="s">
        <v>212</v>
      </c>
      <c r="H64" s="459">
        <f>INDEX(AccountCodes[PPSAS CODE],MATCH(G64,AccountCodes[NGAS CODE],0))</f>
        <v>5010403000</v>
      </c>
      <c r="I64" s="883">
        <f>SUMIF(TB[ACCOUNT CODE (NGAS)],G64,TB[DEBIT/CREDIT])</f>
        <v>0</v>
      </c>
    </row>
    <row r="65" spans="1:10">
      <c r="A65" s="881" t="str">
        <f t="array" ref="A65">INDEX(AccountCodes[ACCOUNT NAME],MATCH(G65,AccountCodes[NGAS CODE],0))</f>
        <v>Other Personnel Benefits</v>
      </c>
      <c r="G65" s="129" t="s">
        <v>213</v>
      </c>
      <c r="H65" s="459">
        <f>INDEX(AccountCodes[PPSAS CODE],MATCH(G65,AccountCodes[NGAS CODE],0))</f>
        <v>5010499099</v>
      </c>
      <c r="I65" s="883">
        <f>SUMIF(TB[ACCOUNT CODE (NGAS)],G65,TB[DEBIT/CREDIT])</f>
        <v>0</v>
      </c>
    </row>
    <row r="66" spans="1:10">
      <c r="A66" s="29" t="s">
        <v>430</v>
      </c>
      <c r="G66" s="129"/>
      <c r="H66" s="129"/>
      <c r="I66" s="886">
        <f>SUM(I36:I65)</f>
        <v>807716.44</v>
      </c>
      <c r="J66" s="108">
        <f>SUM(J35:J65)</f>
        <v>801716.44</v>
      </c>
    </row>
    <row r="67" spans="1:10">
      <c r="G67" s="129"/>
      <c r="H67" s="129"/>
      <c r="I67" s="887"/>
    </row>
    <row r="68" spans="1:10">
      <c r="A68" s="29" t="s">
        <v>431</v>
      </c>
      <c r="G68" s="129"/>
      <c r="H68" s="129"/>
      <c r="I68" s="887"/>
    </row>
    <row r="69" spans="1:10">
      <c r="A69" s="885" t="s">
        <v>1580</v>
      </c>
      <c r="G69" s="129"/>
      <c r="H69" s="129"/>
      <c r="I69" s="887"/>
      <c r="J69" s="108">
        <f>I70</f>
        <v>94710.09</v>
      </c>
    </row>
    <row r="70" spans="1:10">
      <c r="A70" s="881" t="str">
        <f t="array" ref="A70">INDEX(AccountCodes[ACCOUNT NAME],MATCH(G70,AccountCodes[NGAS CODE],0))</f>
        <v>Traveling Expenses-Local</v>
      </c>
      <c r="G70" s="129" t="s">
        <v>223</v>
      </c>
      <c r="H70" s="459">
        <f>INDEX(AccountCodes[PPSAS CODE],MATCH(G70,AccountCodes[NGAS CODE],0))</f>
        <v>5020101000</v>
      </c>
      <c r="I70" s="883">
        <f>SUMIF(TB[ACCOUNT CODE (NGAS)],G70,TB[DEBIT/CREDIT])</f>
        <v>94710.09</v>
      </c>
    </row>
    <row r="71" spans="1:10" hidden="1">
      <c r="A71" s="881" t="str">
        <f t="array" ref="A71">INDEX(AccountCodes[ACCOUNT NAME],MATCH(G71,AccountCodes[NGAS CODE],0))</f>
        <v>Traveling Expenses-Foreign</v>
      </c>
      <c r="G71" s="129" t="s">
        <v>1233</v>
      </c>
      <c r="H71" s="459">
        <f>INDEX(AccountCodes[PPSAS CODE],MATCH(G71,AccountCodes[NGAS CODE],0))</f>
        <v>5020102000</v>
      </c>
      <c r="I71" s="883">
        <f>SUMIF(TB[ACCOUNT CODE (NGAS)],G71,TB[DEBIT/CREDIT])</f>
        <v>0</v>
      </c>
    </row>
    <row r="72" spans="1:10">
      <c r="A72" s="885" t="s">
        <v>285</v>
      </c>
      <c r="G72" s="129"/>
      <c r="H72" s="459"/>
      <c r="I72" s="883"/>
      <c r="J72" s="108">
        <f>I73</f>
        <v>1035215</v>
      </c>
    </row>
    <row r="73" spans="1:10">
      <c r="A73" s="881" t="str">
        <f t="array" ref="A73">INDEX(AccountCodes[ACCOUNT NAME],MATCH(G73,AccountCodes[NGAS CODE],0))</f>
        <v>Training Expenses</v>
      </c>
      <c r="G73" s="129" t="s">
        <v>224</v>
      </c>
      <c r="H73" s="459">
        <f>INDEX(AccountCodes[PPSAS CODE],MATCH(G73,AccountCodes[NGAS CODE],0))</f>
        <v>5020201000</v>
      </c>
      <c r="I73" s="883">
        <f>SUMIF(TB[ACCOUNT CODE (NGAS)],G73,TB[DEBIT/CREDIT])</f>
        <v>1035215</v>
      </c>
    </row>
    <row r="74" spans="1:10">
      <c r="A74" s="885" t="s">
        <v>1617</v>
      </c>
      <c r="G74" s="129"/>
      <c r="H74" s="459"/>
      <c r="I74" s="883"/>
      <c r="J74" s="108">
        <f>I75+I79+I81+I82+I83</f>
        <v>723922.82</v>
      </c>
    </row>
    <row r="75" spans="1:10">
      <c r="A75" s="881" t="str">
        <f t="array" ref="A75">INDEX(AccountCodes[ACCOUNT NAME],MATCH(G75,AccountCodes[NGAS CODE],0))</f>
        <v>Office Supplies Expenses</v>
      </c>
      <c r="G75" s="129" t="s">
        <v>225</v>
      </c>
      <c r="H75" s="459">
        <f>INDEX(AccountCodes[PPSAS CODE],MATCH(G75,AccountCodes[NGAS CODE],0))</f>
        <v>5020301000</v>
      </c>
      <c r="I75" s="883">
        <f>SUMIF(TB[ACCOUNT CODE (NGAS)],G75,TB[DEBIT/CREDIT])</f>
        <v>426103.96</v>
      </c>
    </row>
    <row r="76" spans="1:10" hidden="1">
      <c r="A76" s="881" t="str">
        <f t="array" ref="A76">INDEX(AccountCodes[ACCOUNT NAME],MATCH(G76,AccountCodes[NGAS CODE],0))</f>
        <v>Accountable Forms Expenses</v>
      </c>
      <c r="G76" s="129" t="s">
        <v>226</v>
      </c>
      <c r="H76" s="459">
        <f>INDEX(AccountCodes[PPSAS CODE],MATCH(G76,AccountCodes[NGAS CODE],0))</f>
        <v>5020302000</v>
      </c>
      <c r="I76" s="883">
        <f>SUMIF(TB[ACCOUNT CODE (NGAS)],G76,TB[DEBIT/CREDIT])</f>
        <v>0</v>
      </c>
    </row>
    <row r="77" spans="1:10" hidden="1">
      <c r="A77" s="881" t="str">
        <f t="array" ref="A77">INDEX(AccountCodes[ACCOUNT NAME],MATCH(G77,AccountCodes[NGAS CODE],0))</f>
        <v>Drugs and Medicines Expenses</v>
      </c>
      <c r="G77" s="129" t="s">
        <v>227</v>
      </c>
      <c r="H77" s="459">
        <f>INDEX(AccountCodes[PPSAS CODE],MATCH(G77,AccountCodes[NGAS CODE],0))</f>
        <v>5020307000</v>
      </c>
      <c r="I77" s="883">
        <f>SUMIF(TB[ACCOUNT CODE (NGAS)],G77,TB[DEBIT/CREDIT])</f>
        <v>0</v>
      </c>
    </row>
    <row r="78" spans="1:10" hidden="1">
      <c r="A78" s="881" t="str">
        <f t="array" ref="A78">INDEX(AccountCodes[ACCOUNT NAME],MATCH(G78,AccountCodes[NGAS CODE],0))</f>
        <v>Medical, Dental and Laboratory Supplies Expenses</v>
      </c>
      <c r="G78" s="129" t="s">
        <v>228</v>
      </c>
      <c r="H78" s="459">
        <f>INDEX(AccountCodes[PPSAS CODE],MATCH(G78,AccountCodes[NGAS CODE],0))</f>
        <v>5020308000</v>
      </c>
      <c r="I78" s="883">
        <f>SUMIF(TB[ACCOUNT CODE (NGAS)],G78,TB[DEBIT/CREDIT])</f>
        <v>0</v>
      </c>
    </row>
    <row r="79" spans="1:10">
      <c r="A79" s="881" t="str">
        <f t="array" ref="A79">INDEX(AccountCodes[ACCOUNT NAME],MATCH(G79,AccountCodes[NGAS CODE],0))</f>
        <v>Fuel, Oil and Lubricants Expenses</v>
      </c>
      <c r="G79" s="129" t="s">
        <v>229</v>
      </c>
      <c r="H79" s="459">
        <f>INDEX(AccountCodes[PPSAS CODE],MATCH(G79,AccountCodes[NGAS CODE],0))</f>
        <v>5020309000</v>
      </c>
      <c r="I79" s="883">
        <f>SUMIF(TB[ACCOUNT CODE (NGAS)],G79,TB[DEBIT/CREDIT])</f>
        <v>84485.21</v>
      </c>
    </row>
    <row r="80" spans="1:10" hidden="1">
      <c r="A80" s="881" t="str">
        <f t="array" ref="A80">INDEX(AccountCodes[ACCOUNT NAME],MATCH(G80,AccountCodes[NGAS CODE],0))</f>
        <v>Textbooks and Instructional Materials Expenses</v>
      </c>
      <c r="G80" s="129" t="s">
        <v>230</v>
      </c>
      <c r="H80" s="459">
        <f>INDEX(AccountCodes[PPSAS CODE],MATCH(G80,AccountCodes[NGAS CODE],0))</f>
        <v>5020311000</v>
      </c>
      <c r="I80" s="883">
        <f>SUMIF(TB[ACCOUNT CODE (NGAS)],G80,TB[DEBIT/CREDIT])</f>
        <v>0</v>
      </c>
    </row>
    <row r="81" spans="1:10">
      <c r="A81" s="881" t="str">
        <f t="array" ref="A81">INDEX(AccountCodes[ACCOUNT NAME],MATCH(G81,AccountCodes[NGAS CODE],0))</f>
        <v>Other Supplies and Materials Expenses</v>
      </c>
      <c r="G81" s="129" t="s">
        <v>231</v>
      </c>
      <c r="H81" s="459">
        <f>INDEX(AccountCodes[PPSAS CODE],MATCH(G81,AccountCodes[NGAS CODE],0))</f>
        <v>5020399000</v>
      </c>
      <c r="I81" s="883">
        <f>SUMIF(TB[ACCOUNT CODE (NGAS)],G81,TB[DEBIT/CREDIT])</f>
        <v>23887.65</v>
      </c>
    </row>
    <row r="82" spans="1:10">
      <c r="A82" s="881" t="str">
        <f t="array" ref="A82">INDEX(AccountCodes[ACCOUNT NAME],MATCH(G82,AccountCodes[NGAS CODE],0))</f>
        <v>Semi-Expendable Machinery and Equipment Expenses</v>
      </c>
      <c r="G82" s="129" t="s">
        <v>1265</v>
      </c>
      <c r="H82" s="459">
        <f>INDEX(AccountCodes[PPSAS CODE],MATCH(G82,AccountCodes[NGAS CODE],0))</f>
        <v>5020321000</v>
      </c>
      <c r="I82" s="883">
        <f>SUMIF(TB[ACCOUNT CODE (NGAS)],G82,TB[DEBIT/CREDIT])</f>
        <v>122058</v>
      </c>
    </row>
    <row r="83" spans="1:10">
      <c r="A83" s="881" t="str">
        <f t="array" ref="A83">INDEX(AccountCodes[ACCOUNT NAME],MATCH(G83,AccountCodes[NGAS CODE],0))</f>
        <v>Semi-Expendable Furniture, Fixtures and Books Expenses</v>
      </c>
      <c r="G83" s="129" t="s">
        <v>1266</v>
      </c>
      <c r="H83" s="459">
        <f>INDEX(AccountCodes[PPSAS CODE],MATCH(G83,AccountCodes[NGAS CODE],0))</f>
        <v>5020322000</v>
      </c>
      <c r="I83" s="883">
        <f>SUMIF(TB[ACCOUNT CODE (NGAS)],G83,TB[DEBIT/CREDIT])</f>
        <v>67388</v>
      </c>
    </row>
    <row r="84" spans="1:10">
      <c r="A84" s="885" t="s">
        <v>1581</v>
      </c>
      <c r="G84" s="129"/>
      <c r="H84" s="459"/>
      <c r="I84" s="883"/>
      <c r="J84" s="108">
        <f>I85+I86+I87</f>
        <v>0</v>
      </c>
    </row>
    <row r="85" spans="1:10">
      <c r="A85" s="881" t="str">
        <f t="array" ref="A85">INDEX(AccountCodes[ACCOUNT NAME],MATCH(G85,AccountCodes[NGAS CODE],0))</f>
        <v>Water Expenses</v>
      </c>
      <c r="G85" s="129" t="s">
        <v>232</v>
      </c>
      <c r="H85" s="459">
        <f>INDEX(AccountCodes[PPSAS CODE],MATCH(G85,AccountCodes[NGAS CODE],0))</f>
        <v>5020401000</v>
      </c>
      <c r="I85" s="883">
        <f>SUMIF(TB[ACCOUNT CODE (NGAS)],G85,TB[DEBIT/CREDIT])</f>
        <v>0</v>
      </c>
    </row>
    <row r="86" spans="1:10">
      <c r="A86" s="881" t="str">
        <f t="array" ref="A86">INDEX(AccountCodes[ACCOUNT NAME],MATCH(G86,AccountCodes[NGAS CODE],0))</f>
        <v>Electricity Expenses</v>
      </c>
      <c r="G86" s="129" t="s">
        <v>233</v>
      </c>
      <c r="H86" s="459">
        <f>INDEX(AccountCodes[PPSAS CODE],MATCH(G86,AccountCodes[NGAS CODE],0))</f>
        <v>5020402000</v>
      </c>
      <c r="I86" s="883">
        <f>SUMIF(TB[ACCOUNT CODE (NGAS)],G86,TB[DEBIT/CREDIT])</f>
        <v>0</v>
      </c>
    </row>
    <row r="87" spans="1:10">
      <c r="A87" s="881" t="str">
        <f t="array" ref="A87">INDEX(AccountCodes[ACCOUNT NAME],MATCH(G87,AccountCodes[NGAS CODE],0))</f>
        <v>Other Utility Expenses</v>
      </c>
      <c r="G87" s="129" t="s">
        <v>1237</v>
      </c>
      <c r="H87" s="459">
        <f>INDEX(AccountCodes[PPSAS CODE],MATCH(G87,AccountCodes[NGAS CODE],0))</f>
        <v>5020499000</v>
      </c>
      <c r="I87" s="883">
        <f>SUMIF(TB[ACCOUNT CODE (NGAS)],G87,TB[DEBIT/CREDIT])</f>
        <v>0</v>
      </c>
    </row>
    <row r="88" spans="1:10">
      <c r="A88" s="885" t="s">
        <v>1582</v>
      </c>
      <c r="G88" s="129"/>
      <c r="H88" s="459"/>
      <c r="I88" s="883"/>
      <c r="J88" s="108">
        <f>I90+I93</f>
        <v>0</v>
      </c>
    </row>
    <row r="89" spans="1:10" hidden="1">
      <c r="A89" s="881" t="str">
        <f t="array" ref="A89">INDEX(AccountCodes[ACCOUNT NAME],MATCH(G89,AccountCodes[NGAS CODE],0))</f>
        <v>Postage and Courier Expenses</v>
      </c>
      <c r="G89" s="129" t="s">
        <v>234</v>
      </c>
      <c r="H89" s="459">
        <f>INDEX(AccountCodes[PPSAS CODE],MATCH(G89,AccountCodes[NGAS CODE],0))</f>
        <v>5020501000</v>
      </c>
      <c r="I89" s="883">
        <f>SUMIF(TB[ACCOUNT CODE (NGAS)],G89,TB[DEBIT/CREDIT])</f>
        <v>0</v>
      </c>
    </row>
    <row r="90" spans="1:10">
      <c r="A90" s="881" t="str">
        <f t="array" ref="A90">INDEX(AccountCodes[ACCOUNT NAME],MATCH(G90,AccountCodes[NGAS CODE],0))</f>
        <v>Telephone Expenses - Landline</v>
      </c>
      <c r="G90" s="129" t="s">
        <v>235</v>
      </c>
      <c r="H90" s="459">
        <f>INDEX(AccountCodes[PPSAS CODE],MATCH(G90,AccountCodes[NGAS CODE],0))</f>
        <v>5020502002</v>
      </c>
      <c r="I90" s="883">
        <f>SUMIF(TB[ACCOUNT CODE (NGAS)],G90,TB[DEBIT/CREDIT])</f>
        <v>0</v>
      </c>
    </row>
    <row r="91" spans="1:10" hidden="1">
      <c r="A91" s="881" t="str">
        <f t="array" ref="A91">INDEX(AccountCodes[ACCOUNT NAME],MATCH(G91,AccountCodes[NGAS CODE],0))</f>
        <v>Telephone Expenses - Mobile</v>
      </c>
      <c r="G91" s="129" t="s">
        <v>236</v>
      </c>
      <c r="H91" s="459">
        <f>INDEX(AccountCodes[PPSAS CODE],MATCH(G91,AccountCodes[NGAS CODE],0))</f>
        <v>5020502001</v>
      </c>
      <c r="I91" s="883">
        <f>SUMIF(TB[ACCOUNT CODE (NGAS)],G91,TB[DEBIT/CREDIT])</f>
        <v>0</v>
      </c>
    </row>
    <row r="92" spans="1:10" hidden="1">
      <c r="A92" s="881" t="str">
        <f t="array" ref="A92">INDEX(AccountCodes[ACCOUNT NAME],MATCH(G92,AccountCodes[NGAS CODE],0))</f>
        <v>Cable, Satellite, Telegraph and Radio Expenses</v>
      </c>
      <c r="G92" s="129" t="s">
        <v>238</v>
      </c>
      <c r="H92" s="459">
        <f>INDEX(AccountCodes[PPSAS CODE],MATCH(G92,AccountCodes[NGAS CODE],0))</f>
        <v>5020504000</v>
      </c>
      <c r="I92" s="883">
        <f>SUMIF(TB[ACCOUNT CODE (NGAS)],G92,TB[DEBIT/CREDIT])</f>
        <v>0</v>
      </c>
    </row>
    <row r="93" spans="1:10" hidden="1">
      <c r="A93" s="881" t="str">
        <f t="array" ref="A93">INDEX(AccountCodes[ACCOUNT NAME],MATCH(G93,AccountCodes[NGAS CODE],0))</f>
        <v>Internet Subscription Expenses</v>
      </c>
      <c r="G93" s="129" t="s">
        <v>237</v>
      </c>
      <c r="H93" s="459">
        <f>INDEX(AccountCodes[PPSAS CODE],MATCH(G93,AccountCodes[NGAS CODE],0))</f>
        <v>5020503000</v>
      </c>
      <c r="I93" s="883">
        <f>SUMIF(TB[ACCOUNT CODE (NGAS)],G93,TB[DEBIT/CREDIT])</f>
        <v>0</v>
      </c>
    </row>
    <row r="94" spans="1:10">
      <c r="A94" s="885" t="s">
        <v>1620</v>
      </c>
      <c r="G94" s="129"/>
      <c r="H94" s="459"/>
      <c r="I94" s="883"/>
      <c r="J94" s="108">
        <f>I95+I98</f>
        <v>0</v>
      </c>
    </row>
    <row r="95" spans="1:10">
      <c r="A95" s="881" t="str">
        <f t="array" ref="A95">INDEX(AccountCodes[ACCOUNT NAME],MATCH(G95,AccountCodes[NGAS CODE],0))</f>
        <v>Awards/Rewards Expenses</v>
      </c>
      <c r="G95" s="129" t="s">
        <v>1238</v>
      </c>
      <c r="H95" s="459">
        <f>INDEX(AccountCodes[PPSAS CODE],MATCH(G95,AccountCodes[NGAS CODE],0))</f>
        <v>5020601000</v>
      </c>
      <c r="I95" s="883">
        <f>SUMIF(TB[ACCOUNT CODE (NGAS)],G95,TB[DEBIT/CREDIT])</f>
        <v>0</v>
      </c>
    </row>
    <row r="96" spans="1:10" hidden="1">
      <c r="A96" s="881" t="str">
        <f t="array" ref="A96">INDEX(AccountCodes[ACCOUNT NAME],MATCH(G96,AccountCodes[NGAS CODE],0))</f>
        <v>Printing and Publication Expenses</v>
      </c>
      <c r="G96" s="129" t="s">
        <v>241</v>
      </c>
      <c r="H96" s="459">
        <f>INDEX(AccountCodes[PPSAS CODE],MATCH(G96,AccountCodes[NGAS CODE],0))</f>
        <v>5029902000</v>
      </c>
      <c r="I96" s="883">
        <f>SUMIF(TB[ACCOUNT CODE (NGAS)],G96,TB[DEBIT/CREDIT])</f>
        <v>0</v>
      </c>
    </row>
    <row r="97" spans="1:10" hidden="1">
      <c r="A97" s="881" t="str">
        <f t="array" ref="A97">INDEX(AccountCodes[ACCOUNT NAME],MATCH(G97,AccountCodes[NGAS CODE],0))</f>
        <v>Rent/Lease Expenses</v>
      </c>
      <c r="G97" s="129" t="s">
        <v>242</v>
      </c>
      <c r="H97" s="459">
        <f>INDEX(AccountCodes[PPSAS CODE],MATCH(G97,AccountCodes[NGAS CODE],0))</f>
        <v>5029905000</v>
      </c>
      <c r="I97" s="883">
        <f>SUMIF(TB[ACCOUNT CODE (NGAS)],G97,TB[DEBIT/CREDIT])</f>
        <v>0</v>
      </c>
    </row>
    <row r="98" spans="1:10">
      <c r="A98" s="881"/>
      <c r="G98" s="129"/>
      <c r="H98" s="459"/>
      <c r="I98" s="883"/>
    </row>
    <row r="99" spans="1:10" hidden="1">
      <c r="A99" s="881" t="str">
        <f t="array" ref="A99">INDEX(AccountCodes[ACCOUNT NAME],MATCH(G99,AccountCodes[NGAS CODE],0))</f>
        <v>Transportation and Delivery Expenses</v>
      </c>
      <c r="G99" s="129" t="s">
        <v>244</v>
      </c>
      <c r="H99" s="459">
        <f>INDEX(AccountCodes[PPSAS CODE],MATCH(G99,AccountCodes[NGAS CODE],0))</f>
        <v>5029904000</v>
      </c>
      <c r="I99" s="883">
        <f>SUMIF(TB[ACCOUNT CODE (NGAS)],G99,TB[DEBIT/CREDIT])</f>
        <v>0</v>
      </c>
    </row>
    <row r="100" spans="1:10">
      <c r="A100" s="885" t="s">
        <v>1583</v>
      </c>
      <c r="G100" s="129"/>
      <c r="H100" s="459"/>
      <c r="I100" s="883"/>
      <c r="J100" s="108">
        <f>I101+I102+I103</f>
        <v>0</v>
      </c>
    </row>
    <row r="101" spans="1:10" hidden="1">
      <c r="A101" s="881" t="str">
        <f t="array" ref="A101">INDEX(AccountCodes[ACCOUNT NAME],MATCH(G101,AccountCodes[NGAS CODE],0))</f>
        <v>Auditing Services</v>
      </c>
      <c r="G101" s="129" t="s">
        <v>222</v>
      </c>
      <c r="H101" s="459">
        <f>INDEX(AccountCodes[PPSAS CODE],MATCH(G101,AccountCodes[NGAS CODE],0))</f>
        <v>5021102000</v>
      </c>
      <c r="I101" s="883">
        <f>SUMIF(TB[ACCOUNT CODE (NGAS)],G101,TB[DEBIT/CREDIT])</f>
        <v>0</v>
      </c>
    </row>
    <row r="102" spans="1:10" hidden="1">
      <c r="A102" s="881" t="str">
        <f t="array" ref="A102">INDEX(AccountCodes[ACCOUNT NAME],MATCH(G102,AccountCodes[NGAS CODE],0))</f>
        <v>Janitorial Services</v>
      </c>
      <c r="G102" s="129" t="s">
        <v>249</v>
      </c>
      <c r="H102" s="459">
        <f>INDEX(AccountCodes[PPSAS CODE],MATCH(G102,AccountCodes[NGAS CODE],0))</f>
        <v>5021202000</v>
      </c>
      <c r="I102" s="883">
        <f>SUMIF(TB[ACCOUNT CODE (NGAS)],G102,TB[DEBIT/CREDIT])</f>
        <v>0</v>
      </c>
    </row>
    <row r="103" spans="1:10">
      <c r="A103" s="881" t="str">
        <f t="array" ref="A103">INDEX(AccountCodes[ACCOUNT NAME],MATCH(G103,AccountCodes[NGAS CODE],0))</f>
        <v>Other Professional Services</v>
      </c>
      <c r="G103" s="129" t="s">
        <v>250</v>
      </c>
      <c r="H103" s="459">
        <f>INDEX(AccountCodes[PPSAS CODE],MATCH(G103,AccountCodes[NGAS CODE],0))</f>
        <v>5021199000</v>
      </c>
      <c r="I103" s="883">
        <f>SUMIF(TB[ACCOUNT CODE (NGAS)],G103,TB[DEBIT/CREDIT])</f>
        <v>0</v>
      </c>
    </row>
    <row r="104" spans="1:10">
      <c r="A104" s="885" t="s">
        <v>1584</v>
      </c>
      <c r="G104" s="129"/>
      <c r="H104" s="459"/>
      <c r="I104" s="883"/>
      <c r="J104" s="108">
        <f>I111+I112+I113+I114</f>
        <v>0</v>
      </c>
    </row>
    <row r="105" spans="1:10" hidden="1">
      <c r="A105" s="881" t="str">
        <f t="array" ref="A105">INDEX(AccountCodes[ACCOUNT NAME],MATCH(G105,AccountCodes[NGAS CODE],0))</f>
        <v>Repairs and Maintenance-Buildings and Other Structures - Buildings</v>
      </c>
      <c r="G105" s="129" t="s">
        <v>251</v>
      </c>
      <c r="H105" s="459">
        <f>INDEX(AccountCodes[PPSAS CODE],MATCH(G105,AccountCodes[NGAS CODE],0))</f>
        <v>5021304001</v>
      </c>
      <c r="I105" s="883">
        <f>SUMIF(TB[ACCOUNT CODE (NGAS)],G105,TB[DEBIT/CREDIT])</f>
        <v>0</v>
      </c>
    </row>
    <row r="106" spans="1:10" hidden="1">
      <c r="A106" s="881" t="str">
        <f t="array" ref="A106">INDEX(AccountCodes[ACCOUNT NAME],MATCH(G106,AccountCodes[NGAS CODE],0))</f>
        <v>Repairs and Maintenance-Buildings and Other Structures - Other Structures</v>
      </c>
      <c r="G106" s="129" t="s">
        <v>252</v>
      </c>
      <c r="H106" s="459">
        <f>INDEX(AccountCodes[PPSAS CODE],MATCH(G106,AccountCodes[NGAS CODE],0))</f>
        <v>5021304099</v>
      </c>
      <c r="I106" s="883">
        <f>SUMIF(TB[ACCOUNT CODE (NGAS)],G106,TB[DEBIT/CREDIT])</f>
        <v>0</v>
      </c>
    </row>
    <row r="107" spans="1:10" hidden="1">
      <c r="A107" s="881" t="str">
        <f t="array" ref="A107">INDEX(AccountCodes[ACCOUNT NAME],MATCH(G107,AccountCodes[NGAS CODE],0))</f>
        <v>Repairs and Maintenance-Machinery and Equipment - Office Equipment</v>
      </c>
      <c r="G107" s="129" t="s">
        <v>253</v>
      </c>
      <c r="H107" s="459">
        <f>INDEX(AccountCodes[PPSAS CODE],MATCH(G107,AccountCodes[NGAS CODE],0))</f>
        <v>5021305002</v>
      </c>
      <c r="I107" s="883">
        <f>SUMIF(TB[ACCOUNT CODE (NGAS)],G107,TB[DEBIT/CREDIT])</f>
        <v>0</v>
      </c>
    </row>
    <row r="108" spans="1:10" hidden="1">
      <c r="A108" s="881" t="str">
        <f t="array" ref="A108">INDEX(AccountCodes[ACCOUNT NAME],MATCH(G108,AccountCodes[NGAS CODE],0))</f>
        <v>Repairs and Maintenance-Machinery and Equipment - Machinery</v>
      </c>
      <c r="G108" s="129" t="s">
        <v>256</v>
      </c>
      <c r="H108" s="459">
        <f>INDEX(AccountCodes[PPSAS CODE],MATCH(G108,AccountCodes[NGAS CODE],0))</f>
        <v>5021305001</v>
      </c>
      <c r="I108" s="883">
        <f>SUMIF(TB[ACCOUNT CODE (NGAS)],G108,TB[DEBIT/CREDIT])</f>
        <v>0</v>
      </c>
    </row>
    <row r="109" spans="1:10" hidden="1">
      <c r="A109" s="881" t="str">
        <f t="array" ref="A109">INDEX(AccountCodes[ACCOUNT NAME],MATCH(G109,AccountCodes[NGAS CODE],0))</f>
        <v>Repairs and Maintenance-Machinery and Equipment - Construction and Heavy Equipment</v>
      </c>
      <c r="G109" s="129" t="s">
        <v>258</v>
      </c>
      <c r="H109" s="459">
        <f>INDEX(AccountCodes[PPSAS CODE],MATCH(G109,AccountCodes[NGAS CODE],0))</f>
        <v>5021305008</v>
      </c>
      <c r="I109" s="883">
        <f>SUMIF(TB[ACCOUNT CODE (NGAS)],G109,TB[DEBIT/CREDIT])</f>
        <v>0</v>
      </c>
    </row>
    <row r="110" spans="1:10" hidden="1">
      <c r="A110" s="881" t="str">
        <f t="array" ref="A110">INDEX(AccountCodes[ACCOUNT NAME],MATCH(G110,AccountCodes[NGAS CODE],0))</f>
        <v>Repairs and Maintenance-Machinery and Equipment - Other Machinery and Equipment</v>
      </c>
      <c r="G110" s="129" t="s">
        <v>261</v>
      </c>
      <c r="H110" s="459">
        <f>INDEX(AccountCodes[PPSAS CODE],MATCH(G110,AccountCodes[NGAS CODE],0))</f>
        <v>5021305099</v>
      </c>
      <c r="I110" s="883">
        <f>SUMIF(TB[ACCOUNT CODE (NGAS)],G110,TB[DEBIT/CREDIT])</f>
        <v>0</v>
      </c>
    </row>
    <row r="111" spans="1:10">
      <c r="A111" s="881" t="str">
        <f t="array" ref="A111">INDEX(AccountCodes[ACCOUNT NAME],MATCH(G111,AccountCodes[NGAS CODE],0))</f>
        <v>Repairs and Maintenance-Transportation Equipment - Motor Vehicles</v>
      </c>
      <c r="G111" s="129" t="s">
        <v>262</v>
      </c>
      <c r="H111" s="459">
        <f>INDEX(AccountCodes[PPSAS CODE],MATCH(G111,AccountCodes[NGAS CODE],0))</f>
        <v>5021306001</v>
      </c>
      <c r="I111" s="883">
        <f>SUMIF(TB[ACCOUNT CODE (NGAS)],G111,TB[DEBIT/CREDIT])</f>
        <v>0</v>
      </c>
    </row>
    <row r="112" spans="1:10" hidden="1">
      <c r="A112" s="881" t="str">
        <f t="array" ref="A112">INDEX(AccountCodes[ACCOUNT NAME],MATCH(G112,AccountCodes[NGAS CODE],0))</f>
        <v>Repairs and Maintenance-Transportation Equipment - Other Transportation Equipment</v>
      </c>
      <c r="G112" s="129" t="s">
        <v>264</v>
      </c>
      <c r="H112" s="459">
        <f>INDEX(AccountCodes[PPSAS CODE],MATCH(G112,AccountCodes[NGAS CODE],0))</f>
        <v>5021306099</v>
      </c>
      <c r="I112" s="883">
        <f>SUMIF(TB[ACCOUNT CODE (NGAS)],G112,TB[DEBIT/CREDIT])</f>
        <v>0</v>
      </c>
    </row>
    <row r="113" spans="1:10" hidden="1">
      <c r="A113" s="881" t="str">
        <f t="array" ref="A113">INDEX(AccountCodes[ACCOUNT NAME],MATCH(G113,AccountCodes[NGAS CODE],0))</f>
        <v>Repairs and Maintenance-Other Property, Plant and Equipment - Other Property, Plant and Equipment</v>
      </c>
      <c r="G113" s="129" t="s">
        <v>265</v>
      </c>
      <c r="H113" s="459">
        <f>INDEX(AccountCodes[PPSAS CODE],MATCH(G113,AccountCodes[NGAS CODE],0))</f>
        <v>5021399099</v>
      </c>
      <c r="I113" s="883">
        <f>SUMIF(TB[ACCOUNT CODE (NGAS)],G113,TB[DEBIT/CREDIT])</f>
        <v>0</v>
      </c>
    </row>
    <row r="114" spans="1:10" hidden="1">
      <c r="A114" s="881" t="str">
        <f t="array" ref="A114">INDEX(AccountCodes[ACCOUNT NAME],MATCH(G114,AccountCodes[NGAS CODE],0))</f>
        <v>Repairs and Maintenance-Infrastructure Assets - Other Infrastructure Assets (Irrigation Canal &amp; Laterals)</v>
      </c>
      <c r="G114" s="129" t="s">
        <v>267</v>
      </c>
      <c r="H114" s="459">
        <f>INDEX(AccountCodes[PPSAS CODE],MATCH(G114,AccountCodes[NGAS CODE],0))</f>
        <v>5021303098</v>
      </c>
      <c r="I114" s="883">
        <f>SUMIF(TB[ACCOUNT CODE (NGAS)],G114,TB[DEBIT/CREDIT])</f>
        <v>0</v>
      </c>
    </row>
    <row r="115" spans="1:10">
      <c r="A115" s="881"/>
      <c r="G115" s="129"/>
      <c r="H115" s="459"/>
      <c r="I115" s="883"/>
    </row>
    <row r="116" spans="1:10">
      <c r="A116" s="881"/>
      <c r="G116" s="129"/>
      <c r="H116" s="459"/>
      <c r="I116" s="883"/>
    </row>
    <row r="117" spans="1:10">
      <c r="A117" s="881"/>
      <c r="G117" s="129"/>
      <c r="H117" s="459"/>
      <c r="I117" s="883"/>
    </row>
    <row r="118" spans="1:10">
      <c r="A118" s="881"/>
      <c r="G118" s="129"/>
      <c r="H118" s="459"/>
      <c r="I118" s="883"/>
    </row>
    <row r="119" spans="1:10">
      <c r="A119" s="881"/>
      <c r="G119" s="129"/>
      <c r="H119" s="459"/>
      <c r="I119" s="883"/>
    </row>
    <row r="120" spans="1:10">
      <c r="A120" s="881"/>
      <c r="G120" s="129"/>
      <c r="H120" s="459"/>
      <c r="I120" s="883"/>
    </row>
    <row r="121" spans="1:10">
      <c r="A121" s="881"/>
      <c r="G121" s="129"/>
      <c r="H121" s="459"/>
      <c r="I121" s="883"/>
    </row>
    <row r="122" spans="1:10">
      <c r="A122" s="885" t="s">
        <v>1621</v>
      </c>
      <c r="G122" s="129"/>
      <c r="H122" s="459"/>
      <c r="I122" s="883"/>
    </row>
    <row r="123" spans="1:10">
      <c r="A123" s="881" t="str">
        <f t="array" ref="A123">INDEX(AccountCodes[ACCOUNT NAME],MATCH(G123,AccountCodes[NGAS CODE],0))</f>
        <v>Fidelity Bond Premiums</v>
      </c>
      <c r="G123" s="129" t="s">
        <v>273</v>
      </c>
      <c r="H123" s="459">
        <f>INDEX(AccountCodes[PPSAS CODE],MATCH(G123,AccountCodes[NGAS CODE],0))</f>
        <v>5021502000</v>
      </c>
      <c r="I123" s="883">
        <f>SUMIF(TB[ACCOUNT CODE (NGAS)],G123,TB[DEBIT/CREDIT])</f>
        <v>0</v>
      </c>
      <c r="J123" s="108">
        <f>I123+I124</f>
        <v>0</v>
      </c>
    </row>
    <row r="124" spans="1:10">
      <c r="A124" s="881" t="str">
        <f t="array" ref="A124">INDEX(AccountCodes[ACCOUNT NAME],MATCH(G124,AccountCodes[NGAS CODE],0))</f>
        <v>Insurance Expenses</v>
      </c>
      <c r="G124" s="129" t="s">
        <v>274</v>
      </c>
      <c r="H124" s="459">
        <f>INDEX(AccountCodes[PPSAS CODE],MATCH(G124,AccountCodes[NGAS CODE],0))</f>
        <v>5021503000</v>
      </c>
      <c r="I124" s="883">
        <f>SUMIF(TB[ACCOUNT CODE (NGAS)],G124,TB[DEBIT/CREDIT])</f>
        <v>0</v>
      </c>
    </row>
    <row r="125" spans="1:10" hidden="1">
      <c r="A125" s="881"/>
      <c r="G125" s="129"/>
      <c r="H125" s="459"/>
      <c r="I125" s="883"/>
    </row>
    <row r="126" spans="1:10" hidden="1">
      <c r="A126" s="881"/>
      <c r="G126" s="129"/>
      <c r="H126" s="459"/>
      <c r="I126" s="883"/>
    </row>
    <row r="127" spans="1:10">
      <c r="A127" s="881"/>
      <c r="G127" s="129"/>
      <c r="H127" s="459"/>
      <c r="I127" s="883"/>
    </row>
    <row r="128" spans="1:10">
      <c r="A128" s="885" t="s">
        <v>368</v>
      </c>
      <c r="G128" s="129"/>
      <c r="H128" s="459"/>
      <c r="I128" s="883"/>
      <c r="J128" s="108">
        <f>I129+I130+I132+I133+I134</f>
        <v>789242.51</v>
      </c>
    </row>
    <row r="129" spans="1:10">
      <c r="A129" s="881" t="str">
        <f t="array" ref="A129">INDEX(AccountCodes[ACCOUNT NAME],MATCH(G129,AccountCodes[NGAS CODE],0))</f>
        <v>Representation Expenses</v>
      </c>
      <c r="G129" s="129" t="s">
        <v>243</v>
      </c>
      <c r="H129" s="459">
        <f>INDEX(AccountCodes[PPSAS CODE],MATCH(G129,AccountCodes[NGAS CODE],0))</f>
        <v>5029903000</v>
      </c>
      <c r="I129" s="883">
        <f>SUMIF(TB[ACCOUNT CODE (NGAS)],G129,TB[DEBIT/CREDIT])</f>
        <v>0</v>
      </c>
    </row>
    <row r="130" spans="1:10">
      <c r="A130" s="881" t="str">
        <f t="array" ref="A130">INDEX(AccountCodes[ACCOUNT NAME],MATCH(G130,AccountCodes[NGAS CODE],0))</f>
        <v>Donations</v>
      </c>
      <c r="G130" s="129" t="s">
        <v>269</v>
      </c>
      <c r="H130" s="459">
        <f>INDEX(AccountCodes[PPSAS CODE],MATCH(G130,AccountCodes[NGAS CODE],0))</f>
        <v>5029908000</v>
      </c>
      <c r="I130" s="883">
        <f>SUMIF(TB[ACCOUNT CODE (NGAS)],G130,TB[DEBIT/CREDIT])</f>
        <v>0</v>
      </c>
    </row>
    <row r="131" spans="1:10" hidden="1">
      <c r="A131" s="881" t="str">
        <f t="array" ref="A131">INDEX(AccountCodes[ACCOUNT NAME],MATCH(G131,AccountCodes[NGAS CODE],0))</f>
        <v>Other Maintenance and Operating Expenses (Irrigator's Share/Remuneration/Subsidy)</v>
      </c>
      <c r="G131" s="129" t="s">
        <v>333</v>
      </c>
      <c r="H131" s="459">
        <f>INDEX(AccountCodes[PPSAS CODE],MATCH(G131,AccountCodes[NGAS CODE],0))</f>
        <v>5029999098</v>
      </c>
      <c r="I131" s="883">
        <f>SUMIF(TB[ACCOUNT CODE (NGAS)],G131,TB[DEBIT/CREDIT])</f>
        <v>0</v>
      </c>
    </row>
    <row r="132" spans="1:10">
      <c r="A132" s="881" t="str">
        <f t="array" ref="A132">INDEX(AccountCodes[ACCOUNT NAME],MATCH(G132,AccountCodes[NGAS CODE],0))</f>
        <v>Other Maintenance and Operating Expenses - Other Maintenance and Operating Expenses</v>
      </c>
      <c r="G132" s="129" t="s">
        <v>405</v>
      </c>
      <c r="H132" s="459">
        <f>INDEX(AccountCodes[PPSAS CODE],MATCH(G132,AccountCodes[NGAS CODE],0))</f>
        <v>5029999002</v>
      </c>
      <c r="I132" s="883">
        <f>SUMIF(TB[ACCOUNT CODE (NGAS)],G132,TB[DEBIT/CREDIT])</f>
        <v>788042.51</v>
      </c>
    </row>
    <row r="133" spans="1:10">
      <c r="A133" s="881" t="str">
        <f t="array" ref="A133">INDEX(AccountCodes[ACCOUNT NAME],MATCH(G133,AccountCodes[NGAS CODE],0))</f>
        <v>Bank Charges</v>
      </c>
      <c r="G133" s="129" t="s">
        <v>340</v>
      </c>
      <c r="H133" s="459">
        <f>INDEX(AccountCodes[PPSAS CODE],MATCH(G133,AccountCodes[NGAS CODE],0))</f>
        <v>5030104000</v>
      </c>
      <c r="I133" s="883">
        <f>SUMIF(TB[ACCOUNT CODE (NGAS)],G133,TB[DEBIT/CREDIT])</f>
        <v>1200</v>
      </c>
    </row>
    <row r="134" spans="1:10">
      <c r="A134" s="881" t="str">
        <f t="array" ref="A134">INDEX(AccountCodes[ACCOUNT NAME],MATCH(G134,AccountCodes[NGAS CODE],0))</f>
        <v>Interest Expenses</v>
      </c>
      <c r="G134" s="129" t="s">
        <v>341</v>
      </c>
      <c r="H134" s="459">
        <f>INDEX(AccountCodes[PPSAS CODE],MATCH(G134,AccountCodes[NGAS CODE],0))</f>
        <v>5030102000</v>
      </c>
      <c r="I134" s="883">
        <f>SUMIF(TB[ACCOUNT CODE (NGAS)],G134,TB[DEBIT/CREDIT])</f>
        <v>0</v>
      </c>
    </row>
    <row r="135" spans="1:10">
      <c r="A135" s="29" t="s">
        <v>432</v>
      </c>
      <c r="G135" s="129"/>
      <c r="H135" s="129"/>
      <c r="I135" s="886">
        <f>SUM(I70:I134)</f>
        <v>2643090.42</v>
      </c>
      <c r="J135" s="108">
        <f>SUM(J69:J133)</f>
        <v>2643090.42</v>
      </c>
    </row>
    <row r="136" spans="1:10">
      <c r="G136" s="129"/>
      <c r="H136" s="129"/>
      <c r="I136" s="887"/>
    </row>
    <row r="137" spans="1:10">
      <c r="A137" s="29" t="s">
        <v>433</v>
      </c>
      <c r="G137" s="129"/>
      <c r="H137" s="129"/>
      <c r="I137" s="887"/>
    </row>
    <row r="138" spans="1:10" hidden="1">
      <c r="A138" s="881" t="str">
        <f t="array" ref="A138">INDEX(AccountCodes[ACCOUNT NAME],MATCH(G138,AccountCodes[NGAS CODE],0))</f>
        <v>Depreciation-Land Improvements</v>
      </c>
      <c r="G138" s="129" t="s">
        <v>275</v>
      </c>
      <c r="H138" s="459">
        <f>INDEX(AccountCodes[PPSAS CODE],MATCH(G138,AccountCodes[NGAS CODE],0))</f>
        <v>5050102000</v>
      </c>
      <c r="I138" s="883">
        <f>SUMIF(TB[ACCOUNT CODE (NGAS)],G138,TB[DEBIT/CREDIT])</f>
        <v>0</v>
      </c>
    </row>
    <row r="139" spans="1:10" hidden="1">
      <c r="A139" s="881" t="str">
        <f t="array" ref="A139">INDEX(AccountCodes[ACCOUNT NAME],MATCH(G139,AccountCodes[NGAS CODE],0))</f>
        <v>Depreciation-Buildings and Other Structures - Buildings</v>
      </c>
      <c r="G139" s="129" t="s">
        <v>276</v>
      </c>
      <c r="H139" s="459">
        <f>INDEX(AccountCodes[PPSAS CODE],MATCH(G139,AccountCodes[NGAS CODE],0))</f>
        <v>5050104001</v>
      </c>
      <c r="I139" s="883">
        <f>SUMIF(TB[ACCOUNT CODE (NGAS)],G139,TB[DEBIT/CREDIT])</f>
        <v>0</v>
      </c>
    </row>
    <row r="140" spans="1:10">
      <c r="A140" s="881" t="str">
        <f t="array" ref="A140">INDEX(AccountCodes[ACCOUNT NAME],MATCH(G140,AccountCodes[NGAS CODE],0))</f>
        <v>Depreciation-Machinery and Equipment - Office Equipment</v>
      </c>
      <c r="G140" s="129" t="s">
        <v>278</v>
      </c>
      <c r="H140" s="459">
        <f>INDEX(AccountCodes[PPSAS CODE],MATCH(G140,AccountCodes[NGAS CODE],0))</f>
        <v>5050105002</v>
      </c>
      <c r="I140" s="883">
        <f>SUMIF(TB[ACCOUNT CODE (NGAS)],G140,TB[DEBIT/CREDIT])</f>
        <v>61615.62</v>
      </c>
    </row>
    <row r="141" spans="1:10" hidden="1">
      <c r="A141" s="881" t="str">
        <f t="array" ref="A141">INDEX(AccountCodes[ACCOUNT NAME],MATCH(G141,AccountCodes[NGAS CODE],0))</f>
        <v>Depreciation-Furniture, Fixtures and Books - Furniture and Fixtures</v>
      </c>
      <c r="G141" s="129" t="s">
        <v>279</v>
      </c>
      <c r="H141" s="459">
        <f>INDEX(AccountCodes[PPSAS CODE],MATCH(G141,AccountCodes[NGAS CODE],0))</f>
        <v>5050107001</v>
      </c>
      <c r="I141" s="883">
        <f>SUMIF(TB[ACCOUNT CODE (NGAS)],G141,TB[DEBIT/CREDIT])</f>
        <v>0</v>
      </c>
    </row>
    <row r="142" spans="1:10" hidden="1">
      <c r="A142" s="881" t="str">
        <f t="array" ref="A142">INDEX(AccountCodes[ACCOUNT NAME],MATCH(G142,AccountCodes[NGAS CODE],0))</f>
        <v>Depreciation-Furniture, Fixtures and Books - Books</v>
      </c>
      <c r="G142" s="129" t="s">
        <v>281</v>
      </c>
      <c r="H142" s="459">
        <f>INDEX(AccountCodes[PPSAS CODE],MATCH(G142,AccountCodes[NGAS CODE],0))</f>
        <v>5050107002</v>
      </c>
      <c r="I142" s="883">
        <f>SUMIF(TB[ACCOUNT CODE (NGAS)],G142,TB[DEBIT/CREDIT])</f>
        <v>0</v>
      </c>
    </row>
    <row r="143" spans="1:10">
      <c r="A143" s="881" t="str">
        <f t="array" ref="A143">INDEX(AccountCodes[ACCOUNT NAME],MATCH(G143,AccountCodes[NGAS CODE],0))</f>
        <v>Depreciation-Machinery and Equipment - ICT Equipment</v>
      </c>
      <c r="G143" s="888" t="s">
        <v>280</v>
      </c>
      <c r="H143" s="459">
        <f>INDEX(AccountCodes[PPSAS CODE],MATCH(G143,AccountCodes[NGAS CODE],0))</f>
        <v>5050105003</v>
      </c>
      <c r="I143" s="883">
        <f>SUMIF(TB[ACCOUNT CODE (NGAS)],G143,TB[DEBIT/CREDIT])</f>
        <v>268918.84000000003</v>
      </c>
    </row>
    <row r="144" spans="1:10">
      <c r="A144" s="881" t="str">
        <f t="array" ref="A144">INDEX(AccountCodes[ACCOUNT NAME],MATCH(G144,AccountCodes[NGAS CODE],0))</f>
        <v>Depreciation-Infrastructure Assets - Other Infrastructure Assets (Irrigation Canals &amp; Laterals)</v>
      </c>
      <c r="G144" s="888" t="s">
        <v>1452</v>
      </c>
      <c r="H144" s="459">
        <f>INDEX(AccountCodes[PPSAS CODE],MATCH(G144,AccountCodes[NGAS CODE],0))</f>
        <v>5050103099</v>
      </c>
      <c r="I144" s="883">
        <f>SUMIF(TB[ACCOUNT CODE (NGAS)],G144,TB[DEBIT/CREDIT])</f>
        <v>6388557.9699999997</v>
      </c>
    </row>
    <row r="145" spans="1:9">
      <c r="A145" s="881"/>
      <c r="G145" s="129"/>
      <c r="H145" s="459"/>
      <c r="I145" s="883">
        <f>SUMIF(TB[ACCOUNT CODE (NGAS)],G145,TB[DEBIT/CREDIT])</f>
        <v>0</v>
      </c>
    </row>
    <row r="146" spans="1:9">
      <c r="A146" s="29" t="s">
        <v>510</v>
      </c>
      <c r="I146" s="889">
        <f>SUM(I138:I145)</f>
        <v>6719092.4299999997</v>
      </c>
    </row>
    <row r="147" spans="1:9">
      <c r="A147" s="29" t="s">
        <v>434</v>
      </c>
      <c r="I147" s="884">
        <f>I66+I135+I146</f>
        <v>10169899.289999999</v>
      </c>
    </row>
    <row r="148" spans="1:9">
      <c r="A148" s="29" t="s">
        <v>435</v>
      </c>
      <c r="I148" s="884">
        <f>I31-I147</f>
        <v>-10169899.289999999</v>
      </c>
    </row>
    <row r="150" spans="1:9">
      <c r="A150" s="29" t="s">
        <v>437</v>
      </c>
    </row>
    <row r="151" spans="1:9">
      <c r="A151" s="881" t="str">
        <f t="array" ref="A151">INDEX(AccountCodes[ACCOUNT NAME],MATCH(G151,AccountCodes[NGAS CODE],0))</f>
        <v>Subsidy from Central Office</v>
      </c>
      <c r="B151" s="882"/>
      <c r="C151" s="882"/>
      <c r="D151" s="882"/>
      <c r="E151" s="882"/>
      <c r="F151" s="882"/>
      <c r="G151" s="460" t="s">
        <v>152</v>
      </c>
      <c r="H151" s="459">
        <f>INDEX(AccountCodes[PPSAS CODE],MATCH(G151,AccountCodes[NGAS CODE],0))</f>
        <v>4030106000</v>
      </c>
      <c r="I151" s="883">
        <f>SUMIF(TB[ACCOUNT CODE (NGAS)],G151,TB[DEBIT/CREDIT])</f>
        <v>53049726.840000004</v>
      </c>
    </row>
    <row r="152" spans="1:9">
      <c r="A152" s="29" t="s">
        <v>436</v>
      </c>
      <c r="I152" s="884">
        <f>SUM(I151)</f>
        <v>53049726.840000004</v>
      </c>
    </row>
    <row r="154" spans="1:9" ht="16.5" thickBot="1">
      <c r="A154" s="29" t="s">
        <v>438</v>
      </c>
      <c r="I154" s="890">
        <f>I148+I152</f>
        <v>42879827.549999997</v>
      </c>
    </row>
    <row r="155" spans="1:9" ht="16.5" thickTop="1"/>
    <row r="164" spans="1:9">
      <c r="D164" s="128"/>
      <c r="E164" s="163"/>
      <c r="F164" s="163"/>
      <c r="G164" s="436"/>
      <c r="H164" s="436"/>
      <c r="I164" s="163"/>
    </row>
    <row r="165" spans="1:9">
      <c r="D165" s="163"/>
      <c r="E165" s="163"/>
      <c r="F165" s="163"/>
      <c r="G165" s="436"/>
      <c r="H165" s="436"/>
      <c r="I165" s="163"/>
    </row>
    <row r="169" spans="1:9">
      <c r="A169" s="891" t="s">
        <v>1589</v>
      </c>
      <c r="B169" s="118"/>
      <c r="C169" s="118"/>
      <c r="D169" s="892" t="s">
        <v>461</v>
      </c>
      <c r="E169" s="892"/>
      <c r="F169" s="118"/>
      <c r="G169" s="118" t="s">
        <v>1606</v>
      </c>
    </row>
    <row r="170" spans="1:9">
      <c r="A170" s="891"/>
      <c r="B170" s="118"/>
      <c r="C170" s="118"/>
      <c r="D170" s="892"/>
      <c r="E170" s="892"/>
      <c r="F170" s="118"/>
      <c r="G170" s="118"/>
    </row>
    <row r="171" spans="1:9">
      <c r="A171" s="118"/>
      <c r="B171" s="118"/>
      <c r="C171" s="118"/>
      <c r="D171" s="892"/>
      <c r="E171" s="892"/>
      <c r="F171" s="118"/>
      <c r="G171" s="118"/>
    </row>
    <row r="172" spans="1:9">
      <c r="A172" s="893" t="s">
        <v>1569</v>
      </c>
      <c r="B172" s="894"/>
      <c r="C172" s="118"/>
      <c r="D172" s="895" t="s">
        <v>1561</v>
      </c>
      <c r="E172" s="892"/>
      <c r="F172" s="118"/>
      <c r="G172" s="1184" t="s">
        <v>1591</v>
      </c>
      <c r="H172" s="1184"/>
      <c r="I172" s="1184"/>
    </row>
    <row r="173" spans="1:9">
      <c r="A173" s="896" t="s">
        <v>1619</v>
      </c>
      <c r="B173" s="118"/>
      <c r="C173" s="118"/>
      <c r="D173" s="897"/>
      <c r="E173" s="892"/>
      <c r="F173" s="118"/>
      <c r="G173" s="1185" t="s">
        <v>1568</v>
      </c>
      <c r="H173" s="1185"/>
      <c r="I173" s="1185"/>
    </row>
  </sheetData>
  <sheetProtection autoFilter="0"/>
  <autoFilter ref="I9:I154"/>
  <mergeCells count="2">
    <mergeCell ref="G172:I172"/>
    <mergeCell ref="G173:I173"/>
  </mergeCells>
  <printOptions horizontalCentered="1"/>
  <pageMargins left="0.23622047244094491" right="0.23622047244094491" top="0.74803149606299213" bottom="0.86614173228346458" header="0.31496062992125984" footer="0.43307086614173229"/>
  <pageSetup paperSize="14" scale="80" orientation="portrait" r:id="rId1"/>
  <headerFooter>
    <oddFooter>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0000"/>
  </sheetPr>
  <dimension ref="A2:I182"/>
  <sheetViews>
    <sheetView view="pageBreakPreview" zoomScale="90" zoomScaleNormal="115" zoomScaleSheetLayoutView="90" workbookViewId="0">
      <selection activeCell="D44" sqref="D44"/>
    </sheetView>
  </sheetViews>
  <sheetFormatPr defaultColWidth="9" defaultRowHeight="15.75"/>
  <cols>
    <col min="1" max="1" width="13.5" style="108" bestFit="1" customWidth="1"/>
    <col min="2" max="6" width="9" style="108"/>
    <col min="7" max="7" width="9" style="198" customWidth="1"/>
    <col min="8" max="8" width="17.5" style="903" customWidth="1"/>
    <col min="9" max="9" width="18.125" style="903" customWidth="1"/>
    <col min="10" max="16384" width="9" style="108"/>
  </cols>
  <sheetData>
    <row r="2" spans="1:9" ht="20.25">
      <c r="A2" s="850" t="s">
        <v>355</v>
      </c>
      <c r="B2" s="128"/>
      <c r="C2" s="128"/>
      <c r="D2" s="128"/>
      <c r="E2" s="128"/>
      <c r="F2" s="128"/>
      <c r="G2" s="876"/>
      <c r="H2" s="899"/>
      <c r="I2" s="899"/>
    </row>
    <row r="3" spans="1:9">
      <c r="A3" s="875" t="s">
        <v>1064</v>
      </c>
      <c r="B3" s="128"/>
      <c r="C3" s="128"/>
      <c r="D3" s="128"/>
      <c r="E3" s="128"/>
      <c r="F3" s="128"/>
      <c r="G3" s="876"/>
      <c r="H3" s="899"/>
      <c r="I3" s="899"/>
    </row>
    <row r="4" spans="1:9">
      <c r="A4" s="2" t="s">
        <v>1538</v>
      </c>
      <c r="B4" s="128"/>
      <c r="C4" s="128"/>
      <c r="D4" s="128"/>
      <c r="E4" s="128"/>
      <c r="F4" s="128"/>
      <c r="G4" s="876"/>
      <c r="H4" s="899"/>
      <c r="I4" s="899"/>
    </row>
    <row r="5" spans="1:9">
      <c r="A5" s="2" t="s">
        <v>1539</v>
      </c>
      <c r="B5" s="128"/>
      <c r="C5" s="128"/>
      <c r="D5" s="128"/>
      <c r="E5" s="128"/>
      <c r="F5" s="128"/>
      <c r="G5" s="876"/>
      <c r="H5" s="899"/>
      <c r="I5" s="899"/>
    </row>
    <row r="6" spans="1:9">
      <c r="A6" s="877" t="str">
        <f>Account!$G$1</f>
        <v>FUND 501 CARP</v>
      </c>
      <c r="B6" s="128"/>
      <c r="C6" s="128"/>
      <c r="D6" s="128"/>
      <c r="E6" s="128"/>
      <c r="F6" s="128"/>
      <c r="G6" s="876"/>
      <c r="H6" s="899"/>
      <c r="I6" s="899"/>
    </row>
    <row r="7" spans="1:9">
      <c r="A7" s="2" t="s">
        <v>1623</v>
      </c>
      <c r="B7" s="2"/>
      <c r="C7" s="2"/>
      <c r="D7" s="2"/>
      <c r="E7" s="2"/>
      <c r="F7" s="2"/>
      <c r="G7" s="878"/>
      <c r="H7" s="900"/>
      <c r="I7" s="900"/>
    </row>
    <row r="8" spans="1:9">
      <c r="A8" s="877">
        <f>Account!$G$2</f>
        <v>45291</v>
      </c>
      <c r="B8" s="2"/>
      <c r="C8" s="2"/>
      <c r="D8" s="2"/>
      <c r="E8" s="2"/>
      <c r="F8" s="2"/>
      <c r="G8" s="878"/>
      <c r="H8" s="900"/>
      <c r="I8" s="900"/>
    </row>
    <row r="10" spans="1:9">
      <c r="A10" s="917" t="s">
        <v>402</v>
      </c>
      <c r="B10" s="917"/>
      <c r="C10" s="917"/>
      <c r="D10" s="917"/>
      <c r="E10" s="917"/>
      <c r="F10" s="917"/>
      <c r="G10" s="901" t="s">
        <v>403</v>
      </c>
      <c r="H10" s="902" t="s">
        <v>404</v>
      </c>
      <c r="I10" s="902"/>
    </row>
    <row r="12" spans="1:9">
      <c r="A12" s="908" t="s">
        <v>401</v>
      </c>
      <c r="B12" s="128"/>
      <c r="C12" s="128"/>
      <c r="D12" s="128"/>
      <c r="E12" s="128"/>
      <c r="F12" s="128"/>
      <c r="G12" s="876"/>
      <c r="H12" s="899"/>
      <c r="I12" s="899"/>
    </row>
    <row r="13" spans="1:9">
      <c r="A13" s="29" t="s">
        <v>413</v>
      </c>
    </row>
    <row r="14" spans="1:9">
      <c r="A14" s="29" t="s">
        <v>410</v>
      </c>
    </row>
    <row r="15" spans="1:9" hidden="1">
      <c r="A15" s="904" t="str">
        <f t="array" ref="A15">INDEX(AccountCodes[ACCOUNT NAME],MATCH(G15,AccountCodes[NGAS CODE],0))</f>
        <v>Cash-Collecting Officers</v>
      </c>
      <c r="G15" s="129" t="s">
        <v>9</v>
      </c>
      <c r="H15" s="905"/>
      <c r="I15" s="905">
        <f>SUMIF(TB[ACCOUNT CODE (NGAS)],G15,TB[DEBIT/CREDIT])</f>
        <v>0</v>
      </c>
    </row>
    <row r="16" spans="1:9" hidden="1">
      <c r="A16" s="904" t="str">
        <f t="array" ref="A16">INDEX(AccountCodes[ACCOUNT NAME],MATCH(G16,AccountCodes[NGAS CODE],0))</f>
        <v>Advances to Special Disbursing Officer</v>
      </c>
      <c r="G16" s="129" t="s">
        <v>10</v>
      </c>
      <c r="H16" s="906"/>
      <c r="I16" s="905">
        <f>SUMIF(TB[ACCOUNT CODE (NGAS)],G16,TB[DEBIT/CREDIT])</f>
        <v>0</v>
      </c>
    </row>
    <row r="17" spans="1:9" hidden="1">
      <c r="A17" s="904" t="str">
        <f t="array" ref="A17">INDEX(AccountCodes[ACCOUNT NAME],MATCH(G17,AccountCodes[NGAS CODE],0))</f>
        <v>Petty Cash</v>
      </c>
      <c r="G17" s="129" t="s">
        <v>11</v>
      </c>
      <c r="H17" s="906"/>
      <c r="I17" s="905">
        <f>SUMIF(TB[ACCOUNT CODE (NGAS)],G17,TB[DEBIT/CREDIT])</f>
        <v>0</v>
      </c>
    </row>
    <row r="18" spans="1:9" hidden="1">
      <c r="A18" s="904" t="str">
        <f t="array" ref="A18">INDEX(AccountCodes[ACCOUNT NAME],MATCH(G18,AccountCodes[NGAS CODE],0))</f>
        <v>Cash in Bank-Local Currency, Current Account</v>
      </c>
      <c r="G18" s="129" t="s">
        <v>13</v>
      </c>
      <c r="H18" s="906"/>
      <c r="I18" s="905">
        <f>SUMIF(TB[ACCOUNT CODE (NGAS)],G18,TB[DEBIT/CREDIT])</f>
        <v>0</v>
      </c>
    </row>
    <row r="19" spans="1:9" hidden="1">
      <c r="A19" s="904" t="str">
        <f t="array" ref="A19">INDEX(AccountCodes[ACCOUNT NAME],MATCH(G19,AccountCodes[NGAS CODE],0))</f>
        <v>Cash in Bank-Local Currency, Current Account</v>
      </c>
      <c r="G19" s="129" t="s">
        <v>13</v>
      </c>
      <c r="H19" s="906"/>
      <c r="I19" s="905">
        <f>SUMIF(TB[ACCOUNT CODE (NGAS)],G19,TB[DEBIT/CREDIT])</f>
        <v>0</v>
      </c>
    </row>
    <row r="20" spans="1:9">
      <c r="A20" s="904" t="str">
        <f t="array" ref="A20">INDEX(AccountCodes[ACCOUNT NAME],MATCH(G20,AccountCodes[NGAS CODE],0))</f>
        <v>Cash in Bank-Local Currency, Current Account - RO</v>
      </c>
      <c r="G20" s="129" t="s">
        <v>1478</v>
      </c>
      <c r="H20" s="906"/>
      <c r="I20" s="905">
        <f>SUMIF(TB[ACCOUNT CODE (NGAS)],G20,TB[DEBIT/CREDIT])</f>
        <v>57202366.920000002</v>
      </c>
    </row>
    <row r="21" spans="1:9" hidden="1">
      <c r="A21" s="904" t="str">
        <f t="array" ref="A21">INDEX(AccountCodes[ACCOUNT NAME],MATCH(G21,AccountCodes[NGAS CODE],0))</f>
        <v>Cash in Bank-Local Currency, Current Account - RO Subsidy/Capital Outlay</v>
      </c>
      <c r="G21" s="129" t="s">
        <v>1482</v>
      </c>
      <c r="H21" s="906"/>
      <c r="I21" s="905">
        <f>SUMIF(TB[ACCOUNT CODE (NGAS)],G21,TB[DEBIT/CREDIT])</f>
        <v>0</v>
      </c>
    </row>
    <row r="22" spans="1:9" hidden="1">
      <c r="A22" s="904" t="str">
        <f t="array" ref="A22">INDEX(AccountCodes[ACCOUNT NAME],MATCH(G22,AccountCodes[NGAS CODE],0))</f>
        <v>Cash in Bank-Local Currency, Current Account - RO Back Accounts</v>
      </c>
      <c r="G22" s="129" t="s">
        <v>1484</v>
      </c>
      <c r="H22" s="906"/>
      <c r="I22" s="905">
        <f>SUMIF(TB[ACCOUNT CODE (NGAS)],G22,TB[DEBIT/CREDIT])</f>
        <v>0</v>
      </c>
    </row>
    <row r="23" spans="1:9" hidden="1">
      <c r="A23" s="904" t="str">
        <f t="array" ref="A23">INDEX(AccountCodes[ACCOUNT NAME],MATCH(G23,AccountCodes[NGAS CODE],0))</f>
        <v>Cash in Bank-Local Currency, Current Account - RO NIMF</v>
      </c>
      <c r="G23" s="129" t="s">
        <v>1486</v>
      </c>
      <c r="H23" s="906"/>
      <c r="I23" s="905">
        <f>SUMIF(TB[ACCOUNT CODE (NGAS)],G23,TB[DEBIT/CREDIT])</f>
        <v>0</v>
      </c>
    </row>
    <row r="24" spans="1:9" hidden="1">
      <c r="A24" s="904" t="str">
        <f t="array" ref="A24">INDEX(AccountCodes[ACCOUNT NAME],MATCH(G24,AccountCodes[NGAS CODE],0))</f>
        <v>Cash in Bank-Local Currency, Current Account - RO - PC</v>
      </c>
      <c r="G24" s="129" t="s">
        <v>1488</v>
      </c>
      <c r="H24" s="906"/>
      <c r="I24" s="905">
        <f>SUMIF(TB[ACCOUNT CODE (NGAS)],G24,TB[DEBIT/CREDIT])</f>
        <v>0</v>
      </c>
    </row>
    <row r="25" spans="1:9" hidden="1">
      <c r="A25" s="904" t="str">
        <f t="array" ref="A25">INDEX(AccountCodes[ACCOUNT NAME],MATCH(G25,AccountCodes[NGAS CODE],0))</f>
        <v>Cash in Bank-Local Currency, Current Account - RO - LP</v>
      </c>
      <c r="G25" s="129" t="s">
        <v>1490</v>
      </c>
      <c r="H25" s="906"/>
      <c r="I25" s="905">
        <f>SUMIF(TB[ACCOUNT CODE (NGAS)],G25,TB[DEBIT/CREDIT])</f>
        <v>0</v>
      </c>
    </row>
    <row r="26" spans="1:9">
      <c r="A26" s="904" t="str">
        <f t="array" ref="A26">INDEX(AccountCodes[ACCOUNT NAME],MATCH(G26,AccountCodes[NGAS CODE],0))</f>
        <v>Cash in Bank-Local Currency, Current Account - FO</v>
      </c>
      <c r="G26" s="129" t="s">
        <v>1479</v>
      </c>
      <c r="H26" s="906"/>
      <c r="I26" s="905">
        <f>SUMIF(TB[ACCOUNT CODE (NGAS)],G26,TB[DEBIT/CREDIT])</f>
        <v>-6945394.1100000003</v>
      </c>
    </row>
    <row r="27" spans="1:9" hidden="1">
      <c r="A27" s="904" t="str">
        <f t="array" ref="A27">INDEX(AccountCodes[ACCOUNT NAME],MATCH(G27,AccountCodes[NGAS CODE],0))</f>
        <v>Cash in Bank-Local Currency, Current Account - FO - PC</v>
      </c>
      <c r="G27" s="129" t="s">
        <v>1492</v>
      </c>
      <c r="H27" s="906"/>
      <c r="I27" s="905">
        <f>SUMIF(TB[ACCOUNT CODE (NGAS)],G27,TB[DEBIT/CREDIT])</f>
        <v>0</v>
      </c>
    </row>
    <row r="28" spans="1:9" hidden="1">
      <c r="A28" s="904" t="str">
        <f t="array" ref="A28">INDEX(AccountCodes[ACCOUNT NAME],MATCH(G28,AccountCodes[NGAS CODE],0))</f>
        <v>Cash in Bank-Local Currency, Current Account - FO - LP</v>
      </c>
      <c r="G28" s="129" t="s">
        <v>1494</v>
      </c>
      <c r="H28" s="906"/>
      <c r="I28" s="905">
        <f>SUMIF(TB[ACCOUNT CODE (NGAS)],G28,TB[DEBIT/CREDIT])</f>
        <v>0</v>
      </c>
    </row>
    <row r="29" spans="1:9" hidden="1">
      <c r="A29" s="904" t="str">
        <f t="array" ref="A29">INDEX(AccountCodes[ACCOUNT NAME],MATCH(G29,AccountCodes[NGAS CODE],0))</f>
        <v>Cash in Bank-Local Currency, Current Account</v>
      </c>
      <c r="G29" s="129" t="s">
        <v>13</v>
      </c>
      <c r="H29" s="906"/>
      <c r="I29" s="905">
        <f>SUMIF(TB[ACCOUNT CODE (NGAS)],G29,TB[DEBIT/CREDIT])</f>
        <v>0</v>
      </c>
    </row>
    <row r="30" spans="1:9" hidden="1">
      <c r="A30" s="904" t="str">
        <f t="array" ref="A30">INDEX(AccountCodes[ACCOUNT NAME],MATCH(G30,AccountCodes[NGAS CODE],0))</f>
        <v>Cash in Bank-Local Currency, Current Account</v>
      </c>
      <c r="G30" s="129" t="s">
        <v>13</v>
      </c>
      <c r="H30" s="906"/>
      <c r="I30" s="905">
        <f>SUMIF(TB[ACCOUNT CODE (NGAS)],G30,TB[DEBIT/CREDIT])</f>
        <v>0</v>
      </c>
    </row>
    <row r="31" spans="1:9" hidden="1">
      <c r="A31" s="904" t="str">
        <f t="array" ref="A31">INDEX(AccountCodes[ACCOUNT NAME],MATCH(G31,AccountCodes[NGAS CODE],0))</f>
        <v>Cash in Bank-Local Currency, Savings Account</v>
      </c>
      <c r="G31" s="129" t="s">
        <v>14</v>
      </c>
      <c r="H31" s="906"/>
      <c r="I31" s="905">
        <f>SUMIF(TB[ACCOUNT CODE (NGAS)],G31,TB[DEBIT/CREDIT])</f>
        <v>0</v>
      </c>
    </row>
    <row r="32" spans="1:9">
      <c r="A32" s="904"/>
      <c r="G32" s="129"/>
      <c r="H32" s="906"/>
      <c r="I32" s="905"/>
    </row>
    <row r="33" spans="1:9" hidden="1">
      <c r="A33" s="904"/>
      <c r="G33" s="129"/>
      <c r="H33" s="906"/>
      <c r="I33" s="905"/>
    </row>
    <row r="34" spans="1:9">
      <c r="A34" s="29" t="s">
        <v>411</v>
      </c>
      <c r="G34" s="129"/>
      <c r="H34" s="906"/>
      <c r="I34" s="905"/>
    </row>
    <row r="35" spans="1:9" hidden="1">
      <c r="A35" s="904" t="str">
        <f t="array" ref="A35">INDEX(AccountCodes[ACCOUNT NAME],MATCH(G35,AccountCodes[NGAS CODE],0))</f>
        <v>Accounts Receivable - ISF (Current &amp; Back Accounts)</v>
      </c>
      <c r="G35" s="129" t="s">
        <v>351</v>
      </c>
      <c r="H35" s="905">
        <f>SUMIF(TB[ACCOUNT CODE (NGAS)],G35,TB[DEBIT/CREDIT])</f>
        <v>0</v>
      </c>
    </row>
    <row r="36" spans="1:9" hidden="1">
      <c r="A36" s="904" t="str">
        <f t="array" ref="A36">INDEX(AccountCodes[ACCOUNT NAME],MATCH(G36,AccountCodes[NGAS CODE],0))</f>
        <v>Allowance for Impairment-Accounts Receivable</v>
      </c>
      <c r="G36" s="129" t="s">
        <v>84</v>
      </c>
      <c r="H36" s="907">
        <f>-(SUMIF(TB[ACCOUNT CODE (NGAS)],G36,TB[DEBIT/CREDIT]))</f>
        <v>0</v>
      </c>
      <c r="I36" s="905">
        <f>SUM(H35:H36)</f>
        <v>0</v>
      </c>
    </row>
    <row r="37" spans="1:9" hidden="1">
      <c r="A37" s="904" t="str">
        <f t="array" ref="A37">INDEX(AccountCodes[ACCOUNT NAME],MATCH(G37,AccountCodes[NGAS CODE],0))</f>
        <v>Accounts Receivable - Pump/CIP/CIS Equity</v>
      </c>
      <c r="G37" s="129" t="s">
        <v>19</v>
      </c>
      <c r="H37" s="906"/>
      <c r="I37" s="905">
        <f>SUMIF(TB[ACCOUNT CODE (NGAS)],G37,TB[DEBIT/CREDIT])</f>
        <v>0</v>
      </c>
    </row>
    <row r="38" spans="1:9" hidden="1">
      <c r="A38" s="904" t="str">
        <f t="array" ref="A38">INDEX(AccountCodes[ACCOUNT NAME],MATCH(G38,AccountCodes[NGAS CODE],0))</f>
        <v>Accounts Receivable - Others</v>
      </c>
      <c r="G38" s="129" t="s">
        <v>18</v>
      </c>
      <c r="H38" s="906"/>
      <c r="I38" s="905">
        <f>SUMIF(TB[ACCOUNT CODE (NGAS)],G38,TB[DEBIT/CREDIT])</f>
        <v>0</v>
      </c>
    </row>
    <row r="39" spans="1:9" hidden="1">
      <c r="A39" s="904" t="str">
        <f t="array" ref="A39">INDEX(AccountCodes[ACCOUNT NAME],MATCH(G39,AccountCodes[NGAS CODE],0))</f>
        <v>Due from Officers and Employees</v>
      </c>
      <c r="G39" s="129" t="s">
        <v>20</v>
      </c>
      <c r="H39" s="906"/>
      <c r="I39" s="905">
        <f>SUMIF(TB[ACCOUNT CODE (NGAS)],G39,TB[DEBIT/CREDIT])</f>
        <v>73.88</v>
      </c>
    </row>
    <row r="40" spans="1:9" hidden="1">
      <c r="A40" s="904" t="str">
        <f t="array" ref="A40">INDEX(AccountCodes[ACCOUNT NAME],MATCH(G40,AccountCodes[NGAS CODE],0))</f>
        <v>Due from National Government Agencies</v>
      </c>
      <c r="G40" s="129" t="s">
        <v>21</v>
      </c>
      <c r="H40" s="906"/>
      <c r="I40" s="905">
        <f>SUMIF(TB[ACCOUNT CODE (NGAS)],G40,TB[DEBIT/CREDIT])</f>
        <v>0</v>
      </c>
    </row>
    <row r="41" spans="1:9" hidden="1">
      <c r="A41" s="904" t="str">
        <f t="array" ref="A41">INDEX(AccountCodes[ACCOUNT NAME],MATCH(G41,AccountCodes[NGAS CODE],0))</f>
        <v>Due from Government-Owned or Controlled Corporations</v>
      </c>
      <c r="G41" s="129" t="s">
        <v>22</v>
      </c>
      <c r="H41" s="906"/>
      <c r="I41" s="905">
        <f>SUMIF(TB[ACCOUNT CODE (NGAS)],G41,TB[DEBIT/CREDIT])</f>
        <v>0</v>
      </c>
    </row>
    <row r="42" spans="1:9" hidden="1">
      <c r="A42" s="904" t="str">
        <f t="array" ref="A42">INDEX(AccountCodes[ACCOUNT NAME],MATCH(G42,AccountCodes[NGAS CODE],0))</f>
        <v>Due from Other Funds</v>
      </c>
      <c r="G42" s="129" t="s">
        <v>25</v>
      </c>
      <c r="H42" s="906"/>
      <c r="I42" s="905">
        <f>SUMIF(TB[ACCOUNT CODE (NGAS)],G42,TB[DEBIT/CREDIT])</f>
        <v>0</v>
      </c>
    </row>
    <row r="43" spans="1:9" hidden="1">
      <c r="A43" s="904" t="str">
        <f t="array" ref="A43">INDEX(AccountCodes[ACCOUNT NAME],MATCH(G43,AccountCodes[NGAS CODE],0))</f>
        <v>Advances to Officers and Employees</v>
      </c>
      <c r="G43" s="129" t="s">
        <v>27</v>
      </c>
      <c r="H43" s="906"/>
      <c r="I43" s="905">
        <f>SUMIF(TB[ACCOUNT CODE (NGAS)],G43,TB[DEBIT/CREDIT])</f>
        <v>-202360</v>
      </c>
    </row>
    <row r="44" spans="1:9">
      <c r="A44" s="904" t="str">
        <f t="array" ref="A44">INDEX(AccountCodes[ACCOUNT NAME],MATCH(G44,AccountCodes[NGAS CODE],0))</f>
        <v>Other Receivables</v>
      </c>
      <c r="G44" s="129" t="s">
        <v>28</v>
      </c>
      <c r="H44" s="906"/>
      <c r="I44" s="905">
        <f>SUMIF(TB[ACCOUNT CODE (NGAS)],G44,TB[DEBIT/CREDIT])</f>
        <v>0</v>
      </c>
    </row>
    <row r="45" spans="1:9">
      <c r="A45" s="904"/>
      <c r="G45" s="129"/>
      <c r="H45" s="906"/>
      <c r="I45" s="905"/>
    </row>
    <row r="46" spans="1:9" hidden="1">
      <c r="A46" s="904"/>
      <c r="G46" s="129"/>
      <c r="H46" s="906"/>
      <c r="I46" s="905"/>
    </row>
    <row r="47" spans="1:9">
      <c r="A47" s="29" t="s">
        <v>412</v>
      </c>
      <c r="G47" s="129"/>
      <c r="H47" s="906"/>
      <c r="I47" s="905"/>
    </row>
    <row r="48" spans="1:9" hidden="1">
      <c r="A48" s="904" t="str">
        <f t="array" ref="A48">INDEX(AccountCodes[ACCOUNT NAME],MATCH(G48,AccountCodes[NGAS CODE],0))</f>
        <v>Merchandise Inventory</v>
      </c>
      <c r="G48" s="129" t="s">
        <v>29</v>
      </c>
      <c r="H48" s="906"/>
      <c r="I48" s="905">
        <f>SUMIF(TB[ACCOUNT CODE (NGAS)],G48,TB[DEBIT/CREDIT])</f>
        <v>0</v>
      </c>
    </row>
    <row r="49" spans="1:9" hidden="1">
      <c r="A49" s="904" t="str">
        <f t="array" ref="A49">INDEX(AccountCodes[ACCOUNT NAME],MATCH(G49,AccountCodes[NGAS CODE],0))</f>
        <v>Office Supplies Inventory</v>
      </c>
      <c r="G49" s="129" t="s">
        <v>30</v>
      </c>
      <c r="H49" s="906"/>
      <c r="I49" s="905">
        <f>SUMIF(TB[ACCOUNT CODE (NGAS)],G49,TB[DEBIT/CREDIT])</f>
        <v>-41246.959999999999</v>
      </c>
    </row>
    <row r="50" spans="1:9" hidden="1">
      <c r="A50" s="904" t="str">
        <f t="array" ref="A50">INDEX(AccountCodes[ACCOUNT NAME],MATCH(G50,AccountCodes[NGAS CODE],0))</f>
        <v>Other Supplies and Materials Inventory</v>
      </c>
      <c r="G50" s="129" t="s">
        <v>32</v>
      </c>
      <c r="H50" s="906"/>
      <c r="I50" s="905">
        <f>SUMIF(TB[ACCOUNT CODE (NGAS)],G50,TB[DEBIT/CREDIT])</f>
        <v>-69491.350000000006</v>
      </c>
    </row>
    <row r="51" spans="1:9" hidden="1">
      <c r="A51" s="904" t="str">
        <f t="array" ref="A51">INDEX(AccountCodes[ACCOUNT NAME],MATCH(G51,AccountCodes[NGAS CODE],0))</f>
        <v>Semi-Expendable Office Equipment</v>
      </c>
      <c r="G51" s="129" t="s">
        <v>1245</v>
      </c>
      <c r="H51" s="906"/>
      <c r="I51" s="905">
        <f>SUMIF(TB[ACCOUNT CODE (NGAS)],G51,TB[DEBIT/CREDIT])</f>
        <v>189876</v>
      </c>
    </row>
    <row r="52" spans="1:9">
      <c r="A52" s="904" t="str">
        <f t="array" ref="A52">INDEX(AccountCodes[ACCOUNT NAME],MATCH(G52,AccountCodes[NGAS CODE],0))</f>
        <v>Semi-Expendable Technical and Scientific Equipment</v>
      </c>
      <c r="G52" s="129" t="s">
        <v>1256</v>
      </c>
      <c r="H52" s="906"/>
      <c r="I52" s="905">
        <f>SUMIF(TB[ACCOUNT CODE (NGAS)],G52,TB[DEBIT/CREDIT])</f>
        <v>6000</v>
      </c>
    </row>
    <row r="53" spans="1:9" hidden="1">
      <c r="A53" s="904" t="str">
        <f t="array" ref="A53">INDEX(AccountCodes[ACCOUNT NAME],MATCH(G53,AccountCodes[NGAS CODE],0))</f>
        <v>Semi-Expendable Furniture and Fixtures</v>
      </c>
      <c r="G53" s="129" t="s">
        <v>1438</v>
      </c>
      <c r="H53" s="906"/>
      <c r="I53" s="905">
        <f>SUMIF(TB[ACCOUNT CODE (NGAS)],G53,TB[DEBIT/CREDIT])</f>
        <v>-51388</v>
      </c>
    </row>
    <row r="54" spans="1:9">
      <c r="A54" s="904"/>
      <c r="G54" s="129"/>
      <c r="H54" s="906"/>
      <c r="I54" s="905"/>
    </row>
    <row r="55" spans="1:9" hidden="1">
      <c r="A55" s="904"/>
      <c r="G55" s="129"/>
      <c r="H55" s="906"/>
      <c r="I55" s="905"/>
    </row>
    <row r="56" spans="1:9">
      <c r="A56" s="908" t="s">
        <v>71</v>
      </c>
      <c r="G56" s="129"/>
      <c r="H56" s="906"/>
      <c r="I56" s="905"/>
    </row>
    <row r="57" spans="1:9">
      <c r="A57" s="904" t="str">
        <f t="array" ref="A57">INDEX(AccountCodes[ACCOUNT NAME],MATCH(G57,AccountCodes[NGAS CODE],0))</f>
        <v>Advances for Payroll</v>
      </c>
      <c r="G57" s="129" t="s">
        <v>12</v>
      </c>
      <c r="H57" s="906"/>
      <c r="I57" s="905">
        <f>SUMIF(TB[ACCOUNT CODE (NGAS)],G57,TB[DEBIT/CREDIT])</f>
        <v>0</v>
      </c>
    </row>
    <row r="58" spans="1:9">
      <c r="A58" s="904" t="str">
        <f t="array" ref="A58">INDEX(AccountCodes[ACCOUNT NAME],MATCH(G58,AccountCodes[NGAS CODE],0))</f>
        <v>Advances to Contractors</v>
      </c>
      <c r="G58" s="129" t="s">
        <v>35</v>
      </c>
      <c r="H58" s="906"/>
      <c r="I58" s="905">
        <f>SUMIF(TB[ACCOUNT CODE (NGAS)],G58,TB[DEBIT/CREDIT])</f>
        <v>701974.69</v>
      </c>
    </row>
    <row r="59" spans="1:9" hidden="1">
      <c r="A59" s="904" t="str">
        <f t="array" ref="A59">INDEX(AccountCodes[ACCOUNT NAME],MATCH(G59,AccountCodes[NGAS CODE],0))</f>
        <v>Guaranty Deposits</v>
      </c>
      <c r="G59" s="129" t="s">
        <v>37</v>
      </c>
      <c r="H59" s="906"/>
      <c r="I59" s="905">
        <f>SUMIF(TB[ACCOUNT CODE (NGAS)],G59,TB[DEBIT/CREDIT])</f>
        <v>0</v>
      </c>
    </row>
    <row r="60" spans="1:9">
      <c r="A60" s="29" t="s">
        <v>423</v>
      </c>
      <c r="G60" s="129"/>
      <c r="H60" s="906"/>
      <c r="I60" s="909">
        <f>SUM(I15:I59)</f>
        <v>50790411.07</v>
      </c>
    </row>
    <row r="61" spans="1:9">
      <c r="A61" s="904"/>
      <c r="G61" s="129"/>
      <c r="H61" s="906"/>
      <c r="I61" s="905"/>
    </row>
    <row r="62" spans="1:9">
      <c r="A62" s="29" t="s">
        <v>414</v>
      </c>
      <c r="G62" s="129"/>
      <c r="H62" s="906"/>
      <c r="I62" s="905"/>
    </row>
    <row r="63" spans="1:9">
      <c r="A63" s="908" t="s">
        <v>1585</v>
      </c>
      <c r="G63" s="129"/>
      <c r="H63" s="906"/>
      <c r="I63" s="905"/>
    </row>
    <row r="64" spans="1:9">
      <c r="A64" s="904" t="str">
        <f t="array" ref="A64">INDEX(AccountCodes[ACCOUNT NAME],MATCH(G64,AccountCodes[NGAS CODE],0))</f>
        <v>Water Supply Systems</v>
      </c>
      <c r="G64" s="129" t="s">
        <v>60</v>
      </c>
      <c r="H64" s="905">
        <f>SUMIF(TB[ACCOUNT CODE (NGAS)],G64,TB[DEBIT/CREDIT])</f>
        <v>111326096.81999999</v>
      </c>
      <c r="I64" s="905"/>
    </row>
    <row r="65" spans="1:9">
      <c r="A65" s="904" t="str">
        <f t="array" ref="A65">INDEX(AccountCodes[ACCOUNT NAME],MATCH(G65,AccountCodes[NGAS CODE],0))</f>
        <v>Accumulated Depreciation-Water Supply Systems</v>
      </c>
      <c r="G65" s="129" t="s">
        <v>1261</v>
      </c>
      <c r="H65" s="907">
        <f>-SUMIF(TB[ACCOUNT CODE (NGAS)],G65,TB[DEBIT/CREDIT])</f>
        <v>-10951535.060000001</v>
      </c>
      <c r="I65" s="905">
        <f>SUM(H64:H65)</f>
        <v>100374561.76000001</v>
      </c>
    </row>
    <row r="66" spans="1:9">
      <c r="A66" s="904" t="str">
        <f t="array" ref="A66">INDEX(AccountCodes[ACCOUNT NAME],MATCH(G66,AccountCodes[NGAS CODE],0))</f>
        <v>Land</v>
      </c>
      <c r="G66" s="129" t="s">
        <v>38</v>
      </c>
      <c r="H66" s="905">
        <f>SUMIF(TB[ACCOUNT CODE (NGAS)],G66,TB[DEBIT/CREDIT])</f>
        <v>0</v>
      </c>
      <c r="I66" s="905">
        <f>SUMIF(TB[ACCOUNT CODE (NGAS)],G66,TB[DEBIT/CREDIT])</f>
        <v>0</v>
      </c>
    </row>
    <row r="67" spans="1:9">
      <c r="A67" s="904" t="str">
        <f t="array" ref="A67">INDEX(AccountCodes[ACCOUNT NAME],MATCH(G67,AccountCodes[NGAS CODE],0))</f>
        <v>Office Equipment</v>
      </c>
      <c r="G67" s="129" t="s">
        <v>42</v>
      </c>
      <c r="H67" s="905">
        <f>SUMIF(TB[ACCOUNT CODE (NGAS)],G67,TB[DEBIT/CREDIT])</f>
        <v>456823</v>
      </c>
    </row>
    <row r="68" spans="1:9">
      <c r="A68" s="904" t="str">
        <f t="array" ref="A68">INDEX(AccountCodes[ACCOUNT NAME],MATCH(G68,AccountCodes[NGAS CODE],0))</f>
        <v>Accumulated Depreciation-Office Equipment</v>
      </c>
      <c r="G68" s="129" t="s">
        <v>88</v>
      </c>
      <c r="H68" s="907">
        <f>-(SUMIF(TB[ACCOUNT CODE (NGAS)],G68,TB[DEBIT/CREDIT]))</f>
        <v>-101594.86</v>
      </c>
      <c r="I68" s="905">
        <f>SUM(H67:H68)</f>
        <v>355228.14</v>
      </c>
    </row>
    <row r="69" spans="1:9">
      <c r="A69" s="904" t="str">
        <f t="array" ref="A69">INDEX(AccountCodes[ACCOUNT NAME],MATCH(G69,AccountCodes[NGAS CODE],0))</f>
        <v>Information and Communications Technology Equipment</v>
      </c>
      <c r="G69" s="129" t="s">
        <v>44</v>
      </c>
      <c r="H69" s="905">
        <f>SUMIF(TB[ACCOUNT CODE (NGAS)],G69,TB[DEBIT/CREDIT])</f>
        <v>1435246</v>
      </c>
    </row>
    <row r="70" spans="1:9">
      <c r="A70" s="904" t="str">
        <f t="array" ref="A70">INDEX(AccountCodes[ACCOUNT NAME],MATCH(G70,AccountCodes[NGAS CODE],0))</f>
        <v>Accumulated Depreciation-Information and Communications Technology Equipment</v>
      </c>
      <c r="G70" s="129" t="s">
        <v>90</v>
      </c>
      <c r="H70" s="907">
        <f>-(SUMIF(TB[ACCOUNT CODE (NGAS)],G70,TB[DEBIT/CREDIT]))</f>
        <v>-349169.17</v>
      </c>
      <c r="I70" s="905">
        <f>SUM(H69:H70)</f>
        <v>1086076.83</v>
      </c>
    </row>
    <row r="71" spans="1:9">
      <c r="A71" s="904" t="str">
        <f t="array" ref="A71">INDEX(AccountCodes[ACCOUNT NAME],MATCH(G71,AccountCodes[NGAS CODE],0))</f>
        <v>Other Structures</v>
      </c>
      <c r="G71" s="129" t="s">
        <v>41</v>
      </c>
      <c r="H71" s="906"/>
      <c r="I71" s="905">
        <f>SUMIF(TB[ACCOUNT CODE (NGAS)],G71,TB[DEBIT/CREDIT])</f>
        <v>0</v>
      </c>
    </row>
    <row r="72" spans="1:9">
      <c r="A72" s="904" t="str">
        <f t="array" ref="A72">INDEX(AccountCodes[ACCOUNT NAME],MATCH(G72,AccountCodes[NGAS CODE],0))</f>
        <v>Furniture and Fixtures</v>
      </c>
      <c r="G72" s="129" t="s">
        <v>43</v>
      </c>
      <c r="H72" s="905">
        <f>SUMIF(TB[ACCOUNT CODE (NGAS)],G72,TB[DEBIT/CREDIT])</f>
        <v>0</v>
      </c>
    </row>
    <row r="73" spans="1:9">
      <c r="A73" s="904" t="str">
        <f t="array" ref="A73">INDEX(AccountCodes[ACCOUNT NAME],MATCH(G73,AccountCodes[NGAS CODE],0))</f>
        <v>Accumulated Depreciation-Furniture and Fixtures</v>
      </c>
      <c r="G73" s="129" t="s">
        <v>89</v>
      </c>
      <c r="H73" s="907">
        <f>-(SUMIF(TB[ACCOUNT CODE (NGAS)],G73,TB[DEBIT/CREDIT]))</f>
        <v>0</v>
      </c>
      <c r="I73" s="905">
        <f>SUM(H72:H73)</f>
        <v>0</v>
      </c>
    </row>
    <row r="74" spans="1:9">
      <c r="A74" s="904" t="str">
        <f t="array" ref="A74">INDEX(AccountCodes[ACCOUNT NAME],MATCH(G74,AccountCodes[NGAS CODE],0))</f>
        <v>Furniture and Fixtures</v>
      </c>
      <c r="G74" s="129" t="s">
        <v>43</v>
      </c>
      <c r="H74" s="905">
        <f>SUMIF(TB[ACCOUNT CODE (NGAS)],G74,TB[DEBIT/CREDIT])</f>
        <v>0</v>
      </c>
      <c r="I74" s="905"/>
    </row>
    <row r="75" spans="1:9">
      <c r="A75" s="904" t="str">
        <f t="array" ref="A75">INDEX(AccountCodes[ACCOUNT NAME],MATCH(G75,AccountCodes[NGAS CODE],0))</f>
        <v>Accumulated Depreciation-Furniture and Fixtures</v>
      </c>
      <c r="G75" s="129" t="s">
        <v>89</v>
      </c>
      <c r="H75" s="907">
        <f>-SUMIF(TB[ACCOUNT CODE (NGAS)],G75,TB[DEBIT/CREDIT])</f>
        <v>0</v>
      </c>
      <c r="I75" s="905">
        <f>SUM(H74:H75)</f>
        <v>0</v>
      </c>
    </row>
    <row r="76" spans="1:9">
      <c r="A76" s="904" t="str">
        <f t="array" ref="A76">INDEX(AccountCodes[ACCOUNT NAME],MATCH(G76,AccountCodes[NGAS CODE],0))</f>
        <v>Books</v>
      </c>
      <c r="G76" s="129" t="s">
        <v>45</v>
      </c>
      <c r="H76" s="905">
        <f>SUMIF(TB[ACCOUNT CODE (NGAS)],G76,TB[DEBIT/CREDIT])</f>
        <v>0</v>
      </c>
    </row>
    <row r="77" spans="1:9">
      <c r="A77" s="904" t="str">
        <f t="array" ref="A77">INDEX(AccountCodes[ACCOUNT NAME],MATCH(G77,AccountCodes[NGAS CODE],0))</f>
        <v>Accumulated Depreciation-Books</v>
      </c>
      <c r="G77" s="129" t="s">
        <v>91</v>
      </c>
      <c r="H77" s="907">
        <f>-(SUMIF(TB[ACCOUNT CODE (NGAS)],G77,TB[DEBIT/CREDIT]))</f>
        <v>0</v>
      </c>
      <c r="I77" s="905">
        <f>SUM(H76:H77)</f>
        <v>0</v>
      </c>
    </row>
    <row r="78" spans="1:9">
      <c r="A78" s="904" t="str">
        <f t="array" ref="A78">INDEX(AccountCodes[ACCOUNT NAME],MATCH(G78,AccountCodes[NGAS CODE],0))</f>
        <v>Machinery</v>
      </c>
      <c r="G78" s="129" t="s">
        <v>46</v>
      </c>
      <c r="H78" s="905">
        <f>SUMIF(TB[ACCOUNT CODE (NGAS)],G78,TB[DEBIT/CREDIT])</f>
        <v>0</v>
      </c>
    </row>
    <row r="79" spans="1:9">
      <c r="A79" s="904" t="str">
        <f t="array" ref="A79">INDEX(AccountCodes[ACCOUNT NAME],MATCH(G79,AccountCodes[NGAS CODE],0))</f>
        <v>Accumulated Depreciation-Machinery</v>
      </c>
      <c r="G79" s="129" t="s">
        <v>92</v>
      </c>
      <c r="H79" s="907">
        <f>-(SUMIF(TB[ACCOUNT CODE (NGAS)],G79,TB[DEBIT/CREDIT]))</f>
        <v>0</v>
      </c>
      <c r="I79" s="905">
        <f>SUM(H78:H79)</f>
        <v>0</v>
      </c>
    </row>
    <row r="80" spans="1:9">
      <c r="A80" s="904" t="str">
        <f t="array" ref="A80">INDEX(AccountCodes[ACCOUNT NAME],MATCH(G80,AccountCodes[NGAS CODE],0))</f>
        <v>Agricultural and Forestry Equipment</v>
      </c>
      <c r="G80" s="129" t="s">
        <v>47</v>
      </c>
      <c r="H80" s="906"/>
      <c r="I80" s="905">
        <f>SUMIF(TB[ACCOUNT CODE (NGAS)],G80,TB[DEBIT/CREDIT])</f>
        <v>0</v>
      </c>
    </row>
    <row r="81" spans="1:9">
      <c r="A81" s="904" t="str">
        <f t="array" ref="A81">INDEX(AccountCodes[ACCOUNT NAME],MATCH(G81,AccountCodes[NGAS CODE],0))</f>
        <v>Communication Equipment</v>
      </c>
      <c r="G81" s="129" t="s">
        <v>48</v>
      </c>
      <c r="H81" s="905">
        <f>SUMIF(TB[ACCOUNT CODE (NGAS)],G81,TB[DEBIT/CREDIT])</f>
        <v>0</v>
      </c>
    </row>
    <row r="82" spans="1:9">
      <c r="A82" s="904" t="str">
        <f t="array" ref="A82">INDEX(AccountCodes[ACCOUNT NAME],MATCH(G82,AccountCodes[NGAS CODE],0))</f>
        <v>Accumulated Depreciation-Communication Equipment</v>
      </c>
      <c r="G82" s="129" t="s">
        <v>94</v>
      </c>
      <c r="H82" s="907">
        <f>-(SUMIF(TB[ACCOUNT CODE (NGAS)],G82,TB[DEBIT/CREDIT]))</f>
        <v>0</v>
      </c>
      <c r="I82" s="905">
        <f>SUM(H81:H82)</f>
        <v>0</v>
      </c>
    </row>
    <row r="83" spans="1:9">
      <c r="A83" s="904" t="str">
        <f t="array" ref="A83">INDEX(AccountCodes[ACCOUNT NAME],MATCH(G83,AccountCodes[NGAS CODE],0))</f>
        <v>Construction and Heavy Equipment</v>
      </c>
      <c r="G83" s="129" t="s">
        <v>49</v>
      </c>
      <c r="H83" s="905">
        <f>SUMIF(TB[ACCOUNT CODE (NGAS)],G83,TB[DEBIT/CREDIT])</f>
        <v>0</v>
      </c>
    </row>
    <row r="84" spans="1:9">
      <c r="A84" s="904" t="str">
        <f t="array" ref="A84">INDEX(AccountCodes[ACCOUNT NAME],MATCH(G84,AccountCodes[NGAS CODE],0))</f>
        <v>Accumulated Depreciation-Construction and Heavy Equipment</v>
      </c>
      <c r="G84" s="129" t="s">
        <v>95</v>
      </c>
      <c r="H84" s="907">
        <f>-(SUMIF(TB[ACCOUNT CODE (NGAS)],G84,TB[DEBIT/CREDIT]))</f>
        <v>0</v>
      </c>
      <c r="I84" s="905">
        <f>SUM(H83:H84)</f>
        <v>0</v>
      </c>
    </row>
    <row r="85" spans="1:9">
      <c r="A85" s="904" t="str">
        <f t="array" ref="A85">INDEX(AccountCodes[ACCOUNT NAME],MATCH(G85,AccountCodes[NGAS CODE],0))</f>
        <v>Disaster Response and Rescue Equipment</v>
      </c>
      <c r="G85" s="129" t="s">
        <v>50</v>
      </c>
      <c r="H85" s="905">
        <f>SUMIF(TB[ACCOUNT CODE (NGAS)],G85,TB[DEBIT/CREDIT])</f>
        <v>0</v>
      </c>
    </row>
    <row r="86" spans="1:9">
      <c r="A86" s="904" t="str">
        <f t="array" ref="A86">INDEX(AccountCodes[ACCOUNT NAME],MATCH(G86,AccountCodes[NGAS CODE],0))</f>
        <v>Accumulated Depreciation-Disaster Response and Rescue Equipment</v>
      </c>
      <c r="G86" s="129" t="s">
        <v>96</v>
      </c>
      <c r="H86" s="907">
        <f>-(SUMIF(TB[ACCOUNT CODE (NGAS)],G86,TB[DEBIT/CREDIT]))</f>
        <v>0</v>
      </c>
      <c r="I86" s="905">
        <f>SUM(H85:H86)</f>
        <v>0</v>
      </c>
    </row>
    <row r="87" spans="1:9">
      <c r="A87" s="904" t="str">
        <f t="array" ref="A87">INDEX(AccountCodes[ACCOUNT NAME],MATCH(G87,AccountCodes[NGAS CODE],0))</f>
        <v>Medical Equipment</v>
      </c>
      <c r="G87" s="129" t="s">
        <v>406</v>
      </c>
      <c r="H87" s="906"/>
      <c r="I87" s="905">
        <f>SUMIF(TB[ACCOUNT CODE (NGAS)],G87,TB[DEBIT/CREDIT])</f>
        <v>0</v>
      </c>
    </row>
    <row r="88" spans="1:9">
      <c r="A88" s="904" t="str">
        <f t="array" ref="A88">INDEX(AccountCodes[ACCOUNT NAME],MATCH(G88,AccountCodes[NGAS CODE],0))</f>
        <v>Military, Police and Security Equipment</v>
      </c>
      <c r="G88" s="129" t="s">
        <v>51</v>
      </c>
      <c r="H88" s="906"/>
      <c r="I88" s="905">
        <f>SUMIF(TB[ACCOUNT CODE (NGAS)],G88,TB[DEBIT/CREDIT])</f>
        <v>0</v>
      </c>
    </row>
    <row r="89" spans="1:9">
      <c r="A89" s="904" t="str">
        <f t="array" ref="A89">INDEX(AccountCodes[ACCOUNT NAME],MATCH(G89,AccountCodes[NGAS CODE],0))</f>
        <v>Technical and Scientific Equipment</v>
      </c>
      <c r="G89" s="129" t="s">
        <v>53</v>
      </c>
      <c r="H89" s="905">
        <f>SUMIF(TB[ACCOUNT CODE (NGAS)],G89,TB[DEBIT/CREDIT])</f>
        <v>0</v>
      </c>
    </row>
    <row r="90" spans="1:9">
      <c r="A90" s="904" t="str">
        <f t="array" ref="A90">INDEX(AccountCodes[ACCOUNT NAME],MATCH(G90,AccountCodes[NGAS CODE],0))</f>
        <v>Accumulated Depreciation-Technical and Scientific Equipment</v>
      </c>
      <c r="G90" s="129" t="s">
        <v>99</v>
      </c>
      <c r="H90" s="907">
        <f>-(SUMIF(TB[ACCOUNT CODE (NGAS)],G90,TB[DEBIT/CREDIT]))</f>
        <v>0</v>
      </c>
      <c r="I90" s="905">
        <f>SUM(H89:H90)</f>
        <v>0</v>
      </c>
    </row>
    <row r="91" spans="1:9">
      <c r="A91" s="904" t="str">
        <f t="array" ref="A91">INDEX(AccountCodes[ACCOUNT NAME],MATCH(G91,AccountCodes[NGAS CODE],0))</f>
        <v>Other Machinery and Equipment</v>
      </c>
      <c r="G91" s="129" t="s">
        <v>54</v>
      </c>
      <c r="H91" s="905">
        <f>SUMIF(TB[ACCOUNT CODE (NGAS)],G91,TB[DEBIT/CREDIT])</f>
        <v>0</v>
      </c>
    </row>
    <row r="92" spans="1:9">
      <c r="A92" s="904" t="str">
        <f t="array" ref="A92">INDEX(AccountCodes[ACCOUNT NAME],MATCH(G92,AccountCodes[NGAS CODE],0))</f>
        <v>Accumulated Depreciation-Other Machinery and Equipment</v>
      </c>
      <c r="G92" s="129" t="s">
        <v>100</v>
      </c>
      <c r="H92" s="907">
        <f>-(SUMIF(TB[ACCOUNT CODE (NGAS)],G92,TB[DEBIT/CREDIT]))</f>
        <v>0</v>
      </c>
      <c r="I92" s="905">
        <f>SUM(H91:H92)</f>
        <v>0</v>
      </c>
    </row>
    <row r="93" spans="1:9">
      <c r="A93" s="904" t="str">
        <f t="array" ref="A93">INDEX(AccountCodes[ACCOUNT NAME],MATCH(G93,AccountCodes[NGAS CODE],0))</f>
        <v>Motor Vehicles</v>
      </c>
      <c r="G93" s="129" t="s">
        <v>55</v>
      </c>
      <c r="H93" s="905">
        <f>SUMIF(TB[ACCOUNT CODE (NGAS)],G93,TB[DEBIT/CREDIT])</f>
        <v>0</v>
      </c>
    </row>
    <row r="94" spans="1:9">
      <c r="A94" s="904" t="str">
        <f t="array" ref="A94">INDEX(AccountCodes[ACCOUNT NAME],MATCH(G94,AccountCodes[NGAS CODE],0))</f>
        <v>Accumulated Depreciation-Motor Vehicles</v>
      </c>
      <c r="G94" s="129" t="s">
        <v>101</v>
      </c>
      <c r="H94" s="907">
        <f>-(SUMIF(TB[ACCOUNT CODE (NGAS)],G94,TB[DEBIT/CREDIT]))</f>
        <v>0</v>
      </c>
      <c r="I94" s="905">
        <f>SUM(H93:H94)</f>
        <v>0</v>
      </c>
    </row>
    <row r="95" spans="1:9">
      <c r="A95" s="904" t="str">
        <f t="array" ref="A95">INDEX(AccountCodes[ACCOUNT NAME],MATCH(G95,AccountCodes[NGAS CODE],0))</f>
        <v>Watercrafts</v>
      </c>
      <c r="G95" s="129" t="s">
        <v>57</v>
      </c>
      <c r="H95" s="905">
        <f>SUMIF(TB[ACCOUNT CODE (NGAS)],G95,TB[DEBIT/CREDIT])</f>
        <v>0</v>
      </c>
    </row>
    <row r="96" spans="1:9">
      <c r="A96" s="904" t="str">
        <f t="array" ref="A96">INDEX(AccountCodes[ACCOUNT NAME],MATCH(G96,AccountCodes[NGAS CODE],0))</f>
        <v>Accumulated Depreciation-Watercrafts</v>
      </c>
      <c r="G96" s="129" t="s">
        <v>103</v>
      </c>
      <c r="H96" s="907">
        <f>-(SUMIF(TB[ACCOUNT CODE (NGAS)],G96,TB[DEBIT/CREDIT]))</f>
        <v>0</v>
      </c>
      <c r="I96" s="905">
        <f>SUM(H95:H96)</f>
        <v>0</v>
      </c>
    </row>
    <row r="97" spans="1:9">
      <c r="A97" s="904" t="str">
        <f t="array" ref="A97">INDEX(AccountCodes[ACCOUNT NAME],MATCH(G97,AccountCodes[NGAS CODE],0))</f>
        <v>Other Transportation Equipment</v>
      </c>
      <c r="G97" s="129" t="s">
        <v>58</v>
      </c>
      <c r="H97" s="906"/>
      <c r="I97" s="905">
        <f>SUMIF(TB[ACCOUNT CODE (NGAS)],G97,TB[DEBIT/CREDIT])</f>
        <v>0</v>
      </c>
    </row>
    <row r="98" spans="1:9">
      <c r="A98" s="904" t="str">
        <f t="array" ref="A98">INDEX(AccountCodes[ACCOUNT NAME],MATCH(G98,AccountCodes[NGAS CODE],0))</f>
        <v>Furniture and Fixtures</v>
      </c>
      <c r="G98" s="129" t="s">
        <v>43</v>
      </c>
      <c r="H98" s="905">
        <f>SUMIF(TB[ACCOUNT CODE (NGAS)],G98,TB[DEBIT/CREDIT])</f>
        <v>0</v>
      </c>
    </row>
    <row r="99" spans="1:9">
      <c r="A99" s="904" t="str">
        <f t="array" ref="A99">INDEX(AccountCodes[ACCOUNT NAME],MATCH(G99,AccountCodes[NGAS CODE],0))</f>
        <v>Accumulated Impairment Losses-Other Assets</v>
      </c>
      <c r="G99" s="129" t="s">
        <v>509</v>
      </c>
      <c r="H99" s="907">
        <f>-(SUMIF(TB[ACCOUNT CODE (NGAS)],G99,TB[DEBIT/CREDIT]))</f>
        <v>0</v>
      </c>
      <c r="I99" s="905">
        <f>SUM(H98:H99)</f>
        <v>0</v>
      </c>
    </row>
    <row r="100" spans="1:9">
      <c r="A100" s="904" t="str">
        <f t="array" ref="A100">INDEX(AccountCodes[ACCOUNT NAME],MATCH(G100,AccountCodes[NGAS CODE],0))</f>
        <v>Construction in Progress-Infrastructure Assets (Agency Assets)</v>
      </c>
      <c r="G100" s="129" t="s">
        <v>61</v>
      </c>
      <c r="H100" s="906"/>
      <c r="I100" s="905">
        <f>SUMIF(TB[ACCOUNT CODE (NGAS)],G100,TB[DEBIT/CREDIT])</f>
        <v>0</v>
      </c>
    </row>
    <row r="101" spans="1:9">
      <c r="A101" s="904" t="str">
        <f t="array" ref="A101">INDEX(AccountCodes[ACCOUNT NAME],MATCH(G101,AccountCodes[NGAS CODE],0))</f>
        <v>Construction in Progress-Infrastructure Assets (Artesian Wells, Reservoirs, Pumping Stations &amp; Conduits)</v>
      </c>
      <c r="G101" s="129" t="s">
        <v>62</v>
      </c>
      <c r="H101" s="906"/>
      <c r="I101" s="905">
        <f>SUMIF(TB[ACCOUNT CODE (NGAS)],G101,TB[DEBIT/CREDIT])</f>
        <v>0</v>
      </c>
    </row>
    <row r="102" spans="1:9">
      <c r="A102" s="904"/>
      <c r="G102" s="129"/>
      <c r="H102" s="906"/>
      <c r="I102" s="905"/>
    </row>
    <row r="103" spans="1:9">
      <c r="A103" s="904" t="str">
        <f t="array" ref="A103">INDEX(AccountCodes[ACCOUNT NAME],MATCH(G103,AccountCodes[NGAS CODE],0))</f>
        <v>Construction in Progress-Infrastructure Assets (Irrigation, Canals and Laterals)</v>
      </c>
      <c r="G103" s="129" t="s">
        <v>82</v>
      </c>
      <c r="H103" s="906"/>
      <c r="I103" s="905">
        <f>SUMIF(TB[ACCOUNT CODE (NGAS)],G103,TB[DEBIT/CREDIT])</f>
        <v>44408723.700000003</v>
      </c>
    </row>
    <row r="104" spans="1:9">
      <c r="A104" s="904" t="str">
        <f t="array" ref="A104">INDEX(AccountCodes[ACCOUNT NAME],MATCH(G104,AccountCodes[NGAS CODE],0))</f>
        <v>Other Assets</v>
      </c>
      <c r="G104" s="129" t="s">
        <v>83</v>
      </c>
      <c r="H104" s="906"/>
      <c r="I104" s="905">
        <f>SUMIF(TB[ACCOUNT CODE (NGAS)],G104,TB[DEBIT/CREDIT])</f>
        <v>0</v>
      </c>
    </row>
    <row r="105" spans="1:9">
      <c r="A105" s="29" t="s">
        <v>424</v>
      </c>
      <c r="G105" s="129"/>
      <c r="H105" s="906"/>
      <c r="I105" s="909">
        <f>SUM(I64:I104)</f>
        <v>146224590.43000001</v>
      </c>
    </row>
    <row r="106" spans="1:9" ht="16.5" thickBot="1">
      <c r="A106" s="29" t="s">
        <v>425</v>
      </c>
      <c r="G106" s="129"/>
      <c r="H106" s="906"/>
      <c r="I106" s="910">
        <f>I105+I60</f>
        <v>197015001.5</v>
      </c>
    </row>
    <row r="107" spans="1:9" ht="16.5" thickTop="1">
      <c r="A107" s="29"/>
      <c r="G107" s="129"/>
      <c r="H107" s="906"/>
      <c r="I107" s="911"/>
    </row>
    <row r="108" spans="1:9">
      <c r="A108" s="904"/>
      <c r="G108" s="129"/>
      <c r="H108" s="906"/>
      <c r="I108" s="905"/>
    </row>
    <row r="109" spans="1:9">
      <c r="A109" s="908" t="s">
        <v>415</v>
      </c>
      <c r="G109" s="129"/>
      <c r="H109" s="906"/>
      <c r="I109" s="905"/>
    </row>
    <row r="110" spans="1:9">
      <c r="A110" s="908" t="s">
        <v>416</v>
      </c>
      <c r="G110" s="129"/>
      <c r="H110" s="906"/>
      <c r="I110" s="905"/>
    </row>
    <row r="111" spans="1:9">
      <c r="A111" s="29" t="s">
        <v>417</v>
      </c>
      <c r="G111" s="129"/>
      <c r="H111" s="906"/>
      <c r="I111" s="905"/>
    </row>
    <row r="112" spans="1:9">
      <c r="A112" s="904" t="str">
        <f t="array" ref="A112">INDEX(AccountCodes[ACCOUNT NAME],MATCH(G112,AccountCodes[NGAS CODE],0))</f>
        <v>Accounts Payable</v>
      </c>
      <c r="G112" s="129" t="s">
        <v>106</v>
      </c>
      <c r="H112" s="906"/>
      <c r="I112" s="905">
        <f>SUMIF(TB[ACCOUNT CODE (NGAS)],G112,TB[DEBIT/CREDIT])</f>
        <v>921711.42</v>
      </c>
    </row>
    <row r="113" spans="1:9">
      <c r="A113" s="904" t="str">
        <f t="array" ref="A113">INDEX(AccountCodes[ACCOUNT NAME],MATCH(G113,AccountCodes[NGAS CODE],0))</f>
        <v>Due to Officers and Employees</v>
      </c>
      <c r="G113" s="129" t="s">
        <v>108</v>
      </c>
      <c r="H113" s="906"/>
      <c r="I113" s="905">
        <f>SUMIF(TB[ACCOUNT CODE (NGAS)],G113,TB[DEBIT/CREDIT])</f>
        <v>0</v>
      </c>
    </row>
    <row r="114" spans="1:9">
      <c r="A114" s="904" t="str">
        <f t="array" ref="A114">INDEX(AccountCodes[ACCOUNT NAME],MATCH(G114,AccountCodes[NGAS CODE],0))</f>
        <v>Due to BIR - Compensation</v>
      </c>
      <c r="G114" s="129" t="s">
        <v>1546</v>
      </c>
      <c r="H114" s="906"/>
      <c r="I114" s="905">
        <f>SUMIF(TB[ACCOUNT CODE (NGAS)],G114,TB[DEBIT/CREDIT])</f>
        <v>870.06</v>
      </c>
    </row>
    <row r="115" spans="1:9">
      <c r="A115" s="904" t="str">
        <f t="array" ref="A115">INDEX(AccountCodes[ACCOUNT NAME],MATCH(G115,AccountCodes[NGAS CODE],0))</f>
        <v>Due to BIR - 5%</v>
      </c>
      <c r="G115" s="129" t="s">
        <v>1548</v>
      </c>
      <c r="H115" s="906"/>
      <c r="I115" s="905">
        <f>SUMIF(TB[ACCOUNT CODE (NGAS)],G115,TB[DEBIT/CREDIT])</f>
        <v>7649.33</v>
      </c>
    </row>
    <row r="116" spans="1:9">
      <c r="A116" s="904" t="str">
        <f t="array" ref="A116">INDEX(AccountCodes[ACCOUNT NAME],MATCH(G116,AccountCodes[NGAS CODE],0))</f>
        <v>Due to BIR - 3%</v>
      </c>
      <c r="G116" s="129" t="s">
        <v>1549</v>
      </c>
      <c r="H116" s="906"/>
      <c r="I116" s="905">
        <f>SUMIF(TB[ACCOUNT CODE (NGAS)],G116,TB[DEBIT/CREDIT])</f>
        <v>0</v>
      </c>
    </row>
    <row r="117" spans="1:9">
      <c r="A117" s="904" t="str">
        <f t="array" ref="A117">INDEX(AccountCodes[ACCOUNT NAME],MATCH(G117,AccountCodes[NGAS CODE],0))</f>
        <v>Due to BIR - 2%</v>
      </c>
      <c r="G117" s="129" t="s">
        <v>1550</v>
      </c>
      <c r="H117" s="906"/>
      <c r="I117" s="905">
        <f>SUMIF(TB[ACCOUNT CODE (NGAS)],G117,TB[DEBIT/CREDIT])</f>
        <v>0</v>
      </c>
    </row>
    <row r="118" spans="1:9">
      <c r="A118" s="904" t="str">
        <f t="array" ref="A118">INDEX(AccountCodes[ACCOUNT NAME],MATCH(G118,AccountCodes[NGAS CODE],0))</f>
        <v>Due to BIR - 1%</v>
      </c>
      <c r="G118" s="129" t="s">
        <v>1554</v>
      </c>
      <c r="H118" s="906"/>
      <c r="I118" s="905">
        <f>SUMIF(TB[ACCOUNT CODE (NGAS)],G118,TB[DEBIT/CREDIT])</f>
        <v>1529.87</v>
      </c>
    </row>
    <row r="119" spans="1:9">
      <c r="A119" s="904" t="str">
        <f t="array" ref="A119">INDEX(AccountCodes[ACCOUNT NAME],MATCH(G119,AccountCodes[NGAS CODE],0))</f>
        <v>Due to GSIS - Life and Retirement Premium</v>
      </c>
      <c r="G119" s="129" t="s">
        <v>1440</v>
      </c>
      <c r="H119" s="906"/>
      <c r="I119" s="905">
        <f>SUMIF(TB[ACCOUNT CODE (NGAS)],G119,TB[DEBIT/CREDIT])</f>
        <v>10385.82</v>
      </c>
    </row>
    <row r="120" spans="1:9">
      <c r="A120" s="904" t="str">
        <f t="array" ref="A120">INDEX(AccountCodes[ACCOUNT NAME],MATCH(G120,AccountCodes[NGAS CODE],0))</f>
        <v>Due to GSIS - Salary Loan</v>
      </c>
      <c r="G120" s="129" t="s">
        <v>1498</v>
      </c>
      <c r="H120" s="906"/>
      <c r="I120" s="905">
        <f>SUMIF(TB[ACCOUNT CODE (NGAS)],G120,TB[DEBIT/CREDIT])</f>
        <v>0</v>
      </c>
    </row>
    <row r="121" spans="1:9">
      <c r="A121" s="904" t="str">
        <f t="array" ref="A121">INDEX(AccountCodes[ACCOUNT NAME],MATCH(G121,AccountCodes[NGAS CODE],0))</f>
        <v>Due to Pag-IBIG - Pag-IBIG Premium</v>
      </c>
      <c r="G121" s="129" t="s">
        <v>1444</v>
      </c>
      <c r="H121" s="906"/>
      <c r="I121" s="905">
        <f>SUMIF(TB[ACCOUNT CODE (NGAS)],G121,TB[DEBIT/CREDIT])</f>
        <v>2900</v>
      </c>
    </row>
    <row r="122" spans="1:9">
      <c r="A122" s="904" t="str">
        <f t="array" ref="A122">INDEX(AccountCodes[ACCOUNT NAME],MATCH(G122,AccountCodes[NGAS CODE],0))</f>
        <v>Due to Pag-IBIG - Pag-IBIG Multi-Purpose Loan</v>
      </c>
      <c r="G122" s="129" t="s">
        <v>1445</v>
      </c>
      <c r="H122" s="906"/>
      <c r="I122" s="905">
        <f>SUMIF(TB[ACCOUNT CODE (NGAS)],G122,TB[DEBIT/CREDIT])</f>
        <v>2825.02</v>
      </c>
    </row>
    <row r="123" spans="1:9">
      <c r="A123" s="904" t="str">
        <f t="array" ref="A123">INDEX(AccountCodes[ACCOUNT NAME],MATCH(G123,AccountCodes[NGAS CODE],0))</f>
        <v>Due to Pag-IBIG - Calamity Loan</v>
      </c>
      <c r="G123" s="129" t="s">
        <v>1506</v>
      </c>
      <c r="H123" s="906"/>
      <c r="I123" s="905">
        <f>SUMIF(TB[ACCOUNT CODE (NGAS)],G123,TB[DEBIT/CREDIT])</f>
        <v>0</v>
      </c>
    </row>
    <row r="124" spans="1:9">
      <c r="A124" s="904" t="str">
        <f t="array" ref="A124">INDEX(AccountCodes[ACCOUNT NAME],MATCH(G124,AccountCodes[NGAS CODE],0))</f>
        <v>Due to PhilHealth</v>
      </c>
      <c r="G124" s="129" t="s">
        <v>112</v>
      </c>
      <c r="H124" s="906"/>
      <c r="I124" s="905">
        <f>SUMIF(TB[ACCOUNT CODE (NGAS)],G124,TB[DEBIT/CREDIT])</f>
        <v>73.88</v>
      </c>
    </row>
    <row r="125" spans="1:9" hidden="1">
      <c r="A125" s="904" t="str">
        <f t="array" ref="A125">INDEX(AccountCodes[ACCOUNT NAME],MATCH(G125,AccountCodes[NGAS CODE],0))</f>
        <v>Due to NGAs</v>
      </c>
      <c r="G125" s="129" t="s">
        <v>113</v>
      </c>
      <c r="H125" s="906"/>
      <c r="I125" s="905">
        <f>SUMIF(TB[ACCOUNT CODE (NGAS)],G125,TB[DEBIT/CREDIT])</f>
        <v>0</v>
      </c>
    </row>
    <row r="126" spans="1:9">
      <c r="A126" s="904" t="str">
        <f t="array" ref="A126">INDEX(AccountCodes[ACCOUNT NAME],MATCH(G126,AccountCodes[NGAS CODE],0))</f>
        <v>Due to the Treasurer of the Philippines</v>
      </c>
      <c r="G126" s="129" t="s">
        <v>1496</v>
      </c>
      <c r="H126" s="906"/>
      <c r="I126" s="905">
        <f>SUMIF(TB[ACCOUNT CODE (NGAS)],G126,TB[DEBIT/CREDIT])</f>
        <v>6333.46</v>
      </c>
    </row>
    <row r="127" spans="1:9" hidden="1">
      <c r="A127" s="904" t="str">
        <f t="array" ref="A127">INDEX(AccountCodes[ACCOUNT NAME],MATCH(G127,AccountCodes[NGAS CODE],0))</f>
        <v>Due to Central Office</v>
      </c>
      <c r="G127" s="129" t="s">
        <v>407</v>
      </c>
      <c r="H127" s="906"/>
      <c r="I127" s="905">
        <f>SUMIF(TB[ACCOUNT CODE (NGAS)],G127,TB[DEBIT/CREDIT])</f>
        <v>0</v>
      </c>
    </row>
    <row r="128" spans="1:9" hidden="1">
      <c r="A128" s="904" t="str">
        <f t="array" ref="A128">INDEX(AccountCodes[ACCOUNT NAME],MATCH(G128,AccountCodes[NGAS CODE],0))</f>
        <v>Due to Other Funds</v>
      </c>
      <c r="G128" s="129" t="s">
        <v>114</v>
      </c>
      <c r="H128" s="906"/>
      <c r="I128" s="905">
        <f>SUMIF(TB[ACCOUNT CODE (NGAS)],G128,TB[DEBIT/CREDIT])</f>
        <v>10000</v>
      </c>
    </row>
    <row r="129" spans="1:9">
      <c r="A129" s="904" t="str">
        <f t="array" ref="A129">INDEX(AccountCodes[ACCOUNT NAME],MATCH(G129,AccountCodes[NGAS CODE],0))</f>
        <v>Guaranty/Security Deposits Payable</v>
      </c>
      <c r="G129" s="129" t="s">
        <v>115</v>
      </c>
      <c r="H129" s="906"/>
      <c r="I129" s="905">
        <f>SUMIF(TB[ACCOUNT CODE (NGAS)],G129,TB[DEBIT/CREDIT])</f>
        <v>3150621.44</v>
      </c>
    </row>
    <row r="130" spans="1:9" hidden="1">
      <c r="A130" s="904" t="str">
        <f t="array" ref="A130">INDEX(AccountCodes[ACCOUNT NAME],MATCH(G130,AccountCodes[NGAS CODE],0))</f>
        <v>Bail Bonds Payable</v>
      </c>
      <c r="G130" s="129" t="s">
        <v>116</v>
      </c>
      <c r="H130" s="906"/>
      <c r="I130" s="905">
        <f>SUMIF(TB[ACCOUNT CODE (NGAS)],G130,TB[DEBIT/CREDIT])</f>
        <v>0</v>
      </c>
    </row>
    <row r="131" spans="1:9">
      <c r="A131" s="904" t="str">
        <f t="array" ref="A131">INDEX(AccountCodes[ACCOUNT NAME],MATCH(G131,AccountCodes[NGAS CODE],0))</f>
        <v>Other Payables</v>
      </c>
      <c r="G131" s="129" t="s">
        <v>117</v>
      </c>
      <c r="H131" s="906"/>
      <c r="I131" s="905">
        <f>SUMIF(TB[ACCOUNT CODE (NGAS)],G131,TB[DEBIT/CREDIT])</f>
        <v>2676406.96</v>
      </c>
    </row>
    <row r="132" spans="1:9">
      <c r="A132" s="29" t="s">
        <v>421</v>
      </c>
      <c r="G132" s="129"/>
      <c r="H132" s="906"/>
      <c r="I132" s="909">
        <f>SUM(I112:I131)</f>
        <v>6791307.2599999998</v>
      </c>
    </row>
    <row r="133" spans="1:9">
      <c r="A133" s="904"/>
      <c r="G133" s="129"/>
      <c r="H133" s="906"/>
      <c r="I133" s="905"/>
    </row>
    <row r="134" spans="1:9">
      <c r="A134" s="29" t="s">
        <v>422</v>
      </c>
      <c r="G134" s="129"/>
      <c r="H134" s="906"/>
      <c r="I134" s="905"/>
    </row>
    <row r="135" spans="1:9">
      <c r="A135" s="29" t="s">
        <v>418</v>
      </c>
      <c r="G135" s="129"/>
      <c r="H135" s="906"/>
      <c r="I135" s="905"/>
    </row>
    <row r="136" spans="1:9" hidden="1">
      <c r="A136" s="904" t="str">
        <f t="array" ref="A136">INDEX(AccountCodes[ACCOUNT NAME],MATCH(G136,AccountCodes[NGAS CODE],0))</f>
        <v>Other Deferred Credits (Irrigation Service Fee)</v>
      </c>
      <c r="G136" s="129" t="s">
        <v>120</v>
      </c>
      <c r="H136" s="906"/>
      <c r="I136" s="905">
        <f>SUMIF(TB[ACCOUNT CODE (NGAS)],G136,TB[DEBIT/CREDIT])</f>
        <v>0</v>
      </c>
    </row>
    <row r="137" spans="1:9" hidden="1">
      <c r="A137" s="904" t="str">
        <f t="array" ref="A137">INDEX(AccountCodes[ACCOUNT NAME],MATCH(G137,AccountCodes[NGAS CODE],0))</f>
        <v>Other Deferred Credits (PA/CIS/CIP Equity)</v>
      </c>
      <c r="G137" s="129" t="s">
        <v>8</v>
      </c>
      <c r="H137" s="906"/>
      <c r="I137" s="905">
        <f>SUMIF(TB[ACCOUNT CODE (NGAS)],G137,TB[DEBIT/CREDIT])</f>
        <v>0</v>
      </c>
    </row>
    <row r="138" spans="1:9">
      <c r="A138" s="904" t="str">
        <f t="array" ref="A138">INDEX(AccountCodes[ACCOUNT NAME],MATCH(G138,AccountCodes[NGAS CODE],0))</f>
        <v>Other Unearned Revenue</v>
      </c>
      <c r="G138" s="129" t="s">
        <v>121</v>
      </c>
      <c r="H138" s="906"/>
      <c r="I138" s="905">
        <f>SUMIF(TB[ACCOUNT CODE (NGAS)],G138,TB[DEBIT/CREDIT])</f>
        <v>0</v>
      </c>
    </row>
    <row r="139" spans="1:9">
      <c r="A139" s="29" t="s">
        <v>512</v>
      </c>
      <c r="G139" s="129"/>
      <c r="H139" s="906"/>
      <c r="I139" s="909">
        <f>SUM(I136:I138)</f>
        <v>0</v>
      </c>
    </row>
    <row r="140" spans="1:9">
      <c r="A140" s="29" t="s">
        <v>511</v>
      </c>
      <c r="G140" s="129"/>
      <c r="H140" s="906"/>
      <c r="I140" s="909">
        <f>I132+I139</f>
        <v>6791307.2599999998</v>
      </c>
    </row>
    <row r="141" spans="1:9">
      <c r="A141" s="904"/>
      <c r="G141" s="129"/>
      <c r="H141" s="906"/>
      <c r="I141" s="905"/>
    </row>
    <row r="142" spans="1:9">
      <c r="A142" s="29" t="s">
        <v>513</v>
      </c>
      <c r="G142" s="129"/>
      <c r="H142" s="906"/>
      <c r="I142" s="905"/>
    </row>
    <row r="143" spans="1:9">
      <c r="A143" s="904" t="str">
        <f t="array" ref="A143">INDEX(AccountCodes[ACCOUNT NAME],MATCH(G143,AccountCodes[NGAS CODE],0))</f>
        <v>Accumulated Surplus/(Deficit) (Government Equity)</v>
      </c>
      <c r="G143" s="129" t="s">
        <v>122</v>
      </c>
      <c r="H143" s="906"/>
      <c r="I143" s="905">
        <f>SUMIF(TB[ACCOUNT CODE (NGAS)],G143,TB[DEBIT/CREDIT])</f>
        <v>117185238.28</v>
      </c>
    </row>
    <row r="144" spans="1:9">
      <c r="A144" s="904" t="str">
        <f t="array" ref="A144">INDEX(AccountCodes[ACCOUNT NAME],MATCH(G144,AccountCodes[NGAS CODE],0))</f>
        <v>Accumulated Surplus/(Deficit) (Retained Earnings)</v>
      </c>
      <c r="G144" s="129" t="s">
        <v>123</v>
      </c>
      <c r="H144" s="906"/>
      <c r="I144" s="905">
        <f>SUMIF(TB[ACCOUNT CODE (NGAS)],G144,TB[DEBIT/CREDIT])</f>
        <v>0</v>
      </c>
    </row>
    <row r="145" spans="1:9">
      <c r="A145" s="904" t="s">
        <v>439</v>
      </c>
      <c r="G145" s="888" t="s">
        <v>124</v>
      </c>
      <c r="H145" s="906"/>
      <c r="I145" s="905">
        <f>IES!I154</f>
        <v>42879827.549999997</v>
      </c>
    </row>
    <row r="146" spans="1:9">
      <c r="A146" s="29" t="s">
        <v>420</v>
      </c>
      <c r="I146" s="912">
        <f>SUM(I143:I145)</f>
        <v>160065065.83000001</v>
      </c>
    </row>
    <row r="147" spans="1:9">
      <c r="A147" s="29" t="s">
        <v>419</v>
      </c>
      <c r="G147" s="129"/>
      <c r="I147" s="909">
        <f>I140+I146</f>
        <v>166856373.09</v>
      </c>
    </row>
    <row r="149" spans="1:9">
      <c r="I149" s="903">
        <f>I106-I147</f>
        <v>30158628.41</v>
      </c>
    </row>
    <row r="150" spans="1:9">
      <c r="E150" s="128"/>
    </row>
    <row r="174" spans="5:9">
      <c r="E174" s="913"/>
      <c r="F174" s="2"/>
      <c r="G174" s="876"/>
      <c r="H174" s="899"/>
      <c r="I174" s="899"/>
    </row>
    <row r="175" spans="5:9">
      <c r="E175" s="914"/>
      <c r="F175" s="128"/>
      <c r="G175" s="876"/>
      <c r="H175" s="899"/>
      <c r="I175" s="899"/>
    </row>
    <row r="178" spans="1:9">
      <c r="A178" s="891" t="s">
        <v>1589</v>
      </c>
      <c r="B178" s="118"/>
      <c r="C178" s="118"/>
      <c r="D178" s="892" t="s">
        <v>353</v>
      </c>
      <c r="E178" s="892"/>
      <c r="F178" s="118"/>
      <c r="G178" s="915"/>
      <c r="H178" s="118" t="s">
        <v>1606</v>
      </c>
      <c r="I178" s="108"/>
    </row>
    <row r="179" spans="1:9">
      <c r="A179" s="891"/>
      <c r="B179" s="118"/>
      <c r="C179" s="118"/>
      <c r="D179" s="892"/>
      <c r="E179" s="892"/>
      <c r="F179" s="118"/>
      <c r="G179" s="118"/>
      <c r="H179" s="198"/>
      <c r="I179" s="108"/>
    </row>
    <row r="180" spans="1:9">
      <c r="A180" s="118"/>
      <c r="B180" s="118"/>
      <c r="C180" s="118"/>
      <c r="D180" s="892"/>
      <c r="E180" s="892"/>
      <c r="F180" s="118"/>
      <c r="G180" s="118"/>
      <c r="H180" s="198"/>
      <c r="I180" s="108"/>
    </row>
    <row r="181" spans="1:9">
      <c r="A181" s="893" t="s">
        <v>1569</v>
      </c>
      <c r="B181" s="894"/>
      <c r="C181" s="118"/>
      <c r="D181" s="895" t="s">
        <v>1561</v>
      </c>
      <c r="E181" s="892"/>
      <c r="F181" s="118"/>
      <c r="H181" s="1184" t="s">
        <v>1591</v>
      </c>
      <c r="I181" s="1184"/>
    </row>
    <row r="182" spans="1:9">
      <c r="A182" s="916" t="s">
        <v>1570</v>
      </c>
      <c r="B182" s="118"/>
      <c r="C182" s="118"/>
      <c r="D182" s="897" t="s">
        <v>381</v>
      </c>
      <c r="E182" s="892"/>
      <c r="F182" s="118"/>
      <c r="H182" s="1185" t="s">
        <v>1568</v>
      </c>
      <c r="I182" s="1185"/>
    </row>
  </sheetData>
  <autoFilter ref="G10:G144"/>
  <mergeCells count="2">
    <mergeCell ref="H181:I181"/>
    <mergeCell ref="H182:I182"/>
  </mergeCells>
  <printOptions horizontalCentered="1"/>
  <pageMargins left="0.25" right="0.25" top="0.75" bottom="0.57999999999999996" header="0.3" footer="0.19"/>
  <pageSetup paperSize="14" scale="90" orientation="portrait" horizontalDpi="300" verticalDpi="300" r:id="rId1"/>
  <headerFooter>
    <oddFooter>Page &amp;P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0000"/>
  </sheetPr>
  <dimension ref="A1:D207"/>
  <sheetViews>
    <sheetView workbookViewId="0"/>
  </sheetViews>
  <sheetFormatPr defaultRowHeight="15.75"/>
  <cols>
    <col min="1" max="1" width="80.125" style="108" bestFit="1" customWidth="1"/>
    <col min="2" max="2" width="16.875" style="30" customWidth="1"/>
    <col min="3" max="3" width="16.375" style="30" customWidth="1"/>
    <col min="4" max="4" width="16.625" style="108" customWidth="1"/>
    <col min="5" max="255" width="9" style="30"/>
    <col min="256" max="256" width="15.5" style="30" customWidth="1"/>
    <col min="257" max="257" width="16.875" style="30" customWidth="1"/>
    <col min="258" max="258" width="16.375" style="30" customWidth="1"/>
    <col min="259" max="259" width="16.625" style="30" customWidth="1"/>
    <col min="260" max="260" width="12.875" style="30" customWidth="1"/>
    <col min="261" max="511" width="9" style="30"/>
    <col min="512" max="512" width="15.5" style="30" customWidth="1"/>
    <col min="513" max="513" width="16.875" style="30" customWidth="1"/>
    <col min="514" max="514" width="16.375" style="30" customWidth="1"/>
    <col min="515" max="515" width="16.625" style="30" customWidth="1"/>
    <col min="516" max="516" width="12.875" style="30" customWidth="1"/>
    <col min="517" max="767" width="9" style="30"/>
    <col min="768" max="768" width="15.5" style="30" customWidth="1"/>
    <col min="769" max="769" width="16.875" style="30" customWidth="1"/>
    <col min="770" max="770" width="16.375" style="30" customWidth="1"/>
    <col min="771" max="771" width="16.625" style="30" customWidth="1"/>
    <col min="772" max="772" width="12.875" style="30" customWidth="1"/>
    <col min="773" max="1023" width="9" style="30"/>
    <col min="1024" max="1024" width="15.5" style="30" customWidth="1"/>
    <col min="1025" max="1025" width="16.875" style="30" customWidth="1"/>
    <col min="1026" max="1026" width="16.375" style="30" customWidth="1"/>
    <col min="1027" max="1027" width="16.625" style="30" customWidth="1"/>
    <col min="1028" max="1028" width="12.875" style="30" customWidth="1"/>
    <col min="1029" max="1279" width="9" style="30"/>
    <col min="1280" max="1280" width="15.5" style="30" customWidth="1"/>
    <col min="1281" max="1281" width="16.875" style="30" customWidth="1"/>
    <col min="1282" max="1282" width="16.375" style="30" customWidth="1"/>
    <col min="1283" max="1283" width="16.625" style="30" customWidth="1"/>
    <col min="1284" max="1284" width="12.875" style="30" customWidth="1"/>
    <col min="1285" max="1535" width="9" style="30"/>
    <col min="1536" max="1536" width="15.5" style="30" customWidth="1"/>
    <col min="1537" max="1537" width="16.875" style="30" customWidth="1"/>
    <col min="1538" max="1538" width="16.375" style="30" customWidth="1"/>
    <col min="1539" max="1539" width="16.625" style="30" customWidth="1"/>
    <col min="1540" max="1540" width="12.875" style="30" customWidth="1"/>
    <col min="1541" max="1791" width="9" style="30"/>
    <col min="1792" max="1792" width="15.5" style="30" customWidth="1"/>
    <col min="1793" max="1793" width="16.875" style="30" customWidth="1"/>
    <col min="1794" max="1794" width="16.375" style="30" customWidth="1"/>
    <col min="1795" max="1795" width="16.625" style="30" customWidth="1"/>
    <col min="1796" max="1796" width="12.875" style="30" customWidth="1"/>
    <col min="1797" max="2047" width="9" style="30"/>
    <col min="2048" max="2048" width="15.5" style="30" customWidth="1"/>
    <col min="2049" max="2049" width="16.875" style="30" customWidth="1"/>
    <col min="2050" max="2050" width="16.375" style="30" customWidth="1"/>
    <col min="2051" max="2051" width="16.625" style="30" customWidth="1"/>
    <col min="2052" max="2052" width="12.875" style="30" customWidth="1"/>
    <col min="2053" max="2303" width="9" style="30"/>
    <col min="2304" max="2304" width="15.5" style="30" customWidth="1"/>
    <col min="2305" max="2305" width="16.875" style="30" customWidth="1"/>
    <col min="2306" max="2306" width="16.375" style="30" customWidth="1"/>
    <col min="2307" max="2307" width="16.625" style="30" customWidth="1"/>
    <col min="2308" max="2308" width="12.875" style="30" customWidth="1"/>
    <col min="2309" max="2559" width="9" style="30"/>
    <col min="2560" max="2560" width="15.5" style="30" customWidth="1"/>
    <col min="2561" max="2561" width="16.875" style="30" customWidth="1"/>
    <col min="2562" max="2562" width="16.375" style="30" customWidth="1"/>
    <col min="2563" max="2563" width="16.625" style="30" customWidth="1"/>
    <col min="2564" max="2564" width="12.875" style="30" customWidth="1"/>
    <col min="2565" max="2815" width="9" style="30"/>
    <col min="2816" max="2816" width="15.5" style="30" customWidth="1"/>
    <col min="2817" max="2817" width="16.875" style="30" customWidth="1"/>
    <col min="2818" max="2818" width="16.375" style="30" customWidth="1"/>
    <col min="2819" max="2819" width="16.625" style="30" customWidth="1"/>
    <col min="2820" max="2820" width="12.875" style="30" customWidth="1"/>
    <col min="2821" max="3071" width="9" style="30"/>
    <col min="3072" max="3072" width="15.5" style="30" customWidth="1"/>
    <col min="3073" max="3073" width="16.875" style="30" customWidth="1"/>
    <col min="3074" max="3074" width="16.375" style="30" customWidth="1"/>
    <col min="3075" max="3075" width="16.625" style="30" customWidth="1"/>
    <col min="3076" max="3076" width="12.875" style="30" customWidth="1"/>
    <col min="3077" max="3327" width="9" style="30"/>
    <col min="3328" max="3328" width="15.5" style="30" customWidth="1"/>
    <col min="3329" max="3329" width="16.875" style="30" customWidth="1"/>
    <col min="3330" max="3330" width="16.375" style="30" customWidth="1"/>
    <col min="3331" max="3331" width="16.625" style="30" customWidth="1"/>
    <col min="3332" max="3332" width="12.875" style="30" customWidth="1"/>
    <col min="3333" max="3583" width="9" style="30"/>
    <col min="3584" max="3584" width="15.5" style="30" customWidth="1"/>
    <col min="3585" max="3585" width="16.875" style="30" customWidth="1"/>
    <col min="3586" max="3586" width="16.375" style="30" customWidth="1"/>
    <col min="3587" max="3587" width="16.625" style="30" customWidth="1"/>
    <col min="3588" max="3588" width="12.875" style="30" customWidth="1"/>
    <col min="3589" max="3839" width="9" style="30"/>
    <col min="3840" max="3840" width="15.5" style="30" customWidth="1"/>
    <col min="3841" max="3841" width="16.875" style="30" customWidth="1"/>
    <col min="3842" max="3842" width="16.375" style="30" customWidth="1"/>
    <col min="3843" max="3843" width="16.625" style="30" customWidth="1"/>
    <col min="3844" max="3844" width="12.875" style="30" customWidth="1"/>
    <col min="3845" max="4095" width="9" style="30"/>
    <col min="4096" max="4096" width="15.5" style="30" customWidth="1"/>
    <col min="4097" max="4097" width="16.875" style="30" customWidth="1"/>
    <col min="4098" max="4098" width="16.375" style="30" customWidth="1"/>
    <col min="4099" max="4099" width="16.625" style="30" customWidth="1"/>
    <col min="4100" max="4100" width="12.875" style="30" customWidth="1"/>
    <col min="4101" max="4351" width="9" style="30"/>
    <col min="4352" max="4352" width="15.5" style="30" customWidth="1"/>
    <col min="4353" max="4353" width="16.875" style="30" customWidth="1"/>
    <col min="4354" max="4354" width="16.375" style="30" customWidth="1"/>
    <col min="4355" max="4355" width="16.625" style="30" customWidth="1"/>
    <col min="4356" max="4356" width="12.875" style="30" customWidth="1"/>
    <col min="4357" max="4607" width="9" style="30"/>
    <col min="4608" max="4608" width="15.5" style="30" customWidth="1"/>
    <col min="4609" max="4609" width="16.875" style="30" customWidth="1"/>
    <col min="4610" max="4610" width="16.375" style="30" customWidth="1"/>
    <col min="4611" max="4611" width="16.625" style="30" customWidth="1"/>
    <col min="4612" max="4612" width="12.875" style="30" customWidth="1"/>
    <col min="4613" max="4863" width="9" style="30"/>
    <col min="4864" max="4864" width="15.5" style="30" customWidth="1"/>
    <col min="4865" max="4865" width="16.875" style="30" customWidth="1"/>
    <col min="4866" max="4866" width="16.375" style="30" customWidth="1"/>
    <col min="4867" max="4867" width="16.625" style="30" customWidth="1"/>
    <col min="4868" max="4868" width="12.875" style="30" customWidth="1"/>
    <col min="4869" max="5119" width="9" style="30"/>
    <col min="5120" max="5120" width="15.5" style="30" customWidth="1"/>
    <col min="5121" max="5121" width="16.875" style="30" customWidth="1"/>
    <col min="5122" max="5122" width="16.375" style="30" customWidth="1"/>
    <col min="5123" max="5123" width="16.625" style="30" customWidth="1"/>
    <col min="5124" max="5124" width="12.875" style="30" customWidth="1"/>
    <col min="5125" max="5375" width="9" style="30"/>
    <col min="5376" max="5376" width="15.5" style="30" customWidth="1"/>
    <col min="5377" max="5377" width="16.875" style="30" customWidth="1"/>
    <col min="5378" max="5378" width="16.375" style="30" customWidth="1"/>
    <col min="5379" max="5379" width="16.625" style="30" customWidth="1"/>
    <col min="5380" max="5380" width="12.875" style="30" customWidth="1"/>
    <col min="5381" max="5631" width="9" style="30"/>
    <col min="5632" max="5632" width="15.5" style="30" customWidth="1"/>
    <col min="5633" max="5633" width="16.875" style="30" customWidth="1"/>
    <col min="5634" max="5634" width="16.375" style="30" customWidth="1"/>
    <col min="5635" max="5635" width="16.625" style="30" customWidth="1"/>
    <col min="5636" max="5636" width="12.875" style="30" customWidth="1"/>
    <col min="5637" max="5887" width="9" style="30"/>
    <col min="5888" max="5888" width="15.5" style="30" customWidth="1"/>
    <col min="5889" max="5889" width="16.875" style="30" customWidth="1"/>
    <col min="5890" max="5890" width="16.375" style="30" customWidth="1"/>
    <col min="5891" max="5891" width="16.625" style="30" customWidth="1"/>
    <col min="5892" max="5892" width="12.875" style="30" customWidth="1"/>
    <col min="5893" max="6143" width="9" style="30"/>
    <col min="6144" max="6144" width="15.5" style="30" customWidth="1"/>
    <col min="6145" max="6145" width="16.875" style="30" customWidth="1"/>
    <col min="6146" max="6146" width="16.375" style="30" customWidth="1"/>
    <col min="6147" max="6147" width="16.625" style="30" customWidth="1"/>
    <col min="6148" max="6148" width="12.875" style="30" customWidth="1"/>
    <col min="6149" max="6399" width="9" style="30"/>
    <col min="6400" max="6400" width="15.5" style="30" customWidth="1"/>
    <col min="6401" max="6401" width="16.875" style="30" customWidth="1"/>
    <col min="6402" max="6402" width="16.375" style="30" customWidth="1"/>
    <col min="6403" max="6403" width="16.625" style="30" customWidth="1"/>
    <col min="6404" max="6404" width="12.875" style="30" customWidth="1"/>
    <col min="6405" max="6655" width="9" style="30"/>
    <col min="6656" max="6656" width="15.5" style="30" customWidth="1"/>
    <col min="6657" max="6657" width="16.875" style="30" customWidth="1"/>
    <col min="6658" max="6658" width="16.375" style="30" customWidth="1"/>
    <col min="6659" max="6659" width="16.625" style="30" customWidth="1"/>
    <col min="6660" max="6660" width="12.875" style="30" customWidth="1"/>
    <col min="6661" max="6911" width="9" style="30"/>
    <col min="6912" max="6912" width="15.5" style="30" customWidth="1"/>
    <col min="6913" max="6913" width="16.875" style="30" customWidth="1"/>
    <col min="6914" max="6914" width="16.375" style="30" customWidth="1"/>
    <col min="6915" max="6915" width="16.625" style="30" customWidth="1"/>
    <col min="6916" max="6916" width="12.875" style="30" customWidth="1"/>
    <col min="6917" max="7167" width="9" style="30"/>
    <col min="7168" max="7168" width="15.5" style="30" customWidth="1"/>
    <col min="7169" max="7169" width="16.875" style="30" customWidth="1"/>
    <col min="7170" max="7170" width="16.375" style="30" customWidth="1"/>
    <col min="7171" max="7171" width="16.625" style="30" customWidth="1"/>
    <col min="7172" max="7172" width="12.875" style="30" customWidth="1"/>
    <col min="7173" max="7423" width="9" style="30"/>
    <col min="7424" max="7424" width="15.5" style="30" customWidth="1"/>
    <col min="7425" max="7425" width="16.875" style="30" customWidth="1"/>
    <col min="7426" max="7426" width="16.375" style="30" customWidth="1"/>
    <col min="7427" max="7427" width="16.625" style="30" customWidth="1"/>
    <col min="7428" max="7428" width="12.875" style="30" customWidth="1"/>
    <col min="7429" max="7679" width="9" style="30"/>
    <col min="7680" max="7680" width="15.5" style="30" customWidth="1"/>
    <col min="7681" max="7681" width="16.875" style="30" customWidth="1"/>
    <col min="7682" max="7682" width="16.375" style="30" customWidth="1"/>
    <col min="7683" max="7683" width="16.625" style="30" customWidth="1"/>
    <col min="7684" max="7684" width="12.875" style="30" customWidth="1"/>
    <col min="7685" max="7935" width="9" style="30"/>
    <col min="7936" max="7936" width="15.5" style="30" customWidth="1"/>
    <col min="7937" max="7937" width="16.875" style="30" customWidth="1"/>
    <col min="7938" max="7938" width="16.375" style="30" customWidth="1"/>
    <col min="7939" max="7939" width="16.625" style="30" customWidth="1"/>
    <col min="7940" max="7940" width="12.875" style="30" customWidth="1"/>
    <col min="7941" max="8191" width="9" style="30"/>
    <col min="8192" max="8192" width="15.5" style="30" customWidth="1"/>
    <col min="8193" max="8193" width="16.875" style="30" customWidth="1"/>
    <col min="8194" max="8194" width="16.375" style="30" customWidth="1"/>
    <col min="8195" max="8195" width="16.625" style="30" customWidth="1"/>
    <col min="8196" max="8196" width="12.875" style="30" customWidth="1"/>
    <col min="8197" max="8447" width="9" style="30"/>
    <col min="8448" max="8448" width="15.5" style="30" customWidth="1"/>
    <col min="8449" max="8449" width="16.875" style="30" customWidth="1"/>
    <col min="8450" max="8450" width="16.375" style="30" customWidth="1"/>
    <col min="8451" max="8451" width="16.625" style="30" customWidth="1"/>
    <col min="8452" max="8452" width="12.875" style="30" customWidth="1"/>
    <col min="8453" max="8703" width="9" style="30"/>
    <col min="8704" max="8704" width="15.5" style="30" customWidth="1"/>
    <col min="8705" max="8705" width="16.875" style="30" customWidth="1"/>
    <col min="8706" max="8706" width="16.375" style="30" customWidth="1"/>
    <col min="8707" max="8707" width="16.625" style="30" customWidth="1"/>
    <col min="8708" max="8708" width="12.875" style="30" customWidth="1"/>
    <col min="8709" max="8959" width="9" style="30"/>
    <col min="8960" max="8960" width="15.5" style="30" customWidth="1"/>
    <col min="8961" max="8961" width="16.875" style="30" customWidth="1"/>
    <col min="8962" max="8962" width="16.375" style="30" customWidth="1"/>
    <col min="8963" max="8963" width="16.625" style="30" customWidth="1"/>
    <col min="8964" max="8964" width="12.875" style="30" customWidth="1"/>
    <col min="8965" max="9215" width="9" style="30"/>
    <col min="9216" max="9216" width="15.5" style="30" customWidth="1"/>
    <col min="9217" max="9217" width="16.875" style="30" customWidth="1"/>
    <col min="9218" max="9218" width="16.375" style="30" customWidth="1"/>
    <col min="9219" max="9219" width="16.625" style="30" customWidth="1"/>
    <col min="9220" max="9220" width="12.875" style="30" customWidth="1"/>
    <col min="9221" max="9471" width="9" style="30"/>
    <col min="9472" max="9472" width="15.5" style="30" customWidth="1"/>
    <col min="9473" max="9473" width="16.875" style="30" customWidth="1"/>
    <col min="9474" max="9474" width="16.375" style="30" customWidth="1"/>
    <col min="9475" max="9475" width="16.625" style="30" customWidth="1"/>
    <col min="9476" max="9476" width="12.875" style="30" customWidth="1"/>
    <col min="9477" max="9727" width="9" style="30"/>
    <col min="9728" max="9728" width="15.5" style="30" customWidth="1"/>
    <col min="9729" max="9729" width="16.875" style="30" customWidth="1"/>
    <col min="9730" max="9730" width="16.375" style="30" customWidth="1"/>
    <col min="9731" max="9731" width="16.625" style="30" customWidth="1"/>
    <col min="9732" max="9732" width="12.875" style="30" customWidth="1"/>
    <col min="9733" max="9983" width="9" style="30"/>
    <col min="9984" max="9984" width="15.5" style="30" customWidth="1"/>
    <col min="9985" max="9985" width="16.875" style="30" customWidth="1"/>
    <col min="9986" max="9986" width="16.375" style="30" customWidth="1"/>
    <col min="9987" max="9987" width="16.625" style="30" customWidth="1"/>
    <col min="9988" max="9988" width="12.875" style="30" customWidth="1"/>
    <col min="9989" max="10239" width="9" style="30"/>
    <col min="10240" max="10240" width="15.5" style="30" customWidth="1"/>
    <col min="10241" max="10241" width="16.875" style="30" customWidth="1"/>
    <col min="10242" max="10242" width="16.375" style="30" customWidth="1"/>
    <col min="10243" max="10243" width="16.625" style="30" customWidth="1"/>
    <col min="10244" max="10244" width="12.875" style="30" customWidth="1"/>
    <col min="10245" max="10495" width="9" style="30"/>
    <col min="10496" max="10496" width="15.5" style="30" customWidth="1"/>
    <col min="10497" max="10497" width="16.875" style="30" customWidth="1"/>
    <col min="10498" max="10498" width="16.375" style="30" customWidth="1"/>
    <col min="10499" max="10499" width="16.625" style="30" customWidth="1"/>
    <col min="10500" max="10500" width="12.875" style="30" customWidth="1"/>
    <col min="10501" max="10751" width="9" style="30"/>
    <col min="10752" max="10752" width="15.5" style="30" customWidth="1"/>
    <col min="10753" max="10753" width="16.875" style="30" customWidth="1"/>
    <col min="10754" max="10754" width="16.375" style="30" customWidth="1"/>
    <col min="10755" max="10755" width="16.625" style="30" customWidth="1"/>
    <col min="10756" max="10756" width="12.875" style="30" customWidth="1"/>
    <col min="10757" max="11007" width="9" style="30"/>
    <col min="11008" max="11008" width="15.5" style="30" customWidth="1"/>
    <col min="11009" max="11009" width="16.875" style="30" customWidth="1"/>
    <col min="11010" max="11010" width="16.375" style="30" customWidth="1"/>
    <col min="11011" max="11011" width="16.625" style="30" customWidth="1"/>
    <col min="11012" max="11012" width="12.875" style="30" customWidth="1"/>
    <col min="11013" max="11263" width="9" style="30"/>
    <col min="11264" max="11264" width="15.5" style="30" customWidth="1"/>
    <col min="11265" max="11265" width="16.875" style="30" customWidth="1"/>
    <col min="11266" max="11266" width="16.375" style="30" customWidth="1"/>
    <col min="11267" max="11267" width="16.625" style="30" customWidth="1"/>
    <col min="11268" max="11268" width="12.875" style="30" customWidth="1"/>
    <col min="11269" max="11519" width="9" style="30"/>
    <col min="11520" max="11520" width="15.5" style="30" customWidth="1"/>
    <col min="11521" max="11521" width="16.875" style="30" customWidth="1"/>
    <col min="11522" max="11522" width="16.375" style="30" customWidth="1"/>
    <col min="11523" max="11523" width="16.625" style="30" customWidth="1"/>
    <col min="11524" max="11524" width="12.875" style="30" customWidth="1"/>
    <col min="11525" max="11775" width="9" style="30"/>
    <col min="11776" max="11776" width="15.5" style="30" customWidth="1"/>
    <col min="11777" max="11777" width="16.875" style="30" customWidth="1"/>
    <col min="11778" max="11778" width="16.375" style="30" customWidth="1"/>
    <col min="11779" max="11779" width="16.625" style="30" customWidth="1"/>
    <col min="11780" max="11780" width="12.875" style="30" customWidth="1"/>
    <col min="11781" max="12031" width="9" style="30"/>
    <col min="12032" max="12032" width="15.5" style="30" customWidth="1"/>
    <col min="12033" max="12033" width="16.875" style="30" customWidth="1"/>
    <col min="12034" max="12034" width="16.375" style="30" customWidth="1"/>
    <col min="12035" max="12035" width="16.625" style="30" customWidth="1"/>
    <col min="12036" max="12036" width="12.875" style="30" customWidth="1"/>
    <col min="12037" max="12287" width="9" style="30"/>
    <col min="12288" max="12288" width="15.5" style="30" customWidth="1"/>
    <col min="12289" max="12289" width="16.875" style="30" customWidth="1"/>
    <col min="12290" max="12290" width="16.375" style="30" customWidth="1"/>
    <col min="12291" max="12291" width="16.625" style="30" customWidth="1"/>
    <col min="12292" max="12292" width="12.875" style="30" customWidth="1"/>
    <col min="12293" max="12543" width="9" style="30"/>
    <col min="12544" max="12544" width="15.5" style="30" customWidth="1"/>
    <col min="12545" max="12545" width="16.875" style="30" customWidth="1"/>
    <col min="12546" max="12546" width="16.375" style="30" customWidth="1"/>
    <col min="12547" max="12547" width="16.625" style="30" customWidth="1"/>
    <col min="12548" max="12548" width="12.875" style="30" customWidth="1"/>
    <col min="12549" max="12799" width="9" style="30"/>
    <col min="12800" max="12800" width="15.5" style="30" customWidth="1"/>
    <col min="12801" max="12801" width="16.875" style="30" customWidth="1"/>
    <col min="12802" max="12802" width="16.375" style="30" customWidth="1"/>
    <col min="12803" max="12803" width="16.625" style="30" customWidth="1"/>
    <col min="12804" max="12804" width="12.875" style="30" customWidth="1"/>
    <col min="12805" max="13055" width="9" style="30"/>
    <col min="13056" max="13056" width="15.5" style="30" customWidth="1"/>
    <col min="13057" max="13057" width="16.875" style="30" customWidth="1"/>
    <col min="13058" max="13058" width="16.375" style="30" customWidth="1"/>
    <col min="13059" max="13059" width="16.625" style="30" customWidth="1"/>
    <col min="13060" max="13060" width="12.875" style="30" customWidth="1"/>
    <col min="13061" max="13311" width="9" style="30"/>
    <col min="13312" max="13312" width="15.5" style="30" customWidth="1"/>
    <col min="13313" max="13313" width="16.875" style="30" customWidth="1"/>
    <col min="13314" max="13314" width="16.375" style="30" customWidth="1"/>
    <col min="13315" max="13315" width="16.625" style="30" customWidth="1"/>
    <col min="13316" max="13316" width="12.875" style="30" customWidth="1"/>
    <col min="13317" max="13567" width="9" style="30"/>
    <col min="13568" max="13568" width="15.5" style="30" customWidth="1"/>
    <col min="13569" max="13569" width="16.875" style="30" customWidth="1"/>
    <col min="13570" max="13570" width="16.375" style="30" customWidth="1"/>
    <col min="13571" max="13571" width="16.625" style="30" customWidth="1"/>
    <col min="13572" max="13572" width="12.875" style="30" customWidth="1"/>
    <col min="13573" max="13823" width="9" style="30"/>
    <col min="13824" max="13824" width="15.5" style="30" customWidth="1"/>
    <col min="13825" max="13825" width="16.875" style="30" customWidth="1"/>
    <col min="13826" max="13826" width="16.375" style="30" customWidth="1"/>
    <col min="13827" max="13827" width="16.625" style="30" customWidth="1"/>
    <col min="13828" max="13828" width="12.875" style="30" customWidth="1"/>
    <col min="13829" max="14079" width="9" style="30"/>
    <col min="14080" max="14080" width="15.5" style="30" customWidth="1"/>
    <col min="14081" max="14081" width="16.875" style="30" customWidth="1"/>
    <col min="14082" max="14082" width="16.375" style="30" customWidth="1"/>
    <col min="14083" max="14083" width="16.625" style="30" customWidth="1"/>
    <col min="14084" max="14084" width="12.875" style="30" customWidth="1"/>
    <col min="14085" max="14335" width="9" style="30"/>
    <col min="14336" max="14336" width="15.5" style="30" customWidth="1"/>
    <col min="14337" max="14337" width="16.875" style="30" customWidth="1"/>
    <col min="14338" max="14338" width="16.375" style="30" customWidth="1"/>
    <col min="14339" max="14339" width="16.625" style="30" customWidth="1"/>
    <col min="14340" max="14340" width="12.875" style="30" customWidth="1"/>
    <col min="14341" max="14591" width="9" style="30"/>
    <col min="14592" max="14592" width="15.5" style="30" customWidth="1"/>
    <col min="14593" max="14593" width="16.875" style="30" customWidth="1"/>
    <col min="14594" max="14594" width="16.375" style="30" customWidth="1"/>
    <col min="14595" max="14595" width="16.625" style="30" customWidth="1"/>
    <col min="14596" max="14596" width="12.875" style="30" customWidth="1"/>
    <col min="14597" max="14847" width="9" style="30"/>
    <col min="14848" max="14848" width="15.5" style="30" customWidth="1"/>
    <col min="14849" max="14849" width="16.875" style="30" customWidth="1"/>
    <col min="14850" max="14850" width="16.375" style="30" customWidth="1"/>
    <col min="14851" max="14851" width="16.625" style="30" customWidth="1"/>
    <col min="14852" max="14852" width="12.875" style="30" customWidth="1"/>
    <col min="14853" max="15103" width="9" style="30"/>
    <col min="15104" max="15104" width="15.5" style="30" customWidth="1"/>
    <col min="15105" max="15105" width="16.875" style="30" customWidth="1"/>
    <col min="15106" max="15106" width="16.375" style="30" customWidth="1"/>
    <col min="15107" max="15107" width="16.625" style="30" customWidth="1"/>
    <col min="15108" max="15108" width="12.875" style="30" customWidth="1"/>
    <col min="15109" max="15359" width="9" style="30"/>
    <col min="15360" max="15360" width="15.5" style="30" customWidth="1"/>
    <col min="15361" max="15361" width="16.875" style="30" customWidth="1"/>
    <col min="15362" max="15362" width="16.375" style="30" customWidth="1"/>
    <col min="15363" max="15363" width="16.625" style="30" customWidth="1"/>
    <col min="15364" max="15364" width="12.875" style="30" customWidth="1"/>
    <col min="15365" max="15615" width="9" style="30"/>
    <col min="15616" max="15616" width="15.5" style="30" customWidth="1"/>
    <col min="15617" max="15617" width="16.875" style="30" customWidth="1"/>
    <col min="15618" max="15618" width="16.375" style="30" customWidth="1"/>
    <col min="15619" max="15619" width="16.625" style="30" customWidth="1"/>
    <col min="15620" max="15620" width="12.875" style="30" customWidth="1"/>
    <col min="15621" max="15871" width="9" style="30"/>
    <col min="15872" max="15872" width="15.5" style="30" customWidth="1"/>
    <col min="15873" max="15873" width="16.875" style="30" customWidth="1"/>
    <col min="15874" max="15874" width="16.375" style="30" customWidth="1"/>
    <col min="15875" max="15875" width="16.625" style="30" customWidth="1"/>
    <col min="15876" max="15876" width="12.875" style="30" customWidth="1"/>
    <col min="15877" max="16127" width="9" style="30"/>
    <col min="16128" max="16128" width="15.5" style="30" customWidth="1"/>
    <col min="16129" max="16129" width="16.875" style="30" customWidth="1"/>
    <col min="16130" max="16130" width="16.375" style="30" customWidth="1"/>
    <col min="16131" max="16131" width="16.625" style="30" customWidth="1"/>
    <col min="16132" max="16132" width="12.875" style="30" customWidth="1"/>
    <col min="16133" max="16384" width="9" style="30"/>
  </cols>
  <sheetData>
    <row r="1" spans="1:4" ht="22.5">
      <c r="A1" s="164" t="s">
        <v>355</v>
      </c>
      <c r="B1" s="106"/>
      <c r="C1" s="106"/>
      <c r="D1" s="128"/>
    </row>
    <row r="2" spans="1:4" ht="16.5">
      <c r="A2" s="2" t="s">
        <v>400</v>
      </c>
      <c r="B2" s="106"/>
      <c r="C2" s="106"/>
      <c r="D2" s="128"/>
    </row>
    <row r="3" spans="1:4" ht="16.5">
      <c r="A3" s="2" t="str">
        <f>Account!$G$1</f>
        <v>FUND 501 CARP</v>
      </c>
      <c r="B3" s="106"/>
      <c r="C3" s="106"/>
      <c r="D3" s="128"/>
    </row>
    <row r="4" spans="1:4" ht="16.5">
      <c r="A4" s="2" t="s">
        <v>514</v>
      </c>
      <c r="B4" s="106"/>
      <c r="C4" s="106"/>
      <c r="D4" s="128"/>
    </row>
    <row r="5" spans="1:4" ht="16.5">
      <c r="A5" s="166">
        <f>Account!$G$2</f>
        <v>45291</v>
      </c>
      <c r="B5" s="106"/>
      <c r="C5" s="106"/>
      <c r="D5" s="128"/>
    </row>
    <row r="6" spans="1:4">
      <c r="A6" s="29"/>
      <c r="B6" s="29"/>
      <c r="C6" s="29"/>
    </row>
    <row r="7" spans="1:4">
      <c r="A7" s="167" t="s">
        <v>518</v>
      </c>
      <c r="D7" s="129"/>
    </row>
    <row r="8" spans="1:4">
      <c r="A8" s="52"/>
    </row>
    <row r="9" spans="1:4">
      <c r="A9" s="168" t="s">
        <v>519</v>
      </c>
      <c r="D9" s="165"/>
    </row>
    <row r="10" spans="1:4">
      <c r="A10" s="168"/>
      <c r="D10" s="165"/>
    </row>
    <row r="11" spans="1:4">
      <c r="A11" s="169" t="s">
        <v>520</v>
      </c>
    </row>
    <row r="12" spans="1:4">
      <c r="A12" s="170" t="s">
        <v>520</v>
      </c>
    </row>
    <row r="13" spans="1:4">
      <c r="A13" s="170" t="s">
        <v>521</v>
      </c>
    </row>
    <row r="14" spans="1:4">
      <c r="A14" s="170" t="s">
        <v>522</v>
      </c>
    </row>
    <row r="15" spans="1:4">
      <c r="A15" s="170" t="s">
        <v>523</v>
      </c>
    </row>
    <row r="16" spans="1:4">
      <c r="A16" s="170"/>
      <c r="D16" s="165"/>
    </row>
    <row r="17" spans="1:4">
      <c r="A17" s="169" t="s">
        <v>524</v>
      </c>
      <c r="D17" s="165"/>
    </row>
    <row r="18" spans="1:4">
      <c r="A18" s="170" t="s">
        <v>525</v>
      </c>
      <c r="D18" s="165"/>
    </row>
    <row r="19" spans="1:4">
      <c r="A19" s="170" t="s">
        <v>526</v>
      </c>
      <c r="D19" s="165"/>
    </row>
    <row r="20" spans="1:4">
      <c r="A20" s="170" t="s">
        <v>527</v>
      </c>
      <c r="D20" s="165"/>
    </row>
    <row r="21" spans="1:4">
      <c r="A21" s="170" t="s">
        <v>528</v>
      </c>
      <c r="D21" s="165"/>
    </row>
    <row r="22" spans="1:4">
      <c r="A22" s="170" t="s">
        <v>529</v>
      </c>
      <c r="D22" s="165"/>
    </row>
    <row r="23" spans="1:4">
      <c r="A23" s="170"/>
    </row>
    <row r="24" spans="1:4">
      <c r="A24" s="169" t="s">
        <v>530</v>
      </c>
    </row>
    <row r="25" spans="1:4">
      <c r="A25" s="170" t="s">
        <v>531</v>
      </c>
      <c r="B25" s="109"/>
      <c r="C25" s="109"/>
    </row>
    <row r="26" spans="1:4">
      <c r="A26" s="170" t="s">
        <v>532</v>
      </c>
      <c r="D26" s="129"/>
    </row>
    <row r="27" spans="1:4">
      <c r="A27" s="170" t="s">
        <v>533</v>
      </c>
    </row>
    <row r="28" spans="1:4">
      <c r="A28" s="170"/>
      <c r="D28" s="165"/>
    </row>
    <row r="29" spans="1:4">
      <c r="A29" s="168" t="s">
        <v>734</v>
      </c>
    </row>
    <row r="30" spans="1:4">
      <c r="A30" s="170" t="s">
        <v>535</v>
      </c>
    </row>
    <row r="31" spans="1:4">
      <c r="A31" s="170" t="s">
        <v>536</v>
      </c>
    </row>
    <row r="32" spans="1:4">
      <c r="A32" s="170" t="s">
        <v>537</v>
      </c>
    </row>
    <row r="33" spans="1:4">
      <c r="A33" s="170" t="s">
        <v>538</v>
      </c>
      <c r="D33" s="165"/>
    </row>
    <row r="34" spans="1:4">
      <c r="A34" s="170"/>
    </row>
    <row r="35" spans="1:4">
      <c r="A35" s="168" t="s">
        <v>553</v>
      </c>
    </row>
    <row r="36" spans="1:4">
      <c r="A36" s="170" t="s">
        <v>558</v>
      </c>
    </row>
    <row r="37" spans="1:4">
      <c r="A37" s="170" t="s">
        <v>560</v>
      </c>
    </row>
    <row r="38" spans="1:4">
      <c r="A38" s="170" t="s">
        <v>561</v>
      </c>
    </row>
    <row r="39" spans="1:4">
      <c r="A39" s="170" t="s">
        <v>562</v>
      </c>
    </row>
    <row r="40" spans="1:4">
      <c r="A40" s="170"/>
    </row>
    <row r="41" spans="1:4">
      <c r="A41" s="168" t="s">
        <v>516</v>
      </c>
    </row>
    <row r="42" spans="1:4">
      <c r="A42" s="170" t="s">
        <v>566</v>
      </c>
    </row>
    <row r="43" spans="1:4">
      <c r="A43" s="170" t="s">
        <v>567</v>
      </c>
    </row>
    <row r="44" spans="1:4">
      <c r="A44" s="170" t="s">
        <v>568</v>
      </c>
    </row>
    <row r="45" spans="1:4">
      <c r="A45" s="170"/>
    </row>
    <row r="46" spans="1:4">
      <c r="A46" s="168" t="s">
        <v>515</v>
      </c>
    </row>
    <row r="47" spans="1:4">
      <c r="A47" s="168"/>
    </row>
    <row r="48" spans="1:4">
      <c r="A48" s="168" t="s">
        <v>569</v>
      </c>
    </row>
    <row r="49" spans="1:1">
      <c r="A49" s="169" t="s">
        <v>570</v>
      </c>
    </row>
    <row r="50" spans="1:1">
      <c r="A50" s="169"/>
    </row>
    <row r="51" spans="1:1">
      <c r="A51" s="169" t="s">
        <v>571</v>
      </c>
    </row>
    <row r="52" spans="1:1">
      <c r="A52" s="169"/>
    </row>
    <row r="53" spans="1:1">
      <c r="A53" s="169" t="s">
        <v>730</v>
      </c>
    </row>
    <row r="54" spans="1:1">
      <c r="A54" s="170" t="s">
        <v>572</v>
      </c>
    </row>
    <row r="55" spans="1:1">
      <c r="A55" s="170" t="s">
        <v>573</v>
      </c>
    </row>
    <row r="56" spans="1:1">
      <c r="A56" s="170" t="s">
        <v>574</v>
      </c>
    </row>
    <row r="57" spans="1:1">
      <c r="A57" s="170" t="s">
        <v>575</v>
      </c>
    </row>
    <row r="58" spans="1:1">
      <c r="A58" s="170" t="s">
        <v>576</v>
      </c>
    </row>
    <row r="59" spans="1:1">
      <c r="A59" s="170"/>
    </row>
    <row r="60" spans="1:1">
      <c r="A60" s="169" t="s">
        <v>577</v>
      </c>
    </row>
    <row r="61" spans="1:1">
      <c r="A61" s="170" t="s">
        <v>578</v>
      </c>
    </row>
    <row r="62" spans="1:1">
      <c r="A62" s="170" t="s">
        <v>579</v>
      </c>
    </row>
    <row r="63" spans="1:1">
      <c r="A63" s="170" t="s">
        <v>580</v>
      </c>
    </row>
    <row r="64" spans="1:1">
      <c r="A64" s="170" t="s">
        <v>581</v>
      </c>
    </row>
    <row r="65" spans="1:1">
      <c r="A65" s="170"/>
    </row>
    <row r="66" spans="1:1">
      <c r="A66" s="169" t="s">
        <v>582</v>
      </c>
    </row>
    <row r="67" spans="1:1">
      <c r="A67" s="170" t="s">
        <v>583</v>
      </c>
    </row>
    <row r="68" spans="1:1">
      <c r="A68" s="170" t="s">
        <v>584</v>
      </c>
    </row>
    <row r="69" spans="1:1">
      <c r="A69" s="170" t="s">
        <v>585</v>
      </c>
    </row>
    <row r="70" spans="1:1">
      <c r="A70" s="170" t="s">
        <v>586</v>
      </c>
    </row>
    <row r="71" spans="1:1">
      <c r="A71" s="170"/>
    </row>
    <row r="72" spans="1:1">
      <c r="A72" s="169" t="s">
        <v>587</v>
      </c>
    </row>
    <row r="73" spans="1:1">
      <c r="A73" s="170" t="s">
        <v>588</v>
      </c>
    </row>
    <row r="74" spans="1:1">
      <c r="A74" s="170" t="s">
        <v>589</v>
      </c>
    </row>
    <row r="75" spans="1:1">
      <c r="A75" s="170" t="s">
        <v>590</v>
      </c>
    </row>
    <row r="76" spans="1:1">
      <c r="A76" s="170" t="s">
        <v>591</v>
      </c>
    </row>
    <row r="77" spans="1:1">
      <c r="A77" s="170"/>
    </row>
    <row r="78" spans="1:1">
      <c r="A78" s="169" t="s">
        <v>592</v>
      </c>
    </row>
    <row r="79" spans="1:1">
      <c r="A79" s="170" t="s">
        <v>729</v>
      </c>
    </row>
    <row r="80" spans="1:1">
      <c r="A80" s="170" t="s">
        <v>68</v>
      </c>
    </row>
    <row r="81" spans="1:1">
      <c r="A81" s="170" t="s">
        <v>593</v>
      </c>
    </row>
    <row r="82" spans="1:1">
      <c r="A82" s="170" t="s">
        <v>594</v>
      </c>
    </row>
    <row r="83" spans="1:1">
      <c r="A83" s="170" t="s">
        <v>595</v>
      </c>
    </row>
    <row r="84" spans="1:1">
      <c r="A84" s="170" t="s">
        <v>596</v>
      </c>
    </row>
    <row r="85" spans="1:1">
      <c r="A85" s="170"/>
    </row>
    <row r="86" spans="1:1">
      <c r="A86" s="169" t="s">
        <v>597</v>
      </c>
    </row>
    <row r="87" spans="1:1">
      <c r="A87" s="170" t="s">
        <v>598</v>
      </c>
    </row>
    <row r="88" spans="1:1">
      <c r="A88" s="170" t="s">
        <v>731</v>
      </c>
    </row>
    <row r="89" spans="1:1">
      <c r="A89" s="170" t="s">
        <v>599</v>
      </c>
    </row>
    <row r="90" spans="1:1">
      <c r="A90" s="170"/>
    </row>
    <row r="91" spans="1:1">
      <c r="A91" s="169" t="s">
        <v>600</v>
      </c>
    </row>
    <row r="92" spans="1:1">
      <c r="A92" s="169"/>
    </row>
    <row r="93" spans="1:1">
      <c r="A93" s="169" t="s">
        <v>601</v>
      </c>
    </row>
    <row r="94" spans="1:1">
      <c r="A94" s="170" t="s">
        <v>602</v>
      </c>
    </row>
    <row r="95" spans="1:1">
      <c r="A95" s="170" t="s">
        <v>603</v>
      </c>
    </row>
    <row r="96" spans="1:1">
      <c r="A96" s="170" t="s">
        <v>604</v>
      </c>
    </row>
    <row r="97" spans="1:1">
      <c r="A97" s="170" t="s">
        <v>605</v>
      </c>
    </row>
    <row r="98" spans="1:1">
      <c r="A98" s="170"/>
    </row>
    <row r="99" spans="1:1">
      <c r="A99" s="169" t="s">
        <v>606</v>
      </c>
    </row>
    <row r="100" spans="1:1">
      <c r="A100" s="170" t="s">
        <v>607</v>
      </c>
    </row>
    <row r="101" spans="1:1">
      <c r="A101" s="170" t="s">
        <v>732</v>
      </c>
    </row>
    <row r="102" spans="1:1">
      <c r="A102" s="170" t="s">
        <v>608</v>
      </c>
    </row>
    <row r="103" spans="1:1">
      <c r="A103" s="170" t="s">
        <v>609</v>
      </c>
    </row>
    <row r="104" spans="1:1">
      <c r="A104" s="170" t="s">
        <v>610</v>
      </c>
    </row>
    <row r="105" spans="1:1">
      <c r="A105" s="170"/>
    </row>
    <row r="106" spans="1:1">
      <c r="A106" s="169" t="s">
        <v>611</v>
      </c>
    </row>
    <row r="107" spans="1:1">
      <c r="A107" s="170" t="s">
        <v>612</v>
      </c>
    </row>
    <row r="108" spans="1:1">
      <c r="A108" s="170" t="s">
        <v>613</v>
      </c>
    </row>
    <row r="109" spans="1:1">
      <c r="A109" s="170" t="s">
        <v>614</v>
      </c>
    </row>
    <row r="110" spans="1:1">
      <c r="A110" s="170" t="s">
        <v>615</v>
      </c>
    </row>
    <row r="111" spans="1:1">
      <c r="A111" s="170"/>
    </row>
    <row r="112" spans="1:1">
      <c r="A112" s="169" t="s">
        <v>616</v>
      </c>
    </row>
    <row r="113" spans="1:1">
      <c r="A113" s="170" t="s">
        <v>617</v>
      </c>
    </row>
    <row r="114" spans="1:1">
      <c r="A114" s="170" t="s">
        <v>618</v>
      </c>
    </row>
    <row r="115" spans="1:1">
      <c r="A115" s="170" t="s">
        <v>619</v>
      </c>
    </row>
    <row r="116" spans="1:1">
      <c r="A116" s="170" t="s">
        <v>615</v>
      </c>
    </row>
    <row r="117" spans="1:1">
      <c r="A117" s="170"/>
    </row>
    <row r="118" spans="1:1">
      <c r="A118" s="169" t="s">
        <v>620</v>
      </c>
    </row>
    <row r="119" spans="1:1">
      <c r="A119" s="170" t="s">
        <v>621</v>
      </c>
    </row>
    <row r="120" spans="1:1">
      <c r="A120" s="170"/>
    </row>
    <row r="121" spans="1:1">
      <c r="A121" s="170" t="s">
        <v>622</v>
      </c>
    </row>
    <row r="122" spans="1:1">
      <c r="A122" s="170" t="s">
        <v>623</v>
      </c>
    </row>
    <row r="123" spans="1:1">
      <c r="A123" s="170" t="s">
        <v>624</v>
      </c>
    </row>
    <row r="124" spans="1:1">
      <c r="A124" s="170" t="s">
        <v>625</v>
      </c>
    </row>
    <row r="125" spans="1:1">
      <c r="A125" s="170" t="s">
        <v>626</v>
      </c>
    </row>
    <row r="126" spans="1:1">
      <c r="A126" s="170" t="s">
        <v>620</v>
      </c>
    </row>
    <row r="127" spans="1:1">
      <c r="A127" s="170"/>
    </row>
    <row r="128" spans="1:1">
      <c r="A128" s="169" t="s">
        <v>627</v>
      </c>
    </row>
    <row r="129" spans="1:1">
      <c r="A129" s="169"/>
    </row>
    <row r="130" spans="1:1">
      <c r="A130" s="169" t="s">
        <v>516</v>
      </c>
    </row>
    <row r="131" spans="1:1">
      <c r="A131" s="170" t="s">
        <v>628</v>
      </c>
    </row>
    <row r="132" spans="1:1">
      <c r="A132" s="170" t="s">
        <v>629</v>
      </c>
    </row>
    <row r="133" spans="1:1">
      <c r="A133" s="170" t="s">
        <v>630</v>
      </c>
    </row>
    <row r="134" spans="1:1">
      <c r="A134" s="170" t="s">
        <v>631</v>
      </c>
    </row>
    <row r="135" spans="1:1">
      <c r="A135" s="170" t="s">
        <v>632</v>
      </c>
    </row>
    <row r="136" spans="1:1">
      <c r="A136" s="170"/>
    </row>
    <row r="137" spans="1:1">
      <c r="A137" s="168" t="s">
        <v>517</v>
      </c>
    </row>
    <row r="138" spans="1:1">
      <c r="A138" s="171"/>
    </row>
    <row r="139" spans="1:1">
      <c r="A139" s="172" t="s">
        <v>633</v>
      </c>
    </row>
    <row r="140" spans="1:1">
      <c r="A140" s="25"/>
    </row>
    <row r="141" spans="1:1">
      <c r="A141" s="172" t="s">
        <v>634</v>
      </c>
    </row>
    <row r="142" spans="1:1">
      <c r="A142" s="25"/>
    </row>
    <row r="143" spans="1:1">
      <c r="A143" s="168" t="s">
        <v>519</v>
      </c>
    </row>
    <row r="144" spans="1:1">
      <c r="A144" s="171"/>
    </row>
    <row r="145" spans="1:1">
      <c r="A145" s="169" t="s">
        <v>635</v>
      </c>
    </row>
    <row r="146" spans="1:1">
      <c r="A146" s="25"/>
    </row>
    <row r="147" spans="1:1">
      <c r="A147" s="169" t="s">
        <v>636</v>
      </c>
    </row>
    <row r="148" spans="1:1">
      <c r="A148" s="25"/>
    </row>
    <row r="149" spans="1:1">
      <c r="A149" s="169" t="s">
        <v>637</v>
      </c>
    </row>
    <row r="150" spans="1:1">
      <c r="A150" s="170" t="s">
        <v>638</v>
      </c>
    </row>
    <row r="151" spans="1:1">
      <c r="A151" s="170" t="s">
        <v>639</v>
      </c>
    </row>
    <row r="152" spans="1:1">
      <c r="A152" s="170" t="s">
        <v>640</v>
      </c>
    </row>
    <row r="153" spans="1:1">
      <c r="A153" s="170" t="s">
        <v>641</v>
      </c>
    </row>
    <row r="154" spans="1:1">
      <c r="A154" s="170"/>
    </row>
    <row r="155" spans="1:1">
      <c r="A155" s="169" t="s">
        <v>642</v>
      </c>
    </row>
    <row r="156" spans="1:1">
      <c r="A156" s="25"/>
    </row>
    <row r="157" spans="1:1">
      <c r="A157" s="169" t="s">
        <v>643</v>
      </c>
    </row>
    <row r="158" spans="1:1">
      <c r="A158" s="170" t="s">
        <v>644</v>
      </c>
    </row>
    <row r="159" spans="1:1">
      <c r="A159" s="170" t="s">
        <v>645</v>
      </c>
    </row>
    <row r="160" spans="1:1">
      <c r="A160" s="170" t="s">
        <v>646</v>
      </c>
    </row>
    <row r="161" spans="1:1">
      <c r="A161" s="170" t="s">
        <v>647</v>
      </c>
    </row>
    <row r="162" spans="1:1">
      <c r="A162" s="170"/>
    </row>
    <row r="163" spans="1:1">
      <c r="A163" s="169" t="s">
        <v>648</v>
      </c>
    </row>
    <row r="164" spans="1:1">
      <c r="A164" s="170" t="s">
        <v>649</v>
      </c>
    </row>
    <row r="165" spans="1:1">
      <c r="A165" s="170" t="s">
        <v>650</v>
      </c>
    </row>
    <row r="166" spans="1:1">
      <c r="A166" s="170"/>
    </row>
    <row r="167" spans="1:1">
      <c r="A167" s="169" t="s">
        <v>651</v>
      </c>
    </row>
    <row r="168" spans="1:1">
      <c r="A168" s="25"/>
    </row>
    <row r="169" spans="1:1">
      <c r="A169" s="168" t="s">
        <v>515</v>
      </c>
    </row>
    <row r="170" spans="1:1">
      <c r="A170" s="171"/>
    </row>
    <row r="171" spans="1:1">
      <c r="A171" s="168" t="s">
        <v>569</v>
      </c>
    </row>
    <row r="172" spans="1:1">
      <c r="A172" s="169" t="s">
        <v>652</v>
      </c>
    </row>
    <row r="173" spans="1:1">
      <c r="A173" s="169"/>
    </row>
    <row r="174" spans="1:1">
      <c r="A174" s="169" t="s">
        <v>653</v>
      </c>
    </row>
    <row r="175" spans="1:1">
      <c r="A175" s="170" t="s">
        <v>654</v>
      </c>
    </row>
    <row r="176" spans="1:1">
      <c r="A176" s="170" t="s">
        <v>655</v>
      </c>
    </row>
    <row r="177" spans="1:1">
      <c r="A177" s="170" t="s">
        <v>656</v>
      </c>
    </row>
    <row r="178" spans="1:1">
      <c r="A178" s="170" t="s">
        <v>657</v>
      </c>
    </row>
    <row r="179" spans="1:1">
      <c r="A179" s="170" t="s">
        <v>658</v>
      </c>
    </row>
    <row r="180" spans="1:1">
      <c r="A180" s="170" t="s">
        <v>659</v>
      </c>
    </row>
    <row r="181" spans="1:1">
      <c r="A181" s="170" t="s">
        <v>660</v>
      </c>
    </row>
    <row r="182" spans="1:1">
      <c r="A182" s="170" t="s">
        <v>661</v>
      </c>
    </row>
    <row r="183" spans="1:1">
      <c r="A183" s="170" t="s">
        <v>662</v>
      </c>
    </row>
    <row r="184" spans="1:1">
      <c r="A184" s="170" t="s">
        <v>663</v>
      </c>
    </row>
    <row r="185" spans="1:1">
      <c r="A185" s="170" t="s">
        <v>664</v>
      </c>
    </row>
    <row r="186" spans="1:1">
      <c r="A186" s="170" t="s">
        <v>665</v>
      </c>
    </row>
    <row r="187" spans="1:1">
      <c r="A187" s="170" t="s">
        <v>666</v>
      </c>
    </row>
    <row r="188" spans="1:1">
      <c r="A188" s="170" t="s">
        <v>667</v>
      </c>
    </row>
    <row r="189" spans="1:1">
      <c r="A189" s="170" t="s">
        <v>668</v>
      </c>
    </row>
    <row r="190" spans="1:1">
      <c r="A190" s="170" t="s">
        <v>669</v>
      </c>
    </row>
    <row r="191" spans="1:1">
      <c r="A191" s="170" t="s">
        <v>670</v>
      </c>
    </row>
    <row r="192" spans="1:1">
      <c r="A192" s="170" t="s">
        <v>671</v>
      </c>
    </row>
    <row r="193" spans="1:1">
      <c r="A193" s="170" t="s">
        <v>672</v>
      </c>
    </row>
    <row r="194" spans="1:1">
      <c r="A194" s="170"/>
    </row>
    <row r="195" spans="1:1">
      <c r="A195" s="169" t="s">
        <v>684</v>
      </c>
    </row>
    <row r="196" spans="1:1">
      <c r="A196" s="170" t="s">
        <v>685</v>
      </c>
    </row>
    <row r="197" spans="1:1">
      <c r="A197" s="170" t="s">
        <v>686</v>
      </c>
    </row>
    <row r="198" spans="1:1">
      <c r="A198" s="170"/>
    </row>
    <row r="199" spans="1:1">
      <c r="A199" s="168" t="s">
        <v>517</v>
      </c>
    </row>
    <row r="200" spans="1:1">
      <c r="A200" s="171"/>
    </row>
    <row r="201" spans="1:1">
      <c r="A201" s="172" t="s">
        <v>633</v>
      </c>
    </row>
    <row r="202" spans="1:1">
      <c r="A202" s="25"/>
    </row>
    <row r="203" spans="1:1">
      <c r="A203" s="167" t="s">
        <v>711</v>
      </c>
    </row>
    <row r="204" spans="1:1">
      <c r="A204" s="171"/>
    </row>
    <row r="205" spans="1:1">
      <c r="A205" s="167" t="s">
        <v>713</v>
      </c>
    </row>
    <row r="206" spans="1:1">
      <c r="A206" s="171"/>
    </row>
    <row r="207" spans="1:1">
      <c r="A207" s="167" t="s">
        <v>714</v>
      </c>
    </row>
  </sheetData>
  <sheetProtection sheet="1" objects="1" scenarios="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2060"/>
  </sheetPr>
  <dimension ref="A1:H335"/>
  <sheetViews>
    <sheetView topLeftCell="A31" zoomScale="80" zoomScaleNormal="80" workbookViewId="0">
      <selection activeCell="B166" sqref="B166"/>
    </sheetView>
  </sheetViews>
  <sheetFormatPr defaultColWidth="9" defaultRowHeight="15.75"/>
  <cols>
    <col min="1" max="1" width="17.5" style="587" bestFit="1" customWidth="1"/>
    <col min="2" max="2" width="74.375" style="568" customWidth="1"/>
    <col min="3" max="3" width="18.625" style="588" bestFit="1" customWidth="1"/>
    <col min="4" max="5" width="15.125" style="565" customWidth="1"/>
    <col min="6" max="6" width="21.125" style="568" customWidth="1"/>
    <col min="7" max="7" width="27.375" style="568" bestFit="1" customWidth="1"/>
    <col min="8" max="8" width="12" style="568" bestFit="1" customWidth="1"/>
    <col min="9" max="16384" width="9" style="25"/>
  </cols>
  <sheetData>
    <row r="1" spans="1:8" ht="23.25">
      <c r="A1" s="561" t="s">
        <v>1175</v>
      </c>
      <c r="B1" s="562" t="s">
        <v>1176</v>
      </c>
      <c r="C1" s="563" t="s">
        <v>1177</v>
      </c>
      <c r="D1" s="564" t="s">
        <v>1268</v>
      </c>
      <c r="F1" s="566" t="s">
        <v>469</v>
      </c>
      <c r="G1" s="567" t="s">
        <v>1545</v>
      </c>
    </row>
    <row r="2" spans="1:8" ht="23.25">
      <c r="A2" s="569" t="s">
        <v>9</v>
      </c>
      <c r="B2" s="570" t="s">
        <v>1178</v>
      </c>
      <c r="C2" s="571">
        <v>1010101000</v>
      </c>
      <c r="D2" s="572" t="s">
        <v>1</v>
      </c>
      <c r="F2" s="566" t="s">
        <v>457</v>
      </c>
      <c r="G2" s="573">
        <v>45291</v>
      </c>
    </row>
    <row r="3" spans="1:8" ht="23.25">
      <c r="A3" s="569" t="s">
        <v>11</v>
      </c>
      <c r="B3" s="570" t="s">
        <v>1272</v>
      </c>
      <c r="C3" s="571">
        <v>1010102000</v>
      </c>
      <c r="D3" s="572" t="s">
        <v>1</v>
      </c>
      <c r="F3" s="566"/>
      <c r="G3" s="573"/>
    </row>
    <row r="4" spans="1:8">
      <c r="A4" s="569" t="s">
        <v>13</v>
      </c>
      <c r="B4" s="570" t="s">
        <v>1273</v>
      </c>
      <c r="C4" s="571">
        <v>1010202000</v>
      </c>
      <c r="D4" s="572" t="s">
        <v>1</v>
      </c>
      <c r="F4" s="1186" t="s">
        <v>1465</v>
      </c>
      <c r="G4" s="1186"/>
      <c r="H4" s="1186"/>
    </row>
    <row r="5" spans="1:8">
      <c r="A5" s="569" t="s">
        <v>1478</v>
      </c>
      <c r="B5" s="570" t="s">
        <v>1480</v>
      </c>
      <c r="C5" s="571" t="s">
        <v>1597</v>
      </c>
      <c r="D5" s="572" t="s">
        <v>1</v>
      </c>
      <c r="F5" s="574" t="s">
        <v>1463</v>
      </c>
      <c r="G5" s="575" t="s">
        <v>1464</v>
      </c>
      <c r="H5" s="576" t="s">
        <v>718</v>
      </c>
    </row>
    <row r="6" spans="1:8">
      <c r="A6" s="569" t="s">
        <v>1482</v>
      </c>
      <c r="B6" s="570" t="s">
        <v>1483</v>
      </c>
      <c r="C6" s="571" t="s">
        <v>1598</v>
      </c>
      <c r="D6" s="572" t="s">
        <v>1</v>
      </c>
      <c r="F6" s="577" t="s">
        <v>1543</v>
      </c>
      <c r="G6" s="578" t="s">
        <v>359</v>
      </c>
      <c r="H6" s="579" t="s">
        <v>494</v>
      </c>
    </row>
    <row r="7" spans="1:8">
      <c r="A7" s="569" t="s">
        <v>1484</v>
      </c>
      <c r="B7" s="570" t="s">
        <v>1485</v>
      </c>
      <c r="C7" s="571" t="s">
        <v>1599</v>
      </c>
      <c r="D7" s="572" t="s">
        <v>1</v>
      </c>
      <c r="F7" s="577" t="s">
        <v>1593</v>
      </c>
      <c r="G7" s="578" t="s">
        <v>1512</v>
      </c>
      <c r="H7" s="579" t="s">
        <v>484</v>
      </c>
    </row>
    <row r="8" spans="1:8">
      <c r="A8" s="569" t="s">
        <v>1486</v>
      </c>
      <c r="B8" s="570" t="s">
        <v>1487</v>
      </c>
      <c r="C8" s="571" t="s">
        <v>1600</v>
      </c>
      <c r="D8" s="572" t="s">
        <v>1</v>
      </c>
      <c r="F8" s="577" t="s">
        <v>1588</v>
      </c>
      <c r="G8" s="578" t="s">
        <v>1513</v>
      </c>
      <c r="H8" s="579" t="s">
        <v>485</v>
      </c>
    </row>
    <row r="9" spans="1:8">
      <c r="A9" s="569" t="s">
        <v>1488</v>
      </c>
      <c r="B9" s="570" t="s">
        <v>1489</v>
      </c>
      <c r="C9" s="571" t="s">
        <v>1601</v>
      </c>
      <c r="D9" s="572" t="s">
        <v>1</v>
      </c>
      <c r="F9" s="580" t="s">
        <v>1544</v>
      </c>
      <c r="G9" s="581" t="s">
        <v>1514</v>
      </c>
      <c r="H9" s="582" t="s">
        <v>486</v>
      </c>
    </row>
    <row r="10" spans="1:8">
      <c r="A10" s="569" t="s">
        <v>1490</v>
      </c>
      <c r="B10" s="570" t="s">
        <v>1491</v>
      </c>
      <c r="C10" s="571" t="s">
        <v>1602</v>
      </c>
      <c r="D10" s="572" t="s">
        <v>1</v>
      </c>
      <c r="F10" s="577" t="s">
        <v>1651</v>
      </c>
      <c r="G10" s="581" t="s">
        <v>1515</v>
      </c>
      <c r="H10" s="582" t="s">
        <v>762</v>
      </c>
    </row>
    <row r="11" spans="1:8">
      <c r="A11" s="569" t="s">
        <v>1479</v>
      </c>
      <c r="B11" s="570" t="s">
        <v>1481</v>
      </c>
      <c r="C11" s="571" t="s">
        <v>1603</v>
      </c>
      <c r="D11" s="572" t="s">
        <v>1</v>
      </c>
    </row>
    <row r="12" spans="1:8">
      <c r="A12" s="569" t="s">
        <v>1492</v>
      </c>
      <c r="B12" s="570" t="s">
        <v>1493</v>
      </c>
      <c r="C12" s="571" t="s">
        <v>1604</v>
      </c>
      <c r="D12" s="572" t="s">
        <v>1</v>
      </c>
      <c r="F12" s="570" t="s">
        <v>385</v>
      </c>
      <c r="G12" s="583">
        <v>44957</v>
      </c>
    </row>
    <row r="13" spans="1:8">
      <c r="A13" s="569" t="s">
        <v>1494</v>
      </c>
      <c r="B13" s="570" t="s">
        <v>1495</v>
      </c>
      <c r="C13" s="571" t="s">
        <v>1605</v>
      </c>
      <c r="D13" s="572" t="s">
        <v>1</v>
      </c>
      <c r="F13" s="570" t="s">
        <v>386</v>
      </c>
      <c r="G13" s="583">
        <v>44985</v>
      </c>
    </row>
    <row r="14" spans="1:8">
      <c r="A14" s="569" t="s">
        <v>13</v>
      </c>
      <c r="B14" s="570" t="s">
        <v>1274</v>
      </c>
      <c r="C14" s="571">
        <v>1010202024</v>
      </c>
      <c r="D14" s="572" t="s">
        <v>1</v>
      </c>
      <c r="F14" s="570" t="s">
        <v>387</v>
      </c>
      <c r="G14" s="583">
        <v>45016</v>
      </c>
    </row>
    <row r="15" spans="1:8">
      <c r="A15" s="569" t="s">
        <v>13</v>
      </c>
      <c r="B15" s="570" t="s">
        <v>1275</v>
      </c>
      <c r="C15" s="571">
        <v>1010202029</v>
      </c>
      <c r="D15" s="572" t="s">
        <v>1</v>
      </c>
      <c r="F15" s="570" t="s">
        <v>388</v>
      </c>
      <c r="G15" s="583">
        <v>45046</v>
      </c>
    </row>
    <row r="16" spans="1:8">
      <c r="A16" s="569" t="s">
        <v>14</v>
      </c>
      <c r="B16" s="570" t="s">
        <v>1276</v>
      </c>
      <c r="C16" s="571">
        <v>1010203000</v>
      </c>
      <c r="D16" s="572" t="s">
        <v>1</v>
      </c>
      <c r="F16" s="570" t="s">
        <v>389</v>
      </c>
      <c r="G16" s="583">
        <v>45077</v>
      </c>
    </row>
    <row r="17" spans="1:7">
      <c r="A17" s="569" t="s">
        <v>14</v>
      </c>
      <c r="B17" s="570" t="s">
        <v>1277</v>
      </c>
      <c r="C17" s="571">
        <v>1010203001</v>
      </c>
      <c r="D17" s="572" t="s">
        <v>1</v>
      </c>
      <c r="F17" s="570" t="s">
        <v>390</v>
      </c>
      <c r="G17" s="583">
        <v>45107</v>
      </c>
    </row>
    <row r="18" spans="1:7">
      <c r="A18" s="569" t="s">
        <v>14</v>
      </c>
      <c r="B18" s="570" t="s">
        <v>1278</v>
      </c>
      <c r="C18" s="571">
        <v>1010203004</v>
      </c>
      <c r="D18" s="572" t="s">
        <v>1</v>
      </c>
      <c r="F18" s="570" t="s">
        <v>391</v>
      </c>
      <c r="G18" s="583">
        <v>45138</v>
      </c>
    </row>
    <row r="19" spans="1:7">
      <c r="A19" s="569" t="s">
        <v>15</v>
      </c>
      <c r="B19" s="570" t="s">
        <v>1279</v>
      </c>
      <c r="C19" s="571">
        <v>1010204000</v>
      </c>
      <c r="D19" s="572" t="s">
        <v>1</v>
      </c>
      <c r="F19" s="570" t="s">
        <v>392</v>
      </c>
      <c r="G19" s="583">
        <v>45169</v>
      </c>
    </row>
    <row r="20" spans="1:7">
      <c r="A20" s="569" t="s">
        <v>15</v>
      </c>
      <c r="B20" s="570" t="s">
        <v>1280</v>
      </c>
      <c r="C20" s="571">
        <v>1010204001</v>
      </c>
      <c r="D20" s="572" t="s">
        <v>1</v>
      </c>
      <c r="F20" s="570" t="s">
        <v>393</v>
      </c>
      <c r="G20" s="583">
        <v>45199</v>
      </c>
    </row>
    <row r="21" spans="1:7">
      <c r="A21" s="569" t="s">
        <v>16</v>
      </c>
      <c r="B21" s="570" t="s">
        <v>1281</v>
      </c>
      <c r="C21" s="571">
        <v>1010302000</v>
      </c>
      <c r="D21" s="572" t="s">
        <v>1</v>
      </c>
      <c r="F21" s="570" t="s">
        <v>394</v>
      </c>
      <c r="G21" s="583">
        <v>45230</v>
      </c>
    </row>
    <row r="22" spans="1:7">
      <c r="A22" s="569" t="s">
        <v>16</v>
      </c>
      <c r="B22" s="570" t="s">
        <v>1282</v>
      </c>
      <c r="C22" s="571">
        <v>1010303000</v>
      </c>
      <c r="D22" s="572" t="s">
        <v>1</v>
      </c>
      <c r="F22" s="570" t="s">
        <v>395</v>
      </c>
      <c r="G22" s="583">
        <v>45260</v>
      </c>
    </row>
    <row r="23" spans="1:7">
      <c r="A23" s="569" t="s">
        <v>16</v>
      </c>
      <c r="B23" s="570" t="s">
        <v>1283</v>
      </c>
      <c r="C23" s="571">
        <v>1010303001</v>
      </c>
      <c r="D23" s="572" t="s">
        <v>1</v>
      </c>
      <c r="F23" s="570" t="s">
        <v>396</v>
      </c>
      <c r="G23" s="583">
        <v>45291</v>
      </c>
    </row>
    <row r="24" spans="1:7">
      <c r="A24" s="569" t="s">
        <v>17</v>
      </c>
      <c r="B24" s="570" t="s">
        <v>1284</v>
      </c>
      <c r="C24" s="571">
        <v>1010304000</v>
      </c>
      <c r="D24" s="572" t="s">
        <v>1</v>
      </c>
    </row>
    <row r="25" spans="1:7">
      <c r="A25" s="569" t="s">
        <v>17</v>
      </c>
      <c r="B25" s="570" t="s">
        <v>1285</v>
      </c>
      <c r="C25" s="571">
        <v>1010304001</v>
      </c>
      <c r="D25" s="572" t="s">
        <v>1</v>
      </c>
    </row>
    <row r="26" spans="1:7">
      <c r="A26" s="569" t="s">
        <v>1437</v>
      </c>
      <c r="B26" s="570" t="s">
        <v>1286</v>
      </c>
      <c r="C26" s="571">
        <v>1030101000</v>
      </c>
      <c r="D26" s="572" t="s">
        <v>1</v>
      </c>
      <c r="F26" s="584" t="s">
        <v>494</v>
      </c>
      <c r="G26" s="578" t="s">
        <v>359</v>
      </c>
    </row>
    <row r="27" spans="1:7">
      <c r="A27" s="569" t="s">
        <v>351</v>
      </c>
      <c r="B27" s="570" t="s">
        <v>1179</v>
      </c>
      <c r="C27" s="571">
        <v>1030101001</v>
      </c>
      <c r="D27" s="572" t="s">
        <v>1</v>
      </c>
      <c r="F27" s="584" t="s">
        <v>484</v>
      </c>
      <c r="G27" s="578" t="s">
        <v>1512</v>
      </c>
    </row>
    <row r="28" spans="1:7">
      <c r="A28" s="569" t="s">
        <v>19</v>
      </c>
      <c r="B28" s="570" t="s">
        <v>1287</v>
      </c>
      <c r="C28" s="571">
        <v>1030101002</v>
      </c>
      <c r="D28" s="572" t="s">
        <v>1</v>
      </c>
      <c r="F28" s="584" t="s">
        <v>487</v>
      </c>
      <c r="G28" s="578" t="s">
        <v>1516</v>
      </c>
    </row>
    <row r="29" spans="1:7">
      <c r="A29" s="569" t="s">
        <v>18</v>
      </c>
      <c r="B29" s="570" t="s">
        <v>63</v>
      </c>
      <c r="C29" s="571">
        <v>1030101003</v>
      </c>
      <c r="D29" s="572" t="s">
        <v>1</v>
      </c>
      <c r="F29" s="584" t="s">
        <v>488</v>
      </c>
      <c r="G29" s="578" t="s">
        <v>1517</v>
      </c>
    </row>
    <row r="30" spans="1:7">
      <c r="A30" s="569" t="s">
        <v>84</v>
      </c>
      <c r="B30" s="570" t="s">
        <v>849</v>
      </c>
      <c r="C30" s="571">
        <v>1030101100</v>
      </c>
      <c r="D30" s="572" t="s">
        <v>2</v>
      </c>
      <c r="F30" s="584" t="s">
        <v>489</v>
      </c>
      <c r="G30" s="578" t="s">
        <v>1518</v>
      </c>
    </row>
    <row r="31" spans="1:7">
      <c r="A31" s="569" t="s">
        <v>21</v>
      </c>
      <c r="B31" s="570" t="s">
        <v>845</v>
      </c>
      <c r="C31" s="571">
        <v>1030301000</v>
      </c>
      <c r="D31" s="572" t="s">
        <v>1</v>
      </c>
      <c r="F31" s="584" t="s">
        <v>505</v>
      </c>
      <c r="G31" s="578" t="s">
        <v>1519</v>
      </c>
    </row>
    <row r="32" spans="1:7">
      <c r="A32" s="569" t="s">
        <v>22</v>
      </c>
      <c r="B32" s="570" t="s">
        <v>1288</v>
      </c>
      <c r="C32" s="571">
        <v>1030302000</v>
      </c>
      <c r="D32" s="572" t="s">
        <v>1</v>
      </c>
      <c r="F32" s="584" t="s">
        <v>485</v>
      </c>
      <c r="G32" s="578" t="s">
        <v>1513</v>
      </c>
    </row>
    <row r="33" spans="1:7">
      <c r="A33" s="569" t="s">
        <v>23</v>
      </c>
      <c r="B33" s="570" t="s">
        <v>1180</v>
      </c>
      <c r="C33" s="571">
        <v>1030303000</v>
      </c>
      <c r="D33" s="572" t="s">
        <v>1</v>
      </c>
      <c r="F33" s="584" t="s">
        <v>490</v>
      </c>
      <c r="G33" s="578" t="s">
        <v>1520</v>
      </c>
    </row>
    <row r="34" spans="1:7">
      <c r="A34" s="569" t="s">
        <v>1159</v>
      </c>
      <c r="B34" s="570" t="s">
        <v>1181</v>
      </c>
      <c r="C34" s="571">
        <v>1030401000</v>
      </c>
      <c r="D34" s="572" t="s">
        <v>1</v>
      </c>
      <c r="F34" s="584" t="s">
        <v>491</v>
      </c>
      <c r="G34" s="578" t="s">
        <v>1521</v>
      </c>
    </row>
    <row r="35" spans="1:7">
      <c r="A35" s="569" t="s">
        <v>24</v>
      </c>
      <c r="B35" s="570" t="s">
        <v>65</v>
      </c>
      <c r="C35" s="571">
        <v>1030403000</v>
      </c>
      <c r="D35" s="572" t="s">
        <v>1</v>
      </c>
      <c r="F35" s="584" t="s">
        <v>492</v>
      </c>
      <c r="G35" s="578" t="s">
        <v>1522</v>
      </c>
    </row>
    <row r="36" spans="1:7">
      <c r="A36" s="569" t="s">
        <v>25</v>
      </c>
      <c r="B36" s="570" t="s">
        <v>844</v>
      </c>
      <c r="C36" s="571">
        <v>1030405000</v>
      </c>
      <c r="D36" s="572" t="s">
        <v>1</v>
      </c>
      <c r="F36" s="584" t="s">
        <v>486</v>
      </c>
      <c r="G36" s="578" t="s">
        <v>1514</v>
      </c>
    </row>
    <row r="37" spans="1:7">
      <c r="A37" s="569" t="s">
        <v>26</v>
      </c>
      <c r="B37" s="570" t="s">
        <v>1289</v>
      </c>
      <c r="C37" s="571">
        <v>1030501000</v>
      </c>
      <c r="D37" s="572" t="s">
        <v>1</v>
      </c>
      <c r="F37" s="584" t="s">
        <v>493</v>
      </c>
      <c r="G37" s="578" t="s">
        <v>1523</v>
      </c>
    </row>
    <row r="38" spans="1:7">
      <c r="A38" s="569" t="s">
        <v>20</v>
      </c>
      <c r="B38" s="570" t="s">
        <v>64</v>
      </c>
      <c r="C38" s="571">
        <v>1030502000</v>
      </c>
      <c r="D38" s="572" t="s">
        <v>1</v>
      </c>
      <c r="F38" s="584" t="s">
        <v>502</v>
      </c>
      <c r="G38" s="578" t="s">
        <v>1524</v>
      </c>
    </row>
    <row r="39" spans="1:7">
      <c r="A39" s="569" t="s">
        <v>28</v>
      </c>
      <c r="B39" s="570" t="s">
        <v>1290</v>
      </c>
      <c r="C39" s="571">
        <v>1030599000</v>
      </c>
      <c r="D39" s="572" t="s">
        <v>1</v>
      </c>
      <c r="F39" s="584" t="s">
        <v>503</v>
      </c>
      <c r="G39" s="578" t="s">
        <v>1525</v>
      </c>
    </row>
    <row r="40" spans="1:7">
      <c r="A40" s="569" t="s">
        <v>29</v>
      </c>
      <c r="B40" s="570" t="s">
        <v>67</v>
      </c>
      <c r="C40" s="571">
        <v>1040101000</v>
      </c>
      <c r="D40" s="572" t="s">
        <v>1</v>
      </c>
      <c r="F40" s="584" t="s">
        <v>762</v>
      </c>
      <c r="G40" s="578" t="s">
        <v>1515</v>
      </c>
    </row>
    <row r="41" spans="1:7">
      <c r="A41" s="918" t="s">
        <v>1624</v>
      </c>
      <c r="B41" s="919" t="s">
        <v>1625</v>
      </c>
      <c r="C41" s="920">
        <v>1040209000</v>
      </c>
      <c r="D41" s="572" t="s">
        <v>1</v>
      </c>
      <c r="F41" s="584" t="s">
        <v>1526</v>
      </c>
      <c r="G41" s="578" t="s">
        <v>1527</v>
      </c>
    </row>
    <row r="42" spans="1:7">
      <c r="A42" s="569" t="s">
        <v>30</v>
      </c>
      <c r="B42" s="570" t="s">
        <v>1182</v>
      </c>
      <c r="C42" s="571">
        <v>1040401000</v>
      </c>
      <c r="D42" s="572" t="s">
        <v>1</v>
      </c>
      <c r="F42" s="584" t="s">
        <v>1528</v>
      </c>
      <c r="G42" s="578" t="s">
        <v>1529</v>
      </c>
    </row>
    <row r="43" spans="1:7">
      <c r="A43" s="569" t="s">
        <v>1157</v>
      </c>
      <c r="B43" s="570" t="s">
        <v>1291</v>
      </c>
      <c r="C43" s="571">
        <v>1040402000</v>
      </c>
      <c r="D43" s="572" t="s">
        <v>1</v>
      </c>
      <c r="F43" s="584" t="s">
        <v>1530</v>
      </c>
      <c r="G43" s="578" t="s">
        <v>1531</v>
      </c>
    </row>
    <row r="44" spans="1:7">
      <c r="A44" s="918" t="s">
        <v>1626</v>
      </c>
      <c r="B44" s="919" t="s">
        <v>1627</v>
      </c>
      <c r="C44" s="920">
        <v>1040403000</v>
      </c>
      <c r="D44" s="572" t="s">
        <v>1</v>
      </c>
      <c r="F44" s="584" t="s">
        <v>1532</v>
      </c>
      <c r="G44" s="578" t="s">
        <v>1533</v>
      </c>
    </row>
    <row r="45" spans="1:7">
      <c r="A45" s="918" t="s">
        <v>1628</v>
      </c>
      <c r="B45" s="919" t="s">
        <v>1629</v>
      </c>
      <c r="C45" s="920">
        <v>1040406000</v>
      </c>
      <c r="D45" s="572" t="s">
        <v>1</v>
      </c>
      <c r="F45" s="584" t="s">
        <v>1534</v>
      </c>
      <c r="G45" s="578" t="s">
        <v>1535</v>
      </c>
    </row>
    <row r="46" spans="1:7">
      <c r="A46" s="569" t="s">
        <v>1221</v>
      </c>
      <c r="B46" s="570" t="s">
        <v>1292</v>
      </c>
      <c r="C46" s="571">
        <v>1040407000</v>
      </c>
      <c r="D46" s="572" t="s">
        <v>1</v>
      </c>
      <c r="F46" s="584" t="s">
        <v>1536</v>
      </c>
      <c r="G46" s="578" t="s">
        <v>1537</v>
      </c>
    </row>
    <row r="47" spans="1:7">
      <c r="A47" s="569" t="s">
        <v>31</v>
      </c>
      <c r="B47" s="570" t="s">
        <v>1183</v>
      </c>
      <c r="C47" s="571">
        <v>1040408000</v>
      </c>
      <c r="D47" s="572" t="s">
        <v>1</v>
      </c>
      <c r="F47" s="584"/>
      <c r="G47" s="578"/>
    </row>
    <row r="48" spans="1:7">
      <c r="A48" s="921" t="s">
        <v>1630</v>
      </c>
      <c r="B48" s="919" t="s">
        <v>1631</v>
      </c>
      <c r="C48" s="920">
        <v>1040409000</v>
      </c>
      <c r="D48" s="572" t="s">
        <v>1</v>
      </c>
      <c r="F48" s="584"/>
      <c r="G48" s="578"/>
    </row>
    <row r="49" spans="1:7">
      <c r="A49" s="569" t="s">
        <v>1222</v>
      </c>
      <c r="B49" s="570" t="s">
        <v>1184</v>
      </c>
      <c r="C49" s="571">
        <v>1040410000</v>
      </c>
      <c r="D49" s="572" t="s">
        <v>1</v>
      </c>
      <c r="F49" s="584"/>
      <c r="G49" s="578"/>
    </row>
    <row r="50" spans="1:7">
      <c r="A50" s="918" t="s">
        <v>1632</v>
      </c>
      <c r="B50" s="919" t="s">
        <v>1633</v>
      </c>
      <c r="C50" s="920">
        <v>1040411000</v>
      </c>
      <c r="D50" s="572" t="s">
        <v>1</v>
      </c>
      <c r="F50" s="584"/>
      <c r="G50" s="578"/>
    </row>
    <row r="51" spans="1:7">
      <c r="A51" s="569" t="s">
        <v>1223</v>
      </c>
      <c r="B51" s="570" t="s">
        <v>1185</v>
      </c>
      <c r="C51" s="571">
        <v>1040413000</v>
      </c>
      <c r="D51" s="572" t="s">
        <v>1</v>
      </c>
      <c r="F51" s="584"/>
      <c r="G51" s="578"/>
    </row>
    <row r="52" spans="1:7">
      <c r="A52" s="569" t="s">
        <v>32</v>
      </c>
      <c r="B52" s="570" t="s">
        <v>366</v>
      </c>
      <c r="C52" s="571">
        <v>1040499000</v>
      </c>
      <c r="D52" s="572" t="s">
        <v>1</v>
      </c>
      <c r="F52" s="585"/>
      <c r="G52" s="586"/>
    </row>
    <row r="53" spans="1:7">
      <c r="A53" s="569" t="s">
        <v>1244</v>
      </c>
      <c r="B53" s="570" t="s">
        <v>1293</v>
      </c>
      <c r="C53" s="571">
        <v>1040501000</v>
      </c>
      <c r="D53" s="572" t="s">
        <v>1</v>
      </c>
      <c r="F53" s="585"/>
      <c r="G53" s="586"/>
    </row>
    <row r="54" spans="1:7">
      <c r="A54" s="569" t="s">
        <v>1245</v>
      </c>
      <c r="B54" s="570" t="s">
        <v>1186</v>
      </c>
      <c r="C54" s="571">
        <v>1040502000</v>
      </c>
      <c r="D54" s="572" t="s">
        <v>1</v>
      </c>
    </row>
    <row r="55" spans="1:7">
      <c r="A55" s="569" t="s">
        <v>1246</v>
      </c>
      <c r="B55" s="570" t="s">
        <v>1294</v>
      </c>
      <c r="C55" s="571">
        <v>1040503000</v>
      </c>
      <c r="D55" s="572" t="s">
        <v>1</v>
      </c>
    </row>
    <row r="56" spans="1:7">
      <c r="A56" s="569" t="s">
        <v>1247</v>
      </c>
      <c r="B56" s="570" t="s">
        <v>1187</v>
      </c>
      <c r="C56" s="571">
        <v>1040504000</v>
      </c>
      <c r="D56" s="572" t="s">
        <v>1</v>
      </c>
    </row>
    <row r="57" spans="1:7">
      <c r="A57" s="569" t="s">
        <v>1248</v>
      </c>
      <c r="B57" s="570" t="s">
        <v>1188</v>
      </c>
      <c r="C57" s="571">
        <v>1040505000</v>
      </c>
      <c r="D57" s="572" t="s">
        <v>1</v>
      </c>
    </row>
    <row r="58" spans="1:7">
      <c r="A58" s="569" t="s">
        <v>1249</v>
      </c>
      <c r="B58" s="570" t="s">
        <v>1295</v>
      </c>
      <c r="C58" s="571">
        <v>1040506000</v>
      </c>
      <c r="D58" s="572" t="s">
        <v>1</v>
      </c>
    </row>
    <row r="59" spans="1:7">
      <c r="A59" s="569" t="s">
        <v>1250</v>
      </c>
      <c r="B59" s="570" t="s">
        <v>1296</v>
      </c>
      <c r="C59" s="571">
        <v>1040507000</v>
      </c>
      <c r="D59" s="572" t="s">
        <v>1</v>
      </c>
    </row>
    <row r="60" spans="1:7">
      <c r="A60" s="569" t="s">
        <v>1251</v>
      </c>
      <c r="B60" s="570" t="s">
        <v>1189</v>
      </c>
      <c r="C60" s="571">
        <v>1040508000</v>
      </c>
      <c r="D60" s="572" t="s">
        <v>1</v>
      </c>
    </row>
    <row r="61" spans="1:7">
      <c r="A61" s="569" t="s">
        <v>1252</v>
      </c>
      <c r="B61" s="570" t="s">
        <v>1190</v>
      </c>
      <c r="C61" s="571">
        <v>1040509000</v>
      </c>
      <c r="D61" s="572" t="s">
        <v>1</v>
      </c>
    </row>
    <row r="62" spans="1:7">
      <c r="A62" s="569" t="s">
        <v>1253</v>
      </c>
      <c r="B62" s="570" t="s">
        <v>1191</v>
      </c>
      <c r="C62" s="571">
        <v>1040510000</v>
      </c>
      <c r="D62" s="572" t="s">
        <v>1</v>
      </c>
    </row>
    <row r="63" spans="1:7">
      <c r="A63" s="569" t="s">
        <v>1254</v>
      </c>
      <c r="B63" s="570" t="s">
        <v>1192</v>
      </c>
      <c r="C63" s="571">
        <v>1040511000</v>
      </c>
      <c r="D63" s="572" t="s">
        <v>1</v>
      </c>
    </row>
    <row r="64" spans="1:7">
      <c r="A64" s="569" t="s">
        <v>1255</v>
      </c>
      <c r="B64" s="570" t="s">
        <v>1193</v>
      </c>
      <c r="C64" s="571">
        <v>1040512000</v>
      </c>
      <c r="D64" s="572" t="s">
        <v>1</v>
      </c>
    </row>
    <row r="65" spans="1:4">
      <c r="A65" s="569" t="s">
        <v>1256</v>
      </c>
      <c r="B65" s="570" t="s">
        <v>1194</v>
      </c>
      <c r="C65" s="571">
        <v>1040513000</v>
      </c>
      <c r="D65" s="572" t="s">
        <v>1</v>
      </c>
    </row>
    <row r="66" spans="1:4">
      <c r="A66" s="569" t="s">
        <v>1257</v>
      </c>
      <c r="B66" s="570" t="s">
        <v>1297</v>
      </c>
      <c r="C66" s="571">
        <v>1040519000</v>
      </c>
      <c r="D66" s="572" t="s">
        <v>1</v>
      </c>
    </row>
    <row r="67" spans="1:4">
      <c r="A67" s="569" t="s">
        <v>1438</v>
      </c>
      <c r="B67" s="570" t="s">
        <v>1195</v>
      </c>
      <c r="C67" s="571">
        <v>1040601000</v>
      </c>
      <c r="D67" s="572" t="s">
        <v>1</v>
      </c>
    </row>
    <row r="68" spans="1:4">
      <c r="A68" s="569" t="s">
        <v>1439</v>
      </c>
      <c r="B68" s="570" t="s">
        <v>1196</v>
      </c>
      <c r="C68" s="571">
        <v>1040602000</v>
      </c>
      <c r="D68" s="572" t="s">
        <v>1</v>
      </c>
    </row>
    <row r="69" spans="1:4">
      <c r="A69" s="569" t="s">
        <v>38</v>
      </c>
      <c r="B69" s="570" t="s">
        <v>72</v>
      </c>
      <c r="C69" s="571">
        <v>1060101000</v>
      </c>
      <c r="D69" s="572" t="s">
        <v>1</v>
      </c>
    </row>
    <row r="70" spans="1:4">
      <c r="A70" s="569" t="s">
        <v>39</v>
      </c>
      <c r="B70" s="570" t="s">
        <v>1298</v>
      </c>
      <c r="C70" s="571">
        <v>1060299000</v>
      </c>
      <c r="D70" s="572" t="s">
        <v>1</v>
      </c>
    </row>
    <row r="71" spans="1:4">
      <c r="A71" s="569" t="s">
        <v>85</v>
      </c>
      <c r="B71" s="570" t="s">
        <v>1299</v>
      </c>
      <c r="C71" s="571">
        <v>1060299100</v>
      </c>
      <c r="D71" s="572" t="s">
        <v>2</v>
      </c>
    </row>
    <row r="72" spans="1:4">
      <c r="A72" s="569" t="s">
        <v>1226</v>
      </c>
      <c r="B72" s="570" t="s">
        <v>1200</v>
      </c>
      <c r="C72" s="571">
        <v>1060301000</v>
      </c>
      <c r="D72" s="572" t="s">
        <v>1</v>
      </c>
    </row>
    <row r="73" spans="1:4">
      <c r="A73" s="569" t="s">
        <v>1260</v>
      </c>
      <c r="B73" s="570" t="s">
        <v>1300</v>
      </c>
      <c r="C73" s="571">
        <v>1060301100</v>
      </c>
      <c r="D73" s="572" t="s">
        <v>2</v>
      </c>
    </row>
    <row r="74" spans="1:4">
      <c r="A74" s="569" t="s">
        <v>60</v>
      </c>
      <c r="B74" s="570" t="s">
        <v>1201</v>
      </c>
      <c r="C74" s="571">
        <v>1060304000</v>
      </c>
      <c r="D74" s="572" t="s">
        <v>1</v>
      </c>
    </row>
    <row r="75" spans="1:4">
      <c r="A75" s="569" t="s">
        <v>1261</v>
      </c>
      <c r="B75" s="570" t="s">
        <v>1301</v>
      </c>
      <c r="C75" s="571">
        <v>1060304100</v>
      </c>
      <c r="D75" s="572" t="s">
        <v>2</v>
      </c>
    </row>
    <row r="76" spans="1:4">
      <c r="A76" s="569" t="s">
        <v>1225</v>
      </c>
      <c r="B76" s="570" t="s">
        <v>1197</v>
      </c>
      <c r="C76" s="571">
        <v>1060305000</v>
      </c>
      <c r="D76" s="572" t="s">
        <v>1</v>
      </c>
    </row>
    <row r="77" spans="1:4">
      <c r="A77" s="569" t="s">
        <v>1227</v>
      </c>
      <c r="B77" s="570" t="s">
        <v>1302</v>
      </c>
      <c r="C77" s="571">
        <v>1060305100</v>
      </c>
      <c r="D77" s="572" t="s">
        <v>2</v>
      </c>
    </row>
    <row r="78" spans="1:4">
      <c r="A78" s="569" t="s">
        <v>40</v>
      </c>
      <c r="B78" s="570" t="s">
        <v>846</v>
      </c>
      <c r="C78" s="571">
        <v>1060401000</v>
      </c>
      <c r="D78" s="572" t="s">
        <v>1</v>
      </c>
    </row>
    <row r="79" spans="1:4">
      <c r="A79" s="569" t="s">
        <v>86</v>
      </c>
      <c r="B79" s="570" t="s">
        <v>1303</v>
      </c>
      <c r="C79" s="571">
        <v>1060401100</v>
      </c>
      <c r="D79" s="572" t="s">
        <v>2</v>
      </c>
    </row>
    <row r="80" spans="1:4">
      <c r="A80" s="569" t="s">
        <v>41</v>
      </c>
      <c r="B80" s="570" t="s">
        <v>73</v>
      </c>
      <c r="C80" s="571">
        <v>1060499000</v>
      </c>
      <c r="D80" s="572" t="s">
        <v>1</v>
      </c>
    </row>
    <row r="81" spans="1:4">
      <c r="A81" s="569" t="s">
        <v>87</v>
      </c>
      <c r="B81" s="570" t="s">
        <v>1304</v>
      </c>
      <c r="C81" s="571">
        <v>1060499100</v>
      </c>
      <c r="D81" s="572" t="s">
        <v>2</v>
      </c>
    </row>
    <row r="82" spans="1:4">
      <c r="A82" s="569" t="s">
        <v>46</v>
      </c>
      <c r="B82" s="570" t="s">
        <v>1305</v>
      </c>
      <c r="C82" s="571">
        <v>1060501000</v>
      </c>
      <c r="D82" s="572" t="s">
        <v>1</v>
      </c>
    </row>
    <row r="83" spans="1:4">
      <c r="A83" s="569" t="s">
        <v>92</v>
      </c>
      <c r="B83" s="570" t="s">
        <v>1306</v>
      </c>
      <c r="C83" s="571">
        <v>1060501100</v>
      </c>
      <c r="D83" s="572" t="s">
        <v>2</v>
      </c>
    </row>
    <row r="84" spans="1:4">
      <c r="A84" s="569" t="s">
        <v>42</v>
      </c>
      <c r="B84" s="570" t="s">
        <v>74</v>
      </c>
      <c r="C84" s="571">
        <v>1060502000</v>
      </c>
      <c r="D84" s="572" t="s">
        <v>1</v>
      </c>
    </row>
    <row r="85" spans="1:4">
      <c r="A85" s="569" t="s">
        <v>88</v>
      </c>
      <c r="B85" s="570" t="s">
        <v>1307</v>
      </c>
      <c r="C85" s="571">
        <v>1060502100</v>
      </c>
      <c r="D85" s="572" t="s">
        <v>2</v>
      </c>
    </row>
    <row r="86" spans="1:4">
      <c r="A86" s="569" t="s">
        <v>44</v>
      </c>
      <c r="B86" s="570" t="s">
        <v>1308</v>
      </c>
      <c r="C86" s="571">
        <v>1060503000</v>
      </c>
      <c r="D86" s="572" t="s">
        <v>1</v>
      </c>
    </row>
    <row r="87" spans="1:4">
      <c r="A87" s="569" t="s">
        <v>90</v>
      </c>
      <c r="B87" s="570" t="s">
        <v>1309</v>
      </c>
      <c r="C87" s="571">
        <v>1060503100</v>
      </c>
      <c r="D87" s="572" t="s">
        <v>2</v>
      </c>
    </row>
    <row r="88" spans="1:4">
      <c r="A88" s="569" t="s">
        <v>47</v>
      </c>
      <c r="B88" s="570" t="s">
        <v>1310</v>
      </c>
      <c r="C88" s="571">
        <v>1060504000</v>
      </c>
      <c r="D88" s="572" t="s">
        <v>1</v>
      </c>
    </row>
    <row r="89" spans="1:4">
      <c r="A89" s="569" t="s">
        <v>93</v>
      </c>
      <c r="B89" s="570" t="s">
        <v>1311</v>
      </c>
      <c r="C89" s="571">
        <v>1060504100</v>
      </c>
      <c r="D89" s="572" t="s">
        <v>2</v>
      </c>
    </row>
    <row r="90" spans="1:4">
      <c r="A90" s="569" t="s">
        <v>1258</v>
      </c>
      <c r="B90" s="570" t="s">
        <v>1198</v>
      </c>
      <c r="C90" s="571">
        <v>1060505000</v>
      </c>
      <c r="D90" s="572" t="s">
        <v>1</v>
      </c>
    </row>
    <row r="91" spans="1:4">
      <c r="A91" s="569" t="s">
        <v>1259</v>
      </c>
      <c r="B91" s="570" t="s">
        <v>1312</v>
      </c>
      <c r="C91" s="571">
        <v>1060505100</v>
      </c>
      <c r="D91" s="572" t="s">
        <v>2</v>
      </c>
    </row>
    <row r="92" spans="1:4">
      <c r="A92" s="569" t="s">
        <v>48</v>
      </c>
      <c r="B92" s="570" t="s">
        <v>75</v>
      </c>
      <c r="C92" s="571">
        <v>1060507000</v>
      </c>
      <c r="D92" s="572" t="s">
        <v>1</v>
      </c>
    </row>
    <row r="93" spans="1:4">
      <c r="A93" s="569" t="s">
        <v>94</v>
      </c>
      <c r="B93" s="570" t="s">
        <v>1313</v>
      </c>
      <c r="C93" s="571">
        <v>1060507100</v>
      </c>
      <c r="D93" s="572" t="s">
        <v>2</v>
      </c>
    </row>
    <row r="94" spans="1:4">
      <c r="A94" s="569" t="s">
        <v>49</v>
      </c>
      <c r="B94" s="570" t="s">
        <v>1314</v>
      </c>
      <c r="C94" s="571">
        <v>1060508000</v>
      </c>
      <c r="D94" s="572" t="s">
        <v>1</v>
      </c>
    </row>
    <row r="95" spans="1:4">
      <c r="A95" s="569" t="s">
        <v>95</v>
      </c>
      <c r="B95" s="570" t="s">
        <v>1315</v>
      </c>
      <c r="C95" s="571">
        <v>1060508100</v>
      </c>
      <c r="D95" s="572" t="s">
        <v>2</v>
      </c>
    </row>
    <row r="96" spans="1:4">
      <c r="A96" s="569" t="s">
        <v>50</v>
      </c>
      <c r="B96" s="570" t="s">
        <v>1199</v>
      </c>
      <c r="C96" s="571">
        <v>1060509000</v>
      </c>
      <c r="D96" s="572" t="s">
        <v>1</v>
      </c>
    </row>
    <row r="97" spans="1:4">
      <c r="A97" s="569" t="s">
        <v>96</v>
      </c>
      <c r="B97" s="570" t="s">
        <v>1316</v>
      </c>
      <c r="C97" s="571">
        <v>1060509100</v>
      </c>
      <c r="D97" s="572" t="s">
        <v>2</v>
      </c>
    </row>
    <row r="98" spans="1:4">
      <c r="A98" s="569" t="s">
        <v>51</v>
      </c>
      <c r="B98" s="570" t="s">
        <v>1317</v>
      </c>
      <c r="C98" s="571">
        <v>1060510000</v>
      </c>
      <c r="D98" s="572" t="s">
        <v>1</v>
      </c>
    </row>
    <row r="99" spans="1:4">
      <c r="A99" s="569" t="s">
        <v>97</v>
      </c>
      <c r="B99" s="570" t="s">
        <v>1318</v>
      </c>
      <c r="C99" s="571">
        <v>1060510100</v>
      </c>
      <c r="D99" s="572" t="s">
        <v>2</v>
      </c>
    </row>
    <row r="100" spans="1:4">
      <c r="A100" s="569" t="s">
        <v>406</v>
      </c>
      <c r="B100" s="570" t="s">
        <v>847</v>
      </c>
      <c r="C100" s="571">
        <v>1060511000</v>
      </c>
      <c r="D100" s="572" t="s">
        <v>1</v>
      </c>
    </row>
    <row r="101" spans="1:4">
      <c r="A101" s="569" t="s">
        <v>1228</v>
      </c>
      <c r="B101" s="570" t="s">
        <v>1319</v>
      </c>
      <c r="C101" s="571">
        <v>1060511100</v>
      </c>
      <c r="D101" s="572" t="s">
        <v>2</v>
      </c>
    </row>
    <row r="102" spans="1:4">
      <c r="A102" s="569" t="s">
        <v>52</v>
      </c>
      <c r="B102" s="570" t="s">
        <v>76</v>
      </c>
      <c r="C102" s="571">
        <v>1060513000</v>
      </c>
      <c r="D102" s="572" t="s">
        <v>1</v>
      </c>
    </row>
    <row r="103" spans="1:4">
      <c r="A103" s="569" t="s">
        <v>98</v>
      </c>
      <c r="B103" s="570" t="s">
        <v>1320</v>
      </c>
      <c r="C103" s="571">
        <v>1060513100</v>
      </c>
      <c r="D103" s="572" t="s">
        <v>2</v>
      </c>
    </row>
    <row r="104" spans="1:4">
      <c r="A104" s="569" t="s">
        <v>53</v>
      </c>
      <c r="B104" s="570" t="s">
        <v>77</v>
      </c>
      <c r="C104" s="571">
        <v>1060514000</v>
      </c>
      <c r="D104" s="572" t="s">
        <v>1</v>
      </c>
    </row>
    <row r="105" spans="1:4">
      <c r="A105" s="569" t="s">
        <v>99</v>
      </c>
      <c r="B105" s="570" t="s">
        <v>1321</v>
      </c>
      <c r="C105" s="571">
        <v>1060514100</v>
      </c>
      <c r="D105" s="572" t="s">
        <v>2</v>
      </c>
    </row>
    <row r="106" spans="1:4">
      <c r="A106" s="569" t="s">
        <v>54</v>
      </c>
      <c r="B106" s="570" t="s">
        <v>367</v>
      </c>
      <c r="C106" s="571">
        <v>1060599000</v>
      </c>
      <c r="D106" s="572" t="s">
        <v>1</v>
      </c>
    </row>
    <row r="107" spans="1:4">
      <c r="A107" s="569" t="s">
        <v>100</v>
      </c>
      <c r="B107" s="570" t="s">
        <v>1322</v>
      </c>
      <c r="C107" s="571">
        <v>1060599100</v>
      </c>
      <c r="D107" s="572" t="s">
        <v>2</v>
      </c>
    </row>
    <row r="108" spans="1:4">
      <c r="A108" s="569" t="s">
        <v>55</v>
      </c>
      <c r="B108" s="570" t="s">
        <v>78</v>
      </c>
      <c r="C108" s="571">
        <v>1060601000</v>
      </c>
      <c r="D108" s="572" t="s">
        <v>1</v>
      </c>
    </row>
    <row r="109" spans="1:4">
      <c r="A109" s="569" t="s">
        <v>101</v>
      </c>
      <c r="B109" s="570" t="s">
        <v>1323</v>
      </c>
      <c r="C109" s="571">
        <v>1060601100</v>
      </c>
      <c r="D109" s="572" t="s">
        <v>2</v>
      </c>
    </row>
    <row r="110" spans="1:4">
      <c r="A110" s="569" t="s">
        <v>56</v>
      </c>
      <c r="B110" s="570" t="s">
        <v>1324</v>
      </c>
      <c r="C110" s="571">
        <v>1060603000</v>
      </c>
      <c r="D110" s="572" t="s">
        <v>1</v>
      </c>
    </row>
    <row r="111" spans="1:4">
      <c r="A111" s="569" t="s">
        <v>102</v>
      </c>
      <c r="B111" s="570" t="s">
        <v>1325</v>
      </c>
      <c r="C111" s="571">
        <v>1060603100</v>
      </c>
      <c r="D111" s="572" t="s">
        <v>2</v>
      </c>
    </row>
    <row r="112" spans="1:4">
      <c r="A112" s="569" t="s">
        <v>57</v>
      </c>
      <c r="B112" s="570" t="s">
        <v>79</v>
      </c>
      <c r="C112" s="571">
        <v>1060604000</v>
      </c>
      <c r="D112" s="572" t="s">
        <v>1</v>
      </c>
    </row>
    <row r="113" spans="1:4">
      <c r="A113" s="569" t="s">
        <v>103</v>
      </c>
      <c r="B113" s="570" t="s">
        <v>1326</v>
      </c>
      <c r="C113" s="571">
        <v>1060604100</v>
      </c>
      <c r="D113" s="572" t="s">
        <v>2</v>
      </c>
    </row>
    <row r="114" spans="1:4">
      <c r="A114" s="569" t="s">
        <v>58</v>
      </c>
      <c r="B114" s="570" t="s">
        <v>80</v>
      </c>
      <c r="C114" s="571">
        <v>1060699000</v>
      </c>
      <c r="D114" s="572" t="s">
        <v>1</v>
      </c>
    </row>
    <row r="115" spans="1:4">
      <c r="A115" s="569" t="s">
        <v>104</v>
      </c>
      <c r="B115" s="570" t="s">
        <v>1327</v>
      </c>
      <c r="C115" s="571">
        <v>1060699100</v>
      </c>
      <c r="D115" s="572" t="s">
        <v>2</v>
      </c>
    </row>
    <row r="116" spans="1:4">
      <c r="A116" s="569" t="s">
        <v>43</v>
      </c>
      <c r="B116" s="570" t="s">
        <v>1328</v>
      </c>
      <c r="C116" s="571">
        <v>1060701000</v>
      </c>
      <c r="D116" s="572" t="s">
        <v>1</v>
      </c>
    </row>
    <row r="117" spans="1:4">
      <c r="A117" s="569" t="s">
        <v>89</v>
      </c>
      <c r="B117" s="570" t="s">
        <v>1329</v>
      </c>
      <c r="C117" s="571">
        <v>1060701100</v>
      </c>
      <c r="D117" s="572" t="s">
        <v>2</v>
      </c>
    </row>
    <row r="118" spans="1:4">
      <c r="A118" s="569" t="s">
        <v>45</v>
      </c>
      <c r="B118" s="570" t="s">
        <v>1330</v>
      </c>
      <c r="C118" s="571">
        <v>1060702000</v>
      </c>
      <c r="D118" s="572" t="s">
        <v>1</v>
      </c>
    </row>
    <row r="119" spans="1:4">
      <c r="A119" s="569" t="s">
        <v>91</v>
      </c>
      <c r="B119" s="570" t="s">
        <v>1331</v>
      </c>
      <c r="C119" s="571">
        <v>1060702100</v>
      </c>
      <c r="D119" s="572" t="s">
        <v>2</v>
      </c>
    </row>
    <row r="120" spans="1:4">
      <c r="A120" s="569" t="s">
        <v>59</v>
      </c>
      <c r="B120" s="570" t="s">
        <v>81</v>
      </c>
      <c r="C120" s="571">
        <v>1069899000</v>
      </c>
      <c r="D120" s="572" t="s">
        <v>1</v>
      </c>
    </row>
    <row r="121" spans="1:4">
      <c r="A121" s="569" t="s">
        <v>105</v>
      </c>
      <c r="B121" s="570" t="s">
        <v>1332</v>
      </c>
      <c r="C121" s="571">
        <v>1069899100</v>
      </c>
      <c r="D121" s="572" t="s">
        <v>2</v>
      </c>
    </row>
    <row r="122" spans="1:4">
      <c r="A122" s="569" t="s">
        <v>61</v>
      </c>
      <c r="B122" s="570" t="s">
        <v>1333</v>
      </c>
      <c r="C122" s="571">
        <v>1069902099</v>
      </c>
      <c r="D122" s="572" t="s">
        <v>1</v>
      </c>
    </row>
    <row r="123" spans="1:4">
      <c r="A123" s="569" t="s">
        <v>62</v>
      </c>
      <c r="B123" s="570" t="s">
        <v>1334</v>
      </c>
      <c r="C123" s="571">
        <v>1069902099</v>
      </c>
      <c r="D123" s="572" t="s">
        <v>1</v>
      </c>
    </row>
    <row r="124" spans="1:4">
      <c r="A124" s="569" t="s">
        <v>82</v>
      </c>
      <c r="B124" s="570" t="s">
        <v>1335</v>
      </c>
      <c r="C124" s="571">
        <v>1069902099</v>
      </c>
      <c r="D124" s="572" t="s">
        <v>1</v>
      </c>
    </row>
    <row r="125" spans="1:4">
      <c r="A125" s="569" t="s">
        <v>12</v>
      </c>
      <c r="B125" s="570" t="s">
        <v>365</v>
      </c>
      <c r="C125" s="571">
        <v>1990102000</v>
      </c>
      <c r="D125" s="572" t="s">
        <v>1</v>
      </c>
    </row>
    <row r="126" spans="1:4">
      <c r="A126" s="569" t="s">
        <v>10</v>
      </c>
      <c r="B126" s="570" t="s">
        <v>843</v>
      </c>
      <c r="C126" s="571">
        <v>1990103000</v>
      </c>
      <c r="D126" s="572" t="s">
        <v>1</v>
      </c>
    </row>
    <row r="127" spans="1:4">
      <c r="A127" s="569" t="s">
        <v>27</v>
      </c>
      <c r="B127" s="570" t="s">
        <v>66</v>
      </c>
      <c r="C127" s="571">
        <v>1990104000</v>
      </c>
      <c r="D127" s="572" t="s">
        <v>1</v>
      </c>
    </row>
    <row r="128" spans="1:4">
      <c r="A128" s="569" t="s">
        <v>35</v>
      </c>
      <c r="B128" s="570" t="s">
        <v>70</v>
      </c>
      <c r="C128" s="571">
        <v>1990201000</v>
      </c>
      <c r="D128" s="572" t="s">
        <v>1</v>
      </c>
    </row>
    <row r="129" spans="1:5">
      <c r="A129" s="569" t="s">
        <v>33</v>
      </c>
      <c r="B129" s="570" t="s">
        <v>68</v>
      </c>
      <c r="C129" s="571">
        <v>1990202000</v>
      </c>
      <c r="D129" s="572" t="s">
        <v>1</v>
      </c>
    </row>
    <row r="130" spans="1:5">
      <c r="A130" s="569" t="s">
        <v>1224</v>
      </c>
      <c r="B130" s="570" t="s">
        <v>595</v>
      </c>
      <c r="C130" s="571">
        <v>1990205000</v>
      </c>
      <c r="D130" s="572" t="s">
        <v>1</v>
      </c>
    </row>
    <row r="131" spans="1:5">
      <c r="A131" s="569" t="s">
        <v>36</v>
      </c>
      <c r="B131" s="570" t="s">
        <v>596</v>
      </c>
      <c r="C131" s="571">
        <v>1990299000</v>
      </c>
      <c r="D131" s="572" t="s">
        <v>1</v>
      </c>
    </row>
    <row r="132" spans="1:5">
      <c r="A132" s="569" t="s">
        <v>34</v>
      </c>
      <c r="B132" s="570" t="s">
        <v>69</v>
      </c>
      <c r="C132" s="571">
        <v>1990301000</v>
      </c>
      <c r="D132" s="572" t="s">
        <v>1</v>
      </c>
    </row>
    <row r="133" spans="1:5">
      <c r="A133" s="569" t="s">
        <v>37</v>
      </c>
      <c r="B133" s="570" t="s">
        <v>1336</v>
      </c>
      <c r="C133" s="571">
        <v>1990302000</v>
      </c>
      <c r="D133" s="572" t="s">
        <v>1</v>
      </c>
    </row>
    <row r="134" spans="1:5">
      <c r="A134" s="569" t="s">
        <v>83</v>
      </c>
      <c r="B134" s="570" t="s">
        <v>132</v>
      </c>
      <c r="C134" s="571">
        <v>1999999000</v>
      </c>
      <c r="D134" s="572" t="s">
        <v>1</v>
      </c>
    </row>
    <row r="135" spans="1:5">
      <c r="A135" s="569" t="s">
        <v>509</v>
      </c>
      <c r="B135" s="570" t="s">
        <v>1337</v>
      </c>
      <c r="C135" s="571">
        <v>1999999100</v>
      </c>
      <c r="D135" s="572" t="s">
        <v>2</v>
      </c>
    </row>
    <row r="136" spans="1:5">
      <c r="A136" s="569" t="s">
        <v>106</v>
      </c>
      <c r="B136" s="570" t="s">
        <v>133</v>
      </c>
      <c r="C136" s="571">
        <v>2010101000</v>
      </c>
      <c r="D136" s="572" t="s">
        <v>2</v>
      </c>
    </row>
    <row r="137" spans="1:5">
      <c r="A137" s="569" t="s">
        <v>108</v>
      </c>
      <c r="B137" s="570" t="s">
        <v>135</v>
      </c>
      <c r="C137" s="571">
        <v>2010102000</v>
      </c>
      <c r="D137" s="572" t="s">
        <v>2</v>
      </c>
    </row>
    <row r="138" spans="1:5">
      <c r="A138" s="569" t="s">
        <v>107</v>
      </c>
      <c r="B138" s="570" t="s">
        <v>134</v>
      </c>
      <c r="C138" s="571">
        <v>2010104000</v>
      </c>
      <c r="D138" s="572" t="s">
        <v>2</v>
      </c>
    </row>
    <row r="139" spans="1:5">
      <c r="A139" s="569" t="s">
        <v>118</v>
      </c>
      <c r="B139" s="570" t="s">
        <v>1338</v>
      </c>
      <c r="C139" s="571">
        <v>2010204000</v>
      </c>
      <c r="D139" s="572" t="s">
        <v>2</v>
      </c>
    </row>
    <row r="140" spans="1:5">
      <c r="A140" s="569" t="s">
        <v>119</v>
      </c>
      <c r="B140" s="570" t="s">
        <v>1339</v>
      </c>
      <c r="C140" s="571">
        <v>2010205000</v>
      </c>
      <c r="D140" s="572" t="s">
        <v>2</v>
      </c>
    </row>
    <row r="141" spans="1:5">
      <c r="A141" s="569" t="s">
        <v>1496</v>
      </c>
      <c r="B141" s="570" t="s">
        <v>1497</v>
      </c>
      <c r="C141" s="571">
        <v>2020109000</v>
      </c>
      <c r="D141" s="572" t="s">
        <v>2</v>
      </c>
    </row>
    <row r="142" spans="1:5">
      <c r="A142" s="569" t="s">
        <v>109</v>
      </c>
      <c r="B142" s="570" t="s">
        <v>4</v>
      </c>
      <c r="C142" s="571">
        <v>2020101000</v>
      </c>
      <c r="D142" s="572" t="s">
        <v>2</v>
      </c>
    </row>
    <row r="143" spans="1:5">
      <c r="A143" s="630" t="s">
        <v>1546</v>
      </c>
      <c r="B143" s="570" t="s">
        <v>1547</v>
      </c>
      <c r="C143" s="571">
        <v>2020101001</v>
      </c>
      <c r="D143" s="572" t="s">
        <v>2</v>
      </c>
      <c r="E143" s="685"/>
    </row>
    <row r="144" spans="1:5">
      <c r="A144" s="630" t="s">
        <v>1548</v>
      </c>
      <c r="B144" s="570" t="s">
        <v>1551</v>
      </c>
      <c r="C144" s="571">
        <v>2020101002</v>
      </c>
      <c r="D144" s="572" t="s">
        <v>2</v>
      </c>
      <c r="E144" s="685"/>
    </row>
    <row r="145" spans="1:5">
      <c r="A145" s="630" t="s">
        <v>1549</v>
      </c>
      <c r="B145" s="570" t="s">
        <v>1552</v>
      </c>
      <c r="C145" s="571">
        <v>2020101003</v>
      </c>
      <c r="D145" s="572" t="s">
        <v>2</v>
      </c>
      <c r="E145" s="685"/>
    </row>
    <row r="146" spans="1:5">
      <c r="A146" s="630" t="s">
        <v>1550</v>
      </c>
      <c r="B146" s="570" t="s">
        <v>1553</v>
      </c>
      <c r="C146" s="571">
        <v>2020101004</v>
      </c>
      <c r="D146" s="572" t="s">
        <v>2</v>
      </c>
      <c r="E146" s="685"/>
    </row>
    <row r="147" spans="1:5">
      <c r="A147" s="630" t="s">
        <v>1554</v>
      </c>
      <c r="B147" s="570" t="s">
        <v>1555</v>
      </c>
      <c r="C147" s="571">
        <v>2020101005</v>
      </c>
      <c r="D147" s="572" t="s">
        <v>2</v>
      </c>
      <c r="E147" s="685"/>
    </row>
    <row r="148" spans="1:5">
      <c r="A148" s="569" t="s">
        <v>110</v>
      </c>
      <c r="B148" s="570" t="s">
        <v>136</v>
      </c>
      <c r="C148" s="571">
        <v>2020102000</v>
      </c>
      <c r="D148" s="572" t="s">
        <v>2</v>
      </c>
    </row>
    <row r="149" spans="1:5">
      <c r="A149" s="569" t="s">
        <v>1440</v>
      </c>
      <c r="B149" s="570" t="s">
        <v>1340</v>
      </c>
      <c r="C149" s="571">
        <v>2020102001</v>
      </c>
      <c r="D149" s="572" t="s">
        <v>2</v>
      </c>
    </row>
    <row r="150" spans="1:5">
      <c r="A150" s="569" t="s">
        <v>1441</v>
      </c>
      <c r="B150" s="570" t="s">
        <v>1341</v>
      </c>
      <c r="C150" s="571">
        <v>2020102002</v>
      </c>
      <c r="D150" s="572" t="s">
        <v>2</v>
      </c>
    </row>
    <row r="151" spans="1:5">
      <c r="A151" s="569" t="s">
        <v>1498</v>
      </c>
      <c r="B151" s="570" t="s">
        <v>1342</v>
      </c>
      <c r="C151" s="571">
        <v>2020102003</v>
      </c>
      <c r="D151" s="572" t="s">
        <v>2</v>
      </c>
    </row>
    <row r="152" spans="1:5">
      <c r="A152" s="569" t="s">
        <v>1442</v>
      </c>
      <c r="B152" s="570" t="s">
        <v>1343</v>
      </c>
      <c r="C152" s="571">
        <v>2020102004</v>
      </c>
      <c r="D152" s="572" t="s">
        <v>2</v>
      </c>
    </row>
    <row r="153" spans="1:5">
      <c r="A153" s="569" t="s">
        <v>1443</v>
      </c>
      <c r="B153" s="570" t="s">
        <v>1499</v>
      </c>
      <c r="C153" s="571">
        <v>2020102005</v>
      </c>
      <c r="D153" s="572" t="s">
        <v>2</v>
      </c>
    </row>
    <row r="154" spans="1:5">
      <c r="A154" s="569" t="s">
        <v>1500</v>
      </c>
      <c r="B154" s="570" t="s">
        <v>1501</v>
      </c>
      <c r="C154" s="571">
        <v>2020102006</v>
      </c>
      <c r="D154" s="572" t="s">
        <v>2</v>
      </c>
    </row>
    <row r="155" spans="1:5">
      <c r="A155" s="569" t="s">
        <v>1502</v>
      </c>
      <c r="B155" s="570" t="s">
        <v>1503</v>
      </c>
      <c r="C155" s="571">
        <v>2020102007</v>
      </c>
      <c r="D155" s="572" t="s">
        <v>2</v>
      </c>
    </row>
    <row r="156" spans="1:5">
      <c r="A156" s="569" t="s">
        <v>1504</v>
      </c>
      <c r="B156" s="570" t="s">
        <v>1505</v>
      </c>
      <c r="C156" s="571">
        <v>2020102008</v>
      </c>
      <c r="D156" s="572" t="s">
        <v>2</v>
      </c>
    </row>
    <row r="157" spans="1:5">
      <c r="A157" s="569" t="s">
        <v>111</v>
      </c>
      <c r="B157" s="570" t="s">
        <v>1344</v>
      </c>
      <c r="C157" s="571">
        <v>2020103000</v>
      </c>
      <c r="D157" s="572" t="s">
        <v>2</v>
      </c>
    </row>
    <row r="158" spans="1:5">
      <c r="A158" s="569" t="s">
        <v>1444</v>
      </c>
      <c r="B158" s="570" t="s">
        <v>1345</v>
      </c>
      <c r="C158" s="571">
        <v>2020103001</v>
      </c>
      <c r="D158" s="572" t="s">
        <v>2</v>
      </c>
    </row>
    <row r="159" spans="1:5">
      <c r="A159" s="569" t="s">
        <v>1445</v>
      </c>
      <c r="B159" s="570" t="s">
        <v>1346</v>
      </c>
      <c r="C159" s="571">
        <v>2020103002</v>
      </c>
      <c r="D159" s="572" t="s">
        <v>2</v>
      </c>
    </row>
    <row r="160" spans="1:5">
      <c r="A160" s="569" t="s">
        <v>1446</v>
      </c>
      <c r="B160" s="570" t="s">
        <v>1347</v>
      </c>
      <c r="C160" s="571">
        <v>2020103003</v>
      </c>
      <c r="D160" s="572" t="s">
        <v>2</v>
      </c>
    </row>
    <row r="161" spans="1:4">
      <c r="A161" s="569" t="s">
        <v>1506</v>
      </c>
      <c r="B161" s="570" t="s">
        <v>1507</v>
      </c>
      <c r="C161" s="571">
        <v>2020103004</v>
      </c>
      <c r="D161" s="572" t="s">
        <v>2</v>
      </c>
    </row>
    <row r="162" spans="1:4">
      <c r="A162" s="569" t="s">
        <v>1508</v>
      </c>
      <c r="B162" s="570" t="s">
        <v>1509</v>
      </c>
      <c r="C162" s="571">
        <v>2020103005</v>
      </c>
      <c r="D162" s="572" t="s">
        <v>2</v>
      </c>
    </row>
    <row r="163" spans="1:4">
      <c r="A163" s="569" t="s">
        <v>112</v>
      </c>
      <c r="B163" s="570" t="s">
        <v>1348</v>
      </c>
      <c r="C163" s="571">
        <v>2020104000</v>
      </c>
      <c r="D163" s="572" t="s">
        <v>2</v>
      </c>
    </row>
    <row r="164" spans="1:4">
      <c r="A164" s="569" t="s">
        <v>113</v>
      </c>
      <c r="B164" s="570" t="s">
        <v>848</v>
      </c>
      <c r="C164" s="571">
        <v>2020105000</v>
      </c>
      <c r="D164" s="572" t="s">
        <v>2</v>
      </c>
    </row>
    <row r="165" spans="1:4">
      <c r="A165" s="569" t="s">
        <v>407</v>
      </c>
      <c r="B165" s="570" t="s">
        <v>137</v>
      </c>
      <c r="C165" s="571">
        <v>2030101000</v>
      </c>
      <c r="D165" s="572" t="s">
        <v>2</v>
      </c>
    </row>
    <row r="166" spans="1:4">
      <c r="A166" s="569" t="s">
        <v>1229</v>
      </c>
      <c r="B166" s="570" t="s">
        <v>1349</v>
      </c>
      <c r="C166" s="571">
        <v>2030103000</v>
      </c>
      <c r="D166" s="572" t="s">
        <v>2</v>
      </c>
    </row>
    <row r="167" spans="1:4">
      <c r="A167" s="569" t="s">
        <v>114</v>
      </c>
      <c r="B167" s="570" t="s">
        <v>1174</v>
      </c>
      <c r="C167" s="571">
        <v>2030105000</v>
      </c>
      <c r="D167" s="572" t="s">
        <v>2</v>
      </c>
    </row>
    <row r="168" spans="1:4">
      <c r="A168" s="569" t="s">
        <v>116</v>
      </c>
      <c r="B168" s="570" t="s">
        <v>1202</v>
      </c>
      <c r="C168" s="571">
        <v>2040103000</v>
      </c>
      <c r="D168" s="572" t="s">
        <v>2</v>
      </c>
    </row>
    <row r="169" spans="1:4">
      <c r="A169" s="948" t="s">
        <v>1639</v>
      </c>
      <c r="B169" s="949" t="s">
        <v>1640</v>
      </c>
      <c r="C169" s="950">
        <v>2040109000</v>
      </c>
      <c r="D169" s="572" t="s">
        <v>2</v>
      </c>
    </row>
    <row r="170" spans="1:4">
      <c r="A170" s="569" t="s">
        <v>115</v>
      </c>
      <c r="B170" s="570" t="s">
        <v>1350</v>
      </c>
      <c r="C170" s="571">
        <v>2040104000</v>
      </c>
      <c r="D170" s="572" t="s">
        <v>2</v>
      </c>
    </row>
    <row r="171" spans="1:4">
      <c r="A171" s="569" t="s">
        <v>120</v>
      </c>
      <c r="B171" s="570" t="s">
        <v>1351</v>
      </c>
      <c r="C171" s="571">
        <v>2050199000</v>
      </c>
      <c r="D171" s="572" t="s">
        <v>2</v>
      </c>
    </row>
    <row r="172" spans="1:4">
      <c r="A172" s="569" t="s">
        <v>8</v>
      </c>
      <c r="B172" s="570" t="s">
        <v>1352</v>
      </c>
      <c r="C172" s="571">
        <v>2050199000</v>
      </c>
      <c r="D172" s="572" t="s">
        <v>2</v>
      </c>
    </row>
    <row r="173" spans="1:4">
      <c r="A173" s="569" t="s">
        <v>121</v>
      </c>
      <c r="B173" s="570" t="s">
        <v>1353</v>
      </c>
      <c r="C173" s="571">
        <v>2050299000</v>
      </c>
      <c r="D173" s="572" t="s">
        <v>2</v>
      </c>
    </row>
    <row r="174" spans="1:4">
      <c r="A174" s="569" t="s">
        <v>117</v>
      </c>
      <c r="B174" s="570" t="s">
        <v>138</v>
      </c>
      <c r="C174" s="571">
        <v>2999999000</v>
      </c>
      <c r="D174" s="572" t="s">
        <v>2</v>
      </c>
    </row>
    <row r="175" spans="1:4">
      <c r="A175" s="569" t="s">
        <v>122</v>
      </c>
      <c r="B175" s="570" t="s">
        <v>1354</v>
      </c>
      <c r="C175" s="571">
        <v>3010101000</v>
      </c>
      <c r="D175" s="572" t="s">
        <v>2</v>
      </c>
    </row>
    <row r="176" spans="1:4">
      <c r="A176" s="569" t="s">
        <v>123</v>
      </c>
      <c r="B176" s="570" t="s">
        <v>1355</v>
      </c>
      <c r="C176" s="571">
        <v>3010101000</v>
      </c>
      <c r="D176" s="572" t="s">
        <v>2</v>
      </c>
    </row>
    <row r="177" spans="1:4">
      <c r="A177" s="569" t="s">
        <v>124</v>
      </c>
      <c r="B177" s="570" t="s">
        <v>1356</v>
      </c>
      <c r="C177" s="571">
        <v>3030101000</v>
      </c>
      <c r="D177" s="572" t="s">
        <v>2</v>
      </c>
    </row>
    <row r="178" spans="1:4">
      <c r="A178" s="569" t="s">
        <v>126</v>
      </c>
      <c r="B178" s="570" t="s">
        <v>1357</v>
      </c>
      <c r="C178" s="571">
        <v>4020199099</v>
      </c>
      <c r="D178" s="572" t="s">
        <v>2</v>
      </c>
    </row>
    <row r="179" spans="1:4">
      <c r="A179" s="569" t="s">
        <v>721</v>
      </c>
      <c r="B179" s="570" t="s">
        <v>1358</v>
      </c>
      <c r="C179" s="571">
        <v>4020199099</v>
      </c>
      <c r="D179" s="572" t="s">
        <v>2</v>
      </c>
    </row>
    <row r="180" spans="1:4">
      <c r="A180" s="569" t="s">
        <v>127</v>
      </c>
      <c r="B180" s="570" t="s">
        <v>1359</v>
      </c>
      <c r="C180" s="571">
        <v>4020199099</v>
      </c>
      <c r="D180" s="572" t="s">
        <v>2</v>
      </c>
    </row>
    <row r="181" spans="1:4">
      <c r="A181" s="569" t="s">
        <v>128</v>
      </c>
      <c r="B181" s="570" t="s">
        <v>1360</v>
      </c>
      <c r="C181" s="571">
        <v>4020199099</v>
      </c>
      <c r="D181" s="572" t="s">
        <v>2</v>
      </c>
    </row>
    <row r="182" spans="1:4">
      <c r="A182" s="569" t="s">
        <v>129</v>
      </c>
      <c r="B182" s="570" t="s">
        <v>1361</v>
      </c>
      <c r="C182" s="571">
        <v>4020199099</v>
      </c>
      <c r="D182" s="572" t="s">
        <v>2</v>
      </c>
    </row>
    <row r="183" spans="1:4">
      <c r="A183" s="569" t="s">
        <v>131</v>
      </c>
      <c r="B183" s="570" t="s">
        <v>1362</v>
      </c>
      <c r="C183" s="571">
        <v>4020199099</v>
      </c>
      <c r="D183" s="572" t="s">
        <v>2</v>
      </c>
    </row>
    <row r="184" spans="1:4">
      <c r="A184" s="569" t="s">
        <v>140</v>
      </c>
      <c r="B184" s="570" t="s">
        <v>1363</v>
      </c>
      <c r="C184" s="571">
        <v>4020199099</v>
      </c>
      <c r="D184" s="572" t="s">
        <v>2</v>
      </c>
    </row>
    <row r="185" spans="1:4">
      <c r="A185" s="569" t="s">
        <v>141</v>
      </c>
      <c r="B185" s="570" t="s">
        <v>1454</v>
      </c>
      <c r="C185" s="571">
        <v>4020199099</v>
      </c>
      <c r="D185" s="572" t="s">
        <v>2</v>
      </c>
    </row>
    <row r="186" spans="1:4">
      <c r="A186" s="569" t="s">
        <v>142</v>
      </c>
      <c r="B186" s="570" t="s">
        <v>1455</v>
      </c>
      <c r="C186" s="571">
        <v>4020199099</v>
      </c>
      <c r="D186" s="572" t="s">
        <v>2</v>
      </c>
    </row>
    <row r="187" spans="1:4">
      <c r="A187" s="569" t="s">
        <v>1540</v>
      </c>
      <c r="B187" s="570" t="s">
        <v>1541</v>
      </c>
      <c r="C187" s="571">
        <v>4020205000</v>
      </c>
      <c r="D187" s="572" t="s">
        <v>2</v>
      </c>
    </row>
    <row r="188" spans="1:4">
      <c r="A188" s="569" t="s">
        <v>146</v>
      </c>
      <c r="B188" s="570" t="s">
        <v>182</v>
      </c>
      <c r="C188" s="571">
        <v>4020205001</v>
      </c>
      <c r="D188" s="572" t="s">
        <v>2</v>
      </c>
    </row>
    <row r="189" spans="1:4">
      <c r="A189" s="569" t="s">
        <v>147</v>
      </c>
      <c r="B189" s="570" t="s">
        <v>183</v>
      </c>
      <c r="C189" s="571">
        <v>4020205002</v>
      </c>
      <c r="D189" s="572" t="s">
        <v>2</v>
      </c>
    </row>
    <row r="190" spans="1:4">
      <c r="A190" s="569" t="s">
        <v>148</v>
      </c>
      <c r="B190" s="570" t="s">
        <v>184</v>
      </c>
      <c r="C190" s="571">
        <v>4020205003</v>
      </c>
      <c r="D190" s="572" t="s">
        <v>2</v>
      </c>
    </row>
    <row r="191" spans="1:4">
      <c r="A191" s="569" t="s">
        <v>149</v>
      </c>
      <c r="B191" s="570" t="s">
        <v>185</v>
      </c>
      <c r="C191" s="571">
        <v>4020205004</v>
      </c>
      <c r="D191" s="572" t="s">
        <v>2</v>
      </c>
    </row>
    <row r="192" spans="1:4">
      <c r="A192" s="569" t="s">
        <v>150</v>
      </c>
      <c r="B192" s="570" t="s">
        <v>1364</v>
      </c>
      <c r="C192" s="571">
        <v>4020213000</v>
      </c>
      <c r="D192" s="572" t="s">
        <v>2</v>
      </c>
    </row>
    <row r="193" spans="1:4">
      <c r="A193" s="569" t="s">
        <v>154</v>
      </c>
      <c r="B193" s="570" t="s">
        <v>188</v>
      </c>
      <c r="C193" s="571">
        <v>4020221000</v>
      </c>
      <c r="D193" s="572" t="s">
        <v>2</v>
      </c>
    </row>
    <row r="194" spans="1:4">
      <c r="A194" s="569" t="s">
        <v>143</v>
      </c>
      <c r="B194" s="570" t="s">
        <v>1365</v>
      </c>
      <c r="C194" s="571">
        <v>4020223000</v>
      </c>
      <c r="D194" s="572" t="s">
        <v>2</v>
      </c>
    </row>
    <row r="195" spans="1:4">
      <c r="A195" s="569" t="s">
        <v>151</v>
      </c>
      <c r="B195" s="570" t="s">
        <v>1366</v>
      </c>
      <c r="C195" s="571">
        <v>4030101000</v>
      </c>
      <c r="D195" s="572" t="s">
        <v>2</v>
      </c>
    </row>
    <row r="196" spans="1:4">
      <c r="A196" s="569" t="s">
        <v>1230</v>
      </c>
      <c r="B196" s="570" t="s">
        <v>532</v>
      </c>
      <c r="C196" s="571">
        <v>4030103000</v>
      </c>
      <c r="D196" s="572" t="s">
        <v>2</v>
      </c>
    </row>
    <row r="197" spans="1:4">
      <c r="A197" s="569" t="s">
        <v>1232</v>
      </c>
      <c r="B197" s="570" t="s">
        <v>1367</v>
      </c>
      <c r="C197" s="571">
        <v>4030105000</v>
      </c>
      <c r="D197" s="572" t="s">
        <v>2</v>
      </c>
    </row>
    <row r="198" spans="1:4">
      <c r="A198" s="569" t="s">
        <v>152</v>
      </c>
      <c r="B198" s="570" t="s">
        <v>1368</v>
      </c>
      <c r="C198" s="571">
        <v>4030106000</v>
      </c>
      <c r="D198" s="572" t="s">
        <v>2</v>
      </c>
    </row>
    <row r="199" spans="1:4">
      <c r="A199" s="569" t="s">
        <v>1231</v>
      </c>
      <c r="B199" s="570" t="s">
        <v>1369</v>
      </c>
      <c r="C199" s="571">
        <v>4030107000</v>
      </c>
      <c r="D199" s="572" t="s">
        <v>2</v>
      </c>
    </row>
    <row r="200" spans="1:4">
      <c r="A200" s="569" t="s">
        <v>156</v>
      </c>
      <c r="B200" s="570" t="s">
        <v>1370</v>
      </c>
      <c r="C200" s="571">
        <v>4060102000</v>
      </c>
      <c r="D200" s="572" t="s">
        <v>2</v>
      </c>
    </row>
    <row r="201" spans="1:4">
      <c r="A201" s="569" t="s">
        <v>155</v>
      </c>
      <c r="B201" s="570" t="s">
        <v>1371</v>
      </c>
      <c r="C201" s="571">
        <v>4060999000</v>
      </c>
      <c r="D201" s="572" t="s">
        <v>2</v>
      </c>
    </row>
    <row r="202" spans="1:4">
      <c r="A202" s="569" t="s">
        <v>159</v>
      </c>
      <c r="B202" s="570" t="s">
        <v>1542</v>
      </c>
      <c r="C202" s="571">
        <v>4060999000</v>
      </c>
      <c r="D202" s="572" t="s">
        <v>2</v>
      </c>
    </row>
    <row r="203" spans="1:4">
      <c r="A203" s="569" t="s">
        <v>160</v>
      </c>
      <c r="B203" s="570" t="s">
        <v>1372</v>
      </c>
      <c r="C203" s="571">
        <v>4060999000</v>
      </c>
      <c r="D203" s="572" t="s">
        <v>2</v>
      </c>
    </row>
    <row r="204" spans="1:4">
      <c r="A204" s="569" t="s">
        <v>352</v>
      </c>
      <c r="B204" s="570" t="s">
        <v>1373</v>
      </c>
      <c r="C204" s="571">
        <v>4060999000</v>
      </c>
      <c r="D204" s="572" t="s">
        <v>2</v>
      </c>
    </row>
    <row r="205" spans="1:4">
      <c r="A205" s="569" t="s">
        <v>162</v>
      </c>
      <c r="B205" s="570" t="s">
        <v>1374</v>
      </c>
      <c r="C205" s="571">
        <v>5010101000</v>
      </c>
      <c r="D205" s="572" t="s">
        <v>1</v>
      </c>
    </row>
    <row r="206" spans="1:4">
      <c r="A206" s="569" t="s">
        <v>163</v>
      </c>
      <c r="B206" s="570" t="s">
        <v>1203</v>
      </c>
      <c r="C206" s="571">
        <v>5010102000</v>
      </c>
      <c r="D206" s="572" t="s">
        <v>1</v>
      </c>
    </row>
    <row r="207" spans="1:4">
      <c r="A207" s="569" t="s">
        <v>164</v>
      </c>
      <c r="B207" s="570" t="s">
        <v>1576</v>
      </c>
      <c r="C207" s="571">
        <v>5010201000</v>
      </c>
      <c r="D207" s="572" t="s">
        <v>1</v>
      </c>
    </row>
    <row r="208" spans="1:4">
      <c r="A208" s="569" t="s">
        <v>165</v>
      </c>
      <c r="B208" s="570" t="s">
        <v>198</v>
      </c>
      <c r="C208" s="571">
        <v>5010202000</v>
      </c>
      <c r="D208" s="572" t="s">
        <v>1</v>
      </c>
    </row>
    <row r="209" spans="1:4">
      <c r="A209" s="569" t="s">
        <v>166</v>
      </c>
      <c r="B209" s="570" t="s">
        <v>199</v>
      </c>
      <c r="C209" s="571">
        <v>5010203000</v>
      </c>
      <c r="D209" s="572" t="s">
        <v>1</v>
      </c>
    </row>
    <row r="210" spans="1:4">
      <c r="A210" s="569" t="s">
        <v>167</v>
      </c>
      <c r="B210" s="570" t="s">
        <v>200</v>
      </c>
      <c r="C210" s="571">
        <v>5010204000</v>
      </c>
      <c r="D210" s="572" t="s">
        <v>1</v>
      </c>
    </row>
    <row r="211" spans="1:4">
      <c r="A211" s="569" t="s">
        <v>1262</v>
      </c>
      <c r="B211" s="570" t="s">
        <v>1204</v>
      </c>
      <c r="C211" s="571">
        <v>5010205000</v>
      </c>
      <c r="D211" s="572" t="s">
        <v>1</v>
      </c>
    </row>
    <row r="212" spans="1:4">
      <c r="A212" s="569" t="s">
        <v>1263</v>
      </c>
      <c r="B212" s="570" t="s">
        <v>1375</v>
      </c>
      <c r="C212" s="571">
        <v>5010206000</v>
      </c>
      <c r="D212" s="572" t="s">
        <v>1</v>
      </c>
    </row>
    <row r="213" spans="1:4">
      <c r="A213" s="569" t="s">
        <v>1264</v>
      </c>
      <c r="B213" s="570" t="s">
        <v>1205</v>
      </c>
      <c r="C213" s="571">
        <v>5010207000</v>
      </c>
      <c r="D213" s="572" t="s">
        <v>1</v>
      </c>
    </row>
    <row r="214" spans="1:4">
      <c r="A214" s="569" t="s">
        <v>171</v>
      </c>
      <c r="B214" s="570" t="s">
        <v>204</v>
      </c>
      <c r="C214" s="571">
        <v>5010208000</v>
      </c>
      <c r="D214" s="572" t="s">
        <v>1</v>
      </c>
    </row>
    <row r="215" spans="1:4">
      <c r="A215" s="569" t="s">
        <v>173</v>
      </c>
      <c r="B215" s="570" t="s">
        <v>206</v>
      </c>
      <c r="C215" s="571">
        <v>5010210000</v>
      </c>
      <c r="D215" s="572" t="s">
        <v>1</v>
      </c>
    </row>
    <row r="216" spans="1:4">
      <c r="A216" s="569" t="s">
        <v>215</v>
      </c>
      <c r="B216" s="570" t="s">
        <v>220</v>
      </c>
      <c r="C216" s="571">
        <v>5010211000</v>
      </c>
      <c r="D216" s="572" t="s">
        <v>1</v>
      </c>
    </row>
    <row r="217" spans="1:4">
      <c r="A217" s="569" t="s">
        <v>216</v>
      </c>
      <c r="B217" s="570" t="s">
        <v>221</v>
      </c>
      <c r="C217" s="571">
        <v>5010212000</v>
      </c>
      <c r="D217" s="572" t="s">
        <v>1</v>
      </c>
    </row>
    <row r="218" spans="1:4">
      <c r="A218" s="569" t="s">
        <v>214</v>
      </c>
      <c r="B218" s="570" t="s">
        <v>219</v>
      </c>
      <c r="C218" s="571">
        <v>5010213000</v>
      </c>
      <c r="D218" s="572" t="s">
        <v>1</v>
      </c>
    </row>
    <row r="219" spans="1:4">
      <c r="A219" s="569" t="s">
        <v>174</v>
      </c>
      <c r="B219" s="570" t="s">
        <v>1456</v>
      </c>
      <c r="C219" s="571">
        <v>5010214000</v>
      </c>
      <c r="D219" s="572" t="s">
        <v>1</v>
      </c>
    </row>
    <row r="220" spans="1:4">
      <c r="A220" s="948" t="s">
        <v>1641</v>
      </c>
      <c r="B220" s="949" t="s">
        <v>1642</v>
      </c>
      <c r="C220" s="950">
        <v>5010216000</v>
      </c>
      <c r="D220" s="572" t="s">
        <v>1</v>
      </c>
    </row>
    <row r="221" spans="1:4">
      <c r="A221" s="569" t="s">
        <v>172</v>
      </c>
      <c r="B221" s="570" t="s">
        <v>205</v>
      </c>
      <c r="C221" s="571">
        <v>5010215000</v>
      </c>
      <c r="D221" s="572" t="s">
        <v>1</v>
      </c>
    </row>
    <row r="222" spans="1:4">
      <c r="A222" s="569" t="s">
        <v>168</v>
      </c>
      <c r="B222" s="570" t="s">
        <v>1376</v>
      </c>
      <c r="C222" s="571">
        <v>5010299011</v>
      </c>
      <c r="D222" s="572" t="s">
        <v>1</v>
      </c>
    </row>
    <row r="223" spans="1:4">
      <c r="A223" s="569" t="s">
        <v>170</v>
      </c>
      <c r="B223" s="570" t="s">
        <v>1377</v>
      </c>
      <c r="C223" s="571">
        <v>5010299012</v>
      </c>
      <c r="D223" s="572" t="s">
        <v>1</v>
      </c>
    </row>
    <row r="224" spans="1:4">
      <c r="A224" s="569" t="s">
        <v>5</v>
      </c>
      <c r="B224" s="570" t="s">
        <v>201</v>
      </c>
      <c r="C224" s="571">
        <v>5010299034</v>
      </c>
      <c r="D224" s="572" t="s">
        <v>1</v>
      </c>
    </row>
    <row r="225" spans="1:4">
      <c r="A225" s="569" t="s">
        <v>6</v>
      </c>
      <c r="B225" s="570" t="s">
        <v>202</v>
      </c>
      <c r="C225" s="571">
        <v>5010299035</v>
      </c>
      <c r="D225" s="572" t="s">
        <v>1</v>
      </c>
    </row>
    <row r="226" spans="1:4">
      <c r="A226" s="569" t="s">
        <v>7</v>
      </c>
      <c r="B226" s="570" t="s">
        <v>203</v>
      </c>
      <c r="C226" s="571">
        <v>5010299036</v>
      </c>
      <c r="D226" s="572" t="s">
        <v>1</v>
      </c>
    </row>
    <row r="227" spans="1:4">
      <c r="A227" s="569" t="s">
        <v>169</v>
      </c>
      <c r="B227" s="570" t="s">
        <v>1378</v>
      </c>
      <c r="C227" s="571">
        <v>5010299037</v>
      </c>
      <c r="D227" s="572" t="s">
        <v>1</v>
      </c>
    </row>
    <row r="228" spans="1:4">
      <c r="A228" s="1021" t="s">
        <v>2146</v>
      </c>
      <c r="B228" s="1022" t="s">
        <v>2148</v>
      </c>
      <c r="C228" s="1023">
        <v>501029900</v>
      </c>
      <c r="D228" s="1024" t="s">
        <v>1</v>
      </c>
    </row>
    <row r="229" spans="1:4">
      <c r="A229" s="1021" t="s">
        <v>2147</v>
      </c>
      <c r="B229" s="1022" t="s">
        <v>2149</v>
      </c>
      <c r="C229" s="1023">
        <v>5010299001</v>
      </c>
      <c r="D229" s="1024" t="s">
        <v>1</v>
      </c>
    </row>
    <row r="230" spans="1:4">
      <c r="A230" s="569" t="s">
        <v>1510</v>
      </c>
      <c r="B230" s="570" t="s">
        <v>1511</v>
      </c>
      <c r="C230" s="571">
        <v>5010299014</v>
      </c>
      <c r="D230" s="572" t="s">
        <v>1</v>
      </c>
    </row>
    <row r="231" spans="1:4">
      <c r="A231" s="569" t="s">
        <v>175</v>
      </c>
      <c r="B231" s="570" t="s">
        <v>1206</v>
      </c>
      <c r="C231" s="571">
        <v>5010301000</v>
      </c>
      <c r="D231" s="572" t="s">
        <v>1</v>
      </c>
    </row>
    <row r="232" spans="1:4">
      <c r="A232" s="569" t="s">
        <v>176</v>
      </c>
      <c r="B232" s="570" t="s">
        <v>1379</v>
      </c>
      <c r="C232" s="571">
        <v>5010302000</v>
      </c>
      <c r="D232" s="572" t="s">
        <v>1</v>
      </c>
    </row>
    <row r="233" spans="1:4">
      <c r="A233" s="569" t="s">
        <v>177</v>
      </c>
      <c r="B233" s="570" t="s">
        <v>1380</v>
      </c>
      <c r="C233" s="571">
        <v>5010303000</v>
      </c>
      <c r="D233" s="572" t="s">
        <v>1</v>
      </c>
    </row>
    <row r="234" spans="1:4">
      <c r="A234" s="569" t="s">
        <v>178</v>
      </c>
      <c r="B234" s="570" t="s">
        <v>1207</v>
      </c>
      <c r="C234" s="571">
        <v>5010304000</v>
      </c>
      <c r="D234" s="572" t="s">
        <v>1</v>
      </c>
    </row>
    <row r="235" spans="1:4">
      <c r="A235" s="569" t="s">
        <v>179</v>
      </c>
      <c r="B235" s="570" t="s">
        <v>795</v>
      </c>
      <c r="C235" s="571">
        <v>5010402000</v>
      </c>
      <c r="D235" s="572" t="s">
        <v>1</v>
      </c>
    </row>
    <row r="236" spans="1:4">
      <c r="A236" s="569" t="s">
        <v>212</v>
      </c>
      <c r="B236" s="570" t="s">
        <v>217</v>
      </c>
      <c r="C236" s="571">
        <v>5010403000</v>
      </c>
      <c r="D236" s="572" t="s">
        <v>1</v>
      </c>
    </row>
    <row r="237" spans="1:4">
      <c r="A237" s="569" t="s">
        <v>213</v>
      </c>
      <c r="B237" s="570" t="s">
        <v>218</v>
      </c>
      <c r="C237" s="571">
        <v>5010499099</v>
      </c>
      <c r="D237" s="572" t="s">
        <v>1</v>
      </c>
    </row>
    <row r="238" spans="1:4">
      <c r="A238" s="569" t="s">
        <v>223</v>
      </c>
      <c r="B238" s="570" t="s">
        <v>1381</v>
      </c>
      <c r="C238" s="571">
        <v>5020101000</v>
      </c>
      <c r="D238" s="572" t="s">
        <v>1</v>
      </c>
    </row>
    <row r="239" spans="1:4">
      <c r="A239" s="569" t="s">
        <v>1233</v>
      </c>
      <c r="B239" s="570" t="s">
        <v>1382</v>
      </c>
      <c r="C239" s="571">
        <v>5020102000</v>
      </c>
      <c r="D239" s="572" t="s">
        <v>1</v>
      </c>
    </row>
    <row r="240" spans="1:4">
      <c r="A240" s="569" t="s">
        <v>224</v>
      </c>
      <c r="B240" s="570" t="s">
        <v>285</v>
      </c>
      <c r="C240" s="571">
        <v>5020201000</v>
      </c>
      <c r="D240" s="572" t="s">
        <v>1</v>
      </c>
    </row>
    <row r="241" spans="1:4">
      <c r="A241" s="569" t="s">
        <v>1234</v>
      </c>
      <c r="B241" s="570" t="s">
        <v>1208</v>
      </c>
      <c r="C241" s="571">
        <v>5020202000</v>
      </c>
      <c r="D241" s="572" t="s">
        <v>1</v>
      </c>
    </row>
    <row r="242" spans="1:4">
      <c r="A242" s="569" t="s">
        <v>225</v>
      </c>
      <c r="B242" s="570" t="s">
        <v>286</v>
      </c>
      <c r="C242" s="571">
        <v>5020301000</v>
      </c>
      <c r="D242" s="572" t="s">
        <v>1</v>
      </c>
    </row>
    <row r="243" spans="1:4">
      <c r="A243" s="569" t="s">
        <v>226</v>
      </c>
      <c r="B243" s="570" t="s">
        <v>287</v>
      </c>
      <c r="C243" s="571">
        <v>5020302000</v>
      </c>
      <c r="D243" s="572" t="s">
        <v>1</v>
      </c>
    </row>
    <row r="244" spans="1:4">
      <c r="A244" s="569" t="s">
        <v>1235</v>
      </c>
      <c r="B244" s="570" t="s">
        <v>1383</v>
      </c>
      <c r="C244" s="571">
        <v>5020305000</v>
      </c>
      <c r="D244" s="572" t="s">
        <v>1</v>
      </c>
    </row>
    <row r="245" spans="1:4">
      <c r="A245" s="569" t="s">
        <v>227</v>
      </c>
      <c r="B245" s="570" t="s">
        <v>288</v>
      </c>
      <c r="C245" s="571">
        <v>5020307000</v>
      </c>
      <c r="D245" s="572" t="s">
        <v>1</v>
      </c>
    </row>
    <row r="246" spans="1:4">
      <c r="A246" s="569" t="s">
        <v>228</v>
      </c>
      <c r="B246" s="570" t="s">
        <v>1384</v>
      </c>
      <c r="C246" s="571">
        <v>5020308000</v>
      </c>
      <c r="D246" s="572" t="s">
        <v>1</v>
      </c>
    </row>
    <row r="247" spans="1:4">
      <c r="A247" s="569" t="s">
        <v>229</v>
      </c>
      <c r="B247" s="570" t="s">
        <v>1209</v>
      </c>
      <c r="C247" s="571">
        <v>5020309000</v>
      </c>
      <c r="D247" s="572" t="s">
        <v>1</v>
      </c>
    </row>
    <row r="248" spans="1:4">
      <c r="A248" s="569" t="s">
        <v>230</v>
      </c>
      <c r="B248" s="570" t="s">
        <v>290</v>
      </c>
      <c r="C248" s="571">
        <v>5020311000</v>
      </c>
      <c r="D248" s="572" t="s">
        <v>1</v>
      </c>
    </row>
    <row r="249" spans="1:4">
      <c r="A249" s="569" t="s">
        <v>1236</v>
      </c>
      <c r="B249" s="570" t="s">
        <v>1210</v>
      </c>
      <c r="C249" s="571">
        <v>5020312000</v>
      </c>
      <c r="D249" s="572" t="s">
        <v>1</v>
      </c>
    </row>
    <row r="250" spans="1:4">
      <c r="A250" s="569" t="s">
        <v>1265</v>
      </c>
      <c r="B250" s="570" t="s">
        <v>1212</v>
      </c>
      <c r="C250" s="571">
        <v>5020321000</v>
      </c>
      <c r="D250" s="572" t="s">
        <v>1</v>
      </c>
    </row>
    <row r="251" spans="1:4">
      <c r="A251" s="569" t="s">
        <v>1266</v>
      </c>
      <c r="B251" s="570" t="s">
        <v>1213</v>
      </c>
      <c r="C251" s="571">
        <v>5020322000</v>
      </c>
      <c r="D251" s="572" t="s">
        <v>1</v>
      </c>
    </row>
    <row r="252" spans="1:4">
      <c r="A252" s="569" t="s">
        <v>231</v>
      </c>
      <c r="B252" s="570" t="s">
        <v>1211</v>
      </c>
      <c r="C252" s="571">
        <v>5020399000</v>
      </c>
      <c r="D252" s="572" t="s">
        <v>1</v>
      </c>
    </row>
    <row r="253" spans="1:4">
      <c r="A253" s="569" t="s">
        <v>232</v>
      </c>
      <c r="B253" s="570" t="s">
        <v>292</v>
      </c>
      <c r="C253" s="571">
        <v>5020401000</v>
      </c>
      <c r="D253" s="572" t="s">
        <v>1</v>
      </c>
    </row>
    <row r="254" spans="1:4">
      <c r="A254" s="569" t="s">
        <v>233</v>
      </c>
      <c r="B254" s="570" t="s">
        <v>293</v>
      </c>
      <c r="C254" s="571">
        <v>5020402000</v>
      </c>
      <c r="D254" s="572" t="s">
        <v>1</v>
      </c>
    </row>
    <row r="255" spans="1:4">
      <c r="A255" s="569" t="s">
        <v>1237</v>
      </c>
      <c r="B255" s="570" t="s">
        <v>1214</v>
      </c>
      <c r="C255" s="571">
        <v>5020499000</v>
      </c>
      <c r="D255" s="572" t="s">
        <v>1</v>
      </c>
    </row>
    <row r="256" spans="1:4">
      <c r="A256" s="569" t="s">
        <v>234</v>
      </c>
      <c r="B256" s="570" t="s">
        <v>1385</v>
      </c>
      <c r="C256" s="571">
        <v>5020501000</v>
      </c>
      <c r="D256" s="572" t="s">
        <v>1</v>
      </c>
    </row>
    <row r="257" spans="1:4">
      <c r="A257" s="569" t="s">
        <v>236</v>
      </c>
      <c r="B257" s="570" t="s">
        <v>296</v>
      </c>
      <c r="C257" s="571">
        <v>5020502001</v>
      </c>
      <c r="D257" s="572" t="s">
        <v>1</v>
      </c>
    </row>
    <row r="258" spans="1:4">
      <c r="A258" s="569" t="s">
        <v>235</v>
      </c>
      <c r="B258" s="570" t="s">
        <v>295</v>
      </c>
      <c r="C258" s="571">
        <v>5020502002</v>
      </c>
      <c r="D258" s="572" t="s">
        <v>1</v>
      </c>
    </row>
    <row r="259" spans="1:4">
      <c r="A259" s="569" t="s">
        <v>237</v>
      </c>
      <c r="B259" s="570" t="s">
        <v>1215</v>
      </c>
      <c r="C259" s="571">
        <v>5020503000</v>
      </c>
      <c r="D259" s="572" t="s">
        <v>1</v>
      </c>
    </row>
    <row r="260" spans="1:4">
      <c r="A260" s="569" t="s">
        <v>238</v>
      </c>
      <c r="B260" s="570" t="s">
        <v>298</v>
      </c>
      <c r="C260" s="571">
        <v>5020504000</v>
      </c>
      <c r="D260" s="572" t="s">
        <v>1</v>
      </c>
    </row>
    <row r="261" spans="1:4">
      <c r="A261" s="569" t="s">
        <v>1238</v>
      </c>
      <c r="B261" s="570" t="s">
        <v>1216</v>
      </c>
      <c r="C261" s="571">
        <v>5020601000</v>
      </c>
      <c r="D261" s="572" t="s">
        <v>1</v>
      </c>
    </row>
    <row r="262" spans="1:4">
      <c r="A262" s="569" t="s">
        <v>1267</v>
      </c>
      <c r="B262" s="570" t="s">
        <v>1217</v>
      </c>
      <c r="C262" s="571">
        <v>5020603000</v>
      </c>
      <c r="D262" s="572" t="s">
        <v>1</v>
      </c>
    </row>
    <row r="263" spans="1:4">
      <c r="A263" s="569" t="s">
        <v>246</v>
      </c>
      <c r="B263" s="570" t="s">
        <v>303</v>
      </c>
      <c r="C263" s="571">
        <v>5021101000</v>
      </c>
      <c r="D263" s="572" t="s">
        <v>1</v>
      </c>
    </row>
    <row r="264" spans="1:4">
      <c r="A264" s="569" t="s">
        <v>222</v>
      </c>
      <c r="B264" s="570" t="s">
        <v>304</v>
      </c>
      <c r="C264" s="571">
        <v>5021102000</v>
      </c>
      <c r="D264" s="572" t="s">
        <v>1</v>
      </c>
    </row>
    <row r="265" spans="1:4">
      <c r="A265" s="569" t="s">
        <v>247</v>
      </c>
      <c r="B265" s="570" t="s">
        <v>1023</v>
      </c>
      <c r="C265" s="571">
        <v>5021103000</v>
      </c>
      <c r="D265" s="572" t="s">
        <v>1</v>
      </c>
    </row>
    <row r="266" spans="1:4">
      <c r="A266" s="569" t="s">
        <v>250</v>
      </c>
      <c r="B266" s="570" t="s">
        <v>306</v>
      </c>
      <c r="C266" s="571">
        <v>5021199000</v>
      </c>
      <c r="D266" s="572" t="s">
        <v>1</v>
      </c>
    </row>
    <row r="267" spans="1:4">
      <c r="A267" s="569" t="s">
        <v>249</v>
      </c>
      <c r="B267" s="570" t="s">
        <v>305</v>
      </c>
      <c r="C267" s="571">
        <v>5021202000</v>
      </c>
      <c r="D267" s="572" t="s">
        <v>1</v>
      </c>
    </row>
    <row r="268" spans="1:4">
      <c r="A268" s="569" t="s">
        <v>1239</v>
      </c>
      <c r="B268" s="570" t="s">
        <v>1220</v>
      </c>
      <c r="C268" s="571">
        <v>5021203000</v>
      </c>
      <c r="D268" s="572" t="s">
        <v>1</v>
      </c>
    </row>
    <row r="269" spans="1:4">
      <c r="A269" s="569" t="s">
        <v>248</v>
      </c>
      <c r="B269" s="570" t="s">
        <v>842</v>
      </c>
      <c r="C269" s="571">
        <v>5021299000</v>
      </c>
      <c r="D269" s="572" t="s">
        <v>1</v>
      </c>
    </row>
    <row r="270" spans="1:4">
      <c r="A270" s="569" t="s">
        <v>1240</v>
      </c>
      <c r="B270" s="570" t="s">
        <v>1386</v>
      </c>
      <c r="C270" s="571">
        <v>5021302000</v>
      </c>
      <c r="D270" s="572" t="s">
        <v>1</v>
      </c>
    </row>
    <row r="271" spans="1:4">
      <c r="A271" s="569" t="s">
        <v>266</v>
      </c>
      <c r="B271" s="570" t="s">
        <v>1387</v>
      </c>
      <c r="C271" s="571">
        <v>5021303097</v>
      </c>
      <c r="D271" s="572" t="s">
        <v>1</v>
      </c>
    </row>
    <row r="272" spans="1:4">
      <c r="A272" s="569" t="s">
        <v>267</v>
      </c>
      <c r="B272" s="570" t="s">
        <v>1388</v>
      </c>
      <c r="C272" s="571">
        <v>5021303098</v>
      </c>
      <c r="D272" s="572" t="s">
        <v>1</v>
      </c>
    </row>
    <row r="273" spans="1:4">
      <c r="A273" s="569" t="s">
        <v>251</v>
      </c>
      <c r="B273" s="570" t="s">
        <v>1389</v>
      </c>
      <c r="C273" s="571">
        <v>5021304001</v>
      </c>
      <c r="D273" s="572" t="s">
        <v>1</v>
      </c>
    </row>
    <row r="274" spans="1:4">
      <c r="A274" s="569" t="s">
        <v>252</v>
      </c>
      <c r="B274" s="570" t="s">
        <v>1390</v>
      </c>
      <c r="C274" s="571">
        <v>5021304099</v>
      </c>
      <c r="D274" s="572" t="s">
        <v>1</v>
      </c>
    </row>
    <row r="275" spans="1:4">
      <c r="A275" s="569" t="s">
        <v>256</v>
      </c>
      <c r="B275" s="570" t="s">
        <v>1391</v>
      </c>
      <c r="C275" s="571">
        <v>5021305001</v>
      </c>
      <c r="D275" s="572" t="s">
        <v>1</v>
      </c>
    </row>
    <row r="276" spans="1:4">
      <c r="A276" s="569" t="s">
        <v>253</v>
      </c>
      <c r="B276" s="570" t="s">
        <v>1392</v>
      </c>
      <c r="C276" s="571">
        <v>5021305002</v>
      </c>
      <c r="D276" s="572" t="s">
        <v>1</v>
      </c>
    </row>
    <row r="277" spans="1:4">
      <c r="A277" s="569" t="s">
        <v>255</v>
      </c>
      <c r="B277" s="570" t="s">
        <v>1393</v>
      </c>
      <c r="C277" s="571">
        <v>5021305003</v>
      </c>
      <c r="D277" s="572" t="s">
        <v>1</v>
      </c>
    </row>
    <row r="278" spans="1:4">
      <c r="A278" s="569" t="s">
        <v>257</v>
      </c>
      <c r="B278" s="570" t="s">
        <v>1394</v>
      </c>
      <c r="C278" s="571">
        <v>5021305007</v>
      </c>
      <c r="D278" s="572" t="s">
        <v>1</v>
      </c>
    </row>
    <row r="279" spans="1:4">
      <c r="A279" s="569" t="s">
        <v>258</v>
      </c>
      <c r="B279" s="570" t="s">
        <v>1395</v>
      </c>
      <c r="C279" s="571">
        <v>5021305008</v>
      </c>
      <c r="D279" s="572" t="s">
        <v>1</v>
      </c>
    </row>
    <row r="280" spans="1:4">
      <c r="A280" s="569" t="s">
        <v>259</v>
      </c>
      <c r="B280" s="570" t="s">
        <v>1396</v>
      </c>
      <c r="C280" s="571">
        <v>5021305009</v>
      </c>
      <c r="D280" s="572" t="s">
        <v>1</v>
      </c>
    </row>
    <row r="281" spans="1:4">
      <c r="A281" s="569" t="s">
        <v>1447</v>
      </c>
      <c r="B281" s="570" t="s">
        <v>1397</v>
      </c>
      <c r="C281" s="571">
        <v>5021305010</v>
      </c>
      <c r="D281" s="572" t="s">
        <v>1</v>
      </c>
    </row>
    <row r="282" spans="1:4">
      <c r="A282" s="569" t="s">
        <v>1448</v>
      </c>
      <c r="B282" s="570" t="s">
        <v>1398</v>
      </c>
      <c r="C282" s="571">
        <v>5021305011</v>
      </c>
      <c r="D282" s="572" t="s">
        <v>1</v>
      </c>
    </row>
    <row r="283" spans="1:4">
      <c r="A283" s="569" t="s">
        <v>1449</v>
      </c>
      <c r="B283" s="570" t="s">
        <v>1399</v>
      </c>
      <c r="C283" s="571">
        <v>5021305012</v>
      </c>
      <c r="D283" s="572" t="s">
        <v>1</v>
      </c>
    </row>
    <row r="284" spans="1:4">
      <c r="A284" s="569" t="s">
        <v>1241</v>
      </c>
      <c r="B284" s="570" t="s">
        <v>1400</v>
      </c>
      <c r="C284" s="571">
        <v>5021305013</v>
      </c>
      <c r="D284" s="572" t="s">
        <v>1</v>
      </c>
    </row>
    <row r="285" spans="1:4">
      <c r="A285" s="569" t="s">
        <v>260</v>
      </c>
      <c r="B285" s="570" t="s">
        <v>1401</v>
      </c>
      <c r="C285" s="571">
        <v>5021305014</v>
      </c>
      <c r="D285" s="572" t="s">
        <v>1</v>
      </c>
    </row>
    <row r="286" spans="1:4">
      <c r="A286" s="569" t="s">
        <v>261</v>
      </c>
      <c r="B286" s="570" t="s">
        <v>1402</v>
      </c>
      <c r="C286" s="571">
        <v>5021305099</v>
      </c>
      <c r="D286" s="572" t="s">
        <v>1</v>
      </c>
    </row>
    <row r="287" spans="1:4">
      <c r="A287" s="569" t="s">
        <v>262</v>
      </c>
      <c r="B287" s="570" t="s">
        <v>1403</v>
      </c>
      <c r="C287" s="571">
        <v>5021306001</v>
      </c>
      <c r="D287" s="572" t="s">
        <v>1</v>
      </c>
    </row>
    <row r="288" spans="1:4">
      <c r="A288" s="569" t="s">
        <v>1450</v>
      </c>
      <c r="B288" s="570" t="s">
        <v>1404</v>
      </c>
      <c r="C288" s="571">
        <v>5021306002</v>
      </c>
      <c r="D288" s="572" t="s">
        <v>1</v>
      </c>
    </row>
    <row r="289" spans="1:4">
      <c r="A289" s="569" t="s">
        <v>1451</v>
      </c>
      <c r="B289" s="570" t="s">
        <v>1405</v>
      </c>
      <c r="C289" s="571">
        <v>5021306003</v>
      </c>
      <c r="D289" s="572" t="s">
        <v>1</v>
      </c>
    </row>
    <row r="290" spans="1:4">
      <c r="A290" s="569" t="s">
        <v>263</v>
      </c>
      <c r="B290" s="570" t="s">
        <v>1406</v>
      </c>
      <c r="C290" s="571">
        <v>5021306004</v>
      </c>
      <c r="D290" s="572" t="s">
        <v>1</v>
      </c>
    </row>
    <row r="291" spans="1:4">
      <c r="A291" s="569" t="s">
        <v>264</v>
      </c>
      <c r="B291" s="570" t="s">
        <v>1407</v>
      </c>
      <c r="C291" s="571">
        <v>5021306099</v>
      </c>
      <c r="D291" s="572" t="s">
        <v>1</v>
      </c>
    </row>
    <row r="292" spans="1:4">
      <c r="A292" s="569" t="s">
        <v>254</v>
      </c>
      <c r="B292" s="570" t="s">
        <v>1408</v>
      </c>
      <c r="C292" s="571">
        <v>5021307000</v>
      </c>
      <c r="D292" s="572" t="s">
        <v>1</v>
      </c>
    </row>
    <row r="293" spans="1:4">
      <c r="A293" s="569" t="s">
        <v>265</v>
      </c>
      <c r="B293" s="570" t="s">
        <v>1409</v>
      </c>
      <c r="C293" s="571">
        <v>5021399099</v>
      </c>
      <c r="D293" s="572" t="s">
        <v>1</v>
      </c>
    </row>
    <row r="294" spans="1:4">
      <c r="A294" s="569" t="s">
        <v>268</v>
      </c>
      <c r="B294" s="570" t="s">
        <v>1410</v>
      </c>
      <c r="C294" s="571">
        <v>5021407000</v>
      </c>
      <c r="D294" s="572" t="s">
        <v>1</v>
      </c>
    </row>
    <row r="295" spans="1:4">
      <c r="A295" s="569" t="s">
        <v>272</v>
      </c>
      <c r="B295" s="570" t="s">
        <v>316</v>
      </c>
      <c r="C295" s="571">
        <v>5021501000</v>
      </c>
      <c r="D295" s="572" t="s">
        <v>1</v>
      </c>
    </row>
    <row r="296" spans="1:4">
      <c r="A296" s="569" t="s">
        <v>273</v>
      </c>
      <c r="B296" s="570" t="s">
        <v>317</v>
      </c>
      <c r="C296" s="571">
        <v>5021502000</v>
      </c>
      <c r="D296" s="572" t="s">
        <v>1</v>
      </c>
    </row>
    <row r="297" spans="1:4">
      <c r="A297" s="569" t="s">
        <v>274</v>
      </c>
      <c r="B297" s="570" t="s">
        <v>318</v>
      </c>
      <c r="C297" s="571">
        <v>5021503000</v>
      </c>
      <c r="D297" s="572" t="s">
        <v>1</v>
      </c>
    </row>
    <row r="298" spans="1:4">
      <c r="A298" s="569" t="s">
        <v>240</v>
      </c>
      <c r="B298" s="570" t="s">
        <v>1411</v>
      </c>
      <c r="C298" s="571">
        <v>5029901000</v>
      </c>
      <c r="D298" s="572" t="s">
        <v>1</v>
      </c>
    </row>
    <row r="299" spans="1:4">
      <c r="A299" s="569" t="s">
        <v>241</v>
      </c>
      <c r="B299" s="570" t="s">
        <v>1218</v>
      </c>
      <c r="C299" s="571">
        <v>5029902000</v>
      </c>
      <c r="D299" s="572" t="s">
        <v>1</v>
      </c>
    </row>
    <row r="300" spans="1:4">
      <c r="A300" s="569" t="s">
        <v>243</v>
      </c>
      <c r="B300" s="570" t="s">
        <v>301</v>
      </c>
      <c r="C300" s="571">
        <v>5029903000</v>
      </c>
      <c r="D300" s="572" t="s">
        <v>1</v>
      </c>
    </row>
    <row r="301" spans="1:4">
      <c r="A301" s="569" t="s">
        <v>244</v>
      </c>
      <c r="B301" s="570" t="s">
        <v>302</v>
      </c>
      <c r="C301" s="571">
        <v>5029904000</v>
      </c>
      <c r="D301" s="572" t="s">
        <v>1</v>
      </c>
    </row>
    <row r="302" spans="1:4">
      <c r="A302" s="569" t="s">
        <v>242</v>
      </c>
      <c r="B302" s="570" t="s">
        <v>1219</v>
      </c>
      <c r="C302" s="571">
        <v>5029905000</v>
      </c>
      <c r="D302" s="572" t="s">
        <v>1</v>
      </c>
    </row>
    <row r="303" spans="1:4">
      <c r="A303" s="569" t="s">
        <v>239</v>
      </c>
      <c r="B303" s="570" t="s">
        <v>1457</v>
      </c>
      <c r="C303" s="571">
        <v>5029906000</v>
      </c>
      <c r="D303" s="572" t="s">
        <v>1</v>
      </c>
    </row>
    <row r="304" spans="1:4">
      <c r="A304" s="569" t="s">
        <v>339</v>
      </c>
      <c r="B304" s="570" t="s">
        <v>348</v>
      </c>
      <c r="C304" s="571">
        <v>5029907000</v>
      </c>
      <c r="D304" s="572" t="s">
        <v>1</v>
      </c>
    </row>
    <row r="305" spans="1:4">
      <c r="A305" s="569" t="s">
        <v>269</v>
      </c>
      <c r="B305" s="570" t="s">
        <v>314</v>
      </c>
      <c r="C305" s="571">
        <v>5029908000</v>
      </c>
      <c r="D305" s="572" t="s">
        <v>1</v>
      </c>
    </row>
    <row r="306" spans="1:4">
      <c r="A306" s="569" t="s">
        <v>408</v>
      </c>
      <c r="B306" s="570" t="s">
        <v>368</v>
      </c>
      <c r="C306" s="571">
        <v>5029999000</v>
      </c>
      <c r="D306" s="572" t="s">
        <v>1</v>
      </c>
    </row>
    <row r="307" spans="1:4">
      <c r="A307" s="569" t="s">
        <v>271</v>
      </c>
      <c r="B307" s="570" t="s">
        <v>1412</v>
      </c>
      <c r="C307" s="571">
        <v>5029999002</v>
      </c>
      <c r="D307" s="572" t="s">
        <v>1</v>
      </c>
    </row>
    <row r="308" spans="1:4">
      <c r="A308" s="569" t="s">
        <v>405</v>
      </c>
      <c r="B308" s="570" t="s">
        <v>1412</v>
      </c>
      <c r="C308" s="571">
        <v>5029999002</v>
      </c>
      <c r="D308" s="572" t="s">
        <v>1</v>
      </c>
    </row>
    <row r="309" spans="1:4">
      <c r="A309" s="569" t="s">
        <v>333</v>
      </c>
      <c r="B309" s="570" t="s">
        <v>1413</v>
      </c>
      <c r="C309" s="571">
        <v>5029999098</v>
      </c>
      <c r="D309" s="572" t="s">
        <v>1</v>
      </c>
    </row>
    <row r="310" spans="1:4">
      <c r="A310" s="569" t="s">
        <v>991</v>
      </c>
      <c r="B310" s="570" t="s">
        <v>1458</v>
      </c>
      <c r="C310" s="571">
        <v>5029999099</v>
      </c>
      <c r="D310" s="572" t="s">
        <v>1</v>
      </c>
    </row>
    <row r="311" spans="1:4">
      <c r="A311" s="569" t="s">
        <v>341</v>
      </c>
      <c r="B311" s="570" t="s">
        <v>350</v>
      </c>
      <c r="C311" s="571">
        <v>5030102000</v>
      </c>
      <c r="D311" s="572" t="s">
        <v>1</v>
      </c>
    </row>
    <row r="312" spans="1:4">
      <c r="A312" s="569" t="s">
        <v>340</v>
      </c>
      <c r="B312" s="570" t="s">
        <v>349</v>
      </c>
      <c r="C312" s="571">
        <v>5030104000</v>
      </c>
      <c r="D312" s="572" t="s">
        <v>1</v>
      </c>
    </row>
    <row r="313" spans="1:4">
      <c r="A313" s="569" t="s">
        <v>275</v>
      </c>
      <c r="B313" s="570" t="s">
        <v>1414</v>
      </c>
      <c r="C313" s="571">
        <v>5050102000</v>
      </c>
      <c r="D313" s="572" t="s">
        <v>1</v>
      </c>
    </row>
    <row r="314" spans="1:4">
      <c r="A314" s="569" t="s">
        <v>1452</v>
      </c>
      <c r="B314" s="570" t="s">
        <v>1415</v>
      </c>
      <c r="C314" s="571">
        <v>5050103099</v>
      </c>
      <c r="D314" s="572" t="s">
        <v>1</v>
      </c>
    </row>
    <row r="315" spans="1:4">
      <c r="A315" s="569" t="s">
        <v>276</v>
      </c>
      <c r="B315" s="570" t="s">
        <v>1416</v>
      </c>
      <c r="C315" s="571">
        <v>5050104001</v>
      </c>
      <c r="D315" s="572" t="s">
        <v>1</v>
      </c>
    </row>
    <row r="316" spans="1:4">
      <c r="A316" s="569" t="s">
        <v>277</v>
      </c>
      <c r="B316" s="570" t="s">
        <v>1417</v>
      </c>
      <c r="C316" s="571">
        <v>5050104099</v>
      </c>
      <c r="D316" s="572" t="s">
        <v>1</v>
      </c>
    </row>
    <row r="317" spans="1:4">
      <c r="A317" s="569" t="s">
        <v>282</v>
      </c>
      <c r="B317" s="570" t="s">
        <v>1418</v>
      </c>
      <c r="C317" s="571">
        <v>5050105001</v>
      </c>
      <c r="D317" s="572" t="s">
        <v>1</v>
      </c>
    </row>
    <row r="318" spans="1:4">
      <c r="A318" s="569" t="s">
        <v>278</v>
      </c>
      <c r="B318" s="570" t="s">
        <v>1419</v>
      </c>
      <c r="C318" s="571">
        <v>5050105002</v>
      </c>
      <c r="D318" s="572" t="s">
        <v>1</v>
      </c>
    </row>
    <row r="319" spans="1:4">
      <c r="A319" s="569" t="s">
        <v>280</v>
      </c>
      <c r="B319" s="570" t="s">
        <v>1420</v>
      </c>
      <c r="C319" s="571">
        <v>5050105003</v>
      </c>
      <c r="D319" s="572" t="s">
        <v>1</v>
      </c>
    </row>
    <row r="320" spans="1:4">
      <c r="A320" s="569" t="s">
        <v>283</v>
      </c>
      <c r="B320" s="570" t="s">
        <v>1421</v>
      </c>
      <c r="C320" s="571">
        <v>5050105004</v>
      </c>
      <c r="D320" s="572" t="s">
        <v>1</v>
      </c>
    </row>
    <row r="321" spans="1:4">
      <c r="A321" s="569" t="s">
        <v>319</v>
      </c>
      <c r="B321" s="570" t="s">
        <v>1422</v>
      </c>
      <c r="C321" s="571">
        <v>5050105007</v>
      </c>
      <c r="D321" s="572" t="s">
        <v>1</v>
      </c>
    </row>
    <row r="322" spans="1:4">
      <c r="A322" s="569" t="s">
        <v>320</v>
      </c>
      <c r="B322" s="570" t="s">
        <v>1423</v>
      </c>
      <c r="C322" s="571">
        <v>5050105008</v>
      </c>
      <c r="D322" s="572" t="s">
        <v>1</v>
      </c>
    </row>
    <row r="323" spans="1:4">
      <c r="A323" s="569" t="s">
        <v>321</v>
      </c>
      <c r="B323" s="570" t="s">
        <v>1424</v>
      </c>
      <c r="C323" s="571">
        <v>5050105009</v>
      </c>
      <c r="D323" s="572" t="s">
        <v>1</v>
      </c>
    </row>
    <row r="324" spans="1:4">
      <c r="A324" s="569" t="s">
        <v>322</v>
      </c>
      <c r="B324" s="570" t="s">
        <v>1425</v>
      </c>
      <c r="C324" s="571">
        <v>5050105010</v>
      </c>
      <c r="D324" s="572" t="s">
        <v>1</v>
      </c>
    </row>
    <row r="325" spans="1:4">
      <c r="A325" s="569" t="s">
        <v>323</v>
      </c>
      <c r="B325" s="570" t="s">
        <v>1426</v>
      </c>
      <c r="C325" s="571">
        <v>5050105013</v>
      </c>
      <c r="D325" s="572" t="s">
        <v>1</v>
      </c>
    </row>
    <row r="326" spans="1:4">
      <c r="A326" s="569" t="s">
        <v>324</v>
      </c>
      <c r="B326" s="570" t="s">
        <v>1427</v>
      </c>
      <c r="C326" s="571">
        <v>5050105014</v>
      </c>
      <c r="D326" s="572" t="s">
        <v>1</v>
      </c>
    </row>
    <row r="327" spans="1:4">
      <c r="A327" s="569" t="s">
        <v>325</v>
      </c>
      <c r="B327" s="570" t="s">
        <v>1428</v>
      </c>
      <c r="C327" s="571">
        <v>5050105099</v>
      </c>
      <c r="D327" s="572" t="s">
        <v>1</v>
      </c>
    </row>
    <row r="328" spans="1:4">
      <c r="A328" s="569" t="s">
        <v>326</v>
      </c>
      <c r="B328" s="570" t="s">
        <v>1429</v>
      </c>
      <c r="C328" s="571">
        <v>5050106001</v>
      </c>
      <c r="D328" s="572" t="s">
        <v>1</v>
      </c>
    </row>
    <row r="329" spans="1:4">
      <c r="A329" s="569" t="s">
        <v>1453</v>
      </c>
      <c r="B329" s="570" t="s">
        <v>1430</v>
      </c>
      <c r="C329" s="571">
        <v>5050106002</v>
      </c>
      <c r="D329" s="572" t="s">
        <v>1</v>
      </c>
    </row>
    <row r="330" spans="1:4">
      <c r="A330" s="569" t="s">
        <v>327</v>
      </c>
      <c r="B330" s="570" t="s">
        <v>1431</v>
      </c>
      <c r="C330" s="571">
        <v>5050106003</v>
      </c>
      <c r="D330" s="572" t="s">
        <v>1</v>
      </c>
    </row>
    <row r="331" spans="1:4">
      <c r="A331" s="569" t="s">
        <v>328</v>
      </c>
      <c r="B331" s="570" t="s">
        <v>1432</v>
      </c>
      <c r="C331" s="571">
        <v>5050106004</v>
      </c>
      <c r="D331" s="572" t="s">
        <v>1</v>
      </c>
    </row>
    <row r="332" spans="1:4">
      <c r="A332" s="569" t="s">
        <v>329</v>
      </c>
      <c r="B332" s="570" t="s">
        <v>1433</v>
      </c>
      <c r="C332" s="571">
        <v>5050106099</v>
      </c>
      <c r="D332" s="572" t="s">
        <v>1</v>
      </c>
    </row>
    <row r="333" spans="1:4">
      <c r="A333" s="569" t="s">
        <v>279</v>
      </c>
      <c r="B333" s="570" t="s">
        <v>1434</v>
      </c>
      <c r="C333" s="571">
        <v>5050107001</v>
      </c>
      <c r="D333" s="572" t="s">
        <v>1</v>
      </c>
    </row>
    <row r="334" spans="1:4">
      <c r="A334" s="569" t="s">
        <v>281</v>
      </c>
      <c r="B334" s="570" t="s">
        <v>1435</v>
      </c>
      <c r="C334" s="571">
        <v>5050107002</v>
      </c>
      <c r="D334" s="572" t="s">
        <v>1</v>
      </c>
    </row>
    <row r="335" spans="1:4">
      <c r="A335" s="569" t="s">
        <v>330</v>
      </c>
      <c r="B335" s="570" t="s">
        <v>1436</v>
      </c>
      <c r="C335" s="571">
        <v>5050199000</v>
      </c>
      <c r="D335" s="572" t="s">
        <v>1</v>
      </c>
    </row>
  </sheetData>
  <sortState ref="F26:G43">
    <sortCondition ref="F26:F43"/>
  </sortState>
  <mergeCells count="1">
    <mergeCell ref="F4:H4"/>
  </mergeCells>
  <printOptions horizontalCentered="1"/>
  <pageMargins left="0.25" right="0.25" top="0.5" bottom="1.5" header="0.3" footer="0.3"/>
  <pageSetup paperSize="5" scale="75" orientation="portrait"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F0"/>
  </sheetPr>
  <dimension ref="A1:N86"/>
  <sheetViews>
    <sheetView view="pageBreakPreview" topLeftCell="A46" zoomScale="90" zoomScaleNormal="90" zoomScaleSheetLayoutView="90" workbookViewId="0">
      <selection activeCell="G12" sqref="G12"/>
    </sheetView>
  </sheetViews>
  <sheetFormatPr defaultColWidth="9" defaultRowHeight="12.75"/>
  <cols>
    <col min="1" max="1" width="83" style="604" customWidth="1"/>
    <col min="2" max="4" width="8.375" style="604" customWidth="1"/>
    <col min="5" max="5" width="11.375" style="604" customWidth="1"/>
    <col min="6" max="6" width="16.5" style="604" customWidth="1"/>
    <col min="7" max="7" width="17.125" style="604" customWidth="1"/>
    <col min="8" max="8" width="16.125" style="604" customWidth="1"/>
    <col min="9" max="9" width="17" style="604" customWidth="1"/>
    <col min="10" max="11" width="9" style="142"/>
    <col min="12" max="12" width="15.125" style="162" customWidth="1"/>
    <col min="13" max="13" width="16.625" style="142" customWidth="1"/>
    <col min="14" max="14" width="17" style="142" customWidth="1"/>
    <col min="15" max="16384" width="9" style="142"/>
  </cols>
  <sheetData>
    <row r="1" spans="1:14" ht="15.75">
      <c r="A1" s="589" t="s">
        <v>382</v>
      </c>
      <c r="B1" s="589"/>
      <c r="C1" s="589"/>
      <c r="D1" s="589"/>
      <c r="E1" s="590"/>
      <c r="F1" s="590"/>
      <c r="G1" s="591"/>
      <c r="H1" s="590"/>
      <c r="I1" s="590"/>
    </row>
    <row r="2" spans="1:14" ht="15.75">
      <c r="A2" s="592">
        <v>44926</v>
      </c>
      <c r="B2" s="592"/>
      <c r="C2" s="592"/>
      <c r="D2" s="592"/>
      <c r="E2" s="590"/>
      <c r="F2" s="590"/>
      <c r="G2" s="590"/>
      <c r="H2" s="590"/>
      <c r="I2" s="590"/>
    </row>
    <row r="3" spans="1:14" ht="31.5">
      <c r="A3" s="593" t="s">
        <v>1468</v>
      </c>
      <c r="B3" s="594" t="s">
        <v>718</v>
      </c>
      <c r="C3" s="594" t="s">
        <v>740</v>
      </c>
      <c r="D3" s="594" t="s">
        <v>723</v>
      </c>
      <c r="E3" s="594" t="s">
        <v>725</v>
      </c>
      <c r="F3" s="594" t="s">
        <v>726</v>
      </c>
      <c r="G3" s="594" t="s">
        <v>1</v>
      </c>
      <c r="H3" s="594" t="s">
        <v>2</v>
      </c>
      <c r="I3" s="595" t="s">
        <v>727</v>
      </c>
    </row>
    <row r="4" spans="1:14" ht="15.75">
      <c r="A4" s="596" t="str">
        <f>IF(E4=0,"",(INDEX(AccountCodes[ACCOUNT NAME],MATCH(E4,AccountCodes[NGAS CODE],0))))</f>
        <v>Cash in Bank-Local Currency, Current Account - RO</v>
      </c>
      <c r="B4" s="597" t="s">
        <v>494</v>
      </c>
      <c r="C4" s="597"/>
      <c r="D4" s="597"/>
      <c r="E4" s="584" t="s">
        <v>1478</v>
      </c>
      <c r="F4" s="598" t="str">
        <f>IF(E4=0,"",(INDEX(AccountCodes[PPSAS CODE],MATCH(E4,AccountCodes[NGAS CODE],0))))</f>
        <v>1010202000RO</v>
      </c>
      <c r="G4" s="599">
        <v>4370388.76</v>
      </c>
      <c r="H4" s="600">
        <v>0</v>
      </c>
      <c r="I4" s="601">
        <f t="shared" ref="I4:I51" si="0">IF(G4=0,H4,G4)</f>
        <v>4370388.76</v>
      </c>
      <c r="L4" s="162">
        <f>PostTB[[#This Row],[Debit]]</f>
        <v>4370388.76</v>
      </c>
    </row>
    <row r="5" spans="1:14" ht="15.75">
      <c r="A5" s="596" t="str">
        <f>IF(E5=0,"",(INDEX(AccountCodes[ACCOUNT NAME],MATCH(E5,AccountCodes[NGAS CODE],0))))</f>
        <v>Cash in Bank-Local Currency, Current Account - FO</v>
      </c>
      <c r="B5" s="597" t="s">
        <v>484</v>
      </c>
      <c r="C5" s="597"/>
      <c r="D5" s="597"/>
      <c r="E5" s="584" t="s">
        <v>1479</v>
      </c>
      <c r="F5" s="598" t="str">
        <f>IF(E5=0,"",(INDEX(AccountCodes[PPSAS CODE],MATCH(E5,AccountCodes[NGAS CODE],0))))</f>
        <v>1010202000FO</v>
      </c>
      <c r="G5" s="600">
        <v>3925235.81</v>
      </c>
      <c r="H5" s="599"/>
      <c r="I5" s="601">
        <f t="shared" si="0"/>
        <v>3925235.81</v>
      </c>
    </row>
    <row r="6" spans="1:14" ht="15.75">
      <c r="A6" s="596" t="str">
        <f>IF(E6=0,"",(INDEX(AccountCodes[ACCOUNT NAME],MATCH(E6,AccountCodes[NGAS CODE],0))))</f>
        <v>Cash in Bank-Local Currency, Current Account - FO</v>
      </c>
      <c r="B6" s="597" t="s">
        <v>485</v>
      </c>
      <c r="C6" s="597"/>
      <c r="D6" s="597"/>
      <c r="E6" s="584" t="s">
        <v>1479</v>
      </c>
      <c r="F6" s="598" t="str">
        <f>IF(E6=0,"",(INDEX(AccountCodes[PPSAS CODE],MATCH(E6,AccountCodes[NGAS CODE],0))))</f>
        <v>1010202000FO</v>
      </c>
      <c r="G6" s="600">
        <v>2107459.96</v>
      </c>
      <c r="H6" s="599"/>
      <c r="I6" s="601">
        <f t="shared" si="0"/>
        <v>2107459.96</v>
      </c>
    </row>
    <row r="7" spans="1:14" ht="15.75">
      <c r="A7" s="596" t="str">
        <f>IF(E7=0,"",(INDEX(AccountCodes[ACCOUNT NAME],MATCH(E7,AccountCodes[NGAS CODE],0))))</f>
        <v>Cash in Bank-Local Currency, Current Account - FO</v>
      </c>
      <c r="B7" s="597" t="s">
        <v>486</v>
      </c>
      <c r="C7" s="597"/>
      <c r="D7" s="597"/>
      <c r="E7" s="584" t="s">
        <v>1479</v>
      </c>
      <c r="F7" s="598" t="str">
        <f>IF(E7=0,"",(INDEX(AccountCodes[PPSAS CODE],MATCH(E7,AccountCodes[NGAS CODE],0))))</f>
        <v>1010202000FO</v>
      </c>
      <c r="G7" s="600">
        <v>3460296.28</v>
      </c>
      <c r="H7" s="599"/>
      <c r="I7" s="601">
        <f t="shared" si="0"/>
        <v>3460296.28</v>
      </c>
    </row>
    <row r="8" spans="1:14" ht="15.75">
      <c r="A8" s="596" t="str">
        <f>IF(E8=0,"",(INDEX(AccountCodes[ACCOUNT NAME],MATCH(E8,AccountCodes[NGAS CODE],0))))</f>
        <v>Cash in Bank-Local Currency, Current Account - FO</v>
      </c>
      <c r="B8" s="597" t="s">
        <v>762</v>
      </c>
      <c r="C8" s="597"/>
      <c r="D8" s="597"/>
      <c r="E8" s="584" t="s">
        <v>1479</v>
      </c>
      <c r="F8" s="598" t="str">
        <f>IF(E8=0,"",(INDEX(AccountCodes[PPSAS CODE],MATCH(E8,AccountCodes[NGAS CODE],0))))</f>
        <v>1010202000FO</v>
      </c>
      <c r="G8" s="600">
        <v>4365910.66</v>
      </c>
      <c r="H8" s="599"/>
      <c r="I8" s="601">
        <f>IF(G8=0,H8,G8)</f>
        <v>4365910.66</v>
      </c>
      <c r="L8" s="162">
        <f>G5+G6+G7+PostTB[[#This Row],[Debit]]</f>
        <v>13858902.710000001</v>
      </c>
      <c r="N8" s="698">
        <f>L4+L8</f>
        <v>18229291.469999999</v>
      </c>
    </row>
    <row r="9" spans="1:14" ht="15.75">
      <c r="A9" s="922" t="str">
        <f>IF(E9=0,"",(INDEX(AccountCodes[ACCOUNT NAME],MATCH(E9,AccountCodes[NGAS CODE],0))))</f>
        <v>Semi-Expendable Technical and Scientific Equipment</v>
      </c>
      <c r="B9" s="923"/>
      <c r="C9" s="923"/>
      <c r="D9" s="923"/>
      <c r="E9" s="924" t="s">
        <v>1256</v>
      </c>
      <c r="F9" s="925">
        <f>IF(E9=0,"",(INDEX(AccountCodes[PPSAS CODE],MATCH(E9,AccountCodes[NGAS CODE],0))))</f>
        <v>1040513000</v>
      </c>
      <c r="G9" s="926">
        <v>6000</v>
      </c>
      <c r="H9" s="927"/>
      <c r="I9" s="928">
        <f>IF(G9=0,H9,G9)</f>
        <v>6000</v>
      </c>
      <c r="L9" s="162">
        <f>PostTB[[#This Row],[Debit]]</f>
        <v>6000</v>
      </c>
      <c r="N9" s="698"/>
    </row>
    <row r="10" spans="1:14" ht="15.75">
      <c r="A10" s="596" t="str">
        <f>IF(E10=0,"",(INDEX(AccountCodes[ACCOUNT NAME],MATCH(E10,AccountCodes[NGAS CODE],0))))</f>
        <v>Water Supply Systems</v>
      </c>
      <c r="B10" s="597" t="s">
        <v>484</v>
      </c>
      <c r="C10" s="597"/>
      <c r="D10" s="597"/>
      <c r="E10" s="669" t="s">
        <v>60</v>
      </c>
      <c r="F10" s="598">
        <f>IF(E10=0,"",(INDEX(AccountCodes[PPSAS CODE],MATCH(E10,AccountCodes[NGAS CODE],0))))</f>
        <v>1060304000</v>
      </c>
      <c r="G10" s="600">
        <v>25888646.859999999</v>
      </c>
      <c r="H10" s="599"/>
      <c r="I10" s="601">
        <f t="shared" si="0"/>
        <v>25888646.859999999</v>
      </c>
    </row>
    <row r="11" spans="1:14" ht="15.75">
      <c r="A11" s="596" t="str">
        <f>IF(E11=0,"",(INDEX(AccountCodes[ACCOUNT NAME],MATCH(E11,AccountCodes[NGAS CODE],0))))</f>
        <v>Water Supply Systems</v>
      </c>
      <c r="B11" s="597" t="s">
        <v>485</v>
      </c>
      <c r="C11" s="597"/>
      <c r="D11" s="597"/>
      <c r="E11" s="669" t="s">
        <v>60</v>
      </c>
      <c r="F11" s="598">
        <f>IF(E11=0,"",(INDEX(AccountCodes[PPSAS CODE],MATCH(E11,AccountCodes[NGAS CODE],0))))</f>
        <v>1060304000</v>
      </c>
      <c r="G11" s="600">
        <v>18363496.390000001</v>
      </c>
      <c r="H11" s="599"/>
      <c r="I11" s="601">
        <f t="shared" si="0"/>
        <v>18363496.390000001</v>
      </c>
    </row>
    <row r="12" spans="1:14" ht="15.75">
      <c r="A12" s="596" t="str">
        <f>IF(E12=0,"",(INDEX(AccountCodes[ACCOUNT NAME],MATCH(E12,AccountCodes[NGAS CODE],0))))</f>
        <v>Water Supply Systems</v>
      </c>
      <c r="B12" s="597" t="s">
        <v>486</v>
      </c>
      <c r="C12" s="597"/>
      <c r="D12" s="597"/>
      <c r="E12" s="669" t="s">
        <v>60</v>
      </c>
      <c r="F12" s="598">
        <f>IF(E12=0,"",(INDEX(AccountCodes[PPSAS CODE],MATCH(E12,AccountCodes[NGAS CODE],0))))</f>
        <v>1060304000</v>
      </c>
      <c r="G12" s="600">
        <v>12866494.34</v>
      </c>
      <c r="H12" s="599"/>
      <c r="I12" s="601">
        <f t="shared" si="0"/>
        <v>12866494.34</v>
      </c>
    </row>
    <row r="13" spans="1:14" ht="15.75">
      <c r="A13" s="596" t="str">
        <f>IF(E13=0,"",(INDEX(AccountCodes[ACCOUNT NAME],MATCH(E13,AccountCodes[NGAS CODE],0))))</f>
        <v>Water Supply Systems</v>
      </c>
      <c r="B13" s="597" t="s">
        <v>762</v>
      </c>
      <c r="C13" s="597"/>
      <c r="D13" s="597"/>
      <c r="E13" s="669" t="s">
        <v>60</v>
      </c>
      <c r="F13" s="598">
        <f>IF(E13=0,"",(INDEX(AccountCodes[PPSAS CODE],MATCH(E13,AccountCodes[NGAS CODE],0))))</f>
        <v>1060304000</v>
      </c>
      <c r="G13" s="600">
        <v>54207459.229999997</v>
      </c>
      <c r="H13" s="599"/>
      <c r="I13" s="601">
        <f t="shared" si="0"/>
        <v>54207459.229999997</v>
      </c>
      <c r="L13" s="162">
        <f>G10+G11+G12+PostTB[[#This Row],[Debit]]</f>
        <v>111326096.81999999</v>
      </c>
    </row>
    <row r="14" spans="1:14" ht="15.75">
      <c r="A14" s="812" t="str">
        <f>IF(E14=0,"",(INDEX(AccountCodes[ACCOUNT NAME],MATCH(E14,AccountCodes[NGAS CODE],0))))</f>
        <v>Accumulated Depreciation-Water Supply Systems</v>
      </c>
      <c r="B14" s="813" t="s">
        <v>484</v>
      </c>
      <c r="C14" s="813"/>
      <c r="D14" s="813"/>
      <c r="E14" s="814" t="s">
        <v>1261</v>
      </c>
      <c r="F14" s="815">
        <f>IF(E14=0,"",(INDEX(AccountCodes[PPSAS CODE],MATCH(E14,AccountCodes[NGAS CODE],0))))</f>
        <v>1060304100</v>
      </c>
      <c r="G14" s="816"/>
      <c r="H14" s="817">
        <v>1242931.8500000001</v>
      </c>
      <c r="I14" s="818">
        <f t="shared" si="0"/>
        <v>1242931.8500000001</v>
      </c>
    </row>
    <row r="15" spans="1:14" ht="15.75">
      <c r="A15" s="812" t="str">
        <f>IF(E15=0,"",(INDEX(AccountCodes[ACCOUNT NAME],MATCH(E15,AccountCodes[NGAS CODE],0))))</f>
        <v>Accumulated Depreciation-Water Supply Systems</v>
      </c>
      <c r="B15" s="813" t="s">
        <v>485</v>
      </c>
      <c r="C15" s="813"/>
      <c r="D15" s="813"/>
      <c r="E15" s="814" t="s">
        <v>1261</v>
      </c>
      <c r="F15" s="815">
        <f>IF(E15=0,"",(INDEX(AccountCodes[PPSAS CODE],MATCH(E15,AccountCodes[NGAS CODE],0))))</f>
        <v>1060304100</v>
      </c>
      <c r="G15" s="816"/>
      <c r="H15" s="817">
        <v>1649234.07</v>
      </c>
      <c r="I15" s="818">
        <f t="shared" si="0"/>
        <v>1649234.07</v>
      </c>
    </row>
    <row r="16" spans="1:14" ht="15.75">
      <c r="A16" s="812" t="str">
        <f>IF(E16=0,"",(INDEX(AccountCodes[ACCOUNT NAME],MATCH(E16,AccountCodes[NGAS CODE],0))))</f>
        <v>Accumulated Depreciation-Water Supply Systems</v>
      </c>
      <c r="B16" s="813" t="s">
        <v>486</v>
      </c>
      <c r="C16" s="813"/>
      <c r="D16" s="813"/>
      <c r="E16" s="814" t="s">
        <v>1261</v>
      </c>
      <c r="F16" s="815">
        <f>IF(E16=0,"",(INDEX(AccountCodes[PPSAS CODE],MATCH(E16,AccountCodes[NGAS CODE],0))))</f>
        <v>1060304100</v>
      </c>
      <c r="G16" s="816"/>
      <c r="H16" s="817">
        <v>1099684.23</v>
      </c>
      <c r="I16" s="818">
        <f t="shared" si="0"/>
        <v>1099684.23</v>
      </c>
    </row>
    <row r="17" spans="1:13" ht="15.75">
      <c r="A17" s="812" t="str">
        <f>IF(E17=0,"",(INDEX(AccountCodes[ACCOUNT NAME],MATCH(E17,AccountCodes[NGAS CODE],0))))</f>
        <v>Accumulated Depreciation-Water Supply Systems</v>
      </c>
      <c r="B17" s="813" t="s">
        <v>762</v>
      </c>
      <c r="C17" s="813"/>
      <c r="D17" s="813"/>
      <c r="E17" s="814" t="s">
        <v>1261</v>
      </c>
      <c r="F17" s="815">
        <f>IF(E17=0,"",(INDEX(AccountCodes[PPSAS CODE],MATCH(E17,AccountCodes[NGAS CODE],0))))</f>
        <v>1060304100</v>
      </c>
      <c r="G17" s="816"/>
      <c r="H17" s="817"/>
      <c r="I17" s="818">
        <f t="shared" si="0"/>
        <v>0</v>
      </c>
      <c r="M17" s="697">
        <f>H14+H15+H16+PostTB[[#This Row],[Credit]]</f>
        <v>3991850.15</v>
      </c>
    </row>
    <row r="18" spans="1:13" ht="15.75">
      <c r="A18" s="812" t="s">
        <v>1182</v>
      </c>
      <c r="B18" s="597" t="s">
        <v>762</v>
      </c>
      <c r="C18" s="813"/>
      <c r="D18" s="813"/>
      <c r="E18" s="603" t="s">
        <v>30</v>
      </c>
      <c r="F18" s="815">
        <f>IF(E18=0,"",(INDEX(AccountCodes[PPSAS CODE],MATCH(E18,AccountCodes[NGAS CODE],0))))</f>
        <v>1040401000</v>
      </c>
      <c r="G18" s="816">
        <v>125209</v>
      </c>
      <c r="H18" s="817"/>
      <c r="I18" s="818">
        <f>IF(G18=0,H18,G18)</f>
        <v>125209</v>
      </c>
      <c r="M18" s="697"/>
    </row>
    <row r="19" spans="1:13" ht="15.75">
      <c r="A19" s="812" t="str">
        <f>IF(E19=0,"",(INDEX(AccountCodes[ACCOUNT NAME],MATCH(E19,AccountCodes[NGAS CODE],0))))</f>
        <v/>
      </c>
      <c r="B19" s="813"/>
      <c r="C19" s="813"/>
      <c r="D19" s="813"/>
      <c r="E19" s="1055"/>
      <c r="F19" s="815" t="str">
        <f>IF(E19=0,"",(INDEX(AccountCodes[PPSAS CODE],MATCH(E19,AccountCodes[NGAS CODE],0))))</f>
        <v/>
      </c>
      <c r="G19" s="816"/>
      <c r="H19" s="817"/>
      <c r="I19" s="818">
        <f>IF(G19=0,H19,G19)</f>
        <v>0</v>
      </c>
      <c r="M19" s="697"/>
    </row>
    <row r="20" spans="1:13" ht="15.75">
      <c r="A20" s="812" t="str">
        <f>IF(E20=0,"",(INDEX(AccountCodes[ACCOUNT NAME],MATCH(E20,AccountCodes[NGAS CODE],0))))</f>
        <v/>
      </c>
      <c r="B20" s="813"/>
      <c r="C20" s="813"/>
      <c r="D20" s="813"/>
      <c r="E20" s="1055"/>
      <c r="F20" s="815" t="str">
        <f>IF(E20=0,"",(INDEX(AccountCodes[PPSAS CODE],MATCH(E20,AccountCodes[NGAS CODE],0))))</f>
        <v/>
      </c>
      <c r="G20" s="816"/>
      <c r="H20" s="817"/>
      <c r="I20" s="818">
        <f>IF(G20=0,H20,G20)</f>
        <v>0</v>
      </c>
      <c r="M20" s="697"/>
    </row>
    <row r="21" spans="1:13" ht="15.75">
      <c r="A21" s="812" t="str">
        <f>IF(E21=0,"",(INDEX(AccountCodes[ACCOUNT NAME],MATCH(E21,AccountCodes[NGAS CODE],0))))</f>
        <v/>
      </c>
      <c r="B21" s="813"/>
      <c r="C21" s="813"/>
      <c r="D21" s="813"/>
      <c r="E21" s="1055"/>
      <c r="F21" s="815" t="str">
        <f>IF(E21=0,"",(INDEX(AccountCodes[PPSAS CODE],MATCH(E21,AccountCodes[NGAS CODE],0))))</f>
        <v/>
      </c>
      <c r="G21" s="816"/>
      <c r="H21" s="817"/>
      <c r="I21" s="818">
        <f>IF(G21=0,H21,G21)</f>
        <v>0</v>
      </c>
      <c r="M21" s="697"/>
    </row>
    <row r="22" spans="1:13" ht="15.75">
      <c r="A22" s="812" t="str">
        <f>IF(E22=0,"",(INDEX(AccountCodes[ACCOUNT NAME],MATCH(E22,AccountCodes[NGAS CODE],0))))</f>
        <v/>
      </c>
      <c r="B22" s="813"/>
      <c r="C22" s="813"/>
      <c r="D22" s="813"/>
      <c r="E22" s="1055"/>
      <c r="F22" s="815" t="str">
        <f>IF(E22=0,"",(INDEX(AccountCodes[PPSAS CODE],MATCH(E22,AccountCodes[NGAS CODE],0))))</f>
        <v/>
      </c>
      <c r="G22" s="816"/>
      <c r="H22" s="817"/>
      <c r="I22" s="818">
        <f>IF(G22=0,H22,G22)</f>
        <v>0</v>
      </c>
      <c r="M22" s="697"/>
    </row>
    <row r="23" spans="1:13" ht="15.75">
      <c r="A23" s="596" t="str">
        <f>IF(E23=0,"",(INDEX(AccountCodes[ACCOUNT NAME],MATCH(E23,AccountCodes[NGAS CODE],0))))</f>
        <v>Office Equipment</v>
      </c>
      <c r="B23" s="597" t="s">
        <v>494</v>
      </c>
      <c r="C23" s="597"/>
      <c r="D23" s="597"/>
      <c r="E23" s="603" t="s">
        <v>42</v>
      </c>
      <c r="F23" s="598">
        <f>IF(E23=0,"",(INDEX(AccountCodes[PPSAS CODE],MATCH(E23,AccountCodes[NGAS CODE],0))))</f>
        <v>1060502000</v>
      </c>
      <c r="G23" s="600">
        <v>78683</v>
      </c>
      <c r="H23" s="599"/>
      <c r="I23" s="601">
        <f t="shared" si="0"/>
        <v>78683</v>
      </c>
    </row>
    <row r="24" spans="1:13" ht="15.75">
      <c r="A24" s="922" t="str">
        <f>IF(E24=0,"",(INDEX(AccountCodes[ACCOUNT NAME],MATCH(E24,AccountCodes[NGAS CODE],0))))</f>
        <v>Office Equipment</v>
      </c>
      <c r="B24" s="923" t="s">
        <v>484</v>
      </c>
      <c r="C24" s="923"/>
      <c r="D24" s="923"/>
      <c r="E24" s="924" t="s">
        <v>42</v>
      </c>
      <c r="F24" s="925">
        <f>IF(E24=0,"",(INDEX(AccountCodes[PPSAS CODE],MATCH(E24,AccountCodes[NGAS CODE],0))))</f>
        <v>1060502000</v>
      </c>
      <c r="G24" s="926">
        <v>20000</v>
      </c>
      <c r="H24" s="927"/>
      <c r="I24" s="928">
        <f>IF(G24=0,H24,G24)</f>
        <v>20000</v>
      </c>
    </row>
    <row r="25" spans="1:13" ht="15.75">
      <c r="A25" s="922" t="str">
        <f>IF(E25=0,"",(INDEX(AccountCodes[ACCOUNT NAME],MATCH(E25,AccountCodes[NGAS CODE],0))))</f>
        <v>Office Equipment</v>
      </c>
      <c r="B25" s="923" t="s">
        <v>486</v>
      </c>
      <c r="C25" s="923"/>
      <c r="D25" s="923"/>
      <c r="E25" s="924" t="s">
        <v>42</v>
      </c>
      <c r="F25" s="925">
        <f>IF(E25=0,"",(INDEX(AccountCodes[PPSAS CODE],MATCH(E25,AccountCodes[NGAS CODE],0))))</f>
        <v>1060502000</v>
      </c>
      <c r="G25" s="926">
        <v>19700</v>
      </c>
      <c r="H25" s="927"/>
      <c r="I25" s="928">
        <f>IF(G25=0,H25,G25)</f>
        <v>19700</v>
      </c>
    </row>
    <row r="26" spans="1:13" ht="15.75">
      <c r="A26" s="596" t="str">
        <f>IF(E26=0,"",(INDEX(AccountCodes[ACCOUNT NAME],MATCH(E26,AccountCodes[NGAS CODE],0))))</f>
        <v>Office Equipment</v>
      </c>
      <c r="B26" s="597" t="s">
        <v>762</v>
      </c>
      <c r="C26" s="597"/>
      <c r="D26" s="597"/>
      <c r="E26" s="603" t="s">
        <v>42</v>
      </c>
      <c r="F26" s="598">
        <f>IF(E26=0,"",(INDEX(AccountCodes[PPSAS CODE],MATCH(E26,AccountCodes[NGAS CODE],0))))</f>
        <v>1060502000</v>
      </c>
      <c r="G26" s="600">
        <v>338440</v>
      </c>
      <c r="H26" s="599"/>
      <c r="I26" s="601">
        <f t="shared" si="0"/>
        <v>338440</v>
      </c>
      <c r="L26" s="162">
        <f>G23+G24+G25+PostTB[[#This Row],[Debit]]</f>
        <v>456823</v>
      </c>
    </row>
    <row r="27" spans="1:13" ht="15.75">
      <c r="A27" s="596" t="str">
        <f>IF(E27=0,"",(INDEX(AccountCodes[ACCOUNT NAME],MATCH(E27,AccountCodes[NGAS CODE],0))))</f>
        <v>Accumulated Depreciation-Office Equipment</v>
      </c>
      <c r="B27" s="597" t="s">
        <v>494</v>
      </c>
      <c r="C27" s="597"/>
      <c r="D27" s="597"/>
      <c r="E27" s="603" t="s">
        <v>88</v>
      </c>
      <c r="F27" s="598">
        <f>IF(E27=0,"",(INDEX(AccountCodes[PPSAS CODE],MATCH(E27,AccountCodes[NGAS CODE],0))))</f>
        <v>1060502100</v>
      </c>
      <c r="G27" s="600"/>
      <c r="H27" s="599">
        <v>39979.24</v>
      </c>
      <c r="I27" s="601">
        <f t="shared" si="0"/>
        <v>39979.24</v>
      </c>
      <c r="M27" s="697">
        <f>PostTB[[#This Row],[Credit]]+H28</f>
        <v>39979.24</v>
      </c>
    </row>
    <row r="28" spans="1:13" ht="15.75">
      <c r="A28" s="922" t="str">
        <f>IF(E28=0,"",(INDEX(AccountCodes[ACCOUNT NAME],MATCH(E28,AccountCodes[NGAS CODE],0))))</f>
        <v>Accumulated Depreciation-Office Equipment</v>
      </c>
      <c r="B28" s="923" t="s">
        <v>762</v>
      </c>
      <c r="C28" s="923"/>
      <c r="D28" s="923"/>
      <c r="E28" s="924" t="s">
        <v>88</v>
      </c>
      <c r="F28" s="925">
        <f>IF(E28=0,"",(INDEX(AccountCodes[PPSAS CODE],MATCH(E28,AccountCodes[NGAS CODE],0))))</f>
        <v>1060502100</v>
      </c>
      <c r="G28" s="926"/>
      <c r="H28" s="927"/>
      <c r="I28" s="928">
        <f>IF(G28=0,H28,G28)</f>
        <v>0</v>
      </c>
    </row>
    <row r="29" spans="1:13" ht="15.75">
      <c r="A29" s="596" t="str">
        <f>IF(E29=0,"",(INDEX(AccountCodes[ACCOUNT NAME],MATCH(E29,AccountCodes[NGAS CODE],0))))</f>
        <v>Information and Communications Technology Equipment</v>
      </c>
      <c r="B29" s="597" t="s">
        <v>494</v>
      </c>
      <c r="C29" s="597"/>
      <c r="D29" s="597"/>
      <c r="E29" s="603" t="s">
        <v>44</v>
      </c>
      <c r="F29" s="598">
        <f>IF(E29=0,"",(INDEX(AccountCodes[PPSAS CODE],MATCH(E29,AccountCodes[NGAS CODE],0))))</f>
        <v>1060503000</v>
      </c>
      <c r="G29" s="600">
        <v>220004</v>
      </c>
      <c r="H29" s="599"/>
      <c r="I29" s="601">
        <f t="shared" si="0"/>
        <v>220004</v>
      </c>
    </row>
    <row r="30" spans="1:13" ht="15.75">
      <c r="A30" s="812" t="str">
        <f>IF(E30=0,"",(INDEX(AccountCodes[ACCOUNT NAME],MATCH(E30,AccountCodes[NGAS CODE],0))))</f>
        <v>Information and Communications Technology Equipment</v>
      </c>
      <c r="B30" s="813" t="s">
        <v>484</v>
      </c>
      <c r="C30" s="813"/>
      <c r="D30" s="813"/>
      <c r="E30" s="814" t="s">
        <v>44</v>
      </c>
      <c r="F30" s="815">
        <f>IF(E30=0,"",(INDEX(AccountCodes[PPSAS CODE],MATCH(E30,AccountCodes[NGAS CODE],0))))</f>
        <v>1060503000</v>
      </c>
      <c r="G30" s="816">
        <v>112630</v>
      </c>
      <c r="H30" s="817"/>
      <c r="I30" s="818">
        <f t="shared" si="0"/>
        <v>112630</v>
      </c>
    </row>
    <row r="31" spans="1:13" ht="15.75">
      <c r="A31" s="596" t="str">
        <f>IF(E31=0,"",(INDEX(AccountCodes[ACCOUNT NAME],MATCH(E31,AccountCodes[NGAS CODE],0))))</f>
        <v>Information and Communications Technology Equipment</v>
      </c>
      <c r="B31" s="597" t="s">
        <v>485</v>
      </c>
      <c r="C31" s="597"/>
      <c r="D31" s="597"/>
      <c r="E31" s="603" t="s">
        <v>44</v>
      </c>
      <c r="F31" s="598">
        <f>IF(E31=0,"",(INDEX(AccountCodes[PPSAS CODE],MATCH(E31,AccountCodes[NGAS CODE],0))))</f>
        <v>1060503000</v>
      </c>
      <c r="G31" s="600">
        <v>30500</v>
      </c>
      <c r="H31" s="599"/>
      <c r="I31" s="601">
        <f t="shared" si="0"/>
        <v>30500</v>
      </c>
    </row>
    <row r="32" spans="1:13" ht="15.75">
      <c r="A32" s="922" t="str">
        <f>IF(E32=0,"",(INDEX(AccountCodes[ACCOUNT NAME],MATCH(E32,AccountCodes[NGAS CODE],0))))</f>
        <v>Information and Communications Technology Equipment</v>
      </c>
      <c r="B32" s="923" t="s">
        <v>486</v>
      </c>
      <c r="C32" s="923"/>
      <c r="D32" s="923"/>
      <c r="E32" s="924" t="s">
        <v>44</v>
      </c>
      <c r="F32" s="925">
        <f>IF(E32=0,"",(INDEX(AccountCodes[PPSAS CODE],MATCH(E32,AccountCodes[NGAS CODE],0))))</f>
        <v>1060503000</v>
      </c>
      <c r="G32" s="926">
        <v>204080</v>
      </c>
      <c r="H32" s="927"/>
      <c r="I32" s="928">
        <f>IF(G32=0,H32,G32)</f>
        <v>204080</v>
      </c>
    </row>
    <row r="33" spans="1:13" ht="15.75">
      <c r="A33" s="596" t="str">
        <f>IF(E33=0,"",(INDEX(AccountCodes[ACCOUNT NAME],MATCH(E33,AccountCodes[NGAS CODE],0))))</f>
        <v>Information and Communications Technology Equipment</v>
      </c>
      <c r="B33" s="597" t="s">
        <v>762</v>
      </c>
      <c r="C33" s="597"/>
      <c r="D33" s="597"/>
      <c r="E33" s="603" t="s">
        <v>44</v>
      </c>
      <c r="F33" s="598">
        <f>IF(E33=0,"",(INDEX(AccountCodes[PPSAS CODE],MATCH(E33,AccountCodes[NGAS CODE],0))))</f>
        <v>1060503000</v>
      </c>
      <c r="G33" s="600">
        <v>593912</v>
      </c>
      <c r="H33" s="599"/>
      <c r="I33" s="601">
        <f t="shared" si="0"/>
        <v>593912</v>
      </c>
      <c r="L33" s="162">
        <f>G29+G30+G31+PostTB[[#This Row],[Debit]]</f>
        <v>957046</v>
      </c>
    </row>
    <row r="34" spans="1:13" ht="15.75">
      <c r="A34" s="596" t="str">
        <f>IF(E34=0,"",(INDEX(AccountCodes[ACCOUNT NAME],MATCH(E34,AccountCodes[NGAS CODE],0))))</f>
        <v>Accumulated Depreciation-Information and Communications Technology Equipment</v>
      </c>
      <c r="B34" s="597" t="s">
        <v>494</v>
      </c>
      <c r="C34" s="597"/>
      <c r="D34" s="597"/>
      <c r="E34" s="603" t="s">
        <v>90</v>
      </c>
      <c r="F34" s="598">
        <f>IF(E34=0,"",(INDEX(AccountCodes[PPSAS CODE],MATCH(E34,AccountCodes[NGAS CODE],0))))</f>
        <v>1060503100</v>
      </c>
      <c r="G34" s="600"/>
      <c r="H34" s="599">
        <v>49707.75</v>
      </c>
      <c r="I34" s="601">
        <f t="shared" si="0"/>
        <v>49707.75</v>
      </c>
      <c r="M34" s="697">
        <f>PostTB[[#This Row],[Credit]]+H35+H36</f>
        <v>80250.33</v>
      </c>
    </row>
    <row r="35" spans="1:13" ht="15.75">
      <c r="A35" s="922" t="str">
        <f>IF(E35=0,"",(INDEX(AccountCodes[ACCOUNT NAME],MATCH(E35,AccountCodes[NGAS CODE],0))))</f>
        <v>Accumulated Depreciation-Information and Communications Technology Equipment</v>
      </c>
      <c r="B35" s="923" t="s">
        <v>484</v>
      </c>
      <c r="C35" s="923"/>
      <c r="D35" s="923"/>
      <c r="E35" s="924" t="s">
        <v>90</v>
      </c>
      <c r="F35" s="925">
        <f>IF(E35=0,"",(INDEX(AccountCodes[PPSAS CODE],MATCH(E35,AccountCodes[NGAS CODE],0))))</f>
        <v>1060503100</v>
      </c>
      <c r="G35" s="926"/>
      <c r="H35" s="927">
        <v>30542.58</v>
      </c>
      <c r="I35" s="928">
        <f>IF(G35=0,H35,G35)</f>
        <v>30542.58</v>
      </c>
    </row>
    <row r="36" spans="1:13" ht="15.75">
      <c r="A36" s="922" t="str">
        <f>IF(E36=0,"",(INDEX(AccountCodes[ACCOUNT NAME],MATCH(E36,AccountCodes[NGAS CODE],0))))</f>
        <v>Accumulated Depreciation-Information and Communications Technology Equipment</v>
      </c>
      <c r="B36" s="923" t="s">
        <v>762</v>
      </c>
      <c r="C36" s="923"/>
      <c r="D36" s="923"/>
      <c r="E36" s="924" t="s">
        <v>90</v>
      </c>
      <c r="F36" s="925">
        <f>IF(E36=0,"",(INDEX(AccountCodes[PPSAS CODE],MATCH(E36,AccountCodes[NGAS CODE],0))))</f>
        <v>1060503100</v>
      </c>
      <c r="G36" s="926"/>
      <c r="H36" s="927"/>
      <c r="I36" s="928">
        <f>IF(G36=0,H36,G36)</f>
        <v>0</v>
      </c>
    </row>
    <row r="37" spans="1:13" ht="15.75">
      <c r="A37" s="596" t="str">
        <f>IF(E37=0,"",(INDEX(AccountCodes[ACCOUNT NAME],MATCH(E37,AccountCodes[NGAS CODE],0))))</f>
        <v>Construction in Progress-Infrastructure Assets (Irrigation, Canals and Laterals)</v>
      </c>
      <c r="B37" s="597" t="s">
        <v>484</v>
      </c>
      <c r="C37" s="597"/>
      <c r="D37" s="597"/>
      <c r="E37" s="669" t="s">
        <v>82</v>
      </c>
      <c r="F37" s="598">
        <f>IF(E37=0,"",(INDEX(AccountCodes[PPSAS CODE],MATCH(E37,AccountCodes[NGAS CODE],0))))</f>
        <v>1069902099</v>
      </c>
      <c r="G37" s="600">
        <v>2914937.18</v>
      </c>
      <c r="H37" s="599"/>
      <c r="I37" s="601">
        <f t="shared" si="0"/>
        <v>2914937.18</v>
      </c>
    </row>
    <row r="38" spans="1:13" ht="15.75">
      <c r="A38" s="596" t="str">
        <f>IF(E38=0,"",(INDEX(AccountCodes[ACCOUNT NAME],MATCH(E38,AccountCodes[NGAS CODE],0))))</f>
        <v>Construction in Progress-Infrastructure Assets (Irrigation, Canals and Laterals)</v>
      </c>
      <c r="B38" s="597" t="s">
        <v>485</v>
      </c>
      <c r="C38" s="597"/>
      <c r="D38" s="597"/>
      <c r="E38" s="669" t="s">
        <v>82</v>
      </c>
      <c r="F38" s="598">
        <f>IF(E38=0,"",(INDEX(AccountCodes[PPSAS CODE],MATCH(E38,AccountCodes[NGAS CODE],0))))</f>
        <v>1069902099</v>
      </c>
      <c r="G38" s="600">
        <v>10286742.310000001</v>
      </c>
      <c r="H38" s="599"/>
      <c r="I38" s="601">
        <f t="shared" si="0"/>
        <v>10286742.310000001</v>
      </c>
    </row>
    <row r="39" spans="1:13" ht="15.75">
      <c r="A39" s="596" t="str">
        <f>IF(E39=0,"",(INDEX(AccountCodes[ACCOUNT NAME],MATCH(E39,AccountCodes[NGAS CODE],0))))</f>
        <v>Construction in Progress-Infrastructure Assets (Irrigation, Canals and Laterals)</v>
      </c>
      <c r="B39" s="597" t="s">
        <v>486</v>
      </c>
      <c r="C39" s="597"/>
      <c r="D39" s="597"/>
      <c r="E39" s="669" t="s">
        <v>82</v>
      </c>
      <c r="F39" s="598">
        <f>IF(E39=0,"",(INDEX(AccountCodes[PPSAS CODE],MATCH(E39,AccountCodes[NGAS CODE],0))))</f>
        <v>1069902099</v>
      </c>
      <c r="G39" s="600">
        <v>2064761.55</v>
      </c>
      <c r="H39" s="599"/>
      <c r="I39" s="601">
        <f t="shared" si="0"/>
        <v>2064761.55</v>
      </c>
    </row>
    <row r="40" spans="1:13" ht="15.75">
      <c r="A40" s="596" t="str">
        <f>IF(E40=0,"",(INDEX(AccountCodes[ACCOUNT NAME],MATCH(E40,AccountCodes[NGAS CODE],0))))</f>
        <v>Construction in Progress-Infrastructure Assets (Irrigation, Canals and Laterals)</v>
      </c>
      <c r="B40" s="597" t="s">
        <v>762</v>
      </c>
      <c r="C40" s="597"/>
      <c r="D40" s="597"/>
      <c r="E40" s="669" t="s">
        <v>82</v>
      </c>
      <c r="F40" s="598">
        <f>IF(E40=0,"",(INDEX(AccountCodes[PPSAS CODE],MATCH(E40,AccountCodes[NGAS CODE],0))))</f>
        <v>1069902099</v>
      </c>
      <c r="G40" s="600">
        <v>9521019.1099999994</v>
      </c>
      <c r="H40" s="599"/>
      <c r="I40" s="601">
        <f t="shared" si="0"/>
        <v>9521019.1099999994</v>
      </c>
      <c r="L40" s="162">
        <f>G37+G38+G39+PostTB[[#This Row],[Debit]]</f>
        <v>24787460.149999999</v>
      </c>
    </row>
    <row r="41" spans="1:13" ht="15.75">
      <c r="A41" s="596" t="str">
        <f>IF(E41=0,"",(INDEX(AccountCodes[ACCOUNT NAME],MATCH(E41,AccountCodes[NGAS CODE],0))))</f>
        <v>Advances to Contractors</v>
      </c>
      <c r="B41" s="597" t="s">
        <v>762</v>
      </c>
      <c r="C41" s="597"/>
      <c r="D41" s="597"/>
      <c r="E41" s="603" t="s">
        <v>35</v>
      </c>
      <c r="F41" s="598">
        <f>IF(E41=0,"",(INDEX(AccountCodes[PPSAS CODE],MATCH(E41,AccountCodes[NGAS CODE],0))))</f>
        <v>1990201000</v>
      </c>
      <c r="G41" s="600">
        <v>2516226.0099999998</v>
      </c>
      <c r="H41" s="599"/>
      <c r="I41" s="601">
        <f t="shared" si="0"/>
        <v>2516226.0099999998</v>
      </c>
      <c r="L41" s="162">
        <f>PostTB[[#This Row],[Debit]]</f>
        <v>2516226.0099999998</v>
      </c>
    </row>
    <row r="42" spans="1:13" ht="15.75">
      <c r="A42" s="922" t="str">
        <f>IF(E42=0,"",(INDEX(AccountCodes[ACCOUNT NAME],MATCH(E42,AccountCodes[NGAS CODE],0))))</f>
        <v>Accounts Payable</v>
      </c>
      <c r="B42" s="923" t="s">
        <v>494</v>
      </c>
      <c r="C42" s="923"/>
      <c r="D42" s="923"/>
      <c r="E42" s="924" t="s">
        <v>106</v>
      </c>
      <c r="F42" s="925">
        <f>IF(E42=0,"",(INDEX(AccountCodes[PPSAS CODE],MATCH(E42,AccountCodes[NGAS CODE],0))))</f>
        <v>2010101000</v>
      </c>
      <c r="G42" s="926"/>
      <c r="H42" s="927">
        <v>844585.16</v>
      </c>
      <c r="I42" s="928">
        <f>IF(G42=0,H42,G42)</f>
        <v>844585.16</v>
      </c>
      <c r="L42" s="142"/>
      <c r="M42" s="162"/>
    </row>
    <row r="43" spans="1:13" ht="15.75">
      <c r="A43" s="922" t="str">
        <f>IF(E43=0,"",(INDEX(AccountCodes[ACCOUNT NAME],MATCH(E43,AccountCodes[NGAS CODE],0))))</f>
        <v>Accounts Payable</v>
      </c>
      <c r="B43" s="923" t="s">
        <v>484</v>
      </c>
      <c r="C43" s="923"/>
      <c r="D43" s="923"/>
      <c r="E43" s="924" t="s">
        <v>106</v>
      </c>
      <c r="F43" s="925">
        <f>IF(E43=0,"",(INDEX(AccountCodes[PPSAS CODE],MATCH(E43,AccountCodes[NGAS CODE],0))))</f>
        <v>2010101000</v>
      </c>
      <c r="G43" s="926"/>
      <c r="H43" s="927">
        <v>270830.83</v>
      </c>
      <c r="I43" s="928">
        <f>IF(G43=0,H43,G43)</f>
        <v>270830.83</v>
      </c>
      <c r="M43" s="697">
        <f>H42+PostTB[[#This Row],[Credit]]+H44+H45+H46</f>
        <v>1532450.27</v>
      </c>
    </row>
    <row r="44" spans="1:13" ht="15.75">
      <c r="A44" s="922" t="str">
        <f>IF(E44=0,"",(INDEX(AccountCodes[ACCOUNT NAME],MATCH(E44,AccountCodes[NGAS CODE],0))))</f>
        <v>Accounts Payable</v>
      </c>
      <c r="B44" s="923" t="s">
        <v>485</v>
      </c>
      <c r="C44" s="923"/>
      <c r="D44" s="923"/>
      <c r="E44" s="924" t="s">
        <v>106</v>
      </c>
      <c r="F44" s="925">
        <f>IF(E44=0,"",(INDEX(AccountCodes[PPSAS CODE],MATCH(E44,AccountCodes[NGAS CODE],0))))</f>
        <v>2010101000</v>
      </c>
      <c r="G44" s="926"/>
      <c r="H44" s="927">
        <v>10000</v>
      </c>
      <c r="I44" s="928">
        <f>IF(G44=0,H44,G44)</f>
        <v>10000</v>
      </c>
    </row>
    <row r="45" spans="1:13" ht="15.75">
      <c r="A45" s="922" t="str">
        <f>IF(E45=0,"",(INDEX(AccountCodes[ACCOUNT NAME],MATCH(E45,AccountCodes[NGAS CODE],0))))</f>
        <v>Accounts Payable</v>
      </c>
      <c r="B45" s="923" t="s">
        <v>486</v>
      </c>
      <c r="C45" s="923"/>
      <c r="D45" s="923"/>
      <c r="E45" s="924" t="s">
        <v>106</v>
      </c>
      <c r="F45" s="925">
        <f>IF(E45=0,"",(INDEX(AccountCodes[PPSAS CODE],MATCH(E45,AccountCodes[NGAS CODE],0))))</f>
        <v>2010101000</v>
      </c>
      <c r="G45" s="926"/>
      <c r="H45" s="927">
        <v>407034.28</v>
      </c>
      <c r="I45" s="928">
        <f>IF(G45=0,H45,G45)</f>
        <v>407034.28</v>
      </c>
    </row>
    <row r="46" spans="1:13" ht="15.75">
      <c r="A46" s="922" t="str">
        <f>IF(E46=0,"",(INDEX(AccountCodes[ACCOUNT NAME],MATCH(E46,AccountCodes[NGAS CODE],0))))</f>
        <v>Accounts Payable</v>
      </c>
      <c r="B46" s="923" t="s">
        <v>762</v>
      </c>
      <c r="C46" s="923"/>
      <c r="D46" s="923"/>
      <c r="E46" s="924" t="s">
        <v>106</v>
      </c>
      <c r="F46" s="925">
        <f>IF(E46=0,"",(INDEX(AccountCodes[PPSAS CODE],MATCH(E46,AccountCodes[NGAS CODE],0))))</f>
        <v>2010101000</v>
      </c>
      <c r="G46" s="926"/>
      <c r="H46" s="927"/>
      <c r="I46" s="928">
        <f>IF(G46=0,H46,G46)</f>
        <v>0</v>
      </c>
    </row>
    <row r="47" spans="1:13" ht="15.75">
      <c r="A47" s="596" t="str">
        <f>IF(E47=0,"",(INDEX(AccountCodes[ACCOUNT NAME],MATCH(E47,AccountCodes[NGAS CODE],0))))</f>
        <v>Due to the Treasurer of the Philippines</v>
      </c>
      <c r="B47" s="923" t="s">
        <v>494</v>
      </c>
      <c r="C47" s="597"/>
      <c r="D47" s="597"/>
      <c r="E47" s="924" t="s">
        <v>1496</v>
      </c>
      <c r="F47" s="598">
        <f>IF(E47=0,"",(INDEX(AccountCodes[PPSAS CODE],MATCH(E47,AccountCodes[NGAS CODE],0))))</f>
        <v>2020109000</v>
      </c>
      <c r="G47" s="600"/>
      <c r="H47" s="927">
        <v>507.02</v>
      </c>
      <c r="I47" s="601">
        <f t="shared" si="0"/>
        <v>507.02</v>
      </c>
      <c r="M47" s="697">
        <f>PostTB[[#This Row],[Credit]]+H48+H49+H50</f>
        <v>3851.32</v>
      </c>
    </row>
    <row r="48" spans="1:13" ht="15.75">
      <c r="A48" s="596" t="str">
        <f>IF(E48=0,"",(INDEX(AccountCodes[ACCOUNT NAME],MATCH(E48,AccountCodes[NGAS CODE],0))))</f>
        <v>Due to the Treasurer of the Philippines</v>
      </c>
      <c r="B48" s="923" t="s">
        <v>485</v>
      </c>
      <c r="C48" s="597"/>
      <c r="D48" s="597"/>
      <c r="E48" s="924" t="s">
        <v>1496</v>
      </c>
      <c r="F48" s="598">
        <f>IF(E48=0,"",(INDEX(AccountCodes[PPSAS CODE],MATCH(E48,AccountCodes[NGAS CODE],0))))</f>
        <v>2020109000</v>
      </c>
      <c r="G48" s="600"/>
      <c r="H48" s="927">
        <v>2974.88</v>
      </c>
      <c r="I48" s="601">
        <f t="shared" si="0"/>
        <v>2974.88</v>
      </c>
    </row>
    <row r="49" spans="1:14" ht="15.75">
      <c r="A49" s="596" t="str">
        <f>IF(E49=0,"",(INDEX(AccountCodes[ACCOUNT NAME],MATCH(E49,AccountCodes[NGAS CODE],0))))</f>
        <v>Due to the Treasurer of the Philippines</v>
      </c>
      <c r="B49" s="923" t="s">
        <v>486</v>
      </c>
      <c r="C49" s="597"/>
      <c r="D49" s="597"/>
      <c r="E49" s="924" t="s">
        <v>1496</v>
      </c>
      <c r="F49" s="598">
        <f>IF(E49=0,"",(INDEX(AccountCodes[PPSAS CODE],MATCH(E49,AccountCodes[NGAS CODE],0))))</f>
        <v>2020109000</v>
      </c>
      <c r="G49" s="600"/>
      <c r="H49" s="927">
        <v>369.42</v>
      </c>
      <c r="I49" s="601">
        <f t="shared" si="0"/>
        <v>369.42</v>
      </c>
      <c r="M49" s="697"/>
    </row>
    <row r="50" spans="1:14" ht="15.75">
      <c r="A50" s="596" t="str">
        <f>IF(E50=0,"",(INDEX(AccountCodes[ACCOUNT NAME],MATCH(E50,AccountCodes[NGAS CODE],0))))</f>
        <v>Due to the Treasurer of the Philippines</v>
      </c>
      <c r="B50" s="923" t="s">
        <v>762</v>
      </c>
      <c r="C50" s="597"/>
      <c r="D50" s="597"/>
      <c r="E50" s="924" t="s">
        <v>1496</v>
      </c>
      <c r="F50" s="598">
        <f>IF(E50=0,"",(INDEX(AccountCodes[PPSAS CODE],MATCH(E50,AccountCodes[NGAS CODE],0))))</f>
        <v>2020109000</v>
      </c>
      <c r="G50" s="600"/>
      <c r="H50" s="927"/>
      <c r="I50" s="601">
        <f t="shared" si="0"/>
        <v>0</v>
      </c>
    </row>
    <row r="51" spans="1:14" ht="15.75">
      <c r="A51" s="596" t="str">
        <f>IF(E51=0,"",(INDEX(AccountCodes[ACCOUNT NAME],MATCH(E51,AccountCodes[NGAS CODE],0))))</f>
        <v>Due to BIR - Compensation</v>
      </c>
      <c r="B51" s="597" t="s">
        <v>484</v>
      </c>
      <c r="C51" s="597"/>
      <c r="D51" s="597"/>
      <c r="E51" s="603" t="s">
        <v>1546</v>
      </c>
      <c r="F51" s="598">
        <f>IF(E51=0,"",(INDEX(AccountCodes[PPSAS CODE],MATCH(E51,AccountCodes[NGAS CODE],0))))</f>
        <v>2020101001</v>
      </c>
      <c r="G51" s="600"/>
      <c r="H51" s="599">
        <v>870.06</v>
      </c>
      <c r="I51" s="601">
        <f t="shared" si="0"/>
        <v>870.06</v>
      </c>
      <c r="M51" s="142">
        <f>PostTB[[#This Row],[Credit]]</f>
        <v>870.06</v>
      </c>
      <c r="N51" s="698">
        <f>M51+M52+M53</f>
        <v>10049.26</v>
      </c>
    </row>
    <row r="52" spans="1:14" ht="15.75">
      <c r="A52" s="596" t="str">
        <f>IF(E52=0,"",(INDEX(AccountCodes[ACCOUNT NAME],MATCH(E52,AccountCodes[NGAS CODE],0))))</f>
        <v>Due to BIR - 5%</v>
      </c>
      <c r="B52" s="597" t="s">
        <v>484</v>
      </c>
      <c r="C52" s="597"/>
      <c r="D52" s="597"/>
      <c r="E52" s="603" t="s">
        <v>1548</v>
      </c>
      <c r="F52" s="598">
        <f>IF(E52=0,"",(INDEX(AccountCodes[PPSAS CODE],MATCH(E52,AccountCodes[NGAS CODE],0))))</f>
        <v>2020101002</v>
      </c>
      <c r="G52" s="600"/>
      <c r="H52" s="599">
        <v>7649.33</v>
      </c>
      <c r="I52" s="601">
        <f t="shared" ref="I52:I74" si="1">IF(G52=0,H52,G52)</f>
        <v>7649.33</v>
      </c>
      <c r="M52" s="697">
        <f>PostTB[[#This Row],[Credit]]</f>
        <v>7649.33</v>
      </c>
    </row>
    <row r="53" spans="1:14" ht="15.75">
      <c r="A53" s="761" t="str">
        <f>IF(E53=0,"",(INDEX(AccountCodes[ACCOUNT NAME],MATCH(E53,AccountCodes[NGAS CODE],0))))</f>
        <v>Due to BIR - 1%</v>
      </c>
      <c r="B53" s="597" t="s">
        <v>484</v>
      </c>
      <c r="C53" s="762"/>
      <c r="D53" s="762"/>
      <c r="E53" s="669" t="s">
        <v>1554</v>
      </c>
      <c r="F53" s="763">
        <f>IF(E53=0,"",(INDEX(AccountCodes[PPSAS CODE],MATCH(E53,AccountCodes[NGAS CODE],0))))</f>
        <v>2020101005</v>
      </c>
      <c r="G53" s="764"/>
      <c r="H53" s="599">
        <v>1529.87</v>
      </c>
      <c r="I53" s="766">
        <f t="shared" si="1"/>
        <v>1529.87</v>
      </c>
      <c r="M53" s="697">
        <f>PostTB[[#This Row],[Credit]]</f>
        <v>1529.87</v>
      </c>
    </row>
    <row r="54" spans="1:14" ht="15.75">
      <c r="A54" s="761" t="str">
        <f>IF(E54=0,"",(INDEX(AccountCodes[ACCOUNT NAME],MATCH(E54,AccountCodes[NGAS CODE],0))))</f>
        <v>Due to GSIS - Life and Retirement Premium</v>
      </c>
      <c r="B54" s="597" t="s">
        <v>485</v>
      </c>
      <c r="C54" s="762"/>
      <c r="D54" s="762"/>
      <c r="E54" s="669" t="s">
        <v>1440</v>
      </c>
      <c r="F54" s="763">
        <f>IF(E54=0,"",(INDEX(AccountCodes[PPSAS CODE],MATCH(E54,AccountCodes[NGAS CODE],0))))</f>
        <v>2020102001</v>
      </c>
      <c r="G54" s="764"/>
      <c r="H54" s="599">
        <v>10385.82</v>
      </c>
      <c r="I54" s="766">
        <f t="shared" si="1"/>
        <v>10385.82</v>
      </c>
      <c r="M54" s="697">
        <f>PostTB[[#This Row],[Credit]]</f>
        <v>10385.82</v>
      </c>
    </row>
    <row r="55" spans="1:14" ht="15.75">
      <c r="A55" s="761" t="str">
        <f>IF(E55=0,"",(INDEX(AccountCodes[ACCOUNT NAME],MATCH(E55,AccountCodes[NGAS CODE],0))))</f>
        <v>Guaranty/Security Deposits Payable</v>
      </c>
      <c r="B55" s="597" t="s">
        <v>484</v>
      </c>
      <c r="C55" s="762"/>
      <c r="D55" s="762"/>
      <c r="E55" s="669" t="s">
        <v>115</v>
      </c>
      <c r="F55" s="763">
        <f>IF(E55=0,"",(INDEX(AccountCodes[PPSAS CODE],MATCH(E55,AccountCodes[NGAS CODE],0))))</f>
        <v>2040104000</v>
      </c>
      <c r="G55" s="764"/>
      <c r="H55" s="599">
        <v>1305699.6499999999</v>
      </c>
      <c r="I55" s="766">
        <f t="shared" si="1"/>
        <v>1305699.6499999999</v>
      </c>
      <c r="M55" s="697">
        <f>PostTB[[#This Row],[Credit]]+H56+H58</f>
        <v>2415743.83</v>
      </c>
      <c r="N55" s="698"/>
    </row>
    <row r="56" spans="1:14" ht="15.75">
      <c r="A56" s="596" t="str">
        <f>IF(E56=0,"",(INDEX(AccountCodes[ACCOUNT NAME],MATCH(E56,AccountCodes[NGAS CODE],0))))</f>
        <v>Guaranty/Security Deposits Payable</v>
      </c>
      <c r="B56" s="597" t="s">
        <v>486</v>
      </c>
      <c r="C56" s="597"/>
      <c r="D56" s="597"/>
      <c r="E56" s="669" t="s">
        <v>115</v>
      </c>
      <c r="F56" s="598">
        <f>IF(E56=0,"",(INDEX(AccountCodes[PPSAS CODE],MATCH(E56,AccountCodes[NGAS CODE],0))))</f>
        <v>2040104000</v>
      </c>
      <c r="G56" s="600"/>
      <c r="H56" s="599">
        <v>205501.01</v>
      </c>
      <c r="I56" s="601">
        <f t="shared" si="1"/>
        <v>205501.01</v>
      </c>
      <c r="M56" s="697"/>
    </row>
    <row r="57" spans="1:14" ht="15.75">
      <c r="A57" s="957" t="str">
        <f>IF(E57=0,"",(INDEX(AccountCodes[ACCOUNT NAME],MATCH(E57,AccountCodes[NGAS CODE],0))))</f>
        <v>Due to BIR - Compensation</v>
      </c>
      <c r="B57" s="958" t="s">
        <v>762</v>
      </c>
      <c r="C57" s="958"/>
      <c r="D57" s="958"/>
      <c r="E57" s="959" t="s">
        <v>1546</v>
      </c>
      <c r="F57" s="960">
        <f>IF(E57=0,"",(INDEX(AccountCodes[PPSAS CODE],MATCH(E57,AccountCodes[NGAS CODE],0))))</f>
        <v>2020101001</v>
      </c>
      <c r="G57" s="961"/>
      <c r="H57" s="962"/>
      <c r="I57" s="963">
        <f>IF(G57=0,H57,G57)</f>
        <v>0</v>
      </c>
      <c r="M57" s="697"/>
    </row>
    <row r="58" spans="1:14" ht="15.75">
      <c r="A58" s="596" t="str">
        <f>IF(E58=0,"",(INDEX(AccountCodes[ACCOUNT NAME],MATCH(E58,AccountCodes[NGAS CODE],0))))</f>
        <v>Guaranty/Security Deposits Payable</v>
      </c>
      <c r="B58" s="597" t="s">
        <v>762</v>
      </c>
      <c r="C58" s="597"/>
      <c r="D58" s="597"/>
      <c r="E58" s="669" t="s">
        <v>115</v>
      </c>
      <c r="F58" s="598">
        <f>IF(E58=0,"",(INDEX(AccountCodes[PPSAS CODE],MATCH(E58,AccountCodes[NGAS CODE],0))))</f>
        <v>2040104000</v>
      </c>
      <c r="G58" s="600"/>
      <c r="H58" s="765">
        <v>904543.17</v>
      </c>
      <c r="I58" s="601">
        <f t="shared" si="1"/>
        <v>904543.17</v>
      </c>
      <c r="M58" s="697">
        <f>H56+PostTB[[#This Row],[Credit]]+H55</f>
        <v>2415743.83</v>
      </c>
    </row>
    <row r="59" spans="1:14" ht="15.75">
      <c r="A59" s="596" t="str">
        <f>IF(E59=0,"",(INDEX(AccountCodes[ACCOUNT NAME],MATCH(E59,AccountCodes[NGAS CODE],0))))</f>
        <v>Other Payables</v>
      </c>
      <c r="B59" s="597" t="s">
        <v>494</v>
      </c>
      <c r="C59" s="597"/>
      <c r="D59" s="597"/>
      <c r="E59" s="669" t="s">
        <v>117</v>
      </c>
      <c r="F59" s="598">
        <f>IF(E59=0,"",(INDEX(AccountCodes[PPSAS CODE],MATCH(E59,AccountCodes[NGAS CODE],0))))</f>
        <v>2999999000</v>
      </c>
      <c r="G59" s="600"/>
      <c r="H59" s="765">
        <v>2676406.96</v>
      </c>
      <c r="I59" s="601">
        <f t="shared" si="1"/>
        <v>2676406.96</v>
      </c>
      <c r="M59" s="142">
        <f>PostTB[[#This Row],[Credit]]</f>
        <v>2676406.96</v>
      </c>
    </row>
    <row r="60" spans="1:14" ht="15.75">
      <c r="A60" s="596" t="str">
        <f>IF(E60=0,"",(INDEX(AccountCodes[ACCOUNT NAME],MATCH(E60,AccountCodes[NGAS CODE],0))))</f>
        <v>Accumulated Surplus/(Deficit) (Government Equity)</v>
      </c>
      <c r="B60" s="597" t="s">
        <v>494</v>
      </c>
      <c r="C60" s="597"/>
      <c r="D60" s="597"/>
      <c r="E60" s="669" t="s">
        <v>122</v>
      </c>
      <c r="F60" s="598">
        <f>IF(E60=0,"",(INDEX(AccountCodes[PPSAS CODE],MATCH(E60,AccountCodes[NGAS CODE],0))))</f>
        <v>3010101000</v>
      </c>
      <c r="G60" s="600"/>
      <c r="H60" s="599">
        <v>117680205.22</v>
      </c>
      <c r="I60" s="601">
        <f t="shared" si="1"/>
        <v>117680205.22</v>
      </c>
      <c r="M60" s="697">
        <f>PostTB[[#This Row],[Credit]]</f>
        <v>117680205.22</v>
      </c>
    </row>
    <row r="61" spans="1:14" ht="15.75">
      <c r="A61" s="596" t="str">
        <f>IF(E61=0,"",(INDEX(AccountCodes[ACCOUNT NAME],MATCH(E61,AccountCodes[NGAS CODE],0))))</f>
        <v/>
      </c>
      <c r="B61" s="597"/>
      <c r="C61" s="597"/>
      <c r="D61" s="597"/>
      <c r="E61" s="603"/>
      <c r="F61" s="598" t="str">
        <f>IF(E61=0,"",(INDEX(AccountCodes[PPSAS CODE],MATCH(E61,AccountCodes[NGAS CODE],0))))</f>
        <v/>
      </c>
      <c r="G61" s="600"/>
      <c r="H61" s="599"/>
      <c r="I61" s="601">
        <f t="shared" si="1"/>
        <v>0</v>
      </c>
    </row>
    <row r="62" spans="1:14" ht="15.75">
      <c r="A62" s="596" t="str">
        <f>IF(E62=0,"",(INDEX(AccountCodes[ACCOUNT NAME],MATCH(E62,AccountCodes[NGAS CODE],0))))</f>
        <v/>
      </c>
      <c r="B62" s="597"/>
      <c r="C62" s="597"/>
      <c r="D62" s="597"/>
      <c r="E62" s="669"/>
      <c r="F62" s="598" t="str">
        <f>IF(E62=0,"",(INDEX(AccountCodes[PPSAS CODE],MATCH(E62,AccountCodes[NGAS CODE],0))))</f>
        <v/>
      </c>
      <c r="G62" s="600"/>
      <c r="H62" s="599"/>
      <c r="I62" s="601">
        <f t="shared" si="1"/>
        <v>0</v>
      </c>
      <c r="M62" s="697">
        <f>H61+PostTB[[#This Row],[Credit]]</f>
        <v>0</v>
      </c>
    </row>
    <row r="63" spans="1:14" ht="15.75">
      <c r="A63" s="596" t="str">
        <f>IF(E63=0,"",(INDEX(AccountCodes[ACCOUNT NAME],MATCH(E63,AccountCodes[NGAS CODE],0))))</f>
        <v/>
      </c>
      <c r="B63" s="597"/>
      <c r="C63" s="597"/>
      <c r="D63" s="597"/>
      <c r="E63" s="603"/>
      <c r="F63" s="598" t="str">
        <f>IF(E63=0,"",(INDEX(AccountCodes[PPSAS CODE],MATCH(E63,AccountCodes[NGAS CODE],0))))</f>
        <v/>
      </c>
      <c r="G63" s="600"/>
      <c r="H63" s="599"/>
      <c r="I63" s="601">
        <f t="shared" si="1"/>
        <v>0</v>
      </c>
    </row>
    <row r="64" spans="1:14" ht="15.75">
      <c r="A64" s="596" t="str">
        <f>IF(E64=0,"",(INDEX(AccountCodes[ACCOUNT NAME],MATCH(E64,AccountCodes[NGAS CODE],0))))</f>
        <v/>
      </c>
      <c r="B64" s="597"/>
      <c r="C64" s="597"/>
      <c r="D64" s="597"/>
      <c r="E64" s="669"/>
      <c r="F64" s="598" t="str">
        <f>IF(E64=0,"",(INDEX(AccountCodes[PPSAS CODE],MATCH(E64,AccountCodes[NGAS CODE],0))))</f>
        <v/>
      </c>
      <c r="G64" s="600"/>
      <c r="H64" s="599"/>
      <c r="I64" s="601">
        <f t="shared" si="1"/>
        <v>0</v>
      </c>
    </row>
    <row r="65" spans="1:13" ht="15.75">
      <c r="A65" s="596" t="str">
        <f>IF(E65=0,"",(INDEX(AccountCodes[ACCOUNT NAME],MATCH(E65,AccountCodes[NGAS CODE],0))))</f>
        <v/>
      </c>
      <c r="B65" s="597"/>
      <c r="C65" s="597"/>
      <c r="D65" s="597"/>
      <c r="E65" s="669"/>
      <c r="F65" s="598" t="str">
        <f>IF(E65=0,"",(INDEX(AccountCodes[PPSAS CODE],MATCH(E65,AccountCodes[NGAS CODE],0))))</f>
        <v/>
      </c>
      <c r="G65" s="600"/>
      <c r="H65" s="599"/>
      <c r="I65" s="601">
        <f t="shared" si="1"/>
        <v>0</v>
      </c>
    </row>
    <row r="66" spans="1:13" ht="15.75">
      <c r="A66" s="596" t="str">
        <f>IF(E66=0,"",(INDEX(AccountCodes[ACCOUNT NAME],MATCH(E66,AccountCodes[NGAS CODE],0))))</f>
        <v/>
      </c>
      <c r="B66" s="597"/>
      <c r="C66" s="597"/>
      <c r="D66" s="597"/>
      <c r="E66" s="669"/>
      <c r="F66" s="598" t="str">
        <f>IF(E66=0,"",(INDEX(AccountCodes[PPSAS CODE],MATCH(E66,AccountCodes[NGAS CODE],0))))</f>
        <v/>
      </c>
      <c r="G66" s="600"/>
      <c r="H66" s="599"/>
      <c r="I66" s="601">
        <f t="shared" si="1"/>
        <v>0</v>
      </c>
      <c r="M66" s="698">
        <f>H63+H64+H65+H66</f>
        <v>0</v>
      </c>
    </row>
    <row r="67" spans="1:13" ht="15.75">
      <c r="A67" s="596" t="str">
        <f>IF(E67=0,"",(INDEX(AccountCodes[ACCOUNT NAME],MATCH(E67,AccountCodes[NGAS CODE],0))))</f>
        <v/>
      </c>
      <c r="B67" s="597"/>
      <c r="C67" s="597"/>
      <c r="D67" s="597"/>
      <c r="E67" s="669"/>
      <c r="F67" s="598" t="str">
        <f>IF(E67=0,"",(INDEX(AccountCodes[PPSAS CODE],MATCH(E67,AccountCodes[NGAS CODE],0))))</f>
        <v/>
      </c>
      <c r="G67" s="600"/>
      <c r="H67" s="599"/>
      <c r="I67" s="601">
        <f t="shared" si="1"/>
        <v>0</v>
      </c>
      <c r="M67" s="698"/>
    </row>
    <row r="68" spans="1:13" ht="15.75">
      <c r="A68" s="596" t="str">
        <f>IF(E68=0,"",(INDEX(AccountCodes[ACCOUNT NAME],MATCH(E68,AccountCodes[NGAS CODE],0))))</f>
        <v/>
      </c>
      <c r="B68" s="597"/>
      <c r="C68" s="597"/>
      <c r="D68" s="597"/>
      <c r="E68" s="669"/>
      <c r="F68" s="598" t="str">
        <f>IF(E68=0,"",(INDEX(AccountCodes[PPSAS CODE],MATCH(E68,AccountCodes[NGAS CODE],0))))</f>
        <v/>
      </c>
      <c r="G68" s="600"/>
      <c r="H68" s="599"/>
      <c r="I68" s="601">
        <f t="shared" si="1"/>
        <v>0</v>
      </c>
      <c r="M68" s="698"/>
    </row>
    <row r="69" spans="1:13" ht="15.75">
      <c r="A69" s="596" t="str">
        <f>IF(E69=0,"",(INDEX(AccountCodes[ACCOUNT NAME],MATCH(E69,AccountCodes[NGAS CODE],0))))</f>
        <v/>
      </c>
      <c r="B69" s="597"/>
      <c r="C69" s="597"/>
      <c r="D69" s="597"/>
      <c r="E69" s="669"/>
      <c r="F69" s="598" t="str">
        <f>IF(E69=0,"",(INDEX(AccountCodes[PPSAS CODE],MATCH(E69,AccountCodes[NGAS CODE],0))))</f>
        <v/>
      </c>
      <c r="G69" s="600"/>
      <c r="H69" s="599"/>
      <c r="I69" s="601">
        <f t="shared" si="1"/>
        <v>0</v>
      </c>
      <c r="M69" s="698">
        <f>H67+H68+PostTB[[#This Row],[Credit]]</f>
        <v>0</v>
      </c>
    </row>
    <row r="70" spans="1:13" ht="15.75">
      <c r="A70" s="596" t="str">
        <f>IF(E70=0,"",(INDEX(AccountCodes[ACCOUNT NAME],MATCH(E70,AccountCodes[NGAS CODE],0))))</f>
        <v/>
      </c>
      <c r="B70" s="597"/>
      <c r="C70" s="597"/>
      <c r="D70" s="597"/>
      <c r="E70" s="669"/>
      <c r="F70" s="598" t="str">
        <f>IF(E70=0,"",(INDEX(AccountCodes[PPSAS CODE],MATCH(E70,AccountCodes[NGAS CODE],0))))</f>
        <v/>
      </c>
      <c r="G70" s="600"/>
      <c r="H70" s="599"/>
      <c r="I70" s="601">
        <f t="shared" si="1"/>
        <v>0</v>
      </c>
    </row>
    <row r="71" spans="1:13" ht="15.75">
      <c r="A71" s="596" t="str">
        <f>IF(E71=0,"",(INDEX(AccountCodes[ACCOUNT NAME],MATCH(E71,AccountCodes[NGAS CODE],0))))</f>
        <v/>
      </c>
      <c r="B71" s="597"/>
      <c r="C71" s="597"/>
      <c r="D71" s="597"/>
      <c r="E71" s="669"/>
      <c r="F71" s="598" t="str">
        <f>IF(E71=0,"",(INDEX(AccountCodes[PPSAS CODE],MATCH(E71,AccountCodes[NGAS CODE],0))))</f>
        <v/>
      </c>
      <c r="G71" s="600"/>
      <c r="H71" s="599"/>
      <c r="I71" s="601">
        <f t="shared" si="1"/>
        <v>0</v>
      </c>
    </row>
    <row r="72" spans="1:13" ht="15.75">
      <c r="A72" s="596" t="str">
        <f>IF(E72=0,"",(INDEX(AccountCodes[ACCOUNT NAME],MATCH(E72,AccountCodes[NGAS CODE],0))))</f>
        <v/>
      </c>
      <c r="B72" s="597"/>
      <c r="C72" s="597"/>
      <c r="D72" s="597"/>
      <c r="E72" s="669"/>
      <c r="F72" s="598" t="str">
        <f>IF(E72=0,"",(INDEX(AccountCodes[PPSAS CODE],MATCH(E72,AccountCodes[NGAS CODE],0))))</f>
        <v/>
      </c>
      <c r="G72" s="600"/>
      <c r="H72" s="599"/>
      <c r="I72" s="601">
        <f t="shared" si="1"/>
        <v>0</v>
      </c>
      <c r="M72" s="697">
        <f>H70+H71+PostTB[[#This Row],[Credit]]</f>
        <v>0</v>
      </c>
    </row>
    <row r="73" spans="1:13" ht="15.75">
      <c r="A73" s="596" t="str">
        <f>IF(E73=0,"",(INDEX(AccountCodes[ACCOUNT NAME],MATCH(E73,AccountCodes[NGAS CODE],0))))</f>
        <v/>
      </c>
      <c r="B73" s="597"/>
      <c r="C73" s="597"/>
      <c r="D73" s="597"/>
      <c r="E73" s="603"/>
      <c r="F73" s="598" t="str">
        <f>IF(E73=0,"",(INDEX(AccountCodes[PPSAS CODE],MATCH(E73,AccountCodes[NGAS CODE],0))))</f>
        <v/>
      </c>
      <c r="G73" s="600"/>
      <c r="H73" s="599"/>
      <c r="I73" s="601">
        <f t="shared" si="1"/>
        <v>0</v>
      </c>
      <c r="M73" s="142">
        <f>PostTB[[#This Row],[Credit]]</f>
        <v>0</v>
      </c>
    </row>
    <row r="74" spans="1:13" ht="15.75">
      <c r="A74" s="596" t="str">
        <f>IF(E74=0,"",(INDEX(AccountCodes[ACCOUNT NAME],MATCH(E74,AccountCodes[NGAS CODE],0))))</f>
        <v/>
      </c>
      <c r="B74" s="597"/>
      <c r="C74" s="597"/>
      <c r="D74" s="597"/>
      <c r="E74" s="603"/>
      <c r="F74" s="598" t="str">
        <f>IF(E74=0,"",(INDEX(AccountCodes[PPSAS CODE],MATCH(E74,AccountCodes[NGAS CODE],0))))</f>
        <v/>
      </c>
      <c r="G74" s="600"/>
      <c r="H74" s="599"/>
      <c r="I74" s="601">
        <f t="shared" si="1"/>
        <v>0</v>
      </c>
      <c r="M74" s="142">
        <f>SUM(M8:M73)</f>
        <v>130856916.23</v>
      </c>
    </row>
    <row r="85" spans="7:8">
      <c r="G85" s="681">
        <f>SUM(G4:G73)</f>
        <v>158608232.44999999</v>
      </c>
      <c r="H85" s="681">
        <f>SUM(H4:H73)</f>
        <v>128441172.40000001</v>
      </c>
    </row>
    <row r="86" spans="7:8">
      <c r="H86" s="682">
        <f>G85-H85</f>
        <v>30167060.050000001</v>
      </c>
    </row>
  </sheetData>
  <sheetProtection autoFilter="0"/>
  <printOptions horizontalCentered="1"/>
  <pageMargins left="0.2" right="1.2" top="0.75" bottom="0" header="0" footer="0"/>
  <pageSetup paperSize="5" scale="81" orientation="landscape" horizontalDpi="300" verticalDpi="300" r:id="rId1"/>
  <colBreaks count="1" manualBreakCount="1">
    <brk id="9" max="1048575" man="1"/>
  </colBreak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L15"/>
  <sheetViews>
    <sheetView showZeros="0" zoomScale="85" zoomScaleNormal="85" workbookViewId="0">
      <selection activeCell="J5" sqref="J5"/>
    </sheetView>
  </sheetViews>
  <sheetFormatPr defaultColWidth="9" defaultRowHeight="15.75"/>
  <cols>
    <col min="1" max="1" width="10" style="538" customWidth="1"/>
    <col min="2" max="2" width="11.5" style="24" customWidth="1"/>
    <col min="3" max="6" width="9.625" style="24" customWidth="1"/>
    <col min="7" max="7" width="30.125" style="24" customWidth="1"/>
    <col min="8" max="8" width="37.875" style="25" customWidth="1"/>
    <col min="9" max="9" width="12.5" style="24" bestFit="1" customWidth="1"/>
    <col min="10" max="10" width="21.375" style="9" customWidth="1"/>
    <col min="11" max="11" width="20.625" style="9" customWidth="1"/>
    <col min="12" max="12" width="19.125" style="25" customWidth="1"/>
    <col min="13" max="16384" width="9" style="25"/>
  </cols>
  <sheetData>
    <row r="1" spans="1:12">
      <c r="A1" s="1187" t="s">
        <v>1615</v>
      </c>
      <c r="B1" s="1187"/>
      <c r="C1" s="1187"/>
      <c r="D1" s="1187"/>
      <c r="E1" s="1187"/>
      <c r="F1" s="1187"/>
      <c r="G1" s="1187"/>
      <c r="H1" s="1187"/>
      <c r="I1" s="1187"/>
      <c r="J1" s="1187"/>
      <c r="K1" s="1187"/>
      <c r="L1" s="14" t="s">
        <v>1614</v>
      </c>
    </row>
    <row r="3" spans="1:12" ht="20.100000000000001" customHeight="1">
      <c r="A3" s="535" t="s">
        <v>0</v>
      </c>
      <c r="B3" s="181" t="s">
        <v>722</v>
      </c>
      <c r="C3" s="153" t="s">
        <v>718</v>
      </c>
      <c r="D3" s="153" t="s">
        <v>740</v>
      </c>
      <c r="E3" s="153" t="s">
        <v>723</v>
      </c>
      <c r="F3" s="153" t="s">
        <v>728</v>
      </c>
      <c r="G3" s="153" t="s">
        <v>719</v>
      </c>
      <c r="H3" s="546" t="s">
        <v>369</v>
      </c>
      <c r="I3" s="181" t="s">
        <v>370</v>
      </c>
      <c r="J3" s="157" t="s">
        <v>1</v>
      </c>
      <c r="K3" s="157" t="s">
        <v>2</v>
      </c>
      <c r="L3" s="155" t="s">
        <v>724</v>
      </c>
    </row>
    <row r="4" spans="1:12" ht="20.100000000000001" customHeight="1">
      <c r="A4" s="710">
        <v>43646</v>
      </c>
      <c r="B4" s="105"/>
      <c r="C4" s="105"/>
      <c r="D4" s="105"/>
      <c r="E4" s="105"/>
      <c r="F4" s="105"/>
      <c r="G4" s="133"/>
      <c r="H4" s="547" t="str">
        <f>IF(I4=0,"",(INDEX(AccountCodes[ACCOUNT NAME],MATCH(I4,AccountCodes[NGAS CODE],0))))</f>
        <v/>
      </c>
      <c r="I4" s="133"/>
      <c r="J4" s="4"/>
      <c r="K4" s="4"/>
      <c r="L4" s="150">
        <f>J4-K4</f>
        <v>0</v>
      </c>
    </row>
    <row r="5" spans="1:12">
      <c r="A5" s="710"/>
      <c r="B5" s="105"/>
      <c r="C5" s="105"/>
      <c r="D5" s="105"/>
      <c r="E5" s="105"/>
      <c r="F5" s="105"/>
      <c r="G5" s="133"/>
      <c r="H5" s="548" t="str">
        <f>IF(I5=0,"",(INDEX(AccountCodes[ACCOUNT NAME],MATCH(I5,AccountCodes[NGAS CODE],0))))</f>
        <v/>
      </c>
      <c r="I5" s="147"/>
      <c r="J5" s="149"/>
      <c r="K5" s="149"/>
      <c r="L5" s="152">
        <f>L4+J5-K5</f>
        <v>0</v>
      </c>
    </row>
    <row r="6" spans="1:12">
      <c r="A6" s="710"/>
      <c r="B6" s="105"/>
      <c r="C6" s="105"/>
      <c r="D6" s="105"/>
      <c r="E6" s="105"/>
      <c r="F6" s="105"/>
      <c r="G6" s="133"/>
      <c r="H6" s="547" t="str">
        <f>IF(I6=0,"",(INDEX(AccountCodes[ACCOUNT NAME],MATCH(I6,AccountCodes[NGAS CODE],0))))</f>
        <v/>
      </c>
      <c r="I6" s="133"/>
      <c r="J6" s="4"/>
      <c r="K6" s="4"/>
      <c r="L6" s="150">
        <f t="shared" ref="L6:L15" si="0">L5+J6-K6</f>
        <v>0</v>
      </c>
    </row>
    <row r="7" spans="1:12">
      <c r="A7" s="710"/>
      <c r="B7" s="105"/>
      <c r="C7" s="105"/>
      <c r="D7" s="105"/>
      <c r="E7" s="105"/>
      <c r="F7" s="105"/>
      <c r="G7" s="133"/>
      <c r="H7" s="548" t="str">
        <f>IF(I7=0,"",(INDEX(AccountCodes[ACCOUNT NAME],MATCH(I7,AccountCodes[NGAS CODE],0))))</f>
        <v/>
      </c>
      <c r="I7" s="147"/>
      <c r="J7" s="149"/>
      <c r="K7" s="149"/>
      <c r="L7" s="150">
        <f t="shared" si="0"/>
        <v>0</v>
      </c>
    </row>
    <row r="8" spans="1:12">
      <c r="A8" s="710"/>
      <c r="B8" s="499"/>
      <c r="C8" s="105"/>
      <c r="D8" s="499"/>
      <c r="E8" s="499"/>
      <c r="F8" s="499"/>
      <c r="G8" s="133"/>
      <c r="H8" s="790" t="str">
        <f>IF(I8=0,"",(INDEX(AccountCodes[ACCOUNT NAME],MATCH(I8,AccountCodes[NGAS CODE],0))))</f>
        <v/>
      </c>
      <c r="I8" s="713"/>
      <c r="J8" s="500"/>
      <c r="K8" s="500"/>
      <c r="L8" s="150">
        <f t="shared" si="0"/>
        <v>0</v>
      </c>
    </row>
    <row r="9" spans="1:12">
      <c r="A9" s="710"/>
      <c r="B9" s="499"/>
      <c r="C9" s="105"/>
      <c r="D9" s="499"/>
      <c r="E9" s="499"/>
      <c r="F9" s="499"/>
      <c r="G9" s="133"/>
      <c r="H9" s="790" t="str">
        <f>IF(I9=0,"",(INDEX(AccountCodes[ACCOUNT NAME],MATCH(I9,AccountCodes[NGAS CODE],0))))</f>
        <v/>
      </c>
      <c r="I9" s="713"/>
      <c r="J9" s="500"/>
      <c r="K9" s="500"/>
      <c r="L9" s="150">
        <f t="shared" si="0"/>
        <v>0</v>
      </c>
    </row>
    <row r="10" spans="1:12">
      <c r="A10" s="710"/>
      <c r="B10" s="499"/>
      <c r="C10" s="105"/>
      <c r="D10" s="499"/>
      <c r="E10" s="499"/>
      <c r="F10" s="499"/>
      <c r="G10" s="133"/>
      <c r="H10" s="790" t="str">
        <f>IF(I10=0,"",(INDEX(AccountCodes[ACCOUNT NAME],MATCH(I10,AccountCodes[NGAS CODE],0))))</f>
        <v/>
      </c>
      <c r="I10" s="713"/>
      <c r="J10" s="500"/>
      <c r="K10" s="500"/>
      <c r="L10" s="150">
        <f t="shared" si="0"/>
        <v>0</v>
      </c>
    </row>
    <row r="11" spans="1:12">
      <c r="A11" s="710"/>
      <c r="B11" s="499"/>
      <c r="C11" s="105"/>
      <c r="D11" s="714"/>
      <c r="E11" s="714"/>
      <c r="F11" s="714"/>
      <c r="G11" s="133"/>
      <c r="H11" s="791" t="str">
        <f>IF(I11=0,"",(INDEX(AccountCodes[ACCOUNT NAME],MATCH(I11,AccountCodes[NGAS CODE],0))))</f>
        <v/>
      </c>
      <c r="I11" s="715"/>
      <c r="J11" s="500"/>
      <c r="K11" s="500"/>
      <c r="L11" s="150">
        <f t="shared" si="0"/>
        <v>0</v>
      </c>
    </row>
    <row r="12" spans="1:12">
      <c r="A12" s="710"/>
      <c r="B12" s="105"/>
      <c r="C12" s="105"/>
      <c r="D12" s="105"/>
      <c r="E12" s="105"/>
      <c r="F12" s="105"/>
      <c r="G12" s="133"/>
      <c r="H12" s="547" t="str">
        <f>IF(I12=0,"",(INDEX(AccountCodes[ACCOUNT NAME],MATCH(I12,AccountCodes[NGAS CODE],0))))</f>
        <v/>
      </c>
      <c r="I12" s="133"/>
      <c r="J12" s="4"/>
      <c r="K12" s="4"/>
      <c r="L12" s="150">
        <f t="shared" si="0"/>
        <v>0</v>
      </c>
    </row>
    <row r="13" spans="1:12">
      <c r="A13" s="710"/>
      <c r="B13" s="105"/>
      <c r="C13" s="105"/>
      <c r="D13" s="105"/>
      <c r="E13" s="105"/>
      <c r="F13" s="105"/>
      <c r="G13" s="133"/>
      <c r="H13" s="547" t="str">
        <f>IF(I13=0,"",(INDEX(AccountCodes[ACCOUNT NAME],MATCH(I13,AccountCodes[NGAS CODE],0))))</f>
        <v/>
      </c>
      <c r="I13" s="133"/>
      <c r="J13" s="4"/>
      <c r="K13" s="4"/>
      <c r="L13" s="150">
        <f t="shared" si="0"/>
        <v>0</v>
      </c>
    </row>
    <row r="14" spans="1:12">
      <c r="A14" s="710"/>
      <c r="B14" s="105"/>
      <c r="C14" s="105"/>
      <c r="D14" s="105"/>
      <c r="E14" s="105"/>
      <c r="F14" s="105"/>
      <c r="G14" s="133"/>
      <c r="H14" s="547" t="str">
        <f>IF(I14=0,"",(INDEX(AccountCodes[ACCOUNT NAME],MATCH(I14,AccountCodes[NGAS CODE],0))))</f>
        <v/>
      </c>
      <c r="I14" s="133"/>
      <c r="J14" s="4"/>
      <c r="K14" s="4"/>
      <c r="L14" s="150">
        <f t="shared" si="0"/>
        <v>0</v>
      </c>
    </row>
    <row r="15" spans="1:12">
      <c r="A15" s="710"/>
      <c r="B15" s="105"/>
      <c r="C15" s="105"/>
      <c r="D15" s="151"/>
      <c r="E15" s="151"/>
      <c r="F15" s="151"/>
      <c r="G15" s="133"/>
      <c r="H15" s="548" t="str">
        <f>IF(I15=0,"",(INDEX(AccountCodes[ACCOUNT NAME],MATCH(I15,AccountCodes[NGAS CODE],0))))</f>
        <v/>
      </c>
      <c r="I15" s="147"/>
      <c r="J15" s="149"/>
      <c r="K15" s="149"/>
      <c r="L15" s="150">
        <f t="shared" si="0"/>
        <v>0</v>
      </c>
    </row>
  </sheetData>
  <sheetProtection autoFilter="0"/>
  <mergeCells count="1">
    <mergeCell ref="A1:K1"/>
  </mergeCells>
  <printOptions horizontalCentered="1"/>
  <pageMargins left="0.5" right="1.5" top="0.75" bottom="0.25" header="0.3" footer="0.3"/>
  <pageSetup paperSize="5" scale="75"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7"/>
  <sheetViews>
    <sheetView workbookViewId="0">
      <selection activeCell="B18" sqref="B18"/>
    </sheetView>
  </sheetViews>
  <sheetFormatPr defaultRowHeight="15.75"/>
  <cols>
    <col min="1" max="1" width="14.5" bestFit="1" customWidth="1"/>
    <col min="2" max="2" width="55.125" customWidth="1"/>
    <col min="3" max="3" width="16.125" customWidth="1"/>
    <col min="4" max="4" width="16" customWidth="1"/>
  </cols>
  <sheetData>
    <row r="1" spans="1:4">
      <c r="A1" s="303" t="s">
        <v>722</v>
      </c>
      <c r="B1" s="12" t="s">
        <v>850</v>
      </c>
    </row>
    <row r="2" spans="1:4">
      <c r="A2" s="303" t="s">
        <v>0</v>
      </c>
      <c r="B2" s="12" t="s">
        <v>850</v>
      </c>
    </row>
    <row r="4" spans="1:4">
      <c r="A4" s="12"/>
      <c r="B4" s="12"/>
      <c r="C4" s="301" t="s">
        <v>851</v>
      </c>
      <c r="D4" s="302"/>
    </row>
    <row r="5" spans="1:4">
      <c r="A5" s="303" t="s">
        <v>370</v>
      </c>
      <c r="B5" s="303" t="s">
        <v>369</v>
      </c>
      <c r="C5" s="302" t="s">
        <v>852</v>
      </c>
      <c r="D5" s="302" t="s">
        <v>853</v>
      </c>
    </row>
    <row r="6" spans="1:4">
      <c r="A6" s="12" t="s">
        <v>1607</v>
      </c>
      <c r="B6" s="12"/>
      <c r="C6" s="302"/>
      <c r="D6" s="302"/>
    </row>
    <row r="7" spans="1:4">
      <c r="A7" s="12" t="s">
        <v>717</v>
      </c>
      <c r="B7" s="12"/>
      <c r="C7" s="302"/>
      <c r="D7" s="302"/>
    </row>
  </sheetData>
  <pageMargins left="0.7" right="0.7" top="0.75" bottom="0.75" header="0.3" footer="0.3"/>
  <pageSetup paperSize="9" orientation="portrait" horizontalDpi="360" verticalDpi="36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sheetPr>
  <dimension ref="A1:V94"/>
  <sheetViews>
    <sheetView showZeros="0" workbookViewId="0">
      <selection activeCell="Y8" sqref="Y8"/>
    </sheetView>
  </sheetViews>
  <sheetFormatPr defaultColWidth="9" defaultRowHeight="15.75"/>
  <cols>
    <col min="1" max="1" width="6" style="25" customWidth="1"/>
    <col min="2" max="3" width="2.125" style="25" customWidth="1"/>
    <col min="4" max="4" width="4.875" style="25" customWidth="1"/>
    <col min="5" max="5" width="8.125" style="25" customWidth="1"/>
    <col min="6" max="6" width="5.5" style="25" customWidth="1"/>
    <col min="7" max="7" width="0.875" style="25" customWidth="1"/>
    <col min="8" max="8" width="4.125" style="25" customWidth="1"/>
    <col min="9" max="9" width="26" style="25" customWidth="1"/>
    <col min="10" max="10" width="4.125" style="25" customWidth="1"/>
    <col min="11" max="11" width="9.5" style="25" customWidth="1"/>
    <col min="12" max="12" width="14.125" style="86" customWidth="1"/>
    <col min="13" max="13" width="4.875" style="25" customWidth="1"/>
    <col min="14" max="14" width="14.125" style="25" hidden="1" customWidth="1"/>
    <col min="15" max="15" width="13.875" style="25" hidden="1" customWidth="1"/>
    <col min="16" max="16" width="10.625" style="25" customWidth="1"/>
    <col min="17" max="17" width="2.125" style="25" customWidth="1"/>
    <col min="18" max="18" width="2.625" style="25" customWidth="1"/>
    <col min="19" max="20" width="2.125" style="25" customWidth="1"/>
    <col min="21" max="22" width="5.625" style="25" customWidth="1"/>
    <col min="23" max="16384" width="9" style="25"/>
  </cols>
  <sheetData>
    <row r="1" spans="1:22" ht="22.5">
      <c r="A1" s="31" t="s">
        <v>441</v>
      </c>
      <c r="B1" s="32"/>
      <c r="C1" s="32"/>
      <c r="D1" s="32"/>
      <c r="E1" s="32"/>
      <c r="F1" s="32"/>
      <c r="G1" s="32"/>
      <c r="H1" s="32"/>
      <c r="I1" s="32"/>
      <c r="J1" s="32"/>
      <c r="K1" s="32"/>
      <c r="L1" s="32"/>
      <c r="M1" s="32"/>
      <c r="N1" s="32"/>
      <c r="O1" s="32"/>
      <c r="P1" s="32"/>
      <c r="Q1" s="33"/>
      <c r="R1" s="1218">
        <f>+P41-S41</f>
        <v>0</v>
      </c>
      <c r="S1" s="1219"/>
      <c r="T1" s="1219"/>
      <c r="U1" s="1219"/>
      <c r="V1" s="1220"/>
    </row>
    <row r="2" spans="1:22">
      <c r="A2" s="34" t="s">
        <v>1557</v>
      </c>
      <c r="B2" s="35"/>
      <c r="C2" s="35"/>
      <c r="D2" s="35"/>
      <c r="E2" s="35"/>
      <c r="F2" s="35"/>
      <c r="G2" s="35"/>
      <c r="H2" s="35"/>
      <c r="I2" s="35"/>
      <c r="J2" s="35"/>
      <c r="K2" s="35"/>
      <c r="L2" s="35"/>
      <c r="M2" s="35"/>
      <c r="N2" s="35"/>
      <c r="O2" s="35"/>
      <c r="P2" s="35"/>
      <c r="Q2" s="36"/>
      <c r="R2" s="37" t="s">
        <v>443</v>
      </c>
      <c r="S2"/>
      <c r="T2" s="1221" t="s">
        <v>1595</v>
      </c>
      <c r="U2" s="1221"/>
      <c r="V2" s="1222"/>
    </row>
    <row r="3" spans="1:22">
      <c r="A3" s="38" t="s">
        <v>444</v>
      </c>
      <c r="B3" s="35"/>
      <c r="C3" s="35"/>
      <c r="D3" s="35"/>
      <c r="E3" s="35"/>
      <c r="F3" s="35"/>
      <c r="G3" s="35"/>
      <c r="H3" s="35"/>
      <c r="I3" s="35"/>
      <c r="J3" s="35"/>
      <c r="K3" s="35"/>
      <c r="L3" s="35"/>
      <c r="M3" s="35"/>
      <c r="N3" s="35"/>
      <c r="O3" s="35"/>
      <c r="P3" s="35"/>
      <c r="Q3" s="36"/>
      <c r="R3" s="37" t="s">
        <v>0</v>
      </c>
      <c r="S3"/>
      <c r="T3" s="1223" t="e">
        <f>IF(T2=0,0,(LOOKUP(T2,CRDJ[JEV Number],CRDJ[Date])))</f>
        <v>#N/A</v>
      </c>
      <c r="U3" s="1223"/>
      <c r="V3" s="1224"/>
    </row>
    <row r="4" spans="1:22" ht="16.5" thickBot="1">
      <c r="A4" s="39"/>
      <c r="B4" s="40"/>
      <c r="C4" s="40"/>
      <c r="D4" s="40"/>
      <c r="E4" s="40"/>
      <c r="F4" s="40"/>
      <c r="G4" s="40"/>
      <c r="H4" s="40"/>
      <c r="I4" s="40"/>
      <c r="J4" s="40"/>
      <c r="K4" s="40"/>
      <c r="L4" s="40"/>
      <c r="M4" s="40"/>
      <c r="N4" s="40"/>
      <c r="O4" s="40"/>
      <c r="P4" s="40"/>
      <c r="Q4" s="41"/>
      <c r="R4" s="42"/>
      <c r="S4" s="43"/>
      <c r="T4" s="43"/>
      <c r="U4" s="43"/>
      <c r="V4" s="44"/>
    </row>
    <row r="5" spans="1:22">
      <c r="A5" s="45"/>
      <c r="B5" s="46"/>
      <c r="C5" s="46"/>
      <c r="D5" s="46"/>
      <c r="E5" s="46"/>
      <c r="F5" s="46"/>
      <c r="G5" s="46"/>
      <c r="H5" s="46"/>
      <c r="I5" s="46"/>
      <c r="J5" s="46"/>
      <c r="K5" s="46"/>
      <c r="L5" s="47"/>
      <c r="M5" s="46"/>
      <c r="N5" s="46"/>
      <c r="O5" s="46"/>
      <c r="P5" s="46"/>
      <c r="Q5" s="46"/>
      <c r="R5" s="46"/>
      <c r="S5" s="46"/>
      <c r="T5" s="46"/>
      <c r="U5" s="46"/>
      <c r="V5" s="48"/>
    </row>
    <row r="6" spans="1:22">
      <c r="A6" s="49"/>
      <c r="B6" s="1225" t="s">
        <v>446</v>
      </c>
      <c r="C6" s="1225"/>
      <c r="D6" s="50" t="s">
        <v>445</v>
      </c>
      <c r="H6" s="51"/>
      <c r="I6" s="25" t="s">
        <v>447</v>
      </c>
      <c r="J6" s="14"/>
      <c r="K6" s="52" t="s">
        <v>448</v>
      </c>
      <c r="L6" s="52"/>
      <c r="Q6" s="1225"/>
      <c r="R6" s="1225"/>
      <c r="S6" s="50" t="s">
        <v>449</v>
      </c>
      <c r="T6" s="50"/>
      <c r="U6" s="50"/>
      <c r="V6" s="53"/>
    </row>
    <row r="7" spans="1:22" ht="16.5" thickBot="1">
      <c r="A7" s="54"/>
      <c r="B7" s="55"/>
      <c r="C7" s="55"/>
      <c r="D7" s="55"/>
      <c r="E7" s="55"/>
      <c r="F7" s="55"/>
      <c r="G7" s="55"/>
      <c r="H7" s="55"/>
      <c r="I7" s="55"/>
      <c r="J7" s="55"/>
      <c r="K7" s="55"/>
      <c r="L7" s="56"/>
      <c r="M7" s="55"/>
      <c r="N7" s="55"/>
      <c r="O7" s="55"/>
      <c r="P7" s="55"/>
      <c r="Q7" s="55"/>
      <c r="R7" s="55"/>
      <c r="S7" s="55"/>
      <c r="T7" s="55"/>
      <c r="U7" s="55"/>
      <c r="V7" s="57"/>
    </row>
    <row r="8" spans="1:22">
      <c r="A8" s="1226" t="s">
        <v>397</v>
      </c>
      <c r="B8" s="1227"/>
      <c r="C8" s="1227"/>
      <c r="D8" s="1228"/>
      <c r="E8" s="1235" t="s">
        <v>450</v>
      </c>
      <c r="F8" s="1235"/>
      <c r="G8" s="1235"/>
      <c r="H8" s="1235"/>
      <c r="I8" s="1235"/>
      <c r="J8" s="1235"/>
      <c r="K8" s="1235"/>
      <c r="L8" s="1235"/>
      <c r="M8" s="1235"/>
      <c r="N8" s="1235"/>
      <c r="O8" s="1235"/>
      <c r="P8" s="1235"/>
      <c r="Q8" s="1235"/>
      <c r="R8" s="1235"/>
      <c r="S8" s="1235"/>
      <c r="T8" s="1235"/>
      <c r="U8" s="1235"/>
      <c r="V8" s="1236"/>
    </row>
    <row r="9" spans="1:22">
      <c r="A9" s="1229"/>
      <c r="B9" s="1230"/>
      <c r="C9" s="1230"/>
      <c r="D9" s="1231"/>
      <c r="E9" s="1237" t="s">
        <v>451</v>
      </c>
      <c r="F9" s="1237"/>
      <c r="G9" s="1237"/>
      <c r="H9" s="1237"/>
      <c r="I9" s="1237"/>
      <c r="J9" s="1237"/>
      <c r="K9" s="1239" t="s">
        <v>378</v>
      </c>
      <c r="L9" s="1239"/>
      <c r="M9" s="1237" t="s">
        <v>452</v>
      </c>
      <c r="N9" s="1240" t="s">
        <v>453</v>
      </c>
      <c r="O9" s="1241"/>
      <c r="P9" s="1241"/>
      <c r="Q9" s="1241"/>
      <c r="R9" s="1241"/>
      <c r="S9" s="1241"/>
      <c r="T9" s="1241"/>
      <c r="U9" s="1241"/>
      <c r="V9" s="1242"/>
    </row>
    <row r="10" spans="1:22" ht="16.5" customHeight="1" thickBot="1">
      <c r="A10" s="1232"/>
      <c r="B10" s="1233"/>
      <c r="C10" s="1233"/>
      <c r="D10" s="1234"/>
      <c r="E10" s="1238"/>
      <c r="F10" s="1238"/>
      <c r="G10" s="1238"/>
      <c r="H10" s="1238"/>
      <c r="I10" s="1238"/>
      <c r="J10" s="1238"/>
      <c r="K10" s="58" t="s">
        <v>454</v>
      </c>
      <c r="L10" s="58" t="s">
        <v>455</v>
      </c>
      <c r="M10" s="1238"/>
      <c r="N10" s="87" t="s">
        <v>466</v>
      </c>
      <c r="O10" s="87" t="s">
        <v>467</v>
      </c>
      <c r="P10" s="1243" t="s">
        <v>1</v>
      </c>
      <c r="Q10" s="1244"/>
      <c r="R10" s="1245"/>
      <c r="S10" s="1243" t="s">
        <v>2</v>
      </c>
      <c r="T10" s="1244"/>
      <c r="U10" s="1244"/>
      <c r="V10" s="1246"/>
    </row>
    <row r="11" spans="1:22" ht="19.5">
      <c r="A11" s="1210">
        <f>P41-S41</f>
        <v>0</v>
      </c>
      <c r="B11" s="1211"/>
      <c r="C11" s="1211"/>
      <c r="D11" s="1211"/>
      <c r="E11" s="1212" t="str">
        <f>Account!$G$1</f>
        <v>FUND 501 CARP</v>
      </c>
      <c r="F11" s="1213"/>
      <c r="G11" s="1213"/>
      <c r="H11" s="1213"/>
      <c r="I11" s="1213"/>
      <c r="J11" s="1214"/>
      <c r="K11" s="59"/>
      <c r="L11" s="59"/>
      <c r="M11" s="60"/>
      <c r="N11" s="60"/>
      <c r="O11" s="60"/>
      <c r="P11" s="1215"/>
      <c r="Q11" s="1215"/>
      <c r="R11" s="1215"/>
      <c r="S11" s="1215"/>
      <c r="T11" s="1215"/>
      <c r="U11" s="1215"/>
      <c r="V11" s="1216"/>
    </row>
    <row r="12" spans="1:22">
      <c r="A12" s="1195"/>
      <c r="B12" s="1196"/>
      <c r="C12" s="1196"/>
      <c r="D12" s="1196"/>
      <c r="E12" s="1196"/>
      <c r="F12" s="1196"/>
      <c r="G12" s="1196"/>
      <c r="H12" s="1196"/>
      <c r="I12" s="1196"/>
      <c r="J12" s="1196"/>
      <c r="K12" s="61"/>
      <c r="L12" s="61"/>
      <c r="M12" s="14"/>
      <c r="N12" s="14"/>
      <c r="O12" s="14"/>
      <c r="P12" s="1196"/>
      <c r="Q12" s="1196"/>
      <c r="R12" s="1196"/>
      <c r="S12" s="1196"/>
      <c r="T12" s="1196"/>
      <c r="U12" s="1196"/>
      <c r="V12" s="1217"/>
    </row>
    <row r="13" spans="1:22">
      <c r="A13" s="1195"/>
      <c r="B13" s="1196"/>
      <c r="C13" s="1196"/>
      <c r="D13" s="1196"/>
      <c r="E13" s="1197" t="str">
        <f>IF(K13=0,0,(INDEX(AccountCodes[ACCOUNT NAME],MATCH(K13,AccountCodes[NGAS CODE],0))))</f>
        <v>Cash-Collecting Officers</v>
      </c>
      <c r="F13" s="1198"/>
      <c r="G13" s="1198"/>
      <c r="H13" s="1198"/>
      <c r="I13" s="1198"/>
      <c r="J13" s="1199"/>
      <c r="K13" s="133" t="s">
        <v>9</v>
      </c>
      <c r="L13" s="62">
        <f t="array" ref="L13">IF(K13=0,0,(INDEX(AccountCodes[PPSAS CODE],MATCH(K13,AccountCodes[NGAS CODE],0))))</f>
        <v>1010101000</v>
      </c>
      <c r="M13" s="14"/>
      <c r="N13" s="89">
        <f t="array" ref="N13">SUM(IF((CRDJ[JEV Number]=TRIM($T$2))*(CRDJ[Account Code]=TRIM(K13)),CRDJ[Debit]))</f>
        <v>0</v>
      </c>
      <c r="O13" s="89">
        <f t="array" ref="O13">SUM(IF((CRDJ[JEV Number]=TRIM($T$2))*(CRDJ[Account Code]=TRIM(K13)),CRDJ[Credit]))</f>
        <v>0</v>
      </c>
      <c r="P13" s="1200">
        <f>N13</f>
        <v>0</v>
      </c>
      <c r="Q13" s="1200"/>
      <c r="R13" s="1200"/>
      <c r="S13" s="1200">
        <f>O13</f>
        <v>0</v>
      </c>
      <c r="T13" s="1200"/>
      <c r="U13" s="1200"/>
      <c r="V13" s="1201"/>
    </row>
    <row r="14" spans="1:22">
      <c r="A14" s="1195"/>
      <c r="B14" s="1196"/>
      <c r="C14" s="1196"/>
      <c r="D14" s="1196"/>
      <c r="E14" s="1197" t="str">
        <f>IF(K14=0,0,(INDEX(AccountCodes[ACCOUNT NAME],MATCH(K14,AccountCodes[NGAS CODE],0))))</f>
        <v>Cash in Bank-Local Currency, Current Account - RO</v>
      </c>
      <c r="F14" s="1198"/>
      <c r="G14" s="1198"/>
      <c r="H14" s="1198"/>
      <c r="I14" s="1198"/>
      <c r="J14" s="1199"/>
      <c r="K14" s="133" t="s">
        <v>1556</v>
      </c>
      <c r="L14" s="62" t="str">
        <f t="array" ref="L14">IF(K14=0,0,(INDEX(AccountCodes[PPSAS CODE],MATCH(K14,AccountCodes[NGAS CODE],0))))</f>
        <v>1010202000RO</v>
      </c>
      <c r="M14" s="14"/>
      <c r="N14" s="89">
        <f t="array" ref="N14">SUM(IF((CRDJ[JEV Number]=TRIM($T$2))*(CRDJ[Account Code]=TRIM(K14)),CRDJ[Debit]))</f>
        <v>0</v>
      </c>
      <c r="O14" s="89">
        <f t="array" ref="O14">SUM(IF((CRDJ[JEV Number]=TRIM($T$2))*(CRDJ[Account Code]=TRIM(K14)),CRDJ[Credit]))</f>
        <v>0</v>
      </c>
      <c r="P14" s="1200">
        <f>N14</f>
        <v>0</v>
      </c>
      <c r="Q14" s="1200"/>
      <c r="R14" s="1200"/>
      <c r="S14" s="1200">
        <f>O14</f>
        <v>0</v>
      </c>
      <c r="T14" s="1200"/>
      <c r="U14" s="1200"/>
      <c r="V14" s="1201"/>
    </row>
    <row r="15" spans="1:22">
      <c r="A15" s="1195"/>
      <c r="B15" s="1196"/>
      <c r="C15" s="1196"/>
      <c r="D15" s="1196"/>
      <c r="E15" s="1197" t="str">
        <f>IF(K15=0,0,(INDEX(AccountCodes[ACCOUNT NAME],MATCH(K15,AccountCodes[NGAS CODE],0))))</f>
        <v>Advances to Officers and Employees</v>
      </c>
      <c r="F15" s="1198"/>
      <c r="G15" s="1198"/>
      <c r="H15" s="1198"/>
      <c r="I15" s="1198"/>
      <c r="J15" s="1199"/>
      <c r="K15" s="133" t="s">
        <v>27</v>
      </c>
      <c r="L15" s="62">
        <f t="array" ref="L15">IF(K15=0,0,(INDEX(AccountCodes[PPSAS CODE],MATCH(K15,AccountCodes[NGAS CODE],0))))</f>
        <v>1990104000</v>
      </c>
      <c r="M15" s="14"/>
      <c r="N15" s="89">
        <f t="array" ref="N15">SUM(IF((CRDJ[JEV Number]=TRIM($T$2))*(CRDJ[Account Code]=TRIM(K15)),CRDJ[Debit]))</f>
        <v>0</v>
      </c>
      <c r="O15" s="89">
        <f t="array" ref="O15">SUM(IF((CRDJ[JEV Number]=TRIM($T$2))*(CRDJ[Account Code]=TRIM(K15)),CRDJ[Credit]))</f>
        <v>0</v>
      </c>
      <c r="P15" s="1200">
        <f t="shared" ref="P15:P35" si="0">N15</f>
        <v>0</v>
      </c>
      <c r="Q15" s="1200"/>
      <c r="R15" s="1200"/>
      <c r="S15" s="1200">
        <f t="shared" ref="S15:S35" si="1">O15</f>
        <v>0</v>
      </c>
      <c r="T15" s="1200"/>
      <c r="U15" s="1200"/>
      <c r="V15" s="1201"/>
    </row>
    <row r="16" spans="1:22">
      <c r="A16" s="1195"/>
      <c r="B16" s="1196"/>
      <c r="C16" s="1196"/>
      <c r="D16" s="1196"/>
      <c r="E16" s="1197">
        <f>IF(K16=0,0,(INDEX(AccountCodes[ACCOUNT NAME],MATCH(K16,AccountCodes[NGAS CODE],0))))</f>
        <v>0</v>
      </c>
      <c r="F16" s="1198"/>
      <c r="G16" s="1198"/>
      <c r="H16" s="1198"/>
      <c r="I16" s="1198"/>
      <c r="J16" s="1199"/>
      <c r="K16" s="133"/>
      <c r="L16" s="62">
        <f t="array" ref="L16">IF(K16=0,0,(INDEX(AccountCodes[PPSAS CODE],MATCH(K16,AccountCodes[NGAS CODE],0))))</f>
        <v>0</v>
      </c>
      <c r="M16" s="14"/>
      <c r="N16" s="89">
        <f t="array" ref="N16">SUM(IF((CRDJ[JEV Number]=TRIM($T$2))*(CRDJ[Account Code]=TRIM(K16)),CRDJ[Debit]))</f>
        <v>0</v>
      </c>
      <c r="O16" s="89">
        <f t="array" ref="O16">SUM(IF((CRDJ[JEV Number]=TRIM($T$2))*(CRDJ[Account Code]=TRIM(K16)),CRDJ[Credit]))</f>
        <v>0</v>
      </c>
      <c r="P16" s="1200">
        <f>N16</f>
        <v>0</v>
      </c>
      <c r="Q16" s="1200"/>
      <c r="R16" s="1200"/>
      <c r="S16" s="1200">
        <f>O16</f>
        <v>0</v>
      </c>
      <c r="T16" s="1200"/>
      <c r="U16" s="1200"/>
      <c r="V16" s="1201"/>
    </row>
    <row r="17" spans="1:22">
      <c r="A17" s="1195"/>
      <c r="B17" s="1196"/>
      <c r="C17" s="1196"/>
      <c r="D17" s="1196"/>
      <c r="E17" s="1197">
        <f>IF(K17=0,0,(INDEX(AccountCodes[ACCOUNT NAME],MATCH(K17,AccountCodes[NGAS CODE],0))))</f>
        <v>0</v>
      </c>
      <c r="F17" s="1198"/>
      <c r="G17" s="1198"/>
      <c r="H17" s="1198"/>
      <c r="I17" s="1198"/>
      <c r="J17" s="1199"/>
      <c r="K17" s="133"/>
      <c r="L17" s="62">
        <f t="array" ref="L17">IF(K17=0,0,(INDEX(AccountCodes[PPSAS CODE],MATCH(K17,AccountCodes[NGAS CODE],0))))</f>
        <v>0</v>
      </c>
      <c r="M17" s="14"/>
      <c r="N17" s="89">
        <f t="array" ref="N17">SUM(IF((CRDJ[JEV Number]=TRIM($T$2))*(CRDJ[Account Code]=TRIM(K17)),CRDJ[Debit]))</f>
        <v>0</v>
      </c>
      <c r="O17" s="89">
        <f t="array" ref="O17">SUM(IF((CRDJ[JEV Number]=TRIM($T$2))*(CRDJ[Account Code]=TRIM(K17)),CRDJ[Credit]))</f>
        <v>0</v>
      </c>
      <c r="P17" s="1200">
        <f>N17</f>
        <v>0</v>
      </c>
      <c r="Q17" s="1200"/>
      <c r="R17" s="1200"/>
      <c r="S17" s="1200">
        <f>O17</f>
        <v>0</v>
      </c>
      <c r="T17" s="1200"/>
      <c r="U17" s="1200"/>
      <c r="V17" s="1201"/>
    </row>
    <row r="18" spans="1:22">
      <c r="A18" s="1195"/>
      <c r="B18" s="1196"/>
      <c r="C18" s="1196"/>
      <c r="D18" s="1196"/>
      <c r="E18" s="1197">
        <f>IF(K18=0,0,(INDEX(AccountCodes[ACCOUNT NAME],MATCH(K18,AccountCodes[NGAS CODE],0))))</f>
        <v>0</v>
      </c>
      <c r="F18" s="1198"/>
      <c r="G18" s="1198"/>
      <c r="H18" s="1198"/>
      <c r="I18" s="1198"/>
      <c r="J18" s="1199"/>
      <c r="K18" s="133"/>
      <c r="L18" s="62">
        <f t="array" ref="L18">IF(K18=0,0,(INDEX(AccountCodes[PPSAS CODE],MATCH(K18,AccountCodes[NGAS CODE],0))))</f>
        <v>0</v>
      </c>
      <c r="M18" s="14"/>
      <c r="N18" s="89">
        <f t="array" ref="N18">SUM(IF((CRDJ[JEV Number]=TRIM($T$2))*(CRDJ[Account Code]=TRIM(K18)),CRDJ[Debit]))</f>
        <v>0</v>
      </c>
      <c r="O18" s="89">
        <f t="array" ref="O18">SUM(IF((CRDJ[JEV Number]=TRIM($T$2))*(CRDJ[Account Code]=TRIM(K18)),CRDJ[Credit]))</f>
        <v>0</v>
      </c>
      <c r="P18" s="1200">
        <f>N18</f>
        <v>0</v>
      </c>
      <c r="Q18" s="1200"/>
      <c r="R18" s="1200"/>
      <c r="S18" s="1200">
        <f>O18</f>
        <v>0</v>
      </c>
      <c r="T18" s="1200"/>
      <c r="U18" s="1200"/>
      <c r="V18" s="1201"/>
    </row>
    <row r="19" spans="1:22">
      <c r="A19" s="1195"/>
      <c r="B19" s="1196"/>
      <c r="C19" s="1196"/>
      <c r="D19" s="1196"/>
      <c r="E19" s="1197">
        <f>IF(K19=0,0,(INDEX(AccountCodes[ACCOUNT NAME],MATCH(K19,AccountCodes[NGAS CODE],0))))</f>
        <v>0</v>
      </c>
      <c r="F19" s="1198"/>
      <c r="G19" s="1198"/>
      <c r="H19" s="1198"/>
      <c r="I19" s="1198"/>
      <c r="J19" s="1199"/>
      <c r="K19" s="133"/>
      <c r="L19" s="62">
        <f t="array" ref="L19">IF(K19=0,0,(INDEX(AccountCodes[PPSAS CODE],MATCH(K19,AccountCodes[NGAS CODE],0))))</f>
        <v>0</v>
      </c>
      <c r="M19" s="14"/>
      <c r="N19" s="89">
        <f t="array" ref="N19">SUM(IF((CRDJ[JEV Number]=TRIM($T$2))*(CRDJ[Account Code]=TRIM(K19)),CRDJ[Debit]))</f>
        <v>0</v>
      </c>
      <c r="O19" s="89">
        <f t="array" ref="O19">SUM(IF((CRDJ[JEV Number]=TRIM($T$2))*(CRDJ[Account Code]=TRIM(K19)),CRDJ[Credit]))</f>
        <v>0</v>
      </c>
      <c r="P19" s="1200">
        <f>N19</f>
        <v>0</v>
      </c>
      <c r="Q19" s="1200"/>
      <c r="R19" s="1200"/>
      <c r="S19" s="1200">
        <f>O19</f>
        <v>0</v>
      </c>
      <c r="T19" s="1200"/>
      <c r="U19" s="1200"/>
      <c r="V19" s="1201"/>
    </row>
    <row r="20" spans="1:22">
      <c r="A20" s="1195"/>
      <c r="B20" s="1196"/>
      <c r="C20" s="1196"/>
      <c r="D20" s="1196"/>
      <c r="E20" s="1197">
        <f>IF(K20=0,0,(INDEX(AccountCodes[ACCOUNT NAME],MATCH(K20,AccountCodes[NGAS CODE],0))))</f>
        <v>0</v>
      </c>
      <c r="F20" s="1198"/>
      <c r="G20" s="1198"/>
      <c r="H20" s="1198"/>
      <c r="I20" s="1198"/>
      <c r="J20" s="1199"/>
      <c r="K20" s="133"/>
      <c r="L20" s="62">
        <f t="array" ref="L20">IF(K20=0,0,(INDEX(AccountCodes[PPSAS CODE],MATCH(K20,AccountCodes[NGAS CODE],0))))</f>
        <v>0</v>
      </c>
      <c r="M20" s="14"/>
      <c r="N20" s="89">
        <f t="array" ref="N20">SUM(IF((CRDJ[JEV Number]=TRIM($T$2))*(CRDJ[Account Code]=TRIM(K20)),CRDJ[Debit]))</f>
        <v>0</v>
      </c>
      <c r="O20" s="89">
        <f t="array" ref="O20">SUM(IF((CRDJ[JEV Number]=TRIM($T$2))*(CRDJ[Account Code]=TRIM(K20)),CRDJ[Credit]))</f>
        <v>0</v>
      </c>
      <c r="P20" s="1200">
        <f>N20</f>
        <v>0</v>
      </c>
      <c r="Q20" s="1200"/>
      <c r="R20" s="1200"/>
      <c r="S20" s="1200">
        <f>O20</f>
        <v>0</v>
      </c>
      <c r="T20" s="1200"/>
      <c r="U20" s="1200"/>
      <c r="V20" s="1201"/>
    </row>
    <row r="21" spans="1:22">
      <c r="A21" s="1195"/>
      <c r="B21" s="1196"/>
      <c r="C21" s="1196"/>
      <c r="D21" s="1196"/>
      <c r="E21" s="1197">
        <f>IF(K21=0,0,(INDEX(AccountCodes[ACCOUNT NAME],MATCH(K21,AccountCodes[NGAS CODE],0))))</f>
        <v>0</v>
      </c>
      <c r="F21" s="1198"/>
      <c r="G21" s="1198"/>
      <c r="H21" s="1198"/>
      <c r="I21" s="1198"/>
      <c r="J21" s="1199"/>
      <c r="K21" s="133"/>
      <c r="L21" s="62">
        <f t="array" ref="L21">IF(K21=0,0,(INDEX(AccountCodes[PPSAS CODE],MATCH(K21,AccountCodes[NGAS CODE],0))))</f>
        <v>0</v>
      </c>
      <c r="M21" s="14"/>
      <c r="N21" s="89">
        <f t="array" ref="N21">SUM(IF((CRDJ[JEV Number]=TRIM($T$2))*(CRDJ[Account Code]=TRIM(K21)),CRDJ[Debit]))</f>
        <v>0</v>
      </c>
      <c r="O21" s="89">
        <f t="array" ref="O21">SUM(IF((CRDJ[JEV Number]=TRIM($T$2))*(CRDJ[Account Code]=TRIM(K21)),CRDJ[Credit]))</f>
        <v>0</v>
      </c>
      <c r="P21" s="1200">
        <f t="shared" si="0"/>
        <v>0</v>
      </c>
      <c r="Q21" s="1200"/>
      <c r="R21" s="1200"/>
      <c r="S21" s="1200">
        <f t="shared" si="1"/>
        <v>0</v>
      </c>
      <c r="T21" s="1200"/>
      <c r="U21" s="1200"/>
      <c r="V21" s="1201"/>
    </row>
    <row r="22" spans="1:22">
      <c r="A22" s="1195"/>
      <c r="B22" s="1196"/>
      <c r="C22" s="1196"/>
      <c r="D22" s="1196"/>
      <c r="E22" s="1197">
        <f>IF(K22=0,0,(INDEX(AccountCodes[ACCOUNT NAME],MATCH(K22,AccountCodes[NGAS CODE],0))))</f>
        <v>0</v>
      </c>
      <c r="F22" s="1198"/>
      <c r="G22" s="1198"/>
      <c r="H22" s="1198"/>
      <c r="I22" s="1198"/>
      <c r="J22" s="1199"/>
      <c r="K22" s="133"/>
      <c r="L22" s="62">
        <f t="array" ref="L22">IF(K22=0,0,(INDEX(AccountCodes[PPSAS CODE],MATCH(K22,AccountCodes[NGAS CODE],0))))</f>
        <v>0</v>
      </c>
      <c r="M22" s="14"/>
      <c r="N22" s="89">
        <f t="array" ref="N22">SUM(IF((CRDJ[JEV Number]=TRIM($T$2))*(CRDJ[Account Code]=TRIM(K22)),CRDJ[Debit]))</f>
        <v>0</v>
      </c>
      <c r="O22" s="89">
        <f t="array" ref="O22">SUM(IF((CRDJ[JEV Number]=TRIM($T$2))*(CRDJ[Account Code]=TRIM(K22)),CRDJ[Credit]))</f>
        <v>0</v>
      </c>
      <c r="P22" s="1200">
        <f t="shared" si="0"/>
        <v>0</v>
      </c>
      <c r="Q22" s="1200"/>
      <c r="R22" s="1200"/>
      <c r="S22" s="1200">
        <f t="shared" si="1"/>
        <v>0</v>
      </c>
      <c r="T22" s="1200"/>
      <c r="U22" s="1200"/>
      <c r="V22" s="1201"/>
    </row>
    <row r="23" spans="1:22">
      <c r="A23" s="1195"/>
      <c r="B23" s="1196"/>
      <c r="C23" s="1196"/>
      <c r="D23" s="1196"/>
      <c r="E23" s="1197">
        <f>IF(K23=0,0,(INDEX(AccountCodes[ACCOUNT NAME],MATCH(K23,AccountCodes[NGAS CODE],0))))</f>
        <v>0</v>
      </c>
      <c r="F23" s="1198"/>
      <c r="G23" s="1198"/>
      <c r="H23" s="1198"/>
      <c r="I23" s="1198"/>
      <c r="J23" s="1199"/>
      <c r="K23" s="133"/>
      <c r="L23" s="62">
        <f t="array" ref="L23">IF(K23=0,0,(INDEX(AccountCodes[PPSAS CODE],MATCH(K23,AccountCodes[NGAS CODE],0))))</f>
        <v>0</v>
      </c>
      <c r="M23" s="14"/>
      <c r="N23" s="89">
        <f t="array" ref="N23">SUM(IF((CRDJ[JEV Number]=TRIM($T$2))*(CRDJ[Account Code]=TRIM(K23)),CRDJ[Debit]))</f>
        <v>0</v>
      </c>
      <c r="O23" s="89">
        <f t="array" ref="O23">SUM(IF((CRDJ[JEV Number]=TRIM($T$2))*(CRDJ[Account Code]=TRIM(K23)),CRDJ[Credit]))</f>
        <v>0</v>
      </c>
      <c r="P23" s="1200">
        <f t="shared" si="0"/>
        <v>0</v>
      </c>
      <c r="Q23" s="1200"/>
      <c r="R23" s="1200"/>
      <c r="S23" s="1200">
        <f t="shared" si="1"/>
        <v>0</v>
      </c>
      <c r="T23" s="1200"/>
      <c r="U23" s="1200"/>
      <c r="V23" s="1201"/>
    </row>
    <row r="24" spans="1:22">
      <c r="A24" s="1195"/>
      <c r="B24" s="1196"/>
      <c r="C24" s="1196"/>
      <c r="D24" s="1196"/>
      <c r="E24" s="1197">
        <f>IF(K24=0,0,(INDEX(AccountCodes[ACCOUNT NAME],MATCH(K24,AccountCodes[NGAS CODE],0))))</f>
        <v>0</v>
      </c>
      <c r="F24" s="1198"/>
      <c r="G24" s="1198"/>
      <c r="H24" s="1198"/>
      <c r="I24" s="1198"/>
      <c r="J24" s="1199"/>
      <c r="K24" s="133"/>
      <c r="L24" s="62">
        <f t="array" ref="L24">IF(K24=0,0,(INDEX(AccountCodes[PPSAS CODE],MATCH(K24,AccountCodes[NGAS CODE],0))))</f>
        <v>0</v>
      </c>
      <c r="M24" s="14"/>
      <c r="N24" s="89">
        <f t="array" ref="N24">SUM(IF((CRDJ[JEV Number]=TRIM($T$2))*(CRDJ[Account Code]=TRIM(K24)),CRDJ[Debit]))</f>
        <v>0</v>
      </c>
      <c r="O24" s="89">
        <f t="array" ref="O24">SUM(IF((CRDJ[JEV Number]=TRIM($T$2))*(CRDJ[Account Code]=TRIM(K24)),CRDJ[Credit]))</f>
        <v>0</v>
      </c>
      <c r="P24" s="1200">
        <f t="shared" si="0"/>
        <v>0</v>
      </c>
      <c r="Q24" s="1200"/>
      <c r="R24" s="1200"/>
      <c r="S24" s="1200">
        <f t="shared" si="1"/>
        <v>0</v>
      </c>
      <c r="T24" s="1200"/>
      <c r="U24" s="1200"/>
      <c r="V24" s="1201"/>
    </row>
    <row r="25" spans="1:22">
      <c r="A25" s="1195"/>
      <c r="B25" s="1196"/>
      <c r="C25" s="1196"/>
      <c r="D25" s="1196"/>
      <c r="E25" s="1197">
        <f>IF(K25=0,0,(INDEX(AccountCodes[ACCOUNT NAME],MATCH(K25,AccountCodes[NGAS CODE],0))))</f>
        <v>0</v>
      </c>
      <c r="F25" s="1198"/>
      <c r="G25" s="1198"/>
      <c r="H25" s="1198"/>
      <c r="I25" s="1198"/>
      <c r="J25" s="1199"/>
      <c r="K25" s="133"/>
      <c r="L25" s="62">
        <f t="array" ref="L25">IF(K25=0,0,(INDEX(AccountCodes[PPSAS CODE],MATCH(K25,AccountCodes[NGAS CODE],0))))</f>
        <v>0</v>
      </c>
      <c r="M25" s="14"/>
      <c r="N25" s="89">
        <f t="array" ref="N25">SUM(IF((CRDJ[JEV Number]=TRIM($T$2))*(CRDJ[Account Code]=TRIM(K25)),CRDJ[Debit]))</f>
        <v>0</v>
      </c>
      <c r="O25" s="89">
        <f t="array" ref="O25">SUM(IF((CRDJ[JEV Number]=TRIM($T$2))*(CRDJ[Account Code]=TRIM(K25)),CRDJ[Credit]))</f>
        <v>0</v>
      </c>
      <c r="P25" s="1200">
        <f t="shared" si="0"/>
        <v>0</v>
      </c>
      <c r="Q25" s="1200"/>
      <c r="R25" s="1200"/>
      <c r="S25" s="1200">
        <f t="shared" si="1"/>
        <v>0</v>
      </c>
      <c r="T25" s="1200"/>
      <c r="U25" s="1200"/>
      <c r="V25" s="1201"/>
    </row>
    <row r="26" spans="1:22">
      <c r="A26" s="1195"/>
      <c r="B26" s="1196"/>
      <c r="C26" s="1196"/>
      <c r="D26" s="1196"/>
      <c r="E26" s="1197">
        <f>IF(K26=0,0,(INDEX(AccountCodes[ACCOUNT NAME],MATCH(K26,AccountCodes[NGAS CODE],0))))</f>
        <v>0</v>
      </c>
      <c r="F26" s="1198"/>
      <c r="G26" s="1198"/>
      <c r="H26" s="1198"/>
      <c r="I26" s="1198"/>
      <c r="J26" s="1199"/>
      <c r="K26" s="133"/>
      <c r="L26" s="62">
        <f t="array" ref="L26">IF(K26=0,0,(INDEX(AccountCodes[PPSAS CODE],MATCH(K26,AccountCodes[NGAS CODE],0))))</f>
        <v>0</v>
      </c>
      <c r="M26" s="14"/>
      <c r="N26" s="89">
        <f t="array" ref="N26">SUM(IF((CRDJ[JEV Number]=TRIM($T$2))*(CRDJ[Account Code]=TRIM(K26)),CRDJ[Debit]))</f>
        <v>0</v>
      </c>
      <c r="O26" s="89">
        <f t="array" ref="O26">SUM(IF((CRDJ[JEV Number]=TRIM($T$2))*(CRDJ[Account Code]=TRIM(K26)),CRDJ[Credit]))</f>
        <v>0</v>
      </c>
      <c r="P26" s="1200">
        <f t="shared" si="0"/>
        <v>0</v>
      </c>
      <c r="Q26" s="1200"/>
      <c r="R26" s="1200"/>
      <c r="S26" s="1200">
        <f t="shared" si="1"/>
        <v>0</v>
      </c>
      <c r="T26" s="1200"/>
      <c r="U26" s="1200"/>
      <c r="V26" s="1201"/>
    </row>
    <row r="27" spans="1:22">
      <c r="A27" s="1195"/>
      <c r="B27" s="1196"/>
      <c r="C27" s="1196"/>
      <c r="D27" s="1196"/>
      <c r="E27" s="1197">
        <f>IF(K27=0,0,(INDEX(AccountCodes[ACCOUNT NAME],MATCH(K27,AccountCodes[NGAS CODE],0))))</f>
        <v>0</v>
      </c>
      <c r="F27" s="1198"/>
      <c r="G27" s="1198"/>
      <c r="H27" s="1198"/>
      <c r="I27" s="1198"/>
      <c r="J27" s="1199"/>
      <c r="K27" s="133"/>
      <c r="L27" s="62">
        <f t="array" ref="L27">IF(K27=0,0,(INDEX(AccountCodes[PPSAS CODE],MATCH(K27,AccountCodes[NGAS CODE],0))))</f>
        <v>0</v>
      </c>
      <c r="M27" s="14"/>
      <c r="N27" s="89">
        <f t="array" ref="N27">SUM(IF((CRDJ[JEV Number]=TRIM($T$2))*(CRDJ[Account Code]=TRIM(K27)),CRDJ[Debit]))</f>
        <v>0</v>
      </c>
      <c r="O27" s="89">
        <f t="array" ref="O27">SUM(IF((CRDJ[JEV Number]=TRIM($T$2))*(CRDJ[Account Code]=TRIM(K27)),CRDJ[Credit]))</f>
        <v>0</v>
      </c>
      <c r="P27" s="1200">
        <f t="shared" si="0"/>
        <v>0</v>
      </c>
      <c r="Q27" s="1200"/>
      <c r="R27" s="1200"/>
      <c r="S27" s="1200">
        <f t="shared" si="1"/>
        <v>0</v>
      </c>
      <c r="T27" s="1200"/>
      <c r="U27" s="1200"/>
      <c r="V27" s="1201"/>
    </row>
    <row r="28" spans="1:22">
      <c r="A28" s="1195"/>
      <c r="B28" s="1196"/>
      <c r="C28" s="1196"/>
      <c r="D28" s="1196"/>
      <c r="E28" s="1197">
        <f>IF(K28=0,0,(INDEX(AccountCodes[ACCOUNT NAME],MATCH(K28,AccountCodes[NGAS CODE],0))))</f>
        <v>0</v>
      </c>
      <c r="F28" s="1198"/>
      <c r="G28" s="1198"/>
      <c r="H28" s="1198"/>
      <c r="I28" s="1198"/>
      <c r="J28" s="1199"/>
      <c r="K28" s="133"/>
      <c r="L28" s="62">
        <f t="array" ref="L28">IF(K28=0,0,(INDEX(AccountCodes[PPSAS CODE],MATCH(K28,AccountCodes[NGAS CODE],0))))</f>
        <v>0</v>
      </c>
      <c r="M28" s="14"/>
      <c r="N28" s="89">
        <f t="array" ref="N28">SUM(IF((CRDJ[JEV Number]=TRIM($T$2))*(CRDJ[Account Code]=TRIM(K28)),CRDJ[Debit]))</f>
        <v>0</v>
      </c>
      <c r="O28" s="89">
        <f t="array" ref="O28">SUM(IF((CRDJ[JEV Number]=TRIM($T$2))*(CRDJ[Account Code]=TRIM(K28)),CRDJ[Credit]))</f>
        <v>0</v>
      </c>
      <c r="P28" s="1200">
        <f t="shared" si="0"/>
        <v>0</v>
      </c>
      <c r="Q28" s="1200"/>
      <c r="R28" s="1200"/>
      <c r="S28" s="1200">
        <f t="shared" si="1"/>
        <v>0</v>
      </c>
      <c r="T28" s="1200"/>
      <c r="U28" s="1200"/>
      <c r="V28" s="1201"/>
    </row>
    <row r="29" spans="1:22">
      <c r="A29" s="1195"/>
      <c r="B29" s="1196"/>
      <c r="C29" s="1196"/>
      <c r="D29" s="1196"/>
      <c r="E29" s="1197">
        <f>IF(K29=0,0,(INDEX(AccountCodes[ACCOUNT NAME],MATCH(K29,AccountCodes[NGAS CODE],0))))</f>
        <v>0</v>
      </c>
      <c r="F29" s="1198"/>
      <c r="G29" s="1198"/>
      <c r="H29" s="1198"/>
      <c r="I29" s="1198"/>
      <c r="J29" s="1199"/>
      <c r="K29" s="133"/>
      <c r="L29" s="62">
        <f t="array" ref="L29">IF(K29=0,0,(INDEX(AccountCodes[PPSAS CODE],MATCH(K29,AccountCodes[NGAS CODE],0))))</f>
        <v>0</v>
      </c>
      <c r="M29" s="14"/>
      <c r="N29" s="89">
        <f t="array" ref="N29">SUM(IF((CRDJ[JEV Number]=TRIM($T$2))*(CRDJ[Account Code]=TRIM(K29)),CRDJ[Debit]))</f>
        <v>0</v>
      </c>
      <c r="O29" s="89">
        <f t="array" ref="O29">SUM(IF((CRDJ[JEV Number]=TRIM($T$2))*(CRDJ[Account Code]=TRIM(K29)),CRDJ[Credit]))</f>
        <v>0</v>
      </c>
      <c r="P29" s="1200">
        <f t="shared" si="0"/>
        <v>0</v>
      </c>
      <c r="Q29" s="1200"/>
      <c r="R29" s="1200"/>
      <c r="S29" s="1200">
        <f t="shared" si="1"/>
        <v>0</v>
      </c>
      <c r="T29" s="1200"/>
      <c r="U29" s="1200"/>
      <c r="V29" s="1201"/>
    </row>
    <row r="30" spans="1:22">
      <c r="A30" s="1195"/>
      <c r="B30" s="1196"/>
      <c r="C30" s="1196"/>
      <c r="D30" s="1196"/>
      <c r="E30" s="1197">
        <f>IF(K30=0,0,(INDEX(AccountCodes[ACCOUNT NAME],MATCH(K30,AccountCodes[NGAS CODE],0))))</f>
        <v>0</v>
      </c>
      <c r="F30" s="1198"/>
      <c r="G30" s="1198"/>
      <c r="H30" s="1198"/>
      <c r="I30" s="1198"/>
      <c r="J30" s="1199"/>
      <c r="K30" s="133"/>
      <c r="L30" s="62">
        <f t="array" ref="L30">IF(K30=0,0,(INDEX(AccountCodes[PPSAS CODE],MATCH(K30,AccountCodes[NGAS CODE],0))))</f>
        <v>0</v>
      </c>
      <c r="M30" s="14"/>
      <c r="N30" s="89">
        <f t="array" ref="N30">SUM(IF((CRDJ[JEV Number]=TRIM($T$2))*(CRDJ[Account Code]=TRIM(K30)),CRDJ[Debit]))</f>
        <v>0</v>
      </c>
      <c r="O30" s="89">
        <f t="array" ref="O30">SUM(IF((CRDJ[JEV Number]=TRIM($T$2))*(CRDJ[Account Code]=TRIM(K30)),CRDJ[Credit]))</f>
        <v>0</v>
      </c>
      <c r="P30" s="1200">
        <f t="shared" si="0"/>
        <v>0</v>
      </c>
      <c r="Q30" s="1200"/>
      <c r="R30" s="1200"/>
      <c r="S30" s="1200">
        <f t="shared" si="1"/>
        <v>0</v>
      </c>
      <c r="T30" s="1200"/>
      <c r="U30" s="1200"/>
      <c r="V30" s="1201"/>
    </row>
    <row r="31" spans="1:22">
      <c r="A31" s="1195"/>
      <c r="B31" s="1196"/>
      <c r="C31" s="1196"/>
      <c r="D31" s="1196"/>
      <c r="E31" s="1197">
        <f>IF(K31=0,0,(INDEX(AccountCodes[ACCOUNT NAME],MATCH(K31,AccountCodes[NGAS CODE],0))))</f>
        <v>0</v>
      </c>
      <c r="F31" s="1198"/>
      <c r="G31" s="1198"/>
      <c r="H31" s="1198"/>
      <c r="I31" s="1198"/>
      <c r="J31" s="1199"/>
      <c r="K31" s="133"/>
      <c r="L31" s="62">
        <f t="array" ref="L31">IF(K31=0,0,(INDEX(AccountCodes[PPSAS CODE],MATCH(K31,AccountCodes[NGAS CODE],0))))</f>
        <v>0</v>
      </c>
      <c r="M31" s="14"/>
      <c r="N31" s="89">
        <f t="array" ref="N31">SUM(IF((CRDJ[JEV Number]=TRIM($T$2))*(CRDJ[Account Code]=TRIM(K31)),CRDJ[Debit]))</f>
        <v>0</v>
      </c>
      <c r="O31" s="89">
        <f t="array" ref="O31">SUM(IF((CRDJ[JEV Number]=TRIM($T$2))*(CRDJ[Account Code]=TRIM(K31)),CRDJ[Credit]))</f>
        <v>0</v>
      </c>
      <c r="P31" s="1200">
        <f t="shared" si="0"/>
        <v>0</v>
      </c>
      <c r="Q31" s="1200"/>
      <c r="R31" s="1200"/>
      <c r="S31" s="1200">
        <f t="shared" si="1"/>
        <v>0</v>
      </c>
      <c r="T31" s="1200"/>
      <c r="U31" s="1200"/>
      <c r="V31" s="1201"/>
    </row>
    <row r="32" spans="1:22">
      <c r="A32" s="1195"/>
      <c r="B32" s="1196"/>
      <c r="C32" s="1196"/>
      <c r="D32" s="1196"/>
      <c r="E32" s="1197">
        <f>IF(K32=0,0,(INDEX(AccountCodes[ACCOUNT NAME],MATCH(K32,AccountCodes[NGAS CODE],0))))</f>
        <v>0</v>
      </c>
      <c r="F32" s="1198"/>
      <c r="G32" s="1198"/>
      <c r="H32" s="1198"/>
      <c r="I32" s="1198"/>
      <c r="J32" s="1199"/>
      <c r="K32" s="133"/>
      <c r="L32" s="62">
        <f t="array" ref="L32">IF(K32=0,0,(INDEX(AccountCodes[PPSAS CODE],MATCH(K32,AccountCodes[NGAS CODE],0))))</f>
        <v>0</v>
      </c>
      <c r="M32" s="14"/>
      <c r="N32" s="89">
        <f t="array" ref="N32">SUM(IF((CRDJ[JEV Number]=TRIM($T$2))*(CRDJ[Account Code]=TRIM(K32)),CRDJ[Debit]))</f>
        <v>0</v>
      </c>
      <c r="O32" s="89">
        <f t="array" ref="O32">SUM(IF((CRDJ[JEV Number]=TRIM($T$2))*(CRDJ[Account Code]=TRIM(K32)),CRDJ[Credit]))</f>
        <v>0</v>
      </c>
      <c r="P32" s="1200">
        <f t="shared" si="0"/>
        <v>0</v>
      </c>
      <c r="Q32" s="1200"/>
      <c r="R32" s="1200"/>
      <c r="S32" s="1200">
        <f t="shared" si="1"/>
        <v>0</v>
      </c>
      <c r="T32" s="1200"/>
      <c r="U32" s="1200"/>
      <c r="V32" s="1201"/>
    </row>
    <row r="33" spans="1:22">
      <c r="A33" s="1195"/>
      <c r="B33" s="1196"/>
      <c r="C33" s="1196"/>
      <c r="D33" s="1196"/>
      <c r="E33" s="1197">
        <f>IF(K33=0,0,(INDEX(AccountCodes[ACCOUNT NAME],MATCH(K33,AccountCodes[NGAS CODE],0))))</f>
        <v>0</v>
      </c>
      <c r="F33" s="1198"/>
      <c r="G33" s="1198"/>
      <c r="H33" s="1198"/>
      <c r="I33" s="1198"/>
      <c r="J33" s="1199"/>
      <c r="K33" s="133"/>
      <c r="L33" s="62">
        <f t="array" ref="L33">IF(K33=0,0,(INDEX(AccountCodes[PPSAS CODE],MATCH(K33,AccountCodes[NGAS CODE],0))))</f>
        <v>0</v>
      </c>
      <c r="M33" s="14"/>
      <c r="N33" s="89">
        <f t="array" ref="N33">SUM(IF((CRDJ[JEV Number]=TRIM($T$2))*(CRDJ[Account Code]=TRIM(K33)),CRDJ[Debit]))</f>
        <v>0</v>
      </c>
      <c r="O33" s="89">
        <f t="array" ref="O33">SUM(IF((CRDJ[JEV Number]=TRIM($T$2))*(CRDJ[Account Code]=TRIM(K33)),CRDJ[Credit]))</f>
        <v>0</v>
      </c>
      <c r="P33" s="1200">
        <f t="shared" si="0"/>
        <v>0</v>
      </c>
      <c r="Q33" s="1200"/>
      <c r="R33" s="1200"/>
      <c r="S33" s="1200">
        <f t="shared" si="1"/>
        <v>0</v>
      </c>
      <c r="T33" s="1200"/>
      <c r="U33" s="1200"/>
      <c r="V33" s="1201"/>
    </row>
    <row r="34" spans="1:22">
      <c r="A34" s="1195"/>
      <c r="B34" s="1196"/>
      <c r="C34" s="1196"/>
      <c r="D34" s="1196"/>
      <c r="E34" s="1197">
        <f>IF(K34=0,0,(INDEX(AccountCodes[ACCOUNT NAME],MATCH(K34,AccountCodes[NGAS CODE],0))))</f>
        <v>0</v>
      </c>
      <c r="F34" s="1198"/>
      <c r="G34" s="1198"/>
      <c r="H34" s="1198"/>
      <c r="I34" s="1198"/>
      <c r="J34" s="1199"/>
      <c r="K34" s="133"/>
      <c r="L34" s="62">
        <f t="array" ref="L34">IF(K34=0,0,(INDEX(AccountCodes[PPSAS CODE],MATCH(K34,AccountCodes[NGAS CODE],0))))</f>
        <v>0</v>
      </c>
      <c r="M34" s="14"/>
      <c r="N34" s="89">
        <f t="array" ref="N34">SUM(IF((CRDJ[JEV Number]=TRIM($T$2))*(CRDJ[Account Code]=TRIM(K34)),CRDJ[Debit]))</f>
        <v>0</v>
      </c>
      <c r="O34" s="89">
        <f t="array" ref="O34">SUM(IF((CRDJ[JEV Number]=TRIM($T$2))*(CRDJ[Account Code]=TRIM(K34)),CRDJ[Credit]))</f>
        <v>0</v>
      </c>
      <c r="P34" s="1200">
        <f t="shared" si="0"/>
        <v>0</v>
      </c>
      <c r="Q34" s="1200"/>
      <c r="R34" s="1200"/>
      <c r="S34" s="1200">
        <f t="shared" si="1"/>
        <v>0</v>
      </c>
      <c r="T34" s="1200"/>
      <c r="U34" s="1200"/>
      <c r="V34" s="1201"/>
    </row>
    <row r="35" spans="1:22">
      <c r="A35" s="1195"/>
      <c r="B35" s="1196"/>
      <c r="C35" s="1196"/>
      <c r="D35" s="1196"/>
      <c r="E35" s="1197">
        <f>IF(K35=0,0,(INDEX(AccountCodes[ACCOUNT NAME],MATCH(K35,AccountCodes[NGAS CODE],0))))</f>
        <v>0</v>
      </c>
      <c r="F35" s="1198"/>
      <c r="G35" s="1198"/>
      <c r="H35" s="1198"/>
      <c r="I35" s="1198"/>
      <c r="J35" s="1199"/>
      <c r="K35" s="133"/>
      <c r="L35" s="62">
        <f t="array" ref="L35">IF(K35=0,0,(INDEX(AccountCodes[PPSAS CODE],MATCH(K35,AccountCodes[NGAS CODE],0))))</f>
        <v>0</v>
      </c>
      <c r="M35" s="14"/>
      <c r="N35" s="89">
        <f t="array" ref="N35">SUM(IF((CRDJ[JEV Number]=TRIM($T$2))*(CRDJ[Account Code]=TRIM(K35)),CRDJ[Debit]))</f>
        <v>0</v>
      </c>
      <c r="O35" s="89">
        <f t="array" ref="O35">SUM(IF((CRDJ[JEV Number]=TRIM($T$2))*(CRDJ[Account Code]=TRIM(K35)),CRDJ[Credit]))</f>
        <v>0</v>
      </c>
      <c r="P35" s="1200">
        <f t="shared" si="0"/>
        <v>0</v>
      </c>
      <c r="Q35" s="1200"/>
      <c r="R35" s="1200"/>
      <c r="S35" s="1200">
        <f t="shared" si="1"/>
        <v>0</v>
      </c>
      <c r="T35" s="1200"/>
      <c r="U35" s="1200"/>
      <c r="V35" s="1201"/>
    </row>
    <row r="36" spans="1:22">
      <c r="A36" s="1195"/>
      <c r="B36" s="1196"/>
      <c r="C36" s="1196"/>
      <c r="D36" s="1196"/>
      <c r="E36" s="1202" t="s">
        <v>501</v>
      </c>
      <c r="F36" s="1203"/>
      <c r="G36" s="1203"/>
      <c r="H36" s="1203"/>
      <c r="I36" s="1203"/>
      <c r="J36" s="1206"/>
      <c r="K36" s="133"/>
      <c r="L36" s="62">
        <f t="array" ref="L36">IF(K36=0,0,(INDEX(AccountCodes[PPSAS CODE],MATCH(K36,AccountCodes[NGAS CODE],0))))</f>
        <v>0</v>
      </c>
      <c r="M36" s="14"/>
      <c r="N36" s="89">
        <f t="array" ref="N36">SUM(IF((CRDJ[JEV Number]=TRIM($T$2))*(CRDJ[Account Code]=TRIM(K36)),CRDJ[Debit]))</f>
        <v>0</v>
      </c>
      <c r="O36" s="89">
        <f t="array" ref="O36">SUM(IF((CRDJ[JEV Number]=TRIM($T$2))*(CRDJ[Account Code]=TRIM(K36)),CRDJ[Credit]))</f>
        <v>0</v>
      </c>
      <c r="P36" s="1200">
        <f>N36</f>
        <v>0</v>
      </c>
      <c r="Q36" s="1200"/>
      <c r="R36" s="1200"/>
      <c r="S36" s="1200">
        <f>O36</f>
        <v>0</v>
      </c>
      <c r="T36" s="1200"/>
      <c r="U36" s="1200"/>
      <c r="V36" s="1201"/>
    </row>
    <row r="37" spans="1:22">
      <c r="A37" s="1195"/>
      <c r="B37" s="1196"/>
      <c r="C37" s="1196"/>
      <c r="D37" s="1196"/>
      <c r="E37" s="1202" t="s">
        <v>457</v>
      </c>
      <c r="F37" s="1203"/>
      <c r="G37" s="1203"/>
      <c r="H37" s="1203"/>
      <c r="I37" s="1207" t="e">
        <f>T3</f>
        <v>#N/A</v>
      </c>
      <c r="J37" s="1208"/>
      <c r="K37" s="133"/>
      <c r="L37" s="62">
        <f t="array" ref="L37">IF(K37=0,0,(INDEX(AccountCodes[PPSAS CODE],MATCH(K37,AccountCodes[NGAS CODE],0))))</f>
        <v>0</v>
      </c>
      <c r="M37" s="14"/>
      <c r="N37" s="89">
        <f t="array" ref="N37">SUM(IF((CRDJ[JEV Number]=TRIM($T$2))*(CRDJ[Account Code]=TRIM(K37)),CRDJ[Debit]))</f>
        <v>0</v>
      </c>
      <c r="O37" s="89">
        <f t="array" ref="O37">SUM(IF((CRDJ[JEV Number]=TRIM($T$2))*(CRDJ[Account Code]=TRIM(K37)),CRDJ[Credit]))</f>
        <v>0</v>
      </c>
      <c r="P37" s="1200">
        <f>N37</f>
        <v>0</v>
      </c>
      <c r="Q37" s="1200"/>
      <c r="R37" s="1200"/>
      <c r="S37" s="1200">
        <f>O37</f>
        <v>0</v>
      </c>
      <c r="T37" s="1200"/>
      <c r="U37" s="1200"/>
      <c r="V37" s="1201"/>
    </row>
    <row r="38" spans="1:22">
      <c r="A38" s="1195"/>
      <c r="B38" s="1196"/>
      <c r="C38" s="1196"/>
      <c r="D38" s="1196"/>
      <c r="E38" s="1209" t="s">
        <v>720</v>
      </c>
      <c r="F38" s="1204"/>
      <c r="G38" s="1204"/>
      <c r="H38" s="1204"/>
      <c r="I38" s="1204" t="e">
        <f>IF(T2=0,0,(LOOKUP(T2,CRDJ[JEV Number],CRDJ[Collecting Officer/Office])))</f>
        <v>#N/A</v>
      </c>
      <c r="J38" s="1205"/>
      <c r="K38" s="133"/>
      <c r="L38" s="62">
        <f t="array" ref="L38">IF(K38=0,0,(INDEX(AccountCodes[PPSAS CODE],MATCH(K38,AccountCodes[NGAS CODE],0))))</f>
        <v>0</v>
      </c>
      <c r="M38" s="14"/>
      <c r="N38" s="89">
        <f t="array" ref="N38">SUM(IF((CRDJ[JEV Number]=TRIM($T$2))*(CRDJ[Account Code]=TRIM(K38)),CRDJ[Debit]))</f>
        <v>0</v>
      </c>
      <c r="O38" s="89">
        <f t="array" ref="O38">SUM(IF((CRDJ[JEV Number]=TRIM($T$2))*(CRDJ[Account Code]=TRIM(K38)),CRDJ[Credit]))</f>
        <v>0</v>
      </c>
      <c r="P38" s="1200">
        <f>N38</f>
        <v>0</v>
      </c>
      <c r="Q38" s="1200"/>
      <c r="R38" s="1200"/>
      <c r="S38" s="1200">
        <f>O38</f>
        <v>0</v>
      </c>
      <c r="T38" s="1200"/>
      <c r="U38" s="1200"/>
      <c r="V38" s="1201"/>
    </row>
    <row r="39" spans="1:22">
      <c r="A39" s="1195"/>
      <c r="B39" s="1196"/>
      <c r="C39" s="1196"/>
      <c r="D39" s="1196"/>
      <c r="E39" s="1202"/>
      <c r="F39" s="1203"/>
      <c r="G39" s="1203"/>
      <c r="H39" s="1203"/>
      <c r="I39" s="1204"/>
      <c r="J39" s="1205"/>
      <c r="K39" s="133"/>
      <c r="L39" s="62">
        <f t="array" ref="L39">IF(K39=0,0,(INDEX(AccountCodes[PPSAS CODE],MATCH(K39,AccountCodes[NGAS CODE],0))))</f>
        <v>0</v>
      </c>
      <c r="M39" s="14"/>
      <c r="N39" s="89">
        <f t="array" ref="N39">SUM(IF((CRDJ[JEV Number]=TRIM($T$2))*(CRDJ[Account Code]=TRIM(K39)),CRDJ[Debit]))</f>
        <v>0</v>
      </c>
      <c r="O39" s="89">
        <f t="array" ref="O39">SUM(IF((CRDJ[JEV Number]=TRIM($T$2))*(CRDJ[Account Code]=TRIM(K39)),CRDJ[Credit]))</f>
        <v>0</v>
      </c>
      <c r="P39" s="1200">
        <f>N39</f>
        <v>0</v>
      </c>
      <c r="Q39" s="1200"/>
      <c r="R39" s="1200"/>
      <c r="S39" s="1200">
        <f>O39</f>
        <v>0</v>
      </c>
      <c r="T39" s="1200"/>
      <c r="U39" s="1200"/>
      <c r="V39" s="1201"/>
    </row>
    <row r="40" spans="1:22">
      <c r="A40" s="1195"/>
      <c r="B40" s="1196"/>
      <c r="C40" s="1196"/>
      <c r="D40" s="1196"/>
      <c r="E40" s="1197" t="str">
        <f>IF(K40=0,"",(VLOOKUP((TRIM(K40)),Code,2,)))</f>
        <v/>
      </c>
      <c r="F40" s="1198"/>
      <c r="G40" s="1198"/>
      <c r="H40" s="1198"/>
      <c r="I40" s="1198"/>
      <c r="J40" s="1199"/>
      <c r="K40" s="133"/>
      <c r="L40" s="62">
        <f t="array" ref="L40">IF(K40=0,0,(INDEX(AccountCodes[PPSAS CODE],MATCH(K40,AccountCodes[NGAS CODE],0))))</f>
        <v>0</v>
      </c>
      <c r="M40" s="14"/>
      <c r="N40" s="89">
        <f t="array" ref="N40">SUM(IF((CRDJ[JEV Number]=TRIM($T$2))*(CRDJ[Account Code]=TRIM(K40)),CRDJ[Debit]))</f>
        <v>0</v>
      </c>
      <c r="O40" s="89">
        <f t="array" ref="O40">SUM(IF((CRDJ[JEV Number]=TRIM($T$2))*(CRDJ[Account Code]=TRIM(K40)),CRDJ[Credit]))</f>
        <v>0</v>
      </c>
      <c r="P40" s="1200">
        <f>N40</f>
        <v>0</v>
      </c>
      <c r="Q40" s="1200"/>
      <c r="R40" s="1200"/>
      <c r="S40" s="1200">
        <f>O40</f>
        <v>0</v>
      </c>
      <c r="T40" s="1200"/>
      <c r="U40" s="1200"/>
      <c r="V40" s="1201"/>
    </row>
    <row r="41" spans="1:22" ht="16.5" thickBot="1">
      <c r="A41" s="1188"/>
      <c r="B41" s="1189"/>
      <c r="C41" s="1189"/>
      <c r="D41" s="1189"/>
      <c r="E41" s="1189"/>
      <c r="F41" s="1189"/>
      <c r="G41" s="1189"/>
      <c r="H41" s="1189"/>
      <c r="I41" s="1189"/>
      <c r="J41" s="1189"/>
      <c r="K41" s="1189"/>
      <c r="L41" s="1189"/>
      <c r="M41" s="1190"/>
      <c r="N41" s="88"/>
      <c r="O41" s="88"/>
      <c r="P41" s="1191">
        <f>SUM(P11:R40)</f>
        <v>0</v>
      </c>
      <c r="Q41" s="1191"/>
      <c r="R41" s="1191"/>
      <c r="S41" s="1191">
        <f>SUM(S11:V40)</f>
        <v>0</v>
      </c>
      <c r="T41" s="1191"/>
      <c r="U41" s="1191"/>
      <c r="V41" s="1192"/>
    </row>
    <row r="42" spans="1:22">
      <c r="A42" s="63"/>
      <c r="B42" s="64"/>
      <c r="C42" s="64"/>
      <c r="D42" s="64"/>
      <c r="E42" s="64"/>
      <c r="F42" s="64"/>
      <c r="G42" s="64"/>
      <c r="H42" s="64"/>
      <c r="I42" s="65"/>
      <c r="J42" s="64"/>
      <c r="K42" s="66"/>
      <c r="L42" s="64"/>
      <c r="M42" s="65"/>
      <c r="N42" s="64"/>
      <c r="O42" s="64"/>
      <c r="P42" s="1193"/>
      <c r="Q42" s="1193"/>
      <c r="R42" s="1193"/>
      <c r="S42" s="1193"/>
      <c r="T42" s="1193"/>
      <c r="U42" s="1193"/>
      <c r="V42" s="1194"/>
    </row>
    <row r="43" spans="1:22">
      <c r="A43" s="67" t="s">
        <v>460</v>
      </c>
      <c r="B43"/>
      <c r="C43"/>
      <c r="D43"/>
      <c r="E43"/>
      <c r="F43"/>
      <c r="G43"/>
      <c r="H43"/>
      <c r="I43" s="68" t="s">
        <v>353</v>
      </c>
      <c r="J43" s="69"/>
      <c r="K43" s="69"/>
      <c r="L43"/>
      <c r="M43" s="68" t="s">
        <v>461</v>
      </c>
      <c r="N43" s="69"/>
      <c r="O43" s="69"/>
      <c r="P43" s="70"/>
      <c r="Q43" s="70"/>
      <c r="R43" s="70"/>
      <c r="S43" s="70"/>
      <c r="T43" s="70"/>
      <c r="U43" s="70"/>
      <c r="V43" s="71"/>
    </row>
    <row r="44" spans="1:22">
      <c r="A44" s="37"/>
      <c r="B44"/>
      <c r="C44"/>
      <c r="D44"/>
      <c r="E44"/>
      <c r="F44"/>
      <c r="G44"/>
      <c r="H44"/>
      <c r="I44" s="72"/>
      <c r="J44"/>
      <c r="K44"/>
      <c r="L44"/>
      <c r="M44" s="72"/>
      <c r="N44"/>
      <c r="O44"/>
      <c r="P44"/>
      <c r="Q44"/>
      <c r="R44"/>
      <c r="S44"/>
      <c r="T44"/>
      <c r="U44"/>
      <c r="V44" s="73"/>
    </row>
    <row r="45" spans="1:22">
      <c r="A45" s="74"/>
      <c r="B45" s="75"/>
      <c r="C45" s="75"/>
      <c r="D45" s="75"/>
      <c r="E45" s="75"/>
      <c r="F45" s="75"/>
      <c r="G45" s="75"/>
      <c r="H45" s="76"/>
      <c r="I45" s="77" t="s">
        <v>1559</v>
      </c>
      <c r="J45" s="75"/>
      <c r="K45" s="75"/>
      <c r="L45" s="76"/>
      <c r="M45" s="77" t="s">
        <v>1591</v>
      </c>
      <c r="N45" s="75"/>
      <c r="O45" s="75"/>
      <c r="P45" s="75"/>
      <c r="Q45" s="75"/>
      <c r="R45" s="75"/>
      <c r="S45" s="75"/>
      <c r="T45" s="75"/>
      <c r="U45" s="75"/>
      <c r="V45" s="78"/>
    </row>
    <row r="46" spans="1:22">
      <c r="A46" s="79"/>
      <c r="B46" s="80"/>
      <c r="C46" s="80"/>
      <c r="D46" s="80"/>
      <c r="E46" s="80"/>
      <c r="F46" s="80"/>
      <c r="G46" s="80"/>
      <c r="H46" s="80"/>
      <c r="I46" s="81" t="s">
        <v>1635</v>
      </c>
      <c r="J46" s="80"/>
      <c r="K46" s="80"/>
      <c r="L46" s="80"/>
      <c r="M46" s="81" t="s">
        <v>464</v>
      </c>
      <c r="N46" s="80"/>
      <c r="O46" s="80"/>
      <c r="P46" s="82"/>
      <c r="Q46" s="82"/>
      <c r="R46" s="82"/>
      <c r="S46" s="82"/>
      <c r="T46" s="82"/>
      <c r="U46" s="82"/>
      <c r="V46" s="83"/>
    </row>
    <row r="47" spans="1:22" ht="16.5" thickBot="1">
      <c r="A47" s="84" t="s">
        <v>465</v>
      </c>
      <c r="B47" s="43"/>
      <c r="C47" s="43"/>
      <c r="D47" s="43"/>
      <c r="E47" s="43"/>
      <c r="F47" s="43"/>
      <c r="G47" s="43"/>
      <c r="H47" s="43"/>
      <c r="I47" s="85"/>
      <c r="J47" s="43"/>
      <c r="K47" s="43"/>
      <c r="L47" s="43"/>
      <c r="M47" s="85"/>
      <c r="N47" s="43"/>
      <c r="O47" s="43"/>
      <c r="P47" s="43"/>
      <c r="Q47" s="43"/>
      <c r="R47" s="43"/>
      <c r="S47" s="43"/>
      <c r="T47" s="43"/>
      <c r="U47" s="43"/>
      <c r="V47" s="44"/>
    </row>
    <row r="48" spans="1:22" ht="22.5">
      <c r="A48" s="31" t="s">
        <v>441</v>
      </c>
      <c r="B48" s="32"/>
      <c r="C48" s="32"/>
      <c r="D48" s="32"/>
      <c r="E48" s="32"/>
      <c r="F48" s="32"/>
      <c r="G48" s="32"/>
      <c r="H48" s="32"/>
      <c r="I48" s="32"/>
      <c r="J48" s="32"/>
      <c r="K48" s="32"/>
      <c r="L48" s="32"/>
      <c r="M48" s="32"/>
      <c r="N48" s="32"/>
      <c r="O48" s="32"/>
      <c r="P48" s="32"/>
      <c r="Q48" s="33"/>
      <c r="R48" s="1218">
        <f>+P88-S88</f>
        <v>0</v>
      </c>
      <c r="S48" s="1219"/>
      <c r="T48" s="1219"/>
      <c r="U48" s="1219"/>
      <c r="V48" s="1220"/>
    </row>
    <row r="49" spans="1:22">
      <c r="A49" s="34" t="s">
        <v>442</v>
      </c>
      <c r="B49" s="35"/>
      <c r="C49" s="35"/>
      <c r="D49" s="35"/>
      <c r="E49" s="35"/>
      <c r="F49" s="35"/>
      <c r="G49" s="35"/>
      <c r="H49" s="35"/>
      <c r="I49" s="35"/>
      <c r="J49" s="35"/>
      <c r="K49" s="35"/>
      <c r="L49" s="35"/>
      <c r="M49" s="35"/>
      <c r="N49" s="35"/>
      <c r="O49" s="35"/>
      <c r="P49" s="35"/>
      <c r="Q49" s="36"/>
      <c r="R49" s="37" t="s">
        <v>443</v>
      </c>
      <c r="S49"/>
      <c r="T49" s="1221"/>
      <c r="U49" s="1221"/>
      <c r="V49" s="1222"/>
    </row>
    <row r="50" spans="1:22">
      <c r="A50" s="38" t="s">
        <v>444</v>
      </c>
      <c r="B50" s="35"/>
      <c r="C50" s="35"/>
      <c r="D50" s="35"/>
      <c r="E50" s="35"/>
      <c r="F50" s="35"/>
      <c r="G50" s="35"/>
      <c r="H50" s="35"/>
      <c r="I50" s="35"/>
      <c r="J50" s="35"/>
      <c r="K50" s="35"/>
      <c r="L50" s="35"/>
      <c r="M50" s="35"/>
      <c r="N50" s="35"/>
      <c r="O50" s="35"/>
      <c r="P50" s="35"/>
      <c r="Q50" s="36"/>
      <c r="R50" s="37" t="s">
        <v>0</v>
      </c>
      <c r="S50"/>
      <c r="T50" s="1223">
        <f>IF(T49=0,0,(LOOKUP(T49,CRDJ[JEV Number],CRDJ[Date])))</f>
        <v>0</v>
      </c>
      <c r="U50" s="1223"/>
      <c r="V50" s="1224"/>
    </row>
    <row r="51" spans="1:22" ht="16.5" thickBot="1">
      <c r="A51" s="39"/>
      <c r="B51" s="40"/>
      <c r="C51" s="40"/>
      <c r="D51" s="40"/>
      <c r="E51" s="40"/>
      <c r="F51" s="40"/>
      <c r="G51" s="40"/>
      <c r="H51" s="40"/>
      <c r="I51" s="40"/>
      <c r="J51" s="40"/>
      <c r="K51" s="40"/>
      <c r="L51" s="40"/>
      <c r="M51" s="40"/>
      <c r="N51" s="40"/>
      <c r="O51" s="40"/>
      <c r="P51" s="40"/>
      <c r="Q51" s="41"/>
      <c r="R51" s="42"/>
      <c r="S51" s="43"/>
      <c r="T51" s="43"/>
      <c r="U51" s="43"/>
      <c r="V51" s="44"/>
    </row>
    <row r="52" spans="1:22">
      <c r="A52" s="45"/>
      <c r="B52" s="46"/>
      <c r="C52" s="46"/>
      <c r="D52" s="46"/>
      <c r="E52" s="46"/>
      <c r="F52" s="46"/>
      <c r="G52" s="46"/>
      <c r="H52" s="46"/>
      <c r="I52" s="46"/>
      <c r="J52" s="46"/>
      <c r="K52" s="46"/>
      <c r="L52" s="47"/>
      <c r="M52" s="46"/>
      <c r="N52" s="46"/>
      <c r="O52" s="46"/>
      <c r="P52" s="46"/>
      <c r="Q52" s="46"/>
      <c r="R52" s="46"/>
      <c r="S52" s="46"/>
      <c r="T52" s="46"/>
      <c r="U52" s="46"/>
      <c r="V52" s="48"/>
    </row>
    <row r="53" spans="1:22">
      <c r="A53" s="49"/>
      <c r="B53" s="1225" t="s">
        <v>446</v>
      </c>
      <c r="C53" s="1225"/>
      <c r="D53" s="50" t="s">
        <v>445</v>
      </c>
      <c r="H53" s="51"/>
      <c r="I53" s="25" t="s">
        <v>447</v>
      </c>
      <c r="J53" s="14"/>
      <c r="K53" s="52" t="s">
        <v>448</v>
      </c>
      <c r="L53" s="52"/>
      <c r="Q53" s="1225"/>
      <c r="R53" s="1225"/>
      <c r="S53" s="50" t="s">
        <v>449</v>
      </c>
      <c r="T53" s="50"/>
      <c r="U53" s="50"/>
      <c r="V53" s="53"/>
    </row>
    <row r="54" spans="1:22" ht="16.5" thickBot="1">
      <c r="A54" s="54"/>
      <c r="B54" s="55"/>
      <c r="C54" s="55"/>
      <c r="D54" s="55"/>
      <c r="E54" s="55"/>
      <c r="F54" s="55"/>
      <c r="G54" s="55"/>
      <c r="H54" s="55"/>
      <c r="I54" s="55"/>
      <c r="J54" s="55"/>
      <c r="K54" s="55"/>
      <c r="L54" s="56"/>
      <c r="M54" s="55"/>
      <c r="N54" s="55"/>
      <c r="O54" s="55"/>
      <c r="P54" s="55"/>
      <c r="Q54" s="55"/>
      <c r="R54" s="55"/>
      <c r="S54" s="55"/>
      <c r="T54" s="55"/>
      <c r="U54" s="55"/>
      <c r="V54" s="57"/>
    </row>
    <row r="55" spans="1:22">
      <c r="A55" s="1226" t="s">
        <v>397</v>
      </c>
      <c r="B55" s="1227"/>
      <c r="C55" s="1227"/>
      <c r="D55" s="1228"/>
      <c r="E55" s="1235" t="s">
        <v>450</v>
      </c>
      <c r="F55" s="1235"/>
      <c r="G55" s="1235"/>
      <c r="H55" s="1235"/>
      <c r="I55" s="1235"/>
      <c r="J55" s="1235"/>
      <c r="K55" s="1235"/>
      <c r="L55" s="1235"/>
      <c r="M55" s="1235"/>
      <c r="N55" s="1235"/>
      <c r="O55" s="1235"/>
      <c r="P55" s="1235"/>
      <c r="Q55" s="1235"/>
      <c r="R55" s="1235"/>
      <c r="S55" s="1235"/>
      <c r="T55" s="1235"/>
      <c r="U55" s="1235"/>
      <c r="V55" s="1236"/>
    </row>
    <row r="56" spans="1:22">
      <c r="A56" s="1229"/>
      <c r="B56" s="1230"/>
      <c r="C56" s="1230"/>
      <c r="D56" s="1231"/>
      <c r="E56" s="1237" t="s">
        <v>451</v>
      </c>
      <c r="F56" s="1237"/>
      <c r="G56" s="1237"/>
      <c r="H56" s="1237"/>
      <c r="I56" s="1237"/>
      <c r="J56" s="1237"/>
      <c r="K56" s="1239" t="s">
        <v>378</v>
      </c>
      <c r="L56" s="1239"/>
      <c r="M56" s="1237" t="s">
        <v>452</v>
      </c>
      <c r="N56" s="1240" t="s">
        <v>453</v>
      </c>
      <c r="O56" s="1241"/>
      <c r="P56" s="1241"/>
      <c r="Q56" s="1241"/>
      <c r="R56" s="1241"/>
      <c r="S56" s="1241"/>
      <c r="T56" s="1241"/>
      <c r="U56" s="1241"/>
      <c r="V56" s="1242"/>
    </row>
    <row r="57" spans="1:22" ht="16.5" customHeight="1" thickBot="1">
      <c r="A57" s="1232"/>
      <c r="B57" s="1233"/>
      <c r="C57" s="1233"/>
      <c r="D57" s="1234"/>
      <c r="E57" s="1238"/>
      <c r="F57" s="1238"/>
      <c r="G57" s="1238"/>
      <c r="H57" s="1238"/>
      <c r="I57" s="1238"/>
      <c r="J57" s="1238"/>
      <c r="K57" s="58" t="s">
        <v>454</v>
      </c>
      <c r="L57" s="58" t="s">
        <v>455</v>
      </c>
      <c r="M57" s="1238"/>
      <c r="N57" s="87" t="s">
        <v>466</v>
      </c>
      <c r="O57" s="87" t="s">
        <v>467</v>
      </c>
      <c r="P57" s="1243" t="s">
        <v>1</v>
      </c>
      <c r="Q57" s="1244"/>
      <c r="R57" s="1245"/>
      <c r="S57" s="1243" t="s">
        <v>2</v>
      </c>
      <c r="T57" s="1244"/>
      <c r="U57" s="1244"/>
      <c r="V57" s="1246"/>
    </row>
    <row r="58" spans="1:22" ht="19.5">
      <c r="A58" s="1210">
        <f>P88-S88</f>
        <v>0</v>
      </c>
      <c r="B58" s="1211"/>
      <c r="C58" s="1211"/>
      <c r="D58" s="1211"/>
      <c r="E58" s="1212" t="str">
        <f>Account!$G$1</f>
        <v>FUND 501 CARP</v>
      </c>
      <c r="F58" s="1213"/>
      <c r="G58" s="1213"/>
      <c r="H58" s="1213"/>
      <c r="I58" s="1213"/>
      <c r="J58" s="1214"/>
      <c r="K58" s="59"/>
      <c r="L58" s="59"/>
      <c r="M58" s="60"/>
      <c r="N58" s="60"/>
      <c r="O58" s="60"/>
      <c r="P58" s="1215"/>
      <c r="Q58" s="1215"/>
      <c r="R58" s="1215"/>
      <c r="S58" s="1215"/>
      <c r="T58" s="1215"/>
      <c r="U58" s="1215"/>
      <c r="V58" s="1216"/>
    </row>
    <row r="59" spans="1:22">
      <c r="A59" s="1195"/>
      <c r="B59" s="1196"/>
      <c r="C59" s="1196"/>
      <c r="D59" s="1196"/>
      <c r="E59" s="1196"/>
      <c r="F59" s="1196"/>
      <c r="G59" s="1196"/>
      <c r="H59" s="1196"/>
      <c r="I59" s="1196"/>
      <c r="J59" s="1196"/>
      <c r="K59" s="61"/>
      <c r="L59" s="61"/>
      <c r="M59" s="14"/>
      <c r="N59" s="14"/>
      <c r="O59" s="14"/>
      <c r="P59" s="1196"/>
      <c r="Q59" s="1196"/>
      <c r="R59" s="1196"/>
      <c r="S59" s="1196"/>
      <c r="T59" s="1196"/>
      <c r="U59" s="1196"/>
      <c r="V59" s="1217"/>
    </row>
    <row r="60" spans="1:22">
      <c r="A60" s="1195"/>
      <c r="B60" s="1196"/>
      <c r="C60" s="1196"/>
      <c r="D60" s="1196"/>
      <c r="E60" s="1197" t="str">
        <f t="shared" ref="E60:E82" si="2">IF(K60=0,"",(VLOOKUP((TRIM(K60)),Code,2,)))</f>
        <v/>
      </c>
      <c r="F60" s="1198"/>
      <c r="G60" s="1198"/>
      <c r="H60" s="1198"/>
      <c r="I60" s="1198"/>
      <c r="J60" s="1199"/>
      <c r="K60" s="133"/>
      <c r="L60" s="62" t="str">
        <f t="shared" ref="L60:L87" si="3">IF(K60=0,"",VLOOKUP((TRIM(K60)),Code,3,))</f>
        <v/>
      </c>
      <c r="M60" s="14"/>
      <c r="N60" s="89">
        <f t="array" ref="N60">SUM(IF((CRDJ[JEV Number]=TRIM($T49))*(CRDJ[Account Code]=TRIM(K60)),CRDJ[Debit]))</f>
        <v>0</v>
      </c>
      <c r="O60" s="89">
        <f t="array" ref="O60">SUM(IF((CRDJ[JEV Number]=TRIM($T49))*(CRDJ[Account Code]=TRIM(K60)),CRDJ[Credit]))</f>
        <v>0</v>
      </c>
      <c r="P60" s="1200">
        <f>N60</f>
        <v>0</v>
      </c>
      <c r="Q60" s="1200"/>
      <c r="R60" s="1200"/>
      <c r="S60" s="1200">
        <f>O60</f>
        <v>0</v>
      </c>
      <c r="T60" s="1200"/>
      <c r="U60" s="1200"/>
      <c r="V60" s="1201"/>
    </row>
    <row r="61" spans="1:22">
      <c r="A61" s="1195"/>
      <c r="B61" s="1196"/>
      <c r="C61" s="1196"/>
      <c r="D61" s="1196"/>
      <c r="E61" s="1197" t="str">
        <f t="shared" si="2"/>
        <v/>
      </c>
      <c r="F61" s="1198"/>
      <c r="G61" s="1198"/>
      <c r="H61" s="1198"/>
      <c r="I61" s="1198"/>
      <c r="J61" s="1199"/>
      <c r="K61" s="133"/>
      <c r="L61" s="62" t="str">
        <f t="shared" si="3"/>
        <v/>
      </c>
      <c r="M61" s="14"/>
      <c r="N61" s="89">
        <f t="array" ref="N61">SUM(IF((CRDJ[JEV Number]=TRIM($T49))*(CRDJ[Account Code]=TRIM(K61)),CRDJ[Debit]))</f>
        <v>0</v>
      </c>
      <c r="O61" s="89">
        <f t="array" ref="O61">SUM(IF((CRDJ[JEV Number]=TRIM($T49))*(CRDJ[Account Code]=TRIM(K61)),CRDJ[Credit]))</f>
        <v>0</v>
      </c>
      <c r="P61" s="1200">
        <f>N61</f>
        <v>0</v>
      </c>
      <c r="Q61" s="1200"/>
      <c r="R61" s="1200"/>
      <c r="S61" s="1200">
        <f>O61</f>
        <v>0</v>
      </c>
      <c r="T61" s="1200"/>
      <c r="U61" s="1200"/>
      <c r="V61" s="1201"/>
    </row>
    <row r="62" spans="1:22">
      <c r="A62" s="1195"/>
      <c r="B62" s="1196"/>
      <c r="C62" s="1196"/>
      <c r="D62" s="1196"/>
      <c r="E62" s="1197" t="str">
        <f t="shared" si="2"/>
        <v/>
      </c>
      <c r="F62" s="1198"/>
      <c r="G62" s="1198"/>
      <c r="H62" s="1198"/>
      <c r="I62" s="1198"/>
      <c r="J62" s="1199"/>
      <c r="K62" s="133"/>
      <c r="L62" s="62" t="str">
        <f t="shared" si="3"/>
        <v/>
      </c>
      <c r="M62" s="14"/>
      <c r="N62" s="89">
        <f t="array" ref="N62">SUM(IF((CRDJ[JEV Number]=TRIM($T49))*(CRDJ[Account Code]=TRIM(K62)),CRDJ[Debit]))</f>
        <v>0</v>
      </c>
      <c r="O62" s="89">
        <f t="array" ref="O62">SUM(IF((CRDJ[JEV Number]=TRIM($T49))*(CRDJ[Account Code]=TRIM(K62)),CRDJ[Credit]))</f>
        <v>0</v>
      </c>
      <c r="P62" s="1200">
        <f t="shared" ref="P62:P87" si="4">N62</f>
        <v>0</v>
      </c>
      <c r="Q62" s="1200"/>
      <c r="R62" s="1200"/>
      <c r="S62" s="1200">
        <f t="shared" ref="S62:S87" si="5">O62</f>
        <v>0</v>
      </c>
      <c r="T62" s="1200"/>
      <c r="U62" s="1200"/>
      <c r="V62" s="1201"/>
    </row>
    <row r="63" spans="1:22">
      <c r="A63" s="1195"/>
      <c r="B63" s="1196"/>
      <c r="C63" s="1196"/>
      <c r="D63" s="1196"/>
      <c r="E63" s="1197" t="str">
        <f t="shared" si="2"/>
        <v/>
      </c>
      <c r="F63" s="1198"/>
      <c r="G63" s="1198"/>
      <c r="H63" s="1198"/>
      <c r="I63" s="1198"/>
      <c r="J63" s="1199"/>
      <c r="K63" s="133"/>
      <c r="L63" s="62" t="str">
        <f t="shared" si="3"/>
        <v/>
      </c>
      <c r="M63" s="14"/>
      <c r="N63" s="89">
        <f t="array" ref="N63">SUM(IF((CRDJ[JEV Number]=TRIM($T49))*(CRDJ[Account Code]=TRIM(K63)),CRDJ[Debit]))</f>
        <v>0</v>
      </c>
      <c r="O63" s="89">
        <f t="array" ref="O63">SUM(IF((CRDJ[JEV Number]=TRIM($T49))*(CRDJ[Account Code]=TRIM(K63)),CRDJ[Credit]))</f>
        <v>0</v>
      </c>
      <c r="P63" s="1200">
        <f t="shared" si="4"/>
        <v>0</v>
      </c>
      <c r="Q63" s="1200"/>
      <c r="R63" s="1200"/>
      <c r="S63" s="1200">
        <f t="shared" si="5"/>
        <v>0</v>
      </c>
      <c r="T63" s="1200"/>
      <c r="U63" s="1200"/>
      <c r="V63" s="1201"/>
    </row>
    <row r="64" spans="1:22">
      <c r="A64" s="1195"/>
      <c r="B64" s="1196"/>
      <c r="C64" s="1196"/>
      <c r="D64" s="1196"/>
      <c r="E64" s="1197" t="str">
        <f t="shared" si="2"/>
        <v/>
      </c>
      <c r="F64" s="1198"/>
      <c r="G64" s="1198"/>
      <c r="H64" s="1198"/>
      <c r="I64" s="1198"/>
      <c r="J64" s="1199"/>
      <c r="K64" s="133"/>
      <c r="L64" s="62" t="str">
        <f t="shared" si="3"/>
        <v/>
      </c>
      <c r="M64" s="14"/>
      <c r="N64" s="89">
        <f t="array" ref="N64">SUM(IF((CRDJ[JEV Number]=TRIM($T49))*(CRDJ[Account Code]=TRIM(K64)),CRDJ[Debit]))</f>
        <v>0</v>
      </c>
      <c r="O64" s="89">
        <f t="array" ref="O64">SUM(IF((CRDJ[JEV Number]=TRIM($T49))*(CRDJ[Account Code]=TRIM(K64)),CRDJ[Credit]))</f>
        <v>0</v>
      </c>
      <c r="P64" s="1200">
        <f t="shared" si="4"/>
        <v>0</v>
      </c>
      <c r="Q64" s="1200"/>
      <c r="R64" s="1200"/>
      <c r="S64" s="1200">
        <f t="shared" si="5"/>
        <v>0</v>
      </c>
      <c r="T64" s="1200"/>
      <c r="U64" s="1200"/>
      <c r="V64" s="1201"/>
    </row>
    <row r="65" spans="1:22">
      <c r="A65" s="1195"/>
      <c r="B65" s="1196"/>
      <c r="C65" s="1196"/>
      <c r="D65" s="1196"/>
      <c r="E65" s="1197" t="str">
        <f t="shared" si="2"/>
        <v/>
      </c>
      <c r="F65" s="1198"/>
      <c r="G65" s="1198"/>
      <c r="H65" s="1198"/>
      <c r="I65" s="1198"/>
      <c r="J65" s="1199"/>
      <c r="K65" s="133"/>
      <c r="L65" s="62" t="str">
        <f t="shared" si="3"/>
        <v/>
      </c>
      <c r="M65" s="14"/>
      <c r="N65" s="89">
        <f t="array" ref="N65">SUM(IF((CRDJ[JEV Number]=TRIM($T49))*(CRDJ[Account Code]=TRIM(K65)),CRDJ[Debit]))</f>
        <v>0</v>
      </c>
      <c r="O65" s="89">
        <f t="array" ref="O65">SUM(IF((CRDJ[JEV Number]=TRIM($T49))*(CRDJ[Account Code]=TRIM(K65)),CRDJ[Credit]))</f>
        <v>0</v>
      </c>
      <c r="P65" s="1200">
        <f t="shared" si="4"/>
        <v>0</v>
      </c>
      <c r="Q65" s="1200"/>
      <c r="R65" s="1200"/>
      <c r="S65" s="1200">
        <f t="shared" si="5"/>
        <v>0</v>
      </c>
      <c r="T65" s="1200"/>
      <c r="U65" s="1200"/>
      <c r="V65" s="1201"/>
    </row>
    <row r="66" spans="1:22">
      <c r="A66" s="1195"/>
      <c r="B66" s="1196"/>
      <c r="C66" s="1196"/>
      <c r="D66" s="1196"/>
      <c r="E66" s="1197" t="str">
        <f t="shared" si="2"/>
        <v/>
      </c>
      <c r="F66" s="1198"/>
      <c r="G66" s="1198"/>
      <c r="H66" s="1198"/>
      <c r="I66" s="1198"/>
      <c r="J66" s="1199"/>
      <c r="K66" s="133"/>
      <c r="L66" s="62" t="str">
        <f t="shared" si="3"/>
        <v/>
      </c>
      <c r="M66" s="14"/>
      <c r="N66" s="89">
        <f t="array" ref="N66">SUM(IF((CRDJ[JEV Number]=TRIM($T49))*(CRDJ[Account Code]=TRIM(K66)),CRDJ[Debit]))</f>
        <v>0</v>
      </c>
      <c r="O66" s="89">
        <f t="array" ref="O66">SUM(IF((CRDJ[JEV Number]=TRIM($T49))*(CRDJ[Account Code]=TRIM(K66)),CRDJ[Credit]))</f>
        <v>0</v>
      </c>
      <c r="P66" s="1200">
        <f t="shared" si="4"/>
        <v>0</v>
      </c>
      <c r="Q66" s="1200"/>
      <c r="R66" s="1200"/>
      <c r="S66" s="1200">
        <f t="shared" si="5"/>
        <v>0</v>
      </c>
      <c r="T66" s="1200"/>
      <c r="U66" s="1200"/>
      <c r="V66" s="1201"/>
    </row>
    <row r="67" spans="1:22">
      <c r="A67" s="1195"/>
      <c r="B67" s="1196"/>
      <c r="C67" s="1196"/>
      <c r="D67" s="1196"/>
      <c r="E67" s="1197" t="str">
        <f t="shared" si="2"/>
        <v/>
      </c>
      <c r="F67" s="1198"/>
      <c r="G67" s="1198"/>
      <c r="H67" s="1198"/>
      <c r="I67" s="1198"/>
      <c r="J67" s="1199"/>
      <c r="K67" s="133"/>
      <c r="L67" s="62" t="str">
        <f t="shared" si="3"/>
        <v/>
      </c>
      <c r="M67" s="14"/>
      <c r="N67" s="89">
        <f t="array" ref="N67">SUM(IF((CRDJ[JEV Number]=TRIM($T49))*(CRDJ[Account Code]=TRIM(K67)),CRDJ[Debit]))</f>
        <v>0</v>
      </c>
      <c r="O67" s="89">
        <f t="array" ref="O67">SUM(IF((CRDJ[JEV Number]=TRIM($T49))*(CRDJ[Account Code]=TRIM(K67)),CRDJ[Credit]))</f>
        <v>0</v>
      </c>
      <c r="P67" s="1200">
        <f t="shared" si="4"/>
        <v>0</v>
      </c>
      <c r="Q67" s="1200"/>
      <c r="R67" s="1200"/>
      <c r="S67" s="1200">
        <f t="shared" si="5"/>
        <v>0</v>
      </c>
      <c r="T67" s="1200"/>
      <c r="U67" s="1200"/>
      <c r="V67" s="1201"/>
    </row>
    <row r="68" spans="1:22">
      <c r="A68" s="1195"/>
      <c r="B68" s="1196"/>
      <c r="C68" s="1196"/>
      <c r="D68" s="1196"/>
      <c r="E68" s="1197" t="str">
        <f t="shared" si="2"/>
        <v/>
      </c>
      <c r="F68" s="1198"/>
      <c r="G68" s="1198"/>
      <c r="H68" s="1198"/>
      <c r="I68" s="1198"/>
      <c r="J68" s="1199"/>
      <c r="K68" s="134"/>
      <c r="L68" s="62" t="str">
        <f t="shared" si="3"/>
        <v/>
      </c>
      <c r="M68" s="14"/>
      <c r="N68" s="89">
        <f t="array" ref="N68">SUM(IF((CRDJ[JEV Number]=TRIM($T49))*(CRDJ[Account Code]=TRIM(K68)),CRDJ[Debit]))</f>
        <v>0</v>
      </c>
      <c r="O68" s="89">
        <f t="array" ref="O68">SUM(IF((CRDJ[JEV Number]=TRIM($T49))*(CRDJ[Account Code]=TRIM(K68)),CRDJ[Credit]))</f>
        <v>0</v>
      </c>
      <c r="P68" s="1200">
        <f t="shared" si="4"/>
        <v>0</v>
      </c>
      <c r="Q68" s="1200"/>
      <c r="R68" s="1200"/>
      <c r="S68" s="1200">
        <f t="shared" si="5"/>
        <v>0</v>
      </c>
      <c r="T68" s="1200"/>
      <c r="U68" s="1200"/>
      <c r="V68" s="1201"/>
    </row>
    <row r="69" spans="1:22">
      <c r="A69" s="1195"/>
      <c r="B69" s="1196"/>
      <c r="C69" s="1196"/>
      <c r="D69" s="1196"/>
      <c r="E69" s="1197" t="str">
        <f t="shared" si="2"/>
        <v/>
      </c>
      <c r="F69" s="1198"/>
      <c r="G69" s="1198"/>
      <c r="H69" s="1198"/>
      <c r="I69" s="1198"/>
      <c r="J69" s="1199"/>
      <c r="K69" s="134"/>
      <c r="L69" s="62" t="str">
        <f t="shared" si="3"/>
        <v/>
      </c>
      <c r="M69" s="14"/>
      <c r="N69" s="89">
        <f t="array" ref="N69">SUM(IF((CRDJ[JEV Number]=TRIM($T49))*(CRDJ[Account Code]=TRIM(K69)),CRDJ[Debit]))</f>
        <v>0</v>
      </c>
      <c r="O69" s="89">
        <f t="array" ref="O69">SUM(IF((CRDJ[JEV Number]=TRIM($T49))*(CRDJ[Account Code]=TRIM(K69)),CRDJ[Credit]))</f>
        <v>0</v>
      </c>
      <c r="P69" s="1200">
        <f t="shared" si="4"/>
        <v>0</v>
      </c>
      <c r="Q69" s="1200"/>
      <c r="R69" s="1200"/>
      <c r="S69" s="1200">
        <f t="shared" si="5"/>
        <v>0</v>
      </c>
      <c r="T69" s="1200"/>
      <c r="U69" s="1200"/>
      <c r="V69" s="1201"/>
    </row>
    <row r="70" spans="1:22">
      <c r="A70" s="1195"/>
      <c r="B70" s="1196"/>
      <c r="C70" s="1196"/>
      <c r="D70" s="1196"/>
      <c r="E70" s="1197" t="str">
        <f t="shared" si="2"/>
        <v/>
      </c>
      <c r="F70" s="1198"/>
      <c r="G70" s="1198"/>
      <c r="H70" s="1198"/>
      <c r="I70" s="1198"/>
      <c r="J70" s="1199"/>
      <c r="K70" s="134"/>
      <c r="L70" s="62" t="str">
        <f t="shared" si="3"/>
        <v/>
      </c>
      <c r="M70" s="14"/>
      <c r="N70" s="89">
        <f t="array" ref="N70">SUM(IF((CRDJ[JEV Number]=TRIM($T49))*(CRDJ[Account Code]=TRIM(K70)),CRDJ[Debit]))</f>
        <v>0</v>
      </c>
      <c r="O70" s="89">
        <f t="array" ref="O70">SUM(IF((CRDJ[JEV Number]=TRIM($T49))*(CRDJ[Account Code]=TRIM(K70)),CRDJ[Credit]))</f>
        <v>0</v>
      </c>
      <c r="P70" s="1200">
        <f t="shared" si="4"/>
        <v>0</v>
      </c>
      <c r="Q70" s="1200"/>
      <c r="R70" s="1200"/>
      <c r="S70" s="1200">
        <f t="shared" si="5"/>
        <v>0</v>
      </c>
      <c r="T70" s="1200"/>
      <c r="U70" s="1200"/>
      <c r="V70" s="1201"/>
    </row>
    <row r="71" spans="1:22">
      <c r="A71" s="1195"/>
      <c r="B71" s="1196"/>
      <c r="C71" s="1196"/>
      <c r="D71" s="1196"/>
      <c r="E71" s="1197" t="str">
        <f t="shared" si="2"/>
        <v/>
      </c>
      <c r="F71" s="1198"/>
      <c r="G71" s="1198"/>
      <c r="H71" s="1198"/>
      <c r="I71" s="1198"/>
      <c r="J71" s="1199"/>
      <c r="K71" s="134"/>
      <c r="L71" s="62" t="str">
        <f t="shared" si="3"/>
        <v/>
      </c>
      <c r="M71" s="14"/>
      <c r="N71" s="89">
        <f t="array" ref="N71">SUM(IF((CRDJ[JEV Number]=TRIM($T49))*(CRDJ[Account Code]=TRIM(K71)),CRDJ[Debit]))</f>
        <v>0</v>
      </c>
      <c r="O71" s="89">
        <f t="array" ref="O71">SUM(IF((CRDJ[JEV Number]=TRIM($T49))*(CRDJ[Account Code]=TRIM(K71)),CRDJ[Credit]))</f>
        <v>0</v>
      </c>
      <c r="P71" s="1200">
        <f t="shared" si="4"/>
        <v>0</v>
      </c>
      <c r="Q71" s="1200"/>
      <c r="R71" s="1200"/>
      <c r="S71" s="1200">
        <f t="shared" si="5"/>
        <v>0</v>
      </c>
      <c r="T71" s="1200"/>
      <c r="U71" s="1200"/>
      <c r="V71" s="1201"/>
    </row>
    <row r="72" spans="1:22">
      <c r="A72" s="1195"/>
      <c r="B72" s="1196"/>
      <c r="C72" s="1196"/>
      <c r="D72" s="1196"/>
      <c r="E72" s="1197" t="str">
        <f t="shared" si="2"/>
        <v/>
      </c>
      <c r="F72" s="1198"/>
      <c r="G72" s="1198"/>
      <c r="H72" s="1198"/>
      <c r="I72" s="1198"/>
      <c r="J72" s="1199"/>
      <c r="K72" s="134"/>
      <c r="L72" s="62" t="str">
        <f t="shared" si="3"/>
        <v/>
      </c>
      <c r="M72" s="14"/>
      <c r="N72" s="89">
        <f t="array" ref="N72">SUM(IF((CRDJ[JEV Number]=TRIM($T49))*(CRDJ[Account Code]=TRIM(K72)),CRDJ[Debit]))</f>
        <v>0</v>
      </c>
      <c r="O72" s="89">
        <f t="array" ref="O72">SUM(IF((CRDJ[JEV Number]=TRIM($T49))*(CRDJ[Account Code]=TRIM(K72)),CRDJ[Credit]))</f>
        <v>0</v>
      </c>
      <c r="P72" s="1200">
        <f t="shared" si="4"/>
        <v>0</v>
      </c>
      <c r="Q72" s="1200"/>
      <c r="R72" s="1200"/>
      <c r="S72" s="1200">
        <f t="shared" si="5"/>
        <v>0</v>
      </c>
      <c r="T72" s="1200"/>
      <c r="U72" s="1200"/>
      <c r="V72" s="1201"/>
    </row>
    <row r="73" spans="1:22">
      <c r="A73" s="1195"/>
      <c r="B73" s="1196"/>
      <c r="C73" s="1196"/>
      <c r="D73" s="1196"/>
      <c r="E73" s="1197" t="str">
        <f t="shared" si="2"/>
        <v/>
      </c>
      <c r="F73" s="1198"/>
      <c r="G73" s="1198"/>
      <c r="H73" s="1198"/>
      <c r="I73" s="1198"/>
      <c r="J73" s="1199"/>
      <c r="K73" s="134"/>
      <c r="L73" s="62" t="str">
        <f t="shared" si="3"/>
        <v/>
      </c>
      <c r="M73" s="14"/>
      <c r="N73" s="89">
        <f t="array" ref="N73">SUM(IF((CRDJ[JEV Number]=TRIM($T49))*(CRDJ[Account Code]=TRIM(K73)),CRDJ[Debit]))</f>
        <v>0</v>
      </c>
      <c r="O73" s="89">
        <f t="array" ref="O73">SUM(IF((CRDJ[JEV Number]=TRIM($T49))*(CRDJ[Account Code]=TRIM(K73)),CRDJ[Credit]))</f>
        <v>0</v>
      </c>
      <c r="P73" s="1200">
        <f t="shared" si="4"/>
        <v>0</v>
      </c>
      <c r="Q73" s="1200"/>
      <c r="R73" s="1200"/>
      <c r="S73" s="1200">
        <f t="shared" si="5"/>
        <v>0</v>
      </c>
      <c r="T73" s="1200"/>
      <c r="U73" s="1200"/>
      <c r="V73" s="1201"/>
    </row>
    <row r="74" spans="1:22">
      <c r="A74" s="1195"/>
      <c r="B74" s="1196"/>
      <c r="C74" s="1196"/>
      <c r="D74" s="1196"/>
      <c r="E74" s="1197" t="str">
        <f t="shared" si="2"/>
        <v/>
      </c>
      <c r="F74" s="1198"/>
      <c r="G74" s="1198"/>
      <c r="H74" s="1198"/>
      <c r="I74" s="1198"/>
      <c r="J74" s="1199"/>
      <c r="K74" s="134"/>
      <c r="L74" s="62" t="str">
        <f t="shared" si="3"/>
        <v/>
      </c>
      <c r="M74" s="14"/>
      <c r="N74" s="89">
        <f t="array" ref="N74">SUM(IF((CRDJ[JEV Number]=TRIM($T49))*(CRDJ[Account Code]=TRIM(K74)),CRDJ[Debit]))</f>
        <v>0</v>
      </c>
      <c r="O74" s="89">
        <f t="array" ref="O74">SUM(IF((CRDJ[JEV Number]=TRIM($T49))*(CRDJ[Account Code]=TRIM(K74)),CRDJ[Credit]))</f>
        <v>0</v>
      </c>
      <c r="P74" s="1200">
        <f t="shared" si="4"/>
        <v>0</v>
      </c>
      <c r="Q74" s="1200"/>
      <c r="R74" s="1200"/>
      <c r="S74" s="1200">
        <f t="shared" si="5"/>
        <v>0</v>
      </c>
      <c r="T74" s="1200"/>
      <c r="U74" s="1200"/>
      <c r="V74" s="1201"/>
    </row>
    <row r="75" spans="1:22">
      <c r="A75" s="1195"/>
      <c r="B75" s="1196"/>
      <c r="C75" s="1196"/>
      <c r="D75" s="1196"/>
      <c r="E75" s="1197" t="str">
        <f t="shared" si="2"/>
        <v/>
      </c>
      <c r="F75" s="1198"/>
      <c r="G75" s="1198"/>
      <c r="H75" s="1198"/>
      <c r="I75" s="1198"/>
      <c r="J75" s="1199"/>
      <c r="K75" s="134"/>
      <c r="L75" s="62" t="str">
        <f t="shared" si="3"/>
        <v/>
      </c>
      <c r="M75" s="14"/>
      <c r="N75" s="89">
        <f t="array" ref="N75">SUM(IF((CRDJ[JEV Number]=TRIM($T49))*(CRDJ[Account Code]=TRIM(K75)),CRDJ[Debit]))</f>
        <v>0</v>
      </c>
      <c r="O75" s="89">
        <f t="array" ref="O75">SUM(IF((CRDJ[JEV Number]=TRIM($T49))*(CRDJ[Account Code]=TRIM(K75)),CRDJ[Credit]))</f>
        <v>0</v>
      </c>
      <c r="P75" s="1200">
        <f t="shared" si="4"/>
        <v>0</v>
      </c>
      <c r="Q75" s="1200"/>
      <c r="R75" s="1200"/>
      <c r="S75" s="1200">
        <f t="shared" si="5"/>
        <v>0</v>
      </c>
      <c r="T75" s="1200"/>
      <c r="U75" s="1200"/>
      <c r="V75" s="1201"/>
    </row>
    <row r="76" spans="1:22">
      <c r="A76" s="1195"/>
      <c r="B76" s="1196"/>
      <c r="C76" s="1196"/>
      <c r="D76" s="1196"/>
      <c r="E76" s="1197" t="str">
        <f t="shared" si="2"/>
        <v/>
      </c>
      <c r="F76" s="1198"/>
      <c r="G76" s="1198"/>
      <c r="H76" s="1198"/>
      <c r="I76" s="1198"/>
      <c r="J76" s="1199"/>
      <c r="K76" s="134"/>
      <c r="L76" s="62" t="str">
        <f t="shared" si="3"/>
        <v/>
      </c>
      <c r="M76" s="14"/>
      <c r="N76" s="89">
        <f t="array" ref="N76">SUM(IF((CRDJ[JEV Number]=TRIM($T49))*(CRDJ[Account Code]=TRIM(K76)),CRDJ[Debit]))</f>
        <v>0</v>
      </c>
      <c r="O76" s="89">
        <f t="array" ref="O76">SUM(IF((CRDJ[JEV Number]=TRIM($T49))*(CRDJ[Account Code]=TRIM(K76)),CRDJ[Credit]))</f>
        <v>0</v>
      </c>
      <c r="P76" s="1200">
        <f t="shared" si="4"/>
        <v>0</v>
      </c>
      <c r="Q76" s="1200"/>
      <c r="R76" s="1200"/>
      <c r="S76" s="1200">
        <f t="shared" si="5"/>
        <v>0</v>
      </c>
      <c r="T76" s="1200"/>
      <c r="U76" s="1200"/>
      <c r="V76" s="1201"/>
    </row>
    <row r="77" spans="1:22">
      <c r="A77" s="1195"/>
      <c r="B77" s="1196"/>
      <c r="C77" s="1196"/>
      <c r="D77" s="1196"/>
      <c r="E77" s="1197" t="str">
        <f t="shared" si="2"/>
        <v/>
      </c>
      <c r="F77" s="1198"/>
      <c r="G77" s="1198"/>
      <c r="H77" s="1198"/>
      <c r="I77" s="1198"/>
      <c r="J77" s="1199"/>
      <c r="K77" s="134"/>
      <c r="L77" s="62" t="str">
        <f t="shared" si="3"/>
        <v/>
      </c>
      <c r="M77" s="14"/>
      <c r="N77" s="89">
        <f t="array" ref="N77">SUM(IF((CRDJ[JEV Number]=TRIM($T49))*(CRDJ[Account Code]=TRIM(K77)),CRDJ[Debit]))</f>
        <v>0</v>
      </c>
      <c r="O77" s="89">
        <f t="array" ref="O77">SUM(IF((CRDJ[JEV Number]=TRIM($T49))*(CRDJ[Account Code]=TRIM(K77)),CRDJ[Credit]))</f>
        <v>0</v>
      </c>
      <c r="P77" s="1200">
        <f t="shared" si="4"/>
        <v>0</v>
      </c>
      <c r="Q77" s="1200"/>
      <c r="R77" s="1200"/>
      <c r="S77" s="1200">
        <f t="shared" si="5"/>
        <v>0</v>
      </c>
      <c r="T77" s="1200"/>
      <c r="U77" s="1200"/>
      <c r="V77" s="1201"/>
    </row>
    <row r="78" spans="1:22">
      <c r="A78" s="1195"/>
      <c r="B78" s="1196"/>
      <c r="C78" s="1196"/>
      <c r="D78" s="1196"/>
      <c r="E78" s="1197" t="str">
        <f t="shared" si="2"/>
        <v/>
      </c>
      <c r="F78" s="1198"/>
      <c r="G78" s="1198"/>
      <c r="H78" s="1198"/>
      <c r="I78" s="1198"/>
      <c r="J78" s="1199"/>
      <c r="K78" s="134"/>
      <c r="L78" s="62" t="str">
        <f t="shared" si="3"/>
        <v/>
      </c>
      <c r="M78" s="14"/>
      <c r="N78" s="89">
        <f t="array" ref="N78">SUM(IF((CRDJ[JEV Number]=TRIM($T49))*(CRDJ[Account Code]=TRIM(K78)),CRDJ[Debit]))</f>
        <v>0</v>
      </c>
      <c r="O78" s="89">
        <f t="array" ref="O78">SUM(IF((CRDJ[JEV Number]=TRIM($T49))*(CRDJ[Account Code]=TRIM(K78)),CRDJ[Credit]))</f>
        <v>0</v>
      </c>
      <c r="P78" s="1200">
        <f t="shared" si="4"/>
        <v>0</v>
      </c>
      <c r="Q78" s="1200"/>
      <c r="R78" s="1200"/>
      <c r="S78" s="1200">
        <f t="shared" si="5"/>
        <v>0</v>
      </c>
      <c r="T78" s="1200"/>
      <c r="U78" s="1200"/>
      <c r="V78" s="1201"/>
    </row>
    <row r="79" spans="1:22">
      <c r="A79" s="1195"/>
      <c r="B79" s="1196"/>
      <c r="C79" s="1196"/>
      <c r="D79" s="1196"/>
      <c r="E79" s="1197" t="str">
        <f t="shared" si="2"/>
        <v/>
      </c>
      <c r="F79" s="1198"/>
      <c r="G79" s="1198"/>
      <c r="H79" s="1198"/>
      <c r="I79" s="1198"/>
      <c r="J79" s="1199"/>
      <c r="K79" s="134"/>
      <c r="L79" s="62" t="str">
        <f t="shared" si="3"/>
        <v/>
      </c>
      <c r="M79" s="14"/>
      <c r="N79" s="89">
        <f t="array" ref="N79">SUM(IF((CRDJ[JEV Number]=TRIM($T49))*(CRDJ[Account Code]=TRIM(K79)),CRDJ[Debit]))</f>
        <v>0</v>
      </c>
      <c r="O79" s="89">
        <f t="array" ref="O79">SUM(IF((CRDJ[JEV Number]=TRIM($T49))*(CRDJ[Account Code]=TRIM(K79)),CRDJ[Credit]))</f>
        <v>0</v>
      </c>
      <c r="P79" s="1200">
        <f t="shared" si="4"/>
        <v>0</v>
      </c>
      <c r="Q79" s="1200"/>
      <c r="R79" s="1200"/>
      <c r="S79" s="1200">
        <f t="shared" si="5"/>
        <v>0</v>
      </c>
      <c r="T79" s="1200"/>
      <c r="U79" s="1200"/>
      <c r="V79" s="1201"/>
    </row>
    <row r="80" spans="1:22">
      <c r="A80" s="1195"/>
      <c r="B80" s="1196"/>
      <c r="C80" s="1196"/>
      <c r="D80" s="1196"/>
      <c r="E80" s="1197" t="str">
        <f t="shared" si="2"/>
        <v/>
      </c>
      <c r="F80" s="1198"/>
      <c r="G80" s="1198"/>
      <c r="H80" s="1198"/>
      <c r="I80" s="1198"/>
      <c r="J80" s="1199"/>
      <c r="K80" s="134"/>
      <c r="L80" s="62" t="str">
        <f t="shared" si="3"/>
        <v/>
      </c>
      <c r="M80" s="14"/>
      <c r="N80" s="89">
        <f t="array" ref="N80">SUM(IF((CRDJ[JEV Number]=TRIM($T49))*(CRDJ[Account Code]=TRIM(K80)),CRDJ[Debit]))</f>
        <v>0</v>
      </c>
      <c r="O80" s="89">
        <f t="array" ref="O80">SUM(IF((CRDJ[JEV Number]=TRIM($T49))*(CRDJ[Account Code]=TRIM(K80)),CRDJ[Credit]))</f>
        <v>0</v>
      </c>
      <c r="P80" s="1200">
        <f t="shared" si="4"/>
        <v>0</v>
      </c>
      <c r="Q80" s="1200"/>
      <c r="R80" s="1200"/>
      <c r="S80" s="1200">
        <f t="shared" si="5"/>
        <v>0</v>
      </c>
      <c r="T80" s="1200"/>
      <c r="U80" s="1200"/>
      <c r="V80" s="1201"/>
    </row>
    <row r="81" spans="1:22">
      <c r="A81" s="1195"/>
      <c r="B81" s="1196"/>
      <c r="C81" s="1196"/>
      <c r="D81" s="1196"/>
      <c r="E81" s="1197" t="str">
        <f t="shared" si="2"/>
        <v/>
      </c>
      <c r="F81" s="1198"/>
      <c r="G81" s="1198"/>
      <c r="H81" s="1198"/>
      <c r="I81" s="1198"/>
      <c r="J81" s="1199"/>
      <c r="K81" s="134"/>
      <c r="L81" s="62" t="str">
        <f t="shared" si="3"/>
        <v/>
      </c>
      <c r="M81" s="14"/>
      <c r="N81" s="89">
        <f t="array" ref="N81">SUM(IF((CRDJ[JEV Number]=TRIM($T49))*(CRDJ[Account Code]=TRIM(K81)),CRDJ[Debit]))</f>
        <v>0</v>
      </c>
      <c r="O81" s="89">
        <f t="array" ref="O81">SUM(IF((CRDJ[JEV Number]=TRIM($T49))*(CRDJ[Account Code]=TRIM(K81)),CRDJ[Credit]))</f>
        <v>0</v>
      </c>
      <c r="P81" s="1200">
        <f t="shared" si="4"/>
        <v>0</v>
      </c>
      <c r="Q81" s="1200"/>
      <c r="R81" s="1200"/>
      <c r="S81" s="1200">
        <f t="shared" si="5"/>
        <v>0</v>
      </c>
      <c r="T81" s="1200"/>
      <c r="U81" s="1200"/>
      <c r="V81" s="1201"/>
    </row>
    <row r="82" spans="1:22">
      <c r="A82" s="1195"/>
      <c r="B82" s="1196"/>
      <c r="C82" s="1196"/>
      <c r="D82" s="1196"/>
      <c r="E82" s="1197" t="str">
        <f t="shared" si="2"/>
        <v/>
      </c>
      <c r="F82" s="1198"/>
      <c r="G82" s="1198"/>
      <c r="H82" s="1198"/>
      <c r="I82" s="1198"/>
      <c r="J82" s="1199"/>
      <c r="K82" s="134"/>
      <c r="L82" s="62" t="str">
        <f t="shared" si="3"/>
        <v/>
      </c>
      <c r="M82" s="14"/>
      <c r="N82" s="89">
        <f t="array" ref="N82">SUM(IF((CRDJ[JEV Number]=TRIM($T49))*(CRDJ[Account Code]=TRIM(K82)),CRDJ[Debit]))</f>
        <v>0</v>
      </c>
      <c r="O82" s="89">
        <f t="array" ref="O82">SUM(IF((CRDJ[JEV Number]=TRIM($T49))*(CRDJ[Account Code]=TRIM(K82)),CRDJ[Credit]))</f>
        <v>0</v>
      </c>
      <c r="P82" s="1200">
        <f t="shared" si="4"/>
        <v>0</v>
      </c>
      <c r="Q82" s="1200"/>
      <c r="R82" s="1200"/>
      <c r="S82" s="1200">
        <f t="shared" si="5"/>
        <v>0</v>
      </c>
      <c r="T82" s="1200"/>
      <c r="U82" s="1200"/>
      <c r="V82" s="1201"/>
    </row>
    <row r="83" spans="1:22">
      <c r="A83" s="1195"/>
      <c r="B83" s="1196"/>
      <c r="C83" s="1196"/>
      <c r="D83" s="1196"/>
      <c r="E83" s="1202" t="s">
        <v>501</v>
      </c>
      <c r="F83" s="1203"/>
      <c r="G83" s="1203"/>
      <c r="H83" s="1203"/>
      <c r="I83" s="1203"/>
      <c r="J83" s="1206"/>
      <c r="K83" s="133"/>
      <c r="L83" s="62" t="str">
        <f t="shared" si="3"/>
        <v/>
      </c>
      <c r="M83" s="14"/>
      <c r="N83" s="89">
        <f t="array" ref="N83">SUM(IF((CRDJ[JEV Number]=TRIM($T49))*(CRDJ[Account Code]=TRIM(K83)),CRDJ[Debit]))</f>
        <v>0</v>
      </c>
      <c r="O83" s="89">
        <f t="array" ref="O83">SUM(IF((CRDJ[JEV Number]=TRIM($T49))*(CRDJ[Account Code]=TRIM(K83)),CRDJ[Credit]))</f>
        <v>0</v>
      </c>
      <c r="P83" s="1200">
        <f t="shared" si="4"/>
        <v>0</v>
      </c>
      <c r="Q83" s="1200"/>
      <c r="R83" s="1200"/>
      <c r="S83" s="1200">
        <f t="shared" si="5"/>
        <v>0</v>
      </c>
      <c r="T83" s="1200"/>
      <c r="U83" s="1200"/>
      <c r="V83" s="1201"/>
    </row>
    <row r="84" spans="1:22">
      <c r="A84" s="1195"/>
      <c r="B84" s="1196"/>
      <c r="C84" s="1196"/>
      <c r="D84" s="1196"/>
      <c r="E84" s="1202" t="s">
        <v>457</v>
      </c>
      <c r="F84" s="1203"/>
      <c r="G84" s="1203"/>
      <c r="H84" s="1203"/>
      <c r="I84" s="1207">
        <f>T50</f>
        <v>0</v>
      </c>
      <c r="J84" s="1208"/>
      <c r="K84" s="133"/>
      <c r="L84" s="62" t="str">
        <f t="shared" si="3"/>
        <v/>
      </c>
      <c r="M84" s="14"/>
      <c r="N84" s="89">
        <f t="array" ref="N84">SUM(IF((CRDJ[JEV Number]=TRIM($T49))*(CRDJ[Account Code]=TRIM(K84)),CRDJ[Debit]))</f>
        <v>0</v>
      </c>
      <c r="O84" s="89">
        <f t="array" ref="O84">SUM(IF((CRDJ[JEV Number]=TRIM($T49))*(CRDJ[Account Code]=TRIM(K84)),CRDJ[Credit]))</f>
        <v>0</v>
      </c>
      <c r="P84" s="1200">
        <f t="shared" si="4"/>
        <v>0</v>
      </c>
      <c r="Q84" s="1200"/>
      <c r="R84" s="1200"/>
      <c r="S84" s="1200">
        <f t="shared" si="5"/>
        <v>0</v>
      </c>
      <c r="T84" s="1200"/>
      <c r="U84" s="1200"/>
      <c r="V84" s="1201"/>
    </row>
    <row r="85" spans="1:22">
      <c r="A85" s="1195"/>
      <c r="B85" s="1196"/>
      <c r="C85" s="1196"/>
      <c r="D85" s="1196"/>
      <c r="E85" s="1209" t="s">
        <v>720</v>
      </c>
      <c r="F85" s="1204"/>
      <c r="G85" s="1204"/>
      <c r="H85" s="1204"/>
      <c r="I85" s="1204">
        <f>IF(T49=0,0,(LOOKUP(T49,CRDJ[JEV Number],CRDJ[Collecting Officer/Office])))</f>
        <v>0</v>
      </c>
      <c r="J85" s="1205"/>
      <c r="K85" s="133"/>
      <c r="L85" s="62" t="str">
        <f t="shared" si="3"/>
        <v/>
      </c>
      <c r="M85" s="14"/>
      <c r="N85" s="89">
        <f t="array" ref="N85">SUM(IF((CRDJ[JEV Number]=TRIM($T49))*(CRDJ[Account Code]=TRIM(K85)),CRDJ[Debit]))</f>
        <v>0</v>
      </c>
      <c r="O85" s="89">
        <f t="array" ref="O85">SUM(IF((CRDJ[JEV Number]=TRIM($T49))*(CRDJ[Account Code]=TRIM(K85)),CRDJ[Credit]))</f>
        <v>0</v>
      </c>
      <c r="P85" s="1200">
        <f t="shared" si="4"/>
        <v>0</v>
      </c>
      <c r="Q85" s="1200"/>
      <c r="R85" s="1200"/>
      <c r="S85" s="1200">
        <f t="shared" si="5"/>
        <v>0</v>
      </c>
      <c r="T85" s="1200"/>
      <c r="U85" s="1200"/>
      <c r="V85" s="1201"/>
    </row>
    <row r="86" spans="1:22">
      <c r="A86" s="1195"/>
      <c r="B86" s="1196"/>
      <c r="C86" s="1196"/>
      <c r="D86" s="1196"/>
      <c r="E86" s="1202"/>
      <c r="F86" s="1203"/>
      <c r="G86" s="1203"/>
      <c r="H86" s="1203"/>
      <c r="I86" s="1204"/>
      <c r="J86" s="1205"/>
      <c r="K86" s="133"/>
      <c r="L86" s="62" t="str">
        <f t="shared" si="3"/>
        <v/>
      </c>
      <c r="M86" s="14"/>
      <c r="N86" s="89">
        <f t="array" ref="N86">SUM(IF((CRDJ[JEV Number]=TRIM($T49))*(CRDJ[Account Code]=TRIM(K86)),CRDJ[Debit]))</f>
        <v>0</v>
      </c>
      <c r="O86" s="89">
        <f t="array" ref="O86">SUM(IF((CRDJ[JEV Number]=TRIM($T49))*(CRDJ[Account Code]=TRIM(K86)),CRDJ[Credit]))</f>
        <v>0</v>
      </c>
      <c r="P86" s="1200">
        <f t="shared" si="4"/>
        <v>0</v>
      </c>
      <c r="Q86" s="1200"/>
      <c r="R86" s="1200"/>
      <c r="S86" s="1200">
        <f t="shared" si="5"/>
        <v>0</v>
      </c>
      <c r="T86" s="1200"/>
      <c r="U86" s="1200"/>
      <c r="V86" s="1201"/>
    </row>
    <row r="87" spans="1:22">
      <c r="A87" s="1195"/>
      <c r="B87" s="1196"/>
      <c r="C87" s="1196"/>
      <c r="D87" s="1196"/>
      <c r="E87" s="1197" t="str">
        <f>IF(K87=0,"",(VLOOKUP((TRIM(K87)),Code,2,)))</f>
        <v/>
      </c>
      <c r="F87" s="1198"/>
      <c r="G87" s="1198"/>
      <c r="H87" s="1198"/>
      <c r="I87" s="1198"/>
      <c r="J87" s="1199"/>
      <c r="K87" s="133"/>
      <c r="L87" s="62" t="str">
        <f t="shared" si="3"/>
        <v/>
      </c>
      <c r="M87" s="14"/>
      <c r="N87" s="89">
        <f t="array" ref="N87">SUM(IF((CRDJ[JEV Number]=TRIM($T49))*(CRDJ[Account Code]=TRIM(K87)),CRDJ[Debit]))</f>
        <v>0</v>
      </c>
      <c r="O87" s="89">
        <f t="array" ref="O87">SUM(IF((CRDJ[JEV Number]=TRIM($T49))*(CRDJ[Account Code]=TRIM(K87)),CRDJ[Credit]))</f>
        <v>0</v>
      </c>
      <c r="P87" s="1200">
        <f t="shared" si="4"/>
        <v>0</v>
      </c>
      <c r="Q87" s="1200"/>
      <c r="R87" s="1200"/>
      <c r="S87" s="1200">
        <f t="shared" si="5"/>
        <v>0</v>
      </c>
      <c r="T87" s="1200"/>
      <c r="U87" s="1200"/>
      <c r="V87" s="1201"/>
    </row>
    <row r="88" spans="1:22" ht="16.5" thickBot="1">
      <c r="A88" s="1188"/>
      <c r="B88" s="1189"/>
      <c r="C88" s="1189"/>
      <c r="D88" s="1189"/>
      <c r="E88" s="1189"/>
      <c r="F88" s="1189"/>
      <c r="G88" s="1189"/>
      <c r="H88" s="1189"/>
      <c r="I88" s="1189"/>
      <c r="J88" s="1189"/>
      <c r="K88" s="1189"/>
      <c r="L88" s="1189"/>
      <c r="M88" s="1190"/>
      <c r="N88" s="88"/>
      <c r="O88" s="88"/>
      <c r="P88" s="1191">
        <f>SUM(P58:R87)</f>
        <v>0</v>
      </c>
      <c r="Q88" s="1191"/>
      <c r="R88" s="1191"/>
      <c r="S88" s="1191">
        <f>SUM(S58:V87)</f>
        <v>0</v>
      </c>
      <c r="T88" s="1191"/>
      <c r="U88" s="1191"/>
      <c r="V88" s="1192"/>
    </row>
    <row r="89" spans="1:22">
      <c r="A89" s="63"/>
      <c r="B89" s="64"/>
      <c r="C89" s="64"/>
      <c r="D89" s="64"/>
      <c r="E89" s="64"/>
      <c r="F89" s="64"/>
      <c r="G89" s="64"/>
      <c r="H89" s="64"/>
      <c r="I89" s="65"/>
      <c r="J89" s="64"/>
      <c r="K89" s="66"/>
      <c r="L89" s="64"/>
      <c r="M89" s="65"/>
      <c r="N89" s="64"/>
      <c r="O89" s="64"/>
      <c r="P89" s="1193"/>
      <c r="Q89" s="1193"/>
      <c r="R89" s="1193"/>
      <c r="S89" s="1193"/>
      <c r="T89" s="1193"/>
      <c r="U89" s="1193"/>
      <c r="V89" s="1194"/>
    </row>
    <row r="90" spans="1:22">
      <c r="A90" s="67" t="s">
        <v>460</v>
      </c>
      <c r="B90"/>
      <c r="C90"/>
      <c r="D90"/>
      <c r="E90"/>
      <c r="F90"/>
      <c r="G90"/>
      <c r="H90"/>
      <c r="I90" s="68" t="s">
        <v>353</v>
      </c>
      <c r="J90" s="69"/>
      <c r="K90" s="69"/>
      <c r="L90"/>
      <c r="M90" s="68" t="s">
        <v>461</v>
      </c>
      <c r="N90" s="69"/>
      <c r="O90" s="69"/>
      <c r="P90" s="70"/>
      <c r="Q90" s="70"/>
      <c r="R90" s="70"/>
      <c r="S90" s="70"/>
      <c r="T90" s="70"/>
      <c r="U90" s="70"/>
      <c r="V90" s="71"/>
    </row>
    <row r="91" spans="1:22">
      <c r="A91" s="37"/>
      <c r="B91"/>
      <c r="C91"/>
      <c r="D91"/>
      <c r="E91"/>
      <c r="F91"/>
      <c r="G91"/>
      <c r="H91"/>
      <c r="I91" s="72"/>
      <c r="J91"/>
      <c r="K91"/>
      <c r="L91"/>
      <c r="M91" s="72"/>
      <c r="N91"/>
      <c r="O91"/>
      <c r="P91"/>
      <c r="Q91"/>
      <c r="R91"/>
      <c r="S91"/>
      <c r="T91"/>
      <c r="U91"/>
      <c r="V91" s="73"/>
    </row>
    <row r="92" spans="1:22">
      <c r="A92" s="74" t="s">
        <v>462</v>
      </c>
      <c r="B92" s="75"/>
      <c r="C92" s="75"/>
      <c r="D92" s="75"/>
      <c r="E92" s="75"/>
      <c r="F92" s="75"/>
      <c r="G92" s="75"/>
      <c r="H92" s="76"/>
      <c r="I92" s="77" t="s">
        <v>380</v>
      </c>
      <c r="J92" s="75"/>
      <c r="K92" s="75"/>
      <c r="L92" s="76"/>
      <c r="M92" s="77" t="s">
        <v>3</v>
      </c>
      <c r="N92" s="75"/>
      <c r="O92" s="75"/>
      <c r="P92" s="75"/>
      <c r="Q92" s="75"/>
      <c r="R92" s="75"/>
      <c r="S92" s="75"/>
      <c r="T92" s="75"/>
      <c r="U92" s="75"/>
      <c r="V92" s="78"/>
    </row>
    <row r="93" spans="1:22">
      <c r="A93" s="79" t="s">
        <v>463</v>
      </c>
      <c r="B93" s="80"/>
      <c r="C93" s="80"/>
      <c r="D93" s="80"/>
      <c r="E93" s="80"/>
      <c r="F93" s="80"/>
      <c r="G93" s="80"/>
      <c r="H93" s="80"/>
      <c r="I93" s="81" t="s">
        <v>381</v>
      </c>
      <c r="J93" s="80"/>
      <c r="K93" s="80"/>
      <c r="L93" s="80"/>
      <c r="M93" s="81" t="s">
        <v>464</v>
      </c>
      <c r="N93" s="80"/>
      <c r="O93" s="80"/>
      <c r="P93" s="82"/>
      <c r="Q93" s="82"/>
      <c r="R93" s="82"/>
      <c r="S93" s="82"/>
      <c r="T93" s="82"/>
      <c r="U93" s="82"/>
      <c r="V93" s="83"/>
    </row>
    <row r="94" spans="1:22" ht="16.5" thickBot="1">
      <c r="A94" s="84" t="s">
        <v>465</v>
      </c>
      <c r="B94" s="43"/>
      <c r="C94" s="43"/>
      <c r="D94" s="43"/>
      <c r="E94" s="43"/>
      <c r="F94" s="43"/>
      <c r="G94" s="43"/>
      <c r="H94" s="43"/>
      <c r="I94" s="85"/>
      <c r="J94" s="43"/>
      <c r="K94" s="43"/>
      <c r="L94" s="43"/>
      <c r="M94" s="85"/>
      <c r="N94" s="43"/>
      <c r="O94" s="43"/>
      <c r="P94" s="43"/>
      <c r="Q94" s="43"/>
      <c r="R94" s="43"/>
      <c r="S94" s="43"/>
      <c r="T94" s="43"/>
      <c r="U94" s="43"/>
      <c r="V94" s="44"/>
    </row>
  </sheetData>
  <mergeCells count="282">
    <mergeCell ref="A38:D38"/>
    <mergeCell ref="P38:R38"/>
    <mergeCell ref="S38:V38"/>
    <mergeCell ref="E38:H38"/>
    <mergeCell ref="I38:J38"/>
    <mergeCell ref="S18:V18"/>
    <mergeCell ref="A19:D19"/>
    <mergeCell ref="E19:J19"/>
    <mergeCell ref="P19:R19"/>
    <mergeCell ref="S19:V19"/>
    <mergeCell ref="A20:D20"/>
    <mergeCell ref="E20:J20"/>
    <mergeCell ref="P20:R20"/>
    <mergeCell ref="S20:V20"/>
    <mergeCell ref="A36:D36"/>
    <mergeCell ref="E36:J36"/>
    <mergeCell ref="P36:R36"/>
    <mergeCell ref="S36:V36"/>
    <mergeCell ref="A37:D37"/>
    <mergeCell ref="P37:R37"/>
    <mergeCell ref="A34:D34"/>
    <mergeCell ref="E34:J34"/>
    <mergeCell ref="P34:R34"/>
    <mergeCell ref="S34:V34"/>
    <mergeCell ref="A27:D27"/>
    <mergeCell ref="E27:J27"/>
    <mergeCell ref="P27:R27"/>
    <mergeCell ref="S27:V27"/>
    <mergeCell ref="A28:D28"/>
    <mergeCell ref="E28:J28"/>
    <mergeCell ref="P28:R28"/>
    <mergeCell ref="S28:V28"/>
    <mergeCell ref="A29:D29"/>
    <mergeCell ref="E29:J29"/>
    <mergeCell ref="P29:R29"/>
    <mergeCell ref="S29:V29"/>
    <mergeCell ref="E37:H37"/>
    <mergeCell ref="I37:J37"/>
    <mergeCell ref="S37:V37"/>
    <mergeCell ref="A30:D30"/>
    <mergeCell ref="E30:J30"/>
    <mergeCell ref="P30:R30"/>
    <mergeCell ref="S30:V30"/>
    <mergeCell ref="A31:D31"/>
    <mergeCell ref="E31:J31"/>
    <mergeCell ref="P31:R31"/>
    <mergeCell ref="S31:V31"/>
    <mergeCell ref="A32:D32"/>
    <mergeCell ref="E32:J32"/>
    <mergeCell ref="P32:R32"/>
    <mergeCell ref="S32:V32"/>
    <mergeCell ref="A33:D33"/>
    <mergeCell ref="E33:J33"/>
    <mergeCell ref="P33:R33"/>
    <mergeCell ref="S33:V33"/>
    <mergeCell ref="A35:D35"/>
    <mergeCell ref="E35:J35"/>
    <mergeCell ref="P35:R35"/>
    <mergeCell ref="S35:V35"/>
    <mergeCell ref="A22:D22"/>
    <mergeCell ref="E22:J22"/>
    <mergeCell ref="P22:R22"/>
    <mergeCell ref="S22:V22"/>
    <mergeCell ref="A23:D23"/>
    <mergeCell ref="E23:J23"/>
    <mergeCell ref="P23:R23"/>
    <mergeCell ref="S23:V23"/>
    <mergeCell ref="A24:D24"/>
    <mergeCell ref="E24:J24"/>
    <mergeCell ref="P24:R24"/>
    <mergeCell ref="S24:V24"/>
    <mergeCell ref="A25:D25"/>
    <mergeCell ref="E25:J25"/>
    <mergeCell ref="P25:R25"/>
    <mergeCell ref="S25:V25"/>
    <mergeCell ref="A26:D26"/>
    <mergeCell ref="E26:J26"/>
    <mergeCell ref="P26:R26"/>
    <mergeCell ref="S26:V26"/>
    <mergeCell ref="A15:D15"/>
    <mergeCell ref="E15:J15"/>
    <mergeCell ref="P15:R15"/>
    <mergeCell ref="S15:V15"/>
    <mergeCell ref="A21:D21"/>
    <mergeCell ref="E21:J21"/>
    <mergeCell ref="P21:R21"/>
    <mergeCell ref="S21:V21"/>
    <mergeCell ref="A16:D16"/>
    <mergeCell ref="E16:J16"/>
    <mergeCell ref="P16:R16"/>
    <mergeCell ref="S16:V16"/>
    <mergeCell ref="A17:D17"/>
    <mergeCell ref="E17:J17"/>
    <mergeCell ref="P17:R17"/>
    <mergeCell ref="S17:V17"/>
    <mergeCell ref="A18:D18"/>
    <mergeCell ref="E18:J18"/>
    <mergeCell ref="P18:R18"/>
    <mergeCell ref="A39:D39"/>
    <mergeCell ref="P39:R39"/>
    <mergeCell ref="S39:V39"/>
    <mergeCell ref="R1:V1"/>
    <mergeCell ref="T2:V2"/>
    <mergeCell ref="T3:V3"/>
    <mergeCell ref="B6:C6"/>
    <mergeCell ref="Q6:R6"/>
    <mergeCell ref="A8:D10"/>
    <mergeCell ref="E8:V8"/>
    <mergeCell ref="E9:J10"/>
    <mergeCell ref="K9:L9"/>
    <mergeCell ref="M9:M10"/>
    <mergeCell ref="N9:V9"/>
    <mergeCell ref="P10:R10"/>
    <mergeCell ref="S10:V10"/>
    <mergeCell ref="A11:D11"/>
    <mergeCell ref="E11:J11"/>
    <mergeCell ref="P11:R11"/>
    <mergeCell ref="S11:V11"/>
    <mergeCell ref="A12:D12"/>
    <mergeCell ref="E12:J12"/>
    <mergeCell ref="P12:R12"/>
    <mergeCell ref="S12:V12"/>
    <mergeCell ref="A13:D13"/>
    <mergeCell ref="E13:J13"/>
    <mergeCell ref="P13:R13"/>
    <mergeCell ref="S13:V13"/>
    <mergeCell ref="A14:D14"/>
    <mergeCell ref="E14:J14"/>
    <mergeCell ref="P14:R14"/>
    <mergeCell ref="S14:V14"/>
    <mergeCell ref="E39:H39"/>
    <mergeCell ref="I39:J39"/>
    <mergeCell ref="R48:V48"/>
    <mergeCell ref="T49:V49"/>
    <mergeCell ref="T50:V50"/>
    <mergeCell ref="B53:C53"/>
    <mergeCell ref="Q53:R53"/>
    <mergeCell ref="A55:D57"/>
    <mergeCell ref="E55:V55"/>
    <mergeCell ref="E56:J57"/>
    <mergeCell ref="K56:L56"/>
    <mergeCell ref="M56:M57"/>
    <mergeCell ref="N56:V56"/>
    <mergeCell ref="P57:R57"/>
    <mergeCell ref="S57:V57"/>
    <mergeCell ref="P42:R42"/>
    <mergeCell ref="A40:D40"/>
    <mergeCell ref="E40:J40"/>
    <mergeCell ref="P40:R40"/>
    <mergeCell ref="S40:V40"/>
    <mergeCell ref="A41:M41"/>
    <mergeCell ref="P41:R41"/>
    <mergeCell ref="S41:V41"/>
    <mergeCell ref="S42:V42"/>
    <mergeCell ref="A64:D64"/>
    <mergeCell ref="E64:J64"/>
    <mergeCell ref="P64:R64"/>
    <mergeCell ref="S64:V64"/>
    <mergeCell ref="A60:D60"/>
    <mergeCell ref="E60:J60"/>
    <mergeCell ref="P60:R60"/>
    <mergeCell ref="S60:V60"/>
    <mergeCell ref="A61:D61"/>
    <mergeCell ref="E61:J61"/>
    <mergeCell ref="P61:R61"/>
    <mergeCell ref="S61:V61"/>
    <mergeCell ref="A63:D63"/>
    <mergeCell ref="E63:J63"/>
    <mergeCell ref="P63:R63"/>
    <mergeCell ref="S63:V63"/>
    <mergeCell ref="A58:D58"/>
    <mergeCell ref="E58:J58"/>
    <mergeCell ref="P58:R58"/>
    <mergeCell ref="S58:V58"/>
    <mergeCell ref="A59:D59"/>
    <mergeCell ref="A62:D62"/>
    <mergeCell ref="E62:J62"/>
    <mergeCell ref="P62:R62"/>
    <mergeCell ref="S62:V62"/>
    <mergeCell ref="E59:J59"/>
    <mergeCell ref="P59:R59"/>
    <mergeCell ref="S59:V59"/>
    <mergeCell ref="A71:D71"/>
    <mergeCell ref="E71:J71"/>
    <mergeCell ref="P71:R71"/>
    <mergeCell ref="S71:V71"/>
    <mergeCell ref="A65:D65"/>
    <mergeCell ref="E65:J65"/>
    <mergeCell ref="P65:R65"/>
    <mergeCell ref="S65:V65"/>
    <mergeCell ref="A66:D66"/>
    <mergeCell ref="E66:J66"/>
    <mergeCell ref="P66:R66"/>
    <mergeCell ref="S66:V66"/>
    <mergeCell ref="A67:D67"/>
    <mergeCell ref="E67:J67"/>
    <mergeCell ref="P67:R67"/>
    <mergeCell ref="S67:V67"/>
    <mergeCell ref="A68:D68"/>
    <mergeCell ref="E68:J68"/>
    <mergeCell ref="P68:R68"/>
    <mergeCell ref="S68:V68"/>
    <mergeCell ref="A69:D69"/>
    <mergeCell ref="E69:J69"/>
    <mergeCell ref="P69:R69"/>
    <mergeCell ref="S69:V69"/>
    <mergeCell ref="A70:D70"/>
    <mergeCell ref="E70:J70"/>
    <mergeCell ref="P70:R70"/>
    <mergeCell ref="S70:V70"/>
    <mergeCell ref="A76:D76"/>
    <mergeCell ref="E76:J76"/>
    <mergeCell ref="P76:R76"/>
    <mergeCell ref="S76:V76"/>
    <mergeCell ref="A72:D72"/>
    <mergeCell ref="E72:J72"/>
    <mergeCell ref="P72:R72"/>
    <mergeCell ref="S72:V72"/>
    <mergeCell ref="A73:D73"/>
    <mergeCell ref="E73:J73"/>
    <mergeCell ref="P73:R73"/>
    <mergeCell ref="S73:V73"/>
    <mergeCell ref="A74:D74"/>
    <mergeCell ref="E74:J74"/>
    <mergeCell ref="P74:R74"/>
    <mergeCell ref="S74:V74"/>
    <mergeCell ref="A75:D75"/>
    <mergeCell ref="E75:J75"/>
    <mergeCell ref="P75:R75"/>
    <mergeCell ref="S75:V75"/>
    <mergeCell ref="A81:D81"/>
    <mergeCell ref="E81:J81"/>
    <mergeCell ref="P81:R81"/>
    <mergeCell ref="S81:V81"/>
    <mergeCell ref="A77:D77"/>
    <mergeCell ref="E77:J77"/>
    <mergeCell ref="P77:R77"/>
    <mergeCell ref="S77:V77"/>
    <mergeCell ref="A78:D78"/>
    <mergeCell ref="E78:J78"/>
    <mergeCell ref="P78:R78"/>
    <mergeCell ref="S78:V78"/>
    <mergeCell ref="A79:D79"/>
    <mergeCell ref="E79:J79"/>
    <mergeCell ref="P79:R79"/>
    <mergeCell ref="S79:V79"/>
    <mergeCell ref="A80:D80"/>
    <mergeCell ref="E80:J80"/>
    <mergeCell ref="P80:R80"/>
    <mergeCell ref="S80:V80"/>
    <mergeCell ref="A86:D86"/>
    <mergeCell ref="E86:H86"/>
    <mergeCell ref="I86:J86"/>
    <mergeCell ref="P86:R86"/>
    <mergeCell ref="S86:V86"/>
    <mergeCell ref="A82:D82"/>
    <mergeCell ref="E82:J82"/>
    <mergeCell ref="P82:R82"/>
    <mergeCell ref="S82:V82"/>
    <mergeCell ref="A83:D83"/>
    <mergeCell ref="E83:J83"/>
    <mergeCell ref="P83:R83"/>
    <mergeCell ref="S83:V83"/>
    <mergeCell ref="A84:D84"/>
    <mergeCell ref="E84:H84"/>
    <mergeCell ref="I84:J84"/>
    <mergeCell ref="P84:R84"/>
    <mergeCell ref="S84:V84"/>
    <mergeCell ref="A85:D85"/>
    <mergeCell ref="E85:H85"/>
    <mergeCell ref="I85:J85"/>
    <mergeCell ref="P85:R85"/>
    <mergeCell ref="S85:V85"/>
    <mergeCell ref="A88:M88"/>
    <mergeCell ref="P88:R88"/>
    <mergeCell ref="S88:V88"/>
    <mergeCell ref="P89:R89"/>
    <mergeCell ref="S89:V89"/>
    <mergeCell ref="A87:D87"/>
    <mergeCell ref="E87:J87"/>
    <mergeCell ref="P87:R87"/>
    <mergeCell ref="S87:V87"/>
  </mergeCells>
  <printOptions horizontalCentered="1"/>
  <pageMargins left="0.25" right="0.25" top="0.75" bottom="1.5" header="0.3" footer="0.3"/>
  <pageSetup paperSize="5" scale="75" orientation="portrait" horizontalDpi="300" verticalDpi="300" r:id="rId1"/>
  <rowBreaks count="1" manualBreakCount="1">
    <brk id="47"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S36"/>
  <sheetViews>
    <sheetView workbookViewId="0"/>
  </sheetViews>
  <sheetFormatPr defaultColWidth="9" defaultRowHeight="15.75"/>
  <cols>
    <col min="1" max="1" width="8.125" style="90" bestFit="1" customWidth="1"/>
    <col min="2" max="2" width="12.125" style="90" bestFit="1" customWidth="1"/>
    <col min="3" max="3" width="9.625" style="90" hidden="1" customWidth="1"/>
    <col min="4" max="4" width="19.125" style="90" customWidth="1"/>
    <col min="5" max="6" width="13.5" style="90" customWidth="1"/>
    <col min="7" max="7" width="8.125" style="90" customWidth="1"/>
    <col min="8" max="13" width="12.625" style="90" customWidth="1"/>
    <col min="14" max="14" width="10.5" style="90" customWidth="1"/>
    <col min="15" max="15" width="14.625" style="90" customWidth="1"/>
    <col min="16" max="16" width="13.375" style="90" customWidth="1"/>
    <col min="17" max="17" width="13.125" style="90" customWidth="1"/>
    <col min="18" max="18" width="12.625" style="90" customWidth="1"/>
    <col min="19" max="19" width="19.125" style="90" bestFit="1" customWidth="1"/>
    <col min="20" max="16384" width="9" style="90"/>
  </cols>
  <sheetData>
    <row r="1" spans="1:19" ht="27.75">
      <c r="A1" s="738" t="s">
        <v>355</v>
      </c>
      <c r="B1" s="96"/>
      <c r="C1" s="91"/>
      <c r="D1" s="91"/>
      <c r="E1" s="97"/>
      <c r="F1" s="97"/>
      <c r="G1" s="97"/>
      <c r="H1" s="97"/>
      <c r="I1" s="97"/>
      <c r="J1" s="97"/>
      <c r="K1" s="97"/>
      <c r="L1" s="97"/>
      <c r="M1" s="97"/>
      <c r="N1" s="97"/>
      <c r="O1" s="97"/>
      <c r="P1" s="97"/>
      <c r="Q1" s="97"/>
      <c r="R1" s="97"/>
    </row>
    <row r="2" spans="1:19" s="744" customFormat="1" ht="17.25">
      <c r="A2" s="742" t="s">
        <v>1538</v>
      </c>
      <c r="B2" s="742"/>
      <c r="C2" s="743"/>
      <c r="D2" s="743"/>
      <c r="E2" s="743"/>
      <c r="F2" s="743"/>
      <c r="G2" s="743"/>
      <c r="H2" s="743"/>
      <c r="I2" s="743"/>
      <c r="J2" s="743"/>
      <c r="K2" s="743"/>
      <c r="L2" s="743"/>
      <c r="M2" s="743"/>
      <c r="N2" s="743"/>
      <c r="O2" s="743"/>
      <c r="P2" s="743"/>
      <c r="Q2" s="743"/>
      <c r="R2" s="743"/>
    </row>
    <row r="3" spans="1:19" s="744" customFormat="1" ht="17.25">
      <c r="A3" s="742"/>
      <c r="B3" s="742"/>
      <c r="C3" s="743"/>
      <c r="D3" s="743"/>
      <c r="E3" s="743"/>
      <c r="F3" s="743"/>
      <c r="G3" s="743"/>
      <c r="H3" s="743"/>
      <c r="I3" s="743"/>
      <c r="J3" s="743"/>
      <c r="K3" s="743"/>
      <c r="L3" s="743"/>
      <c r="M3" s="743"/>
      <c r="N3" s="743"/>
      <c r="O3" s="743"/>
      <c r="P3" s="743"/>
      <c r="Q3" s="743"/>
      <c r="R3" s="743"/>
    </row>
    <row r="4" spans="1:19" s="744" customFormat="1" ht="19.5">
      <c r="A4" s="745" t="s">
        <v>499</v>
      </c>
      <c r="B4" s="742"/>
      <c r="C4" s="743"/>
      <c r="D4" s="743"/>
      <c r="E4" s="743"/>
      <c r="F4" s="743"/>
      <c r="G4" s="743"/>
      <c r="H4" s="743"/>
      <c r="I4" s="743"/>
      <c r="J4" s="743"/>
      <c r="K4" s="743"/>
      <c r="L4" s="743"/>
      <c r="M4" s="743"/>
      <c r="N4" s="743"/>
      <c r="O4" s="743"/>
      <c r="P4" s="743"/>
      <c r="Q4" s="743"/>
      <c r="R4" s="743"/>
    </row>
    <row r="5" spans="1:19" s="744" customFormat="1" ht="17.25">
      <c r="A5" s="742" t="str">
        <f>Account!$G$1</f>
        <v>FUND 501 CARP</v>
      </c>
      <c r="B5" s="742"/>
      <c r="C5" s="743"/>
      <c r="D5" s="743"/>
      <c r="E5" s="743"/>
      <c r="F5" s="743"/>
      <c r="G5" s="743"/>
      <c r="H5" s="743"/>
      <c r="I5" s="743"/>
      <c r="J5" s="743"/>
      <c r="K5" s="743"/>
      <c r="L5" s="743"/>
      <c r="M5" s="743"/>
      <c r="N5" s="743"/>
      <c r="O5" s="743"/>
      <c r="P5" s="743"/>
      <c r="Q5" s="743"/>
      <c r="R5" s="743"/>
    </row>
    <row r="6" spans="1:19" s="744" customFormat="1" ht="17.25">
      <c r="A6" s="746">
        <f>Account!$G$2</f>
        <v>45291</v>
      </c>
      <c r="B6" s="746"/>
      <c r="C6" s="743"/>
      <c r="D6" s="743"/>
      <c r="E6" s="743"/>
      <c r="F6" s="743"/>
      <c r="G6" s="743"/>
      <c r="H6" s="743"/>
      <c r="I6" s="743"/>
      <c r="J6" s="743"/>
      <c r="K6" s="743"/>
      <c r="L6" s="743"/>
      <c r="M6" s="743"/>
      <c r="N6" s="743"/>
      <c r="O6" s="743"/>
      <c r="P6" s="743"/>
      <c r="Q6" s="743"/>
      <c r="R6" s="743"/>
    </row>
    <row r="7" spans="1:19">
      <c r="E7" s="503"/>
    </row>
    <row r="8" spans="1:19" ht="16.5" customHeight="1">
      <c r="A8" s="1249" t="s">
        <v>473</v>
      </c>
      <c r="B8" s="1247" t="s">
        <v>474</v>
      </c>
      <c r="C8" s="1250" t="s">
        <v>474</v>
      </c>
      <c r="D8" s="1250" t="s">
        <v>500</v>
      </c>
      <c r="E8" s="1249" t="s">
        <v>497</v>
      </c>
      <c r="F8" s="1249"/>
      <c r="G8" s="1249"/>
      <c r="H8" s="1249"/>
      <c r="I8" s="1249"/>
      <c r="J8" s="1249"/>
      <c r="K8" s="1249"/>
      <c r="L8" s="1249"/>
      <c r="M8" s="1249"/>
      <c r="N8" s="1249"/>
      <c r="O8" s="1249"/>
      <c r="P8" s="1249" t="s">
        <v>498</v>
      </c>
      <c r="Q8" s="1249"/>
      <c r="R8" s="1249"/>
      <c r="S8" s="1247" t="s">
        <v>724</v>
      </c>
    </row>
    <row r="9" spans="1:19" ht="16.5" customHeight="1">
      <c r="A9" s="1249"/>
      <c r="B9" s="1247"/>
      <c r="C9" s="1250"/>
      <c r="D9" s="1250"/>
      <c r="E9" s="1249" t="s">
        <v>357</v>
      </c>
      <c r="F9" s="1249"/>
      <c r="G9" s="1249"/>
      <c r="H9" s="1249" t="s">
        <v>356</v>
      </c>
      <c r="I9" s="1249"/>
      <c r="J9" s="1249"/>
      <c r="K9" s="1249"/>
      <c r="L9" s="1249"/>
      <c r="M9" s="1249"/>
      <c r="N9" s="1249"/>
      <c r="O9" s="1249"/>
      <c r="P9" s="1249" t="s">
        <v>357</v>
      </c>
      <c r="Q9" s="1249"/>
      <c r="R9" s="531" t="s">
        <v>356</v>
      </c>
      <c r="S9" s="1247"/>
    </row>
    <row r="10" spans="1:19">
      <c r="A10" s="1249"/>
      <c r="B10" s="1248"/>
      <c r="C10" s="1249"/>
      <c r="D10" s="1250"/>
      <c r="E10" s="1251" t="s">
        <v>9</v>
      </c>
      <c r="F10" s="1251" t="s">
        <v>120</v>
      </c>
      <c r="G10" s="1251" t="s">
        <v>334</v>
      </c>
      <c r="H10" s="1251" t="s">
        <v>27</v>
      </c>
      <c r="I10" s="1251" t="s">
        <v>125</v>
      </c>
      <c r="J10" s="1251" t="s">
        <v>126</v>
      </c>
      <c r="K10" s="1251" t="s">
        <v>721</v>
      </c>
      <c r="L10" s="1251" t="s">
        <v>155</v>
      </c>
      <c r="M10" s="1251" t="s">
        <v>160</v>
      </c>
      <c r="N10" s="1249" t="s">
        <v>478</v>
      </c>
      <c r="O10" s="1249"/>
      <c r="P10" s="1251" t="s">
        <v>1478</v>
      </c>
      <c r="Q10" s="1251" t="s">
        <v>152</v>
      </c>
      <c r="R10" s="1251" t="s">
        <v>9</v>
      </c>
      <c r="S10" s="1248"/>
    </row>
    <row r="11" spans="1:19">
      <c r="A11" s="1249"/>
      <c r="B11" s="1248"/>
      <c r="C11" s="1249"/>
      <c r="D11" s="1250"/>
      <c r="E11" s="1251"/>
      <c r="F11" s="1251"/>
      <c r="G11" s="1251"/>
      <c r="H11" s="1251"/>
      <c r="I11" s="1251"/>
      <c r="J11" s="1251"/>
      <c r="K11" s="1251"/>
      <c r="L11" s="1251"/>
      <c r="M11" s="1251"/>
      <c r="N11" s="531" t="s">
        <v>481</v>
      </c>
      <c r="O11" s="531" t="s">
        <v>453</v>
      </c>
      <c r="P11" s="1251"/>
      <c r="Q11" s="1251"/>
      <c r="R11" s="1251"/>
      <c r="S11" s="1248"/>
    </row>
    <row r="12" spans="1:19" hidden="1">
      <c r="A12" s="316" t="s">
        <v>0</v>
      </c>
      <c r="B12" s="543" t="s">
        <v>1459</v>
      </c>
      <c r="C12" s="316" t="s">
        <v>1460</v>
      </c>
      <c r="D12" s="318" t="s">
        <v>1461</v>
      </c>
      <c r="E12" s="316" t="s">
        <v>1471</v>
      </c>
      <c r="F12" s="316" t="s">
        <v>120</v>
      </c>
      <c r="G12" s="316" t="s">
        <v>334</v>
      </c>
      <c r="H12" s="316" t="s">
        <v>351</v>
      </c>
      <c r="I12" s="316" t="s">
        <v>125</v>
      </c>
      <c r="J12" s="316" t="s">
        <v>126</v>
      </c>
      <c r="K12" s="316" t="s">
        <v>721</v>
      </c>
      <c r="L12" s="316" t="s">
        <v>1468</v>
      </c>
      <c r="M12" s="316" t="s">
        <v>1469</v>
      </c>
      <c r="N12" s="316" t="s">
        <v>1462</v>
      </c>
      <c r="O12" s="316" t="s">
        <v>453</v>
      </c>
      <c r="P12" s="316" t="s">
        <v>13</v>
      </c>
      <c r="Q12" s="316" t="s">
        <v>152</v>
      </c>
      <c r="R12" s="316" t="s">
        <v>1470</v>
      </c>
      <c r="S12" s="516" t="s">
        <v>724</v>
      </c>
    </row>
    <row r="13" spans="1:19">
      <c r="A13" s="98" t="str">
        <f t="array" ref="A13">IF(OR(C13=C12,C13=0),"",INDEX(CRDJ[Date],MATCH(C13,CRDJ[JEV Number],0)))</f>
        <v/>
      </c>
      <c r="B13" s="549"/>
      <c r="C13" s="99" t="str">
        <f>IF(B13=0,C12,B13)</f>
        <v>JEV</v>
      </c>
      <c r="D13" s="506" t="str">
        <f t="array" ref="D13">IF(OR(C13=C12,C13=0),"",INDEX(CasheirCode[Name],MATCH((INDEX(CRDJ[Sort Code],MATCH(C13,CRDJ[JEV Number],0))),CasheirCode[Sort Code])))</f>
        <v/>
      </c>
      <c r="E13" s="100">
        <f t="array" ref="E13">IF(OR($C13=$C12,$C13=0),0,(SUM(IF((CRDJ[JEV Number]=$C13)*(CRDJ[Account Code]=(E$10)),CRDJ[Debit]))))</f>
        <v>0</v>
      </c>
      <c r="F13" s="100">
        <f t="array" ref="F13">IF(OR($C13=$C12,$C13=0),0,(SUM(IF((CRDJ[JEV Number]=$C13)*(CRDJ[Account Code]=(F$10)),CRDJ[Debit]))))</f>
        <v>0</v>
      </c>
      <c r="G13" s="100">
        <f t="array" ref="G13">IF(OR($C13=$C12,$C13=0),0,(SUM(IF((CRDJ[JEV Number]=$C13)*(CRDJ[Account Code]=(G$10)),CRDJ[Debit]))))</f>
        <v>0</v>
      </c>
      <c r="H13" s="100">
        <f t="array" ref="H13">IF(OR($C13=$C12,$C13=0),0,(SUM(IF((CRDJ[JEV Number]=$C13)*(CRDJ[Account Code]=(H$10)),CRDJ[Credit]))))</f>
        <v>0</v>
      </c>
      <c r="I13" s="100">
        <f t="array" ref="I13">IF(OR($C13=$C12,$C13=0),0,(SUM(IF((CRDJ[JEV Number]=$C13)*(CRDJ[Account Code]=(I$10)),CRDJ[Credit]))))</f>
        <v>0</v>
      </c>
      <c r="J13" s="100">
        <f t="array" ref="J13">IF(OR($C13=$C12,$C13=0),0,(SUM(IF((CRDJ[JEV Number]=$C13)*(CRDJ[Account Code]=(J$10)),CRDJ[Credit]))))</f>
        <v>0</v>
      </c>
      <c r="K13" s="100">
        <f t="array" ref="K13">IF(OR($C13=$C12,$C13=0),0,(SUM(IF((CRDJ[JEV Number]=$C13)*(CRDJ[Account Code]=(K$10)),CRDJ[Credit]))))</f>
        <v>0</v>
      </c>
      <c r="L13" s="100">
        <f t="array" ref="L13">IF(OR($C13=$C12,$C13=0),0,(SUM(IF((CRDJ[JEV Number]=$C13)*(CRDJ[Account Code]=(L$10)),CRDJ[Credit]))))</f>
        <v>0</v>
      </c>
      <c r="M13" s="100">
        <f t="array" ref="M13">IF(OR($C13=$C12,$C13=0),0,(SUM(IF((CRDJ[JEV Number]=$C13)*(CRDJ[Account Code]=(M$10)),CRDJ[Credit]))))</f>
        <v>0</v>
      </c>
      <c r="N13" s="507" t="s">
        <v>150</v>
      </c>
      <c r="O13" s="508">
        <f t="array" ref="O13">IF($C13=0,0,(SUM(IF((CRDJ[JEV Number]=$C13)*(CRDJ[Account Code]=(N13)),CRDJ[Credit]))))</f>
        <v>0</v>
      </c>
      <c r="P13" s="100">
        <f t="array" ref="P13">IF(OR($C13=$C12,$C13=0),0,(SUM(IF((CRDJ[JEV Number]=$C13)*(CRDJ[Account Code]=(P$10)),CRDJ[Debit]))))</f>
        <v>0</v>
      </c>
      <c r="Q13" s="100">
        <f t="array" ref="Q13">IF(OR($C13=$C12,$C13=0),0,(SUM(IF((CRDJ[JEV Number]=$C13)*(CRDJ[Account Code]=(Q$10)),CRDJ[Debit]))))</f>
        <v>0</v>
      </c>
      <c r="R13" s="100">
        <f t="array" ref="R13">IF(OR($C13=$C12,$C13=0),0,(SUM(IF((CRDJ[JEV Number]=$C13)*(CRDJ[Account Code]=(R$10)),CRDJ[Credit]))))</f>
        <v>0</v>
      </c>
      <c r="S13" s="514">
        <f>(SUM(E13:G13)+SUM(P13:Q13))-(SUM(H13:M13)+O13+R13)</f>
        <v>0</v>
      </c>
    </row>
    <row r="14" spans="1:19">
      <c r="A14" s="98" t="str">
        <f t="array" ref="A14">IF(OR(C14=C13,C14=0),"",INDEX(CRDJ[Date],MATCH(C14,CRDJ[JEV Number],0)))</f>
        <v/>
      </c>
      <c r="B14" s="549"/>
      <c r="C14" s="99" t="str">
        <f>IF(B14=0,C13,B14)</f>
        <v>JEV</v>
      </c>
      <c r="D14" s="506" t="str">
        <f t="array" ref="D14">IF(OR(C14=C13,C14=0),"",INDEX(CasheirCode[Name],MATCH((INDEX(CRDJ[Sort Code],MATCH(C14,CRDJ[JEV Number],0))),CasheirCode[Sort Code])))</f>
        <v/>
      </c>
      <c r="E14" s="100">
        <f t="array" ref="E14">IF(OR($C14=$C13,$C14=0),0,(SUM(IF((CRDJ[JEV Number]=$C14)*(CRDJ[Account Code]=(E$10)),CRDJ[Debit]))))</f>
        <v>0</v>
      </c>
      <c r="F14" s="100">
        <f t="array" ref="F14">IF(OR($C14=$C13,$C14=0),0,(SUM(IF((CRDJ[JEV Number]=$C14)*(CRDJ[Account Code]=(F$10)),CRDJ[Debit]))))</f>
        <v>0</v>
      </c>
      <c r="G14" s="100">
        <f t="array" ref="G14">IF(OR($C14=$C13,$C14=0),0,(SUM(IF((CRDJ[JEV Number]=$C14)*(CRDJ[Account Code]=(G$10)),CRDJ[Debit]))))</f>
        <v>0</v>
      </c>
      <c r="H14" s="100">
        <f t="array" ref="H14">IF(OR($C14=$C13,$C14=0),0,(SUM(IF((CRDJ[JEV Number]=$C14)*(CRDJ[Account Code]=(H$10)),CRDJ[Credit]))))</f>
        <v>0</v>
      </c>
      <c r="I14" s="100">
        <f t="array" ref="I14">IF(OR($C14=$C13,$C14=0),0,(SUM(IF((CRDJ[JEV Number]=$C14)*(CRDJ[Account Code]=(I$10)),CRDJ[Credit]))))</f>
        <v>0</v>
      </c>
      <c r="J14" s="100">
        <f t="array" ref="J14">IF(OR($C14=$C13,$C14=0),0,(SUM(IF((CRDJ[JEV Number]=$C14)*(CRDJ[Account Code]=(J$10)),CRDJ[Credit]))))</f>
        <v>0</v>
      </c>
      <c r="K14" s="100">
        <f t="array" ref="K14">IF(OR($C14=$C13,$C14=0),0,(SUM(IF((CRDJ[JEV Number]=$C14)*(CRDJ[Account Code]=(K$10)),CRDJ[Credit]))))</f>
        <v>0</v>
      </c>
      <c r="L14" s="100">
        <f t="array" ref="L14">IF(OR($C14=$C13,$C14=0),0,(SUM(IF((CRDJ[JEV Number]=$C14)*(CRDJ[Account Code]=(L$10)),CRDJ[Credit]))))</f>
        <v>0</v>
      </c>
      <c r="M14" s="100">
        <f t="array" ref="M14">IF(OR($C14=$C13,$C14=0),0,(SUM(IF((CRDJ[JEV Number]=$C14)*(CRDJ[Account Code]=(M$10)),CRDJ[Credit]))))</f>
        <v>0</v>
      </c>
      <c r="N14" s="507"/>
      <c r="O14" s="509">
        <f t="array" ref="O14">IF($C14=0,0,(SUM(IF((CRDJ[JEV Number]=$C14)*(CRDJ[Account Code]=(N14)),CRDJ[Credit]))))</f>
        <v>0</v>
      </c>
      <c r="P14" s="100">
        <f t="array" ref="P14">IF(OR($C14=$C13,$C14=0),0,(SUM(IF((CRDJ[JEV Number]=$C14)*(CRDJ[Account Code]=(P$10)),CRDJ[Debit]))))</f>
        <v>0</v>
      </c>
      <c r="Q14" s="100">
        <f t="array" ref="Q14">IF(OR($C14=$C13,$C14=0),0,(SUM(IF((CRDJ[JEV Number]=$C14)*(CRDJ[Account Code]=(Q$10)),CRDJ[Debit]))))</f>
        <v>0</v>
      </c>
      <c r="R14" s="100">
        <f t="array" ref="R14">IF(OR($C14=$C13,$C14=0),0,(SUM(IF((CRDJ[JEV Number]=$C14)*(CRDJ[Account Code]=(R$10)),CRDJ[Credit]))))</f>
        <v>0</v>
      </c>
      <c r="S14" s="514">
        <f>S13+(SUM(E14:G14)+SUM(P14:Q14))-(SUM(H14:M14)+O14+R14)</f>
        <v>0</v>
      </c>
    </row>
    <row r="15" spans="1:19">
      <c r="A15" s="510" t="str">
        <f t="array" ref="A15">IF(OR(C15=C14,C15=0),"",INDEX(CRDJ[Date],MATCH(C15,CRDJ[JEV Number],0)))</f>
        <v/>
      </c>
      <c r="B15" s="550"/>
      <c r="C15" s="99" t="str">
        <f>IF(B15=0,C14,B15)</f>
        <v>JEV</v>
      </c>
      <c r="D15" s="511" t="str">
        <f t="array" ref="D15">IF(OR(C15=C14,C15=0),"",INDEX(CasheirCode[Name],MATCH((INDEX(CRDJ[Sort Code],MATCH(C15,CRDJ[JEV Number],0))),CasheirCode[Sort Code])))</f>
        <v/>
      </c>
      <c r="E15" s="505">
        <f t="array" ref="E15">IF(OR($C15=$C14,$C15=0),0,(SUM(IF((CRDJ[JEV Number]=$C15)*(CRDJ[Account Code]=(E$10)),CRDJ[Debit]))))</f>
        <v>0</v>
      </c>
      <c r="F15" s="505">
        <f t="array" ref="F15">IF(OR($C15=$C14,$C15=0),0,(SUM(IF((CRDJ[JEV Number]=$C15)*(CRDJ[Account Code]=(F$10)),CRDJ[Debit]))))</f>
        <v>0</v>
      </c>
      <c r="G15" s="505">
        <f t="array" ref="G15">IF(OR($C15=$C14,$C15=0),0,(SUM(IF((CRDJ[JEV Number]=$C15)*(CRDJ[Account Code]=(G$10)),CRDJ[Debit]))))</f>
        <v>0</v>
      </c>
      <c r="H15" s="505">
        <f t="array" ref="H15">IF(OR($C15=$C14,$C15=0),0,(SUM(IF((CRDJ[JEV Number]=$C15)*(CRDJ[Account Code]=(H$10)),CRDJ[Credit]))))</f>
        <v>0</v>
      </c>
      <c r="I15" s="505">
        <f t="array" ref="I15">IF(OR($C15=$C14,$C15=0),0,(SUM(IF((CRDJ[JEV Number]=$C15)*(CRDJ[Account Code]=(I$10)),CRDJ[Credit]))))</f>
        <v>0</v>
      </c>
      <c r="J15" s="505">
        <f t="array" ref="J15">IF(OR($C15=$C14,$C15=0),0,(SUM(IF((CRDJ[JEV Number]=$C15)*(CRDJ[Account Code]=(J$10)),CRDJ[Credit]))))</f>
        <v>0</v>
      </c>
      <c r="K15" s="505">
        <f t="array" ref="K15">IF(OR($C15=$C14,$C15=0),0,(SUM(IF((CRDJ[JEV Number]=$C15)*(CRDJ[Account Code]=(K$10)),CRDJ[Credit]))))</f>
        <v>0</v>
      </c>
      <c r="L15" s="505">
        <f t="array" ref="L15">IF(OR($C15=$C14,$C15=0),0,(SUM(IF((CRDJ[JEV Number]=$C15)*(CRDJ[Account Code]=(L$10)),CRDJ[Credit]))))</f>
        <v>0</v>
      </c>
      <c r="M15" s="505">
        <f t="array" ref="M15">IF(OR($C15=$C14,$C15=0),0,(SUM(IF((CRDJ[JEV Number]=$C15)*(CRDJ[Account Code]=(M$10)),CRDJ[Credit]))))</f>
        <v>0</v>
      </c>
      <c r="N15" s="512"/>
      <c r="O15" s="513">
        <f t="array" ref="O15">IF($C15=0,0,(SUM(IF((CRDJ[JEV Number]=$C15)*(CRDJ[Account Code]=(N15)),CRDJ[Credit]))))</f>
        <v>0</v>
      </c>
      <c r="P15" s="505">
        <f t="array" ref="P15">IF(OR($C15=$C14,$C15=0),0,(SUM(IF((CRDJ[JEV Number]=$C15)*(CRDJ[Account Code]=(P$10)),CRDJ[Debit]))))</f>
        <v>0</v>
      </c>
      <c r="Q15" s="505">
        <f t="array" ref="Q15">IF(OR($C15=$C14,$C15=0),0,(SUM(IF((CRDJ[JEV Number]=$C15)*(CRDJ[Account Code]=(Q$10)),CRDJ[Debit]))))</f>
        <v>0</v>
      </c>
      <c r="R15" s="505">
        <f t="array" ref="R15">IF(OR($C15=$C14,$C15=0),0,(SUM(IF((CRDJ[JEV Number]=$C15)*(CRDJ[Account Code]=(R$10)),CRDJ[Credit]))))</f>
        <v>0</v>
      </c>
      <c r="S15" s="514">
        <f>S14+(SUM(E15:G15)+SUM(P15:Q15))-(SUM(H15:M15)+O15+R15)</f>
        <v>0</v>
      </c>
    </row>
    <row r="16" spans="1:19">
      <c r="A16" s="510" t="str">
        <f t="array" ref="A16">IF(OR(C16=C15,C16=0),"",INDEX(CRDJ[Date],MATCH(C16,CRDJ[JEV Number],0)))</f>
        <v/>
      </c>
      <c r="B16" s="551"/>
      <c r="C16" s="504" t="str">
        <f>IF(B16=0,C15,B16)</f>
        <v>JEV</v>
      </c>
      <c r="D16" s="511" t="str">
        <f t="array" ref="D16">IF(OR(C16=C15,C16=0),"",INDEX(CasheirCode[Name],MATCH((INDEX(CRDJ[Sort Code],MATCH(C16,CRDJ[JEV Number],0))),CasheirCode[Sort Code])))</f>
        <v/>
      </c>
      <c r="E16" s="505">
        <f t="array" ref="E16">IF(OR($C16=$C15,$C16=0),0,(SUM(IF((CRDJ[JEV Number]=$C16)*(CRDJ[Account Code]=(E$10)),CRDJ[Debit]))))</f>
        <v>0</v>
      </c>
      <c r="F16" s="505">
        <f t="array" ref="F16">IF(OR($C16=$C15,$C16=0),0,(SUM(IF((CRDJ[JEV Number]=$C16)*(CRDJ[Account Code]=(F$10)),CRDJ[Debit]))))</f>
        <v>0</v>
      </c>
      <c r="G16" s="505">
        <f t="array" ref="G16">IF(OR($C16=$C15,$C16=0),0,(SUM(IF((CRDJ[JEV Number]=$C16)*(CRDJ[Account Code]=(G$10)),CRDJ[Debit]))))</f>
        <v>0</v>
      </c>
      <c r="H16" s="505">
        <f t="array" ref="H16">IF(OR($C16=$C15,$C16=0),0,(SUM(IF((CRDJ[JEV Number]=$C16)*(CRDJ[Account Code]=(H$10)),CRDJ[Credit]))))</f>
        <v>0</v>
      </c>
      <c r="I16" s="505">
        <f t="array" ref="I16">IF(OR($C16=$C15,$C16=0),0,(SUM(IF((CRDJ[JEV Number]=$C16)*(CRDJ[Account Code]=(I$10)),CRDJ[Credit]))))</f>
        <v>0</v>
      </c>
      <c r="J16" s="505">
        <f t="array" ref="J16">IF(OR($C16=$C15,$C16=0),0,(SUM(IF((CRDJ[JEV Number]=$C16)*(CRDJ[Account Code]=(J$10)),CRDJ[Credit]))))</f>
        <v>0</v>
      </c>
      <c r="K16" s="505">
        <f t="array" ref="K16">IF(OR($C16=$C15,$C16=0),0,(SUM(IF((CRDJ[JEV Number]=$C16)*(CRDJ[Account Code]=(K$10)),CRDJ[Credit]))))</f>
        <v>0</v>
      </c>
      <c r="L16" s="505">
        <f t="array" ref="L16">IF(OR($C16=$C15,$C16=0),0,(SUM(IF((CRDJ[JEV Number]=$C16)*(CRDJ[Account Code]=(L$10)),CRDJ[Credit]))))</f>
        <v>0</v>
      </c>
      <c r="M16" s="505">
        <f t="array" ref="M16">IF(OR($C16=$C15,$C16=0),0,(SUM(IF((CRDJ[JEV Number]=$C16)*(CRDJ[Account Code]=(M$10)),CRDJ[Credit]))))</f>
        <v>0</v>
      </c>
      <c r="N16" s="512"/>
      <c r="O16" s="513">
        <f t="array" ref="O16">IF($C16=0,0,(SUM(IF((CRDJ[JEV Number]=$C16)*(CRDJ[Account Code]=(N16)),CRDJ[Credit]))))</f>
        <v>0</v>
      </c>
      <c r="P16" s="505">
        <f t="array" ref="P16">IF(OR($C16=$C15,$C16=0),0,(SUM(IF((CRDJ[JEV Number]=$C16)*(CRDJ[Account Code]=(P$10)),CRDJ[Debit]))))</f>
        <v>0</v>
      </c>
      <c r="Q16" s="505">
        <f t="array" ref="Q16">IF(OR($C16=$C15,$C16=0),0,(SUM(IF((CRDJ[JEV Number]=$C16)*(CRDJ[Account Code]=(Q$10)),CRDJ[Debit]))))</f>
        <v>0</v>
      </c>
      <c r="R16" s="505">
        <f t="array" ref="R16">IF(OR($C16=$C15,$C16=0),0,(SUM(IF((CRDJ[JEV Number]=$C16)*(CRDJ[Account Code]=(R$10)),CRDJ[Credit]))))</f>
        <v>0</v>
      </c>
      <c r="S16" s="514">
        <f>S15+(SUM(E16:G16)+SUM(P16:Q16))-(SUM(H16:M16)+O16+R16)</f>
        <v>0</v>
      </c>
    </row>
    <row r="33" spans="9:10">
      <c r="I33" s="760" t="s">
        <v>482</v>
      </c>
    </row>
    <row r="34" spans="9:10">
      <c r="I34" s="526"/>
      <c r="J34" s="707"/>
    </row>
    <row r="35" spans="9:10">
      <c r="I35" s="526"/>
      <c r="J35" s="707" t="s">
        <v>1559</v>
      </c>
    </row>
    <row r="36" spans="9:10">
      <c r="I36" s="526"/>
      <c r="J36" s="707" t="s">
        <v>1560</v>
      </c>
    </row>
  </sheetData>
  <sheetProtection insertRows="0" autoFilter="0" pivotTables="0"/>
  <mergeCells count="23">
    <mergeCell ref="P10:P11"/>
    <mergeCell ref="G10:G11"/>
    <mergeCell ref="H10:H11"/>
    <mergeCell ref="I10:I11"/>
    <mergeCell ref="J10:J11"/>
    <mergeCell ref="K10:K11"/>
    <mergeCell ref="L10:L11"/>
    <mergeCell ref="S8:S11"/>
    <mergeCell ref="A8:A11"/>
    <mergeCell ref="C8:C11"/>
    <mergeCell ref="D8:D11"/>
    <mergeCell ref="E8:O8"/>
    <mergeCell ref="P8:R8"/>
    <mergeCell ref="E9:G9"/>
    <mergeCell ref="H9:O9"/>
    <mergeCell ref="P9:Q9"/>
    <mergeCell ref="E10:E11"/>
    <mergeCell ref="F10:F11"/>
    <mergeCell ref="B8:B11"/>
    <mergeCell ref="Q10:Q11"/>
    <mergeCell ref="R10:R11"/>
    <mergeCell ref="M10:M11"/>
    <mergeCell ref="N10:O10"/>
  </mergeCells>
  <pageMargins left="0.55118110236220474" right="0.23622047244094491" top="0.51181102362204722" bottom="0.51181102362204722" header="0.31496062992125984" footer="0.31496062992125984"/>
  <pageSetup paperSize="14" scale="68" orientation="landscape"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1:P652"/>
  <sheetViews>
    <sheetView showZeros="0" view="pageBreakPreview" zoomScale="60" zoomScaleNormal="60" workbookViewId="0">
      <selection activeCell="M416" sqref="M416"/>
    </sheetView>
  </sheetViews>
  <sheetFormatPr defaultColWidth="9" defaultRowHeight="15.75"/>
  <cols>
    <col min="1" max="1" width="12.5" style="702" customWidth="1"/>
    <col min="2" max="2" width="11.625" style="702" bestFit="1" customWidth="1"/>
    <col min="3" max="3" width="9.5" style="703" customWidth="1"/>
    <col min="4" max="4" width="10.625" style="704" customWidth="1"/>
    <col min="5" max="5" width="8.125" style="705" customWidth="1"/>
    <col min="6" max="8" width="8.125" style="704" customWidth="1"/>
    <col min="9" max="9" width="27.625" style="704" customWidth="1"/>
    <col min="10" max="10" width="30.125" style="704" customWidth="1"/>
    <col min="11" max="11" width="36" style="678" customWidth="1"/>
    <col min="12" max="12" width="11.625" style="704" customWidth="1"/>
    <col min="13" max="13" width="17.75" style="706" customWidth="1"/>
    <col min="14" max="14" width="14.375" style="706" customWidth="1"/>
    <col min="15" max="15" width="48.5" style="968" customWidth="1"/>
    <col min="16" max="16" width="19" style="678" customWidth="1"/>
    <col min="17" max="16384" width="9" style="678"/>
  </cols>
  <sheetData>
    <row r="1" spans="1:16">
      <c r="A1" s="1240" t="s">
        <v>1613</v>
      </c>
      <c r="B1" s="1241"/>
      <c r="C1" s="1241"/>
      <c r="D1" s="1241"/>
      <c r="E1" s="1241"/>
      <c r="F1" s="1241"/>
      <c r="G1" s="1241"/>
      <c r="H1" s="1241"/>
      <c r="I1" s="1241"/>
      <c r="J1" s="1241"/>
      <c r="K1" s="1241"/>
      <c r="L1" s="1241"/>
      <c r="M1" s="1241"/>
      <c r="N1" s="1252"/>
      <c r="O1" s="316"/>
      <c r="P1" s="94"/>
    </row>
    <row r="2" spans="1:16" ht="31.5">
      <c r="A2" s="535" t="s">
        <v>0</v>
      </c>
      <c r="B2" s="535" t="s">
        <v>735</v>
      </c>
      <c r="C2" s="556" t="s">
        <v>736</v>
      </c>
      <c r="D2" s="153" t="s">
        <v>722</v>
      </c>
      <c r="E2" s="184" t="s">
        <v>718</v>
      </c>
      <c r="F2" s="153" t="s">
        <v>740</v>
      </c>
      <c r="G2" s="153" t="s">
        <v>723</v>
      </c>
      <c r="H2" s="153" t="s">
        <v>728</v>
      </c>
      <c r="I2" s="153" t="s">
        <v>838</v>
      </c>
      <c r="J2" s="153" t="s">
        <v>440</v>
      </c>
      <c r="K2" s="552" t="s">
        <v>369</v>
      </c>
      <c r="L2" s="181" t="s">
        <v>370</v>
      </c>
      <c r="M2" s="154" t="s">
        <v>1</v>
      </c>
      <c r="N2" s="154" t="s">
        <v>2</v>
      </c>
      <c r="O2" s="964" t="s">
        <v>715</v>
      </c>
      <c r="P2" s="155" t="s">
        <v>724</v>
      </c>
    </row>
    <row r="3" spans="1:16" ht="38.25" hidden="1" customHeight="1">
      <c r="A3" s="940">
        <v>44957</v>
      </c>
      <c r="B3" s="941">
        <v>44938</v>
      </c>
      <c r="C3" s="662" t="s">
        <v>1653</v>
      </c>
      <c r="D3" s="494" t="s">
        <v>1652</v>
      </c>
      <c r="E3" s="943" t="s">
        <v>762</v>
      </c>
      <c r="F3" s="944" t="s">
        <v>1526</v>
      </c>
      <c r="G3" s="942"/>
      <c r="H3" s="942"/>
      <c r="I3" s="945" t="s">
        <v>1650</v>
      </c>
      <c r="J3" s="956" t="s">
        <v>1654</v>
      </c>
      <c r="K3" s="700" t="str">
        <f>IF(L3=0,"",(INDEX(AccountCodes[ACCOUNT NAME],MATCH(L3,AccountCodes[NGAS CODE],0))))</f>
        <v>Semi-Expendable Information and Communications Technology Equipment</v>
      </c>
      <c r="L3" s="946" t="s">
        <v>1246</v>
      </c>
      <c r="M3" s="947">
        <v>9230</v>
      </c>
      <c r="N3" s="947"/>
      <c r="O3" s="965" t="s">
        <v>1685</v>
      </c>
      <c r="P3" s="158">
        <f>M3-N3</f>
        <v>9230</v>
      </c>
    </row>
    <row r="4" spans="1:16" ht="39" hidden="1" customHeight="1">
      <c r="A4" s="940">
        <v>44957</v>
      </c>
      <c r="B4" s="941">
        <v>44938</v>
      </c>
      <c r="C4" s="942" t="s">
        <v>1653</v>
      </c>
      <c r="D4" s="494" t="s">
        <v>1652</v>
      </c>
      <c r="E4" s="943" t="s">
        <v>762</v>
      </c>
      <c r="F4" s="944" t="s">
        <v>1526</v>
      </c>
      <c r="G4" s="942"/>
      <c r="H4" s="942"/>
      <c r="I4" s="945" t="s">
        <v>1650</v>
      </c>
      <c r="J4" s="956" t="s">
        <v>1654</v>
      </c>
      <c r="K4" s="700" t="str">
        <f>IF(L4=0,"",(INDEX(AccountCodes[ACCOUNT NAME],MATCH(L4,AccountCodes[NGAS CODE],0))))</f>
        <v>Due to BIR - 1%</v>
      </c>
      <c r="L4" s="946" t="s">
        <v>1554</v>
      </c>
      <c r="M4" s="947"/>
      <c r="N4" s="1151">
        <v>82.41</v>
      </c>
      <c r="O4" s="965"/>
      <c r="P4" s="158">
        <f>P3+M4-N4</f>
        <v>9147.59</v>
      </c>
    </row>
    <row r="5" spans="1:16" ht="39" hidden="1" customHeight="1">
      <c r="A5" s="940">
        <v>44957</v>
      </c>
      <c r="B5" s="941">
        <v>44938</v>
      </c>
      <c r="C5" s="942" t="s">
        <v>1653</v>
      </c>
      <c r="D5" s="494" t="s">
        <v>1652</v>
      </c>
      <c r="E5" s="943" t="s">
        <v>762</v>
      </c>
      <c r="F5" s="944" t="s">
        <v>1526</v>
      </c>
      <c r="G5" s="942"/>
      <c r="H5" s="942"/>
      <c r="I5" s="945" t="s">
        <v>1650</v>
      </c>
      <c r="J5" s="956" t="s">
        <v>1654</v>
      </c>
      <c r="K5" s="677" t="str">
        <f>IF(L5=0,"",(INDEX(AccountCodes[ACCOUNT NAME],MATCH(L5,AccountCodes[NGAS CODE],0))))</f>
        <v>Due to BIR - 5%</v>
      </c>
      <c r="L5" s="946" t="s">
        <v>1548</v>
      </c>
      <c r="M5" s="947"/>
      <c r="N5" s="1150">
        <v>412.05</v>
      </c>
      <c r="O5" s="965"/>
      <c r="P5" s="498">
        <f>P4+M5-N5</f>
        <v>8735.5400000000009</v>
      </c>
    </row>
    <row r="6" spans="1:16" s="680" customFormat="1" ht="39" hidden="1" customHeight="1">
      <c r="A6" s="940">
        <v>44957</v>
      </c>
      <c r="B6" s="941">
        <v>44938</v>
      </c>
      <c r="C6" s="942" t="s">
        <v>1653</v>
      </c>
      <c r="D6" s="494" t="s">
        <v>1652</v>
      </c>
      <c r="E6" s="943" t="s">
        <v>762</v>
      </c>
      <c r="F6" s="944" t="s">
        <v>1526</v>
      </c>
      <c r="G6" s="942"/>
      <c r="H6" s="942"/>
      <c r="I6" s="945" t="s">
        <v>1650</v>
      </c>
      <c r="J6" s="956" t="s">
        <v>1654</v>
      </c>
      <c r="K6" s="679" t="str">
        <f>IF(L6=0,"",(INDEX(AccountCodes[ACCOUNT NAME],MATCH(L6,AccountCodes[NGAS CODE],0))))</f>
        <v>Cash in Bank-Local Currency, Current Account - FO</v>
      </c>
      <c r="L6" s="946" t="s">
        <v>1564</v>
      </c>
      <c r="M6" s="947"/>
      <c r="N6" s="1150">
        <v>8735.5400000000009</v>
      </c>
      <c r="O6" s="965"/>
      <c r="P6" s="929">
        <f t="shared" ref="P6:P16" si="0">P5+M6-N6</f>
        <v>0</v>
      </c>
    </row>
    <row r="7" spans="1:16" ht="39" hidden="1" customHeight="1">
      <c r="A7" s="940">
        <v>44957</v>
      </c>
      <c r="B7" s="941">
        <v>44938</v>
      </c>
      <c r="C7" s="942" t="s">
        <v>1657</v>
      </c>
      <c r="D7" s="494" t="s">
        <v>1652</v>
      </c>
      <c r="E7" s="943" t="s">
        <v>762</v>
      </c>
      <c r="F7" s="944" t="s">
        <v>1526</v>
      </c>
      <c r="G7" s="942"/>
      <c r="H7" s="942"/>
      <c r="I7" s="945" t="s">
        <v>1655</v>
      </c>
      <c r="J7" s="956" t="s">
        <v>1656</v>
      </c>
      <c r="K7" s="677" t="str">
        <f>IF(L7=0,"",(INDEX(AccountCodes[ACCOUNT NAME],MATCH(L7,AccountCodes[NGAS CODE],0))))</f>
        <v>Other Maintenance and Operating Expenses - Other Maintenance and Operating Expenses</v>
      </c>
      <c r="L7" s="946" t="s">
        <v>405</v>
      </c>
      <c r="M7" s="947">
        <v>3330</v>
      </c>
      <c r="N7" s="1150"/>
      <c r="O7" s="965" t="s">
        <v>1686</v>
      </c>
      <c r="P7" s="558">
        <f t="shared" si="0"/>
        <v>3330</v>
      </c>
    </row>
    <row r="8" spans="1:16" ht="39" hidden="1" customHeight="1">
      <c r="A8" s="940">
        <v>44957</v>
      </c>
      <c r="B8" s="941">
        <v>44938</v>
      </c>
      <c r="C8" s="942" t="s">
        <v>1657</v>
      </c>
      <c r="D8" s="494" t="s">
        <v>1652</v>
      </c>
      <c r="E8" s="943" t="s">
        <v>762</v>
      </c>
      <c r="F8" s="944" t="s">
        <v>1526</v>
      </c>
      <c r="G8" s="942"/>
      <c r="H8" s="942"/>
      <c r="I8" s="945" t="s">
        <v>1655</v>
      </c>
      <c r="J8" s="956" t="s">
        <v>1656</v>
      </c>
      <c r="K8" s="677" t="str">
        <f>IF(L8=0,"",(INDEX(AccountCodes[ACCOUNT NAME],MATCH(L8,AccountCodes[NGAS CODE],0))))</f>
        <v>Cash in Bank-Local Currency, Current Account - FO</v>
      </c>
      <c r="L8" s="946" t="s">
        <v>1564</v>
      </c>
      <c r="M8" s="947"/>
      <c r="N8" s="1151">
        <f>M7</f>
        <v>3330</v>
      </c>
      <c r="O8" s="965"/>
      <c r="P8" s="558">
        <f t="shared" si="0"/>
        <v>0</v>
      </c>
    </row>
    <row r="9" spans="1:16" ht="39" hidden="1" customHeight="1">
      <c r="A9" s="940">
        <v>44957</v>
      </c>
      <c r="B9" s="941">
        <v>44944</v>
      </c>
      <c r="C9" s="942" t="s">
        <v>1658</v>
      </c>
      <c r="D9" s="494" t="s">
        <v>1652</v>
      </c>
      <c r="E9" s="943" t="s">
        <v>762</v>
      </c>
      <c r="F9" s="944" t="s">
        <v>1526</v>
      </c>
      <c r="G9" s="942"/>
      <c r="H9" s="942"/>
      <c r="I9" s="945" t="s">
        <v>1644</v>
      </c>
      <c r="J9" s="956" t="s">
        <v>1659</v>
      </c>
      <c r="K9" s="677" t="str">
        <f>IF(L9=0,"",(INDEX(AccountCodes[ACCOUNT NAME],MATCH(L9,AccountCodes[NGAS CODE],0))))</f>
        <v>Other Maintenance and Operating Expenses - Other Maintenance and Operating Expenses</v>
      </c>
      <c r="L9" s="946" t="s">
        <v>405</v>
      </c>
      <c r="M9" s="947">
        <v>4053</v>
      </c>
      <c r="N9" s="1150"/>
      <c r="O9" s="965" t="s">
        <v>1686</v>
      </c>
      <c r="P9" s="558">
        <f t="shared" si="0"/>
        <v>4053</v>
      </c>
    </row>
    <row r="10" spans="1:16" ht="39" hidden="1" customHeight="1">
      <c r="A10" s="940">
        <v>44957</v>
      </c>
      <c r="B10" s="941">
        <v>44944</v>
      </c>
      <c r="C10" s="942" t="s">
        <v>1658</v>
      </c>
      <c r="D10" s="494" t="s">
        <v>1652</v>
      </c>
      <c r="E10" s="943" t="s">
        <v>762</v>
      </c>
      <c r="F10" s="944" t="s">
        <v>1526</v>
      </c>
      <c r="G10" s="942"/>
      <c r="H10" s="942"/>
      <c r="I10" s="945" t="s">
        <v>1644</v>
      </c>
      <c r="J10" s="956" t="s">
        <v>1659</v>
      </c>
      <c r="K10" s="677" t="str">
        <f>IF(L10=0,"",(INDEX(AccountCodes[ACCOUNT NAME],MATCH(L10,AccountCodes[NGAS CODE],0))))</f>
        <v>Cash in Bank-Local Currency, Current Account - FO</v>
      </c>
      <c r="L10" s="946" t="s">
        <v>1564</v>
      </c>
      <c r="M10" s="947"/>
      <c r="N10" s="947">
        <v>4053</v>
      </c>
      <c r="O10" s="965"/>
      <c r="P10" s="558">
        <f t="shared" si="0"/>
        <v>0</v>
      </c>
    </row>
    <row r="11" spans="1:16" ht="39" hidden="1" customHeight="1">
      <c r="A11" s="940">
        <v>44957</v>
      </c>
      <c r="B11" s="941">
        <v>44944</v>
      </c>
      <c r="C11" s="942" t="s">
        <v>1660</v>
      </c>
      <c r="D11" s="494" t="s">
        <v>1652</v>
      </c>
      <c r="E11" s="943" t="s">
        <v>762</v>
      </c>
      <c r="F11" s="944" t="s">
        <v>1526</v>
      </c>
      <c r="G11" s="942"/>
      <c r="H11" s="942"/>
      <c r="I11" s="945" t="s">
        <v>1655</v>
      </c>
      <c r="J11" s="956" t="s">
        <v>1661</v>
      </c>
      <c r="K11" s="677" t="str">
        <f>IF(L11=0,"",(INDEX(AccountCodes[ACCOUNT NAME],MATCH(L11,AccountCodes[NGAS CODE],0))))</f>
        <v>Other Maintenance and Operating Expenses - Other Maintenance and Operating Expenses</v>
      </c>
      <c r="L11" s="946" t="s">
        <v>405</v>
      </c>
      <c r="M11" s="947">
        <v>8600</v>
      </c>
      <c r="N11" s="947"/>
      <c r="O11" s="965" t="s">
        <v>1686</v>
      </c>
      <c r="P11" s="558">
        <f t="shared" si="0"/>
        <v>8600</v>
      </c>
    </row>
    <row r="12" spans="1:16" ht="39" hidden="1" customHeight="1">
      <c r="A12" s="940">
        <v>44957</v>
      </c>
      <c r="B12" s="941">
        <v>44944</v>
      </c>
      <c r="C12" s="942" t="s">
        <v>1660</v>
      </c>
      <c r="D12" s="494" t="s">
        <v>1652</v>
      </c>
      <c r="E12" s="943" t="s">
        <v>762</v>
      </c>
      <c r="F12" s="944" t="s">
        <v>1526</v>
      </c>
      <c r="G12" s="942"/>
      <c r="H12" s="942"/>
      <c r="I12" s="945" t="s">
        <v>1655</v>
      </c>
      <c r="J12" s="956" t="s">
        <v>1661</v>
      </c>
      <c r="K12" s="677" t="str">
        <f>IF(L12=0,"",(INDEX(AccountCodes[ACCOUNT NAME],MATCH(L12,AccountCodes[NGAS CODE],0))))</f>
        <v>Cash in Bank-Local Currency, Current Account - FO</v>
      </c>
      <c r="L12" s="946" t="s">
        <v>1564</v>
      </c>
      <c r="M12" s="947"/>
      <c r="N12" s="947">
        <v>8600</v>
      </c>
      <c r="O12" s="966"/>
      <c r="P12" s="558">
        <f t="shared" si="0"/>
        <v>0</v>
      </c>
    </row>
    <row r="13" spans="1:16" ht="39" hidden="1" customHeight="1">
      <c r="A13" s="940">
        <v>44957</v>
      </c>
      <c r="B13" s="941">
        <v>44944</v>
      </c>
      <c r="C13" s="942" t="s">
        <v>1663</v>
      </c>
      <c r="D13" s="494" t="s">
        <v>1652</v>
      </c>
      <c r="E13" s="943" t="s">
        <v>762</v>
      </c>
      <c r="F13" s="944" t="s">
        <v>1526</v>
      </c>
      <c r="G13" s="942"/>
      <c r="H13" s="942"/>
      <c r="I13" s="945" t="s">
        <v>1644</v>
      </c>
      <c r="J13" s="951" t="s">
        <v>1662</v>
      </c>
      <c r="K13" s="677" t="str">
        <f>IF(L13=0,"",(INDEX(AccountCodes[ACCOUNT NAME],MATCH(L13,AccountCodes[NGAS CODE],0))))</f>
        <v>Other Maintenance and Operating Expenses - Other Maintenance and Operating Expenses</v>
      </c>
      <c r="L13" s="946" t="s">
        <v>405</v>
      </c>
      <c r="M13" s="947">
        <v>3190</v>
      </c>
      <c r="N13" s="947"/>
      <c r="O13" s="965" t="s">
        <v>1686</v>
      </c>
      <c r="P13" s="558">
        <f t="shared" si="0"/>
        <v>3190</v>
      </c>
    </row>
    <row r="14" spans="1:16" ht="39" hidden="1" customHeight="1">
      <c r="A14" s="940">
        <v>44957</v>
      </c>
      <c r="B14" s="941">
        <v>44944</v>
      </c>
      <c r="C14" s="942" t="s">
        <v>1663</v>
      </c>
      <c r="D14" s="494" t="s">
        <v>1652</v>
      </c>
      <c r="E14" s="943" t="s">
        <v>762</v>
      </c>
      <c r="F14" s="944" t="s">
        <v>1526</v>
      </c>
      <c r="G14" s="942"/>
      <c r="H14" s="942"/>
      <c r="I14" s="945" t="s">
        <v>1644</v>
      </c>
      <c r="J14" s="951" t="s">
        <v>1662</v>
      </c>
      <c r="K14" s="677" t="str">
        <f>IF(L14=0,"",(INDEX(AccountCodes[ACCOUNT NAME],MATCH(L14,AccountCodes[NGAS CODE],0))))</f>
        <v>Cash in Bank-Local Currency, Current Account - FO</v>
      </c>
      <c r="L14" s="946" t="s">
        <v>1564</v>
      </c>
      <c r="M14" s="947"/>
      <c r="N14" s="947">
        <v>3190</v>
      </c>
      <c r="O14" s="966"/>
      <c r="P14" s="558">
        <f t="shared" si="0"/>
        <v>0</v>
      </c>
    </row>
    <row r="15" spans="1:16" ht="39" hidden="1" customHeight="1">
      <c r="A15" s="940">
        <v>44957</v>
      </c>
      <c r="B15" s="716">
        <v>44945</v>
      </c>
      <c r="C15" s="494" t="s">
        <v>1665</v>
      </c>
      <c r="D15" s="494" t="s">
        <v>1652</v>
      </c>
      <c r="E15" s="943" t="s">
        <v>762</v>
      </c>
      <c r="F15" s="944" t="s">
        <v>1526</v>
      </c>
      <c r="G15" s="494"/>
      <c r="H15" s="494"/>
      <c r="I15" s="668" t="s">
        <v>1666</v>
      </c>
      <c r="J15" s="955"/>
      <c r="K15" s="677" t="str">
        <f>IF(L15=0,"",(INDEX(AccountCodes[ACCOUNT NAME],MATCH(L15,AccountCodes[NGAS CODE],0))))</f>
        <v/>
      </c>
      <c r="L15" s="937"/>
      <c r="M15" s="938"/>
      <c r="N15" s="938"/>
      <c r="O15" s="966"/>
      <c r="P15" s="558">
        <f t="shared" si="0"/>
        <v>0</v>
      </c>
    </row>
    <row r="16" spans="1:16" ht="39" hidden="1" customHeight="1">
      <c r="A16" s="940">
        <v>44957</v>
      </c>
      <c r="B16" s="716">
        <v>44945</v>
      </c>
      <c r="C16" s="494" t="s">
        <v>1664</v>
      </c>
      <c r="D16" s="494" t="s">
        <v>1652</v>
      </c>
      <c r="E16" s="943" t="s">
        <v>762</v>
      </c>
      <c r="F16" s="944" t="s">
        <v>1526</v>
      </c>
      <c r="G16" s="494"/>
      <c r="H16" s="494"/>
      <c r="I16" s="668" t="s">
        <v>1645</v>
      </c>
      <c r="J16" s="955" t="s">
        <v>1667</v>
      </c>
      <c r="K16" s="677" t="str">
        <f>IF(L16=0,"",(INDEX(AccountCodes[ACCOUNT NAME],MATCH(L16,AccountCodes[NGAS CODE],0))))</f>
        <v>Training Expenses</v>
      </c>
      <c r="L16" s="937" t="s">
        <v>224</v>
      </c>
      <c r="M16" s="938">
        <v>30600</v>
      </c>
      <c r="N16" s="938"/>
      <c r="O16" s="965" t="s">
        <v>1685</v>
      </c>
      <c r="P16" s="558">
        <f t="shared" si="0"/>
        <v>30600</v>
      </c>
    </row>
    <row r="17" spans="1:16" ht="39" hidden="1" customHeight="1">
      <c r="A17" s="940">
        <v>44957</v>
      </c>
      <c r="B17" s="716">
        <v>44945</v>
      </c>
      <c r="C17" s="494" t="s">
        <v>1664</v>
      </c>
      <c r="D17" s="494" t="s">
        <v>1652</v>
      </c>
      <c r="E17" s="943" t="s">
        <v>762</v>
      </c>
      <c r="F17" s="944" t="s">
        <v>1526</v>
      </c>
      <c r="G17" s="494"/>
      <c r="H17" s="494"/>
      <c r="I17" s="668" t="s">
        <v>1645</v>
      </c>
      <c r="J17" s="955" t="s">
        <v>1667</v>
      </c>
      <c r="K17" s="701" t="str">
        <f>IF(L17=0,"",(INDEX(AccountCodes[ACCOUNT NAME],MATCH(L17,AccountCodes[NGAS CODE],0))))</f>
        <v>Due to BIR - 5%</v>
      </c>
      <c r="L17" s="937" t="s">
        <v>1548</v>
      </c>
      <c r="M17" s="938"/>
      <c r="N17" s="938">
        <v>1366.07</v>
      </c>
      <c r="O17" s="966"/>
      <c r="P17" s="152">
        <f>P16+M17-N17</f>
        <v>29233.93</v>
      </c>
    </row>
    <row r="18" spans="1:16" ht="39" hidden="1" customHeight="1">
      <c r="A18" s="940">
        <v>44957</v>
      </c>
      <c r="B18" s="716">
        <v>44945</v>
      </c>
      <c r="C18" s="494" t="s">
        <v>1664</v>
      </c>
      <c r="D18" s="494" t="s">
        <v>1652</v>
      </c>
      <c r="E18" s="943" t="s">
        <v>762</v>
      </c>
      <c r="F18" s="944" t="s">
        <v>1526</v>
      </c>
      <c r="G18" s="494"/>
      <c r="H18" s="494"/>
      <c r="I18" s="668" t="s">
        <v>1645</v>
      </c>
      <c r="J18" s="955" t="s">
        <v>1667</v>
      </c>
      <c r="K18" s="700" t="str">
        <f>IF(L18=0,"",(INDEX(AccountCodes[ACCOUNT NAME],MATCH(L18,AccountCodes[NGAS CODE],0))))</f>
        <v>Due to BIR - 2%</v>
      </c>
      <c r="L18" s="937" t="s">
        <v>1550</v>
      </c>
      <c r="M18" s="938"/>
      <c r="N18" s="938">
        <v>546.42999999999995</v>
      </c>
      <c r="O18" s="966"/>
      <c r="P18" s="150">
        <f>P17+M18-N18</f>
        <v>28687.5</v>
      </c>
    </row>
    <row r="19" spans="1:16" ht="39" hidden="1" customHeight="1">
      <c r="A19" s="940">
        <v>44957</v>
      </c>
      <c r="B19" s="716">
        <v>44945</v>
      </c>
      <c r="C19" s="494" t="s">
        <v>1664</v>
      </c>
      <c r="D19" s="494" t="s">
        <v>1652</v>
      </c>
      <c r="E19" s="943" t="s">
        <v>762</v>
      </c>
      <c r="F19" s="944" t="s">
        <v>1526</v>
      </c>
      <c r="G19" s="494"/>
      <c r="H19" s="494"/>
      <c r="I19" s="668" t="s">
        <v>1645</v>
      </c>
      <c r="J19" s="935" t="s">
        <v>1667</v>
      </c>
      <c r="K19" s="700" t="str">
        <f>IF(L19=0,"",(INDEX(AccountCodes[ACCOUNT NAME],MATCH(L19,AccountCodes[NGAS CODE],0))))</f>
        <v>Cash in Bank-Local Currency, Current Account - FO</v>
      </c>
      <c r="L19" s="937" t="s">
        <v>1564</v>
      </c>
      <c r="M19" s="938"/>
      <c r="N19" s="938">
        <v>28687.5</v>
      </c>
      <c r="O19" s="954"/>
      <c r="P19" s="150">
        <f t="shared" ref="P19:P42" si="1">P18+M19-N19</f>
        <v>0</v>
      </c>
    </row>
    <row r="20" spans="1:16" ht="39" hidden="1" customHeight="1">
      <c r="A20" s="940">
        <v>44957</v>
      </c>
      <c r="B20" s="716">
        <v>44945</v>
      </c>
      <c r="C20" s="494" t="s">
        <v>1668</v>
      </c>
      <c r="D20" s="494" t="s">
        <v>1652</v>
      </c>
      <c r="E20" s="943" t="s">
        <v>762</v>
      </c>
      <c r="F20" s="944" t="s">
        <v>1526</v>
      </c>
      <c r="G20" s="494"/>
      <c r="H20" s="494"/>
      <c r="I20" s="668" t="s">
        <v>1645</v>
      </c>
      <c r="J20" s="955" t="s">
        <v>1669</v>
      </c>
      <c r="K20" s="700" t="str">
        <f>IF(L20=0,"",(INDEX(AccountCodes[ACCOUNT NAME],MATCH(L20,AccountCodes[NGAS CODE],0))))</f>
        <v>Training Expenses</v>
      </c>
      <c r="L20" s="937" t="s">
        <v>224</v>
      </c>
      <c r="M20" s="938">
        <v>35700</v>
      </c>
      <c r="N20" s="938"/>
      <c r="O20" s="954"/>
      <c r="P20" s="150">
        <f t="shared" si="1"/>
        <v>35700</v>
      </c>
    </row>
    <row r="21" spans="1:16" ht="39" hidden="1" customHeight="1">
      <c r="A21" s="940">
        <v>44957</v>
      </c>
      <c r="B21" s="716">
        <v>44945</v>
      </c>
      <c r="C21" s="494" t="s">
        <v>1668</v>
      </c>
      <c r="D21" s="494" t="s">
        <v>1652</v>
      </c>
      <c r="E21" s="943" t="s">
        <v>762</v>
      </c>
      <c r="F21" s="944" t="s">
        <v>1526</v>
      </c>
      <c r="G21" s="494"/>
      <c r="H21" s="494"/>
      <c r="I21" s="668" t="s">
        <v>1645</v>
      </c>
      <c r="J21" s="955" t="s">
        <v>1669</v>
      </c>
      <c r="K21" s="700" t="str">
        <f>IF(L21=0,"",(INDEX(AccountCodes[ACCOUNT NAME],MATCH(L21,AccountCodes[NGAS CODE],0))))</f>
        <v>Due to BIR - 5%</v>
      </c>
      <c r="L21" s="937" t="s">
        <v>1548</v>
      </c>
      <c r="M21" s="938"/>
      <c r="N21" s="938">
        <v>1593.75</v>
      </c>
      <c r="O21" s="965" t="s">
        <v>1686</v>
      </c>
      <c r="P21" s="150">
        <f t="shared" si="1"/>
        <v>34106.25</v>
      </c>
    </row>
    <row r="22" spans="1:16" ht="39" hidden="1" customHeight="1">
      <c r="A22" s="940">
        <v>44957</v>
      </c>
      <c r="B22" s="716">
        <v>44945</v>
      </c>
      <c r="C22" s="494" t="s">
        <v>1668</v>
      </c>
      <c r="D22" s="494" t="s">
        <v>1652</v>
      </c>
      <c r="E22" s="943" t="s">
        <v>762</v>
      </c>
      <c r="F22" s="944" t="s">
        <v>1526</v>
      </c>
      <c r="G22" s="494"/>
      <c r="H22" s="494"/>
      <c r="I22" s="668" t="s">
        <v>1645</v>
      </c>
      <c r="J22" s="955" t="s">
        <v>1669</v>
      </c>
      <c r="K22" s="700" t="str">
        <f>IF(L22=0,"",(INDEX(AccountCodes[ACCOUNT NAME],MATCH(L22,AccountCodes[NGAS CODE],0))))</f>
        <v>Due to BIR - 2%</v>
      </c>
      <c r="L22" s="937" t="s">
        <v>1550</v>
      </c>
      <c r="M22" s="938"/>
      <c r="N22" s="938">
        <v>637.5</v>
      </c>
      <c r="O22" s="954"/>
      <c r="P22" s="150">
        <f t="shared" si="1"/>
        <v>33468.75</v>
      </c>
    </row>
    <row r="23" spans="1:16" ht="39" hidden="1" customHeight="1">
      <c r="A23" s="940">
        <v>44957</v>
      </c>
      <c r="B23" s="716">
        <v>44945</v>
      </c>
      <c r="C23" s="494" t="s">
        <v>1668</v>
      </c>
      <c r="D23" s="494" t="s">
        <v>1652</v>
      </c>
      <c r="E23" s="943" t="s">
        <v>762</v>
      </c>
      <c r="F23" s="944" t="s">
        <v>1526</v>
      </c>
      <c r="G23" s="942"/>
      <c r="H23" s="942"/>
      <c r="I23" s="668" t="s">
        <v>1645</v>
      </c>
      <c r="J23" s="955" t="s">
        <v>1669</v>
      </c>
      <c r="K23" s="700" t="str">
        <f>IF(L23=0,"",(INDEX(AccountCodes[ACCOUNT NAME],MATCH(L23,AccountCodes[NGAS CODE],0))))</f>
        <v>Cash in Bank-Local Currency, Current Account - FO</v>
      </c>
      <c r="L23" s="937" t="s">
        <v>1564</v>
      </c>
      <c r="M23" s="947"/>
      <c r="N23" s="947">
        <v>33468.75</v>
      </c>
      <c r="O23" s="954"/>
      <c r="P23" s="150">
        <f t="shared" si="1"/>
        <v>0</v>
      </c>
    </row>
    <row r="24" spans="1:16" ht="39" hidden="1" customHeight="1">
      <c r="A24" s="940">
        <v>44957</v>
      </c>
      <c r="B24" s="941">
        <v>44951</v>
      </c>
      <c r="C24" s="942" t="s">
        <v>1670</v>
      </c>
      <c r="D24" s="494" t="s">
        <v>1652</v>
      </c>
      <c r="E24" s="943" t="s">
        <v>762</v>
      </c>
      <c r="F24" s="944" t="s">
        <v>1526</v>
      </c>
      <c r="G24" s="942"/>
      <c r="H24" s="942"/>
      <c r="I24" s="945" t="s">
        <v>1648</v>
      </c>
      <c r="J24" s="956" t="s">
        <v>1671</v>
      </c>
      <c r="K24" s="700" t="str">
        <f>IF(L24=0,"",(INDEX(AccountCodes[ACCOUNT NAME],MATCH(L24,AccountCodes[NGAS CODE],0))))</f>
        <v>Construction in Progress-Infrastructure Assets (Irrigation, Canals and Laterals)</v>
      </c>
      <c r="L24" s="946" t="s">
        <v>82</v>
      </c>
      <c r="M24" s="947">
        <v>2100868.8199999998</v>
      </c>
      <c r="N24" s="947"/>
      <c r="O24" s="969" t="s">
        <v>1686</v>
      </c>
      <c r="P24" s="150">
        <f t="shared" si="1"/>
        <v>2100868.8199999998</v>
      </c>
    </row>
    <row r="25" spans="1:16" ht="39" hidden="1" customHeight="1">
      <c r="A25" s="940">
        <v>44957</v>
      </c>
      <c r="B25" s="941">
        <v>44951</v>
      </c>
      <c r="C25" s="942" t="s">
        <v>1670</v>
      </c>
      <c r="D25" s="494" t="s">
        <v>1652</v>
      </c>
      <c r="E25" s="943" t="s">
        <v>762</v>
      </c>
      <c r="F25" s="944" t="s">
        <v>1526</v>
      </c>
      <c r="G25" s="494"/>
      <c r="H25" s="494"/>
      <c r="I25" s="945" t="s">
        <v>1648</v>
      </c>
      <c r="J25" s="956" t="s">
        <v>1671</v>
      </c>
      <c r="K25" s="700" t="str">
        <f>IF(L25=0,"",(INDEX(AccountCodes[ACCOUNT NAME],MATCH(L25,AccountCodes[NGAS CODE],0))))</f>
        <v>Due to BIR - 5%</v>
      </c>
      <c r="L25" s="937" t="s">
        <v>1548</v>
      </c>
      <c r="M25" s="938"/>
      <c r="N25" s="938">
        <v>93788.79</v>
      </c>
      <c r="O25" s="954"/>
      <c r="P25" s="150">
        <f t="shared" si="1"/>
        <v>2007080.03</v>
      </c>
    </row>
    <row r="26" spans="1:16" ht="39" hidden="1" customHeight="1">
      <c r="A26" s="940">
        <v>44957</v>
      </c>
      <c r="B26" s="941">
        <v>44951</v>
      </c>
      <c r="C26" s="942" t="s">
        <v>1670</v>
      </c>
      <c r="D26" s="494" t="s">
        <v>1652</v>
      </c>
      <c r="E26" s="943" t="s">
        <v>762</v>
      </c>
      <c r="F26" s="944" t="s">
        <v>1526</v>
      </c>
      <c r="G26" s="494"/>
      <c r="H26" s="494"/>
      <c r="I26" s="945" t="s">
        <v>1648</v>
      </c>
      <c r="J26" s="956" t="s">
        <v>1671</v>
      </c>
      <c r="K26" s="700" t="str">
        <f>IF(L26=0,"",(INDEX(AccountCodes[ACCOUNT NAME],MATCH(L26,AccountCodes[NGAS CODE],0))))</f>
        <v>Due to BIR - 2%</v>
      </c>
      <c r="L26" s="937" t="s">
        <v>1550</v>
      </c>
      <c r="M26" s="938"/>
      <c r="N26" s="938">
        <v>37515.51</v>
      </c>
      <c r="O26" s="954"/>
      <c r="P26" s="150">
        <f t="shared" si="1"/>
        <v>1969564.52</v>
      </c>
    </row>
    <row r="27" spans="1:16" ht="39" hidden="1" customHeight="1">
      <c r="A27" s="940">
        <v>44957</v>
      </c>
      <c r="B27" s="941">
        <v>44951</v>
      </c>
      <c r="C27" s="942" t="s">
        <v>1670</v>
      </c>
      <c r="D27" s="494" t="s">
        <v>1652</v>
      </c>
      <c r="E27" s="943" t="s">
        <v>762</v>
      </c>
      <c r="F27" s="944" t="s">
        <v>1526</v>
      </c>
      <c r="G27" s="942"/>
      <c r="H27" s="942"/>
      <c r="I27" s="945" t="s">
        <v>1648</v>
      </c>
      <c r="J27" s="956" t="s">
        <v>1671</v>
      </c>
      <c r="K27" s="700" t="str">
        <f>IF(L27=0,"",(INDEX(AccountCodes[ACCOUNT NAME],MATCH(L27,AccountCodes[NGAS CODE],0))))</f>
        <v>Guaranty/Security Deposits Payable</v>
      </c>
      <c r="L27" s="946" t="s">
        <v>115</v>
      </c>
      <c r="M27" s="947"/>
      <c r="N27" s="947">
        <v>210086.88</v>
      </c>
      <c r="O27" s="954"/>
      <c r="P27" s="150">
        <f t="shared" si="1"/>
        <v>1759477.64</v>
      </c>
    </row>
    <row r="28" spans="1:16" ht="39" hidden="1" customHeight="1">
      <c r="A28" s="940">
        <v>44957</v>
      </c>
      <c r="B28" s="941">
        <v>44951</v>
      </c>
      <c r="C28" s="942" t="s">
        <v>1670</v>
      </c>
      <c r="D28" s="494" t="s">
        <v>1652</v>
      </c>
      <c r="E28" s="943" t="s">
        <v>762</v>
      </c>
      <c r="F28" s="944" t="s">
        <v>1526</v>
      </c>
      <c r="G28" s="494"/>
      <c r="H28" s="494"/>
      <c r="I28" s="945" t="s">
        <v>1648</v>
      </c>
      <c r="J28" s="956" t="s">
        <v>1671</v>
      </c>
      <c r="K28" s="700" t="str">
        <f>IF(L28=0,"",(INDEX(AccountCodes[ACCOUNT NAME],MATCH(L28,AccountCodes[NGAS CODE],0))))</f>
        <v>Advances to Contractors</v>
      </c>
      <c r="L28" s="937" t="s">
        <v>35</v>
      </c>
      <c r="M28" s="938"/>
      <c r="N28" s="938">
        <v>315225.67</v>
      </c>
      <c r="O28" s="954"/>
      <c r="P28" s="150">
        <f t="shared" si="1"/>
        <v>1444251.97</v>
      </c>
    </row>
    <row r="29" spans="1:16" ht="39" hidden="1" customHeight="1">
      <c r="A29" s="940">
        <v>44957</v>
      </c>
      <c r="B29" s="941">
        <v>44951</v>
      </c>
      <c r="C29" s="942" t="s">
        <v>1670</v>
      </c>
      <c r="D29" s="494" t="s">
        <v>1652</v>
      </c>
      <c r="E29" s="943" t="s">
        <v>762</v>
      </c>
      <c r="F29" s="944" t="s">
        <v>1526</v>
      </c>
      <c r="G29" s="494"/>
      <c r="H29" s="494"/>
      <c r="I29" s="945" t="s">
        <v>1648</v>
      </c>
      <c r="J29" s="956" t="s">
        <v>1671</v>
      </c>
      <c r="K29" s="700" t="str">
        <f>IF(L29=0,"",(INDEX(AccountCodes[ACCOUNT NAME],MATCH(L29,AccountCodes[NGAS CODE],0))))</f>
        <v>Cash in Bank-Local Currency, Current Account - FO</v>
      </c>
      <c r="L29" s="937" t="s">
        <v>1564</v>
      </c>
      <c r="M29" s="938"/>
      <c r="N29" s="938">
        <v>1444251.97</v>
      </c>
      <c r="O29" s="954"/>
      <c r="P29" s="150">
        <f t="shared" si="1"/>
        <v>0</v>
      </c>
    </row>
    <row r="30" spans="1:16" ht="39" hidden="1" customHeight="1">
      <c r="A30" s="940">
        <v>44957</v>
      </c>
      <c r="B30" s="941">
        <v>44952</v>
      </c>
      <c r="C30" s="662" t="s">
        <v>1672</v>
      </c>
      <c r="D30" s="494" t="s">
        <v>1652</v>
      </c>
      <c r="E30" s="943" t="s">
        <v>762</v>
      </c>
      <c r="F30" s="944" t="s">
        <v>1526</v>
      </c>
      <c r="G30" s="942"/>
      <c r="H30" s="942"/>
      <c r="I30" s="952" t="s">
        <v>1673</v>
      </c>
      <c r="J30" s="956" t="s">
        <v>1674</v>
      </c>
      <c r="K30" s="700" t="str">
        <f>IF(L30=0,"",(INDEX(AccountCodes[ACCOUNT NAME],MATCH(L30,AccountCodes[NGAS CODE],0))))</f>
        <v>Other Maintenance and Operating Expenses - Other Maintenance and Operating Expenses</v>
      </c>
      <c r="L30" s="953" t="s">
        <v>405</v>
      </c>
      <c r="M30" s="938">
        <v>7500</v>
      </c>
      <c r="N30" s="947"/>
      <c r="O30" s="969" t="s">
        <v>1686</v>
      </c>
      <c r="P30" s="150">
        <f t="shared" si="1"/>
        <v>7500</v>
      </c>
    </row>
    <row r="31" spans="1:16" ht="39" hidden="1" customHeight="1">
      <c r="A31" s="940">
        <v>44957</v>
      </c>
      <c r="B31" s="941">
        <v>44952</v>
      </c>
      <c r="C31" s="662" t="s">
        <v>1672</v>
      </c>
      <c r="D31" s="494" t="s">
        <v>1652</v>
      </c>
      <c r="E31" s="943" t="s">
        <v>762</v>
      </c>
      <c r="F31" s="944" t="s">
        <v>1526</v>
      </c>
      <c r="G31" s="942"/>
      <c r="H31" s="942"/>
      <c r="I31" s="952" t="s">
        <v>1673</v>
      </c>
      <c r="J31" s="956" t="s">
        <v>1674</v>
      </c>
      <c r="K31" s="700" t="str">
        <f>IF(L31=0,"",(INDEX(AccountCodes[ACCOUNT NAME],MATCH(L31,AccountCodes[NGAS CODE],0))))</f>
        <v>Due to BIR - 2%</v>
      </c>
      <c r="L31" s="953" t="s">
        <v>1550</v>
      </c>
      <c r="M31" s="947"/>
      <c r="N31" s="947">
        <v>150</v>
      </c>
      <c r="O31" s="954"/>
      <c r="P31" s="150">
        <f t="shared" si="1"/>
        <v>7350</v>
      </c>
    </row>
    <row r="32" spans="1:16" ht="39" hidden="1" customHeight="1">
      <c r="A32" s="940">
        <v>44957</v>
      </c>
      <c r="B32" s="941">
        <v>44952</v>
      </c>
      <c r="C32" s="662" t="s">
        <v>1672</v>
      </c>
      <c r="D32" s="494" t="s">
        <v>1652</v>
      </c>
      <c r="E32" s="943" t="s">
        <v>762</v>
      </c>
      <c r="F32" s="944" t="s">
        <v>1526</v>
      </c>
      <c r="G32" s="494"/>
      <c r="H32" s="494"/>
      <c r="I32" s="952" t="s">
        <v>1673</v>
      </c>
      <c r="J32" s="956" t="s">
        <v>1674</v>
      </c>
      <c r="K32" s="700" t="str">
        <f>IF(L32=0,"",(INDEX(AccountCodes[ACCOUNT NAME],MATCH(L32,AccountCodes[NGAS CODE],0))))</f>
        <v>Due to BIR - 1%</v>
      </c>
      <c r="L32" s="936" t="s">
        <v>1554</v>
      </c>
      <c r="M32" s="938"/>
      <c r="N32" s="938">
        <v>75</v>
      </c>
      <c r="O32" s="954"/>
      <c r="P32" s="150">
        <f t="shared" si="1"/>
        <v>7275</v>
      </c>
    </row>
    <row r="33" spans="1:16" ht="39" hidden="1" customHeight="1">
      <c r="A33" s="940">
        <v>44957</v>
      </c>
      <c r="B33" s="941">
        <v>44952</v>
      </c>
      <c r="C33" s="662" t="s">
        <v>1672</v>
      </c>
      <c r="D33" s="494" t="s">
        <v>1652</v>
      </c>
      <c r="E33" s="943" t="s">
        <v>762</v>
      </c>
      <c r="F33" s="944" t="s">
        <v>1526</v>
      </c>
      <c r="G33" s="942"/>
      <c r="H33" s="942"/>
      <c r="I33" s="952" t="s">
        <v>1673</v>
      </c>
      <c r="J33" s="956" t="s">
        <v>1674</v>
      </c>
      <c r="K33" s="700" t="str">
        <f>IF(L33=0,"",(INDEX(AccountCodes[ACCOUNT NAME],MATCH(L33,AccountCodes[NGAS CODE],0))))</f>
        <v>Cash in Bank-Local Currency, Current Account - FO</v>
      </c>
      <c r="L33" s="953" t="s">
        <v>1564</v>
      </c>
      <c r="M33" s="947"/>
      <c r="N33" s="947">
        <v>7275</v>
      </c>
      <c r="O33" s="954"/>
      <c r="P33" s="150">
        <f t="shared" si="1"/>
        <v>0</v>
      </c>
    </row>
    <row r="34" spans="1:16" ht="39" hidden="1" customHeight="1">
      <c r="A34" s="940">
        <v>44957</v>
      </c>
      <c r="B34" s="716">
        <v>44957</v>
      </c>
      <c r="C34" s="145" t="s">
        <v>1676</v>
      </c>
      <c r="D34" s="494" t="s">
        <v>1652</v>
      </c>
      <c r="E34" s="943" t="s">
        <v>762</v>
      </c>
      <c r="F34" s="944" t="s">
        <v>1526</v>
      </c>
      <c r="G34" s="494"/>
      <c r="H34" s="494"/>
      <c r="I34" s="668" t="s">
        <v>1675</v>
      </c>
      <c r="J34" s="935" t="s">
        <v>1677</v>
      </c>
      <c r="K34" s="700" t="str">
        <f>IF(L34=0,"",(INDEX(AccountCodes[ACCOUNT NAME],MATCH(L34,AccountCodes[NGAS CODE],0))))</f>
        <v>Construction in Progress-Infrastructure Assets (Irrigation, Canals and Laterals)</v>
      </c>
      <c r="L34" s="936" t="s">
        <v>82</v>
      </c>
      <c r="M34" s="938">
        <v>1012541.49</v>
      </c>
      <c r="N34" s="938"/>
      <c r="O34" s="969" t="s">
        <v>1678</v>
      </c>
      <c r="P34" s="150">
        <f t="shared" si="1"/>
        <v>1012541.49</v>
      </c>
    </row>
    <row r="35" spans="1:16" ht="39" hidden="1" customHeight="1">
      <c r="A35" s="940">
        <v>44957</v>
      </c>
      <c r="B35" s="941">
        <v>44957</v>
      </c>
      <c r="C35" s="494" t="s">
        <v>1676</v>
      </c>
      <c r="D35" s="494" t="s">
        <v>1652</v>
      </c>
      <c r="E35" s="943" t="s">
        <v>762</v>
      </c>
      <c r="F35" s="944" t="s">
        <v>1526</v>
      </c>
      <c r="G35" s="494"/>
      <c r="H35" s="494"/>
      <c r="I35" s="668" t="s">
        <v>1675</v>
      </c>
      <c r="J35" s="955" t="s">
        <v>1677</v>
      </c>
      <c r="K35" s="700" t="str">
        <f>IF(L35=0,"",(INDEX(AccountCodes[ACCOUNT NAME],MATCH(L35,AccountCodes[NGAS CODE],0))))</f>
        <v>Due to BIR - 5%</v>
      </c>
      <c r="L35" s="937" t="s">
        <v>1548</v>
      </c>
      <c r="M35" s="938"/>
      <c r="N35" s="938">
        <v>45202.75</v>
      </c>
      <c r="O35" s="954"/>
      <c r="P35" s="150">
        <f t="shared" si="1"/>
        <v>967338.74</v>
      </c>
    </row>
    <row r="36" spans="1:16" ht="39" hidden="1" customHeight="1">
      <c r="A36" s="940">
        <v>44957</v>
      </c>
      <c r="B36" s="941">
        <v>44957</v>
      </c>
      <c r="C36" s="494" t="s">
        <v>1676</v>
      </c>
      <c r="D36" s="145" t="s">
        <v>1652</v>
      </c>
      <c r="E36" s="943" t="s">
        <v>762</v>
      </c>
      <c r="F36" s="944" t="s">
        <v>1526</v>
      </c>
      <c r="G36" s="494"/>
      <c r="H36" s="494"/>
      <c r="I36" s="668" t="s">
        <v>1675</v>
      </c>
      <c r="J36" s="955" t="s">
        <v>1677</v>
      </c>
      <c r="K36" s="700" t="str">
        <f>IF(L36=0,"",(INDEX(AccountCodes[ACCOUNT NAME],MATCH(L36,AccountCodes[NGAS CODE],0))))</f>
        <v>Due to BIR - 2%</v>
      </c>
      <c r="L36" s="937" t="s">
        <v>1550</v>
      </c>
      <c r="M36" s="938"/>
      <c r="N36" s="938">
        <v>18081.099999999999</v>
      </c>
      <c r="O36" s="954"/>
      <c r="P36" s="150">
        <f t="shared" si="1"/>
        <v>949257.64</v>
      </c>
    </row>
    <row r="37" spans="1:16" ht="39" hidden="1" customHeight="1">
      <c r="A37" s="940">
        <v>44957</v>
      </c>
      <c r="B37" s="716">
        <v>44957</v>
      </c>
      <c r="C37" s="494" t="s">
        <v>1676</v>
      </c>
      <c r="D37" s="494" t="s">
        <v>1652</v>
      </c>
      <c r="E37" s="939" t="s">
        <v>762</v>
      </c>
      <c r="F37" s="495" t="s">
        <v>1526</v>
      </c>
      <c r="G37" s="494"/>
      <c r="H37" s="494"/>
      <c r="I37" s="668" t="s">
        <v>1675</v>
      </c>
      <c r="J37" s="955" t="s">
        <v>1677</v>
      </c>
      <c r="K37" s="700" t="str">
        <f>IF(L37=0,"",(INDEX(AccountCodes[ACCOUNT NAME],MATCH(L37,AccountCodes[NGAS CODE],0))))</f>
        <v>Cash in Bank-Local Currency, Current Account - FO</v>
      </c>
      <c r="L37" s="936" t="s">
        <v>1564</v>
      </c>
      <c r="M37" s="938"/>
      <c r="N37" s="938">
        <v>949257.64</v>
      </c>
      <c r="O37" s="954"/>
      <c r="P37" s="150">
        <f t="shared" si="1"/>
        <v>0</v>
      </c>
    </row>
    <row r="38" spans="1:16" ht="39" hidden="1" customHeight="1">
      <c r="A38" s="1160">
        <v>44957</v>
      </c>
      <c r="B38" s="1152">
        <v>44957</v>
      </c>
      <c r="C38" s="1153" t="s">
        <v>1679</v>
      </c>
      <c r="D38" s="1161" t="s">
        <v>2442</v>
      </c>
      <c r="E38" s="1162" t="s">
        <v>762</v>
      </c>
      <c r="F38" s="1163"/>
      <c r="G38" s="1164"/>
      <c r="H38" s="1165"/>
      <c r="I38" s="1154" t="s">
        <v>1680</v>
      </c>
      <c r="J38" s="1166" t="s">
        <v>1682</v>
      </c>
      <c r="K38" s="1155" t="str">
        <f>IF(L38=0,"",(INDEX([1]!AccountCodes[ACCOUNT NAME],MATCH(L38,[1]!AccountCodes[NGAS CODE],0))))</f>
        <v>Due to BIR - 2%</v>
      </c>
      <c r="L38" s="1156" t="s">
        <v>1550</v>
      </c>
      <c r="M38" s="1150">
        <v>56930.54</v>
      </c>
      <c r="N38" s="1150"/>
      <c r="O38" s="1157"/>
      <c r="P38" s="1167">
        <f t="shared" si="1"/>
        <v>56930.54</v>
      </c>
    </row>
    <row r="39" spans="1:16" ht="39" hidden="1" customHeight="1">
      <c r="A39" s="1160">
        <v>44957</v>
      </c>
      <c r="B39" s="1152">
        <v>44957</v>
      </c>
      <c r="C39" s="1153" t="s">
        <v>1679</v>
      </c>
      <c r="D39" s="1161" t="s">
        <v>2442</v>
      </c>
      <c r="E39" s="1162" t="s">
        <v>762</v>
      </c>
      <c r="F39" s="1163"/>
      <c r="G39" s="1164"/>
      <c r="H39" s="1165"/>
      <c r="I39" s="1154" t="s">
        <v>1680</v>
      </c>
      <c r="J39" s="1166" t="s">
        <v>1683</v>
      </c>
      <c r="K39" s="1155" t="str">
        <f>IF(L39=0,"",(INDEX([1]!AccountCodes[ACCOUNT NAME],MATCH(L39,[1]!AccountCodes[NGAS CODE],0))))</f>
        <v>Cash in Bank-Local Currency, Current Account - FO</v>
      </c>
      <c r="L39" s="1156" t="s">
        <v>1564</v>
      </c>
      <c r="M39" s="1150"/>
      <c r="N39" s="1150">
        <v>57012.95</v>
      </c>
      <c r="O39" s="1157"/>
      <c r="P39" s="1167">
        <f t="shared" si="1"/>
        <v>-82.41</v>
      </c>
    </row>
    <row r="40" spans="1:16" ht="39" hidden="1" customHeight="1">
      <c r="A40" s="1160">
        <v>44957</v>
      </c>
      <c r="B40" s="1141">
        <v>44957</v>
      </c>
      <c r="C40" s="1168" t="s">
        <v>1681</v>
      </c>
      <c r="D40" s="1161" t="s">
        <v>2442</v>
      </c>
      <c r="E40" s="1162" t="s">
        <v>762</v>
      </c>
      <c r="F40" s="1163"/>
      <c r="G40" s="1164"/>
      <c r="H40" s="1165"/>
      <c r="I40" s="1154" t="s">
        <v>1680</v>
      </c>
      <c r="J40" s="1166" t="s">
        <v>1683</v>
      </c>
      <c r="K40" s="1155" t="str">
        <f>IF(L40=0,"",(INDEX([1]!AccountCodes[ACCOUNT NAME],MATCH(L40,[1]!AccountCodes[NGAS CODE],0))))</f>
        <v>Due to BIR - 1%</v>
      </c>
      <c r="L40" s="1169" t="s">
        <v>1554</v>
      </c>
      <c r="M40" s="1151">
        <v>157.41</v>
      </c>
      <c r="N40" s="1151"/>
      <c r="O40" s="1157"/>
      <c r="P40" s="1167">
        <f t="shared" si="1"/>
        <v>75</v>
      </c>
    </row>
    <row r="41" spans="1:16" ht="39" hidden="1" customHeight="1">
      <c r="A41" s="1160">
        <v>44957</v>
      </c>
      <c r="B41" s="1141">
        <v>44957</v>
      </c>
      <c r="C41" s="1168" t="s">
        <v>1681</v>
      </c>
      <c r="D41" s="1161" t="s">
        <v>2442</v>
      </c>
      <c r="E41" s="1162" t="s">
        <v>762</v>
      </c>
      <c r="F41" s="1163"/>
      <c r="G41" s="1164"/>
      <c r="H41" s="1165"/>
      <c r="I41" s="1143" t="s">
        <v>1680</v>
      </c>
      <c r="J41" s="1170" t="s">
        <v>1684</v>
      </c>
      <c r="K41" s="1155" t="str">
        <f>IF(L41=0,"",(INDEX([1]!AccountCodes[ACCOUNT NAME],MATCH(L41,[1]!AccountCodes[NGAS CODE],0))))</f>
        <v>Due to BIR - 5%</v>
      </c>
      <c r="L41" s="1169" t="s">
        <v>1548</v>
      </c>
      <c r="M41" s="1151">
        <v>142363.41</v>
      </c>
      <c r="N41" s="1151"/>
      <c r="O41" s="1157"/>
      <c r="P41" s="1167">
        <f t="shared" si="1"/>
        <v>142438.41</v>
      </c>
    </row>
    <row r="42" spans="1:16" ht="39" hidden="1" customHeight="1">
      <c r="A42" s="1160">
        <v>44957</v>
      </c>
      <c r="B42" s="1141">
        <v>44957</v>
      </c>
      <c r="C42" s="1168" t="s">
        <v>1681</v>
      </c>
      <c r="D42" s="1161" t="s">
        <v>2442</v>
      </c>
      <c r="E42" s="1162" t="s">
        <v>762</v>
      </c>
      <c r="F42" s="1163"/>
      <c r="G42" s="1164"/>
      <c r="H42" s="1165"/>
      <c r="I42" s="1154" t="s">
        <v>1680</v>
      </c>
      <c r="J42" s="1170" t="s">
        <v>1684</v>
      </c>
      <c r="K42" s="1155" t="str">
        <f>IF(L42=0,"",(INDEX([1]!AccountCodes[ACCOUNT NAME],MATCH(L42,[1]!AccountCodes[NGAS CODE],0))))</f>
        <v>Cash in Bank-Local Currency, Current Account - FO</v>
      </c>
      <c r="L42" s="1156" t="s">
        <v>1564</v>
      </c>
      <c r="M42" s="1150"/>
      <c r="N42" s="1150">
        <v>142438.41</v>
      </c>
      <c r="O42" s="1159"/>
      <c r="P42" s="1167">
        <f t="shared" si="1"/>
        <v>0</v>
      </c>
    </row>
    <row r="43" spans="1:16" ht="39" hidden="1" customHeight="1">
      <c r="A43" s="541">
        <v>44985</v>
      </c>
      <c r="B43" s="716">
        <v>44959</v>
      </c>
      <c r="C43" s="494" t="s">
        <v>1687</v>
      </c>
      <c r="D43" s="494" t="s">
        <v>1752</v>
      </c>
      <c r="E43" s="939" t="s">
        <v>762</v>
      </c>
      <c r="F43" s="495" t="s">
        <v>1526</v>
      </c>
      <c r="G43" s="494"/>
      <c r="H43" s="494"/>
      <c r="I43" s="668" t="s">
        <v>1655</v>
      </c>
      <c r="J43" s="970" t="s">
        <v>1656</v>
      </c>
      <c r="K43" s="677" t="str">
        <f>IF(L43=0,"",(INDEX(AccountCodes[ACCOUNT NAME],MATCH(L43,AccountCodes[NGAS CODE],0))))</f>
        <v>Other Maintenance and Operating Expenses - Other Maintenance and Operating Expenses</v>
      </c>
      <c r="L43" s="937" t="s">
        <v>405</v>
      </c>
      <c r="M43" s="938">
        <v>2399</v>
      </c>
      <c r="N43" s="938"/>
      <c r="O43" s="972" t="s">
        <v>1690</v>
      </c>
      <c r="P43" s="971">
        <f t="shared" ref="P43:P63" si="2">P42+M43-N43</f>
        <v>2399</v>
      </c>
    </row>
    <row r="44" spans="1:16" ht="39" hidden="1" customHeight="1">
      <c r="A44" s="541">
        <v>44985</v>
      </c>
      <c r="B44" s="716">
        <v>44959</v>
      </c>
      <c r="C44" s="494" t="s">
        <v>1687</v>
      </c>
      <c r="D44" s="494" t="s">
        <v>1752</v>
      </c>
      <c r="E44" s="939" t="s">
        <v>762</v>
      </c>
      <c r="F44" s="495" t="s">
        <v>1526</v>
      </c>
      <c r="G44" s="494"/>
      <c r="H44" s="494"/>
      <c r="I44" s="668" t="s">
        <v>1655</v>
      </c>
      <c r="J44" s="970" t="s">
        <v>1656</v>
      </c>
      <c r="K44" s="677" t="str">
        <f>IF(L44=0,"",(INDEX(AccountCodes[ACCOUNT NAME],MATCH(L44,AccountCodes[NGAS CODE],0))))</f>
        <v>Cash in Bank-Local Currency, Current Account - FO</v>
      </c>
      <c r="L44" s="937" t="s">
        <v>1564</v>
      </c>
      <c r="M44" s="938"/>
      <c r="N44" s="938">
        <v>2399</v>
      </c>
      <c r="O44" s="967"/>
      <c r="P44" s="971">
        <f t="shared" si="2"/>
        <v>0</v>
      </c>
    </row>
    <row r="45" spans="1:16" ht="39" hidden="1" customHeight="1">
      <c r="A45" s="541">
        <v>44985</v>
      </c>
      <c r="B45" s="716">
        <v>44964</v>
      </c>
      <c r="C45" s="494" t="s">
        <v>1688</v>
      </c>
      <c r="D45" s="494" t="s">
        <v>1752</v>
      </c>
      <c r="E45" s="939" t="s">
        <v>762</v>
      </c>
      <c r="F45" s="495" t="s">
        <v>1526</v>
      </c>
      <c r="G45" s="494"/>
      <c r="H45" s="494"/>
      <c r="I45" s="668" t="s">
        <v>1689</v>
      </c>
      <c r="J45" s="935" t="s">
        <v>1705</v>
      </c>
      <c r="K45" s="677" t="str">
        <f>IF(L45=0,"",(INDEX(AccountCodes[ACCOUNT NAME],MATCH(L45,AccountCodes[NGAS CODE],0))))</f>
        <v>PhilHealth Contributions</v>
      </c>
      <c r="L45" s="937" t="s">
        <v>177</v>
      </c>
      <c r="M45" s="938">
        <v>1166.4000000000001</v>
      </c>
      <c r="N45" s="938"/>
      <c r="O45" s="954" t="s">
        <v>1691</v>
      </c>
      <c r="P45" s="971">
        <f t="shared" si="2"/>
        <v>1166.4000000000001</v>
      </c>
    </row>
    <row r="46" spans="1:16" ht="39" hidden="1" customHeight="1">
      <c r="A46" s="541">
        <v>44985</v>
      </c>
      <c r="B46" s="716">
        <v>44964</v>
      </c>
      <c r="C46" s="494" t="s">
        <v>1688</v>
      </c>
      <c r="D46" s="494" t="s">
        <v>1752</v>
      </c>
      <c r="E46" s="939" t="s">
        <v>762</v>
      </c>
      <c r="F46" s="495" t="s">
        <v>1526</v>
      </c>
      <c r="G46" s="494"/>
      <c r="H46" s="494"/>
      <c r="I46" s="668" t="s">
        <v>1689</v>
      </c>
      <c r="J46" s="935" t="s">
        <v>1705</v>
      </c>
      <c r="K46" s="677" t="str">
        <f>IF(L46=0,"",(INDEX(AccountCodes[ACCOUNT NAME],MATCH(L46,AccountCodes[NGAS CODE],0))))</f>
        <v>Due to PhilHealth</v>
      </c>
      <c r="L46" s="937" t="s">
        <v>112</v>
      </c>
      <c r="M46" s="938">
        <v>1166.4000000000001</v>
      </c>
      <c r="N46" s="938"/>
      <c r="O46" s="967"/>
      <c r="P46" s="971">
        <f t="shared" si="2"/>
        <v>2332.8000000000002</v>
      </c>
    </row>
    <row r="47" spans="1:16" ht="39" hidden="1" customHeight="1">
      <c r="A47" s="541">
        <v>44985</v>
      </c>
      <c r="B47" s="716">
        <v>44964</v>
      </c>
      <c r="C47" s="494" t="s">
        <v>1688</v>
      </c>
      <c r="D47" s="494" t="s">
        <v>1752</v>
      </c>
      <c r="E47" s="939" t="s">
        <v>762</v>
      </c>
      <c r="F47" s="495" t="s">
        <v>1526</v>
      </c>
      <c r="G47" s="494"/>
      <c r="H47" s="494"/>
      <c r="I47" s="668" t="s">
        <v>1689</v>
      </c>
      <c r="J47" s="935" t="s">
        <v>1705</v>
      </c>
      <c r="K47" s="677" t="str">
        <f>IF(L47=0,"",(INDEX(AccountCodes[ACCOUNT NAME],MATCH(L47,AccountCodes[NGAS CODE],0))))</f>
        <v>Cash in Bank-Local Currency, Current Account - FO</v>
      </c>
      <c r="L47" s="937" t="s">
        <v>1564</v>
      </c>
      <c r="M47" s="938"/>
      <c r="N47" s="938">
        <v>2332.8000000000002</v>
      </c>
      <c r="O47" s="967"/>
      <c r="P47" s="971">
        <f t="shared" si="2"/>
        <v>0</v>
      </c>
    </row>
    <row r="48" spans="1:16" ht="39" hidden="1" customHeight="1">
      <c r="A48" s="541">
        <v>44985</v>
      </c>
      <c r="B48" s="559">
        <v>44964</v>
      </c>
      <c r="C48" s="145" t="s">
        <v>1692</v>
      </c>
      <c r="D48" s="494" t="s">
        <v>1752</v>
      </c>
      <c r="E48" s="185" t="s">
        <v>762</v>
      </c>
      <c r="F48" s="137" t="s">
        <v>1526</v>
      </c>
      <c r="G48" s="494"/>
      <c r="H48" s="494"/>
      <c r="I48" s="560" t="s">
        <v>1693</v>
      </c>
      <c r="J48" s="935" t="s">
        <v>1694</v>
      </c>
      <c r="K48" s="677" t="str">
        <f>IF(L48=0,"",(INDEX(AccountCodes[ACCOUNT NAME],MATCH(L48,AccountCodes[NGAS CODE],0))))</f>
        <v>Retirement and Life Insurance Premiums</v>
      </c>
      <c r="L48" s="936" t="s">
        <v>175</v>
      </c>
      <c r="M48" s="938">
        <v>6998.4</v>
      </c>
      <c r="N48" s="938"/>
      <c r="O48" s="954" t="s">
        <v>1691</v>
      </c>
      <c r="P48" s="971">
        <f t="shared" si="2"/>
        <v>6998.4</v>
      </c>
    </row>
    <row r="49" spans="1:16" ht="39" hidden="1" customHeight="1">
      <c r="A49" s="541">
        <v>44985</v>
      </c>
      <c r="B49" s="559">
        <v>44964</v>
      </c>
      <c r="C49" s="145" t="s">
        <v>1692</v>
      </c>
      <c r="D49" s="494" t="s">
        <v>1752</v>
      </c>
      <c r="E49" s="185" t="s">
        <v>762</v>
      </c>
      <c r="F49" s="137" t="s">
        <v>1526</v>
      </c>
      <c r="G49" s="494"/>
      <c r="H49" s="494"/>
      <c r="I49" s="560" t="s">
        <v>1693</v>
      </c>
      <c r="J49" s="935" t="s">
        <v>1694</v>
      </c>
      <c r="K49" s="677" t="str">
        <f>IF(L49=0,"",(INDEX(AccountCodes[ACCOUNT NAME],MATCH(L49,AccountCodes[NGAS CODE],0))))</f>
        <v>Employees Compensation Insurance Premiums</v>
      </c>
      <c r="L49" s="936" t="s">
        <v>178</v>
      </c>
      <c r="M49" s="938">
        <v>200</v>
      </c>
      <c r="N49" s="938"/>
      <c r="O49" s="967"/>
      <c r="P49" s="971">
        <f t="shared" si="2"/>
        <v>7198.4</v>
      </c>
    </row>
    <row r="50" spans="1:16" ht="39" hidden="1" customHeight="1">
      <c r="A50" s="541">
        <v>44985</v>
      </c>
      <c r="B50" s="559">
        <v>44964</v>
      </c>
      <c r="C50" s="145" t="s">
        <v>1692</v>
      </c>
      <c r="D50" s="494" t="s">
        <v>1752</v>
      </c>
      <c r="E50" s="185" t="s">
        <v>762</v>
      </c>
      <c r="F50" s="137" t="s">
        <v>1526</v>
      </c>
      <c r="G50" s="494"/>
      <c r="H50" s="494"/>
      <c r="I50" s="560" t="s">
        <v>1693</v>
      </c>
      <c r="J50" s="935" t="s">
        <v>1694</v>
      </c>
      <c r="K50" s="677" t="str">
        <f>IF(L50=0,"",(INDEX(AccountCodes[ACCOUNT NAME],MATCH(L50,AccountCodes[NGAS CODE],0))))</f>
        <v>Due to GSIS - Life and Retirement Premium</v>
      </c>
      <c r="L50" s="936" t="s">
        <v>1440</v>
      </c>
      <c r="M50" s="938">
        <v>5248.8</v>
      </c>
      <c r="N50" s="938"/>
      <c r="O50" s="967"/>
      <c r="P50" s="971">
        <f t="shared" si="2"/>
        <v>12447.2</v>
      </c>
    </row>
    <row r="51" spans="1:16" ht="39" hidden="1" customHeight="1">
      <c r="A51" s="541">
        <v>44985</v>
      </c>
      <c r="B51" s="559">
        <v>44964</v>
      </c>
      <c r="C51" s="145" t="s">
        <v>1692</v>
      </c>
      <c r="D51" s="494" t="s">
        <v>1752</v>
      </c>
      <c r="E51" s="185" t="s">
        <v>762</v>
      </c>
      <c r="F51" s="137" t="s">
        <v>1526</v>
      </c>
      <c r="G51" s="494"/>
      <c r="H51" s="494"/>
      <c r="I51" s="560" t="s">
        <v>1693</v>
      </c>
      <c r="J51" s="935" t="s">
        <v>1694</v>
      </c>
      <c r="K51" s="677" t="str">
        <f>IF(L51=0,"",(INDEX(AccountCodes[ACCOUNT NAME],MATCH(L51,AccountCodes[NGAS CODE],0))))</f>
        <v>Cash in Bank-Local Currency, Current Account - FO</v>
      </c>
      <c r="L51" s="936" t="s">
        <v>1564</v>
      </c>
      <c r="M51" s="938"/>
      <c r="N51" s="938">
        <v>12447.2</v>
      </c>
      <c r="O51" s="967"/>
      <c r="P51" s="971">
        <f t="shared" si="2"/>
        <v>0</v>
      </c>
    </row>
    <row r="52" spans="1:16" ht="39" hidden="1" customHeight="1">
      <c r="A52" s="541">
        <v>44985</v>
      </c>
      <c r="B52" s="716">
        <v>44964</v>
      </c>
      <c r="C52" s="145" t="s">
        <v>1695</v>
      </c>
      <c r="D52" s="494" t="s">
        <v>1752</v>
      </c>
      <c r="E52" s="185" t="s">
        <v>762</v>
      </c>
      <c r="F52" s="137" t="s">
        <v>1526</v>
      </c>
      <c r="G52" s="494"/>
      <c r="H52" s="494"/>
      <c r="I52" s="560" t="s">
        <v>1680</v>
      </c>
      <c r="J52" s="935" t="s">
        <v>1696</v>
      </c>
      <c r="K52" s="677" t="str">
        <f>IF(L52=0,"",(INDEX(AccountCodes[ACCOUNT NAME],MATCH(L52,AccountCodes[NGAS CODE],0))))</f>
        <v>Due to BIR - Compensation</v>
      </c>
      <c r="L52" s="936" t="s">
        <v>1546</v>
      </c>
      <c r="M52" s="938">
        <v>1330.76</v>
      </c>
      <c r="N52" s="938"/>
      <c r="O52" s="967" t="s">
        <v>1691</v>
      </c>
      <c r="P52" s="971">
        <f t="shared" si="2"/>
        <v>1330.76</v>
      </c>
    </row>
    <row r="53" spans="1:16" ht="39" hidden="1" customHeight="1">
      <c r="A53" s="541">
        <v>44985</v>
      </c>
      <c r="B53" s="716">
        <v>44964</v>
      </c>
      <c r="C53" s="145" t="s">
        <v>1695</v>
      </c>
      <c r="D53" s="494" t="s">
        <v>1752</v>
      </c>
      <c r="E53" s="185" t="s">
        <v>762</v>
      </c>
      <c r="F53" s="137" t="s">
        <v>1526</v>
      </c>
      <c r="G53" s="494"/>
      <c r="H53" s="494"/>
      <c r="I53" s="560" t="s">
        <v>1680</v>
      </c>
      <c r="J53" s="935" t="s">
        <v>1696</v>
      </c>
      <c r="K53" s="677" t="str">
        <f>IF(L53=0,"",(INDEX(AccountCodes[ACCOUNT NAME],MATCH(L53,AccountCodes[NGAS CODE],0))))</f>
        <v>Cash in Bank-Local Currency, Current Account - FO</v>
      </c>
      <c r="L53" s="936" t="s">
        <v>1564</v>
      </c>
      <c r="M53" s="938"/>
      <c r="N53" s="938">
        <v>1330.76</v>
      </c>
      <c r="O53" s="967"/>
      <c r="P53" s="971">
        <f t="shared" si="2"/>
        <v>0</v>
      </c>
    </row>
    <row r="54" spans="1:16" ht="39" hidden="1" customHeight="1">
      <c r="A54" s="541">
        <v>44985</v>
      </c>
      <c r="B54" s="716">
        <v>44964</v>
      </c>
      <c r="C54" s="145" t="s">
        <v>1697</v>
      </c>
      <c r="D54" s="494" t="s">
        <v>1752</v>
      </c>
      <c r="E54" s="185" t="s">
        <v>762</v>
      </c>
      <c r="F54" s="137" t="s">
        <v>1526</v>
      </c>
      <c r="G54" s="494"/>
      <c r="H54" s="494"/>
      <c r="I54" s="560" t="s">
        <v>1698</v>
      </c>
      <c r="J54" s="935" t="s">
        <v>1699</v>
      </c>
      <c r="K54" s="677" t="str">
        <f>IF(L54=0,"",(INDEX(AccountCodes[ACCOUNT NAME],MATCH(L54,AccountCodes[NGAS CODE],0))))</f>
        <v>Pag-IBIG Contributions</v>
      </c>
      <c r="L54" s="936" t="s">
        <v>176</v>
      </c>
      <c r="M54" s="938">
        <v>200</v>
      </c>
      <c r="N54" s="938"/>
      <c r="O54" s="967" t="s">
        <v>1691</v>
      </c>
      <c r="P54" s="971">
        <f t="shared" si="2"/>
        <v>200</v>
      </c>
    </row>
    <row r="55" spans="1:16" ht="39" hidden="1" customHeight="1">
      <c r="A55" s="541">
        <v>44985</v>
      </c>
      <c r="B55" s="716">
        <v>44964</v>
      </c>
      <c r="C55" s="145" t="s">
        <v>1697</v>
      </c>
      <c r="D55" s="494" t="s">
        <v>1752</v>
      </c>
      <c r="E55" s="185" t="s">
        <v>762</v>
      </c>
      <c r="F55" s="137" t="s">
        <v>1526</v>
      </c>
      <c r="G55" s="494"/>
      <c r="H55" s="494"/>
      <c r="I55" s="560" t="s">
        <v>1698</v>
      </c>
      <c r="J55" s="935" t="s">
        <v>1699</v>
      </c>
      <c r="K55" s="677" t="str">
        <f>IF(L55=0,"",(INDEX(AccountCodes[ACCOUNT NAME],MATCH(L55,AccountCodes[NGAS CODE],0))))</f>
        <v>Due to Pag-IBIG - Pag-IBIG Premium</v>
      </c>
      <c r="L55" s="936" t="s">
        <v>1444</v>
      </c>
      <c r="M55" s="938">
        <v>1166.4000000000001</v>
      </c>
      <c r="N55" s="938"/>
      <c r="O55" s="967"/>
      <c r="P55" s="971">
        <f t="shared" si="2"/>
        <v>1366.4</v>
      </c>
    </row>
    <row r="56" spans="1:16" ht="39" hidden="1" customHeight="1">
      <c r="A56" s="541">
        <v>44985</v>
      </c>
      <c r="B56" s="716">
        <v>44964</v>
      </c>
      <c r="C56" s="145" t="s">
        <v>1697</v>
      </c>
      <c r="D56" s="494" t="s">
        <v>1752</v>
      </c>
      <c r="E56" s="185" t="s">
        <v>762</v>
      </c>
      <c r="F56" s="137" t="s">
        <v>1526</v>
      </c>
      <c r="G56" s="494"/>
      <c r="H56" s="494"/>
      <c r="I56" s="560" t="s">
        <v>1698</v>
      </c>
      <c r="J56" s="935" t="s">
        <v>1699</v>
      </c>
      <c r="K56" s="677" t="str">
        <f>IF(L56=0,"",(INDEX(AccountCodes[ACCOUNT NAME],MATCH(L56,AccountCodes[NGAS CODE],0))))</f>
        <v>Cash in Bank-Local Currency, Current Account - FO</v>
      </c>
      <c r="L56" s="936" t="s">
        <v>1564</v>
      </c>
      <c r="M56" s="938"/>
      <c r="N56" s="938">
        <v>1366.4</v>
      </c>
      <c r="O56" s="967"/>
      <c r="P56" s="971">
        <f t="shared" si="2"/>
        <v>0</v>
      </c>
    </row>
    <row r="57" spans="1:16" ht="39" hidden="1" customHeight="1">
      <c r="A57" s="541">
        <v>44985</v>
      </c>
      <c r="B57" s="716">
        <v>44964</v>
      </c>
      <c r="C57" s="145" t="s">
        <v>1700</v>
      </c>
      <c r="D57" s="494" t="s">
        <v>1752</v>
      </c>
      <c r="E57" s="185" t="s">
        <v>762</v>
      </c>
      <c r="F57" s="137" t="s">
        <v>1526</v>
      </c>
      <c r="G57" s="494"/>
      <c r="H57" s="494"/>
      <c r="I57" s="560" t="s">
        <v>1698</v>
      </c>
      <c r="J57" s="935" t="s">
        <v>1701</v>
      </c>
      <c r="K57" s="677" t="str">
        <f>IF(L57=0,"",(INDEX(AccountCodes[ACCOUNT NAME],MATCH(L57,AccountCodes[NGAS CODE],0))))</f>
        <v>Due to Pag-IBIG - MP2</v>
      </c>
      <c r="L57" s="936" t="s">
        <v>1508</v>
      </c>
      <c r="M57" s="938">
        <v>4000</v>
      </c>
      <c r="N57" s="938"/>
      <c r="O57" s="967" t="s">
        <v>1691</v>
      </c>
      <c r="P57" s="971">
        <f t="shared" si="2"/>
        <v>4000</v>
      </c>
    </row>
    <row r="58" spans="1:16" ht="39" hidden="1" customHeight="1">
      <c r="A58" s="541">
        <v>44985</v>
      </c>
      <c r="B58" s="716">
        <v>44964</v>
      </c>
      <c r="C58" s="145" t="s">
        <v>1700</v>
      </c>
      <c r="D58" s="494" t="s">
        <v>1752</v>
      </c>
      <c r="E58" s="185" t="s">
        <v>762</v>
      </c>
      <c r="F58" s="137" t="s">
        <v>1526</v>
      </c>
      <c r="G58" s="494"/>
      <c r="H58" s="494"/>
      <c r="I58" s="560" t="s">
        <v>1698</v>
      </c>
      <c r="J58" s="935" t="s">
        <v>1701</v>
      </c>
      <c r="K58" s="677" t="str">
        <f>IF(L58=0,"",(INDEX(AccountCodes[ACCOUNT NAME],MATCH(L58,AccountCodes[NGAS CODE],0))))</f>
        <v>Cash in Bank-Local Currency, Current Account - FO</v>
      </c>
      <c r="L58" s="936" t="s">
        <v>1564</v>
      </c>
      <c r="M58" s="938"/>
      <c r="N58" s="938">
        <v>4000</v>
      </c>
      <c r="O58" s="967"/>
      <c r="P58" s="971">
        <f t="shared" si="2"/>
        <v>0</v>
      </c>
    </row>
    <row r="59" spans="1:16" ht="39" hidden="1" customHeight="1">
      <c r="A59" s="541">
        <v>44985</v>
      </c>
      <c r="B59" s="716">
        <v>44964</v>
      </c>
      <c r="C59" s="145" t="s">
        <v>1702</v>
      </c>
      <c r="D59" s="494" t="s">
        <v>1752</v>
      </c>
      <c r="E59" s="185" t="s">
        <v>762</v>
      </c>
      <c r="F59" s="137" t="s">
        <v>1526</v>
      </c>
      <c r="G59" s="494"/>
      <c r="H59" s="494"/>
      <c r="I59" s="560" t="s">
        <v>1698</v>
      </c>
      <c r="J59" s="935" t="s">
        <v>1703</v>
      </c>
      <c r="K59" s="677" t="str">
        <f>IF(L59=0,"",(INDEX(AccountCodes[ACCOUNT NAME],MATCH(L59,AccountCodes[NGAS CODE],0))))</f>
        <v>Pag-IBIG Contributions</v>
      </c>
      <c r="L59" s="936" t="s">
        <v>176</v>
      </c>
      <c r="M59" s="938">
        <v>100</v>
      </c>
      <c r="N59" s="938"/>
      <c r="O59" s="967" t="s">
        <v>1691</v>
      </c>
      <c r="P59" s="971">
        <f t="shared" si="2"/>
        <v>100</v>
      </c>
    </row>
    <row r="60" spans="1:16" ht="39" hidden="1" customHeight="1">
      <c r="A60" s="541">
        <v>44985</v>
      </c>
      <c r="B60" s="716">
        <v>44964</v>
      </c>
      <c r="C60" s="145" t="s">
        <v>1702</v>
      </c>
      <c r="D60" s="494" t="s">
        <v>1752</v>
      </c>
      <c r="E60" s="185" t="s">
        <v>762</v>
      </c>
      <c r="F60" s="137" t="s">
        <v>1526</v>
      </c>
      <c r="G60" s="494"/>
      <c r="H60" s="494"/>
      <c r="I60" s="560" t="s">
        <v>1698</v>
      </c>
      <c r="J60" s="935" t="s">
        <v>1703</v>
      </c>
      <c r="K60" s="677" t="str">
        <f>IF(L60=0,"",(INDEX(AccountCodes[ACCOUNT NAME],MATCH(L60,AccountCodes[NGAS CODE],0))))</f>
        <v>Due to Pag-IBIG - Pag-IBIG Premium</v>
      </c>
      <c r="L60" s="936" t="s">
        <v>1444</v>
      </c>
      <c r="M60" s="938">
        <v>422.58</v>
      </c>
      <c r="N60" s="938"/>
      <c r="O60" s="967"/>
      <c r="P60" s="971">
        <f t="shared" si="2"/>
        <v>522.58000000000004</v>
      </c>
    </row>
    <row r="61" spans="1:16" ht="39" hidden="1" customHeight="1">
      <c r="A61" s="541">
        <v>44985</v>
      </c>
      <c r="B61" s="716">
        <v>44964</v>
      </c>
      <c r="C61" s="145" t="s">
        <v>1702</v>
      </c>
      <c r="D61" s="494" t="s">
        <v>1752</v>
      </c>
      <c r="E61" s="185" t="s">
        <v>762</v>
      </c>
      <c r="F61" s="137" t="s">
        <v>1526</v>
      </c>
      <c r="G61" s="494"/>
      <c r="H61" s="494"/>
      <c r="I61" s="560" t="s">
        <v>1698</v>
      </c>
      <c r="J61" s="935" t="s">
        <v>1703</v>
      </c>
      <c r="K61" s="677" t="str">
        <f>IF(L61=0,"",(INDEX(AccountCodes[ACCOUNT NAME],MATCH(L61,AccountCodes[NGAS CODE],0))))</f>
        <v>Cash in Bank-Local Currency, Current Account - FO</v>
      </c>
      <c r="L61" s="936" t="s">
        <v>1564</v>
      </c>
      <c r="M61" s="938"/>
      <c r="N61" s="938">
        <v>522.58000000000004</v>
      </c>
      <c r="O61" s="967"/>
      <c r="P61" s="971">
        <f t="shared" si="2"/>
        <v>0</v>
      </c>
    </row>
    <row r="62" spans="1:16" ht="39" hidden="1" customHeight="1">
      <c r="A62" s="541">
        <v>44985</v>
      </c>
      <c r="B62" s="716">
        <v>44964</v>
      </c>
      <c r="C62" s="145" t="s">
        <v>1704</v>
      </c>
      <c r="D62" s="494" t="s">
        <v>1752</v>
      </c>
      <c r="E62" s="185" t="s">
        <v>762</v>
      </c>
      <c r="F62" s="137" t="s">
        <v>1526</v>
      </c>
      <c r="G62" s="494"/>
      <c r="H62" s="494"/>
      <c r="I62" s="560" t="s">
        <v>1689</v>
      </c>
      <c r="J62" s="935" t="s">
        <v>1706</v>
      </c>
      <c r="K62" s="677" t="str">
        <f>IF(L62=0,"",(INDEX(AccountCodes[ACCOUNT NAME],MATCH(L62,AccountCodes[NGAS CODE],0))))</f>
        <v>PhilHealth Contributions</v>
      </c>
      <c r="L62" s="936" t="s">
        <v>177</v>
      </c>
      <c r="M62" s="938">
        <v>422.58</v>
      </c>
      <c r="N62" s="938"/>
      <c r="O62" s="967"/>
      <c r="P62" s="971">
        <f>P61+M62-N62</f>
        <v>422.58</v>
      </c>
    </row>
    <row r="63" spans="1:16" ht="39" hidden="1" customHeight="1">
      <c r="A63" s="541">
        <v>44985</v>
      </c>
      <c r="B63" s="716">
        <v>44964</v>
      </c>
      <c r="C63" s="145" t="s">
        <v>1704</v>
      </c>
      <c r="D63" s="494" t="s">
        <v>1752</v>
      </c>
      <c r="E63" s="185" t="s">
        <v>762</v>
      </c>
      <c r="F63" s="137" t="s">
        <v>1526</v>
      </c>
      <c r="G63" s="494"/>
      <c r="H63" s="494"/>
      <c r="I63" s="560" t="s">
        <v>1689</v>
      </c>
      <c r="J63" s="935" t="s">
        <v>1706</v>
      </c>
      <c r="K63" s="677" t="str">
        <f>IF(L63=0,"",(INDEX(AccountCodes[ACCOUNT NAME],MATCH(L63,AccountCodes[NGAS CODE],0))))</f>
        <v>Due to PhilHealth</v>
      </c>
      <c r="L63" s="936" t="s">
        <v>112</v>
      </c>
      <c r="M63" s="938">
        <v>422.58</v>
      </c>
      <c r="N63" s="938"/>
      <c r="O63" s="967"/>
      <c r="P63" s="971">
        <f t="shared" si="2"/>
        <v>845.16</v>
      </c>
    </row>
    <row r="64" spans="1:16" ht="39" hidden="1" customHeight="1">
      <c r="A64" s="541">
        <v>44985</v>
      </c>
      <c r="B64" s="716">
        <v>44964</v>
      </c>
      <c r="C64" s="145" t="s">
        <v>1704</v>
      </c>
      <c r="D64" s="494" t="s">
        <v>1752</v>
      </c>
      <c r="E64" s="185" t="s">
        <v>762</v>
      </c>
      <c r="F64" s="137" t="s">
        <v>1526</v>
      </c>
      <c r="G64" s="494"/>
      <c r="H64" s="494"/>
      <c r="I64" s="560" t="s">
        <v>1689</v>
      </c>
      <c r="J64" s="935" t="s">
        <v>1706</v>
      </c>
      <c r="K64" s="677" t="str">
        <f>IF(L64=0,"",(INDEX(AccountCodes[ACCOUNT NAME],MATCH(L64,AccountCodes[NGAS CODE],0))))</f>
        <v>Cash in Bank-Local Currency, Current Account - FO</v>
      </c>
      <c r="L64" s="936" t="s">
        <v>1564</v>
      </c>
      <c r="M64" s="938"/>
      <c r="N64" s="938">
        <v>845.16</v>
      </c>
      <c r="O64" s="967"/>
      <c r="P64" s="971">
        <f>P42+M64-N64</f>
        <v>-845.16</v>
      </c>
    </row>
    <row r="65" spans="1:16" ht="39" hidden="1" customHeight="1">
      <c r="A65" s="541">
        <v>44985</v>
      </c>
      <c r="B65" s="716">
        <v>44964</v>
      </c>
      <c r="C65" s="145" t="s">
        <v>1707</v>
      </c>
      <c r="D65" s="494" t="s">
        <v>1752</v>
      </c>
      <c r="E65" s="185" t="s">
        <v>762</v>
      </c>
      <c r="F65" s="137" t="s">
        <v>1526</v>
      </c>
      <c r="G65" s="494"/>
      <c r="H65" s="494"/>
      <c r="I65" s="560" t="s">
        <v>1708</v>
      </c>
      <c r="J65" s="935" t="s">
        <v>1709</v>
      </c>
      <c r="K65" s="677" t="str">
        <f>IF(L65=0,"",(INDEX(AccountCodes[ACCOUNT NAME],MATCH(L65,AccountCodes[NGAS CODE],0))))</f>
        <v>Retirement and Life Insurance Premiums</v>
      </c>
      <c r="L65" s="936" t="s">
        <v>175</v>
      </c>
      <c r="M65" s="938">
        <v>1226.8499999999999</v>
      </c>
      <c r="N65" s="938"/>
      <c r="O65" s="967" t="s">
        <v>1691</v>
      </c>
      <c r="P65" s="971">
        <f t="shared" ref="P65:P79" si="3">P64+M65-N65</f>
        <v>381.69</v>
      </c>
    </row>
    <row r="66" spans="1:16" ht="39" hidden="1" customHeight="1">
      <c r="A66" s="541">
        <v>44985</v>
      </c>
      <c r="B66" s="716">
        <v>44964</v>
      </c>
      <c r="C66" s="145" t="s">
        <v>1707</v>
      </c>
      <c r="D66" s="494" t="s">
        <v>1752</v>
      </c>
      <c r="E66" s="185" t="s">
        <v>762</v>
      </c>
      <c r="F66" s="137" t="s">
        <v>1526</v>
      </c>
      <c r="G66" s="494"/>
      <c r="H66" s="494"/>
      <c r="I66" s="560" t="s">
        <v>1708</v>
      </c>
      <c r="J66" s="935" t="s">
        <v>1709</v>
      </c>
      <c r="K66" s="677" t="str">
        <f>IF(L66=0,"",(INDEX(AccountCodes[ACCOUNT NAME],MATCH(L66,AccountCodes[NGAS CODE],0))))</f>
        <v>Employees Compensation Insurance Premiums</v>
      </c>
      <c r="L66" s="936" t="s">
        <v>178</v>
      </c>
      <c r="M66" s="938">
        <v>100</v>
      </c>
      <c r="N66" s="938"/>
      <c r="O66" s="967"/>
      <c r="P66" s="971">
        <f t="shared" si="3"/>
        <v>481.69</v>
      </c>
    </row>
    <row r="67" spans="1:16" ht="39" hidden="1" customHeight="1">
      <c r="A67" s="541">
        <v>44985</v>
      </c>
      <c r="B67" s="716">
        <v>44964</v>
      </c>
      <c r="C67" s="145" t="s">
        <v>1707</v>
      </c>
      <c r="D67" s="494" t="s">
        <v>1752</v>
      </c>
      <c r="E67" s="185" t="s">
        <v>762</v>
      </c>
      <c r="F67" s="137" t="s">
        <v>1526</v>
      </c>
      <c r="G67" s="494"/>
      <c r="H67" s="494"/>
      <c r="I67" s="560" t="s">
        <v>1708</v>
      </c>
      <c r="J67" s="935" t="s">
        <v>1709</v>
      </c>
      <c r="K67" s="677" t="str">
        <f>IF(L67=0,"",(INDEX(AccountCodes[ACCOUNT NAME],MATCH(L67,AccountCodes[NGAS CODE],0))))</f>
        <v>Due to GSIS - Life and Retirement Premium</v>
      </c>
      <c r="L67" s="936" t="s">
        <v>1440</v>
      </c>
      <c r="M67" s="938">
        <v>920.13</v>
      </c>
      <c r="N67" s="938"/>
      <c r="O67" s="967"/>
      <c r="P67" s="971">
        <f t="shared" si="3"/>
        <v>1401.82</v>
      </c>
    </row>
    <row r="68" spans="1:16" ht="39" hidden="1" customHeight="1">
      <c r="A68" s="541">
        <v>44985</v>
      </c>
      <c r="B68" s="716">
        <v>44964</v>
      </c>
      <c r="C68" s="145" t="s">
        <v>1707</v>
      </c>
      <c r="D68" s="494" t="s">
        <v>1752</v>
      </c>
      <c r="E68" s="185" t="s">
        <v>762</v>
      </c>
      <c r="F68" s="137" t="s">
        <v>1526</v>
      </c>
      <c r="G68" s="494"/>
      <c r="H68" s="494"/>
      <c r="I68" s="560" t="s">
        <v>1708</v>
      </c>
      <c r="J68" s="935" t="s">
        <v>1709</v>
      </c>
      <c r="K68" s="677" t="str">
        <f>IF(L68=0,"",(INDEX(AccountCodes[ACCOUNT NAME],MATCH(L68,AccountCodes[NGAS CODE],0))))</f>
        <v>Cash in Bank-Local Currency, Current Account - FO</v>
      </c>
      <c r="L68" s="936" t="s">
        <v>1564</v>
      </c>
      <c r="M68" s="938"/>
      <c r="N68" s="938">
        <v>2246.98</v>
      </c>
      <c r="O68" s="967"/>
      <c r="P68" s="971">
        <f t="shared" si="3"/>
        <v>-845.16</v>
      </c>
    </row>
    <row r="69" spans="1:16" ht="39" hidden="1" customHeight="1">
      <c r="A69" s="541">
        <v>44985</v>
      </c>
      <c r="B69" s="716">
        <v>44965</v>
      </c>
      <c r="C69" s="494" t="s">
        <v>1710</v>
      </c>
      <c r="D69" s="494" t="s">
        <v>1752</v>
      </c>
      <c r="E69" s="185" t="s">
        <v>762</v>
      </c>
      <c r="F69" s="137" t="s">
        <v>1526</v>
      </c>
      <c r="G69" s="494"/>
      <c r="H69" s="716"/>
      <c r="I69" s="560" t="s">
        <v>1716</v>
      </c>
      <c r="J69" s="935" t="s">
        <v>1711</v>
      </c>
      <c r="K69" s="677" t="str">
        <f>IF(L69=0,"",(INDEX(AccountCodes[ACCOUNT NAME],MATCH(L69,AccountCodes[NGAS CODE],0))))</f>
        <v>Salaries and Wages-Regular</v>
      </c>
      <c r="L69" s="936" t="s">
        <v>162</v>
      </c>
      <c r="M69" s="938">
        <v>58320</v>
      </c>
      <c r="N69" s="938"/>
      <c r="O69" s="967" t="s">
        <v>1691</v>
      </c>
      <c r="P69" s="971">
        <f t="shared" si="3"/>
        <v>57474.84</v>
      </c>
    </row>
    <row r="70" spans="1:16" ht="39" hidden="1" customHeight="1">
      <c r="A70" s="541">
        <v>44985</v>
      </c>
      <c r="B70" s="716">
        <v>44965</v>
      </c>
      <c r="C70" s="494" t="s">
        <v>1710</v>
      </c>
      <c r="D70" s="494" t="s">
        <v>1752</v>
      </c>
      <c r="E70" s="939" t="s">
        <v>762</v>
      </c>
      <c r="F70" s="495" t="s">
        <v>1526</v>
      </c>
      <c r="G70" s="494"/>
      <c r="H70" s="494"/>
      <c r="I70" s="668" t="s">
        <v>1716</v>
      </c>
      <c r="J70" s="970" t="s">
        <v>1711</v>
      </c>
      <c r="K70" s="677" t="str">
        <f>IF(L70=0,"",(INDEX(AccountCodes[ACCOUNT NAME],MATCH(L70,AccountCodes[NGAS CODE],0))))</f>
        <v>Personal Economic Relief Allowance (PERA)</v>
      </c>
      <c r="L70" s="936" t="s">
        <v>164</v>
      </c>
      <c r="M70" s="938">
        <v>4000</v>
      </c>
      <c r="N70" s="938"/>
      <c r="O70" s="967"/>
      <c r="P70" s="971">
        <f t="shared" si="3"/>
        <v>61474.84</v>
      </c>
    </row>
    <row r="71" spans="1:16" ht="39" hidden="1" customHeight="1">
      <c r="A71" s="541">
        <v>44985</v>
      </c>
      <c r="B71" s="716">
        <v>44965</v>
      </c>
      <c r="C71" s="494" t="s">
        <v>1710</v>
      </c>
      <c r="D71" s="494" t="s">
        <v>1752</v>
      </c>
      <c r="E71" s="939" t="s">
        <v>762</v>
      </c>
      <c r="F71" s="495" t="s">
        <v>1526</v>
      </c>
      <c r="G71" s="494"/>
      <c r="H71" s="494"/>
      <c r="I71" s="668" t="s">
        <v>1716</v>
      </c>
      <c r="J71" s="970" t="s">
        <v>1711</v>
      </c>
      <c r="K71" s="677" t="str">
        <f>IF(L71=0,"",(INDEX(AccountCodes[ACCOUNT NAME],MATCH(L71,AccountCodes[NGAS CODE],0))))</f>
        <v>Due to BIR - Compensation</v>
      </c>
      <c r="L71" s="936" t="s">
        <v>1546</v>
      </c>
      <c r="M71" s="938"/>
      <c r="N71" s="938">
        <v>1330.76</v>
      </c>
      <c r="O71" s="967"/>
      <c r="P71" s="971">
        <f t="shared" si="3"/>
        <v>60144.08</v>
      </c>
    </row>
    <row r="72" spans="1:16" ht="39" hidden="1" customHeight="1">
      <c r="A72" s="541">
        <v>44985</v>
      </c>
      <c r="B72" s="716">
        <v>44965</v>
      </c>
      <c r="C72" s="494" t="s">
        <v>1710</v>
      </c>
      <c r="D72" s="494" t="s">
        <v>1752</v>
      </c>
      <c r="E72" s="939" t="s">
        <v>762</v>
      </c>
      <c r="F72" s="495" t="s">
        <v>1526</v>
      </c>
      <c r="G72" s="494"/>
      <c r="H72" s="494"/>
      <c r="I72" s="668" t="s">
        <v>1716</v>
      </c>
      <c r="J72" s="970" t="s">
        <v>1711</v>
      </c>
      <c r="K72" s="677" t="str">
        <f>IF(L72=0,"",(INDEX(AccountCodes[ACCOUNT NAME],MATCH(L72,AccountCodes[NGAS CODE],0))))</f>
        <v>Due to GSIS - Life and Retirement Premium</v>
      </c>
      <c r="L72" s="936" t="s">
        <v>1440</v>
      </c>
      <c r="M72" s="938"/>
      <c r="N72" s="938">
        <v>5248.8</v>
      </c>
      <c r="O72" s="967"/>
      <c r="P72" s="971">
        <f t="shared" si="3"/>
        <v>54895.28</v>
      </c>
    </row>
    <row r="73" spans="1:16" ht="39" hidden="1" customHeight="1">
      <c r="A73" s="541">
        <v>44985</v>
      </c>
      <c r="B73" s="716">
        <v>44965</v>
      </c>
      <c r="C73" s="494" t="s">
        <v>1710</v>
      </c>
      <c r="D73" s="494" t="s">
        <v>1752</v>
      </c>
      <c r="E73" s="939" t="s">
        <v>762</v>
      </c>
      <c r="F73" s="495" t="s">
        <v>1526</v>
      </c>
      <c r="G73" s="494"/>
      <c r="H73" s="494"/>
      <c r="I73" s="668" t="s">
        <v>1716</v>
      </c>
      <c r="J73" s="970" t="s">
        <v>1711</v>
      </c>
      <c r="K73" s="677" t="str">
        <f>IF(L73=0,"",(INDEX(AccountCodes[ACCOUNT NAME],MATCH(L73,AccountCodes[NGAS CODE],0))))</f>
        <v>Due to Pag-IBIG - Pag-IBIG Premium</v>
      </c>
      <c r="L73" s="936" t="s">
        <v>1444</v>
      </c>
      <c r="M73" s="938"/>
      <c r="N73" s="938">
        <v>1166.4000000000001</v>
      </c>
      <c r="O73" s="967"/>
      <c r="P73" s="971">
        <f t="shared" si="3"/>
        <v>53728.88</v>
      </c>
    </row>
    <row r="74" spans="1:16" ht="39" hidden="1" customHeight="1">
      <c r="A74" s="541">
        <v>44985</v>
      </c>
      <c r="B74" s="716">
        <v>44965</v>
      </c>
      <c r="C74" s="494" t="s">
        <v>1710</v>
      </c>
      <c r="D74" s="494" t="s">
        <v>1752</v>
      </c>
      <c r="E74" s="939" t="s">
        <v>762</v>
      </c>
      <c r="F74" s="495" t="s">
        <v>1526</v>
      </c>
      <c r="G74" s="494"/>
      <c r="H74" s="494"/>
      <c r="I74" s="668" t="s">
        <v>1716</v>
      </c>
      <c r="J74" s="970" t="s">
        <v>1711</v>
      </c>
      <c r="K74" s="677" t="str">
        <f>IF(L74=0,"",(INDEX(AccountCodes[ACCOUNT NAME],MATCH(L74,AccountCodes[NGAS CODE],0))))</f>
        <v>Due to Pag-IBIG - MP2</v>
      </c>
      <c r="L74" s="936" t="s">
        <v>1508</v>
      </c>
      <c r="M74" s="938"/>
      <c r="N74" s="938">
        <v>4000</v>
      </c>
      <c r="O74" s="967"/>
      <c r="P74" s="971">
        <f t="shared" si="3"/>
        <v>49728.88</v>
      </c>
    </row>
    <row r="75" spans="1:16" ht="39" hidden="1" customHeight="1">
      <c r="A75" s="541">
        <v>44985</v>
      </c>
      <c r="B75" s="716">
        <v>44965</v>
      </c>
      <c r="C75" s="494" t="s">
        <v>1710</v>
      </c>
      <c r="D75" s="494" t="s">
        <v>1752</v>
      </c>
      <c r="E75" s="939" t="s">
        <v>762</v>
      </c>
      <c r="F75" s="495" t="s">
        <v>1526</v>
      </c>
      <c r="G75" s="494"/>
      <c r="H75" s="494"/>
      <c r="I75" s="560" t="s">
        <v>1716</v>
      </c>
      <c r="J75" s="970" t="s">
        <v>1711</v>
      </c>
      <c r="K75" s="677" t="str">
        <f>IF(L75=0,"",(INDEX(AccountCodes[ACCOUNT NAME],MATCH(L75,AccountCodes[NGAS CODE],0))))</f>
        <v>Due to PhilHealth</v>
      </c>
      <c r="L75" s="936" t="s">
        <v>112</v>
      </c>
      <c r="M75" s="938"/>
      <c r="N75" s="938">
        <v>1166.4000000000001</v>
      </c>
      <c r="O75" s="967"/>
      <c r="P75" s="971">
        <f t="shared" si="3"/>
        <v>48562.48</v>
      </c>
    </row>
    <row r="76" spans="1:16" ht="39" hidden="1" customHeight="1">
      <c r="A76" s="541">
        <v>44985</v>
      </c>
      <c r="B76" s="716">
        <v>44965</v>
      </c>
      <c r="C76" s="494" t="s">
        <v>1710</v>
      </c>
      <c r="D76" s="494" t="s">
        <v>1752</v>
      </c>
      <c r="E76" s="939" t="s">
        <v>762</v>
      </c>
      <c r="F76" s="495" t="s">
        <v>1526</v>
      </c>
      <c r="G76" s="494"/>
      <c r="H76" s="494"/>
      <c r="I76" s="560" t="s">
        <v>1716</v>
      </c>
      <c r="J76" s="970" t="s">
        <v>1711</v>
      </c>
      <c r="K76" s="677" t="str">
        <f>IF(L76=0,"",(INDEX(AccountCodes[ACCOUNT NAME],MATCH(L76,AccountCodes[NGAS CODE],0))))</f>
        <v>Cash in Bank-Local Currency, Current Account - FO</v>
      </c>
      <c r="L76" s="936" t="s">
        <v>1564</v>
      </c>
      <c r="M76" s="938"/>
      <c r="N76" s="938">
        <v>49407.64</v>
      </c>
      <c r="O76" s="967"/>
      <c r="P76" s="971">
        <f t="shared" si="3"/>
        <v>-845.16</v>
      </c>
    </row>
    <row r="77" spans="1:16" ht="39" hidden="1" customHeight="1">
      <c r="A77" s="541">
        <v>44985</v>
      </c>
      <c r="B77" s="716">
        <v>44967</v>
      </c>
      <c r="C77" s="145" t="s">
        <v>1712</v>
      </c>
      <c r="D77" s="494" t="s">
        <v>1752</v>
      </c>
      <c r="E77" s="185" t="s">
        <v>762</v>
      </c>
      <c r="F77" s="137" t="s">
        <v>1526</v>
      </c>
      <c r="G77" s="494"/>
      <c r="H77" s="494"/>
      <c r="I77" s="560" t="s">
        <v>1713</v>
      </c>
      <c r="J77" s="935" t="s">
        <v>1714</v>
      </c>
      <c r="K77" s="677" t="str">
        <f>IF(L77=0,"",(INDEX(AccountCodes[ACCOUNT NAME],MATCH(L77,AccountCodes[NGAS CODE],0))))</f>
        <v>Office Supplies Inventory</v>
      </c>
      <c r="L77" s="936" t="s">
        <v>30</v>
      </c>
      <c r="M77" s="938">
        <v>259648</v>
      </c>
      <c r="N77" s="938"/>
      <c r="O77" s="972" t="s">
        <v>1690</v>
      </c>
      <c r="P77" s="971">
        <f t="shared" si="3"/>
        <v>258802.84</v>
      </c>
    </row>
    <row r="78" spans="1:16" ht="39" hidden="1" customHeight="1">
      <c r="A78" s="541">
        <v>44985</v>
      </c>
      <c r="B78" s="716">
        <v>44967</v>
      </c>
      <c r="C78" s="494" t="s">
        <v>1712</v>
      </c>
      <c r="D78" s="494" t="s">
        <v>1752</v>
      </c>
      <c r="E78" s="939" t="s">
        <v>762</v>
      </c>
      <c r="F78" s="495" t="s">
        <v>1526</v>
      </c>
      <c r="G78" s="494"/>
      <c r="H78" s="494"/>
      <c r="I78" s="668" t="s">
        <v>1713</v>
      </c>
      <c r="J78" s="970" t="s">
        <v>1714</v>
      </c>
      <c r="K78" s="677" t="str">
        <f>IF(L78=0,"",(INDEX(AccountCodes[ACCOUNT NAME],MATCH(L78,AccountCodes[NGAS CODE],0))))</f>
        <v>Cash in Bank-Local Currency, Current Account - FO</v>
      </c>
      <c r="L78" s="936" t="s">
        <v>1564</v>
      </c>
      <c r="M78" s="938"/>
      <c r="N78" s="938">
        <v>259648</v>
      </c>
      <c r="O78" s="967"/>
      <c r="P78" s="971">
        <f t="shared" si="3"/>
        <v>-845.16</v>
      </c>
    </row>
    <row r="79" spans="1:16" ht="39" hidden="1" customHeight="1">
      <c r="A79" s="541">
        <v>44985</v>
      </c>
      <c r="B79" s="716">
        <v>44970</v>
      </c>
      <c r="C79" s="494" t="s">
        <v>1715</v>
      </c>
      <c r="D79" s="494" t="s">
        <v>1752</v>
      </c>
      <c r="E79" s="185" t="s">
        <v>762</v>
      </c>
      <c r="F79" s="137" t="s">
        <v>1526</v>
      </c>
      <c r="G79" s="494"/>
      <c r="H79" s="494"/>
      <c r="I79" s="560" t="s">
        <v>1716</v>
      </c>
      <c r="J79" s="935" t="s">
        <v>1717</v>
      </c>
      <c r="K79" s="677" t="str">
        <f>IF(L79=0,"",(INDEX(AccountCodes[ACCOUNT NAME],MATCH(L79,AccountCodes[NGAS CODE],0))))</f>
        <v>Salaries and Wages-Regular</v>
      </c>
      <c r="L79" s="936" t="s">
        <v>162</v>
      </c>
      <c r="M79" s="938">
        <v>58320</v>
      </c>
      <c r="N79" s="938"/>
      <c r="O79" s="967" t="s">
        <v>1691</v>
      </c>
      <c r="P79" s="971">
        <f t="shared" si="3"/>
        <v>57474.84</v>
      </c>
    </row>
    <row r="80" spans="1:16" ht="39" hidden="1" customHeight="1">
      <c r="A80" s="541">
        <v>44985</v>
      </c>
      <c r="B80" s="716">
        <v>44970</v>
      </c>
      <c r="C80" s="494" t="s">
        <v>1715</v>
      </c>
      <c r="D80" s="494" t="s">
        <v>1752</v>
      </c>
      <c r="E80" s="939" t="s">
        <v>762</v>
      </c>
      <c r="F80" s="495" t="s">
        <v>1526</v>
      </c>
      <c r="G80" s="494"/>
      <c r="H80" s="494"/>
      <c r="I80" s="668" t="s">
        <v>1716</v>
      </c>
      <c r="J80" s="970" t="s">
        <v>1717</v>
      </c>
      <c r="K80" s="677" t="str">
        <f>IF(L80=0,"",(INDEX(AccountCodes[ACCOUNT NAME],MATCH(L80,AccountCodes[NGAS CODE],0))))</f>
        <v>Personal Economic Relief Allowance (PERA)</v>
      </c>
      <c r="L80" s="936" t="s">
        <v>164</v>
      </c>
      <c r="M80" s="938">
        <v>4000</v>
      </c>
      <c r="N80" s="938"/>
      <c r="O80" s="967"/>
      <c r="P80" s="971">
        <f>P42+M80-N80</f>
        <v>4000</v>
      </c>
    </row>
    <row r="81" spans="1:16" ht="39" hidden="1" customHeight="1">
      <c r="A81" s="541">
        <v>44985</v>
      </c>
      <c r="B81" s="716">
        <v>44970</v>
      </c>
      <c r="C81" s="494" t="s">
        <v>1715</v>
      </c>
      <c r="D81" s="494" t="s">
        <v>1752</v>
      </c>
      <c r="E81" s="939" t="s">
        <v>762</v>
      </c>
      <c r="F81" s="495" t="s">
        <v>1526</v>
      </c>
      <c r="G81" s="494"/>
      <c r="H81" s="494"/>
      <c r="I81" s="668" t="s">
        <v>1716</v>
      </c>
      <c r="J81" s="970" t="s">
        <v>1717</v>
      </c>
      <c r="K81" s="677" t="str">
        <f>IF(L81=0,"",(INDEX(AccountCodes[ACCOUNT NAME],MATCH(L81,AccountCodes[NGAS CODE],0))))</f>
        <v>Due to BIR - Compensation</v>
      </c>
      <c r="L81" s="936" t="s">
        <v>1546</v>
      </c>
      <c r="M81" s="938"/>
      <c r="N81" s="938">
        <v>1330.76</v>
      </c>
      <c r="O81" s="967"/>
      <c r="P81" s="971">
        <f t="shared" ref="P81:P95" si="4">P80+M81-N81</f>
        <v>2669.24</v>
      </c>
    </row>
    <row r="82" spans="1:16" ht="39" hidden="1" customHeight="1">
      <c r="A82" s="541">
        <v>44985</v>
      </c>
      <c r="B82" s="716">
        <v>44970</v>
      </c>
      <c r="C82" s="494" t="s">
        <v>1715</v>
      </c>
      <c r="D82" s="494" t="s">
        <v>1752</v>
      </c>
      <c r="E82" s="939" t="s">
        <v>762</v>
      </c>
      <c r="F82" s="495" t="s">
        <v>1526</v>
      </c>
      <c r="G82" s="494"/>
      <c r="H82" s="494"/>
      <c r="I82" s="668" t="s">
        <v>1716</v>
      </c>
      <c r="J82" s="970" t="s">
        <v>1717</v>
      </c>
      <c r="K82" s="677" t="str">
        <f>IF(L82=0,"",(INDEX(AccountCodes[ACCOUNT NAME],MATCH(L82,AccountCodes[NGAS CODE],0))))</f>
        <v>Due to GSIS - Life and Retirement Premium</v>
      </c>
      <c r="L82" s="936" t="s">
        <v>1440</v>
      </c>
      <c r="M82" s="938"/>
      <c r="N82" s="938">
        <v>5248.8</v>
      </c>
      <c r="O82" s="967"/>
      <c r="P82" s="971">
        <f t="shared" si="4"/>
        <v>-2579.56</v>
      </c>
    </row>
    <row r="83" spans="1:16" ht="39" hidden="1" customHeight="1">
      <c r="A83" s="541">
        <v>44985</v>
      </c>
      <c r="B83" s="716">
        <v>44970</v>
      </c>
      <c r="C83" s="494" t="s">
        <v>1715</v>
      </c>
      <c r="D83" s="494" t="s">
        <v>1752</v>
      </c>
      <c r="E83" s="939" t="s">
        <v>762</v>
      </c>
      <c r="F83" s="495" t="s">
        <v>1526</v>
      </c>
      <c r="G83" s="494"/>
      <c r="H83" s="494"/>
      <c r="I83" s="668" t="s">
        <v>1716</v>
      </c>
      <c r="J83" s="970" t="s">
        <v>1717</v>
      </c>
      <c r="K83" s="677" t="str">
        <f>IF(L83=0,"",(INDEX(AccountCodes[ACCOUNT NAME],MATCH(L83,AccountCodes[NGAS CODE],0))))</f>
        <v>Due to Pag-IBIG - Pag-IBIG Premium</v>
      </c>
      <c r="L83" s="936" t="s">
        <v>1444</v>
      </c>
      <c r="M83" s="938"/>
      <c r="N83" s="938">
        <v>1166.4000000000001</v>
      </c>
      <c r="O83" s="967"/>
      <c r="P83" s="971">
        <f t="shared" si="4"/>
        <v>-3745.96</v>
      </c>
    </row>
    <row r="84" spans="1:16" ht="39" hidden="1" customHeight="1">
      <c r="A84" s="541">
        <v>44985</v>
      </c>
      <c r="B84" s="716">
        <v>44970</v>
      </c>
      <c r="C84" s="494" t="s">
        <v>1715</v>
      </c>
      <c r="D84" s="494" t="s">
        <v>1752</v>
      </c>
      <c r="E84" s="939" t="s">
        <v>762</v>
      </c>
      <c r="F84" s="495" t="s">
        <v>1526</v>
      </c>
      <c r="G84" s="494"/>
      <c r="H84" s="494"/>
      <c r="I84" s="668" t="s">
        <v>1716</v>
      </c>
      <c r="J84" s="970" t="s">
        <v>1717</v>
      </c>
      <c r="K84" s="677" t="str">
        <f>IF(L84=0,"",(INDEX(AccountCodes[ACCOUNT NAME],MATCH(L84,AccountCodes[NGAS CODE],0))))</f>
        <v>Due to Pag-IBIG - MP2</v>
      </c>
      <c r="L84" s="936" t="s">
        <v>1508</v>
      </c>
      <c r="M84" s="938"/>
      <c r="N84" s="938">
        <v>4000</v>
      </c>
      <c r="O84" s="967"/>
      <c r="P84" s="971">
        <f t="shared" si="4"/>
        <v>-7745.96</v>
      </c>
    </row>
    <row r="85" spans="1:16" ht="39" hidden="1" customHeight="1">
      <c r="A85" s="541">
        <v>44985</v>
      </c>
      <c r="B85" s="716">
        <v>44970</v>
      </c>
      <c r="C85" s="494" t="s">
        <v>1715</v>
      </c>
      <c r="D85" s="494" t="s">
        <v>1752</v>
      </c>
      <c r="E85" s="939" t="s">
        <v>762</v>
      </c>
      <c r="F85" s="495" t="s">
        <v>1526</v>
      </c>
      <c r="G85" s="494"/>
      <c r="H85" s="494"/>
      <c r="I85" s="668" t="s">
        <v>1716</v>
      </c>
      <c r="J85" s="970" t="s">
        <v>1717</v>
      </c>
      <c r="K85" s="677" t="str">
        <f>IF(L85=0,"",(INDEX(AccountCodes[ACCOUNT NAME],MATCH(L85,AccountCodes[NGAS CODE],0))))</f>
        <v>Due to PhilHealth</v>
      </c>
      <c r="L85" s="936" t="s">
        <v>112</v>
      </c>
      <c r="M85" s="938"/>
      <c r="N85" s="938">
        <v>1166.4000000000001</v>
      </c>
      <c r="O85" s="967"/>
      <c r="P85" s="971">
        <f t="shared" si="4"/>
        <v>-8912.36</v>
      </c>
    </row>
    <row r="86" spans="1:16" ht="39" hidden="1" customHeight="1">
      <c r="A86" s="541">
        <v>44985</v>
      </c>
      <c r="B86" s="716">
        <v>44970</v>
      </c>
      <c r="C86" s="494" t="s">
        <v>1715</v>
      </c>
      <c r="D86" s="494" t="s">
        <v>1752</v>
      </c>
      <c r="E86" s="939" t="s">
        <v>762</v>
      </c>
      <c r="F86" s="495" t="s">
        <v>1526</v>
      </c>
      <c r="G86" s="494"/>
      <c r="H86" s="494"/>
      <c r="I86" s="668" t="s">
        <v>1716</v>
      </c>
      <c r="J86" s="970" t="s">
        <v>1717</v>
      </c>
      <c r="K86" s="677" t="str">
        <f>IF(L86=0,"",(INDEX(AccountCodes[ACCOUNT NAME],MATCH(L86,AccountCodes[NGAS CODE],0))))</f>
        <v>Cash in Bank-Local Currency, Current Account - FO</v>
      </c>
      <c r="L86" s="936" t="s">
        <v>1564</v>
      </c>
      <c r="M86" s="938"/>
      <c r="N86" s="938">
        <v>49407.64</v>
      </c>
      <c r="O86" s="967"/>
      <c r="P86" s="971">
        <f t="shared" si="4"/>
        <v>-58320</v>
      </c>
    </row>
    <row r="87" spans="1:16" ht="39" hidden="1" customHeight="1">
      <c r="A87" s="541">
        <v>44985</v>
      </c>
      <c r="B87" s="716">
        <v>44970</v>
      </c>
      <c r="C87" s="145" t="s">
        <v>1718</v>
      </c>
      <c r="D87" s="494" t="s">
        <v>1752</v>
      </c>
      <c r="E87" s="185" t="s">
        <v>762</v>
      </c>
      <c r="F87" s="137" t="s">
        <v>1526</v>
      </c>
      <c r="G87" s="494"/>
      <c r="H87" s="494"/>
      <c r="I87" s="560" t="s">
        <v>1719</v>
      </c>
      <c r="J87" s="935" t="s">
        <v>1720</v>
      </c>
      <c r="K87" s="677" t="str">
        <f>IF(L87=0,"",(INDEX(AccountCodes[ACCOUNT NAME],MATCH(L87,AccountCodes[NGAS CODE],0))))</f>
        <v>Salaries and Wages-Regular</v>
      </c>
      <c r="L87" s="936" t="s">
        <v>162</v>
      </c>
      <c r="M87" s="938">
        <v>10564.5</v>
      </c>
      <c r="N87" s="938"/>
      <c r="O87" s="967"/>
      <c r="P87" s="971">
        <f t="shared" si="4"/>
        <v>-47755.5</v>
      </c>
    </row>
    <row r="88" spans="1:16" ht="39" hidden="1" customHeight="1">
      <c r="A88" s="541">
        <v>44985</v>
      </c>
      <c r="B88" s="716">
        <v>44970</v>
      </c>
      <c r="C88" s="494" t="s">
        <v>1718</v>
      </c>
      <c r="D88" s="494" t="s">
        <v>1752</v>
      </c>
      <c r="E88" s="939" t="s">
        <v>762</v>
      </c>
      <c r="F88" s="495" t="s">
        <v>1526</v>
      </c>
      <c r="G88" s="494"/>
      <c r="H88" s="494"/>
      <c r="I88" s="668" t="s">
        <v>1719</v>
      </c>
      <c r="J88" s="970" t="s">
        <v>1720</v>
      </c>
      <c r="K88" s="677" t="str">
        <f>IF(L88=0,"",(INDEX(AccountCodes[ACCOUNT NAME],MATCH(L88,AccountCodes[NGAS CODE],0))))</f>
        <v>Personal Economic Relief Allowance (PERA)</v>
      </c>
      <c r="L88" s="936" t="s">
        <v>164</v>
      </c>
      <c r="M88" s="938">
        <v>1000</v>
      </c>
      <c r="N88" s="938"/>
      <c r="O88" s="967"/>
      <c r="P88" s="971">
        <f t="shared" si="4"/>
        <v>-46755.5</v>
      </c>
    </row>
    <row r="89" spans="1:16" ht="39" hidden="1" customHeight="1">
      <c r="A89" s="541">
        <v>44985</v>
      </c>
      <c r="B89" s="716">
        <v>44970</v>
      </c>
      <c r="C89" s="494" t="s">
        <v>1718</v>
      </c>
      <c r="D89" s="494" t="s">
        <v>1752</v>
      </c>
      <c r="E89" s="939" t="s">
        <v>762</v>
      </c>
      <c r="F89" s="495" t="s">
        <v>1526</v>
      </c>
      <c r="G89" s="494"/>
      <c r="H89" s="494"/>
      <c r="I89" s="668" t="s">
        <v>1719</v>
      </c>
      <c r="J89" s="970" t="s">
        <v>1720</v>
      </c>
      <c r="K89" s="677" t="str">
        <f>IF(L89=0,"",(INDEX(AccountCodes[ACCOUNT NAME],MATCH(L89,AccountCodes[NGAS CODE],0))))</f>
        <v>Due to GSIS - Life and Retirement Premium</v>
      </c>
      <c r="L89" s="936" t="s">
        <v>1440</v>
      </c>
      <c r="M89" s="938"/>
      <c r="N89" s="938">
        <v>920.13</v>
      </c>
      <c r="O89" s="967"/>
      <c r="P89" s="971">
        <f t="shared" si="4"/>
        <v>-47675.63</v>
      </c>
    </row>
    <row r="90" spans="1:16" ht="39" hidden="1" customHeight="1">
      <c r="A90" s="541">
        <v>44985</v>
      </c>
      <c r="B90" s="716">
        <v>44970</v>
      </c>
      <c r="C90" s="494" t="s">
        <v>1718</v>
      </c>
      <c r="D90" s="494" t="s">
        <v>1752</v>
      </c>
      <c r="E90" s="939" t="s">
        <v>762</v>
      </c>
      <c r="F90" s="495" t="s">
        <v>1526</v>
      </c>
      <c r="G90" s="494"/>
      <c r="H90" s="494"/>
      <c r="I90" s="668" t="s">
        <v>1719</v>
      </c>
      <c r="J90" s="970" t="s">
        <v>1720</v>
      </c>
      <c r="K90" s="677" t="str">
        <f>IF(L90=0,"",(INDEX(AccountCodes[ACCOUNT NAME],MATCH(L90,AccountCodes[NGAS CODE],0))))</f>
        <v>Due to Pag-IBIG - Pag-IBIG Premium</v>
      </c>
      <c r="L90" s="936" t="s">
        <v>1444</v>
      </c>
      <c r="M90" s="938"/>
      <c r="N90" s="938">
        <v>422.58</v>
      </c>
      <c r="O90" s="967"/>
      <c r="P90" s="971">
        <f t="shared" si="4"/>
        <v>-48098.21</v>
      </c>
    </row>
    <row r="91" spans="1:16" ht="39" hidden="1" customHeight="1">
      <c r="A91" s="541">
        <v>44985</v>
      </c>
      <c r="B91" s="716">
        <v>44970</v>
      </c>
      <c r="C91" s="494" t="s">
        <v>1718</v>
      </c>
      <c r="D91" s="494" t="s">
        <v>1752</v>
      </c>
      <c r="E91" s="939" t="s">
        <v>762</v>
      </c>
      <c r="F91" s="495" t="s">
        <v>1526</v>
      </c>
      <c r="G91" s="494"/>
      <c r="H91" s="494"/>
      <c r="I91" s="668" t="s">
        <v>1719</v>
      </c>
      <c r="J91" s="970" t="s">
        <v>1720</v>
      </c>
      <c r="K91" s="677" t="str">
        <f>IF(L91=0,"",(INDEX(AccountCodes[ACCOUNT NAME],MATCH(L91,AccountCodes[NGAS CODE],0))))</f>
        <v>Due to PhilHealth</v>
      </c>
      <c r="L91" s="936" t="s">
        <v>112</v>
      </c>
      <c r="M91" s="938"/>
      <c r="N91" s="938">
        <v>422.58</v>
      </c>
      <c r="O91" s="967"/>
      <c r="P91" s="971">
        <f t="shared" si="4"/>
        <v>-48520.79</v>
      </c>
    </row>
    <row r="92" spans="1:16" ht="39" hidden="1" customHeight="1">
      <c r="A92" s="541">
        <v>44985</v>
      </c>
      <c r="B92" s="716">
        <v>44970</v>
      </c>
      <c r="C92" s="494" t="s">
        <v>1718</v>
      </c>
      <c r="D92" s="494" t="s">
        <v>1752</v>
      </c>
      <c r="E92" s="939" t="s">
        <v>762</v>
      </c>
      <c r="F92" s="495" t="s">
        <v>1526</v>
      </c>
      <c r="G92" s="494"/>
      <c r="H92" s="494"/>
      <c r="I92" s="668" t="s">
        <v>1719</v>
      </c>
      <c r="J92" s="970" t="s">
        <v>1720</v>
      </c>
      <c r="K92" s="677" t="str">
        <f>IF(L92=0,"",(INDEX(AccountCodes[ACCOUNT NAME],MATCH(L92,AccountCodes[NGAS CODE],0))))</f>
        <v>Cash in Bank-Local Currency, Current Account - FO</v>
      </c>
      <c r="L92" s="936" t="s">
        <v>1564</v>
      </c>
      <c r="M92" s="938"/>
      <c r="N92" s="938">
        <v>9799.2099999999991</v>
      </c>
      <c r="O92" s="967"/>
      <c r="P92" s="971">
        <f t="shared" si="4"/>
        <v>-58320</v>
      </c>
    </row>
    <row r="93" spans="1:16" ht="39" hidden="1" customHeight="1">
      <c r="A93" s="541">
        <v>44985</v>
      </c>
      <c r="B93" s="716">
        <v>44973</v>
      </c>
      <c r="C93" s="145" t="s">
        <v>1721</v>
      </c>
      <c r="D93" s="494" t="s">
        <v>1752</v>
      </c>
      <c r="E93" s="185" t="s">
        <v>762</v>
      </c>
      <c r="F93" s="137" t="s">
        <v>1526</v>
      </c>
      <c r="G93" s="494"/>
      <c r="H93" s="494"/>
      <c r="I93" s="668" t="s">
        <v>1698</v>
      </c>
      <c r="J93" s="970" t="s">
        <v>1722</v>
      </c>
      <c r="K93" s="677" t="str">
        <f>IF(L93=0,"",(INDEX(AccountCodes[ACCOUNT NAME],MATCH(L93,AccountCodes[NGAS CODE],0))))</f>
        <v>Pag-IBIG Contributions</v>
      </c>
      <c r="L93" s="937" t="s">
        <v>176</v>
      </c>
      <c r="M93" s="938">
        <v>200</v>
      </c>
      <c r="N93" s="938"/>
      <c r="O93" s="967" t="s">
        <v>1691</v>
      </c>
      <c r="P93" s="971">
        <f t="shared" si="4"/>
        <v>-58120</v>
      </c>
    </row>
    <row r="94" spans="1:16" ht="39" hidden="1" customHeight="1">
      <c r="A94" s="541">
        <v>44985</v>
      </c>
      <c r="B94" s="716">
        <v>44973</v>
      </c>
      <c r="C94" s="145" t="s">
        <v>1721</v>
      </c>
      <c r="D94" s="494" t="s">
        <v>1752</v>
      </c>
      <c r="E94" s="185" t="s">
        <v>762</v>
      </c>
      <c r="F94" s="137" t="s">
        <v>1526</v>
      </c>
      <c r="G94" s="494"/>
      <c r="H94" s="494"/>
      <c r="I94" s="668" t="s">
        <v>1698</v>
      </c>
      <c r="J94" s="970" t="s">
        <v>1722</v>
      </c>
      <c r="K94" s="677" t="str">
        <f>IF(L94=0,"",(INDEX(AccountCodes[ACCOUNT NAME],MATCH(L94,AccountCodes[NGAS CODE],0))))</f>
        <v>Due to Pag-IBIG - Pag-IBIG Premium</v>
      </c>
      <c r="L94" s="937" t="s">
        <v>1444</v>
      </c>
      <c r="M94" s="938">
        <v>1166.4000000000001</v>
      </c>
      <c r="N94" s="938"/>
      <c r="O94" s="967"/>
      <c r="P94" s="971">
        <f t="shared" si="4"/>
        <v>-56953.599999999999</v>
      </c>
    </row>
    <row r="95" spans="1:16" ht="39" hidden="1" customHeight="1">
      <c r="A95" s="541">
        <v>44985</v>
      </c>
      <c r="B95" s="716">
        <v>44973</v>
      </c>
      <c r="C95" s="145" t="s">
        <v>1721</v>
      </c>
      <c r="D95" s="494" t="s">
        <v>1752</v>
      </c>
      <c r="E95" s="185" t="s">
        <v>762</v>
      </c>
      <c r="F95" s="137" t="s">
        <v>1526</v>
      </c>
      <c r="G95" s="494"/>
      <c r="H95" s="494"/>
      <c r="I95" s="668" t="s">
        <v>1698</v>
      </c>
      <c r="J95" s="970" t="s">
        <v>1722</v>
      </c>
      <c r="K95" s="677" t="str">
        <f>IF(L95=0,"",(INDEX(AccountCodes[ACCOUNT NAME],MATCH(L95,AccountCodes[NGAS CODE],0))))</f>
        <v>Cash in Bank-Local Currency, Current Account - FO</v>
      </c>
      <c r="L95" s="937" t="s">
        <v>1564</v>
      </c>
      <c r="M95" s="938"/>
      <c r="N95" s="938">
        <v>1366.4</v>
      </c>
      <c r="O95" s="967"/>
      <c r="P95" s="971">
        <f t="shared" si="4"/>
        <v>-58320</v>
      </c>
    </row>
    <row r="96" spans="1:16" ht="39" hidden="1" customHeight="1">
      <c r="A96" s="541">
        <v>44985</v>
      </c>
      <c r="B96" s="716">
        <v>44973</v>
      </c>
      <c r="C96" s="494" t="s">
        <v>1724</v>
      </c>
      <c r="D96" s="494" t="s">
        <v>1752</v>
      </c>
      <c r="E96" s="939" t="s">
        <v>762</v>
      </c>
      <c r="F96" s="495" t="s">
        <v>1526</v>
      </c>
      <c r="G96" s="494"/>
      <c r="H96" s="494"/>
      <c r="I96" s="668" t="s">
        <v>1693</v>
      </c>
      <c r="J96" s="970" t="s">
        <v>1723</v>
      </c>
      <c r="K96" s="677" t="str">
        <f>IF(L96=0,"",(INDEX(AccountCodes[ACCOUNT NAME],MATCH(L96,AccountCodes[NGAS CODE],0))))</f>
        <v>Retirement and Life Insurance Premiums</v>
      </c>
      <c r="L96" s="937" t="s">
        <v>175</v>
      </c>
      <c r="M96" s="938">
        <v>6998.4</v>
      </c>
      <c r="N96" s="938"/>
      <c r="O96" s="967" t="s">
        <v>1691</v>
      </c>
      <c r="P96" s="971">
        <f>P42+M96-N96</f>
        <v>6998.4</v>
      </c>
    </row>
    <row r="97" spans="1:16" ht="39" hidden="1" customHeight="1">
      <c r="A97" s="541">
        <v>44985</v>
      </c>
      <c r="B97" s="716">
        <v>44973</v>
      </c>
      <c r="C97" s="494" t="s">
        <v>1724</v>
      </c>
      <c r="D97" s="494" t="s">
        <v>1752</v>
      </c>
      <c r="E97" s="939" t="s">
        <v>762</v>
      </c>
      <c r="F97" s="495" t="s">
        <v>1526</v>
      </c>
      <c r="G97" s="494"/>
      <c r="H97" s="494"/>
      <c r="I97" s="668" t="s">
        <v>1693</v>
      </c>
      <c r="J97" s="970" t="s">
        <v>1723</v>
      </c>
      <c r="K97" s="677" t="str">
        <f>IF(L97=0,"",(INDEX(AccountCodes[ACCOUNT NAME],MATCH(L97,AccountCodes[NGAS CODE],0))))</f>
        <v>Employees Compensation Insurance Premiums</v>
      </c>
      <c r="L97" s="937" t="s">
        <v>178</v>
      </c>
      <c r="M97" s="938">
        <v>200</v>
      </c>
      <c r="N97" s="938"/>
      <c r="O97" s="967"/>
      <c r="P97" s="971">
        <f t="shared" ref="P97:P111" si="5">P96+M97-N97</f>
        <v>7198.4</v>
      </c>
    </row>
    <row r="98" spans="1:16" ht="39" hidden="1" customHeight="1">
      <c r="A98" s="541">
        <v>44985</v>
      </c>
      <c r="B98" s="716">
        <v>44973</v>
      </c>
      <c r="C98" s="494" t="s">
        <v>1724</v>
      </c>
      <c r="D98" s="494" t="s">
        <v>1752</v>
      </c>
      <c r="E98" s="939" t="s">
        <v>762</v>
      </c>
      <c r="F98" s="495" t="s">
        <v>1526</v>
      </c>
      <c r="G98" s="494"/>
      <c r="H98" s="494"/>
      <c r="I98" s="668" t="s">
        <v>1693</v>
      </c>
      <c r="J98" s="970" t="s">
        <v>1723</v>
      </c>
      <c r="K98" s="677" t="str">
        <f>IF(L98=0,"",(INDEX(AccountCodes[ACCOUNT NAME],MATCH(L98,AccountCodes[NGAS CODE],0))))</f>
        <v>Due to GSIS - Life and Retirement Premium</v>
      </c>
      <c r="L98" s="937" t="s">
        <v>1440</v>
      </c>
      <c r="M98" s="938">
        <v>5248.8</v>
      </c>
      <c r="N98" s="938"/>
      <c r="O98" s="967"/>
      <c r="P98" s="971">
        <f t="shared" si="5"/>
        <v>12447.2</v>
      </c>
    </row>
    <row r="99" spans="1:16" ht="39" hidden="1" customHeight="1">
      <c r="A99" s="541">
        <v>44985</v>
      </c>
      <c r="B99" s="716">
        <v>44973</v>
      </c>
      <c r="C99" s="494" t="s">
        <v>1724</v>
      </c>
      <c r="D99" s="494" t="s">
        <v>1752</v>
      </c>
      <c r="E99" s="939" t="s">
        <v>762</v>
      </c>
      <c r="F99" s="495" t="s">
        <v>1526</v>
      </c>
      <c r="G99" s="494"/>
      <c r="H99" s="494"/>
      <c r="I99" s="668" t="s">
        <v>1693</v>
      </c>
      <c r="J99" s="970" t="s">
        <v>1723</v>
      </c>
      <c r="K99" s="677" t="str">
        <f>IF(L99=0,"",(INDEX(AccountCodes[ACCOUNT NAME],MATCH(L99,AccountCodes[NGAS CODE],0))))</f>
        <v>Cash in Bank-Local Currency, Current Account - FO</v>
      </c>
      <c r="L99" s="937" t="s">
        <v>1564</v>
      </c>
      <c r="M99" s="938"/>
      <c r="N99" s="938">
        <v>12447.2</v>
      </c>
      <c r="O99" s="967"/>
      <c r="P99" s="971">
        <f t="shared" si="5"/>
        <v>0</v>
      </c>
    </row>
    <row r="100" spans="1:16" ht="39" hidden="1" customHeight="1">
      <c r="A100" s="541">
        <v>44985</v>
      </c>
      <c r="B100" s="716">
        <v>44973</v>
      </c>
      <c r="C100" s="494" t="s">
        <v>1725</v>
      </c>
      <c r="D100" s="494" t="s">
        <v>1752</v>
      </c>
      <c r="E100" s="939" t="s">
        <v>762</v>
      </c>
      <c r="F100" s="495" t="s">
        <v>1526</v>
      </c>
      <c r="G100" s="494"/>
      <c r="H100" s="494"/>
      <c r="I100" s="560" t="s">
        <v>1680</v>
      </c>
      <c r="J100" s="970" t="s">
        <v>1727</v>
      </c>
      <c r="K100" s="677" t="str">
        <f>IF(L100=0,"",(INDEX(AccountCodes[ACCOUNT NAME],MATCH(L100,AccountCodes[NGAS CODE],0))))</f>
        <v>Due to BIR - Compensation</v>
      </c>
      <c r="L100" s="937" t="s">
        <v>1546</v>
      </c>
      <c r="M100" s="938">
        <v>1330.76</v>
      </c>
      <c r="N100" s="938"/>
      <c r="O100" s="967" t="s">
        <v>1691</v>
      </c>
      <c r="P100" s="971">
        <f t="shared" si="5"/>
        <v>1330.76</v>
      </c>
    </row>
    <row r="101" spans="1:16" ht="39" hidden="1" customHeight="1">
      <c r="A101" s="541">
        <v>44985</v>
      </c>
      <c r="B101" s="716">
        <v>44973</v>
      </c>
      <c r="C101" s="494" t="s">
        <v>1725</v>
      </c>
      <c r="D101" s="494" t="s">
        <v>1752</v>
      </c>
      <c r="E101" s="939" t="s">
        <v>762</v>
      </c>
      <c r="F101" s="495" t="s">
        <v>1526</v>
      </c>
      <c r="G101" s="494"/>
      <c r="H101" s="494"/>
      <c r="I101" s="560" t="s">
        <v>1680</v>
      </c>
      <c r="J101" s="970" t="s">
        <v>1727</v>
      </c>
      <c r="K101" s="677" t="str">
        <f>IF(L101=0,"",(INDEX(AccountCodes[ACCOUNT NAME],MATCH(L101,AccountCodes[NGAS CODE],0))))</f>
        <v>Cash in Bank-Local Currency, Current Account - FO</v>
      </c>
      <c r="L101" s="937" t="s">
        <v>1564</v>
      </c>
      <c r="M101" s="938"/>
      <c r="N101" s="938">
        <v>1330.76</v>
      </c>
      <c r="O101" s="967"/>
      <c r="P101" s="971">
        <f t="shared" si="5"/>
        <v>0</v>
      </c>
    </row>
    <row r="102" spans="1:16" ht="39" hidden="1" customHeight="1">
      <c r="A102" s="541">
        <v>44985</v>
      </c>
      <c r="B102" s="716">
        <v>44973</v>
      </c>
      <c r="C102" s="494" t="s">
        <v>1726</v>
      </c>
      <c r="D102" s="494" t="s">
        <v>1752</v>
      </c>
      <c r="E102" s="939" t="s">
        <v>762</v>
      </c>
      <c r="F102" s="495" t="s">
        <v>1526</v>
      </c>
      <c r="G102" s="494"/>
      <c r="H102" s="494"/>
      <c r="I102" s="560" t="s">
        <v>1698</v>
      </c>
      <c r="J102" s="935" t="s">
        <v>1728</v>
      </c>
      <c r="K102" s="677" t="str">
        <f>IF(L102=0,"",(INDEX(AccountCodes[ACCOUNT NAME],MATCH(L102,AccountCodes[NGAS CODE],0))))</f>
        <v>Due to Pag-IBIG - MP2</v>
      </c>
      <c r="L102" s="937" t="s">
        <v>1508</v>
      </c>
      <c r="M102" s="938">
        <v>4000</v>
      </c>
      <c r="N102" s="938"/>
      <c r="O102" s="967" t="s">
        <v>1691</v>
      </c>
      <c r="P102" s="971">
        <f t="shared" si="5"/>
        <v>4000</v>
      </c>
    </row>
    <row r="103" spans="1:16" ht="39" hidden="1" customHeight="1">
      <c r="A103" s="541">
        <v>44985</v>
      </c>
      <c r="B103" s="716">
        <v>44973</v>
      </c>
      <c r="C103" s="494" t="s">
        <v>1726</v>
      </c>
      <c r="D103" s="494" t="s">
        <v>1752</v>
      </c>
      <c r="E103" s="939" t="s">
        <v>762</v>
      </c>
      <c r="F103" s="495" t="s">
        <v>1526</v>
      </c>
      <c r="G103" s="494"/>
      <c r="H103" s="494"/>
      <c r="I103" s="560" t="s">
        <v>1698</v>
      </c>
      <c r="J103" s="935" t="s">
        <v>1728</v>
      </c>
      <c r="K103" s="677" t="str">
        <f>IF(L103=0,"",(INDEX(AccountCodes[ACCOUNT NAME],MATCH(L103,AccountCodes[NGAS CODE],0))))</f>
        <v>Cash in Bank-Local Currency, Current Account - FO</v>
      </c>
      <c r="L103" s="937" t="s">
        <v>1564</v>
      </c>
      <c r="M103" s="938"/>
      <c r="N103" s="938">
        <v>4000</v>
      </c>
      <c r="O103" s="967"/>
      <c r="P103" s="971">
        <f t="shared" si="5"/>
        <v>0</v>
      </c>
    </row>
    <row r="104" spans="1:16" ht="39" hidden="1" customHeight="1">
      <c r="A104" s="541">
        <v>44985</v>
      </c>
      <c r="B104" s="716">
        <v>44973</v>
      </c>
      <c r="C104" s="494" t="s">
        <v>1729</v>
      </c>
      <c r="D104" s="494" t="s">
        <v>1752</v>
      </c>
      <c r="E104" s="939" t="s">
        <v>762</v>
      </c>
      <c r="F104" s="495" t="s">
        <v>1526</v>
      </c>
      <c r="G104" s="494"/>
      <c r="H104" s="494"/>
      <c r="I104" s="668" t="s">
        <v>1730</v>
      </c>
      <c r="J104" s="970" t="s">
        <v>1731</v>
      </c>
      <c r="K104" s="677" t="str">
        <f>IF(L104=0,"",(INDEX(AccountCodes[ACCOUNT NAME],MATCH(L104,AccountCodes[NGAS CODE],0))))</f>
        <v>PhilHealth Contributions</v>
      </c>
      <c r="L104" s="937" t="s">
        <v>177</v>
      </c>
      <c r="M104" s="938">
        <v>1166.4000000000001</v>
      </c>
      <c r="N104" s="938"/>
      <c r="O104" s="967" t="s">
        <v>1691</v>
      </c>
      <c r="P104" s="971">
        <f t="shared" si="5"/>
        <v>1166.4000000000001</v>
      </c>
    </row>
    <row r="105" spans="1:16" ht="39" hidden="1" customHeight="1">
      <c r="A105" s="541">
        <v>44985</v>
      </c>
      <c r="B105" s="716">
        <v>44973</v>
      </c>
      <c r="C105" s="494" t="s">
        <v>1729</v>
      </c>
      <c r="D105" s="494" t="s">
        <v>1752</v>
      </c>
      <c r="E105" s="939" t="s">
        <v>762</v>
      </c>
      <c r="F105" s="495" t="s">
        <v>1526</v>
      </c>
      <c r="G105" s="494"/>
      <c r="H105" s="494"/>
      <c r="I105" s="668" t="s">
        <v>1730</v>
      </c>
      <c r="J105" s="970" t="s">
        <v>1731</v>
      </c>
      <c r="K105" s="677" t="str">
        <f>IF(L105=0,"",(INDEX(AccountCodes[ACCOUNT NAME],MATCH(L105,AccountCodes[NGAS CODE],0))))</f>
        <v>Due to PhilHealth</v>
      </c>
      <c r="L105" s="937" t="s">
        <v>112</v>
      </c>
      <c r="M105" s="938">
        <v>1166.4000000000001</v>
      </c>
      <c r="N105" s="938"/>
      <c r="O105" s="967"/>
      <c r="P105" s="971">
        <f t="shared" si="5"/>
        <v>2332.8000000000002</v>
      </c>
    </row>
    <row r="106" spans="1:16" ht="39" hidden="1" customHeight="1">
      <c r="A106" s="541">
        <v>44985</v>
      </c>
      <c r="B106" s="716">
        <v>44973</v>
      </c>
      <c r="C106" s="494" t="s">
        <v>1729</v>
      </c>
      <c r="D106" s="494" t="s">
        <v>1752</v>
      </c>
      <c r="E106" s="939" t="s">
        <v>762</v>
      </c>
      <c r="F106" s="495" t="s">
        <v>1526</v>
      </c>
      <c r="G106" s="494"/>
      <c r="H106" s="494"/>
      <c r="I106" s="668" t="s">
        <v>1730</v>
      </c>
      <c r="J106" s="970" t="s">
        <v>1731</v>
      </c>
      <c r="K106" s="677" t="str">
        <f>IF(L106=0,"",(INDEX(AccountCodes[ACCOUNT NAME],MATCH(L106,AccountCodes[NGAS CODE],0))))</f>
        <v>Cash in Bank-Local Currency, Current Account - FO</v>
      </c>
      <c r="L106" s="937" t="s">
        <v>1564</v>
      </c>
      <c r="M106" s="938"/>
      <c r="N106" s="938">
        <v>2332.8000000000002</v>
      </c>
      <c r="O106" s="967"/>
      <c r="P106" s="971">
        <f t="shared" si="5"/>
        <v>0</v>
      </c>
    </row>
    <row r="107" spans="1:16" ht="39" hidden="1" customHeight="1">
      <c r="A107" s="541">
        <v>44985</v>
      </c>
      <c r="B107" s="716">
        <v>44974</v>
      </c>
      <c r="C107" s="494" t="s">
        <v>1732</v>
      </c>
      <c r="D107" s="494" t="s">
        <v>1752</v>
      </c>
      <c r="E107" s="939" t="s">
        <v>762</v>
      </c>
      <c r="F107" s="495" t="s">
        <v>1526</v>
      </c>
      <c r="G107" s="494"/>
      <c r="H107" s="494"/>
      <c r="I107" s="668" t="s">
        <v>1733</v>
      </c>
      <c r="J107" s="970" t="s">
        <v>1734</v>
      </c>
      <c r="K107" s="677" t="str">
        <f>IF(L107=0,"",(INDEX(AccountCodes[ACCOUNT NAME],MATCH(L107,AccountCodes[NGAS CODE],0))))</f>
        <v>Other Maintenance and Operating Expenses - Other Maintenance and Operating Expenses</v>
      </c>
      <c r="L107" s="937" t="s">
        <v>405</v>
      </c>
      <c r="M107" s="938">
        <v>52471.88</v>
      </c>
      <c r="N107" s="938"/>
      <c r="O107" s="976" t="s">
        <v>1735</v>
      </c>
      <c r="P107" s="971">
        <f t="shared" si="5"/>
        <v>52471.88</v>
      </c>
    </row>
    <row r="108" spans="1:16" ht="39" hidden="1" customHeight="1">
      <c r="A108" s="541">
        <v>44985</v>
      </c>
      <c r="B108" s="716">
        <v>44974</v>
      </c>
      <c r="C108" s="494" t="s">
        <v>1732</v>
      </c>
      <c r="D108" s="494" t="s">
        <v>1752</v>
      </c>
      <c r="E108" s="939" t="s">
        <v>762</v>
      </c>
      <c r="F108" s="495" t="s">
        <v>1526</v>
      </c>
      <c r="G108" s="494"/>
      <c r="H108" s="494"/>
      <c r="I108" s="668" t="s">
        <v>1733</v>
      </c>
      <c r="J108" s="970" t="s">
        <v>1734</v>
      </c>
      <c r="K108" s="677" t="str">
        <f>IF(L108=0,"",(INDEX(AccountCodes[ACCOUNT NAME],MATCH(L108,AccountCodes[NGAS CODE],0))))</f>
        <v>Due to Pag-IBIG - Pag-IBIG Premium</v>
      </c>
      <c r="L108" s="937" t="s">
        <v>1444</v>
      </c>
      <c r="M108" s="938"/>
      <c r="N108" s="938">
        <v>2000</v>
      </c>
      <c r="O108" s="967"/>
      <c r="P108" s="971">
        <f t="shared" si="5"/>
        <v>50471.88</v>
      </c>
    </row>
    <row r="109" spans="1:16" ht="39" hidden="1" customHeight="1">
      <c r="A109" s="541">
        <v>44985</v>
      </c>
      <c r="B109" s="716">
        <v>44974</v>
      </c>
      <c r="C109" s="494" t="s">
        <v>1732</v>
      </c>
      <c r="D109" s="494" t="s">
        <v>1752</v>
      </c>
      <c r="E109" s="939" t="s">
        <v>762</v>
      </c>
      <c r="F109" s="495" t="s">
        <v>1526</v>
      </c>
      <c r="G109" s="494"/>
      <c r="H109" s="494"/>
      <c r="I109" s="668" t="s">
        <v>1733</v>
      </c>
      <c r="J109" s="970" t="s">
        <v>1734</v>
      </c>
      <c r="K109" s="677" t="str">
        <f>IF(L109=0,"",(INDEX(AccountCodes[ACCOUNT NAME],MATCH(L109,AccountCodes[NGAS CODE],0))))</f>
        <v>Due to Pag-IBIG - Pag-IBIG Multi-Purpose Loan</v>
      </c>
      <c r="L109" s="937" t="s">
        <v>1445</v>
      </c>
      <c r="M109" s="938"/>
      <c r="N109" s="938">
        <v>1989.56</v>
      </c>
      <c r="O109" s="967"/>
      <c r="P109" s="971">
        <f t="shared" si="5"/>
        <v>48482.32</v>
      </c>
    </row>
    <row r="110" spans="1:16" ht="39" hidden="1" customHeight="1">
      <c r="A110" s="541">
        <v>44985</v>
      </c>
      <c r="B110" s="716">
        <v>44974</v>
      </c>
      <c r="C110" s="494" t="s">
        <v>1732</v>
      </c>
      <c r="D110" s="494" t="s">
        <v>1752</v>
      </c>
      <c r="E110" s="939" t="s">
        <v>762</v>
      </c>
      <c r="F110" s="495" t="s">
        <v>1526</v>
      </c>
      <c r="G110" s="494"/>
      <c r="H110" s="494"/>
      <c r="I110" s="668" t="s">
        <v>1733</v>
      </c>
      <c r="J110" s="970" t="s">
        <v>1734</v>
      </c>
      <c r="K110" s="677" t="str">
        <f>IF(L110=0,"",(INDEX(AccountCodes[ACCOUNT NAME],MATCH(L110,AccountCodes[NGAS CODE],0))))</f>
        <v>Due to PhilHealth</v>
      </c>
      <c r="L110" s="937" t="s">
        <v>112</v>
      </c>
      <c r="M110" s="938"/>
      <c r="N110" s="938">
        <v>3301.96</v>
      </c>
      <c r="O110" s="967"/>
      <c r="P110" s="971">
        <f t="shared" si="5"/>
        <v>45180.36</v>
      </c>
    </row>
    <row r="111" spans="1:16" ht="39" hidden="1" customHeight="1">
      <c r="A111" s="541">
        <v>44985</v>
      </c>
      <c r="B111" s="716">
        <v>44974</v>
      </c>
      <c r="C111" s="494" t="s">
        <v>1732</v>
      </c>
      <c r="D111" s="494" t="s">
        <v>1752</v>
      </c>
      <c r="E111" s="939" t="s">
        <v>762</v>
      </c>
      <c r="F111" s="495" t="s">
        <v>1526</v>
      </c>
      <c r="G111" s="494"/>
      <c r="H111" s="494"/>
      <c r="I111" s="668" t="s">
        <v>1733</v>
      </c>
      <c r="J111" s="970" t="s">
        <v>1734</v>
      </c>
      <c r="K111" s="677" t="str">
        <f>IF(L111=0,"",(INDEX(AccountCodes[ACCOUNT NAME],MATCH(L111,AccountCodes[NGAS CODE],0))))</f>
        <v>Other Payables</v>
      </c>
      <c r="L111" s="937" t="s">
        <v>117</v>
      </c>
      <c r="M111" s="938"/>
      <c r="N111" s="938">
        <v>7191.66</v>
      </c>
      <c r="O111" s="967"/>
      <c r="P111" s="971">
        <f t="shared" si="5"/>
        <v>37988.699999999997</v>
      </c>
    </row>
    <row r="112" spans="1:16" ht="39" hidden="1" customHeight="1">
      <c r="A112" s="541">
        <v>44985</v>
      </c>
      <c r="B112" s="716">
        <v>44974</v>
      </c>
      <c r="C112" s="494" t="s">
        <v>1732</v>
      </c>
      <c r="D112" s="494" t="s">
        <v>1752</v>
      </c>
      <c r="E112" s="939" t="s">
        <v>762</v>
      </c>
      <c r="F112" s="495" t="s">
        <v>1526</v>
      </c>
      <c r="G112" s="494"/>
      <c r="H112" s="494"/>
      <c r="I112" s="668" t="s">
        <v>1733</v>
      </c>
      <c r="J112" s="970" t="s">
        <v>1734</v>
      </c>
      <c r="K112" s="677" t="str">
        <f>IF(L112=0,"",(INDEX(AccountCodes[ACCOUNT NAME],MATCH(L112,AccountCodes[NGAS CODE],0))))</f>
        <v>Cash in Bank-Local Currency, Current Account - FO</v>
      </c>
      <c r="L112" s="937" t="s">
        <v>1564</v>
      </c>
      <c r="M112" s="938"/>
      <c r="N112" s="938">
        <v>37988.699999999997</v>
      </c>
      <c r="O112" s="967"/>
      <c r="P112" s="971">
        <f>P42+M112-N112</f>
        <v>-37988.699999999997</v>
      </c>
    </row>
    <row r="113" spans="1:16" ht="39" hidden="1" customHeight="1">
      <c r="A113" s="541">
        <v>44985</v>
      </c>
      <c r="B113" s="716">
        <v>44978</v>
      </c>
      <c r="C113" s="494" t="s">
        <v>1736</v>
      </c>
      <c r="D113" s="494" t="s">
        <v>1752</v>
      </c>
      <c r="E113" s="939" t="s">
        <v>762</v>
      </c>
      <c r="F113" s="495" t="s">
        <v>1526</v>
      </c>
      <c r="G113" s="494"/>
      <c r="H113" s="494"/>
      <c r="I113" s="560" t="s">
        <v>1716</v>
      </c>
      <c r="J113" s="935" t="s">
        <v>1737</v>
      </c>
      <c r="K113" s="677" t="str">
        <f>IF(L113=0,"",(INDEX(AccountCodes[ACCOUNT NAME],MATCH(L113,AccountCodes[NGAS CODE],0))))</f>
        <v>Clothing/Uniform Allowance</v>
      </c>
      <c r="L113" s="936" t="s">
        <v>167</v>
      </c>
      <c r="M113" s="938">
        <v>12000</v>
      </c>
      <c r="N113" s="938"/>
      <c r="O113" s="954" t="s">
        <v>1691</v>
      </c>
      <c r="P113" s="971">
        <f t="shared" ref="P113:P127" si="6">P112+M113-N113</f>
        <v>-25988.7</v>
      </c>
    </row>
    <row r="114" spans="1:16" ht="39" hidden="1" customHeight="1">
      <c r="A114" s="541">
        <v>44985</v>
      </c>
      <c r="B114" s="716">
        <v>44978</v>
      </c>
      <c r="C114" s="494" t="s">
        <v>1736</v>
      </c>
      <c r="D114" s="494" t="s">
        <v>1752</v>
      </c>
      <c r="E114" s="939" t="s">
        <v>762</v>
      </c>
      <c r="F114" s="495" t="s">
        <v>1526</v>
      </c>
      <c r="G114" s="494"/>
      <c r="H114" s="494"/>
      <c r="I114" s="668" t="s">
        <v>1716</v>
      </c>
      <c r="J114" s="970" t="s">
        <v>1737</v>
      </c>
      <c r="K114" s="677" t="str">
        <f>IF(L114=0,"",(INDEX(AccountCodes[ACCOUNT NAME],MATCH(L114,AccountCodes[NGAS CODE],0))))</f>
        <v>Cash in Bank-Local Currency, Current Account - FO</v>
      </c>
      <c r="L114" s="936" t="s">
        <v>1564</v>
      </c>
      <c r="M114" s="938"/>
      <c r="N114" s="938">
        <v>12000</v>
      </c>
      <c r="O114" s="967"/>
      <c r="P114" s="971">
        <f t="shared" si="6"/>
        <v>-37988.699999999997</v>
      </c>
    </row>
    <row r="115" spans="1:16" ht="39" hidden="1" customHeight="1">
      <c r="A115" s="541">
        <v>44985</v>
      </c>
      <c r="B115" s="716">
        <v>44980</v>
      </c>
      <c r="C115" s="494" t="s">
        <v>1738</v>
      </c>
      <c r="D115" s="494" t="s">
        <v>1752</v>
      </c>
      <c r="E115" s="939" t="s">
        <v>762</v>
      </c>
      <c r="F115" s="495" t="s">
        <v>1526</v>
      </c>
      <c r="G115" s="494"/>
      <c r="H115" s="494"/>
      <c r="I115" s="560" t="s">
        <v>1739</v>
      </c>
      <c r="J115" s="935" t="s">
        <v>1740</v>
      </c>
      <c r="K115" s="677" t="str">
        <f>IF(L115=0,"",(INDEX(AccountCodes[ACCOUNT NAME],MATCH(L115,AccountCodes[NGAS CODE],0))))</f>
        <v>Other Maintenance and Operating Expenses - Other Maintenance and Operating Expenses</v>
      </c>
      <c r="L115" s="936" t="s">
        <v>405</v>
      </c>
      <c r="M115" s="938">
        <v>3603.78</v>
      </c>
      <c r="N115" s="938"/>
      <c r="O115" s="976" t="s">
        <v>1735</v>
      </c>
      <c r="P115" s="971">
        <f t="shared" si="6"/>
        <v>-34384.92</v>
      </c>
    </row>
    <row r="116" spans="1:16" ht="39" hidden="1" customHeight="1">
      <c r="A116" s="541">
        <v>44985</v>
      </c>
      <c r="B116" s="716">
        <v>44980</v>
      </c>
      <c r="C116" s="494" t="s">
        <v>1738</v>
      </c>
      <c r="D116" s="494" t="s">
        <v>1752</v>
      </c>
      <c r="E116" s="939" t="s">
        <v>762</v>
      </c>
      <c r="F116" s="495" t="s">
        <v>1526</v>
      </c>
      <c r="G116" s="494"/>
      <c r="H116" s="494"/>
      <c r="I116" s="668" t="s">
        <v>1739</v>
      </c>
      <c r="J116" s="970" t="s">
        <v>1740</v>
      </c>
      <c r="K116" s="677" t="str">
        <f>IF(L116=0,"",(INDEX(AccountCodes[ACCOUNT NAME],MATCH(L116,AccountCodes[NGAS CODE],0))))</f>
        <v>Due to Pag-IBIG - Pag-IBIG Premium</v>
      </c>
      <c r="L116" s="936" t="s">
        <v>1444</v>
      </c>
      <c r="M116" s="938"/>
      <c r="N116" s="938">
        <v>200</v>
      </c>
      <c r="O116" s="967"/>
      <c r="P116" s="971">
        <f t="shared" si="6"/>
        <v>-34584.92</v>
      </c>
    </row>
    <row r="117" spans="1:16" ht="39" hidden="1" customHeight="1">
      <c r="A117" s="541">
        <v>44985</v>
      </c>
      <c r="B117" s="716">
        <v>44980</v>
      </c>
      <c r="C117" s="494" t="s">
        <v>1738</v>
      </c>
      <c r="D117" s="494" t="s">
        <v>1752</v>
      </c>
      <c r="E117" s="939" t="s">
        <v>762</v>
      </c>
      <c r="F117" s="495" t="s">
        <v>1526</v>
      </c>
      <c r="G117" s="494"/>
      <c r="H117" s="494"/>
      <c r="I117" s="668" t="s">
        <v>1739</v>
      </c>
      <c r="J117" s="970" t="s">
        <v>1740</v>
      </c>
      <c r="K117" s="677" t="str">
        <f>IF(L117=0,"",(INDEX(AccountCodes[ACCOUNT NAME],MATCH(L117,AccountCodes[NGAS CODE],0))))</f>
        <v>Due to PhilHealth</v>
      </c>
      <c r="L117" s="936" t="s">
        <v>112</v>
      </c>
      <c r="M117" s="938"/>
      <c r="N117" s="938">
        <v>528.54999999999995</v>
      </c>
      <c r="O117" s="967"/>
      <c r="P117" s="971">
        <f t="shared" si="6"/>
        <v>-35113.47</v>
      </c>
    </row>
    <row r="118" spans="1:16" ht="39" hidden="1" customHeight="1">
      <c r="A118" s="541">
        <v>44985</v>
      </c>
      <c r="B118" s="716">
        <v>44980</v>
      </c>
      <c r="C118" s="494" t="s">
        <v>1738</v>
      </c>
      <c r="D118" s="494" t="s">
        <v>1752</v>
      </c>
      <c r="E118" s="939" t="s">
        <v>762</v>
      </c>
      <c r="F118" s="495" t="s">
        <v>1526</v>
      </c>
      <c r="G118" s="494"/>
      <c r="H118" s="494"/>
      <c r="I118" s="668" t="s">
        <v>1739</v>
      </c>
      <c r="J118" s="970" t="s">
        <v>1740</v>
      </c>
      <c r="K118" s="677" t="str">
        <f>IF(L118=0,"",(INDEX(AccountCodes[ACCOUNT NAME],MATCH(L118,AccountCodes[NGAS CODE],0))))</f>
        <v>Cash in Bank-Local Currency, Current Account - FO</v>
      </c>
      <c r="L118" s="936" t="s">
        <v>1564</v>
      </c>
      <c r="M118" s="938"/>
      <c r="N118" s="938">
        <v>2875.23</v>
      </c>
      <c r="O118" s="967"/>
      <c r="P118" s="971">
        <f t="shared" si="6"/>
        <v>-37988.699999999997</v>
      </c>
    </row>
    <row r="119" spans="1:16" ht="39" hidden="1" customHeight="1">
      <c r="A119" s="541">
        <v>44985</v>
      </c>
      <c r="B119" s="716">
        <v>44980</v>
      </c>
      <c r="C119" s="145" t="s">
        <v>1741</v>
      </c>
      <c r="D119" s="494" t="s">
        <v>1752</v>
      </c>
      <c r="E119" s="185" t="s">
        <v>762</v>
      </c>
      <c r="F119" s="495" t="s">
        <v>1526</v>
      </c>
      <c r="G119" s="494"/>
      <c r="H119" s="494"/>
      <c r="I119" s="560" t="s">
        <v>1742</v>
      </c>
      <c r="J119" s="935" t="s">
        <v>1743</v>
      </c>
      <c r="K119" s="677" t="str">
        <f>IF(L119=0,"",(INDEX(AccountCodes[ACCOUNT NAME],MATCH(L119,AccountCodes[NGAS CODE],0))))</f>
        <v>Construction in Progress-Infrastructure Assets (Irrigation, Canals and Laterals)</v>
      </c>
      <c r="L119" s="936" t="s">
        <v>82</v>
      </c>
      <c r="M119" s="938">
        <v>3510687.17</v>
      </c>
      <c r="N119" s="938"/>
      <c r="O119" s="972" t="s">
        <v>1744</v>
      </c>
      <c r="P119" s="971">
        <f t="shared" si="6"/>
        <v>3472698.47</v>
      </c>
    </row>
    <row r="120" spans="1:16" ht="39" hidden="1" customHeight="1">
      <c r="A120" s="541">
        <v>44985</v>
      </c>
      <c r="B120" s="716">
        <v>44980</v>
      </c>
      <c r="C120" s="494" t="s">
        <v>1741</v>
      </c>
      <c r="D120" s="494" t="s">
        <v>1752</v>
      </c>
      <c r="E120" s="939" t="s">
        <v>762</v>
      </c>
      <c r="F120" s="495" t="s">
        <v>1526</v>
      </c>
      <c r="G120" s="494"/>
      <c r="H120" s="494"/>
      <c r="I120" s="668" t="s">
        <v>1742</v>
      </c>
      <c r="J120" s="970" t="s">
        <v>1743</v>
      </c>
      <c r="K120" s="677" t="str">
        <f>IF(L120=0,"",(INDEX(AccountCodes[ACCOUNT NAME],MATCH(L120,AccountCodes[NGAS CODE],0))))</f>
        <v>Due to BIR - 5%</v>
      </c>
      <c r="L120" s="936" t="s">
        <v>1548</v>
      </c>
      <c r="M120" s="938"/>
      <c r="N120" s="938">
        <v>156727.10999999999</v>
      </c>
      <c r="O120" s="967"/>
      <c r="P120" s="971">
        <f t="shared" si="6"/>
        <v>3315971.36</v>
      </c>
    </row>
    <row r="121" spans="1:16" ht="39" hidden="1" customHeight="1">
      <c r="A121" s="541">
        <v>44985</v>
      </c>
      <c r="B121" s="716">
        <v>44980</v>
      </c>
      <c r="C121" s="494" t="s">
        <v>1741</v>
      </c>
      <c r="D121" s="494" t="s">
        <v>1752</v>
      </c>
      <c r="E121" s="939" t="s">
        <v>762</v>
      </c>
      <c r="F121" s="495" t="s">
        <v>1526</v>
      </c>
      <c r="G121" s="494"/>
      <c r="H121" s="494"/>
      <c r="I121" s="668" t="s">
        <v>1742</v>
      </c>
      <c r="J121" s="970" t="s">
        <v>1743</v>
      </c>
      <c r="K121" s="677" t="str">
        <f>IF(L121=0,"",(INDEX(AccountCodes[ACCOUNT NAME],MATCH(L121,AccountCodes[NGAS CODE],0))))</f>
        <v>Due to BIR - 2%</v>
      </c>
      <c r="L121" s="936" t="s">
        <v>1550</v>
      </c>
      <c r="M121" s="938"/>
      <c r="N121" s="938">
        <v>62690.84</v>
      </c>
      <c r="O121" s="967"/>
      <c r="P121" s="971">
        <f t="shared" si="6"/>
        <v>3253280.52</v>
      </c>
    </row>
    <row r="122" spans="1:16" ht="39" hidden="1" customHeight="1">
      <c r="A122" s="541">
        <v>44985</v>
      </c>
      <c r="B122" s="716">
        <v>44980</v>
      </c>
      <c r="C122" s="494" t="s">
        <v>1741</v>
      </c>
      <c r="D122" s="494" t="s">
        <v>1752</v>
      </c>
      <c r="E122" s="939" t="s">
        <v>762</v>
      </c>
      <c r="F122" s="495" t="s">
        <v>1526</v>
      </c>
      <c r="G122" s="494"/>
      <c r="H122" s="494"/>
      <c r="I122" s="668" t="s">
        <v>1742</v>
      </c>
      <c r="J122" s="970" t="s">
        <v>1743</v>
      </c>
      <c r="K122" s="677" t="str">
        <f>IF(L122=0,"",(INDEX(AccountCodes[ACCOUNT NAME],MATCH(L122,AccountCodes[NGAS CODE],0))))</f>
        <v>Guaranty/Security Deposits Payable</v>
      </c>
      <c r="L122" s="936" t="s">
        <v>115</v>
      </c>
      <c r="M122" s="938"/>
      <c r="N122" s="938">
        <v>131619.01999999999</v>
      </c>
      <c r="O122" s="967"/>
      <c r="P122" s="971">
        <f t="shared" si="6"/>
        <v>3121661.5</v>
      </c>
    </row>
    <row r="123" spans="1:16" ht="39" hidden="1" customHeight="1">
      <c r="A123" s="541">
        <v>44985</v>
      </c>
      <c r="B123" s="716">
        <v>44980</v>
      </c>
      <c r="C123" s="494" t="s">
        <v>1741</v>
      </c>
      <c r="D123" s="494" t="s">
        <v>1752</v>
      </c>
      <c r="E123" s="939" t="s">
        <v>762</v>
      </c>
      <c r="F123" s="495" t="s">
        <v>1526</v>
      </c>
      <c r="G123" s="494"/>
      <c r="H123" s="494"/>
      <c r="I123" s="668" t="s">
        <v>1742</v>
      </c>
      <c r="J123" s="970" t="s">
        <v>1743</v>
      </c>
      <c r="K123" s="677" t="str">
        <f>IF(L123=0,"",(INDEX(AccountCodes[ACCOUNT NAME],MATCH(L123,AccountCodes[NGAS CODE],0))))</f>
        <v>Advances to Contractors</v>
      </c>
      <c r="L123" s="936" t="s">
        <v>35</v>
      </c>
      <c r="M123" s="938"/>
      <c r="N123" s="938">
        <v>987411.53</v>
      </c>
      <c r="O123" s="967"/>
      <c r="P123" s="971">
        <f t="shared" si="6"/>
        <v>2134249.9700000002</v>
      </c>
    </row>
    <row r="124" spans="1:16" ht="39" hidden="1" customHeight="1">
      <c r="A124" s="541">
        <v>44985</v>
      </c>
      <c r="B124" s="716">
        <v>44980</v>
      </c>
      <c r="C124" s="494" t="s">
        <v>1741</v>
      </c>
      <c r="D124" s="494" t="s">
        <v>1752</v>
      </c>
      <c r="E124" s="939" t="s">
        <v>762</v>
      </c>
      <c r="F124" s="495" t="s">
        <v>1526</v>
      </c>
      <c r="G124" s="494"/>
      <c r="H124" s="494"/>
      <c r="I124" s="668" t="s">
        <v>1742</v>
      </c>
      <c r="J124" s="970" t="s">
        <v>1743</v>
      </c>
      <c r="K124" s="677" t="str">
        <f>IF(L124=0,"",(INDEX(AccountCodes[ACCOUNT NAME],MATCH(L124,AccountCodes[NGAS CODE],0))))</f>
        <v>Cash in Bank-Local Currency, Current Account - FO</v>
      </c>
      <c r="L124" s="936" t="s">
        <v>1564</v>
      </c>
      <c r="M124" s="938"/>
      <c r="N124" s="938">
        <v>2172238.67</v>
      </c>
      <c r="O124" s="967"/>
      <c r="P124" s="971">
        <f t="shared" si="6"/>
        <v>-37988.699999999997</v>
      </c>
    </row>
    <row r="125" spans="1:16" ht="39" hidden="1" customHeight="1">
      <c r="A125" s="541">
        <v>44985</v>
      </c>
      <c r="B125" s="716">
        <v>44985</v>
      </c>
      <c r="C125" s="494" t="s">
        <v>1745</v>
      </c>
      <c r="D125" s="494" t="s">
        <v>1752</v>
      </c>
      <c r="E125" s="939" t="s">
        <v>762</v>
      </c>
      <c r="F125" s="495" t="s">
        <v>1526</v>
      </c>
      <c r="G125" s="494"/>
      <c r="H125" s="494"/>
      <c r="I125" s="560" t="s">
        <v>1746</v>
      </c>
      <c r="J125" s="935" t="s">
        <v>1747</v>
      </c>
      <c r="K125" s="677" t="str">
        <f>IF(L125=0,"",(INDEX(AccountCodes[ACCOUNT NAME],MATCH(L125,AccountCodes[NGAS CODE],0))))</f>
        <v>Traveling Expenses-Local</v>
      </c>
      <c r="L125" s="936" t="s">
        <v>223</v>
      </c>
      <c r="M125" s="938">
        <v>11550.09</v>
      </c>
      <c r="N125" s="938"/>
      <c r="O125" s="976" t="s">
        <v>1735</v>
      </c>
      <c r="P125" s="971">
        <f t="shared" si="6"/>
        <v>-26438.61</v>
      </c>
    </row>
    <row r="126" spans="1:16" ht="39" hidden="1" customHeight="1">
      <c r="A126" s="541">
        <v>44985</v>
      </c>
      <c r="B126" s="716">
        <v>44985</v>
      </c>
      <c r="C126" s="494" t="s">
        <v>1745</v>
      </c>
      <c r="D126" s="494" t="s">
        <v>1752</v>
      </c>
      <c r="E126" s="939" t="s">
        <v>762</v>
      </c>
      <c r="F126" s="495" t="s">
        <v>1526</v>
      </c>
      <c r="G126" s="494"/>
      <c r="H126" s="494"/>
      <c r="I126" s="560" t="s">
        <v>1746</v>
      </c>
      <c r="J126" s="935" t="s">
        <v>1747</v>
      </c>
      <c r="K126" s="677" t="str">
        <f>IF(L126=0,"",(INDEX(AccountCodes[ACCOUNT NAME],MATCH(L126,AccountCodes[NGAS CODE],0))))</f>
        <v>Cash in Bank-Local Currency, Current Account - FO</v>
      </c>
      <c r="L126" s="936" t="s">
        <v>1564</v>
      </c>
      <c r="M126" s="938"/>
      <c r="N126" s="938">
        <v>11550.09</v>
      </c>
      <c r="O126" s="967"/>
      <c r="P126" s="971">
        <f t="shared" si="6"/>
        <v>-37988.699999999997</v>
      </c>
    </row>
    <row r="127" spans="1:16" ht="39" hidden="1" customHeight="1">
      <c r="A127" s="541">
        <v>44985</v>
      </c>
      <c r="B127" s="716">
        <v>44985</v>
      </c>
      <c r="C127" s="145" t="s">
        <v>1748</v>
      </c>
      <c r="D127" s="494" t="s">
        <v>1752</v>
      </c>
      <c r="E127" s="939" t="s">
        <v>762</v>
      </c>
      <c r="F127" s="495" t="s">
        <v>1526</v>
      </c>
      <c r="G127" s="494"/>
      <c r="H127" s="494"/>
      <c r="I127" s="560" t="s">
        <v>1680</v>
      </c>
      <c r="J127" s="935" t="s">
        <v>1750</v>
      </c>
      <c r="K127" s="677" t="str">
        <f>IF(L127=0,"",(INDEX(AccountCodes[ACCOUNT NAME],MATCH(L127,AccountCodes[NGAS CODE],0))))</f>
        <v>Due to BIR - 2%</v>
      </c>
      <c r="L127" s="936" t="s">
        <v>1550</v>
      </c>
      <c r="M127" s="938">
        <v>62690.84</v>
      </c>
      <c r="N127" s="938"/>
      <c r="O127" s="976" t="s">
        <v>1744</v>
      </c>
      <c r="P127" s="971">
        <f t="shared" si="6"/>
        <v>24702.14</v>
      </c>
    </row>
    <row r="128" spans="1:16" ht="39" hidden="1" customHeight="1">
      <c r="A128" s="541">
        <v>44985</v>
      </c>
      <c r="B128" s="716">
        <v>44985</v>
      </c>
      <c r="C128" s="145" t="s">
        <v>1748</v>
      </c>
      <c r="D128" s="494" t="s">
        <v>1752</v>
      </c>
      <c r="E128" s="939" t="s">
        <v>762</v>
      </c>
      <c r="F128" s="495" t="s">
        <v>1526</v>
      </c>
      <c r="G128" s="494"/>
      <c r="H128" s="494"/>
      <c r="I128" s="668" t="s">
        <v>1680</v>
      </c>
      <c r="J128" s="970" t="s">
        <v>1750</v>
      </c>
      <c r="K128" s="677" t="str">
        <f>IF(L128=0,"",(INDEX(AccountCodes[ACCOUNT NAME],MATCH(L128,AccountCodes[NGAS CODE],0))))</f>
        <v>Cash in Bank-Local Currency, Current Account - FO</v>
      </c>
      <c r="L128" s="936" t="s">
        <v>1564</v>
      </c>
      <c r="M128" s="938"/>
      <c r="N128" s="938">
        <v>62690.84</v>
      </c>
      <c r="O128" s="967"/>
      <c r="P128" s="971">
        <f>P42+M128-N128</f>
        <v>-62690.84</v>
      </c>
    </row>
    <row r="129" spans="1:16" ht="39" hidden="1" customHeight="1">
      <c r="A129" s="541">
        <v>44985</v>
      </c>
      <c r="B129" s="716">
        <v>44985</v>
      </c>
      <c r="C129" s="145" t="s">
        <v>1749</v>
      </c>
      <c r="D129" s="494" t="s">
        <v>1752</v>
      </c>
      <c r="E129" s="939" t="s">
        <v>762</v>
      </c>
      <c r="F129" s="495" t="s">
        <v>1526</v>
      </c>
      <c r="G129" s="494"/>
      <c r="H129" s="494"/>
      <c r="I129" s="668" t="s">
        <v>1680</v>
      </c>
      <c r="J129" s="970" t="s">
        <v>1751</v>
      </c>
      <c r="K129" s="677" t="str">
        <f>IF(L129=0,"",(INDEX(AccountCodes[ACCOUNT NAME],MATCH(L129,AccountCodes[NGAS CODE],0))))</f>
        <v>Due to BIR - 5%</v>
      </c>
      <c r="L129" s="936" t="s">
        <v>1548</v>
      </c>
      <c r="M129" s="938">
        <v>156727.10999999999</v>
      </c>
      <c r="N129" s="938"/>
      <c r="O129" s="976" t="s">
        <v>1744</v>
      </c>
      <c r="P129" s="971">
        <f>P128+M129-N129</f>
        <v>94036.27</v>
      </c>
    </row>
    <row r="130" spans="1:16" ht="39" hidden="1" customHeight="1">
      <c r="A130" s="541">
        <v>44985</v>
      </c>
      <c r="B130" s="716">
        <v>44985</v>
      </c>
      <c r="C130" s="145" t="s">
        <v>1749</v>
      </c>
      <c r="D130" s="494" t="s">
        <v>1752</v>
      </c>
      <c r="E130" s="939" t="s">
        <v>762</v>
      </c>
      <c r="F130" s="495" t="s">
        <v>1526</v>
      </c>
      <c r="G130" s="494"/>
      <c r="H130" s="494"/>
      <c r="I130" s="668" t="s">
        <v>1680</v>
      </c>
      <c r="J130" s="970" t="s">
        <v>1751</v>
      </c>
      <c r="K130" s="677" t="str">
        <f>IF(L130=0,"",(INDEX(AccountCodes[ACCOUNT NAME],MATCH(L130,AccountCodes[NGAS CODE],0))))</f>
        <v>Cash in Bank-Local Currency, Current Account - FO</v>
      </c>
      <c r="L130" s="936" t="s">
        <v>1564</v>
      </c>
      <c r="M130" s="938"/>
      <c r="N130" s="938">
        <v>156727.10999999999</v>
      </c>
      <c r="O130" s="967"/>
      <c r="P130" s="971">
        <f>P129+M130-N130</f>
        <v>-62690.84</v>
      </c>
    </row>
    <row r="131" spans="1:16" ht="39" hidden="1" customHeight="1">
      <c r="A131" s="541">
        <v>45016</v>
      </c>
      <c r="B131" s="716" t="s">
        <v>1753</v>
      </c>
      <c r="C131" s="494" t="s">
        <v>1753</v>
      </c>
      <c r="D131" s="494" t="s">
        <v>1754</v>
      </c>
      <c r="E131" s="939" t="s">
        <v>762</v>
      </c>
      <c r="F131" s="495" t="s">
        <v>1526</v>
      </c>
      <c r="G131" s="494"/>
      <c r="H131" s="494"/>
      <c r="I131" s="668" t="s">
        <v>1755</v>
      </c>
      <c r="J131" s="935" t="s">
        <v>1756</v>
      </c>
      <c r="K131" s="677" t="str">
        <f>IF(L131=0,"",(INDEX(AccountCodes[ACCOUNT NAME],MATCH(L131,AccountCodes[NGAS CODE],0))))</f>
        <v>Other Maintenance and Operating Expenses - Other Maintenance and Operating Expenses</v>
      </c>
      <c r="L131" s="937" t="s">
        <v>405</v>
      </c>
      <c r="M131" s="938">
        <v>45011.99</v>
      </c>
      <c r="N131" s="938"/>
      <c r="O131" s="976" t="s">
        <v>1735</v>
      </c>
      <c r="P131" s="971">
        <f>P130+M131-N131</f>
        <v>-17678.849999999999</v>
      </c>
    </row>
    <row r="132" spans="1:16" ht="39" hidden="1" customHeight="1">
      <c r="A132" s="541">
        <v>45016</v>
      </c>
      <c r="B132" s="716" t="s">
        <v>1753</v>
      </c>
      <c r="C132" s="494" t="s">
        <v>1753</v>
      </c>
      <c r="D132" s="494" t="s">
        <v>1754</v>
      </c>
      <c r="E132" s="939" t="s">
        <v>762</v>
      </c>
      <c r="F132" s="495" t="s">
        <v>1526</v>
      </c>
      <c r="G132" s="494"/>
      <c r="H132" s="494"/>
      <c r="I132" s="668" t="s">
        <v>1755</v>
      </c>
      <c r="J132" s="935" t="s">
        <v>1756</v>
      </c>
      <c r="K132" s="677" t="str">
        <f>IF(L132=0,"",(INDEX(AccountCodes[ACCOUNT NAME],MATCH(L132,AccountCodes[NGAS CODE],0))))</f>
        <v>Due to PhilHealth</v>
      </c>
      <c r="L132" s="937" t="s">
        <v>112</v>
      </c>
      <c r="M132" s="938"/>
      <c r="N132" s="938">
        <v>3830.51</v>
      </c>
      <c r="O132" s="967"/>
      <c r="P132" s="971">
        <f t="shared" ref="P132:P143" si="7">P131+M132-N132</f>
        <v>-21509.360000000001</v>
      </c>
    </row>
    <row r="133" spans="1:16" ht="39" hidden="1" customHeight="1">
      <c r="A133" s="541">
        <v>45016</v>
      </c>
      <c r="B133" s="716" t="s">
        <v>1753</v>
      </c>
      <c r="C133" s="494" t="s">
        <v>1753</v>
      </c>
      <c r="D133" s="494" t="s">
        <v>1754</v>
      </c>
      <c r="E133" s="939" t="s">
        <v>762</v>
      </c>
      <c r="F133" s="495" t="s">
        <v>1526</v>
      </c>
      <c r="G133" s="494"/>
      <c r="H133" s="494"/>
      <c r="I133" s="668" t="s">
        <v>1755</v>
      </c>
      <c r="J133" s="935" t="s">
        <v>1756</v>
      </c>
      <c r="K133" s="677" t="str">
        <f>IF(L133=0,"",(INDEX(AccountCodes[ACCOUNT NAME],MATCH(L133,AccountCodes[NGAS CODE],0))))</f>
        <v>Other Payables</v>
      </c>
      <c r="L133" s="937" t="s">
        <v>117</v>
      </c>
      <c r="M133" s="938"/>
      <c r="N133" s="938">
        <v>7129.16</v>
      </c>
      <c r="O133" s="967"/>
      <c r="P133" s="971">
        <f t="shared" si="7"/>
        <v>-28638.52</v>
      </c>
    </row>
    <row r="134" spans="1:16" ht="39" hidden="1" customHeight="1">
      <c r="A134" s="541">
        <v>45016</v>
      </c>
      <c r="B134" s="716" t="s">
        <v>1753</v>
      </c>
      <c r="C134" s="494" t="s">
        <v>1753</v>
      </c>
      <c r="D134" s="494" t="s">
        <v>1754</v>
      </c>
      <c r="E134" s="939" t="s">
        <v>762</v>
      </c>
      <c r="F134" s="495" t="s">
        <v>1526</v>
      </c>
      <c r="G134" s="494"/>
      <c r="H134" s="494"/>
      <c r="I134" s="668" t="s">
        <v>1755</v>
      </c>
      <c r="J134" s="935" t="s">
        <v>1756</v>
      </c>
      <c r="K134" s="677" t="str">
        <f>IF(L134=0,"",(INDEX(AccountCodes[ACCOUNT NAME],MATCH(L134,AccountCodes[NGAS CODE],0))))</f>
        <v>Cash in Bank-Local Currency, Current Account - FO</v>
      </c>
      <c r="L134" s="937" t="s">
        <v>1564</v>
      </c>
      <c r="M134" s="938"/>
      <c r="N134" s="938">
        <v>34052.32</v>
      </c>
      <c r="O134" s="967"/>
      <c r="P134" s="971">
        <f t="shared" si="7"/>
        <v>-62690.84</v>
      </c>
    </row>
    <row r="135" spans="1:16" ht="39" hidden="1" customHeight="1">
      <c r="A135" s="541">
        <v>45016</v>
      </c>
      <c r="B135" s="716">
        <v>44988</v>
      </c>
      <c r="C135" s="145" t="s">
        <v>1757</v>
      </c>
      <c r="D135" s="494" t="s">
        <v>1754</v>
      </c>
      <c r="E135" s="185" t="s">
        <v>762</v>
      </c>
      <c r="F135" s="137" t="s">
        <v>1526</v>
      </c>
      <c r="G135" s="494"/>
      <c r="H135" s="494"/>
      <c r="I135" s="560" t="s">
        <v>1648</v>
      </c>
      <c r="J135" s="935" t="s">
        <v>1758</v>
      </c>
      <c r="K135" s="677" t="str">
        <f>IF(L135=0,"",(INDEX(AccountCodes[ACCOUNT NAME],MATCH(L135,AccountCodes[NGAS CODE],0))))</f>
        <v>Construction in Progress-Infrastructure Assets (Irrigation, Canals and Laterals)</v>
      </c>
      <c r="L135" s="936" t="s">
        <v>82</v>
      </c>
      <c r="M135" s="938">
        <v>1569301.47</v>
      </c>
      <c r="N135" s="938"/>
      <c r="O135" s="972" t="s">
        <v>1690</v>
      </c>
      <c r="P135" s="971">
        <f t="shared" si="7"/>
        <v>1506610.63</v>
      </c>
    </row>
    <row r="136" spans="1:16" ht="39" hidden="1" customHeight="1">
      <c r="A136" s="541">
        <v>45016</v>
      </c>
      <c r="B136" s="716">
        <v>44988</v>
      </c>
      <c r="C136" s="145" t="s">
        <v>1757</v>
      </c>
      <c r="D136" s="494" t="s">
        <v>1754</v>
      </c>
      <c r="E136" s="185" t="s">
        <v>762</v>
      </c>
      <c r="F136" s="137" t="s">
        <v>1526</v>
      </c>
      <c r="G136" s="494"/>
      <c r="H136" s="494"/>
      <c r="I136" s="560" t="s">
        <v>1648</v>
      </c>
      <c r="J136" s="935" t="s">
        <v>1758</v>
      </c>
      <c r="K136" s="677" t="str">
        <f>IF(L136=0,"",(INDEX(AccountCodes[ACCOUNT NAME],MATCH(L136,AccountCodes[NGAS CODE],0))))</f>
        <v>Due to BIR - 5%</v>
      </c>
      <c r="L136" s="936" t="s">
        <v>1548</v>
      </c>
      <c r="M136" s="938"/>
      <c r="N136" s="938">
        <v>70058.100000000006</v>
      </c>
      <c r="O136" s="967"/>
      <c r="P136" s="971">
        <f t="shared" si="7"/>
        <v>1436552.53</v>
      </c>
    </row>
    <row r="137" spans="1:16" ht="39" hidden="1" customHeight="1">
      <c r="A137" s="541">
        <v>45016</v>
      </c>
      <c r="B137" s="716">
        <v>44988</v>
      </c>
      <c r="C137" s="145" t="s">
        <v>1757</v>
      </c>
      <c r="D137" s="494" t="s">
        <v>1754</v>
      </c>
      <c r="E137" s="185" t="s">
        <v>762</v>
      </c>
      <c r="F137" s="137" t="s">
        <v>1526</v>
      </c>
      <c r="G137" s="494"/>
      <c r="H137" s="494"/>
      <c r="I137" s="560" t="s">
        <v>1648</v>
      </c>
      <c r="J137" s="935" t="s">
        <v>1758</v>
      </c>
      <c r="K137" s="677" t="str">
        <f>IF(L137=0,"",(INDEX(AccountCodes[ACCOUNT NAME],MATCH(L137,AccountCodes[NGAS CODE],0))))</f>
        <v>Due to BIR - 2%</v>
      </c>
      <c r="L137" s="936" t="s">
        <v>1550</v>
      </c>
      <c r="M137" s="938"/>
      <c r="N137" s="938">
        <v>28023.24</v>
      </c>
      <c r="O137" s="967"/>
      <c r="P137" s="971">
        <f t="shared" si="7"/>
        <v>1408529.29</v>
      </c>
    </row>
    <row r="138" spans="1:16" ht="39" hidden="1" customHeight="1">
      <c r="A138" s="541">
        <v>45016</v>
      </c>
      <c r="B138" s="716">
        <v>44988</v>
      </c>
      <c r="C138" s="145" t="s">
        <v>1757</v>
      </c>
      <c r="D138" s="494" t="s">
        <v>1754</v>
      </c>
      <c r="E138" s="185" t="s">
        <v>762</v>
      </c>
      <c r="F138" s="137" t="s">
        <v>1526</v>
      </c>
      <c r="G138" s="494"/>
      <c r="H138" s="494"/>
      <c r="I138" s="560" t="s">
        <v>1648</v>
      </c>
      <c r="J138" s="935" t="s">
        <v>1758</v>
      </c>
      <c r="K138" s="677" t="str">
        <f>IF(L138=0,"",(INDEX(AccountCodes[ACCOUNT NAME],MATCH(L138,AccountCodes[NGAS CODE],0))))</f>
        <v>Guaranty/Security Deposits Payable</v>
      </c>
      <c r="L138" s="936" t="s">
        <v>115</v>
      </c>
      <c r="M138" s="938"/>
      <c r="N138" s="938">
        <v>143647.47</v>
      </c>
      <c r="O138" s="967"/>
      <c r="P138" s="971">
        <f t="shared" si="7"/>
        <v>1264881.82</v>
      </c>
    </row>
    <row r="139" spans="1:16" ht="39" hidden="1" customHeight="1">
      <c r="A139" s="541">
        <v>45016</v>
      </c>
      <c r="B139" s="716">
        <v>44988</v>
      </c>
      <c r="C139" s="145" t="s">
        <v>1757</v>
      </c>
      <c r="D139" s="494" t="s">
        <v>1754</v>
      </c>
      <c r="E139" s="185" t="s">
        <v>762</v>
      </c>
      <c r="F139" s="137" t="s">
        <v>1526</v>
      </c>
      <c r="G139" s="494"/>
      <c r="H139" s="494"/>
      <c r="I139" s="560" t="s">
        <v>1648</v>
      </c>
      <c r="J139" s="935" t="s">
        <v>1758</v>
      </c>
      <c r="K139" s="677" t="str">
        <f>IF(L139=0,"",(INDEX(AccountCodes[ACCOUNT NAME],MATCH(L139,AccountCodes[NGAS CODE],0))))</f>
        <v>Advances to Contractors</v>
      </c>
      <c r="L139" s="936" t="s">
        <v>35</v>
      </c>
      <c r="M139" s="938"/>
      <c r="N139" s="938">
        <v>231178.79</v>
      </c>
      <c r="O139" s="967"/>
      <c r="P139" s="971">
        <f t="shared" si="7"/>
        <v>1033703.03</v>
      </c>
    </row>
    <row r="140" spans="1:16" ht="39" hidden="1" customHeight="1">
      <c r="A140" s="541">
        <v>45016</v>
      </c>
      <c r="B140" s="716">
        <v>44988</v>
      </c>
      <c r="C140" s="145" t="s">
        <v>1757</v>
      </c>
      <c r="D140" s="494" t="s">
        <v>1754</v>
      </c>
      <c r="E140" s="185" t="s">
        <v>762</v>
      </c>
      <c r="F140" s="137" t="s">
        <v>1526</v>
      </c>
      <c r="G140" s="494"/>
      <c r="H140" s="494"/>
      <c r="I140" s="560" t="s">
        <v>1648</v>
      </c>
      <c r="J140" s="935" t="s">
        <v>1758</v>
      </c>
      <c r="K140" s="677" t="str">
        <f>IF(L140=0,"",(INDEX(AccountCodes[ACCOUNT NAME],MATCH(L140,AccountCodes[NGAS CODE],0))))</f>
        <v>Cash in Bank-Local Currency, Current Account - FO</v>
      </c>
      <c r="L140" s="936" t="s">
        <v>1564</v>
      </c>
      <c r="M140" s="938"/>
      <c r="N140" s="938">
        <v>1096393.8700000001</v>
      </c>
      <c r="O140" s="967"/>
      <c r="P140" s="971">
        <f t="shared" si="7"/>
        <v>-62690.84</v>
      </c>
    </row>
    <row r="141" spans="1:16" ht="39" hidden="1" customHeight="1">
      <c r="A141" s="541">
        <v>45016</v>
      </c>
      <c r="B141" s="716">
        <v>44995</v>
      </c>
      <c r="C141" s="145" t="s">
        <v>1759</v>
      </c>
      <c r="D141" s="494" t="s">
        <v>1754</v>
      </c>
      <c r="E141" s="185" t="s">
        <v>762</v>
      </c>
      <c r="F141" s="137" t="s">
        <v>1526</v>
      </c>
      <c r="G141" s="494"/>
      <c r="H141" s="494"/>
      <c r="I141" s="560" t="s">
        <v>1760</v>
      </c>
      <c r="J141" s="935" t="s">
        <v>1786</v>
      </c>
      <c r="K141" s="677" t="str">
        <f>IF(L141=0,"",(INDEX(AccountCodes[ACCOUNT NAME],MATCH(L141,AccountCodes[NGAS CODE],0))))</f>
        <v>Fuel, Oil and Lubricants Expenses</v>
      </c>
      <c r="L141" s="936" t="s">
        <v>229</v>
      </c>
      <c r="M141" s="938">
        <v>3880.5</v>
      </c>
      <c r="N141" s="938"/>
      <c r="O141" s="972" t="s">
        <v>1735</v>
      </c>
      <c r="P141" s="971">
        <f t="shared" si="7"/>
        <v>-58810.34</v>
      </c>
    </row>
    <row r="142" spans="1:16" ht="39" hidden="1" customHeight="1">
      <c r="A142" s="541">
        <v>45016</v>
      </c>
      <c r="B142" s="716">
        <v>44995</v>
      </c>
      <c r="C142" s="145" t="s">
        <v>1759</v>
      </c>
      <c r="D142" s="494" t="s">
        <v>1754</v>
      </c>
      <c r="E142" s="185" t="s">
        <v>762</v>
      </c>
      <c r="F142" s="137" t="s">
        <v>1526</v>
      </c>
      <c r="G142" s="494"/>
      <c r="H142" s="494"/>
      <c r="I142" s="560" t="s">
        <v>1760</v>
      </c>
      <c r="J142" s="935" t="s">
        <v>1786</v>
      </c>
      <c r="K142" s="677" t="str">
        <f>IF(L142=0,"",(INDEX(AccountCodes[ACCOUNT NAME],MATCH(L142,AccountCodes[NGAS CODE],0))))</f>
        <v>Due to BIR - 1%</v>
      </c>
      <c r="L142" s="936" t="s">
        <v>1554</v>
      </c>
      <c r="M142" s="938"/>
      <c r="N142" s="938">
        <v>34.65</v>
      </c>
      <c r="O142" s="967"/>
      <c r="P142" s="971">
        <f t="shared" si="7"/>
        <v>-58844.99</v>
      </c>
    </row>
    <row r="143" spans="1:16" ht="39" hidden="1" customHeight="1">
      <c r="A143" s="541">
        <v>45016</v>
      </c>
      <c r="B143" s="716">
        <v>44995</v>
      </c>
      <c r="C143" s="145" t="s">
        <v>1759</v>
      </c>
      <c r="D143" s="494" t="s">
        <v>1754</v>
      </c>
      <c r="E143" s="185" t="s">
        <v>762</v>
      </c>
      <c r="F143" s="137" t="s">
        <v>1526</v>
      </c>
      <c r="G143" s="494"/>
      <c r="H143" s="494"/>
      <c r="I143" s="560" t="s">
        <v>1760</v>
      </c>
      <c r="J143" s="935" t="s">
        <v>1786</v>
      </c>
      <c r="K143" s="677" t="str">
        <f>IF(L143=0,"",(INDEX(AccountCodes[ACCOUNT NAME],MATCH(L143,AccountCodes[NGAS CODE],0))))</f>
        <v>Due to BIR - 5%</v>
      </c>
      <c r="L143" s="936" t="s">
        <v>1548</v>
      </c>
      <c r="M143" s="938"/>
      <c r="N143" s="938">
        <v>173.24</v>
      </c>
      <c r="O143" s="967"/>
      <c r="P143" s="971">
        <f t="shared" si="7"/>
        <v>-59018.23</v>
      </c>
    </row>
    <row r="144" spans="1:16" ht="39" hidden="1" customHeight="1">
      <c r="A144" s="541">
        <v>45016</v>
      </c>
      <c r="B144" s="716">
        <v>44995</v>
      </c>
      <c r="C144" s="145" t="s">
        <v>1759</v>
      </c>
      <c r="D144" s="494" t="s">
        <v>1754</v>
      </c>
      <c r="E144" s="185" t="s">
        <v>762</v>
      </c>
      <c r="F144" s="137" t="s">
        <v>1526</v>
      </c>
      <c r="G144" s="494"/>
      <c r="H144" s="494"/>
      <c r="I144" s="560" t="s">
        <v>1760</v>
      </c>
      <c r="J144" s="935" t="s">
        <v>1786</v>
      </c>
      <c r="K144" s="677" t="str">
        <f>IF(L144=0,"",(INDEX(AccountCodes[ACCOUNT NAME],MATCH(L144,AccountCodes[NGAS CODE],0))))</f>
        <v>Cash in Bank-Local Currency, Current Account - FO</v>
      </c>
      <c r="L144" s="936" t="s">
        <v>1564</v>
      </c>
      <c r="M144" s="938"/>
      <c r="N144" s="938">
        <v>3672.61</v>
      </c>
      <c r="O144" s="967"/>
      <c r="P144" s="971">
        <f>P131+M144-N144</f>
        <v>-21351.46</v>
      </c>
    </row>
    <row r="145" spans="1:16" ht="39" hidden="1" customHeight="1">
      <c r="A145" s="541">
        <v>45016</v>
      </c>
      <c r="B145" s="716">
        <v>44995</v>
      </c>
      <c r="C145" s="145" t="s">
        <v>1761</v>
      </c>
      <c r="D145" s="494" t="s">
        <v>1754</v>
      </c>
      <c r="E145" s="185" t="s">
        <v>762</v>
      </c>
      <c r="F145" s="137" t="s">
        <v>1526</v>
      </c>
      <c r="G145" s="494"/>
      <c r="H145" s="494"/>
      <c r="I145" s="560" t="s">
        <v>1673</v>
      </c>
      <c r="J145" s="935" t="s">
        <v>1762</v>
      </c>
      <c r="K145" s="677" t="str">
        <f>IF(L145=0,"",(INDEX(AccountCodes[ACCOUNT NAME],MATCH(L145,AccountCodes[NGAS CODE],0))))</f>
        <v>Training Expenses</v>
      </c>
      <c r="L145" s="936" t="s">
        <v>224</v>
      </c>
      <c r="M145" s="938">
        <v>13125</v>
      </c>
      <c r="N145" s="938"/>
      <c r="O145" s="954" t="s">
        <v>1763</v>
      </c>
      <c r="P145" s="971">
        <f t="shared" ref="P145:P155" si="8">P144+M145-N145</f>
        <v>-8226.4599999999991</v>
      </c>
    </row>
    <row r="146" spans="1:16" ht="39" hidden="1" customHeight="1">
      <c r="A146" s="541">
        <v>45016</v>
      </c>
      <c r="B146" s="716">
        <v>44995</v>
      </c>
      <c r="C146" s="145" t="s">
        <v>1761</v>
      </c>
      <c r="D146" s="494" t="s">
        <v>1754</v>
      </c>
      <c r="E146" s="185" t="s">
        <v>762</v>
      </c>
      <c r="F146" s="137" t="s">
        <v>1526</v>
      </c>
      <c r="G146" s="494"/>
      <c r="H146" s="494"/>
      <c r="I146" s="560" t="s">
        <v>1673</v>
      </c>
      <c r="J146" s="935" t="s">
        <v>1762</v>
      </c>
      <c r="K146" s="677" t="str">
        <f>IF(L146=0,"",(INDEX(AccountCodes[ACCOUNT NAME],MATCH(L146,AccountCodes[NGAS CODE],0))))</f>
        <v>Due to BIR - 2%</v>
      </c>
      <c r="L146" s="936" t="s">
        <v>1550</v>
      </c>
      <c r="M146" s="938"/>
      <c r="N146" s="938">
        <v>131.25</v>
      </c>
      <c r="O146" s="967"/>
      <c r="P146" s="971">
        <f t="shared" si="8"/>
        <v>-8357.7099999999991</v>
      </c>
    </row>
    <row r="147" spans="1:16" ht="39" hidden="1" customHeight="1">
      <c r="A147" s="541">
        <v>45016</v>
      </c>
      <c r="B147" s="716">
        <v>44995</v>
      </c>
      <c r="C147" s="145" t="s">
        <v>1761</v>
      </c>
      <c r="D147" s="494" t="s">
        <v>1754</v>
      </c>
      <c r="E147" s="185" t="s">
        <v>762</v>
      </c>
      <c r="F147" s="137" t="s">
        <v>1526</v>
      </c>
      <c r="G147" s="494"/>
      <c r="H147" s="494"/>
      <c r="I147" s="560" t="s">
        <v>1673</v>
      </c>
      <c r="J147" s="935" t="s">
        <v>1762</v>
      </c>
      <c r="K147" s="677" t="str">
        <f>IF(L147=0,"",(INDEX(AccountCodes[ACCOUNT NAME],MATCH(L147,AccountCodes[NGAS CODE],0))))</f>
        <v>Due to BIR - 5%</v>
      </c>
      <c r="L147" s="936" t="s">
        <v>1548</v>
      </c>
      <c r="M147" s="938"/>
      <c r="N147" s="938">
        <v>262.5</v>
      </c>
      <c r="O147" s="967"/>
      <c r="P147" s="971">
        <f t="shared" si="8"/>
        <v>-8620.2099999999991</v>
      </c>
    </row>
    <row r="148" spans="1:16" ht="39" hidden="1" customHeight="1">
      <c r="A148" s="541">
        <v>45016</v>
      </c>
      <c r="B148" s="716">
        <v>44995</v>
      </c>
      <c r="C148" s="145" t="s">
        <v>1761</v>
      </c>
      <c r="D148" s="494" t="s">
        <v>1754</v>
      </c>
      <c r="E148" s="185" t="s">
        <v>762</v>
      </c>
      <c r="F148" s="137" t="s">
        <v>1526</v>
      </c>
      <c r="G148" s="494"/>
      <c r="H148" s="494"/>
      <c r="I148" s="560" t="s">
        <v>1673</v>
      </c>
      <c r="J148" s="935" t="s">
        <v>1762</v>
      </c>
      <c r="K148" s="677" t="str">
        <f>IF(L148=0,"",(INDEX(AccountCodes[ACCOUNT NAME],MATCH(L148,AccountCodes[NGAS CODE],0))))</f>
        <v>Cash in Bank-Local Currency, Current Account - FO</v>
      </c>
      <c r="L148" s="936" t="s">
        <v>1564</v>
      </c>
      <c r="M148" s="938"/>
      <c r="N148" s="938">
        <v>12731.25</v>
      </c>
      <c r="O148" s="967"/>
      <c r="P148" s="971">
        <f t="shared" si="8"/>
        <v>-21351.46</v>
      </c>
    </row>
    <row r="149" spans="1:16" ht="39" hidden="1" customHeight="1">
      <c r="A149" s="541">
        <v>45016</v>
      </c>
      <c r="B149" s="716">
        <v>44995</v>
      </c>
      <c r="C149" s="145" t="s">
        <v>1764</v>
      </c>
      <c r="D149" s="494" t="s">
        <v>1754</v>
      </c>
      <c r="E149" s="185" t="s">
        <v>762</v>
      </c>
      <c r="F149" s="137" t="s">
        <v>1526</v>
      </c>
      <c r="G149" s="494"/>
      <c r="H149" s="494"/>
      <c r="I149" s="560" t="s">
        <v>1765</v>
      </c>
      <c r="J149" s="935" t="s">
        <v>1766</v>
      </c>
      <c r="K149" s="677" t="str">
        <f>IF(L149=0,"",(INDEX(AccountCodes[ACCOUNT NAME],MATCH(L149,AccountCodes[NGAS CODE],0))))</f>
        <v>Training Expenses</v>
      </c>
      <c r="L149" s="936" t="s">
        <v>224</v>
      </c>
      <c r="M149" s="938">
        <v>599440</v>
      </c>
      <c r="N149" s="938"/>
      <c r="O149" s="954" t="s">
        <v>1763</v>
      </c>
      <c r="P149" s="971">
        <f t="shared" si="8"/>
        <v>578088.54</v>
      </c>
    </row>
    <row r="150" spans="1:16" ht="39" hidden="1" customHeight="1">
      <c r="A150" s="541">
        <v>45016</v>
      </c>
      <c r="B150" s="716">
        <v>44995</v>
      </c>
      <c r="C150" s="145" t="s">
        <v>1764</v>
      </c>
      <c r="D150" s="494" t="s">
        <v>1754</v>
      </c>
      <c r="E150" s="185" t="s">
        <v>762</v>
      </c>
      <c r="F150" s="137" t="s">
        <v>1526</v>
      </c>
      <c r="G150" s="494"/>
      <c r="H150" s="494"/>
      <c r="I150" s="560" t="s">
        <v>1765</v>
      </c>
      <c r="J150" s="935" t="s">
        <v>1766</v>
      </c>
      <c r="K150" s="677" t="str">
        <f>IF(L150=0,"",(INDEX(AccountCodes[ACCOUNT NAME],MATCH(L150,AccountCodes[NGAS CODE],0))))</f>
        <v>Due to BIR - 1%</v>
      </c>
      <c r="L150" s="936" t="s">
        <v>1554</v>
      </c>
      <c r="M150" s="938"/>
      <c r="N150" s="938">
        <v>5352.14</v>
      </c>
      <c r="O150" s="967"/>
      <c r="P150" s="971">
        <f t="shared" si="8"/>
        <v>572736.4</v>
      </c>
    </row>
    <row r="151" spans="1:16" ht="39" hidden="1" customHeight="1">
      <c r="A151" s="541">
        <v>45016</v>
      </c>
      <c r="B151" s="716">
        <v>44995</v>
      </c>
      <c r="C151" s="145" t="s">
        <v>1764</v>
      </c>
      <c r="D151" s="494" t="s">
        <v>1754</v>
      </c>
      <c r="E151" s="185" t="s">
        <v>762</v>
      </c>
      <c r="F151" s="137" t="s">
        <v>1526</v>
      </c>
      <c r="G151" s="494"/>
      <c r="H151" s="494"/>
      <c r="I151" s="560" t="s">
        <v>1765</v>
      </c>
      <c r="J151" s="935" t="s">
        <v>1766</v>
      </c>
      <c r="K151" s="677" t="str">
        <f>IF(L151=0,"",(INDEX(AccountCodes[ACCOUNT NAME],MATCH(L151,AccountCodes[NGAS CODE],0))))</f>
        <v>Due to BIR - 5%</v>
      </c>
      <c r="L151" s="936" t="s">
        <v>1548</v>
      </c>
      <c r="M151" s="938"/>
      <c r="N151" s="938">
        <v>26760.71</v>
      </c>
      <c r="O151" s="967"/>
      <c r="P151" s="971">
        <f t="shared" si="8"/>
        <v>545975.68999999994</v>
      </c>
    </row>
    <row r="152" spans="1:16" ht="39" hidden="1" customHeight="1">
      <c r="A152" s="541">
        <v>45016</v>
      </c>
      <c r="B152" s="716">
        <v>44995</v>
      </c>
      <c r="C152" s="145" t="s">
        <v>1764</v>
      </c>
      <c r="D152" s="494" t="s">
        <v>1754</v>
      </c>
      <c r="E152" s="185" t="s">
        <v>762</v>
      </c>
      <c r="F152" s="137" t="s">
        <v>1526</v>
      </c>
      <c r="G152" s="494"/>
      <c r="H152" s="494"/>
      <c r="I152" s="560" t="s">
        <v>1765</v>
      </c>
      <c r="J152" s="935" t="s">
        <v>1766</v>
      </c>
      <c r="K152" s="677" t="str">
        <f>IF(L152=0,"",(INDEX(AccountCodes[ACCOUNT NAME],MATCH(L152,AccountCodes[NGAS CODE],0))))</f>
        <v>Cash in Bank-Local Currency, Current Account - FO</v>
      </c>
      <c r="L152" s="936" t="s">
        <v>1564</v>
      </c>
      <c r="M152" s="938"/>
      <c r="N152" s="938">
        <v>567327.15</v>
      </c>
      <c r="O152" s="967"/>
      <c r="P152" s="971">
        <f t="shared" si="8"/>
        <v>-21351.46</v>
      </c>
    </row>
    <row r="153" spans="1:16" ht="39" hidden="1" customHeight="1">
      <c r="A153" s="541">
        <v>45016</v>
      </c>
      <c r="B153" s="716">
        <v>45000</v>
      </c>
      <c r="C153" s="145" t="s">
        <v>1767</v>
      </c>
      <c r="D153" s="494" t="s">
        <v>1754</v>
      </c>
      <c r="E153" s="185" t="s">
        <v>762</v>
      </c>
      <c r="F153" s="137" t="s">
        <v>1526</v>
      </c>
      <c r="G153" s="494"/>
      <c r="H153" s="494"/>
      <c r="I153" s="560" t="s">
        <v>1698</v>
      </c>
      <c r="J153" s="935" t="s">
        <v>1768</v>
      </c>
      <c r="K153" s="677" t="str">
        <f>IF(L153=0,"",(INDEX(AccountCodes[ACCOUNT NAME],MATCH(L153,AccountCodes[NGAS CODE],0))))</f>
        <v>Pag-IBIG Contributions</v>
      </c>
      <c r="L153" s="936" t="s">
        <v>176</v>
      </c>
      <c r="M153" s="938">
        <v>200</v>
      </c>
      <c r="N153" s="938"/>
      <c r="O153" s="954" t="s">
        <v>1691</v>
      </c>
      <c r="P153" s="971">
        <f t="shared" si="8"/>
        <v>-21151.46</v>
      </c>
    </row>
    <row r="154" spans="1:16" ht="39" hidden="1" customHeight="1">
      <c r="A154" s="541">
        <v>45016</v>
      </c>
      <c r="B154" s="716">
        <v>45000</v>
      </c>
      <c r="C154" s="145" t="s">
        <v>1767</v>
      </c>
      <c r="D154" s="494" t="s">
        <v>1754</v>
      </c>
      <c r="E154" s="185" t="s">
        <v>762</v>
      </c>
      <c r="F154" s="137" t="s">
        <v>1526</v>
      </c>
      <c r="G154" s="494"/>
      <c r="H154" s="494"/>
      <c r="I154" s="560" t="s">
        <v>1698</v>
      </c>
      <c r="J154" s="935" t="s">
        <v>1768</v>
      </c>
      <c r="K154" s="677" t="str">
        <f>IF(L154=0,"",(INDEX(AccountCodes[ACCOUNT NAME],MATCH(L154,AccountCodes[NGAS CODE],0))))</f>
        <v>Due to Pag-IBIG - Pag-IBIG Premium</v>
      </c>
      <c r="L154" s="936" t="s">
        <v>1444</v>
      </c>
      <c r="M154" s="938">
        <v>1166.4000000000001</v>
      </c>
      <c r="N154" s="938"/>
      <c r="O154" s="967"/>
      <c r="P154" s="971">
        <f t="shared" si="8"/>
        <v>-19985.060000000001</v>
      </c>
    </row>
    <row r="155" spans="1:16" ht="39" hidden="1" customHeight="1">
      <c r="A155" s="541">
        <v>45016</v>
      </c>
      <c r="B155" s="716">
        <v>45000</v>
      </c>
      <c r="C155" s="145" t="s">
        <v>1767</v>
      </c>
      <c r="D155" s="494" t="s">
        <v>1754</v>
      </c>
      <c r="E155" s="185" t="s">
        <v>762</v>
      </c>
      <c r="F155" s="137" t="s">
        <v>1526</v>
      </c>
      <c r="G155" s="494"/>
      <c r="H155" s="494"/>
      <c r="I155" s="560" t="s">
        <v>1698</v>
      </c>
      <c r="J155" s="935" t="s">
        <v>1768</v>
      </c>
      <c r="K155" s="677" t="str">
        <f>IF(L155=0,"",(INDEX(AccountCodes[ACCOUNT NAME],MATCH(L155,AccountCodes[NGAS CODE],0))))</f>
        <v>Cash in Bank-Local Currency, Current Account - FO</v>
      </c>
      <c r="L155" s="936" t="s">
        <v>1564</v>
      </c>
      <c r="M155" s="938"/>
      <c r="N155" s="938">
        <v>1366.4</v>
      </c>
      <c r="O155" s="967"/>
      <c r="P155" s="971">
        <f t="shared" si="8"/>
        <v>-21351.46</v>
      </c>
    </row>
    <row r="156" spans="1:16" ht="39" hidden="1" customHeight="1">
      <c r="A156" s="541">
        <v>45016</v>
      </c>
      <c r="B156" s="716">
        <v>45000</v>
      </c>
      <c r="C156" s="145" t="s">
        <v>1769</v>
      </c>
      <c r="D156" s="494" t="s">
        <v>1754</v>
      </c>
      <c r="E156" s="185" t="s">
        <v>762</v>
      </c>
      <c r="F156" s="137" t="s">
        <v>1526</v>
      </c>
      <c r="G156" s="494"/>
      <c r="H156" s="494"/>
      <c r="I156" s="560" t="s">
        <v>1698</v>
      </c>
      <c r="J156" s="935" t="s">
        <v>1770</v>
      </c>
      <c r="K156" s="677" t="str">
        <f>IF(L156=0,"",(INDEX(AccountCodes[ACCOUNT NAME],MATCH(L156,AccountCodes[NGAS CODE],0))))</f>
        <v>Due to Pag-IBIG - MP2</v>
      </c>
      <c r="L156" s="936" t="s">
        <v>1508</v>
      </c>
      <c r="M156" s="938">
        <v>4000</v>
      </c>
      <c r="N156" s="938"/>
      <c r="O156" s="954" t="s">
        <v>1691</v>
      </c>
      <c r="P156" s="971">
        <f>P131+M156-N156</f>
        <v>-13678.85</v>
      </c>
    </row>
    <row r="157" spans="1:16" ht="39" hidden="1" customHeight="1">
      <c r="A157" s="541">
        <v>45016</v>
      </c>
      <c r="B157" s="716">
        <v>45000</v>
      </c>
      <c r="C157" s="145" t="s">
        <v>1769</v>
      </c>
      <c r="D157" s="494" t="s">
        <v>1754</v>
      </c>
      <c r="E157" s="185" t="s">
        <v>762</v>
      </c>
      <c r="F157" s="137" t="s">
        <v>1526</v>
      </c>
      <c r="G157" s="494"/>
      <c r="H157" s="494"/>
      <c r="I157" s="560" t="s">
        <v>1698</v>
      </c>
      <c r="J157" s="935" t="s">
        <v>1770</v>
      </c>
      <c r="K157" s="677" t="str">
        <f>IF(L157=0,"",(INDEX(AccountCodes[ACCOUNT NAME],MATCH(L157,AccountCodes[NGAS CODE],0))))</f>
        <v>Cash in Bank-Local Currency, Current Account - FO</v>
      </c>
      <c r="L157" s="936" t="s">
        <v>1564</v>
      </c>
      <c r="M157" s="938"/>
      <c r="N157" s="938">
        <v>4000</v>
      </c>
      <c r="O157" s="967"/>
      <c r="P157" s="971">
        <f t="shared" ref="P157:P167" si="9">P156+M157-N157</f>
        <v>-17678.849999999999</v>
      </c>
    </row>
    <row r="158" spans="1:16" ht="39" hidden="1" customHeight="1">
      <c r="A158" s="541">
        <v>45016</v>
      </c>
      <c r="B158" s="716">
        <v>45000</v>
      </c>
      <c r="C158" s="145" t="s">
        <v>1771</v>
      </c>
      <c r="D158" s="494" t="s">
        <v>1754</v>
      </c>
      <c r="E158" s="185" t="s">
        <v>762</v>
      </c>
      <c r="F158" s="137" t="s">
        <v>1526</v>
      </c>
      <c r="G158" s="494"/>
      <c r="H158" s="494"/>
      <c r="I158" s="560" t="s">
        <v>1680</v>
      </c>
      <c r="J158" s="935" t="s">
        <v>1772</v>
      </c>
      <c r="K158" s="677" t="str">
        <f>IF(L158=0,"",(INDEX(AccountCodes[ACCOUNT NAME],MATCH(L158,AccountCodes[NGAS CODE],0))))</f>
        <v>Due to BIR - Compensation</v>
      </c>
      <c r="L158" s="936" t="s">
        <v>1546</v>
      </c>
      <c r="M158" s="938">
        <v>1330.76</v>
      </c>
      <c r="N158" s="938"/>
      <c r="O158" s="954" t="s">
        <v>1691</v>
      </c>
      <c r="P158" s="971">
        <f t="shared" si="9"/>
        <v>-16348.09</v>
      </c>
    </row>
    <row r="159" spans="1:16" ht="39" hidden="1" customHeight="1">
      <c r="A159" s="541">
        <v>45016</v>
      </c>
      <c r="B159" s="716">
        <v>45000</v>
      </c>
      <c r="C159" s="145" t="s">
        <v>1771</v>
      </c>
      <c r="D159" s="494" t="s">
        <v>1754</v>
      </c>
      <c r="E159" s="185" t="s">
        <v>762</v>
      </c>
      <c r="F159" s="137" t="s">
        <v>1526</v>
      </c>
      <c r="G159" s="494"/>
      <c r="H159" s="494"/>
      <c r="I159" s="560" t="s">
        <v>1680</v>
      </c>
      <c r="J159" s="935" t="s">
        <v>1772</v>
      </c>
      <c r="K159" s="677" t="str">
        <f>IF(L159=0,"",(INDEX(AccountCodes[ACCOUNT NAME],MATCH(L159,AccountCodes[NGAS CODE],0))))</f>
        <v>Cash in Bank-Local Currency, Current Account - FO</v>
      </c>
      <c r="L159" s="936" t="s">
        <v>1564</v>
      </c>
      <c r="M159" s="938"/>
      <c r="N159" s="938">
        <v>1330.76</v>
      </c>
      <c r="O159" s="967"/>
      <c r="P159" s="971">
        <f t="shared" si="9"/>
        <v>-17678.849999999999</v>
      </c>
    </row>
    <row r="160" spans="1:16" ht="39" hidden="1" customHeight="1">
      <c r="A160" s="541">
        <v>45016</v>
      </c>
      <c r="B160" s="716">
        <v>45000</v>
      </c>
      <c r="C160" s="145" t="s">
        <v>1773</v>
      </c>
      <c r="D160" s="494" t="s">
        <v>1754</v>
      </c>
      <c r="E160" s="185" t="s">
        <v>762</v>
      </c>
      <c r="F160" s="137" t="s">
        <v>1526</v>
      </c>
      <c r="G160" s="494"/>
      <c r="H160" s="494"/>
      <c r="I160" s="560" t="s">
        <v>1693</v>
      </c>
      <c r="J160" s="935" t="s">
        <v>1774</v>
      </c>
      <c r="K160" s="677" t="str">
        <f>IF(L160=0,"",(INDEX(AccountCodes[ACCOUNT NAME],MATCH(L160,AccountCodes[NGAS CODE],0))))</f>
        <v>Retirement and Life Insurance Premiums</v>
      </c>
      <c r="L160" s="936" t="s">
        <v>175</v>
      </c>
      <c r="M160" s="938">
        <v>6998.4</v>
      </c>
      <c r="N160" s="938"/>
      <c r="O160" s="954" t="s">
        <v>1691</v>
      </c>
      <c r="P160" s="971">
        <f t="shared" si="9"/>
        <v>-10680.45</v>
      </c>
    </row>
    <row r="161" spans="1:16" ht="39" hidden="1" customHeight="1">
      <c r="A161" s="541">
        <v>45016</v>
      </c>
      <c r="B161" s="716">
        <v>45000</v>
      </c>
      <c r="C161" s="145" t="s">
        <v>1773</v>
      </c>
      <c r="D161" s="494" t="s">
        <v>1754</v>
      </c>
      <c r="E161" s="185" t="s">
        <v>762</v>
      </c>
      <c r="F161" s="137" t="s">
        <v>1526</v>
      </c>
      <c r="G161" s="494"/>
      <c r="H161" s="494"/>
      <c r="I161" s="560" t="s">
        <v>1693</v>
      </c>
      <c r="J161" s="935" t="s">
        <v>1774</v>
      </c>
      <c r="K161" s="677" t="str">
        <f>IF(L161=0,"",(INDEX(AccountCodes[ACCOUNT NAME],MATCH(L161,AccountCodes[NGAS CODE],0))))</f>
        <v>Employees Compensation Insurance Premiums</v>
      </c>
      <c r="L161" s="936" t="s">
        <v>178</v>
      </c>
      <c r="M161" s="938">
        <v>200</v>
      </c>
      <c r="N161" s="938"/>
      <c r="O161" s="967"/>
      <c r="P161" s="971">
        <f t="shared" si="9"/>
        <v>-10480.450000000001</v>
      </c>
    </row>
    <row r="162" spans="1:16" ht="39" hidden="1" customHeight="1">
      <c r="A162" s="541">
        <v>45016</v>
      </c>
      <c r="B162" s="716">
        <v>45000</v>
      </c>
      <c r="C162" s="145" t="s">
        <v>1773</v>
      </c>
      <c r="D162" s="494" t="s">
        <v>1754</v>
      </c>
      <c r="E162" s="185" t="s">
        <v>762</v>
      </c>
      <c r="F162" s="137" t="s">
        <v>1526</v>
      </c>
      <c r="G162" s="494"/>
      <c r="H162" s="494"/>
      <c r="I162" s="560" t="s">
        <v>1693</v>
      </c>
      <c r="J162" s="935" t="s">
        <v>1774</v>
      </c>
      <c r="K162" s="677" t="str">
        <f>IF(L162=0,"",(INDEX(AccountCodes[ACCOUNT NAME],MATCH(L162,AccountCodes[NGAS CODE],0))))</f>
        <v>Due to GSIS - Life and Retirement Premium</v>
      </c>
      <c r="L162" s="936" t="s">
        <v>1440</v>
      </c>
      <c r="M162" s="938">
        <v>5248.8</v>
      </c>
      <c r="N162" s="938"/>
      <c r="O162" s="967"/>
      <c r="P162" s="971">
        <f t="shared" si="9"/>
        <v>-5231.6499999999996</v>
      </c>
    </row>
    <row r="163" spans="1:16" ht="39" hidden="1" customHeight="1">
      <c r="A163" s="541">
        <v>45016</v>
      </c>
      <c r="B163" s="716">
        <v>45000</v>
      </c>
      <c r="C163" s="145" t="s">
        <v>1773</v>
      </c>
      <c r="D163" s="494" t="s">
        <v>1754</v>
      </c>
      <c r="E163" s="185" t="s">
        <v>762</v>
      </c>
      <c r="F163" s="137" t="s">
        <v>1526</v>
      </c>
      <c r="G163" s="494"/>
      <c r="H163" s="494"/>
      <c r="I163" s="560" t="s">
        <v>1693</v>
      </c>
      <c r="J163" s="935" t="s">
        <v>1774</v>
      </c>
      <c r="K163" s="677" t="str">
        <f>IF(L163=0,"",(INDEX(AccountCodes[ACCOUNT NAME],MATCH(L163,AccountCodes[NGAS CODE],0))))</f>
        <v>Cash in Bank-Local Currency, Current Account - FO</v>
      </c>
      <c r="L163" s="936" t="s">
        <v>1564</v>
      </c>
      <c r="M163" s="938"/>
      <c r="N163" s="938">
        <v>12447.2</v>
      </c>
      <c r="O163" s="967"/>
      <c r="P163" s="971">
        <f t="shared" si="9"/>
        <v>-17678.849999999999</v>
      </c>
    </row>
    <row r="164" spans="1:16" ht="39" hidden="1" customHeight="1">
      <c r="A164" s="541">
        <v>45016</v>
      </c>
      <c r="B164" s="716">
        <v>45000</v>
      </c>
      <c r="C164" s="145" t="s">
        <v>1775</v>
      </c>
      <c r="D164" s="494" t="s">
        <v>1754</v>
      </c>
      <c r="E164" s="185" t="s">
        <v>762</v>
      </c>
      <c r="F164" s="137" t="s">
        <v>1526</v>
      </c>
      <c r="G164" s="494"/>
      <c r="H164" s="494"/>
      <c r="I164" s="560" t="s">
        <v>1776</v>
      </c>
      <c r="J164" s="935" t="s">
        <v>1777</v>
      </c>
      <c r="K164" s="677" t="str">
        <f>IF(L164=0,"",(INDEX(AccountCodes[ACCOUNT NAME],MATCH(L164,AccountCodes[NGAS CODE],0))))</f>
        <v>Other Maintenance and Operating Expenses - Other Maintenance and Operating Expenses</v>
      </c>
      <c r="L164" s="936" t="s">
        <v>405</v>
      </c>
      <c r="M164" s="938">
        <v>6358</v>
      </c>
      <c r="N164" s="938"/>
      <c r="O164" s="972" t="s">
        <v>1735</v>
      </c>
      <c r="P164" s="971">
        <f t="shared" si="9"/>
        <v>-11320.85</v>
      </c>
    </row>
    <row r="165" spans="1:16" ht="39" hidden="1" customHeight="1">
      <c r="A165" s="541">
        <v>45016</v>
      </c>
      <c r="B165" s="716">
        <v>45000</v>
      </c>
      <c r="C165" s="145" t="s">
        <v>1775</v>
      </c>
      <c r="D165" s="494" t="s">
        <v>1754</v>
      </c>
      <c r="E165" s="185" t="s">
        <v>762</v>
      </c>
      <c r="F165" s="137" t="s">
        <v>1526</v>
      </c>
      <c r="G165" s="494"/>
      <c r="H165" s="494"/>
      <c r="I165" s="560" t="s">
        <v>1776</v>
      </c>
      <c r="J165" s="935" t="s">
        <v>1777</v>
      </c>
      <c r="K165" s="677" t="str">
        <f>IF(L165=0,"",(INDEX(AccountCodes[ACCOUNT NAME],MATCH(L165,AccountCodes[NGAS CODE],0))))</f>
        <v>Cash in Bank-Local Currency, Current Account - FO</v>
      </c>
      <c r="L165" s="936" t="s">
        <v>1564</v>
      </c>
      <c r="M165" s="938"/>
      <c r="N165" s="938">
        <v>6358</v>
      </c>
      <c r="O165" s="967"/>
      <c r="P165" s="971">
        <f t="shared" si="9"/>
        <v>-17678.849999999999</v>
      </c>
    </row>
    <row r="166" spans="1:16" ht="39" hidden="1" customHeight="1">
      <c r="A166" s="541">
        <v>45016</v>
      </c>
      <c r="B166" s="716">
        <v>45000</v>
      </c>
      <c r="C166" s="145" t="s">
        <v>1778</v>
      </c>
      <c r="D166" s="494" t="s">
        <v>1754</v>
      </c>
      <c r="E166" s="185" t="s">
        <v>762</v>
      </c>
      <c r="F166" s="137" t="s">
        <v>1526</v>
      </c>
      <c r="G166" s="494"/>
      <c r="H166" s="494"/>
      <c r="I166" s="560" t="s">
        <v>1779</v>
      </c>
      <c r="J166" s="935" t="s">
        <v>1780</v>
      </c>
      <c r="K166" s="677" t="str">
        <f>IF(L166=0,"",(INDEX(AccountCodes[ACCOUNT NAME],MATCH(L166,AccountCodes[NGAS CODE],0))))</f>
        <v>Training Expenses</v>
      </c>
      <c r="L166" s="936" t="s">
        <v>224</v>
      </c>
      <c r="M166" s="938">
        <v>30000</v>
      </c>
      <c r="N166" s="938"/>
      <c r="O166" s="972" t="s">
        <v>1781</v>
      </c>
      <c r="P166" s="971">
        <f t="shared" si="9"/>
        <v>12321.15</v>
      </c>
    </row>
    <row r="167" spans="1:16" ht="39" hidden="1" customHeight="1">
      <c r="A167" s="541">
        <v>45016</v>
      </c>
      <c r="B167" s="716">
        <v>45000</v>
      </c>
      <c r="C167" s="145" t="s">
        <v>1778</v>
      </c>
      <c r="D167" s="494" t="s">
        <v>1754</v>
      </c>
      <c r="E167" s="185" t="s">
        <v>762</v>
      </c>
      <c r="F167" s="137" t="s">
        <v>1526</v>
      </c>
      <c r="G167" s="494"/>
      <c r="H167" s="494"/>
      <c r="I167" s="560" t="s">
        <v>1779</v>
      </c>
      <c r="J167" s="935" t="s">
        <v>1780</v>
      </c>
      <c r="K167" s="677" t="str">
        <f>IF(L167=0,"",(INDEX(AccountCodes[ACCOUNT NAME],MATCH(L167,AccountCodes[NGAS CODE],0))))</f>
        <v>Due to BIR - 1%</v>
      </c>
      <c r="L167" s="936" t="s">
        <v>1554</v>
      </c>
      <c r="M167" s="938"/>
      <c r="N167" s="938">
        <v>267.86</v>
      </c>
      <c r="O167" s="967"/>
      <c r="P167" s="971">
        <f t="shared" si="9"/>
        <v>12053.29</v>
      </c>
    </row>
    <row r="168" spans="1:16" ht="39" hidden="1" customHeight="1">
      <c r="A168" s="541">
        <v>45016</v>
      </c>
      <c r="B168" s="716">
        <v>45000</v>
      </c>
      <c r="C168" s="145" t="s">
        <v>1778</v>
      </c>
      <c r="D168" s="494" t="s">
        <v>1754</v>
      </c>
      <c r="E168" s="185" t="s">
        <v>762</v>
      </c>
      <c r="F168" s="137" t="s">
        <v>1526</v>
      </c>
      <c r="G168" s="494"/>
      <c r="H168" s="494"/>
      <c r="I168" s="560" t="s">
        <v>1779</v>
      </c>
      <c r="J168" s="935" t="s">
        <v>1780</v>
      </c>
      <c r="K168" s="677" t="str">
        <f>IF(L168=0,"",(INDEX(AccountCodes[ACCOUNT NAME],MATCH(L168,AccountCodes[NGAS CODE],0))))</f>
        <v>Due to BIR - 5%</v>
      </c>
      <c r="L168" s="936" t="s">
        <v>1548</v>
      </c>
      <c r="M168" s="938"/>
      <c r="N168" s="938">
        <v>1339.29</v>
      </c>
      <c r="O168" s="967"/>
      <c r="P168" s="971">
        <f>P131+M168-N168</f>
        <v>-19018.14</v>
      </c>
    </row>
    <row r="169" spans="1:16" ht="39" hidden="1" customHeight="1">
      <c r="A169" s="541">
        <v>45016</v>
      </c>
      <c r="B169" s="716">
        <v>45000</v>
      </c>
      <c r="C169" s="145" t="s">
        <v>1778</v>
      </c>
      <c r="D169" s="494" t="s">
        <v>1754</v>
      </c>
      <c r="E169" s="185" t="s">
        <v>762</v>
      </c>
      <c r="F169" s="137" t="s">
        <v>1526</v>
      </c>
      <c r="G169" s="494"/>
      <c r="H169" s="494"/>
      <c r="I169" s="560" t="s">
        <v>1779</v>
      </c>
      <c r="J169" s="935" t="s">
        <v>1780</v>
      </c>
      <c r="K169" s="677" t="str">
        <f>IF(L169=0,"",(INDEX(AccountCodes[ACCOUNT NAME],MATCH(L169,AccountCodes[NGAS CODE],0))))</f>
        <v>Cash in Bank-Local Currency, Current Account - FO</v>
      </c>
      <c r="L169" s="936" t="s">
        <v>1564</v>
      </c>
      <c r="M169" s="938"/>
      <c r="N169" s="938">
        <v>28392.85</v>
      </c>
      <c r="O169" s="967"/>
      <c r="P169" s="971">
        <f t="shared" ref="P169:P179" si="10">P168+M169-N169</f>
        <v>-47410.99</v>
      </c>
    </row>
    <row r="170" spans="1:16" ht="39" hidden="1" customHeight="1">
      <c r="A170" s="541">
        <v>45016</v>
      </c>
      <c r="B170" s="716" t="s">
        <v>1782</v>
      </c>
      <c r="C170" s="494" t="s">
        <v>1782</v>
      </c>
      <c r="D170" s="494" t="s">
        <v>1754</v>
      </c>
      <c r="E170" s="939" t="s">
        <v>762</v>
      </c>
      <c r="F170" s="495" t="s">
        <v>1526</v>
      </c>
      <c r="G170" s="494"/>
      <c r="H170" s="494"/>
      <c r="I170" s="560" t="s">
        <v>1689</v>
      </c>
      <c r="J170" s="935" t="s">
        <v>1783</v>
      </c>
      <c r="K170" s="677" t="str">
        <f>IF(L170=0,"",(INDEX(AccountCodes[ACCOUNT NAME],MATCH(L170,AccountCodes[NGAS CODE],0))))</f>
        <v>PhilHealth Contributions</v>
      </c>
      <c r="L170" s="936" t="s">
        <v>177</v>
      </c>
      <c r="M170" s="938">
        <v>1166.4000000000001</v>
      </c>
      <c r="N170" s="938"/>
      <c r="O170" s="954" t="s">
        <v>1691</v>
      </c>
      <c r="P170" s="971">
        <f t="shared" si="10"/>
        <v>-46244.59</v>
      </c>
    </row>
    <row r="171" spans="1:16" ht="39" hidden="1" customHeight="1">
      <c r="A171" s="541">
        <v>45016</v>
      </c>
      <c r="B171" s="716" t="s">
        <v>1782</v>
      </c>
      <c r="C171" s="494" t="s">
        <v>1782</v>
      </c>
      <c r="D171" s="494" t="s">
        <v>1754</v>
      </c>
      <c r="E171" s="939" t="s">
        <v>762</v>
      </c>
      <c r="F171" s="495" t="s">
        <v>1526</v>
      </c>
      <c r="G171" s="494"/>
      <c r="H171" s="494"/>
      <c r="I171" s="560" t="s">
        <v>1689</v>
      </c>
      <c r="J171" s="935" t="s">
        <v>1783</v>
      </c>
      <c r="K171" s="677" t="str">
        <f>IF(L171=0,"",(INDEX(AccountCodes[ACCOUNT NAME],MATCH(L171,AccountCodes[NGAS CODE],0))))</f>
        <v>Due to PhilHealth</v>
      </c>
      <c r="L171" s="936" t="s">
        <v>112</v>
      </c>
      <c r="M171" s="938">
        <v>1166.4000000000001</v>
      </c>
      <c r="N171" s="938"/>
      <c r="O171" s="967"/>
      <c r="P171" s="971">
        <f t="shared" si="10"/>
        <v>-45078.19</v>
      </c>
    </row>
    <row r="172" spans="1:16" ht="39" hidden="1" customHeight="1">
      <c r="A172" s="541">
        <v>45016</v>
      </c>
      <c r="B172" s="716" t="s">
        <v>1782</v>
      </c>
      <c r="C172" s="494" t="s">
        <v>1782</v>
      </c>
      <c r="D172" s="494" t="s">
        <v>1754</v>
      </c>
      <c r="E172" s="939" t="s">
        <v>762</v>
      </c>
      <c r="F172" s="495" t="s">
        <v>1526</v>
      </c>
      <c r="G172" s="494"/>
      <c r="H172" s="494"/>
      <c r="I172" s="560" t="s">
        <v>1689</v>
      </c>
      <c r="J172" s="935" t="s">
        <v>1783</v>
      </c>
      <c r="K172" s="677" t="str">
        <f>IF(L172=0,"",(INDEX(AccountCodes[ACCOUNT NAME],MATCH(L172,AccountCodes[NGAS CODE],0))))</f>
        <v>Cash in Bank-Local Currency, Current Account - FO</v>
      </c>
      <c r="L172" s="936" t="s">
        <v>1564</v>
      </c>
      <c r="M172" s="938"/>
      <c r="N172" s="938">
        <v>2332.8000000000002</v>
      </c>
      <c r="O172" s="967"/>
      <c r="P172" s="971">
        <f t="shared" si="10"/>
        <v>-47410.99</v>
      </c>
    </row>
    <row r="173" spans="1:16" ht="39" hidden="1" customHeight="1">
      <c r="A173" s="541">
        <v>45016</v>
      </c>
      <c r="B173" s="716">
        <v>45001</v>
      </c>
      <c r="C173" s="145" t="s">
        <v>1784</v>
      </c>
      <c r="D173" s="494" t="s">
        <v>1754</v>
      </c>
      <c r="E173" s="185" t="s">
        <v>762</v>
      </c>
      <c r="F173" s="137" t="s">
        <v>1526</v>
      </c>
      <c r="G173" s="494"/>
      <c r="H173" s="494"/>
      <c r="I173" s="560" t="s">
        <v>1760</v>
      </c>
      <c r="J173" s="935" t="s">
        <v>1785</v>
      </c>
      <c r="K173" s="677" t="str">
        <f>IF(L173=0,"",(INDEX(AccountCodes[ACCOUNT NAME],MATCH(L173,AccountCodes[NGAS CODE],0))))</f>
        <v>Fuel, Oil and Lubricants Expenses</v>
      </c>
      <c r="L173" s="936" t="s">
        <v>229</v>
      </c>
      <c r="M173" s="938">
        <v>6218.12</v>
      </c>
      <c r="N173" s="938"/>
      <c r="O173" s="972" t="s">
        <v>1735</v>
      </c>
      <c r="P173" s="971">
        <f t="shared" si="10"/>
        <v>-41192.870000000003</v>
      </c>
    </row>
    <row r="174" spans="1:16" ht="39" hidden="1" customHeight="1">
      <c r="A174" s="541">
        <v>45016</v>
      </c>
      <c r="B174" s="716">
        <v>45001</v>
      </c>
      <c r="C174" s="145" t="s">
        <v>1784</v>
      </c>
      <c r="D174" s="494" t="s">
        <v>1754</v>
      </c>
      <c r="E174" s="185" t="s">
        <v>762</v>
      </c>
      <c r="F174" s="137" t="s">
        <v>1526</v>
      </c>
      <c r="G174" s="494"/>
      <c r="H174" s="494"/>
      <c r="I174" s="560" t="s">
        <v>1760</v>
      </c>
      <c r="J174" s="935" t="s">
        <v>1785</v>
      </c>
      <c r="K174" s="677" t="str">
        <f>IF(L174=0,"",(INDEX(AccountCodes[ACCOUNT NAME],MATCH(L174,AccountCodes[NGAS CODE],0))))</f>
        <v>Due to BIR - 1%</v>
      </c>
      <c r="L174" s="936" t="s">
        <v>1554</v>
      </c>
      <c r="M174" s="938"/>
      <c r="N174" s="938">
        <v>55.52</v>
      </c>
      <c r="O174" s="967"/>
      <c r="P174" s="971">
        <f t="shared" si="10"/>
        <v>-41248.39</v>
      </c>
    </row>
    <row r="175" spans="1:16" ht="39" hidden="1" customHeight="1">
      <c r="A175" s="541">
        <v>45016</v>
      </c>
      <c r="B175" s="716">
        <v>45001</v>
      </c>
      <c r="C175" s="145" t="s">
        <v>1784</v>
      </c>
      <c r="D175" s="494" t="s">
        <v>1754</v>
      </c>
      <c r="E175" s="185" t="s">
        <v>762</v>
      </c>
      <c r="F175" s="137" t="s">
        <v>1526</v>
      </c>
      <c r="G175" s="494"/>
      <c r="H175" s="494"/>
      <c r="I175" s="560" t="s">
        <v>1760</v>
      </c>
      <c r="J175" s="935" t="s">
        <v>1785</v>
      </c>
      <c r="K175" s="677" t="str">
        <f>IF(L175=0,"",(INDEX(AccountCodes[ACCOUNT NAME],MATCH(L175,AccountCodes[NGAS CODE],0))))</f>
        <v>Due to BIR - 5%</v>
      </c>
      <c r="L175" s="936" t="s">
        <v>1548</v>
      </c>
      <c r="M175" s="938"/>
      <c r="N175" s="938">
        <v>277.58999999999997</v>
      </c>
      <c r="O175" s="967"/>
      <c r="P175" s="971">
        <f t="shared" si="10"/>
        <v>-41525.980000000003</v>
      </c>
    </row>
    <row r="176" spans="1:16" ht="39" hidden="1" customHeight="1">
      <c r="A176" s="541">
        <v>45016</v>
      </c>
      <c r="B176" s="716">
        <v>45001</v>
      </c>
      <c r="C176" s="145" t="s">
        <v>1784</v>
      </c>
      <c r="D176" s="494" t="s">
        <v>1754</v>
      </c>
      <c r="E176" s="185" t="s">
        <v>762</v>
      </c>
      <c r="F176" s="137" t="s">
        <v>1526</v>
      </c>
      <c r="G176" s="494"/>
      <c r="H176" s="494"/>
      <c r="I176" s="560" t="s">
        <v>1760</v>
      </c>
      <c r="J176" s="935" t="s">
        <v>1785</v>
      </c>
      <c r="K176" s="677" t="str">
        <f>IF(L176=0,"",(INDEX(AccountCodes[ACCOUNT NAME],MATCH(L176,AccountCodes[NGAS CODE],0))))</f>
        <v>Cash in Bank-Local Currency, Current Account - FO</v>
      </c>
      <c r="L176" s="936" t="s">
        <v>1564</v>
      </c>
      <c r="M176" s="938"/>
      <c r="N176" s="938">
        <v>5885.01</v>
      </c>
      <c r="O176" s="967"/>
      <c r="P176" s="971">
        <f t="shared" si="10"/>
        <v>-47410.99</v>
      </c>
    </row>
    <row r="177" spans="1:16" ht="39" hidden="1" customHeight="1">
      <c r="A177" s="541">
        <v>45016</v>
      </c>
      <c r="B177" s="716">
        <v>45001</v>
      </c>
      <c r="C177" s="145" t="s">
        <v>1787</v>
      </c>
      <c r="D177" s="494" t="s">
        <v>1754</v>
      </c>
      <c r="E177" s="185" t="s">
        <v>762</v>
      </c>
      <c r="F177" s="137" t="s">
        <v>1526</v>
      </c>
      <c r="G177" s="494"/>
      <c r="H177" s="494"/>
      <c r="I177" s="560" t="s">
        <v>1788</v>
      </c>
      <c r="J177" s="935" t="s">
        <v>1789</v>
      </c>
      <c r="K177" s="677" t="str">
        <f>IF(L177=0,"",(INDEX(AccountCodes[ACCOUNT NAME],MATCH(L177,AccountCodes[NGAS CODE],0))))</f>
        <v>Training Expenses</v>
      </c>
      <c r="L177" s="936" t="s">
        <v>224</v>
      </c>
      <c r="M177" s="938">
        <v>13440</v>
      </c>
      <c r="N177" s="938"/>
      <c r="O177" s="954" t="s">
        <v>1790</v>
      </c>
      <c r="P177" s="971">
        <f t="shared" si="10"/>
        <v>-33970.99</v>
      </c>
    </row>
    <row r="178" spans="1:16" ht="39" hidden="1" customHeight="1">
      <c r="A178" s="541">
        <v>45016</v>
      </c>
      <c r="B178" s="716">
        <v>45001</v>
      </c>
      <c r="C178" s="145" t="s">
        <v>1787</v>
      </c>
      <c r="D178" s="494" t="s">
        <v>1754</v>
      </c>
      <c r="E178" s="185" t="s">
        <v>762</v>
      </c>
      <c r="F178" s="137" t="s">
        <v>1526</v>
      </c>
      <c r="G178" s="494"/>
      <c r="H178" s="494"/>
      <c r="I178" s="560" t="s">
        <v>1788</v>
      </c>
      <c r="J178" s="935" t="s">
        <v>1789</v>
      </c>
      <c r="K178" s="677" t="str">
        <f>IF(L178=0,"",(INDEX(AccountCodes[ACCOUNT NAME],MATCH(L178,AccountCodes[NGAS CODE],0))))</f>
        <v>Due to BIR - 1%</v>
      </c>
      <c r="L178" s="936" t="s">
        <v>1554</v>
      </c>
      <c r="M178" s="938"/>
      <c r="N178" s="938">
        <v>120</v>
      </c>
      <c r="O178" s="967"/>
      <c r="P178" s="971">
        <f t="shared" si="10"/>
        <v>-34090.99</v>
      </c>
    </row>
    <row r="179" spans="1:16" ht="39" hidden="1" customHeight="1">
      <c r="A179" s="541">
        <v>45016</v>
      </c>
      <c r="B179" s="716">
        <v>45001</v>
      </c>
      <c r="C179" s="145" t="s">
        <v>1787</v>
      </c>
      <c r="D179" s="494" t="s">
        <v>1754</v>
      </c>
      <c r="E179" s="185" t="s">
        <v>762</v>
      </c>
      <c r="F179" s="137" t="s">
        <v>1526</v>
      </c>
      <c r="G179" s="494"/>
      <c r="H179" s="494"/>
      <c r="I179" s="560" t="s">
        <v>1788</v>
      </c>
      <c r="J179" s="935" t="s">
        <v>1789</v>
      </c>
      <c r="K179" s="677" t="str">
        <f>IF(L179=0,"",(INDEX(AccountCodes[ACCOUNT NAME],MATCH(L179,AccountCodes[NGAS CODE],0))))</f>
        <v>Due to BIR - 5%</v>
      </c>
      <c r="L179" s="936" t="s">
        <v>1548</v>
      </c>
      <c r="M179" s="938"/>
      <c r="N179" s="938">
        <v>600</v>
      </c>
      <c r="O179" s="967"/>
      <c r="P179" s="971">
        <f t="shared" si="10"/>
        <v>-34690.99</v>
      </c>
    </row>
    <row r="180" spans="1:16" ht="39" hidden="1" customHeight="1">
      <c r="A180" s="541">
        <v>45016</v>
      </c>
      <c r="B180" s="716">
        <v>45001</v>
      </c>
      <c r="C180" s="145" t="s">
        <v>1787</v>
      </c>
      <c r="D180" s="494" t="s">
        <v>1754</v>
      </c>
      <c r="E180" s="185" t="s">
        <v>762</v>
      </c>
      <c r="F180" s="137" t="s">
        <v>1526</v>
      </c>
      <c r="G180" s="494"/>
      <c r="H180" s="494"/>
      <c r="I180" s="560" t="s">
        <v>1788</v>
      </c>
      <c r="J180" s="935" t="s">
        <v>1789</v>
      </c>
      <c r="K180" s="677" t="str">
        <f>IF(L180=0,"",(INDEX(AccountCodes[ACCOUNT NAME],MATCH(L180,AccountCodes[NGAS CODE],0))))</f>
        <v>Cash in Bank-Local Currency, Current Account - FO</v>
      </c>
      <c r="L180" s="936" t="s">
        <v>1564</v>
      </c>
      <c r="M180" s="938"/>
      <c r="N180" s="938">
        <v>12720</v>
      </c>
      <c r="O180" s="967"/>
      <c r="P180" s="971">
        <f>P131+M180-N180</f>
        <v>-30398.85</v>
      </c>
    </row>
    <row r="181" spans="1:16" ht="39" hidden="1" customHeight="1">
      <c r="A181" s="541">
        <v>45016</v>
      </c>
      <c r="B181" s="716">
        <v>45001</v>
      </c>
      <c r="C181" s="494" t="s">
        <v>1791</v>
      </c>
      <c r="D181" s="494" t="s">
        <v>1754</v>
      </c>
      <c r="E181" s="185" t="s">
        <v>762</v>
      </c>
      <c r="F181" s="137" t="s">
        <v>1526</v>
      </c>
      <c r="G181" s="494"/>
      <c r="H181" s="494"/>
      <c r="I181" s="560" t="s">
        <v>1716</v>
      </c>
      <c r="J181" s="935" t="s">
        <v>1792</v>
      </c>
      <c r="K181" s="677" t="str">
        <f>IF(L181=0,"",(INDEX(AccountCodes[ACCOUNT NAME],MATCH(L181,AccountCodes[NGAS CODE],0))))</f>
        <v>Salaries and Wages-Regular</v>
      </c>
      <c r="L181" s="936" t="s">
        <v>162</v>
      </c>
      <c r="M181" s="938">
        <v>58320</v>
      </c>
      <c r="N181" s="938"/>
      <c r="O181" s="954" t="s">
        <v>1691</v>
      </c>
      <c r="P181" s="971">
        <f t="shared" ref="P181:P191" si="11">P180+M181-N181</f>
        <v>27921.15</v>
      </c>
    </row>
    <row r="182" spans="1:16" ht="39" hidden="1" customHeight="1">
      <c r="A182" s="541">
        <v>45016</v>
      </c>
      <c r="B182" s="716">
        <v>45001</v>
      </c>
      <c r="C182" s="494" t="s">
        <v>1791</v>
      </c>
      <c r="D182" s="494" t="s">
        <v>1754</v>
      </c>
      <c r="E182" s="185" t="s">
        <v>762</v>
      </c>
      <c r="F182" s="137" t="s">
        <v>1526</v>
      </c>
      <c r="G182" s="494"/>
      <c r="H182" s="494"/>
      <c r="I182" s="560" t="s">
        <v>1716</v>
      </c>
      <c r="J182" s="935" t="s">
        <v>1792</v>
      </c>
      <c r="K182" s="677" t="str">
        <f>IF(L182=0,"",(INDEX(AccountCodes[ACCOUNT NAME],MATCH(L182,AccountCodes[NGAS CODE],0))))</f>
        <v>Personal Economic Relief Allowance (PERA)</v>
      </c>
      <c r="L182" s="936" t="s">
        <v>164</v>
      </c>
      <c r="M182" s="938">
        <v>4000</v>
      </c>
      <c r="N182" s="938"/>
      <c r="O182" s="967"/>
      <c r="P182" s="971">
        <f t="shared" si="11"/>
        <v>31921.15</v>
      </c>
    </row>
    <row r="183" spans="1:16" ht="39" hidden="1" customHeight="1">
      <c r="A183" s="541">
        <v>45016</v>
      </c>
      <c r="B183" s="716">
        <v>45001</v>
      </c>
      <c r="C183" s="494" t="s">
        <v>1791</v>
      </c>
      <c r="D183" s="494" t="s">
        <v>1754</v>
      </c>
      <c r="E183" s="185" t="s">
        <v>762</v>
      </c>
      <c r="F183" s="137" t="s">
        <v>1526</v>
      </c>
      <c r="G183" s="494"/>
      <c r="H183" s="494"/>
      <c r="I183" s="560" t="s">
        <v>1716</v>
      </c>
      <c r="J183" s="935" t="s">
        <v>1792</v>
      </c>
      <c r="K183" s="677" t="str">
        <f>IF(L183=0,"",(INDEX(AccountCodes[ACCOUNT NAME],MATCH(L183,AccountCodes[NGAS CODE],0))))</f>
        <v>Due to BIR - Compensation</v>
      </c>
      <c r="L183" s="936" t="s">
        <v>1546</v>
      </c>
      <c r="M183" s="938"/>
      <c r="N183" s="938">
        <v>1330.76</v>
      </c>
      <c r="O183" s="967"/>
      <c r="P183" s="971">
        <f t="shared" si="11"/>
        <v>30590.39</v>
      </c>
    </row>
    <row r="184" spans="1:16" ht="39" hidden="1" customHeight="1">
      <c r="A184" s="541">
        <v>45016</v>
      </c>
      <c r="B184" s="716">
        <v>45001</v>
      </c>
      <c r="C184" s="494" t="s">
        <v>1791</v>
      </c>
      <c r="D184" s="494" t="s">
        <v>1754</v>
      </c>
      <c r="E184" s="185" t="s">
        <v>762</v>
      </c>
      <c r="F184" s="137" t="s">
        <v>1526</v>
      </c>
      <c r="G184" s="494"/>
      <c r="H184" s="494"/>
      <c r="I184" s="560" t="s">
        <v>1716</v>
      </c>
      <c r="J184" s="935" t="s">
        <v>1792</v>
      </c>
      <c r="K184" s="677" t="str">
        <f>IF(L184=0,"",(INDEX(AccountCodes[ACCOUNT NAME],MATCH(L184,AccountCodes[NGAS CODE],0))))</f>
        <v>Due to GSIS - Life and Retirement Premium</v>
      </c>
      <c r="L184" s="936" t="s">
        <v>1440</v>
      </c>
      <c r="M184" s="938"/>
      <c r="N184" s="938">
        <v>5248.8</v>
      </c>
      <c r="O184" s="967"/>
      <c r="P184" s="971">
        <f t="shared" si="11"/>
        <v>25341.59</v>
      </c>
    </row>
    <row r="185" spans="1:16" ht="39" hidden="1" customHeight="1">
      <c r="A185" s="541">
        <v>45016</v>
      </c>
      <c r="B185" s="716">
        <v>45001</v>
      </c>
      <c r="C185" s="494" t="s">
        <v>1791</v>
      </c>
      <c r="D185" s="494" t="s">
        <v>1754</v>
      </c>
      <c r="E185" s="185" t="s">
        <v>762</v>
      </c>
      <c r="F185" s="137" t="s">
        <v>1526</v>
      </c>
      <c r="G185" s="494"/>
      <c r="H185" s="494"/>
      <c r="I185" s="560" t="s">
        <v>1716</v>
      </c>
      <c r="J185" s="935" t="s">
        <v>1792</v>
      </c>
      <c r="K185" s="677" t="str">
        <f>IF(L185=0,"",(INDEX(AccountCodes[ACCOUNT NAME],MATCH(L185,AccountCodes[NGAS CODE],0))))</f>
        <v>Due to Pag-IBIG - Pag-IBIG Premium</v>
      </c>
      <c r="L185" s="936" t="s">
        <v>1444</v>
      </c>
      <c r="M185" s="938"/>
      <c r="N185" s="938">
        <v>1166.4000000000001</v>
      </c>
      <c r="O185" s="967"/>
      <c r="P185" s="971">
        <f t="shared" si="11"/>
        <v>24175.19</v>
      </c>
    </row>
    <row r="186" spans="1:16" ht="39" hidden="1" customHeight="1">
      <c r="A186" s="541">
        <v>45016</v>
      </c>
      <c r="B186" s="716">
        <v>45001</v>
      </c>
      <c r="C186" s="494" t="s">
        <v>1791</v>
      </c>
      <c r="D186" s="494" t="s">
        <v>1754</v>
      </c>
      <c r="E186" s="185" t="s">
        <v>762</v>
      </c>
      <c r="F186" s="137" t="s">
        <v>1526</v>
      </c>
      <c r="G186" s="494"/>
      <c r="H186" s="494"/>
      <c r="I186" s="560" t="s">
        <v>1716</v>
      </c>
      <c r="J186" s="935" t="s">
        <v>1792</v>
      </c>
      <c r="K186" s="677" t="str">
        <f>IF(L186=0,"",(INDEX(AccountCodes[ACCOUNT NAME],MATCH(L186,AccountCodes[NGAS CODE],0))))</f>
        <v>Due to Pag-IBIG - MP2</v>
      </c>
      <c r="L186" s="936" t="s">
        <v>1508</v>
      </c>
      <c r="M186" s="938"/>
      <c r="N186" s="938">
        <v>4000</v>
      </c>
      <c r="O186" s="967"/>
      <c r="P186" s="971">
        <f t="shared" si="11"/>
        <v>20175.189999999999</v>
      </c>
    </row>
    <row r="187" spans="1:16" ht="39" hidden="1" customHeight="1">
      <c r="A187" s="541">
        <v>45016</v>
      </c>
      <c r="B187" s="716">
        <v>45001</v>
      </c>
      <c r="C187" s="494" t="s">
        <v>1791</v>
      </c>
      <c r="D187" s="494" t="s">
        <v>1754</v>
      </c>
      <c r="E187" s="185" t="s">
        <v>762</v>
      </c>
      <c r="F187" s="137" t="s">
        <v>1526</v>
      </c>
      <c r="G187" s="494"/>
      <c r="H187" s="494"/>
      <c r="I187" s="560" t="s">
        <v>1716</v>
      </c>
      <c r="J187" s="935" t="s">
        <v>1792</v>
      </c>
      <c r="K187" s="677" t="str">
        <f>IF(L187=0,"",(INDEX(AccountCodes[ACCOUNT NAME],MATCH(L187,AccountCodes[NGAS CODE],0))))</f>
        <v>Due to PhilHealth</v>
      </c>
      <c r="L187" s="936" t="s">
        <v>112</v>
      </c>
      <c r="M187" s="938"/>
      <c r="N187" s="938">
        <v>1166.4000000000001</v>
      </c>
      <c r="O187" s="967"/>
      <c r="P187" s="971">
        <f t="shared" si="11"/>
        <v>19008.79</v>
      </c>
    </row>
    <row r="188" spans="1:16" ht="39" hidden="1" customHeight="1">
      <c r="A188" s="541">
        <v>45016</v>
      </c>
      <c r="B188" s="716">
        <v>45001</v>
      </c>
      <c r="C188" s="494" t="s">
        <v>1791</v>
      </c>
      <c r="D188" s="494" t="s">
        <v>1754</v>
      </c>
      <c r="E188" s="185" t="s">
        <v>762</v>
      </c>
      <c r="F188" s="137" t="s">
        <v>1526</v>
      </c>
      <c r="G188" s="494"/>
      <c r="H188" s="494"/>
      <c r="I188" s="560" t="s">
        <v>1716</v>
      </c>
      <c r="J188" s="935" t="s">
        <v>1792</v>
      </c>
      <c r="K188" s="677" t="str">
        <f>IF(L188=0,"",(INDEX(AccountCodes[ACCOUNT NAME],MATCH(L188,AccountCodes[NGAS CODE],0))))</f>
        <v>Cash in Bank-Local Currency, Current Account - FO</v>
      </c>
      <c r="L188" s="936" t="s">
        <v>1564</v>
      </c>
      <c r="M188" s="938"/>
      <c r="N188" s="938">
        <v>49407.64</v>
      </c>
      <c r="O188" s="967"/>
      <c r="P188" s="971">
        <f t="shared" si="11"/>
        <v>-30398.85</v>
      </c>
    </row>
    <row r="189" spans="1:16" ht="39" hidden="1" customHeight="1">
      <c r="A189" s="541">
        <v>45016</v>
      </c>
      <c r="B189" s="716">
        <v>45001</v>
      </c>
      <c r="C189" s="494" t="s">
        <v>1793</v>
      </c>
      <c r="D189" s="494" t="s">
        <v>1754</v>
      </c>
      <c r="E189" s="185" t="s">
        <v>762</v>
      </c>
      <c r="F189" s="137" t="s">
        <v>1526</v>
      </c>
      <c r="G189" s="494"/>
      <c r="H189" s="494"/>
      <c r="I189" s="560" t="s">
        <v>1755</v>
      </c>
      <c r="J189" s="935" t="s">
        <v>1794</v>
      </c>
      <c r="K189" s="677" t="str">
        <f>IF(L189=0,"",(INDEX(AccountCodes[ACCOUNT NAME],MATCH(L189,AccountCodes[NGAS CODE],0))))</f>
        <v>Other Maintenance and Operating Expenses - Other Maintenance and Operating Expenses</v>
      </c>
      <c r="L189" s="936" t="s">
        <v>405</v>
      </c>
      <c r="M189" s="938">
        <v>53044.18</v>
      </c>
      <c r="N189" s="938"/>
      <c r="O189" s="972" t="s">
        <v>1735</v>
      </c>
      <c r="P189" s="971">
        <f t="shared" si="11"/>
        <v>22645.33</v>
      </c>
    </row>
    <row r="190" spans="1:16" ht="39" hidden="1" customHeight="1">
      <c r="A190" s="541">
        <v>45016</v>
      </c>
      <c r="B190" s="716">
        <v>45001</v>
      </c>
      <c r="C190" s="494" t="s">
        <v>1793</v>
      </c>
      <c r="D190" s="494" t="s">
        <v>1754</v>
      </c>
      <c r="E190" s="185" t="s">
        <v>762</v>
      </c>
      <c r="F190" s="137" t="s">
        <v>1526</v>
      </c>
      <c r="G190" s="494"/>
      <c r="H190" s="494"/>
      <c r="I190" s="560" t="s">
        <v>1755</v>
      </c>
      <c r="J190" s="935" t="s">
        <v>1794</v>
      </c>
      <c r="K190" s="677" t="str">
        <f>IF(L190=0,"",(INDEX(AccountCodes[ACCOUNT NAME],MATCH(L190,AccountCodes[NGAS CODE],0))))</f>
        <v>Due to Pag-IBIG - Pag-IBIG Premium</v>
      </c>
      <c r="L190" s="936" t="s">
        <v>1444</v>
      </c>
      <c r="M190" s="938"/>
      <c r="N190" s="938">
        <v>2200</v>
      </c>
      <c r="O190" s="967"/>
      <c r="P190" s="971">
        <f t="shared" si="11"/>
        <v>20445.330000000002</v>
      </c>
    </row>
    <row r="191" spans="1:16" ht="39" hidden="1" customHeight="1">
      <c r="A191" s="541">
        <v>45016</v>
      </c>
      <c r="B191" s="716">
        <v>45001</v>
      </c>
      <c r="C191" s="494" t="s">
        <v>1793</v>
      </c>
      <c r="D191" s="494" t="s">
        <v>1754</v>
      </c>
      <c r="E191" s="185" t="s">
        <v>762</v>
      </c>
      <c r="F191" s="137" t="s">
        <v>1526</v>
      </c>
      <c r="G191" s="494"/>
      <c r="H191" s="494"/>
      <c r="I191" s="560" t="s">
        <v>1755</v>
      </c>
      <c r="J191" s="935" t="s">
        <v>1794</v>
      </c>
      <c r="K191" s="677" t="str">
        <f>IF(L191=0,"",(INDEX(AccountCodes[ACCOUNT NAME],MATCH(L191,AccountCodes[NGAS CODE],0))))</f>
        <v>Due to Pag-IBIG - Pag-IBIG Multi-Purpose Loan</v>
      </c>
      <c r="L191" s="936" t="s">
        <v>1445</v>
      </c>
      <c r="M191" s="938"/>
      <c r="N191" s="938">
        <v>1989.56</v>
      </c>
      <c r="O191" s="967"/>
      <c r="P191" s="971">
        <f t="shared" si="11"/>
        <v>18455.77</v>
      </c>
    </row>
    <row r="192" spans="1:16" ht="39" hidden="1" customHeight="1">
      <c r="A192" s="541">
        <v>45016</v>
      </c>
      <c r="B192" s="716">
        <v>45001</v>
      </c>
      <c r="C192" s="494" t="s">
        <v>1793</v>
      </c>
      <c r="D192" s="494" t="s">
        <v>1754</v>
      </c>
      <c r="E192" s="185" t="s">
        <v>762</v>
      </c>
      <c r="F192" s="137" t="s">
        <v>1526</v>
      </c>
      <c r="G192" s="494"/>
      <c r="H192" s="494"/>
      <c r="I192" s="560" t="s">
        <v>1755</v>
      </c>
      <c r="J192" s="935" t="s">
        <v>1794</v>
      </c>
      <c r="K192" s="677" t="str">
        <f>IF(L192=0,"",(INDEX(AccountCodes[ACCOUNT NAME],MATCH(L192,AccountCodes[NGAS CODE],0))))</f>
        <v>Other Payables</v>
      </c>
      <c r="L192" s="936" t="s">
        <v>117</v>
      </c>
      <c r="M192" s="938"/>
      <c r="N192" s="938">
        <v>7091.66</v>
      </c>
      <c r="O192" s="967"/>
      <c r="P192" s="971">
        <f>P131+M192-N192</f>
        <v>-24770.51</v>
      </c>
    </row>
    <row r="193" spans="1:16" ht="39" hidden="1" customHeight="1">
      <c r="A193" s="541">
        <v>45016</v>
      </c>
      <c r="B193" s="716">
        <v>45001</v>
      </c>
      <c r="C193" s="494" t="s">
        <v>1793</v>
      </c>
      <c r="D193" s="494" t="s">
        <v>1754</v>
      </c>
      <c r="E193" s="185" t="s">
        <v>762</v>
      </c>
      <c r="F193" s="137" t="s">
        <v>1526</v>
      </c>
      <c r="G193" s="494"/>
      <c r="H193" s="494"/>
      <c r="I193" s="560" t="s">
        <v>1755</v>
      </c>
      <c r="J193" s="935" t="s">
        <v>1794</v>
      </c>
      <c r="K193" s="677" t="str">
        <f>IF(L193=0,"",(INDEX(AccountCodes[ACCOUNT NAME],MATCH(L193,AccountCodes[NGAS CODE],0))))</f>
        <v>Cash in Bank-Local Currency, Current Account - FO</v>
      </c>
      <c r="L193" s="936" t="s">
        <v>1564</v>
      </c>
      <c r="M193" s="938"/>
      <c r="N193" s="938">
        <v>41762.959999999999</v>
      </c>
      <c r="O193" s="967"/>
      <c r="P193" s="971">
        <f t="shared" ref="P193:P203" si="12">P192+M193-N193</f>
        <v>-66533.47</v>
      </c>
    </row>
    <row r="194" spans="1:16" ht="39" hidden="1" customHeight="1">
      <c r="A194" s="541">
        <v>45016</v>
      </c>
      <c r="B194" s="716">
        <v>45005</v>
      </c>
      <c r="C194" s="145" t="s">
        <v>1795</v>
      </c>
      <c r="D194" s="494" t="s">
        <v>1754</v>
      </c>
      <c r="E194" s="185" t="s">
        <v>762</v>
      </c>
      <c r="F194" s="137" t="s">
        <v>1526</v>
      </c>
      <c r="G194" s="494"/>
      <c r="H194" s="494"/>
      <c r="I194" s="560" t="s">
        <v>1796</v>
      </c>
      <c r="J194" s="935" t="s">
        <v>1797</v>
      </c>
      <c r="K194" s="677" t="str">
        <f>IF(L194=0,"",(INDEX(AccountCodes[ACCOUNT NAME],MATCH(L194,AccountCodes[NGAS CODE],0))))</f>
        <v>Due to Other Funds</v>
      </c>
      <c r="L194" s="936" t="s">
        <v>114</v>
      </c>
      <c r="M194" s="938">
        <v>15211.73</v>
      </c>
      <c r="N194" s="938"/>
      <c r="O194" s="972" t="s">
        <v>1735</v>
      </c>
      <c r="P194" s="971">
        <f t="shared" si="12"/>
        <v>-51321.74</v>
      </c>
    </row>
    <row r="195" spans="1:16" ht="39" hidden="1" customHeight="1">
      <c r="A195" s="541">
        <v>45016</v>
      </c>
      <c r="B195" s="716">
        <v>45005</v>
      </c>
      <c r="C195" s="145" t="s">
        <v>1795</v>
      </c>
      <c r="D195" s="494" t="s">
        <v>1754</v>
      </c>
      <c r="E195" s="185" t="s">
        <v>762</v>
      </c>
      <c r="F195" s="137" t="s">
        <v>1526</v>
      </c>
      <c r="G195" s="494"/>
      <c r="H195" s="494"/>
      <c r="I195" s="560" t="s">
        <v>1796</v>
      </c>
      <c r="J195" s="935" t="s">
        <v>1797</v>
      </c>
      <c r="K195" s="677" t="str">
        <f>IF(L195=0,"",(INDEX(AccountCodes[ACCOUNT NAME],MATCH(L195,AccountCodes[NGAS CODE],0))))</f>
        <v>Cash in Bank-Local Currency, Current Account - FO</v>
      </c>
      <c r="L195" s="936" t="s">
        <v>1564</v>
      </c>
      <c r="M195" s="938"/>
      <c r="N195" s="938">
        <v>15211.73</v>
      </c>
      <c r="O195" s="967"/>
      <c r="P195" s="971">
        <f t="shared" si="12"/>
        <v>-66533.47</v>
      </c>
    </row>
    <row r="196" spans="1:16" ht="39" hidden="1" customHeight="1">
      <c r="A196" s="541">
        <v>45016</v>
      </c>
      <c r="B196" s="716">
        <v>45005</v>
      </c>
      <c r="C196" s="145" t="s">
        <v>1798</v>
      </c>
      <c r="D196" s="494" t="s">
        <v>1754</v>
      </c>
      <c r="E196" s="185" t="s">
        <v>762</v>
      </c>
      <c r="F196" s="137" t="s">
        <v>1526</v>
      </c>
      <c r="G196" s="494"/>
      <c r="H196" s="494"/>
      <c r="I196" s="560" t="s">
        <v>1799</v>
      </c>
      <c r="J196" s="935" t="s">
        <v>1800</v>
      </c>
      <c r="K196" s="677" t="str">
        <f>IF(L196=0,"",(INDEX(AccountCodes[ACCOUNT NAME],MATCH(L196,AccountCodes[NGAS CODE],0))))</f>
        <v>Training Expenses</v>
      </c>
      <c r="L196" s="936" t="s">
        <v>224</v>
      </c>
      <c r="M196" s="938">
        <v>51800</v>
      </c>
      <c r="N196" s="938"/>
      <c r="O196" s="954" t="s">
        <v>1790</v>
      </c>
      <c r="P196" s="971">
        <f t="shared" si="12"/>
        <v>-14733.47</v>
      </c>
    </row>
    <row r="197" spans="1:16" ht="39" hidden="1" customHeight="1">
      <c r="A197" s="541">
        <v>45016</v>
      </c>
      <c r="B197" s="716">
        <v>45005</v>
      </c>
      <c r="C197" s="145" t="s">
        <v>1798</v>
      </c>
      <c r="D197" s="494" t="s">
        <v>1754</v>
      </c>
      <c r="E197" s="185" t="s">
        <v>762</v>
      </c>
      <c r="F197" s="137" t="s">
        <v>1526</v>
      </c>
      <c r="G197" s="494"/>
      <c r="H197" s="494"/>
      <c r="I197" s="560" t="s">
        <v>1799</v>
      </c>
      <c r="J197" s="935" t="s">
        <v>1800</v>
      </c>
      <c r="K197" s="677" t="str">
        <f>IF(L197=0,"",(INDEX(AccountCodes[ACCOUNT NAME],MATCH(L197,AccountCodes[NGAS CODE],0))))</f>
        <v>Due to BIR - 1%</v>
      </c>
      <c r="L197" s="936" t="s">
        <v>1554</v>
      </c>
      <c r="M197" s="938"/>
      <c r="N197" s="938">
        <v>518</v>
      </c>
      <c r="O197" s="967"/>
      <c r="P197" s="971">
        <f t="shared" si="12"/>
        <v>-15251.47</v>
      </c>
    </row>
    <row r="198" spans="1:16" ht="39" hidden="1" customHeight="1">
      <c r="A198" s="541">
        <v>45016</v>
      </c>
      <c r="B198" s="716">
        <v>45005</v>
      </c>
      <c r="C198" s="145" t="s">
        <v>1798</v>
      </c>
      <c r="D198" s="494" t="s">
        <v>1754</v>
      </c>
      <c r="E198" s="185" t="s">
        <v>762</v>
      </c>
      <c r="F198" s="137" t="s">
        <v>1526</v>
      </c>
      <c r="G198" s="494"/>
      <c r="H198" s="494"/>
      <c r="I198" s="560" t="s">
        <v>1799</v>
      </c>
      <c r="J198" s="935" t="s">
        <v>1800</v>
      </c>
      <c r="K198" s="677" t="str">
        <f>IF(L198=0,"",(INDEX(AccountCodes[ACCOUNT NAME],MATCH(L198,AccountCodes[NGAS CODE],0))))</f>
        <v>Due to BIR - 1%</v>
      </c>
      <c r="L198" s="936" t="s">
        <v>1554</v>
      </c>
      <c r="M198" s="938"/>
      <c r="N198" s="938">
        <v>518</v>
      </c>
      <c r="O198" s="967"/>
      <c r="P198" s="971">
        <f t="shared" si="12"/>
        <v>-15769.47</v>
      </c>
    </row>
    <row r="199" spans="1:16" ht="39" hidden="1" customHeight="1">
      <c r="A199" s="541">
        <v>45016</v>
      </c>
      <c r="B199" s="716">
        <v>45005</v>
      </c>
      <c r="C199" s="145" t="s">
        <v>1798</v>
      </c>
      <c r="D199" s="494" t="s">
        <v>1754</v>
      </c>
      <c r="E199" s="185" t="s">
        <v>762</v>
      </c>
      <c r="F199" s="137" t="s">
        <v>1526</v>
      </c>
      <c r="G199" s="494"/>
      <c r="H199" s="494"/>
      <c r="I199" s="560" t="s">
        <v>1799</v>
      </c>
      <c r="J199" s="935" t="s">
        <v>1800</v>
      </c>
      <c r="K199" s="677" t="str">
        <f>IF(L199=0,"",(INDEX(AccountCodes[ACCOUNT NAME],MATCH(L199,AccountCodes[NGAS CODE],0))))</f>
        <v>Cash in Bank-Local Currency, Current Account - FO</v>
      </c>
      <c r="L199" s="936" t="s">
        <v>1564</v>
      </c>
      <c r="M199" s="938"/>
      <c r="N199" s="938">
        <v>50764</v>
      </c>
      <c r="O199" s="967"/>
      <c r="P199" s="971">
        <f t="shared" si="12"/>
        <v>-66533.47</v>
      </c>
    </row>
    <row r="200" spans="1:16" ht="39" hidden="1" customHeight="1">
      <c r="A200" s="541">
        <v>45016</v>
      </c>
      <c r="B200" s="716">
        <v>45005</v>
      </c>
      <c r="C200" s="145" t="s">
        <v>1801</v>
      </c>
      <c r="D200" s="494" t="s">
        <v>1754</v>
      </c>
      <c r="E200" s="185" t="s">
        <v>762</v>
      </c>
      <c r="F200" s="137" t="s">
        <v>1526</v>
      </c>
      <c r="G200" s="494"/>
      <c r="H200" s="494"/>
      <c r="I200" s="560" t="s">
        <v>1802</v>
      </c>
      <c r="J200" s="935" t="s">
        <v>1803</v>
      </c>
      <c r="K200" s="677" t="str">
        <f>IF(L200=0,"",(INDEX(AccountCodes[ACCOUNT NAME],MATCH(L200,AccountCodes[NGAS CODE],0))))</f>
        <v>Other Maintenance and Operating Expenses - Other Maintenance and Operating Expenses</v>
      </c>
      <c r="L200" s="936" t="s">
        <v>405</v>
      </c>
      <c r="M200" s="938">
        <v>2200</v>
      </c>
      <c r="N200" s="938"/>
      <c r="O200" s="972" t="s">
        <v>1690</v>
      </c>
      <c r="P200" s="971">
        <f t="shared" si="12"/>
        <v>-64333.47</v>
      </c>
    </row>
    <row r="201" spans="1:16" ht="39" hidden="1" customHeight="1">
      <c r="A201" s="541">
        <v>45016</v>
      </c>
      <c r="B201" s="716">
        <v>45005</v>
      </c>
      <c r="C201" s="145" t="s">
        <v>1801</v>
      </c>
      <c r="D201" s="494" t="s">
        <v>1754</v>
      </c>
      <c r="E201" s="185" t="s">
        <v>762</v>
      </c>
      <c r="F201" s="137" t="s">
        <v>1526</v>
      </c>
      <c r="G201" s="494"/>
      <c r="H201" s="494"/>
      <c r="I201" s="560" t="s">
        <v>1802</v>
      </c>
      <c r="J201" s="935" t="s">
        <v>1803</v>
      </c>
      <c r="K201" s="677" t="str">
        <f>IF(L201=0,"",(INDEX(AccountCodes[ACCOUNT NAME],MATCH(L201,AccountCodes[NGAS CODE],0))))</f>
        <v>Due to BIR - 1%</v>
      </c>
      <c r="L201" s="936" t="s">
        <v>1554</v>
      </c>
      <c r="M201" s="938"/>
      <c r="N201" s="938">
        <v>22</v>
      </c>
      <c r="O201" s="967"/>
      <c r="P201" s="971">
        <f t="shared" si="12"/>
        <v>-64355.47</v>
      </c>
    </row>
    <row r="202" spans="1:16" ht="39" hidden="1" customHeight="1">
      <c r="A202" s="541">
        <v>45016</v>
      </c>
      <c r="B202" s="716">
        <v>45005</v>
      </c>
      <c r="C202" s="145" t="s">
        <v>1801</v>
      </c>
      <c r="D202" s="494" t="s">
        <v>1754</v>
      </c>
      <c r="E202" s="185" t="s">
        <v>762</v>
      </c>
      <c r="F202" s="137" t="s">
        <v>1526</v>
      </c>
      <c r="G202" s="494"/>
      <c r="H202" s="494"/>
      <c r="I202" s="560" t="s">
        <v>1802</v>
      </c>
      <c r="J202" s="935" t="s">
        <v>1803</v>
      </c>
      <c r="K202" s="677" t="str">
        <f>IF(L202=0,"",(INDEX(AccountCodes[ACCOUNT NAME],MATCH(L202,AccountCodes[NGAS CODE],0))))</f>
        <v>Due to BIR - 5%</v>
      </c>
      <c r="L202" s="936" t="s">
        <v>1548</v>
      </c>
      <c r="M202" s="938"/>
      <c r="N202" s="938">
        <v>110</v>
      </c>
      <c r="O202" s="967"/>
      <c r="P202" s="971">
        <f t="shared" si="12"/>
        <v>-64465.47</v>
      </c>
    </row>
    <row r="203" spans="1:16" ht="39" hidden="1" customHeight="1">
      <c r="A203" s="541">
        <v>45016</v>
      </c>
      <c r="B203" s="716">
        <v>45005</v>
      </c>
      <c r="C203" s="145" t="s">
        <v>1801</v>
      </c>
      <c r="D203" s="494" t="s">
        <v>1754</v>
      </c>
      <c r="E203" s="185" t="s">
        <v>762</v>
      </c>
      <c r="F203" s="137" t="s">
        <v>1526</v>
      </c>
      <c r="G203" s="494"/>
      <c r="H203" s="494"/>
      <c r="I203" s="560" t="s">
        <v>1802</v>
      </c>
      <c r="J203" s="935" t="s">
        <v>1803</v>
      </c>
      <c r="K203" s="677" t="str">
        <f>IF(L203=0,"",(INDEX(AccountCodes[ACCOUNT NAME],MATCH(L203,AccountCodes[NGAS CODE],0))))</f>
        <v>Cash in Bank-Local Currency, Current Account - FO</v>
      </c>
      <c r="L203" s="936" t="s">
        <v>1564</v>
      </c>
      <c r="M203" s="938"/>
      <c r="N203" s="938">
        <v>2068</v>
      </c>
      <c r="O203" s="967"/>
      <c r="P203" s="971">
        <f t="shared" si="12"/>
        <v>-66533.47</v>
      </c>
    </row>
    <row r="204" spans="1:16" ht="39" hidden="1" customHeight="1">
      <c r="A204" s="541">
        <v>45016</v>
      </c>
      <c r="B204" s="716">
        <v>45012</v>
      </c>
      <c r="C204" s="145" t="s">
        <v>1804</v>
      </c>
      <c r="D204" s="494" t="s">
        <v>1754</v>
      </c>
      <c r="E204" s="185" t="s">
        <v>762</v>
      </c>
      <c r="F204" s="137" t="s">
        <v>1526</v>
      </c>
      <c r="G204" s="494"/>
      <c r="H204" s="494"/>
      <c r="I204" s="560" t="s">
        <v>1698</v>
      </c>
      <c r="J204" s="935" t="s">
        <v>1805</v>
      </c>
      <c r="K204" s="677" t="str">
        <f>IF(L204=0,"",(INDEX(AccountCodes[ACCOUNT NAME],MATCH(L204,AccountCodes[NGAS CODE],0))))</f>
        <v>Due to Pag-IBIG - Pag-IBIG Premium</v>
      </c>
      <c r="L204" s="936" t="s">
        <v>1444</v>
      </c>
      <c r="M204" s="938">
        <v>2200</v>
      </c>
      <c r="N204" s="938"/>
      <c r="O204" s="972" t="s">
        <v>1735</v>
      </c>
      <c r="P204" s="971">
        <f>P131+M204-N204</f>
        <v>-15478.85</v>
      </c>
    </row>
    <row r="205" spans="1:16" ht="39" hidden="1" customHeight="1">
      <c r="A205" s="541">
        <v>45016</v>
      </c>
      <c r="B205" s="716">
        <v>45012</v>
      </c>
      <c r="C205" s="145" t="s">
        <v>1804</v>
      </c>
      <c r="D205" s="494" t="s">
        <v>1754</v>
      </c>
      <c r="E205" s="185" t="s">
        <v>762</v>
      </c>
      <c r="F205" s="137" t="s">
        <v>1526</v>
      </c>
      <c r="G205" s="494"/>
      <c r="H205" s="494"/>
      <c r="I205" s="560" t="s">
        <v>1698</v>
      </c>
      <c r="J205" s="935" t="s">
        <v>1805</v>
      </c>
      <c r="K205" s="677" t="str">
        <f>IF(L205=0,"",(INDEX(AccountCodes[ACCOUNT NAME],MATCH(L205,AccountCodes[NGAS CODE],0))))</f>
        <v>Cash in Bank-Local Currency, Current Account - FO</v>
      </c>
      <c r="L205" s="936" t="s">
        <v>1564</v>
      </c>
      <c r="M205" s="938"/>
      <c r="N205" s="938">
        <v>2200</v>
      </c>
      <c r="O205" s="967"/>
      <c r="P205" s="971">
        <f t="shared" ref="P205:P215" si="13">P204+M205-N205</f>
        <v>-17678.849999999999</v>
      </c>
    </row>
    <row r="206" spans="1:16" ht="39" hidden="1" customHeight="1">
      <c r="A206" s="541">
        <v>45016</v>
      </c>
      <c r="B206" s="716">
        <v>45012</v>
      </c>
      <c r="C206" s="145" t="s">
        <v>1806</v>
      </c>
      <c r="D206" s="494" t="s">
        <v>1754</v>
      </c>
      <c r="E206" s="185" t="s">
        <v>762</v>
      </c>
      <c r="F206" s="137" t="s">
        <v>1526</v>
      </c>
      <c r="G206" s="494"/>
      <c r="H206" s="494"/>
      <c r="I206" s="560" t="s">
        <v>1689</v>
      </c>
      <c r="J206" s="935" t="s">
        <v>1807</v>
      </c>
      <c r="K206" s="677" t="str">
        <f>IF(L206=0,"",(INDEX(AccountCodes[ACCOUNT NAME],MATCH(L206,AccountCodes[NGAS CODE],0))))</f>
        <v>Due to PhilHealth</v>
      </c>
      <c r="L206" s="936" t="s">
        <v>112</v>
      </c>
      <c r="M206" s="938">
        <v>3830.51</v>
      </c>
      <c r="N206" s="938"/>
      <c r="O206" s="972" t="s">
        <v>1735</v>
      </c>
      <c r="P206" s="971">
        <f t="shared" si="13"/>
        <v>-13848.34</v>
      </c>
    </row>
    <row r="207" spans="1:16" ht="39" hidden="1" customHeight="1">
      <c r="A207" s="541">
        <v>45016</v>
      </c>
      <c r="B207" s="716">
        <v>45012</v>
      </c>
      <c r="C207" s="145" t="s">
        <v>1806</v>
      </c>
      <c r="D207" s="494" t="s">
        <v>1754</v>
      </c>
      <c r="E207" s="185" t="s">
        <v>762</v>
      </c>
      <c r="F207" s="137" t="s">
        <v>1526</v>
      </c>
      <c r="G207" s="494"/>
      <c r="H207" s="494"/>
      <c r="I207" s="560" t="s">
        <v>1689</v>
      </c>
      <c r="J207" s="935" t="s">
        <v>1807</v>
      </c>
      <c r="K207" s="677" t="str">
        <f>IF(L207=0,"",(INDEX(AccountCodes[ACCOUNT NAME],MATCH(L207,AccountCodes[NGAS CODE],0))))</f>
        <v>Cash in Bank-Local Currency, Current Account - FO</v>
      </c>
      <c r="L207" s="936" t="s">
        <v>1564</v>
      </c>
      <c r="M207" s="938"/>
      <c r="N207" s="938">
        <v>3830.51</v>
      </c>
      <c r="O207" s="967"/>
      <c r="P207" s="971">
        <f t="shared" si="13"/>
        <v>-17678.849999999999</v>
      </c>
    </row>
    <row r="208" spans="1:16" ht="39" hidden="1" customHeight="1">
      <c r="A208" s="541">
        <v>45016</v>
      </c>
      <c r="B208" s="716">
        <v>45012</v>
      </c>
      <c r="C208" s="145" t="s">
        <v>1808</v>
      </c>
      <c r="D208" s="494" t="s">
        <v>1754</v>
      </c>
      <c r="E208" s="185" t="s">
        <v>762</v>
      </c>
      <c r="F208" s="137" t="s">
        <v>1526</v>
      </c>
      <c r="G208" s="494"/>
      <c r="H208" s="494"/>
      <c r="I208" s="560" t="s">
        <v>1809</v>
      </c>
      <c r="J208" s="935" t="s">
        <v>1810</v>
      </c>
      <c r="K208" s="677" t="str">
        <f>IF(L208=0,"",(INDEX(AccountCodes[ACCOUNT NAME],MATCH(L208,AccountCodes[NGAS CODE],0))))</f>
        <v>Other Payables</v>
      </c>
      <c r="L208" s="936" t="s">
        <v>117</v>
      </c>
      <c r="M208" s="938">
        <v>7091.66</v>
      </c>
      <c r="N208" s="938"/>
      <c r="O208" s="972" t="s">
        <v>1735</v>
      </c>
      <c r="P208" s="971">
        <f t="shared" si="13"/>
        <v>-10587.19</v>
      </c>
    </row>
    <row r="209" spans="1:16" ht="39" hidden="1" customHeight="1">
      <c r="A209" s="541">
        <v>45016</v>
      </c>
      <c r="B209" s="716">
        <v>45012</v>
      </c>
      <c r="C209" s="145" t="s">
        <v>1808</v>
      </c>
      <c r="D209" s="494" t="s">
        <v>1754</v>
      </c>
      <c r="E209" s="185" t="s">
        <v>762</v>
      </c>
      <c r="F209" s="137" t="s">
        <v>1526</v>
      </c>
      <c r="G209" s="494"/>
      <c r="H209" s="494"/>
      <c r="I209" s="560" t="s">
        <v>1809</v>
      </c>
      <c r="J209" s="935" t="s">
        <v>1810</v>
      </c>
      <c r="K209" s="677" t="str">
        <f>IF(L209=0,"",(INDEX(AccountCodes[ACCOUNT NAME],MATCH(L209,AccountCodes[NGAS CODE],0))))</f>
        <v>Cash in Bank-Local Currency, Current Account - FO</v>
      </c>
      <c r="L209" s="936" t="s">
        <v>1564</v>
      </c>
      <c r="M209" s="938"/>
      <c r="N209" s="938">
        <v>7091.66</v>
      </c>
      <c r="O209" s="967"/>
      <c r="P209" s="971">
        <f t="shared" si="13"/>
        <v>-17678.849999999999</v>
      </c>
    </row>
    <row r="210" spans="1:16" ht="39" hidden="1" customHeight="1">
      <c r="A210" s="541">
        <v>45016</v>
      </c>
      <c r="B210" s="716">
        <v>45012</v>
      </c>
      <c r="C210" s="145" t="s">
        <v>1811</v>
      </c>
      <c r="D210" s="494" t="s">
        <v>1754</v>
      </c>
      <c r="E210" s="185" t="s">
        <v>762</v>
      </c>
      <c r="F210" s="137" t="s">
        <v>1526</v>
      </c>
      <c r="G210" s="494"/>
      <c r="H210" s="494"/>
      <c r="I210" s="560" t="s">
        <v>1809</v>
      </c>
      <c r="J210" s="935" t="s">
        <v>1812</v>
      </c>
      <c r="K210" s="677" t="str">
        <f>IF(L210=0,"",(INDEX(AccountCodes[ACCOUNT NAME],MATCH(L210,AccountCodes[NGAS CODE],0))))</f>
        <v>Other Payables</v>
      </c>
      <c r="L210" s="936" t="s">
        <v>117</v>
      </c>
      <c r="M210" s="938">
        <v>7129.16</v>
      </c>
      <c r="N210" s="938"/>
      <c r="O210" s="972" t="s">
        <v>1735</v>
      </c>
      <c r="P210" s="971">
        <f t="shared" si="13"/>
        <v>-10549.69</v>
      </c>
    </row>
    <row r="211" spans="1:16" ht="39" hidden="1" customHeight="1">
      <c r="A211" s="541">
        <v>45016</v>
      </c>
      <c r="B211" s="716">
        <v>45012</v>
      </c>
      <c r="C211" s="145" t="s">
        <v>1811</v>
      </c>
      <c r="D211" s="494" t="s">
        <v>1754</v>
      </c>
      <c r="E211" s="185" t="s">
        <v>762</v>
      </c>
      <c r="F211" s="137" t="s">
        <v>1526</v>
      </c>
      <c r="G211" s="494"/>
      <c r="H211" s="494"/>
      <c r="I211" s="560" t="s">
        <v>1809</v>
      </c>
      <c r="J211" s="935" t="s">
        <v>1812</v>
      </c>
      <c r="K211" s="677" t="str">
        <f>IF(L211=0,"",(INDEX(AccountCodes[ACCOUNT NAME],MATCH(L211,AccountCodes[NGAS CODE],0))))</f>
        <v>Cash in Bank-Local Currency, Current Account - FO</v>
      </c>
      <c r="L211" s="936" t="s">
        <v>1564</v>
      </c>
      <c r="M211" s="938"/>
      <c r="N211" s="938">
        <v>7129.16</v>
      </c>
      <c r="O211" s="967"/>
      <c r="P211" s="971">
        <f t="shared" si="13"/>
        <v>-17678.849999999999</v>
      </c>
    </row>
    <row r="212" spans="1:16" ht="39" hidden="1" customHeight="1">
      <c r="A212" s="541">
        <v>45016</v>
      </c>
      <c r="B212" s="716">
        <v>45012</v>
      </c>
      <c r="C212" s="145" t="s">
        <v>1813</v>
      </c>
      <c r="D212" s="494" t="s">
        <v>1754</v>
      </c>
      <c r="E212" s="185" t="s">
        <v>762</v>
      </c>
      <c r="F212" s="137" t="s">
        <v>1526</v>
      </c>
      <c r="G212" s="494"/>
      <c r="H212" s="494"/>
      <c r="I212" s="560" t="s">
        <v>1698</v>
      </c>
      <c r="J212" s="935" t="s">
        <v>1814</v>
      </c>
      <c r="K212" s="677" t="str">
        <f>IF(L212=0,"",(INDEX(AccountCodes[ACCOUNT NAME],MATCH(L212,AccountCodes[NGAS CODE],0))))</f>
        <v>Due to Pag-IBIG - Pag-IBIG Multi-Purpose Loan</v>
      </c>
      <c r="L212" s="936" t="s">
        <v>1445</v>
      </c>
      <c r="M212" s="938">
        <v>1989.56</v>
      </c>
      <c r="N212" s="938"/>
      <c r="O212" s="972" t="s">
        <v>1735</v>
      </c>
      <c r="P212" s="971">
        <f t="shared" si="13"/>
        <v>-15689.29</v>
      </c>
    </row>
    <row r="213" spans="1:16" ht="39" hidden="1" customHeight="1">
      <c r="A213" s="541">
        <v>45016</v>
      </c>
      <c r="B213" s="716">
        <v>45012</v>
      </c>
      <c r="C213" s="145" t="s">
        <v>1813</v>
      </c>
      <c r="D213" s="494" t="s">
        <v>1754</v>
      </c>
      <c r="E213" s="185" t="s">
        <v>762</v>
      </c>
      <c r="F213" s="137" t="s">
        <v>1526</v>
      </c>
      <c r="G213" s="494"/>
      <c r="H213" s="494"/>
      <c r="I213" s="560" t="s">
        <v>1698</v>
      </c>
      <c r="J213" s="935" t="s">
        <v>1814</v>
      </c>
      <c r="K213" s="677" t="str">
        <f>IF(L213=0,"",(INDEX(AccountCodes[ACCOUNT NAME],MATCH(L213,AccountCodes[NGAS CODE],0))))</f>
        <v>Cash in Bank-Local Currency, Current Account - FO</v>
      </c>
      <c r="L213" s="936" t="s">
        <v>1564</v>
      </c>
      <c r="M213" s="938"/>
      <c r="N213" s="938">
        <v>1989.56</v>
      </c>
      <c r="O213" s="967"/>
      <c r="P213" s="971">
        <f t="shared" si="13"/>
        <v>-17678.849999999999</v>
      </c>
    </row>
    <row r="214" spans="1:16" ht="39" hidden="1" customHeight="1">
      <c r="A214" s="541">
        <v>45016</v>
      </c>
      <c r="B214" s="716">
        <v>45012</v>
      </c>
      <c r="C214" s="145" t="s">
        <v>1815</v>
      </c>
      <c r="D214" s="494" t="s">
        <v>1754</v>
      </c>
      <c r="E214" s="185" t="s">
        <v>762</v>
      </c>
      <c r="F214" s="137" t="s">
        <v>1526</v>
      </c>
      <c r="G214" s="494"/>
      <c r="H214" s="494"/>
      <c r="I214" s="560" t="s">
        <v>1673</v>
      </c>
      <c r="J214" s="935" t="s">
        <v>1816</v>
      </c>
      <c r="K214" s="677" t="str">
        <f>IF(L214=0,"",(INDEX(AccountCodes[ACCOUNT NAME],MATCH(L214,AccountCodes[NGAS CODE],0))))</f>
        <v>Training Expenses</v>
      </c>
      <c r="L214" s="936" t="s">
        <v>224</v>
      </c>
      <c r="M214" s="938">
        <v>43500</v>
      </c>
      <c r="N214" s="938"/>
      <c r="O214" s="972" t="s">
        <v>1817</v>
      </c>
      <c r="P214" s="971">
        <f t="shared" si="13"/>
        <v>25821.15</v>
      </c>
    </row>
    <row r="215" spans="1:16" ht="39" hidden="1" customHeight="1">
      <c r="A215" s="541">
        <v>45016</v>
      </c>
      <c r="B215" s="716">
        <v>45012</v>
      </c>
      <c r="C215" s="145" t="s">
        <v>1815</v>
      </c>
      <c r="D215" s="494" t="s">
        <v>1754</v>
      </c>
      <c r="E215" s="185" t="s">
        <v>762</v>
      </c>
      <c r="F215" s="137" t="s">
        <v>1526</v>
      </c>
      <c r="G215" s="494"/>
      <c r="H215" s="494"/>
      <c r="I215" s="560" t="s">
        <v>1673</v>
      </c>
      <c r="J215" s="935" t="s">
        <v>1816</v>
      </c>
      <c r="K215" s="677" t="str">
        <f>IF(L215=0,"",(INDEX(AccountCodes[ACCOUNT NAME],MATCH(L215,AccountCodes[NGAS CODE],0))))</f>
        <v>Due to BIR - 2%</v>
      </c>
      <c r="L215" s="936" t="s">
        <v>1550</v>
      </c>
      <c r="M215" s="938"/>
      <c r="N215" s="938">
        <v>870</v>
      </c>
      <c r="O215" s="967"/>
      <c r="P215" s="971">
        <f t="shared" si="13"/>
        <v>24951.15</v>
      </c>
    </row>
    <row r="216" spans="1:16" ht="39" hidden="1" customHeight="1">
      <c r="A216" s="541">
        <v>45016</v>
      </c>
      <c r="B216" s="716">
        <v>45012</v>
      </c>
      <c r="C216" s="145" t="s">
        <v>1815</v>
      </c>
      <c r="D216" s="494" t="s">
        <v>1754</v>
      </c>
      <c r="E216" s="185" t="s">
        <v>762</v>
      </c>
      <c r="F216" s="137" t="s">
        <v>1526</v>
      </c>
      <c r="G216" s="494"/>
      <c r="H216" s="494"/>
      <c r="I216" s="560" t="s">
        <v>1673</v>
      </c>
      <c r="J216" s="935" t="s">
        <v>1816</v>
      </c>
      <c r="K216" s="677" t="str">
        <f>IF(L216=0,"",(INDEX(AccountCodes[ACCOUNT NAME],MATCH(L216,AccountCodes[NGAS CODE],0))))</f>
        <v>Due to BIR - 5%</v>
      </c>
      <c r="L216" s="936" t="s">
        <v>1548</v>
      </c>
      <c r="M216" s="938"/>
      <c r="N216" s="938">
        <v>2175</v>
      </c>
      <c r="O216" s="967"/>
      <c r="P216" s="971">
        <f>P131+M216-N216</f>
        <v>-19853.849999999999</v>
      </c>
    </row>
    <row r="217" spans="1:16" ht="39" hidden="1" customHeight="1">
      <c r="A217" s="541">
        <v>45016</v>
      </c>
      <c r="B217" s="716">
        <v>45012</v>
      </c>
      <c r="C217" s="145" t="s">
        <v>1815</v>
      </c>
      <c r="D217" s="494" t="s">
        <v>1754</v>
      </c>
      <c r="E217" s="185" t="s">
        <v>762</v>
      </c>
      <c r="F217" s="137" t="s">
        <v>1526</v>
      </c>
      <c r="G217" s="494"/>
      <c r="H217" s="494"/>
      <c r="I217" s="560" t="s">
        <v>1673</v>
      </c>
      <c r="J217" s="935" t="s">
        <v>1816</v>
      </c>
      <c r="K217" s="677" t="str">
        <f>IF(L217=0,"",(INDEX(AccountCodes[ACCOUNT NAME],MATCH(L217,AccountCodes[NGAS CODE],0))))</f>
        <v>Cash in Bank-Local Currency, Current Account - FO</v>
      </c>
      <c r="L217" s="936" t="s">
        <v>1564</v>
      </c>
      <c r="M217" s="938"/>
      <c r="N217" s="938">
        <v>40455</v>
      </c>
      <c r="O217" s="967"/>
      <c r="P217" s="971">
        <f>P216+M217-N217</f>
        <v>-60308.85</v>
      </c>
    </row>
    <row r="218" spans="1:16" ht="39" hidden="1" customHeight="1">
      <c r="A218" s="541">
        <v>45016</v>
      </c>
      <c r="B218" s="716">
        <v>45015</v>
      </c>
      <c r="C218" s="145" t="s">
        <v>1818</v>
      </c>
      <c r="D218" s="494" t="s">
        <v>1754</v>
      </c>
      <c r="E218" s="185" t="s">
        <v>762</v>
      </c>
      <c r="F218" s="137" t="s">
        <v>1526</v>
      </c>
      <c r="G218" s="494"/>
      <c r="H218" s="494"/>
      <c r="I218" s="560" t="s">
        <v>1819</v>
      </c>
      <c r="J218" s="935" t="s">
        <v>1820</v>
      </c>
      <c r="K218" s="677" t="str">
        <f>IF(L218=0,"",(INDEX(AccountCodes[ACCOUNT NAME],MATCH(L218,AccountCodes[NGAS CODE],0))))</f>
        <v>Training Expenses</v>
      </c>
      <c r="L218" s="936" t="s">
        <v>224</v>
      </c>
      <c r="M218" s="938">
        <v>1750</v>
      </c>
      <c r="N218" s="938"/>
      <c r="O218" s="972" t="s">
        <v>1735</v>
      </c>
      <c r="P218" s="971">
        <f>P217+M218-N218</f>
        <v>-58558.85</v>
      </c>
    </row>
    <row r="219" spans="1:16" ht="39" hidden="1" customHeight="1">
      <c r="A219" s="541">
        <v>45016</v>
      </c>
      <c r="B219" s="716">
        <v>45015</v>
      </c>
      <c r="C219" s="145" t="s">
        <v>1818</v>
      </c>
      <c r="D219" s="494" t="s">
        <v>1754</v>
      </c>
      <c r="E219" s="185" t="s">
        <v>762</v>
      </c>
      <c r="F219" s="137" t="s">
        <v>1526</v>
      </c>
      <c r="G219" s="494"/>
      <c r="H219" s="494"/>
      <c r="I219" s="560" t="s">
        <v>1819</v>
      </c>
      <c r="J219" s="935" t="s">
        <v>1820</v>
      </c>
      <c r="K219" s="677" t="str">
        <f>IF(L219=0,"",(INDEX(AccountCodes[ACCOUNT NAME],MATCH(L219,AccountCodes[NGAS CODE],0))))</f>
        <v>Cash in Bank-Local Currency, Current Account - FO</v>
      </c>
      <c r="L219" s="936" t="s">
        <v>1564</v>
      </c>
      <c r="M219" s="938"/>
      <c r="N219" s="938">
        <v>1750</v>
      </c>
      <c r="O219" s="967"/>
      <c r="P219" s="971">
        <f>P218+M219-N219</f>
        <v>-60308.85</v>
      </c>
    </row>
    <row r="220" spans="1:16" ht="39" hidden="1" customHeight="1">
      <c r="A220" s="541">
        <v>45016</v>
      </c>
      <c r="B220" s="716">
        <v>45015</v>
      </c>
      <c r="C220" s="145" t="s">
        <v>1821</v>
      </c>
      <c r="D220" s="494" t="s">
        <v>1754</v>
      </c>
      <c r="E220" s="185" t="s">
        <v>762</v>
      </c>
      <c r="F220" s="137" t="s">
        <v>1526</v>
      </c>
      <c r="G220" s="494"/>
      <c r="H220" s="494"/>
      <c r="I220" s="560" t="s">
        <v>1822</v>
      </c>
      <c r="J220" s="935" t="s">
        <v>1823</v>
      </c>
      <c r="K220" s="677" t="str">
        <f>IF(L220=0,"",(INDEX(AccountCodes[ACCOUNT NAME],MATCH(L220,AccountCodes[NGAS CODE],0))))</f>
        <v>Training Expenses</v>
      </c>
      <c r="L220" s="936" t="s">
        <v>224</v>
      </c>
      <c r="M220" s="938">
        <v>2000</v>
      </c>
      <c r="N220" s="938"/>
      <c r="O220" s="954" t="s">
        <v>1824</v>
      </c>
      <c r="P220" s="971">
        <f>P42+M220-N220</f>
        <v>2000</v>
      </c>
    </row>
    <row r="221" spans="1:16" ht="39" hidden="1" customHeight="1">
      <c r="A221" s="541">
        <v>45016</v>
      </c>
      <c r="B221" s="716">
        <v>45015</v>
      </c>
      <c r="C221" s="145" t="s">
        <v>1821</v>
      </c>
      <c r="D221" s="494" t="s">
        <v>1754</v>
      </c>
      <c r="E221" s="185" t="s">
        <v>762</v>
      </c>
      <c r="F221" s="137" t="s">
        <v>1526</v>
      </c>
      <c r="G221" s="494"/>
      <c r="H221" s="494"/>
      <c r="I221" s="560" t="s">
        <v>1822</v>
      </c>
      <c r="J221" s="935" t="s">
        <v>1823</v>
      </c>
      <c r="K221" s="677" t="str">
        <f>IF(L221=0,"",(INDEX(AccountCodes[ACCOUNT NAME],MATCH(L221,AccountCodes[NGAS CODE],0))))</f>
        <v>Cash in Bank-Local Currency, Current Account - FO</v>
      </c>
      <c r="L221" s="936" t="s">
        <v>1564</v>
      </c>
      <c r="M221" s="938"/>
      <c r="N221" s="938">
        <v>2000</v>
      </c>
      <c r="O221" s="967"/>
      <c r="P221" s="971">
        <f>P220+M221-N221</f>
        <v>0</v>
      </c>
    </row>
    <row r="222" spans="1:16" ht="39" hidden="1" customHeight="1">
      <c r="A222" s="541">
        <v>45016</v>
      </c>
      <c r="B222" s="716">
        <v>45016</v>
      </c>
      <c r="C222" s="494" t="s">
        <v>1825</v>
      </c>
      <c r="D222" s="494" t="s">
        <v>1754</v>
      </c>
      <c r="E222" s="939" t="s">
        <v>762</v>
      </c>
      <c r="F222" s="495" t="s">
        <v>1526</v>
      </c>
      <c r="G222" s="494"/>
      <c r="H222" s="494"/>
      <c r="I222" s="668" t="s">
        <v>1680</v>
      </c>
      <c r="J222" s="935" t="s">
        <v>1826</v>
      </c>
      <c r="K222" s="677" t="str">
        <f>IF(L222=0,"",(INDEX(AccountCodes[ACCOUNT NAME],MATCH(L222,AccountCodes[NGAS CODE],0))))</f>
        <v>Due to BIR - 1%</v>
      </c>
      <c r="L222" s="937" t="s">
        <v>1554</v>
      </c>
      <c r="M222" s="938">
        <v>6370.17</v>
      </c>
      <c r="N222" s="938"/>
      <c r="O222" s="967"/>
      <c r="P222" s="971">
        <f>P221+M222-N222</f>
        <v>6370.17</v>
      </c>
    </row>
    <row r="223" spans="1:16" ht="39" hidden="1" customHeight="1">
      <c r="A223" s="541">
        <v>45016</v>
      </c>
      <c r="B223" s="716">
        <v>45016</v>
      </c>
      <c r="C223" s="494" t="s">
        <v>1825</v>
      </c>
      <c r="D223" s="494" t="s">
        <v>1754</v>
      </c>
      <c r="E223" s="939" t="s">
        <v>762</v>
      </c>
      <c r="F223" s="495" t="s">
        <v>1526</v>
      </c>
      <c r="G223" s="494"/>
      <c r="H223" s="494"/>
      <c r="I223" s="668" t="s">
        <v>1680</v>
      </c>
      <c r="J223" s="935" t="s">
        <v>1826</v>
      </c>
      <c r="K223" s="677" t="str">
        <f>IF(L223=0,"",(INDEX(AccountCodes[ACCOUNT NAME],MATCH(L223,AccountCodes[NGAS CODE],0))))</f>
        <v>Due to BIR - 2%</v>
      </c>
      <c r="L223" s="937" t="s">
        <v>1550</v>
      </c>
      <c r="M223" s="938">
        <v>29155.74</v>
      </c>
      <c r="N223" s="938"/>
      <c r="O223" s="967"/>
      <c r="P223" s="971">
        <f>P222+M223-N223</f>
        <v>35525.910000000003</v>
      </c>
    </row>
    <row r="224" spans="1:16" ht="39" hidden="1" customHeight="1">
      <c r="A224" s="541">
        <v>45016</v>
      </c>
      <c r="B224" s="716">
        <v>45016</v>
      </c>
      <c r="C224" s="494" t="s">
        <v>1825</v>
      </c>
      <c r="D224" s="494" t="s">
        <v>1754</v>
      </c>
      <c r="E224" s="939" t="s">
        <v>762</v>
      </c>
      <c r="F224" s="495" t="s">
        <v>1526</v>
      </c>
      <c r="G224" s="494"/>
      <c r="H224" s="494"/>
      <c r="I224" s="668" t="s">
        <v>1680</v>
      </c>
      <c r="J224" s="935" t="s">
        <v>1826</v>
      </c>
      <c r="K224" s="677" t="str">
        <f>IF(L224=0,"",(INDEX(AccountCodes[ACCOUNT NAME],MATCH(L224,AccountCodes[NGAS CODE],0))))</f>
        <v>Cash in Bank-Local Currency, Current Account - FO</v>
      </c>
      <c r="L224" s="936" t="s">
        <v>1564</v>
      </c>
      <c r="M224" s="938"/>
      <c r="N224" s="938">
        <v>35525.910000000003</v>
      </c>
      <c r="O224" s="967"/>
      <c r="P224" s="150">
        <f>P42+M224-N224</f>
        <v>-35525.910000000003</v>
      </c>
    </row>
    <row r="225" spans="1:16" ht="39" hidden="1" customHeight="1">
      <c r="A225" s="541">
        <v>45016</v>
      </c>
      <c r="B225" s="941">
        <v>45016</v>
      </c>
      <c r="C225" s="662" t="s">
        <v>1827</v>
      </c>
      <c r="D225" s="494" t="s">
        <v>1754</v>
      </c>
      <c r="E225" s="943" t="s">
        <v>762</v>
      </c>
      <c r="F225" s="944" t="s">
        <v>1526</v>
      </c>
      <c r="G225" s="942"/>
      <c r="H225" s="942"/>
      <c r="I225" s="668" t="s">
        <v>1680</v>
      </c>
      <c r="J225" s="951" t="s">
        <v>1828</v>
      </c>
      <c r="K225" s="677" t="str">
        <f>IF(L225=0,"",(INDEX(AccountCodes[ACCOUNT NAME],MATCH(L225,AccountCodes[NGAS CODE],0))))</f>
        <v>Due to BIR - 1%</v>
      </c>
      <c r="L225" s="936" t="s">
        <v>1554</v>
      </c>
      <c r="M225" s="938">
        <v>518</v>
      </c>
      <c r="N225" s="938"/>
      <c r="O225" s="967"/>
      <c r="P225" s="150">
        <f t="shared" ref="P225:P230" si="14">P224+M225-N225</f>
        <v>-35007.910000000003</v>
      </c>
    </row>
    <row r="226" spans="1:16" ht="39" hidden="1" customHeight="1">
      <c r="A226" s="541">
        <v>45016</v>
      </c>
      <c r="B226" s="941">
        <v>45016</v>
      </c>
      <c r="C226" s="662" t="s">
        <v>1827</v>
      </c>
      <c r="D226" s="494" t="s">
        <v>1754</v>
      </c>
      <c r="E226" s="943" t="s">
        <v>762</v>
      </c>
      <c r="F226" s="944" t="s">
        <v>1526</v>
      </c>
      <c r="G226" s="942"/>
      <c r="H226" s="942"/>
      <c r="I226" s="668" t="s">
        <v>1680</v>
      </c>
      <c r="J226" s="951" t="s">
        <v>1828</v>
      </c>
      <c r="K226" s="677" t="str">
        <f>IF(L226=0,"",(INDEX(AccountCodes[ACCOUNT NAME],MATCH(L226,AccountCodes[NGAS CODE],0))))</f>
        <v>Due to BIR - 5%</v>
      </c>
      <c r="L226" s="936" t="s">
        <v>1548</v>
      </c>
      <c r="M226" s="938">
        <v>101625.18</v>
      </c>
      <c r="N226" s="938"/>
      <c r="O226" s="967"/>
      <c r="P226" s="150">
        <f t="shared" si="14"/>
        <v>66617.27</v>
      </c>
    </row>
    <row r="227" spans="1:16" ht="39" hidden="1" customHeight="1">
      <c r="A227" s="541">
        <v>45016</v>
      </c>
      <c r="B227" s="941">
        <v>45016</v>
      </c>
      <c r="C227" s="662" t="s">
        <v>1827</v>
      </c>
      <c r="D227" s="494" t="s">
        <v>1754</v>
      </c>
      <c r="E227" s="943" t="s">
        <v>762</v>
      </c>
      <c r="F227" s="944" t="s">
        <v>1526</v>
      </c>
      <c r="G227" s="942"/>
      <c r="H227" s="942"/>
      <c r="I227" s="668" t="s">
        <v>1680</v>
      </c>
      <c r="J227" s="951" t="s">
        <v>1828</v>
      </c>
      <c r="K227" s="677" t="str">
        <f>IF(L227=0,"",(INDEX(AccountCodes[ACCOUNT NAME],MATCH(L227,AccountCodes[NGAS CODE],0))))</f>
        <v>Cash in Bank-Local Currency, Current Account - FO</v>
      </c>
      <c r="L227" s="936" t="s">
        <v>1564</v>
      </c>
      <c r="M227" s="938"/>
      <c r="N227" s="938">
        <v>102143.18</v>
      </c>
      <c r="O227" s="967"/>
      <c r="P227" s="150">
        <f t="shared" si="14"/>
        <v>-35525.910000000003</v>
      </c>
    </row>
    <row r="228" spans="1:16" ht="39" hidden="1" customHeight="1">
      <c r="A228" s="541">
        <v>45016</v>
      </c>
      <c r="B228" s="941">
        <v>45016</v>
      </c>
      <c r="C228" s="662" t="s">
        <v>1829</v>
      </c>
      <c r="D228" s="494" t="s">
        <v>1754</v>
      </c>
      <c r="E228" s="943" t="s">
        <v>762</v>
      </c>
      <c r="F228" s="944" t="s">
        <v>1526</v>
      </c>
      <c r="G228" s="942"/>
      <c r="H228" s="942"/>
      <c r="I228" s="560" t="s">
        <v>1666</v>
      </c>
      <c r="J228" s="951"/>
      <c r="K228" s="677" t="str">
        <f>IF(L228=0,"",(INDEX(AccountCodes[ACCOUNT NAME],MATCH(L228,AccountCodes[NGAS CODE],0))))</f>
        <v/>
      </c>
      <c r="L228" s="936"/>
      <c r="M228" s="938"/>
      <c r="N228" s="938"/>
      <c r="O228" s="967"/>
      <c r="P228" s="150">
        <f t="shared" si="14"/>
        <v>-35525.910000000003</v>
      </c>
    </row>
    <row r="229" spans="1:16" ht="39" hidden="1" customHeight="1">
      <c r="A229" s="541">
        <v>45016</v>
      </c>
      <c r="B229" s="941">
        <v>45016</v>
      </c>
      <c r="C229" s="662" t="s">
        <v>1830</v>
      </c>
      <c r="D229" s="494" t="s">
        <v>1754</v>
      </c>
      <c r="E229" s="943" t="s">
        <v>762</v>
      </c>
      <c r="F229" s="944" t="s">
        <v>1526</v>
      </c>
      <c r="G229" s="942"/>
      <c r="H229" s="942"/>
      <c r="I229" s="560" t="s">
        <v>1831</v>
      </c>
      <c r="J229" s="951" t="s">
        <v>1832</v>
      </c>
      <c r="K229" s="677" t="str">
        <f>IF(L229=0,"",(INDEX(AccountCodes[ACCOUNT NAME],MATCH(L229,AccountCodes[NGAS CODE],0))))</f>
        <v>Due to the Treasurer of the Philippines</v>
      </c>
      <c r="L229" s="936" t="s">
        <v>1496</v>
      </c>
      <c r="M229" s="938">
        <v>811.54</v>
      </c>
      <c r="N229" s="938"/>
      <c r="O229" s="967"/>
      <c r="P229" s="150">
        <f t="shared" si="14"/>
        <v>-34714.370000000003</v>
      </c>
    </row>
    <row r="230" spans="1:16" ht="39" hidden="1" customHeight="1">
      <c r="A230" s="541">
        <v>45016</v>
      </c>
      <c r="B230" s="941">
        <v>45016</v>
      </c>
      <c r="C230" s="662" t="s">
        <v>1830</v>
      </c>
      <c r="D230" s="494" t="s">
        <v>1754</v>
      </c>
      <c r="E230" s="943" t="s">
        <v>762</v>
      </c>
      <c r="F230" s="944" t="s">
        <v>1526</v>
      </c>
      <c r="G230" s="942"/>
      <c r="H230" s="942"/>
      <c r="I230" s="560" t="s">
        <v>1831</v>
      </c>
      <c r="J230" s="951" t="s">
        <v>1832</v>
      </c>
      <c r="K230" s="677" t="str">
        <f>IF(L230=0,"",(INDEX(AccountCodes[ACCOUNT NAME],MATCH(L230,AccountCodes[NGAS CODE],0))))</f>
        <v>Cash in Bank-Local Currency, Current Account - FO</v>
      </c>
      <c r="L230" s="936" t="s">
        <v>1564</v>
      </c>
      <c r="M230" s="938"/>
      <c r="N230" s="938">
        <v>811.54</v>
      </c>
      <c r="O230" s="967"/>
      <c r="P230" s="150">
        <f t="shared" si="14"/>
        <v>-35525.910000000003</v>
      </c>
    </row>
    <row r="231" spans="1:16" ht="39" hidden="1" customHeight="1">
      <c r="A231" s="541">
        <v>45046</v>
      </c>
      <c r="B231" s="941">
        <v>45019</v>
      </c>
      <c r="C231" s="662" t="s">
        <v>1833</v>
      </c>
      <c r="D231" s="494" t="s">
        <v>1834</v>
      </c>
      <c r="E231" s="943" t="s">
        <v>762</v>
      </c>
      <c r="F231" s="944" t="s">
        <v>1526</v>
      </c>
      <c r="G231" s="942"/>
      <c r="H231" s="942"/>
      <c r="I231" s="560" t="s">
        <v>1648</v>
      </c>
      <c r="J231" s="951" t="s">
        <v>1835</v>
      </c>
      <c r="K231" s="677" t="str">
        <f>IF(L231=0,"",(INDEX(AccountCodes[ACCOUNT NAME],MATCH(L231,AccountCodes[NGAS CODE],0))))</f>
        <v>Construction in Progress-Infrastructure Assets (Irrigation, Canals and Laterals)</v>
      </c>
      <c r="L231" s="936" t="s">
        <v>82</v>
      </c>
      <c r="M231" s="947">
        <v>1223931.3700000001</v>
      </c>
      <c r="N231" s="947"/>
      <c r="O231" s="967" t="s">
        <v>1686</v>
      </c>
      <c r="P231" s="150">
        <f t="shared" ref="P231:P237" si="15">P230+M231-N231</f>
        <v>1188405.46</v>
      </c>
    </row>
    <row r="232" spans="1:16" ht="39" hidden="1" customHeight="1">
      <c r="A232" s="541">
        <v>45046</v>
      </c>
      <c r="B232" s="941">
        <v>45019</v>
      </c>
      <c r="C232" s="662" t="s">
        <v>1833</v>
      </c>
      <c r="D232" s="494" t="s">
        <v>1834</v>
      </c>
      <c r="E232" s="943" t="s">
        <v>762</v>
      </c>
      <c r="F232" s="944" t="s">
        <v>1526</v>
      </c>
      <c r="G232" s="942"/>
      <c r="H232" s="942"/>
      <c r="I232" s="560" t="s">
        <v>1648</v>
      </c>
      <c r="J232" s="951" t="s">
        <v>1835</v>
      </c>
      <c r="K232" s="677" t="str">
        <f>IF(L232=0,"",(INDEX(AccountCodes[ACCOUNT NAME],MATCH(L232,AccountCodes[NGAS CODE],0))))</f>
        <v>Due to BIR - 5%</v>
      </c>
      <c r="L232" s="936" t="s">
        <v>1548</v>
      </c>
      <c r="M232" s="947"/>
      <c r="N232" s="947">
        <v>54639.79</v>
      </c>
      <c r="O232" s="967"/>
      <c r="P232" s="150">
        <f t="shared" si="15"/>
        <v>1133765.67</v>
      </c>
    </row>
    <row r="233" spans="1:16" ht="39" hidden="1" customHeight="1">
      <c r="A233" s="541">
        <v>45046</v>
      </c>
      <c r="B233" s="941">
        <v>45019</v>
      </c>
      <c r="C233" s="662" t="s">
        <v>1833</v>
      </c>
      <c r="D233" s="494" t="s">
        <v>1834</v>
      </c>
      <c r="E233" s="943" t="s">
        <v>762</v>
      </c>
      <c r="F233" s="944" t="s">
        <v>1526</v>
      </c>
      <c r="G233" s="942"/>
      <c r="H233" s="942"/>
      <c r="I233" s="560" t="s">
        <v>1648</v>
      </c>
      <c r="J233" s="951" t="s">
        <v>1835</v>
      </c>
      <c r="K233" s="677" t="str">
        <f>IF(L233=0,"",(INDEX(AccountCodes[ACCOUNT NAME],MATCH(L233,AccountCodes[NGAS CODE],0))))</f>
        <v>Due to BIR - 2%</v>
      </c>
      <c r="L233" s="936" t="s">
        <v>1550</v>
      </c>
      <c r="M233" s="947"/>
      <c r="N233" s="947">
        <v>21855.919999999998</v>
      </c>
      <c r="O233" s="967"/>
      <c r="P233" s="150">
        <f t="shared" si="15"/>
        <v>1111909.75</v>
      </c>
    </row>
    <row r="234" spans="1:16" ht="39" hidden="1" customHeight="1">
      <c r="A234" s="541">
        <v>45046</v>
      </c>
      <c r="B234" s="941">
        <v>45019</v>
      </c>
      <c r="C234" s="662" t="s">
        <v>1833</v>
      </c>
      <c r="D234" s="494" t="s">
        <v>1834</v>
      </c>
      <c r="E234" s="943" t="s">
        <v>762</v>
      </c>
      <c r="F234" s="944" t="s">
        <v>1526</v>
      </c>
      <c r="G234" s="942"/>
      <c r="H234" s="942"/>
      <c r="I234" s="560" t="s">
        <v>1648</v>
      </c>
      <c r="J234" s="951" t="s">
        <v>1835</v>
      </c>
      <c r="K234" s="677" t="str">
        <f>IF(L234=0,"",(INDEX(AccountCodes[ACCOUNT NAME],MATCH(L234,AccountCodes[NGAS CODE],0))))</f>
        <v>Advances to Contractors</v>
      </c>
      <c r="L234" s="936" t="s">
        <v>35</v>
      </c>
      <c r="M234" s="947"/>
      <c r="N234" s="947">
        <v>182866.82</v>
      </c>
      <c r="O234" s="967"/>
      <c r="P234" s="150">
        <f t="shared" si="15"/>
        <v>929042.93</v>
      </c>
    </row>
    <row r="235" spans="1:16" ht="39" hidden="1" customHeight="1">
      <c r="A235" s="541">
        <v>45046</v>
      </c>
      <c r="B235" s="941">
        <v>45019</v>
      </c>
      <c r="C235" s="662" t="s">
        <v>1833</v>
      </c>
      <c r="D235" s="494" t="s">
        <v>1834</v>
      </c>
      <c r="E235" s="943" t="s">
        <v>762</v>
      </c>
      <c r="F235" s="944" t="s">
        <v>1526</v>
      </c>
      <c r="G235" s="942"/>
      <c r="H235" s="942"/>
      <c r="I235" s="560" t="s">
        <v>1648</v>
      </c>
      <c r="J235" s="951" t="s">
        <v>1835</v>
      </c>
      <c r="K235" s="677" t="str">
        <f>IF(L235=0,"",(INDEX(AccountCodes[ACCOUNT NAME],MATCH(L235,AccountCodes[NGAS CODE],0))))</f>
        <v>Cash in Bank-Local Currency, Current Account - FO</v>
      </c>
      <c r="L235" s="936" t="s">
        <v>1564</v>
      </c>
      <c r="M235" s="947"/>
      <c r="N235" s="947">
        <v>964568.84</v>
      </c>
      <c r="O235" s="967"/>
      <c r="P235" s="150">
        <f t="shared" si="15"/>
        <v>-35525.910000000003</v>
      </c>
    </row>
    <row r="236" spans="1:16" ht="39" hidden="1" customHeight="1">
      <c r="A236" s="541">
        <v>45046</v>
      </c>
      <c r="B236" s="941">
        <v>45020</v>
      </c>
      <c r="C236" s="662" t="s">
        <v>1836</v>
      </c>
      <c r="D236" s="494" t="s">
        <v>1834</v>
      </c>
      <c r="E236" s="943" t="s">
        <v>762</v>
      </c>
      <c r="F236" s="944" t="s">
        <v>1526</v>
      </c>
      <c r="G236" s="942"/>
      <c r="H236" s="942"/>
      <c r="I236" s="560" t="s">
        <v>1755</v>
      </c>
      <c r="J236" s="951" t="s">
        <v>1837</v>
      </c>
      <c r="K236" s="677" t="str">
        <f>IF(L236=0,"",(INDEX(AccountCodes[ACCOUNT NAME],MATCH(L236,AccountCodes[NGAS CODE],0))))</f>
        <v>Other Maintenance and Operating Expenses - Other Maintenance and Operating Expenses</v>
      </c>
      <c r="L236" s="936" t="s">
        <v>405</v>
      </c>
      <c r="M236" s="947">
        <v>56272.52</v>
      </c>
      <c r="N236" s="947"/>
      <c r="O236" s="967" t="s">
        <v>1843</v>
      </c>
      <c r="P236" s="150">
        <f t="shared" si="15"/>
        <v>20746.61</v>
      </c>
    </row>
    <row r="237" spans="1:16" ht="39" hidden="1" customHeight="1">
      <c r="A237" s="541">
        <v>45046</v>
      </c>
      <c r="B237" s="941">
        <v>45020</v>
      </c>
      <c r="C237" s="662" t="s">
        <v>1836</v>
      </c>
      <c r="D237" s="494" t="s">
        <v>1834</v>
      </c>
      <c r="E237" s="943" t="s">
        <v>762</v>
      </c>
      <c r="F237" s="944" t="s">
        <v>1526</v>
      </c>
      <c r="G237" s="942"/>
      <c r="H237" s="942"/>
      <c r="I237" s="560" t="s">
        <v>1755</v>
      </c>
      <c r="J237" s="951" t="s">
        <v>1837</v>
      </c>
      <c r="K237" s="677" t="str">
        <f>IF(L237=0,"",(INDEX(AccountCodes[ACCOUNT NAME],MATCH(L237,AccountCodes[NGAS CODE],0))))</f>
        <v>Other Payables</v>
      </c>
      <c r="L237" s="936" t="s">
        <v>117</v>
      </c>
      <c r="M237" s="947"/>
      <c r="N237" s="947">
        <v>7029.16</v>
      </c>
      <c r="O237" s="967"/>
      <c r="P237" s="150">
        <f t="shared" si="15"/>
        <v>13717.45</v>
      </c>
    </row>
    <row r="238" spans="1:16" ht="39" hidden="1" customHeight="1">
      <c r="A238" s="541">
        <v>45046</v>
      </c>
      <c r="B238" s="941">
        <v>45020</v>
      </c>
      <c r="C238" s="662" t="s">
        <v>1836</v>
      </c>
      <c r="D238" s="494" t="s">
        <v>1834</v>
      </c>
      <c r="E238" s="943" t="s">
        <v>762</v>
      </c>
      <c r="F238" s="944" t="s">
        <v>1526</v>
      </c>
      <c r="G238" s="942"/>
      <c r="H238" s="942"/>
      <c r="I238" s="560" t="s">
        <v>1755</v>
      </c>
      <c r="J238" s="951" t="s">
        <v>1837</v>
      </c>
      <c r="K238" s="677" t="str">
        <f>IF(L238=0,"",(INDEX(AccountCodes[ACCOUNT NAME],MATCH(L238,AccountCodes[NGAS CODE],0))))</f>
        <v>Cash in Bank-Local Currency, Current Account - FO</v>
      </c>
      <c r="L238" s="936" t="s">
        <v>1564</v>
      </c>
      <c r="M238" s="947"/>
      <c r="N238" s="947">
        <v>49243.360000000001</v>
      </c>
      <c r="O238" s="967"/>
      <c r="P238" s="150">
        <f>P230+M238-N238</f>
        <v>-84769.27</v>
      </c>
    </row>
    <row r="239" spans="1:16" ht="39" hidden="1" customHeight="1">
      <c r="A239" s="541">
        <v>45046</v>
      </c>
      <c r="B239" s="716">
        <v>45020</v>
      </c>
      <c r="C239" s="494" t="s">
        <v>1844</v>
      </c>
      <c r="D239" s="494" t="s">
        <v>1834</v>
      </c>
      <c r="E239" s="943" t="s">
        <v>762</v>
      </c>
      <c r="F239" s="944" t="s">
        <v>1526</v>
      </c>
      <c r="G239" s="494"/>
      <c r="H239" s="494"/>
      <c r="I239" s="668" t="s">
        <v>1845</v>
      </c>
      <c r="J239" s="1002" t="s">
        <v>1846</v>
      </c>
      <c r="K239" s="677" t="str">
        <f>IF(L239=0,"",(INDEX(AccountCodes[ACCOUNT NAME],MATCH(L239,AccountCodes[NGAS CODE],0))))</f>
        <v>Other Maintenance and Operating Expenses - Other Maintenance and Operating Expenses</v>
      </c>
      <c r="L239" s="937" t="s">
        <v>405</v>
      </c>
      <c r="M239" s="947">
        <v>1200</v>
      </c>
      <c r="N239" s="947"/>
      <c r="O239" s="967" t="s">
        <v>1847</v>
      </c>
      <c r="P239" s="1003">
        <f>P238+M239-N239</f>
        <v>-83569.27</v>
      </c>
    </row>
    <row r="240" spans="1:16" ht="39" hidden="1" customHeight="1">
      <c r="A240" s="541">
        <v>45046</v>
      </c>
      <c r="B240" s="716">
        <v>45020</v>
      </c>
      <c r="C240" s="494" t="s">
        <v>1844</v>
      </c>
      <c r="D240" s="494" t="s">
        <v>1834</v>
      </c>
      <c r="E240" s="943" t="s">
        <v>762</v>
      </c>
      <c r="F240" s="944" t="s">
        <v>1526</v>
      </c>
      <c r="G240" s="494"/>
      <c r="H240" s="494"/>
      <c r="I240" s="668" t="s">
        <v>1845</v>
      </c>
      <c r="J240" s="1002" t="s">
        <v>1846</v>
      </c>
      <c r="K240" s="677" t="str">
        <f>IF(L240=0,"",(INDEX(AccountCodes[ACCOUNT NAME],MATCH(L240,AccountCodes[NGAS CODE],0))))</f>
        <v>Cash in Bank-Local Currency, Current Account - FO</v>
      </c>
      <c r="L240" s="937" t="s">
        <v>1564</v>
      </c>
      <c r="M240" s="947"/>
      <c r="N240" s="947">
        <v>1200</v>
      </c>
      <c r="O240" s="967"/>
      <c r="P240" s="1003">
        <f>P239+M240-N240</f>
        <v>-84769.27</v>
      </c>
    </row>
    <row r="241" spans="1:16" ht="39" hidden="1" customHeight="1">
      <c r="A241" s="541">
        <v>45046</v>
      </c>
      <c r="B241" s="716">
        <v>45030</v>
      </c>
      <c r="C241" s="494" t="s">
        <v>1848</v>
      </c>
      <c r="D241" s="494" t="s">
        <v>1834</v>
      </c>
      <c r="E241" s="943" t="s">
        <v>762</v>
      </c>
      <c r="F241" s="944" t="s">
        <v>1526</v>
      </c>
      <c r="G241" s="494"/>
      <c r="H241" s="494"/>
      <c r="I241" s="668" t="s">
        <v>1716</v>
      </c>
      <c r="J241" s="1002" t="s">
        <v>1849</v>
      </c>
      <c r="K241" s="677" t="str">
        <f>IF(L241=0,"",(INDEX(AccountCodes[ACCOUNT NAME],MATCH(L241,AccountCodes[NGAS CODE],0))))</f>
        <v>Salaries and Wages-Regular</v>
      </c>
      <c r="L241" s="937" t="s">
        <v>162</v>
      </c>
      <c r="M241" s="947">
        <v>58320</v>
      </c>
      <c r="N241" s="947"/>
      <c r="O241" s="972" t="s">
        <v>1850</v>
      </c>
      <c r="P241" s="1003">
        <f>P238+M241-N241</f>
        <v>-26449.27</v>
      </c>
    </row>
    <row r="242" spans="1:16" ht="39" hidden="1" customHeight="1">
      <c r="A242" s="541">
        <v>45046</v>
      </c>
      <c r="B242" s="716">
        <v>45030</v>
      </c>
      <c r="C242" s="494" t="s">
        <v>1848</v>
      </c>
      <c r="D242" s="494" t="s">
        <v>1834</v>
      </c>
      <c r="E242" s="943" t="s">
        <v>762</v>
      </c>
      <c r="F242" s="944" t="s">
        <v>1526</v>
      </c>
      <c r="G242" s="494"/>
      <c r="H242" s="494"/>
      <c r="I242" s="668" t="s">
        <v>1716</v>
      </c>
      <c r="J242" s="1002" t="s">
        <v>1849</v>
      </c>
      <c r="K242" s="677" t="str">
        <f>IF(L242=0,"",(INDEX(AccountCodes[ACCOUNT NAME],MATCH(L242,AccountCodes[NGAS CODE],0))))</f>
        <v>Personal Economic Relief Allowance (PERA)</v>
      </c>
      <c r="L242" s="937" t="s">
        <v>164</v>
      </c>
      <c r="M242" s="947">
        <v>4000</v>
      </c>
      <c r="N242" s="947"/>
      <c r="O242" s="967"/>
      <c r="P242" s="1003">
        <f>P241+M242-N242</f>
        <v>-22449.27</v>
      </c>
    </row>
    <row r="243" spans="1:16" ht="39" hidden="1" customHeight="1">
      <c r="A243" s="541">
        <v>45046</v>
      </c>
      <c r="B243" s="716">
        <v>45030</v>
      </c>
      <c r="C243" s="494" t="s">
        <v>1848</v>
      </c>
      <c r="D243" s="494" t="s">
        <v>1834</v>
      </c>
      <c r="E243" s="943" t="s">
        <v>762</v>
      </c>
      <c r="F243" s="944" t="s">
        <v>1526</v>
      </c>
      <c r="G243" s="494"/>
      <c r="H243" s="494"/>
      <c r="I243" s="668" t="s">
        <v>1716</v>
      </c>
      <c r="J243" s="1002" t="s">
        <v>1849</v>
      </c>
      <c r="K243" s="677" t="str">
        <f>IF(L243=0,"",(INDEX(AccountCodes[ACCOUNT NAME],MATCH(L243,AccountCodes[NGAS CODE],0))))</f>
        <v>Due to BIR - Compensation</v>
      </c>
      <c r="L243" s="936" t="s">
        <v>1546</v>
      </c>
      <c r="M243" s="947"/>
      <c r="N243" s="947">
        <v>1330.76</v>
      </c>
      <c r="O243" s="967"/>
      <c r="P243" s="1003">
        <f>P242+M243-N243</f>
        <v>-23780.03</v>
      </c>
    </row>
    <row r="244" spans="1:16" ht="39" hidden="1" customHeight="1">
      <c r="A244" s="541">
        <v>45046</v>
      </c>
      <c r="B244" s="716">
        <v>45030</v>
      </c>
      <c r="C244" s="494" t="s">
        <v>1848</v>
      </c>
      <c r="D244" s="494" t="s">
        <v>1834</v>
      </c>
      <c r="E244" s="943" t="s">
        <v>762</v>
      </c>
      <c r="F244" s="944" t="s">
        <v>1526</v>
      </c>
      <c r="G244" s="494"/>
      <c r="H244" s="494"/>
      <c r="I244" s="668" t="s">
        <v>1716</v>
      </c>
      <c r="J244" s="1002" t="s">
        <v>1849</v>
      </c>
      <c r="K244" s="677" t="str">
        <f>IF(L244=0,"",(INDEX(AccountCodes[ACCOUNT NAME],MATCH(L244,AccountCodes[NGAS CODE],0))))</f>
        <v>Due to GSIS - Life and Retirement Premium</v>
      </c>
      <c r="L244" s="937" t="s">
        <v>1440</v>
      </c>
      <c r="M244" s="947"/>
      <c r="N244" s="947">
        <v>5248.8</v>
      </c>
      <c r="O244" s="967"/>
      <c r="P244" s="1003">
        <f>P241+M244-N244</f>
        <v>-31698.07</v>
      </c>
    </row>
    <row r="245" spans="1:16" ht="39" hidden="1" customHeight="1">
      <c r="A245" s="541">
        <v>45046</v>
      </c>
      <c r="B245" s="716">
        <v>45030</v>
      </c>
      <c r="C245" s="494" t="s">
        <v>1848</v>
      </c>
      <c r="D245" s="494" t="s">
        <v>1834</v>
      </c>
      <c r="E245" s="943" t="s">
        <v>762</v>
      </c>
      <c r="F245" s="944" t="s">
        <v>1526</v>
      </c>
      <c r="G245" s="494"/>
      <c r="H245" s="494"/>
      <c r="I245" s="668" t="s">
        <v>1716</v>
      </c>
      <c r="J245" s="1002" t="s">
        <v>1849</v>
      </c>
      <c r="K245" s="677" t="str">
        <f>IF(L245=0,"",(INDEX(AccountCodes[ACCOUNT NAME],MATCH(L245,AccountCodes[NGAS CODE],0))))</f>
        <v>Due to Pag-IBIG - Pag-IBIG Premium</v>
      </c>
      <c r="L245" s="937" t="s">
        <v>1444</v>
      </c>
      <c r="M245" s="947"/>
      <c r="N245" s="947">
        <v>1166.4000000000001</v>
      </c>
      <c r="O245" s="967"/>
      <c r="P245" s="1003">
        <f>P244+M245-N245</f>
        <v>-32864.47</v>
      </c>
    </row>
    <row r="246" spans="1:16" ht="39" hidden="1" customHeight="1">
      <c r="A246" s="541">
        <v>45046</v>
      </c>
      <c r="B246" s="716">
        <v>45030</v>
      </c>
      <c r="C246" s="494" t="s">
        <v>1848</v>
      </c>
      <c r="D246" s="494" t="s">
        <v>1834</v>
      </c>
      <c r="E246" s="943" t="s">
        <v>762</v>
      </c>
      <c r="F246" s="944" t="s">
        <v>1526</v>
      </c>
      <c r="G246" s="494"/>
      <c r="H246" s="494"/>
      <c r="I246" s="668" t="s">
        <v>1716</v>
      </c>
      <c r="J246" s="1002" t="s">
        <v>1849</v>
      </c>
      <c r="K246" s="677" t="str">
        <f>IF(L246=0,"",(INDEX(AccountCodes[ACCOUNT NAME],MATCH(L246,AccountCodes[NGAS CODE],0))))</f>
        <v>Due to Pag-IBIG - MP2</v>
      </c>
      <c r="L246" s="937" t="s">
        <v>1508</v>
      </c>
      <c r="M246" s="947"/>
      <c r="N246" s="947">
        <v>4000</v>
      </c>
      <c r="O246" s="967"/>
      <c r="P246" s="1003">
        <f>P241+M246-N246</f>
        <v>-30449.27</v>
      </c>
    </row>
    <row r="247" spans="1:16" ht="39" hidden="1" customHeight="1">
      <c r="A247" s="541">
        <v>45046</v>
      </c>
      <c r="B247" s="716">
        <v>45030</v>
      </c>
      <c r="C247" s="494" t="s">
        <v>1848</v>
      </c>
      <c r="D247" s="494" t="s">
        <v>1834</v>
      </c>
      <c r="E247" s="943" t="s">
        <v>762</v>
      </c>
      <c r="F247" s="944" t="s">
        <v>1526</v>
      </c>
      <c r="G247" s="494"/>
      <c r="H247" s="494"/>
      <c r="I247" s="668" t="s">
        <v>1716</v>
      </c>
      <c r="J247" s="1002" t="s">
        <v>1849</v>
      </c>
      <c r="K247" s="677" t="str">
        <f>IF(L247=0,"",(INDEX(AccountCodes[ACCOUNT NAME],MATCH(L247,AccountCodes[NGAS CODE],0))))</f>
        <v>Due to PhilHealth</v>
      </c>
      <c r="L247" s="937" t="s">
        <v>112</v>
      </c>
      <c r="M247" s="947"/>
      <c r="N247" s="947">
        <v>1166.4000000000001</v>
      </c>
      <c r="O247" s="967"/>
      <c r="P247" s="1003">
        <f>P246+M247-N247</f>
        <v>-31615.67</v>
      </c>
    </row>
    <row r="248" spans="1:16" ht="39" hidden="1" customHeight="1">
      <c r="A248" s="541">
        <v>45046</v>
      </c>
      <c r="B248" s="716">
        <v>45030</v>
      </c>
      <c r="C248" s="494" t="s">
        <v>1848</v>
      </c>
      <c r="D248" s="494" t="s">
        <v>1834</v>
      </c>
      <c r="E248" s="943" t="s">
        <v>762</v>
      </c>
      <c r="F248" s="944" t="s">
        <v>1526</v>
      </c>
      <c r="G248" s="494"/>
      <c r="H248" s="494"/>
      <c r="I248" s="668" t="s">
        <v>1716</v>
      </c>
      <c r="J248" s="1002" t="s">
        <v>1849</v>
      </c>
      <c r="K248" s="677" t="str">
        <f>IF(L248=0,"",(INDEX(AccountCodes[ACCOUNT NAME],MATCH(L248,AccountCodes[NGAS CODE],0))))</f>
        <v>Cash in Bank-Local Currency, Current Account - FO</v>
      </c>
      <c r="L248" s="937" t="s">
        <v>1564</v>
      </c>
      <c r="M248" s="947"/>
      <c r="N248" s="947">
        <v>49407.64</v>
      </c>
      <c r="O248" s="967"/>
      <c r="P248" s="1003">
        <f>P241+M248-N248</f>
        <v>-75856.91</v>
      </c>
    </row>
    <row r="249" spans="1:16" ht="39" hidden="1" customHeight="1">
      <c r="A249" s="541">
        <v>45046</v>
      </c>
      <c r="B249" s="941">
        <v>45035</v>
      </c>
      <c r="C249" s="662" t="s">
        <v>1838</v>
      </c>
      <c r="D249" s="494" t="s">
        <v>1834</v>
      </c>
      <c r="E249" s="943" t="s">
        <v>762</v>
      </c>
      <c r="F249" s="944" t="s">
        <v>1526</v>
      </c>
      <c r="G249" s="942"/>
      <c r="H249" s="942"/>
      <c r="I249" s="560" t="s">
        <v>1760</v>
      </c>
      <c r="J249" s="951" t="s">
        <v>1839</v>
      </c>
      <c r="K249" s="677" t="str">
        <f>IF(L249=0,"",(INDEX(AccountCodes[ACCOUNT NAME],MATCH(L249,AccountCodes[NGAS CODE],0))))</f>
        <v>Fuel, Oil and Lubricants Expenses</v>
      </c>
      <c r="L249" s="936" t="s">
        <v>229</v>
      </c>
      <c r="M249" s="947">
        <v>4977.17</v>
      </c>
      <c r="N249" s="947"/>
      <c r="O249" s="954" t="s">
        <v>1851</v>
      </c>
      <c r="P249" s="150">
        <f>P238+M249-N249</f>
        <v>-79792.100000000006</v>
      </c>
    </row>
    <row r="250" spans="1:16" ht="39" hidden="1" customHeight="1">
      <c r="A250" s="541">
        <v>45046</v>
      </c>
      <c r="B250" s="941">
        <v>45035</v>
      </c>
      <c r="C250" s="662" t="s">
        <v>1838</v>
      </c>
      <c r="D250" s="494" t="s">
        <v>1834</v>
      </c>
      <c r="E250" s="943" t="s">
        <v>762</v>
      </c>
      <c r="F250" s="944" t="s">
        <v>1526</v>
      </c>
      <c r="G250" s="942"/>
      <c r="H250" s="942"/>
      <c r="I250" s="560" t="s">
        <v>1760</v>
      </c>
      <c r="J250" s="951" t="s">
        <v>1839</v>
      </c>
      <c r="K250" s="677" t="str">
        <f>IF(L250=0,"",(INDEX(AccountCodes[ACCOUNT NAME],MATCH(L250,AccountCodes[NGAS CODE],0))))</f>
        <v>Due to BIR - 1%</v>
      </c>
      <c r="L250" s="936" t="s">
        <v>1554</v>
      </c>
      <c r="M250" s="947"/>
      <c r="N250" s="947">
        <v>44.44</v>
      </c>
      <c r="O250" s="967"/>
      <c r="P250" s="150">
        <f>P249+M250-N250</f>
        <v>-79836.539999999994</v>
      </c>
    </row>
    <row r="251" spans="1:16" ht="39" hidden="1" customHeight="1">
      <c r="A251" s="541">
        <v>45046</v>
      </c>
      <c r="B251" s="941">
        <v>45035</v>
      </c>
      <c r="C251" s="662" t="s">
        <v>1838</v>
      </c>
      <c r="D251" s="494" t="s">
        <v>1834</v>
      </c>
      <c r="E251" s="943" t="s">
        <v>762</v>
      </c>
      <c r="F251" s="944" t="s">
        <v>1526</v>
      </c>
      <c r="G251" s="942"/>
      <c r="H251" s="942"/>
      <c r="I251" s="560" t="s">
        <v>1760</v>
      </c>
      <c r="J251" s="951" t="s">
        <v>1839</v>
      </c>
      <c r="K251" s="677" t="str">
        <f>IF(L251=0,"",(INDEX(AccountCodes[ACCOUNT NAME],MATCH(L251,AccountCodes[NGAS CODE],0))))</f>
        <v>Due to BIR - 5%</v>
      </c>
      <c r="L251" s="936" t="s">
        <v>1548</v>
      </c>
      <c r="M251" s="947"/>
      <c r="N251" s="947">
        <v>222.2</v>
      </c>
      <c r="O251" s="967"/>
      <c r="P251" s="150">
        <f>P250+M251-N251</f>
        <v>-80058.740000000005</v>
      </c>
    </row>
    <row r="252" spans="1:16" ht="39" hidden="1" customHeight="1">
      <c r="A252" s="541">
        <v>45046</v>
      </c>
      <c r="B252" s="941">
        <v>45035</v>
      </c>
      <c r="C252" s="662" t="s">
        <v>1838</v>
      </c>
      <c r="D252" s="494" t="s">
        <v>1834</v>
      </c>
      <c r="E252" s="943" t="s">
        <v>762</v>
      </c>
      <c r="F252" s="944" t="s">
        <v>1526</v>
      </c>
      <c r="G252" s="942"/>
      <c r="H252" s="942"/>
      <c r="I252" s="560" t="s">
        <v>1760</v>
      </c>
      <c r="J252" s="951" t="s">
        <v>1839</v>
      </c>
      <c r="K252" s="677" t="str">
        <f>IF(L252=0,"",(INDEX(AccountCodes[ACCOUNT NAME],MATCH(L252,AccountCodes[NGAS CODE],0))))</f>
        <v>Cash in Bank-Local Currency, Current Account - FO</v>
      </c>
      <c r="L252" s="936" t="s">
        <v>1564</v>
      </c>
      <c r="M252" s="947"/>
      <c r="N252" s="947">
        <v>4710.53</v>
      </c>
      <c r="O252" s="967"/>
      <c r="P252" s="150">
        <f>P251+M252-N252</f>
        <v>-84769.27</v>
      </c>
    </row>
    <row r="253" spans="1:16" ht="39" hidden="1" customHeight="1">
      <c r="A253" s="541">
        <v>45046</v>
      </c>
      <c r="B253" s="941">
        <v>45036</v>
      </c>
      <c r="C253" s="662" t="s">
        <v>1840</v>
      </c>
      <c r="D253" s="494" t="s">
        <v>1834</v>
      </c>
      <c r="E253" s="943" t="s">
        <v>762</v>
      </c>
      <c r="F253" s="944" t="s">
        <v>1526</v>
      </c>
      <c r="G253" s="942"/>
      <c r="H253" s="942"/>
      <c r="I253" s="560" t="s">
        <v>1841</v>
      </c>
      <c r="J253" s="951" t="s">
        <v>1842</v>
      </c>
      <c r="K253" s="677" t="str">
        <f>IF(L253=0,"",(INDEX(AccountCodes[ACCOUNT NAME],MATCH(L253,AccountCodes[NGAS CODE],0))))</f>
        <v>Other Maintenance and Operating Expenses - Other Maintenance and Operating Expenses</v>
      </c>
      <c r="L253" s="936" t="s">
        <v>405</v>
      </c>
      <c r="M253" s="947">
        <v>34275.57</v>
      </c>
      <c r="N253" s="947"/>
      <c r="O253" s="954" t="s">
        <v>1851</v>
      </c>
      <c r="P253" s="150">
        <f>P252+M253-N253</f>
        <v>-50493.7</v>
      </c>
    </row>
    <row r="254" spans="1:16" ht="39" hidden="1" customHeight="1">
      <c r="A254" s="541">
        <v>45046</v>
      </c>
      <c r="B254" s="941">
        <v>45036</v>
      </c>
      <c r="C254" s="662" t="s">
        <v>1840</v>
      </c>
      <c r="D254" s="494" t="s">
        <v>1834</v>
      </c>
      <c r="E254" s="943" t="s">
        <v>762</v>
      </c>
      <c r="F254" s="944" t="s">
        <v>1526</v>
      </c>
      <c r="G254" s="942"/>
      <c r="H254" s="942"/>
      <c r="I254" s="560" t="s">
        <v>1841</v>
      </c>
      <c r="J254" s="951" t="s">
        <v>1842</v>
      </c>
      <c r="K254" s="677" t="str">
        <f>IF(L254=0,"",(INDEX(AccountCodes[ACCOUNT NAME],MATCH(L254,AccountCodes[NGAS CODE],0))))</f>
        <v>Due to Pag-IBIG - Pag-IBIG Premium</v>
      </c>
      <c r="L254" s="936" t="s">
        <v>1444</v>
      </c>
      <c r="M254" s="947"/>
      <c r="N254" s="947">
        <v>2500</v>
      </c>
      <c r="O254" s="967"/>
      <c r="P254" s="150">
        <f>P253+M254-N254</f>
        <v>-52993.7</v>
      </c>
    </row>
    <row r="255" spans="1:16" ht="39" hidden="1" customHeight="1">
      <c r="A255" s="541">
        <v>45046</v>
      </c>
      <c r="B255" s="941">
        <v>45036</v>
      </c>
      <c r="C255" s="662" t="s">
        <v>1840</v>
      </c>
      <c r="D255" s="494" t="s">
        <v>1834</v>
      </c>
      <c r="E255" s="943" t="s">
        <v>762</v>
      </c>
      <c r="F255" s="944" t="s">
        <v>1526</v>
      </c>
      <c r="G255" s="942"/>
      <c r="H255" s="942"/>
      <c r="I255" s="560" t="s">
        <v>1841</v>
      </c>
      <c r="J255" s="951" t="s">
        <v>1842</v>
      </c>
      <c r="K255" s="677" t="str">
        <f>IF(L255=0,"",(INDEX(AccountCodes[ACCOUNT NAME],MATCH(L255,AccountCodes[NGAS CODE],0))))</f>
        <v>Due to Pag-IBIG - Pag-IBIG Multi-Purpose Loan</v>
      </c>
      <c r="L255" s="936" t="s">
        <v>1445</v>
      </c>
      <c r="M255" s="947"/>
      <c r="N255" s="947">
        <v>2825.02</v>
      </c>
      <c r="O255" s="967"/>
      <c r="P255" s="150">
        <f>P230+M255-N255</f>
        <v>-38350.93</v>
      </c>
    </row>
    <row r="256" spans="1:16" ht="39" hidden="1" customHeight="1">
      <c r="A256" s="541">
        <v>45046</v>
      </c>
      <c r="B256" s="941">
        <v>45036</v>
      </c>
      <c r="C256" s="662" t="s">
        <v>1840</v>
      </c>
      <c r="D256" s="494" t="s">
        <v>1834</v>
      </c>
      <c r="E256" s="943" t="s">
        <v>762</v>
      </c>
      <c r="F256" s="944" t="s">
        <v>1526</v>
      </c>
      <c r="G256" s="942"/>
      <c r="H256" s="942"/>
      <c r="I256" s="560" t="s">
        <v>1841</v>
      </c>
      <c r="J256" s="951" t="s">
        <v>1842</v>
      </c>
      <c r="K256" s="677" t="str">
        <f>IF(L256=0,"",(INDEX(AccountCodes[ACCOUNT NAME],MATCH(L256,AccountCodes[NGAS CODE],0))))</f>
        <v>Due to PhilHealth</v>
      </c>
      <c r="L256" s="936" t="s">
        <v>112</v>
      </c>
      <c r="M256" s="947"/>
      <c r="N256" s="947">
        <v>4424.3900000000003</v>
      </c>
      <c r="O256" s="967"/>
      <c r="P256" s="150">
        <f t="shared" ref="P256:P261" si="16">P255+M256-N256</f>
        <v>-42775.32</v>
      </c>
    </row>
    <row r="257" spans="1:16" ht="39" hidden="1" customHeight="1">
      <c r="A257" s="541">
        <v>45046</v>
      </c>
      <c r="B257" s="941">
        <v>45036</v>
      </c>
      <c r="C257" s="662" t="s">
        <v>1840</v>
      </c>
      <c r="D257" s="494" t="s">
        <v>1834</v>
      </c>
      <c r="E257" s="943" t="s">
        <v>762</v>
      </c>
      <c r="F257" s="944" t="s">
        <v>1526</v>
      </c>
      <c r="G257" s="942"/>
      <c r="H257" s="942"/>
      <c r="I257" s="560" t="s">
        <v>1841</v>
      </c>
      <c r="J257" s="951" t="s">
        <v>1842</v>
      </c>
      <c r="K257" s="677" t="str">
        <f>IF(L257=0,"",(INDEX(AccountCodes[ACCOUNT NAME],MATCH(L257,AccountCodes[NGAS CODE],0))))</f>
        <v>Other Payables</v>
      </c>
      <c r="L257" s="936" t="s">
        <v>117</v>
      </c>
      <c r="M257" s="947"/>
      <c r="N257" s="947">
        <v>4925.63</v>
      </c>
      <c r="O257" s="967"/>
      <c r="P257" s="150">
        <f t="shared" si="16"/>
        <v>-47700.95</v>
      </c>
    </row>
    <row r="258" spans="1:16" ht="39" hidden="1" customHeight="1">
      <c r="A258" s="541">
        <v>45046</v>
      </c>
      <c r="B258" s="941">
        <v>45036</v>
      </c>
      <c r="C258" s="662" t="s">
        <v>1840</v>
      </c>
      <c r="D258" s="494" t="s">
        <v>1834</v>
      </c>
      <c r="E258" s="943" t="s">
        <v>762</v>
      </c>
      <c r="F258" s="944" t="s">
        <v>1526</v>
      </c>
      <c r="G258" s="942"/>
      <c r="H258" s="942"/>
      <c r="I258" s="560" t="s">
        <v>1841</v>
      </c>
      <c r="J258" s="951" t="s">
        <v>1842</v>
      </c>
      <c r="K258" s="677" t="str">
        <f>IF(L258=0,"",(INDEX(AccountCodes[ACCOUNT NAME],MATCH(L258,AccountCodes[NGAS CODE],0))))</f>
        <v>Cash in Bank-Local Currency, Current Account - FO</v>
      </c>
      <c r="L258" s="936" t="s">
        <v>1564</v>
      </c>
      <c r="M258" s="947"/>
      <c r="N258" s="947">
        <v>19600.53</v>
      </c>
      <c r="O258" s="967"/>
      <c r="P258" s="150">
        <f t="shared" si="16"/>
        <v>-67301.48</v>
      </c>
    </row>
    <row r="259" spans="1:16" ht="39" hidden="1" customHeight="1">
      <c r="A259" s="541">
        <v>45046</v>
      </c>
      <c r="B259" s="941">
        <v>45036</v>
      </c>
      <c r="C259" s="662" t="s">
        <v>1852</v>
      </c>
      <c r="D259" s="145" t="s">
        <v>1834</v>
      </c>
      <c r="E259" s="665" t="s">
        <v>762</v>
      </c>
      <c r="F259" s="663" t="s">
        <v>1526</v>
      </c>
      <c r="G259" s="942"/>
      <c r="H259" s="942"/>
      <c r="I259" s="560" t="s">
        <v>1809</v>
      </c>
      <c r="J259" s="951" t="s">
        <v>1853</v>
      </c>
      <c r="K259" s="677" t="str">
        <f>IF(L259=0,"",(INDEX(AccountCodes[ACCOUNT NAME],MATCH(L259,AccountCodes[NGAS CODE],0))))</f>
        <v>Other Payables</v>
      </c>
      <c r="L259" s="936" t="s">
        <v>117</v>
      </c>
      <c r="M259" s="947">
        <v>7029.16</v>
      </c>
      <c r="N259" s="947"/>
      <c r="O259" s="954" t="s">
        <v>1854</v>
      </c>
      <c r="P259" s="150">
        <f t="shared" si="16"/>
        <v>-60272.32</v>
      </c>
    </row>
    <row r="260" spans="1:16" ht="39" hidden="1" customHeight="1">
      <c r="A260" s="541">
        <v>45046</v>
      </c>
      <c r="B260" s="941">
        <v>45036</v>
      </c>
      <c r="C260" s="662" t="s">
        <v>1852</v>
      </c>
      <c r="D260" s="145" t="s">
        <v>1834</v>
      </c>
      <c r="E260" s="665" t="s">
        <v>762</v>
      </c>
      <c r="F260" s="663" t="s">
        <v>1526</v>
      </c>
      <c r="G260" s="942"/>
      <c r="H260" s="942"/>
      <c r="I260" s="560" t="s">
        <v>1809</v>
      </c>
      <c r="J260" s="951" t="s">
        <v>1853</v>
      </c>
      <c r="K260" s="677" t="str">
        <f>IF(L260=0,"",(INDEX(AccountCodes[ACCOUNT NAME],MATCH(L260,AccountCodes[NGAS CODE],0))))</f>
        <v>Cash in Bank-Local Currency, Current Account - FO</v>
      </c>
      <c r="L260" s="936" t="s">
        <v>1564</v>
      </c>
      <c r="M260" s="947"/>
      <c r="N260" s="947">
        <v>7029.16</v>
      </c>
      <c r="O260" s="967"/>
      <c r="P260" s="150">
        <f t="shared" si="16"/>
        <v>-67301.48</v>
      </c>
    </row>
    <row r="261" spans="1:16" ht="39" hidden="1" customHeight="1">
      <c r="A261" s="541">
        <v>45046</v>
      </c>
      <c r="B261" s="941">
        <v>45040</v>
      </c>
      <c r="C261" s="662" t="s">
        <v>1855</v>
      </c>
      <c r="D261" s="145" t="s">
        <v>1834</v>
      </c>
      <c r="E261" s="665" t="s">
        <v>762</v>
      </c>
      <c r="F261" s="663" t="s">
        <v>1526</v>
      </c>
      <c r="G261" s="942"/>
      <c r="H261" s="942"/>
      <c r="I261" s="560" t="s">
        <v>1693</v>
      </c>
      <c r="J261" s="951" t="s">
        <v>1856</v>
      </c>
      <c r="K261" s="677" t="str">
        <f>IF(L261=0,"",(INDEX(AccountCodes[ACCOUNT NAME],MATCH(L261,AccountCodes[NGAS CODE],0))))</f>
        <v>Retirement and Life Insurance Premiums</v>
      </c>
      <c r="L261" s="936" t="s">
        <v>175</v>
      </c>
      <c r="M261" s="947">
        <v>6998.4</v>
      </c>
      <c r="N261" s="947"/>
      <c r="O261" s="954" t="s">
        <v>1857</v>
      </c>
      <c r="P261" s="150">
        <f t="shared" si="16"/>
        <v>-60303.08</v>
      </c>
    </row>
    <row r="262" spans="1:16" ht="39" hidden="1" customHeight="1">
      <c r="A262" s="541">
        <v>45046</v>
      </c>
      <c r="B262" s="941">
        <v>45040</v>
      </c>
      <c r="C262" s="662" t="s">
        <v>1855</v>
      </c>
      <c r="D262" s="145" t="s">
        <v>1834</v>
      </c>
      <c r="E262" s="665" t="s">
        <v>762</v>
      </c>
      <c r="F262" s="663" t="s">
        <v>1526</v>
      </c>
      <c r="G262" s="942"/>
      <c r="H262" s="942"/>
      <c r="I262" s="560" t="s">
        <v>1693</v>
      </c>
      <c r="J262" s="951" t="s">
        <v>1856</v>
      </c>
      <c r="K262" s="677" t="str">
        <f>IF(L262=0,"",(INDEX(AccountCodes[ACCOUNT NAME],MATCH(L262,AccountCodes[NGAS CODE],0))))</f>
        <v>Employees Compensation Insurance Premiums</v>
      </c>
      <c r="L262" s="936" t="s">
        <v>178</v>
      </c>
      <c r="M262" s="947">
        <v>200</v>
      </c>
      <c r="N262" s="947"/>
      <c r="O262" s="967"/>
      <c r="P262" s="150">
        <f>P230+M262-N262</f>
        <v>-35325.910000000003</v>
      </c>
    </row>
    <row r="263" spans="1:16" ht="39" hidden="1" customHeight="1">
      <c r="A263" s="541">
        <v>45046</v>
      </c>
      <c r="B263" s="941">
        <v>45040</v>
      </c>
      <c r="C263" s="662" t="s">
        <v>1855</v>
      </c>
      <c r="D263" s="145" t="s">
        <v>1834</v>
      </c>
      <c r="E263" s="665" t="s">
        <v>762</v>
      </c>
      <c r="F263" s="663" t="s">
        <v>1526</v>
      </c>
      <c r="G263" s="942"/>
      <c r="H263" s="942"/>
      <c r="I263" s="560" t="s">
        <v>1693</v>
      </c>
      <c r="J263" s="951" t="s">
        <v>1856</v>
      </c>
      <c r="K263" s="677" t="str">
        <f>IF(L263=0,"",(INDEX(AccountCodes[ACCOUNT NAME],MATCH(L263,AccountCodes[NGAS CODE],0))))</f>
        <v>Due to GSIS - Life and Retirement Premium</v>
      </c>
      <c r="L263" s="936" t="s">
        <v>1440</v>
      </c>
      <c r="M263" s="947">
        <v>5248.8</v>
      </c>
      <c r="N263" s="947"/>
      <c r="O263" s="967"/>
      <c r="P263" s="150">
        <f t="shared" ref="P263:P268" si="17">P262+M263-N263</f>
        <v>-30077.11</v>
      </c>
    </row>
    <row r="264" spans="1:16" ht="39" hidden="1" customHeight="1">
      <c r="A264" s="541">
        <v>45046</v>
      </c>
      <c r="B264" s="941">
        <v>45040</v>
      </c>
      <c r="C264" s="662" t="s">
        <v>1855</v>
      </c>
      <c r="D264" s="145" t="s">
        <v>1834</v>
      </c>
      <c r="E264" s="665" t="s">
        <v>762</v>
      </c>
      <c r="F264" s="663" t="s">
        <v>1526</v>
      </c>
      <c r="G264" s="942"/>
      <c r="H264" s="942"/>
      <c r="I264" s="560" t="s">
        <v>1693</v>
      </c>
      <c r="J264" s="951" t="s">
        <v>1856</v>
      </c>
      <c r="K264" s="677" t="str">
        <f>IF(L264=0,"",(INDEX(AccountCodes[ACCOUNT NAME],MATCH(L264,AccountCodes[NGAS CODE],0))))</f>
        <v>Cash in Bank-Local Currency, Current Account - FO</v>
      </c>
      <c r="L264" s="936" t="s">
        <v>1564</v>
      </c>
      <c r="M264" s="947"/>
      <c r="N264" s="947">
        <v>12447.2</v>
      </c>
      <c r="O264" s="967"/>
      <c r="P264" s="150">
        <f t="shared" si="17"/>
        <v>-42524.31</v>
      </c>
    </row>
    <row r="265" spans="1:16" ht="39" hidden="1" customHeight="1">
      <c r="A265" s="541">
        <v>45046</v>
      </c>
      <c r="B265" s="941">
        <v>45040</v>
      </c>
      <c r="C265" s="662" t="s">
        <v>1858</v>
      </c>
      <c r="D265" s="145" t="s">
        <v>1834</v>
      </c>
      <c r="E265" s="665" t="s">
        <v>762</v>
      </c>
      <c r="F265" s="663" t="s">
        <v>1526</v>
      </c>
      <c r="G265" s="942"/>
      <c r="H265" s="942"/>
      <c r="I265" s="560" t="s">
        <v>1859</v>
      </c>
      <c r="J265" s="951" t="s">
        <v>1860</v>
      </c>
      <c r="K265" s="677" t="str">
        <f>IF(L265=0,"",(INDEX(AccountCodes[ACCOUNT NAME],MATCH(L265,AccountCodes[NGAS CODE],0))))</f>
        <v>Pag-IBIG Contributions</v>
      </c>
      <c r="L265" s="936" t="s">
        <v>176</v>
      </c>
      <c r="M265" s="947">
        <v>200</v>
      </c>
      <c r="N265" s="947"/>
      <c r="O265" s="954" t="s">
        <v>1857</v>
      </c>
      <c r="P265" s="150">
        <f t="shared" si="17"/>
        <v>-42324.31</v>
      </c>
    </row>
    <row r="266" spans="1:16" ht="39" hidden="1" customHeight="1">
      <c r="A266" s="541">
        <v>45046</v>
      </c>
      <c r="B266" s="941">
        <v>45040</v>
      </c>
      <c r="C266" s="662" t="s">
        <v>1858</v>
      </c>
      <c r="D266" s="145" t="s">
        <v>1834</v>
      </c>
      <c r="E266" s="665" t="s">
        <v>762</v>
      </c>
      <c r="F266" s="663" t="s">
        <v>1526</v>
      </c>
      <c r="G266" s="942"/>
      <c r="H266" s="942"/>
      <c r="I266" s="560" t="s">
        <v>1859</v>
      </c>
      <c r="J266" s="951" t="s">
        <v>1860</v>
      </c>
      <c r="K266" s="677" t="str">
        <f>IF(L266=0,"",(INDEX(AccountCodes[ACCOUNT NAME],MATCH(L266,AccountCodes[NGAS CODE],0))))</f>
        <v>Due to Pag-IBIG - Pag-IBIG Premium</v>
      </c>
      <c r="L266" s="936" t="s">
        <v>1444</v>
      </c>
      <c r="M266" s="947">
        <v>1166.4000000000001</v>
      </c>
      <c r="N266" s="947"/>
      <c r="O266" s="967"/>
      <c r="P266" s="150">
        <f t="shared" si="17"/>
        <v>-41157.910000000003</v>
      </c>
    </row>
    <row r="267" spans="1:16" ht="39" hidden="1" customHeight="1">
      <c r="A267" s="541">
        <v>45046</v>
      </c>
      <c r="B267" s="941">
        <v>45040</v>
      </c>
      <c r="C267" s="662" t="s">
        <v>1858</v>
      </c>
      <c r="D267" s="145" t="s">
        <v>1834</v>
      </c>
      <c r="E267" s="665" t="s">
        <v>762</v>
      </c>
      <c r="F267" s="663" t="s">
        <v>1526</v>
      </c>
      <c r="G267" s="942"/>
      <c r="H267" s="942"/>
      <c r="I267" s="560" t="s">
        <v>1859</v>
      </c>
      <c r="J267" s="951" t="s">
        <v>1860</v>
      </c>
      <c r="K267" s="677" t="str">
        <f>IF(L267=0,"",(INDEX(AccountCodes[ACCOUNT NAME],MATCH(L267,AccountCodes[NGAS CODE],0))))</f>
        <v>Cash in Bank-Local Currency, Current Account - FO</v>
      </c>
      <c r="L267" s="936" t="s">
        <v>1564</v>
      </c>
      <c r="M267" s="947"/>
      <c r="N267" s="947">
        <v>1366.4</v>
      </c>
      <c r="O267" s="967"/>
      <c r="P267" s="150">
        <f t="shared" si="17"/>
        <v>-42524.31</v>
      </c>
    </row>
    <row r="268" spans="1:16" ht="39" hidden="1" customHeight="1">
      <c r="A268" s="541">
        <v>45046</v>
      </c>
      <c r="B268" s="941">
        <v>45040</v>
      </c>
      <c r="C268" s="662" t="s">
        <v>1861</v>
      </c>
      <c r="D268" s="145" t="s">
        <v>1834</v>
      </c>
      <c r="E268" s="665" t="s">
        <v>762</v>
      </c>
      <c r="F268" s="663" t="s">
        <v>1526</v>
      </c>
      <c r="G268" s="942"/>
      <c r="H268" s="942"/>
      <c r="I268" s="560" t="s">
        <v>1680</v>
      </c>
      <c r="J268" s="951" t="s">
        <v>1862</v>
      </c>
      <c r="K268" s="677" t="str">
        <f>IF(L268=0,"",(INDEX(AccountCodes[ACCOUNT NAME],MATCH(L268,AccountCodes[NGAS CODE],0))))</f>
        <v>Due to BIR - Compensation</v>
      </c>
      <c r="L268" s="936" t="s">
        <v>1546</v>
      </c>
      <c r="M268" s="947">
        <v>1330.76</v>
      </c>
      <c r="N268" s="947"/>
      <c r="O268" s="954" t="s">
        <v>1857</v>
      </c>
      <c r="P268" s="150">
        <f t="shared" si="17"/>
        <v>-41193.550000000003</v>
      </c>
    </row>
    <row r="269" spans="1:16" ht="39" hidden="1" customHeight="1">
      <c r="A269" s="541">
        <v>45046</v>
      </c>
      <c r="B269" s="941">
        <v>45040</v>
      </c>
      <c r="C269" s="662" t="s">
        <v>1861</v>
      </c>
      <c r="D269" s="145" t="s">
        <v>1834</v>
      </c>
      <c r="E269" s="665" t="s">
        <v>762</v>
      </c>
      <c r="F269" s="663" t="s">
        <v>1526</v>
      </c>
      <c r="G269" s="942"/>
      <c r="H269" s="942"/>
      <c r="I269" s="560" t="s">
        <v>1680</v>
      </c>
      <c r="J269" s="951" t="s">
        <v>1862</v>
      </c>
      <c r="K269" s="677" t="str">
        <f>IF(L269=0,"",(INDEX(AccountCodes[ACCOUNT NAME],MATCH(L269,AccountCodes[NGAS CODE],0))))</f>
        <v>Cash in Bank-Local Currency, Current Account - FO</v>
      </c>
      <c r="L269" s="936" t="s">
        <v>1564</v>
      </c>
      <c r="M269" s="947"/>
      <c r="N269" s="947">
        <v>1330.76</v>
      </c>
      <c r="O269" s="967"/>
      <c r="P269" s="150">
        <f>P230+M269-N269</f>
        <v>-36856.67</v>
      </c>
    </row>
    <row r="270" spans="1:16" ht="39" hidden="1" customHeight="1">
      <c r="A270" s="541">
        <v>45046</v>
      </c>
      <c r="B270" s="941">
        <v>45040</v>
      </c>
      <c r="C270" s="662" t="s">
        <v>1863</v>
      </c>
      <c r="D270" s="145" t="s">
        <v>1834</v>
      </c>
      <c r="E270" s="665" t="s">
        <v>762</v>
      </c>
      <c r="F270" s="663" t="s">
        <v>1526</v>
      </c>
      <c r="G270" s="942"/>
      <c r="H270" s="942"/>
      <c r="I270" s="560" t="s">
        <v>1859</v>
      </c>
      <c r="J270" s="951" t="s">
        <v>1864</v>
      </c>
      <c r="K270" s="677" t="str">
        <f>IF(L270=0,"",(INDEX(AccountCodes[ACCOUNT NAME],MATCH(L270,AccountCodes[NGAS CODE],0))))</f>
        <v>Due to Pag-IBIG - MP2</v>
      </c>
      <c r="L270" s="936" t="s">
        <v>1508</v>
      </c>
      <c r="M270" s="947">
        <v>4000</v>
      </c>
      <c r="N270" s="947"/>
      <c r="O270" s="954" t="s">
        <v>1857</v>
      </c>
      <c r="P270" s="150">
        <f t="shared" ref="P270:P275" si="18">P269+M270-N270</f>
        <v>-32856.67</v>
      </c>
    </row>
    <row r="271" spans="1:16" ht="39" hidden="1" customHeight="1">
      <c r="A271" s="541">
        <v>45046</v>
      </c>
      <c r="B271" s="941">
        <v>45040</v>
      </c>
      <c r="C271" s="662" t="s">
        <v>1863</v>
      </c>
      <c r="D271" s="145" t="s">
        <v>1834</v>
      </c>
      <c r="E271" s="665" t="s">
        <v>762</v>
      </c>
      <c r="F271" s="663" t="s">
        <v>1526</v>
      </c>
      <c r="G271" s="942"/>
      <c r="H271" s="942"/>
      <c r="I271" s="560" t="s">
        <v>1859</v>
      </c>
      <c r="J271" s="951" t="s">
        <v>1864</v>
      </c>
      <c r="K271" s="677" t="str">
        <f>IF(L271=0,"",(INDEX(AccountCodes[ACCOUNT NAME],MATCH(L271,AccountCodes[NGAS CODE],0))))</f>
        <v>Cash in Bank-Local Currency, Current Account - FO</v>
      </c>
      <c r="L271" s="936" t="s">
        <v>1564</v>
      </c>
      <c r="M271" s="947"/>
      <c r="N271" s="947">
        <v>4000</v>
      </c>
      <c r="O271" s="967"/>
      <c r="P271" s="150">
        <f t="shared" si="18"/>
        <v>-36856.67</v>
      </c>
    </row>
    <row r="272" spans="1:16" ht="39" hidden="1" customHeight="1">
      <c r="A272" s="541">
        <v>45046</v>
      </c>
      <c r="B272" s="941">
        <v>45040</v>
      </c>
      <c r="C272" s="662" t="s">
        <v>1865</v>
      </c>
      <c r="D272" s="145" t="s">
        <v>1834</v>
      </c>
      <c r="E272" s="665" t="s">
        <v>762</v>
      </c>
      <c r="F272" s="663" t="s">
        <v>1526</v>
      </c>
      <c r="G272" s="942"/>
      <c r="H272" s="942"/>
      <c r="I272" s="560" t="s">
        <v>1809</v>
      </c>
      <c r="J272" s="951" t="s">
        <v>1866</v>
      </c>
      <c r="K272" s="677" t="str">
        <f>IF(L272=0,"",(INDEX(AccountCodes[ACCOUNT NAME],MATCH(L272,AccountCodes[NGAS CODE],0))))</f>
        <v>Other Payables</v>
      </c>
      <c r="L272" s="936" t="s">
        <v>117</v>
      </c>
      <c r="M272" s="947">
        <v>4925.63</v>
      </c>
      <c r="N272" s="947"/>
      <c r="O272" s="954" t="s">
        <v>1867</v>
      </c>
      <c r="P272" s="150">
        <f t="shared" si="18"/>
        <v>-31931.040000000001</v>
      </c>
    </row>
    <row r="273" spans="1:16" ht="39" hidden="1" customHeight="1">
      <c r="A273" s="541">
        <v>45046</v>
      </c>
      <c r="B273" s="941">
        <v>45040</v>
      </c>
      <c r="C273" s="662" t="s">
        <v>1865</v>
      </c>
      <c r="D273" s="145" t="s">
        <v>1834</v>
      </c>
      <c r="E273" s="665" t="s">
        <v>762</v>
      </c>
      <c r="F273" s="663" t="s">
        <v>1526</v>
      </c>
      <c r="G273" s="942"/>
      <c r="H273" s="942"/>
      <c r="I273" s="560" t="s">
        <v>1809</v>
      </c>
      <c r="J273" s="951" t="s">
        <v>1866</v>
      </c>
      <c r="K273" s="677" t="str">
        <f>IF(L273=0,"",(INDEX(AccountCodes[ACCOUNT NAME],MATCH(L273,AccountCodes[NGAS CODE],0))))</f>
        <v>Cash in Bank-Local Currency, Current Account - FO</v>
      </c>
      <c r="L273" s="936" t="s">
        <v>1564</v>
      </c>
      <c r="M273" s="947"/>
      <c r="N273" s="947">
        <v>4925.63</v>
      </c>
      <c r="O273" s="967"/>
      <c r="P273" s="150">
        <f t="shared" si="18"/>
        <v>-36856.67</v>
      </c>
    </row>
    <row r="274" spans="1:16" ht="39" hidden="1" customHeight="1">
      <c r="A274" s="541">
        <v>45046</v>
      </c>
      <c r="B274" s="941">
        <v>45040</v>
      </c>
      <c r="C274" s="662" t="s">
        <v>1868</v>
      </c>
      <c r="D274" s="145" t="s">
        <v>1834</v>
      </c>
      <c r="E274" s="665" t="s">
        <v>762</v>
      </c>
      <c r="F274" s="663" t="s">
        <v>1526</v>
      </c>
      <c r="G274" s="942"/>
      <c r="H274" s="942"/>
      <c r="I274" s="560" t="s">
        <v>1689</v>
      </c>
      <c r="J274" s="951" t="s">
        <v>1869</v>
      </c>
      <c r="K274" s="677" t="str">
        <f>IF(L274=0,"",(INDEX(AccountCodes[ACCOUNT NAME],MATCH(L274,AccountCodes[NGAS CODE],0))))</f>
        <v>Due to PhilHealth</v>
      </c>
      <c r="L274" s="936" t="s">
        <v>112</v>
      </c>
      <c r="M274" s="947">
        <v>4424.3900000000003</v>
      </c>
      <c r="N274" s="947"/>
      <c r="O274" s="954" t="s">
        <v>1867</v>
      </c>
      <c r="P274" s="150">
        <f t="shared" si="18"/>
        <v>-32432.28</v>
      </c>
    </row>
    <row r="275" spans="1:16" ht="39" hidden="1" customHeight="1">
      <c r="A275" s="541">
        <v>45046</v>
      </c>
      <c r="B275" s="941">
        <v>45040</v>
      </c>
      <c r="C275" s="662" t="s">
        <v>1868</v>
      </c>
      <c r="D275" s="145" t="s">
        <v>1834</v>
      </c>
      <c r="E275" s="665" t="s">
        <v>762</v>
      </c>
      <c r="F275" s="663" t="s">
        <v>1526</v>
      </c>
      <c r="G275" s="942"/>
      <c r="H275" s="942"/>
      <c r="I275" s="560" t="s">
        <v>1689</v>
      </c>
      <c r="J275" s="951" t="s">
        <v>1869</v>
      </c>
      <c r="K275" s="677" t="str">
        <f>IF(L275=0,"",(INDEX(AccountCodes[ACCOUNT NAME],MATCH(L275,AccountCodes[NGAS CODE],0))))</f>
        <v>Cash in Bank-Local Currency, Current Account - FO</v>
      </c>
      <c r="L275" s="936" t="s">
        <v>1564</v>
      </c>
      <c r="M275" s="947"/>
      <c r="N275" s="947">
        <v>4424.3900000000003</v>
      </c>
      <c r="O275" s="967"/>
      <c r="P275" s="150">
        <f t="shared" si="18"/>
        <v>-36856.67</v>
      </c>
    </row>
    <row r="276" spans="1:16" ht="39" hidden="1" customHeight="1">
      <c r="A276" s="541">
        <v>45046</v>
      </c>
      <c r="B276" s="941">
        <v>45040</v>
      </c>
      <c r="C276" s="662" t="s">
        <v>1870</v>
      </c>
      <c r="D276" s="145" t="s">
        <v>1834</v>
      </c>
      <c r="E276" s="665" t="s">
        <v>762</v>
      </c>
      <c r="F276" s="663" t="s">
        <v>1526</v>
      </c>
      <c r="G276" s="942"/>
      <c r="H276" s="942"/>
      <c r="I276" s="560" t="s">
        <v>1859</v>
      </c>
      <c r="J276" s="951" t="s">
        <v>1871</v>
      </c>
      <c r="K276" s="677" t="str">
        <f>IF(L276=0,"",(INDEX(AccountCodes[ACCOUNT NAME],MATCH(L276,AccountCodes[NGAS CODE],0))))</f>
        <v>Due to Pag-IBIG - Pag-IBIG Multi-Purpose Loan</v>
      </c>
      <c r="L276" s="936" t="s">
        <v>1445</v>
      </c>
      <c r="M276" s="947">
        <v>2825.02</v>
      </c>
      <c r="N276" s="947"/>
      <c r="O276" s="954" t="s">
        <v>1867</v>
      </c>
      <c r="P276" s="150">
        <f>P230+M276-N276</f>
        <v>-32700.89</v>
      </c>
    </row>
    <row r="277" spans="1:16" ht="39" hidden="1" customHeight="1">
      <c r="A277" s="541">
        <v>45046</v>
      </c>
      <c r="B277" s="941">
        <v>45040</v>
      </c>
      <c r="C277" s="662" t="s">
        <v>1870</v>
      </c>
      <c r="D277" s="145" t="s">
        <v>1834</v>
      </c>
      <c r="E277" s="665" t="s">
        <v>762</v>
      </c>
      <c r="F277" s="663" t="s">
        <v>1526</v>
      </c>
      <c r="G277" s="942"/>
      <c r="H277" s="942"/>
      <c r="I277" s="560" t="s">
        <v>1859</v>
      </c>
      <c r="J277" s="951" t="s">
        <v>1871</v>
      </c>
      <c r="K277" s="677" t="str">
        <f>IF(L277=0,"",(INDEX(AccountCodes[ACCOUNT NAME],MATCH(L277,AccountCodes[NGAS CODE],0))))</f>
        <v>Cash in Bank-Local Currency, Current Account - FO</v>
      </c>
      <c r="L277" s="936" t="s">
        <v>1564</v>
      </c>
      <c r="M277" s="947"/>
      <c r="N277" s="947">
        <v>2825.02</v>
      </c>
      <c r="O277" s="967"/>
      <c r="P277" s="150">
        <f>P276+M277-N277</f>
        <v>-35525.910000000003</v>
      </c>
    </row>
    <row r="278" spans="1:16" ht="39" hidden="1" customHeight="1">
      <c r="A278" s="541">
        <v>45046</v>
      </c>
      <c r="B278" s="941">
        <v>45040</v>
      </c>
      <c r="C278" s="662" t="s">
        <v>1872</v>
      </c>
      <c r="D278" s="145" t="s">
        <v>1834</v>
      </c>
      <c r="E278" s="665" t="s">
        <v>762</v>
      </c>
      <c r="F278" s="663" t="s">
        <v>1526</v>
      </c>
      <c r="G278" s="942"/>
      <c r="H278" s="942"/>
      <c r="I278" s="560" t="s">
        <v>1859</v>
      </c>
      <c r="J278" s="951" t="s">
        <v>1873</v>
      </c>
      <c r="K278" s="677" t="str">
        <f>IF(L278=0,"",(INDEX(AccountCodes[ACCOUNT NAME],MATCH(L278,AccountCodes[NGAS CODE],0))))</f>
        <v>Due to Pag-IBIG - Pag-IBIG Premium</v>
      </c>
      <c r="L278" s="936" t="s">
        <v>1444</v>
      </c>
      <c r="M278" s="947">
        <v>2500</v>
      </c>
      <c r="N278" s="947"/>
      <c r="O278" s="954" t="s">
        <v>1867</v>
      </c>
      <c r="P278" s="150">
        <f>P230+M278-N278</f>
        <v>-33025.910000000003</v>
      </c>
    </row>
    <row r="279" spans="1:16" ht="39" hidden="1" customHeight="1">
      <c r="A279" s="541">
        <v>45046</v>
      </c>
      <c r="B279" s="941">
        <v>45040</v>
      </c>
      <c r="C279" s="662" t="s">
        <v>1872</v>
      </c>
      <c r="D279" s="145" t="s">
        <v>1834</v>
      </c>
      <c r="E279" s="665" t="s">
        <v>762</v>
      </c>
      <c r="F279" s="663" t="s">
        <v>1526</v>
      </c>
      <c r="G279" s="942"/>
      <c r="H279" s="942"/>
      <c r="I279" s="560" t="s">
        <v>1859</v>
      </c>
      <c r="J279" s="951" t="s">
        <v>1873</v>
      </c>
      <c r="K279" s="677" t="str">
        <f>IF(L279=0,"",(INDEX(AccountCodes[ACCOUNT NAME],MATCH(L279,AccountCodes[NGAS CODE],0))))</f>
        <v>Cash in Bank-Local Currency, Current Account - FO</v>
      </c>
      <c r="L279" s="936" t="s">
        <v>1564</v>
      </c>
      <c r="M279" s="947"/>
      <c r="N279" s="947">
        <v>2500</v>
      </c>
      <c r="O279" s="967"/>
      <c r="P279" s="150">
        <f>P278+M279-N279</f>
        <v>-35525.910000000003</v>
      </c>
    </row>
    <row r="280" spans="1:16" ht="39" hidden="1" customHeight="1">
      <c r="A280" s="541">
        <v>45046</v>
      </c>
      <c r="B280" s="941">
        <v>45043</v>
      </c>
      <c r="C280" s="662" t="s">
        <v>1874</v>
      </c>
      <c r="D280" s="145" t="s">
        <v>1834</v>
      </c>
      <c r="E280" s="665" t="s">
        <v>762</v>
      </c>
      <c r="F280" s="663" t="s">
        <v>1526</v>
      </c>
      <c r="G280" s="942"/>
      <c r="H280" s="942"/>
      <c r="I280" s="560" t="s">
        <v>1760</v>
      </c>
      <c r="J280" s="951" t="s">
        <v>1875</v>
      </c>
      <c r="K280" s="677" t="str">
        <f>IF(L280=0,"",(INDEX(AccountCodes[ACCOUNT NAME],MATCH(L280,AccountCodes[NGAS CODE],0))))</f>
        <v>Fuel, Oil and Lubricants Expenses</v>
      </c>
      <c r="L280" s="936" t="s">
        <v>229</v>
      </c>
      <c r="M280" s="947">
        <v>8760.69</v>
      </c>
      <c r="N280" s="947"/>
      <c r="O280" s="954" t="s">
        <v>1854</v>
      </c>
      <c r="P280" s="150">
        <f>P230+M280-N280</f>
        <v>-26765.22</v>
      </c>
    </row>
    <row r="281" spans="1:16" ht="39" hidden="1" customHeight="1">
      <c r="A281" s="541">
        <v>45046</v>
      </c>
      <c r="B281" s="941">
        <v>45043</v>
      </c>
      <c r="C281" s="662" t="s">
        <v>1874</v>
      </c>
      <c r="D281" s="145" t="s">
        <v>1834</v>
      </c>
      <c r="E281" s="665" t="s">
        <v>762</v>
      </c>
      <c r="F281" s="663" t="s">
        <v>1526</v>
      </c>
      <c r="G281" s="942"/>
      <c r="H281" s="942"/>
      <c r="I281" s="560" t="s">
        <v>1760</v>
      </c>
      <c r="J281" s="951" t="s">
        <v>1875</v>
      </c>
      <c r="K281" s="677" t="str">
        <f>IF(L281=0,"",(INDEX(AccountCodes[ACCOUNT NAME],MATCH(L281,AccountCodes[NGAS CODE],0))))</f>
        <v>Due to BIR - 1%</v>
      </c>
      <c r="L281" s="936" t="s">
        <v>1554</v>
      </c>
      <c r="M281" s="947"/>
      <c r="N281" s="947">
        <v>78.22</v>
      </c>
      <c r="O281" s="967"/>
      <c r="P281" s="150">
        <f>P280+M281-N281</f>
        <v>-26843.439999999999</v>
      </c>
    </row>
    <row r="282" spans="1:16" ht="39" hidden="1" customHeight="1">
      <c r="A282" s="541">
        <v>45046</v>
      </c>
      <c r="B282" s="941">
        <v>45043</v>
      </c>
      <c r="C282" s="662" t="s">
        <v>1874</v>
      </c>
      <c r="D282" s="145" t="s">
        <v>1834</v>
      </c>
      <c r="E282" s="665" t="s">
        <v>762</v>
      </c>
      <c r="F282" s="663" t="s">
        <v>1526</v>
      </c>
      <c r="G282" s="942"/>
      <c r="H282" s="942"/>
      <c r="I282" s="560" t="s">
        <v>1760</v>
      </c>
      <c r="J282" s="951" t="s">
        <v>1875</v>
      </c>
      <c r="K282" s="677" t="str">
        <f>IF(L282=0,"",(INDEX(AccountCodes[ACCOUNT NAME],MATCH(L282,AccountCodes[NGAS CODE],0))))</f>
        <v>Due to BIR - 5%</v>
      </c>
      <c r="L282" s="936" t="s">
        <v>1548</v>
      </c>
      <c r="M282" s="947"/>
      <c r="N282" s="947">
        <v>391.1</v>
      </c>
      <c r="O282" s="967"/>
      <c r="P282" s="150">
        <f>P230+M282-N282</f>
        <v>-35917.01</v>
      </c>
    </row>
    <row r="283" spans="1:16" ht="39" hidden="1" customHeight="1">
      <c r="A283" s="541">
        <v>45046</v>
      </c>
      <c r="B283" s="941">
        <v>45043</v>
      </c>
      <c r="C283" s="662" t="s">
        <v>1874</v>
      </c>
      <c r="D283" s="145" t="s">
        <v>1834</v>
      </c>
      <c r="E283" s="665" t="s">
        <v>762</v>
      </c>
      <c r="F283" s="663" t="s">
        <v>1526</v>
      </c>
      <c r="G283" s="942"/>
      <c r="H283" s="942"/>
      <c r="I283" s="560" t="s">
        <v>1760</v>
      </c>
      <c r="J283" s="951" t="s">
        <v>1875</v>
      </c>
      <c r="K283" s="677" t="str">
        <f>IF(L283=0,"",(INDEX(AccountCodes[ACCOUNT NAME],MATCH(L283,AccountCodes[NGAS CODE],0))))</f>
        <v>Cash in Bank-Local Currency, Current Account - FO</v>
      </c>
      <c r="L283" s="936" t="s">
        <v>1564</v>
      </c>
      <c r="M283" s="947"/>
      <c r="N283" s="947">
        <v>8291.3700000000008</v>
      </c>
      <c r="O283" s="967"/>
      <c r="P283" s="150">
        <f>P282+M283-N283</f>
        <v>-44208.38</v>
      </c>
    </row>
    <row r="284" spans="1:16" ht="39" hidden="1" customHeight="1">
      <c r="A284" s="541">
        <v>45046</v>
      </c>
      <c r="B284" s="716">
        <v>45044</v>
      </c>
      <c r="C284" s="494" t="s">
        <v>1876</v>
      </c>
      <c r="D284" s="145" t="s">
        <v>1834</v>
      </c>
      <c r="E284" s="665" t="s">
        <v>762</v>
      </c>
      <c r="F284" s="663" t="s">
        <v>1526</v>
      </c>
      <c r="G284" s="494"/>
      <c r="H284" s="494"/>
      <c r="I284" s="560" t="s">
        <v>1689</v>
      </c>
      <c r="J284" s="935" t="s">
        <v>1877</v>
      </c>
      <c r="K284" s="677" t="str">
        <f>IF(L284=0,"",(INDEX(AccountCodes[ACCOUNT NAME],MATCH(L284,AccountCodes[NGAS CODE],0))))</f>
        <v>PhilHealth Contributions</v>
      </c>
      <c r="L284" s="936" t="s">
        <v>177</v>
      </c>
      <c r="M284" s="947">
        <v>1166.4000000000001</v>
      </c>
      <c r="N284" s="947"/>
      <c r="O284" s="954" t="s">
        <v>1857</v>
      </c>
      <c r="P284" s="1003">
        <f>P230+M284-N284</f>
        <v>-34359.51</v>
      </c>
    </row>
    <row r="285" spans="1:16" ht="39" hidden="1" customHeight="1">
      <c r="A285" s="541">
        <v>45046</v>
      </c>
      <c r="B285" s="716">
        <v>45044</v>
      </c>
      <c r="C285" s="494" t="s">
        <v>1876</v>
      </c>
      <c r="D285" s="145" t="s">
        <v>1834</v>
      </c>
      <c r="E285" s="665" t="s">
        <v>762</v>
      </c>
      <c r="F285" s="663" t="s">
        <v>1526</v>
      </c>
      <c r="G285" s="494"/>
      <c r="H285" s="494"/>
      <c r="I285" s="560" t="s">
        <v>1689</v>
      </c>
      <c r="J285" s="935" t="s">
        <v>1877</v>
      </c>
      <c r="K285" s="677" t="str">
        <f>IF(L285=0,"",(INDEX(AccountCodes[ACCOUNT NAME],MATCH(L285,AccountCodes[NGAS CODE],0))))</f>
        <v>Due to PhilHealth</v>
      </c>
      <c r="L285" s="936" t="s">
        <v>112</v>
      </c>
      <c r="M285" s="947">
        <v>1166.4000000000001</v>
      </c>
      <c r="N285" s="947"/>
      <c r="O285" s="967"/>
      <c r="P285" s="1003">
        <f>P284+M285-N285</f>
        <v>-33193.11</v>
      </c>
    </row>
    <row r="286" spans="1:16" ht="39" hidden="1" customHeight="1">
      <c r="A286" s="541">
        <v>45046</v>
      </c>
      <c r="B286" s="716">
        <v>45044</v>
      </c>
      <c r="C286" s="494" t="s">
        <v>1876</v>
      </c>
      <c r="D286" s="145" t="s">
        <v>1834</v>
      </c>
      <c r="E286" s="665" t="s">
        <v>762</v>
      </c>
      <c r="F286" s="663" t="s">
        <v>1526</v>
      </c>
      <c r="G286" s="494"/>
      <c r="H286" s="494"/>
      <c r="I286" s="560" t="s">
        <v>1689</v>
      </c>
      <c r="J286" s="935" t="s">
        <v>1877</v>
      </c>
      <c r="K286" s="677" t="str">
        <f>IF(L286=0,"",(INDEX(AccountCodes[ACCOUNT NAME],MATCH(L286,AccountCodes[NGAS CODE],0))))</f>
        <v>Cash in Bank-Local Currency, Current Account - FO</v>
      </c>
      <c r="L286" s="936" t="s">
        <v>1564</v>
      </c>
      <c r="M286" s="947"/>
      <c r="N286" s="947">
        <v>2332.8000000000002</v>
      </c>
      <c r="O286" s="967"/>
      <c r="P286" s="1003">
        <f>P284+M286-N286</f>
        <v>-36692.31</v>
      </c>
    </row>
    <row r="287" spans="1:16" ht="39" hidden="1" customHeight="1">
      <c r="A287" s="541">
        <v>45046</v>
      </c>
      <c r="B287" s="716">
        <v>45044</v>
      </c>
      <c r="C287" s="145" t="s">
        <v>1878</v>
      </c>
      <c r="D287" s="145" t="s">
        <v>1834</v>
      </c>
      <c r="E287" s="185" t="s">
        <v>762</v>
      </c>
      <c r="F287" s="137" t="s">
        <v>1526</v>
      </c>
      <c r="G287" s="494"/>
      <c r="H287" s="494"/>
      <c r="I287" s="560" t="s">
        <v>1680</v>
      </c>
      <c r="J287" s="935" t="s">
        <v>1879</v>
      </c>
      <c r="K287" s="677" t="str">
        <f>IF(L287=0,"",(INDEX(AccountCodes[ACCOUNT NAME],MATCH(L287,AccountCodes[NGAS CODE],0))))</f>
        <v>Due to BIR - 1%</v>
      </c>
      <c r="L287" s="936" t="s">
        <v>1554</v>
      </c>
      <c r="M287" s="947">
        <v>122.66</v>
      </c>
      <c r="N287" s="947"/>
      <c r="O287" s="954" t="s">
        <v>1882</v>
      </c>
      <c r="P287" s="1003">
        <f>P284+M287-N287</f>
        <v>-34236.85</v>
      </c>
    </row>
    <row r="288" spans="1:16" ht="39" hidden="1" customHeight="1">
      <c r="A288" s="541">
        <v>45046</v>
      </c>
      <c r="B288" s="716">
        <v>45044</v>
      </c>
      <c r="C288" s="145" t="s">
        <v>1878</v>
      </c>
      <c r="D288" s="145" t="s">
        <v>1834</v>
      </c>
      <c r="E288" s="185" t="s">
        <v>762</v>
      </c>
      <c r="F288" s="137" t="s">
        <v>1526</v>
      </c>
      <c r="G288" s="494"/>
      <c r="H288" s="494"/>
      <c r="I288" s="560" t="s">
        <v>1680</v>
      </c>
      <c r="J288" s="935" t="s">
        <v>1879</v>
      </c>
      <c r="K288" s="677" t="str">
        <f>IF(L288=0,"",(INDEX(AccountCodes[ACCOUNT NAME],MATCH(L288,AccountCodes[NGAS CODE],0))))</f>
        <v>Due to BIR - 2%</v>
      </c>
      <c r="L288" s="936" t="s">
        <v>1550</v>
      </c>
      <c r="M288" s="947">
        <v>21855.919999999998</v>
      </c>
      <c r="N288" s="947"/>
      <c r="O288" s="967"/>
      <c r="P288" s="1003">
        <f>P284+M288-N288</f>
        <v>-12503.59</v>
      </c>
    </row>
    <row r="289" spans="1:16" ht="39" hidden="1" customHeight="1">
      <c r="A289" s="541">
        <v>45046</v>
      </c>
      <c r="B289" s="716">
        <v>45044</v>
      </c>
      <c r="C289" s="145" t="s">
        <v>1878</v>
      </c>
      <c r="D289" s="145" t="s">
        <v>1834</v>
      </c>
      <c r="E289" s="185" t="s">
        <v>762</v>
      </c>
      <c r="F289" s="137" t="s">
        <v>1526</v>
      </c>
      <c r="G289" s="494"/>
      <c r="H289" s="494"/>
      <c r="I289" s="560" t="s">
        <v>1680</v>
      </c>
      <c r="J289" s="935" t="s">
        <v>1879</v>
      </c>
      <c r="K289" s="677" t="str">
        <f>IF(L289=0,"",(INDEX(AccountCodes[ACCOUNT NAME],MATCH(L289,AccountCodes[NGAS CODE],0))))</f>
        <v>Cash in Bank-Local Currency, Current Account - FO</v>
      </c>
      <c r="L289" s="936" t="s">
        <v>1564</v>
      </c>
      <c r="M289" s="947"/>
      <c r="N289" s="947">
        <v>21978.58</v>
      </c>
      <c r="O289" s="967"/>
      <c r="P289" s="1003">
        <f>P284+M289-N289</f>
        <v>-56338.09</v>
      </c>
    </row>
    <row r="290" spans="1:16" ht="39" hidden="1" customHeight="1">
      <c r="A290" s="541">
        <v>45046</v>
      </c>
      <c r="B290" s="716">
        <v>45044</v>
      </c>
      <c r="C290" s="145" t="s">
        <v>1880</v>
      </c>
      <c r="D290" s="145" t="s">
        <v>1834</v>
      </c>
      <c r="E290" s="185" t="s">
        <v>762</v>
      </c>
      <c r="F290" s="137" t="s">
        <v>1526</v>
      </c>
      <c r="G290" s="494"/>
      <c r="H290" s="494"/>
      <c r="I290" s="560" t="s">
        <v>1680</v>
      </c>
      <c r="J290" s="935" t="s">
        <v>1881</v>
      </c>
      <c r="K290" s="677" t="str">
        <f>IF(L290=0,"",(INDEX(AccountCodes[ACCOUNT NAME],MATCH(L290,AccountCodes[NGAS CODE],0))))</f>
        <v>Due to BIR - 5%</v>
      </c>
      <c r="L290" s="936" t="s">
        <v>1548</v>
      </c>
      <c r="M290" s="947">
        <v>55253.09</v>
      </c>
      <c r="N290" s="947"/>
      <c r="O290" s="954" t="s">
        <v>1883</v>
      </c>
      <c r="P290" s="1003">
        <f>P289+M290-N290</f>
        <v>-1085</v>
      </c>
    </row>
    <row r="291" spans="1:16" ht="39" hidden="1" customHeight="1">
      <c r="A291" s="541">
        <v>45046</v>
      </c>
      <c r="B291" s="716">
        <v>45044</v>
      </c>
      <c r="C291" s="145" t="s">
        <v>1880</v>
      </c>
      <c r="D291" s="145" t="s">
        <v>1834</v>
      </c>
      <c r="E291" s="185" t="s">
        <v>762</v>
      </c>
      <c r="F291" s="137" t="s">
        <v>1526</v>
      </c>
      <c r="G291" s="494"/>
      <c r="H291" s="494"/>
      <c r="I291" s="560" t="s">
        <v>1680</v>
      </c>
      <c r="J291" s="935" t="s">
        <v>1881</v>
      </c>
      <c r="K291" s="677" t="str">
        <f>IF(L291=0,"",(INDEX(AccountCodes[ACCOUNT NAME],MATCH(L291,AccountCodes[NGAS CODE],0))))</f>
        <v>Cash in Bank-Local Currency, Current Account - FO</v>
      </c>
      <c r="L291" s="936" t="s">
        <v>1564</v>
      </c>
      <c r="M291" s="947"/>
      <c r="N291" s="947">
        <v>55253.09</v>
      </c>
      <c r="O291" s="967"/>
      <c r="P291" s="1003">
        <f>P284+M291-N291</f>
        <v>-89612.6</v>
      </c>
    </row>
    <row r="292" spans="1:16" ht="39" hidden="1" customHeight="1">
      <c r="A292" s="940">
        <v>45077</v>
      </c>
      <c r="B292" s="941">
        <v>45050</v>
      </c>
      <c r="C292" s="662" t="s">
        <v>1885</v>
      </c>
      <c r="D292" s="662" t="s">
        <v>1886</v>
      </c>
      <c r="E292" s="665" t="s">
        <v>762</v>
      </c>
      <c r="F292" s="663" t="s">
        <v>1526</v>
      </c>
      <c r="G292" s="942"/>
      <c r="H292" s="942"/>
      <c r="I292" s="952" t="s">
        <v>1841</v>
      </c>
      <c r="J292" s="951" t="s">
        <v>1887</v>
      </c>
      <c r="K292" s="1000" t="str">
        <f>IF(L292=0,"",(INDEX(AccountCodes[ACCOUNT NAME],MATCH(L292,AccountCodes[NGAS CODE],0))))</f>
        <v>Other Maintenance and Operating Expenses - Other Maintenance and Operating Expenses</v>
      </c>
      <c r="L292" s="953" t="s">
        <v>405</v>
      </c>
      <c r="M292" s="947">
        <v>55307.72</v>
      </c>
      <c r="N292" s="947"/>
      <c r="O292" s="1006" t="s">
        <v>1897</v>
      </c>
      <c r="P292" s="1005">
        <f>P291+M292-N292</f>
        <v>-34304.879999999997</v>
      </c>
    </row>
    <row r="293" spans="1:16" ht="39" hidden="1" customHeight="1">
      <c r="A293" s="940">
        <v>45077</v>
      </c>
      <c r="B293" s="941">
        <v>45050</v>
      </c>
      <c r="C293" s="662" t="s">
        <v>1885</v>
      </c>
      <c r="D293" s="662" t="s">
        <v>1886</v>
      </c>
      <c r="E293" s="665" t="s">
        <v>762</v>
      </c>
      <c r="F293" s="663" t="s">
        <v>1526</v>
      </c>
      <c r="G293" s="942"/>
      <c r="H293" s="942"/>
      <c r="I293" s="952" t="s">
        <v>1841</v>
      </c>
      <c r="J293" s="951" t="s">
        <v>1887</v>
      </c>
      <c r="K293" s="1000" t="str">
        <f>IF(L293=0,"",(INDEX(AccountCodes[ACCOUNT NAME],MATCH(L293,AccountCodes[NGAS CODE],0))))</f>
        <v>Other Payables</v>
      </c>
      <c r="L293" s="953" t="s">
        <v>117</v>
      </c>
      <c r="M293" s="947"/>
      <c r="N293" s="947">
        <v>5700</v>
      </c>
      <c r="O293" s="1006" t="s">
        <v>1897</v>
      </c>
      <c r="P293" s="1005">
        <f>P291+M293-N293</f>
        <v>-95312.6</v>
      </c>
    </row>
    <row r="294" spans="1:16" ht="39" hidden="1" customHeight="1">
      <c r="A294" s="940">
        <v>45077</v>
      </c>
      <c r="B294" s="941">
        <v>45050</v>
      </c>
      <c r="C294" s="662" t="s">
        <v>1885</v>
      </c>
      <c r="D294" s="662" t="s">
        <v>1886</v>
      </c>
      <c r="E294" s="665" t="s">
        <v>762</v>
      </c>
      <c r="F294" s="663" t="s">
        <v>1526</v>
      </c>
      <c r="G294" s="942"/>
      <c r="H294" s="942"/>
      <c r="I294" s="952" t="s">
        <v>1841</v>
      </c>
      <c r="J294" s="951" t="s">
        <v>1887</v>
      </c>
      <c r="K294" s="1000" t="str">
        <f>IF(L294=0,"",(INDEX(AccountCodes[ACCOUNT NAME],MATCH(L294,AccountCodes[NGAS CODE],0))))</f>
        <v>Other Payables</v>
      </c>
      <c r="L294" s="953" t="s">
        <v>117</v>
      </c>
      <c r="M294" s="947"/>
      <c r="N294" s="947">
        <v>8995.19</v>
      </c>
      <c r="O294" s="1006" t="s">
        <v>1897</v>
      </c>
      <c r="P294" s="1005">
        <f>P291+M294-N294</f>
        <v>-98607.79</v>
      </c>
    </row>
    <row r="295" spans="1:16" ht="39" hidden="1" customHeight="1">
      <c r="A295" s="940">
        <v>45077</v>
      </c>
      <c r="B295" s="941">
        <v>45050</v>
      </c>
      <c r="C295" s="662" t="s">
        <v>1885</v>
      </c>
      <c r="D295" s="662" t="s">
        <v>1886</v>
      </c>
      <c r="E295" s="665" t="s">
        <v>762</v>
      </c>
      <c r="F295" s="663" t="s">
        <v>1526</v>
      </c>
      <c r="G295" s="942"/>
      <c r="H295" s="942"/>
      <c r="I295" s="952" t="s">
        <v>1841</v>
      </c>
      <c r="J295" s="951" t="s">
        <v>1887</v>
      </c>
      <c r="K295" s="1000" t="str">
        <f>IF(L295=0,"",(INDEX(AccountCodes[ACCOUNT NAME],MATCH(L295,AccountCodes[NGAS CODE],0))))</f>
        <v>Cash in Bank-Local Currency, Current Account - FO</v>
      </c>
      <c r="L295" s="953" t="s">
        <v>1564</v>
      </c>
      <c r="M295" s="947"/>
      <c r="N295" s="947">
        <v>40612.53</v>
      </c>
      <c r="O295" s="1006" t="s">
        <v>1897</v>
      </c>
      <c r="P295" s="1005">
        <f>P291+M295-N295</f>
        <v>-130225.13</v>
      </c>
    </row>
    <row r="296" spans="1:16" ht="39" hidden="1" customHeight="1">
      <c r="A296" s="940">
        <v>45077</v>
      </c>
      <c r="B296" s="941">
        <v>45057</v>
      </c>
      <c r="C296" s="662" t="s">
        <v>1888</v>
      </c>
      <c r="D296" s="662" t="s">
        <v>1886</v>
      </c>
      <c r="E296" s="665" t="s">
        <v>762</v>
      </c>
      <c r="F296" s="663" t="s">
        <v>1526</v>
      </c>
      <c r="G296" s="942"/>
      <c r="H296" s="942"/>
      <c r="I296" s="952" t="s">
        <v>1648</v>
      </c>
      <c r="J296" s="951" t="s">
        <v>1889</v>
      </c>
      <c r="K296" s="1000" t="str">
        <f>IF(L296=0,"",(INDEX(AccountCodes[ACCOUNT NAME],MATCH(L296,AccountCodes[NGAS CODE],0))))</f>
        <v>Construction in Progress-Infrastructure Assets (Irrigation, Canals and Laterals)</v>
      </c>
      <c r="L296" s="953" t="s">
        <v>82</v>
      </c>
      <c r="M296" s="947">
        <v>2641804.0499999998</v>
      </c>
      <c r="N296" s="947"/>
      <c r="O296" s="1006" t="s">
        <v>1890</v>
      </c>
      <c r="P296" s="1005">
        <f>P291+M296-N296</f>
        <v>2552191.4500000002</v>
      </c>
    </row>
    <row r="297" spans="1:16" ht="39" hidden="1" customHeight="1">
      <c r="A297" s="940">
        <v>45077</v>
      </c>
      <c r="B297" s="941">
        <v>45057</v>
      </c>
      <c r="C297" s="662" t="s">
        <v>1888</v>
      </c>
      <c r="D297" s="662" t="s">
        <v>1886</v>
      </c>
      <c r="E297" s="665" t="s">
        <v>762</v>
      </c>
      <c r="F297" s="663" t="s">
        <v>1526</v>
      </c>
      <c r="G297" s="942"/>
      <c r="H297" s="942"/>
      <c r="I297" s="952" t="s">
        <v>1648</v>
      </c>
      <c r="J297" s="951" t="s">
        <v>1889</v>
      </c>
      <c r="K297" s="1000" t="str">
        <f>IF(L297=0,"",(INDEX(AccountCodes[ACCOUNT NAME],MATCH(L297,AccountCodes[NGAS CODE],0))))</f>
        <v>Due to BIR - 5%</v>
      </c>
      <c r="L297" s="953" t="s">
        <v>1548</v>
      </c>
      <c r="M297" s="947"/>
      <c r="N297" s="947">
        <v>117937.68</v>
      </c>
      <c r="O297" s="1006" t="s">
        <v>1890</v>
      </c>
      <c r="P297" s="1005">
        <f>P291+M297-N297</f>
        <v>-207550.28</v>
      </c>
    </row>
    <row r="298" spans="1:16" ht="39" hidden="1" customHeight="1">
      <c r="A298" s="940">
        <v>45077</v>
      </c>
      <c r="B298" s="941">
        <v>45057</v>
      </c>
      <c r="C298" s="662" t="s">
        <v>1888</v>
      </c>
      <c r="D298" s="662" t="s">
        <v>1886</v>
      </c>
      <c r="E298" s="665" t="s">
        <v>762</v>
      </c>
      <c r="F298" s="663" t="s">
        <v>1526</v>
      </c>
      <c r="G298" s="942"/>
      <c r="H298" s="942"/>
      <c r="I298" s="952" t="s">
        <v>1648</v>
      </c>
      <c r="J298" s="951" t="s">
        <v>1889</v>
      </c>
      <c r="K298" s="1000" t="str">
        <f>IF(L298=0,"",(INDEX(AccountCodes[ACCOUNT NAME],MATCH(L298,AccountCodes[NGAS CODE],0))))</f>
        <v>Due to BIR - 2%</v>
      </c>
      <c r="L298" s="953" t="s">
        <v>1550</v>
      </c>
      <c r="M298" s="947"/>
      <c r="N298" s="947">
        <v>47175.07</v>
      </c>
      <c r="O298" s="1006" t="s">
        <v>1890</v>
      </c>
      <c r="P298" s="1005">
        <f>P291+M298-N298</f>
        <v>-136787.67000000001</v>
      </c>
    </row>
    <row r="299" spans="1:16" ht="39" hidden="1" customHeight="1">
      <c r="A299" s="940">
        <v>45077</v>
      </c>
      <c r="B299" s="941">
        <v>45057</v>
      </c>
      <c r="C299" s="662" t="s">
        <v>1888</v>
      </c>
      <c r="D299" s="662" t="s">
        <v>1886</v>
      </c>
      <c r="E299" s="665" t="s">
        <v>762</v>
      </c>
      <c r="F299" s="663" t="s">
        <v>1526</v>
      </c>
      <c r="G299" s="942"/>
      <c r="H299" s="942"/>
      <c r="I299" s="952" t="s">
        <v>1648</v>
      </c>
      <c r="J299" s="951" t="s">
        <v>1889</v>
      </c>
      <c r="K299" s="1000" t="str">
        <f>IF(L299=0,"",(INDEX(AccountCodes[ACCOUNT NAME],MATCH(L299,AccountCodes[NGAS CODE],0))))</f>
        <v>Advances to Contractors</v>
      </c>
      <c r="L299" s="953" t="s">
        <v>35</v>
      </c>
      <c r="M299" s="947"/>
      <c r="N299" s="947">
        <v>799543.2</v>
      </c>
      <c r="O299" s="1006" t="s">
        <v>1890</v>
      </c>
      <c r="P299" s="1005">
        <f>P291+M299-N299</f>
        <v>-889155.8</v>
      </c>
    </row>
    <row r="300" spans="1:16" ht="39" hidden="1" customHeight="1">
      <c r="A300" s="940">
        <v>45077</v>
      </c>
      <c r="B300" s="941">
        <v>45057</v>
      </c>
      <c r="C300" s="662" t="s">
        <v>1888</v>
      </c>
      <c r="D300" s="662" t="s">
        <v>1886</v>
      </c>
      <c r="E300" s="665" t="s">
        <v>762</v>
      </c>
      <c r="F300" s="663" t="s">
        <v>1526</v>
      </c>
      <c r="G300" s="942"/>
      <c r="H300" s="942"/>
      <c r="I300" s="952" t="s">
        <v>1648</v>
      </c>
      <c r="J300" s="951" t="s">
        <v>1889</v>
      </c>
      <c r="K300" s="1000" t="str">
        <f>IF(L300=0,"",(INDEX(AccountCodes[ACCOUNT NAME],MATCH(L300,AccountCodes[NGAS CODE],0))))</f>
        <v>Cash in Bank-Local Currency, Current Account - FO</v>
      </c>
      <c r="L300" s="953" t="s">
        <v>1564</v>
      </c>
      <c r="M300" s="947"/>
      <c r="N300" s="947">
        <v>1677148.1</v>
      </c>
      <c r="O300" s="1006" t="s">
        <v>1890</v>
      </c>
      <c r="P300" s="1005">
        <f>P291+M300-N300</f>
        <v>-1766760.7</v>
      </c>
    </row>
    <row r="301" spans="1:16" ht="39" hidden="1" customHeight="1">
      <c r="A301" s="940">
        <v>45077</v>
      </c>
      <c r="B301" s="941">
        <v>45058</v>
      </c>
      <c r="C301" s="662" t="s">
        <v>1891</v>
      </c>
      <c r="D301" s="662" t="s">
        <v>1886</v>
      </c>
      <c r="E301" s="665" t="s">
        <v>762</v>
      </c>
      <c r="F301" s="663" t="s">
        <v>1526</v>
      </c>
      <c r="G301" s="942"/>
      <c r="H301" s="942"/>
      <c r="I301" s="952" t="s">
        <v>1716</v>
      </c>
      <c r="J301" s="951" t="s">
        <v>1892</v>
      </c>
      <c r="K301" s="1000" t="str">
        <f>IF(L301=0,"",(INDEX(AccountCodes[ACCOUNT NAME],MATCH(L301,AccountCodes[NGAS CODE],0))))</f>
        <v>Salaries and Wages-Regular</v>
      </c>
      <c r="L301" s="953" t="s">
        <v>162</v>
      </c>
      <c r="M301" s="947">
        <v>58320</v>
      </c>
      <c r="N301" s="947"/>
      <c r="O301" s="1006" t="s">
        <v>1894</v>
      </c>
      <c r="P301" s="1005">
        <f>P291+M301-N301</f>
        <v>-31292.6</v>
      </c>
    </row>
    <row r="302" spans="1:16" ht="39" hidden="1" customHeight="1">
      <c r="A302" s="940">
        <v>45077</v>
      </c>
      <c r="B302" s="941">
        <v>45058</v>
      </c>
      <c r="C302" s="662" t="s">
        <v>1891</v>
      </c>
      <c r="D302" s="662" t="s">
        <v>1886</v>
      </c>
      <c r="E302" s="665" t="s">
        <v>762</v>
      </c>
      <c r="F302" s="663" t="s">
        <v>1526</v>
      </c>
      <c r="G302" s="942"/>
      <c r="H302" s="942"/>
      <c r="I302" s="952" t="s">
        <v>1716</v>
      </c>
      <c r="J302" s="951" t="s">
        <v>1892</v>
      </c>
      <c r="K302" s="1000" t="str">
        <f>IF(L302=0,"",(INDEX(AccountCodes[ACCOUNT NAME],MATCH(L302,AccountCodes[NGAS CODE],0))))</f>
        <v>Personal Economic Relief Allowance (PERA)</v>
      </c>
      <c r="L302" s="953" t="s">
        <v>164</v>
      </c>
      <c r="M302" s="947">
        <v>4000</v>
      </c>
      <c r="N302" s="947"/>
      <c r="O302" s="1006" t="s">
        <v>1894</v>
      </c>
      <c r="P302" s="1005">
        <f>P291+M302-N302</f>
        <v>-85612.6</v>
      </c>
    </row>
    <row r="303" spans="1:16" ht="39" hidden="1" customHeight="1">
      <c r="A303" s="940">
        <v>45077</v>
      </c>
      <c r="B303" s="941">
        <v>45058</v>
      </c>
      <c r="C303" s="662" t="s">
        <v>1891</v>
      </c>
      <c r="D303" s="662" t="s">
        <v>1886</v>
      </c>
      <c r="E303" s="665" t="s">
        <v>762</v>
      </c>
      <c r="F303" s="663" t="s">
        <v>1526</v>
      </c>
      <c r="G303" s="942"/>
      <c r="H303" s="942"/>
      <c r="I303" s="952" t="s">
        <v>1716</v>
      </c>
      <c r="J303" s="951" t="s">
        <v>1892</v>
      </c>
      <c r="K303" s="1000" t="str">
        <f>IF(L303=0,"",(INDEX(AccountCodes[ACCOUNT NAME],MATCH(L303,AccountCodes[NGAS CODE],0))))</f>
        <v>Due to BIR - Compensation</v>
      </c>
      <c r="L303" s="953" t="s">
        <v>1546</v>
      </c>
      <c r="M303" s="947"/>
      <c r="N303" s="947">
        <v>1330.76</v>
      </c>
      <c r="O303" s="1006" t="s">
        <v>1894</v>
      </c>
      <c r="P303" s="1005">
        <f>P291+M303-N303</f>
        <v>-90943.360000000001</v>
      </c>
    </row>
    <row r="304" spans="1:16" ht="39" hidden="1" customHeight="1">
      <c r="A304" s="940">
        <v>45077</v>
      </c>
      <c r="B304" s="941">
        <v>45058</v>
      </c>
      <c r="C304" s="662" t="s">
        <v>1891</v>
      </c>
      <c r="D304" s="662" t="s">
        <v>1886</v>
      </c>
      <c r="E304" s="665" t="s">
        <v>762</v>
      </c>
      <c r="F304" s="663" t="s">
        <v>1526</v>
      </c>
      <c r="G304" s="942"/>
      <c r="H304" s="942"/>
      <c r="I304" s="952" t="s">
        <v>1716</v>
      </c>
      <c r="J304" s="951" t="s">
        <v>1892</v>
      </c>
      <c r="K304" s="1000" t="str">
        <f>IF(L304=0,"",(INDEX(AccountCodes[ACCOUNT NAME],MATCH(L304,AccountCodes[NGAS CODE],0))))</f>
        <v>Due to GSIS - Life and Retirement Premium</v>
      </c>
      <c r="L304" s="953" t="s">
        <v>1440</v>
      </c>
      <c r="M304" s="947"/>
      <c r="N304" s="947">
        <v>5248.8</v>
      </c>
      <c r="O304" s="1006" t="s">
        <v>1894</v>
      </c>
      <c r="P304" s="1005">
        <f>P291+M304-N304</f>
        <v>-94861.4</v>
      </c>
    </row>
    <row r="305" spans="1:16" ht="39" hidden="1" customHeight="1">
      <c r="A305" s="940">
        <v>45077</v>
      </c>
      <c r="B305" s="941">
        <v>45058</v>
      </c>
      <c r="C305" s="662" t="s">
        <v>1891</v>
      </c>
      <c r="D305" s="662" t="s">
        <v>1886</v>
      </c>
      <c r="E305" s="665" t="s">
        <v>762</v>
      </c>
      <c r="F305" s="663" t="s">
        <v>1526</v>
      </c>
      <c r="G305" s="942"/>
      <c r="H305" s="942"/>
      <c r="I305" s="952" t="s">
        <v>1716</v>
      </c>
      <c r="J305" s="951" t="s">
        <v>1892</v>
      </c>
      <c r="K305" s="1000" t="str">
        <f>IF(L305=0,"",(INDEX(AccountCodes[ACCOUNT NAME],MATCH(L305,AccountCodes[NGAS CODE],0))))</f>
        <v>Due to Pag-IBIG - Pag-IBIG Premium</v>
      </c>
      <c r="L305" s="953" t="s">
        <v>1444</v>
      </c>
      <c r="M305" s="947"/>
      <c r="N305" s="947">
        <v>1166.4000000000001</v>
      </c>
      <c r="O305" s="1006" t="s">
        <v>1894</v>
      </c>
      <c r="P305" s="1005">
        <f>P291+M305-N305</f>
        <v>-90779</v>
      </c>
    </row>
    <row r="306" spans="1:16" ht="39" hidden="1" customHeight="1">
      <c r="A306" s="940">
        <v>45077</v>
      </c>
      <c r="B306" s="941">
        <v>45058</v>
      </c>
      <c r="C306" s="662" t="s">
        <v>1891</v>
      </c>
      <c r="D306" s="662" t="s">
        <v>1886</v>
      </c>
      <c r="E306" s="665" t="s">
        <v>762</v>
      </c>
      <c r="F306" s="663" t="s">
        <v>1526</v>
      </c>
      <c r="G306" s="942"/>
      <c r="H306" s="942"/>
      <c r="I306" s="952" t="s">
        <v>1716</v>
      </c>
      <c r="J306" s="951" t="s">
        <v>1892</v>
      </c>
      <c r="K306" s="1000" t="str">
        <f>IF(L306=0,"",(INDEX(AccountCodes[ACCOUNT NAME],MATCH(L306,AccountCodes[NGAS CODE],0))))</f>
        <v>Due to Pag-IBIG - MP2</v>
      </c>
      <c r="L306" s="953" t="s">
        <v>1508</v>
      </c>
      <c r="M306" s="947"/>
      <c r="N306" s="947">
        <v>4000</v>
      </c>
      <c r="O306" s="1006" t="s">
        <v>1894</v>
      </c>
      <c r="P306" s="1005">
        <f>P291+M306-N306</f>
        <v>-93612.6</v>
      </c>
    </row>
    <row r="307" spans="1:16" ht="39" hidden="1" customHeight="1">
      <c r="A307" s="940">
        <v>45077</v>
      </c>
      <c r="B307" s="941">
        <v>45058</v>
      </c>
      <c r="C307" s="662" t="s">
        <v>1891</v>
      </c>
      <c r="D307" s="662" t="s">
        <v>1886</v>
      </c>
      <c r="E307" s="665" t="s">
        <v>762</v>
      </c>
      <c r="F307" s="663" t="s">
        <v>1526</v>
      </c>
      <c r="G307" s="942"/>
      <c r="H307" s="942"/>
      <c r="I307" s="952" t="s">
        <v>1716</v>
      </c>
      <c r="J307" s="951" t="s">
        <v>1892</v>
      </c>
      <c r="K307" s="1000" t="str">
        <f>IF(L307=0,"",(INDEX(AccountCodes[ACCOUNT NAME],MATCH(L307,AccountCodes[NGAS CODE],0))))</f>
        <v>Due to PhilHealth</v>
      </c>
      <c r="L307" s="953" t="s">
        <v>112</v>
      </c>
      <c r="M307" s="947"/>
      <c r="N307" s="947">
        <v>1166.4000000000001</v>
      </c>
      <c r="O307" s="1006" t="s">
        <v>1894</v>
      </c>
      <c r="P307" s="1005">
        <f>P291+M307-N307</f>
        <v>-90779</v>
      </c>
    </row>
    <row r="308" spans="1:16" ht="39" hidden="1" customHeight="1">
      <c r="A308" s="940">
        <v>45077</v>
      </c>
      <c r="B308" s="941">
        <v>45058</v>
      </c>
      <c r="C308" s="662" t="s">
        <v>1891</v>
      </c>
      <c r="D308" s="662" t="s">
        <v>1886</v>
      </c>
      <c r="E308" s="665" t="s">
        <v>762</v>
      </c>
      <c r="F308" s="663" t="s">
        <v>1526</v>
      </c>
      <c r="G308" s="942"/>
      <c r="H308" s="942"/>
      <c r="I308" s="952" t="s">
        <v>1716</v>
      </c>
      <c r="J308" s="951" t="s">
        <v>1892</v>
      </c>
      <c r="K308" s="1000" t="str">
        <f>IF(L308=0,"",(INDEX(AccountCodes[ACCOUNT NAME],MATCH(L308,AccountCodes[NGAS CODE],0))))</f>
        <v>Cash in Bank-Local Currency, Current Account - FO</v>
      </c>
      <c r="L308" s="953" t="s">
        <v>1564</v>
      </c>
      <c r="M308" s="947"/>
      <c r="N308" s="947">
        <v>49407.64</v>
      </c>
      <c r="O308" s="1006" t="s">
        <v>1894</v>
      </c>
      <c r="P308" s="1005">
        <f>P291+M308-N308</f>
        <v>-139020.24</v>
      </c>
    </row>
    <row r="309" spans="1:16" ht="39" hidden="1" customHeight="1">
      <c r="A309" s="940">
        <v>45077</v>
      </c>
      <c r="B309" s="941">
        <v>45061</v>
      </c>
      <c r="C309" s="662" t="s">
        <v>1893</v>
      </c>
      <c r="D309" s="662" t="s">
        <v>1886</v>
      </c>
      <c r="E309" s="665" t="s">
        <v>762</v>
      </c>
      <c r="F309" s="663" t="s">
        <v>1526</v>
      </c>
      <c r="G309" s="942"/>
      <c r="H309" s="942"/>
      <c r="I309" s="952" t="s">
        <v>1716</v>
      </c>
      <c r="J309" s="951" t="s">
        <v>1895</v>
      </c>
      <c r="K309" s="1000" t="str">
        <f>IF(L309=0,"",(INDEX(AccountCodes[ACCOUNT NAME],MATCH(L309,AccountCodes[NGAS CODE],0))))</f>
        <v>Mid-Year Bonus</v>
      </c>
      <c r="L309" s="953" t="s">
        <v>1641</v>
      </c>
      <c r="M309" s="947">
        <v>58320</v>
      </c>
      <c r="N309" s="947"/>
      <c r="O309" s="1006" t="s">
        <v>1894</v>
      </c>
      <c r="P309" s="1005">
        <f>P291+M309-N309</f>
        <v>-31292.6</v>
      </c>
    </row>
    <row r="310" spans="1:16" ht="39" hidden="1" customHeight="1">
      <c r="A310" s="940">
        <v>45077</v>
      </c>
      <c r="B310" s="941">
        <v>45061</v>
      </c>
      <c r="C310" s="662" t="s">
        <v>1893</v>
      </c>
      <c r="D310" s="662" t="s">
        <v>1886</v>
      </c>
      <c r="E310" s="665" t="s">
        <v>762</v>
      </c>
      <c r="F310" s="663" t="s">
        <v>1526</v>
      </c>
      <c r="G310" s="942"/>
      <c r="H310" s="942"/>
      <c r="I310" s="952" t="s">
        <v>1716</v>
      </c>
      <c r="J310" s="951" t="s">
        <v>1895</v>
      </c>
      <c r="K310" s="1000" t="str">
        <f>IF(L310=0,"",(INDEX(AccountCodes[ACCOUNT NAME],MATCH(L310,AccountCodes[NGAS CODE],0))))</f>
        <v>Cash in Bank-Local Currency, Current Account - FO</v>
      </c>
      <c r="L310" s="953" t="s">
        <v>1564</v>
      </c>
      <c r="M310" s="947"/>
      <c r="N310" s="947">
        <v>58320</v>
      </c>
      <c r="O310" s="1006" t="s">
        <v>1894</v>
      </c>
      <c r="P310" s="1005">
        <f>P291+M310-N310</f>
        <v>-147932.6</v>
      </c>
    </row>
    <row r="311" spans="1:16" ht="39" hidden="1" customHeight="1">
      <c r="A311" s="940">
        <v>45077</v>
      </c>
      <c r="B311" s="941">
        <v>45061</v>
      </c>
      <c r="C311" s="662" t="s">
        <v>1896</v>
      </c>
      <c r="D311" s="662" t="s">
        <v>1886</v>
      </c>
      <c r="E311" s="665" t="s">
        <v>762</v>
      </c>
      <c r="F311" s="663" t="s">
        <v>1526</v>
      </c>
      <c r="G311" s="942"/>
      <c r="H311" s="942"/>
      <c r="I311" s="952" t="s">
        <v>1898</v>
      </c>
      <c r="J311" s="951" t="s">
        <v>1899</v>
      </c>
      <c r="K311" s="1000" t="str">
        <f>IF(L311=0,"",(INDEX(AccountCodes[ACCOUNT NAME],MATCH(L311,AccountCodes[NGAS CODE],0))))</f>
        <v>Construction in Progress-Infrastructure Assets (Irrigation, Canals and Laterals)</v>
      </c>
      <c r="L311" s="953" t="s">
        <v>82</v>
      </c>
      <c r="M311" s="947">
        <v>518121.47</v>
      </c>
      <c r="N311" s="947"/>
      <c r="O311" s="1006" t="s">
        <v>1897</v>
      </c>
      <c r="P311" s="1005">
        <f>P291+M311-N311</f>
        <v>428508.87</v>
      </c>
    </row>
    <row r="312" spans="1:16" ht="39" hidden="1" customHeight="1">
      <c r="A312" s="940">
        <v>45077</v>
      </c>
      <c r="B312" s="941">
        <v>45061</v>
      </c>
      <c r="C312" s="662" t="s">
        <v>1896</v>
      </c>
      <c r="D312" s="662" t="s">
        <v>1886</v>
      </c>
      <c r="E312" s="665" t="s">
        <v>762</v>
      </c>
      <c r="F312" s="663" t="s">
        <v>1526</v>
      </c>
      <c r="G312" s="942"/>
      <c r="H312" s="942"/>
      <c r="I312" s="952" t="s">
        <v>1898</v>
      </c>
      <c r="J312" s="951" t="s">
        <v>1899</v>
      </c>
      <c r="K312" s="1000" t="str">
        <f>IF(L312=0,"",(INDEX(AccountCodes[ACCOUNT NAME],MATCH(L312,AccountCodes[NGAS CODE],0))))</f>
        <v>Due to BIR - 5%</v>
      </c>
      <c r="L312" s="953" t="s">
        <v>1548</v>
      </c>
      <c r="M312" s="947"/>
      <c r="N312" s="947">
        <v>23130.42</v>
      </c>
      <c r="O312" s="1006" t="s">
        <v>1897</v>
      </c>
      <c r="P312" s="1005">
        <f>P291+M312-N312</f>
        <v>-112743.02</v>
      </c>
    </row>
    <row r="313" spans="1:16" ht="39" hidden="1" customHeight="1">
      <c r="A313" s="940">
        <v>45077</v>
      </c>
      <c r="B313" s="941">
        <v>45061</v>
      </c>
      <c r="C313" s="662" t="s">
        <v>1896</v>
      </c>
      <c r="D313" s="662" t="s">
        <v>1886</v>
      </c>
      <c r="E313" s="665" t="s">
        <v>762</v>
      </c>
      <c r="F313" s="663" t="s">
        <v>1526</v>
      </c>
      <c r="G313" s="942"/>
      <c r="H313" s="942"/>
      <c r="I313" s="952" t="s">
        <v>1898</v>
      </c>
      <c r="J313" s="951" t="s">
        <v>1899</v>
      </c>
      <c r="K313" s="1000" t="str">
        <f>IF(L313=0,"",(INDEX(AccountCodes[ACCOUNT NAME],MATCH(L313,AccountCodes[NGAS CODE],0))))</f>
        <v>Due to BIR - 2%</v>
      </c>
      <c r="L313" s="953" t="s">
        <v>1550</v>
      </c>
      <c r="M313" s="947"/>
      <c r="N313" s="947">
        <v>9252.17</v>
      </c>
      <c r="O313" s="1006" t="s">
        <v>1897</v>
      </c>
      <c r="P313" s="1005">
        <f>P291+M313-N313</f>
        <v>-98864.77</v>
      </c>
    </row>
    <row r="314" spans="1:16" ht="39" hidden="1" customHeight="1">
      <c r="A314" s="940">
        <v>45077</v>
      </c>
      <c r="B314" s="941">
        <v>45061</v>
      </c>
      <c r="C314" s="662" t="s">
        <v>1896</v>
      </c>
      <c r="D314" s="662" t="s">
        <v>1886</v>
      </c>
      <c r="E314" s="665" t="s">
        <v>762</v>
      </c>
      <c r="F314" s="663" t="s">
        <v>1526</v>
      </c>
      <c r="G314" s="942"/>
      <c r="H314" s="942"/>
      <c r="I314" s="952" t="s">
        <v>1898</v>
      </c>
      <c r="J314" s="951" t="s">
        <v>1899</v>
      </c>
      <c r="K314" s="1000" t="str">
        <f>IF(L314=0,"",(INDEX(AccountCodes[ACCOUNT NAME],MATCH(L314,AccountCodes[NGAS CODE],0))))</f>
        <v>Cash in Bank-Local Currency, Current Account - FO</v>
      </c>
      <c r="L314" s="953" t="s">
        <v>1564</v>
      </c>
      <c r="M314" s="947"/>
      <c r="N314" s="947">
        <v>485738.88</v>
      </c>
      <c r="O314" s="1006" t="s">
        <v>1897</v>
      </c>
      <c r="P314" s="1005">
        <f>P291+M314-N314</f>
        <v>-575351.48</v>
      </c>
    </row>
    <row r="315" spans="1:16" ht="39" hidden="1" customHeight="1">
      <c r="A315" s="940">
        <v>45077</v>
      </c>
      <c r="B315" s="941">
        <v>45063</v>
      </c>
      <c r="C315" s="662" t="s">
        <v>1900</v>
      </c>
      <c r="D315" s="662" t="s">
        <v>1886</v>
      </c>
      <c r="E315" s="665" t="s">
        <v>762</v>
      </c>
      <c r="F315" s="663" t="s">
        <v>1526</v>
      </c>
      <c r="G315" s="942"/>
      <c r="H315" s="942"/>
      <c r="I315" s="952" t="s">
        <v>1898</v>
      </c>
      <c r="J315" s="951" t="s">
        <v>1901</v>
      </c>
      <c r="K315" s="1000" t="str">
        <f>IF(L315=0,"",(INDEX(AccountCodes[ACCOUNT NAME],MATCH(L315,AccountCodes[NGAS CODE],0))))</f>
        <v>Guaranty/Security Deposits Payable</v>
      </c>
      <c r="L315" s="953" t="s">
        <v>115</v>
      </c>
      <c r="M315" s="947">
        <v>197792.84</v>
      </c>
      <c r="N315" s="947"/>
      <c r="O315" s="1006" t="s">
        <v>1897</v>
      </c>
      <c r="P315" s="1005">
        <f>P291+M315-N315</f>
        <v>108180.24</v>
      </c>
    </row>
    <row r="316" spans="1:16" ht="39" hidden="1" customHeight="1">
      <c r="A316" s="940">
        <v>45077</v>
      </c>
      <c r="B316" s="941">
        <v>45063</v>
      </c>
      <c r="C316" s="662" t="s">
        <v>1900</v>
      </c>
      <c r="D316" s="662" t="s">
        <v>1886</v>
      </c>
      <c r="E316" s="665" t="s">
        <v>762</v>
      </c>
      <c r="F316" s="663" t="s">
        <v>1526</v>
      </c>
      <c r="G316" s="942"/>
      <c r="H316" s="942"/>
      <c r="I316" s="952" t="s">
        <v>1898</v>
      </c>
      <c r="J316" s="951" t="s">
        <v>1901</v>
      </c>
      <c r="K316" s="1000" t="str">
        <f>IF(L316=0,"",(INDEX(AccountCodes[ACCOUNT NAME],MATCH(L316,AccountCodes[NGAS CODE],0))))</f>
        <v>Cash in Bank-Local Currency, Current Account - FO</v>
      </c>
      <c r="L316" s="953" t="s">
        <v>1564</v>
      </c>
      <c r="M316" s="947"/>
      <c r="N316" s="947">
        <v>197792.84</v>
      </c>
      <c r="O316" s="1006" t="s">
        <v>1897</v>
      </c>
      <c r="P316" s="1005">
        <f>P291+M316-N316</f>
        <v>-287405.44</v>
      </c>
    </row>
    <row r="317" spans="1:16" ht="39" hidden="1" customHeight="1">
      <c r="A317" s="940">
        <v>45077</v>
      </c>
      <c r="B317" s="941">
        <v>45063</v>
      </c>
      <c r="C317" s="662" t="s">
        <v>1902</v>
      </c>
      <c r="D317" s="662" t="s">
        <v>1886</v>
      </c>
      <c r="E317" s="665" t="s">
        <v>762</v>
      </c>
      <c r="F317" s="663" t="s">
        <v>1526</v>
      </c>
      <c r="G317" s="942"/>
      <c r="H317" s="942"/>
      <c r="I317" s="952" t="s">
        <v>1698</v>
      </c>
      <c r="J317" s="951" t="s">
        <v>1903</v>
      </c>
      <c r="K317" s="1000" t="str">
        <f>IF(L317=0,"",(INDEX(AccountCodes[ACCOUNT NAME],MATCH(L317,AccountCodes[NGAS CODE],0))))</f>
        <v>Pag-IBIG Contributions</v>
      </c>
      <c r="L317" s="953" t="s">
        <v>176</v>
      </c>
      <c r="M317" s="947">
        <v>200</v>
      </c>
      <c r="N317" s="947"/>
      <c r="O317" s="1006" t="s">
        <v>1907</v>
      </c>
      <c r="P317" s="1005">
        <f>P291+M317-N317</f>
        <v>-89412.6</v>
      </c>
    </row>
    <row r="318" spans="1:16" ht="39" hidden="1" customHeight="1">
      <c r="A318" s="940">
        <v>45077</v>
      </c>
      <c r="B318" s="941">
        <v>45063</v>
      </c>
      <c r="C318" s="662" t="s">
        <v>1902</v>
      </c>
      <c r="D318" s="662" t="s">
        <v>1886</v>
      </c>
      <c r="E318" s="665" t="s">
        <v>762</v>
      </c>
      <c r="F318" s="663" t="s">
        <v>1526</v>
      </c>
      <c r="G318" s="942"/>
      <c r="H318" s="942"/>
      <c r="I318" s="952" t="s">
        <v>1698</v>
      </c>
      <c r="J318" s="951" t="s">
        <v>1903</v>
      </c>
      <c r="K318" s="1000" t="str">
        <f>IF(L318=0,"",(INDEX(AccountCodes[ACCOUNT NAME],MATCH(L318,AccountCodes[NGAS CODE],0))))</f>
        <v>Due to Pag-IBIG - Pag-IBIG Premium</v>
      </c>
      <c r="L318" s="953" t="s">
        <v>1444</v>
      </c>
      <c r="M318" s="947">
        <v>1166.4000000000001</v>
      </c>
      <c r="N318" s="947"/>
      <c r="O318" s="1006" t="s">
        <v>1907</v>
      </c>
      <c r="P318" s="1005">
        <f>P291+M318-N318</f>
        <v>-88446.2</v>
      </c>
    </row>
    <row r="319" spans="1:16" ht="39" hidden="1" customHeight="1">
      <c r="A319" s="940">
        <v>45077</v>
      </c>
      <c r="B319" s="941">
        <v>45063</v>
      </c>
      <c r="C319" s="662" t="s">
        <v>1902</v>
      </c>
      <c r="D319" s="662" t="s">
        <v>1886</v>
      </c>
      <c r="E319" s="665" t="s">
        <v>762</v>
      </c>
      <c r="F319" s="663" t="s">
        <v>1526</v>
      </c>
      <c r="G319" s="942"/>
      <c r="H319" s="942"/>
      <c r="I319" s="952" t="s">
        <v>1698</v>
      </c>
      <c r="J319" s="951" t="s">
        <v>1903</v>
      </c>
      <c r="K319" s="1000" t="str">
        <f>IF(L319=0,"",(INDEX(AccountCodes[ACCOUNT NAME],MATCH(L319,AccountCodes[NGAS CODE],0))))</f>
        <v>Cash in Bank-Local Currency, Current Account - FO</v>
      </c>
      <c r="L319" s="953" t="s">
        <v>1564</v>
      </c>
      <c r="M319" s="947"/>
      <c r="N319" s="947">
        <v>1366.4</v>
      </c>
      <c r="O319" s="1006" t="s">
        <v>1907</v>
      </c>
      <c r="P319" s="1005">
        <f>P291+M319-N319</f>
        <v>-90979</v>
      </c>
    </row>
    <row r="320" spans="1:16" ht="39" hidden="1" customHeight="1">
      <c r="A320" s="940">
        <v>45077</v>
      </c>
      <c r="B320" s="941">
        <v>45063</v>
      </c>
      <c r="C320" s="662" t="s">
        <v>1904</v>
      </c>
      <c r="D320" s="662" t="s">
        <v>1886</v>
      </c>
      <c r="E320" s="665" t="s">
        <v>762</v>
      </c>
      <c r="F320" s="663" t="s">
        <v>1526</v>
      </c>
      <c r="G320" s="942"/>
      <c r="H320" s="942"/>
      <c r="I320" s="952" t="s">
        <v>1905</v>
      </c>
      <c r="J320" s="951" t="s">
        <v>1906</v>
      </c>
      <c r="K320" s="1000" t="str">
        <f>IF(L320=0,"",(INDEX(AccountCodes[ACCOUNT NAME],MATCH(L320,AccountCodes[NGAS CODE],0))))</f>
        <v>Retirement and Life Insurance Premiums</v>
      </c>
      <c r="L320" s="953" t="s">
        <v>175</v>
      </c>
      <c r="M320" s="947">
        <v>6998.4</v>
      </c>
      <c r="N320" s="947"/>
      <c r="O320" s="1006" t="s">
        <v>1907</v>
      </c>
      <c r="P320" s="1005">
        <f>P291+M320-N320</f>
        <v>-82614.2</v>
      </c>
    </row>
    <row r="321" spans="1:16" ht="39" hidden="1" customHeight="1">
      <c r="A321" s="940">
        <v>45077</v>
      </c>
      <c r="B321" s="941">
        <v>45063</v>
      </c>
      <c r="C321" s="662" t="s">
        <v>1904</v>
      </c>
      <c r="D321" s="662" t="s">
        <v>1886</v>
      </c>
      <c r="E321" s="665" t="s">
        <v>762</v>
      </c>
      <c r="F321" s="663" t="s">
        <v>1526</v>
      </c>
      <c r="G321" s="942"/>
      <c r="H321" s="942"/>
      <c r="I321" s="952" t="s">
        <v>1905</v>
      </c>
      <c r="J321" s="951" t="s">
        <v>1906</v>
      </c>
      <c r="K321" s="1000" t="str">
        <f>IF(L321=0,"",(INDEX(AccountCodes[ACCOUNT NAME],MATCH(L321,AccountCodes[NGAS CODE],0))))</f>
        <v>Employees Compensation Insurance Premiums</v>
      </c>
      <c r="L321" s="953" t="s">
        <v>178</v>
      </c>
      <c r="M321" s="947">
        <v>200</v>
      </c>
      <c r="N321" s="947"/>
      <c r="O321" s="1006" t="s">
        <v>1907</v>
      </c>
      <c r="P321" s="1005">
        <f>P291+M321-N321</f>
        <v>-89412.6</v>
      </c>
    </row>
    <row r="322" spans="1:16" ht="39" hidden="1" customHeight="1">
      <c r="A322" s="940">
        <v>45077</v>
      </c>
      <c r="B322" s="941">
        <v>45063</v>
      </c>
      <c r="C322" s="662" t="s">
        <v>1904</v>
      </c>
      <c r="D322" s="662" t="s">
        <v>1886</v>
      </c>
      <c r="E322" s="665" t="s">
        <v>762</v>
      </c>
      <c r="F322" s="663" t="s">
        <v>1526</v>
      </c>
      <c r="G322" s="942"/>
      <c r="H322" s="942"/>
      <c r="I322" s="952" t="s">
        <v>1905</v>
      </c>
      <c r="J322" s="951" t="s">
        <v>1906</v>
      </c>
      <c r="K322" s="1000" t="str">
        <f>IF(L322=0,"",(INDEX(AccountCodes[ACCOUNT NAME],MATCH(L322,AccountCodes[NGAS CODE],0))))</f>
        <v>Due to GSIS - Life and Retirement Premium</v>
      </c>
      <c r="L322" s="953" t="s">
        <v>1440</v>
      </c>
      <c r="M322" s="947">
        <v>5248.8</v>
      </c>
      <c r="N322" s="947"/>
      <c r="O322" s="1006" t="s">
        <v>1907</v>
      </c>
      <c r="P322" s="1005">
        <f>P291+M322-N322</f>
        <v>-84363.8</v>
      </c>
    </row>
    <row r="323" spans="1:16" ht="39" hidden="1" customHeight="1">
      <c r="A323" s="940">
        <v>45077</v>
      </c>
      <c r="B323" s="941">
        <v>45063</v>
      </c>
      <c r="C323" s="662" t="s">
        <v>1904</v>
      </c>
      <c r="D323" s="662" t="s">
        <v>1886</v>
      </c>
      <c r="E323" s="665" t="s">
        <v>762</v>
      </c>
      <c r="F323" s="663" t="s">
        <v>1526</v>
      </c>
      <c r="G323" s="942"/>
      <c r="H323" s="942"/>
      <c r="I323" s="952" t="s">
        <v>1905</v>
      </c>
      <c r="J323" s="951" t="s">
        <v>1906</v>
      </c>
      <c r="K323" s="1000" t="str">
        <f>IF(L323=0,"",(INDEX(AccountCodes[ACCOUNT NAME],MATCH(L323,AccountCodes[NGAS CODE],0))))</f>
        <v>Cash in Bank-Local Currency, Current Account - FO</v>
      </c>
      <c r="L323" s="953" t="s">
        <v>1564</v>
      </c>
      <c r="M323" s="947"/>
      <c r="N323" s="947">
        <v>12447.2</v>
      </c>
      <c r="O323" s="1006" t="s">
        <v>1907</v>
      </c>
      <c r="P323" s="1005">
        <f>P291+M323-N323</f>
        <v>-102059.8</v>
      </c>
    </row>
    <row r="324" spans="1:16" ht="39" hidden="1" customHeight="1">
      <c r="A324" s="940">
        <v>45077</v>
      </c>
      <c r="B324" s="941">
        <v>45063</v>
      </c>
      <c r="C324" s="662" t="s">
        <v>1908</v>
      </c>
      <c r="D324" s="662" t="s">
        <v>1886</v>
      </c>
      <c r="E324" s="665" t="s">
        <v>762</v>
      </c>
      <c r="F324" s="663" t="s">
        <v>1526</v>
      </c>
      <c r="G324" s="942"/>
      <c r="H324" s="942"/>
      <c r="I324" s="952" t="s">
        <v>1680</v>
      </c>
      <c r="J324" s="951" t="s">
        <v>1909</v>
      </c>
      <c r="K324" s="1000" t="str">
        <f>IF(L324=0,"",(INDEX(AccountCodes[ACCOUNT NAME],MATCH(L324,AccountCodes[NGAS CODE],0))))</f>
        <v>Due to BIR - Compensation</v>
      </c>
      <c r="L324" s="953" t="s">
        <v>1546</v>
      </c>
      <c r="M324" s="947">
        <v>1330.76</v>
      </c>
      <c r="N324" s="947"/>
      <c r="O324" s="1006" t="s">
        <v>1910</v>
      </c>
      <c r="P324" s="1005">
        <f>P291+M324-N324</f>
        <v>-88281.84</v>
      </c>
    </row>
    <row r="325" spans="1:16" ht="39" hidden="1" customHeight="1">
      <c r="A325" s="940">
        <v>45077</v>
      </c>
      <c r="B325" s="941">
        <v>45063</v>
      </c>
      <c r="C325" s="662" t="s">
        <v>1908</v>
      </c>
      <c r="D325" s="662" t="s">
        <v>1886</v>
      </c>
      <c r="E325" s="665" t="s">
        <v>762</v>
      </c>
      <c r="F325" s="663" t="s">
        <v>1526</v>
      </c>
      <c r="G325" s="942"/>
      <c r="H325" s="942"/>
      <c r="I325" s="952" t="s">
        <v>1680</v>
      </c>
      <c r="J325" s="951" t="s">
        <v>1909</v>
      </c>
      <c r="K325" s="1000" t="str">
        <f>IF(L325=0,"",(INDEX(AccountCodes[ACCOUNT NAME],MATCH(L325,AccountCodes[NGAS CODE],0))))</f>
        <v>Cash in Bank-Local Currency, Current Account - FO</v>
      </c>
      <c r="L325" s="953" t="s">
        <v>1564</v>
      </c>
      <c r="M325" s="947"/>
      <c r="N325" s="947">
        <v>1330.76</v>
      </c>
      <c r="O325" s="1006" t="s">
        <v>1910</v>
      </c>
      <c r="P325" s="1005">
        <f>P291+M325-N325</f>
        <v>-90943.360000000001</v>
      </c>
    </row>
    <row r="326" spans="1:16" ht="39" hidden="1" customHeight="1">
      <c r="A326" s="940">
        <v>45077</v>
      </c>
      <c r="B326" s="941">
        <v>45063</v>
      </c>
      <c r="C326" s="662" t="s">
        <v>1911</v>
      </c>
      <c r="D326" s="662" t="s">
        <v>1886</v>
      </c>
      <c r="E326" s="665" t="s">
        <v>762</v>
      </c>
      <c r="F326" s="663" t="s">
        <v>1526</v>
      </c>
      <c r="G326" s="942"/>
      <c r="H326" s="942"/>
      <c r="I326" s="952" t="s">
        <v>1809</v>
      </c>
      <c r="J326" s="951" t="s">
        <v>1912</v>
      </c>
      <c r="K326" s="1000" t="str">
        <f>IF(L326=0,"",(INDEX(AccountCodes[ACCOUNT NAME],MATCH(L326,AccountCodes[NGAS CODE],0))))</f>
        <v>Other Payables</v>
      </c>
      <c r="L326" s="953" t="s">
        <v>117</v>
      </c>
      <c r="M326" s="947">
        <v>8995.19</v>
      </c>
      <c r="N326" s="947"/>
      <c r="O326" s="1006" t="s">
        <v>1897</v>
      </c>
      <c r="P326" s="1005">
        <f>P291+M326-N326</f>
        <v>-80617.41</v>
      </c>
    </row>
    <row r="327" spans="1:16" ht="39" hidden="1" customHeight="1">
      <c r="A327" s="940">
        <v>45077</v>
      </c>
      <c r="B327" s="941">
        <v>45063</v>
      </c>
      <c r="C327" s="662" t="s">
        <v>1911</v>
      </c>
      <c r="D327" s="662" t="s">
        <v>1886</v>
      </c>
      <c r="E327" s="665" t="s">
        <v>762</v>
      </c>
      <c r="F327" s="663" t="s">
        <v>1526</v>
      </c>
      <c r="G327" s="942"/>
      <c r="H327" s="942"/>
      <c r="I327" s="952" t="s">
        <v>1809</v>
      </c>
      <c r="J327" s="951" t="s">
        <v>1912</v>
      </c>
      <c r="K327" s="1000" t="str">
        <f>IF(L327=0,"",(INDEX(AccountCodes[ACCOUNT NAME],MATCH(L327,AccountCodes[NGAS CODE],0))))</f>
        <v>Cash in Bank-Local Currency, Current Account - FO</v>
      </c>
      <c r="L327" s="953" t="s">
        <v>1564</v>
      </c>
      <c r="M327" s="947"/>
      <c r="N327" s="947">
        <v>8995.19</v>
      </c>
      <c r="O327" s="1006" t="s">
        <v>1897</v>
      </c>
      <c r="P327" s="1005">
        <f>P291+M327-N327</f>
        <v>-98607.79</v>
      </c>
    </row>
    <row r="328" spans="1:16" ht="39" hidden="1" customHeight="1">
      <c r="A328" s="940">
        <v>45077</v>
      </c>
      <c r="B328" s="941">
        <v>45063</v>
      </c>
      <c r="C328" s="662" t="s">
        <v>1913</v>
      </c>
      <c r="D328" s="662" t="s">
        <v>1886</v>
      </c>
      <c r="E328" s="665" t="s">
        <v>762</v>
      </c>
      <c r="F328" s="663" t="s">
        <v>1526</v>
      </c>
      <c r="G328" s="942"/>
      <c r="H328" s="942"/>
      <c r="I328" s="952" t="s">
        <v>1698</v>
      </c>
      <c r="J328" s="951" t="s">
        <v>1914</v>
      </c>
      <c r="K328" s="1000" t="str">
        <f>IF(L328=0,"",(INDEX(AccountCodes[ACCOUNT NAME],MATCH(L328,AccountCodes[NGAS CODE],0))))</f>
        <v>Due to Pag-IBIG - MP2</v>
      </c>
      <c r="L328" s="953" t="s">
        <v>1508</v>
      </c>
      <c r="M328" s="947">
        <v>4000</v>
      </c>
      <c r="N328" s="947"/>
      <c r="O328" s="1006" t="s">
        <v>1910</v>
      </c>
      <c r="P328" s="1005">
        <f>P291+M328-N328</f>
        <v>-85612.6</v>
      </c>
    </row>
    <row r="329" spans="1:16" ht="39" hidden="1" customHeight="1">
      <c r="A329" s="940">
        <v>45077</v>
      </c>
      <c r="B329" s="941">
        <v>45063</v>
      </c>
      <c r="C329" s="662" t="s">
        <v>1913</v>
      </c>
      <c r="D329" s="662" t="s">
        <v>1886</v>
      </c>
      <c r="E329" s="665" t="s">
        <v>762</v>
      </c>
      <c r="F329" s="663" t="s">
        <v>1526</v>
      </c>
      <c r="G329" s="942"/>
      <c r="H329" s="942"/>
      <c r="I329" s="952" t="s">
        <v>1698</v>
      </c>
      <c r="J329" s="951" t="s">
        <v>1914</v>
      </c>
      <c r="K329" s="1000" t="str">
        <f>IF(L329=0,"",(INDEX(AccountCodes[ACCOUNT NAME],MATCH(L329,AccountCodes[NGAS CODE],0))))</f>
        <v>Cash in Bank-Local Currency, Current Account - FO</v>
      </c>
      <c r="L329" s="953" t="s">
        <v>1564</v>
      </c>
      <c r="M329" s="947"/>
      <c r="N329" s="947">
        <v>4000</v>
      </c>
      <c r="O329" s="1006" t="s">
        <v>1910</v>
      </c>
      <c r="P329" s="1005">
        <f>P328+M329-N329</f>
        <v>-89612.6</v>
      </c>
    </row>
    <row r="330" spans="1:16" ht="39" hidden="1" customHeight="1">
      <c r="A330" s="940">
        <v>45077</v>
      </c>
      <c r="B330" s="941">
        <v>45063</v>
      </c>
      <c r="C330" s="662" t="s">
        <v>1915</v>
      </c>
      <c r="D330" s="662" t="s">
        <v>1886</v>
      </c>
      <c r="E330" s="665" t="s">
        <v>762</v>
      </c>
      <c r="F330" s="663" t="s">
        <v>1526</v>
      </c>
      <c r="G330" s="942"/>
      <c r="H330" s="942"/>
      <c r="I330" s="952" t="s">
        <v>1841</v>
      </c>
      <c r="J330" s="951" t="s">
        <v>1916</v>
      </c>
      <c r="K330" s="1000" t="str">
        <f>IF(L330=0,"",(INDEX(AccountCodes[ACCOUNT NAME],MATCH(L330,AccountCodes[NGAS CODE],0))))</f>
        <v>Other Maintenance and Operating Expenses - Other Maintenance and Operating Expenses</v>
      </c>
      <c r="L330" s="953" t="s">
        <v>405</v>
      </c>
      <c r="M330" s="947">
        <v>59421.63</v>
      </c>
      <c r="N330" s="947"/>
      <c r="O330" s="1006" t="s">
        <v>1917</v>
      </c>
      <c r="P330" s="1005">
        <f>P328+M330-N330</f>
        <v>-26190.97</v>
      </c>
    </row>
    <row r="331" spans="1:16" ht="39" hidden="1" customHeight="1">
      <c r="A331" s="940">
        <v>45077</v>
      </c>
      <c r="B331" s="941">
        <v>45063</v>
      </c>
      <c r="C331" s="662" t="s">
        <v>1915</v>
      </c>
      <c r="D331" s="662" t="s">
        <v>1886</v>
      </c>
      <c r="E331" s="665" t="s">
        <v>762</v>
      </c>
      <c r="F331" s="663" t="s">
        <v>1526</v>
      </c>
      <c r="G331" s="942"/>
      <c r="H331" s="942"/>
      <c r="I331" s="952" t="s">
        <v>1841</v>
      </c>
      <c r="J331" s="951" t="s">
        <v>1916</v>
      </c>
      <c r="K331" s="1000" t="str">
        <f>IF(L331=0,"",(INDEX(AccountCodes[ACCOUNT NAME],MATCH(L331,AccountCodes[NGAS CODE],0))))</f>
        <v>Due to Pag-IBIG - Pag-IBIG Premium</v>
      </c>
      <c r="L331" s="953" t="s">
        <v>1444</v>
      </c>
      <c r="M331" s="947"/>
      <c r="N331" s="947">
        <v>2500</v>
      </c>
      <c r="O331" s="1006" t="s">
        <v>1917</v>
      </c>
      <c r="P331" s="1005">
        <f>P328+M331-N331</f>
        <v>-88112.6</v>
      </c>
    </row>
    <row r="332" spans="1:16" ht="39" hidden="1" customHeight="1">
      <c r="A332" s="940">
        <v>45077</v>
      </c>
      <c r="B332" s="941">
        <v>45063</v>
      </c>
      <c r="C332" s="662" t="s">
        <v>1915</v>
      </c>
      <c r="D332" s="662" t="s">
        <v>1886</v>
      </c>
      <c r="E332" s="665" t="s">
        <v>762</v>
      </c>
      <c r="F332" s="663" t="s">
        <v>1526</v>
      </c>
      <c r="G332" s="942"/>
      <c r="H332" s="942"/>
      <c r="I332" s="952" t="s">
        <v>1841</v>
      </c>
      <c r="J332" s="951" t="s">
        <v>1916</v>
      </c>
      <c r="K332" s="1000" t="str">
        <f>IF(L332=0,"",(INDEX(AccountCodes[ACCOUNT NAME],MATCH(L332,AccountCodes[NGAS CODE],0))))</f>
        <v>Due to Pag-IBIG - Pag-IBIG Multi-Purpose Loan</v>
      </c>
      <c r="L332" s="953" t="s">
        <v>1445</v>
      </c>
      <c r="M332" s="947"/>
      <c r="N332" s="947">
        <v>2825.02</v>
      </c>
      <c r="O332" s="1006" t="s">
        <v>1917</v>
      </c>
      <c r="P332" s="1005">
        <f>P328+M332-N332</f>
        <v>-88437.62</v>
      </c>
    </row>
    <row r="333" spans="1:16" ht="39" hidden="1" customHeight="1">
      <c r="A333" s="940">
        <v>45077</v>
      </c>
      <c r="B333" s="941">
        <v>45063</v>
      </c>
      <c r="C333" s="662" t="s">
        <v>1915</v>
      </c>
      <c r="D333" s="662" t="s">
        <v>1886</v>
      </c>
      <c r="E333" s="665" t="s">
        <v>762</v>
      </c>
      <c r="F333" s="663" t="s">
        <v>1526</v>
      </c>
      <c r="G333" s="942"/>
      <c r="H333" s="942"/>
      <c r="I333" s="952" t="s">
        <v>1841</v>
      </c>
      <c r="J333" s="951" t="s">
        <v>1916</v>
      </c>
      <c r="K333" s="1000" t="str">
        <f>IF(L333=0,"",(INDEX(AccountCodes[ACCOUNT NAME],MATCH(L333,AccountCodes[NGAS CODE],0))))</f>
        <v>Due to PhilHealth</v>
      </c>
      <c r="L333" s="953" t="s">
        <v>112</v>
      </c>
      <c r="M333" s="947"/>
      <c r="N333" s="947">
        <v>4424.3900000000003</v>
      </c>
      <c r="O333" s="1006" t="s">
        <v>1917</v>
      </c>
      <c r="P333" s="1005">
        <f>P328+M333-N333</f>
        <v>-90036.99</v>
      </c>
    </row>
    <row r="334" spans="1:16" ht="39" hidden="1" customHeight="1">
      <c r="A334" s="940">
        <v>45077</v>
      </c>
      <c r="B334" s="941">
        <v>45063</v>
      </c>
      <c r="C334" s="662" t="s">
        <v>1915</v>
      </c>
      <c r="D334" s="662" t="s">
        <v>1886</v>
      </c>
      <c r="E334" s="665" t="s">
        <v>762</v>
      </c>
      <c r="F334" s="663" t="s">
        <v>1526</v>
      </c>
      <c r="G334" s="942"/>
      <c r="H334" s="942"/>
      <c r="I334" s="952" t="s">
        <v>1841</v>
      </c>
      <c r="J334" s="951" t="s">
        <v>1916</v>
      </c>
      <c r="K334" s="1000" t="str">
        <f>IF(L334=0,"",(INDEX(AccountCodes[ACCOUNT NAME],MATCH(L334,AccountCodes[NGAS CODE],0))))</f>
        <v>Other Payables</v>
      </c>
      <c r="L334" s="953" t="s">
        <v>117</v>
      </c>
      <c r="M334" s="947"/>
      <c r="N334" s="947">
        <v>6891.66</v>
      </c>
      <c r="O334" s="1006" t="s">
        <v>1917</v>
      </c>
      <c r="P334" s="1005">
        <f>P328+M334-N334</f>
        <v>-92504.26</v>
      </c>
    </row>
    <row r="335" spans="1:16" ht="39" hidden="1" customHeight="1">
      <c r="A335" s="940">
        <v>45077</v>
      </c>
      <c r="B335" s="941">
        <v>45063</v>
      </c>
      <c r="C335" s="662" t="s">
        <v>1915</v>
      </c>
      <c r="D335" s="662" t="s">
        <v>1886</v>
      </c>
      <c r="E335" s="665" t="s">
        <v>762</v>
      </c>
      <c r="F335" s="663" t="s">
        <v>1526</v>
      </c>
      <c r="G335" s="942"/>
      <c r="H335" s="942"/>
      <c r="I335" s="952" t="s">
        <v>1841</v>
      </c>
      <c r="J335" s="951" t="s">
        <v>1916</v>
      </c>
      <c r="K335" s="1000" t="str">
        <f>IF(L335=0,"",(INDEX(AccountCodes[ACCOUNT NAME],MATCH(L335,AccountCodes[NGAS CODE],0))))</f>
        <v>Cash in Bank-Local Currency, Current Account - FO</v>
      </c>
      <c r="L335" s="953" t="s">
        <v>1564</v>
      </c>
      <c r="M335" s="947"/>
      <c r="N335" s="947">
        <v>42780.56</v>
      </c>
      <c r="O335" s="1006" t="s">
        <v>1917</v>
      </c>
      <c r="P335" s="1005">
        <f>P328+M335-N335</f>
        <v>-128393.16</v>
      </c>
    </row>
    <row r="336" spans="1:16" ht="39" hidden="1" customHeight="1">
      <c r="A336" s="940">
        <v>45077</v>
      </c>
      <c r="B336" s="941">
        <v>45064</v>
      </c>
      <c r="C336" s="662" t="s">
        <v>1918</v>
      </c>
      <c r="D336" s="662" t="s">
        <v>1886</v>
      </c>
      <c r="E336" s="665" t="s">
        <v>762</v>
      </c>
      <c r="F336" s="663" t="s">
        <v>1526</v>
      </c>
      <c r="G336" s="942"/>
      <c r="H336" s="942"/>
      <c r="I336" s="952" t="s">
        <v>1919</v>
      </c>
      <c r="J336" s="951" t="s">
        <v>1920</v>
      </c>
      <c r="K336" s="1000" t="str">
        <f>IF(L336=0,"",(INDEX(AccountCodes[ACCOUNT NAME],MATCH(L336,AccountCodes[NGAS CODE],0))))</f>
        <v>Other Payables</v>
      </c>
      <c r="L336" s="953" t="s">
        <v>117</v>
      </c>
      <c r="M336" s="947">
        <v>5700</v>
      </c>
      <c r="N336" s="947"/>
      <c r="O336" s="1006" t="s">
        <v>1897</v>
      </c>
      <c r="P336" s="1005">
        <f>P328+M336-N336</f>
        <v>-79912.600000000006</v>
      </c>
    </row>
    <row r="337" spans="1:16" ht="39" hidden="1" customHeight="1">
      <c r="A337" s="940">
        <v>45077</v>
      </c>
      <c r="B337" s="941">
        <v>45064</v>
      </c>
      <c r="C337" s="662" t="s">
        <v>1918</v>
      </c>
      <c r="D337" s="662" t="s">
        <v>1886</v>
      </c>
      <c r="E337" s="665" t="s">
        <v>762</v>
      </c>
      <c r="F337" s="663" t="s">
        <v>1526</v>
      </c>
      <c r="G337" s="942"/>
      <c r="H337" s="942"/>
      <c r="I337" s="952" t="s">
        <v>1919</v>
      </c>
      <c r="J337" s="951" t="s">
        <v>1920</v>
      </c>
      <c r="K337" s="1000" t="str">
        <f>IF(L337=0,"",(INDEX(AccountCodes[ACCOUNT NAME],MATCH(L337,AccountCodes[NGAS CODE],0))))</f>
        <v>Cash in Bank-Local Currency, Current Account - FO</v>
      </c>
      <c r="L337" s="953" t="s">
        <v>1564</v>
      </c>
      <c r="M337" s="947"/>
      <c r="N337" s="947">
        <v>5700</v>
      </c>
      <c r="O337" s="1006" t="s">
        <v>1897</v>
      </c>
      <c r="P337" s="1005">
        <f>P328+M337-N337</f>
        <v>-91312.6</v>
      </c>
    </row>
    <row r="338" spans="1:16" ht="39" hidden="1" customHeight="1">
      <c r="A338" s="940">
        <v>45077</v>
      </c>
      <c r="B338" s="941">
        <v>45068</v>
      </c>
      <c r="C338" s="662" t="s">
        <v>1921</v>
      </c>
      <c r="D338" s="662" t="s">
        <v>1886</v>
      </c>
      <c r="E338" s="665" t="s">
        <v>762</v>
      </c>
      <c r="F338" s="663" t="s">
        <v>1526</v>
      </c>
      <c r="G338" s="942"/>
      <c r="H338" s="942"/>
      <c r="I338" s="952" t="s">
        <v>1689</v>
      </c>
      <c r="J338" s="951" t="s">
        <v>1922</v>
      </c>
      <c r="K338" s="1000" t="str">
        <f>IF(L338=0,"",(INDEX(AccountCodes[ACCOUNT NAME],MATCH(L338,AccountCodes[NGAS CODE],0))))</f>
        <v>PhilHealth Contributions</v>
      </c>
      <c r="L338" s="953" t="s">
        <v>177</v>
      </c>
      <c r="M338" s="947">
        <v>1166.4000000000001</v>
      </c>
      <c r="N338" s="947"/>
      <c r="O338" s="1006" t="s">
        <v>1910</v>
      </c>
      <c r="P338" s="1005">
        <f>P328+M338-N338</f>
        <v>-84446.2</v>
      </c>
    </row>
    <row r="339" spans="1:16" ht="39" hidden="1" customHeight="1">
      <c r="A339" s="940">
        <v>45077</v>
      </c>
      <c r="B339" s="941">
        <v>45068</v>
      </c>
      <c r="C339" s="662" t="s">
        <v>1921</v>
      </c>
      <c r="D339" s="662" t="s">
        <v>1886</v>
      </c>
      <c r="E339" s="665" t="s">
        <v>762</v>
      </c>
      <c r="F339" s="663" t="s">
        <v>1526</v>
      </c>
      <c r="G339" s="942"/>
      <c r="H339" s="942"/>
      <c r="I339" s="952" t="s">
        <v>1689</v>
      </c>
      <c r="J339" s="951" t="s">
        <v>1922</v>
      </c>
      <c r="K339" s="1000" t="str">
        <f>IF(L339=0,"",(INDEX(AccountCodes[ACCOUNT NAME],MATCH(L339,AccountCodes[NGAS CODE],0))))</f>
        <v>Due to PhilHealth</v>
      </c>
      <c r="L339" s="953" t="s">
        <v>112</v>
      </c>
      <c r="M339" s="947">
        <v>1166.4000000000001</v>
      </c>
      <c r="N339" s="947"/>
      <c r="O339" s="1006" t="s">
        <v>1910</v>
      </c>
      <c r="P339" s="1005">
        <f>P328+M339-N339</f>
        <v>-84446.2</v>
      </c>
    </row>
    <row r="340" spans="1:16" ht="39" hidden="1" customHeight="1">
      <c r="A340" s="940">
        <v>45077</v>
      </c>
      <c r="B340" s="941">
        <v>45068</v>
      </c>
      <c r="C340" s="662" t="s">
        <v>1921</v>
      </c>
      <c r="D340" s="662" t="s">
        <v>1886</v>
      </c>
      <c r="E340" s="665" t="s">
        <v>762</v>
      </c>
      <c r="F340" s="663" t="s">
        <v>1526</v>
      </c>
      <c r="G340" s="942"/>
      <c r="H340" s="942"/>
      <c r="I340" s="952" t="s">
        <v>1689</v>
      </c>
      <c r="J340" s="951" t="s">
        <v>1922</v>
      </c>
      <c r="K340" s="1000" t="str">
        <f>IF(L340=0,"",(INDEX(AccountCodes[ACCOUNT NAME],MATCH(L340,AccountCodes[NGAS CODE],0))))</f>
        <v>Cash in Bank-Local Currency, Current Account - FO</v>
      </c>
      <c r="L340" s="953" t="s">
        <v>1564</v>
      </c>
      <c r="M340" s="947"/>
      <c r="N340" s="947">
        <v>2332.8000000000002</v>
      </c>
      <c r="O340" s="1006" t="s">
        <v>1910</v>
      </c>
      <c r="P340" s="1005">
        <f>P328+M340-N340</f>
        <v>-87945.4</v>
      </c>
    </row>
    <row r="341" spans="1:16" ht="39" hidden="1" customHeight="1">
      <c r="A341" s="940">
        <v>45077</v>
      </c>
      <c r="B341" s="941">
        <v>45069</v>
      </c>
      <c r="C341" s="662" t="s">
        <v>1923</v>
      </c>
      <c r="D341" s="662" t="s">
        <v>1886</v>
      </c>
      <c r="E341" s="665" t="s">
        <v>762</v>
      </c>
      <c r="F341" s="663" t="s">
        <v>1526</v>
      </c>
      <c r="G341" s="942"/>
      <c r="H341" s="942"/>
      <c r="I341" s="952" t="s">
        <v>1698</v>
      </c>
      <c r="J341" s="951" t="s">
        <v>1924</v>
      </c>
      <c r="K341" s="1000" t="str">
        <f>IF(L341=0,"",(INDEX(AccountCodes[ACCOUNT NAME],MATCH(L341,AccountCodes[NGAS CODE],0))))</f>
        <v>Due to Pag-IBIG - Pag-IBIG Premium</v>
      </c>
      <c r="L341" s="953" t="s">
        <v>1444</v>
      </c>
      <c r="M341" s="947">
        <v>2500</v>
      </c>
      <c r="N341" s="947"/>
      <c r="O341" s="1006" t="s">
        <v>1925</v>
      </c>
      <c r="P341" s="1005">
        <f>P328+M341-N341</f>
        <v>-83112.600000000006</v>
      </c>
    </row>
    <row r="342" spans="1:16" ht="39" hidden="1" customHeight="1">
      <c r="A342" s="940">
        <v>45077</v>
      </c>
      <c r="B342" s="941">
        <v>45069</v>
      </c>
      <c r="C342" s="662" t="s">
        <v>1923</v>
      </c>
      <c r="D342" s="662" t="s">
        <v>1886</v>
      </c>
      <c r="E342" s="665" t="s">
        <v>762</v>
      </c>
      <c r="F342" s="663" t="s">
        <v>1526</v>
      </c>
      <c r="G342" s="942"/>
      <c r="H342" s="942"/>
      <c r="I342" s="952" t="s">
        <v>1698</v>
      </c>
      <c r="J342" s="951" t="s">
        <v>1924</v>
      </c>
      <c r="K342" s="1000" t="str">
        <f>IF(L342=0,"",(INDEX(AccountCodes[ACCOUNT NAME],MATCH(L342,AccountCodes[NGAS CODE],0))))</f>
        <v>Cash in Bank-Local Currency, Current Account - FO</v>
      </c>
      <c r="L342" s="953" t="s">
        <v>1564</v>
      </c>
      <c r="M342" s="947"/>
      <c r="N342" s="947">
        <v>2500</v>
      </c>
      <c r="O342" s="1006" t="s">
        <v>1925</v>
      </c>
      <c r="P342" s="1005">
        <f>P328+M342-N342</f>
        <v>-88112.6</v>
      </c>
    </row>
    <row r="343" spans="1:16" ht="39" hidden="1" customHeight="1">
      <c r="A343" s="940">
        <v>45077</v>
      </c>
      <c r="B343" s="941">
        <v>45069</v>
      </c>
      <c r="C343" s="662" t="s">
        <v>1926</v>
      </c>
      <c r="D343" s="662" t="s">
        <v>1886</v>
      </c>
      <c r="E343" s="665" t="s">
        <v>762</v>
      </c>
      <c r="F343" s="663" t="s">
        <v>1526</v>
      </c>
      <c r="G343" s="942"/>
      <c r="H343" s="942"/>
      <c r="I343" s="952" t="s">
        <v>1689</v>
      </c>
      <c r="J343" s="951" t="s">
        <v>1927</v>
      </c>
      <c r="K343" s="1000" t="str">
        <f>IF(L343=0,"",(INDEX(AccountCodes[ACCOUNT NAME],MATCH(L343,AccountCodes[NGAS CODE],0))))</f>
        <v>Due to PhilHealth</v>
      </c>
      <c r="L343" s="953" t="s">
        <v>112</v>
      </c>
      <c r="M343" s="947">
        <v>4424.3900000000003</v>
      </c>
      <c r="N343" s="947"/>
      <c r="O343" s="1006" t="s">
        <v>1925</v>
      </c>
      <c r="P343" s="1005">
        <f>P328+M343-N343</f>
        <v>-81188.210000000006</v>
      </c>
    </row>
    <row r="344" spans="1:16" ht="39" hidden="1" customHeight="1">
      <c r="A344" s="940">
        <v>45077</v>
      </c>
      <c r="B344" s="941">
        <v>45069</v>
      </c>
      <c r="C344" s="662" t="s">
        <v>1926</v>
      </c>
      <c r="D344" s="662" t="s">
        <v>1886</v>
      </c>
      <c r="E344" s="665" t="s">
        <v>762</v>
      </c>
      <c r="F344" s="663" t="s">
        <v>1526</v>
      </c>
      <c r="G344" s="942"/>
      <c r="H344" s="942"/>
      <c r="I344" s="952" t="s">
        <v>1689</v>
      </c>
      <c r="J344" s="951" t="s">
        <v>1927</v>
      </c>
      <c r="K344" s="1000" t="str">
        <f>IF(L344=0,"",(INDEX(AccountCodes[ACCOUNT NAME],MATCH(L344,AccountCodes[NGAS CODE],0))))</f>
        <v>Cash in Bank-Local Currency, Current Account - FO</v>
      </c>
      <c r="L344" s="953" t="s">
        <v>1564</v>
      </c>
      <c r="M344" s="947"/>
      <c r="N344" s="947">
        <v>4424.3900000000003</v>
      </c>
      <c r="O344" s="1006" t="s">
        <v>1925</v>
      </c>
      <c r="P344" s="1005">
        <f>P328+M344-N344</f>
        <v>-90036.99</v>
      </c>
    </row>
    <row r="345" spans="1:16" ht="39" hidden="1" customHeight="1">
      <c r="A345" s="940">
        <v>45077</v>
      </c>
      <c r="B345" s="941">
        <v>45069</v>
      </c>
      <c r="C345" s="662" t="s">
        <v>1928</v>
      </c>
      <c r="D345" s="662" t="s">
        <v>1886</v>
      </c>
      <c r="E345" s="665" t="s">
        <v>762</v>
      </c>
      <c r="F345" s="663" t="s">
        <v>1526</v>
      </c>
      <c r="G345" s="942"/>
      <c r="H345" s="942"/>
      <c r="I345" s="952" t="s">
        <v>1809</v>
      </c>
      <c r="J345" s="951" t="s">
        <v>1929</v>
      </c>
      <c r="K345" s="1000" t="str">
        <f>IF(L345=0,"",(INDEX(AccountCodes[ACCOUNT NAME],MATCH(L345,AccountCodes[NGAS CODE],0))))</f>
        <v>Other Payables</v>
      </c>
      <c r="L345" s="953" t="s">
        <v>117</v>
      </c>
      <c r="M345" s="947">
        <v>6891.66</v>
      </c>
      <c r="N345" s="947"/>
      <c r="O345" s="1006" t="s">
        <v>1925</v>
      </c>
      <c r="P345" s="1005">
        <f>P328+M345-N345</f>
        <v>-78720.94</v>
      </c>
    </row>
    <row r="346" spans="1:16" ht="39" hidden="1" customHeight="1">
      <c r="A346" s="940">
        <v>45077</v>
      </c>
      <c r="B346" s="941">
        <v>45069</v>
      </c>
      <c r="C346" s="662" t="s">
        <v>1928</v>
      </c>
      <c r="D346" s="662" t="s">
        <v>1886</v>
      </c>
      <c r="E346" s="665" t="s">
        <v>762</v>
      </c>
      <c r="F346" s="663" t="s">
        <v>1526</v>
      </c>
      <c r="G346" s="942"/>
      <c r="H346" s="942"/>
      <c r="I346" s="952" t="s">
        <v>1809</v>
      </c>
      <c r="J346" s="951" t="s">
        <v>1929</v>
      </c>
      <c r="K346" s="1000" t="str">
        <f>IF(L346=0,"",(INDEX(AccountCodes[ACCOUNT NAME],MATCH(L346,AccountCodes[NGAS CODE],0))))</f>
        <v>Cash in Bank-Local Currency, Current Account - FO</v>
      </c>
      <c r="L346" s="953" t="s">
        <v>1564</v>
      </c>
      <c r="M346" s="947"/>
      <c r="N346" s="947">
        <v>6891.66</v>
      </c>
      <c r="O346" s="1006" t="s">
        <v>1925</v>
      </c>
      <c r="P346" s="1005">
        <f>P328+M346-N346</f>
        <v>-92504.26</v>
      </c>
    </row>
    <row r="347" spans="1:16" ht="39" hidden="1" customHeight="1">
      <c r="A347" s="940">
        <v>45077</v>
      </c>
      <c r="B347" s="941">
        <v>45069</v>
      </c>
      <c r="C347" s="662" t="s">
        <v>1930</v>
      </c>
      <c r="D347" s="662" t="s">
        <v>1886</v>
      </c>
      <c r="E347" s="665" t="s">
        <v>762</v>
      </c>
      <c r="F347" s="663" t="s">
        <v>1526</v>
      </c>
      <c r="G347" s="942"/>
      <c r="H347" s="942"/>
      <c r="I347" s="952" t="s">
        <v>1698</v>
      </c>
      <c r="J347" s="951" t="s">
        <v>1931</v>
      </c>
      <c r="K347" s="1000" t="str">
        <f>IF(L347=0,"",(INDEX(AccountCodes[ACCOUNT NAME],MATCH(L347,AccountCodes[NGAS CODE],0))))</f>
        <v>Due to Pag-IBIG - Pag-IBIG Multi-Purpose Loan</v>
      </c>
      <c r="L347" s="953" t="s">
        <v>1445</v>
      </c>
      <c r="M347" s="947">
        <v>2825.02</v>
      </c>
      <c r="N347" s="947"/>
      <c r="O347" s="1006" t="s">
        <v>1925</v>
      </c>
      <c r="P347" s="1005">
        <f>P346+M347-N347</f>
        <v>-89679.24</v>
      </c>
    </row>
    <row r="348" spans="1:16" ht="39" hidden="1" customHeight="1">
      <c r="A348" s="940">
        <v>45077</v>
      </c>
      <c r="B348" s="941">
        <v>45069</v>
      </c>
      <c r="C348" s="662" t="s">
        <v>1930</v>
      </c>
      <c r="D348" s="662" t="s">
        <v>1886</v>
      </c>
      <c r="E348" s="665" t="s">
        <v>762</v>
      </c>
      <c r="F348" s="663" t="s">
        <v>1526</v>
      </c>
      <c r="G348" s="942"/>
      <c r="H348" s="942"/>
      <c r="I348" s="952" t="s">
        <v>1698</v>
      </c>
      <c r="J348" s="951" t="s">
        <v>1931</v>
      </c>
      <c r="K348" s="1000" t="str">
        <f>IF(L348=0,"",(INDEX(AccountCodes[ACCOUNT NAME],MATCH(L348,AccountCodes[NGAS CODE],0))))</f>
        <v>Cash in Bank-Local Currency, Current Account - FO</v>
      </c>
      <c r="L348" s="953" t="s">
        <v>1564</v>
      </c>
      <c r="M348" s="947"/>
      <c r="N348" s="947">
        <v>2825.02</v>
      </c>
      <c r="O348" s="1006" t="s">
        <v>1925</v>
      </c>
      <c r="P348" s="1005">
        <f>P346+M348-N348</f>
        <v>-95329.279999999999</v>
      </c>
    </row>
    <row r="349" spans="1:16" ht="39" hidden="1" customHeight="1">
      <c r="A349" s="940">
        <v>45077</v>
      </c>
      <c r="B349" s="941">
        <v>45075</v>
      </c>
      <c r="C349" s="662" t="s">
        <v>1932</v>
      </c>
      <c r="D349" s="662" t="s">
        <v>1886</v>
      </c>
      <c r="E349" s="665" t="s">
        <v>762</v>
      </c>
      <c r="F349" s="663" t="s">
        <v>1526</v>
      </c>
      <c r="G349" s="942"/>
      <c r="H349" s="942"/>
      <c r="I349" s="952" t="s">
        <v>1819</v>
      </c>
      <c r="J349" s="951" t="s">
        <v>1933</v>
      </c>
      <c r="K349" s="1000" t="str">
        <f>IF(L349=0,"",(INDEX(AccountCodes[ACCOUNT NAME],MATCH(L349,AccountCodes[NGAS CODE],0))))</f>
        <v>Other Maintenance and Operating Expenses - Other Maintenance and Operating Expenses</v>
      </c>
      <c r="L349" s="953" t="s">
        <v>405</v>
      </c>
      <c r="M349" s="947">
        <v>12135</v>
      </c>
      <c r="N349" s="947"/>
      <c r="O349" s="1006" t="s">
        <v>1890</v>
      </c>
      <c r="P349" s="1005">
        <f>P346+M349-N349</f>
        <v>-80369.259999999995</v>
      </c>
    </row>
    <row r="350" spans="1:16" ht="39" hidden="1" customHeight="1">
      <c r="A350" s="940">
        <v>45077</v>
      </c>
      <c r="B350" s="941">
        <v>45075</v>
      </c>
      <c r="C350" s="662" t="s">
        <v>1932</v>
      </c>
      <c r="D350" s="662" t="s">
        <v>1886</v>
      </c>
      <c r="E350" s="665" t="s">
        <v>762</v>
      </c>
      <c r="F350" s="663" t="s">
        <v>1526</v>
      </c>
      <c r="G350" s="942"/>
      <c r="H350" s="942"/>
      <c r="I350" s="952" t="s">
        <v>1819</v>
      </c>
      <c r="J350" s="951" t="s">
        <v>1933</v>
      </c>
      <c r="K350" s="1000" t="str">
        <f>IF(L350=0,"",(INDEX(AccountCodes[ACCOUNT NAME],MATCH(L350,AccountCodes[NGAS CODE],0))))</f>
        <v>Cash in Bank-Local Currency, Current Account - FO</v>
      </c>
      <c r="L350" s="953" t="s">
        <v>1564</v>
      </c>
      <c r="M350" s="947"/>
      <c r="N350" s="947">
        <v>12135</v>
      </c>
      <c r="O350" s="1006" t="s">
        <v>1890</v>
      </c>
      <c r="P350" s="1005">
        <f>P346+M350-N350</f>
        <v>-104639.26</v>
      </c>
    </row>
    <row r="351" spans="1:16" ht="39" hidden="1" customHeight="1">
      <c r="A351" s="940">
        <v>45077</v>
      </c>
      <c r="B351" s="941">
        <v>45075</v>
      </c>
      <c r="C351" s="662" t="s">
        <v>1934</v>
      </c>
      <c r="D351" s="662" t="s">
        <v>1886</v>
      </c>
      <c r="E351" s="665" t="s">
        <v>762</v>
      </c>
      <c r="F351" s="663" t="s">
        <v>1526</v>
      </c>
      <c r="G351" s="942"/>
      <c r="H351" s="942"/>
      <c r="I351" s="952" t="s">
        <v>1935</v>
      </c>
      <c r="J351" s="951" t="s">
        <v>1803</v>
      </c>
      <c r="K351" s="1000" t="str">
        <f>IF(L351=0,"",(INDEX(AccountCodes[ACCOUNT NAME],MATCH(L351,AccountCodes[NGAS CODE],0))))</f>
        <v>Other Maintenance and Operating Expenses - Other Maintenance and Operating Expenses</v>
      </c>
      <c r="L351" s="953" t="s">
        <v>405</v>
      </c>
      <c r="M351" s="947">
        <v>10450</v>
      </c>
      <c r="N351" s="947"/>
      <c r="O351" s="1006" t="s">
        <v>1936</v>
      </c>
      <c r="P351" s="1005">
        <f>P346+M351-N351</f>
        <v>-82054.259999999995</v>
      </c>
    </row>
    <row r="352" spans="1:16" ht="39" hidden="1" customHeight="1">
      <c r="A352" s="940">
        <v>45077</v>
      </c>
      <c r="B352" s="941">
        <v>45075</v>
      </c>
      <c r="C352" s="662" t="s">
        <v>1934</v>
      </c>
      <c r="D352" s="662" t="s">
        <v>1886</v>
      </c>
      <c r="E352" s="665" t="s">
        <v>762</v>
      </c>
      <c r="F352" s="663" t="s">
        <v>1526</v>
      </c>
      <c r="G352" s="942"/>
      <c r="H352" s="942"/>
      <c r="I352" s="952" t="s">
        <v>1935</v>
      </c>
      <c r="J352" s="951" t="s">
        <v>1803</v>
      </c>
      <c r="K352" s="1000" t="str">
        <f>IF(L352=0,"",(INDEX(AccountCodes[ACCOUNT NAME],MATCH(L352,AccountCodes[NGAS CODE],0))))</f>
        <v>Due to BIR - 1%</v>
      </c>
      <c r="L352" s="953" t="s">
        <v>1554</v>
      </c>
      <c r="M352" s="947"/>
      <c r="N352" s="947">
        <v>104.5</v>
      </c>
      <c r="O352" s="1006" t="s">
        <v>1936</v>
      </c>
      <c r="P352" s="1005">
        <f>P346+M352-N352</f>
        <v>-92608.76</v>
      </c>
    </row>
    <row r="353" spans="1:16" ht="39" hidden="1" customHeight="1">
      <c r="A353" s="940">
        <v>45077</v>
      </c>
      <c r="B353" s="941">
        <v>45075</v>
      </c>
      <c r="C353" s="662" t="s">
        <v>1934</v>
      </c>
      <c r="D353" s="662" t="s">
        <v>1886</v>
      </c>
      <c r="E353" s="665" t="s">
        <v>762</v>
      </c>
      <c r="F353" s="663" t="s">
        <v>1526</v>
      </c>
      <c r="G353" s="942"/>
      <c r="H353" s="942"/>
      <c r="I353" s="952" t="s">
        <v>1935</v>
      </c>
      <c r="J353" s="951" t="s">
        <v>1803</v>
      </c>
      <c r="K353" s="1000" t="str">
        <f>IF(L353=0,"",(INDEX(AccountCodes[ACCOUNT NAME],MATCH(L353,AccountCodes[NGAS CODE],0))))</f>
        <v>Due to BIR - 1%</v>
      </c>
      <c r="L353" s="953" t="s">
        <v>1554</v>
      </c>
      <c r="M353" s="947"/>
      <c r="N353" s="947">
        <v>104.5</v>
      </c>
      <c r="O353" s="1006" t="s">
        <v>1936</v>
      </c>
      <c r="P353" s="1005">
        <f>P346+M353-N353</f>
        <v>-92608.76</v>
      </c>
    </row>
    <row r="354" spans="1:16" ht="39" hidden="1" customHeight="1">
      <c r="A354" s="940">
        <v>45077</v>
      </c>
      <c r="B354" s="941">
        <v>45075</v>
      </c>
      <c r="C354" s="662" t="s">
        <v>1934</v>
      </c>
      <c r="D354" s="662" t="s">
        <v>1886</v>
      </c>
      <c r="E354" s="665" t="s">
        <v>762</v>
      </c>
      <c r="F354" s="663" t="s">
        <v>1526</v>
      </c>
      <c r="G354" s="942"/>
      <c r="H354" s="942"/>
      <c r="I354" s="952" t="s">
        <v>1935</v>
      </c>
      <c r="J354" s="951" t="s">
        <v>1803</v>
      </c>
      <c r="K354" s="1000" t="str">
        <f>IF(L354=0,"",(INDEX(AccountCodes[ACCOUNT NAME],MATCH(L354,AccountCodes[NGAS CODE],0))))</f>
        <v>Cash in Bank-Local Currency, Current Account - FO</v>
      </c>
      <c r="L354" s="953" t="s">
        <v>1564</v>
      </c>
      <c r="M354" s="947"/>
      <c r="N354" s="947">
        <v>10241</v>
      </c>
      <c r="O354" s="1006" t="s">
        <v>1936</v>
      </c>
      <c r="P354" s="1005">
        <f>P346+M354-N354</f>
        <v>-102745.26</v>
      </c>
    </row>
    <row r="355" spans="1:16" ht="39" hidden="1" customHeight="1">
      <c r="A355" s="940">
        <v>45077</v>
      </c>
      <c r="B355" s="941">
        <v>45075</v>
      </c>
      <c r="C355" s="662" t="s">
        <v>1937</v>
      </c>
      <c r="D355" s="662" t="s">
        <v>1886</v>
      </c>
      <c r="E355" s="665" t="s">
        <v>762</v>
      </c>
      <c r="F355" s="663" t="s">
        <v>1526</v>
      </c>
      <c r="G355" s="942"/>
      <c r="H355" s="942"/>
      <c r="I355" s="952" t="s">
        <v>1760</v>
      </c>
      <c r="J355" s="951" t="s">
        <v>1938</v>
      </c>
      <c r="K355" s="1000" t="str">
        <f>IF(L355=0,"",(INDEX(AccountCodes[ACCOUNT NAME],MATCH(L355,AccountCodes[NGAS CODE],0))))</f>
        <v>Fuel, Oil and Lubricants Expenses</v>
      </c>
      <c r="L355" s="953" t="s">
        <v>229</v>
      </c>
      <c r="M355" s="947">
        <v>7431.43</v>
      </c>
      <c r="N355" s="947"/>
      <c r="O355" s="1006" t="s">
        <v>1897</v>
      </c>
      <c r="P355" s="1005">
        <f>P346+M355-N355</f>
        <v>-85072.83</v>
      </c>
    </row>
    <row r="356" spans="1:16" ht="39" hidden="1" customHeight="1">
      <c r="A356" s="940">
        <v>45077</v>
      </c>
      <c r="B356" s="941">
        <v>45075</v>
      </c>
      <c r="C356" s="662" t="s">
        <v>1937</v>
      </c>
      <c r="D356" s="662" t="s">
        <v>1886</v>
      </c>
      <c r="E356" s="665" t="s">
        <v>762</v>
      </c>
      <c r="F356" s="663" t="s">
        <v>1526</v>
      </c>
      <c r="G356" s="942"/>
      <c r="H356" s="942"/>
      <c r="I356" s="952" t="s">
        <v>1760</v>
      </c>
      <c r="J356" s="951" t="s">
        <v>1938</v>
      </c>
      <c r="K356" s="1000" t="str">
        <f>IF(L356=0,"",(INDEX(AccountCodes[ACCOUNT NAME],MATCH(L356,AccountCodes[NGAS CODE],0))))</f>
        <v>Due to BIR - 1%</v>
      </c>
      <c r="L356" s="953" t="s">
        <v>1554</v>
      </c>
      <c r="M356" s="947"/>
      <c r="N356" s="947">
        <v>66.349999999999994</v>
      </c>
      <c r="O356" s="1006" t="s">
        <v>1897</v>
      </c>
      <c r="P356" s="1005">
        <f>P346+M356-N356</f>
        <v>-92570.61</v>
      </c>
    </row>
    <row r="357" spans="1:16" ht="39" hidden="1" customHeight="1">
      <c r="A357" s="940">
        <v>45077</v>
      </c>
      <c r="B357" s="941">
        <v>45075</v>
      </c>
      <c r="C357" s="662" t="s">
        <v>1937</v>
      </c>
      <c r="D357" s="662" t="s">
        <v>1886</v>
      </c>
      <c r="E357" s="665" t="s">
        <v>762</v>
      </c>
      <c r="F357" s="663" t="s">
        <v>1526</v>
      </c>
      <c r="G357" s="942"/>
      <c r="H357" s="942"/>
      <c r="I357" s="952" t="s">
        <v>1760</v>
      </c>
      <c r="J357" s="951" t="s">
        <v>1938</v>
      </c>
      <c r="K357" s="1000" t="str">
        <f>IF(L357=0,"",(INDEX(AccountCodes[ACCOUNT NAME],MATCH(L357,AccountCodes[NGAS CODE],0))))</f>
        <v>Due to BIR - 5%</v>
      </c>
      <c r="L357" s="953" t="s">
        <v>1548</v>
      </c>
      <c r="M357" s="947"/>
      <c r="N357" s="947">
        <v>331.76</v>
      </c>
      <c r="O357" s="1006" t="s">
        <v>1897</v>
      </c>
      <c r="P357" s="1005">
        <f>P346+M357-N357</f>
        <v>-92836.02</v>
      </c>
    </row>
    <row r="358" spans="1:16" ht="39" hidden="1" customHeight="1">
      <c r="A358" s="940">
        <v>45077</v>
      </c>
      <c r="B358" s="941">
        <v>45075</v>
      </c>
      <c r="C358" s="662" t="s">
        <v>1937</v>
      </c>
      <c r="D358" s="662" t="s">
        <v>1886</v>
      </c>
      <c r="E358" s="665" t="s">
        <v>762</v>
      </c>
      <c r="F358" s="663" t="s">
        <v>1526</v>
      </c>
      <c r="G358" s="942"/>
      <c r="H358" s="942"/>
      <c r="I358" s="952" t="s">
        <v>1760</v>
      </c>
      <c r="J358" s="951" t="s">
        <v>1938</v>
      </c>
      <c r="K358" s="1000" t="str">
        <f>IF(L358=0,"",(INDEX(AccountCodes[ACCOUNT NAME],MATCH(L358,AccountCodes[NGAS CODE],0))))</f>
        <v>Cash in Bank-Local Currency, Current Account - FO</v>
      </c>
      <c r="L358" s="953" t="s">
        <v>1564</v>
      </c>
      <c r="M358" s="947"/>
      <c r="N358" s="947">
        <v>7033.32</v>
      </c>
      <c r="O358" s="1006" t="s">
        <v>1897</v>
      </c>
      <c r="P358" s="1005">
        <f>P346+M358-N358</f>
        <v>-99537.58</v>
      </c>
    </row>
    <row r="359" spans="1:16" ht="39" hidden="1" customHeight="1">
      <c r="A359" s="940">
        <v>45077</v>
      </c>
      <c r="B359" s="941">
        <v>45076</v>
      </c>
      <c r="C359" s="662" t="s">
        <v>1939</v>
      </c>
      <c r="D359" s="662" t="s">
        <v>1886</v>
      </c>
      <c r="E359" s="665" t="s">
        <v>762</v>
      </c>
      <c r="F359" s="663" t="s">
        <v>1526</v>
      </c>
      <c r="G359" s="942"/>
      <c r="H359" s="942"/>
      <c r="I359" s="952" t="s">
        <v>1746</v>
      </c>
      <c r="J359" s="951" t="s">
        <v>1940</v>
      </c>
      <c r="K359" s="1000" t="str">
        <f>IF(L359=0,"",(INDEX(AccountCodes[ACCOUNT NAME],MATCH(L359,AccountCodes[NGAS CODE],0))))</f>
        <v>Other Maintenance and Operating Expenses - Other Maintenance and Operating Expenses</v>
      </c>
      <c r="L359" s="953" t="s">
        <v>405</v>
      </c>
      <c r="M359" s="947">
        <v>7130.75</v>
      </c>
      <c r="N359" s="947"/>
      <c r="O359" s="1006" t="s">
        <v>1941</v>
      </c>
      <c r="P359" s="1005">
        <f>P346+M359-N359</f>
        <v>-85373.51</v>
      </c>
    </row>
    <row r="360" spans="1:16" ht="39" hidden="1" customHeight="1">
      <c r="A360" s="940">
        <v>45077</v>
      </c>
      <c r="B360" s="941">
        <v>45076</v>
      </c>
      <c r="C360" s="662" t="s">
        <v>1939</v>
      </c>
      <c r="D360" s="662" t="s">
        <v>1886</v>
      </c>
      <c r="E360" s="665" t="s">
        <v>762</v>
      </c>
      <c r="F360" s="663" t="s">
        <v>1526</v>
      </c>
      <c r="G360" s="942"/>
      <c r="H360" s="942"/>
      <c r="I360" s="952" t="s">
        <v>1746</v>
      </c>
      <c r="J360" s="951" t="s">
        <v>1940</v>
      </c>
      <c r="K360" s="1000" t="str">
        <f>IF(L360=0,"",(INDEX(AccountCodes[ACCOUNT NAME],MATCH(L360,AccountCodes[NGAS CODE],0))))</f>
        <v>Cash in Bank-Local Currency, Current Account - FO</v>
      </c>
      <c r="L360" s="953" t="s">
        <v>1564</v>
      </c>
      <c r="M360" s="947"/>
      <c r="N360" s="947">
        <v>7130.75</v>
      </c>
      <c r="O360" s="1004"/>
      <c r="P360" s="1005">
        <f>P346+M360-N360</f>
        <v>-99635.01</v>
      </c>
    </row>
    <row r="361" spans="1:16" ht="39" hidden="1" customHeight="1">
      <c r="A361" s="940">
        <v>45077</v>
      </c>
      <c r="B361" s="941">
        <v>45077</v>
      </c>
      <c r="C361" s="662" t="s">
        <v>1942</v>
      </c>
      <c r="D361" s="662" t="s">
        <v>1886</v>
      </c>
      <c r="E361" s="665" t="s">
        <v>762</v>
      </c>
      <c r="F361" s="663" t="s">
        <v>1526</v>
      </c>
      <c r="G361" s="942"/>
      <c r="H361" s="942"/>
      <c r="I361" s="952" t="s">
        <v>1943</v>
      </c>
      <c r="J361" s="951" t="s">
        <v>1944</v>
      </c>
      <c r="K361" s="1000" t="str">
        <f>IF(L361=0,"",(INDEX(AccountCodes[ACCOUNT NAME],MATCH(L361,AccountCodes[NGAS CODE],0))))</f>
        <v>Due to BIR - 1%</v>
      </c>
      <c r="L361" s="953" t="s">
        <v>1554</v>
      </c>
      <c r="M361" s="947">
        <v>104.5</v>
      </c>
      <c r="N361" s="947"/>
      <c r="O361" s="1006" t="s">
        <v>1945</v>
      </c>
      <c r="P361" s="1005">
        <f>P346+M361-N361</f>
        <v>-92399.76</v>
      </c>
    </row>
    <row r="362" spans="1:16" ht="39" hidden="1" customHeight="1">
      <c r="A362" s="940">
        <v>45077</v>
      </c>
      <c r="B362" s="941">
        <v>45077</v>
      </c>
      <c r="C362" s="662" t="s">
        <v>1942</v>
      </c>
      <c r="D362" s="662" t="s">
        <v>1886</v>
      </c>
      <c r="E362" s="665" t="s">
        <v>762</v>
      </c>
      <c r="F362" s="663" t="s">
        <v>1526</v>
      </c>
      <c r="G362" s="942"/>
      <c r="H362" s="942"/>
      <c r="I362" s="952" t="s">
        <v>1943</v>
      </c>
      <c r="J362" s="951" t="s">
        <v>1944</v>
      </c>
      <c r="K362" s="1000" t="str">
        <f>IF(L362=0,"",(INDEX(AccountCodes[ACCOUNT NAME],MATCH(L362,AccountCodes[NGAS CODE],0))))</f>
        <v>Due to BIR - 5%</v>
      </c>
      <c r="L362" s="953" t="s">
        <v>1548</v>
      </c>
      <c r="M362" s="947">
        <v>141399.85999999999</v>
      </c>
      <c r="N362" s="947"/>
      <c r="O362" s="1006" t="s">
        <v>1945</v>
      </c>
      <c r="P362" s="1005">
        <f>P346+M362-N362</f>
        <v>48895.6</v>
      </c>
    </row>
    <row r="363" spans="1:16" ht="39" hidden="1" customHeight="1">
      <c r="A363" s="940">
        <v>45077</v>
      </c>
      <c r="B363" s="941">
        <v>45077</v>
      </c>
      <c r="C363" s="662" t="s">
        <v>1942</v>
      </c>
      <c r="D363" s="662" t="s">
        <v>1886</v>
      </c>
      <c r="E363" s="665" t="s">
        <v>762</v>
      </c>
      <c r="F363" s="663" t="s">
        <v>1526</v>
      </c>
      <c r="G363" s="942"/>
      <c r="H363" s="942"/>
      <c r="I363" s="952" t="s">
        <v>1943</v>
      </c>
      <c r="J363" s="951" t="s">
        <v>1944</v>
      </c>
      <c r="K363" s="1000" t="str">
        <f>IF(L363=0,"",(INDEX(AccountCodes[ACCOUNT NAME],MATCH(L363,AccountCodes[NGAS CODE],0))))</f>
        <v>Cash in Bank-Local Currency, Current Account - FO</v>
      </c>
      <c r="L363" s="953" t="s">
        <v>1564</v>
      </c>
      <c r="M363" s="947"/>
      <c r="N363" s="947">
        <v>141504.35999999999</v>
      </c>
      <c r="O363" s="1006" t="s">
        <v>1945</v>
      </c>
      <c r="P363" s="1005">
        <f>P346+M363-N363</f>
        <v>-234008.62</v>
      </c>
    </row>
    <row r="364" spans="1:16" ht="39" hidden="1" customHeight="1">
      <c r="A364" s="940">
        <v>45077</v>
      </c>
      <c r="B364" s="941">
        <v>45077</v>
      </c>
      <c r="C364" s="662" t="s">
        <v>1946</v>
      </c>
      <c r="D364" s="662" t="s">
        <v>1886</v>
      </c>
      <c r="E364" s="665" t="s">
        <v>762</v>
      </c>
      <c r="F364" s="663" t="s">
        <v>1526</v>
      </c>
      <c r="G364" s="942"/>
      <c r="H364" s="942"/>
      <c r="I364" s="952" t="s">
        <v>1943</v>
      </c>
      <c r="J364" s="951" t="s">
        <v>1947</v>
      </c>
      <c r="K364" s="1000" t="str">
        <f>IF(L364=0,"",(INDEX(AccountCodes[ACCOUNT NAME],MATCH(L364,AccountCodes[NGAS CODE],0))))</f>
        <v>Due to BIR - 1%</v>
      </c>
      <c r="L364" s="953" t="s">
        <v>1554</v>
      </c>
      <c r="M364" s="947">
        <v>170.85</v>
      </c>
      <c r="N364" s="947"/>
      <c r="O364" s="1006" t="s">
        <v>1948</v>
      </c>
      <c r="P364" s="1005">
        <f>P346+M364-N364</f>
        <v>-92333.41</v>
      </c>
    </row>
    <row r="365" spans="1:16" ht="39" hidden="1" customHeight="1">
      <c r="A365" s="940">
        <v>45077</v>
      </c>
      <c r="B365" s="941">
        <v>45077</v>
      </c>
      <c r="C365" s="662" t="s">
        <v>1946</v>
      </c>
      <c r="D365" s="662" t="s">
        <v>1886</v>
      </c>
      <c r="E365" s="665" t="s">
        <v>762</v>
      </c>
      <c r="F365" s="663" t="s">
        <v>1526</v>
      </c>
      <c r="G365" s="942"/>
      <c r="H365" s="942"/>
      <c r="I365" s="952" t="s">
        <v>1943</v>
      </c>
      <c r="J365" s="951" t="s">
        <v>1947</v>
      </c>
      <c r="K365" s="1000" t="str">
        <f>IF(L365=0,"",(INDEX(AccountCodes[ACCOUNT NAME],MATCH(L365,AccountCodes[NGAS CODE],0))))</f>
        <v>Due to BIR - 2%</v>
      </c>
      <c r="L365" s="953" t="s">
        <v>1550</v>
      </c>
      <c r="M365" s="947">
        <v>56427.24</v>
      </c>
      <c r="N365" s="947"/>
      <c r="O365" s="1006" t="s">
        <v>1948</v>
      </c>
      <c r="P365" s="1005">
        <f>P346+M365-N365</f>
        <v>-36077.019999999997</v>
      </c>
    </row>
    <row r="366" spans="1:16" ht="39" hidden="1" customHeight="1">
      <c r="A366" s="940">
        <v>45077</v>
      </c>
      <c r="B366" s="941">
        <v>45077</v>
      </c>
      <c r="C366" s="662" t="s">
        <v>1946</v>
      </c>
      <c r="D366" s="662" t="s">
        <v>1886</v>
      </c>
      <c r="E366" s="665" t="s">
        <v>762</v>
      </c>
      <c r="F366" s="663" t="s">
        <v>1526</v>
      </c>
      <c r="G366" s="942"/>
      <c r="H366" s="942"/>
      <c r="I366" s="952" t="s">
        <v>1943</v>
      </c>
      <c r="J366" s="951" t="s">
        <v>1947</v>
      </c>
      <c r="K366" s="1000" t="str">
        <f>IF(L366=0,"",(INDEX(AccountCodes[ACCOUNT NAME],MATCH(L366,AccountCodes[NGAS CODE],0))))</f>
        <v>Cash in Bank-Local Currency, Current Account - FO</v>
      </c>
      <c r="L366" s="953" t="s">
        <v>1564</v>
      </c>
      <c r="M366" s="947"/>
      <c r="N366" s="947">
        <v>56598.09</v>
      </c>
      <c r="O366" s="1006" t="s">
        <v>1948</v>
      </c>
      <c r="P366" s="1005">
        <f>P346+M366-N366</f>
        <v>-149102.35</v>
      </c>
    </row>
    <row r="367" spans="1:16" ht="39" hidden="1" customHeight="1">
      <c r="A367" s="940">
        <v>45077</v>
      </c>
      <c r="B367" s="941"/>
      <c r="C367" s="662"/>
      <c r="D367" s="662"/>
      <c r="E367" s="665"/>
      <c r="F367" s="663"/>
      <c r="G367" s="942"/>
      <c r="H367" s="942"/>
      <c r="I367" s="952"/>
      <c r="J367" s="951"/>
      <c r="K367" s="1000" t="str">
        <f>IF(L367=0,"",(INDEX(AccountCodes[ACCOUNT NAME],MATCH(L367,AccountCodes[NGAS CODE],0))))</f>
        <v/>
      </c>
      <c r="L367" s="953"/>
      <c r="M367" s="947"/>
      <c r="N367" s="947"/>
      <c r="O367" s="1004"/>
      <c r="P367" s="1005">
        <f>P291+M367-N367</f>
        <v>-89612.6</v>
      </c>
    </row>
    <row r="368" spans="1:16" ht="39" hidden="1" customHeight="1">
      <c r="A368" s="940">
        <v>45107</v>
      </c>
      <c r="B368" s="941">
        <v>45082</v>
      </c>
      <c r="C368" s="662" t="s">
        <v>1949</v>
      </c>
      <c r="D368" s="662" t="s">
        <v>1950</v>
      </c>
      <c r="E368" s="665" t="s">
        <v>762</v>
      </c>
      <c r="F368" s="663" t="s">
        <v>1526</v>
      </c>
      <c r="G368" s="942"/>
      <c r="H368" s="942"/>
      <c r="I368" s="952" t="s">
        <v>1951</v>
      </c>
      <c r="J368" s="951" t="s">
        <v>1952</v>
      </c>
      <c r="K368" s="1000" t="str">
        <f>IF(L368=0,"",(INDEX(AccountCodes[ACCOUNT NAME],MATCH(L368,AccountCodes[NGAS CODE],0))))</f>
        <v>Training Expenses</v>
      </c>
      <c r="L368" s="953" t="s">
        <v>224</v>
      </c>
      <c r="M368" s="947">
        <v>48460</v>
      </c>
      <c r="N368" s="947"/>
      <c r="O368" s="1004" t="s">
        <v>1925</v>
      </c>
      <c r="P368" s="1005">
        <f>P367+M368-N368</f>
        <v>-41152.6</v>
      </c>
    </row>
    <row r="369" spans="1:16" ht="39" hidden="1" customHeight="1">
      <c r="A369" s="940">
        <v>45107</v>
      </c>
      <c r="B369" s="941">
        <v>45082</v>
      </c>
      <c r="C369" s="662" t="s">
        <v>1949</v>
      </c>
      <c r="D369" s="662" t="s">
        <v>1950</v>
      </c>
      <c r="E369" s="665" t="s">
        <v>762</v>
      </c>
      <c r="F369" s="663" t="s">
        <v>1526</v>
      </c>
      <c r="G369" s="942"/>
      <c r="H369" s="942"/>
      <c r="I369" s="952" t="s">
        <v>1951</v>
      </c>
      <c r="J369" s="951" t="s">
        <v>1952</v>
      </c>
      <c r="K369" s="1000" t="str">
        <f>IF(L369=0,"",(INDEX(AccountCodes[ACCOUNT NAME],MATCH(L369,AccountCodes[NGAS CODE],0))))</f>
        <v>Due to BIR - 1%</v>
      </c>
      <c r="L369" s="953" t="s">
        <v>1554</v>
      </c>
      <c r="M369" s="947"/>
      <c r="N369" s="947">
        <v>484.6</v>
      </c>
      <c r="O369" s="1004"/>
      <c r="P369" s="1005">
        <f>P367+M369-N369</f>
        <v>-90097.2</v>
      </c>
    </row>
    <row r="370" spans="1:16" ht="39" hidden="1" customHeight="1">
      <c r="A370" s="940">
        <v>45107</v>
      </c>
      <c r="B370" s="941">
        <v>45082</v>
      </c>
      <c r="C370" s="662" t="s">
        <v>1949</v>
      </c>
      <c r="D370" s="662" t="s">
        <v>1950</v>
      </c>
      <c r="E370" s="665" t="s">
        <v>762</v>
      </c>
      <c r="F370" s="663" t="s">
        <v>1526</v>
      </c>
      <c r="G370" s="942"/>
      <c r="H370" s="942"/>
      <c r="I370" s="952" t="s">
        <v>1951</v>
      </c>
      <c r="J370" s="951" t="s">
        <v>1952</v>
      </c>
      <c r="K370" s="1000" t="str">
        <f>IF(L370=0,"",(INDEX(AccountCodes[ACCOUNT NAME],MATCH(L370,AccountCodes[NGAS CODE],0))))</f>
        <v>Due to BIR - 2%</v>
      </c>
      <c r="L370" s="953" t="s">
        <v>1550</v>
      </c>
      <c r="M370" s="947"/>
      <c r="N370" s="947">
        <v>969.2</v>
      </c>
      <c r="O370" s="1004"/>
      <c r="P370" s="1005">
        <f>P369+M370-N370</f>
        <v>-91066.4</v>
      </c>
    </row>
    <row r="371" spans="1:16" ht="39" hidden="1" customHeight="1">
      <c r="A371" s="940">
        <v>45107</v>
      </c>
      <c r="B371" s="941">
        <v>45082</v>
      </c>
      <c r="C371" s="662" t="s">
        <v>1949</v>
      </c>
      <c r="D371" s="662" t="s">
        <v>1950</v>
      </c>
      <c r="E371" s="665" t="s">
        <v>762</v>
      </c>
      <c r="F371" s="663" t="s">
        <v>1526</v>
      </c>
      <c r="G371" s="942"/>
      <c r="H371" s="942"/>
      <c r="I371" s="952" t="s">
        <v>1951</v>
      </c>
      <c r="J371" s="951" t="s">
        <v>1952</v>
      </c>
      <c r="K371" s="677" t="str">
        <f>IF(L371=0,"",(INDEX(AccountCodes[ACCOUNT NAME],MATCH(L371,AccountCodes[NGAS CODE],0))))</f>
        <v>Cash in Bank-Local Currency, Current Account - FO</v>
      </c>
      <c r="L371" s="937" t="s">
        <v>1564</v>
      </c>
      <c r="M371" s="947"/>
      <c r="N371" s="947">
        <v>47006.2</v>
      </c>
      <c r="O371" s="967"/>
      <c r="P371" s="1008">
        <f>P367+M371-N371</f>
        <v>-136618.79999999999</v>
      </c>
    </row>
    <row r="372" spans="1:16" ht="39" hidden="1" customHeight="1">
      <c r="A372" s="940">
        <v>45107</v>
      </c>
      <c r="B372" s="941">
        <v>45083</v>
      </c>
      <c r="C372" s="662" t="s">
        <v>1953</v>
      </c>
      <c r="D372" s="662" t="s">
        <v>1950</v>
      </c>
      <c r="E372" s="665" t="s">
        <v>762</v>
      </c>
      <c r="F372" s="663" t="s">
        <v>1526</v>
      </c>
      <c r="G372" s="942"/>
      <c r="H372" s="942"/>
      <c r="I372" s="952" t="s">
        <v>1954</v>
      </c>
      <c r="J372" s="951" t="s">
        <v>1955</v>
      </c>
      <c r="K372" s="677" t="str">
        <f>IF(L372=0,"",(INDEX(AccountCodes[ACCOUNT NAME],MATCH(L372,AccountCodes[NGAS CODE],0))))</f>
        <v>Other Maintenance and Operating Expenses - Other Maintenance and Operating Expenses</v>
      </c>
      <c r="L372" s="937" t="s">
        <v>405</v>
      </c>
      <c r="M372" s="947">
        <v>79514.320000000007</v>
      </c>
      <c r="N372" s="947"/>
      <c r="O372" s="1004" t="s">
        <v>1925</v>
      </c>
      <c r="P372" s="1008">
        <f>P371+M372-N372</f>
        <v>-57104.480000000003</v>
      </c>
    </row>
    <row r="373" spans="1:16" ht="39" hidden="1" customHeight="1">
      <c r="A373" s="940">
        <v>45107</v>
      </c>
      <c r="B373" s="941">
        <v>45083</v>
      </c>
      <c r="C373" s="662" t="s">
        <v>1953</v>
      </c>
      <c r="D373" s="662" t="s">
        <v>1950</v>
      </c>
      <c r="E373" s="665" t="s">
        <v>762</v>
      </c>
      <c r="F373" s="663" t="s">
        <v>1526</v>
      </c>
      <c r="G373" s="942"/>
      <c r="H373" s="942"/>
      <c r="I373" s="952" t="s">
        <v>1954</v>
      </c>
      <c r="J373" s="951" t="s">
        <v>1955</v>
      </c>
      <c r="K373" s="677" t="str">
        <f>IF(L373=0,"",(INDEX(AccountCodes[ACCOUNT NAME],MATCH(L373,AccountCodes[NGAS CODE],0))))</f>
        <v>Due to PhilHealth</v>
      </c>
      <c r="L373" s="937" t="s">
        <v>112</v>
      </c>
      <c r="M373" s="947"/>
      <c r="N373" s="947">
        <v>4424.3900000000003</v>
      </c>
      <c r="O373" s="967"/>
      <c r="P373" s="1008">
        <f>P367+M373-N373</f>
        <v>-94036.99</v>
      </c>
    </row>
    <row r="374" spans="1:16" ht="39" customHeight="1">
      <c r="A374" s="940">
        <v>45107</v>
      </c>
      <c r="B374" s="941">
        <v>45083</v>
      </c>
      <c r="C374" s="662" t="s">
        <v>1953</v>
      </c>
      <c r="D374" s="662" t="s">
        <v>1950</v>
      </c>
      <c r="E374" s="665" t="s">
        <v>762</v>
      </c>
      <c r="F374" s="663" t="s">
        <v>1526</v>
      </c>
      <c r="G374" s="942"/>
      <c r="H374" s="942"/>
      <c r="I374" s="952" t="s">
        <v>1954</v>
      </c>
      <c r="J374" s="951" t="s">
        <v>1955</v>
      </c>
      <c r="K374" s="677" t="str">
        <f>IF(L374=0,"",(INDEX(AccountCodes[ACCOUNT NAME],MATCH(L374,AccountCodes[NGAS CODE],0))))</f>
        <v>Other Payables</v>
      </c>
      <c r="L374" s="937" t="s">
        <v>117</v>
      </c>
      <c r="M374" s="947"/>
      <c r="N374" s="947">
        <v>6270</v>
      </c>
      <c r="O374" s="967"/>
      <c r="P374" s="1008">
        <f>P373+M374-N374</f>
        <v>-100306.99</v>
      </c>
    </row>
    <row r="375" spans="1:16" ht="39" customHeight="1">
      <c r="A375" s="940">
        <v>45107</v>
      </c>
      <c r="B375" s="941">
        <v>45083</v>
      </c>
      <c r="C375" s="662" t="s">
        <v>1953</v>
      </c>
      <c r="D375" s="662" t="s">
        <v>1950</v>
      </c>
      <c r="E375" s="665" t="s">
        <v>762</v>
      </c>
      <c r="F375" s="663" t="s">
        <v>1526</v>
      </c>
      <c r="G375" s="942"/>
      <c r="H375" s="942"/>
      <c r="I375" s="952" t="s">
        <v>1954</v>
      </c>
      <c r="J375" s="951" t="s">
        <v>1955</v>
      </c>
      <c r="K375" s="677" t="str">
        <f>IF(L375=0,"",(INDEX(AccountCodes[ACCOUNT NAME],MATCH(L375,AccountCodes[NGAS CODE],0))))</f>
        <v>Other Payables</v>
      </c>
      <c r="L375" s="937" t="s">
        <v>117</v>
      </c>
      <c r="M375" s="947"/>
      <c r="N375" s="947">
        <v>6829.16</v>
      </c>
      <c r="O375" s="967"/>
      <c r="P375" s="1008">
        <f>P367+M375-N375</f>
        <v>-96441.76</v>
      </c>
    </row>
    <row r="376" spans="1:16" ht="39" hidden="1" customHeight="1">
      <c r="A376" s="940">
        <v>45107</v>
      </c>
      <c r="B376" s="941">
        <v>45083</v>
      </c>
      <c r="C376" s="662" t="s">
        <v>1953</v>
      </c>
      <c r="D376" s="662" t="s">
        <v>1950</v>
      </c>
      <c r="E376" s="665" t="s">
        <v>762</v>
      </c>
      <c r="F376" s="663" t="s">
        <v>1526</v>
      </c>
      <c r="G376" s="942"/>
      <c r="H376" s="942"/>
      <c r="I376" s="952" t="s">
        <v>1954</v>
      </c>
      <c r="J376" s="951" t="s">
        <v>1955</v>
      </c>
      <c r="K376" s="677" t="str">
        <f>IF(L376=0,"",(INDEX(AccountCodes[ACCOUNT NAME],MATCH(L376,AccountCodes[NGAS CODE],0))))</f>
        <v>Cash in Bank-Local Currency, Current Account - FO</v>
      </c>
      <c r="L376" s="937" t="s">
        <v>1564</v>
      </c>
      <c r="M376" s="947"/>
      <c r="N376" s="947">
        <v>61990.77</v>
      </c>
      <c r="O376" s="967"/>
      <c r="P376" s="1008">
        <f>P375+M376-N376</f>
        <v>-158432.53</v>
      </c>
    </row>
    <row r="377" spans="1:16" ht="39" hidden="1" customHeight="1">
      <c r="A377" s="541">
        <v>45107</v>
      </c>
      <c r="B377" s="716">
        <v>45084</v>
      </c>
      <c r="C377" s="494" t="s">
        <v>1963</v>
      </c>
      <c r="D377" s="494" t="s">
        <v>1950</v>
      </c>
      <c r="E377" s="939" t="s">
        <v>762</v>
      </c>
      <c r="F377" s="495" t="s">
        <v>1526</v>
      </c>
      <c r="G377" s="494"/>
      <c r="H377" s="494"/>
      <c r="I377" s="668" t="s">
        <v>1666</v>
      </c>
      <c r="J377" s="1007"/>
      <c r="K377" s="677" t="str">
        <f>IF(L377=0,"",(INDEX(AccountCodes[ACCOUNT NAME],MATCH(L377,AccountCodes[NGAS CODE],0))))</f>
        <v/>
      </c>
      <c r="L377" s="937"/>
      <c r="M377" s="947"/>
      <c r="N377" s="947"/>
      <c r="O377" s="967"/>
      <c r="P377" s="1008">
        <f>P376+M377-N377</f>
        <v>-158432.53</v>
      </c>
    </row>
    <row r="378" spans="1:16" ht="39" hidden="1" customHeight="1">
      <c r="A378" s="940">
        <v>45107</v>
      </c>
      <c r="B378" s="716">
        <v>45084</v>
      </c>
      <c r="C378" s="494" t="s">
        <v>1956</v>
      </c>
      <c r="D378" s="494" t="s">
        <v>1950</v>
      </c>
      <c r="E378" s="939" t="s">
        <v>762</v>
      </c>
      <c r="F378" s="495" t="s">
        <v>1526</v>
      </c>
      <c r="G378" s="494"/>
      <c r="H378" s="494"/>
      <c r="I378" s="668" t="s">
        <v>1645</v>
      </c>
      <c r="J378" s="1007" t="s">
        <v>1958</v>
      </c>
      <c r="K378" s="677" t="str">
        <f>IF(L378=0,"",(INDEX(AccountCodes[ACCOUNT NAME],MATCH(L378,AccountCodes[NGAS CODE],0))))</f>
        <v>Training Expenses</v>
      </c>
      <c r="L378" s="937" t="s">
        <v>224</v>
      </c>
      <c r="M378" s="947">
        <v>46200</v>
      </c>
      <c r="N378" s="947"/>
      <c r="O378" s="967" t="s">
        <v>1957</v>
      </c>
      <c r="P378" s="1008">
        <f>P367+M378-N378</f>
        <v>-43412.6</v>
      </c>
    </row>
    <row r="379" spans="1:16" ht="39" hidden="1" customHeight="1">
      <c r="A379" s="940">
        <v>45107</v>
      </c>
      <c r="B379" s="716">
        <v>45084</v>
      </c>
      <c r="C379" s="494" t="s">
        <v>1956</v>
      </c>
      <c r="D379" s="494" t="s">
        <v>1950</v>
      </c>
      <c r="E379" s="939" t="s">
        <v>762</v>
      </c>
      <c r="F379" s="495" t="s">
        <v>1526</v>
      </c>
      <c r="G379" s="494"/>
      <c r="H379" s="494"/>
      <c r="I379" s="668" t="s">
        <v>1645</v>
      </c>
      <c r="J379" s="1007" t="s">
        <v>1958</v>
      </c>
      <c r="K379" s="677" t="str">
        <f>IF(L379=0,"",(INDEX(AccountCodes[ACCOUNT NAME],MATCH(L379,AccountCodes[NGAS CODE],0))))</f>
        <v>Due to BIR - 5%</v>
      </c>
      <c r="L379" s="937" t="s">
        <v>1548</v>
      </c>
      <c r="M379" s="947"/>
      <c r="N379" s="947">
        <v>2062.5</v>
      </c>
      <c r="O379" s="967"/>
      <c r="P379" s="1008">
        <f>P378+M379-N379</f>
        <v>-45475.1</v>
      </c>
    </row>
    <row r="380" spans="1:16" ht="39" hidden="1" customHeight="1">
      <c r="A380" s="940">
        <v>45107</v>
      </c>
      <c r="B380" s="716">
        <v>45084</v>
      </c>
      <c r="C380" s="494" t="s">
        <v>1956</v>
      </c>
      <c r="D380" s="494" t="s">
        <v>1950</v>
      </c>
      <c r="E380" s="939" t="s">
        <v>762</v>
      </c>
      <c r="F380" s="495" t="s">
        <v>1526</v>
      </c>
      <c r="G380" s="494"/>
      <c r="H380" s="494"/>
      <c r="I380" s="668" t="s">
        <v>1645</v>
      </c>
      <c r="J380" s="1007" t="s">
        <v>1958</v>
      </c>
      <c r="K380" s="677" t="str">
        <f>IF(L380=0,"",(INDEX(AccountCodes[ACCOUNT NAME],MATCH(L380,AccountCodes[NGAS CODE],0))))</f>
        <v>Due to BIR - 2%</v>
      </c>
      <c r="L380" s="937" t="s">
        <v>1550</v>
      </c>
      <c r="M380" s="947"/>
      <c r="N380" s="947">
        <v>825</v>
      </c>
      <c r="O380" s="967"/>
      <c r="P380" s="1008">
        <f>P367+M380-N380</f>
        <v>-90437.6</v>
      </c>
    </row>
    <row r="381" spans="1:16" ht="39" hidden="1" customHeight="1">
      <c r="A381" s="940">
        <v>45107</v>
      </c>
      <c r="B381" s="716">
        <v>45084</v>
      </c>
      <c r="C381" s="494" t="s">
        <v>1956</v>
      </c>
      <c r="D381" s="494" t="s">
        <v>1950</v>
      </c>
      <c r="E381" s="939" t="s">
        <v>762</v>
      </c>
      <c r="F381" s="495" t="s">
        <v>1526</v>
      </c>
      <c r="G381" s="494"/>
      <c r="H381" s="494"/>
      <c r="I381" s="668" t="s">
        <v>1645</v>
      </c>
      <c r="J381" s="1007" t="s">
        <v>1958</v>
      </c>
      <c r="K381" s="677" t="str">
        <f>IF(L381=0,"",(INDEX(AccountCodes[ACCOUNT NAME],MATCH(L381,AccountCodes[NGAS CODE],0))))</f>
        <v>Cash in Bank-Local Currency, Current Account - FO</v>
      </c>
      <c r="L381" s="937" t="s">
        <v>1564</v>
      </c>
      <c r="M381" s="947"/>
      <c r="N381" s="947">
        <v>43312.5</v>
      </c>
      <c r="O381" s="967"/>
      <c r="P381" s="1008">
        <f>P380+M381-N381</f>
        <v>-133750.1</v>
      </c>
    </row>
    <row r="382" spans="1:16" ht="39" customHeight="1">
      <c r="A382" s="940">
        <v>45107</v>
      </c>
      <c r="B382" s="716">
        <v>45086</v>
      </c>
      <c r="C382" s="494" t="s">
        <v>1959</v>
      </c>
      <c r="D382" s="494" t="s">
        <v>1950</v>
      </c>
      <c r="E382" s="939" t="s">
        <v>762</v>
      </c>
      <c r="F382" s="495" t="s">
        <v>1526</v>
      </c>
      <c r="G382" s="494"/>
      <c r="H382" s="494"/>
      <c r="I382" s="668" t="s">
        <v>1919</v>
      </c>
      <c r="J382" s="1007" t="s">
        <v>1960</v>
      </c>
      <c r="K382" s="677" t="str">
        <f>IF(L382=0,"",(INDEX(AccountCodes[ACCOUNT NAME],MATCH(L382,AccountCodes[NGAS CODE],0))))</f>
        <v>Other Payables</v>
      </c>
      <c r="L382" s="937" t="s">
        <v>117</v>
      </c>
      <c r="M382" s="947">
        <v>6270</v>
      </c>
      <c r="N382" s="947"/>
      <c r="O382" s="967" t="s">
        <v>1925</v>
      </c>
      <c r="P382" s="1008">
        <f>P367+M382-N382</f>
        <v>-83342.600000000006</v>
      </c>
    </row>
    <row r="383" spans="1:16" ht="39" hidden="1" customHeight="1">
      <c r="A383" s="940">
        <v>45107</v>
      </c>
      <c r="B383" s="716">
        <v>45086</v>
      </c>
      <c r="C383" s="494" t="s">
        <v>1959</v>
      </c>
      <c r="D383" s="494" t="s">
        <v>1950</v>
      </c>
      <c r="E383" s="939" t="s">
        <v>762</v>
      </c>
      <c r="F383" s="495" t="s">
        <v>1526</v>
      </c>
      <c r="G383" s="494"/>
      <c r="H383" s="494"/>
      <c r="I383" s="668" t="s">
        <v>1919</v>
      </c>
      <c r="J383" s="1007" t="s">
        <v>1960</v>
      </c>
      <c r="K383" s="677" t="str">
        <f>IF(L383=0,"",(INDEX(AccountCodes[ACCOUNT NAME],MATCH(L383,AccountCodes[NGAS CODE],0))))</f>
        <v>Cash in Bank-Local Currency, Current Account - FO</v>
      </c>
      <c r="L383" s="937" t="s">
        <v>1564</v>
      </c>
      <c r="M383" s="947"/>
      <c r="N383" s="947">
        <v>6270</v>
      </c>
      <c r="O383" s="967"/>
      <c r="P383" s="1008">
        <f>P382+M383-N383</f>
        <v>-89612.6</v>
      </c>
    </row>
    <row r="384" spans="1:16" ht="39" hidden="1" customHeight="1">
      <c r="A384" s="940">
        <v>45107</v>
      </c>
      <c r="B384" s="716">
        <v>45086</v>
      </c>
      <c r="C384" s="494" t="s">
        <v>1961</v>
      </c>
      <c r="D384" s="494" t="s">
        <v>1950</v>
      </c>
      <c r="E384" s="939" t="s">
        <v>762</v>
      </c>
      <c r="F384" s="495" t="s">
        <v>1526</v>
      </c>
      <c r="G384" s="494"/>
      <c r="H384" s="494"/>
      <c r="I384" s="668" t="s">
        <v>1689</v>
      </c>
      <c r="J384" s="1007" t="s">
        <v>1962</v>
      </c>
      <c r="K384" s="677" t="str">
        <f>IF(L384=0,"",(INDEX(AccountCodes[ACCOUNT NAME],MATCH(L384,AccountCodes[NGAS CODE],0))))</f>
        <v>Due to PhilHealth</v>
      </c>
      <c r="L384" s="937" t="s">
        <v>112</v>
      </c>
      <c r="M384" s="947">
        <v>4424.3900000000003</v>
      </c>
      <c r="N384" s="947"/>
      <c r="O384" s="967" t="s">
        <v>1925</v>
      </c>
      <c r="P384" s="1008">
        <f>P367+M384-N384</f>
        <v>-85188.21</v>
      </c>
    </row>
    <row r="385" spans="1:16" ht="39" hidden="1" customHeight="1">
      <c r="A385" s="940">
        <v>45107</v>
      </c>
      <c r="B385" s="716">
        <v>45086</v>
      </c>
      <c r="C385" s="494" t="s">
        <v>1961</v>
      </c>
      <c r="D385" s="494" t="s">
        <v>1950</v>
      </c>
      <c r="E385" s="939" t="s">
        <v>762</v>
      </c>
      <c r="F385" s="495" t="s">
        <v>1526</v>
      </c>
      <c r="G385" s="494"/>
      <c r="H385" s="494"/>
      <c r="I385" s="668" t="s">
        <v>1689</v>
      </c>
      <c r="J385" s="1007" t="s">
        <v>1962</v>
      </c>
      <c r="K385" s="677" t="str">
        <f>IF(L385=0,"",(INDEX(AccountCodes[ACCOUNT NAME],MATCH(L385,AccountCodes[NGAS CODE],0))))</f>
        <v>Cash in Bank-Local Currency, Current Account - FO</v>
      </c>
      <c r="L385" s="937" t="s">
        <v>1564</v>
      </c>
      <c r="M385" s="947"/>
      <c r="N385" s="947">
        <v>4424.3900000000003</v>
      </c>
      <c r="O385" s="967"/>
      <c r="P385" s="1008">
        <f>P384+M385-N385</f>
        <v>-89612.6</v>
      </c>
    </row>
    <row r="386" spans="1:16" ht="39" hidden="1" customHeight="1">
      <c r="A386" s="541">
        <v>45107</v>
      </c>
      <c r="B386" s="716">
        <v>45090</v>
      </c>
      <c r="C386" s="494" t="s">
        <v>1964</v>
      </c>
      <c r="D386" s="494" t="s">
        <v>1950</v>
      </c>
      <c r="E386" s="939" t="s">
        <v>762</v>
      </c>
      <c r="F386" s="495" t="s">
        <v>1526</v>
      </c>
      <c r="G386" s="494"/>
      <c r="H386" s="494"/>
      <c r="I386" s="668" t="s">
        <v>1716</v>
      </c>
      <c r="J386" s="1007" t="s">
        <v>1965</v>
      </c>
      <c r="K386" s="677" t="str">
        <f>IF(L386=0,"",(INDEX(AccountCodes[ACCOUNT NAME],MATCH(L386,AccountCodes[NGAS CODE],0))))</f>
        <v>Salaries and Wages-Regular</v>
      </c>
      <c r="L386" s="937" t="s">
        <v>162</v>
      </c>
      <c r="M386" s="947">
        <v>58320</v>
      </c>
      <c r="N386" s="947"/>
      <c r="O386" s="967" t="s">
        <v>1966</v>
      </c>
      <c r="P386" s="1008">
        <f>P367+M386-N386</f>
        <v>-31292.6</v>
      </c>
    </row>
    <row r="387" spans="1:16" ht="39" hidden="1" customHeight="1">
      <c r="A387" s="541">
        <v>45107</v>
      </c>
      <c r="B387" s="716">
        <v>45090</v>
      </c>
      <c r="C387" s="494" t="s">
        <v>1964</v>
      </c>
      <c r="D387" s="494" t="s">
        <v>1950</v>
      </c>
      <c r="E387" s="939" t="s">
        <v>762</v>
      </c>
      <c r="F387" s="495" t="s">
        <v>1526</v>
      </c>
      <c r="G387" s="494"/>
      <c r="H387" s="494"/>
      <c r="I387" s="668" t="s">
        <v>1716</v>
      </c>
      <c r="J387" s="1007" t="s">
        <v>1965</v>
      </c>
      <c r="K387" s="677" t="str">
        <f>IF(L387=0,"",(INDEX(AccountCodes[ACCOUNT NAME],MATCH(L387,AccountCodes[NGAS CODE],0))))</f>
        <v>Personal Economic Relief Allowance (PERA)</v>
      </c>
      <c r="L387" s="937" t="s">
        <v>164</v>
      </c>
      <c r="M387" s="947">
        <v>4000</v>
      </c>
      <c r="N387" s="947"/>
      <c r="O387" s="967"/>
      <c r="P387" s="1008">
        <f>P386+M387-N387</f>
        <v>-27292.6</v>
      </c>
    </row>
    <row r="388" spans="1:16" ht="39" hidden="1" customHeight="1">
      <c r="A388" s="541">
        <v>45107</v>
      </c>
      <c r="B388" s="716">
        <v>45090</v>
      </c>
      <c r="C388" s="494" t="s">
        <v>1964</v>
      </c>
      <c r="D388" s="494" t="s">
        <v>1950</v>
      </c>
      <c r="E388" s="939" t="s">
        <v>762</v>
      </c>
      <c r="F388" s="495" t="s">
        <v>1526</v>
      </c>
      <c r="G388" s="494"/>
      <c r="H388" s="494"/>
      <c r="I388" s="668" t="s">
        <v>1716</v>
      </c>
      <c r="J388" s="1007" t="s">
        <v>1965</v>
      </c>
      <c r="K388" s="677" t="str">
        <f>IF(L388=0,"",(INDEX(AccountCodes[ACCOUNT NAME],MATCH(L388,AccountCodes[NGAS CODE],0))))</f>
        <v>Due to BIR - Compensation</v>
      </c>
      <c r="L388" s="937" t="s">
        <v>1546</v>
      </c>
      <c r="M388" s="947"/>
      <c r="N388" s="947">
        <v>1330.76</v>
      </c>
      <c r="O388" s="967"/>
      <c r="P388" s="1008">
        <f>P367+M388-N388</f>
        <v>-90943.360000000001</v>
      </c>
    </row>
    <row r="389" spans="1:16" ht="39" hidden="1" customHeight="1">
      <c r="A389" s="541">
        <v>45107</v>
      </c>
      <c r="B389" s="716">
        <v>45090</v>
      </c>
      <c r="C389" s="494" t="s">
        <v>1964</v>
      </c>
      <c r="D389" s="494" t="s">
        <v>1950</v>
      </c>
      <c r="E389" s="939" t="s">
        <v>762</v>
      </c>
      <c r="F389" s="495" t="s">
        <v>1526</v>
      </c>
      <c r="G389" s="494"/>
      <c r="H389" s="494"/>
      <c r="I389" s="668" t="s">
        <v>1716</v>
      </c>
      <c r="J389" s="1007" t="s">
        <v>1965</v>
      </c>
      <c r="K389" s="677" t="str">
        <f>IF(L389=0,"",(INDEX(AccountCodes[ACCOUNT NAME],MATCH(L389,AccountCodes[NGAS CODE],0))))</f>
        <v>Due to GSIS - Life and Retirement Premium</v>
      </c>
      <c r="L389" s="937" t="s">
        <v>1440</v>
      </c>
      <c r="M389" s="947"/>
      <c r="N389" s="947">
        <v>5248.8</v>
      </c>
      <c r="O389" s="967"/>
      <c r="P389" s="1008">
        <f>P388+M389-N389</f>
        <v>-96192.16</v>
      </c>
    </row>
    <row r="390" spans="1:16" ht="39" hidden="1" customHeight="1">
      <c r="A390" s="541">
        <v>45107</v>
      </c>
      <c r="B390" s="716">
        <v>45090</v>
      </c>
      <c r="C390" s="494" t="s">
        <v>1964</v>
      </c>
      <c r="D390" s="494" t="s">
        <v>1950</v>
      </c>
      <c r="E390" s="939" t="s">
        <v>762</v>
      </c>
      <c r="F390" s="495" t="s">
        <v>1526</v>
      </c>
      <c r="G390" s="494"/>
      <c r="H390" s="494"/>
      <c r="I390" s="668" t="s">
        <v>1716</v>
      </c>
      <c r="J390" s="1007" t="s">
        <v>1965</v>
      </c>
      <c r="K390" s="677" t="str">
        <f>IF(L390=0,"",(INDEX(AccountCodes[ACCOUNT NAME],MATCH(L390,AccountCodes[NGAS CODE],0))))</f>
        <v>Due to Pag-IBIG - Pag-IBIG Premium</v>
      </c>
      <c r="L390" s="937" t="s">
        <v>1444</v>
      </c>
      <c r="M390" s="947"/>
      <c r="N390" s="947">
        <v>1166.4000000000001</v>
      </c>
      <c r="O390" s="967"/>
      <c r="P390" s="1008">
        <f>P367+M390-N390</f>
        <v>-90779</v>
      </c>
    </row>
    <row r="391" spans="1:16" ht="39" hidden="1" customHeight="1">
      <c r="A391" s="541">
        <v>45107</v>
      </c>
      <c r="B391" s="716">
        <v>45090</v>
      </c>
      <c r="C391" s="494" t="s">
        <v>1964</v>
      </c>
      <c r="D391" s="494" t="s">
        <v>1950</v>
      </c>
      <c r="E391" s="939" t="s">
        <v>762</v>
      </c>
      <c r="F391" s="495" t="s">
        <v>1526</v>
      </c>
      <c r="G391" s="494"/>
      <c r="H391" s="494"/>
      <c r="I391" s="668" t="s">
        <v>1716</v>
      </c>
      <c r="J391" s="1007" t="s">
        <v>1965</v>
      </c>
      <c r="K391" s="677" t="str">
        <f>IF(L391=0,"",(INDEX(AccountCodes[ACCOUNT NAME],MATCH(L391,AccountCodes[NGAS CODE],0))))</f>
        <v>Due to Pag-IBIG - MP2</v>
      </c>
      <c r="L391" s="937" t="s">
        <v>1508</v>
      </c>
      <c r="M391" s="947"/>
      <c r="N391" s="947">
        <v>4000</v>
      </c>
      <c r="O391" s="967"/>
      <c r="P391" s="1008">
        <f>P390+M391-N391</f>
        <v>-94779</v>
      </c>
    </row>
    <row r="392" spans="1:16" ht="39" hidden="1" customHeight="1">
      <c r="A392" s="940">
        <v>45107</v>
      </c>
      <c r="B392" s="941">
        <v>45090</v>
      </c>
      <c r="C392" s="662" t="s">
        <v>1964</v>
      </c>
      <c r="D392" s="662" t="s">
        <v>1950</v>
      </c>
      <c r="E392" s="665" t="s">
        <v>762</v>
      </c>
      <c r="F392" s="663" t="s">
        <v>1526</v>
      </c>
      <c r="G392" s="942"/>
      <c r="H392" s="942"/>
      <c r="I392" s="952" t="s">
        <v>1716</v>
      </c>
      <c r="J392" s="951" t="s">
        <v>1965</v>
      </c>
      <c r="K392" s="1000" t="str">
        <f>IF(L392=0,"",(INDEX(AccountCodes[ACCOUNT NAME],MATCH(L392,AccountCodes[NGAS CODE],0))))</f>
        <v>Due to PhilHealth</v>
      </c>
      <c r="L392" s="953" t="s">
        <v>112</v>
      </c>
      <c r="M392" s="947"/>
      <c r="N392" s="947">
        <v>1166.4000000000001</v>
      </c>
      <c r="O392" s="1004"/>
      <c r="P392" s="1005">
        <f>P367+M392-N392</f>
        <v>-90779</v>
      </c>
    </row>
    <row r="393" spans="1:16" ht="39" hidden="1" customHeight="1">
      <c r="A393" s="940">
        <v>45107</v>
      </c>
      <c r="B393" s="941">
        <v>45090</v>
      </c>
      <c r="C393" s="662" t="s">
        <v>1964</v>
      </c>
      <c r="D393" s="662" t="s">
        <v>1950</v>
      </c>
      <c r="E393" s="665" t="s">
        <v>762</v>
      </c>
      <c r="F393" s="663" t="s">
        <v>1526</v>
      </c>
      <c r="G393" s="942"/>
      <c r="H393" s="942"/>
      <c r="I393" s="952" t="s">
        <v>1716</v>
      </c>
      <c r="J393" s="951" t="s">
        <v>1965</v>
      </c>
      <c r="K393" s="1000" t="str">
        <f>IF(L393=0,"",(INDEX(AccountCodes[ACCOUNT NAME],MATCH(L393,AccountCodes[NGAS CODE],0))))</f>
        <v>Cash in Bank-Local Currency, Current Account - FO</v>
      </c>
      <c r="L393" s="953" t="s">
        <v>1564</v>
      </c>
      <c r="M393" s="947"/>
      <c r="N393" s="947">
        <v>49407.64</v>
      </c>
      <c r="O393" s="1004"/>
      <c r="P393" s="1005">
        <f>P367+M393-N393</f>
        <v>-139020.24</v>
      </c>
    </row>
    <row r="394" spans="1:16" ht="39" hidden="1" customHeight="1">
      <c r="A394" s="541">
        <v>45107</v>
      </c>
      <c r="B394" s="716">
        <v>45098</v>
      </c>
      <c r="C394" s="494" t="s">
        <v>2003</v>
      </c>
      <c r="D394" s="494" t="s">
        <v>1950</v>
      </c>
      <c r="E394" s="939" t="s">
        <v>762</v>
      </c>
      <c r="F394" s="495" t="s">
        <v>1526</v>
      </c>
      <c r="G394" s="494"/>
      <c r="H394" s="494"/>
      <c r="I394" s="668" t="s">
        <v>2004</v>
      </c>
      <c r="J394" s="1007" t="s">
        <v>2005</v>
      </c>
      <c r="K394" s="677" t="str">
        <f>IF(L394=0,"",(INDEX(AccountCodes[ACCOUNT NAME],MATCH(L394,AccountCodes[NGAS CODE],0))))</f>
        <v>Other Maintenance and Operating Expenses - Other Maintenance and Operating Expenses</v>
      </c>
      <c r="L394" s="937" t="s">
        <v>405</v>
      </c>
      <c r="M394" s="947">
        <v>64569.3</v>
      </c>
      <c r="N394" s="947"/>
      <c r="O394" s="967" t="s">
        <v>1925</v>
      </c>
      <c r="P394" s="1008">
        <f>P393+M394-N394</f>
        <v>-74450.94</v>
      </c>
    </row>
    <row r="395" spans="1:16" ht="39" hidden="1" customHeight="1">
      <c r="A395" s="541">
        <v>45107</v>
      </c>
      <c r="B395" s="716">
        <v>45098</v>
      </c>
      <c r="C395" s="494" t="s">
        <v>2003</v>
      </c>
      <c r="D395" s="494" t="s">
        <v>1950</v>
      </c>
      <c r="E395" s="939" t="s">
        <v>762</v>
      </c>
      <c r="F395" s="495" t="s">
        <v>1526</v>
      </c>
      <c r="G395" s="494"/>
      <c r="H395" s="494"/>
      <c r="I395" s="668" t="s">
        <v>2004</v>
      </c>
      <c r="J395" s="1007" t="s">
        <v>2005</v>
      </c>
      <c r="K395" s="677" t="str">
        <f>IF(L395=0,"",(INDEX(AccountCodes[ACCOUNT NAME],MATCH(L395,AccountCodes[NGAS CODE],0))))</f>
        <v>Due to Pag-IBIG - Pag-IBIG Premium</v>
      </c>
      <c r="L395" s="937" t="s">
        <v>1444</v>
      </c>
      <c r="M395" s="947"/>
      <c r="N395" s="947">
        <v>2900</v>
      </c>
      <c r="O395" s="967"/>
      <c r="P395" s="1008">
        <f>P393+M395-N395</f>
        <v>-141920.24</v>
      </c>
    </row>
    <row r="396" spans="1:16" ht="39" hidden="1" customHeight="1">
      <c r="A396" s="541">
        <v>45107</v>
      </c>
      <c r="B396" s="716">
        <v>45098</v>
      </c>
      <c r="C396" s="494" t="s">
        <v>2003</v>
      </c>
      <c r="D396" s="494" t="s">
        <v>1950</v>
      </c>
      <c r="E396" s="939" t="s">
        <v>762</v>
      </c>
      <c r="F396" s="495" t="s">
        <v>1526</v>
      </c>
      <c r="G396" s="494"/>
      <c r="H396" s="494"/>
      <c r="I396" s="668" t="s">
        <v>2004</v>
      </c>
      <c r="J396" s="1007" t="s">
        <v>2005</v>
      </c>
      <c r="K396" s="677" t="str">
        <f>IF(L396=0,"",(INDEX(AccountCodes[ACCOUNT NAME],MATCH(L396,AccountCodes[NGAS CODE],0))))</f>
        <v>Due to Pag-IBIG - Pag-IBIG Multi-Purpose Loan</v>
      </c>
      <c r="L396" s="937" t="s">
        <v>1445</v>
      </c>
      <c r="M396" s="947"/>
      <c r="N396" s="947">
        <v>2825.02</v>
      </c>
      <c r="O396" s="967"/>
      <c r="P396" s="1008">
        <f>P395+M396-N396</f>
        <v>-144745.26</v>
      </c>
    </row>
    <row r="397" spans="1:16" ht="39" customHeight="1">
      <c r="A397" s="541">
        <v>45107</v>
      </c>
      <c r="B397" s="716">
        <v>45098</v>
      </c>
      <c r="C397" s="494" t="s">
        <v>2003</v>
      </c>
      <c r="D397" s="494" t="s">
        <v>1950</v>
      </c>
      <c r="E397" s="939" t="s">
        <v>762</v>
      </c>
      <c r="F397" s="495" t="s">
        <v>1526</v>
      </c>
      <c r="G397" s="494"/>
      <c r="H397" s="494"/>
      <c r="I397" s="668" t="s">
        <v>2004</v>
      </c>
      <c r="J397" s="1007" t="s">
        <v>2005</v>
      </c>
      <c r="K397" s="677" t="str">
        <f>IF(L397=0,"",(INDEX(AccountCodes[ACCOUNT NAME],MATCH(L397,AccountCodes[NGAS CODE],0))))</f>
        <v>Other Payables</v>
      </c>
      <c r="L397" s="937" t="s">
        <v>117</v>
      </c>
      <c r="M397" s="947"/>
      <c r="N397" s="947">
        <v>6840</v>
      </c>
      <c r="O397" s="967"/>
      <c r="P397" s="1008">
        <f>P393+M397-N397</f>
        <v>-145860.24</v>
      </c>
    </row>
    <row r="398" spans="1:16" ht="39" customHeight="1">
      <c r="A398" s="541">
        <v>45107</v>
      </c>
      <c r="B398" s="716">
        <v>45098</v>
      </c>
      <c r="C398" s="494" t="s">
        <v>2003</v>
      </c>
      <c r="D398" s="494" t="s">
        <v>1950</v>
      </c>
      <c r="E398" s="939" t="s">
        <v>762</v>
      </c>
      <c r="F398" s="495" t="s">
        <v>1526</v>
      </c>
      <c r="G398" s="494"/>
      <c r="H398" s="494"/>
      <c r="I398" s="668" t="s">
        <v>2004</v>
      </c>
      <c r="J398" s="1007" t="s">
        <v>2005</v>
      </c>
      <c r="K398" s="677" t="str">
        <f>IF(L398=0,"",(INDEX(AccountCodes[ACCOUNT NAME],MATCH(L398,AccountCodes[NGAS CODE],0))))</f>
        <v>Other Payables</v>
      </c>
      <c r="L398" s="937" t="s">
        <v>117</v>
      </c>
      <c r="M398" s="947"/>
      <c r="N398" s="947">
        <v>4291.66</v>
      </c>
      <c r="O398" s="967"/>
      <c r="P398" s="1008">
        <f>P397+M398-N398</f>
        <v>-150151.9</v>
      </c>
    </row>
    <row r="399" spans="1:16" ht="39" hidden="1" customHeight="1">
      <c r="A399" s="541">
        <v>45107</v>
      </c>
      <c r="B399" s="716">
        <v>45098</v>
      </c>
      <c r="C399" s="494" t="s">
        <v>2003</v>
      </c>
      <c r="D399" s="494" t="s">
        <v>1950</v>
      </c>
      <c r="E399" s="939" t="s">
        <v>762</v>
      </c>
      <c r="F399" s="495" t="s">
        <v>1526</v>
      </c>
      <c r="G399" s="494"/>
      <c r="H399" s="494"/>
      <c r="I399" s="668" t="s">
        <v>2004</v>
      </c>
      <c r="J399" s="1007" t="s">
        <v>2005</v>
      </c>
      <c r="K399" s="677" t="str">
        <f>IF(L399=0,"",(INDEX(AccountCodes[ACCOUNT NAME],MATCH(L399,AccountCodes[NGAS CODE],0))))</f>
        <v>Cash in Bank-Local Currency, Current Account - FO</v>
      </c>
      <c r="L399" s="937" t="s">
        <v>1564</v>
      </c>
      <c r="M399" s="947"/>
      <c r="N399" s="947">
        <v>47712.62</v>
      </c>
      <c r="O399" s="967"/>
      <c r="P399" s="1008">
        <f>P397+M399-N399</f>
        <v>-193572.86</v>
      </c>
    </row>
    <row r="400" spans="1:16" ht="39" hidden="1" customHeight="1">
      <c r="A400" s="1160">
        <v>45107</v>
      </c>
      <c r="B400" s="1171">
        <v>45098</v>
      </c>
      <c r="C400" s="1172" t="s">
        <v>2003</v>
      </c>
      <c r="D400" s="1153" t="s">
        <v>2443</v>
      </c>
      <c r="E400" s="1173" t="s">
        <v>762</v>
      </c>
      <c r="F400" s="495" t="s">
        <v>1526</v>
      </c>
      <c r="G400" s="1174"/>
      <c r="H400" s="1165"/>
      <c r="I400" s="1175" t="s">
        <v>2004</v>
      </c>
      <c r="J400" s="1176" t="s">
        <v>2005</v>
      </c>
      <c r="K400" s="1155" t="str">
        <f>IF(L400=0,"",(INDEX([1]!AccountCodes[ACCOUNT NAME],MATCH(L400,[1]!AccountCodes[NGAS CODE],0))))</f>
        <v>Due to Pag-IBIG - Pag-IBIG Premium</v>
      </c>
      <c r="L400" s="1177" t="s">
        <v>1444</v>
      </c>
      <c r="M400" s="1178"/>
      <c r="N400" s="1178">
        <v>2900</v>
      </c>
      <c r="O400" s="1179"/>
      <c r="P400" s="1158">
        <f t="shared" ref="P400:P401" si="19">P399+M400-N400</f>
        <v>-196472.86</v>
      </c>
    </row>
    <row r="401" spans="1:16" ht="39" hidden="1" customHeight="1">
      <c r="A401" s="1160">
        <v>45107</v>
      </c>
      <c r="B401" s="1171">
        <v>45098</v>
      </c>
      <c r="C401" s="1172" t="s">
        <v>2003</v>
      </c>
      <c r="D401" s="1153" t="s">
        <v>2443</v>
      </c>
      <c r="E401" s="1173" t="s">
        <v>762</v>
      </c>
      <c r="F401" s="495" t="s">
        <v>1526</v>
      </c>
      <c r="G401" s="1174"/>
      <c r="H401" s="1165"/>
      <c r="I401" s="1175" t="s">
        <v>2004</v>
      </c>
      <c r="J401" s="1176" t="s">
        <v>2005</v>
      </c>
      <c r="K401" s="1155" t="str">
        <f>IF(L401=0,"",(INDEX([1]!AccountCodes[ACCOUNT NAME],MATCH(L401,[1]!AccountCodes[NGAS CODE],0))))</f>
        <v>Due to Pag-IBIG - Pag-IBIG Multi-Purpose Loan</v>
      </c>
      <c r="L401" s="1177" t="s">
        <v>1445</v>
      </c>
      <c r="M401" s="1178"/>
      <c r="N401" s="1178">
        <v>2825.02</v>
      </c>
      <c r="O401" s="1179"/>
      <c r="P401" s="1158">
        <f t="shared" si="19"/>
        <v>-199297.88</v>
      </c>
    </row>
    <row r="402" spans="1:16" ht="39" hidden="1" customHeight="1">
      <c r="A402" s="1160">
        <v>45107</v>
      </c>
      <c r="B402" s="1171">
        <v>45098</v>
      </c>
      <c r="C402" s="1172" t="s">
        <v>2003</v>
      </c>
      <c r="D402" s="1153" t="s">
        <v>2443</v>
      </c>
      <c r="E402" s="1173" t="s">
        <v>762</v>
      </c>
      <c r="F402" s="495" t="s">
        <v>1526</v>
      </c>
      <c r="G402" s="1174"/>
      <c r="H402" s="1165"/>
      <c r="I402" s="1175" t="s">
        <v>2004</v>
      </c>
      <c r="J402" s="1176" t="s">
        <v>2005</v>
      </c>
      <c r="K402" s="1155" t="str">
        <f>IF(L402=0,"",(INDEX([1]!AccountCodes[ACCOUNT NAME],MATCH(L402,[1]!AccountCodes[NGAS CODE],0))))</f>
        <v>Cash in Bank-Local Currency, Current Account - FO</v>
      </c>
      <c r="L402" s="1177" t="s">
        <v>1564</v>
      </c>
      <c r="M402" s="1178"/>
      <c r="N402" s="1178">
        <v>47712.62</v>
      </c>
      <c r="O402" s="1179"/>
      <c r="P402" s="1158" t="e">
        <f>#REF!+M402-N402</f>
        <v>#REF!</v>
      </c>
    </row>
    <row r="403" spans="1:16" ht="39" hidden="1" customHeight="1">
      <c r="A403" s="940">
        <v>45107</v>
      </c>
      <c r="B403" s="941">
        <v>45098</v>
      </c>
      <c r="C403" s="662" t="s">
        <v>1967</v>
      </c>
      <c r="D403" s="662" t="s">
        <v>1950</v>
      </c>
      <c r="E403" s="665" t="s">
        <v>762</v>
      </c>
      <c r="F403" s="663" t="s">
        <v>1526</v>
      </c>
      <c r="G403" s="942"/>
      <c r="H403" s="942"/>
      <c r="I403" s="952" t="s">
        <v>1693</v>
      </c>
      <c r="J403" s="951" t="s">
        <v>1968</v>
      </c>
      <c r="K403" s="1000" t="str">
        <f>IF(L403=0,"",(INDEX(AccountCodes[ACCOUNT NAME],MATCH(L403,AccountCodes[NGAS CODE],0))))</f>
        <v>Retirement and Life Insurance Premiums</v>
      </c>
      <c r="L403" s="953" t="s">
        <v>175</v>
      </c>
      <c r="M403" s="947">
        <v>6998.4</v>
      </c>
      <c r="N403" s="947"/>
      <c r="O403" s="1004" t="s">
        <v>1910</v>
      </c>
      <c r="P403" s="1005">
        <f>P367+M403-N403</f>
        <v>-82614.2</v>
      </c>
    </row>
    <row r="404" spans="1:16" ht="39" hidden="1" customHeight="1">
      <c r="A404" s="940">
        <v>45107</v>
      </c>
      <c r="B404" s="941">
        <v>45098</v>
      </c>
      <c r="C404" s="662" t="s">
        <v>1967</v>
      </c>
      <c r="D404" s="662" t="s">
        <v>1950</v>
      </c>
      <c r="E404" s="665" t="s">
        <v>762</v>
      </c>
      <c r="F404" s="663" t="s">
        <v>1526</v>
      </c>
      <c r="G404" s="942"/>
      <c r="H404" s="942"/>
      <c r="I404" s="952" t="s">
        <v>1693</v>
      </c>
      <c r="J404" s="951" t="s">
        <v>1968</v>
      </c>
      <c r="K404" s="1000" t="str">
        <f>IF(L404=0,"",(INDEX(AccountCodes[ACCOUNT NAME],MATCH(L404,AccountCodes[NGAS CODE],0))))</f>
        <v>Employees Compensation Insurance Premiums</v>
      </c>
      <c r="L404" s="953" t="s">
        <v>178</v>
      </c>
      <c r="M404" s="947">
        <v>200</v>
      </c>
      <c r="N404" s="947"/>
      <c r="O404" s="1004"/>
      <c r="P404" s="1005">
        <f>P367+M404-N404</f>
        <v>-89412.6</v>
      </c>
    </row>
    <row r="405" spans="1:16" ht="39" hidden="1" customHeight="1">
      <c r="A405" s="940">
        <v>45107</v>
      </c>
      <c r="B405" s="941">
        <v>45098</v>
      </c>
      <c r="C405" s="662" t="s">
        <v>1967</v>
      </c>
      <c r="D405" s="662" t="s">
        <v>1950</v>
      </c>
      <c r="E405" s="665" t="s">
        <v>762</v>
      </c>
      <c r="F405" s="663" t="s">
        <v>1526</v>
      </c>
      <c r="G405" s="942"/>
      <c r="H405" s="942"/>
      <c r="I405" s="952" t="s">
        <v>1693</v>
      </c>
      <c r="J405" s="951" t="s">
        <v>1968</v>
      </c>
      <c r="K405" s="1000" t="str">
        <f>IF(L405=0,"",(INDEX(AccountCodes[ACCOUNT NAME],MATCH(L405,AccountCodes[NGAS CODE],0))))</f>
        <v>Due to GSIS - Life and Retirement Premium</v>
      </c>
      <c r="L405" s="953" t="s">
        <v>1440</v>
      </c>
      <c r="M405" s="947">
        <v>5248.8</v>
      </c>
      <c r="N405" s="947"/>
      <c r="O405" s="1004"/>
      <c r="P405" s="1005">
        <f>P367+M405-N405</f>
        <v>-84363.8</v>
      </c>
    </row>
    <row r="406" spans="1:16" ht="39" hidden="1" customHeight="1">
      <c r="A406" s="940">
        <v>45107</v>
      </c>
      <c r="B406" s="941">
        <v>45098</v>
      </c>
      <c r="C406" s="662" t="s">
        <v>1967</v>
      </c>
      <c r="D406" s="662" t="s">
        <v>1950</v>
      </c>
      <c r="E406" s="665" t="s">
        <v>762</v>
      </c>
      <c r="F406" s="663" t="s">
        <v>1526</v>
      </c>
      <c r="G406" s="942"/>
      <c r="H406" s="942"/>
      <c r="I406" s="952" t="s">
        <v>1693</v>
      </c>
      <c r="J406" s="951" t="s">
        <v>1968</v>
      </c>
      <c r="K406" s="1000" t="str">
        <f>IF(L406=0,"",(INDEX(AccountCodes[ACCOUNT NAME],MATCH(L406,AccountCodes[NGAS CODE],0))))</f>
        <v>Cash in Bank-Local Currency, Current Account - FO</v>
      </c>
      <c r="L406" s="953" t="s">
        <v>1564</v>
      </c>
      <c r="M406" s="947"/>
      <c r="N406" s="947">
        <v>12447.2</v>
      </c>
      <c r="O406" s="1004"/>
      <c r="P406" s="1005">
        <f>P367+M406-N406</f>
        <v>-102059.8</v>
      </c>
    </row>
    <row r="407" spans="1:16" ht="39" hidden="1" customHeight="1">
      <c r="A407" s="940">
        <v>45107</v>
      </c>
      <c r="B407" s="941">
        <v>45098</v>
      </c>
      <c r="C407" s="662" t="s">
        <v>1969</v>
      </c>
      <c r="D407" s="662" t="s">
        <v>1950</v>
      </c>
      <c r="E407" s="665" t="s">
        <v>762</v>
      </c>
      <c r="F407" s="663" t="s">
        <v>1526</v>
      </c>
      <c r="G407" s="942"/>
      <c r="H407" s="942"/>
      <c r="I407" s="952" t="s">
        <v>1859</v>
      </c>
      <c r="J407" s="951" t="s">
        <v>1970</v>
      </c>
      <c r="K407" s="1000" t="str">
        <f>IF(L407=0,"",(INDEX(AccountCodes[ACCOUNT NAME],MATCH(L407,AccountCodes[NGAS CODE],0))))</f>
        <v>Pag-IBIG Contributions</v>
      </c>
      <c r="L407" s="953" t="s">
        <v>176</v>
      </c>
      <c r="M407" s="947">
        <v>200</v>
      </c>
      <c r="N407" s="947"/>
      <c r="O407" s="1004" t="s">
        <v>1910</v>
      </c>
      <c r="P407" s="1005">
        <f>P367+M407-N407</f>
        <v>-89412.6</v>
      </c>
    </row>
    <row r="408" spans="1:16" ht="39" hidden="1" customHeight="1">
      <c r="A408" s="940">
        <v>45107</v>
      </c>
      <c r="B408" s="941">
        <v>45098</v>
      </c>
      <c r="C408" s="662" t="s">
        <v>1969</v>
      </c>
      <c r="D408" s="662" t="s">
        <v>1950</v>
      </c>
      <c r="E408" s="665" t="s">
        <v>762</v>
      </c>
      <c r="F408" s="663" t="s">
        <v>1526</v>
      </c>
      <c r="G408" s="942"/>
      <c r="H408" s="942"/>
      <c r="I408" s="952" t="s">
        <v>1859</v>
      </c>
      <c r="J408" s="951" t="s">
        <v>1970</v>
      </c>
      <c r="K408" s="1000" t="str">
        <f>IF(L408=0,"",(INDEX(AccountCodes[ACCOUNT NAME],MATCH(L408,AccountCodes[NGAS CODE],0))))</f>
        <v>Due to Pag-IBIG - Pag-IBIG Premium</v>
      </c>
      <c r="L408" s="953" t="s">
        <v>1444</v>
      </c>
      <c r="M408" s="947">
        <v>1166.4000000000001</v>
      </c>
      <c r="N408" s="947"/>
      <c r="O408" s="1004"/>
      <c r="P408" s="1005">
        <f>P367+M408-N408</f>
        <v>-88446.2</v>
      </c>
    </row>
    <row r="409" spans="1:16" ht="39" hidden="1" customHeight="1">
      <c r="A409" s="940">
        <v>45107</v>
      </c>
      <c r="B409" s="941">
        <v>45098</v>
      </c>
      <c r="C409" s="662" t="s">
        <v>1969</v>
      </c>
      <c r="D409" s="662" t="s">
        <v>1950</v>
      </c>
      <c r="E409" s="665" t="s">
        <v>762</v>
      </c>
      <c r="F409" s="663" t="s">
        <v>1526</v>
      </c>
      <c r="G409" s="942"/>
      <c r="H409" s="942"/>
      <c r="I409" s="952" t="s">
        <v>1859</v>
      </c>
      <c r="J409" s="951" t="s">
        <v>1970</v>
      </c>
      <c r="K409" s="1000" t="str">
        <f>IF(L409=0,"",(INDEX(AccountCodes[ACCOUNT NAME],MATCH(L409,AccountCodes[NGAS CODE],0))))</f>
        <v>Cash in Bank-Local Currency, Current Account - FO</v>
      </c>
      <c r="L409" s="953" t="s">
        <v>1564</v>
      </c>
      <c r="M409" s="947"/>
      <c r="N409" s="947">
        <v>1366.4</v>
      </c>
      <c r="O409" s="1004"/>
      <c r="P409" s="1005">
        <f>P367+M409-N409</f>
        <v>-90979</v>
      </c>
    </row>
    <row r="410" spans="1:16" ht="39" hidden="1" customHeight="1">
      <c r="A410" s="940">
        <v>45107</v>
      </c>
      <c r="B410" s="941">
        <v>45098</v>
      </c>
      <c r="C410" s="662" t="s">
        <v>1971</v>
      </c>
      <c r="D410" s="662" t="s">
        <v>1950</v>
      </c>
      <c r="E410" s="665" t="s">
        <v>762</v>
      </c>
      <c r="F410" s="663" t="s">
        <v>1526</v>
      </c>
      <c r="G410" s="942"/>
      <c r="H410" s="942"/>
      <c r="I410" s="952" t="s">
        <v>1859</v>
      </c>
      <c r="J410" s="951" t="s">
        <v>1972</v>
      </c>
      <c r="K410" s="1000" t="str">
        <f>IF(L410=0,"",(INDEX(AccountCodes[ACCOUNT NAME],MATCH(L410,AccountCodes[NGAS CODE],0))))</f>
        <v>Due to Pag-IBIG - MP2</v>
      </c>
      <c r="L410" s="953" t="s">
        <v>1508</v>
      </c>
      <c r="M410" s="947">
        <v>4000</v>
      </c>
      <c r="N410" s="947"/>
      <c r="O410" s="1004" t="s">
        <v>1910</v>
      </c>
      <c r="P410" s="1005">
        <f>P367+M410-N410</f>
        <v>-85612.6</v>
      </c>
    </row>
    <row r="411" spans="1:16" ht="39" hidden="1" customHeight="1">
      <c r="A411" s="940">
        <v>45107</v>
      </c>
      <c r="B411" s="941">
        <v>45098</v>
      </c>
      <c r="C411" s="662" t="s">
        <v>1971</v>
      </c>
      <c r="D411" s="662" t="s">
        <v>1950</v>
      </c>
      <c r="E411" s="665" t="s">
        <v>762</v>
      </c>
      <c r="F411" s="663" t="s">
        <v>1526</v>
      </c>
      <c r="G411" s="942"/>
      <c r="H411" s="942"/>
      <c r="I411" s="952" t="s">
        <v>1859</v>
      </c>
      <c r="J411" s="951" t="s">
        <v>1972</v>
      </c>
      <c r="K411" s="1000" t="str">
        <f>IF(L411=0,"",(INDEX(AccountCodes[ACCOUNT NAME],MATCH(L411,AccountCodes[NGAS CODE],0))))</f>
        <v>Cash in Bank-Local Currency, Current Account - FO</v>
      </c>
      <c r="L411" s="953" t="s">
        <v>1564</v>
      </c>
      <c r="M411" s="947"/>
      <c r="N411" s="947">
        <v>4000</v>
      </c>
      <c r="O411" s="1004"/>
      <c r="P411" s="1005">
        <f>P367+M411-N411</f>
        <v>-93612.6</v>
      </c>
    </row>
    <row r="412" spans="1:16" ht="39" hidden="1" customHeight="1">
      <c r="A412" s="940">
        <v>45107</v>
      </c>
      <c r="B412" s="941">
        <v>45098</v>
      </c>
      <c r="C412" s="662" t="s">
        <v>1973</v>
      </c>
      <c r="D412" s="662" t="s">
        <v>1950</v>
      </c>
      <c r="E412" s="665" t="s">
        <v>762</v>
      </c>
      <c r="F412" s="663" t="s">
        <v>1526</v>
      </c>
      <c r="G412" s="942"/>
      <c r="H412" s="942"/>
      <c r="I412" s="952" t="s">
        <v>1859</v>
      </c>
      <c r="J412" s="951" t="s">
        <v>1974</v>
      </c>
      <c r="K412" s="1000" t="str">
        <f>IF(L412=0,"",(INDEX(AccountCodes[ACCOUNT NAME],MATCH(L412,AccountCodes[NGAS CODE],0))))</f>
        <v>Due to Pag-IBIG - Pag-IBIG Premium</v>
      </c>
      <c r="L412" s="953" t="s">
        <v>1444</v>
      </c>
      <c r="M412" s="947">
        <v>2900</v>
      </c>
      <c r="N412" s="947"/>
      <c r="O412" s="1004" t="s">
        <v>1925</v>
      </c>
      <c r="P412" s="1005">
        <f>P367+M412-N412</f>
        <v>-86712.6</v>
      </c>
    </row>
    <row r="413" spans="1:16" ht="39" hidden="1" customHeight="1">
      <c r="A413" s="940">
        <v>45107</v>
      </c>
      <c r="B413" s="941">
        <v>45098</v>
      </c>
      <c r="C413" s="662" t="s">
        <v>1973</v>
      </c>
      <c r="D413" s="662" t="s">
        <v>1950</v>
      </c>
      <c r="E413" s="665" t="s">
        <v>762</v>
      </c>
      <c r="F413" s="663" t="s">
        <v>1526</v>
      </c>
      <c r="G413" s="942"/>
      <c r="H413" s="942"/>
      <c r="I413" s="952" t="s">
        <v>1859</v>
      </c>
      <c r="J413" s="951" t="s">
        <v>1974</v>
      </c>
      <c r="K413" s="1000" t="str">
        <f>IF(L413=0,"",(INDEX(AccountCodes[ACCOUNT NAME],MATCH(L413,AccountCodes[NGAS CODE],0))))</f>
        <v>Cash in Bank-Local Currency, Current Account - FO</v>
      </c>
      <c r="L413" s="953" t="s">
        <v>1564</v>
      </c>
      <c r="M413" s="947"/>
      <c r="N413" s="947">
        <v>2900</v>
      </c>
      <c r="O413" s="1004"/>
      <c r="P413" s="1005">
        <f>P367+M413-N413</f>
        <v>-92512.6</v>
      </c>
    </row>
    <row r="414" spans="1:16" ht="39" hidden="1" customHeight="1">
      <c r="A414" s="940">
        <v>45107</v>
      </c>
      <c r="B414" s="941">
        <v>45098</v>
      </c>
      <c r="C414" s="662" t="s">
        <v>1975</v>
      </c>
      <c r="D414" s="662" t="s">
        <v>1950</v>
      </c>
      <c r="E414" s="665" t="s">
        <v>762</v>
      </c>
      <c r="F414" s="663" t="s">
        <v>1526</v>
      </c>
      <c r="G414" s="942"/>
      <c r="H414" s="942"/>
      <c r="I414" s="952" t="s">
        <v>1859</v>
      </c>
      <c r="J414" s="951" t="s">
        <v>1976</v>
      </c>
      <c r="K414" s="1000" t="str">
        <f>IF(L414=0,"",(INDEX(AccountCodes[ACCOUNT NAME],MATCH(L414,AccountCodes[NGAS CODE],0))))</f>
        <v>Due to Pag-IBIG - Pag-IBIG Multi-Purpose Loan</v>
      </c>
      <c r="L414" s="953" t="s">
        <v>1445</v>
      </c>
      <c r="M414" s="947">
        <v>2825.02</v>
      </c>
      <c r="N414" s="947"/>
      <c r="O414" s="1004" t="s">
        <v>1925</v>
      </c>
      <c r="P414" s="1005">
        <f>P367+M414-N414</f>
        <v>-86787.58</v>
      </c>
    </row>
    <row r="415" spans="1:16" ht="39" hidden="1" customHeight="1">
      <c r="A415" s="940">
        <v>45107</v>
      </c>
      <c r="B415" s="941">
        <v>45098</v>
      </c>
      <c r="C415" s="662" t="s">
        <v>1975</v>
      </c>
      <c r="D415" s="662" t="s">
        <v>1950</v>
      </c>
      <c r="E415" s="665" t="s">
        <v>762</v>
      </c>
      <c r="F415" s="663" t="s">
        <v>1526</v>
      </c>
      <c r="G415" s="942"/>
      <c r="H415" s="942"/>
      <c r="I415" s="952" t="s">
        <v>1859</v>
      </c>
      <c r="J415" s="951" t="s">
        <v>1976</v>
      </c>
      <c r="K415" s="1000" t="str">
        <f>IF(L415=0,"",(INDEX(AccountCodes[ACCOUNT NAME],MATCH(L415,AccountCodes[NGAS CODE],0))))</f>
        <v>Cash in Bank-Local Currency, Current Account - FO</v>
      </c>
      <c r="L415" s="953" t="s">
        <v>1564</v>
      </c>
      <c r="M415" s="947"/>
      <c r="N415" s="947">
        <v>2825.02</v>
      </c>
      <c r="O415" s="1004"/>
      <c r="P415" s="1005">
        <f>P367+M415-N415</f>
        <v>-92437.62</v>
      </c>
    </row>
    <row r="416" spans="1:16" ht="39" customHeight="1">
      <c r="A416" s="940">
        <v>45107</v>
      </c>
      <c r="B416" s="716">
        <v>45098</v>
      </c>
      <c r="C416" s="494" t="s">
        <v>1977</v>
      </c>
      <c r="D416" s="494" t="s">
        <v>1950</v>
      </c>
      <c r="E416" s="939" t="s">
        <v>762</v>
      </c>
      <c r="F416" s="495" t="s">
        <v>1526</v>
      </c>
      <c r="G416" s="494"/>
      <c r="H416" s="494"/>
      <c r="I416" s="668" t="s">
        <v>1809</v>
      </c>
      <c r="J416" s="1007" t="s">
        <v>1978</v>
      </c>
      <c r="K416" s="677" t="str">
        <f>IF(L416=0,"",(INDEX(AccountCodes[ACCOUNT NAME],MATCH(L416,AccountCodes[NGAS CODE],0))))</f>
        <v>Other Payables</v>
      </c>
      <c r="L416" s="937" t="s">
        <v>117</v>
      </c>
      <c r="M416" s="947">
        <v>4291.66</v>
      </c>
      <c r="N416" s="947"/>
      <c r="O416" s="967" t="s">
        <v>1925</v>
      </c>
      <c r="P416" s="1008">
        <f>P415+M416-N416</f>
        <v>-88145.96</v>
      </c>
    </row>
    <row r="417" spans="1:16" ht="39" hidden="1" customHeight="1">
      <c r="A417" s="940">
        <v>45107</v>
      </c>
      <c r="B417" s="716">
        <v>45098</v>
      </c>
      <c r="C417" s="494" t="s">
        <v>1977</v>
      </c>
      <c r="D417" s="494" t="s">
        <v>1950</v>
      </c>
      <c r="E417" s="939" t="s">
        <v>762</v>
      </c>
      <c r="F417" s="495" t="s">
        <v>1526</v>
      </c>
      <c r="G417" s="494"/>
      <c r="H417" s="494"/>
      <c r="I417" s="668" t="s">
        <v>1809</v>
      </c>
      <c r="J417" s="1007" t="s">
        <v>1978</v>
      </c>
      <c r="K417" s="677" t="str">
        <f>IF(L417=0,"",(INDEX(AccountCodes[ACCOUNT NAME],MATCH(L417,AccountCodes[NGAS CODE],0))))</f>
        <v>Cash in Bank-Local Currency, Current Account - FO</v>
      </c>
      <c r="L417" s="937" t="s">
        <v>1564</v>
      </c>
      <c r="M417" s="947"/>
      <c r="N417" s="947">
        <f>M416</f>
        <v>4291.66</v>
      </c>
      <c r="O417" s="967"/>
      <c r="P417" s="1008">
        <f>P415+M417-N417</f>
        <v>-96729.279999999999</v>
      </c>
    </row>
    <row r="418" spans="1:16" ht="39" hidden="1" customHeight="1">
      <c r="A418" s="541">
        <v>45107</v>
      </c>
      <c r="B418" s="716">
        <v>45098</v>
      </c>
      <c r="C418" s="494" t="s">
        <v>2002</v>
      </c>
      <c r="D418" s="494" t="s">
        <v>1950</v>
      </c>
      <c r="E418" s="939"/>
      <c r="F418" s="495"/>
      <c r="G418" s="494"/>
      <c r="H418" s="494"/>
      <c r="I418" s="668" t="s">
        <v>1666</v>
      </c>
      <c r="J418" s="1007"/>
      <c r="K418" s="677"/>
      <c r="L418" s="937"/>
      <c r="M418" s="947"/>
      <c r="N418" s="947"/>
      <c r="O418" s="967"/>
      <c r="P418" s="1008">
        <f>P417+M418-N418</f>
        <v>-96729.279999999999</v>
      </c>
    </row>
    <row r="419" spans="1:16" ht="39" customHeight="1">
      <c r="A419" s="940">
        <v>45107</v>
      </c>
      <c r="B419" s="716">
        <v>45098</v>
      </c>
      <c r="C419" s="494" t="s">
        <v>1979</v>
      </c>
      <c r="D419" s="494" t="s">
        <v>1950</v>
      </c>
      <c r="E419" s="939" t="s">
        <v>762</v>
      </c>
      <c r="F419" s="495" t="s">
        <v>1526</v>
      </c>
      <c r="G419" s="494"/>
      <c r="H419" s="494"/>
      <c r="I419" s="668" t="s">
        <v>1919</v>
      </c>
      <c r="J419" s="1007" t="s">
        <v>1980</v>
      </c>
      <c r="K419" s="677" t="str">
        <f>IF(L419=0,"",(INDEX(AccountCodes[ACCOUNT NAME],MATCH(L419,AccountCodes[NGAS CODE],0))))</f>
        <v>Other Payables</v>
      </c>
      <c r="L419" s="937" t="s">
        <v>117</v>
      </c>
      <c r="M419" s="947">
        <v>6840</v>
      </c>
      <c r="N419" s="947"/>
      <c r="O419" s="967" t="s">
        <v>1925</v>
      </c>
      <c r="P419" s="1008">
        <f>P415+M419-N419</f>
        <v>-85597.62</v>
      </c>
    </row>
    <row r="420" spans="1:16" ht="39" hidden="1" customHeight="1">
      <c r="A420" s="940">
        <v>45107</v>
      </c>
      <c r="B420" s="716">
        <v>45098</v>
      </c>
      <c r="C420" s="494" t="s">
        <v>1979</v>
      </c>
      <c r="D420" s="494" t="s">
        <v>1950</v>
      </c>
      <c r="E420" s="939" t="s">
        <v>762</v>
      </c>
      <c r="F420" s="495" t="s">
        <v>1526</v>
      </c>
      <c r="G420" s="494"/>
      <c r="H420" s="494"/>
      <c r="I420" s="668" t="s">
        <v>1919</v>
      </c>
      <c r="J420" s="1007" t="s">
        <v>1980</v>
      </c>
      <c r="K420" s="1000" t="str">
        <f>IF(L420=0,"",(INDEX(AccountCodes[ACCOUNT NAME],MATCH(L420,AccountCodes[NGAS CODE],0))))</f>
        <v>Cash in Bank-Local Currency, Current Account - FO</v>
      </c>
      <c r="L420" s="953" t="s">
        <v>1564</v>
      </c>
      <c r="M420" s="947"/>
      <c r="N420" s="947">
        <v>6840</v>
      </c>
      <c r="O420" s="1004"/>
      <c r="P420" s="1005">
        <f>P367+M420-N420</f>
        <v>-96452.6</v>
      </c>
    </row>
    <row r="421" spans="1:16" ht="39" hidden="1" customHeight="1">
      <c r="A421" s="940">
        <v>45107</v>
      </c>
      <c r="B421" s="941">
        <v>45098</v>
      </c>
      <c r="C421" s="662" t="s">
        <v>1981</v>
      </c>
      <c r="D421" s="662" t="s">
        <v>1950</v>
      </c>
      <c r="E421" s="939" t="s">
        <v>762</v>
      </c>
      <c r="F421" s="495" t="s">
        <v>1526</v>
      </c>
      <c r="G421" s="942"/>
      <c r="H421" s="942"/>
      <c r="I421" s="952" t="s">
        <v>1943</v>
      </c>
      <c r="J421" s="951" t="s">
        <v>1982</v>
      </c>
      <c r="K421" s="1000" t="str">
        <f>IF(L421=0,"",(INDEX(AccountCodes[ACCOUNT NAME],MATCH(L421,AccountCodes[NGAS CODE],0))))</f>
        <v>Due to BIR - Compensation</v>
      </c>
      <c r="L421" s="953" t="s">
        <v>1546</v>
      </c>
      <c r="M421" s="947">
        <v>1330.76</v>
      </c>
      <c r="N421" s="947"/>
      <c r="O421" s="1004" t="s">
        <v>1910</v>
      </c>
      <c r="P421" s="1005">
        <f>P367+M421-N421</f>
        <v>-88281.84</v>
      </c>
    </row>
    <row r="422" spans="1:16" ht="39" hidden="1" customHeight="1">
      <c r="A422" s="940">
        <v>45107</v>
      </c>
      <c r="B422" s="941">
        <v>45098</v>
      </c>
      <c r="C422" s="662" t="s">
        <v>1981</v>
      </c>
      <c r="D422" s="662" t="s">
        <v>1950</v>
      </c>
      <c r="E422" s="939" t="s">
        <v>762</v>
      </c>
      <c r="F422" s="495" t="s">
        <v>1526</v>
      </c>
      <c r="G422" s="942"/>
      <c r="H422" s="942"/>
      <c r="I422" s="952" t="s">
        <v>1943</v>
      </c>
      <c r="J422" s="951" t="s">
        <v>1982</v>
      </c>
      <c r="K422" s="1000" t="str">
        <f>IF(L422=0,"",(INDEX(AccountCodes[ACCOUNT NAME],MATCH(L422,AccountCodes[NGAS CODE],0))))</f>
        <v>Cash in Bank-Local Currency, Current Account - FO</v>
      </c>
      <c r="L422" s="953" t="s">
        <v>1564</v>
      </c>
      <c r="M422" s="947"/>
      <c r="N422" s="947">
        <f>M421</f>
        <v>1330.76</v>
      </c>
      <c r="O422" s="1004"/>
      <c r="P422" s="1005">
        <f>P367+M422-N422</f>
        <v>-90943.360000000001</v>
      </c>
    </row>
    <row r="423" spans="1:16" ht="39" hidden="1" customHeight="1">
      <c r="A423" s="940">
        <v>45107</v>
      </c>
      <c r="B423" s="716">
        <v>45098</v>
      </c>
      <c r="C423" s="494" t="s">
        <v>1983</v>
      </c>
      <c r="D423" s="662" t="s">
        <v>1950</v>
      </c>
      <c r="E423" s="939" t="s">
        <v>762</v>
      </c>
      <c r="F423" s="495" t="s">
        <v>1526</v>
      </c>
      <c r="G423" s="494"/>
      <c r="H423" s="494"/>
      <c r="I423" s="668" t="s">
        <v>1689</v>
      </c>
      <c r="J423" s="1007" t="s">
        <v>1984</v>
      </c>
      <c r="K423" s="677" t="str">
        <f>IF(L423=0,"",(INDEX(AccountCodes[ACCOUNT NAME],MATCH(L423,AccountCodes[NGAS CODE],0))))</f>
        <v>PhilHealth Contributions</v>
      </c>
      <c r="L423" s="937" t="s">
        <v>177</v>
      </c>
      <c r="M423" s="947">
        <v>1166.4000000000001</v>
      </c>
      <c r="N423" s="947"/>
      <c r="O423" s="967"/>
      <c r="P423" s="1008">
        <f>P422+M423-N423</f>
        <v>-89776.960000000006</v>
      </c>
    </row>
    <row r="424" spans="1:16" ht="39" hidden="1" customHeight="1">
      <c r="A424" s="940">
        <v>45107</v>
      </c>
      <c r="B424" s="716">
        <v>45098</v>
      </c>
      <c r="C424" s="494" t="s">
        <v>1983</v>
      </c>
      <c r="D424" s="662" t="s">
        <v>1950</v>
      </c>
      <c r="E424" s="939" t="s">
        <v>762</v>
      </c>
      <c r="F424" s="495" t="s">
        <v>1526</v>
      </c>
      <c r="G424" s="494"/>
      <c r="H424" s="494"/>
      <c r="I424" s="668" t="s">
        <v>1689</v>
      </c>
      <c r="J424" s="1007" t="s">
        <v>1984</v>
      </c>
      <c r="K424" s="677" t="str">
        <f>IF(L424=0,"",(INDEX(AccountCodes[ACCOUNT NAME],MATCH(L424,AccountCodes[NGAS CODE],0))))</f>
        <v>Due to PhilHealth</v>
      </c>
      <c r="L424" s="937" t="s">
        <v>112</v>
      </c>
      <c r="M424" s="947">
        <v>1166.4000000000001</v>
      </c>
      <c r="N424" s="947"/>
      <c r="O424" s="967"/>
      <c r="P424" s="1008">
        <f>P422+M424-N424</f>
        <v>-89776.960000000006</v>
      </c>
    </row>
    <row r="425" spans="1:16" ht="39" hidden="1" customHeight="1">
      <c r="A425" s="940">
        <v>45107</v>
      </c>
      <c r="B425" s="716">
        <v>45098</v>
      </c>
      <c r="C425" s="494" t="s">
        <v>1983</v>
      </c>
      <c r="D425" s="662" t="s">
        <v>1950</v>
      </c>
      <c r="E425" s="939" t="s">
        <v>762</v>
      </c>
      <c r="F425" s="495" t="s">
        <v>1526</v>
      </c>
      <c r="G425" s="494"/>
      <c r="H425" s="494"/>
      <c r="I425" s="668" t="s">
        <v>1689</v>
      </c>
      <c r="J425" s="1007" t="s">
        <v>1984</v>
      </c>
      <c r="K425" s="677" t="str">
        <f>IF(L425=0,"",(INDEX(AccountCodes[ACCOUNT NAME],MATCH(L425,AccountCodes[NGAS CODE],0))))</f>
        <v>Cash in Bank-Local Currency, Current Account - FO</v>
      </c>
      <c r="L425" s="937" t="s">
        <v>1564</v>
      </c>
      <c r="M425" s="947"/>
      <c r="N425" s="947">
        <v>2332.8000000000002</v>
      </c>
      <c r="O425" s="967"/>
      <c r="P425" s="1008">
        <f>P422+M425-N425</f>
        <v>-93276.160000000003</v>
      </c>
    </row>
    <row r="426" spans="1:16" ht="39" customHeight="1">
      <c r="A426" s="541">
        <v>45107</v>
      </c>
      <c r="B426" s="716">
        <v>45099</v>
      </c>
      <c r="C426" s="494" t="s">
        <v>1985</v>
      </c>
      <c r="D426" s="662" t="s">
        <v>1950</v>
      </c>
      <c r="E426" s="939" t="s">
        <v>762</v>
      </c>
      <c r="F426" s="495" t="s">
        <v>1526</v>
      </c>
      <c r="G426" s="494"/>
      <c r="H426" s="494"/>
      <c r="I426" s="560" t="s">
        <v>1809</v>
      </c>
      <c r="J426" s="1007" t="s">
        <v>1986</v>
      </c>
      <c r="K426" s="677" t="str">
        <f>IF(L426=0,"",(INDEX(AccountCodes[ACCOUNT NAME],MATCH(L426,AccountCodes[NGAS CODE],0))))</f>
        <v>Other Payables</v>
      </c>
      <c r="L426" s="937" t="s">
        <v>117</v>
      </c>
      <c r="M426" s="947">
        <v>6829.16</v>
      </c>
      <c r="N426" s="947"/>
      <c r="O426" s="967" t="s">
        <v>1925</v>
      </c>
      <c r="P426" s="1008">
        <f>P422+M426-N426</f>
        <v>-84114.2</v>
      </c>
    </row>
    <row r="427" spans="1:16" ht="39" hidden="1" customHeight="1">
      <c r="A427" s="541">
        <v>45107</v>
      </c>
      <c r="B427" s="716">
        <v>45099</v>
      </c>
      <c r="C427" s="494" t="s">
        <v>1985</v>
      </c>
      <c r="D427" s="662" t="s">
        <v>1950</v>
      </c>
      <c r="E427" s="939" t="s">
        <v>762</v>
      </c>
      <c r="F427" s="495" t="s">
        <v>1526</v>
      </c>
      <c r="G427" s="494"/>
      <c r="H427" s="494"/>
      <c r="I427" s="668" t="s">
        <v>1809</v>
      </c>
      <c r="J427" s="1007" t="s">
        <v>1986</v>
      </c>
      <c r="K427" s="677" t="str">
        <f>IF(L427=0,"",(INDEX(AccountCodes[ACCOUNT NAME],MATCH(L427,AccountCodes[NGAS CODE],0))))</f>
        <v>Cash in Bank-Local Currency, Current Account - FO</v>
      </c>
      <c r="L427" s="937" t="s">
        <v>1564</v>
      </c>
      <c r="M427" s="947"/>
      <c r="N427" s="947">
        <f>M426</f>
        <v>6829.16</v>
      </c>
      <c r="O427" s="967"/>
      <c r="P427" s="1008">
        <f>P422+M427-N427</f>
        <v>-97772.52</v>
      </c>
    </row>
    <row r="428" spans="1:16" ht="39" hidden="1" customHeight="1">
      <c r="A428" s="541">
        <v>45107</v>
      </c>
      <c r="B428" s="716">
        <v>45100</v>
      </c>
      <c r="C428" s="494" t="s">
        <v>1987</v>
      </c>
      <c r="D428" s="494" t="s">
        <v>1950</v>
      </c>
      <c r="E428" s="939" t="s">
        <v>762</v>
      </c>
      <c r="F428" s="495" t="s">
        <v>1526</v>
      </c>
      <c r="G428" s="494"/>
      <c r="H428" s="494"/>
      <c r="I428" s="668" t="s">
        <v>1988</v>
      </c>
      <c r="J428" s="1007" t="s">
        <v>1989</v>
      </c>
      <c r="K428" s="677" t="str">
        <f>IF(L428=0,"",(INDEX(AccountCodes[ACCOUNT NAME],MATCH(L428,AccountCodes[NGAS CODE],0))))</f>
        <v>Other Bonuses and Allowances - Anniversary Bonus</v>
      </c>
      <c r="L428" s="937" t="s">
        <v>169</v>
      </c>
      <c r="M428" s="947">
        <v>6000</v>
      </c>
      <c r="N428" s="947"/>
      <c r="O428" s="967" t="s">
        <v>1990</v>
      </c>
      <c r="P428" s="1008">
        <f>P422+M428-N428</f>
        <v>-84943.360000000001</v>
      </c>
    </row>
    <row r="429" spans="1:16" ht="39" hidden="1" customHeight="1">
      <c r="A429" s="541">
        <v>45107</v>
      </c>
      <c r="B429" s="716">
        <v>45100</v>
      </c>
      <c r="C429" s="494" t="s">
        <v>1987</v>
      </c>
      <c r="D429" s="494" t="s">
        <v>1950</v>
      </c>
      <c r="E429" s="939" t="s">
        <v>762</v>
      </c>
      <c r="F429" s="495" t="s">
        <v>1526</v>
      </c>
      <c r="G429" s="494"/>
      <c r="H429" s="494"/>
      <c r="I429" s="668" t="s">
        <v>1988</v>
      </c>
      <c r="J429" s="1007" t="s">
        <v>1989</v>
      </c>
      <c r="K429" s="677" t="str">
        <f>IF(L429=0,"",(INDEX(AccountCodes[ACCOUNT NAME],MATCH(L429,AccountCodes[NGAS CODE],0))))</f>
        <v>Cash in Bank-Local Currency, Current Account - FO</v>
      </c>
      <c r="L429" s="937" t="s">
        <v>1564</v>
      </c>
      <c r="M429" s="947"/>
      <c r="N429" s="947">
        <v>6000</v>
      </c>
      <c r="O429" s="967"/>
      <c r="P429" s="1008">
        <f>P422+M429-N429</f>
        <v>-96943.360000000001</v>
      </c>
    </row>
    <row r="430" spans="1:16" ht="39" hidden="1" customHeight="1">
      <c r="A430" s="541">
        <v>45107</v>
      </c>
      <c r="B430" s="716">
        <v>45106</v>
      </c>
      <c r="C430" s="494" t="s">
        <v>1991</v>
      </c>
      <c r="D430" s="494" t="s">
        <v>1950</v>
      </c>
      <c r="E430" s="939" t="s">
        <v>762</v>
      </c>
      <c r="F430" s="495" t="s">
        <v>1526</v>
      </c>
      <c r="G430" s="494"/>
      <c r="H430" s="494"/>
      <c r="I430" s="668" t="s">
        <v>1648</v>
      </c>
      <c r="J430" s="1007" t="s">
        <v>1992</v>
      </c>
      <c r="K430" s="677" t="str">
        <f>IF(L430=0,"",(INDEX(AccountCodes[ACCOUNT NAME],MATCH(L430,AccountCodes[NGAS CODE],0))))</f>
        <v>Construction in Progress-Infrastructure Assets (Irrigation, Canals and Laterals)</v>
      </c>
      <c r="L430" s="937" t="s">
        <v>82</v>
      </c>
      <c r="M430" s="947">
        <v>1141659.94</v>
      </c>
      <c r="N430" s="947"/>
      <c r="O430" s="954" t="s">
        <v>1957</v>
      </c>
      <c r="P430" s="1008" t="e">
        <f>#REF!+M430-N430</f>
        <v>#REF!</v>
      </c>
    </row>
    <row r="431" spans="1:16" ht="39" hidden="1" customHeight="1">
      <c r="A431" s="541">
        <v>45107</v>
      </c>
      <c r="B431" s="716">
        <v>45106</v>
      </c>
      <c r="C431" s="494" t="s">
        <v>1991</v>
      </c>
      <c r="D431" s="494" t="s">
        <v>1950</v>
      </c>
      <c r="E431" s="939" t="s">
        <v>762</v>
      </c>
      <c r="F431" s="495" t="s">
        <v>1526</v>
      </c>
      <c r="G431" s="494"/>
      <c r="H431" s="494"/>
      <c r="I431" s="668" t="s">
        <v>1648</v>
      </c>
      <c r="J431" s="1007" t="s">
        <v>1992</v>
      </c>
      <c r="K431" s="677" t="str">
        <f>IF(L431=0,"",(INDEX(AccountCodes[ACCOUNT NAME],MATCH(L431,AccountCodes[NGAS CODE],0))))</f>
        <v>Due to BIR - 5%</v>
      </c>
      <c r="L431" s="937" t="s">
        <v>1548</v>
      </c>
      <c r="M431" s="947"/>
      <c r="N431" s="947">
        <v>50966.96</v>
      </c>
      <c r="O431" s="967"/>
      <c r="P431" s="1008" t="e">
        <f>P430+M431-N431</f>
        <v>#REF!</v>
      </c>
    </row>
    <row r="432" spans="1:16" ht="39" hidden="1" customHeight="1">
      <c r="A432" s="541">
        <v>45107</v>
      </c>
      <c r="B432" s="716">
        <v>45106</v>
      </c>
      <c r="C432" s="494" t="s">
        <v>1991</v>
      </c>
      <c r="D432" s="494" t="s">
        <v>1950</v>
      </c>
      <c r="E432" s="939" t="s">
        <v>762</v>
      </c>
      <c r="F432" s="495" t="s">
        <v>1526</v>
      </c>
      <c r="G432" s="494"/>
      <c r="H432" s="494"/>
      <c r="I432" s="668" t="s">
        <v>1648</v>
      </c>
      <c r="J432" s="1007" t="s">
        <v>1992</v>
      </c>
      <c r="K432" s="677" t="str">
        <f>IF(L432=0,"",(INDEX(AccountCodes[ACCOUNT NAME],MATCH(L432,AccountCodes[NGAS CODE],0))))</f>
        <v>Due to BIR - 2%</v>
      </c>
      <c r="L432" s="937" t="s">
        <v>1550</v>
      </c>
      <c r="M432" s="947"/>
      <c r="N432" s="947">
        <v>20386.78</v>
      </c>
      <c r="O432" s="967"/>
      <c r="P432" s="1008" t="e">
        <f>#REF!+M432-N432</f>
        <v>#REF!</v>
      </c>
    </row>
    <row r="433" spans="1:16" ht="39" hidden="1" customHeight="1">
      <c r="A433" s="541">
        <v>45107</v>
      </c>
      <c r="B433" s="716">
        <v>45106</v>
      </c>
      <c r="C433" s="494" t="s">
        <v>1991</v>
      </c>
      <c r="D433" s="494" t="s">
        <v>1950</v>
      </c>
      <c r="E433" s="939" t="s">
        <v>762</v>
      </c>
      <c r="F433" s="495" t="s">
        <v>1526</v>
      </c>
      <c r="G433" s="494"/>
      <c r="H433" s="494"/>
      <c r="I433" s="668" t="s">
        <v>1648</v>
      </c>
      <c r="J433" s="1007" t="s">
        <v>1992</v>
      </c>
      <c r="K433" s="677" t="str">
        <f>IF(L433=0,"",(INDEX(AccountCodes[ACCOUNT NAME],MATCH(L433,AccountCodes[NGAS CODE],0))))</f>
        <v>Cash in Bank-Local Currency, Current Account - FO</v>
      </c>
      <c r="L433" s="937" t="s">
        <v>1564</v>
      </c>
      <c r="M433" s="947"/>
      <c r="N433" s="947">
        <v>1070306.2</v>
      </c>
      <c r="O433" s="967"/>
      <c r="P433" s="1008" t="e">
        <f>P432+M433-N433</f>
        <v>#REF!</v>
      </c>
    </row>
    <row r="434" spans="1:16" ht="39" hidden="1" customHeight="1">
      <c r="A434" s="541">
        <v>45107</v>
      </c>
      <c r="B434" s="716">
        <v>45107</v>
      </c>
      <c r="C434" s="494" t="s">
        <v>1993</v>
      </c>
      <c r="D434" s="494" t="s">
        <v>1950</v>
      </c>
      <c r="E434" s="939" t="s">
        <v>762</v>
      </c>
      <c r="F434" s="495" t="s">
        <v>1526</v>
      </c>
      <c r="G434" s="494"/>
      <c r="H434" s="494"/>
      <c r="I434" s="668" t="s">
        <v>1943</v>
      </c>
      <c r="J434" s="1007" t="s">
        <v>1994</v>
      </c>
      <c r="K434" s="677" t="str">
        <f>IF(L434=0,"",(INDEX(AccountCodes[ACCOUNT NAME],MATCH(L434,AccountCodes[NGAS CODE],0))))</f>
        <v>Due to BIR - 1%</v>
      </c>
      <c r="L434" s="937" t="s">
        <v>1554</v>
      </c>
      <c r="M434" s="947">
        <v>484.6</v>
      </c>
      <c r="N434" s="947"/>
      <c r="O434" s="954" t="s">
        <v>1995</v>
      </c>
      <c r="P434" s="1008" t="e">
        <f>#REF!+M434-N434</f>
        <v>#REF!</v>
      </c>
    </row>
    <row r="435" spans="1:16" ht="39" hidden="1" customHeight="1">
      <c r="A435" s="541">
        <v>45107</v>
      </c>
      <c r="B435" s="716">
        <v>45107</v>
      </c>
      <c r="C435" s="494" t="s">
        <v>1993</v>
      </c>
      <c r="D435" s="494" t="s">
        <v>1950</v>
      </c>
      <c r="E435" s="939" t="s">
        <v>762</v>
      </c>
      <c r="F435" s="495" t="s">
        <v>1526</v>
      </c>
      <c r="G435" s="494"/>
      <c r="H435" s="494"/>
      <c r="I435" s="668" t="s">
        <v>1943</v>
      </c>
      <c r="J435" s="1007" t="s">
        <v>1994</v>
      </c>
      <c r="K435" s="677" t="str">
        <f>IF(L435=0,"",(INDEX(AccountCodes[ACCOUNT NAME],MATCH(L435,AccountCodes[NGAS CODE],0))))</f>
        <v>Due to BIR - 5%</v>
      </c>
      <c r="L435" s="937" t="s">
        <v>1548</v>
      </c>
      <c r="M435" s="947">
        <v>53029.46</v>
      </c>
      <c r="N435" s="947"/>
      <c r="O435" s="967"/>
      <c r="P435" s="1008" t="e">
        <f>P434+M435-N435</f>
        <v>#REF!</v>
      </c>
    </row>
    <row r="436" spans="1:16" ht="39" hidden="1" customHeight="1">
      <c r="A436" s="541">
        <v>45107</v>
      </c>
      <c r="B436" s="716">
        <v>45107</v>
      </c>
      <c r="C436" s="494" t="s">
        <v>1993</v>
      </c>
      <c r="D436" s="494" t="s">
        <v>1950</v>
      </c>
      <c r="E436" s="939" t="s">
        <v>762</v>
      </c>
      <c r="F436" s="495" t="s">
        <v>1526</v>
      </c>
      <c r="G436" s="494"/>
      <c r="H436" s="494"/>
      <c r="I436" s="668" t="s">
        <v>1943</v>
      </c>
      <c r="J436" s="1007" t="s">
        <v>1994</v>
      </c>
      <c r="K436" s="677" t="str">
        <f>IF(L436=0,"",(INDEX(AccountCodes[ACCOUNT NAME],MATCH(L436,AccountCodes[NGAS CODE],0))))</f>
        <v>Cash in Bank-Local Currency, Current Account - FO</v>
      </c>
      <c r="L436" s="937" t="s">
        <v>1564</v>
      </c>
      <c r="M436" s="947"/>
      <c r="N436" s="947">
        <v>53514.06</v>
      </c>
      <c r="O436" s="967"/>
      <c r="P436" s="1008" t="e">
        <f>#REF!+M436-N436</f>
        <v>#REF!</v>
      </c>
    </row>
    <row r="437" spans="1:16" ht="39" hidden="1" customHeight="1">
      <c r="A437" s="541">
        <v>45107</v>
      </c>
      <c r="B437" s="716">
        <v>45107</v>
      </c>
      <c r="C437" s="494" t="s">
        <v>1996</v>
      </c>
      <c r="D437" s="494" t="s">
        <v>1950</v>
      </c>
      <c r="E437" s="939" t="s">
        <v>762</v>
      </c>
      <c r="F437" s="495" t="s">
        <v>1526</v>
      </c>
      <c r="G437" s="494"/>
      <c r="H437" s="494"/>
      <c r="I437" s="668" t="s">
        <v>1943</v>
      </c>
      <c r="J437" s="1007" t="s">
        <v>1997</v>
      </c>
      <c r="K437" s="677" t="str">
        <f>IF(L437=0,"",(INDEX(AccountCodes[ACCOUNT NAME],MATCH(L437,AccountCodes[NGAS CODE],0))))</f>
        <v>Due to BIR - 2%</v>
      </c>
      <c r="L437" s="937" t="s">
        <v>1550</v>
      </c>
      <c r="M437" s="947">
        <v>22180.98</v>
      </c>
      <c r="N437" s="947"/>
      <c r="O437" s="954" t="s">
        <v>1998</v>
      </c>
      <c r="P437" s="1008" t="e">
        <f>P436+M437-N437</f>
        <v>#REF!</v>
      </c>
    </row>
    <row r="438" spans="1:16" ht="39" hidden="1" customHeight="1">
      <c r="A438" s="541">
        <v>45107</v>
      </c>
      <c r="B438" s="716">
        <v>45107</v>
      </c>
      <c r="C438" s="494" t="s">
        <v>1996</v>
      </c>
      <c r="D438" s="494" t="s">
        <v>1950</v>
      </c>
      <c r="E438" s="939" t="s">
        <v>762</v>
      </c>
      <c r="F438" s="495" t="s">
        <v>1526</v>
      </c>
      <c r="G438" s="494"/>
      <c r="H438" s="494"/>
      <c r="I438" s="668" t="s">
        <v>1943</v>
      </c>
      <c r="J438" s="1007" t="s">
        <v>1997</v>
      </c>
      <c r="K438" s="677" t="str">
        <f>IF(L438=0,"",(INDEX(AccountCodes[ACCOUNT NAME],MATCH(L438,AccountCodes[NGAS CODE],0))))</f>
        <v>Cash in Bank-Local Currency, Current Account - FO</v>
      </c>
      <c r="L438" s="937" t="s">
        <v>1564</v>
      </c>
      <c r="M438" s="947"/>
      <c r="N438" s="947">
        <v>22180.98</v>
      </c>
      <c r="O438" s="967"/>
      <c r="P438" s="1008" t="e">
        <f>#REF!+M438-N438</f>
        <v>#REF!</v>
      </c>
    </row>
    <row r="439" spans="1:16" ht="39" hidden="1" customHeight="1">
      <c r="A439" s="541">
        <v>45107</v>
      </c>
      <c r="B439" s="716">
        <v>45107</v>
      </c>
      <c r="C439" s="494" t="s">
        <v>1999</v>
      </c>
      <c r="D439" s="494" t="s">
        <v>1950</v>
      </c>
      <c r="E439" s="939" t="s">
        <v>762</v>
      </c>
      <c r="F439" s="495" t="s">
        <v>1526</v>
      </c>
      <c r="G439" s="494"/>
      <c r="H439" s="494"/>
      <c r="I439" s="668" t="s">
        <v>2000</v>
      </c>
      <c r="J439" s="1007" t="s">
        <v>2001</v>
      </c>
      <c r="K439" s="677" t="str">
        <f>IF(L439=0,"",(INDEX(AccountCodes[ACCOUNT NAME],MATCH(L439,AccountCodes[NGAS CODE],0))))</f>
        <v>Due to the Treasurer of the Philippines</v>
      </c>
      <c r="L439" s="937" t="s">
        <v>1496</v>
      </c>
      <c r="M439" s="947">
        <v>582.79999999999995</v>
      </c>
      <c r="N439" s="947"/>
      <c r="O439" s="967"/>
      <c r="P439" s="1008" t="e">
        <f>#REF!+M439-N439</f>
        <v>#REF!</v>
      </c>
    </row>
    <row r="440" spans="1:16" ht="39" hidden="1" customHeight="1">
      <c r="A440" s="541">
        <v>45107</v>
      </c>
      <c r="B440" s="716">
        <v>45107</v>
      </c>
      <c r="C440" s="494" t="s">
        <v>1999</v>
      </c>
      <c r="D440" s="494" t="s">
        <v>1950</v>
      </c>
      <c r="E440" s="939" t="s">
        <v>762</v>
      </c>
      <c r="F440" s="495" t="s">
        <v>1526</v>
      </c>
      <c r="G440" s="494"/>
      <c r="H440" s="494"/>
      <c r="I440" s="668" t="s">
        <v>2000</v>
      </c>
      <c r="J440" s="1007" t="s">
        <v>2001</v>
      </c>
      <c r="K440" s="677" t="str">
        <f>IF(L440=0,"",(INDEX(AccountCodes[ACCOUNT NAME],MATCH(L440,AccountCodes[NGAS CODE],0))))</f>
        <v>Cash in Bank-Local Currency, Current Account - FO</v>
      </c>
      <c r="L440" s="937" t="s">
        <v>1564</v>
      </c>
      <c r="M440" s="947"/>
      <c r="N440" s="947">
        <v>582.79999999999995</v>
      </c>
      <c r="O440" s="967"/>
      <c r="P440" s="1008" t="e">
        <f>#REF!+M440-N440</f>
        <v>#REF!</v>
      </c>
    </row>
    <row r="441" spans="1:16" ht="39" hidden="1" customHeight="1">
      <c r="A441" s="541">
        <v>45138</v>
      </c>
      <c r="B441" s="716">
        <v>45111</v>
      </c>
      <c r="C441" s="494" t="s">
        <v>2006</v>
      </c>
      <c r="D441" s="494" t="s">
        <v>2007</v>
      </c>
      <c r="E441" s="939" t="s">
        <v>762</v>
      </c>
      <c r="F441" s="495" t="s">
        <v>1526</v>
      </c>
      <c r="G441" s="494"/>
      <c r="H441" s="494"/>
      <c r="I441" s="668" t="s">
        <v>1760</v>
      </c>
      <c r="J441" s="1009" t="s">
        <v>2008</v>
      </c>
      <c r="K441" s="677" t="str">
        <f>IF(L441=0,"",(INDEX(AccountCodes[ACCOUNT NAME],MATCH(L441,AccountCodes[NGAS CODE],0))))</f>
        <v>Fuel, Oil and Lubricants Expenses</v>
      </c>
      <c r="L441" s="937" t="s">
        <v>229</v>
      </c>
      <c r="M441" s="947">
        <v>8478.89</v>
      </c>
      <c r="N441" s="947"/>
      <c r="O441" s="954" t="s">
        <v>2049</v>
      </c>
      <c r="P441" s="1010" t="e">
        <f t="shared" ref="P441:P444" si="20">P440+M441-N441</f>
        <v>#REF!</v>
      </c>
    </row>
    <row r="442" spans="1:16" ht="39" hidden="1" customHeight="1">
      <c r="A442" s="541">
        <v>45138</v>
      </c>
      <c r="B442" s="716">
        <v>45111</v>
      </c>
      <c r="C442" s="494" t="s">
        <v>2006</v>
      </c>
      <c r="D442" s="494" t="s">
        <v>2007</v>
      </c>
      <c r="E442" s="939" t="s">
        <v>762</v>
      </c>
      <c r="F442" s="495" t="s">
        <v>1526</v>
      </c>
      <c r="G442" s="494"/>
      <c r="H442" s="494"/>
      <c r="I442" s="668" t="s">
        <v>1760</v>
      </c>
      <c r="J442" s="1009" t="s">
        <v>2008</v>
      </c>
      <c r="K442" s="677" t="str">
        <f>IF(L442=0,"",(INDEX(AccountCodes[ACCOUNT NAME],MATCH(L442,AccountCodes[NGAS CODE],0))))</f>
        <v>Due to BIR - 1%</v>
      </c>
      <c r="L442" s="937" t="s">
        <v>1554</v>
      </c>
      <c r="M442" s="947"/>
      <c r="N442" s="947">
        <v>75.7</v>
      </c>
      <c r="O442" s="967"/>
      <c r="P442" s="1010" t="e">
        <f t="shared" si="20"/>
        <v>#REF!</v>
      </c>
    </row>
    <row r="443" spans="1:16" ht="39" hidden="1" customHeight="1">
      <c r="A443" s="541">
        <v>45138</v>
      </c>
      <c r="B443" s="716">
        <v>45111</v>
      </c>
      <c r="C443" s="494" t="s">
        <v>2006</v>
      </c>
      <c r="D443" s="494" t="s">
        <v>2007</v>
      </c>
      <c r="E443" s="939" t="s">
        <v>762</v>
      </c>
      <c r="F443" s="495" t="s">
        <v>1526</v>
      </c>
      <c r="G443" s="494"/>
      <c r="H443" s="494"/>
      <c r="I443" s="668" t="s">
        <v>1760</v>
      </c>
      <c r="J443" s="1009" t="s">
        <v>2008</v>
      </c>
      <c r="K443" s="677" t="str">
        <f>IF(L443=0,"",(INDEX(AccountCodes[ACCOUNT NAME],MATCH(L443,AccountCodes[NGAS CODE],0))))</f>
        <v>Due to BIR - 5%</v>
      </c>
      <c r="L443" s="937" t="s">
        <v>1548</v>
      </c>
      <c r="M443" s="947"/>
      <c r="N443" s="947">
        <v>378.52</v>
      </c>
      <c r="O443" s="967"/>
      <c r="P443" s="1010" t="e">
        <f t="shared" si="20"/>
        <v>#REF!</v>
      </c>
    </row>
    <row r="444" spans="1:16" ht="39" hidden="1" customHeight="1">
      <c r="A444" s="541">
        <v>45138</v>
      </c>
      <c r="B444" s="716">
        <v>45111</v>
      </c>
      <c r="C444" s="494" t="s">
        <v>2006</v>
      </c>
      <c r="D444" s="494" t="s">
        <v>2007</v>
      </c>
      <c r="E444" s="939" t="s">
        <v>762</v>
      </c>
      <c r="F444" s="495" t="s">
        <v>1526</v>
      </c>
      <c r="G444" s="494"/>
      <c r="H444" s="494"/>
      <c r="I444" s="668" t="s">
        <v>1760</v>
      </c>
      <c r="J444" s="1009" t="s">
        <v>2008</v>
      </c>
      <c r="K444" s="677" t="str">
        <f>IF(L444=0,"",(INDEX(AccountCodes[ACCOUNT NAME],MATCH(L444,AccountCodes[NGAS CODE],0))))</f>
        <v>Cash in Bank-Local Currency, Current Account - FO</v>
      </c>
      <c r="L444" s="937" t="s">
        <v>1564</v>
      </c>
      <c r="M444" s="947"/>
      <c r="N444" s="947">
        <v>8024.67</v>
      </c>
      <c r="O444" s="967"/>
      <c r="P444" s="1010" t="e">
        <f t="shared" si="20"/>
        <v>#REF!</v>
      </c>
    </row>
    <row r="445" spans="1:16" ht="39" hidden="1" customHeight="1">
      <c r="A445" s="541">
        <v>45138</v>
      </c>
      <c r="B445" s="716">
        <v>45111</v>
      </c>
      <c r="C445" s="494" t="s">
        <v>2009</v>
      </c>
      <c r="D445" s="494" t="s">
        <v>2007</v>
      </c>
      <c r="E445" s="939" t="s">
        <v>762</v>
      </c>
      <c r="F445" s="495" t="s">
        <v>1526</v>
      </c>
      <c r="G445" s="494"/>
      <c r="H445" s="494"/>
      <c r="I445" s="668" t="s">
        <v>2010</v>
      </c>
      <c r="J445" s="1009" t="s">
        <v>2011</v>
      </c>
      <c r="K445" s="677" t="str">
        <f>IF(L445=0,"",(INDEX(AccountCodes[ACCOUNT NAME],MATCH(L445,AccountCodes[NGAS CODE],0))))</f>
        <v>Other Maintenance and Operating Expenses - Other Maintenance and Operating Expenses</v>
      </c>
      <c r="L445" s="937" t="s">
        <v>405</v>
      </c>
      <c r="M445" s="947">
        <v>73068.87</v>
      </c>
      <c r="N445" s="947"/>
      <c r="O445" s="967" t="s">
        <v>1690</v>
      </c>
      <c r="P445" s="1010" t="e">
        <f>P440+M445-N445</f>
        <v>#REF!</v>
      </c>
    </row>
    <row r="446" spans="1:16" ht="39" hidden="1" customHeight="1">
      <c r="A446" s="541">
        <v>45138</v>
      </c>
      <c r="B446" s="716">
        <v>45111</v>
      </c>
      <c r="C446" s="494" t="s">
        <v>2009</v>
      </c>
      <c r="D446" s="494" t="s">
        <v>2007</v>
      </c>
      <c r="E446" s="939" t="s">
        <v>762</v>
      </c>
      <c r="F446" s="495" t="s">
        <v>1526</v>
      </c>
      <c r="G446" s="494"/>
      <c r="H446" s="494"/>
      <c r="I446" s="668" t="s">
        <v>2010</v>
      </c>
      <c r="J446" s="1009" t="s">
        <v>2011</v>
      </c>
      <c r="K446" s="677" t="str">
        <f>IF(L446=0,"",(INDEX(AccountCodes[ACCOUNT NAME],MATCH(L446,AccountCodes[NGAS CODE],0))))</f>
        <v>Other Payables</v>
      </c>
      <c r="L446" s="937" t="s">
        <v>117</v>
      </c>
      <c r="M446" s="947"/>
      <c r="N446" s="947">
        <v>4229.16</v>
      </c>
      <c r="O446" s="967"/>
      <c r="P446" s="1010" t="e">
        <f t="shared" ref="P446:P448" si="21">P445+M446-N446</f>
        <v>#REF!</v>
      </c>
    </row>
    <row r="447" spans="1:16" ht="39" hidden="1" customHeight="1">
      <c r="A447" s="541">
        <v>45138</v>
      </c>
      <c r="B447" s="716">
        <v>45111</v>
      </c>
      <c r="C447" s="494" t="s">
        <v>2009</v>
      </c>
      <c r="D447" s="494" t="s">
        <v>2007</v>
      </c>
      <c r="E447" s="939" t="s">
        <v>762</v>
      </c>
      <c r="F447" s="495" t="s">
        <v>1526</v>
      </c>
      <c r="G447" s="494"/>
      <c r="H447" s="494"/>
      <c r="I447" s="668" t="s">
        <v>2010</v>
      </c>
      <c r="J447" s="1009" t="s">
        <v>2011</v>
      </c>
      <c r="K447" s="677" t="str">
        <f>IF(L447=0,"",(INDEX(AccountCodes[ACCOUNT NAME],MATCH(L447,AccountCodes[NGAS CODE],0))))</f>
        <v>Cash in Bank-Local Currency, Current Account - FO</v>
      </c>
      <c r="L447" s="937" t="s">
        <v>1564</v>
      </c>
      <c r="M447" s="947"/>
      <c r="N447" s="947">
        <v>68839.710000000006</v>
      </c>
      <c r="O447" s="967"/>
      <c r="P447" s="1010" t="e">
        <f t="shared" si="21"/>
        <v>#REF!</v>
      </c>
    </row>
    <row r="448" spans="1:16" ht="39" hidden="1" customHeight="1">
      <c r="A448" s="541">
        <v>45138</v>
      </c>
      <c r="B448" s="716">
        <v>45112</v>
      </c>
      <c r="C448" s="494" t="s">
        <v>2012</v>
      </c>
      <c r="D448" s="494" t="s">
        <v>2007</v>
      </c>
      <c r="E448" s="939" t="s">
        <v>762</v>
      </c>
      <c r="F448" s="495" t="s">
        <v>1526</v>
      </c>
      <c r="G448" s="494"/>
      <c r="H448" s="494"/>
      <c r="I448" s="668" t="s">
        <v>2013</v>
      </c>
      <c r="J448" s="1009" t="s">
        <v>2014</v>
      </c>
      <c r="K448" s="677" t="str">
        <f>IF(L448=0,"",(INDEX(AccountCodes[ACCOUNT NAME],MATCH(L448,AccountCodes[NGAS CODE],0))))</f>
        <v>Advances to Contractors</v>
      </c>
      <c r="L448" s="937" t="s">
        <v>35</v>
      </c>
      <c r="M448" s="947">
        <v>1341951.24</v>
      </c>
      <c r="N448" s="947"/>
      <c r="O448" s="967" t="s">
        <v>2015</v>
      </c>
      <c r="P448" s="1010" t="e">
        <f t="shared" si="21"/>
        <v>#REF!</v>
      </c>
    </row>
    <row r="449" spans="1:16" ht="39" hidden="1" customHeight="1">
      <c r="A449" s="541">
        <v>45138</v>
      </c>
      <c r="B449" s="716">
        <v>45112</v>
      </c>
      <c r="C449" s="494" t="s">
        <v>2012</v>
      </c>
      <c r="D449" s="494" t="s">
        <v>2007</v>
      </c>
      <c r="E449" s="939" t="s">
        <v>762</v>
      </c>
      <c r="F449" s="495" t="s">
        <v>1526</v>
      </c>
      <c r="G449" s="494"/>
      <c r="H449" s="494"/>
      <c r="I449" s="668" t="s">
        <v>2013</v>
      </c>
      <c r="J449" s="1009" t="s">
        <v>2014</v>
      </c>
      <c r="K449" s="677" t="str">
        <f>IF(L449=0,"",(INDEX(AccountCodes[ACCOUNT NAME],MATCH(L449,AccountCodes[NGAS CODE],0))))</f>
        <v>Cash in Bank-Local Currency, Current Account - FO</v>
      </c>
      <c r="L449" s="937" t="s">
        <v>1564</v>
      </c>
      <c r="M449" s="947"/>
      <c r="N449" s="947">
        <v>1341951.24</v>
      </c>
      <c r="O449" s="967"/>
      <c r="P449" s="1010" t="e">
        <f>P440+M449-N449</f>
        <v>#REF!</v>
      </c>
    </row>
    <row r="450" spans="1:16" ht="39" hidden="1" customHeight="1">
      <c r="A450" s="541">
        <v>45138</v>
      </c>
      <c r="B450" s="716">
        <v>45120</v>
      </c>
      <c r="C450" s="494" t="s">
        <v>2016</v>
      </c>
      <c r="D450" s="494" t="s">
        <v>2007</v>
      </c>
      <c r="E450" s="939" t="s">
        <v>762</v>
      </c>
      <c r="F450" s="495" t="s">
        <v>1526</v>
      </c>
      <c r="G450" s="494"/>
      <c r="H450" s="494"/>
      <c r="I450" s="668" t="s">
        <v>1809</v>
      </c>
      <c r="J450" s="1009" t="s">
        <v>2017</v>
      </c>
      <c r="K450" s="677" t="str">
        <f>IF(L450=0,"",(INDEX(AccountCodes[ACCOUNT NAME],MATCH(L450,AccountCodes[NGAS CODE],0))))</f>
        <v>Other Payables</v>
      </c>
      <c r="L450" s="937" t="s">
        <v>117</v>
      </c>
      <c r="M450" s="947">
        <v>4229.16</v>
      </c>
      <c r="N450" s="947"/>
      <c r="O450" s="967" t="s">
        <v>1690</v>
      </c>
      <c r="P450" s="1010" t="e">
        <f t="shared" ref="P450:P452" si="22">P449+M450-N450</f>
        <v>#REF!</v>
      </c>
    </row>
    <row r="451" spans="1:16" ht="39" hidden="1" customHeight="1">
      <c r="A451" s="541">
        <v>45138</v>
      </c>
      <c r="B451" s="716">
        <v>45120</v>
      </c>
      <c r="C451" s="494" t="s">
        <v>2016</v>
      </c>
      <c r="D451" s="494" t="s">
        <v>2007</v>
      </c>
      <c r="E451" s="939" t="s">
        <v>762</v>
      </c>
      <c r="F451" s="495" t="s">
        <v>1526</v>
      </c>
      <c r="G451" s="494"/>
      <c r="H451" s="494"/>
      <c r="I451" s="668" t="s">
        <v>1809</v>
      </c>
      <c r="J451" s="1009" t="s">
        <v>2017</v>
      </c>
      <c r="K451" s="677" t="str">
        <f>IF(L451=0,"",(INDEX(AccountCodes[ACCOUNT NAME],MATCH(L451,AccountCodes[NGAS CODE],0))))</f>
        <v>Cash in Bank-Local Currency, Current Account - FO</v>
      </c>
      <c r="L451" s="937" t="s">
        <v>1564</v>
      </c>
      <c r="M451" s="947"/>
      <c r="N451" s="947">
        <v>4229.16</v>
      </c>
      <c r="O451" s="967"/>
      <c r="P451" s="1010" t="e">
        <f t="shared" si="22"/>
        <v>#REF!</v>
      </c>
    </row>
    <row r="452" spans="1:16" ht="39" hidden="1" customHeight="1">
      <c r="A452" s="541">
        <v>45138</v>
      </c>
      <c r="B452" s="716">
        <v>45120</v>
      </c>
      <c r="C452" s="494" t="s">
        <v>2018</v>
      </c>
      <c r="D452" s="494" t="s">
        <v>2007</v>
      </c>
      <c r="E452" s="939" t="s">
        <v>762</v>
      </c>
      <c r="F452" s="495" t="s">
        <v>1526</v>
      </c>
      <c r="G452" s="494"/>
      <c r="H452" s="494"/>
      <c r="I452" s="668" t="s">
        <v>1716</v>
      </c>
      <c r="J452" s="1009" t="s">
        <v>2019</v>
      </c>
      <c r="K452" s="677" t="str">
        <f>IF(L452=0,"",(INDEX(AccountCodes[ACCOUNT NAME],MATCH(L452,AccountCodes[NGAS CODE],0))))</f>
        <v>Salaries and Wages-Regular</v>
      </c>
      <c r="L452" s="937" t="s">
        <v>162</v>
      </c>
      <c r="M452" s="947">
        <v>58320</v>
      </c>
      <c r="N452" s="947"/>
      <c r="O452" s="972" t="s">
        <v>2064</v>
      </c>
      <c r="P452" s="1010" t="e">
        <f t="shared" si="22"/>
        <v>#REF!</v>
      </c>
    </row>
    <row r="453" spans="1:16" ht="39" hidden="1" customHeight="1">
      <c r="A453" s="541">
        <v>45138</v>
      </c>
      <c r="B453" s="716">
        <v>45120</v>
      </c>
      <c r="C453" s="494" t="s">
        <v>2018</v>
      </c>
      <c r="D453" s="494" t="s">
        <v>2007</v>
      </c>
      <c r="E453" s="939" t="s">
        <v>762</v>
      </c>
      <c r="F453" s="495" t="s">
        <v>1526</v>
      </c>
      <c r="G453" s="494"/>
      <c r="H453" s="494"/>
      <c r="I453" s="668" t="s">
        <v>1716</v>
      </c>
      <c r="J453" s="1009" t="s">
        <v>2019</v>
      </c>
      <c r="K453" s="677" t="str">
        <f>IF(L453=0,"",(INDEX(AccountCodes[ACCOUNT NAME],MATCH(L453,AccountCodes[NGAS CODE],0))))</f>
        <v>Personal Economic Relief Allowance (PERA)</v>
      </c>
      <c r="L453" s="937" t="s">
        <v>164</v>
      </c>
      <c r="M453" s="947">
        <v>4000</v>
      </c>
      <c r="N453" s="947"/>
      <c r="O453" s="967"/>
      <c r="P453" s="1010" t="e">
        <f>P440+M453-N453</f>
        <v>#REF!</v>
      </c>
    </row>
    <row r="454" spans="1:16" ht="39" hidden="1" customHeight="1">
      <c r="A454" s="541">
        <v>45138</v>
      </c>
      <c r="B454" s="716">
        <v>45120</v>
      </c>
      <c r="C454" s="494" t="s">
        <v>2018</v>
      </c>
      <c r="D454" s="494" t="s">
        <v>2007</v>
      </c>
      <c r="E454" s="939" t="s">
        <v>762</v>
      </c>
      <c r="F454" s="495" t="s">
        <v>1526</v>
      </c>
      <c r="G454" s="494"/>
      <c r="H454" s="494"/>
      <c r="I454" s="668" t="s">
        <v>1716</v>
      </c>
      <c r="J454" s="1009" t="s">
        <v>2019</v>
      </c>
      <c r="K454" s="677" t="str">
        <f>IF(L454=0,"",(INDEX(AccountCodes[ACCOUNT NAME],MATCH(L454,AccountCodes[NGAS CODE],0))))</f>
        <v>Due to BIR - Compensation</v>
      </c>
      <c r="L454" s="937" t="s">
        <v>1546</v>
      </c>
      <c r="M454" s="947"/>
      <c r="N454" s="947">
        <v>1330.76</v>
      </c>
      <c r="O454" s="967"/>
      <c r="P454" s="1010" t="e">
        <f t="shared" ref="P454:P456" si="23">P453+M454-N454</f>
        <v>#REF!</v>
      </c>
    </row>
    <row r="455" spans="1:16" ht="39" hidden="1" customHeight="1">
      <c r="A455" s="541">
        <v>45138</v>
      </c>
      <c r="B455" s="716">
        <v>45120</v>
      </c>
      <c r="C455" s="494" t="s">
        <v>2018</v>
      </c>
      <c r="D455" s="494" t="s">
        <v>2007</v>
      </c>
      <c r="E455" s="939" t="s">
        <v>762</v>
      </c>
      <c r="F455" s="495" t="s">
        <v>1526</v>
      </c>
      <c r="G455" s="494"/>
      <c r="H455" s="494"/>
      <c r="I455" s="668" t="s">
        <v>1716</v>
      </c>
      <c r="J455" s="1009" t="s">
        <v>2019</v>
      </c>
      <c r="K455" s="677" t="str">
        <f>IF(L455=0,"",(INDEX(AccountCodes[ACCOUNT NAME],MATCH(L455,AccountCodes[NGAS CODE],0))))</f>
        <v>Due to GSIS - Life and Retirement Premium</v>
      </c>
      <c r="L455" s="937" t="s">
        <v>1440</v>
      </c>
      <c r="M455" s="947"/>
      <c r="N455" s="947">
        <v>5248.8</v>
      </c>
      <c r="O455" s="967"/>
      <c r="P455" s="1010" t="e">
        <f t="shared" si="23"/>
        <v>#REF!</v>
      </c>
    </row>
    <row r="456" spans="1:16" ht="39" hidden="1" customHeight="1">
      <c r="A456" s="541">
        <v>45138</v>
      </c>
      <c r="B456" s="716">
        <v>45120</v>
      </c>
      <c r="C456" s="494" t="s">
        <v>2018</v>
      </c>
      <c r="D456" s="494" t="s">
        <v>2007</v>
      </c>
      <c r="E456" s="939" t="s">
        <v>762</v>
      </c>
      <c r="F456" s="495" t="s">
        <v>1526</v>
      </c>
      <c r="G456" s="494"/>
      <c r="H456" s="494"/>
      <c r="I456" s="668" t="s">
        <v>1716</v>
      </c>
      <c r="J456" s="1009" t="s">
        <v>2019</v>
      </c>
      <c r="K456" s="677" t="str">
        <f>IF(L456=0,"",(INDEX(AccountCodes[ACCOUNT NAME],MATCH(L456,AccountCodes[NGAS CODE],0))))</f>
        <v>Due to Pag-IBIG - Pag-IBIG Premium</v>
      </c>
      <c r="L456" s="937" t="s">
        <v>1444</v>
      </c>
      <c r="M456" s="947"/>
      <c r="N456" s="947">
        <v>1166.4000000000001</v>
      </c>
      <c r="O456" s="967"/>
      <c r="P456" s="1010" t="e">
        <f t="shared" si="23"/>
        <v>#REF!</v>
      </c>
    </row>
    <row r="457" spans="1:16" ht="39" hidden="1" customHeight="1">
      <c r="A457" s="541">
        <v>45138</v>
      </c>
      <c r="B457" s="716">
        <v>45120</v>
      </c>
      <c r="C457" s="494" t="s">
        <v>2018</v>
      </c>
      <c r="D457" s="494" t="s">
        <v>2007</v>
      </c>
      <c r="E457" s="939" t="s">
        <v>762</v>
      </c>
      <c r="F457" s="495" t="s">
        <v>1526</v>
      </c>
      <c r="G457" s="494"/>
      <c r="H457" s="494"/>
      <c r="I457" s="668" t="s">
        <v>1716</v>
      </c>
      <c r="J457" s="1009" t="s">
        <v>2019</v>
      </c>
      <c r="K457" s="677" t="str">
        <f>IF(L457=0,"",(INDEX(AccountCodes[ACCOUNT NAME],MATCH(L457,AccountCodes[NGAS CODE],0))))</f>
        <v>Due to Pag-IBIG - MP2</v>
      </c>
      <c r="L457" s="937" t="s">
        <v>1508</v>
      </c>
      <c r="M457" s="947"/>
      <c r="N457" s="947">
        <v>4000</v>
      </c>
      <c r="O457" s="967"/>
      <c r="P457" s="1010" t="e">
        <f>P440+M457-N457</f>
        <v>#REF!</v>
      </c>
    </row>
    <row r="458" spans="1:16" ht="39" hidden="1" customHeight="1">
      <c r="A458" s="541">
        <v>45138</v>
      </c>
      <c r="B458" s="716">
        <v>45120</v>
      </c>
      <c r="C458" s="494" t="s">
        <v>2018</v>
      </c>
      <c r="D458" s="494" t="s">
        <v>2007</v>
      </c>
      <c r="E458" s="939" t="s">
        <v>762</v>
      </c>
      <c r="F458" s="495" t="s">
        <v>1526</v>
      </c>
      <c r="G458" s="494"/>
      <c r="H458" s="494"/>
      <c r="I458" s="668" t="s">
        <v>1716</v>
      </c>
      <c r="J458" s="1009" t="s">
        <v>2019</v>
      </c>
      <c r="K458" s="677" t="str">
        <f>IF(L458=0,"",(INDEX(AccountCodes[ACCOUNT NAME],MATCH(L458,AccountCodes[NGAS CODE],0))))</f>
        <v>Due to PhilHealth</v>
      </c>
      <c r="L458" s="937" t="s">
        <v>112</v>
      </c>
      <c r="M458" s="947"/>
      <c r="N458" s="947">
        <v>1166.4000000000001</v>
      </c>
      <c r="O458" s="967"/>
      <c r="P458" s="1010" t="e">
        <f t="shared" ref="P458:P459" si="24">P457+M458-N458</f>
        <v>#REF!</v>
      </c>
    </row>
    <row r="459" spans="1:16" ht="39" hidden="1" customHeight="1">
      <c r="A459" s="541">
        <v>45138</v>
      </c>
      <c r="B459" s="716">
        <v>45120</v>
      </c>
      <c r="C459" s="494" t="s">
        <v>2018</v>
      </c>
      <c r="D459" s="494" t="s">
        <v>2007</v>
      </c>
      <c r="E459" s="939" t="s">
        <v>762</v>
      </c>
      <c r="F459" s="495" t="s">
        <v>1526</v>
      </c>
      <c r="G459" s="494"/>
      <c r="H459" s="494"/>
      <c r="I459" s="668" t="s">
        <v>1716</v>
      </c>
      <c r="J459" s="1009" t="s">
        <v>2019</v>
      </c>
      <c r="K459" s="677" t="str">
        <f>IF(L459=0,"",(INDEX(AccountCodes[ACCOUNT NAME],MATCH(L459,AccountCodes[NGAS CODE],0))))</f>
        <v>Cash in Bank-Local Currency, Current Account - FO</v>
      </c>
      <c r="L459" s="937" t="s">
        <v>1564</v>
      </c>
      <c r="M459" s="947"/>
      <c r="N459" s="947">
        <v>49407.64</v>
      </c>
      <c r="O459" s="967"/>
      <c r="P459" s="1010" t="e">
        <f t="shared" si="24"/>
        <v>#REF!</v>
      </c>
    </row>
    <row r="460" spans="1:16" ht="39" hidden="1" customHeight="1">
      <c r="A460" s="934">
        <v>45138</v>
      </c>
      <c r="B460" s="559">
        <v>45121</v>
      </c>
      <c r="C460" s="145" t="s">
        <v>2062</v>
      </c>
      <c r="D460" s="145" t="s">
        <v>2007</v>
      </c>
      <c r="E460" s="185" t="s">
        <v>762</v>
      </c>
      <c r="F460" s="137" t="s">
        <v>1526</v>
      </c>
      <c r="G460" s="145"/>
      <c r="H460" s="145"/>
      <c r="I460" s="560" t="s">
        <v>2063</v>
      </c>
      <c r="J460" s="935" t="s">
        <v>1845</v>
      </c>
      <c r="K460" s="700" t="str">
        <f>IF(L460=0,"",(INDEX(AccountCodes[ACCOUNT NAME],MATCH(L460,AccountCodes[NGAS CODE],0))))</f>
        <v>Bank Charges</v>
      </c>
      <c r="L460" s="936" t="s">
        <v>340</v>
      </c>
      <c r="M460" s="947">
        <v>1200</v>
      </c>
      <c r="N460" s="947"/>
      <c r="O460" s="954" t="s">
        <v>2046</v>
      </c>
      <c r="P460" s="150" t="e">
        <f>P459+M460-N460</f>
        <v>#REF!</v>
      </c>
    </row>
    <row r="461" spans="1:16" ht="39" hidden="1" customHeight="1">
      <c r="A461" s="934">
        <v>45138</v>
      </c>
      <c r="B461" s="559">
        <v>45121</v>
      </c>
      <c r="C461" s="145" t="s">
        <v>2062</v>
      </c>
      <c r="D461" s="145" t="s">
        <v>2007</v>
      </c>
      <c r="E461" s="185" t="s">
        <v>762</v>
      </c>
      <c r="F461" s="137" t="s">
        <v>1526</v>
      </c>
      <c r="G461" s="145"/>
      <c r="H461" s="145"/>
      <c r="I461" s="560" t="s">
        <v>2063</v>
      </c>
      <c r="J461" s="935" t="s">
        <v>1845</v>
      </c>
      <c r="K461" s="700" t="str">
        <f>IF(L461=0,"",(INDEX(AccountCodes[ACCOUNT NAME],MATCH(L461,AccountCodes[NGAS CODE],0))))</f>
        <v>Cash in Bank-Local Currency, Current Account - FO</v>
      </c>
      <c r="L461" s="936" t="s">
        <v>1564</v>
      </c>
      <c r="M461" s="947"/>
      <c r="N461" s="947">
        <v>1200</v>
      </c>
      <c r="O461" s="954"/>
      <c r="P461" s="150" t="e">
        <f>P459+M461-N461</f>
        <v>#REF!</v>
      </c>
    </row>
    <row r="462" spans="1:16" ht="39" hidden="1" customHeight="1">
      <c r="A462" s="541">
        <v>45138</v>
      </c>
      <c r="B462" s="716">
        <v>45127</v>
      </c>
      <c r="C462" s="145" t="s">
        <v>2020</v>
      </c>
      <c r="D462" s="494" t="s">
        <v>2007</v>
      </c>
      <c r="E462" s="939" t="s">
        <v>762</v>
      </c>
      <c r="F462" s="495" t="s">
        <v>1526</v>
      </c>
      <c r="G462" s="494"/>
      <c r="H462" s="494"/>
      <c r="I462" s="560" t="s">
        <v>1693</v>
      </c>
      <c r="J462" s="935" t="s">
        <v>2021</v>
      </c>
      <c r="K462" s="677" t="str">
        <f>IF(L462=0,"",(INDEX(AccountCodes[ACCOUNT NAME],MATCH(L462,AccountCodes[NGAS CODE],0))))</f>
        <v>Retirement and Life Insurance Premiums</v>
      </c>
      <c r="L462" s="936" t="s">
        <v>175</v>
      </c>
      <c r="M462" s="947">
        <v>6998.4</v>
      </c>
      <c r="N462" s="947"/>
      <c r="O462" s="954" t="s">
        <v>2024</v>
      </c>
      <c r="P462" s="1010" t="e">
        <f>P459+M462-N462</f>
        <v>#REF!</v>
      </c>
    </row>
    <row r="463" spans="1:16" ht="39" hidden="1" customHeight="1">
      <c r="A463" s="541">
        <v>45138</v>
      </c>
      <c r="B463" s="716">
        <v>45127</v>
      </c>
      <c r="C463" s="145" t="s">
        <v>2020</v>
      </c>
      <c r="D463" s="494" t="s">
        <v>2007</v>
      </c>
      <c r="E463" s="939" t="s">
        <v>762</v>
      </c>
      <c r="F463" s="495" t="s">
        <v>1526</v>
      </c>
      <c r="G463" s="494"/>
      <c r="H463" s="494"/>
      <c r="I463" s="668" t="s">
        <v>1693</v>
      </c>
      <c r="J463" s="1009" t="s">
        <v>2021</v>
      </c>
      <c r="K463" s="677" t="str">
        <f>IF(L463=0,"",(INDEX(AccountCodes[ACCOUNT NAME],MATCH(L463,AccountCodes[NGAS CODE],0))))</f>
        <v>Employees Compensation Insurance Premiums</v>
      </c>
      <c r="L463" s="936" t="s">
        <v>178</v>
      </c>
      <c r="M463" s="947">
        <v>200</v>
      </c>
      <c r="N463" s="947"/>
      <c r="O463" s="967"/>
      <c r="P463" s="1010" t="e">
        <f>P440+M463-N463</f>
        <v>#REF!</v>
      </c>
    </row>
    <row r="464" spans="1:16" ht="39" hidden="1" customHeight="1">
      <c r="A464" s="541">
        <v>45138</v>
      </c>
      <c r="B464" s="716">
        <v>45127</v>
      </c>
      <c r="C464" s="145" t="s">
        <v>2020</v>
      </c>
      <c r="D464" s="494" t="s">
        <v>2007</v>
      </c>
      <c r="E464" s="939" t="s">
        <v>762</v>
      </c>
      <c r="F464" s="495" t="s">
        <v>1526</v>
      </c>
      <c r="G464" s="494"/>
      <c r="H464" s="494"/>
      <c r="I464" s="668" t="s">
        <v>1693</v>
      </c>
      <c r="J464" s="1009" t="s">
        <v>2021</v>
      </c>
      <c r="K464" s="677" t="str">
        <f>IF(L464=0,"",(INDEX(AccountCodes[ACCOUNT NAME],MATCH(L464,AccountCodes[NGAS CODE],0))))</f>
        <v>Due to GSIS - Life and Retirement Premium</v>
      </c>
      <c r="L464" s="936" t="s">
        <v>1440</v>
      </c>
      <c r="M464" s="947">
        <v>5248.8</v>
      </c>
      <c r="N464" s="947"/>
      <c r="O464" s="967"/>
      <c r="P464" s="1010" t="e">
        <f t="shared" ref="P464:P466" si="25">P463+M464-N464</f>
        <v>#REF!</v>
      </c>
    </row>
    <row r="465" spans="1:16" ht="39" hidden="1" customHeight="1">
      <c r="A465" s="541">
        <v>45138</v>
      </c>
      <c r="B465" s="716">
        <v>45127</v>
      </c>
      <c r="C465" s="145" t="s">
        <v>2020</v>
      </c>
      <c r="D465" s="494" t="s">
        <v>2007</v>
      </c>
      <c r="E465" s="939" t="s">
        <v>762</v>
      </c>
      <c r="F465" s="495" t="s">
        <v>1526</v>
      </c>
      <c r="G465" s="494"/>
      <c r="H465" s="494"/>
      <c r="I465" s="668" t="s">
        <v>1693</v>
      </c>
      <c r="J465" s="1009" t="s">
        <v>2021</v>
      </c>
      <c r="K465" s="677" t="str">
        <f>IF(L465=0,"",(INDEX(AccountCodes[ACCOUNT NAME],MATCH(L465,AccountCodes[NGAS CODE],0))))</f>
        <v>Cash in Bank-Local Currency, Current Account - FO</v>
      </c>
      <c r="L465" s="936" t="s">
        <v>1564</v>
      </c>
      <c r="M465" s="947"/>
      <c r="N465" s="947">
        <v>12447.2</v>
      </c>
      <c r="O465" s="967"/>
      <c r="P465" s="1010" t="e">
        <f t="shared" si="25"/>
        <v>#REF!</v>
      </c>
    </row>
    <row r="466" spans="1:16" ht="39" hidden="1" customHeight="1">
      <c r="A466" s="541">
        <v>45138</v>
      </c>
      <c r="B466" s="716">
        <v>45127</v>
      </c>
      <c r="C466" s="145" t="s">
        <v>2022</v>
      </c>
      <c r="D466" s="494" t="s">
        <v>2007</v>
      </c>
      <c r="E466" s="939" t="s">
        <v>762</v>
      </c>
      <c r="F466" s="495" t="s">
        <v>1526</v>
      </c>
      <c r="G466" s="494"/>
      <c r="H466" s="494"/>
      <c r="I466" s="560" t="s">
        <v>1859</v>
      </c>
      <c r="J466" s="935" t="s">
        <v>2023</v>
      </c>
      <c r="K466" s="677" t="str">
        <f>IF(L466=0,"",(INDEX(AccountCodes[ACCOUNT NAME],MATCH(L466,AccountCodes[NGAS CODE],0))))</f>
        <v>Due to Pag-IBIG - MP2</v>
      </c>
      <c r="L466" s="936" t="s">
        <v>1508</v>
      </c>
      <c r="M466" s="947">
        <v>4000</v>
      </c>
      <c r="N466" s="947"/>
      <c r="O466" s="954" t="s">
        <v>2024</v>
      </c>
      <c r="P466" s="1010" t="e">
        <f t="shared" si="25"/>
        <v>#REF!</v>
      </c>
    </row>
    <row r="467" spans="1:16" ht="39" hidden="1" customHeight="1">
      <c r="A467" s="541">
        <v>45138</v>
      </c>
      <c r="B467" s="716">
        <v>45127</v>
      </c>
      <c r="C467" s="494" t="s">
        <v>2022</v>
      </c>
      <c r="D467" s="494" t="s">
        <v>2007</v>
      </c>
      <c r="E467" s="939" t="s">
        <v>762</v>
      </c>
      <c r="F467" s="495" t="s">
        <v>1526</v>
      </c>
      <c r="G467" s="494"/>
      <c r="H467" s="494"/>
      <c r="I467" s="560" t="s">
        <v>1859</v>
      </c>
      <c r="J467" s="935" t="s">
        <v>2023</v>
      </c>
      <c r="K467" s="677" t="str">
        <f>IF(L467=0,"",(INDEX(AccountCodes[ACCOUNT NAME],MATCH(L467,AccountCodes[NGAS CODE],0))))</f>
        <v>Cash in Bank-Local Currency, Current Account - FO</v>
      </c>
      <c r="L467" s="936" t="s">
        <v>1564</v>
      </c>
      <c r="M467" s="947"/>
      <c r="N467" s="947">
        <v>4000</v>
      </c>
      <c r="O467" s="967"/>
      <c r="P467" s="1010" t="e">
        <f>P440+M467-N467</f>
        <v>#REF!</v>
      </c>
    </row>
    <row r="468" spans="1:16" ht="39" hidden="1" customHeight="1">
      <c r="A468" s="541">
        <v>45138</v>
      </c>
      <c r="B468" s="716">
        <v>45127</v>
      </c>
      <c r="C468" s="145" t="s">
        <v>2025</v>
      </c>
      <c r="D468" s="494" t="s">
        <v>2007</v>
      </c>
      <c r="E468" s="939" t="s">
        <v>762</v>
      </c>
      <c r="F468" s="495" t="s">
        <v>1526</v>
      </c>
      <c r="G468" s="494"/>
      <c r="H468" s="494"/>
      <c r="I468" s="560" t="s">
        <v>1859</v>
      </c>
      <c r="J468" s="935" t="s">
        <v>2026</v>
      </c>
      <c r="K468" s="677" t="str">
        <f>IF(L468=0,"",(INDEX(AccountCodes[ACCOUNT NAME],MATCH(L468,AccountCodes[NGAS CODE],0))))</f>
        <v>Pag-IBIG Contributions</v>
      </c>
      <c r="L468" s="936" t="s">
        <v>176</v>
      </c>
      <c r="M468" s="947">
        <v>200</v>
      </c>
      <c r="N468" s="947"/>
      <c r="O468" s="967" t="s">
        <v>2024</v>
      </c>
      <c r="P468" s="1010" t="e">
        <f t="shared" ref="P468:P470" si="26">P467+M468-N468</f>
        <v>#REF!</v>
      </c>
    </row>
    <row r="469" spans="1:16" ht="39" hidden="1" customHeight="1">
      <c r="A469" s="541">
        <v>45138</v>
      </c>
      <c r="B469" s="716">
        <v>45127</v>
      </c>
      <c r="C469" s="494" t="s">
        <v>2025</v>
      </c>
      <c r="D469" s="494" t="s">
        <v>2007</v>
      </c>
      <c r="E469" s="939" t="s">
        <v>762</v>
      </c>
      <c r="F469" s="495" t="s">
        <v>1526</v>
      </c>
      <c r="G469" s="494"/>
      <c r="H469" s="494"/>
      <c r="I469" s="668" t="s">
        <v>1859</v>
      </c>
      <c r="J469" s="1009" t="s">
        <v>2026</v>
      </c>
      <c r="K469" s="677" t="str">
        <f>IF(L469=0,"",(INDEX(AccountCodes[ACCOUNT NAME],MATCH(L469,AccountCodes[NGAS CODE],0))))</f>
        <v>Due to Pag-IBIG - Pag-IBIG Premium</v>
      </c>
      <c r="L469" s="936" t="s">
        <v>1444</v>
      </c>
      <c r="M469" s="947">
        <v>1166.4000000000001</v>
      </c>
      <c r="N469" s="947"/>
      <c r="O469" s="967"/>
      <c r="P469" s="1010" t="e">
        <f t="shared" si="26"/>
        <v>#REF!</v>
      </c>
    </row>
    <row r="470" spans="1:16" ht="39" hidden="1" customHeight="1">
      <c r="A470" s="541">
        <v>45138</v>
      </c>
      <c r="B470" s="716">
        <v>45127</v>
      </c>
      <c r="C470" s="494" t="s">
        <v>2025</v>
      </c>
      <c r="D470" s="494" t="s">
        <v>2007</v>
      </c>
      <c r="E470" s="939" t="s">
        <v>762</v>
      </c>
      <c r="F470" s="495" t="s">
        <v>1526</v>
      </c>
      <c r="G470" s="494"/>
      <c r="H470" s="494"/>
      <c r="I470" s="668" t="s">
        <v>1859</v>
      </c>
      <c r="J470" s="1009" t="s">
        <v>2026</v>
      </c>
      <c r="K470" s="677" t="str">
        <f>IF(L470=0,"",(INDEX(AccountCodes[ACCOUNT NAME],MATCH(L470,AccountCodes[NGAS CODE],0))))</f>
        <v>Cash in Bank-Local Currency, Current Account - FO</v>
      </c>
      <c r="L470" s="936" t="s">
        <v>1564</v>
      </c>
      <c r="M470" s="947"/>
      <c r="N470" s="947">
        <v>1366.4</v>
      </c>
      <c r="O470" s="967"/>
      <c r="P470" s="1010" t="e">
        <f t="shared" si="26"/>
        <v>#REF!</v>
      </c>
    </row>
    <row r="471" spans="1:16" ht="39" hidden="1" customHeight="1">
      <c r="A471" s="541">
        <v>45138</v>
      </c>
      <c r="B471" s="716">
        <v>45127</v>
      </c>
      <c r="C471" s="145" t="s">
        <v>2027</v>
      </c>
      <c r="D471" s="494" t="s">
        <v>2007</v>
      </c>
      <c r="E471" s="939" t="s">
        <v>762</v>
      </c>
      <c r="F471" s="495" t="s">
        <v>1526</v>
      </c>
      <c r="G471" s="494"/>
      <c r="H471" s="494"/>
      <c r="I471" s="560" t="s">
        <v>1943</v>
      </c>
      <c r="J471" s="935" t="s">
        <v>2028</v>
      </c>
      <c r="K471" s="677" t="str">
        <f>IF(L471=0,"",(INDEX(AccountCodes[ACCOUNT NAME],MATCH(L471,AccountCodes[NGAS CODE],0))))</f>
        <v>Due to BIR - Compensation</v>
      </c>
      <c r="L471" s="936" t="s">
        <v>1546</v>
      </c>
      <c r="M471" s="947">
        <v>1330.76</v>
      </c>
      <c r="N471" s="947"/>
      <c r="O471" s="967" t="s">
        <v>2024</v>
      </c>
      <c r="P471" s="1010" t="e">
        <f>P440+M471-N471</f>
        <v>#REF!</v>
      </c>
    </row>
    <row r="472" spans="1:16" ht="39" hidden="1" customHeight="1">
      <c r="A472" s="541">
        <v>45138</v>
      </c>
      <c r="B472" s="716">
        <v>45127</v>
      </c>
      <c r="C472" s="145" t="s">
        <v>2027</v>
      </c>
      <c r="D472" s="494" t="s">
        <v>2007</v>
      </c>
      <c r="E472" s="939" t="s">
        <v>762</v>
      </c>
      <c r="F472" s="495" t="s">
        <v>1526</v>
      </c>
      <c r="G472" s="494"/>
      <c r="H472" s="494"/>
      <c r="I472" s="668" t="s">
        <v>1943</v>
      </c>
      <c r="J472" s="1009" t="s">
        <v>2028</v>
      </c>
      <c r="K472" s="677" t="str">
        <f>IF(L472=0,"",(INDEX(AccountCodes[ACCOUNT NAME],MATCH(L472,AccountCodes[NGAS CODE],0))))</f>
        <v>Cash in Bank-Local Currency, Current Account - FO</v>
      </c>
      <c r="L472" s="936" t="s">
        <v>1564</v>
      </c>
      <c r="M472" s="947"/>
      <c r="N472" s="947">
        <v>1330.76</v>
      </c>
      <c r="O472" s="967"/>
      <c r="P472" s="1010" t="e">
        <f t="shared" ref="P472:P474" si="27">P471+M472-N472</f>
        <v>#REF!</v>
      </c>
    </row>
    <row r="473" spans="1:16" ht="39" hidden="1" customHeight="1">
      <c r="A473" s="541">
        <v>45138</v>
      </c>
      <c r="B473" s="716">
        <v>45128</v>
      </c>
      <c r="C473" s="145" t="s">
        <v>2029</v>
      </c>
      <c r="D473" s="494" t="s">
        <v>2007</v>
      </c>
      <c r="E473" s="939" t="s">
        <v>762</v>
      </c>
      <c r="F473" s="495" t="s">
        <v>1526</v>
      </c>
      <c r="G473" s="494"/>
      <c r="H473" s="494"/>
      <c r="I473" s="560" t="s">
        <v>1693</v>
      </c>
      <c r="J473" s="935" t="s">
        <v>2030</v>
      </c>
      <c r="K473" s="677" t="str">
        <f>IF(L473=0,"",(INDEX(AccountCodes[ACCOUNT NAME],MATCH(L473,AccountCodes[NGAS CODE],0))))</f>
        <v>Retirement and Life Insurance Premiums</v>
      </c>
      <c r="L473" s="936" t="s">
        <v>175</v>
      </c>
      <c r="M473" s="947">
        <v>2371.9</v>
      </c>
      <c r="N473" s="947"/>
      <c r="O473" s="967" t="s">
        <v>2024</v>
      </c>
      <c r="P473" s="1010" t="e">
        <f t="shared" si="27"/>
        <v>#REF!</v>
      </c>
    </row>
    <row r="474" spans="1:16" ht="39" hidden="1" customHeight="1">
      <c r="A474" s="541">
        <v>45138</v>
      </c>
      <c r="B474" s="716">
        <v>45128</v>
      </c>
      <c r="C474" s="145" t="s">
        <v>2029</v>
      </c>
      <c r="D474" s="494" t="s">
        <v>2007</v>
      </c>
      <c r="E474" s="939" t="s">
        <v>762</v>
      </c>
      <c r="F474" s="495" t="s">
        <v>1526</v>
      </c>
      <c r="G474" s="494"/>
      <c r="H474" s="494"/>
      <c r="I474" s="668" t="s">
        <v>1693</v>
      </c>
      <c r="J474" s="1009" t="s">
        <v>2030</v>
      </c>
      <c r="K474" s="677" t="str">
        <f>IF(L474=0,"",(INDEX(AccountCodes[ACCOUNT NAME],MATCH(L474,AccountCodes[NGAS CODE],0))))</f>
        <v>Employees Compensation Insurance Premiums</v>
      </c>
      <c r="L474" s="936" t="s">
        <v>178</v>
      </c>
      <c r="M474" s="947">
        <v>100</v>
      </c>
      <c r="N474" s="947"/>
      <c r="O474" s="967"/>
      <c r="P474" s="1010" t="e">
        <f t="shared" si="27"/>
        <v>#REF!</v>
      </c>
    </row>
    <row r="475" spans="1:16" ht="39" hidden="1" customHeight="1">
      <c r="A475" s="541">
        <v>45138</v>
      </c>
      <c r="B475" s="716">
        <v>45128</v>
      </c>
      <c r="C475" s="145" t="s">
        <v>2029</v>
      </c>
      <c r="D475" s="494" t="s">
        <v>2007</v>
      </c>
      <c r="E475" s="939" t="s">
        <v>762</v>
      </c>
      <c r="F475" s="495" t="s">
        <v>1526</v>
      </c>
      <c r="G475" s="494"/>
      <c r="H475" s="494"/>
      <c r="I475" s="668" t="s">
        <v>1693</v>
      </c>
      <c r="J475" s="1009" t="s">
        <v>2030</v>
      </c>
      <c r="K475" s="677" t="str">
        <f>IF(L475=0,"",(INDEX(AccountCodes[ACCOUNT NAME],MATCH(L475,AccountCodes[NGAS CODE],0))))</f>
        <v>Due to GSIS - Life and Retirement Premium</v>
      </c>
      <c r="L475" s="936" t="s">
        <v>1440</v>
      </c>
      <c r="M475" s="947">
        <v>1778.93</v>
      </c>
      <c r="N475" s="947"/>
      <c r="O475" s="967"/>
      <c r="P475" s="1010" t="e">
        <f>P440+M475-N475</f>
        <v>#REF!</v>
      </c>
    </row>
    <row r="476" spans="1:16" ht="39" hidden="1" customHeight="1">
      <c r="A476" s="541">
        <v>45138</v>
      </c>
      <c r="B476" s="716">
        <v>45128</v>
      </c>
      <c r="C476" s="145" t="s">
        <v>2029</v>
      </c>
      <c r="D476" s="494" t="s">
        <v>2007</v>
      </c>
      <c r="E476" s="939" t="s">
        <v>762</v>
      </c>
      <c r="F476" s="495" t="s">
        <v>1526</v>
      </c>
      <c r="G476" s="494"/>
      <c r="H476" s="494"/>
      <c r="I476" s="668" t="s">
        <v>1693</v>
      </c>
      <c r="J476" s="1009" t="s">
        <v>2030</v>
      </c>
      <c r="K476" s="677" t="str">
        <f>IF(L476=0,"",(INDEX(AccountCodes[ACCOUNT NAME],MATCH(L476,AccountCodes[NGAS CODE],0))))</f>
        <v>Cash in Bank-Local Currency, Current Account - FO</v>
      </c>
      <c r="L476" s="936" t="s">
        <v>1564</v>
      </c>
      <c r="M476" s="947"/>
      <c r="N476" s="947">
        <v>4250.83</v>
      </c>
      <c r="O476" s="967"/>
      <c r="P476" s="1010" t="e">
        <f t="shared" ref="P476:P478" si="28">P475+M476-N476</f>
        <v>#REF!</v>
      </c>
    </row>
    <row r="477" spans="1:16" ht="39" hidden="1" customHeight="1">
      <c r="A477" s="541">
        <v>45138</v>
      </c>
      <c r="B477" s="716">
        <v>45128</v>
      </c>
      <c r="C477" s="145" t="s">
        <v>2031</v>
      </c>
      <c r="D477" s="494" t="s">
        <v>2007</v>
      </c>
      <c r="E477" s="939" t="s">
        <v>762</v>
      </c>
      <c r="F477" s="495" t="s">
        <v>1526</v>
      </c>
      <c r="G477" s="494"/>
      <c r="H477" s="494"/>
      <c r="I477" s="560" t="s">
        <v>1689</v>
      </c>
      <c r="J477" s="935" t="s">
        <v>2032</v>
      </c>
      <c r="K477" s="677" t="str">
        <f>IF(L477=0,"",(INDEX(AccountCodes[ACCOUNT NAME],MATCH(L477,AccountCodes[NGAS CODE],0))))</f>
        <v>PhilHealth Contributions</v>
      </c>
      <c r="L477" s="936" t="s">
        <v>177</v>
      </c>
      <c r="M477" s="947">
        <v>422.58</v>
      </c>
      <c r="N477" s="947"/>
      <c r="O477" s="967" t="s">
        <v>2024</v>
      </c>
      <c r="P477" s="1010" t="e">
        <f t="shared" si="28"/>
        <v>#REF!</v>
      </c>
    </row>
    <row r="478" spans="1:16" ht="39" hidden="1" customHeight="1">
      <c r="A478" s="541">
        <v>45138</v>
      </c>
      <c r="B478" s="716">
        <v>45128</v>
      </c>
      <c r="C478" s="494" t="s">
        <v>2031</v>
      </c>
      <c r="D478" s="494" t="s">
        <v>2007</v>
      </c>
      <c r="E478" s="939" t="s">
        <v>762</v>
      </c>
      <c r="F478" s="495" t="s">
        <v>1526</v>
      </c>
      <c r="G478" s="494"/>
      <c r="H478" s="494"/>
      <c r="I478" s="668" t="s">
        <v>1689</v>
      </c>
      <c r="J478" s="1009" t="s">
        <v>2032</v>
      </c>
      <c r="K478" s="677" t="str">
        <f>IF(L478=0,"",(INDEX(AccountCodes[ACCOUNT NAME],MATCH(L478,AccountCodes[NGAS CODE],0))))</f>
        <v>Due to PhilHealth</v>
      </c>
      <c r="L478" s="936" t="s">
        <v>112</v>
      </c>
      <c r="M478" s="947">
        <v>422.58</v>
      </c>
      <c r="N478" s="947"/>
      <c r="O478" s="967"/>
      <c r="P478" s="1010" t="e">
        <f t="shared" si="28"/>
        <v>#REF!</v>
      </c>
    </row>
    <row r="479" spans="1:16" ht="39" hidden="1" customHeight="1">
      <c r="A479" s="541">
        <v>45138</v>
      </c>
      <c r="B479" s="716">
        <v>45128</v>
      </c>
      <c r="C479" s="494" t="s">
        <v>2031</v>
      </c>
      <c r="D479" s="494" t="s">
        <v>2007</v>
      </c>
      <c r="E479" s="939" t="s">
        <v>762</v>
      </c>
      <c r="F479" s="495" t="s">
        <v>1526</v>
      </c>
      <c r="G479" s="494"/>
      <c r="H479" s="494"/>
      <c r="I479" s="668" t="s">
        <v>1689</v>
      </c>
      <c r="J479" s="1009" t="s">
        <v>2032</v>
      </c>
      <c r="K479" s="677" t="str">
        <f>IF(L479=0,"",(INDEX(AccountCodes[ACCOUNT NAME],MATCH(L479,AccountCodes[NGAS CODE],0))))</f>
        <v>Cash in Bank-Local Currency, Current Account - FO</v>
      </c>
      <c r="L479" s="936" t="s">
        <v>1564</v>
      </c>
      <c r="M479" s="947"/>
      <c r="N479" s="947">
        <v>845.16</v>
      </c>
      <c r="O479" s="967"/>
      <c r="P479" s="1010" t="e">
        <f>P440+M479-N479</f>
        <v>#REF!</v>
      </c>
    </row>
    <row r="480" spans="1:16" ht="39" hidden="1" customHeight="1">
      <c r="A480" s="541">
        <v>45138</v>
      </c>
      <c r="B480" s="716">
        <v>45128</v>
      </c>
      <c r="C480" s="145" t="s">
        <v>2033</v>
      </c>
      <c r="D480" s="494" t="s">
        <v>2007</v>
      </c>
      <c r="E480" s="939" t="s">
        <v>762</v>
      </c>
      <c r="F480" s="495" t="s">
        <v>1526</v>
      </c>
      <c r="G480" s="494"/>
      <c r="H480" s="494"/>
      <c r="I480" s="560" t="s">
        <v>1859</v>
      </c>
      <c r="J480" s="935" t="s">
        <v>2034</v>
      </c>
      <c r="K480" s="677" t="str">
        <f>IF(L480=0,"",(INDEX(AccountCodes[ACCOUNT NAME],MATCH(L480,AccountCodes[NGAS CODE],0))))</f>
        <v>Due to Pag-IBIG - Pag-IBIG Multi-Purpose Loan</v>
      </c>
      <c r="L480" s="936" t="s">
        <v>1445</v>
      </c>
      <c r="M480" s="947">
        <v>1635.3</v>
      </c>
      <c r="N480" s="947"/>
      <c r="O480" s="967" t="s">
        <v>2024</v>
      </c>
      <c r="P480" s="1010" t="e">
        <f t="shared" ref="P480:P482" si="29">P479+M480-N480</f>
        <v>#REF!</v>
      </c>
    </row>
    <row r="481" spans="1:16" ht="39" hidden="1" customHeight="1">
      <c r="A481" s="541">
        <v>45138</v>
      </c>
      <c r="B481" s="716">
        <v>45128</v>
      </c>
      <c r="C481" s="494" t="s">
        <v>2033</v>
      </c>
      <c r="D481" s="494" t="s">
        <v>2007</v>
      </c>
      <c r="E481" s="939" t="s">
        <v>762</v>
      </c>
      <c r="F481" s="495" t="s">
        <v>1526</v>
      </c>
      <c r="G481" s="494"/>
      <c r="H481" s="494"/>
      <c r="I481" s="668" t="s">
        <v>1859</v>
      </c>
      <c r="J481" s="1009" t="s">
        <v>2034</v>
      </c>
      <c r="K481" s="677" t="str">
        <f>IF(L481=0,"",(INDEX(AccountCodes[ACCOUNT NAME],MATCH(L481,AccountCodes[NGAS CODE],0))))</f>
        <v>Cash in Bank-Local Currency, Current Account - FO</v>
      </c>
      <c r="L481" s="936" t="s">
        <v>1564</v>
      </c>
      <c r="M481" s="947"/>
      <c r="N481" s="947">
        <v>1635.3</v>
      </c>
      <c r="O481" s="967"/>
      <c r="P481" s="1010" t="e">
        <f t="shared" si="29"/>
        <v>#REF!</v>
      </c>
    </row>
    <row r="482" spans="1:16" ht="39" hidden="1" customHeight="1">
      <c r="A482" s="541">
        <v>45138</v>
      </c>
      <c r="B482" s="716">
        <v>45128</v>
      </c>
      <c r="C482" s="145" t="s">
        <v>2035</v>
      </c>
      <c r="D482" s="494" t="s">
        <v>2007</v>
      </c>
      <c r="E482" s="939" t="s">
        <v>762</v>
      </c>
      <c r="F482" s="495" t="s">
        <v>1526</v>
      </c>
      <c r="G482" s="494"/>
      <c r="H482" s="494"/>
      <c r="I482" s="560" t="s">
        <v>1859</v>
      </c>
      <c r="J482" s="935" t="s">
        <v>2036</v>
      </c>
      <c r="K482" s="677" t="str">
        <f>IF(L482=0,"",(INDEX(AccountCodes[ACCOUNT NAME],MATCH(L482,AccountCodes[NGAS CODE],0))))</f>
        <v>Pag-IBIG Contributions</v>
      </c>
      <c r="L482" s="936" t="s">
        <v>176</v>
      </c>
      <c r="M482" s="947">
        <v>100</v>
      </c>
      <c r="N482" s="947"/>
      <c r="O482" s="967" t="s">
        <v>2024</v>
      </c>
      <c r="P482" s="1010" t="e">
        <f t="shared" si="29"/>
        <v>#REF!</v>
      </c>
    </row>
    <row r="483" spans="1:16" ht="39" hidden="1" customHeight="1">
      <c r="A483" s="541">
        <v>45138</v>
      </c>
      <c r="B483" s="716">
        <v>45128</v>
      </c>
      <c r="C483" s="494" t="s">
        <v>2035</v>
      </c>
      <c r="D483" s="494" t="s">
        <v>2007</v>
      </c>
      <c r="E483" s="939" t="s">
        <v>762</v>
      </c>
      <c r="F483" s="495" t="s">
        <v>1526</v>
      </c>
      <c r="G483" s="494"/>
      <c r="H483" s="494"/>
      <c r="I483" s="668" t="s">
        <v>1859</v>
      </c>
      <c r="J483" s="1009" t="s">
        <v>2036</v>
      </c>
      <c r="K483" s="677" t="str">
        <f>IF(L483=0,"",(INDEX(AccountCodes[ACCOUNT NAME],MATCH(L483,AccountCodes[NGAS CODE],0))))</f>
        <v>Due to Pag-IBIG - Pag-IBIG Premium</v>
      </c>
      <c r="L483" s="936" t="s">
        <v>1444</v>
      </c>
      <c r="M483" s="947">
        <v>422.58</v>
      </c>
      <c r="N483" s="947"/>
      <c r="O483" s="967"/>
      <c r="P483" s="1010" t="e">
        <f>P440+M483-N483</f>
        <v>#REF!</v>
      </c>
    </row>
    <row r="484" spans="1:16" ht="39" hidden="1" customHeight="1">
      <c r="A484" s="541">
        <v>45138</v>
      </c>
      <c r="B484" s="716">
        <v>45128</v>
      </c>
      <c r="C484" s="494" t="s">
        <v>2035</v>
      </c>
      <c r="D484" s="494" t="s">
        <v>2007</v>
      </c>
      <c r="E484" s="939" t="s">
        <v>762</v>
      </c>
      <c r="F484" s="495" t="s">
        <v>1526</v>
      </c>
      <c r="G484" s="494"/>
      <c r="H484" s="494"/>
      <c r="I484" s="668" t="s">
        <v>1859</v>
      </c>
      <c r="J484" s="1009" t="s">
        <v>2036</v>
      </c>
      <c r="K484" s="677" t="str">
        <f>IF(L484=0,"",(INDEX(AccountCodes[ACCOUNT NAME],MATCH(L484,AccountCodes[NGAS CODE],0))))</f>
        <v>Cash in Bank-Local Currency, Current Account - FO</v>
      </c>
      <c r="L484" s="936" t="s">
        <v>1564</v>
      </c>
      <c r="M484" s="947"/>
      <c r="N484" s="947">
        <v>522.58000000000004</v>
      </c>
      <c r="O484" s="967"/>
      <c r="P484" s="1010" t="e">
        <f t="shared" ref="P484:P486" si="30">P483+M484-N484</f>
        <v>#REF!</v>
      </c>
    </row>
    <row r="485" spans="1:16" ht="39" hidden="1" customHeight="1">
      <c r="A485" s="541">
        <v>45138</v>
      </c>
      <c r="B485" s="716">
        <v>45135</v>
      </c>
      <c r="C485" s="494" t="s">
        <v>2037</v>
      </c>
      <c r="D485" s="494" t="s">
        <v>2007</v>
      </c>
      <c r="E485" s="939" t="s">
        <v>762</v>
      </c>
      <c r="F485" s="495" t="s">
        <v>1526</v>
      </c>
      <c r="G485" s="494"/>
      <c r="H485" s="494"/>
      <c r="I485" s="560" t="s">
        <v>1689</v>
      </c>
      <c r="J485" s="935" t="s">
        <v>2038</v>
      </c>
      <c r="K485" s="677" t="str">
        <f>IF(L485=0,"",(INDEX(AccountCodes[ACCOUNT NAME],MATCH(L485,AccountCodes[NGAS CODE],0))))</f>
        <v>PhilHealth Contributions</v>
      </c>
      <c r="L485" s="936" t="s">
        <v>177</v>
      </c>
      <c r="M485" s="947">
        <v>1166.4000000000001</v>
      </c>
      <c r="N485" s="947"/>
      <c r="O485" s="967" t="s">
        <v>2024</v>
      </c>
      <c r="P485" s="1010" t="e">
        <f t="shared" si="30"/>
        <v>#REF!</v>
      </c>
    </row>
    <row r="486" spans="1:16" ht="39" hidden="1" customHeight="1">
      <c r="A486" s="541">
        <v>45138</v>
      </c>
      <c r="B486" s="716">
        <v>45135</v>
      </c>
      <c r="C486" s="494" t="s">
        <v>2037</v>
      </c>
      <c r="D486" s="494" t="s">
        <v>2007</v>
      </c>
      <c r="E486" s="939" t="s">
        <v>762</v>
      </c>
      <c r="F486" s="495" t="s">
        <v>1526</v>
      </c>
      <c r="G486" s="494"/>
      <c r="H486" s="494"/>
      <c r="I486" s="668" t="s">
        <v>1689</v>
      </c>
      <c r="J486" s="1009" t="s">
        <v>2038</v>
      </c>
      <c r="K486" s="677" t="str">
        <f>IF(L486=0,"",(INDEX(AccountCodes[ACCOUNT NAME],MATCH(L486,AccountCodes[NGAS CODE],0))))</f>
        <v>Due to PhilHealth</v>
      </c>
      <c r="L486" s="936" t="s">
        <v>112</v>
      </c>
      <c r="M486" s="947">
        <v>1166.4000000000001</v>
      </c>
      <c r="N486" s="947"/>
      <c r="O486" s="967"/>
      <c r="P486" s="1010" t="e">
        <f t="shared" si="30"/>
        <v>#REF!</v>
      </c>
    </row>
    <row r="487" spans="1:16" ht="39" hidden="1" customHeight="1">
      <c r="A487" s="541">
        <v>45138</v>
      </c>
      <c r="B487" s="716">
        <v>45135</v>
      </c>
      <c r="C487" s="494" t="s">
        <v>2037</v>
      </c>
      <c r="D487" s="494" t="s">
        <v>2007</v>
      </c>
      <c r="E487" s="939" t="s">
        <v>762</v>
      </c>
      <c r="F487" s="495" t="s">
        <v>1526</v>
      </c>
      <c r="G487" s="494"/>
      <c r="H487" s="494"/>
      <c r="I487" s="668" t="s">
        <v>1689</v>
      </c>
      <c r="J487" s="1009" t="s">
        <v>2038</v>
      </c>
      <c r="K487" s="677" t="str">
        <f>IF(L487=0,"",(INDEX(AccountCodes[ACCOUNT NAME],MATCH(L487,AccountCodes[NGAS CODE],0))))</f>
        <v>Cash in Bank-Local Currency, Current Account - FO</v>
      </c>
      <c r="L487" s="936" t="s">
        <v>1564</v>
      </c>
      <c r="M487" s="947"/>
      <c r="N487" s="947">
        <v>2332.8000000000002</v>
      </c>
      <c r="O487" s="967"/>
      <c r="P487" s="1010" t="e">
        <f>P440+M487-N487</f>
        <v>#REF!</v>
      </c>
    </row>
    <row r="488" spans="1:16" ht="39" hidden="1" customHeight="1">
      <c r="A488" s="541">
        <v>45138</v>
      </c>
      <c r="B488" s="716">
        <v>45135</v>
      </c>
      <c r="C488" s="494" t="s">
        <v>2039</v>
      </c>
      <c r="D488" s="494" t="s">
        <v>2007</v>
      </c>
      <c r="E488" s="939" t="s">
        <v>762</v>
      </c>
      <c r="F488" s="495" t="s">
        <v>1526</v>
      </c>
      <c r="G488" s="494"/>
      <c r="H488" s="494"/>
      <c r="I488" s="560" t="s">
        <v>2040</v>
      </c>
      <c r="J488" s="935" t="s">
        <v>2041</v>
      </c>
      <c r="K488" s="677" t="str">
        <f>IF(L488=0,"",(INDEX(AccountCodes[ACCOUNT NAME],MATCH(L488,AccountCodes[NGAS CODE],0))))</f>
        <v>Salaries and Wages-Regular</v>
      </c>
      <c r="L488" s="936" t="s">
        <v>162</v>
      </c>
      <c r="M488" s="947">
        <v>20168.599999999999</v>
      </c>
      <c r="N488" s="947"/>
      <c r="O488" s="967" t="s">
        <v>2024</v>
      </c>
      <c r="P488" s="1010" t="e">
        <f t="shared" ref="P488:P490" si="31">P487+M488-N488</f>
        <v>#REF!</v>
      </c>
    </row>
    <row r="489" spans="1:16" ht="39" hidden="1" customHeight="1">
      <c r="A489" s="541">
        <v>45138</v>
      </c>
      <c r="B489" s="716">
        <v>45135</v>
      </c>
      <c r="C489" s="494" t="s">
        <v>2039</v>
      </c>
      <c r="D489" s="494" t="s">
        <v>2007</v>
      </c>
      <c r="E489" s="939" t="s">
        <v>762</v>
      </c>
      <c r="F489" s="495" t="s">
        <v>1526</v>
      </c>
      <c r="G489" s="494"/>
      <c r="H489" s="494"/>
      <c r="I489" s="668" t="s">
        <v>2040</v>
      </c>
      <c r="J489" s="1009" t="s">
        <v>2041</v>
      </c>
      <c r="K489" s="677" t="str">
        <f>IF(L489=0,"",(INDEX(AccountCodes[ACCOUNT NAME],MATCH(L489,AccountCodes[NGAS CODE],0))))</f>
        <v>Personal Economic Relief Allowance (PERA)</v>
      </c>
      <c r="L489" s="936" t="s">
        <v>164</v>
      </c>
      <c r="M489" s="947">
        <v>1909.11</v>
      </c>
      <c r="N489" s="947"/>
      <c r="O489" s="967"/>
      <c r="P489" s="1010" t="e">
        <f t="shared" si="31"/>
        <v>#REF!</v>
      </c>
    </row>
    <row r="490" spans="1:16" ht="39" hidden="1" customHeight="1">
      <c r="A490" s="541">
        <v>45138</v>
      </c>
      <c r="B490" s="716">
        <v>45135</v>
      </c>
      <c r="C490" s="494" t="s">
        <v>2039</v>
      </c>
      <c r="D490" s="494" t="s">
        <v>2007</v>
      </c>
      <c r="E490" s="939" t="s">
        <v>762</v>
      </c>
      <c r="F490" s="495" t="s">
        <v>1526</v>
      </c>
      <c r="G490" s="494"/>
      <c r="H490" s="494"/>
      <c r="I490" s="668" t="s">
        <v>2040</v>
      </c>
      <c r="J490" s="1009" t="s">
        <v>2041</v>
      </c>
      <c r="K490" s="677" t="str">
        <f>IF(L490=0,"",(INDEX(AccountCodes[ACCOUNT NAME],MATCH(L490,AccountCodes[NGAS CODE],0))))</f>
        <v>Due to GSIS - Life and Retirement Premium</v>
      </c>
      <c r="L490" s="936" t="s">
        <v>1440</v>
      </c>
      <c r="M490" s="947"/>
      <c r="N490" s="947">
        <v>1778.93</v>
      </c>
      <c r="O490" s="967"/>
      <c r="P490" s="1010" t="e">
        <f t="shared" si="31"/>
        <v>#REF!</v>
      </c>
    </row>
    <row r="491" spans="1:16" ht="39" hidden="1" customHeight="1">
      <c r="A491" s="541">
        <v>45138</v>
      </c>
      <c r="B491" s="716">
        <v>45135</v>
      </c>
      <c r="C491" s="494" t="s">
        <v>2039</v>
      </c>
      <c r="D491" s="494" t="s">
        <v>2007</v>
      </c>
      <c r="E491" s="939" t="s">
        <v>762</v>
      </c>
      <c r="F491" s="495" t="s">
        <v>1526</v>
      </c>
      <c r="G491" s="494"/>
      <c r="H491" s="494"/>
      <c r="I491" s="668" t="s">
        <v>2040</v>
      </c>
      <c r="J491" s="1009" t="s">
        <v>2041</v>
      </c>
      <c r="K491" s="677" t="str">
        <f>IF(L491=0,"",(INDEX(AccountCodes[ACCOUNT NAME],MATCH(L491,AccountCodes[NGAS CODE],0))))</f>
        <v>Due to Pag-IBIG - Pag-IBIG Premium</v>
      </c>
      <c r="L491" s="936" t="s">
        <v>1444</v>
      </c>
      <c r="M491" s="947"/>
      <c r="N491" s="947">
        <v>422.58</v>
      </c>
      <c r="O491" s="967"/>
      <c r="P491" s="1010" t="e">
        <f>P440+M491-N491</f>
        <v>#REF!</v>
      </c>
    </row>
    <row r="492" spans="1:16" ht="39" hidden="1" customHeight="1">
      <c r="A492" s="541">
        <v>45138</v>
      </c>
      <c r="B492" s="716">
        <v>45135</v>
      </c>
      <c r="C492" s="494" t="s">
        <v>2039</v>
      </c>
      <c r="D492" s="494" t="s">
        <v>2007</v>
      </c>
      <c r="E492" s="939" t="s">
        <v>762</v>
      </c>
      <c r="F492" s="495" t="s">
        <v>1526</v>
      </c>
      <c r="G492" s="494"/>
      <c r="H492" s="494"/>
      <c r="I492" s="668" t="s">
        <v>2040</v>
      </c>
      <c r="J492" s="1009" t="s">
        <v>2041</v>
      </c>
      <c r="K492" s="677" t="str">
        <f>IF(L492=0,"",(INDEX(AccountCodes[ACCOUNT NAME],MATCH(L492,AccountCodes[NGAS CODE],0))))</f>
        <v>Due to Pag-IBIG - Pag-IBIG Multi-Purpose Loan</v>
      </c>
      <c r="L492" s="936" t="s">
        <v>1445</v>
      </c>
      <c r="M492" s="947"/>
      <c r="N492" s="947">
        <v>1635.3</v>
      </c>
      <c r="O492" s="967"/>
      <c r="P492" s="1010" t="e">
        <f t="shared" ref="P492:P494" si="32">P491+M492-N492</f>
        <v>#REF!</v>
      </c>
    </row>
    <row r="493" spans="1:16" ht="39" hidden="1" customHeight="1">
      <c r="A493" s="541">
        <v>45138</v>
      </c>
      <c r="B493" s="716">
        <v>45135</v>
      </c>
      <c r="C493" s="494" t="s">
        <v>2039</v>
      </c>
      <c r="D493" s="494" t="s">
        <v>2007</v>
      </c>
      <c r="E493" s="939" t="s">
        <v>762</v>
      </c>
      <c r="F493" s="495" t="s">
        <v>1526</v>
      </c>
      <c r="G493" s="494"/>
      <c r="H493" s="494"/>
      <c r="I493" s="668" t="s">
        <v>2040</v>
      </c>
      <c r="J493" s="1009" t="s">
        <v>2041</v>
      </c>
      <c r="K493" s="677" t="str">
        <f>IF(L493=0,"",(INDEX(AccountCodes[ACCOUNT NAME],MATCH(L493,AccountCodes[NGAS CODE],0))))</f>
        <v>Due to PhilHealth</v>
      </c>
      <c r="L493" s="936" t="s">
        <v>112</v>
      </c>
      <c r="M493" s="947"/>
      <c r="N493" s="947">
        <v>422.58</v>
      </c>
      <c r="O493" s="967"/>
      <c r="P493" s="1010" t="e">
        <f t="shared" si="32"/>
        <v>#REF!</v>
      </c>
    </row>
    <row r="494" spans="1:16" ht="39" hidden="1" customHeight="1">
      <c r="A494" s="541">
        <v>45138</v>
      </c>
      <c r="B494" s="716">
        <v>45135</v>
      </c>
      <c r="C494" s="494" t="s">
        <v>2039</v>
      </c>
      <c r="D494" s="494" t="s">
        <v>2007</v>
      </c>
      <c r="E494" s="939" t="s">
        <v>762</v>
      </c>
      <c r="F494" s="495" t="s">
        <v>1526</v>
      </c>
      <c r="G494" s="494"/>
      <c r="H494" s="494"/>
      <c r="I494" s="668" t="s">
        <v>2040</v>
      </c>
      <c r="J494" s="1009" t="s">
        <v>2041</v>
      </c>
      <c r="K494" s="677" t="str">
        <f>IF(L494=0,"",(INDEX(AccountCodes[ACCOUNT NAME],MATCH(L494,AccountCodes[NGAS CODE],0))))</f>
        <v>Cash in Bank-Local Currency, Current Account - FO</v>
      </c>
      <c r="L494" s="936" t="s">
        <v>1564</v>
      </c>
      <c r="M494" s="947"/>
      <c r="N494" s="947">
        <v>17818.32</v>
      </c>
      <c r="O494" s="967"/>
      <c r="P494" s="1010" t="e">
        <f t="shared" si="32"/>
        <v>#REF!</v>
      </c>
    </row>
    <row r="495" spans="1:16" ht="39" hidden="1" customHeight="1">
      <c r="A495" s="541">
        <v>45138</v>
      </c>
      <c r="B495" s="716">
        <v>45135</v>
      </c>
      <c r="C495" s="145" t="s">
        <v>2042</v>
      </c>
      <c r="D495" s="494" t="s">
        <v>2007</v>
      </c>
      <c r="E495" s="939" t="s">
        <v>762</v>
      </c>
      <c r="F495" s="495" t="s">
        <v>1526</v>
      </c>
      <c r="G495" s="494"/>
      <c r="H495" s="494"/>
      <c r="I495" s="560" t="s">
        <v>1760</v>
      </c>
      <c r="J495" s="935" t="s">
        <v>2043</v>
      </c>
      <c r="K495" s="677" t="str">
        <f>IF(L495=0,"",(INDEX(AccountCodes[ACCOUNT NAME],MATCH(L495,AccountCodes[NGAS CODE],0))))</f>
        <v>Fuel, Oil and Lubricants Expenses</v>
      </c>
      <c r="L495" s="936" t="s">
        <v>229</v>
      </c>
      <c r="M495" s="947">
        <v>4360.96</v>
      </c>
      <c r="N495" s="947"/>
      <c r="O495" s="954" t="s">
        <v>2015</v>
      </c>
      <c r="P495" s="1010" t="e">
        <f>P440+M495-N495</f>
        <v>#REF!</v>
      </c>
    </row>
    <row r="496" spans="1:16" ht="39" hidden="1" customHeight="1">
      <c r="A496" s="541">
        <v>45138</v>
      </c>
      <c r="B496" s="716">
        <v>45135</v>
      </c>
      <c r="C496" s="494" t="s">
        <v>2042</v>
      </c>
      <c r="D496" s="494" t="s">
        <v>2007</v>
      </c>
      <c r="E496" s="939" t="s">
        <v>762</v>
      </c>
      <c r="F496" s="495" t="s">
        <v>1526</v>
      </c>
      <c r="G496" s="494"/>
      <c r="H496" s="494"/>
      <c r="I496" s="668" t="s">
        <v>1760</v>
      </c>
      <c r="J496" s="1009" t="s">
        <v>2043</v>
      </c>
      <c r="K496" s="677" t="str">
        <f>IF(L496=0,"",(INDEX(AccountCodes[ACCOUNT NAME],MATCH(L496,AccountCodes[NGAS CODE],0))))</f>
        <v>Due to BIR - 1%</v>
      </c>
      <c r="L496" s="936" t="s">
        <v>1554</v>
      </c>
      <c r="M496" s="947"/>
      <c r="N496" s="947">
        <v>38.94</v>
      </c>
      <c r="O496" s="967"/>
      <c r="P496" s="1010" t="e">
        <f t="shared" ref="P496:P498" si="33">P495+M496-N496</f>
        <v>#REF!</v>
      </c>
    </row>
    <row r="497" spans="1:16" ht="39" hidden="1" customHeight="1">
      <c r="A497" s="541">
        <v>45138</v>
      </c>
      <c r="B497" s="716">
        <v>45135</v>
      </c>
      <c r="C497" s="494" t="s">
        <v>2042</v>
      </c>
      <c r="D497" s="494" t="s">
        <v>2007</v>
      </c>
      <c r="E497" s="939" t="s">
        <v>762</v>
      </c>
      <c r="F497" s="495" t="s">
        <v>1526</v>
      </c>
      <c r="G497" s="494"/>
      <c r="H497" s="494"/>
      <c r="I497" s="668" t="s">
        <v>1760</v>
      </c>
      <c r="J497" s="1009" t="s">
        <v>2043</v>
      </c>
      <c r="K497" s="677" t="str">
        <f>IF(L497=0,"",(INDEX(AccountCodes[ACCOUNT NAME],MATCH(L497,AccountCodes[NGAS CODE],0))))</f>
        <v>Due to BIR - 5%</v>
      </c>
      <c r="L497" s="936" t="s">
        <v>1548</v>
      </c>
      <c r="M497" s="947"/>
      <c r="N497" s="947">
        <v>194.69</v>
      </c>
      <c r="O497" s="967"/>
      <c r="P497" s="1010" t="e">
        <f t="shared" si="33"/>
        <v>#REF!</v>
      </c>
    </row>
    <row r="498" spans="1:16" ht="39" hidden="1" customHeight="1">
      <c r="A498" s="541">
        <v>45138</v>
      </c>
      <c r="B498" s="716">
        <v>45135</v>
      </c>
      <c r="C498" s="494" t="s">
        <v>2042</v>
      </c>
      <c r="D498" s="494" t="s">
        <v>2007</v>
      </c>
      <c r="E498" s="939" t="s">
        <v>762</v>
      </c>
      <c r="F498" s="495" t="s">
        <v>1526</v>
      </c>
      <c r="G498" s="494"/>
      <c r="H498" s="494"/>
      <c r="I498" s="668" t="s">
        <v>1760</v>
      </c>
      <c r="J498" s="1009" t="s">
        <v>2043</v>
      </c>
      <c r="K498" s="677" t="str">
        <f>IF(L498=0,"",(INDEX(AccountCodes[ACCOUNT NAME],MATCH(L498,AccountCodes[NGAS CODE],0))))</f>
        <v>Cash in Bank-Local Currency, Current Account - FO</v>
      </c>
      <c r="L498" s="936" t="s">
        <v>1564</v>
      </c>
      <c r="M498" s="947"/>
      <c r="N498" s="947">
        <v>4127.33</v>
      </c>
      <c r="O498" s="967"/>
      <c r="P498" s="1010" t="e">
        <f t="shared" si="33"/>
        <v>#REF!</v>
      </c>
    </row>
    <row r="499" spans="1:16" ht="39" hidden="1" customHeight="1">
      <c r="A499" s="541">
        <v>45138</v>
      </c>
      <c r="B499" s="716">
        <v>45135</v>
      </c>
      <c r="C499" s="145" t="s">
        <v>2044</v>
      </c>
      <c r="D499" s="494" t="s">
        <v>2007</v>
      </c>
      <c r="E499" s="939" t="s">
        <v>762</v>
      </c>
      <c r="F499" s="495" t="s">
        <v>1526</v>
      </c>
      <c r="G499" s="494"/>
      <c r="H499" s="494"/>
      <c r="I499" s="668" t="s">
        <v>1760</v>
      </c>
      <c r="J499" s="935" t="s">
        <v>2045</v>
      </c>
      <c r="K499" s="677" t="str">
        <f>IF(L499=0,"",(INDEX(AccountCodes[ACCOUNT NAME],MATCH(L499,AccountCodes[NGAS CODE],0))))</f>
        <v>Fuel, Oil and Lubricants Expenses</v>
      </c>
      <c r="L499" s="936" t="s">
        <v>229</v>
      </c>
      <c r="M499" s="947">
        <v>4987.88</v>
      </c>
      <c r="N499" s="947"/>
      <c r="O499" s="954" t="s">
        <v>2046</v>
      </c>
      <c r="P499" s="1010" t="e">
        <f>P440+M499-N499</f>
        <v>#REF!</v>
      </c>
    </row>
    <row r="500" spans="1:16" ht="39" hidden="1" customHeight="1">
      <c r="A500" s="541">
        <v>45138</v>
      </c>
      <c r="B500" s="716">
        <v>45135</v>
      </c>
      <c r="C500" s="494" t="s">
        <v>2044</v>
      </c>
      <c r="D500" s="494" t="s">
        <v>2007</v>
      </c>
      <c r="E500" s="939" t="s">
        <v>762</v>
      </c>
      <c r="F500" s="495" t="s">
        <v>1526</v>
      </c>
      <c r="G500" s="494"/>
      <c r="H500" s="494"/>
      <c r="I500" s="668" t="s">
        <v>1760</v>
      </c>
      <c r="J500" s="935" t="s">
        <v>2045</v>
      </c>
      <c r="K500" s="677" t="str">
        <f>IF(L500=0,"",(INDEX(AccountCodes[ACCOUNT NAME],MATCH(L500,AccountCodes[NGAS CODE],0))))</f>
        <v>Due to BIR - 1%</v>
      </c>
      <c r="L500" s="936" t="s">
        <v>1554</v>
      </c>
      <c r="M500" s="947"/>
      <c r="N500" s="947">
        <v>44.53</v>
      </c>
      <c r="O500" s="967"/>
      <c r="P500" s="1010" t="e">
        <f t="shared" ref="P500:P502" si="34">P499+M500-N500</f>
        <v>#REF!</v>
      </c>
    </row>
    <row r="501" spans="1:16" ht="39" hidden="1" customHeight="1">
      <c r="A501" s="541">
        <v>45138</v>
      </c>
      <c r="B501" s="716">
        <v>45135</v>
      </c>
      <c r="C501" s="494" t="s">
        <v>2044</v>
      </c>
      <c r="D501" s="494" t="s">
        <v>2007</v>
      </c>
      <c r="E501" s="939" t="s">
        <v>762</v>
      </c>
      <c r="F501" s="495" t="s">
        <v>1526</v>
      </c>
      <c r="G501" s="494"/>
      <c r="H501" s="494"/>
      <c r="I501" s="668" t="s">
        <v>1760</v>
      </c>
      <c r="J501" s="935" t="s">
        <v>2045</v>
      </c>
      <c r="K501" s="677" t="str">
        <f>IF(L501=0,"",(INDEX(AccountCodes[ACCOUNT NAME],MATCH(L501,AccountCodes[NGAS CODE],0))))</f>
        <v>Due to BIR - 5%</v>
      </c>
      <c r="L501" s="936" t="s">
        <v>1548</v>
      </c>
      <c r="M501" s="947"/>
      <c r="N501" s="947">
        <v>222.67</v>
      </c>
      <c r="O501" s="967"/>
      <c r="P501" s="1010" t="e">
        <f t="shared" si="34"/>
        <v>#REF!</v>
      </c>
    </row>
    <row r="502" spans="1:16" ht="39" hidden="1" customHeight="1">
      <c r="A502" s="541">
        <v>45138</v>
      </c>
      <c r="B502" s="716">
        <v>45135</v>
      </c>
      <c r="C502" s="494" t="s">
        <v>2044</v>
      </c>
      <c r="D502" s="494" t="s">
        <v>2007</v>
      </c>
      <c r="E502" s="939" t="s">
        <v>762</v>
      </c>
      <c r="F502" s="495" t="s">
        <v>1526</v>
      </c>
      <c r="G502" s="494"/>
      <c r="H502" s="494"/>
      <c r="I502" s="668" t="s">
        <v>1760</v>
      </c>
      <c r="J502" s="935" t="s">
        <v>2045</v>
      </c>
      <c r="K502" s="677" t="str">
        <f>IF(L502=0,"",(INDEX(AccountCodes[ACCOUNT NAME],MATCH(L502,AccountCodes[NGAS CODE],0))))</f>
        <v>Cash in Bank-Local Currency, Current Account - FO</v>
      </c>
      <c r="L502" s="936" t="s">
        <v>1564</v>
      </c>
      <c r="M502" s="947"/>
      <c r="N502" s="947">
        <v>4720.68</v>
      </c>
      <c r="O502" s="967"/>
      <c r="P502" s="1010" t="e">
        <f t="shared" si="34"/>
        <v>#REF!</v>
      </c>
    </row>
    <row r="503" spans="1:16" ht="39" hidden="1" customHeight="1">
      <c r="A503" s="541">
        <v>45138</v>
      </c>
      <c r="B503" s="716">
        <v>45135</v>
      </c>
      <c r="C503" s="145" t="s">
        <v>2047</v>
      </c>
      <c r="D503" s="494" t="s">
        <v>2007</v>
      </c>
      <c r="E503" s="939" t="s">
        <v>762</v>
      </c>
      <c r="F503" s="495" t="s">
        <v>1526</v>
      </c>
      <c r="G503" s="494"/>
      <c r="H503" s="494"/>
      <c r="I503" s="560" t="s">
        <v>1788</v>
      </c>
      <c r="J503" s="935" t="s">
        <v>2048</v>
      </c>
      <c r="K503" s="677" t="str">
        <f>IF(L503=0,"",(INDEX(AccountCodes[ACCOUNT NAME],MATCH(L503,AccountCodes[NGAS CODE],0))))</f>
        <v>Semi-Expendable Office Equipment</v>
      </c>
      <c r="L503" s="936" t="s">
        <v>1245</v>
      </c>
      <c r="M503" s="947">
        <v>16796</v>
      </c>
      <c r="N503" s="947"/>
      <c r="O503" s="954" t="s">
        <v>2049</v>
      </c>
      <c r="P503" s="1010" t="e">
        <f>P440+M503-N503</f>
        <v>#REF!</v>
      </c>
    </row>
    <row r="504" spans="1:16" ht="39" hidden="1" customHeight="1">
      <c r="A504" s="541">
        <v>45138</v>
      </c>
      <c r="B504" s="716">
        <v>45135</v>
      </c>
      <c r="C504" s="494" t="s">
        <v>2047</v>
      </c>
      <c r="D504" s="494" t="s">
        <v>2007</v>
      </c>
      <c r="E504" s="939" t="s">
        <v>762</v>
      </c>
      <c r="F504" s="495" t="s">
        <v>1526</v>
      </c>
      <c r="G504" s="494"/>
      <c r="H504" s="494"/>
      <c r="I504" s="668" t="s">
        <v>1788</v>
      </c>
      <c r="J504" s="1009" t="s">
        <v>2048</v>
      </c>
      <c r="K504" s="677" t="str">
        <f>IF(L504=0,"",(INDEX(AccountCodes[ACCOUNT NAME],MATCH(L504,AccountCodes[NGAS CODE],0))))</f>
        <v>Due to BIR - 1%</v>
      </c>
      <c r="L504" s="936" t="s">
        <v>1554</v>
      </c>
      <c r="M504" s="947"/>
      <c r="N504" s="947">
        <v>149.96</v>
      </c>
      <c r="O504" s="967"/>
      <c r="P504" s="1010" t="e">
        <f t="shared" ref="P504:P506" si="35">P503+M504-N504</f>
        <v>#REF!</v>
      </c>
    </row>
    <row r="505" spans="1:16" ht="39" hidden="1" customHeight="1">
      <c r="A505" s="541">
        <v>45138</v>
      </c>
      <c r="B505" s="716">
        <v>45135</v>
      </c>
      <c r="C505" s="494" t="s">
        <v>2047</v>
      </c>
      <c r="D505" s="494" t="s">
        <v>2007</v>
      </c>
      <c r="E505" s="939" t="s">
        <v>762</v>
      </c>
      <c r="F505" s="495" t="s">
        <v>1526</v>
      </c>
      <c r="G505" s="494"/>
      <c r="H505" s="494"/>
      <c r="I505" s="668" t="s">
        <v>1788</v>
      </c>
      <c r="J505" s="1009" t="s">
        <v>2048</v>
      </c>
      <c r="K505" s="677" t="str">
        <f>IF(L505=0,"",(INDEX(AccountCodes[ACCOUNT NAME],MATCH(L505,AccountCodes[NGAS CODE],0))))</f>
        <v>Due to BIR - 5%</v>
      </c>
      <c r="L505" s="936" t="s">
        <v>1548</v>
      </c>
      <c r="M505" s="947"/>
      <c r="N505" s="947">
        <v>749.82</v>
      </c>
      <c r="O505" s="967"/>
      <c r="P505" s="1010" t="e">
        <f t="shared" si="35"/>
        <v>#REF!</v>
      </c>
    </row>
    <row r="506" spans="1:16" ht="39" hidden="1" customHeight="1">
      <c r="A506" s="541">
        <v>45138</v>
      </c>
      <c r="B506" s="716">
        <v>45135</v>
      </c>
      <c r="C506" s="494" t="s">
        <v>2047</v>
      </c>
      <c r="D506" s="494" t="s">
        <v>2007</v>
      </c>
      <c r="E506" s="939" t="s">
        <v>762</v>
      </c>
      <c r="F506" s="495" t="s">
        <v>1526</v>
      </c>
      <c r="G506" s="494"/>
      <c r="H506" s="494"/>
      <c r="I506" s="668" t="s">
        <v>1788</v>
      </c>
      <c r="J506" s="1009" t="s">
        <v>2048</v>
      </c>
      <c r="K506" s="677" t="str">
        <f>IF(L506=0,"",(INDEX(AccountCodes[ACCOUNT NAME],MATCH(L506,AccountCodes[NGAS CODE],0))))</f>
        <v>Cash in Bank-Local Currency, Current Account - FO</v>
      </c>
      <c r="L506" s="936" t="s">
        <v>1564</v>
      </c>
      <c r="M506" s="947"/>
      <c r="N506" s="947">
        <v>15896.22</v>
      </c>
      <c r="O506" s="967"/>
      <c r="P506" s="1010" t="e">
        <f t="shared" si="35"/>
        <v>#REF!</v>
      </c>
    </row>
    <row r="507" spans="1:16" ht="39" hidden="1" customHeight="1">
      <c r="A507" s="934">
        <v>45138</v>
      </c>
      <c r="B507" s="559">
        <v>45135</v>
      </c>
      <c r="C507" s="145" t="s">
        <v>2050</v>
      </c>
      <c r="D507" s="145" t="s">
        <v>2007</v>
      </c>
      <c r="E507" s="185" t="s">
        <v>762</v>
      </c>
      <c r="F507" s="137" t="s">
        <v>1526</v>
      </c>
      <c r="G507" s="145"/>
      <c r="H507" s="145"/>
      <c r="I507" s="560" t="s">
        <v>2051</v>
      </c>
      <c r="J507" s="935" t="s">
        <v>2052</v>
      </c>
      <c r="K507" s="700" t="str">
        <f>IF(L507=0,"",(INDEX(AccountCodes[ACCOUNT NAME],MATCH(L507,AccountCodes[NGAS CODE],0))))</f>
        <v>Semi-Expendable Office Equipment</v>
      </c>
      <c r="L507" s="936" t="s">
        <v>1245</v>
      </c>
      <c r="M507" s="947">
        <v>39500</v>
      </c>
      <c r="N507" s="947"/>
      <c r="O507" s="954" t="s">
        <v>1690</v>
      </c>
      <c r="P507" s="150" t="e">
        <f t="shared" ref="P507:P510" si="36">P506+M507-N507</f>
        <v>#REF!</v>
      </c>
    </row>
    <row r="508" spans="1:16" ht="39" hidden="1" customHeight="1">
      <c r="A508" s="934">
        <v>45138</v>
      </c>
      <c r="B508" s="559">
        <v>45135</v>
      </c>
      <c r="C508" s="145" t="s">
        <v>2050</v>
      </c>
      <c r="D508" s="145" t="s">
        <v>2007</v>
      </c>
      <c r="E508" s="185" t="s">
        <v>762</v>
      </c>
      <c r="F508" s="137" t="s">
        <v>1526</v>
      </c>
      <c r="G508" s="145"/>
      <c r="H508" s="145"/>
      <c r="I508" s="560" t="s">
        <v>2051</v>
      </c>
      <c r="J508" s="935" t="s">
        <v>2052</v>
      </c>
      <c r="K508" s="700" t="str">
        <f>IF(L508=0,"",(INDEX(AccountCodes[ACCOUNT NAME],MATCH(L508,AccountCodes[NGAS CODE],0))))</f>
        <v>Due to BIR - 1%</v>
      </c>
      <c r="L508" s="936" t="s">
        <v>1554</v>
      </c>
      <c r="M508" s="947"/>
      <c r="N508" s="947">
        <v>352.68</v>
      </c>
      <c r="O508" s="954"/>
      <c r="P508" s="150" t="e">
        <f t="shared" si="36"/>
        <v>#REF!</v>
      </c>
    </row>
    <row r="509" spans="1:16" ht="39" hidden="1" customHeight="1">
      <c r="A509" s="934">
        <v>45138</v>
      </c>
      <c r="B509" s="559">
        <v>45135</v>
      </c>
      <c r="C509" s="145" t="s">
        <v>2050</v>
      </c>
      <c r="D509" s="145" t="s">
        <v>2007</v>
      </c>
      <c r="E509" s="185" t="s">
        <v>762</v>
      </c>
      <c r="F509" s="137" t="s">
        <v>1526</v>
      </c>
      <c r="G509" s="145"/>
      <c r="H509" s="145"/>
      <c r="I509" s="560" t="s">
        <v>2051</v>
      </c>
      <c r="J509" s="935" t="s">
        <v>2052</v>
      </c>
      <c r="K509" s="700" t="str">
        <f>IF(L509=0,"",(INDEX(AccountCodes[ACCOUNT NAME],MATCH(L509,AccountCodes[NGAS CODE],0))))</f>
        <v>Due to BIR - 5%</v>
      </c>
      <c r="L509" s="936" t="s">
        <v>1548</v>
      </c>
      <c r="M509" s="947"/>
      <c r="N509" s="947">
        <v>1763.39</v>
      </c>
      <c r="O509" s="954"/>
      <c r="P509" s="150" t="e">
        <f t="shared" si="36"/>
        <v>#REF!</v>
      </c>
    </row>
    <row r="510" spans="1:16" ht="39" hidden="1" customHeight="1">
      <c r="A510" s="934">
        <v>45138</v>
      </c>
      <c r="B510" s="559">
        <v>45135</v>
      </c>
      <c r="C510" s="145" t="s">
        <v>2050</v>
      </c>
      <c r="D510" s="145" t="s">
        <v>2007</v>
      </c>
      <c r="E510" s="185" t="s">
        <v>762</v>
      </c>
      <c r="F510" s="137" t="s">
        <v>1526</v>
      </c>
      <c r="G510" s="145"/>
      <c r="H510" s="145"/>
      <c r="I510" s="560" t="s">
        <v>2051</v>
      </c>
      <c r="J510" s="935" t="s">
        <v>2052</v>
      </c>
      <c r="K510" s="700" t="str">
        <f>IF(L510=0,"",(INDEX(AccountCodes[ACCOUNT NAME],MATCH(L510,AccountCodes[NGAS CODE],0))))</f>
        <v>Cash in Bank-Local Currency, Current Account - FO</v>
      </c>
      <c r="L510" s="936" t="s">
        <v>1564</v>
      </c>
      <c r="M510" s="947"/>
      <c r="N510" s="947">
        <v>37383.93</v>
      </c>
      <c r="O510" s="954"/>
      <c r="P510" s="150" t="e">
        <f t="shared" si="36"/>
        <v>#REF!</v>
      </c>
    </row>
    <row r="511" spans="1:16" ht="39" hidden="1" customHeight="1">
      <c r="A511" s="934">
        <v>45138</v>
      </c>
      <c r="B511" s="559">
        <v>45135</v>
      </c>
      <c r="C511" s="145" t="s">
        <v>2053</v>
      </c>
      <c r="D511" s="145" t="s">
        <v>2007</v>
      </c>
      <c r="E511" s="185" t="s">
        <v>762</v>
      </c>
      <c r="F511" s="137" t="s">
        <v>1526</v>
      </c>
      <c r="G511" s="145"/>
      <c r="H511" s="145"/>
      <c r="I511" s="560" t="s">
        <v>2054</v>
      </c>
      <c r="J511" s="935" t="s">
        <v>2055</v>
      </c>
      <c r="K511" s="700" t="str">
        <f>IF(L511=0,"",(INDEX(AccountCodes[ACCOUNT NAME],MATCH(L511,AccountCodes[NGAS CODE],0))))</f>
        <v>Other Maintenance and Operating Expenses - Other Maintenance and Operating Expenses</v>
      </c>
      <c r="L511" s="936" t="s">
        <v>405</v>
      </c>
      <c r="M511" s="947">
        <v>109440</v>
      </c>
      <c r="N511" s="947"/>
      <c r="O511" s="954" t="s">
        <v>2049</v>
      </c>
      <c r="P511" s="150" t="e">
        <f>P506+M511-N511</f>
        <v>#REF!</v>
      </c>
    </row>
    <row r="512" spans="1:16" ht="39" hidden="1" customHeight="1">
      <c r="A512" s="934">
        <v>45138</v>
      </c>
      <c r="B512" s="559">
        <v>45135</v>
      </c>
      <c r="C512" s="145" t="s">
        <v>2053</v>
      </c>
      <c r="D512" s="145" t="s">
        <v>2007</v>
      </c>
      <c r="E512" s="185" t="s">
        <v>762</v>
      </c>
      <c r="F512" s="137" t="s">
        <v>1526</v>
      </c>
      <c r="G512" s="145"/>
      <c r="H512" s="145"/>
      <c r="I512" s="560" t="s">
        <v>2054</v>
      </c>
      <c r="J512" s="935" t="s">
        <v>2055</v>
      </c>
      <c r="K512" s="700" t="str">
        <f>IF(L512=0,"",(INDEX(AccountCodes[ACCOUNT NAME],MATCH(L512,AccountCodes[NGAS CODE],0))))</f>
        <v>Due to BIR - 1%</v>
      </c>
      <c r="L512" s="936" t="s">
        <v>1554</v>
      </c>
      <c r="M512" s="947"/>
      <c r="N512" s="947">
        <v>977.14</v>
      </c>
      <c r="O512" s="954"/>
      <c r="P512" s="150" t="e">
        <f t="shared" ref="P512:P514" si="37">P511+M512-N512</f>
        <v>#REF!</v>
      </c>
    </row>
    <row r="513" spans="1:16" ht="39" hidden="1" customHeight="1">
      <c r="A513" s="934">
        <v>45138</v>
      </c>
      <c r="B513" s="559">
        <v>45135</v>
      </c>
      <c r="C513" s="145" t="s">
        <v>2053</v>
      </c>
      <c r="D513" s="145" t="s">
        <v>2007</v>
      </c>
      <c r="E513" s="185" t="s">
        <v>762</v>
      </c>
      <c r="F513" s="137" t="s">
        <v>1526</v>
      </c>
      <c r="G513" s="145"/>
      <c r="H513" s="145"/>
      <c r="I513" s="560" t="s">
        <v>2054</v>
      </c>
      <c r="J513" s="935" t="s">
        <v>2055</v>
      </c>
      <c r="K513" s="700" t="str">
        <f>IF(L513=0,"",(INDEX(AccountCodes[ACCOUNT NAME],MATCH(L513,AccountCodes[NGAS CODE],0))))</f>
        <v>Due to BIR - 5%</v>
      </c>
      <c r="L513" s="936" t="s">
        <v>1548</v>
      </c>
      <c r="M513" s="947"/>
      <c r="N513" s="947">
        <v>4885.71</v>
      </c>
      <c r="O513" s="954"/>
      <c r="P513" s="150" t="e">
        <f t="shared" si="37"/>
        <v>#REF!</v>
      </c>
    </row>
    <row r="514" spans="1:16" ht="39" hidden="1" customHeight="1">
      <c r="A514" s="934">
        <v>45138</v>
      </c>
      <c r="B514" s="559">
        <v>45135</v>
      </c>
      <c r="C514" s="145" t="s">
        <v>2053</v>
      </c>
      <c r="D514" s="145" t="s">
        <v>2007</v>
      </c>
      <c r="E514" s="185" t="s">
        <v>762</v>
      </c>
      <c r="F514" s="137" t="s">
        <v>1526</v>
      </c>
      <c r="G514" s="145"/>
      <c r="H514" s="145"/>
      <c r="I514" s="560" t="s">
        <v>2054</v>
      </c>
      <c r="J514" s="935" t="s">
        <v>2055</v>
      </c>
      <c r="K514" s="700" t="str">
        <f>IF(L514=0,"",(INDEX(AccountCodes[ACCOUNT NAME],MATCH(L514,AccountCodes[NGAS CODE],0))))</f>
        <v>Cash in Bank-Local Currency, Current Account - FO</v>
      </c>
      <c r="L514" s="936" t="s">
        <v>1564</v>
      </c>
      <c r="M514" s="947"/>
      <c r="N514" s="947">
        <v>103577.15</v>
      </c>
      <c r="O514" s="954"/>
      <c r="P514" s="150" t="e">
        <f t="shared" si="37"/>
        <v>#REF!</v>
      </c>
    </row>
    <row r="515" spans="1:16" ht="39" hidden="1" customHeight="1">
      <c r="A515" s="934">
        <v>45138</v>
      </c>
      <c r="B515" s="559">
        <v>45138</v>
      </c>
      <c r="C515" s="145" t="s">
        <v>2056</v>
      </c>
      <c r="D515" s="145" t="s">
        <v>2007</v>
      </c>
      <c r="E515" s="185" t="s">
        <v>762</v>
      </c>
      <c r="F515" s="137" t="s">
        <v>1526</v>
      </c>
      <c r="G515" s="145"/>
      <c r="H515" s="145"/>
      <c r="I515" s="560" t="s">
        <v>1943</v>
      </c>
      <c r="J515" s="935" t="s">
        <v>2057</v>
      </c>
      <c r="K515" s="700" t="str">
        <f>IF(L515=0,"",(INDEX(AccountCodes[ACCOUNT NAME],MATCH(L515,AccountCodes[NGAS CODE],0))))</f>
        <v>Due to BIR - 5%</v>
      </c>
      <c r="L515" s="936" t="s">
        <v>1548</v>
      </c>
      <c r="M515" s="947">
        <v>8194.7999999999993</v>
      </c>
      <c r="N515" s="947"/>
      <c r="O515" s="972" t="s">
        <v>2058</v>
      </c>
      <c r="P515" s="150" t="e">
        <f>P506+M515-N515</f>
        <v>#REF!</v>
      </c>
    </row>
    <row r="516" spans="1:16" ht="39" hidden="1" customHeight="1">
      <c r="A516" s="934">
        <v>45138</v>
      </c>
      <c r="B516" s="559">
        <v>45138</v>
      </c>
      <c r="C516" s="145" t="s">
        <v>2056</v>
      </c>
      <c r="D516" s="145" t="s">
        <v>2007</v>
      </c>
      <c r="E516" s="185" t="s">
        <v>762</v>
      </c>
      <c r="F516" s="137" t="s">
        <v>1526</v>
      </c>
      <c r="G516" s="145"/>
      <c r="H516" s="145"/>
      <c r="I516" s="560" t="s">
        <v>1943</v>
      </c>
      <c r="J516" s="935" t="s">
        <v>2057</v>
      </c>
      <c r="K516" s="700" t="str">
        <f>IF(L516=0,"",(INDEX(AccountCodes[ACCOUNT NAME],MATCH(L516,AccountCodes[NGAS CODE],0))))</f>
        <v>Cash in Bank-Local Currency, Current Account - FO</v>
      </c>
      <c r="L516" s="936" t="s">
        <v>1564</v>
      </c>
      <c r="M516" s="947"/>
      <c r="N516" s="947">
        <v>8194.7999999999993</v>
      </c>
      <c r="O516" s="954"/>
      <c r="P516" s="150" t="e">
        <f t="shared" ref="P516:P518" si="38">P515+M516-N516</f>
        <v>#REF!</v>
      </c>
    </row>
    <row r="517" spans="1:16" ht="39" hidden="1" customHeight="1">
      <c r="A517" s="934">
        <v>45138</v>
      </c>
      <c r="B517" s="559">
        <v>45138</v>
      </c>
      <c r="C517" s="145" t="s">
        <v>2060</v>
      </c>
      <c r="D517" s="145" t="s">
        <v>2007</v>
      </c>
      <c r="E517" s="185" t="s">
        <v>762</v>
      </c>
      <c r="F517" s="137" t="s">
        <v>1526</v>
      </c>
      <c r="G517" s="145"/>
      <c r="H517" s="145"/>
      <c r="I517" s="560" t="s">
        <v>1943</v>
      </c>
      <c r="J517" s="935" t="s">
        <v>2061</v>
      </c>
      <c r="K517" s="700" t="str">
        <f>IF(L517=0,"",(INDEX(AccountCodes[ACCOUNT NAME],MATCH(L517,AccountCodes[NGAS CODE],0))))</f>
        <v>Due to BIR - 1%</v>
      </c>
      <c r="L517" s="936" t="s">
        <v>1554</v>
      </c>
      <c r="M517" s="947">
        <v>1638.95</v>
      </c>
      <c r="N517" s="947"/>
      <c r="O517" s="972" t="s">
        <v>2059</v>
      </c>
      <c r="P517" s="150" t="e">
        <f t="shared" si="38"/>
        <v>#REF!</v>
      </c>
    </row>
    <row r="518" spans="1:16" ht="39" hidden="1" customHeight="1">
      <c r="A518" s="934">
        <v>45138</v>
      </c>
      <c r="B518" s="559">
        <v>45138</v>
      </c>
      <c r="C518" s="145" t="s">
        <v>2060</v>
      </c>
      <c r="D518" s="145" t="s">
        <v>2007</v>
      </c>
      <c r="E518" s="185" t="s">
        <v>762</v>
      </c>
      <c r="F518" s="137" t="s">
        <v>1526</v>
      </c>
      <c r="G518" s="145"/>
      <c r="H518" s="145"/>
      <c r="I518" s="560" t="s">
        <v>1943</v>
      </c>
      <c r="J518" s="935" t="s">
        <v>2061</v>
      </c>
      <c r="K518" s="700" t="str">
        <f>IF(L518=0,"",(INDEX(AccountCodes[ACCOUNT NAME],MATCH(L518,AccountCodes[NGAS CODE],0))))</f>
        <v>Cash in Bank-Local Currency, Current Account - FO</v>
      </c>
      <c r="L518" s="936" t="s">
        <v>1564</v>
      </c>
      <c r="M518" s="947"/>
      <c r="N518" s="947">
        <v>1638.95</v>
      </c>
      <c r="O518" s="954"/>
      <c r="P518" s="150" t="e">
        <f t="shared" si="38"/>
        <v>#REF!</v>
      </c>
    </row>
    <row r="519" spans="1:16" ht="39" hidden="1" customHeight="1">
      <c r="A519" s="934">
        <v>45169</v>
      </c>
      <c r="B519" s="559">
        <v>45139</v>
      </c>
      <c r="C519" s="145" t="s">
        <v>2065</v>
      </c>
      <c r="D519" s="145" t="s">
        <v>2066</v>
      </c>
      <c r="E519" s="185" t="s">
        <v>762</v>
      </c>
      <c r="F519" s="137" t="s">
        <v>1526</v>
      </c>
      <c r="G519" s="145"/>
      <c r="H519" s="145"/>
      <c r="I519" s="560" t="s">
        <v>2067</v>
      </c>
      <c r="J519" s="935" t="s">
        <v>2068</v>
      </c>
      <c r="K519" s="700" t="str">
        <f>IF(L519=0,"",(INDEX(AccountCodes[ACCOUNT NAME],MATCH(L519,AccountCodes[NGAS CODE],0))))</f>
        <v>Semi-Expendable Office Equipment</v>
      </c>
      <c r="L519" s="936" t="s">
        <v>1245</v>
      </c>
      <c r="M519" s="947">
        <v>24775</v>
      </c>
      <c r="N519" s="947"/>
      <c r="O519" s="954" t="s">
        <v>2076</v>
      </c>
      <c r="P519" s="150" t="e">
        <f>P518+M519-N519</f>
        <v>#REF!</v>
      </c>
    </row>
    <row r="520" spans="1:16" ht="39" hidden="1" customHeight="1">
      <c r="A520" s="934">
        <v>45169</v>
      </c>
      <c r="B520" s="559">
        <v>45139</v>
      </c>
      <c r="C520" s="145" t="s">
        <v>2065</v>
      </c>
      <c r="D520" s="145" t="s">
        <v>2066</v>
      </c>
      <c r="E520" s="185" t="s">
        <v>762</v>
      </c>
      <c r="F520" s="137" t="s">
        <v>1526</v>
      </c>
      <c r="G520" s="145"/>
      <c r="H520" s="145"/>
      <c r="I520" s="560" t="s">
        <v>2067</v>
      </c>
      <c r="J520" s="935" t="s">
        <v>2068</v>
      </c>
      <c r="K520" s="700" t="str">
        <f>IF(L520=0,"",(INDEX(AccountCodes[ACCOUNT NAME],MATCH(L520,AccountCodes[NGAS CODE],0))))</f>
        <v>Due to BIR - 1%</v>
      </c>
      <c r="L520" s="936" t="s">
        <v>1554</v>
      </c>
      <c r="M520" s="947"/>
      <c r="N520" s="947">
        <v>221.21</v>
      </c>
      <c r="O520" s="954"/>
      <c r="P520" s="150" t="e">
        <f>P518+M520-N520</f>
        <v>#REF!</v>
      </c>
    </row>
    <row r="521" spans="1:16" ht="39" hidden="1" customHeight="1">
      <c r="A521" s="934">
        <v>45169</v>
      </c>
      <c r="B521" s="559">
        <v>45139</v>
      </c>
      <c r="C521" s="145" t="s">
        <v>2065</v>
      </c>
      <c r="D521" s="145" t="s">
        <v>2066</v>
      </c>
      <c r="E521" s="185" t="s">
        <v>762</v>
      </c>
      <c r="F521" s="137" t="s">
        <v>1526</v>
      </c>
      <c r="G521" s="145"/>
      <c r="H521" s="145"/>
      <c r="I521" s="560" t="s">
        <v>2067</v>
      </c>
      <c r="J521" s="935" t="s">
        <v>2068</v>
      </c>
      <c r="K521" s="700" t="str">
        <f>IF(L521=0,"",(INDEX(AccountCodes[ACCOUNT NAME],MATCH(L521,AccountCodes[NGAS CODE],0))))</f>
        <v>Due to BIR - 5%</v>
      </c>
      <c r="L521" s="936" t="s">
        <v>1548</v>
      </c>
      <c r="M521" s="947"/>
      <c r="N521" s="947">
        <v>1106.03</v>
      </c>
      <c r="O521" s="954"/>
      <c r="P521" s="150" t="e">
        <f>P518+M521-N521</f>
        <v>#REF!</v>
      </c>
    </row>
    <row r="522" spans="1:16" ht="39" hidden="1" customHeight="1">
      <c r="A522" s="934">
        <v>45169</v>
      </c>
      <c r="B522" s="559">
        <v>45139</v>
      </c>
      <c r="C522" s="145" t="s">
        <v>2065</v>
      </c>
      <c r="D522" s="145" t="s">
        <v>2066</v>
      </c>
      <c r="E522" s="185" t="s">
        <v>762</v>
      </c>
      <c r="F522" s="137" t="s">
        <v>1526</v>
      </c>
      <c r="G522" s="145"/>
      <c r="H522" s="145"/>
      <c r="I522" s="560" t="s">
        <v>2067</v>
      </c>
      <c r="J522" s="935" t="s">
        <v>2068</v>
      </c>
      <c r="K522" s="700" t="str">
        <f>IF(L522=0,"",(INDEX(AccountCodes[ACCOUNT NAME],MATCH(L522,AccountCodes[NGAS CODE],0))))</f>
        <v>Cash in Bank-Local Currency, Current Account - FO</v>
      </c>
      <c r="L522" s="936" t="s">
        <v>1564</v>
      </c>
      <c r="M522" s="947"/>
      <c r="N522" s="947">
        <v>23447.759999999998</v>
      </c>
      <c r="O522" s="954"/>
      <c r="P522" s="150" t="e">
        <f>P518+M522-N522</f>
        <v>#REF!</v>
      </c>
    </row>
    <row r="523" spans="1:16" ht="39" hidden="1" customHeight="1">
      <c r="A523" s="934">
        <v>45169</v>
      </c>
      <c r="B523" s="559">
        <v>45142</v>
      </c>
      <c r="C523" s="145" t="s">
        <v>2069</v>
      </c>
      <c r="D523" s="145" t="s">
        <v>2066</v>
      </c>
      <c r="E523" s="185" t="s">
        <v>762</v>
      </c>
      <c r="F523" s="137" t="s">
        <v>1526</v>
      </c>
      <c r="G523" s="145"/>
      <c r="H523" s="145"/>
      <c r="I523" s="560" t="s">
        <v>1760</v>
      </c>
      <c r="J523" s="935" t="s">
        <v>2070</v>
      </c>
      <c r="K523" s="700" t="str">
        <f>IF(L523=0,"",(INDEX(AccountCodes[ACCOUNT NAME],MATCH(L523,AccountCodes[NGAS CODE],0))))</f>
        <v>Fuel, Oil and Lubricants Expenses</v>
      </c>
      <c r="L523" s="936" t="s">
        <v>229</v>
      </c>
      <c r="M523" s="947">
        <v>6089.32</v>
      </c>
      <c r="N523" s="947"/>
      <c r="O523" s="954" t="s">
        <v>2077</v>
      </c>
      <c r="P523" s="150" t="e">
        <f>P518+M523-N523</f>
        <v>#REF!</v>
      </c>
    </row>
    <row r="524" spans="1:16" ht="39" hidden="1" customHeight="1">
      <c r="A524" s="934">
        <v>45169</v>
      </c>
      <c r="B524" s="559">
        <v>45142</v>
      </c>
      <c r="C524" s="145" t="s">
        <v>2069</v>
      </c>
      <c r="D524" s="145" t="s">
        <v>2066</v>
      </c>
      <c r="E524" s="185" t="s">
        <v>762</v>
      </c>
      <c r="F524" s="137" t="s">
        <v>1526</v>
      </c>
      <c r="G524" s="145"/>
      <c r="H524" s="145"/>
      <c r="I524" s="560" t="s">
        <v>1760</v>
      </c>
      <c r="J524" s="935" t="s">
        <v>2070</v>
      </c>
      <c r="K524" s="700" t="str">
        <f>IF(L524=0,"",(INDEX(AccountCodes[ACCOUNT NAME],MATCH(L524,AccountCodes[NGAS CODE],0))))</f>
        <v>Due to BIR - 1%</v>
      </c>
      <c r="L524" s="936" t="s">
        <v>1554</v>
      </c>
      <c r="M524" s="947"/>
      <c r="N524" s="947">
        <v>54.37</v>
      </c>
      <c r="O524" s="954"/>
      <c r="P524" s="150" t="e">
        <f>P518+M524-N524</f>
        <v>#REF!</v>
      </c>
    </row>
    <row r="525" spans="1:16" ht="39" hidden="1" customHeight="1">
      <c r="A525" s="934">
        <v>45169</v>
      </c>
      <c r="B525" s="559">
        <v>45142</v>
      </c>
      <c r="C525" s="145" t="s">
        <v>2069</v>
      </c>
      <c r="D525" s="145" t="s">
        <v>2066</v>
      </c>
      <c r="E525" s="185" t="s">
        <v>762</v>
      </c>
      <c r="F525" s="137" t="s">
        <v>1526</v>
      </c>
      <c r="G525" s="145"/>
      <c r="H525" s="145"/>
      <c r="I525" s="560" t="s">
        <v>1760</v>
      </c>
      <c r="J525" s="935" t="s">
        <v>2070</v>
      </c>
      <c r="K525" s="700" t="str">
        <f>IF(L525=0,"",(INDEX(AccountCodes[ACCOUNT NAME],MATCH(L525,AccountCodes[NGAS CODE],0))))</f>
        <v>Due to BIR - 5%</v>
      </c>
      <c r="L525" s="936" t="s">
        <v>1548</v>
      </c>
      <c r="M525" s="947"/>
      <c r="N525" s="947">
        <v>271.83999999999997</v>
      </c>
      <c r="O525" s="954"/>
      <c r="P525" s="150" t="e">
        <f>P518+M525-N525</f>
        <v>#REF!</v>
      </c>
    </row>
    <row r="526" spans="1:16" ht="39" hidden="1" customHeight="1">
      <c r="A526" s="934">
        <v>45169</v>
      </c>
      <c r="B526" s="559">
        <v>45142</v>
      </c>
      <c r="C526" s="145" t="s">
        <v>2069</v>
      </c>
      <c r="D526" s="145" t="s">
        <v>2066</v>
      </c>
      <c r="E526" s="185" t="s">
        <v>762</v>
      </c>
      <c r="F526" s="137" t="s">
        <v>1526</v>
      </c>
      <c r="G526" s="145"/>
      <c r="H526" s="145"/>
      <c r="I526" s="560" t="s">
        <v>1760</v>
      </c>
      <c r="J526" s="935" t="s">
        <v>2070</v>
      </c>
      <c r="K526" s="700" t="str">
        <f>IF(L526=0,"",(INDEX(AccountCodes[ACCOUNT NAME],MATCH(L526,AccountCodes[NGAS CODE],0))))</f>
        <v>Cash in Bank-Local Currency, Current Account - FO</v>
      </c>
      <c r="L526" s="936" t="s">
        <v>1564</v>
      </c>
      <c r="M526" s="947"/>
      <c r="N526" s="947">
        <v>5763.11</v>
      </c>
      <c r="O526" s="954"/>
      <c r="P526" s="150" t="e">
        <f>P518+M526-N526</f>
        <v>#REF!</v>
      </c>
    </row>
    <row r="527" spans="1:16" ht="39" hidden="1" customHeight="1">
      <c r="A527" s="934">
        <v>45169</v>
      </c>
      <c r="B527" s="559">
        <v>45147</v>
      </c>
      <c r="C527" s="145" t="s">
        <v>2071</v>
      </c>
      <c r="D527" s="145" t="s">
        <v>2066</v>
      </c>
      <c r="E527" s="185" t="s">
        <v>762</v>
      </c>
      <c r="F527" s="137" t="s">
        <v>1526</v>
      </c>
      <c r="G527" s="145"/>
      <c r="H527" s="145"/>
      <c r="I527" s="560" t="s">
        <v>2072</v>
      </c>
      <c r="J527" s="935" t="s">
        <v>2073</v>
      </c>
      <c r="K527" s="700" t="str">
        <f>IF(L527=0,"",(INDEX(AccountCodes[ACCOUNT NAME],MATCH(L527,AccountCodes[NGAS CODE],0))))</f>
        <v>Semi-Expendable Office Equipment</v>
      </c>
      <c r="L527" s="936" t="s">
        <v>1245</v>
      </c>
      <c r="M527" s="947">
        <v>189000</v>
      </c>
      <c r="N527" s="947"/>
      <c r="O527" s="954" t="s">
        <v>1925</v>
      </c>
      <c r="P527" s="150" t="e">
        <f>P518+M527-N527</f>
        <v>#REF!</v>
      </c>
    </row>
    <row r="528" spans="1:16" ht="39" hidden="1" customHeight="1">
      <c r="A528" s="934">
        <v>45169</v>
      </c>
      <c r="B528" s="559">
        <v>45147</v>
      </c>
      <c r="C528" s="145" t="s">
        <v>2071</v>
      </c>
      <c r="D528" s="145" t="s">
        <v>2066</v>
      </c>
      <c r="E528" s="185" t="s">
        <v>762</v>
      </c>
      <c r="F528" s="137" t="s">
        <v>1526</v>
      </c>
      <c r="G528" s="145"/>
      <c r="H528" s="145"/>
      <c r="I528" s="560" t="s">
        <v>2072</v>
      </c>
      <c r="J528" s="935" t="s">
        <v>2073</v>
      </c>
      <c r="K528" s="700" t="str">
        <f>IF(L528=0,"",(INDEX(AccountCodes[ACCOUNT NAME],MATCH(L528,AccountCodes[NGAS CODE],0))))</f>
        <v>Due to BIR - 1%</v>
      </c>
      <c r="L528" s="936" t="s">
        <v>1554</v>
      </c>
      <c r="M528" s="947"/>
      <c r="N528" s="947">
        <v>1687.5</v>
      </c>
      <c r="O528" s="954"/>
      <c r="P528" s="150" t="e">
        <f>P518+M528-N528</f>
        <v>#REF!</v>
      </c>
    </row>
    <row r="529" spans="1:16" ht="39" hidden="1" customHeight="1">
      <c r="A529" s="934">
        <v>45169</v>
      </c>
      <c r="B529" s="559">
        <v>45147</v>
      </c>
      <c r="C529" s="145" t="s">
        <v>2071</v>
      </c>
      <c r="D529" s="145" t="s">
        <v>2066</v>
      </c>
      <c r="E529" s="185" t="s">
        <v>762</v>
      </c>
      <c r="F529" s="137" t="s">
        <v>1526</v>
      </c>
      <c r="G529" s="145"/>
      <c r="H529" s="145"/>
      <c r="I529" s="560" t="s">
        <v>2072</v>
      </c>
      <c r="J529" s="935" t="s">
        <v>2073</v>
      </c>
      <c r="K529" s="700" t="str">
        <f>IF(L529=0,"",(INDEX(AccountCodes[ACCOUNT NAME],MATCH(L529,AccountCodes[NGAS CODE],0))))</f>
        <v>Due to BIR - 5%</v>
      </c>
      <c r="L529" s="936" t="s">
        <v>1548</v>
      </c>
      <c r="M529" s="947"/>
      <c r="N529" s="947">
        <v>8437.5</v>
      </c>
      <c r="O529" s="954"/>
      <c r="P529" s="150" t="e">
        <f>P518+M529-N529</f>
        <v>#REF!</v>
      </c>
    </row>
    <row r="530" spans="1:16" ht="39" hidden="1" customHeight="1">
      <c r="A530" s="934">
        <v>45169</v>
      </c>
      <c r="B530" s="559">
        <v>45147</v>
      </c>
      <c r="C530" s="145" t="s">
        <v>2071</v>
      </c>
      <c r="D530" s="145" t="s">
        <v>2066</v>
      </c>
      <c r="E530" s="185" t="s">
        <v>762</v>
      </c>
      <c r="F530" s="137" t="s">
        <v>1526</v>
      </c>
      <c r="G530" s="145"/>
      <c r="H530" s="145"/>
      <c r="I530" s="560" t="s">
        <v>2072</v>
      </c>
      <c r="J530" s="935" t="s">
        <v>2073</v>
      </c>
      <c r="K530" s="700" t="str">
        <f>IF(L530=0,"",(INDEX(AccountCodes[ACCOUNT NAME],MATCH(L530,AccountCodes[NGAS CODE],0))))</f>
        <v>Cash in Bank-Local Currency, Current Account - FO</v>
      </c>
      <c r="L530" s="936" t="s">
        <v>1564</v>
      </c>
      <c r="M530" s="947"/>
      <c r="N530" s="947">
        <v>178875</v>
      </c>
      <c r="O530" s="954"/>
      <c r="P530" s="150" t="e">
        <f>P518+M530-N530</f>
        <v>#REF!</v>
      </c>
    </row>
    <row r="531" spans="1:16" ht="39" hidden="1" customHeight="1">
      <c r="A531" s="934">
        <v>45169</v>
      </c>
      <c r="B531" s="559">
        <v>45148</v>
      </c>
      <c r="C531" s="145" t="s">
        <v>2074</v>
      </c>
      <c r="D531" s="145" t="s">
        <v>2066</v>
      </c>
      <c r="E531" s="185" t="s">
        <v>762</v>
      </c>
      <c r="F531" s="137" t="s">
        <v>1526</v>
      </c>
      <c r="G531" s="145"/>
      <c r="H531" s="145"/>
      <c r="I531" s="560" t="s">
        <v>1760</v>
      </c>
      <c r="J531" s="935" t="s">
        <v>2075</v>
      </c>
      <c r="K531" s="700" t="str">
        <f>IF(L531=0,"",(INDEX(AccountCodes[ACCOUNT NAME],MATCH(L531,AccountCodes[NGAS CODE],0))))</f>
        <v>Fuel, Oil and Lubricants Expenses</v>
      </c>
      <c r="L531" s="936" t="s">
        <v>229</v>
      </c>
      <c r="M531" s="947">
        <v>5419.4</v>
      </c>
      <c r="N531" s="947"/>
      <c r="O531" s="954" t="s">
        <v>1925</v>
      </c>
      <c r="P531" s="150" t="e">
        <f>P518+M531-N531</f>
        <v>#REF!</v>
      </c>
    </row>
    <row r="532" spans="1:16" ht="39" hidden="1" customHeight="1">
      <c r="A532" s="934">
        <v>45169</v>
      </c>
      <c r="B532" s="559">
        <v>45148</v>
      </c>
      <c r="C532" s="145" t="s">
        <v>2074</v>
      </c>
      <c r="D532" s="145" t="s">
        <v>2066</v>
      </c>
      <c r="E532" s="185" t="s">
        <v>762</v>
      </c>
      <c r="F532" s="137" t="s">
        <v>1526</v>
      </c>
      <c r="G532" s="145"/>
      <c r="H532" s="145"/>
      <c r="I532" s="560" t="s">
        <v>1760</v>
      </c>
      <c r="J532" s="935" t="s">
        <v>2075</v>
      </c>
      <c r="K532" s="700" t="str">
        <f>IF(L532=0,"",(INDEX(AccountCodes[ACCOUNT NAME],MATCH(L532,AccountCodes[NGAS CODE],0))))</f>
        <v>Due to BIR - 1%</v>
      </c>
      <c r="L532" s="936" t="s">
        <v>1554</v>
      </c>
      <c r="M532" s="947"/>
      <c r="N532" s="947">
        <v>48.39</v>
      </c>
      <c r="O532" s="954"/>
      <c r="P532" s="150" t="e">
        <f>P518+M532-N532</f>
        <v>#REF!</v>
      </c>
    </row>
    <row r="533" spans="1:16" ht="39" hidden="1" customHeight="1">
      <c r="A533" s="934">
        <v>45169</v>
      </c>
      <c r="B533" s="559">
        <v>45148</v>
      </c>
      <c r="C533" s="145" t="s">
        <v>2074</v>
      </c>
      <c r="D533" s="145" t="s">
        <v>2066</v>
      </c>
      <c r="E533" s="185" t="s">
        <v>762</v>
      </c>
      <c r="F533" s="137" t="s">
        <v>1526</v>
      </c>
      <c r="G533" s="145"/>
      <c r="H533" s="145"/>
      <c r="I533" s="560" t="s">
        <v>1760</v>
      </c>
      <c r="J533" s="935" t="s">
        <v>2075</v>
      </c>
      <c r="K533" s="700" t="str">
        <f>IF(L533=0,"",(INDEX(AccountCodes[ACCOUNT NAME],MATCH(L533,AccountCodes[NGAS CODE],0))))</f>
        <v>Due to BIR - 5%</v>
      </c>
      <c r="L533" s="936" t="s">
        <v>1548</v>
      </c>
      <c r="M533" s="947"/>
      <c r="N533" s="947">
        <v>241.94</v>
      </c>
      <c r="O533" s="954"/>
      <c r="P533" s="150" t="e">
        <f>P518+M533-N533</f>
        <v>#REF!</v>
      </c>
    </row>
    <row r="534" spans="1:16" ht="39" hidden="1" customHeight="1">
      <c r="A534" s="934">
        <v>45169</v>
      </c>
      <c r="B534" s="559">
        <v>45148</v>
      </c>
      <c r="C534" s="145" t="s">
        <v>2074</v>
      </c>
      <c r="D534" s="145" t="s">
        <v>2066</v>
      </c>
      <c r="E534" s="185" t="s">
        <v>762</v>
      </c>
      <c r="F534" s="137" t="s">
        <v>1526</v>
      </c>
      <c r="G534" s="145"/>
      <c r="H534" s="145"/>
      <c r="I534" s="560" t="s">
        <v>1760</v>
      </c>
      <c r="J534" s="935" t="s">
        <v>2075</v>
      </c>
      <c r="K534" s="700" t="str">
        <f>IF(L534=0,"",(INDEX(AccountCodes[ACCOUNT NAME],MATCH(L534,AccountCodes[NGAS CODE],0))))</f>
        <v>Cash in Bank-Local Currency, Current Account - FO</v>
      </c>
      <c r="L534" s="936" t="s">
        <v>1564</v>
      </c>
      <c r="M534" s="947"/>
      <c r="N534" s="947">
        <v>5129.07</v>
      </c>
      <c r="O534" s="954"/>
      <c r="P534" s="150" t="e">
        <f>P518+M534-N534</f>
        <v>#REF!</v>
      </c>
    </row>
    <row r="535" spans="1:16" ht="39" hidden="1" customHeight="1">
      <c r="A535" s="934">
        <v>45169</v>
      </c>
      <c r="B535" s="716">
        <v>45152</v>
      </c>
      <c r="C535" s="494" t="s">
        <v>2078</v>
      </c>
      <c r="D535" s="494" t="s">
        <v>2066</v>
      </c>
      <c r="E535" s="939" t="s">
        <v>762</v>
      </c>
      <c r="F535" s="495" t="s">
        <v>1526</v>
      </c>
      <c r="G535" s="494"/>
      <c r="H535" s="494"/>
      <c r="I535" s="668" t="s">
        <v>1716</v>
      </c>
      <c r="J535" s="1011" t="s">
        <v>2079</v>
      </c>
      <c r="K535" s="677" t="str">
        <f>IF(L535=0,"",(INDEX(AccountCodes[ACCOUNT NAME],MATCH(L535,AccountCodes[NGAS CODE],0))))</f>
        <v>Salaries and Wages-Regular</v>
      </c>
      <c r="L535" s="937" t="s">
        <v>162</v>
      </c>
      <c r="M535" s="947">
        <v>58320</v>
      </c>
      <c r="N535" s="947"/>
      <c r="O535" s="967" t="s">
        <v>2082</v>
      </c>
      <c r="P535" s="1012" t="e">
        <f>#REF!+M535-N535</f>
        <v>#REF!</v>
      </c>
    </row>
    <row r="536" spans="1:16" ht="39" hidden="1" customHeight="1">
      <c r="A536" s="934">
        <v>45169</v>
      </c>
      <c r="B536" s="716">
        <v>45152</v>
      </c>
      <c r="C536" s="494" t="s">
        <v>2078</v>
      </c>
      <c r="D536" s="494" t="s">
        <v>2066</v>
      </c>
      <c r="E536" s="939" t="s">
        <v>762</v>
      </c>
      <c r="F536" s="495" t="s">
        <v>1526</v>
      </c>
      <c r="G536" s="494"/>
      <c r="H536" s="494"/>
      <c r="I536" s="668" t="s">
        <v>1716</v>
      </c>
      <c r="J536" s="1011" t="s">
        <v>2079</v>
      </c>
      <c r="K536" s="677" t="str">
        <f>IF(L536=0,"",(INDEX(AccountCodes[ACCOUNT NAME],MATCH(L536,AccountCodes[NGAS CODE],0))))</f>
        <v>Personal Economic Relief Allowance (PERA)</v>
      </c>
      <c r="L536" s="937" t="s">
        <v>164</v>
      </c>
      <c r="M536" s="947">
        <v>4000</v>
      </c>
      <c r="N536" s="947"/>
      <c r="O536" s="967"/>
      <c r="P536" s="1012" t="e">
        <f>#REF!+M536-N536</f>
        <v>#REF!</v>
      </c>
    </row>
    <row r="537" spans="1:16" ht="39" hidden="1" customHeight="1">
      <c r="A537" s="934">
        <v>45169</v>
      </c>
      <c r="B537" s="716">
        <v>45152</v>
      </c>
      <c r="C537" s="494" t="s">
        <v>2078</v>
      </c>
      <c r="D537" s="494" t="s">
        <v>2066</v>
      </c>
      <c r="E537" s="939" t="s">
        <v>762</v>
      </c>
      <c r="F537" s="495" t="s">
        <v>1526</v>
      </c>
      <c r="G537" s="494"/>
      <c r="H537" s="494"/>
      <c r="I537" s="668" t="s">
        <v>1716</v>
      </c>
      <c r="J537" s="1011" t="s">
        <v>2079</v>
      </c>
      <c r="K537" s="677" t="str">
        <f>IF(L537=0,"",(INDEX(AccountCodes[ACCOUNT NAME],MATCH(L537,AccountCodes[NGAS CODE],0))))</f>
        <v>Due to BIR - Compensation</v>
      </c>
      <c r="L537" s="937" t="s">
        <v>1546</v>
      </c>
      <c r="M537" s="947"/>
      <c r="N537" s="947">
        <v>1330.76</v>
      </c>
      <c r="O537" s="967"/>
      <c r="P537" s="1012" t="e">
        <f>#REF!+M537-N537</f>
        <v>#REF!</v>
      </c>
    </row>
    <row r="538" spans="1:16" ht="39" hidden="1" customHeight="1">
      <c r="A538" s="934">
        <v>45169</v>
      </c>
      <c r="B538" s="716">
        <v>45152</v>
      </c>
      <c r="C538" s="494" t="s">
        <v>2078</v>
      </c>
      <c r="D538" s="494" t="s">
        <v>2066</v>
      </c>
      <c r="E538" s="939" t="s">
        <v>762</v>
      </c>
      <c r="F538" s="495" t="s">
        <v>1526</v>
      </c>
      <c r="G538" s="494"/>
      <c r="H538" s="494"/>
      <c r="I538" s="668" t="s">
        <v>1716</v>
      </c>
      <c r="J538" s="1011" t="s">
        <v>2079</v>
      </c>
      <c r="K538" s="677" t="str">
        <f>IF(L538=0,"",(INDEX(AccountCodes[ACCOUNT NAME],MATCH(L538,AccountCodes[NGAS CODE],0))))</f>
        <v>Due to GSIS - Life and Retirement Premium</v>
      </c>
      <c r="L538" s="937" t="s">
        <v>1440</v>
      </c>
      <c r="M538" s="947"/>
      <c r="N538" s="947">
        <v>5248.8</v>
      </c>
      <c r="O538" s="967"/>
      <c r="P538" s="1012" t="e">
        <f>#REF!+M538-N538</f>
        <v>#REF!</v>
      </c>
    </row>
    <row r="539" spans="1:16" ht="39" hidden="1" customHeight="1">
      <c r="A539" s="934">
        <v>45169</v>
      </c>
      <c r="B539" s="716">
        <v>45152</v>
      </c>
      <c r="C539" s="494" t="s">
        <v>2078</v>
      </c>
      <c r="D539" s="494" t="s">
        <v>2066</v>
      </c>
      <c r="E539" s="939" t="s">
        <v>762</v>
      </c>
      <c r="F539" s="495" t="s">
        <v>1526</v>
      </c>
      <c r="G539" s="494"/>
      <c r="H539" s="494"/>
      <c r="I539" s="668" t="s">
        <v>1716</v>
      </c>
      <c r="J539" s="1011" t="s">
        <v>2079</v>
      </c>
      <c r="K539" s="677" t="str">
        <f>IF(L539=0,"",(INDEX(AccountCodes[ACCOUNT NAME],MATCH(L539,AccountCodes[NGAS CODE],0))))</f>
        <v>Due to Pag-IBIG - Pag-IBIG Premium</v>
      </c>
      <c r="L539" s="937" t="s">
        <v>1444</v>
      </c>
      <c r="M539" s="947"/>
      <c r="N539" s="947">
        <v>1166.4000000000001</v>
      </c>
      <c r="O539" s="967"/>
      <c r="P539" s="1012" t="e">
        <f>#REF!+M539-N539</f>
        <v>#REF!</v>
      </c>
    </row>
    <row r="540" spans="1:16" ht="39" hidden="1" customHeight="1">
      <c r="A540" s="934">
        <v>45169</v>
      </c>
      <c r="B540" s="716">
        <v>45152</v>
      </c>
      <c r="C540" s="494" t="s">
        <v>2078</v>
      </c>
      <c r="D540" s="494" t="s">
        <v>2066</v>
      </c>
      <c r="E540" s="939" t="s">
        <v>762</v>
      </c>
      <c r="F540" s="495" t="s">
        <v>1526</v>
      </c>
      <c r="G540" s="494"/>
      <c r="H540" s="494"/>
      <c r="I540" s="668" t="s">
        <v>1716</v>
      </c>
      <c r="J540" s="1011" t="s">
        <v>2079</v>
      </c>
      <c r="K540" s="677" t="str">
        <f>IF(L540=0,"",(INDEX(AccountCodes[ACCOUNT NAME],MATCH(L540,AccountCodes[NGAS CODE],0))))</f>
        <v>Due to Pag-IBIG - MP2</v>
      </c>
      <c r="L540" s="937" t="s">
        <v>1508</v>
      </c>
      <c r="M540" s="947"/>
      <c r="N540" s="947">
        <v>4000</v>
      </c>
      <c r="O540" s="967"/>
      <c r="P540" s="1012" t="e">
        <f>#REF!+M540-N540</f>
        <v>#REF!</v>
      </c>
    </row>
    <row r="541" spans="1:16" ht="39" hidden="1" customHeight="1">
      <c r="A541" s="934">
        <v>45169</v>
      </c>
      <c r="B541" s="716">
        <v>45152</v>
      </c>
      <c r="C541" s="494" t="s">
        <v>2078</v>
      </c>
      <c r="D541" s="494" t="s">
        <v>2066</v>
      </c>
      <c r="E541" s="939" t="s">
        <v>762</v>
      </c>
      <c r="F541" s="495" t="s">
        <v>1526</v>
      </c>
      <c r="G541" s="494"/>
      <c r="H541" s="494"/>
      <c r="I541" s="668" t="s">
        <v>1716</v>
      </c>
      <c r="J541" s="1011" t="s">
        <v>2079</v>
      </c>
      <c r="K541" s="677" t="str">
        <f>IF(L541=0,"",(INDEX(AccountCodes[ACCOUNT NAME],MATCH(L541,AccountCodes[NGAS CODE],0))))</f>
        <v>Due to PhilHealth</v>
      </c>
      <c r="L541" s="937" t="s">
        <v>112</v>
      </c>
      <c r="M541" s="947"/>
      <c r="N541" s="947">
        <v>1166.4000000000001</v>
      </c>
      <c r="O541" s="967"/>
      <c r="P541" s="1012" t="e">
        <f>#REF!+M541-N541</f>
        <v>#REF!</v>
      </c>
    </row>
    <row r="542" spans="1:16" ht="39" hidden="1" customHeight="1">
      <c r="A542" s="934">
        <v>45169</v>
      </c>
      <c r="B542" s="716">
        <v>45152</v>
      </c>
      <c r="C542" s="494" t="s">
        <v>2078</v>
      </c>
      <c r="D542" s="494" t="s">
        <v>2066</v>
      </c>
      <c r="E542" s="939" t="s">
        <v>762</v>
      </c>
      <c r="F542" s="495" t="s">
        <v>1526</v>
      </c>
      <c r="G542" s="494"/>
      <c r="H542" s="494"/>
      <c r="I542" s="668" t="s">
        <v>1716</v>
      </c>
      <c r="J542" s="1011" t="s">
        <v>2079</v>
      </c>
      <c r="K542" s="677" t="str">
        <f>IF(L542=0,"",(INDEX(AccountCodes[ACCOUNT NAME],MATCH(L542,AccountCodes[NGAS CODE],0))))</f>
        <v>Cash in Bank-Local Currency, Current Account - FO</v>
      </c>
      <c r="L542" s="937" t="s">
        <v>1564</v>
      </c>
      <c r="M542" s="947"/>
      <c r="N542" s="947">
        <v>49407.64</v>
      </c>
      <c r="O542" s="967"/>
      <c r="P542" s="1012" t="e">
        <f>#REF!+M542-N542</f>
        <v>#REF!</v>
      </c>
    </row>
    <row r="543" spans="1:16" ht="39" hidden="1" customHeight="1">
      <c r="A543" s="934">
        <v>45169</v>
      </c>
      <c r="B543" s="716">
        <v>45155</v>
      </c>
      <c r="C543" s="494" t="s">
        <v>2080</v>
      </c>
      <c r="D543" s="494" t="s">
        <v>2066</v>
      </c>
      <c r="E543" s="939" t="s">
        <v>762</v>
      </c>
      <c r="F543" s="495" t="s">
        <v>1526</v>
      </c>
      <c r="G543" s="494"/>
      <c r="H543" s="494"/>
      <c r="I543" s="668" t="s">
        <v>1859</v>
      </c>
      <c r="J543" s="1011" t="s">
        <v>2081</v>
      </c>
      <c r="K543" s="677" t="str">
        <f>IF(L543=0,"",(INDEX(AccountCodes[ACCOUNT NAME],MATCH(L543,AccountCodes[NGAS CODE],0))))</f>
        <v>Due to Pag-IBIG - Pag-IBIG Multi-Purpose Loan</v>
      </c>
      <c r="L543" s="937" t="s">
        <v>1445</v>
      </c>
      <c r="M543" s="947">
        <v>1635.3</v>
      </c>
      <c r="N543" s="947"/>
      <c r="O543" s="967" t="s">
        <v>2082</v>
      </c>
      <c r="P543" s="1012" t="e">
        <f>#REF!+M543-N543</f>
        <v>#REF!</v>
      </c>
    </row>
    <row r="544" spans="1:16" ht="39" hidden="1" customHeight="1">
      <c r="A544" s="934">
        <v>45169</v>
      </c>
      <c r="B544" s="716">
        <v>45155</v>
      </c>
      <c r="C544" s="494" t="s">
        <v>2080</v>
      </c>
      <c r="D544" s="494" t="s">
        <v>2066</v>
      </c>
      <c r="E544" s="939" t="s">
        <v>762</v>
      </c>
      <c r="F544" s="495" t="s">
        <v>1526</v>
      </c>
      <c r="G544" s="494"/>
      <c r="H544" s="494"/>
      <c r="I544" s="668" t="s">
        <v>1859</v>
      </c>
      <c r="J544" s="1011" t="s">
        <v>2081</v>
      </c>
      <c r="K544" s="677" t="str">
        <f>IF(L544=0,"",(INDEX(AccountCodes[ACCOUNT NAME],MATCH(L544,AccountCodes[NGAS CODE],0))))</f>
        <v>Cash in Bank-Local Currency, Current Account - FO</v>
      </c>
      <c r="L544" s="937" t="s">
        <v>1564</v>
      </c>
      <c r="M544" s="947"/>
      <c r="N544" s="947">
        <v>1635.3</v>
      </c>
      <c r="O544" s="967"/>
      <c r="P544" s="1012" t="e">
        <f>#REF!+M544-N544</f>
        <v>#REF!</v>
      </c>
    </row>
    <row r="545" spans="1:16" ht="39" hidden="1" customHeight="1">
      <c r="A545" s="934">
        <v>45169</v>
      </c>
      <c r="B545" s="716">
        <v>45155</v>
      </c>
      <c r="C545" s="494" t="s">
        <v>2083</v>
      </c>
      <c r="D545" s="494" t="s">
        <v>2066</v>
      </c>
      <c r="E545" s="939" t="s">
        <v>762</v>
      </c>
      <c r="F545" s="495" t="s">
        <v>1526</v>
      </c>
      <c r="G545" s="494"/>
      <c r="H545" s="494"/>
      <c r="I545" s="668" t="s">
        <v>1943</v>
      </c>
      <c r="J545" s="1011" t="s">
        <v>2084</v>
      </c>
      <c r="K545" s="677" t="str">
        <f>IF(L545=0,"",(INDEX(AccountCodes[ACCOUNT NAME],MATCH(L545,AccountCodes[NGAS CODE],0))))</f>
        <v>Due to BIR - Compensation</v>
      </c>
      <c r="L545" s="936" t="s">
        <v>1546</v>
      </c>
      <c r="M545" s="947">
        <v>1330.76</v>
      </c>
      <c r="N545" s="947"/>
      <c r="O545" s="967" t="s">
        <v>2082</v>
      </c>
      <c r="P545" s="1012" t="e">
        <f>#REF!+M545-N545</f>
        <v>#REF!</v>
      </c>
    </row>
    <row r="546" spans="1:16" ht="39" hidden="1" customHeight="1">
      <c r="A546" s="934">
        <v>45169</v>
      </c>
      <c r="B546" s="716">
        <v>45155</v>
      </c>
      <c r="C546" s="494" t="s">
        <v>2083</v>
      </c>
      <c r="D546" s="494" t="s">
        <v>2066</v>
      </c>
      <c r="E546" s="939" t="s">
        <v>762</v>
      </c>
      <c r="F546" s="495" t="s">
        <v>1526</v>
      </c>
      <c r="G546" s="494"/>
      <c r="H546" s="494"/>
      <c r="I546" s="668" t="s">
        <v>1943</v>
      </c>
      <c r="J546" s="1011" t="s">
        <v>2084</v>
      </c>
      <c r="K546" s="677" t="str">
        <f>IF(L546=0,"",(INDEX(AccountCodes[ACCOUNT NAME],MATCH(L546,AccountCodes[NGAS CODE],0))))</f>
        <v>Cash in Bank-Local Currency, Current Account - FO</v>
      </c>
      <c r="L546" s="937" t="s">
        <v>1564</v>
      </c>
      <c r="M546" s="947"/>
      <c r="N546" s="947">
        <v>1330.76</v>
      </c>
      <c r="O546" s="967"/>
      <c r="P546" s="1012" t="e">
        <f>#REF!+M546-N546</f>
        <v>#REF!</v>
      </c>
    </row>
    <row r="547" spans="1:16" ht="39" hidden="1" customHeight="1">
      <c r="A547" s="934">
        <v>45169</v>
      </c>
      <c r="B547" s="716">
        <v>45155</v>
      </c>
      <c r="C547" s="494" t="s">
        <v>2085</v>
      </c>
      <c r="D547" s="494" t="s">
        <v>2066</v>
      </c>
      <c r="E547" s="939" t="s">
        <v>762</v>
      </c>
      <c r="F547" s="495" t="s">
        <v>1526</v>
      </c>
      <c r="G547" s="494"/>
      <c r="H547" s="494"/>
      <c r="I547" s="668" t="s">
        <v>2086</v>
      </c>
      <c r="J547" s="1011" t="s">
        <v>2087</v>
      </c>
      <c r="K547" s="677" t="str">
        <f>IF(L547=0,"",(INDEX(AccountCodes[ACCOUNT NAME],MATCH(L547,AccountCodes[NGAS CODE],0))))</f>
        <v>Due to Pag-IBIG - MP2</v>
      </c>
      <c r="L547" s="937" t="s">
        <v>1508</v>
      </c>
      <c r="M547" s="947">
        <v>4000</v>
      </c>
      <c r="N547" s="947"/>
      <c r="O547" s="967" t="s">
        <v>2082</v>
      </c>
      <c r="P547" s="1012" t="e">
        <f>#REF!+M547-N547</f>
        <v>#REF!</v>
      </c>
    </row>
    <row r="548" spans="1:16" ht="39" hidden="1" customHeight="1">
      <c r="A548" s="934">
        <v>45169</v>
      </c>
      <c r="B548" s="716">
        <v>45155</v>
      </c>
      <c r="C548" s="494" t="s">
        <v>2085</v>
      </c>
      <c r="D548" s="494" t="s">
        <v>2066</v>
      </c>
      <c r="E548" s="939" t="s">
        <v>762</v>
      </c>
      <c r="F548" s="495" t="s">
        <v>1526</v>
      </c>
      <c r="G548" s="494"/>
      <c r="H548" s="494"/>
      <c r="I548" s="668" t="s">
        <v>2086</v>
      </c>
      <c r="J548" s="1011" t="s">
        <v>2087</v>
      </c>
      <c r="K548" s="677" t="str">
        <f>IF(L548=0,"",(INDEX(AccountCodes[ACCOUNT NAME],MATCH(L548,AccountCodes[NGAS CODE],0))))</f>
        <v>Cash in Bank-Local Currency, Current Account - FO</v>
      </c>
      <c r="L548" s="937" t="s">
        <v>1564</v>
      </c>
      <c r="M548" s="947"/>
      <c r="N548" s="947">
        <v>4000</v>
      </c>
      <c r="O548" s="967"/>
      <c r="P548" s="1012" t="e">
        <f>#REF!+M548-N548</f>
        <v>#REF!</v>
      </c>
    </row>
    <row r="549" spans="1:16" ht="39" hidden="1" customHeight="1">
      <c r="A549" s="934">
        <v>45169</v>
      </c>
      <c r="B549" s="716">
        <v>45155</v>
      </c>
      <c r="C549" s="494" t="s">
        <v>2088</v>
      </c>
      <c r="D549" s="494" t="s">
        <v>2066</v>
      </c>
      <c r="E549" s="939" t="s">
        <v>762</v>
      </c>
      <c r="F549" s="495" t="s">
        <v>1526</v>
      </c>
      <c r="G549" s="494"/>
      <c r="H549" s="494"/>
      <c r="I549" s="668" t="s">
        <v>1859</v>
      </c>
      <c r="J549" s="1011" t="s">
        <v>2089</v>
      </c>
      <c r="K549" s="677" t="str">
        <f>IF(L549=0,"",(INDEX(AccountCodes[ACCOUNT NAME],MATCH(L549,AccountCodes[NGAS CODE],0))))</f>
        <v>Pag-IBIG Contributions</v>
      </c>
      <c r="L549" s="937" t="s">
        <v>176</v>
      </c>
      <c r="M549" s="947">
        <v>300</v>
      </c>
      <c r="N549" s="947"/>
      <c r="O549" s="967" t="s">
        <v>2082</v>
      </c>
      <c r="P549" s="1012" t="e">
        <f>#REF!+M549-N549</f>
        <v>#REF!</v>
      </c>
    </row>
    <row r="550" spans="1:16" ht="39" hidden="1" customHeight="1">
      <c r="A550" s="934">
        <v>45169</v>
      </c>
      <c r="B550" s="716">
        <v>45155</v>
      </c>
      <c r="C550" s="494" t="s">
        <v>2088</v>
      </c>
      <c r="D550" s="494" t="s">
        <v>2066</v>
      </c>
      <c r="E550" s="939" t="s">
        <v>762</v>
      </c>
      <c r="F550" s="495" t="s">
        <v>1526</v>
      </c>
      <c r="G550" s="494"/>
      <c r="H550" s="494"/>
      <c r="I550" s="668" t="s">
        <v>1859</v>
      </c>
      <c r="J550" s="1011" t="s">
        <v>2089</v>
      </c>
      <c r="K550" s="677" t="str">
        <f>IF(L550=0,"",(INDEX(AccountCodes[ACCOUNT NAME],MATCH(L550,AccountCodes[NGAS CODE],0))))</f>
        <v>Due to Pag-IBIG - Pag-IBIG Premium</v>
      </c>
      <c r="L550" s="937" t="s">
        <v>1444</v>
      </c>
      <c r="M550" s="947">
        <v>1588.98</v>
      </c>
      <c r="N550" s="947"/>
      <c r="O550" s="967"/>
      <c r="P550" s="1012" t="e">
        <f>#REF!+M550-N550</f>
        <v>#REF!</v>
      </c>
    </row>
    <row r="551" spans="1:16" ht="39" hidden="1" customHeight="1">
      <c r="A551" s="934">
        <v>45169</v>
      </c>
      <c r="B551" s="716">
        <v>45155</v>
      </c>
      <c r="C551" s="494" t="s">
        <v>2088</v>
      </c>
      <c r="D551" s="494" t="s">
        <v>2066</v>
      </c>
      <c r="E551" s="939" t="s">
        <v>762</v>
      </c>
      <c r="F551" s="495" t="s">
        <v>1526</v>
      </c>
      <c r="G551" s="494"/>
      <c r="H551" s="494"/>
      <c r="I551" s="668" t="s">
        <v>1859</v>
      </c>
      <c r="J551" s="1011" t="s">
        <v>2089</v>
      </c>
      <c r="K551" s="677" t="str">
        <f>IF(L551=0,"",(INDEX(AccountCodes[ACCOUNT NAME],MATCH(L551,AccountCodes[NGAS CODE],0))))</f>
        <v>Cash in Bank-Local Currency, Current Account - FO</v>
      </c>
      <c r="L551" s="937" t="s">
        <v>1564</v>
      </c>
      <c r="M551" s="947"/>
      <c r="N551" s="947">
        <v>1888.98</v>
      </c>
      <c r="O551" s="967"/>
      <c r="P551" s="1012" t="e">
        <f>#REF!+M551-N551</f>
        <v>#REF!</v>
      </c>
    </row>
    <row r="552" spans="1:16" ht="39" hidden="1" customHeight="1">
      <c r="A552" s="934">
        <v>45169</v>
      </c>
      <c r="B552" s="716">
        <v>45155</v>
      </c>
      <c r="C552" s="494" t="s">
        <v>2090</v>
      </c>
      <c r="D552" s="494" t="s">
        <v>2066</v>
      </c>
      <c r="E552" s="939" t="s">
        <v>762</v>
      </c>
      <c r="F552" s="495" t="s">
        <v>1526</v>
      </c>
      <c r="G552" s="494"/>
      <c r="H552" s="494"/>
      <c r="I552" s="668" t="s">
        <v>1693</v>
      </c>
      <c r="J552" s="1011" t="s">
        <v>2091</v>
      </c>
      <c r="K552" s="677" t="str">
        <f>IF(L552=0,"",(INDEX(AccountCodes[ACCOUNT NAME],MATCH(L552,AccountCodes[NGAS CODE],0))))</f>
        <v>Retirement and Life Insurance Premiums</v>
      </c>
      <c r="L552" s="937" t="s">
        <v>175</v>
      </c>
      <c r="M552" s="947">
        <v>9533.8799999999992</v>
      </c>
      <c r="N552" s="947"/>
      <c r="O552" s="967" t="s">
        <v>2082</v>
      </c>
      <c r="P552" s="1012" t="e">
        <f>#REF!+M552-N552</f>
        <v>#REF!</v>
      </c>
    </row>
    <row r="553" spans="1:16" ht="39" hidden="1" customHeight="1">
      <c r="A553" s="934">
        <v>45169</v>
      </c>
      <c r="B553" s="716">
        <v>45155</v>
      </c>
      <c r="C553" s="494" t="s">
        <v>2090</v>
      </c>
      <c r="D553" s="494" t="s">
        <v>2066</v>
      </c>
      <c r="E553" s="939" t="s">
        <v>762</v>
      </c>
      <c r="F553" s="495" t="s">
        <v>1526</v>
      </c>
      <c r="G553" s="494"/>
      <c r="H553" s="494"/>
      <c r="I553" s="668" t="s">
        <v>1693</v>
      </c>
      <c r="J553" s="1011" t="s">
        <v>2091</v>
      </c>
      <c r="K553" s="677" t="str">
        <f>IF(L553=0,"",(INDEX(AccountCodes[ACCOUNT NAME],MATCH(L553,AccountCodes[NGAS CODE],0))))</f>
        <v>Employees Compensation Insurance Premiums</v>
      </c>
      <c r="L553" s="937" t="s">
        <v>178</v>
      </c>
      <c r="M553" s="947">
        <v>300</v>
      </c>
      <c r="N553" s="947"/>
      <c r="O553" s="967"/>
      <c r="P553" s="1012" t="e">
        <f>#REF!+M553-N553</f>
        <v>#REF!</v>
      </c>
    </row>
    <row r="554" spans="1:16" ht="39" hidden="1" customHeight="1">
      <c r="A554" s="934">
        <v>45169</v>
      </c>
      <c r="B554" s="716">
        <v>45155</v>
      </c>
      <c r="C554" s="494" t="s">
        <v>2090</v>
      </c>
      <c r="D554" s="494" t="s">
        <v>2066</v>
      </c>
      <c r="E554" s="939" t="s">
        <v>762</v>
      </c>
      <c r="F554" s="495" t="s">
        <v>1526</v>
      </c>
      <c r="G554" s="494"/>
      <c r="H554" s="494"/>
      <c r="I554" s="668" t="s">
        <v>1693</v>
      </c>
      <c r="J554" s="1011" t="s">
        <v>2091</v>
      </c>
      <c r="K554" s="677" t="str">
        <f>IF(L554=0,"",(INDEX(AccountCodes[ACCOUNT NAME],MATCH(L554,AccountCodes[NGAS CODE],0))))</f>
        <v>Due to GSIS - Life and Retirement Premium</v>
      </c>
      <c r="L554" s="937" t="s">
        <v>1440</v>
      </c>
      <c r="M554" s="947">
        <v>7150.41</v>
      </c>
      <c r="N554" s="947"/>
      <c r="O554" s="967"/>
      <c r="P554" s="1012" t="e">
        <f>#REF!+M554-N554</f>
        <v>#REF!</v>
      </c>
    </row>
    <row r="555" spans="1:16" ht="39" hidden="1" customHeight="1">
      <c r="A555" s="934">
        <v>45169</v>
      </c>
      <c r="B555" s="716">
        <v>45155</v>
      </c>
      <c r="C555" s="494" t="s">
        <v>2090</v>
      </c>
      <c r="D555" s="494" t="s">
        <v>2066</v>
      </c>
      <c r="E555" s="939" t="s">
        <v>762</v>
      </c>
      <c r="F555" s="495" t="s">
        <v>1526</v>
      </c>
      <c r="G555" s="494"/>
      <c r="H555" s="494"/>
      <c r="I555" s="668" t="s">
        <v>1693</v>
      </c>
      <c r="J555" s="1011" t="s">
        <v>2091</v>
      </c>
      <c r="K555" s="677" t="str">
        <f>IF(L555=0,"",(INDEX(AccountCodes[ACCOUNT NAME],MATCH(L555,AccountCodes[NGAS CODE],0))))</f>
        <v>Cash in Bank-Local Currency, Current Account - FO</v>
      </c>
      <c r="L555" s="937" t="s">
        <v>1564</v>
      </c>
      <c r="M555" s="947"/>
      <c r="N555" s="947">
        <v>16984.29</v>
      </c>
      <c r="O555" s="967"/>
      <c r="P555" s="1012" t="e">
        <f>#REF!+M555-N555</f>
        <v>#REF!</v>
      </c>
    </row>
    <row r="556" spans="1:16" ht="39" hidden="1" customHeight="1">
      <c r="A556" s="934">
        <v>45169</v>
      </c>
      <c r="B556" s="716">
        <v>45156</v>
      </c>
      <c r="C556" s="494" t="s">
        <v>2096</v>
      </c>
      <c r="D556" s="494" t="s">
        <v>2066</v>
      </c>
      <c r="E556" s="939" t="s">
        <v>762</v>
      </c>
      <c r="F556" s="495" t="s">
        <v>1526</v>
      </c>
      <c r="G556" s="494"/>
      <c r="H556" s="494"/>
      <c r="I556" s="668" t="s">
        <v>2040</v>
      </c>
      <c r="J556" s="1011" t="s">
        <v>2097</v>
      </c>
      <c r="K556" s="677" t="str">
        <f>IF(L556=0,"",(INDEX(AccountCodes[ACCOUNT NAME],MATCH(L556,AccountCodes[NGAS CODE],0))))</f>
        <v>Salaries and Wages-Regular</v>
      </c>
      <c r="L556" s="937" t="s">
        <v>162</v>
      </c>
      <c r="M556" s="947">
        <v>21129</v>
      </c>
      <c r="N556" s="947"/>
      <c r="O556" s="967" t="s">
        <v>2082</v>
      </c>
      <c r="P556" s="1012" t="e">
        <f t="shared" ref="P556" si="39">P555+M556-N556</f>
        <v>#REF!</v>
      </c>
    </row>
    <row r="557" spans="1:16" ht="39" hidden="1" customHeight="1">
      <c r="A557" s="934">
        <v>45169</v>
      </c>
      <c r="B557" s="716">
        <v>45156</v>
      </c>
      <c r="C557" s="494" t="s">
        <v>2096</v>
      </c>
      <c r="D557" s="494" t="s">
        <v>2066</v>
      </c>
      <c r="E557" s="939" t="s">
        <v>762</v>
      </c>
      <c r="F557" s="495" t="s">
        <v>1526</v>
      </c>
      <c r="G557" s="494"/>
      <c r="H557" s="494"/>
      <c r="I557" s="668" t="s">
        <v>2040</v>
      </c>
      <c r="J557" s="1011" t="s">
        <v>2097</v>
      </c>
      <c r="K557" s="677" t="str">
        <f>IF(L557=0,"",(INDEX(AccountCodes[ACCOUNT NAME],MATCH(L557,AccountCodes[NGAS CODE],0))))</f>
        <v>Personal Economic Relief Allowance (PERA)</v>
      </c>
      <c r="L557" s="937" t="s">
        <v>164</v>
      </c>
      <c r="M557" s="947">
        <v>2000</v>
      </c>
      <c r="N557" s="947"/>
      <c r="O557" s="967"/>
      <c r="P557" s="1012" t="e">
        <f t="shared" ref="P557:P559" si="40">P556+M557-N557</f>
        <v>#REF!</v>
      </c>
    </row>
    <row r="558" spans="1:16" ht="39" hidden="1" customHeight="1">
      <c r="A558" s="934">
        <v>45169</v>
      </c>
      <c r="B558" s="716">
        <v>45156</v>
      </c>
      <c r="C558" s="494" t="s">
        <v>2096</v>
      </c>
      <c r="D558" s="494" t="s">
        <v>2066</v>
      </c>
      <c r="E558" s="939" t="s">
        <v>762</v>
      </c>
      <c r="F558" s="495" t="s">
        <v>1526</v>
      </c>
      <c r="G558" s="494"/>
      <c r="H558" s="494"/>
      <c r="I558" s="668" t="s">
        <v>2040</v>
      </c>
      <c r="J558" s="1011" t="s">
        <v>2097</v>
      </c>
      <c r="K558" s="677" t="str">
        <f>IF(L558=0,"",(INDEX(AccountCodes[ACCOUNT NAME],MATCH(L558,AccountCodes[NGAS CODE],0))))</f>
        <v>Due to GSIS - Life and Retirement Premium</v>
      </c>
      <c r="L558" s="937" t="s">
        <v>1440</v>
      </c>
      <c r="M558" s="947"/>
      <c r="N558" s="947">
        <v>1901.61</v>
      </c>
      <c r="O558" s="967"/>
      <c r="P558" s="1012" t="e">
        <f t="shared" si="40"/>
        <v>#REF!</v>
      </c>
    </row>
    <row r="559" spans="1:16" ht="39" hidden="1" customHeight="1">
      <c r="A559" s="934">
        <v>45169</v>
      </c>
      <c r="B559" s="716">
        <v>45156</v>
      </c>
      <c r="C559" s="494" t="s">
        <v>2096</v>
      </c>
      <c r="D559" s="494" t="s">
        <v>2066</v>
      </c>
      <c r="E559" s="939" t="s">
        <v>762</v>
      </c>
      <c r="F559" s="495" t="s">
        <v>1526</v>
      </c>
      <c r="G559" s="494"/>
      <c r="H559" s="494"/>
      <c r="I559" s="668" t="s">
        <v>2040</v>
      </c>
      <c r="J559" s="1011" t="s">
        <v>2097</v>
      </c>
      <c r="K559" s="677" t="str">
        <f>IF(L559=0,"",(INDEX(AccountCodes[ACCOUNT NAME],MATCH(L559,AccountCodes[NGAS CODE],0))))</f>
        <v>Due to Pag-IBIG - Pag-IBIG Premium</v>
      </c>
      <c r="L559" s="937" t="s">
        <v>1444</v>
      </c>
      <c r="M559" s="947"/>
      <c r="N559" s="947">
        <v>422.58</v>
      </c>
      <c r="O559" s="967"/>
      <c r="P559" s="1012" t="e">
        <f t="shared" si="40"/>
        <v>#REF!</v>
      </c>
    </row>
    <row r="560" spans="1:16" ht="39" hidden="1" customHeight="1">
      <c r="A560" s="934">
        <v>45169</v>
      </c>
      <c r="B560" s="716">
        <v>45156</v>
      </c>
      <c r="C560" s="494" t="s">
        <v>2096</v>
      </c>
      <c r="D560" s="494" t="s">
        <v>2066</v>
      </c>
      <c r="E560" s="939" t="s">
        <v>762</v>
      </c>
      <c r="F560" s="495" t="s">
        <v>1526</v>
      </c>
      <c r="G560" s="494"/>
      <c r="H560" s="494"/>
      <c r="I560" s="668" t="s">
        <v>2040</v>
      </c>
      <c r="J560" s="1011" t="s">
        <v>2097</v>
      </c>
      <c r="K560" s="677" t="str">
        <f>IF(L560=0,"",(INDEX(AccountCodes[ACCOUNT NAME],MATCH(L560,AccountCodes[NGAS CODE],0))))</f>
        <v>Due to Pag-IBIG - Pag-IBIG Multi-Purpose Loan</v>
      </c>
      <c r="L560" s="937" t="s">
        <v>1445</v>
      </c>
      <c r="M560" s="947"/>
      <c r="N560" s="947">
        <v>1635.3</v>
      </c>
      <c r="O560" s="967"/>
      <c r="P560" s="1012" t="e">
        <f>P556+M560-N560</f>
        <v>#REF!</v>
      </c>
    </row>
    <row r="561" spans="1:16" ht="39" hidden="1" customHeight="1">
      <c r="A561" s="934">
        <v>45169</v>
      </c>
      <c r="B561" s="716">
        <v>45156</v>
      </c>
      <c r="C561" s="494" t="s">
        <v>2096</v>
      </c>
      <c r="D561" s="494" t="s">
        <v>2066</v>
      </c>
      <c r="E561" s="939" t="s">
        <v>762</v>
      </c>
      <c r="F561" s="495" t="s">
        <v>1526</v>
      </c>
      <c r="G561" s="494"/>
      <c r="H561" s="494"/>
      <c r="I561" s="668" t="s">
        <v>2040</v>
      </c>
      <c r="J561" s="1011" t="s">
        <v>2097</v>
      </c>
      <c r="K561" s="677" t="str">
        <f>IF(L561=0,"",(INDEX(AccountCodes[ACCOUNT NAME],MATCH(L561,AccountCodes[NGAS CODE],0))))</f>
        <v>Due to PhilHealth</v>
      </c>
      <c r="L561" s="937" t="s">
        <v>112</v>
      </c>
      <c r="M561" s="947"/>
      <c r="N561" s="947">
        <v>422.58</v>
      </c>
      <c r="O561" s="967"/>
      <c r="P561" s="1012" t="e">
        <f>P555+M561-N561</f>
        <v>#REF!</v>
      </c>
    </row>
    <row r="562" spans="1:16" ht="39" hidden="1" customHeight="1">
      <c r="A562" s="934">
        <v>45169</v>
      </c>
      <c r="B562" s="716">
        <v>45156</v>
      </c>
      <c r="C562" s="494" t="s">
        <v>2096</v>
      </c>
      <c r="D562" s="494" t="s">
        <v>2066</v>
      </c>
      <c r="E562" s="939" t="s">
        <v>762</v>
      </c>
      <c r="F562" s="495" t="s">
        <v>1526</v>
      </c>
      <c r="G562" s="494"/>
      <c r="H562" s="494"/>
      <c r="I562" s="668" t="s">
        <v>2040</v>
      </c>
      <c r="J562" s="1011" t="s">
        <v>2097</v>
      </c>
      <c r="K562" s="677" t="str">
        <f>IF(L562=0,"",(INDEX(AccountCodes[ACCOUNT NAME],MATCH(L562,AccountCodes[NGAS CODE],0))))</f>
        <v>Cash in Bank-Local Currency, Current Account - FO</v>
      </c>
      <c r="L562" s="937" t="s">
        <v>1564</v>
      </c>
      <c r="M562" s="947"/>
      <c r="N562" s="947">
        <v>18746.93</v>
      </c>
      <c r="O562" s="967"/>
      <c r="P562" s="1012" t="e">
        <f>P555+M562-N562</f>
        <v>#REF!</v>
      </c>
    </row>
    <row r="563" spans="1:16" ht="39" hidden="1" customHeight="1">
      <c r="A563" s="934">
        <v>45169</v>
      </c>
      <c r="B563" s="716">
        <v>45160</v>
      </c>
      <c r="C563" s="494" t="s">
        <v>2092</v>
      </c>
      <c r="D563" s="494" t="s">
        <v>2066</v>
      </c>
      <c r="E563" s="939" t="s">
        <v>762</v>
      </c>
      <c r="F563" s="495" t="s">
        <v>1526</v>
      </c>
      <c r="G563" s="494"/>
      <c r="H563" s="494"/>
      <c r="I563" s="668" t="s">
        <v>2051</v>
      </c>
      <c r="J563" s="1011" t="s">
        <v>2093</v>
      </c>
      <c r="K563" s="677" t="str">
        <f>IF(L563=0,"",(INDEX(AccountCodes[ACCOUNT NAME],MATCH(L563,AccountCodes[NGAS CODE],0))))</f>
        <v>Information and Communications Technology Equipment</v>
      </c>
      <c r="L563" s="937" t="s">
        <v>44</v>
      </c>
      <c r="M563" s="947">
        <v>193960</v>
      </c>
      <c r="N563" s="947"/>
      <c r="O563" s="967" t="s">
        <v>1957</v>
      </c>
      <c r="P563" s="1012" t="e">
        <f>#REF!+M563-N563</f>
        <v>#REF!</v>
      </c>
    </row>
    <row r="564" spans="1:16" ht="39" hidden="1" customHeight="1">
      <c r="A564" s="934">
        <v>45169</v>
      </c>
      <c r="B564" s="716">
        <v>45160</v>
      </c>
      <c r="C564" s="494" t="s">
        <v>2092</v>
      </c>
      <c r="D564" s="494" t="s">
        <v>2066</v>
      </c>
      <c r="E564" s="939" t="s">
        <v>762</v>
      </c>
      <c r="F564" s="495" t="s">
        <v>1526</v>
      </c>
      <c r="G564" s="494"/>
      <c r="H564" s="494"/>
      <c r="I564" s="668" t="s">
        <v>2051</v>
      </c>
      <c r="J564" s="1011" t="s">
        <v>2093</v>
      </c>
      <c r="K564" s="677" t="str">
        <f>IF(L564=0,"",(INDEX(AccountCodes[ACCOUNT NAME],MATCH(L564,AccountCodes[NGAS CODE],0))))</f>
        <v>Due to BIR - 1%</v>
      </c>
      <c r="L564" s="937" t="s">
        <v>1554</v>
      </c>
      <c r="M564" s="947"/>
      <c r="N564" s="947">
        <v>1731.79</v>
      </c>
      <c r="O564" s="967"/>
      <c r="P564" s="1012" t="e">
        <f>#REF!+M564-N564</f>
        <v>#REF!</v>
      </c>
    </row>
    <row r="565" spans="1:16" ht="39" hidden="1" customHeight="1">
      <c r="A565" s="934">
        <v>45169</v>
      </c>
      <c r="B565" s="716">
        <v>45160</v>
      </c>
      <c r="C565" s="494" t="s">
        <v>2092</v>
      </c>
      <c r="D565" s="494" t="s">
        <v>2066</v>
      </c>
      <c r="E565" s="939" t="s">
        <v>762</v>
      </c>
      <c r="F565" s="495" t="s">
        <v>1526</v>
      </c>
      <c r="G565" s="494"/>
      <c r="H565" s="494"/>
      <c r="I565" s="668" t="s">
        <v>2051</v>
      </c>
      <c r="J565" s="1011" t="s">
        <v>2093</v>
      </c>
      <c r="K565" s="677" t="str">
        <f>IF(L565=0,"",(INDEX(AccountCodes[ACCOUNT NAME],MATCH(L565,AccountCodes[NGAS CODE],0))))</f>
        <v>Due to BIR - 5%</v>
      </c>
      <c r="L565" s="937" t="s">
        <v>1548</v>
      </c>
      <c r="M565" s="947"/>
      <c r="N565" s="947">
        <v>8658.93</v>
      </c>
      <c r="O565" s="967"/>
      <c r="P565" s="1012" t="e">
        <f>#REF!+M565-N565</f>
        <v>#REF!</v>
      </c>
    </row>
    <row r="566" spans="1:16" ht="39" hidden="1" customHeight="1">
      <c r="A566" s="934">
        <v>45169</v>
      </c>
      <c r="B566" s="716">
        <v>45160</v>
      </c>
      <c r="C566" s="494" t="s">
        <v>2092</v>
      </c>
      <c r="D566" s="494" t="s">
        <v>2066</v>
      </c>
      <c r="E566" s="939" t="s">
        <v>762</v>
      </c>
      <c r="F566" s="495" t="s">
        <v>1526</v>
      </c>
      <c r="G566" s="494"/>
      <c r="H566" s="494"/>
      <c r="I566" s="668" t="s">
        <v>2051</v>
      </c>
      <c r="J566" s="1011" t="s">
        <v>2093</v>
      </c>
      <c r="K566" s="677" t="str">
        <f>IF(L566=0,"",(INDEX(AccountCodes[ACCOUNT NAME],MATCH(L566,AccountCodes[NGAS CODE],0))))</f>
        <v>Cash in Bank-Local Currency, Current Account - FO</v>
      </c>
      <c r="L566" s="937" t="s">
        <v>1564</v>
      </c>
      <c r="M566" s="947"/>
      <c r="N566" s="947">
        <v>183569.28</v>
      </c>
      <c r="O566" s="967"/>
      <c r="P566" s="1012" t="e">
        <f>#REF!+M566-N566</f>
        <v>#REF!</v>
      </c>
    </row>
    <row r="567" spans="1:16" ht="39" hidden="1" customHeight="1">
      <c r="A567" s="934">
        <v>45169</v>
      </c>
      <c r="B567" s="716">
        <v>45161</v>
      </c>
      <c r="C567" s="494" t="s">
        <v>2094</v>
      </c>
      <c r="D567" s="494" t="s">
        <v>2066</v>
      </c>
      <c r="E567" s="939" t="s">
        <v>762</v>
      </c>
      <c r="F567" s="495" t="s">
        <v>1526</v>
      </c>
      <c r="G567" s="494"/>
      <c r="H567" s="494"/>
      <c r="I567" s="668" t="s">
        <v>1742</v>
      </c>
      <c r="J567" s="1011" t="s">
        <v>2095</v>
      </c>
      <c r="K567" s="677" t="str">
        <f>IF(L567=0,"",(INDEX(AccountCodes[ACCOUNT NAME],MATCH(L567,AccountCodes[NGAS CODE],0))))</f>
        <v>Construction in Progress-Infrastructure Assets (Irrigation, Canals and Laterals)</v>
      </c>
      <c r="L567" s="937" t="s">
        <v>82</v>
      </c>
      <c r="M567" s="947">
        <v>1635625.15</v>
      </c>
      <c r="N567" s="947"/>
      <c r="O567" s="954" t="s">
        <v>1925</v>
      </c>
      <c r="P567" s="1012" t="e">
        <f>#REF!+M567-N567</f>
        <v>#REF!</v>
      </c>
    </row>
    <row r="568" spans="1:16" ht="39" hidden="1" customHeight="1">
      <c r="A568" s="934">
        <v>45169</v>
      </c>
      <c r="B568" s="716">
        <v>45161</v>
      </c>
      <c r="C568" s="494" t="s">
        <v>2094</v>
      </c>
      <c r="D568" s="494" t="s">
        <v>2066</v>
      </c>
      <c r="E568" s="939" t="s">
        <v>762</v>
      </c>
      <c r="F568" s="495" t="s">
        <v>1526</v>
      </c>
      <c r="G568" s="494"/>
      <c r="H568" s="494"/>
      <c r="I568" s="668" t="s">
        <v>1742</v>
      </c>
      <c r="J568" s="1011" t="s">
        <v>2095</v>
      </c>
      <c r="K568" s="677" t="str">
        <f>IF(L568=0,"",(INDEX(AccountCodes[ACCOUNT NAME],MATCH(L568,AccountCodes[NGAS CODE],0))))</f>
        <v>Due to BIR - 5%</v>
      </c>
      <c r="L568" s="937" t="s">
        <v>1548</v>
      </c>
      <c r="M568" s="947"/>
      <c r="N568" s="947">
        <v>73018.98</v>
      </c>
      <c r="O568" s="967"/>
      <c r="P568" s="1012" t="e">
        <f>#REF!+M568-N568</f>
        <v>#REF!</v>
      </c>
    </row>
    <row r="569" spans="1:16" ht="39" hidden="1" customHeight="1">
      <c r="A569" s="934">
        <v>45169</v>
      </c>
      <c r="B569" s="716">
        <v>45161</v>
      </c>
      <c r="C569" s="494" t="s">
        <v>2094</v>
      </c>
      <c r="D569" s="494" t="s">
        <v>2066</v>
      </c>
      <c r="E569" s="939" t="s">
        <v>762</v>
      </c>
      <c r="F569" s="495" t="s">
        <v>1526</v>
      </c>
      <c r="G569" s="494"/>
      <c r="H569" s="494"/>
      <c r="I569" s="668" t="s">
        <v>1742</v>
      </c>
      <c r="J569" s="1011" t="s">
        <v>2095</v>
      </c>
      <c r="K569" s="677" t="str">
        <f>IF(L569=0,"",(INDEX(AccountCodes[ACCOUNT NAME],MATCH(L569,AccountCodes[NGAS CODE],0))))</f>
        <v>Due to BIR - 2%</v>
      </c>
      <c r="L569" s="937" t="s">
        <v>1550</v>
      </c>
      <c r="M569" s="947"/>
      <c r="N569" s="947">
        <v>29207.59</v>
      </c>
      <c r="O569" s="967"/>
      <c r="P569" s="1012" t="e">
        <f>#REF!+M569-N569</f>
        <v>#REF!</v>
      </c>
    </row>
    <row r="570" spans="1:16" ht="39" hidden="1" customHeight="1">
      <c r="A570" s="934">
        <v>45169</v>
      </c>
      <c r="B570" s="716">
        <v>45161</v>
      </c>
      <c r="C570" s="494" t="s">
        <v>2094</v>
      </c>
      <c r="D570" s="494" t="s">
        <v>2066</v>
      </c>
      <c r="E570" s="939" t="s">
        <v>762</v>
      </c>
      <c r="F570" s="495" t="s">
        <v>1526</v>
      </c>
      <c r="G570" s="494"/>
      <c r="H570" s="494"/>
      <c r="I570" s="668" t="s">
        <v>1742</v>
      </c>
      <c r="J570" s="1011" t="s">
        <v>2095</v>
      </c>
      <c r="K570" s="677" t="str">
        <f>IF(L570=0,"",(INDEX(AccountCodes[ACCOUNT NAME],MATCH(L570,AccountCodes[NGAS CODE],0))))</f>
        <v>Cash in Bank-Local Currency, Current Account - FO</v>
      </c>
      <c r="L570" s="937" t="s">
        <v>1564</v>
      </c>
      <c r="M570" s="947"/>
      <c r="N570" s="947">
        <v>1533398.58</v>
      </c>
      <c r="O570" s="967"/>
      <c r="P570" s="1012" t="e">
        <f>#REF!+M570-N570</f>
        <v>#REF!</v>
      </c>
    </row>
    <row r="571" spans="1:16" ht="39" hidden="1" customHeight="1">
      <c r="A571" s="934">
        <v>45169</v>
      </c>
      <c r="B571" s="716">
        <v>45161</v>
      </c>
      <c r="C571" s="494" t="s">
        <v>2098</v>
      </c>
      <c r="D571" s="494" t="s">
        <v>2066</v>
      </c>
      <c r="E571" s="939" t="s">
        <v>762</v>
      </c>
      <c r="F571" s="495" t="s">
        <v>1526</v>
      </c>
      <c r="G571" s="494"/>
      <c r="H571" s="494"/>
      <c r="I571" s="668" t="s">
        <v>1689</v>
      </c>
      <c r="J571" s="1011" t="s">
        <v>2099</v>
      </c>
      <c r="K571" s="677" t="str">
        <f>IF(L571=0,"",(INDEX(AccountCodes[ACCOUNT NAME],MATCH(L571,AccountCodes[NGAS CODE],0))))</f>
        <v>PhilHealth Contributions</v>
      </c>
      <c r="L571" s="937" t="s">
        <v>177</v>
      </c>
      <c r="M571" s="947">
        <v>1588.98</v>
      </c>
      <c r="N571" s="947"/>
      <c r="O571" s="967" t="s">
        <v>2082</v>
      </c>
      <c r="P571" s="1012" t="e">
        <f>#REF!+M571-N571</f>
        <v>#REF!</v>
      </c>
    </row>
    <row r="572" spans="1:16" ht="39" hidden="1" customHeight="1">
      <c r="A572" s="934">
        <v>45169</v>
      </c>
      <c r="B572" s="716">
        <v>45161</v>
      </c>
      <c r="C572" s="494" t="s">
        <v>2098</v>
      </c>
      <c r="D572" s="494" t="s">
        <v>2066</v>
      </c>
      <c r="E572" s="939" t="s">
        <v>762</v>
      </c>
      <c r="F572" s="495" t="s">
        <v>1526</v>
      </c>
      <c r="G572" s="494"/>
      <c r="H572" s="494"/>
      <c r="I572" s="668" t="s">
        <v>1689</v>
      </c>
      <c r="J572" s="1011" t="s">
        <v>2099</v>
      </c>
      <c r="K572" s="677" t="str">
        <f>IF(L572=0,"",(INDEX(AccountCodes[ACCOUNT NAME],MATCH(L572,AccountCodes[NGAS CODE],0))))</f>
        <v>Due to PhilHealth</v>
      </c>
      <c r="L572" s="937" t="s">
        <v>112</v>
      </c>
      <c r="M572" s="947">
        <v>1588.98</v>
      </c>
      <c r="N572" s="947"/>
      <c r="O572" s="967"/>
      <c r="P572" s="1012" t="e">
        <f>#REF!+M572-N572</f>
        <v>#REF!</v>
      </c>
    </row>
    <row r="573" spans="1:16" ht="39" hidden="1" customHeight="1">
      <c r="A573" s="934">
        <v>45169</v>
      </c>
      <c r="B573" s="716">
        <v>45161</v>
      </c>
      <c r="C573" s="494" t="s">
        <v>2098</v>
      </c>
      <c r="D573" s="494" t="s">
        <v>2066</v>
      </c>
      <c r="E573" s="939" t="s">
        <v>762</v>
      </c>
      <c r="F573" s="495" t="s">
        <v>1526</v>
      </c>
      <c r="G573" s="494"/>
      <c r="H573" s="494"/>
      <c r="I573" s="668" t="s">
        <v>1689</v>
      </c>
      <c r="J573" s="1011" t="s">
        <v>2099</v>
      </c>
      <c r="K573" s="677" t="str">
        <f>IF(L573=0,"",(INDEX(AccountCodes[ACCOUNT NAME],MATCH(L573,AccountCodes[NGAS CODE],0))))</f>
        <v>Cash in Bank-Local Currency, Current Account - FO</v>
      </c>
      <c r="L573" s="937" t="s">
        <v>1564</v>
      </c>
      <c r="M573" s="947"/>
      <c r="N573" s="947">
        <v>3177.96</v>
      </c>
      <c r="O573" s="967"/>
      <c r="P573" s="1012" t="e">
        <f>#REF!+M573-N573</f>
        <v>#REF!</v>
      </c>
    </row>
    <row r="574" spans="1:16" ht="39" hidden="1" customHeight="1">
      <c r="A574" s="934">
        <v>45169</v>
      </c>
      <c r="B574" s="716" t="s">
        <v>2104</v>
      </c>
      <c r="C574" s="494" t="s">
        <v>2105</v>
      </c>
      <c r="D574" s="494" t="s">
        <v>2066</v>
      </c>
      <c r="E574" s="939" t="s">
        <v>762</v>
      </c>
      <c r="F574" s="495" t="s">
        <v>1526</v>
      </c>
      <c r="G574" s="494"/>
      <c r="H574" s="494"/>
      <c r="I574" s="668" t="s">
        <v>1680</v>
      </c>
      <c r="J574" s="935" t="s">
        <v>2102</v>
      </c>
      <c r="K574" s="677" t="str">
        <f>IF(L574=0,"",(INDEX(AccountCodes[ACCOUNT NAME],MATCH(L574,AccountCodes[NGAS CODE],0))))</f>
        <v>Due to BIR - 1%</v>
      </c>
      <c r="L574" s="936" t="s">
        <v>1554</v>
      </c>
      <c r="M574" s="947">
        <v>3743.26</v>
      </c>
      <c r="N574" s="947"/>
      <c r="O574" s="972" t="s">
        <v>2103</v>
      </c>
      <c r="P574" s="1012" t="e">
        <f>#REF!+M574-N574</f>
        <v>#REF!</v>
      </c>
    </row>
    <row r="575" spans="1:16" ht="39" hidden="1" customHeight="1">
      <c r="A575" s="934">
        <v>45169</v>
      </c>
      <c r="B575" s="716" t="s">
        <v>2104</v>
      </c>
      <c r="C575" s="494" t="s">
        <v>2105</v>
      </c>
      <c r="D575" s="494" t="s">
        <v>2066</v>
      </c>
      <c r="E575" s="939" t="s">
        <v>762</v>
      </c>
      <c r="F575" s="495" t="s">
        <v>1526</v>
      </c>
      <c r="G575" s="494"/>
      <c r="H575" s="494"/>
      <c r="I575" s="668" t="s">
        <v>1680</v>
      </c>
      <c r="J575" s="935" t="s">
        <v>2102</v>
      </c>
      <c r="K575" s="677" t="str">
        <f>IF(L575=0,"",(INDEX(AccountCodes[ACCOUNT NAME],MATCH(L575,AccountCodes[NGAS CODE],0))))</f>
        <v>Due to BIR - 2%</v>
      </c>
      <c r="L575" s="936" t="s">
        <v>1550</v>
      </c>
      <c r="M575" s="947">
        <v>29207.59</v>
      </c>
      <c r="N575" s="947"/>
      <c r="O575" s="967"/>
      <c r="P575" s="1012" t="e">
        <f>#REF!+M575-N575</f>
        <v>#REF!</v>
      </c>
    </row>
    <row r="576" spans="1:16" ht="39" hidden="1" customHeight="1">
      <c r="A576" s="934">
        <v>45169</v>
      </c>
      <c r="B576" s="716" t="s">
        <v>2104</v>
      </c>
      <c r="C576" s="494" t="s">
        <v>2105</v>
      </c>
      <c r="D576" s="494" t="s">
        <v>2066</v>
      </c>
      <c r="E576" s="939" t="s">
        <v>762</v>
      </c>
      <c r="F576" s="495" t="s">
        <v>1526</v>
      </c>
      <c r="G576" s="494"/>
      <c r="H576" s="494"/>
      <c r="I576" s="668" t="s">
        <v>1680</v>
      </c>
      <c r="J576" s="935" t="s">
        <v>2102</v>
      </c>
      <c r="K576" s="677" t="str">
        <f>IF(L576=0,"",(INDEX(AccountCodes[ACCOUNT NAME],MATCH(L576,AccountCodes[NGAS CODE],0))))</f>
        <v>Cash in Bank-Local Currency, Current Account - FO</v>
      </c>
      <c r="L576" s="936" t="s">
        <v>1564</v>
      </c>
      <c r="M576" s="947"/>
      <c r="N576" s="947">
        <v>32950.85</v>
      </c>
      <c r="O576" s="967"/>
      <c r="P576" s="1012" t="e">
        <f>#REF!+M576-N576</f>
        <v>#REF!</v>
      </c>
    </row>
    <row r="577" spans="1:16" ht="39" hidden="1" customHeight="1">
      <c r="A577" s="934">
        <v>45169</v>
      </c>
      <c r="B577" s="716" t="s">
        <v>2106</v>
      </c>
      <c r="C577" s="494" t="s">
        <v>2105</v>
      </c>
      <c r="D577" s="494" t="s">
        <v>2066</v>
      </c>
      <c r="E577" s="939" t="s">
        <v>762</v>
      </c>
      <c r="F577" s="495" t="s">
        <v>1526</v>
      </c>
      <c r="G577" s="494"/>
      <c r="H577" s="494"/>
      <c r="I577" s="668" t="s">
        <v>1680</v>
      </c>
      <c r="J577" s="935" t="s">
        <v>2100</v>
      </c>
      <c r="K577" s="677" t="str">
        <f>IF(L577=0,"",(INDEX(AccountCodes[ACCOUNT NAME],MATCH(L577,AccountCodes[NGAS CODE],0))))</f>
        <v>Due to BIR - 5%</v>
      </c>
      <c r="L577" s="937" t="s">
        <v>1548</v>
      </c>
      <c r="M577" s="947">
        <v>91735.22</v>
      </c>
      <c r="N577" s="947"/>
      <c r="O577" s="976" t="s">
        <v>2101</v>
      </c>
      <c r="P577" s="1012" t="e">
        <f>#REF!+M577-N577</f>
        <v>#REF!</v>
      </c>
    </row>
    <row r="578" spans="1:16" ht="39" hidden="1" customHeight="1">
      <c r="A578" s="934">
        <v>45169</v>
      </c>
      <c r="B578" s="716" t="s">
        <v>2106</v>
      </c>
      <c r="C578" s="494" t="s">
        <v>2105</v>
      </c>
      <c r="D578" s="494" t="s">
        <v>2066</v>
      </c>
      <c r="E578" s="939" t="s">
        <v>762</v>
      </c>
      <c r="F578" s="495" t="s">
        <v>1526</v>
      </c>
      <c r="G578" s="494"/>
      <c r="H578" s="494"/>
      <c r="I578" s="668" t="s">
        <v>1680</v>
      </c>
      <c r="J578" s="1011" t="s">
        <v>2100</v>
      </c>
      <c r="K578" s="677" t="str">
        <f>IF(L578=0,"",(INDEX(AccountCodes[ACCOUNT NAME],MATCH(L578,AccountCodes[NGAS CODE],0))))</f>
        <v>Cash in Bank-Local Currency, Current Account - FO</v>
      </c>
      <c r="L578" s="937" t="s">
        <v>1564</v>
      </c>
      <c r="M578" s="947"/>
      <c r="N578" s="947">
        <v>91735.22</v>
      </c>
      <c r="O578" s="967"/>
      <c r="P578" s="1012" t="e">
        <f>#REF!+M578-N578</f>
        <v>#REF!</v>
      </c>
    </row>
    <row r="579" spans="1:16" ht="39" hidden="1" customHeight="1">
      <c r="A579" s="934">
        <v>45199</v>
      </c>
      <c r="B579" s="716">
        <v>45170</v>
      </c>
      <c r="C579" s="145" t="s">
        <v>2141</v>
      </c>
      <c r="D579" s="145" t="s">
        <v>2107</v>
      </c>
      <c r="E579" s="185" t="s">
        <v>762</v>
      </c>
      <c r="F579" s="137" t="s">
        <v>1526</v>
      </c>
      <c r="G579" s="494"/>
      <c r="H579" s="494"/>
      <c r="I579" s="560" t="s">
        <v>2013</v>
      </c>
      <c r="J579" s="935" t="s">
        <v>2108</v>
      </c>
      <c r="K579" s="677" t="str">
        <f>IF(L579=0,"",(INDEX(AccountCodes[ACCOUNT NAME],MATCH(L579,AccountCodes[NGAS CODE],0))))</f>
        <v>Construction in Progress-Infrastructure Assets (Irrigation, Canals and Laterals)</v>
      </c>
      <c r="L579" s="936" t="s">
        <v>82</v>
      </c>
      <c r="M579" s="947">
        <v>4266722.62</v>
      </c>
      <c r="N579" s="947"/>
      <c r="O579" s="954" t="s">
        <v>2077</v>
      </c>
      <c r="P579" s="1012" t="e">
        <f>P578+M579-N579</f>
        <v>#REF!</v>
      </c>
    </row>
    <row r="580" spans="1:16" ht="39" hidden="1" customHeight="1">
      <c r="A580" s="934">
        <v>45199</v>
      </c>
      <c r="B580" s="716">
        <v>45170</v>
      </c>
      <c r="C580" s="145" t="s">
        <v>2141</v>
      </c>
      <c r="D580" s="494" t="s">
        <v>2107</v>
      </c>
      <c r="E580" s="939" t="s">
        <v>762</v>
      </c>
      <c r="F580" s="495" t="s">
        <v>1526</v>
      </c>
      <c r="G580" s="494"/>
      <c r="H580" s="494"/>
      <c r="I580" s="668" t="s">
        <v>2013</v>
      </c>
      <c r="J580" s="1011" t="s">
        <v>2108</v>
      </c>
      <c r="K580" s="677" t="str">
        <f>IF(L580=0,"",(INDEX(AccountCodes[ACCOUNT NAME],MATCH(L580,AccountCodes[NGAS CODE],0))))</f>
        <v>Due to BIR - 5%</v>
      </c>
      <c r="L580" s="936" t="s">
        <v>1548</v>
      </c>
      <c r="M580" s="947"/>
      <c r="N580" s="947">
        <v>190478.69</v>
      </c>
      <c r="O580" s="967"/>
      <c r="P580" s="1012" t="e">
        <f>P578+M580-N580</f>
        <v>#REF!</v>
      </c>
    </row>
    <row r="581" spans="1:16" ht="39" hidden="1" customHeight="1">
      <c r="A581" s="934">
        <v>45199</v>
      </c>
      <c r="B581" s="716">
        <v>45170</v>
      </c>
      <c r="C581" s="145" t="s">
        <v>2141</v>
      </c>
      <c r="D581" s="494" t="s">
        <v>2107</v>
      </c>
      <c r="E581" s="939" t="s">
        <v>762</v>
      </c>
      <c r="F581" s="495" t="s">
        <v>1526</v>
      </c>
      <c r="G581" s="494"/>
      <c r="H581" s="494"/>
      <c r="I581" s="668" t="s">
        <v>2013</v>
      </c>
      <c r="J581" s="1011" t="s">
        <v>2108</v>
      </c>
      <c r="K581" s="677" t="str">
        <f>IF(L581=0,"",(INDEX(AccountCodes[ACCOUNT NAME],MATCH(L581,AccountCodes[NGAS CODE],0))))</f>
        <v>Due to BIR - 2%</v>
      </c>
      <c r="L581" s="936" t="s">
        <v>1550</v>
      </c>
      <c r="M581" s="947"/>
      <c r="N581" s="947">
        <v>76191.48</v>
      </c>
      <c r="O581" s="967"/>
      <c r="P581" s="1012" t="e">
        <f>P578+M581-N581</f>
        <v>#REF!</v>
      </c>
    </row>
    <row r="582" spans="1:16" ht="39" hidden="1" customHeight="1">
      <c r="A582" s="934">
        <v>45199</v>
      </c>
      <c r="B582" s="716">
        <v>45170</v>
      </c>
      <c r="C582" s="145" t="s">
        <v>2141</v>
      </c>
      <c r="D582" s="494" t="s">
        <v>2107</v>
      </c>
      <c r="E582" s="939" t="s">
        <v>762</v>
      </c>
      <c r="F582" s="495" t="s">
        <v>1526</v>
      </c>
      <c r="G582" s="494"/>
      <c r="H582" s="494"/>
      <c r="I582" s="668" t="s">
        <v>2013</v>
      </c>
      <c r="J582" s="1011" t="s">
        <v>2108</v>
      </c>
      <c r="K582" s="677" t="str">
        <f>IF(L582=0,"",(INDEX(AccountCodes[ACCOUNT NAME],MATCH(L582,AccountCodes[NGAS CODE],0))))</f>
        <v>Guaranty/Security Deposits Payable</v>
      </c>
      <c r="L582" s="936" t="s">
        <v>115</v>
      </c>
      <c r="M582" s="947"/>
      <c r="N582" s="947">
        <v>447317.08</v>
      </c>
      <c r="O582" s="967"/>
      <c r="P582" s="1012" t="e">
        <f>P578+M582-N582</f>
        <v>#REF!</v>
      </c>
    </row>
    <row r="583" spans="1:16" ht="39" hidden="1" customHeight="1">
      <c r="A583" s="934">
        <v>45199</v>
      </c>
      <c r="B583" s="716">
        <v>45170</v>
      </c>
      <c r="C583" s="145" t="s">
        <v>2141</v>
      </c>
      <c r="D583" s="494" t="s">
        <v>2107</v>
      </c>
      <c r="E583" s="939" t="s">
        <v>762</v>
      </c>
      <c r="F583" s="495" t="s">
        <v>1526</v>
      </c>
      <c r="G583" s="494"/>
      <c r="H583" s="494"/>
      <c r="I583" s="668" t="s">
        <v>2013</v>
      </c>
      <c r="J583" s="1011" t="s">
        <v>2108</v>
      </c>
      <c r="K583" s="677" t="str">
        <f>IF(L583=0,"",(INDEX(AccountCodes[ACCOUNT NAME],MATCH(L583,AccountCodes[NGAS CODE],0))))</f>
        <v>Advances to Contractors</v>
      </c>
      <c r="L583" s="936" t="s">
        <v>35</v>
      </c>
      <c r="M583" s="947"/>
      <c r="N583" s="947">
        <v>639976.55000000005</v>
      </c>
      <c r="O583" s="967"/>
      <c r="P583" s="1012" t="e">
        <f>P578+M583-N583</f>
        <v>#REF!</v>
      </c>
    </row>
    <row r="584" spans="1:16" ht="39" hidden="1" customHeight="1">
      <c r="A584" s="934">
        <v>45199</v>
      </c>
      <c r="B584" s="716">
        <v>45170</v>
      </c>
      <c r="C584" s="145" t="s">
        <v>2141</v>
      </c>
      <c r="D584" s="494" t="s">
        <v>2107</v>
      </c>
      <c r="E584" s="939" t="s">
        <v>762</v>
      </c>
      <c r="F584" s="495" t="s">
        <v>1526</v>
      </c>
      <c r="G584" s="494"/>
      <c r="H584" s="494"/>
      <c r="I584" s="668" t="s">
        <v>2013</v>
      </c>
      <c r="J584" s="1011" t="s">
        <v>2108</v>
      </c>
      <c r="K584" s="677" t="str">
        <f>IF(L584=0,"",(INDEX(AccountCodes[ACCOUNT NAME],MATCH(L584,AccountCodes[NGAS CODE],0))))</f>
        <v>Cash in Bank-Local Currency, Current Account - FO</v>
      </c>
      <c r="L584" s="936" t="s">
        <v>1564</v>
      </c>
      <c r="M584" s="947"/>
      <c r="N584" s="947">
        <v>2912758.82</v>
      </c>
      <c r="O584" s="967"/>
      <c r="P584" s="1012" t="e">
        <f>P578+M584-N584</f>
        <v>#REF!</v>
      </c>
    </row>
    <row r="585" spans="1:16" ht="39" hidden="1" customHeight="1">
      <c r="A585" s="934">
        <v>45199</v>
      </c>
      <c r="B585" s="716">
        <v>45181</v>
      </c>
      <c r="C585" s="145" t="s">
        <v>2142</v>
      </c>
      <c r="D585" s="145" t="s">
        <v>2107</v>
      </c>
      <c r="E585" s="185" t="s">
        <v>762</v>
      </c>
      <c r="F585" s="137" t="s">
        <v>1526</v>
      </c>
      <c r="G585" s="494"/>
      <c r="H585" s="494"/>
      <c r="I585" s="560" t="s">
        <v>1760</v>
      </c>
      <c r="J585" s="935" t="s">
        <v>2109</v>
      </c>
      <c r="K585" s="677" t="str">
        <f>IF(L585=0,"",(INDEX(AccountCodes[ACCOUNT NAME],MATCH(L585,AccountCodes[NGAS CODE],0))))</f>
        <v>Fuel, Oil and Lubricants Expenses</v>
      </c>
      <c r="L585" s="936" t="s">
        <v>229</v>
      </c>
      <c r="M585" s="947">
        <v>8268.64</v>
      </c>
      <c r="N585" s="947"/>
      <c r="O585" s="954" t="s">
        <v>2110</v>
      </c>
      <c r="P585" s="1012" t="e">
        <f>P578+M585-N585</f>
        <v>#REF!</v>
      </c>
    </row>
    <row r="586" spans="1:16" ht="39" hidden="1" customHeight="1">
      <c r="A586" s="934">
        <v>45199</v>
      </c>
      <c r="B586" s="716">
        <v>45181</v>
      </c>
      <c r="C586" s="145" t="s">
        <v>2142</v>
      </c>
      <c r="D586" s="145" t="s">
        <v>2107</v>
      </c>
      <c r="E586" s="185" t="s">
        <v>762</v>
      </c>
      <c r="F586" s="137" t="s">
        <v>1526</v>
      </c>
      <c r="G586" s="494"/>
      <c r="H586" s="494"/>
      <c r="I586" s="560" t="s">
        <v>1760</v>
      </c>
      <c r="J586" s="935" t="s">
        <v>2109</v>
      </c>
      <c r="K586" s="677" t="str">
        <f>IF(L586=0,"",(INDEX(AccountCodes[ACCOUNT NAME],MATCH(L586,AccountCodes[NGAS CODE],0))))</f>
        <v>Due to BIR - 1%</v>
      </c>
      <c r="L586" s="936" t="s">
        <v>1554</v>
      </c>
      <c r="M586" s="947"/>
      <c r="N586" s="947">
        <v>73.83</v>
      </c>
      <c r="O586" s="967"/>
      <c r="P586" s="1012" t="e">
        <f>P578+M586-N586</f>
        <v>#REF!</v>
      </c>
    </row>
    <row r="587" spans="1:16" ht="39" hidden="1" customHeight="1">
      <c r="A587" s="934">
        <v>45199</v>
      </c>
      <c r="B587" s="716">
        <v>45181</v>
      </c>
      <c r="C587" s="145" t="s">
        <v>2142</v>
      </c>
      <c r="D587" s="145" t="s">
        <v>2107</v>
      </c>
      <c r="E587" s="185" t="s">
        <v>762</v>
      </c>
      <c r="F587" s="137" t="s">
        <v>1526</v>
      </c>
      <c r="G587" s="494"/>
      <c r="H587" s="494"/>
      <c r="I587" s="560" t="s">
        <v>1760</v>
      </c>
      <c r="J587" s="935" t="s">
        <v>2109</v>
      </c>
      <c r="K587" s="677" t="str">
        <f>IF(L587=0,"",(INDEX(AccountCodes[ACCOUNT NAME],MATCH(L587,AccountCodes[NGAS CODE],0))))</f>
        <v>Due to BIR - 5%</v>
      </c>
      <c r="L587" s="936" t="s">
        <v>1548</v>
      </c>
      <c r="M587" s="947"/>
      <c r="N587" s="947">
        <v>369.14</v>
      </c>
      <c r="O587" s="967"/>
      <c r="P587" s="1012" t="e">
        <f>P578+M587-N587</f>
        <v>#REF!</v>
      </c>
    </row>
    <row r="588" spans="1:16" ht="39" hidden="1" customHeight="1">
      <c r="A588" s="934">
        <v>45199</v>
      </c>
      <c r="B588" s="716">
        <v>45181</v>
      </c>
      <c r="C588" s="145" t="s">
        <v>2142</v>
      </c>
      <c r="D588" s="145" t="s">
        <v>2107</v>
      </c>
      <c r="E588" s="185" t="s">
        <v>762</v>
      </c>
      <c r="F588" s="137" t="s">
        <v>1526</v>
      </c>
      <c r="G588" s="494"/>
      <c r="H588" s="494"/>
      <c r="I588" s="560" t="s">
        <v>1760</v>
      </c>
      <c r="J588" s="935" t="s">
        <v>2109</v>
      </c>
      <c r="K588" s="677" t="str">
        <f>IF(L588=0,"",(INDEX(AccountCodes[ACCOUNT NAME],MATCH(L588,AccountCodes[NGAS CODE],0))))</f>
        <v>Cash in Bank-Local Currency, Current Account - FO</v>
      </c>
      <c r="L588" s="936" t="s">
        <v>1564</v>
      </c>
      <c r="M588" s="947"/>
      <c r="N588" s="947">
        <v>7825.67</v>
      </c>
      <c r="O588" s="967"/>
      <c r="P588" s="1012" t="e">
        <f>P578+M588-N588</f>
        <v>#REF!</v>
      </c>
    </row>
    <row r="589" spans="1:16" ht="39" hidden="1" customHeight="1">
      <c r="A589" s="934">
        <v>45199</v>
      </c>
      <c r="B589" s="716">
        <v>45184</v>
      </c>
      <c r="C589" s="494" t="s">
        <v>2111</v>
      </c>
      <c r="D589" s="145" t="s">
        <v>2107</v>
      </c>
      <c r="E589" s="185" t="s">
        <v>762</v>
      </c>
      <c r="F589" s="137" t="s">
        <v>1526</v>
      </c>
      <c r="G589" s="494"/>
      <c r="H589" s="494"/>
      <c r="I589" s="560" t="s">
        <v>1716</v>
      </c>
      <c r="J589" s="935" t="s">
        <v>2112</v>
      </c>
      <c r="K589" s="677" t="str">
        <f>IF(L589=0,"",(INDEX(AccountCodes[ACCOUNT NAME],MATCH(L589,AccountCodes[NGAS CODE],0))))</f>
        <v>Salaries and Wages-Regular</v>
      </c>
      <c r="L589" s="936" t="s">
        <v>162</v>
      </c>
      <c r="M589" s="947">
        <v>58320</v>
      </c>
      <c r="N589" s="947"/>
      <c r="O589" s="972" t="s">
        <v>2113</v>
      </c>
      <c r="P589" s="1012" t="e">
        <f>P578+M589-N589</f>
        <v>#REF!</v>
      </c>
    </row>
    <row r="590" spans="1:16" ht="39" hidden="1" customHeight="1">
      <c r="A590" s="934">
        <v>45199</v>
      </c>
      <c r="B590" s="716">
        <v>45184</v>
      </c>
      <c r="C590" s="494" t="s">
        <v>2111</v>
      </c>
      <c r="D590" s="145" t="s">
        <v>2107</v>
      </c>
      <c r="E590" s="185" t="s">
        <v>762</v>
      </c>
      <c r="F590" s="137" t="s">
        <v>1526</v>
      </c>
      <c r="G590" s="494"/>
      <c r="H590" s="494"/>
      <c r="I590" s="560" t="s">
        <v>1716</v>
      </c>
      <c r="J590" s="935" t="s">
        <v>2112</v>
      </c>
      <c r="K590" s="677" t="str">
        <f>IF(L590=0,"",(INDEX(AccountCodes[ACCOUNT NAME],MATCH(L590,AccountCodes[NGAS CODE],0))))</f>
        <v>Personal Economic Relief Allowance (PERA)</v>
      </c>
      <c r="L590" s="936" t="s">
        <v>164</v>
      </c>
      <c r="M590" s="947">
        <v>4000</v>
      </c>
      <c r="N590" s="947"/>
      <c r="O590" s="967"/>
      <c r="P590" s="1012" t="e">
        <f>P578+M590-N590</f>
        <v>#REF!</v>
      </c>
    </row>
    <row r="591" spans="1:16" ht="39" hidden="1" customHeight="1">
      <c r="A591" s="934">
        <v>45199</v>
      </c>
      <c r="B591" s="716">
        <v>45184</v>
      </c>
      <c r="C591" s="494" t="s">
        <v>2111</v>
      </c>
      <c r="D591" s="494" t="s">
        <v>2107</v>
      </c>
      <c r="E591" s="939" t="s">
        <v>762</v>
      </c>
      <c r="F591" s="495" t="s">
        <v>1526</v>
      </c>
      <c r="G591" s="494"/>
      <c r="H591" s="494"/>
      <c r="I591" s="668" t="s">
        <v>1716</v>
      </c>
      <c r="J591" s="935" t="s">
        <v>2112</v>
      </c>
      <c r="K591" s="677" t="str">
        <f>IF(L591=0,"",(INDEX(AccountCodes[ACCOUNT NAME],MATCH(L591,AccountCodes[NGAS CODE],0))))</f>
        <v>Due to BIR - Compensation</v>
      </c>
      <c r="L591" s="936" t="s">
        <v>1546</v>
      </c>
      <c r="M591" s="947"/>
      <c r="N591" s="947">
        <v>1330.76</v>
      </c>
      <c r="O591" s="967"/>
      <c r="P591" s="1012" t="e">
        <f>P578+M591-N591</f>
        <v>#REF!</v>
      </c>
    </row>
    <row r="592" spans="1:16" ht="39" hidden="1" customHeight="1">
      <c r="A592" s="934">
        <v>45199</v>
      </c>
      <c r="B592" s="716">
        <v>45184</v>
      </c>
      <c r="C592" s="494" t="s">
        <v>2111</v>
      </c>
      <c r="D592" s="494" t="s">
        <v>2107</v>
      </c>
      <c r="E592" s="939" t="s">
        <v>762</v>
      </c>
      <c r="F592" s="495" t="s">
        <v>1526</v>
      </c>
      <c r="G592" s="494"/>
      <c r="H592" s="494"/>
      <c r="I592" s="668" t="s">
        <v>1716</v>
      </c>
      <c r="J592" s="935" t="s">
        <v>2112</v>
      </c>
      <c r="K592" s="677" t="str">
        <f>IF(L592=0,"",(INDEX(AccountCodes[ACCOUNT NAME],MATCH(L592,AccountCodes[NGAS CODE],0))))</f>
        <v>Due to GSIS - Life and Retirement Premium</v>
      </c>
      <c r="L592" s="936" t="s">
        <v>1440</v>
      </c>
      <c r="M592" s="947"/>
      <c r="N592" s="947">
        <v>5248.8</v>
      </c>
      <c r="O592" s="967"/>
      <c r="P592" s="1012" t="e">
        <f>P578+M592-N592</f>
        <v>#REF!</v>
      </c>
    </row>
    <row r="593" spans="1:16" ht="39" hidden="1" customHeight="1">
      <c r="A593" s="934">
        <v>45199</v>
      </c>
      <c r="B593" s="716">
        <v>45184</v>
      </c>
      <c r="C593" s="494" t="s">
        <v>2111</v>
      </c>
      <c r="D593" s="494" t="s">
        <v>2107</v>
      </c>
      <c r="E593" s="939" t="s">
        <v>762</v>
      </c>
      <c r="F593" s="495" t="s">
        <v>1526</v>
      </c>
      <c r="G593" s="494"/>
      <c r="H593" s="494"/>
      <c r="I593" s="668" t="s">
        <v>1716</v>
      </c>
      <c r="J593" s="935" t="s">
        <v>2112</v>
      </c>
      <c r="K593" s="677" t="str">
        <f>IF(L593=0,"",(INDEX(AccountCodes[ACCOUNT NAME],MATCH(L593,AccountCodes[NGAS CODE],0))))</f>
        <v>Due to Pag-IBIG - Pag-IBIG Premium</v>
      </c>
      <c r="L593" s="936" t="s">
        <v>1444</v>
      </c>
      <c r="M593" s="947"/>
      <c r="N593" s="947">
        <v>1166.4000000000001</v>
      </c>
      <c r="O593" s="967"/>
      <c r="P593" s="1012" t="e">
        <f>P578+M593-N593</f>
        <v>#REF!</v>
      </c>
    </row>
    <row r="594" spans="1:16" ht="39" hidden="1" customHeight="1">
      <c r="A594" s="934">
        <v>45199</v>
      </c>
      <c r="B594" s="716">
        <v>45184</v>
      </c>
      <c r="C594" s="494" t="s">
        <v>2111</v>
      </c>
      <c r="D594" s="494" t="s">
        <v>2107</v>
      </c>
      <c r="E594" s="939" t="s">
        <v>762</v>
      </c>
      <c r="F594" s="495" t="s">
        <v>1526</v>
      </c>
      <c r="G594" s="494"/>
      <c r="H594" s="494"/>
      <c r="I594" s="668" t="s">
        <v>1716</v>
      </c>
      <c r="J594" s="935" t="s">
        <v>2112</v>
      </c>
      <c r="K594" s="677" t="str">
        <f>IF(L594=0,"",(INDEX(AccountCodes[ACCOUNT NAME],MATCH(L594,AccountCodes[NGAS CODE],0))))</f>
        <v>Due to Pag-IBIG - MP2</v>
      </c>
      <c r="L594" s="936" t="s">
        <v>1508</v>
      </c>
      <c r="M594" s="947"/>
      <c r="N594" s="947">
        <v>4000</v>
      </c>
      <c r="O594" s="967"/>
      <c r="P594" s="1012" t="e">
        <f>P578+M594-N594</f>
        <v>#REF!</v>
      </c>
    </row>
    <row r="595" spans="1:16" ht="39" hidden="1" customHeight="1">
      <c r="A595" s="934">
        <v>45199</v>
      </c>
      <c r="B595" s="716">
        <v>45184</v>
      </c>
      <c r="C595" s="494" t="s">
        <v>2111</v>
      </c>
      <c r="D595" s="494" t="s">
        <v>2107</v>
      </c>
      <c r="E595" s="939" t="s">
        <v>762</v>
      </c>
      <c r="F595" s="495" t="s">
        <v>1526</v>
      </c>
      <c r="G595" s="494"/>
      <c r="H595" s="494"/>
      <c r="I595" s="668" t="s">
        <v>1716</v>
      </c>
      <c r="J595" s="935" t="s">
        <v>2112</v>
      </c>
      <c r="K595" s="677" t="str">
        <f>IF(L595=0,"",(INDEX(AccountCodes[ACCOUNT NAME],MATCH(L595,AccountCodes[NGAS CODE],0))))</f>
        <v>Due to PhilHealth</v>
      </c>
      <c r="L595" s="936" t="s">
        <v>112</v>
      </c>
      <c r="M595" s="947"/>
      <c r="N595" s="947">
        <v>1166.4000000000001</v>
      </c>
      <c r="O595" s="967"/>
      <c r="P595" s="1012" t="e">
        <f>P578+M595-N595</f>
        <v>#REF!</v>
      </c>
    </row>
    <row r="596" spans="1:16" ht="39" hidden="1" customHeight="1">
      <c r="A596" s="934">
        <v>45199</v>
      </c>
      <c r="B596" s="716">
        <v>45184</v>
      </c>
      <c r="C596" s="494" t="s">
        <v>2111</v>
      </c>
      <c r="D596" s="494" t="s">
        <v>2107</v>
      </c>
      <c r="E596" s="939" t="s">
        <v>762</v>
      </c>
      <c r="F596" s="495" t="s">
        <v>1526</v>
      </c>
      <c r="G596" s="494"/>
      <c r="H596" s="494"/>
      <c r="I596" s="668" t="s">
        <v>1716</v>
      </c>
      <c r="J596" s="935" t="s">
        <v>2112</v>
      </c>
      <c r="K596" s="677" t="str">
        <f>IF(L596=0,"",(INDEX(AccountCodes[ACCOUNT NAME],MATCH(L596,AccountCodes[NGAS CODE],0))))</f>
        <v>Cash in Bank-Local Currency, Current Account - FO</v>
      </c>
      <c r="L596" s="936" t="s">
        <v>1564</v>
      </c>
      <c r="M596" s="947"/>
      <c r="N596" s="947">
        <v>49407.64</v>
      </c>
      <c r="O596" s="967"/>
      <c r="P596" s="1012" t="e">
        <f>P578+M596-N596</f>
        <v>#REF!</v>
      </c>
    </row>
    <row r="597" spans="1:16" ht="39" hidden="1" customHeight="1">
      <c r="A597" s="934">
        <v>45199</v>
      </c>
      <c r="B597" s="716">
        <v>45188</v>
      </c>
      <c r="C597" s="145" t="s">
        <v>2114</v>
      </c>
      <c r="D597" s="145" t="s">
        <v>2107</v>
      </c>
      <c r="E597" s="185" t="s">
        <v>762</v>
      </c>
      <c r="F597" s="137" t="s">
        <v>1526</v>
      </c>
      <c r="G597" s="494"/>
      <c r="H597" s="494"/>
      <c r="I597" s="560" t="s">
        <v>1693</v>
      </c>
      <c r="J597" s="935" t="s">
        <v>2115</v>
      </c>
      <c r="K597" s="677" t="str">
        <f>IF(L597=0,"",(INDEX(AccountCodes[ACCOUNT NAME],MATCH(L597,AccountCodes[NGAS CODE],0))))</f>
        <v>Retirement and Life Insurance Premiums</v>
      </c>
      <c r="L597" s="936" t="s">
        <v>175</v>
      </c>
      <c r="M597" s="947">
        <v>9533.8799999999992</v>
      </c>
      <c r="N597" s="947"/>
      <c r="O597" s="954" t="s">
        <v>2116</v>
      </c>
      <c r="P597" s="1012" t="e">
        <f>P578+M597-N597</f>
        <v>#REF!</v>
      </c>
    </row>
    <row r="598" spans="1:16" ht="39" hidden="1" customHeight="1">
      <c r="A598" s="934">
        <v>45199</v>
      </c>
      <c r="B598" s="716">
        <v>45188</v>
      </c>
      <c r="C598" s="145" t="s">
        <v>2114</v>
      </c>
      <c r="D598" s="145" t="s">
        <v>2107</v>
      </c>
      <c r="E598" s="185" t="s">
        <v>762</v>
      </c>
      <c r="F598" s="137" t="s">
        <v>1526</v>
      </c>
      <c r="G598" s="494"/>
      <c r="H598" s="494"/>
      <c r="I598" s="560" t="s">
        <v>1693</v>
      </c>
      <c r="J598" s="935" t="s">
        <v>2115</v>
      </c>
      <c r="K598" s="677" t="str">
        <f>IF(L598=0,"",(INDEX(AccountCodes[ACCOUNT NAME],MATCH(L598,AccountCodes[NGAS CODE],0))))</f>
        <v>Employees Compensation Insurance Premiums</v>
      </c>
      <c r="L598" s="936" t="s">
        <v>178</v>
      </c>
      <c r="M598" s="947">
        <v>300</v>
      </c>
      <c r="N598" s="947"/>
      <c r="O598" s="967"/>
      <c r="P598" s="1012" t="e">
        <f>P578+M598-N598</f>
        <v>#REF!</v>
      </c>
    </row>
    <row r="599" spans="1:16" ht="39" hidden="1" customHeight="1">
      <c r="A599" s="934">
        <v>45199</v>
      </c>
      <c r="B599" s="716">
        <v>45188</v>
      </c>
      <c r="C599" s="145" t="s">
        <v>2114</v>
      </c>
      <c r="D599" s="145" t="s">
        <v>2107</v>
      </c>
      <c r="E599" s="185" t="s">
        <v>762</v>
      </c>
      <c r="F599" s="137" t="s">
        <v>1526</v>
      </c>
      <c r="G599" s="494"/>
      <c r="H599" s="494"/>
      <c r="I599" s="560" t="s">
        <v>1693</v>
      </c>
      <c r="J599" s="935" t="s">
        <v>2115</v>
      </c>
      <c r="K599" s="677" t="str">
        <f>IF(L599=0,"",(INDEX(AccountCodes[ACCOUNT NAME],MATCH(L599,AccountCodes[NGAS CODE],0))))</f>
        <v>Due to GSIS - Life and Retirement Premium</v>
      </c>
      <c r="L599" s="936" t="s">
        <v>1440</v>
      </c>
      <c r="M599" s="947">
        <v>7150.41</v>
      </c>
      <c r="N599" s="947"/>
      <c r="O599" s="967"/>
      <c r="P599" s="1012" t="e">
        <f>P578+M599-N599</f>
        <v>#REF!</v>
      </c>
    </row>
    <row r="600" spans="1:16" ht="39" hidden="1" customHeight="1">
      <c r="A600" s="934">
        <v>45199</v>
      </c>
      <c r="B600" s="716">
        <v>45188</v>
      </c>
      <c r="C600" s="145" t="s">
        <v>2114</v>
      </c>
      <c r="D600" s="145" t="s">
        <v>2107</v>
      </c>
      <c r="E600" s="185" t="s">
        <v>762</v>
      </c>
      <c r="F600" s="137" t="s">
        <v>1526</v>
      </c>
      <c r="G600" s="494"/>
      <c r="H600" s="494"/>
      <c r="I600" s="560" t="s">
        <v>1693</v>
      </c>
      <c r="J600" s="935" t="s">
        <v>2115</v>
      </c>
      <c r="K600" s="677" t="str">
        <f>IF(L600=0,"",(INDEX(AccountCodes[ACCOUNT NAME],MATCH(L600,AccountCodes[NGAS CODE],0))))</f>
        <v>Cash in Bank-Local Currency, Current Account - FO</v>
      </c>
      <c r="L600" s="936" t="s">
        <v>1564</v>
      </c>
      <c r="M600" s="947"/>
      <c r="N600" s="947">
        <v>16984.29</v>
      </c>
      <c r="O600" s="967"/>
      <c r="P600" s="1012" t="e">
        <f>P578+M600-N600</f>
        <v>#REF!</v>
      </c>
    </row>
    <row r="601" spans="1:16" ht="39" hidden="1" customHeight="1">
      <c r="A601" s="934">
        <v>45199</v>
      </c>
      <c r="B601" s="716">
        <v>45188</v>
      </c>
      <c r="C601" s="145" t="s">
        <v>2117</v>
      </c>
      <c r="D601" s="145" t="s">
        <v>2107</v>
      </c>
      <c r="E601" s="185" t="s">
        <v>762</v>
      </c>
      <c r="F601" s="137" t="s">
        <v>1526</v>
      </c>
      <c r="G601" s="145"/>
      <c r="H601" s="145"/>
      <c r="I601" s="560" t="s">
        <v>1666</v>
      </c>
      <c r="J601" s="935"/>
      <c r="K601" s="700" t="str">
        <f>IF(L601=0,"",(INDEX(AccountCodes[ACCOUNT NAME],MATCH(L601,AccountCodes[NGAS CODE],0))))</f>
        <v/>
      </c>
      <c r="L601" s="936"/>
      <c r="M601" s="947"/>
      <c r="N601" s="947"/>
      <c r="O601" s="954"/>
      <c r="P601" s="150" t="e">
        <f>P600+M601-N601</f>
        <v>#REF!</v>
      </c>
    </row>
    <row r="602" spans="1:16" ht="39" hidden="1" customHeight="1">
      <c r="A602" s="934">
        <v>45199</v>
      </c>
      <c r="B602" s="716">
        <v>45188</v>
      </c>
      <c r="C602" s="145" t="s">
        <v>2119</v>
      </c>
      <c r="D602" s="145" t="s">
        <v>2107</v>
      </c>
      <c r="E602" s="185" t="s">
        <v>762</v>
      </c>
      <c r="F602" s="137" t="s">
        <v>1526</v>
      </c>
      <c r="G602" s="494"/>
      <c r="H602" s="494"/>
      <c r="I602" s="560" t="s">
        <v>2086</v>
      </c>
      <c r="J602" s="935" t="s">
        <v>2118</v>
      </c>
      <c r="K602" s="677" t="str">
        <f>IF(L602=0,"",(INDEX(AccountCodes[ACCOUNT NAME],MATCH(L602,AccountCodes[NGAS CODE],0))))</f>
        <v>Due to Pag-IBIG - MP2</v>
      </c>
      <c r="L602" s="936" t="s">
        <v>1508</v>
      </c>
      <c r="M602" s="947">
        <v>4000</v>
      </c>
      <c r="N602" s="947"/>
      <c r="O602" s="954" t="s">
        <v>2116</v>
      </c>
      <c r="P602" s="1012" t="e">
        <f>P578+M602-N602</f>
        <v>#REF!</v>
      </c>
    </row>
    <row r="603" spans="1:16" ht="39" hidden="1" customHeight="1">
      <c r="A603" s="934">
        <v>45199</v>
      </c>
      <c r="B603" s="716">
        <v>45188</v>
      </c>
      <c r="C603" s="145" t="s">
        <v>2119</v>
      </c>
      <c r="D603" s="145" t="s">
        <v>2107</v>
      </c>
      <c r="E603" s="185" t="s">
        <v>762</v>
      </c>
      <c r="F603" s="137" t="s">
        <v>1526</v>
      </c>
      <c r="G603" s="494"/>
      <c r="H603" s="494"/>
      <c r="I603" s="560" t="s">
        <v>2086</v>
      </c>
      <c r="J603" s="935" t="s">
        <v>2118</v>
      </c>
      <c r="K603" s="677" t="str">
        <f>IF(L603=0,"",(INDEX(AccountCodes[ACCOUNT NAME],MATCH(L603,AccountCodes[NGAS CODE],0))))</f>
        <v>Cash in Bank-Local Currency, Current Account - FO</v>
      </c>
      <c r="L603" s="936" t="s">
        <v>1564</v>
      </c>
      <c r="M603" s="947"/>
      <c r="N603" s="947">
        <v>4000</v>
      </c>
      <c r="O603" s="967"/>
      <c r="P603" s="1012" t="e">
        <f>P578+M603-N603</f>
        <v>#REF!</v>
      </c>
    </row>
    <row r="604" spans="1:16" ht="39" hidden="1" customHeight="1">
      <c r="A604" s="934">
        <v>45199</v>
      </c>
      <c r="B604" s="716">
        <v>45188</v>
      </c>
      <c r="C604" s="145" t="s">
        <v>2120</v>
      </c>
      <c r="D604" s="145" t="s">
        <v>2107</v>
      </c>
      <c r="E604" s="185" t="s">
        <v>762</v>
      </c>
      <c r="F604" s="137" t="s">
        <v>1526</v>
      </c>
      <c r="G604" s="494"/>
      <c r="H604" s="494"/>
      <c r="I604" s="560" t="s">
        <v>2086</v>
      </c>
      <c r="J604" s="935" t="s">
        <v>2121</v>
      </c>
      <c r="K604" s="677" t="str">
        <f>IF(L604=0,"",(INDEX(AccountCodes[ACCOUNT NAME],MATCH(L604,AccountCodes[NGAS CODE],0))))</f>
        <v>Due to Pag-IBIG - Pag-IBIG Multi-Purpose Loan</v>
      </c>
      <c r="L604" s="936" t="s">
        <v>1445</v>
      </c>
      <c r="M604" s="947">
        <v>1635.3</v>
      </c>
      <c r="N604" s="947"/>
      <c r="O604" s="954" t="s">
        <v>2116</v>
      </c>
      <c r="P604" s="1012" t="e">
        <f>P578+M604-N604</f>
        <v>#REF!</v>
      </c>
    </row>
    <row r="605" spans="1:16" ht="39" hidden="1" customHeight="1">
      <c r="A605" s="934">
        <v>45199</v>
      </c>
      <c r="B605" s="716">
        <v>45188</v>
      </c>
      <c r="C605" s="145" t="s">
        <v>2120</v>
      </c>
      <c r="D605" s="145" t="s">
        <v>2107</v>
      </c>
      <c r="E605" s="185" t="s">
        <v>762</v>
      </c>
      <c r="F605" s="137" t="s">
        <v>1526</v>
      </c>
      <c r="G605" s="494"/>
      <c r="H605" s="494"/>
      <c r="I605" s="560" t="s">
        <v>2086</v>
      </c>
      <c r="J605" s="935" t="s">
        <v>2121</v>
      </c>
      <c r="K605" s="677" t="str">
        <f>IF(L605=0,"",(INDEX(AccountCodes[ACCOUNT NAME],MATCH(L605,AccountCodes[NGAS CODE],0))))</f>
        <v>Cash in Bank-Local Currency, Current Account - FO</v>
      </c>
      <c r="L605" s="936" t="s">
        <v>1564</v>
      </c>
      <c r="M605" s="947"/>
      <c r="N605" s="947">
        <v>1635.3</v>
      </c>
      <c r="O605" s="967"/>
      <c r="P605" s="1012" t="e">
        <f>P578+M605-N605</f>
        <v>#REF!</v>
      </c>
    </row>
    <row r="606" spans="1:16" ht="39" hidden="1" customHeight="1">
      <c r="A606" s="934">
        <v>45199</v>
      </c>
      <c r="B606" s="716">
        <v>45188</v>
      </c>
      <c r="C606" s="145" t="s">
        <v>2122</v>
      </c>
      <c r="D606" s="145" t="s">
        <v>2107</v>
      </c>
      <c r="E606" s="185" t="s">
        <v>762</v>
      </c>
      <c r="F606" s="137" t="s">
        <v>1526</v>
      </c>
      <c r="G606" s="494"/>
      <c r="H606" s="494"/>
      <c r="I606" s="560" t="s">
        <v>1859</v>
      </c>
      <c r="J606" s="935" t="s">
        <v>2123</v>
      </c>
      <c r="K606" s="677" t="str">
        <f>IF(L606=0,"",(INDEX(AccountCodes[ACCOUNT NAME],MATCH(L606,AccountCodes[NGAS CODE],0))))</f>
        <v>Pag-IBIG Contributions</v>
      </c>
      <c r="L606" s="936" t="s">
        <v>176</v>
      </c>
      <c r="M606" s="947">
        <v>300</v>
      </c>
      <c r="N606" s="947"/>
      <c r="O606" s="954" t="s">
        <v>2116</v>
      </c>
      <c r="P606" s="1012" t="e">
        <f>P578+M606-N606</f>
        <v>#REF!</v>
      </c>
    </row>
    <row r="607" spans="1:16" ht="39" hidden="1" customHeight="1">
      <c r="A607" s="934">
        <v>45199</v>
      </c>
      <c r="B607" s="716">
        <v>45188</v>
      </c>
      <c r="C607" s="145" t="s">
        <v>2122</v>
      </c>
      <c r="D607" s="145" t="s">
        <v>2107</v>
      </c>
      <c r="E607" s="939" t="s">
        <v>762</v>
      </c>
      <c r="F607" s="495" t="s">
        <v>1526</v>
      </c>
      <c r="G607" s="494"/>
      <c r="H607" s="494"/>
      <c r="I607" s="560" t="s">
        <v>1859</v>
      </c>
      <c r="J607" s="935" t="s">
        <v>2123</v>
      </c>
      <c r="K607" s="677" t="str">
        <f>IF(L607=0,"",(INDEX(AccountCodes[ACCOUNT NAME],MATCH(L607,AccountCodes[NGAS CODE],0))))</f>
        <v>Due to Pag-IBIG - Pag-IBIG Premium</v>
      </c>
      <c r="L607" s="936" t="s">
        <v>1444</v>
      </c>
      <c r="M607" s="947">
        <v>1588.98</v>
      </c>
      <c r="N607" s="947"/>
      <c r="O607" s="967"/>
      <c r="P607" s="1012" t="e">
        <f>P578+M607-N607</f>
        <v>#REF!</v>
      </c>
    </row>
    <row r="608" spans="1:16" ht="39" hidden="1" customHeight="1">
      <c r="A608" s="934">
        <v>45199</v>
      </c>
      <c r="B608" s="716">
        <v>45188</v>
      </c>
      <c r="C608" s="145" t="s">
        <v>2122</v>
      </c>
      <c r="D608" s="145" t="s">
        <v>2107</v>
      </c>
      <c r="E608" s="939" t="s">
        <v>762</v>
      </c>
      <c r="F608" s="495" t="s">
        <v>1526</v>
      </c>
      <c r="G608" s="494"/>
      <c r="H608" s="494"/>
      <c r="I608" s="560" t="s">
        <v>1859</v>
      </c>
      <c r="J608" s="935" t="s">
        <v>2123</v>
      </c>
      <c r="K608" s="677" t="str">
        <f>IF(L608=0,"",(INDEX(AccountCodes[ACCOUNT NAME],MATCH(L608,AccountCodes[NGAS CODE],0))))</f>
        <v>Cash in Bank-Local Currency, Current Account - FO</v>
      </c>
      <c r="L608" s="936" t="s">
        <v>1564</v>
      </c>
      <c r="M608" s="947"/>
      <c r="N608" s="947">
        <v>1888.98</v>
      </c>
      <c r="O608" s="967"/>
      <c r="P608" s="1012" t="e">
        <f>P578+M608-N608</f>
        <v>#REF!</v>
      </c>
    </row>
    <row r="609" spans="1:16" ht="39" hidden="1" customHeight="1">
      <c r="A609" s="934">
        <v>45199</v>
      </c>
      <c r="B609" s="716">
        <v>45188</v>
      </c>
      <c r="C609" s="494" t="s">
        <v>2124</v>
      </c>
      <c r="D609" s="145" t="s">
        <v>2107</v>
      </c>
      <c r="E609" s="939" t="s">
        <v>762</v>
      </c>
      <c r="F609" s="495" t="s">
        <v>1526</v>
      </c>
      <c r="G609" s="494"/>
      <c r="H609" s="494"/>
      <c r="I609" s="560" t="s">
        <v>1943</v>
      </c>
      <c r="J609" s="935" t="s">
        <v>2125</v>
      </c>
      <c r="K609" s="677" t="str">
        <f>IF(L609=0,"",(INDEX(AccountCodes[ACCOUNT NAME],MATCH(L609,AccountCodes[NGAS CODE],0))))</f>
        <v>Due to BIR - Compensation</v>
      </c>
      <c r="L609" s="936" t="s">
        <v>1546</v>
      </c>
      <c r="M609" s="947">
        <v>1330.76</v>
      </c>
      <c r="N609" s="947"/>
      <c r="O609" s="954" t="s">
        <v>2116</v>
      </c>
      <c r="P609" s="1012" t="e">
        <f>P578+M609-N609</f>
        <v>#REF!</v>
      </c>
    </row>
    <row r="610" spans="1:16" ht="39" hidden="1" customHeight="1">
      <c r="A610" s="934">
        <v>45199</v>
      </c>
      <c r="B610" s="716">
        <v>45188</v>
      </c>
      <c r="C610" s="494" t="s">
        <v>2124</v>
      </c>
      <c r="D610" s="145" t="s">
        <v>2107</v>
      </c>
      <c r="E610" s="939" t="s">
        <v>762</v>
      </c>
      <c r="F610" s="495" t="s">
        <v>1526</v>
      </c>
      <c r="G610" s="494"/>
      <c r="H610" s="494"/>
      <c r="I610" s="560" t="s">
        <v>1943</v>
      </c>
      <c r="J610" s="935" t="s">
        <v>2125</v>
      </c>
      <c r="K610" s="677" t="str">
        <f>IF(L610=0,"",(INDEX(AccountCodes[ACCOUNT NAME],MATCH(L610,AccountCodes[NGAS CODE],0))))</f>
        <v>Cash in Bank-Local Currency, Current Account - FO</v>
      </c>
      <c r="L610" s="936" t="s">
        <v>1564</v>
      </c>
      <c r="M610" s="947"/>
      <c r="N610" s="947">
        <v>1330.76</v>
      </c>
      <c r="O610" s="967"/>
      <c r="P610" s="1012" t="e">
        <f>P578+M610-N610</f>
        <v>#REF!</v>
      </c>
    </row>
    <row r="611" spans="1:16" ht="39" hidden="1" customHeight="1">
      <c r="A611" s="934">
        <v>45199</v>
      </c>
      <c r="B611" s="716">
        <v>45188</v>
      </c>
      <c r="C611" s="145" t="s">
        <v>2126</v>
      </c>
      <c r="D611" s="145" t="s">
        <v>2107</v>
      </c>
      <c r="E611" s="939" t="s">
        <v>762</v>
      </c>
      <c r="F611" s="495" t="s">
        <v>1526</v>
      </c>
      <c r="G611" s="494"/>
      <c r="H611" s="494"/>
      <c r="I611" s="560" t="s">
        <v>1760</v>
      </c>
      <c r="J611" s="935" t="s">
        <v>2127</v>
      </c>
      <c r="K611" s="677" t="str">
        <f>IF(L611=0,"",(INDEX(AccountCodes[ACCOUNT NAME],MATCH(L611,AccountCodes[NGAS CODE],0))))</f>
        <v>Fuel, Oil and Lubricants Expenses</v>
      </c>
      <c r="L611" s="936" t="s">
        <v>229</v>
      </c>
      <c r="M611" s="947">
        <v>5060.3599999999997</v>
      </c>
      <c r="N611" s="947"/>
      <c r="O611" s="954" t="s">
        <v>1847</v>
      </c>
      <c r="P611" s="1012" t="e">
        <f>P578+M611-N611</f>
        <v>#REF!</v>
      </c>
    </row>
    <row r="612" spans="1:16" ht="39" hidden="1" customHeight="1">
      <c r="A612" s="934">
        <v>45199</v>
      </c>
      <c r="B612" s="716">
        <v>45188</v>
      </c>
      <c r="C612" s="145" t="s">
        <v>2126</v>
      </c>
      <c r="D612" s="145" t="s">
        <v>2107</v>
      </c>
      <c r="E612" s="939" t="s">
        <v>762</v>
      </c>
      <c r="F612" s="495" t="s">
        <v>1526</v>
      </c>
      <c r="G612" s="494"/>
      <c r="H612" s="494"/>
      <c r="I612" s="560" t="s">
        <v>1760</v>
      </c>
      <c r="J612" s="935" t="s">
        <v>2127</v>
      </c>
      <c r="K612" s="677" t="str">
        <f>IF(L612=0,"",(INDEX(AccountCodes[ACCOUNT NAME],MATCH(L612,AccountCodes[NGAS CODE],0))))</f>
        <v>Due to BIR - 1%</v>
      </c>
      <c r="L612" s="936" t="s">
        <v>1554</v>
      </c>
      <c r="M612" s="947"/>
      <c r="N612" s="947">
        <v>45.18</v>
      </c>
      <c r="O612" s="967"/>
      <c r="P612" s="1012" t="e">
        <f>P578+M612-N612</f>
        <v>#REF!</v>
      </c>
    </row>
    <row r="613" spans="1:16" ht="39" hidden="1" customHeight="1">
      <c r="A613" s="934">
        <v>45199</v>
      </c>
      <c r="B613" s="716">
        <v>45188</v>
      </c>
      <c r="C613" s="145" t="s">
        <v>2126</v>
      </c>
      <c r="D613" s="145" t="s">
        <v>2107</v>
      </c>
      <c r="E613" s="939" t="s">
        <v>762</v>
      </c>
      <c r="F613" s="495" t="s">
        <v>1526</v>
      </c>
      <c r="G613" s="494"/>
      <c r="H613" s="494"/>
      <c r="I613" s="560" t="s">
        <v>1760</v>
      </c>
      <c r="J613" s="935" t="s">
        <v>2127</v>
      </c>
      <c r="K613" s="677" t="str">
        <f>IF(L613=0,"",(INDEX(AccountCodes[ACCOUNT NAME],MATCH(L613,AccountCodes[NGAS CODE],0))))</f>
        <v>Due to BIR - 5%</v>
      </c>
      <c r="L613" s="936" t="s">
        <v>1548</v>
      </c>
      <c r="M613" s="947"/>
      <c r="N613" s="947">
        <v>225.91</v>
      </c>
      <c r="O613" s="967"/>
      <c r="P613" s="1012" t="e">
        <f>P578+M613-N613</f>
        <v>#REF!</v>
      </c>
    </row>
    <row r="614" spans="1:16" ht="39" hidden="1" customHeight="1">
      <c r="A614" s="934">
        <v>45199</v>
      </c>
      <c r="B614" s="716">
        <v>45188</v>
      </c>
      <c r="C614" s="145" t="s">
        <v>2126</v>
      </c>
      <c r="D614" s="145" t="s">
        <v>2107</v>
      </c>
      <c r="E614" s="939" t="s">
        <v>762</v>
      </c>
      <c r="F614" s="495" t="s">
        <v>1526</v>
      </c>
      <c r="G614" s="494"/>
      <c r="H614" s="494"/>
      <c r="I614" s="560" t="s">
        <v>1760</v>
      </c>
      <c r="J614" s="935" t="s">
        <v>2127</v>
      </c>
      <c r="K614" s="677" t="str">
        <f>IF(L614=0,"",(INDEX(AccountCodes[ACCOUNT NAME],MATCH(L614,AccountCodes[NGAS CODE],0))))</f>
        <v>Cash in Bank-Local Currency, Current Account - FO</v>
      </c>
      <c r="L614" s="936" t="s">
        <v>1564</v>
      </c>
      <c r="M614" s="947"/>
      <c r="N614" s="947">
        <v>4789.2700000000004</v>
      </c>
      <c r="O614" s="967"/>
      <c r="P614" s="1014" t="e">
        <f>P578+M614-N614</f>
        <v>#REF!</v>
      </c>
    </row>
    <row r="615" spans="1:16" ht="39" hidden="1" customHeight="1">
      <c r="A615" s="934">
        <v>45199</v>
      </c>
      <c r="B615" s="716">
        <v>45190</v>
      </c>
      <c r="C615" s="494" t="s">
        <v>2128</v>
      </c>
      <c r="D615" s="145" t="s">
        <v>2107</v>
      </c>
      <c r="E615" s="185" t="s">
        <v>762</v>
      </c>
      <c r="F615" s="137" t="s">
        <v>1526</v>
      </c>
      <c r="G615" s="494"/>
      <c r="H615" s="494"/>
      <c r="I615" s="560" t="s">
        <v>2040</v>
      </c>
      <c r="J615" s="935" t="s">
        <v>2129</v>
      </c>
      <c r="K615" s="677" t="str">
        <f>IF(L615=0,"",(INDEX(AccountCodes[ACCOUNT NAME],MATCH(L615,AccountCodes[NGAS CODE],0))))</f>
        <v>Salaries and Wages-Regular</v>
      </c>
      <c r="L615" s="936" t="s">
        <v>162</v>
      </c>
      <c r="M615" s="947">
        <v>21129</v>
      </c>
      <c r="N615" s="947"/>
      <c r="O615" s="967" t="s">
        <v>2116</v>
      </c>
      <c r="P615" s="1014" t="e">
        <f>P614+M615-N615</f>
        <v>#REF!</v>
      </c>
    </row>
    <row r="616" spans="1:16" ht="39" hidden="1" customHeight="1">
      <c r="A616" s="934">
        <v>45199</v>
      </c>
      <c r="B616" s="716">
        <v>45190</v>
      </c>
      <c r="C616" s="494" t="s">
        <v>2128</v>
      </c>
      <c r="D616" s="494" t="s">
        <v>2107</v>
      </c>
      <c r="E616" s="939" t="s">
        <v>762</v>
      </c>
      <c r="F616" s="495" t="s">
        <v>1526</v>
      </c>
      <c r="G616" s="494"/>
      <c r="H616" s="494"/>
      <c r="I616" s="668" t="s">
        <v>2040</v>
      </c>
      <c r="J616" s="1013" t="s">
        <v>2129</v>
      </c>
      <c r="K616" s="677" t="str">
        <f>IF(L616=0,"",(INDEX(AccountCodes[ACCOUNT NAME],MATCH(L616,AccountCodes[NGAS CODE],0))))</f>
        <v>Personal Economic Relief Allowance (PERA)</v>
      </c>
      <c r="L616" s="936" t="s">
        <v>164</v>
      </c>
      <c r="M616" s="947">
        <v>2000</v>
      </c>
      <c r="N616" s="947"/>
      <c r="O616" s="967"/>
      <c r="P616" s="1014" t="e">
        <f>P614+M616-N616</f>
        <v>#REF!</v>
      </c>
    </row>
    <row r="617" spans="1:16" ht="39" hidden="1" customHeight="1">
      <c r="A617" s="934">
        <v>45199</v>
      </c>
      <c r="B617" s="716">
        <v>45190</v>
      </c>
      <c r="C617" s="494" t="s">
        <v>2128</v>
      </c>
      <c r="D617" s="494" t="s">
        <v>2107</v>
      </c>
      <c r="E617" s="939" t="s">
        <v>762</v>
      </c>
      <c r="F617" s="495" t="s">
        <v>1526</v>
      </c>
      <c r="G617" s="494"/>
      <c r="H617" s="494"/>
      <c r="I617" s="668" t="s">
        <v>2040</v>
      </c>
      <c r="J617" s="1013" t="s">
        <v>2129</v>
      </c>
      <c r="K617" s="677" t="str">
        <f>IF(L617=0,"",(INDEX(AccountCodes[ACCOUNT NAME],MATCH(L617,AccountCodes[NGAS CODE],0))))</f>
        <v>Due to GSIS - Life and Retirement Premium</v>
      </c>
      <c r="L617" s="936" t="s">
        <v>1440</v>
      </c>
      <c r="M617" s="947"/>
      <c r="N617" s="947">
        <v>1901.61</v>
      </c>
      <c r="O617" s="967"/>
      <c r="P617" s="1014" t="e">
        <f>P614+M617-N617</f>
        <v>#REF!</v>
      </c>
    </row>
    <row r="618" spans="1:16" ht="39" hidden="1" customHeight="1">
      <c r="A618" s="934">
        <v>45199</v>
      </c>
      <c r="B618" s="716">
        <v>45190</v>
      </c>
      <c r="C618" s="494" t="s">
        <v>2128</v>
      </c>
      <c r="D618" s="494" t="s">
        <v>2107</v>
      </c>
      <c r="E618" s="939" t="s">
        <v>762</v>
      </c>
      <c r="F618" s="495" t="s">
        <v>1526</v>
      </c>
      <c r="G618" s="494"/>
      <c r="H618" s="494"/>
      <c r="I618" s="668" t="s">
        <v>2040</v>
      </c>
      <c r="J618" s="1013" t="s">
        <v>2129</v>
      </c>
      <c r="K618" s="677" t="str">
        <f>IF(L618=0,"",(INDEX(AccountCodes[ACCOUNT NAME],MATCH(L618,AccountCodes[NGAS CODE],0))))</f>
        <v>Due to Pag-IBIG - Pag-IBIG Premium</v>
      </c>
      <c r="L618" s="936" t="s">
        <v>1444</v>
      </c>
      <c r="M618" s="947"/>
      <c r="N618" s="947">
        <v>422.58</v>
      </c>
      <c r="O618" s="967"/>
      <c r="P618" s="1014" t="e">
        <f>P614+M618-N618</f>
        <v>#REF!</v>
      </c>
    </row>
    <row r="619" spans="1:16" ht="39" hidden="1" customHeight="1">
      <c r="A619" s="934">
        <v>45199</v>
      </c>
      <c r="B619" s="716">
        <v>45190</v>
      </c>
      <c r="C619" s="494" t="s">
        <v>2128</v>
      </c>
      <c r="D619" s="494" t="s">
        <v>2107</v>
      </c>
      <c r="E619" s="939" t="s">
        <v>762</v>
      </c>
      <c r="F619" s="495" t="s">
        <v>1526</v>
      </c>
      <c r="G619" s="494"/>
      <c r="H619" s="494"/>
      <c r="I619" s="668" t="s">
        <v>2040</v>
      </c>
      <c r="J619" s="1013" t="s">
        <v>2129</v>
      </c>
      <c r="K619" s="677" t="str">
        <f>IF(L619=0,"",(INDEX(AccountCodes[ACCOUNT NAME],MATCH(L619,AccountCodes[NGAS CODE],0))))</f>
        <v>Due to Pag-IBIG - Pag-IBIG Multi-Purpose Loan</v>
      </c>
      <c r="L619" s="936" t="s">
        <v>1445</v>
      </c>
      <c r="M619" s="947"/>
      <c r="N619" s="947">
        <v>1635.3</v>
      </c>
      <c r="O619" s="967"/>
      <c r="P619" s="1014" t="e">
        <f>P614+M619-N619</f>
        <v>#REF!</v>
      </c>
    </row>
    <row r="620" spans="1:16" ht="39" hidden="1" customHeight="1">
      <c r="A620" s="934">
        <v>45199</v>
      </c>
      <c r="B620" s="716">
        <v>45190</v>
      </c>
      <c r="C620" s="494" t="s">
        <v>2128</v>
      </c>
      <c r="D620" s="494" t="s">
        <v>2107</v>
      </c>
      <c r="E620" s="939" t="s">
        <v>762</v>
      </c>
      <c r="F620" s="495" t="s">
        <v>1526</v>
      </c>
      <c r="G620" s="494"/>
      <c r="H620" s="494"/>
      <c r="I620" s="668" t="s">
        <v>2040</v>
      </c>
      <c r="J620" s="1013" t="s">
        <v>2129</v>
      </c>
      <c r="K620" s="677" t="str">
        <f>IF(L620=0,"",(INDEX(AccountCodes[ACCOUNT NAME],MATCH(L620,AccountCodes[NGAS CODE],0))))</f>
        <v>Due to PhilHealth</v>
      </c>
      <c r="L620" s="936" t="s">
        <v>112</v>
      </c>
      <c r="M620" s="947"/>
      <c r="N620" s="947">
        <v>422.58</v>
      </c>
      <c r="O620" s="967"/>
      <c r="P620" s="1014" t="e">
        <f>P614+M620-N620</f>
        <v>#REF!</v>
      </c>
    </row>
    <row r="621" spans="1:16" ht="39" hidden="1" customHeight="1">
      <c r="A621" s="934">
        <v>45199</v>
      </c>
      <c r="B621" s="559">
        <v>45190</v>
      </c>
      <c r="C621" s="145" t="s">
        <v>2128</v>
      </c>
      <c r="D621" s="145" t="s">
        <v>2107</v>
      </c>
      <c r="E621" s="185" t="s">
        <v>762</v>
      </c>
      <c r="F621" s="137" t="s">
        <v>1526</v>
      </c>
      <c r="G621" s="145"/>
      <c r="H621" s="145"/>
      <c r="I621" s="560" t="s">
        <v>2040</v>
      </c>
      <c r="J621" s="935" t="s">
        <v>2129</v>
      </c>
      <c r="K621" s="700" t="str">
        <f>IF(L621=0,"",(INDEX(AccountCodes[ACCOUNT NAME],MATCH(L621,AccountCodes[NGAS CODE],0))))</f>
        <v>Cash in Bank-Local Currency, Current Account - FO</v>
      </c>
      <c r="L621" s="936" t="s">
        <v>1564</v>
      </c>
      <c r="M621" s="947"/>
      <c r="N621" s="947">
        <v>18746.93</v>
      </c>
      <c r="O621" s="954"/>
      <c r="P621" s="150" t="e">
        <f>P614+M621-N621</f>
        <v>#REF!</v>
      </c>
    </row>
    <row r="622" spans="1:16" ht="39" hidden="1" customHeight="1">
      <c r="A622" s="934">
        <v>45199</v>
      </c>
      <c r="B622" s="559">
        <v>45191</v>
      </c>
      <c r="C622" s="145" t="s">
        <v>2130</v>
      </c>
      <c r="D622" s="145" t="s">
        <v>2107</v>
      </c>
      <c r="E622" s="185" t="s">
        <v>762</v>
      </c>
      <c r="F622" s="137" t="s">
        <v>1526</v>
      </c>
      <c r="G622" s="145"/>
      <c r="H622" s="145"/>
      <c r="I622" s="560" t="s">
        <v>1689</v>
      </c>
      <c r="J622" s="935" t="s">
        <v>2131</v>
      </c>
      <c r="K622" s="700" t="str">
        <f>IF(L622=0,"",(INDEX(AccountCodes[ACCOUNT NAME],MATCH(L622,AccountCodes[NGAS CODE],0))))</f>
        <v>PhilHealth Contributions</v>
      </c>
      <c r="L622" s="936" t="s">
        <v>177</v>
      </c>
      <c r="M622" s="947">
        <v>1588.98</v>
      </c>
      <c r="N622" s="947"/>
      <c r="O622" s="967" t="s">
        <v>2116</v>
      </c>
      <c r="P622" s="150" t="e">
        <f>P614+M622-N622</f>
        <v>#REF!</v>
      </c>
    </row>
    <row r="623" spans="1:16" ht="39" hidden="1" customHeight="1">
      <c r="A623" s="934">
        <v>45199</v>
      </c>
      <c r="B623" s="559">
        <v>45191</v>
      </c>
      <c r="C623" s="145" t="s">
        <v>2130</v>
      </c>
      <c r="D623" s="145" t="s">
        <v>2107</v>
      </c>
      <c r="E623" s="185" t="s">
        <v>762</v>
      </c>
      <c r="F623" s="137" t="s">
        <v>1526</v>
      </c>
      <c r="G623" s="145"/>
      <c r="H623" s="145"/>
      <c r="I623" s="560" t="s">
        <v>1689</v>
      </c>
      <c r="J623" s="935" t="s">
        <v>2131</v>
      </c>
      <c r="K623" s="700" t="str">
        <f>IF(L623=0,"",(INDEX(AccountCodes[ACCOUNT NAME],MATCH(L623,AccountCodes[NGAS CODE],0))))</f>
        <v>Due to PhilHealth</v>
      </c>
      <c r="L623" s="936" t="s">
        <v>112</v>
      </c>
      <c r="M623" s="947">
        <v>1588.98</v>
      </c>
      <c r="N623" s="947"/>
      <c r="O623" s="954"/>
      <c r="P623" s="150" t="e">
        <f>P622+M623-N623</f>
        <v>#REF!</v>
      </c>
    </row>
    <row r="624" spans="1:16" ht="39" hidden="1" customHeight="1">
      <c r="A624" s="934">
        <v>45199</v>
      </c>
      <c r="B624" s="559">
        <v>45191</v>
      </c>
      <c r="C624" s="145" t="s">
        <v>2130</v>
      </c>
      <c r="D624" s="145" t="s">
        <v>2107</v>
      </c>
      <c r="E624" s="185" t="s">
        <v>762</v>
      </c>
      <c r="F624" s="137" t="s">
        <v>1526</v>
      </c>
      <c r="G624" s="145"/>
      <c r="H624" s="145"/>
      <c r="I624" s="560" t="s">
        <v>1689</v>
      </c>
      <c r="J624" s="935" t="s">
        <v>2131</v>
      </c>
      <c r="K624" s="700" t="str">
        <f>IF(L624=0,"",(INDEX(AccountCodes[ACCOUNT NAME],MATCH(L624,AccountCodes[NGAS CODE],0))))</f>
        <v>Cash in Bank-Local Currency, Current Account - FO</v>
      </c>
      <c r="L624" s="936" t="s">
        <v>1564</v>
      </c>
      <c r="M624" s="947"/>
      <c r="N624" s="947">
        <v>3177.96</v>
      </c>
      <c r="O624" s="954"/>
      <c r="P624" s="150" t="e">
        <f>P622+M624-N624</f>
        <v>#REF!</v>
      </c>
    </row>
    <row r="625" spans="1:16" ht="39" hidden="1" customHeight="1">
      <c r="A625" s="934">
        <v>45199</v>
      </c>
      <c r="B625" s="559">
        <v>45198</v>
      </c>
      <c r="C625" s="145" t="s">
        <v>2132</v>
      </c>
      <c r="D625" s="145" t="s">
        <v>2107</v>
      </c>
      <c r="E625" s="185" t="s">
        <v>762</v>
      </c>
      <c r="F625" s="137" t="s">
        <v>1526</v>
      </c>
      <c r="G625" s="145"/>
      <c r="H625" s="145"/>
      <c r="I625" s="560" t="s">
        <v>2000</v>
      </c>
      <c r="J625" s="935" t="s">
        <v>2133</v>
      </c>
      <c r="K625" s="700" t="str">
        <f>IF(L625=0,"",(INDEX(AccountCodes[ACCOUNT NAME],MATCH(L625,AccountCodes[NGAS CODE],0))))</f>
        <v>Due to the Treasurer of the Philippines</v>
      </c>
      <c r="L625" s="936" t="s">
        <v>1496</v>
      </c>
      <c r="M625" s="947">
        <v>704.34</v>
      </c>
      <c r="N625" s="947"/>
      <c r="O625" s="954" t="s">
        <v>2138</v>
      </c>
      <c r="P625" s="150" t="e">
        <f>P622+M625-N625</f>
        <v>#REF!</v>
      </c>
    </row>
    <row r="626" spans="1:16" ht="39" hidden="1" customHeight="1">
      <c r="A626" s="934">
        <v>45199</v>
      </c>
      <c r="B626" s="559">
        <v>45198</v>
      </c>
      <c r="C626" s="145" t="s">
        <v>2132</v>
      </c>
      <c r="D626" s="145" t="s">
        <v>2107</v>
      </c>
      <c r="E626" s="185" t="s">
        <v>762</v>
      </c>
      <c r="F626" s="137" t="s">
        <v>1526</v>
      </c>
      <c r="G626" s="145"/>
      <c r="H626" s="145"/>
      <c r="I626" s="560" t="s">
        <v>2000</v>
      </c>
      <c r="J626" s="935" t="s">
        <v>2133</v>
      </c>
      <c r="K626" s="700" t="str">
        <f>IF(L626=0,"",(INDEX(AccountCodes[ACCOUNT NAME],MATCH(L626,AccountCodes[NGAS CODE],0))))</f>
        <v>Cash in Bank-Local Currency, Current Account - FO</v>
      </c>
      <c r="L626" s="936" t="s">
        <v>1564</v>
      </c>
      <c r="M626" s="947"/>
      <c r="N626" s="947">
        <v>704.34</v>
      </c>
      <c r="O626" s="954"/>
      <c r="P626" s="150" t="e">
        <f>P622+M626-N626</f>
        <v>#REF!</v>
      </c>
    </row>
    <row r="627" spans="1:16" ht="39" hidden="1" customHeight="1">
      <c r="A627" s="934">
        <v>45199</v>
      </c>
      <c r="B627" s="716">
        <v>45198</v>
      </c>
      <c r="C627" s="494" t="s">
        <v>2134</v>
      </c>
      <c r="D627" s="145" t="s">
        <v>2107</v>
      </c>
      <c r="E627" s="185" t="s">
        <v>762</v>
      </c>
      <c r="F627" s="137" t="s">
        <v>1526</v>
      </c>
      <c r="G627" s="494"/>
      <c r="H627" s="494"/>
      <c r="I627" s="668" t="s">
        <v>1943</v>
      </c>
      <c r="J627" s="1013" t="s">
        <v>2136</v>
      </c>
      <c r="K627" s="677" t="str">
        <f>IF(L627=0,"",(INDEX(AccountCodes[ACCOUNT NAME],MATCH(L627,AccountCodes[NGAS CODE],0))))</f>
        <v>Due to BIR - 1%</v>
      </c>
      <c r="L627" s="937" t="s">
        <v>1554</v>
      </c>
      <c r="M627" s="947">
        <v>119.01</v>
      </c>
      <c r="N627" s="947"/>
      <c r="O627" s="954" t="s">
        <v>1847</v>
      </c>
      <c r="P627" s="1014" t="e">
        <f>P626+M627-N627</f>
        <v>#REF!</v>
      </c>
    </row>
    <row r="628" spans="1:16" ht="39" hidden="1" customHeight="1">
      <c r="A628" s="934">
        <v>45199</v>
      </c>
      <c r="B628" s="716">
        <v>45198</v>
      </c>
      <c r="C628" s="494" t="s">
        <v>2134</v>
      </c>
      <c r="D628" s="145" t="s">
        <v>2107</v>
      </c>
      <c r="E628" s="185" t="s">
        <v>762</v>
      </c>
      <c r="F628" s="137" t="s">
        <v>1526</v>
      </c>
      <c r="G628" s="494"/>
      <c r="H628" s="494"/>
      <c r="I628" s="668" t="s">
        <v>1943</v>
      </c>
      <c r="J628" s="1013" t="s">
        <v>2136</v>
      </c>
      <c r="K628" s="677" t="str">
        <f>IF(L628=0,"",(INDEX(AccountCodes[ACCOUNT NAME],MATCH(L628,AccountCodes[NGAS CODE],0))))</f>
        <v>Due to BIR - 2%</v>
      </c>
      <c r="L628" s="937" t="s">
        <v>1550</v>
      </c>
      <c r="M628" s="947">
        <v>76191.48</v>
      </c>
      <c r="N628" s="947"/>
      <c r="O628" s="967" t="s">
        <v>2139</v>
      </c>
      <c r="P628" s="1014" t="e">
        <f>P626+M628-N628</f>
        <v>#REF!</v>
      </c>
    </row>
    <row r="629" spans="1:16" ht="39" hidden="1" customHeight="1">
      <c r="A629" s="934">
        <v>45199</v>
      </c>
      <c r="B629" s="716">
        <v>45198</v>
      </c>
      <c r="C629" s="494" t="s">
        <v>2134</v>
      </c>
      <c r="D629" s="145" t="s">
        <v>2107</v>
      </c>
      <c r="E629" s="185" t="s">
        <v>762</v>
      </c>
      <c r="F629" s="137" t="s">
        <v>1526</v>
      </c>
      <c r="G629" s="494"/>
      <c r="H629" s="494"/>
      <c r="I629" s="668" t="s">
        <v>1943</v>
      </c>
      <c r="J629" s="1013" t="s">
        <v>2136</v>
      </c>
      <c r="K629" s="677" t="str">
        <f>IF(L629=0,"",(INDEX(AccountCodes[ACCOUNT NAME],MATCH(L629,AccountCodes[NGAS CODE],0))))</f>
        <v>Cash in Bank-Local Currency, Current Account - FO</v>
      </c>
      <c r="L629" s="937" t="s">
        <v>1564</v>
      </c>
      <c r="M629" s="947"/>
      <c r="N629" s="947">
        <v>76310.490000000005</v>
      </c>
      <c r="O629" s="967"/>
      <c r="P629" s="1014" t="e">
        <f>P626+M629-N629</f>
        <v>#REF!</v>
      </c>
    </row>
    <row r="630" spans="1:16" ht="39" hidden="1" customHeight="1">
      <c r="A630" s="934">
        <v>45199</v>
      </c>
      <c r="B630" s="559">
        <v>45198</v>
      </c>
      <c r="C630" s="145" t="s">
        <v>2135</v>
      </c>
      <c r="D630" s="145" t="s">
        <v>2107</v>
      </c>
      <c r="E630" s="185" t="s">
        <v>762</v>
      </c>
      <c r="F630" s="137" t="s">
        <v>1526</v>
      </c>
      <c r="G630" s="145"/>
      <c r="H630" s="145"/>
      <c r="I630" s="560" t="s">
        <v>1943</v>
      </c>
      <c r="J630" s="935" t="s">
        <v>2137</v>
      </c>
      <c r="K630" s="700" t="str">
        <f>IF(L630=0,"",(INDEX(AccountCodes[ACCOUNT NAME],MATCH(L630,AccountCodes[NGAS CODE],0))))</f>
        <v>Due to BIR - 5%</v>
      </c>
      <c r="L630" s="936" t="s">
        <v>1548</v>
      </c>
      <c r="M630" s="947">
        <v>191073.74</v>
      </c>
      <c r="N630" s="947"/>
      <c r="O630" s="954" t="s">
        <v>2140</v>
      </c>
      <c r="P630" s="150" t="e">
        <f>P622+M630-N630</f>
        <v>#REF!</v>
      </c>
    </row>
    <row r="631" spans="1:16" ht="39" hidden="1" customHeight="1">
      <c r="A631" s="934">
        <v>45199</v>
      </c>
      <c r="B631" s="559">
        <v>45198</v>
      </c>
      <c r="C631" s="145" t="s">
        <v>2135</v>
      </c>
      <c r="D631" s="145" t="s">
        <v>2107</v>
      </c>
      <c r="E631" s="185" t="s">
        <v>762</v>
      </c>
      <c r="F631" s="137" t="s">
        <v>1526</v>
      </c>
      <c r="G631" s="145"/>
      <c r="H631" s="145"/>
      <c r="I631" s="560" t="s">
        <v>1943</v>
      </c>
      <c r="J631" s="935" t="s">
        <v>2137</v>
      </c>
      <c r="K631" s="700" t="str">
        <f>IF(L631=0,"",(INDEX(AccountCodes[ACCOUNT NAME],MATCH(L631,AccountCodes[NGAS CODE],0))))</f>
        <v>Cash in Bank-Local Currency, Current Account - FO</v>
      </c>
      <c r="L631" s="936" t="s">
        <v>1564</v>
      </c>
      <c r="M631" s="947"/>
      <c r="N631" s="947">
        <v>191073.74</v>
      </c>
      <c r="O631" s="954"/>
      <c r="P631" s="150" t="e">
        <f>P622+M631-N631</f>
        <v>#REF!</v>
      </c>
    </row>
    <row r="632" spans="1:16" ht="45.75">
      <c r="A632" s="1140"/>
      <c r="B632" s="1141"/>
      <c r="C632" s="1138"/>
      <c r="D632" s="1138"/>
      <c r="E632" s="1142"/>
      <c r="F632" s="1142"/>
      <c r="G632" s="1138"/>
      <c r="H632" s="1138"/>
      <c r="I632" s="1143"/>
      <c r="J632" s="1144"/>
      <c r="K632" s="1145"/>
      <c r="L632" s="1146"/>
      <c r="M632" s="1147">
        <f>SUBTOTAL(109,CkDJ[Debit])</f>
        <v>24230.82</v>
      </c>
      <c r="N632" s="1147">
        <f>SUBTOTAL(109,CkDJ[Credit])</f>
        <v>24230.82</v>
      </c>
      <c r="O632" s="1148"/>
      <c r="P632" s="1149"/>
    </row>
    <row r="634" spans="1:16">
      <c r="N634" s="706">
        <f>CkDJ[[#Totals],[Credit]]-CkDJ[[#Totals],[Debit]]</f>
        <v>0</v>
      </c>
    </row>
    <row r="643" spans="13:15">
      <c r="O643" s="1015"/>
    </row>
    <row r="648" spans="13:15">
      <c r="O648" s="1015"/>
    </row>
    <row r="649" spans="13:15">
      <c r="O649" s="1017"/>
    </row>
    <row r="652" spans="13:15">
      <c r="M652" s="1139"/>
    </row>
  </sheetData>
  <sheetProtection autoFilter="0" pivotTables="0"/>
  <mergeCells count="1">
    <mergeCell ref="A1:N1"/>
  </mergeCells>
  <phoneticPr fontId="104" type="noConversion"/>
  <dataValidations count="2">
    <dataValidation allowBlank="1" showErrorMessage="1" prompt="Input Date Only" sqref="D38:D42 D400:D402"/>
    <dataValidation type="date" allowBlank="1" showErrorMessage="1" prompt="Input Date Only" sqref="B400:B402">
      <formula1>28299</formula1>
      <formula2>401942</formula2>
    </dataValidation>
  </dataValidations>
  <printOptions horizontalCentered="1"/>
  <pageMargins left="0.2" right="1.2" top="0.49803149600000002" bottom="0" header="0" footer="0"/>
  <pageSetup paperSize="5" scale="54" orientation="landscape" horizontalDpi="300" verticalDpi="300" r:id="rId1"/>
  <rowBreaks count="1" manualBreakCount="1">
    <brk id="27" max="15" man="1"/>
  </rowBreaks>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K26"/>
  <sheetViews>
    <sheetView zoomScale="93" zoomScaleNormal="93" workbookViewId="0">
      <selection activeCell="B15" sqref="B15"/>
    </sheetView>
  </sheetViews>
  <sheetFormatPr defaultRowHeight="15.75"/>
  <cols>
    <col min="1" max="1" width="14.5" bestFit="1" customWidth="1"/>
    <col min="2" max="2" width="61.125" customWidth="1"/>
    <col min="3" max="3" width="18" customWidth="1"/>
    <col min="4" max="4" width="16.375" customWidth="1"/>
    <col min="6" max="6" width="14.625" customWidth="1"/>
    <col min="7" max="7" width="13.25" customWidth="1"/>
  </cols>
  <sheetData>
    <row r="1" spans="1:4">
      <c r="A1" s="1180" t="s">
        <v>1649</v>
      </c>
      <c r="B1" s="1181" t="s">
        <v>2107</v>
      </c>
    </row>
    <row r="3" spans="1:4">
      <c r="A3" s="1181"/>
      <c r="B3" s="1181"/>
      <c r="C3" s="1180" t="s">
        <v>851</v>
      </c>
      <c r="D3" s="1181"/>
    </row>
    <row r="4" spans="1:4">
      <c r="A4" s="1180" t="s">
        <v>370</v>
      </c>
      <c r="B4" s="1180" t="s">
        <v>369</v>
      </c>
      <c r="C4" s="1182" t="s">
        <v>852</v>
      </c>
      <c r="D4" s="1182" t="s">
        <v>853</v>
      </c>
    </row>
    <row r="5" spans="1:4">
      <c r="A5" s="1181" t="s">
        <v>1564</v>
      </c>
      <c r="B5" s="1181" t="s">
        <v>1481</v>
      </c>
      <c r="C5" s="1183"/>
      <c r="D5" s="1182">
        <v>3290634.19</v>
      </c>
    </row>
    <row r="6" spans="1:4">
      <c r="A6" s="1181" t="s">
        <v>35</v>
      </c>
      <c r="B6" s="1181" t="s">
        <v>70</v>
      </c>
      <c r="C6" s="1183"/>
      <c r="D6" s="1182">
        <v>639976.55000000005</v>
      </c>
    </row>
    <row r="7" spans="1:4">
      <c r="A7" s="1181" t="s">
        <v>82</v>
      </c>
      <c r="B7" s="1181" t="s">
        <v>1335</v>
      </c>
      <c r="C7" s="1183">
        <v>4266722.62</v>
      </c>
      <c r="D7" s="1182"/>
    </row>
    <row r="8" spans="1:4">
      <c r="A8" s="1181" t="s">
        <v>1496</v>
      </c>
      <c r="B8" s="1181" t="s">
        <v>1497</v>
      </c>
      <c r="C8" s="1182">
        <v>704.34</v>
      </c>
      <c r="D8" s="1182"/>
    </row>
    <row r="9" spans="1:4">
      <c r="A9" s="1181" t="s">
        <v>1546</v>
      </c>
      <c r="B9" s="1181" t="s">
        <v>1547</v>
      </c>
      <c r="C9" s="1183">
        <v>1330.76</v>
      </c>
      <c r="D9" s="1182">
        <v>1330.76</v>
      </c>
    </row>
    <row r="10" spans="1:4">
      <c r="A10" s="1181" t="s">
        <v>1548</v>
      </c>
      <c r="B10" s="1181" t="s">
        <v>1551</v>
      </c>
      <c r="C10" s="1183">
        <v>191073.74</v>
      </c>
      <c r="D10" s="1182">
        <v>191073.74</v>
      </c>
    </row>
    <row r="11" spans="1:4">
      <c r="A11" s="1181" t="s">
        <v>1550</v>
      </c>
      <c r="B11" s="1181" t="s">
        <v>1553</v>
      </c>
      <c r="C11" s="1183">
        <v>76191.48</v>
      </c>
      <c r="D11" s="1182">
        <v>76191.48</v>
      </c>
    </row>
    <row r="12" spans="1:4">
      <c r="A12" s="1181" t="s">
        <v>1554</v>
      </c>
      <c r="B12" s="1181" t="s">
        <v>1555</v>
      </c>
      <c r="C12" s="1183">
        <v>119.01</v>
      </c>
      <c r="D12" s="1182">
        <v>119.01</v>
      </c>
    </row>
    <row r="13" spans="1:4">
      <c r="A13" s="1181" t="s">
        <v>1440</v>
      </c>
      <c r="B13" s="1181" t="s">
        <v>1340</v>
      </c>
      <c r="C13" s="1183">
        <v>7150.41</v>
      </c>
      <c r="D13" s="1182">
        <v>7150.41</v>
      </c>
    </row>
    <row r="14" spans="1:4">
      <c r="A14" s="1181" t="s">
        <v>1444</v>
      </c>
      <c r="B14" s="1181" t="s">
        <v>1345</v>
      </c>
      <c r="C14" s="1183">
        <v>1588.98</v>
      </c>
      <c r="D14" s="1182">
        <v>1588.98</v>
      </c>
    </row>
    <row r="15" spans="1:4">
      <c r="A15" s="1181" t="s">
        <v>1445</v>
      </c>
      <c r="B15" s="1181" t="s">
        <v>1346</v>
      </c>
      <c r="C15" s="1183">
        <v>1635.3</v>
      </c>
      <c r="D15" s="1182">
        <v>1635.3</v>
      </c>
    </row>
    <row r="16" spans="1:4">
      <c r="A16" s="1181" t="s">
        <v>1508</v>
      </c>
      <c r="B16" s="1181" t="s">
        <v>1509</v>
      </c>
      <c r="C16" s="1183">
        <v>4000</v>
      </c>
      <c r="D16" s="1182">
        <v>4000</v>
      </c>
    </row>
    <row r="17" spans="1:11">
      <c r="A17" s="1181" t="s">
        <v>112</v>
      </c>
      <c r="B17" s="1181" t="s">
        <v>1348</v>
      </c>
      <c r="C17" s="1183">
        <v>1588.98</v>
      </c>
      <c r="D17" s="1182">
        <v>1588.98</v>
      </c>
      <c r="K17" s="819"/>
    </row>
    <row r="18" spans="1:11">
      <c r="A18" s="1181" t="s">
        <v>115</v>
      </c>
      <c r="B18" s="1181" t="s">
        <v>1350</v>
      </c>
      <c r="C18" s="1183"/>
      <c r="D18" s="1182">
        <v>447317.08</v>
      </c>
    </row>
    <row r="19" spans="1:11">
      <c r="A19" s="1181" t="s">
        <v>162</v>
      </c>
      <c r="B19" s="1181" t="s">
        <v>1374</v>
      </c>
      <c r="C19" s="1183">
        <v>79449</v>
      </c>
      <c r="D19" s="1182"/>
    </row>
    <row r="20" spans="1:11">
      <c r="A20" s="1181" t="s">
        <v>164</v>
      </c>
      <c r="B20" s="1181" t="s">
        <v>1576</v>
      </c>
      <c r="C20" s="1183">
        <v>6000</v>
      </c>
      <c r="D20" s="1182"/>
    </row>
    <row r="21" spans="1:11">
      <c r="A21" s="1181" t="s">
        <v>175</v>
      </c>
      <c r="B21" s="1181" t="s">
        <v>1206</v>
      </c>
      <c r="C21" s="1183">
        <v>9533.8799999999992</v>
      </c>
      <c r="D21" s="1182"/>
    </row>
    <row r="22" spans="1:11">
      <c r="A22" s="1181" t="s">
        <v>176</v>
      </c>
      <c r="B22" s="1181" t="s">
        <v>1379</v>
      </c>
      <c r="C22" s="1183">
        <v>300</v>
      </c>
      <c r="D22" s="1182"/>
    </row>
    <row r="23" spans="1:11">
      <c r="A23" s="1181" t="s">
        <v>177</v>
      </c>
      <c r="B23" s="1181" t="s">
        <v>1380</v>
      </c>
      <c r="C23" s="1183">
        <v>1588.98</v>
      </c>
      <c r="D23" s="1182"/>
    </row>
    <row r="24" spans="1:11">
      <c r="A24" s="1181" t="s">
        <v>178</v>
      </c>
      <c r="B24" s="1181" t="s">
        <v>1207</v>
      </c>
      <c r="C24" s="1183">
        <v>300</v>
      </c>
      <c r="D24" s="1182"/>
      <c r="G24" s="25"/>
    </row>
    <row r="25" spans="1:11">
      <c r="A25" s="1181" t="s">
        <v>229</v>
      </c>
      <c r="B25" s="1181" t="s">
        <v>1209</v>
      </c>
      <c r="C25" s="1183">
        <v>13329</v>
      </c>
      <c r="D25" s="1182"/>
    </row>
    <row r="26" spans="1:11">
      <c r="A26" s="1181" t="s">
        <v>717</v>
      </c>
      <c r="B26" s="1181"/>
      <c r="C26" s="1182">
        <v>4662606.4800000004</v>
      </c>
      <c r="D26" s="1182">
        <v>4662606.4800000004</v>
      </c>
    </row>
  </sheetData>
  <pageMargins left="0.11811023622047245" right="0.11811023622047245" top="0.74803149606299213" bottom="0.74803149606299213" header="0.31496062992125984" footer="0.31496062992125984"/>
  <pageSetup paperSize="256" scale="85"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sheetPr>
  <dimension ref="A1:V83"/>
  <sheetViews>
    <sheetView showZeros="0" view="pageBreakPreview" zoomScaleNormal="70" zoomScaleSheetLayoutView="100" workbookViewId="0">
      <selection activeCell="L65" sqref="L65"/>
    </sheetView>
  </sheetViews>
  <sheetFormatPr defaultColWidth="9" defaultRowHeight="15.75"/>
  <cols>
    <col min="1" max="1" width="6" style="25" customWidth="1"/>
    <col min="2" max="3" width="2.125" style="25" customWidth="1"/>
    <col min="4" max="4" width="4.875" style="25" customWidth="1"/>
    <col min="5" max="5" width="8.125" style="25" customWidth="1"/>
    <col min="6" max="6" width="5.5" style="25" customWidth="1"/>
    <col min="7" max="7" width="0.875" style="25" customWidth="1"/>
    <col min="8" max="8" width="4.125" style="25" customWidth="1"/>
    <col min="9" max="9" width="26" style="25" customWidth="1"/>
    <col min="10" max="10" width="4.125" style="25" customWidth="1"/>
    <col min="11" max="11" width="9.5" style="25" customWidth="1"/>
    <col min="12" max="12" width="14.125" style="86" customWidth="1"/>
    <col min="13" max="13" width="4.875" style="25" customWidth="1"/>
    <col min="14" max="14" width="14.125" style="25" hidden="1" customWidth="1"/>
    <col min="15" max="15" width="13.875" style="25" hidden="1" customWidth="1"/>
    <col min="16" max="16" width="10.625" style="25" customWidth="1"/>
    <col min="17" max="17" width="2.125" style="25" customWidth="1"/>
    <col min="18" max="18" width="2.625" style="25" customWidth="1"/>
    <col min="19" max="20" width="2.125" style="25" customWidth="1"/>
    <col min="21" max="22" width="5.625" style="25" customWidth="1"/>
    <col min="23" max="16384" width="9" style="25"/>
  </cols>
  <sheetData>
    <row r="1" spans="1:22" ht="22.5">
      <c r="A1" s="31" t="s">
        <v>441</v>
      </c>
      <c r="B1" s="32"/>
      <c r="C1" s="32"/>
      <c r="D1" s="32"/>
      <c r="E1" s="32"/>
      <c r="F1" s="32"/>
      <c r="G1" s="32"/>
      <c r="H1" s="32"/>
      <c r="I1" s="32"/>
      <c r="J1" s="32"/>
      <c r="K1" s="32"/>
      <c r="L1" s="32"/>
      <c r="M1" s="32"/>
      <c r="N1" s="32"/>
      <c r="O1" s="32"/>
      <c r="P1" s="32"/>
      <c r="Q1" s="33"/>
      <c r="R1" s="1218">
        <f>+P74-S74</f>
        <v>0</v>
      </c>
      <c r="S1" s="1219"/>
      <c r="T1" s="1219"/>
      <c r="U1" s="1219"/>
      <c r="V1" s="1220"/>
    </row>
    <row r="2" spans="1:22">
      <c r="A2" s="34" t="s">
        <v>1636</v>
      </c>
      <c r="B2" s="35"/>
      <c r="C2" s="35"/>
      <c r="D2" s="35"/>
      <c r="E2" s="35"/>
      <c r="F2" s="35"/>
      <c r="G2" s="35"/>
      <c r="H2" s="35"/>
      <c r="I2" s="35"/>
      <c r="J2" s="35"/>
      <c r="K2" s="35"/>
      <c r="L2" s="35"/>
      <c r="M2" s="35"/>
      <c r="N2" s="35"/>
      <c r="O2" s="35"/>
      <c r="P2" s="35"/>
      <c r="Q2" s="36"/>
      <c r="R2" s="37" t="s">
        <v>443</v>
      </c>
      <c r="S2"/>
      <c r="T2" s="1221" t="s">
        <v>2145</v>
      </c>
      <c r="U2" s="1221"/>
      <c r="V2" s="1222"/>
    </row>
    <row r="3" spans="1:22">
      <c r="A3" s="38" t="s">
        <v>444</v>
      </c>
      <c r="B3" s="35"/>
      <c r="C3" s="35"/>
      <c r="D3" s="35"/>
      <c r="E3" s="35"/>
      <c r="F3" s="35"/>
      <c r="G3" s="35"/>
      <c r="H3" s="35"/>
      <c r="I3" s="35"/>
      <c r="J3" s="35"/>
      <c r="K3" s="35"/>
      <c r="L3" s="35"/>
      <c r="M3" s="35"/>
      <c r="N3" s="35"/>
      <c r="O3" s="35"/>
      <c r="P3" s="35"/>
      <c r="Q3" s="36"/>
      <c r="R3" s="37" t="s">
        <v>0</v>
      </c>
      <c r="S3"/>
      <c r="T3" s="1223">
        <f>IF(T2=0,0,(LOOKUP(T2,CkDJ[JEV Number],CkDJ[Date])))</f>
        <v>45199</v>
      </c>
      <c r="U3" s="1223"/>
      <c r="V3" s="1224"/>
    </row>
    <row r="4" spans="1:22" ht="16.5" thickBot="1">
      <c r="A4" s="39"/>
      <c r="B4" s="40"/>
      <c r="C4" s="40"/>
      <c r="D4" s="40"/>
      <c r="E4" s="40"/>
      <c r="F4" s="40"/>
      <c r="G4" s="40"/>
      <c r="H4" s="40"/>
      <c r="I4" s="40"/>
      <c r="J4" s="40"/>
      <c r="K4" s="40"/>
      <c r="L4" s="40"/>
      <c r="M4" s="40"/>
      <c r="N4" s="40"/>
      <c r="O4" s="40"/>
      <c r="P4" s="40"/>
      <c r="Q4" s="41"/>
      <c r="R4" s="42"/>
      <c r="S4" s="43"/>
      <c r="T4" s="43"/>
      <c r="U4" s="43"/>
      <c r="V4" s="44"/>
    </row>
    <row r="5" spans="1:22">
      <c r="A5" s="45"/>
      <c r="B5" s="46"/>
      <c r="C5" s="46"/>
      <c r="D5" s="46"/>
      <c r="E5" s="46"/>
      <c r="F5" s="46"/>
      <c r="G5" s="46"/>
      <c r="H5" s="46"/>
      <c r="I5" s="46"/>
      <c r="J5" s="46"/>
      <c r="K5" s="46"/>
      <c r="L5" s="47"/>
      <c r="M5" s="46"/>
      <c r="N5" s="46"/>
      <c r="O5" s="46"/>
      <c r="P5" s="46"/>
      <c r="Q5" s="46"/>
      <c r="R5" s="46"/>
      <c r="S5" s="46"/>
      <c r="T5" s="46"/>
      <c r="U5" s="46"/>
      <c r="V5" s="48"/>
    </row>
    <row r="6" spans="1:22">
      <c r="A6" s="49"/>
      <c r="B6" s="1225"/>
      <c r="C6" s="1225"/>
      <c r="D6" s="50" t="s">
        <v>445</v>
      </c>
      <c r="H6" s="132" t="s">
        <v>446</v>
      </c>
      <c r="I6" s="25" t="s">
        <v>447</v>
      </c>
      <c r="J6" s="132"/>
      <c r="K6" s="52" t="s">
        <v>448</v>
      </c>
      <c r="L6" s="52"/>
      <c r="Q6" s="1225"/>
      <c r="R6" s="1225"/>
      <c r="S6" s="50" t="s">
        <v>449</v>
      </c>
      <c r="T6" s="50"/>
      <c r="U6" s="50"/>
      <c r="V6" s="53"/>
    </row>
    <row r="7" spans="1:22" ht="16.5" thickBot="1">
      <c r="A7" s="54"/>
      <c r="B7" s="55"/>
      <c r="C7" s="55"/>
      <c r="D7" s="55"/>
      <c r="E7" s="55"/>
      <c r="F7" s="55"/>
      <c r="G7" s="55"/>
      <c r="H7" s="55"/>
      <c r="I7" s="55"/>
      <c r="J7" s="55"/>
      <c r="K7" s="55"/>
      <c r="L7" s="56"/>
      <c r="M7" s="55"/>
      <c r="N7" s="55"/>
      <c r="O7" s="55"/>
      <c r="P7" s="55"/>
      <c r="Q7" s="55"/>
      <c r="R7" s="55"/>
      <c r="S7" s="55"/>
      <c r="T7" s="55"/>
      <c r="U7" s="55"/>
      <c r="V7" s="57"/>
    </row>
    <row r="8" spans="1:22">
      <c r="A8" s="1226" t="s">
        <v>397</v>
      </c>
      <c r="B8" s="1227"/>
      <c r="C8" s="1227"/>
      <c r="D8" s="1228"/>
      <c r="E8" s="1235" t="s">
        <v>450</v>
      </c>
      <c r="F8" s="1235"/>
      <c r="G8" s="1235"/>
      <c r="H8" s="1235"/>
      <c r="I8" s="1235"/>
      <c r="J8" s="1235"/>
      <c r="K8" s="1235"/>
      <c r="L8" s="1235"/>
      <c r="M8" s="1235"/>
      <c r="N8" s="1235"/>
      <c r="O8" s="1235"/>
      <c r="P8" s="1235"/>
      <c r="Q8" s="1235"/>
      <c r="R8" s="1235"/>
      <c r="S8" s="1235"/>
      <c r="T8" s="1235"/>
      <c r="U8" s="1235"/>
      <c r="V8" s="1236"/>
    </row>
    <row r="9" spans="1:22">
      <c r="A9" s="1229"/>
      <c r="B9" s="1230"/>
      <c r="C9" s="1230"/>
      <c r="D9" s="1231"/>
      <c r="E9" s="1237" t="s">
        <v>451</v>
      </c>
      <c r="F9" s="1237"/>
      <c r="G9" s="1237"/>
      <c r="H9" s="1237"/>
      <c r="I9" s="1237"/>
      <c r="J9" s="1237"/>
      <c r="K9" s="1239" t="s">
        <v>378</v>
      </c>
      <c r="L9" s="1239"/>
      <c r="M9" s="1237" t="s">
        <v>452</v>
      </c>
      <c r="N9" s="1240" t="s">
        <v>453</v>
      </c>
      <c r="O9" s="1241"/>
      <c r="P9" s="1241"/>
      <c r="Q9" s="1241"/>
      <c r="R9" s="1241"/>
      <c r="S9" s="1241"/>
      <c r="T9" s="1241"/>
      <c r="U9" s="1241"/>
      <c r="V9" s="1242"/>
    </row>
    <row r="10" spans="1:22" ht="16.5" customHeight="1" thickBot="1">
      <c r="A10" s="1232"/>
      <c r="B10" s="1233"/>
      <c r="C10" s="1233"/>
      <c r="D10" s="1234"/>
      <c r="E10" s="1238"/>
      <c r="F10" s="1238"/>
      <c r="G10" s="1238"/>
      <c r="H10" s="1238"/>
      <c r="I10" s="1238"/>
      <c r="J10" s="1238"/>
      <c r="K10" s="58" t="s">
        <v>454</v>
      </c>
      <c r="L10" s="58" t="s">
        <v>455</v>
      </c>
      <c r="M10" s="1238"/>
      <c r="N10" s="87" t="s">
        <v>466</v>
      </c>
      <c r="O10" s="87" t="s">
        <v>467</v>
      </c>
      <c r="P10" s="1243" t="s">
        <v>1</v>
      </c>
      <c r="Q10" s="1244"/>
      <c r="R10" s="1245"/>
      <c r="S10" s="1243" t="s">
        <v>2</v>
      </c>
      <c r="T10" s="1244"/>
      <c r="U10" s="1244"/>
      <c r="V10" s="1246"/>
    </row>
    <row r="11" spans="1:22" ht="19.5">
      <c r="A11" s="1210">
        <f>P74-S74</f>
        <v>0</v>
      </c>
      <c r="B11" s="1211"/>
      <c r="C11" s="1211"/>
      <c r="D11" s="1211"/>
      <c r="E11" s="1212" t="str">
        <f>Account!$G$1</f>
        <v>FUND 501 CARP</v>
      </c>
      <c r="F11" s="1213"/>
      <c r="G11" s="1213"/>
      <c r="H11" s="1213"/>
      <c r="I11" s="1213"/>
      <c r="J11" s="1214"/>
      <c r="K11" s="59"/>
      <c r="L11" s="59"/>
      <c r="M11" s="60"/>
      <c r="N11" s="60"/>
      <c r="O11" s="60"/>
      <c r="P11" s="1215"/>
      <c r="Q11" s="1215"/>
      <c r="R11" s="1215"/>
      <c r="S11" s="1215"/>
      <c r="T11" s="1215"/>
      <c r="U11" s="1215"/>
      <c r="V11" s="1216"/>
    </row>
    <row r="12" spans="1:22">
      <c r="A12" s="1195"/>
      <c r="B12" s="1196"/>
      <c r="C12" s="1196"/>
      <c r="D12" s="1196"/>
      <c r="E12" s="1196"/>
      <c r="F12" s="1196"/>
      <c r="G12" s="1196"/>
      <c r="H12" s="1196"/>
      <c r="I12" s="1196"/>
      <c r="J12" s="1196"/>
      <c r="K12" s="61"/>
      <c r="L12" s="61"/>
      <c r="M12" s="14"/>
      <c r="N12" s="14"/>
      <c r="O12" s="14"/>
      <c r="P12" s="1196"/>
      <c r="Q12" s="1196"/>
      <c r="R12" s="1196"/>
      <c r="S12" s="1196"/>
      <c r="T12" s="1196"/>
      <c r="U12" s="1196"/>
      <c r="V12" s="1217"/>
    </row>
    <row r="13" spans="1:22">
      <c r="A13" s="1195"/>
      <c r="B13" s="1196"/>
      <c r="C13" s="1196"/>
      <c r="D13" s="1196"/>
      <c r="E13" s="1197" t="str">
        <f>IF(K13=0,0,(INDEX(AccountCodes[ACCOUNT NAME],MATCH(K13,AccountCodes[NGAS CODE],0))))</f>
        <v>Cash in Bank-Local Currency, Current Account - FO</v>
      </c>
      <c r="F13" s="1198"/>
      <c r="G13" s="1198"/>
      <c r="H13" s="1198"/>
      <c r="I13" s="1198"/>
      <c r="J13" s="1199"/>
      <c r="K13" s="1001" t="s">
        <v>1564</v>
      </c>
      <c r="L13" s="62" t="str">
        <f t="array" ref="L13">IF(K13=0,0,(INDEX(AccountCodes[PPSAS CODE],MATCH(K13,AccountCodes[NGAS CODE],0))))</f>
        <v>1010202000FO</v>
      </c>
      <c r="M13" s="14"/>
      <c r="N13" s="89">
        <f t="array" ref="N13">SUM(IF((CkDJ[JEV Number]=TRIM($T$2))*(CkDJ[Account Code]=TRIM(K13)),CkDJ[Debit]))</f>
        <v>0</v>
      </c>
      <c r="O13" s="89">
        <f t="array" ref="O13">SUM(IF((CkDJ[JEV Number]=TRIM($T$2))*(CkDJ[Account Code]=TRIM(K13)),CkDJ[Credit]))</f>
        <v>0</v>
      </c>
      <c r="P13" s="1253">
        <f>N13</f>
        <v>0</v>
      </c>
      <c r="Q13" s="1254"/>
      <c r="R13" s="1255"/>
      <c r="S13" s="1253">
        <f>O13</f>
        <v>0</v>
      </c>
      <c r="T13" s="1254"/>
      <c r="U13" s="1254"/>
      <c r="V13" s="1256"/>
    </row>
    <row r="14" spans="1:22">
      <c r="A14" s="1195"/>
      <c r="B14" s="1196"/>
      <c r="C14" s="1196"/>
      <c r="D14" s="1196"/>
      <c r="E14" s="1197" t="str">
        <f>IF(K14=0,0,(INDEX(AccountCodes[ACCOUNT NAME],MATCH(K14,AccountCodes[NGAS CODE],0))))</f>
        <v>Semi-Expendable Office Equipment</v>
      </c>
      <c r="F14" s="1198"/>
      <c r="G14" s="1198"/>
      <c r="H14" s="1198"/>
      <c r="I14" s="1198"/>
      <c r="J14" s="1199"/>
      <c r="K14" s="1001" t="s">
        <v>1245</v>
      </c>
      <c r="L14" s="62">
        <f t="array" ref="L14">IF(K14=0,0,(INDEX(AccountCodes[PPSAS CODE],MATCH(K14,AccountCodes[NGAS CODE],0))))</f>
        <v>1040502000</v>
      </c>
      <c r="M14" s="14"/>
      <c r="N14" s="89">
        <f t="array" ref="N14">SUM(IF((CkDJ[JEV Number]=TRIM($T$2))*(CkDJ[Account Code]=TRIM(K14)),CkDJ[Debit]))</f>
        <v>0</v>
      </c>
      <c r="O14" s="89">
        <f t="array" ref="O14">SUM(IF((CkDJ[JEV Number]=TRIM($T$2))*(CkDJ[Account Code]=TRIM(K14)),CkDJ[Credit]))</f>
        <v>0</v>
      </c>
      <c r="P14" s="1253">
        <f t="shared" ref="P14:P28" si="0">N14</f>
        <v>0</v>
      </c>
      <c r="Q14" s="1254"/>
      <c r="R14" s="1255"/>
      <c r="S14" s="1253">
        <f t="shared" ref="S14:S28" si="1">O14</f>
        <v>0</v>
      </c>
      <c r="T14" s="1254"/>
      <c r="U14" s="1254"/>
      <c r="V14" s="1256"/>
    </row>
    <row r="15" spans="1:22">
      <c r="A15" s="1195"/>
      <c r="B15" s="1196"/>
      <c r="C15" s="1196"/>
      <c r="D15" s="1196"/>
      <c r="E15" s="1197" t="str">
        <f>IF(K15=0,0,(INDEX(AccountCodes[ACCOUNT NAME],MATCH(K15,AccountCodes[NGAS CODE],0))))</f>
        <v>Advances to Contractors</v>
      </c>
      <c r="F15" s="1198"/>
      <c r="G15" s="1198"/>
      <c r="H15" s="1198"/>
      <c r="I15" s="1198"/>
      <c r="J15" s="1199"/>
      <c r="K15" s="1001" t="s">
        <v>35</v>
      </c>
      <c r="L15" s="62">
        <f t="array" ref="L15">IF(K15=0,0,(INDEX(AccountCodes[PPSAS CODE],MATCH(K15,AccountCodes[NGAS CODE],0))))</f>
        <v>1990201000</v>
      </c>
      <c r="M15" s="14"/>
      <c r="N15" s="89">
        <f t="array" ref="N15">SUM(IF((CkDJ[JEV Number]=TRIM($T$2))*(CkDJ[Account Code]=TRIM(K15)),CkDJ[Debit]))</f>
        <v>0</v>
      </c>
      <c r="O15" s="89">
        <f t="array" ref="O15">SUM(IF((CkDJ[JEV Number]=TRIM($T$2))*(CkDJ[Account Code]=TRIM(K15)),CkDJ[Credit]))</f>
        <v>0</v>
      </c>
      <c r="P15" s="1253">
        <f t="shared" si="0"/>
        <v>0</v>
      </c>
      <c r="Q15" s="1254"/>
      <c r="R15" s="1255"/>
      <c r="S15" s="1253">
        <f t="shared" si="1"/>
        <v>0</v>
      </c>
      <c r="T15" s="1254"/>
      <c r="U15" s="1254"/>
      <c r="V15" s="1256"/>
    </row>
    <row r="16" spans="1:22">
      <c r="A16" s="1195"/>
      <c r="B16" s="1196"/>
      <c r="C16" s="1196"/>
      <c r="D16" s="1196"/>
      <c r="E16" s="1197" t="str">
        <f>IF(K16=0,0,(INDEX(AccountCodes[ACCOUNT NAME],MATCH(K16,AccountCodes[NGAS CODE],0))))</f>
        <v>Office Equipment</v>
      </c>
      <c r="F16" s="1198"/>
      <c r="G16" s="1198"/>
      <c r="H16" s="1198"/>
      <c r="I16" s="1198"/>
      <c r="J16" s="1199"/>
      <c r="K16" s="1001" t="s">
        <v>42</v>
      </c>
      <c r="L16" s="62">
        <f t="array" ref="L16">IF(K16=0,0,(INDEX(AccountCodes[PPSAS CODE],MATCH(K16,AccountCodes[NGAS CODE],0))))</f>
        <v>1060502000</v>
      </c>
      <c r="M16" s="14"/>
      <c r="N16" s="89">
        <f t="array" ref="N16">SUM(IF((CkDJ[JEV Number]=TRIM($T$2))*(CkDJ[Account Code]=TRIM(K16)),CkDJ[Debit]))</f>
        <v>0</v>
      </c>
      <c r="O16" s="89">
        <f t="array" ref="O16">SUM(IF((CkDJ[JEV Number]=TRIM($T$2))*(CkDJ[Account Code]=TRIM(K16)),CkDJ[Credit]))</f>
        <v>0</v>
      </c>
      <c r="P16" s="1253">
        <f t="shared" si="0"/>
        <v>0</v>
      </c>
      <c r="Q16" s="1254"/>
      <c r="R16" s="1255"/>
      <c r="S16" s="1253">
        <f t="shared" si="1"/>
        <v>0</v>
      </c>
      <c r="T16" s="1254"/>
      <c r="U16" s="1254"/>
      <c r="V16" s="1256"/>
    </row>
    <row r="17" spans="1:22">
      <c r="A17" s="1195"/>
      <c r="B17" s="1196"/>
      <c r="C17" s="1196"/>
      <c r="D17" s="1196"/>
      <c r="E17" s="1197" t="str">
        <f>IF(K17=0,0,(INDEX(AccountCodes[ACCOUNT NAME],MATCH(K17,AccountCodes[NGAS CODE],0))))</f>
        <v>Construction in Progress-Infrastructure Assets (Irrigation, Canals and Laterals)</v>
      </c>
      <c r="F17" s="1198"/>
      <c r="G17" s="1198"/>
      <c r="H17" s="1198"/>
      <c r="I17" s="1198"/>
      <c r="J17" s="1199"/>
      <c r="K17" s="1001" t="s">
        <v>82</v>
      </c>
      <c r="L17" s="62">
        <f t="array" ref="L17">IF(K17=0,0,(INDEX(AccountCodes[PPSAS CODE],MATCH(K17,AccountCodes[NGAS CODE],0))))</f>
        <v>1069902099</v>
      </c>
      <c r="M17" s="14"/>
      <c r="N17" s="89">
        <f t="array" ref="N17">SUM(IF((CkDJ[JEV Number]=TRIM($T$2))*(CkDJ[Account Code]=TRIM(K17)),CkDJ[Debit]))</f>
        <v>0</v>
      </c>
      <c r="O17" s="89">
        <f t="array" ref="O17">SUM(IF((CkDJ[JEV Number]=TRIM($T$2))*(CkDJ[Account Code]=TRIM(K17)),CkDJ[Credit]))</f>
        <v>0</v>
      </c>
      <c r="P17" s="1253">
        <f t="shared" si="0"/>
        <v>0</v>
      </c>
      <c r="Q17" s="1254"/>
      <c r="R17" s="1255"/>
      <c r="S17" s="1253">
        <f t="shared" si="1"/>
        <v>0</v>
      </c>
      <c r="T17" s="1254"/>
      <c r="U17" s="1254"/>
      <c r="V17" s="1256"/>
    </row>
    <row r="18" spans="1:22">
      <c r="A18" s="1195"/>
      <c r="B18" s="1196"/>
      <c r="C18" s="1196"/>
      <c r="D18" s="1196"/>
      <c r="E18" s="1197" t="str">
        <f>IF(K18=0,0,(INDEX(AccountCodes[ACCOUNT NAME],MATCH(K18,AccountCodes[NGAS CODE],0))))</f>
        <v>Due to the Treasurer of the Philippines</v>
      </c>
      <c r="F18" s="1198"/>
      <c r="G18" s="1198"/>
      <c r="H18" s="1198"/>
      <c r="I18" s="1198"/>
      <c r="J18" s="1199"/>
      <c r="K18" s="1001" t="s">
        <v>1496</v>
      </c>
      <c r="L18" s="62">
        <f t="array" ref="L18">IF(K18=0,0,(INDEX(AccountCodes[PPSAS CODE],MATCH(K18,AccountCodes[NGAS CODE],0))))</f>
        <v>2020109000</v>
      </c>
      <c r="M18" s="14"/>
      <c r="N18" s="89">
        <f t="array" ref="N18">SUM(IF((CkDJ[JEV Number]=TRIM($T$2))*(CkDJ[Account Code]=TRIM(K18)),CkDJ[Debit]))</f>
        <v>0</v>
      </c>
      <c r="O18" s="89">
        <f t="array" ref="O18">SUM(IF((CkDJ[JEV Number]=TRIM($T$2))*(CkDJ[Account Code]=TRIM(K18)),CkDJ[Credit]))</f>
        <v>0</v>
      </c>
      <c r="P18" s="1253">
        <f t="shared" si="0"/>
        <v>0</v>
      </c>
      <c r="Q18" s="1254"/>
      <c r="R18" s="1255"/>
      <c r="S18" s="1253">
        <f t="shared" si="1"/>
        <v>0</v>
      </c>
      <c r="T18" s="1254"/>
      <c r="U18" s="1254"/>
      <c r="V18" s="1256"/>
    </row>
    <row r="19" spans="1:22">
      <c r="A19" s="1195"/>
      <c r="B19" s="1196"/>
      <c r="C19" s="1196"/>
      <c r="D19" s="1196"/>
      <c r="E19" s="1197" t="str">
        <f>IF(K19=0,0,(INDEX(AccountCodes[ACCOUNT NAME],MATCH(K19,AccountCodes[NGAS CODE],0))))</f>
        <v>Due to BIR - Compensation</v>
      </c>
      <c r="F19" s="1198"/>
      <c r="G19" s="1198"/>
      <c r="H19" s="1198"/>
      <c r="I19" s="1198"/>
      <c r="J19" s="1199"/>
      <c r="K19" s="1001" t="s">
        <v>1546</v>
      </c>
      <c r="L19" s="62">
        <f t="array" ref="L19">IF(K19=0,0,(INDEX(AccountCodes[PPSAS CODE],MATCH(K19,AccountCodes[NGAS CODE],0))))</f>
        <v>2020101001</v>
      </c>
      <c r="M19" s="14"/>
      <c r="N19" s="89">
        <f t="array" ref="N19">SUM(IF((CkDJ[JEV Number]=TRIM($T$2))*(CkDJ[Account Code]=TRIM(K19)),CkDJ[Debit]))</f>
        <v>0</v>
      </c>
      <c r="O19" s="89">
        <f t="array" ref="O19">SUM(IF((CkDJ[JEV Number]=TRIM($T$2))*(CkDJ[Account Code]=TRIM(K19)),CkDJ[Credit]))</f>
        <v>0</v>
      </c>
      <c r="P19" s="1253">
        <f t="shared" si="0"/>
        <v>0</v>
      </c>
      <c r="Q19" s="1254"/>
      <c r="R19" s="1255"/>
      <c r="S19" s="1253">
        <f t="shared" si="1"/>
        <v>0</v>
      </c>
      <c r="T19" s="1254"/>
      <c r="U19" s="1254"/>
      <c r="V19" s="1256"/>
    </row>
    <row r="20" spans="1:22">
      <c r="A20" s="1195"/>
      <c r="B20" s="1196"/>
      <c r="C20" s="1196"/>
      <c r="D20" s="1196"/>
      <c r="E20" s="1197" t="str">
        <f>IF(K20=0,0,(INDEX(AccountCodes[ACCOUNT NAME],MATCH(K20,AccountCodes[NGAS CODE],0))))</f>
        <v>Due to BIR - 5%</v>
      </c>
      <c r="F20" s="1198"/>
      <c r="G20" s="1198"/>
      <c r="H20" s="1198"/>
      <c r="I20" s="1198"/>
      <c r="J20" s="1199"/>
      <c r="K20" s="1001" t="s">
        <v>1548</v>
      </c>
      <c r="L20" s="62">
        <f t="array" ref="L20">IF(K20=0,0,(INDEX(AccountCodes[PPSAS CODE],MATCH(K20,AccountCodes[NGAS CODE],0))))</f>
        <v>2020101002</v>
      </c>
      <c r="M20" s="14"/>
      <c r="N20" s="89">
        <f t="array" ref="N20">SUM(IF((CkDJ[JEV Number]=TRIM($T$2))*(CkDJ[Account Code]=TRIM(K20)),CkDJ[Debit]))</f>
        <v>0</v>
      </c>
      <c r="O20" s="89">
        <f t="array" ref="O20">SUM(IF((CkDJ[JEV Number]=TRIM($T$2))*(CkDJ[Account Code]=TRIM(K20)),CkDJ[Credit]))</f>
        <v>0</v>
      </c>
      <c r="P20" s="1253">
        <f t="shared" si="0"/>
        <v>0</v>
      </c>
      <c r="Q20" s="1254"/>
      <c r="R20" s="1255"/>
      <c r="S20" s="1253">
        <f t="shared" si="1"/>
        <v>0</v>
      </c>
      <c r="T20" s="1254"/>
      <c r="U20" s="1254"/>
      <c r="V20" s="1256"/>
    </row>
    <row r="21" spans="1:22">
      <c r="A21" s="1195"/>
      <c r="B21" s="1196"/>
      <c r="C21" s="1196"/>
      <c r="D21" s="1196"/>
      <c r="E21" s="1197" t="str">
        <f>IF(K21=0,0,(INDEX(AccountCodes[ACCOUNT NAME],MATCH(K21,AccountCodes[NGAS CODE],0))))</f>
        <v>Due to BIR - 2%</v>
      </c>
      <c r="F21" s="1198"/>
      <c r="G21" s="1198"/>
      <c r="H21" s="1198"/>
      <c r="I21" s="1198"/>
      <c r="J21" s="1199"/>
      <c r="K21" s="1001" t="s">
        <v>1550</v>
      </c>
      <c r="L21" s="62">
        <f t="array" ref="L21">IF(K21=0,0,(INDEX(AccountCodes[PPSAS CODE],MATCH(K21,AccountCodes[NGAS CODE],0))))</f>
        <v>2020101004</v>
      </c>
      <c r="M21" s="14"/>
      <c r="N21" s="89">
        <f t="array" ref="N21">SUM(IF((CkDJ[JEV Number]=TRIM($T$2))*(CkDJ[Account Code]=TRIM(K21)),CkDJ[Debit]))</f>
        <v>0</v>
      </c>
      <c r="O21" s="89">
        <f t="array" ref="O21">SUM(IF((CkDJ[JEV Number]=TRIM($T$2))*(CkDJ[Account Code]=TRIM(K21)),CkDJ[Credit]))</f>
        <v>0</v>
      </c>
      <c r="P21" s="1253">
        <f t="shared" si="0"/>
        <v>0</v>
      </c>
      <c r="Q21" s="1254"/>
      <c r="R21" s="1255"/>
      <c r="S21" s="1253">
        <f t="shared" si="1"/>
        <v>0</v>
      </c>
      <c r="T21" s="1254"/>
      <c r="U21" s="1254"/>
      <c r="V21" s="1256"/>
    </row>
    <row r="22" spans="1:22">
      <c r="A22" s="1195"/>
      <c r="B22" s="1196"/>
      <c r="C22" s="1196"/>
      <c r="D22" s="1196"/>
      <c r="E22" s="1197" t="str">
        <f>IF(K22=0,0,(INDEX(AccountCodes[ACCOUNT NAME],MATCH(K22,AccountCodes[NGAS CODE],0))))</f>
        <v>Due to BIR - 1%</v>
      </c>
      <c r="F22" s="1198"/>
      <c r="G22" s="1198"/>
      <c r="H22" s="1198"/>
      <c r="I22" s="1198"/>
      <c r="J22" s="1199"/>
      <c r="K22" s="1001" t="s">
        <v>1554</v>
      </c>
      <c r="L22" s="62">
        <f t="array" ref="L22">IF(K22=0,0,(INDEX(AccountCodes[PPSAS CODE],MATCH(K22,AccountCodes[NGAS CODE],0))))</f>
        <v>2020101005</v>
      </c>
      <c r="M22" s="14"/>
      <c r="N22" s="89">
        <f t="array" ref="N22">SUM(IF((CkDJ[JEV Number]=TRIM($T$2))*(CkDJ[Account Code]=TRIM(K22)),CkDJ[Debit]))</f>
        <v>0</v>
      </c>
      <c r="O22" s="89">
        <f t="array" ref="O22">SUM(IF((CkDJ[JEV Number]=TRIM($T$2))*(CkDJ[Account Code]=TRIM(K22)),CkDJ[Credit]))</f>
        <v>0</v>
      </c>
      <c r="P22" s="1253">
        <f t="shared" si="0"/>
        <v>0</v>
      </c>
      <c r="Q22" s="1254"/>
      <c r="R22" s="1255"/>
      <c r="S22" s="1253">
        <f t="shared" si="1"/>
        <v>0</v>
      </c>
      <c r="T22" s="1254"/>
      <c r="U22" s="1254"/>
      <c r="V22" s="1256"/>
    </row>
    <row r="23" spans="1:22">
      <c r="A23" s="1195"/>
      <c r="B23" s="1196"/>
      <c r="C23" s="1196"/>
      <c r="D23" s="1196"/>
      <c r="E23" s="1197" t="str">
        <f>IF(K23=0,0,(INDEX(AccountCodes[ACCOUNT NAME],MATCH(K23,AccountCodes[NGAS CODE],0))))</f>
        <v>Due to GSIS - Life and Retirement Premium</v>
      </c>
      <c r="F23" s="1198"/>
      <c r="G23" s="1198"/>
      <c r="H23" s="1198"/>
      <c r="I23" s="1198"/>
      <c r="J23" s="1199"/>
      <c r="K23" s="1001" t="s">
        <v>1440</v>
      </c>
      <c r="L23" s="62">
        <f t="array" ref="L23">IF(K23=0,0,(INDEX(AccountCodes[PPSAS CODE],MATCH(K23,AccountCodes[NGAS CODE],0))))</f>
        <v>2020102001</v>
      </c>
      <c r="M23" s="14"/>
      <c r="N23" s="89">
        <f t="array" ref="N23">SUM(IF((CkDJ[JEV Number]=TRIM($T$2))*(CkDJ[Account Code]=TRIM(K23)),CkDJ[Debit]))</f>
        <v>0</v>
      </c>
      <c r="O23" s="89">
        <f t="array" ref="O23">SUM(IF((CkDJ[JEV Number]=TRIM($T$2))*(CkDJ[Account Code]=TRIM(K23)),CkDJ[Credit]))</f>
        <v>0</v>
      </c>
      <c r="P23" s="1253">
        <f t="shared" si="0"/>
        <v>0</v>
      </c>
      <c r="Q23" s="1254"/>
      <c r="R23" s="1255"/>
      <c r="S23" s="1253">
        <f t="shared" si="1"/>
        <v>0</v>
      </c>
      <c r="T23" s="1254"/>
      <c r="U23" s="1254"/>
      <c r="V23" s="1256"/>
    </row>
    <row r="24" spans="1:22">
      <c r="A24" s="1195"/>
      <c r="B24" s="1196"/>
      <c r="C24" s="1196"/>
      <c r="D24" s="1196"/>
      <c r="E24" s="1197" t="str">
        <f>IF(K24=0,0,(INDEX(AccountCodes[ACCOUNT NAME],MATCH(K24,AccountCodes[NGAS CODE],0))))</f>
        <v>Due to Pag-IBIG - Pag-IBIG Premium</v>
      </c>
      <c r="F24" s="1198"/>
      <c r="G24" s="1198"/>
      <c r="H24" s="1198"/>
      <c r="I24" s="1198"/>
      <c r="J24" s="1199"/>
      <c r="K24" s="1001" t="s">
        <v>1444</v>
      </c>
      <c r="L24" s="62">
        <f t="array" ref="L24">IF(K24=0,0,(INDEX(AccountCodes[PPSAS CODE],MATCH(K24,AccountCodes[NGAS CODE],0))))</f>
        <v>2020103001</v>
      </c>
      <c r="M24" s="14"/>
      <c r="N24" s="89">
        <f t="array" ref="N24">SUM(IF((CkDJ[JEV Number]=TRIM($T$2))*(CkDJ[Account Code]=TRIM(K24)),CkDJ[Debit]))</f>
        <v>0</v>
      </c>
      <c r="O24" s="89">
        <f t="array" ref="O24">SUM(IF((CkDJ[JEV Number]=TRIM($T$2))*(CkDJ[Account Code]=TRIM(K24)),CkDJ[Credit]))</f>
        <v>0</v>
      </c>
      <c r="P24" s="1253">
        <f t="shared" si="0"/>
        <v>0</v>
      </c>
      <c r="Q24" s="1254"/>
      <c r="R24" s="1255"/>
      <c r="S24" s="1253">
        <f t="shared" si="1"/>
        <v>0</v>
      </c>
      <c r="T24" s="1254"/>
      <c r="U24" s="1254"/>
      <c r="V24" s="1256"/>
    </row>
    <row r="25" spans="1:22">
      <c r="A25" s="1195"/>
      <c r="B25" s="1196"/>
      <c r="C25" s="1196"/>
      <c r="D25" s="1196"/>
      <c r="E25" s="1197" t="str">
        <f>IF(K25=0,0,(INDEX(AccountCodes[ACCOUNT NAME],MATCH(K25,AccountCodes[NGAS CODE],0))))</f>
        <v>Due to Pag-IBIG - Pag-IBIG Multi-Purpose Loan</v>
      </c>
      <c r="F25" s="1198"/>
      <c r="G25" s="1198"/>
      <c r="H25" s="1198"/>
      <c r="I25" s="1198"/>
      <c r="J25" s="1199"/>
      <c r="K25" s="1001" t="s">
        <v>1445</v>
      </c>
      <c r="L25" s="62">
        <f t="array" ref="L25">IF(K25=0,0,(INDEX(AccountCodes[PPSAS CODE],MATCH(K25,AccountCodes[NGAS CODE],0))))</f>
        <v>2020103002</v>
      </c>
      <c r="M25" s="14"/>
      <c r="N25" s="89">
        <f t="array" ref="N25">SUM(IF((CkDJ[JEV Number]=TRIM($T$2))*(CkDJ[Account Code]=TRIM(K25)),CkDJ[Debit]))</f>
        <v>0</v>
      </c>
      <c r="O25" s="89">
        <f t="array" ref="O25">SUM(IF((CkDJ[JEV Number]=TRIM($T$2))*(CkDJ[Account Code]=TRIM(K25)),CkDJ[Credit]))</f>
        <v>0</v>
      </c>
      <c r="P25" s="1253">
        <f t="shared" si="0"/>
        <v>0</v>
      </c>
      <c r="Q25" s="1254"/>
      <c r="R25" s="1255"/>
      <c r="S25" s="1253">
        <f t="shared" si="1"/>
        <v>0</v>
      </c>
      <c r="T25" s="1254"/>
      <c r="U25" s="1254"/>
      <c r="V25" s="1256"/>
    </row>
    <row r="26" spans="1:22">
      <c r="A26" s="1195"/>
      <c r="B26" s="1196"/>
      <c r="C26" s="1196"/>
      <c r="D26" s="1196"/>
      <c r="E26" s="1197" t="str">
        <f>IF(K26=0,0,(INDEX(AccountCodes[ACCOUNT NAME],MATCH(K26,AccountCodes[NGAS CODE],0))))</f>
        <v>Due to Pag-IBIG - MP2</v>
      </c>
      <c r="F26" s="1198"/>
      <c r="G26" s="1198"/>
      <c r="H26" s="1198"/>
      <c r="I26" s="1198"/>
      <c r="J26" s="1199"/>
      <c r="K26" s="1001" t="s">
        <v>1508</v>
      </c>
      <c r="L26" s="62">
        <f t="array" ref="L26">IF(K26=0,0,(INDEX(AccountCodes[PPSAS CODE],MATCH(K26,AccountCodes[NGAS CODE],0))))</f>
        <v>2020103005</v>
      </c>
      <c r="M26" s="14"/>
      <c r="N26" s="89">
        <f t="array" ref="N26">SUM(IF((CkDJ[JEV Number]=TRIM($T$2))*(CkDJ[Account Code]=TRIM(K26)),CkDJ[Debit]))</f>
        <v>0</v>
      </c>
      <c r="O26" s="89">
        <f t="array" ref="O26">SUM(IF((CkDJ[JEV Number]=TRIM($T$2))*(CkDJ[Account Code]=TRIM(K26)),CkDJ[Credit]))</f>
        <v>0</v>
      </c>
      <c r="P26" s="1253">
        <f t="shared" si="0"/>
        <v>0</v>
      </c>
      <c r="Q26" s="1254"/>
      <c r="R26" s="1255"/>
      <c r="S26" s="1253">
        <f t="shared" si="1"/>
        <v>0</v>
      </c>
      <c r="T26" s="1254"/>
      <c r="U26" s="1254"/>
      <c r="V26" s="1256"/>
    </row>
    <row r="27" spans="1:22">
      <c r="A27" s="1195"/>
      <c r="B27" s="1196"/>
      <c r="C27" s="1196"/>
      <c r="D27" s="1196"/>
      <c r="E27" s="1197" t="str">
        <f>IF(K27=0,0,(INDEX(AccountCodes[ACCOUNT NAME],MATCH(K27,AccountCodes[NGAS CODE],0))))</f>
        <v>Due to PhilHealth</v>
      </c>
      <c r="F27" s="1198"/>
      <c r="G27" s="1198"/>
      <c r="H27" s="1198"/>
      <c r="I27" s="1198"/>
      <c r="J27" s="1199"/>
      <c r="K27" s="1001" t="s">
        <v>112</v>
      </c>
      <c r="L27" s="62">
        <f t="array" ref="L27">IF(K27=0,0,(INDEX(AccountCodes[PPSAS CODE],MATCH(K27,AccountCodes[NGAS CODE],0))))</f>
        <v>2020104000</v>
      </c>
      <c r="M27" s="14"/>
      <c r="N27" s="89">
        <f t="array" ref="N27">SUM(IF((CkDJ[JEV Number]=TRIM($T$2))*(CkDJ[Account Code]=TRIM(K27)),CkDJ[Debit]))</f>
        <v>0</v>
      </c>
      <c r="O27" s="89">
        <f t="array" ref="O27">SUM(IF((CkDJ[JEV Number]=TRIM($T$2))*(CkDJ[Account Code]=TRIM(K27)),CkDJ[Credit]))</f>
        <v>0</v>
      </c>
      <c r="P27" s="1253">
        <f t="shared" si="0"/>
        <v>0</v>
      </c>
      <c r="Q27" s="1254"/>
      <c r="R27" s="1255"/>
      <c r="S27" s="1253">
        <f t="shared" si="1"/>
        <v>0</v>
      </c>
      <c r="T27" s="1254"/>
      <c r="U27" s="1254"/>
      <c r="V27" s="1256"/>
    </row>
    <row r="28" spans="1:22">
      <c r="A28" s="1195"/>
      <c r="B28" s="1196"/>
      <c r="C28" s="1196"/>
      <c r="D28" s="1196"/>
      <c r="E28" s="1197" t="str">
        <f>IF(K28=0,0,(INDEX(AccountCodes[ACCOUNT NAME],MATCH(K28,AccountCodes[NGAS CODE],0))))</f>
        <v>Salaries and Wages-Regular</v>
      </c>
      <c r="F28" s="1198"/>
      <c r="G28" s="1198"/>
      <c r="H28" s="1198"/>
      <c r="I28" s="1198"/>
      <c r="J28" s="1199"/>
      <c r="K28" s="1001" t="s">
        <v>162</v>
      </c>
      <c r="L28" s="62">
        <f t="array" ref="L28">IF(K28=0,0,(INDEX(AccountCodes[PPSAS CODE],MATCH(K28,AccountCodes[NGAS CODE],0))))</f>
        <v>5010101000</v>
      </c>
      <c r="M28" s="14"/>
      <c r="N28" s="89">
        <f t="array" ref="N28">SUM(IF((CkDJ[JEV Number]=TRIM($T$2))*(CkDJ[Account Code]=TRIM(K28)),CkDJ[Debit]))</f>
        <v>0</v>
      </c>
      <c r="O28" s="89">
        <f t="array" ref="O28">SUM(IF((CkDJ[JEV Number]=TRIM($T$2))*(CkDJ[Account Code]=TRIM(K28)),CkDJ[Credit]))</f>
        <v>0</v>
      </c>
      <c r="P28" s="1253">
        <f t="shared" si="0"/>
        <v>0</v>
      </c>
      <c r="Q28" s="1254"/>
      <c r="R28" s="1255"/>
      <c r="S28" s="1253">
        <f t="shared" si="1"/>
        <v>0</v>
      </c>
      <c r="T28" s="1254"/>
      <c r="U28" s="1254"/>
      <c r="V28" s="1256"/>
    </row>
    <row r="29" spans="1:22">
      <c r="A29" s="1195"/>
      <c r="B29" s="1196"/>
      <c r="C29" s="1196"/>
      <c r="D29" s="1196"/>
      <c r="E29" s="1197" t="str">
        <f>IF(K29=0,0,(INDEX(AccountCodes[ACCOUNT NAME],MATCH(K29,AccountCodes[NGAS CODE],0))))</f>
        <v>Personal Economic Relief Allowance (PERA)</v>
      </c>
      <c r="F29" s="1198"/>
      <c r="G29" s="1198"/>
      <c r="H29" s="1198"/>
      <c r="I29" s="1198"/>
      <c r="J29" s="1199"/>
      <c r="K29" s="1001" t="s">
        <v>164</v>
      </c>
      <c r="L29" s="62">
        <f t="array" ref="L29">IF(K29=0,0,(INDEX(AccountCodes[PPSAS CODE],MATCH(K29,AccountCodes[NGAS CODE],0))))</f>
        <v>5010201000</v>
      </c>
      <c r="M29" s="14"/>
      <c r="N29" s="89">
        <f t="array" ref="N29">SUM(IF((CkDJ[JEV Number]=TRIM($T$2))*(CkDJ[Account Code]=TRIM(K29)),CkDJ[Debit]))</f>
        <v>0</v>
      </c>
      <c r="O29" s="89">
        <f t="array" ref="O29">SUM(IF((CkDJ[JEV Number]=TRIM($T$2))*(CkDJ[Account Code]=TRIM(K29)),CkDJ[Credit]))</f>
        <v>0</v>
      </c>
      <c r="P29" s="1200">
        <f>N29</f>
        <v>0</v>
      </c>
      <c r="Q29" s="1200"/>
      <c r="R29" s="1200"/>
      <c r="S29" s="1200">
        <f>O29</f>
        <v>0</v>
      </c>
      <c r="T29" s="1200"/>
      <c r="U29" s="1200"/>
      <c r="V29" s="1201"/>
    </row>
    <row r="30" spans="1:22">
      <c r="A30" s="1195"/>
      <c r="B30" s="1196"/>
      <c r="C30" s="1196"/>
      <c r="D30" s="1196"/>
      <c r="E30" s="1197" t="str">
        <f>IF(K30=0,0,(INDEX(AccountCodes[ACCOUNT NAME],MATCH(K30,AccountCodes[NGAS CODE],0))))</f>
        <v>Other Bonuses and Allowances - Productivity Enhancement Incentive (PEI)</v>
      </c>
      <c r="F30" s="1198"/>
      <c r="G30" s="1198"/>
      <c r="H30" s="1198"/>
      <c r="I30" s="1198"/>
      <c r="J30" s="1199"/>
      <c r="K30" s="1001" t="s">
        <v>2146</v>
      </c>
      <c r="L30" s="62">
        <f t="array" ref="L30">IF(K30=0,0,(INDEX(AccountCodes[PPSAS CODE],MATCH(K30,AccountCodes[NGAS CODE],0))))</f>
        <v>501029900</v>
      </c>
      <c r="M30" s="14"/>
      <c r="N30" s="89">
        <f t="array" ref="N30">SUM(IF((CkDJ[JEV Number]=TRIM($T$2))*(CkDJ[Account Code]=TRIM(K30)),CkDJ[Debit]))</f>
        <v>0</v>
      </c>
      <c r="O30" s="89">
        <f t="array" ref="O30">SUM(IF((CkDJ[JEV Number]=TRIM($T$2))*(CkDJ[Account Code]=TRIM(K30)),CkDJ[Credit]))</f>
        <v>0</v>
      </c>
      <c r="P30" s="1200">
        <f>N30</f>
        <v>0</v>
      </c>
      <c r="Q30" s="1200"/>
      <c r="R30" s="1200"/>
      <c r="S30" s="1200">
        <f>O30</f>
        <v>0</v>
      </c>
      <c r="T30" s="1200"/>
      <c r="U30" s="1200"/>
      <c r="V30" s="1201"/>
    </row>
    <row r="31" spans="1:22">
      <c r="A31" s="1195"/>
      <c r="B31" s="1196"/>
      <c r="C31" s="1196"/>
      <c r="D31" s="1196"/>
      <c r="E31" s="1197" t="str">
        <f>IF(K31=0,0,(INDEX(AccountCodes[ACCOUNT NAME],MATCH(K31,AccountCodes[NGAS CODE],0))))</f>
        <v>Other Bonuses and Allowances - Service Recognition Incentive (SRI)</v>
      </c>
      <c r="F31" s="1198"/>
      <c r="G31" s="1198"/>
      <c r="H31" s="1198"/>
      <c r="I31" s="1198"/>
      <c r="J31" s="1199"/>
      <c r="K31" s="1001" t="s">
        <v>2147</v>
      </c>
      <c r="L31" s="62">
        <f t="array" ref="L31">IF(K31=0,0,(INDEX(AccountCodes[PPSAS CODE],MATCH(K31,AccountCodes[NGAS CODE],0))))</f>
        <v>5010299001</v>
      </c>
      <c r="M31" s="14"/>
      <c r="N31" s="89">
        <f t="array" ref="N31">SUM(IF((CkDJ[JEV Number]=TRIM($T$2))*(CkDJ[Account Code]=TRIM(K31)),CkDJ[Debit]))</f>
        <v>0</v>
      </c>
      <c r="O31" s="89">
        <f t="array" ref="O31">SUM(IF((CkDJ[JEV Number]=TRIM($T$2))*(CkDJ[Account Code]=TRIM(K31)),CkDJ[Credit]))</f>
        <v>0</v>
      </c>
      <c r="P31" s="1200">
        <f>N31</f>
        <v>0</v>
      </c>
      <c r="Q31" s="1200"/>
      <c r="R31" s="1200"/>
      <c r="S31" s="1200">
        <f>O31</f>
        <v>0</v>
      </c>
      <c r="T31" s="1200"/>
      <c r="U31" s="1200"/>
      <c r="V31" s="1201"/>
    </row>
    <row r="32" spans="1:22">
      <c r="A32" s="1195"/>
      <c r="B32" s="1196"/>
      <c r="C32" s="1196"/>
      <c r="D32" s="1196"/>
      <c r="E32" s="1197" t="str">
        <f>IF(K32=0,0,(INDEX(AccountCodes[ACCOUNT NAME],MATCH(K32,AccountCodes[NGAS CODE],0))))</f>
        <v>Retirement and Life Insurance Premiums</v>
      </c>
      <c r="F32" s="1198"/>
      <c r="G32" s="1198"/>
      <c r="H32" s="1198"/>
      <c r="I32" s="1198"/>
      <c r="J32" s="1199"/>
      <c r="K32" s="1001" t="s">
        <v>175</v>
      </c>
      <c r="L32" s="62">
        <f t="array" ref="L32">IF(K32=0,0,(INDEX(AccountCodes[PPSAS CODE],MATCH(K32,AccountCodes[NGAS CODE],0))))</f>
        <v>5010301000</v>
      </c>
      <c r="M32" s="14"/>
      <c r="N32" s="89">
        <f t="array" ref="N32">SUM(IF((CkDJ[JEV Number]=TRIM($T$2))*(CkDJ[Account Code]=TRIM(K32)),CkDJ[Debit]))</f>
        <v>0</v>
      </c>
      <c r="O32" s="89">
        <f t="array" ref="O32">SUM(IF((CkDJ[JEV Number]=TRIM($T$2))*(CkDJ[Account Code]=TRIM(K32)),CkDJ[Credit]))</f>
        <v>0</v>
      </c>
      <c r="P32" s="1200">
        <f>N32</f>
        <v>0</v>
      </c>
      <c r="Q32" s="1200"/>
      <c r="R32" s="1200"/>
      <c r="S32" s="1200">
        <f>O32</f>
        <v>0</v>
      </c>
      <c r="T32" s="1200"/>
      <c r="U32" s="1200"/>
      <c r="V32" s="1201"/>
    </row>
    <row r="33" spans="1:22">
      <c r="A33" s="1195"/>
      <c r="B33" s="1196"/>
      <c r="C33" s="1196"/>
      <c r="D33" s="1196"/>
      <c r="E33" s="1197" t="str">
        <f>IF(K33=0,0,(INDEX(AccountCodes[ACCOUNT NAME],MATCH(K33,AccountCodes[NGAS CODE],0))))</f>
        <v>Pag-IBIG Contributions</v>
      </c>
      <c r="F33" s="1198"/>
      <c r="G33" s="1198"/>
      <c r="H33" s="1198"/>
      <c r="I33" s="1198"/>
      <c r="J33" s="1199"/>
      <c r="K33" s="1001" t="s">
        <v>176</v>
      </c>
      <c r="L33" s="62">
        <f t="array" ref="L33">IF(K33=0,0,(INDEX(AccountCodes[PPSAS CODE],MATCH(K33,AccountCodes[NGAS CODE],0))))</f>
        <v>5010302000</v>
      </c>
      <c r="M33" s="14"/>
      <c r="N33" s="89">
        <f t="array" ref="N33">SUM(IF((CkDJ[JEV Number]=TRIM($T$2))*(CkDJ[Account Code]=TRIM(K33)),CkDJ[Debit]))</f>
        <v>0</v>
      </c>
      <c r="O33" s="89">
        <f t="array" ref="O33">SUM(IF((CkDJ[JEV Number]=TRIM($T$2))*(CkDJ[Account Code]=TRIM(K33)),CkDJ[Credit]))</f>
        <v>0</v>
      </c>
      <c r="P33" s="1200">
        <f>N33</f>
        <v>0</v>
      </c>
      <c r="Q33" s="1200"/>
      <c r="R33" s="1200"/>
      <c r="S33" s="1200">
        <f>O33</f>
        <v>0</v>
      </c>
      <c r="T33" s="1200"/>
      <c r="U33" s="1200"/>
      <c r="V33" s="1201"/>
    </row>
    <row r="34" spans="1:22">
      <c r="A34" s="1195"/>
      <c r="B34" s="1196"/>
      <c r="C34" s="1196"/>
      <c r="D34" s="1196"/>
      <c r="E34" s="1197" t="str">
        <f>IF(K34=0,0,(INDEX(AccountCodes[ACCOUNT NAME],MATCH(K34,AccountCodes[NGAS CODE],0))))</f>
        <v>PhilHealth Contributions</v>
      </c>
      <c r="F34" s="1198"/>
      <c r="G34" s="1198"/>
      <c r="H34" s="1198"/>
      <c r="I34" s="1198"/>
      <c r="J34" s="1199"/>
      <c r="K34" s="1001" t="s">
        <v>177</v>
      </c>
      <c r="L34" s="62">
        <f t="array" ref="L34">IF(K34=0,0,(INDEX(AccountCodes[PPSAS CODE],MATCH(K34,AccountCodes[NGAS CODE],0))))</f>
        <v>5010303000</v>
      </c>
      <c r="M34" s="14"/>
      <c r="N34" s="89">
        <f t="array" ref="N34">SUM(IF((CkDJ[JEV Number]=TRIM($T$2))*(CkDJ[Account Code]=TRIM(K34)),CkDJ[Debit]))</f>
        <v>0</v>
      </c>
      <c r="O34" s="89">
        <f t="array" ref="O34">SUM(IF((CkDJ[JEV Number]=TRIM($T$2))*(CkDJ[Account Code]=TRIM(K34)),CkDJ[Credit]))</f>
        <v>0</v>
      </c>
      <c r="P34" s="1200">
        <f t="shared" ref="P34:P55" si="2">N34</f>
        <v>0</v>
      </c>
      <c r="Q34" s="1200"/>
      <c r="R34" s="1200"/>
      <c r="S34" s="1200">
        <f t="shared" ref="S34:S55" si="3">O34</f>
        <v>0</v>
      </c>
      <c r="T34" s="1200"/>
      <c r="U34" s="1200"/>
      <c r="V34" s="1201"/>
    </row>
    <row r="35" spans="1:22">
      <c r="A35" s="1195"/>
      <c r="B35" s="1196"/>
      <c r="C35" s="1196"/>
      <c r="D35" s="1196"/>
      <c r="E35" s="1197" t="str">
        <f>IF(K35=0,0,(INDEX(AccountCodes[ACCOUNT NAME],MATCH(K35,AccountCodes[NGAS CODE],0))))</f>
        <v>Employees Compensation Insurance Premiums</v>
      </c>
      <c r="F35" s="1198"/>
      <c r="G35" s="1198"/>
      <c r="H35" s="1198"/>
      <c r="I35" s="1198"/>
      <c r="J35" s="1199"/>
      <c r="K35" s="1001" t="s">
        <v>178</v>
      </c>
      <c r="L35" s="62">
        <f t="array" ref="L35">IF(K35=0,0,(INDEX(AccountCodes[PPSAS CODE],MATCH(K35,AccountCodes[NGAS CODE],0))))</f>
        <v>5010304000</v>
      </c>
      <c r="M35" s="14"/>
      <c r="N35" s="89">
        <f t="array" ref="N35">SUM(IF((CkDJ[JEV Number]=TRIM($T$2))*(CkDJ[Account Code]=TRIM(K35)),CkDJ[Debit]))</f>
        <v>0</v>
      </c>
      <c r="O35" s="89">
        <f t="array" ref="O35">SUM(IF((CkDJ[JEV Number]=TRIM($T$2))*(CkDJ[Account Code]=TRIM(K35)),CkDJ[Credit]))</f>
        <v>0</v>
      </c>
      <c r="P35" s="1200">
        <f t="shared" si="2"/>
        <v>0</v>
      </c>
      <c r="Q35" s="1200"/>
      <c r="R35" s="1200"/>
      <c r="S35" s="1200">
        <f t="shared" si="3"/>
        <v>0</v>
      </c>
      <c r="T35" s="1200"/>
      <c r="U35" s="1200"/>
      <c r="V35" s="1201"/>
    </row>
    <row r="36" spans="1:22">
      <c r="A36" s="1195"/>
      <c r="B36" s="1196"/>
      <c r="C36" s="1196"/>
      <c r="D36" s="1196"/>
      <c r="E36" s="1197" t="str">
        <f>IF(K36=0,0,(INDEX(AccountCodes[ACCOUNT NAME],MATCH(K36,AccountCodes[NGAS CODE],0))))</f>
        <v>Training Expenses</v>
      </c>
      <c r="F36" s="1198"/>
      <c r="G36" s="1198"/>
      <c r="H36" s="1198"/>
      <c r="I36" s="1198"/>
      <c r="J36" s="1199"/>
      <c r="K36" s="1001" t="s">
        <v>224</v>
      </c>
      <c r="L36" s="62">
        <f t="array" ref="L36">IF(K36=0,0,(INDEX(AccountCodes[PPSAS CODE],MATCH(K36,AccountCodes[NGAS CODE],0))))</f>
        <v>5020201000</v>
      </c>
      <c r="M36" s="14"/>
      <c r="N36" s="89">
        <f t="array" ref="N36">SUM(IF((CkDJ[JEV Number]=TRIM($T$2))*(CkDJ[Account Code]=TRIM(K36)),CkDJ[Debit]))</f>
        <v>0</v>
      </c>
      <c r="O36" s="89">
        <f t="array" ref="O36">SUM(IF((CkDJ[JEV Number]=TRIM($T$2))*(CkDJ[Account Code]=TRIM(K36)),CkDJ[Credit]))</f>
        <v>0</v>
      </c>
      <c r="P36" s="1200">
        <f t="shared" si="2"/>
        <v>0</v>
      </c>
      <c r="Q36" s="1200"/>
      <c r="R36" s="1200"/>
      <c r="S36" s="1200">
        <f t="shared" si="3"/>
        <v>0</v>
      </c>
      <c r="T36" s="1200"/>
      <c r="U36" s="1200"/>
      <c r="V36" s="1201"/>
    </row>
    <row r="37" spans="1:22">
      <c r="A37" s="1195"/>
      <c r="B37" s="1196"/>
      <c r="C37" s="1196"/>
      <c r="D37" s="1196"/>
      <c r="E37" s="1197" t="str">
        <f>IF(K37=0,0,(INDEX(AccountCodes[ACCOUNT NAME],MATCH(K37,AccountCodes[NGAS CODE],0))))</f>
        <v>Fuel, Oil and Lubricants Expenses</v>
      </c>
      <c r="F37" s="1198"/>
      <c r="G37" s="1198"/>
      <c r="H37" s="1198"/>
      <c r="I37" s="1198"/>
      <c r="J37" s="1199"/>
      <c r="K37" s="1001" t="s">
        <v>229</v>
      </c>
      <c r="L37" s="62">
        <f t="array" ref="L37">IF(K37=0,0,(INDEX(AccountCodes[PPSAS CODE],MATCH(K37,AccountCodes[NGAS CODE],0))))</f>
        <v>5020309000</v>
      </c>
      <c r="M37" s="14"/>
      <c r="N37" s="89">
        <f t="array" ref="N37">SUM(IF((CkDJ[JEV Number]=TRIM($T$2))*(CkDJ[Account Code]=TRIM(K37)),CkDJ[Debit]))</f>
        <v>0</v>
      </c>
      <c r="O37" s="89">
        <f t="array" ref="O37">SUM(IF((CkDJ[JEV Number]=TRIM($T$2))*(CkDJ[Account Code]=TRIM(K37)),CkDJ[Credit]))</f>
        <v>0</v>
      </c>
      <c r="P37" s="1200">
        <f t="shared" si="2"/>
        <v>0</v>
      </c>
      <c r="Q37" s="1200"/>
      <c r="R37" s="1200"/>
      <c r="S37" s="1200">
        <f t="shared" si="3"/>
        <v>0</v>
      </c>
      <c r="T37" s="1200"/>
      <c r="U37" s="1200"/>
      <c r="V37" s="1201"/>
    </row>
    <row r="38" spans="1:22">
      <c r="A38" s="1195"/>
      <c r="B38" s="1196"/>
      <c r="C38" s="1196"/>
      <c r="D38" s="1196"/>
      <c r="E38" s="1197">
        <f>IF(K38=0,0,(INDEX(AccountCodes[ACCOUNT NAME],MATCH(K38,AccountCodes[NGAS CODE],0))))</f>
        <v>0</v>
      </c>
      <c r="F38" s="1198"/>
      <c r="G38" s="1198"/>
      <c r="H38" s="1198"/>
      <c r="I38" s="1198"/>
      <c r="J38" s="1199"/>
      <c r="K38" s="1001"/>
      <c r="L38" s="62">
        <f t="array" ref="L38">IF(K38=0,0,(INDEX(AccountCodes[PPSAS CODE],MATCH(K38,AccountCodes[NGAS CODE],0))))</f>
        <v>0</v>
      </c>
      <c r="M38" s="14"/>
      <c r="N38" s="89">
        <f t="array" ref="N38">SUM(IF((CkDJ[JEV Number]=TRIM($T$2))*(CkDJ[Account Code]=TRIM(K38)),CkDJ[Debit]))</f>
        <v>0</v>
      </c>
      <c r="O38" s="89">
        <f t="array" ref="O38">SUM(IF((CkDJ[JEV Number]=TRIM($T$2))*(CkDJ[Account Code]=TRIM(K38)),CkDJ[Credit]))</f>
        <v>0</v>
      </c>
      <c r="P38" s="1200">
        <f t="shared" si="2"/>
        <v>0</v>
      </c>
      <c r="Q38" s="1200"/>
      <c r="R38" s="1200"/>
      <c r="S38" s="1200">
        <f t="shared" si="3"/>
        <v>0</v>
      </c>
      <c r="T38" s="1200"/>
      <c r="U38" s="1200"/>
      <c r="V38" s="1201"/>
    </row>
    <row r="39" spans="1:22">
      <c r="A39" s="1195"/>
      <c r="B39" s="1196"/>
      <c r="C39" s="1196"/>
      <c r="D39" s="1196"/>
      <c r="E39" s="1197">
        <f>IF(K39=0,0,(INDEX(AccountCodes[ACCOUNT NAME],MATCH(K39,AccountCodes[NGAS CODE],0))))</f>
        <v>0</v>
      </c>
      <c r="F39" s="1198"/>
      <c r="G39" s="1198"/>
      <c r="H39" s="1198"/>
      <c r="I39" s="1198"/>
      <c r="J39" s="1199"/>
      <c r="K39" s="857"/>
      <c r="L39" s="62">
        <f t="array" ref="L39">IF(K39=0,0,(INDEX(AccountCodes[PPSAS CODE],MATCH(K39,AccountCodes[NGAS CODE],0))))</f>
        <v>0</v>
      </c>
      <c r="M39" s="14"/>
      <c r="N39" s="89">
        <f t="array" ref="N39">SUM(IF((CkDJ[JEV Number]=TRIM($T$2))*(CkDJ[Account Code]=TRIM(K39)),CkDJ[Debit]))</f>
        <v>0</v>
      </c>
      <c r="O39" s="89">
        <f t="array" ref="O39">SUM(IF((CkDJ[JEV Number]=TRIM($T$2))*(CkDJ[Account Code]=TRIM(K39)),CkDJ[Credit]))</f>
        <v>0</v>
      </c>
      <c r="P39" s="1200">
        <f t="shared" si="2"/>
        <v>0</v>
      </c>
      <c r="Q39" s="1200"/>
      <c r="R39" s="1200"/>
      <c r="S39" s="1200">
        <f t="shared" si="3"/>
        <v>0</v>
      </c>
      <c r="T39" s="1200"/>
      <c r="U39" s="1200"/>
      <c r="V39" s="1201"/>
    </row>
    <row r="40" spans="1:22" hidden="1">
      <c r="A40" s="1195"/>
      <c r="B40" s="1196"/>
      <c r="C40" s="1196"/>
      <c r="D40" s="1196"/>
      <c r="E40" s="1197">
        <f>IF(K40=0,0,(INDEX(AccountCodes[ACCOUNT NAME],MATCH(K40,AccountCodes[NGAS CODE],0))))</f>
        <v>0</v>
      </c>
      <c r="F40" s="1198"/>
      <c r="G40" s="1198"/>
      <c r="H40" s="1198"/>
      <c r="I40" s="1198"/>
      <c r="J40" s="1199"/>
      <c r="K40" s="857"/>
      <c r="L40" s="62">
        <f t="array" ref="L40">IF(K40=0,0,(INDEX(AccountCodes[PPSAS CODE],MATCH(K40,AccountCodes[NGAS CODE],0))))</f>
        <v>0</v>
      </c>
      <c r="M40" s="14"/>
      <c r="N40" s="89">
        <f t="array" ref="N40">SUM(IF((CkDJ[JEV Number]=TRIM($T$2))*(CkDJ[Account Code]=TRIM(K40)),CkDJ[Debit]))</f>
        <v>0</v>
      </c>
      <c r="O40" s="89">
        <f t="array" ref="O40">SUM(IF((CkDJ[JEV Number]=TRIM($T$2))*(CkDJ[Account Code]=TRIM(K40)),CkDJ[Credit]))</f>
        <v>0</v>
      </c>
      <c r="P40" s="1200">
        <f t="shared" si="2"/>
        <v>0</v>
      </c>
      <c r="Q40" s="1200"/>
      <c r="R40" s="1200"/>
      <c r="S40" s="1200">
        <f t="shared" si="3"/>
        <v>0</v>
      </c>
      <c r="T40" s="1200"/>
      <c r="U40" s="1200"/>
      <c r="V40" s="1201"/>
    </row>
    <row r="41" spans="1:22" hidden="1">
      <c r="A41" s="1195"/>
      <c r="B41" s="1196"/>
      <c r="C41" s="1196"/>
      <c r="D41" s="1196"/>
      <c r="E41" s="1197">
        <f>IF(K41=0,0,(INDEX(AccountCodes[ACCOUNT NAME],MATCH(K41,AccountCodes[NGAS CODE],0))))</f>
        <v>0</v>
      </c>
      <c r="F41" s="1198"/>
      <c r="G41" s="1198"/>
      <c r="H41" s="1198"/>
      <c r="I41" s="1198"/>
      <c r="J41" s="1199"/>
      <c r="K41" s="857"/>
      <c r="L41" s="62">
        <f t="array" ref="L41">IF(K41=0,0,(INDEX(AccountCodes[PPSAS CODE],MATCH(K41,AccountCodes[NGAS CODE],0))))</f>
        <v>0</v>
      </c>
      <c r="M41" s="14"/>
      <c r="N41" s="89">
        <f t="array" ref="N41">SUM(IF((CkDJ[JEV Number]=TRIM($T$2))*(CkDJ[Account Code]=TRIM(K41)),CkDJ[Debit]))</f>
        <v>0</v>
      </c>
      <c r="O41" s="89">
        <f t="array" ref="O41">SUM(IF((CkDJ[JEV Number]=TRIM($T$2))*(CkDJ[Account Code]=TRIM(K41)),CkDJ[Credit]))</f>
        <v>0</v>
      </c>
      <c r="P41" s="1200">
        <f t="shared" si="2"/>
        <v>0</v>
      </c>
      <c r="Q41" s="1200"/>
      <c r="R41" s="1200"/>
      <c r="S41" s="1200">
        <f t="shared" si="3"/>
        <v>0</v>
      </c>
      <c r="T41" s="1200"/>
      <c r="U41" s="1200"/>
      <c r="V41" s="1201"/>
    </row>
    <row r="42" spans="1:22" hidden="1">
      <c r="A42" s="1195"/>
      <c r="B42" s="1196"/>
      <c r="C42" s="1196"/>
      <c r="D42" s="1196"/>
      <c r="E42" s="1197">
        <f>IF(K42=0,0,(INDEX(AccountCodes[ACCOUNT NAME],MATCH(K42,AccountCodes[NGAS CODE],0))))</f>
        <v>0</v>
      </c>
      <c r="F42" s="1198"/>
      <c r="G42" s="1198"/>
      <c r="H42" s="1198"/>
      <c r="I42" s="1198"/>
      <c r="J42" s="1199"/>
      <c r="K42" s="857"/>
      <c r="L42" s="62">
        <f t="array" ref="L42">IF(K42=0,0,(INDEX(AccountCodes[PPSAS CODE],MATCH(K42,AccountCodes[NGAS CODE],0))))</f>
        <v>0</v>
      </c>
      <c r="M42" s="14"/>
      <c r="N42" s="89">
        <f t="array" ref="N42">SUM(IF((CkDJ[JEV Number]=TRIM($T$2))*(CkDJ[Account Code]=TRIM(K42)),CkDJ[Debit]))</f>
        <v>0</v>
      </c>
      <c r="O42" s="89">
        <f t="array" ref="O42">SUM(IF((CkDJ[JEV Number]=TRIM($T$2))*(CkDJ[Account Code]=TRIM(K42)),CkDJ[Credit]))</f>
        <v>0</v>
      </c>
      <c r="P42" s="1200">
        <f t="shared" si="2"/>
        <v>0</v>
      </c>
      <c r="Q42" s="1200"/>
      <c r="R42" s="1200"/>
      <c r="S42" s="1200">
        <f t="shared" si="3"/>
        <v>0</v>
      </c>
      <c r="T42" s="1200"/>
      <c r="U42" s="1200"/>
      <c r="V42" s="1201"/>
    </row>
    <row r="43" spans="1:22" hidden="1">
      <c r="A43" s="1195"/>
      <c r="B43" s="1196"/>
      <c r="C43" s="1196"/>
      <c r="D43" s="1196"/>
      <c r="E43" s="1197">
        <f>IF(K43=0,0,(INDEX(AccountCodes[ACCOUNT NAME],MATCH(K43,AccountCodes[NGAS CODE],0))))</f>
        <v>0</v>
      </c>
      <c r="F43" s="1198"/>
      <c r="G43" s="1198"/>
      <c r="H43" s="1198"/>
      <c r="I43" s="1198"/>
      <c r="J43" s="1199"/>
      <c r="K43" s="857"/>
      <c r="L43" s="62">
        <f t="array" ref="L43">IF(K43=0,0,(INDEX(AccountCodes[PPSAS CODE],MATCH(K43,AccountCodes[NGAS CODE],0))))</f>
        <v>0</v>
      </c>
      <c r="M43" s="14"/>
      <c r="N43" s="89">
        <f t="array" ref="N43">SUM(IF((CkDJ[JEV Number]=TRIM($T$2))*(CkDJ[Account Code]=TRIM(K43)),CkDJ[Debit]))</f>
        <v>0</v>
      </c>
      <c r="O43" s="89">
        <f t="array" ref="O43">SUM(IF((CkDJ[JEV Number]=TRIM($T$2))*(CkDJ[Account Code]=TRIM(K43)),CkDJ[Credit]))</f>
        <v>0</v>
      </c>
      <c r="P43" s="1200">
        <f t="shared" si="2"/>
        <v>0</v>
      </c>
      <c r="Q43" s="1200"/>
      <c r="R43" s="1200"/>
      <c r="S43" s="1200">
        <f t="shared" si="3"/>
        <v>0</v>
      </c>
      <c r="T43" s="1200"/>
      <c r="U43" s="1200"/>
      <c r="V43" s="1201"/>
    </row>
    <row r="44" spans="1:22" hidden="1">
      <c r="A44" s="1195"/>
      <c r="B44" s="1196"/>
      <c r="C44" s="1196"/>
      <c r="D44" s="1196"/>
      <c r="E44" s="1197">
        <f>IF(K44=0,0,(INDEX(AccountCodes[ACCOUNT NAME],MATCH(K44,AccountCodes[NGAS CODE],0))))</f>
        <v>0</v>
      </c>
      <c r="F44" s="1198"/>
      <c r="G44" s="1198"/>
      <c r="H44" s="1198"/>
      <c r="I44" s="1198"/>
      <c r="J44" s="1199"/>
      <c r="K44" s="857"/>
      <c r="L44" s="62">
        <f t="array" ref="L44">IF(K44=0,0,(INDEX(AccountCodes[PPSAS CODE],MATCH(K44,AccountCodes[NGAS CODE],0))))</f>
        <v>0</v>
      </c>
      <c r="M44" s="14"/>
      <c r="N44" s="89">
        <f t="array" ref="N44">SUM(IF((CkDJ[JEV Number]=TRIM($T$2))*(CkDJ[Account Code]=TRIM(K44)),CkDJ[Debit]))</f>
        <v>0</v>
      </c>
      <c r="O44" s="89">
        <f t="array" ref="O44">SUM(IF((CkDJ[JEV Number]=TRIM($T$2))*(CkDJ[Account Code]=TRIM(K44)),CkDJ[Credit]))</f>
        <v>0</v>
      </c>
      <c r="P44" s="1200">
        <f t="shared" si="2"/>
        <v>0</v>
      </c>
      <c r="Q44" s="1200"/>
      <c r="R44" s="1200"/>
      <c r="S44" s="1200">
        <f t="shared" si="3"/>
        <v>0</v>
      </c>
      <c r="T44" s="1200"/>
      <c r="U44" s="1200"/>
      <c r="V44" s="1201"/>
    </row>
    <row r="45" spans="1:22" hidden="1">
      <c r="A45" s="1195"/>
      <c r="B45" s="1196"/>
      <c r="C45" s="1196"/>
      <c r="D45" s="1196"/>
      <c r="E45" s="1197">
        <f>IF(K45=0,0,(INDEX(AccountCodes[ACCOUNT NAME],MATCH(K45,AccountCodes[NGAS CODE],0))))</f>
        <v>0</v>
      </c>
      <c r="F45" s="1198"/>
      <c r="G45" s="1198"/>
      <c r="H45" s="1198"/>
      <c r="I45" s="1198"/>
      <c r="J45" s="1199"/>
      <c r="K45" s="857"/>
      <c r="L45" s="62">
        <f t="array" ref="L45">IF(K45=0,0,(INDEX(AccountCodes[PPSAS CODE],MATCH(K45,AccountCodes[NGAS CODE],0))))</f>
        <v>0</v>
      </c>
      <c r="M45" s="14"/>
      <c r="N45" s="89">
        <f t="array" ref="N45">SUM(IF((CkDJ[JEV Number]=TRIM($T$2))*(CkDJ[Account Code]=TRIM(K45)),CkDJ[Debit]))</f>
        <v>0</v>
      </c>
      <c r="O45" s="89">
        <f t="array" ref="O45">SUM(IF((CkDJ[JEV Number]=TRIM($T$2))*(CkDJ[Account Code]=TRIM(K45)),CkDJ[Credit]))</f>
        <v>0</v>
      </c>
      <c r="P45" s="1200">
        <f t="shared" si="2"/>
        <v>0</v>
      </c>
      <c r="Q45" s="1200"/>
      <c r="R45" s="1200"/>
      <c r="S45" s="1200">
        <f t="shared" si="3"/>
        <v>0</v>
      </c>
      <c r="T45" s="1200"/>
      <c r="U45" s="1200"/>
      <c r="V45" s="1201"/>
    </row>
    <row r="46" spans="1:22" hidden="1">
      <c r="A46" s="1195"/>
      <c r="B46" s="1196"/>
      <c r="C46" s="1196"/>
      <c r="D46" s="1196"/>
      <c r="E46" s="1197">
        <f>IF(K46=0,0,(INDEX(AccountCodes[ACCOUNT NAME],MATCH(K46,AccountCodes[NGAS CODE],0))))</f>
        <v>0</v>
      </c>
      <c r="F46" s="1198"/>
      <c r="G46" s="1198"/>
      <c r="H46" s="1198"/>
      <c r="I46" s="1198"/>
      <c r="J46" s="1199"/>
      <c r="K46" s="857"/>
      <c r="L46" s="62">
        <f t="array" ref="L46">IF(K46=0,0,(INDEX(AccountCodes[PPSAS CODE],MATCH(K46,AccountCodes[NGAS CODE],0))))</f>
        <v>0</v>
      </c>
      <c r="M46" s="14"/>
      <c r="N46" s="89">
        <f t="array" ref="N46">SUM(IF((CkDJ[JEV Number]=TRIM($T$2))*(CkDJ[Account Code]=TRIM(K46)),CkDJ[Debit]))</f>
        <v>0</v>
      </c>
      <c r="O46" s="89">
        <f t="array" ref="O46">SUM(IF((CkDJ[JEV Number]=TRIM($T$2))*(CkDJ[Account Code]=TRIM(K46)),CkDJ[Credit]))</f>
        <v>0</v>
      </c>
      <c r="P46" s="1200">
        <f t="shared" si="2"/>
        <v>0</v>
      </c>
      <c r="Q46" s="1200"/>
      <c r="R46" s="1200"/>
      <c r="S46" s="1200">
        <f t="shared" si="3"/>
        <v>0</v>
      </c>
      <c r="T46" s="1200"/>
      <c r="U46" s="1200"/>
      <c r="V46" s="1201"/>
    </row>
    <row r="47" spans="1:22" hidden="1">
      <c r="A47" s="1195"/>
      <c r="B47" s="1196"/>
      <c r="C47" s="1196"/>
      <c r="D47" s="1196"/>
      <c r="E47" s="1197">
        <f>IF(K47=0,0,(INDEX(AccountCodes[ACCOUNT NAME],MATCH(K47,AccountCodes[NGAS CODE],0))))</f>
        <v>0</v>
      </c>
      <c r="F47" s="1198"/>
      <c r="G47" s="1198"/>
      <c r="H47" s="1198"/>
      <c r="I47" s="1198"/>
      <c r="J47" s="1199"/>
      <c r="K47" s="857"/>
      <c r="L47" s="62">
        <f t="array" ref="L47">IF(K47=0,0,(INDEX(AccountCodes[PPSAS CODE],MATCH(K47,AccountCodes[NGAS CODE],0))))</f>
        <v>0</v>
      </c>
      <c r="M47" s="14"/>
      <c r="N47" s="89">
        <f t="array" ref="N47">SUM(IF((CkDJ[JEV Number]=TRIM($T$2))*(CkDJ[Account Code]=TRIM(K47)),CkDJ[Debit]))</f>
        <v>0</v>
      </c>
      <c r="O47" s="89">
        <f t="array" ref="O47">SUM(IF((CkDJ[JEV Number]=TRIM($T$2))*(CkDJ[Account Code]=TRIM(K47)),CkDJ[Credit]))</f>
        <v>0</v>
      </c>
      <c r="P47" s="1200">
        <f t="shared" si="2"/>
        <v>0</v>
      </c>
      <c r="Q47" s="1200"/>
      <c r="R47" s="1200"/>
      <c r="S47" s="1200">
        <f t="shared" si="3"/>
        <v>0</v>
      </c>
      <c r="T47" s="1200"/>
      <c r="U47" s="1200"/>
      <c r="V47" s="1201"/>
    </row>
    <row r="48" spans="1:22" hidden="1">
      <c r="A48" s="1195"/>
      <c r="B48" s="1196"/>
      <c r="C48" s="1196"/>
      <c r="D48" s="1196"/>
      <c r="E48" s="1197">
        <f>IF(K48=0,0,(INDEX(AccountCodes[ACCOUNT NAME],MATCH(K48,AccountCodes[NGAS CODE],0))))</f>
        <v>0</v>
      </c>
      <c r="F48" s="1198"/>
      <c r="G48" s="1198"/>
      <c r="H48" s="1198"/>
      <c r="I48" s="1198"/>
      <c r="J48" s="1199"/>
      <c r="K48" s="857"/>
      <c r="L48" s="62">
        <f t="array" ref="L48">IF(K48=0,0,(INDEX(AccountCodes[PPSAS CODE],MATCH(K48,AccountCodes[NGAS CODE],0))))</f>
        <v>0</v>
      </c>
      <c r="M48" s="14"/>
      <c r="N48" s="89">
        <f t="array" ref="N48">SUM(IF((CkDJ[JEV Number]=TRIM($T$2))*(CkDJ[Account Code]=TRIM(K48)),CkDJ[Debit]))</f>
        <v>0</v>
      </c>
      <c r="O48" s="89">
        <f t="array" ref="O48">SUM(IF((CkDJ[JEV Number]=TRIM($T$2))*(CkDJ[Account Code]=TRIM(K48)),CkDJ[Credit]))</f>
        <v>0</v>
      </c>
      <c r="P48" s="1200">
        <f t="shared" si="2"/>
        <v>0</v>
      </c>
      <c r="Q48" s="1200"/>
      <c r="R48" s="1200"/>
      <c r="S48" s="1200">
        <f t="shared" si="3"/>
        <v>0</v>
      </c>
      <c r="T48" s="1200"/>
      <c r="U48" s="1200"/>
      <c r="V48" s="1201"/>
    </row>
    <row r="49" spans="1:22" hidden="1">
      <c r="A49" s="1195"/>
      <c r="B49" s="1196"/>
      <c r="C49" s="1196"/>
      <c r="D49" s="1196"/>
      <c r="E49" s="1197">
        <f>IF(K49=0,0,(INDEX(AccountCodes[ACCOUNT NAME],MATCH(K49,AccountCodes[NGAS CODE],0))))</f>
        <v>0</v>
      </c>
      <c r="F49" s="1198"/>
      <c r="G49" s="1198"/>
      <c r="H49" s="1198"/>
      <c r="I49" s="1198"/>
      <c r="J49" s="1199"/>
      <c r="K49" s="857"/>
      <c r="L49" s="62">
        <f t="array" ref="L49">IF(K49=0,0,(INDEX(AccountCodes[PPSAS CODE],MATCH(K49,AccountCodes[NGAS CODE],0))))</f>
        <v>0</v>
      </c>
      <c r="M49" s="14"/>
      <c r="N49" s="89">
        <f t="array" ref="N49">SUM(IF((CkDJ[JEV Number]=TRIM($T$2))*(CkDJ[Account Code]=TRIM(K49)),CkDJ[Debit]))</f>
        <v>0</v>
      </c>
      <c r="O49" s="89">
        <f t="array" ref="O49">SUM(IF((CkDJ[JEV Number]=TRIM($T$2))*(CkDJ[Account Code]=TRIM(K49)),CkDJ[Credit]))</f>
        <v>0</v>
      </c>
      <c r="P49" s="1200">
        <f t="shared" si="2"/>
        <v>0</v>
      </c>
      <c r="Q49" s="1200"/>
      <c r="R49" s="1200"/>
      <c r="S49" s="1200">
        <f t="shared" si="3"/>
        <v>0</v>
      </c>
      <c r="T49" s="1200"/>
      <c r="U49" s="1200"/>
      <c r="V49" s="1201"/>
    </row>
    <row r="50" spans="1:22" hidden="1">
      <c r="A50" s="1195"/>
      <c r="B50" s="1196"/>
      <c r="C50" s="1196"/>
      <c r="D50" s="1196"/>
      <c r="E50" s="1197">
        <f>IF(K50=0,0,(INDEX(AccountCodes[ACCOUNT NAME],MATCH(K50,AccountCodes[NGAS CODE],0))))</f>
        <v>0</v>
      </c>
      <c r="F50" s="1198"/>
      <c r="G50" s="1198"/>
      <c r="H50" s="1198"/>
      <c r="I50" s="1198"/>
      <c r="J50" s="1199"/>
      <c r="K50" s="857"/>
      <c r="L50" s="62">
        <f t="array" ref="L50">IF(K50=0,0,(INDEX(AccountCodes[PPSAS CODE],MATCH(K50,AccountCodes[NGAS CODE],0))))</f>
        <v>0</v>
      </c>
      <c r="M50" s="14"/>
      <c r="N50" s="89">
        <f t="array" ref="N50">SUM(IF((CkDJ[JEV Number]=TRIM($T$2))*(CkDJ[Account Code]=TRIM(K50)),CkDJ[Debit]))</f>
        <v>0</v>
      </c>
      <c r="O50" s="89">
        <f t="array" ref="O50">SUM(IF((CkDJ[JEV Number]=TRIM($T$2))*(CkDJ[Account Code]=TRIM(K50)),CkDJ[Credit]))</f>
        <v>0</v>
      </c>
      <c r="P50" s="1200">
        <f t="shared" si="2"/>
        <v>0</v>
      </c>
      <c r="Q50" s="1200"/>
      <c r="R50" s="1200"/>
      <c r="S50" s="1200">
        <f t="shared" si="3"/>
        <v>0</v>
      </c>
      <c r="T50" s="1200"/>
      <c r="U50" s="1200"/>
      <c r="V50" s="1201"/>
    </row>
    <row r="51" spans="1:22">
      <c r="A51" s="1195"/>
      <c r="B51" s="1196"/>
      <c r="C51" s="1196"/>
      <c r="D51" s="1196"/>
      <c r="E51" s="1197">
        <f>IF(K51=0,0,(INDEX(AccountCodes[ACCOUNT NAME],MATCH(K51,AccountCodes[NGAS CODE],0))))</f>
        <v>0</v>
      </c>
      <c r="F51" s="1198"/>
      <c r="G51" s="1198"/>
      <c r="H51" s="1198"/>
      <c r="I51" s="1198"/>
      <c r="J51" s="1199"/>
      <c r="K51" s="857"/>
      <c r="L51" s="62">
        <f t="array" ref="L51">IF(K51=0,0,(INDEX(AccountCodes[PPSAS CODE],MATCH(K51,AccountCodes[NGAS CODE],0))))</f>
        <v>0</v>
      </c>
      <c r="M51" s="14"/>
      <c r="N51" s="89">
        <f t="array" ref="N51">SUM(IF((CkDJ[JEV Number]=TRIM($T$2))*(CkDJ[Account Code]=TRIM(K51)),CkDJ[Debit]))</f>
        <v>0</v>
      </c>
      <c r="O51" s="89">
        <f t="array" ref="O51">SUM(IF((CkDJ[JEV Number]=TRIM($T$2))*(CkDJ[Account Code]=TRIM(K51)),CkDJ[Credit]))</f>
        <v>0</v>
      </c>
      <c r="P51" s="1200">
        <f t="shared" si="2"/>
        <v>0</v>
      </c>
      <c r="Q51" s="1200"/>
      <c r="R51" s="1200"/>
      <c r="S51" s="1200">
        <f t="shared" si="3"/>
        <v>0</v>
      </c>
      <c r="T51" s="1200"/>
      <c r="U51" s="1200"/>
      <c r="V51" s="1201"/>
    </row>
    <row r="52" spans="1:22">
      <c r="A52" s="1195"/>
      <c r="B52" s="1196"/>
      <c r="C52" s="1196"/>
      <c r="D52" s="1196"/>
      <c r="E52" s="1197">
        <f>IF(K52=0,0,(INDEX(AccountCodes[ACCOUNT NAME],MATCH(K52,AccountCodes[NGAS CODE],0))))</f>
        <v>0</v>
      </c>
      <c r="F52" s="1198"/>
      <c r="G52" s="1198"/>
      <c r="H52" s="1198"/>
      <c r="I52" s="1198"/>
      <c r="J52" s="1199"/>
      <c r="K52" s="857"/>
      <c r="L52" s="62">
        <f t="array" ref="L52">IF(K52=0,0,(INDEX(AccountCodes[PPSAS CODE],MATCH(K52,AccountCodes[NGAS CODE],0))))</f>
        <v>0</v>
      </c>
      <c r="M52" s="14"/>
      <c r="N52" s="89">
        <f t="array" ref="N52">SUM(IF((CkDJ[JEV Number]=TRIM($T$2))*(CkDJ[Account Code]=TRIM(K52)),CkDJ[Debit]))</f>
        <v>0</v>
      </c>
      <c r="O52" s="89">
        <f t="array" ref="O52">SUM(IF((CkDJ[JEV Number]=TRIM($T$2))*(CkDJ[Account Code]=TRIM(K52)),CkDJ[Credit]))</f>
        <v>0</v>
      </c>
      <c r="P52" s="1200">
        <f t="shared" si="2"/>
        <v>0</v>
      </c>
      <c r="Q52" s="1200"/>
      <c r="R52" s="1200"/>
      <c r="S52" s="1200">
        <f t="shared" si="3"/>
        <v>0</v>
      </c>
      <c r="T52" s="1200"/>
      <c r="U52" s="1200"/>
      <c r="V52" s="1201"/>
    </row>
    <row r="53" spans="1:22">
      <c r="A53" s="1195"/>
      <c r="B53" s="1196"/>
      <c r="C53" s="1196"/>
      <c r="D53" s="1196"/>
      <c r="E53" s="1197">
        <f>IF(K53=0,0,(INDEX(AccountCodes[ACCOUNT NAME],MATCH(K53,AccountCodes[NGAS CODE],0))))</f>
        <v>0</v>
      </c>
      <c r="F53" s="1198"/>
      <c r="G53" s="1198"/>
      <c r="H53" s="1198"/>
      <c r="I53" s="1198"/>
      <c r="J53" s="1199"/>
      <c r="K53" s="857"/>
      <c r="L53" s="62">
        <f t="array" ref="L53">IF(K53=0,0,(INDEX(AccountCodes[PPSAS CODE],MATCH(K53,AccountCodes[NGAS CODE],0))))</f>
        <v>0</v>
      </c>
      <c r="M53" s="14"/>
      <c r="N53" s="89">
        <f t="array" ref="N53">SUM(IF((CkDJ[JEV Number]=TRIM($T$2))*(CkDJ[Account Code]=TRIM(K53)),CkDJ[Debit]))</f>
        <v>0</v>
      </c>
      <c r="O53" s="89">
        <f t="array" ref="O53">SUM(IF((CkDJ[JEV Number]=TRIM($T$2))*(CkDJ[Account Code]=TRIM(K53)),CkDJ[Credit]))</f>
        <v>0</v>
      </c>
      <c r="P53" s="1200">
        <f t="shared" si="2"/>
        <v>0</v>
      </c>
      <c r="Q53" s="1200"/>
      <c r="R53" s="1200"/>
      <c r="S53" s="1200">
        <f t="shared" si="3"/>
        <v>0</v>
      </c>
      <c r="T53" s="1200"/>
      <c r="U53" s="1200"/>
      <c r="V53" s="1201"/>
    </row>
    <row r="54" spans="1:22">
      <c r="A54" s="1195"/>
      <c r="B54" s="1196"/>
      <c r="C54" s="1196"/>
      <c r="D54" s="1196"/>
      <c r="E54" s="1197">
        <f>IF(K54=0,0,(INDEX(AccountCodes[ACCOUNT NAME],MATCH(K54,AccountCodes[NGAS CODE],0))))</f>
        <v>0</v>
      </c>
      <c r="F54" s="1198"/>
      <c r="G54" s="1198"/>
      <c r="H54" s="1198"/>
      <c r="I54" s="1198"/>
      <c r="J54" s="1199"/>
      <c r="K54" s="857"/>
      <c r="L54" s="62">
        <f t="array" ref="L54">IF(K54=0,0,(INDEX(AccountCodes[PPSAS CODE],MATCH(K54,AccountCodes[NGAS CODE],0))))</f>
        <v>0</v>
      </c>
      <c r="M54" s="14"/>
      <c r="N54" s="89">
        <f t="array" ref="N54">SUM(IF((CkDJ[JEV Number]=TRIM($T$2))*(CkDJ[Account Code]=TRIM(K54)),CkDJ[Debit]))</f>
        <v>0</v>
      </c>
      <c r="O54" s="89">
        <f t="array" ref="O54">SUM(IF((CkDJ[JEV Number]=TRIM($T$2))*(CkDJ[Account Code]=TRIM(K54)),CkDJ[Credit]))</f>
        <v>0</v>
      </c>
      <c r="P54" s="1200">
        <f t="shared" si="2"/>
        <v>0</v>
      </c>
      <c r="Q54" s="1200"/>
      <c r="R54" s="1200"/>
      <c r="S54" s="1200">
        <f t="shared" si="3"/>
        <v>0</v>
      </c>
      <c r="T54" s="1200"/>
      <c r="U54" s="1200"/>
      <c r="V54" s="1201"/>
    </row>
    <row r="55" spans="1:22">
      <c r="A55" s="1195"/>
      <c r="B55" s="1196"/>
      <c r="C55" s="1196"/>
      <c r="D55" s="1196"/>
      <c r="E55" s="1197">
        <f>IF(K55=0,0,(INDEX(AccountCodes[ACCOUNT NAME],MATCH(K55,AccountCodes[NGAS CODE],0))))</f>
        <v>0</v>
      </c>
      <c r="F55" s="1198"/>
      <c r="G55" s="1198"/>
      <c r="H55" s="1198"/>
      <c r="I55" s="1198"/>
      <c r="J55" s="1199"/>
      <c r="K55" s="857"/>
      <c r="L55" s="62">
        <f t="array" ref="L55">IF(K55=0,0,(INDEX(AccountCodes[PPSAS CODE],MATCH(K55,AccountCodes[NGAS CODE],0))))</f>
        <v>0</v>
      </c>
      <c r="M55" s="14"/>
      <c r="N55" s="89">
        <f t="array" ref="N55">SUM(IF((CkDJ[JEV Number]=TRIM($T$2))*(CkDJ[Account Code]=TRIM(K55)),CkDJ[Debit]))</f>
        <v>0</v>
      </c>
      <c r="O55" s="89">
        <f t="array" ref="O55">SUM(IF((CkDJ[JEV Number]=TRIM($T$2))*(CkDJ[Account Code]=TRIM(K55)),CkDJ[Credit]))</f>
        <v>0</v>
      </c>
      <c r="P55" s="1200">
        <f t="shared" si="2"/>
        <v>0</v>
      </c>
      <c r="Q55" s="1200"/>
      <c r="R55" s="1200"/>
      <c r="S55" s="1200">
        <f t="shared" si="3"/>
        <v>0</v>
      </c>
      <c r="T55" s="1200"/>
      <c r="U55" s="1200"/>
      <c r="V55" s="1201"/>
    </row>
    <row r="56" spans="1:22">
      <c r="A56" s="1195"/>
      <c r="B56" s="1196"/>
      <c r="C56" s="1196"/>
      <c r="D56" s="1196"/>
      <c r="E56" s="1197">
        <f>IF(K56=0,0,(INDEX(AccountCodes[ACCOUNT NAME],MATCH(K56,AccountCodes[NGAS CODE],0))))</f>
        <v>0</v>
      </c>
      <c r="F56" s="1198"/>
      <c r="G56" s="1198"/>
      <c r="H56" s="1198"/>
      <c r="I56" s="1198"/>
      <c r="J56" s="1199"/>
      <c r="K56" s="857"/>
      <c r="L56" s="62">
        <f t="array" ref="L56">IF(K56=0,0,(INDEX(AccountCodes[PPSAS CODE],MATCH(K56,AccountCodes[NGAS CODE],0))))</f>
        <v>0</v>
      </c>
      <c r="M56" s="14"/>
      <c r="N56" s="89">
        <f t="array" ref="N56">SUM(IF((CkDJ[JEV Number]=TRIM($T$2))*(CkDJ[Account Code]=TRIM(K56)),CkDJ[Debit]))</f>
        <v>0</v>
      </c>
      <c r="O56" s="89">
        <f t="array" ref="O56">SUM(IF((CkDJ[JEV Number]=TRIM($T$2))*(CkDJ[Account Code]=TRIM(K56)),CkDJ[Credit]))</f>
        <v>0</v>
      </c>
      <c r="P56" s="1200">
        <f t="shared" ref="P56:P68" si="4">N56</f>
        <v>0</v>
      </c>
      <c r="Q56" s="1200"/>
      <c r="R56" s="1200"/>
      <c r="S56" s="1200">
        <f t="shared" ref="S56:S68" si="5">O56</f>
        <v>0</v>
      </c>
      <c r="T56" s="1200"/>
      <c r="U56" s="1200"/>
      <c r="V56" s="1201"/>
    </row>
    <row r="57" spans="1:22">
      <c r="A57" s="1195"/>
      <c r="B57" s="1196"/>
      <c r="C57" s="1196"/>
      <c r="D57" s="1196"/>
      <c r="E57" s="1197">
        <f>IF(K57=0,0,(INDEX(AccountCodes[ACCOUNT NAME],MATCH(K57,AccountCodes[NGAS CODE],0))))</f>
        <v>0</v>
      </c>
      <c r="F57" s="1198"/>
      <c r="G57" s="1198"/>
      <c r="H57" s="1198"/>
      <c r="I57" s="1198"/>
      <c r="J57" s="1199"/>
      <c r="K57" s="857"/>
      <c r="L57" s="62">
        <f t="array" ref="L57">IF(K57=0,0,(INDEX(AccountCodes[PPSAS CODE],MATCH(K57,AccountCodes[NGAS CODE],0))))</f>
        <v>0</v>
      </c>
      <c r="M57" s="14"/>
      <c r="N57" s="89">
        <f t="array" ref="N57">SUM(IF((CkDJ[JEV Number]=TRIM($T$2))*(CkDJ[Account Code]=TRIM(K57)),CkDJ[Debit]))</f>
        <v>0</v>
      </c>
      <c r="O57" s="89">
        <f t="array" ref="O57">SUM(IF((CkDJ[JEV Number]=TRIM($T$2))*(CkDJ[Account Code]=TRIM(K57)),CkDJ[Credit]))</f>
        <v>0</v>
      </c>
      <c r="P57" s="1200">
        <f t="shared" si="4"/>
        <v>0</v>
      </c>
      <c r="Q57" s="1200"/>
      <c r="R57" s="1200"/>
      <c r="S57" s="1200">
        <f t="shared" si="5"/>
        <v>0</v>
      </c>
      <c r="T57" s="1200"/>
      <c r="U57" s="1200"/>
      <c r="V57" s="1201"/>
    </row>
    <row r="58" spans="1:22">
      <c r="A58" s="1195"/>
      <c r="B58" s="1196"/>
      <c r="C58" s="1196"/>
      <c r="D58" s="1196"/>
      <c r="E58" s="1197">
        <f>IF(K58=0,0,(INDEX(AccountCodes[ACCOUNT NAME],MATCH(K58,AccountCodes[NGAS CODE],0))))</f>
        <v>0</v>
      </c>
      <c r="F58" s="1198"/>
      <c r="G58" s="1198"/>
      <c r="H58" s="1198"/>
      <c r="I58" s="1198"/>
      <c r="J58" s="1199"/>
      <c r="K58" s="857"/>
      <c r="L58" s="62">
        <f t="array" ref="L58">IF(K58=0,0,(INDEX(AccountCodes[PPSAS CODE],MATCH(K58,AccountCodes[NGAS CODE],0))))</f>
        <v>0</v>
      </c>
      <c r="M58" s="14"/>
      <c r="N58" s="89">
        <f t="array" ref="N58">SUM(IF((CkDJ[JEV Number]=TRIM($T$2))*(CkDJ[Account Code]=TRIM(K58)),CkDJ[Debit]))</f>
        <v>0</v>
      </c>
      <c r="O58" s="89">
        <f t="array" ref="O58">SUM(IF((CkDJ[JEV Number]=TRIM($T$2))*(CkDJ[Account Code]=TRIM(K58)),CkDJ[Credit]))</f>
        <v>0</v>
      </c>
      <c r="P58" s="1200">
        <f t="shared" si="4"/>
        <v>0</v>
      </c>
      <c r="Q58" s="1200"/>
      <c r="R58" s="1200"/>
      <c r="S58" s="1200">
        <f t="shared" si="5"/>
        <v>0</v>
      </c>
      <c r="T58" s="1200"/>
      <c r="U58" s="1200"/>
      <c r="V58" s="1201"/>
    </row>
    <row r="59" spans="1:22">
      <c r="A59" s="1195"/>
      <c r="B59" s="1196"/>
      <c r="C59" s="1196"/>
      <c r="D59" s="1196"/>
      <c r="E59" s="1197">
        <f>IF(K59=0,0,(INDEX(AccountCodes[ACCOUNT NAME],MATCH(K59,AccountCodes[NGAS CODE],0))))</f>
        <v>0</v>
      </c>
      <c r="F59" s="1198"/>
      <c r="G59" s="1198"/>
      <c r="H59" s="1198"/>
      <c r="I59" s="1198"/>
      <c r="J59" s="1199"/>
      <c r="K59" s="857"/>
      <c r="L59" s="62">
        <f t="array" ref="L59">IF(K59=0,0,(INDEX(AccountCodes[PPSAS CODE],MATCH(K59,AccountCodes[NGAS CODE],0))))</f>
        <v>0</v>
      </c>
      <c r="M59" s="14"/>
      <c r="N59" s="89">
        <f t="array" ref="N59">SUM(IF((CkDJ[JEV Number]=TRIM($T$2))*(CkDJ[Account Code]=TRIM(K59)),CkDJ[Debit]))</f>
        <v>0</v>
      </c>
      <c r="O59" s="89">
        <f t="array" ref="O59">SUM(IF((CkDJ[JEV Number]=TRIM($T$2))*(CkDJ[Account Code]=TRIM(K59)),CkDJ[Credit]))</f>
        <v>0</v>
      </c>
      <c r="P59" s="1200">
        <f t="shared" si="4"/>
        <v>0</v>
      </c>
      <c r="Q59" s="1200"/>
      <c r="R59" s="1200"/>
      <c r="S59" s="1200">
        <f t="shared" si="5"/>
        <v>0</v>
      </c>
      <c r="T59" s="1200"/>
      <c r="U59" s="1200"/>
      <c r="V59" s="1201"/>
    </row>
    <row r="60" spans="1:22">
      <c r="A60" s="1195"/>
      <c r="B60" s="1196"/>
      <c r="C60" s="1196"/>
      <c r="D60" s="1196"/>
      <c r="E60" s="1197">
        <f>IF(K60=0,0,(INDEX(AccountCodes[ACCOUNT NAME],MATCH(K60,AccountCodes[NGAS CODE],0))))</f>
        <v>0</v>
      </c>
      <c r="F60" s="1198"/>
      <c r="G60" s="1198"/>
      <c r="H60" s="1198"/>
      <c r="I60" s="1198"/>
      <c r="J60" s="1199"/>
      <c r="K60" s="857"/>
      <c r="L60" s="62">
        <f t="array" ref="L60">IF(K60=0,0,(INDEX(AccountCodes[PPSAS CODE],MATCH(K60,AccountCodes[NGAS CODE],0))))</f>
        <v>0</v>
      </c>
      <c r="M60" s="14"/>
      <c r="N60" s="89">
        <f t="array" ref="N60">SUM(IF((CkDJ[JEV Number]=TRIM($T$2))*(CkDJ[Account Code]=TRIM(K60)),CkDJ[Debit]))</f>
        <v>0</v>
      </c>
      <c r="O60" s="89">
        <f t="array" ref="O60">SUM(IF((CkDJ[JEV Number]=TRIM($T$2))*(CkDJ[Account Code]=TRIM(K60)),CkDJ[Credit]))</f>
        <v>0</v>
      </c>
      <c r="P60" s="1200">
        <f t="shared" si="4"/>
        <v>0</v>
      </c>
      <c r="Q60" s="1200"/>
      <c r="R60" s="1200"/>
      <c r="S60" s="1200">
        <f t="shared" si="5"/>
        <v>0</v>
      </c>
      <c r="T60" s="1200"/>
      <c r="U60" s="1200"/>
      <c r="V60" s="1201"/>
    </row>
    <row r="61" spans="1:22">
      <c r="A61" s="1195"/>
      <c r="B61" s="1196"/>
      <c r="C61" s="1196"/>
      <c r="D61" s="1196"/>
      <c r="E61" s="1197">
        <f>IF(K61=0,0,(INDEX(AccountCodes[ACCOUNT NAME],MATCH(K61,AccountCodes[NGAS CODE],0))))</f>
        <v>0</v>
      </c>
      <c r="F61" s="1198"/>
      <c r="G61" s="1198"/>
      <c r="H61" s="1198"/>
      <c r="I61" s="1198"/>
      <c r="J61" s="1199"/>
      <c r="K61" s="857"/>
      <c r="L61" s="62">
        <f t="array" ref="L61">IF(K61=0,0,(INDEX(AccountCodes[PPSAS CODE],MATCH(K61,AccountCodes[NGAS CODE],0))))</f>
        <v>0</v>
      </c>
      <c r="M61" s="14"/>
      <c r="N61" s="89">
        <f t="array" ref="N61">SUM(IF((CkDJ[JEV Number]=TRIM($T$2))*(CkDJ[Account Code]=TRIM(K61)),CkDJ[Debit]))</f>
        <v>0</v>
      </c>
      <c r="O61" s="89">
        <f t="array" ref="O61">SUM(IF((CkDJ[JEV Number]=TRIM($T$2))*(CkDJ[Account Code]=TRIM(K61)),CkDJ[Credit]))</f>
        <v>0</v>
      </c>
      <c r="P61" s="1200">
        <f t="shared" si="4"/>
        <v>0</v>
      </c>
      <c r="Q61" s="1200"/>
      <c r="R61" s="1200"/>
      <c r="S61" s="1200">
        <f t="shared" si="5"/>
        <v>0</v>
      </c>
      <c r="T61" s="1200"/>
      <c r="U61" s="1200"/>
      <c r="V61" s="1201"/>
    </row>
    <row r="62" spans="1:22">
      <c r="A62" s="1195"/>
      <c r="B62" s="1196"/>
      <c r="C62" s="1196"/>
      <c r="D62" s="1196"/>
      <c r="E62" s="1197">
        <f>IF(K62=0,0,(INDEX(AccountCodes[ACCOUNT NAME],MATCH(K62,AccountCodes[NGAS CODE],0))))</f>
        <v>0</v>
      </c>
      <c r="F62" s="1198"/>
      <c r="G62" s="1198"/>
      <c r="H62" s="1198"/>
      <c r="I62" s="1198"/>
      <c r="J62" s="1199"/>
      <c r="K62" s="857"/>
      <c r="L62" s="62">
        <f t="array" ref="L62">IF(K62=0,0,(INDEX(AccountCodes[PPSAS CODE],MATCH(K62,AccountCodes[NGAS CODE],0))))</f>
        <v>0</v>
      </c>
      <c r="M62" s="14"/>
      <c r="N62" s="89">
        <f t="array" ref="N62">SUM(IF((CkDJ[JEV Number]=TRIM($T$2))*(CkDJ[Account Code]=TRIM(K62)),CkDJ[Debit]))</f>
        <v>0</v>
      </c>
      <c r="O62" s="89">
        <f t="array" ref="O62">SUM(IF((CkDJ[JEV Number]=TRIM($T$2))*(CkDJ[Account Code]=TRIM(K62)),CkDJ[Credit]))</f>
        <v>0</v>
      </c>
      <c r="P62" s="1200">
        <f t="shared" si="4"/>
        <v>0</v>
      </c>
      <c r="Q62" s="1200"/>
      <c r="R62" s="1200"/>
      <c r="S62" s="1200">
        <f t="shared" si="5"/>
        <v>0</v>
      </c>
      <c r="T62" s="1200"/>
      <c r="U62" s="1200"/>
      <c r="V62" s="1201"/>
    </row>
    <row r="63" spans="1:22">
      <c r="A63" s="1195"/>
      <c r="B63" s="1196"/>
      <c r="C63" s="1196"/>
      <c r="D63" s="1196"/>
      <c r="E63" s="1197">
        <f>IF(K63=0,0,(INDEX(AccountCodes[ACCOUNT NAME],MATCH(K63,AccountCodes[NGAS CODE],0))))</f>
        <v>0</v>
      </c>
      <c r="F63" s="1198"/>
      <c r="G63" s="1198"/>
      <c r="H63" s="1198"/>
      <c r="I63" s="1198"/>
      <c r="J63" s="1199"/>
      <c r="K63" s="857"/>
      <c r="L63" s="62">
        <f t="array" ref="L63">IF(K63=0,0,(INDEX(AccountCodes[PPSAS CODE],MATCH(K63,AccountCodes[NGAS CODE],0))))</f>
        <v>0</v>
      </c>
      <c r="M63" s="14"/>
      <c r="N63" s="89">
        <f t="array" ref="N63">SUM(IF((CkDJ[JEV Number]=TRIM($T$2))*(CkDJ[Account Code]=TRIM(K63)),CkDJ[Debit]))</f>
        <v>0</v>
      </c>
      <c r="O63" s="89">
        <f t="array" ref="O63">SUM(IF((CkDJ[JEV Number]=TRIM($T$2))*(CkDJ[Account Code]=TRIM(K63)),CkDJ[Credit]))</f>
        <v>0</v>
      </c>
      <c r="P63" s="1200">
        <f t="shared" si="4"/>
        <v>0</v>
      </c>
      <c r="Q63" s="1200"/>
      <c r="R63" s="1200"/>
      <c r="S63" s="1200">
        <f t="shared" si="5"/>
        <v>0</v>
      </c>
      <c r="T63" s="1200"/>
      <c r="U63" s="1200"/>
      <c r="V63" s="1201"/>
    </row>
    <row r="64" spans="1:22">
      <c r="A64" s="1195"/>
      <c r="B64" s="1196"/>
      <c r="C64" s="1196"/>
      <c r="D64" s="1196"/>
      <c r="E64" s="1197">
        <f>IF(K64=0,0,(INDEX(AccountCodes[ACCOUNT NAME],MATCH(K64,AccountCodes[NGAS CODE],0))))</f>
        <v>0</v>
      </c>
      <c r="F64" s="1198"/>
      <c r="G64" s="1198"/>
      <c r="H64" s="1198"/>
      <c r="I64" s="1198"/>
      <c r="J64" s="1199"/>
      <c r="K64" s="857"/>
      <c r="L64" s="62">
        <f t="array" ref="L64">IF(K64=0,0,(INDEX(AccountCodes[PPSAS CODE],MATCH(K64,AccountCodes[NGAS CODE],0))))</f>
        <v>0</v>
      </c>
      <c r="M64" s="14"/>
      <c r="N64" s="89">
        <f t="array" ref="N64">SUM(IF((CkDJ[JEV Number]=TRIM($T$2))*(CkDJ[Account Code]=TRIM(K64)),CkDJ[Debit]))</f>
        <v>0</v>
      </c>
      <c r="O64" s="89">
        <f t="array" ref="O64">SUM(IF((CkDJ[JEV Number]=TRIM($T$2))*(CkDJ[Account Code]=TRIM(K64)),CkDJ[Credit]))</f>
        <v>0</v>
      </c>
      <c r="P64" s="1200">
        <f t="shared" si="4"/>
        <v>0</v>
      </c>
      <c r="Q64" s="1200"/>
      <c r="R64" s="1200"/>
      <c r="S64" s="1200">
        <f t="shared" si="5"/>
        <v>0</v>
      </c>
      <c r="T64" s="1200"/>
      <c r="U64" s="1200"/>
      <c r="V64" s="1201"/>
    </row>
    <row r="65" spans="1:22">
      <c r="A65" s="1195"/>
      <c r="B65" s="1196"/>
      <c r="C65" s="1196"/>
      <c r="D65" s="1196"/>
      <c r="E65" s="1197">
        <f>IF(K65=0,0,(INDEX(AccountCodes[ACCOUNT NAME],MATCH(K65,AccountCodes[NGAS CODE],0))))</f>
        <v>0</v>
      </c>
      <c r="F65" s="1198"/>
      <c r="G65" s="1198"/>
      <c r="H65" s="1198"/>
      <c r="I65" s="1198"/>
      <c r="J65" s="1199"/>
      <c r="K65" s="857"/>
      <c r="L65" s="62">
        <f t="array" ref="L65">IF(K65=0,0,(INDEX(AccountCodes[PPSAS CODE],MATCH(K65,AccountCodes[NGAS CODE],0))))</f>
        <v>0</v>
      </c>
      <c r="M65" s="14"/>
      <c r="N65" s="89">
        <f t="array" ref="N65">SUM(IF((CkDJ[JEV Number]=TRIM($T$2))*(CkDJ[Account Code]=TRIM(K65)),CkDJ[Debit]))</f>
        <v>0</v>
      </c>
      <c r="O65" s="89">
        <f t="array" ref="O65">SUM(IF((CkDJ[JEV Number]=TRIM($T$2))*(CkDJ[Account Code]=TRIM(K65)),CkDJ[Credit]))</f>
        <v>0</v>
      </c>
      <c r="P65" s="1200">
        <f t="shared" si="4"/>
        <v>0</v>
      </c>
      <c r="Q65" s="1200"/>
      <c r="R65" s="1200"/>
      <c r="S65" s="1200">
        <f t="shared" si="5"/>
        <v>0</v>
      </c>
      <c r="T65" s="1200"/>
      <c r="U65" s="1200"/>
      <c r="V65" s="1201"/>
    </row>
    <row r="66" spans="1:22">
      <c r="A66" s="1195"/>
      <c r="B66" s="1196"/>
      <c r="C66" s="1196"/>
      <c r="D66" s="1196"/>
      <c r="E66" s="1197">
        <f>IF(K66=0,0,(INDEX(AccountCodes[ACCOUNT NAME],MATCH(K66,AccountCodes[NGAS CODE],0))))</f>
        <v>0</v>
      </c>
      <c r="F66" s="1198"/>
      <c r="G66" s="1198"/>
      <c r="H66" s="1198"/>
      <c r="I66" s="1198"/>
      <c r="J66" s="1199"/>
      <c r="K66" s="857"/>
      <c r="L66" s="62">
        <f t="array" ref="L66">IF(K66=0,0,(INDEX(AccountCodes[PPSAS CODE],MATCH(K66,AccountCodes[NGAS CODE],0))))</f>
        <v>0</v>
      </c>
      <c r="M66" s="14"/>
      <c r="N66" s="89">
        <f t="array" ref="N66">SUM(IF((CkDJ[JEV Number]=TRIM($T$2))*(CkDJ[Account Code]=TRIM(K66)),CkDJ[Debit]))</f>
        <v>0</v>
      </c>
      <c r="O66" s="89">
        <f t="array" ref="O66">SUM(IF((CkDJ[JEV Number]=TRIM($T$2))*(CkDJ[Account Code]=TRIM(K66)),CkDJ[Credit]))</f>
        <v>0</v>
      </c>
      <c r="P66" s="1200">
        <f t="shared" si="4"/>
        <v>0</v>
      </c>
      <c r="Q66" s="1200"/>
      <c r="R66" s="1200"/>
      <c r="S66" s="1200">
        <f t="shared" si="5"/>
        <v>0</v>
      </c>
      <c r="T66" s="1200"/>
      <c r="U66" s="1200"/>
      <c r="V66" s="1201"/>
    </row>
    <row r="67" spans="1:22">
      <c r="A67" s="1195"/>
      <c r="B67" s="1196"/>
      <c r="C67" s="1196"/>
      <c r="D67" s="1196"/>
      <c r="E67" s="1197">
        <f>IF(K67=0,0,(INDEX(AccountCodes[ACCOUNT NAME],MATCH(K67,AccountCodes[NGAS CODE],0))))</f>
        <v>0</v>
      </c>
      <c r="F67" s="1198"/>
      <c r="G67" s="1198"/>
      <c r="H67" s="1198"/>
      <c r="I67" s="1198"/>
      <c r="J67" s="1199"/>
      <c r="K67" s="857"/>
      <c r="L67" s="62">
        <f t="array" ref="L67">IF(K67=0,0,(INDEX(AccountCodes[PPSAS CODE],MATCH(K67,AccountCodes[NGAS CODE],0))))</f>
        <v>0</v>
      </c>
      <c r="M67" s="14"/>
      <c r="N67" s="89">
        <f t="array" ref="N67">SUM(IF((CkDJ[JEV Number]=TRIM($T$2))*(CkDJ[Account Code]=TRIM(K67)),CkDJ[Debit]))</f>
        <v>0</v>
      </c>
      <c r="O67" s="89">
        <f t="array" ref="O67">SUM(IF((CkDJ[JEV Number]=TRIM($T$2))*(CkDJ[Account Code]=TRIM(K67)),CkDJ[Credit]))</f>
        <v>0</v>
      </c>
      <c r="P67" s="1200">
        <f t="shared" si="4"/>
        <v>0</v>
      </c>
      <c r="Q67" s="1200"/>
      <c r="R67" s="1200"/>
      <c r="S67" s="1200">
        <f t="shared" si="5"/>
        <v>0</v>
      </c>
      <c r="T67" s="1200"/>
      <c r="U67" s="1200"/>
      <c r="V67" s="1201"/>
    </row>
    <row r="68" spans="1:22">
      <c r="A68" s="1195"/>
      <c r="B68" s="1196"/>
      <c r="C68" s="1196"/>
      <c r="D68" s="1196"/>
      <c r="E68" s="1197">
        <f>IF(K68=0,0,(INDEX(AccountCodes[ACCOUNT NAME],MATCH(K68,AccountCodes[NGAS CODE],0))))</f>
        <v>0</v>
      </c>
      <c r="F68" s="1198"/>
      <c r="G68" s="1198"/>
      <c r="H68" s="1198"/>
      <c r="I68" s="1198"/>
      <c r="J68" s="1199"/>
      <c r="K68" s="857"/>
      <c r="L68" s="62">
        <f t="array" ref="L68">IF(K68=0,0,(INDEX(AccountCodes[PPSAS CODE],MATCH(K68,AccountCodes[NGAS CODE],0))))</f>
        <v>0</v>
      </c>
      <c r="M68" s="14"/>
      <c r="N68" s="89">
        <f t="array" ref="N68">SUM(IF((CkDJ[JEV Number]=TRIM($T$2))*(CkDJ[Account Code]=TRIM(K68)),CkDJ[Debit]))</f>
        <v>0</v>
      </c>
      <c r="O68" s="89">
        <f t="array" ref="O68">SUM(IF((CkDJ[JEV Number]=TRIM($T$2))*(CkDJ[Account Code]=TRIM(K68)),CkDJ[Credit]))</f>
        <v>0</v>
      </c>
      <c r="P68" s="1200">
        <f t="shared" si="4"/>
        <v>0</v>
      </c>
      <c r="Q68" s="1200"/>
      <c r="R68" s="1200"/>
      <c r="S68" s="1200">
        <f t="shared" si="5"/>
        <v>0</v>
      </c>
      <c r="T68" s="1200"/>
      <c r="U68" s="1200"/>
      <c r="V68" s="1201"/>
    </row>
    <row r="69" spans="1:22">
      <c r="A69" s="1195"/>
      <c r="B69" s="1196"/>
      <c r="C69" s="1196"/>
      <c r="D69" s="1196"/>
      <c r="E69" s="1257" t="s">
        <v>456</v>
      </c>
      <c r="F69" s="1258"/>
      <c r="G69" s="1258"/>
      <c r="H69" s="1258"/>
      <c r="I69" s="1258"/>
      <c r="J69" s="1259"/>
      <c r="K69" s="133"/>
      <c r="L69" s="62"/>
      <c r="M69" s="14"/>
      <c r="N69" s="89"/>
      <c r="O69" s="89"/>
      <c r="P69" s="1200"/>
      <c r="Q69" s="1200"/>
      <c r="R69" s="1200"/>
      <c r="S69" s="1200" t="s">
        <v>1594</v>
      </c>
      <c r="T69" s="1200"/>
      <c r="U69" s="1200"/>
      <c r="V69" s="1201"/>
    </row>
    <row r="70" spans="1:22">
      <c r="A70" s="1195"/>
      <c r="B70" s="1196"/>
      <c r="C70" s="1196"/>
      <c r="D70" s="1196"/>
      <c r="E70" s="1202" t="s">
        <v>457</v>
      </c>
      <c r="F70" s="1203"/>
      <c r="G70" s="1203"/>
      <c r="H70" s="1203"/>
      <c r="I70" s="1207">
        <f>T3</f>
        <v>45199</v>
      </c>
      <c r="J70" s="1208"/>
      <c r="K70" s="133"/>
      <c r="L70" s="62"/>
      <c r="M70" s="14"/>
      <c r="N70" s="89"/>
      <c r="O70" s="89"/>
      <c r="P70" s="1200"/>
      <c r="Q70" s="1200"/>
      <c r="R70" s="1200"/>
      <c r="S70" s="1200"/>
      <c r="T70" s="1200"/>
      <c r="U70" s="1200"/>
      <c r="V70" s="1201"/>
    </row>
    <row r="71" spans="1:22">
      <c r="A71" s="1195"/>
      <c r="B71" s="1196"/>
      <c r="C71" s="1196"/>
      <c r="D71" s="1196"/>
      <c r="E71" s="1202" t="s">
        <v>458</v>
      </c>
      <c r="F71" s="1203"/>
      <c r="G71" s="1203"/>
      <c r="H71" s="1203"/>
      <c r="I71" s="1263" t="str">
        <f>Account!F10</f>
        <v>Francis Carlo L. Zacarias</v>
      </c>
      <c r="J71" s="1264"/>
      <c r="K71" s="133"/>
      <c r="L71" s="62"/>
      <c r="M71" s="14"/>
      <c r="N71" s="89"/>
      <c r="O71" s="89"/>
      <c r="P71" s="1200"/>
      <c r="Q71" s="1200"/>
      <c r="R71" s="1200"/>
      <c r="S71" s="1200"/>
      <c r="T71" s="1200"/>
      <c r="U71" s="1200"/>
      <c r="V71" s="1201"/>
    </row>
    <row r="72" spans="1:22">
      <c r="A72" s="1195"/>
      <c r="B72" s="1196"/>
      <c r="C72" s="1196"/>
      <c r="D72" s="1196"/>
      <c r="E72" s="1202" t="s">
        <v>459</v>
      </c>
      <c r="F72" s="1203"/>
      <c r="G72" s="1203"/>
      <c r="H72" s="1203"/>
      <c r="I72" s="1204" t="str">
        <f>Account!G10</f>
        <v>Pangasinan IMO</v>
      </c>
      <c r="J72" s="1205"/>
      <c r="K72" s="133"/>
      <c r="L72" s="62"/>
      <c r="M72" s="14"/>
      <c r="N72" s="89"/>
      <c r="O72" s="89"/>
      <c r="P72" s="1200"/>
      <c r="Q72" s="1200"/>
      <c r="R72" s="1200"/>
      <c r="S72" s="1200"/>
      <c r="T72" s="1200"/>
      <c r="U72" s="1200"/>
      <c r="V72" s="1201"/>
    </row>
    <row r="73" spans="1:22">
      <c r="A73" s="1195"/>
      <c r="B73" s="1196"/>
      <c r="C73" s="1196"/>
      <c r="D73" s="1196"/>
      <c r="E73" s="1202"/>
      <c r="F73" s="1203"/>
      <c r="G73" s="1203"/>
      <c r="H73" s="1203"/>
      <c r="I73" s="1203"/>
      <c r="J73" s="1206"/>
      <c r="K73" s="133"/>
      <c r="L73" s="62"/>
      <c r="M73" s="14"/>
      <c r="N73" s="89"/>
      <c r="O73" s="89"/>
      <c r="P73" s="1200"/>
      <c r="Q73" s="1200"/>
      <c r="R73" s="1200"/>
      <c r="S73" s="1200"/>
      <c r="T73" s="1200"/>
      <c r="U73" s="1200"/>
      <c r="V73" s="1201"/>
    </row>
    <row r="74" spans="1:22" ht="16.5" thickBot="1">
      <c r="A74" s="1188"/>
      <c r="B74" s="1189"/>
      <c r="C74" s="1189"/>
      <c r="D74" s="1189"/>
      <c r="E74" s="1189"/>
      <c r="F74" s="1189"/>
      <c r="G74" s="1189"/>
      <c r="H74" s="1189"/>
      <c r="I74" s="1189"/>
      <c r="J74" s="1189"/>
      <c r="K74" s="1189"/>
      <c r="L74" s="1189"/>
      <c r="M74" s="1190"/>
      <c r="N74" s="88"/>
      <c r="O74" s="88"/>
      <c r="P74" s="1191">
        <f>SUM(P11:R73)</f>
        <v>0</v>
      </c>
      <c r="Q74" s="1191"/>
      <c r="R74" s="1191"/>
      <c r="S74" s="1191">
        <f>SUM(S11:V73)</f>
        <v>0</v>
      </c>
      <c r="T74" s="1191"/>
      <c r="U74" s="1191"/>
      <c r="V74" s="1192"/>
    </row>
    <row r="75" spans="1:22">
      <c r="A75" s="63"/>
      <c r="B75" s="64"/>
      <c r="C75" s="64"/>
      <c r="D75" s="64"/>
      <c r="E75" s="64"/>
      <c r="F75" s="64"/>
      <c r="G75" s="64"/>
      <c r="H75" s="64"/>
      <c r="I75" s="65"/>
      <c r="J75" s="64"/>
      <c r="K75" s="66"/>
      <c r="L75" s="64"/>
      <c r="M75" s="65"/>
      <c r="N75" s="64"/>
      <c r="O75" s="64"/>
      <c r="P75" s="1193"/>
      <c r="Q75" s="1193"/>
      <c r="R75" s="1193"/>
      <c r="S75" s="1193"/>
      <c r="T75" s="1193"/>
      <c r="U75" s="1193"/>
      <c r="V75" s="1194"/>
    </row>
    <row r="76" spans="1:22">
      <c r="A76" s="67" t="s">
        <v>460</v>
      </c>
      <c r="B76"/>
      <c r="C76"/>
      <c r="D76"/>
      <c r="E76"/>
      <c r="F76"/>
      <c r="G76"/>
      <c r="H76"/>
      <c r="I76" s="930" t="s">
        <v>353</v>
      </c>
      <c r="J76" s="50"/>
      <c r="K76" s="50"/>
      <c r="L76" s="25"/>
      <c r="M76" s="68" t="s">
        <v>461</v>
      </c>
      <c r="N76" s="69"/>
      <c r="O76" s="69"/>
      <c r="P76" s="70"/>
      <c r="Q76" s="70"/>
      <c r="R76" s="70"/>
      <c r="S76" s="70"/>
      <c r="T76" s="70"/>
      <c r="U76" s="70"/>
      <c r="V76" s="71"/>
    </row>
    <row r="77" spans="1:22">
      <c r="A77" s="37"/>
      <c r="B77"/>
      <c r="C77"/>
      <c r="D77"/>
      <c r="E77"/>
      <c r="F77"/>
      <c r="G77"/>
      <c r="H77"/>
      <c r="I77" s="931"/>
      <c r="L77" s="25"/>
      <c r="M77" s="72"/>
      <c r="N77"/>
      <c r="O77"/>
      <c r="P77"/>
      <c r="Q77"/>
      <c r="R77"/>
      <c r="S77"/>
      <c r="T77"/>
      <c r="U77"/>
      <c r="V77" s="73"/>
    </row>
    <row r="78" spans="1:22">
      <c r="A78" s="1260" t="s">
        <v>1637</v>
      </c>
      <c r="B78" s="1261"/>
      <c r="C78" s="1261"/>
      <c r="D78" s="1261"/>
      <c r="E78" s="1261"/>
      <c r="F78" s="1261"/>
      <c r="G78" s="1261"/>
      <c r="H78" s="1262"/>
      <c r="I78" s="77" t="s">
        <v>1884</v>
      </c>
      <c r="J78" s="75"/>
      <c r="K78" s="75"/>
      <c r="L78" s="932"/>
      <c r="M78" s="77" t="s">
        <v>1591</v>
      </c>
      <c r="N78" s="75"/>
      <c r="O78" s="75"/>
      <c r="P78" s="75"/>
      <c r="Q78" s="75"/>
      <c r="R78" s="75"/>
      <c r="S78" s="75"/>
      <c r="T78" s="75"/>
      <c r="U78" s="75"/>
      <c r="V78" s="78"/>
    </row>
    <row r="79" spans="1:22">
      <c r="A79" s="79" t="s">
        <v>1638</v>
      </c>
      <c r="B79" s="80"/>
      <c r="C79" s="80"/>
      <c r="D79" s="80"/>
      <c r="E79" s="80"/>
      <c r="F79" s="80"/>
      <c r="G79" s="80"/>
      <c r="H79" s="80"/>
      <c r="I79" s="81" t="s">
        <v>381</v>
      </c>
      <c r="J79" s="80"/>
      <c r="K79" s="80"/>
      <c r="L79" s="80"/>
      <c r="M79" s="81" t="s">
        <v>464</v>
      </c>
      <c r="N79" s="80"/>
      <c r="O79" s="80"/>
      <c r="P79" s="82"/>
      <c r="Q79" s="82"/>
      <c r="R79" s="82"/>
      <c r="S79" s="82"/>
      <c r="T79" s="82"/>
      <c r="U79" s="82"/>
      <c r="V79" s="83"/>
    </row>
    <row r="80" spans="1:22" ht="16.5" thickBot="1">
      <c r="A80" s="84"/>
      <c r="B80" s="43"/>
      <c r="C80" s="43"/>
      <c r="D80" s="43"/>
      <c r="E80" s="43"/>
      <c r="F80" s="43"/>
      <c r="G80" s="43"/>
      <c r="H80" s="43"/>
      <c r="I80" s="85"/>
      <c r="J80" s="43"/>
      <c r="K80" s="43"/>
      <c r="L80" s="43"/>
      <c r="M80" s="85"/>
      <c r="N80" s="43"/>
      <c r="O80" s="43"/>
      <c r="P80" s="43"/>
      <c r="Q80" s="43"/>
      <c r="R80" s="43"/>
      <c r="S80" s="43"/>
      <c r="T80" s="43"/>
      <c r="U80" s="43"/>
      <c r="V80" s="44"/>
    </row>
    <row r="83" spans="1:1">
      <c r="A83" s="1016" t="s">
        <v>2143</v>
      </c>
    </row>
  </sheetData>
  <mergeCells count="274">
    <mergeCell ref="A68:D68"/>
    <mergeCell ref="E68:J68"/>
    <mergeCell ref="P68:R68"/>
    <mergeCell ref="S68:V68"/>
    <mergeCell ref="A65:D65"/>
    <mergeCell ref="E65:J65"/>
    <mergeCell ref="P65:R65"/>
    <mergeCell ref="S65:V65"/>
    <mergeCell ref="A66:D66"/>
    <mergeCell ref="E66:J66"/>
    <mergeCell ref="P66:R66"/>
    <mergeCell ref="S66:V66"/>
    <mergeCell ref="A67:D67"/>
    <mergeCell ref="E67:J67"/>
    <mergeCell ref="P67:R67"/>
    <mergeCell ref="S67:V67"/>
    <mergeCell ref="A62:D62"/>
    <mergeCell ref="E62:J62"/>
    <mergeCell ref="P62:R62"/>
    <mergeCell ref="S62:V62"/>
    <mergeCell ref="A63:D63"/>
    <mergeCell ref="E63:J63"/>
    <mergeCell ref="P63:R63"/>
    <mergeCell ref="S63:V63"/>
    <mergeCell ref="A64:D64"/>
    <mergeCell ref="E64:J64"/>
    <mergeCell ref="P64:R64"/>
    <mergeCell ref="S64:V64"/>
    <mergeCell ref="A59:D59"/>
    <mergeCell ref="E59:J59"/>
    <mergeCell ref="P59:R59"/>
    <mergeCell ref="S59:V59"/>
    <mergeCell ref="A60:D60"/>
    <mergeCell ref="E60:J60"/>
    <mergeCell ref="P60:R60"/>
    <mergeCell ref="S60:V60"/>
    <mergeCell ref="A61:D61"/>
    <mergeCell ref="E61:J61"/>
    <mergeCell ref="P61:R61"/>
    <mergeCell ref="S61:V61"/>
    <mergeCell ref="A56:D56"/>
    <mergeCell ref="E56:J56"/>
    <mergeCell ref="P56:R56"/>
    <mergeCell ref="S56:V56"/>
    <mergeCell ref="A57:D57"/>
    <mergeCell ref="E57:J57"/>
    <mergeCell ref="P57:R57"/>
    <mergeCell ref="S57:V57"/>
    <mergeCell ref="A58:D58"/>
    <mergeCell ref="E58:J58"/>
    <mergeCell ref="P58:R58"/>
    <mergeCell ref="S58:V58"/>
    <mergeCell ref="A78:H78"/>
    <mergeCell ref="A54:D54"/>
    <mergeCell ref="E54:J54"/>
    <mergeCell ref="P54:R54"/>
    <mergeCell ref="S54:V54"/>
    <mergeCell ref="A55:D55"/>
    <mergeCell ref="E55:J55"/>
    <mergeCell ref="P55:R55"/>
    <mergeCell ref="S55:V55"/>
    <mergeCell ref="P75:R75"/>
    <mergeCell ref="S75:V75"/>
    <mergeCell ref="A73:D73"/>
    <mergeCell ref="E73:J73"/>
    <mergeCell ref="P73:R73"/>
    <mergeCell ref="S73:V73"/>
    <mergeCell ref="A74:M74"/>
    <mergeCell ref="P74:R74"/>
    <mergeCell ref="S74:V74"/>
    <mergeCell ref="A71:D71"/>
    <mergeCell ref="E71:H71"/>
    <mergeCell ref="I71:J71"/>
    <mergeCell ref="P71:R71"/>
    <mergeCell ref="S71:V71"/>
    <mergeCell ref="A72:D72"/>
    <mergeCell ref="A51:D51"/>
    <mergeCell ref="E51:J51"/>
    <mergeCell ref="P51:R51"/>
    <mergeCell ref="S51:V51"/>
    <mergeCell ref="A52:D52"/>
    <mergeCell ref="E52:J52"/>
    <mergeCell ref="P52:R52"/>
    <mergeCell ref="S52:V52"/>
    <mergeCell ref="A53:D53"/>
    <mergeCell ref="E53:J53"/>
    <mergeCell ref="P53:R53"/>
    <mergeCell ref="S53:V53"/>
    <mergeCell ref="A48:D48"/>
    <mergeCell ref="E48:J48"/>
    <mergeCell ref="P48:R48"/>
    <mergeCell ref="S48:V48"/>
    <mergeCell ref="A49:D49"/>
    <mergeCell ref="E49:J49"/>
    <mergeCell ref="P49:R49"/>
    <mergeCell ref="S49:V49"/>
    <mergeCell ref="A50:D50"/>
    <mergeCell ref="E50:J50"/>
    <mergeCell ref="P50:R50"/>
    <mergeCell ref="S50:V50"/>
    <mergeCell ref="A45:D45"/>
    <mergeCell ref="E45:J45"/>
    <mergeCell ref="P45:R45"/>
    <mergeCell ref="S45:V45"/>
    <mergeCell ref="A46:D46"/>
    <mergeCell ref="E46:J46"/>
    <mergeCell ref="P46:R46"/>
    <mergeCell ref="S46:V46"/>
    <mergeCell ref="A47:D47"/>
    <mergeCell ref="E47:J47"/>
    <mergeCell ref="P47:R47"/>
    <mergeCell ref="S47:V47"/>
    <mergeCell ref="A42:D42"/>
    <mergeCell ref="E42:J42"/>
    <mergeCell ref="P42:R42"/>
    <mergeCell ref="S42:V42"/>
    <mergeCell ref="A43:D43"/>
    <mergeCell ref="E43:J43"/>
    <mergeCell ref="P43:R43"/>
    <mergeCell ref="S43:V43"/>
    <mergeCell ref="A44:D44"/>
    <mergeCell ref="E44:J44"/>
    <mergeCell ref="P44:R44"/>
    <mergeCell ref="S44:V44"/>
    <mergeCell ref="A39:D39"/>
    <mergeCell ref="E39:J39"/>
    <mergeCell ref="P39:R39"/>
    <mergeCell ref="S39:V39"/>
    <mergeCell ref="A40:D40"/>
    <mergeCell ref="E40:J40"/>
    <mergeCell ref="P40:R40"/>
    <mergeCell ref="S40:V40"/>
    <mergeCell ref="A41:D41"/>
    <mergeCell ref="E41:J41"/>
    <mergeCell ref="P41:R41"/>
    <mergeCell ref="S41:V41"/>
    <mergeCell ref="A36:D36"/>
    <mergeCell ref="E36:J36"/>
    <mergeCell ref="P36:R36"/>
    <mergeCell ref="S36:V36"/>
    <mergeCell ref="A37:D37"/>
    <mergeCell ref="E37:J37"/>
    <mergeCell ref="P37:R37"/>
    <mergeCell ref="S37:V37"/>
    <mergeCell ref="A38:D38"/>
    <mergeCell ref="E38:J38"/>
    <mergeCell ref="P38:R38"/>
    <mergeCell ref="S38:V38"/>
    <mergeCell ref="E72:H72"/>
    <mergeCell ref="I72:J72"/>
    <mergeCell ref="P72:R72"/>
    <mergeCell ref="S72:V72"/>
    <mergeCell ref="A69:D69"/>
    <mergeCell ref="E69:J69"/>
    <mergeCell ref="P69:R69"/>
    <mergeCell ref="S69:V69"/>
    <mergeCell ref="A70:D70"/>
    <mergeCell ref="E70:H70"/>
    <mergeCell ref="I70:J70"/>
    <mergeCell ref="P70:R70"/>
    <mergeCell ref="S70:V70"/>
    <mergeCell ref="A34:D34"/>
    <mergeCell ref="E34:J34"/>
    <mergeCell ref="P34:R34"/>
    <mergeCell ref="S34:V34"/>
    <mergeCell ref="A35:D35"/>
    <mergeCell ref="E35:J35"/>
    <mergeCell ref="P35:R35"/>
    <mergeCell ref="S35:V35"/>
    <mergeCell ref="A32:D32"/>
    <mergeCell ref="E32:J32"/>
    <mergeCell ref="P32:R32"/>
    <mergeCell ref="S32:V32"/>
    <mergeCell ref="A33:D33"/>
    <mergeCell ref="E33:J33"/>
    <mergeCell ref="P33:R33"/>
    <mergeCell ref="S33:V33"/>
    <mergeCell ref="A30:D30"/>
    <mergeCell ref="E30:J30"/>
    <mergeCell ref="P30:R30"/>
    <mergeCell ref="S30:V30"/>
    <mergeCell ref="A31:D31"/>
    <mergeCell ref="E31:J31"/>
    <mergeCell ref="P31:R31"/>
    <mergeCell ref="S31:V31"/>
    <mergeCell ref="A28:D28"/>
    <mergeCell ref="E28:J28"/>
    <mergeCell ref="P28:R28"/>
    <mergeCell ref="S28:V28"/>
    <mergeCell ref="A29:D29"/>
    <mergeCell ref="E29:J29"/>
    <mergeCell ref="P29:R29"/>
    <mergeCell ref="S29:V29"/>
    <mergeCell ref="A26:D26"/>
    <mergeCell ref="E26:J26"/>
    <mergeCell ref="P26:R26"/>
    <mergeCell ref="S26:V26"/>
    <mergeCell ref="A27:D27"/>
    <mergeCell ref="E27:J27"/>
    <mergeCell ref="P27:R27"/>
    <mergeCell ref="S27:V27"/>
    <mergeCell ref="A24:D24"/>
    <mergeCell ref="E24:J24"/>
    <mergeCell ref="P24:R24"/>
    <mergeCell ref="S24:V24"/>
    <mergeCell ref="A25:D25"/>
    <mergeCell ref="E25:J25"/>
    <mergeCell ref="P25:R25"/>
    <mergeCell ref="S25:V25"/>
    <mergeCell ref="A22:D22"/>
    <mergeCell ref="E22:J22"/>
    <mergeCell ref="P22:R22"/>
    <mergeCell ref="S22:V22"/>
    <mergeCell ref="A23:D23"/>
    <mergeCell ref="E23:J23"/>
    <mergeCell ref="P23:R23"/>
    <mergeCell ref="S23:V23"/>
    <mergeCell ref="S11:V11"/>
    <mergeCell ref="A20:D20"/>
    <mergeCell ref="E20:J20"/>
    <mergeCell ref="P20:R20"/>
    <mergeCell ref="S20:V20"/>
    <mergeCell ref="A21:D21"/>
    <mergeCell ref="E21:J21"/>
    <mergeCell ref="P21:R21"/>
    <mergeCell ref="S21:V21"/>
    <mergeCell ref="A18:D18"/>
    <mergeCell ref="E18:J18"/>
    <mergeCell ref="P18:R18"/>
    <mergeCell ref="S18:V18"/>
    <mergeCell ref="A19:D19"/>
    <mergeCell ref="E19:J19"/>
    <mergeCell ref="P19:R19"/>
    <mergeCell ref="S19:V19"/>
    <mergeCell ref="A16:D16"/>
    <mergeCell ref="E16:J16"/>
    <mergeCell ref="P16:R16"/>
    <mergeCell ref="S16:V16"/>
    <mergeCell ref="A17:D17"/>
    <mergeCell ref="E17:J17"/>
    <mergeCell ref="P17:R17"/>
    <mergeCell ref="S17:V17"/>
    <mergeCell ref="R1:V1"/>
    <mergeCell ref="T2:V2"/>
    <mergeCell ref="T3:V3"/>
    <mergeCell ref="B6:C6"/>
    <mergeCell ref="Q6:R6"/>
    <mergeCell ref="A8:D10"/>
    <mergeCell ref="E8:V8"/>
    <mergeCell ref="E9:J10"/>
    <mergeCell ref="K9:L9"/>
    <mergeCell ref="M9:M10"/>
    <mergeCell ref="N9:V9"/>
    <mergeCell ref="P10:R10"/>
    <mergeCell ref="S10:V10"/>
    <mergeCell ref="A11:D11"/>
    <mergeCell ref="E11:J11"/>
    <mergeCell ref="P11:R11"/>
    <mergeCell ref="A14:D14"/>
    <mergeCell ref="E14:J14"/>
    <mergeCell ref="P14:R14"/>
    <mergeCell ref="S14:V14"/>
    <mergeCell ref="A15:D15"/>
    <mergeCell ref="E15:J15"/>
    <mergeCell ref="P15:R15"/>
    <mergeCell ref="S15:V15"/>
    <mergeCell ref="A12:D12"/>
    <mergeCell ref="E12:J12"/>
    <mergeCell ref="P12:R12"/>
    <mergeCell ref="S12:V12"/>
    <mergeCell ref="A13:D13"/>
    <mergeCell ref="E13:J13"/>
    <mergeCell ref="P13:R13"/>
    <mergeCell ref="S13:V13"/>
  </mergeCells>
  <printOptions horizontalCentered="1"/>
  <pageMargins left="0.25" right="0.25" top="0.75" bottom="1.5" header="0.3" footer="0.3"/>
  <pageSetup paperSize="5" scale="74" orientation="portrait" horizontalDpi="360" verticalDpi="360" r:id="rId1"/>
  <headerFooter>
    <oddFooter>&amp;L&amp;"Cambria,Italic"NIA-PIMO-AFS-FIN-INT-Form05 Rev.01</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R243"/>
  <sheetViews>
    <sheetView topLeftCell="A225" zoomScale="70" zoomScaleNormal="70" workbookViewId="0">
      <selection activeCell="N245" sqref="N245"/>
    </sheetView>
  </sheetViews>
  <sheetFormatPr defaultColWidth="9" defaultRowHeight="15.75"/>
  <cols>
    <col min="1" max="1" width="11.875" style="526" customWidth="1"/>
    <col min="2" max="2" width="10.625" style="527" bestFit="1" customWidth="1"/>
    <col min="3" max="3" width="10.625" style="526" hidden="1" customWidth="1"/>
    <col min="4" max="6" width="9" style="526"/>
    <col min="7" max="7" width="22" style="90" customWidth="1"/>
    <col min="8" max="8" width="13.5" style="90" customWidth="1"/>
    <col min="9" max="9" width="14.875" style="90" customWidth="1"/>
    <col min="10" max="10" width="12.875" style="529" customWidth="1"/>
    <col min="11" max="11" width="14.625" style="90" customWidth="1"/>
    <col min="12" max="12" width="15.125" style="90" customWidth="1"/>
    <col min="13" max="15" width="12.625" style="90" customWidth="1"/>
    <col min="16" max="16" width="12.875" style="527" bestFit="1" customWidth="1"/>
    <col min="17" max="17" width="14.625" style="90" customWidth="1"/>
    <col min="18" max="18" width="20.125" style="90" bestFit="1" customWidth="1"/>
    <col min="19" max="20" width="9" style="90"/>
    <col min="21" max="21" width="12.25" style="90" bestFit="1" customWidth="1"/>
    <col min="22" max="16384" width="9" style="90"/>
  </cols>
  <sheetData>
    <row r="1" spans="1:18" ht="32.25">
      <c r="A1" s="736" t="s">
        <v>470</v>
      </c>
      <c r="G1" s="1265" t="s">
        <v>355</v>
      </c>
      <c r="H1" s="1265"/>
      <c r="I1" s="1265"/>
      <c r="J1" s="1265"/>
      <c r="K1" s="1265"/>
      <c r="L1" s="1265"/>
      <c r="M1" s="1265"/>
      <c r="N1" s="1265"/>
      <c r="O1" s="1265"/>
      <c r="Q1" s="90" t="s">
        <v>495</v>
      </c>
    </row>
    <row r="2" spans="1:18" ht="17.25">
      <c r="A2" s="736" t="s">
        <v>472</v>
      </c>
      <c r="G2" s="1266" t="s">
        <v>1538</v>
      </c>
      <c r="H2" s="1266"/>
      <c r="I2" s="1266"/>
      <c r="J2" s="1266"/>
      <c r="K2" s="1266"/>
      <c r="L2" s="1266"/>
      <c r="M2" s="1266"/>
      <c r="N2" s="1266"/>
      <c r="O2" s="1266"/>
    </row>
    <row r="3" spans="1:18">
      <c r="A3" s="736"/>
      <c r="G3" s="1267" t="s">
        <v>471</v>
      </c>
      <c r="H3" s="1267"/>
      <c r="I3" s="1267"/>
      <c r="J3" s="1267"/>
      <c r="K3" s="1267"/>
      <c r="L3" s="1267"/>
      <c r="M3" s="1267"/>
      <c r="N3" s="1267"/>
      <c r="O3" s="1267"/>
    </row>
    <row r="4" spans="1:18">
      <c r="A4" s="736"/>
      <c r="G4" s="1267"/>
      <c r="H4" s="1267"/>
      <c r="I4" s="1267"/>
      <c r="J4" s="1267"/>
      <c r="K4" s="1267"/>
      <c r="L4" s="1267"/>
      <c r="M4" s="1267"/>
      <c r="N4" s="1267"/>
      <c r="O4" s="1267"/>
    </row>
    <row r="5" spans="1:18" ht="17.25">
      <c r="G5" s="742" t="str">
        <f>Account!$G$1</f>
        <v>FUND 501 CARP</v>
      </c>
      <c r="H5" s="743"/>
      <c r="I5" s="743"/>
      <c r="J5" s="748"/>
      <c r="K5" s="743"/>
      <c r="L5" s="743"/>
      <c r="M5" s="743"/>
      <c r="N5" s="743"/>
      <c r="O5" s="743"/>
    </row>
    <row r="6" spans="1:18" ht="17.25">
      <c r="G6" s="746">
        <f>Account!$G$2</f>
        <v>45291</v>
      </c>
      <c r="H6" s="743"/>
      <c r="I6" s="743"/>
      <c r="J6" s="748"/>
      <c r="K6" s="743"/>
      <c r="L6" s="743"/>
      <c r="M6" s="743"/>
      <c r="N6" s="743"/>
      <c r="O6" s="743"/>
    </row>
    <row r="8" spans="1:18" ht="16.5" customHeight="1">
      <c r="A8" s="1251" t="s">
        <v>473</v>
      </c>
      <c r="B8" s="1268" t="s">
        <v>474</v>
      </c>
      <c r="C8" s="1270" t="s">
        <v>474</v>
      </c>
      <c r="D8" s="1270" t="s">
        <v>475</v>
      </c>
      <c r="E8" s="1270" t="s">
        <v>476</v>
      </c>
      <c r="F8" s="1251"/>
      <c r="G8" s="1270" t="s">
        <v>477</v>
      </c>
      <c r="H8" s="1251" t="s">
        <v>356</v>
      </c>
      <c r="I8" s="1251"/>
      <c r="J8" s="1251"/>
      <c r="K8" s="1251"/>
      <c r="L8" s="1251" t="s">
        <v>357</v>
      </c>
      <c r="M8" s="1251"/>
      <c r="N8" s="1251"/>
      <c r="O8" s="1251"/>
      <c r="P8" s="1251"/>
      <c r="Q8" s="1251"/>
      <c r="R8" s="1269" t="s">
        <v>724</v>
      </c>
    </row>
    <row r="9" spans="1:18">
      <c r="A9" s="1251"/>
      <c r="B9" s="1269"/>
      <c r="C9" s="1251"/>
      <c r="D9" s="1251"/>
      <c r="E9" s="1251"/>
      <c r="F9" s="1251"/>
      <c r="G9" s="1270"/>
      <c r="H9" s="1251" t="s">
        <v>1556</v>
      </c>
      <c r="I9" s="1251" t="s">
        <v>1564</v>
      </c>
      <c r="J9" s="1251" t="s">
        <v>478</v>
      </c>
      <c r="K9" s="1251"/>
      <c r="L9" s="1251" t="s">
        <v>1564</v>
      </c>
      <c r="M9" s="1251" t="s">
        <v>1440</v>
      </c>
      <c r="N9" s="1251" t="s">
        <v>1444</v>
      </c>
      <c r="O9" s="1251" t="s">
        <v>112</v>
      </c>
      <c r="P9" s="1251" t="s">
        <v>478</v>
      </c>
      <c r="Q9" s="1251"/>
      <c r="R9" s="1269"/>
    </row>
    <row r="10" spans="1:18">
      <c r="A10" s="1251"/>
      <c r="B10" s="1269"/>
      <c r="C10" s="1251"/>
      <c r="D10" s="1251"/>
      <c r="E10" s="530" t="s">
        <v>479</v>
      </c>
      <c r="F10" s="530" t="s">
        <v>480</v>
      </c>
      <c r="G10" s="1270"/>
      <c r="H10" s="1251"/>
      <c r="I10" s="1251"/>
      <c r="J10" s="530" t="s">
        <v>481</v>
      </c>
      <c r="K10" s="530" t="s">
        <v>453</v>
      </c>
      <c r="L10" s="1251"/>
      <c r="M10" s="1251"/>
      <c r="N10" s="1251"/>
      <c r="O10" s="1251"/>
      <c r="P10" s="530" t="s">
        <v>481</v>
      </c>
      <c r="Q10" s="530" t="s">
        <v>453</v>
      </c>
      <c r="R10" s="1269"/>
    </row>
    <row r="11" spans="1:18" ht="31.5" hidden="1">
      <c r="A11" s="520" t="s">
        <v>0</v>
      </c>
      <c r="B11" s="544" t="s">
        <v>474</v>
      </c>
      <c r="C11" s="515" t="s">
        <v>1466</v>
      </c>
      <c r="D11" s="521" t="s">
        <v>475</v>
      </c>
      <c r="E11" s="520" t="s">
        <v>479</v>
      </c>
      <c r="F11" s="520" t="s">
        <v>1467</v>
      </c>
      <c r="G11" s="520" t="s">
        <v>477</v>
      </c>
      <c r="H11" s="93" t="s">
        <v>13</v>
      </c>
      <c r="I11" s="93" t="s">
        <v>109</v>
      </c>
      <c r="J11" s="138" t="s">
        <v>1462</v>
      </c>
      <c r="K11" s="522" t="s">
        <v>453</v>
      </c>
      <c r="L11" s="93" t="s">
        <v>12</v>
      </c>
      <c r="M11" s="93" t="s">
        <v>164</v>
      </c>
      <c r="N11" s="93" t="s">
        <v>223</v>
      </c>
      <c r="O11" s="93" t="s">
        <v>271</v>
      </c>
      <c r="P11" s="138" t="s">
        <v>1473</v>
      </c>
      <c r="Q11" s="522" t="s">
        <v>1472</v>
      </c>
      <c r="R11" s="532" t="s">
        <v>724</v>
      </c>
    </row>
    <row r="12" spans="1:18">
      <c r="A12" s="92" t="e">
        <f t="array" ref="A12">IF(OR(C12=C11,C12=0),"",INDEX(CkDJ[Date],MATCH(C12,CkDJ[JEV Number],0)))</f>
        <v>#N/A</v>
      </c>
      <c r="B12" s="545" t="s">
        <v>1608</v>
      </c>
      <c r="C12" s="93" t="str">
        <f t="shared" ref="C12:C21" si="0">IF(B12=0,C11,B12)</f>
        <v>20-01-001</v>
      </c>
      <c r="D12" s="524"/>
      <c r="E12" s="524"/>
      <c r="F12" s="524"/>
      <c r="G12" s="94" t="e">
        <f t="array" ref="G12">IF(OR(C12=C11,C12=0),"",INDEX(CasheirCode[Name],MATCH((INDEX(CkDJ[Sort Code],MATCH(C12,CkDJ[JEV Number],0))),CasheirCode[Sort Code])))</f>
        <v>#N/A</v>
      </c>
      <c r="H12" s="95">
        <f t="array" ref="H12">IF(OR($C12=$C11,$C12=0),0,(SUM(IF((CkDJ[JEV Number]=$C12)*(CkDJ[Account Code]=(H$9)),CkDJ[Credit]))))</f>
        <v>0</v>
      </c>
      <c r="I12" s="95">
        <f t="array" ref="I12">IF(OR($C12=$C11,$C12=0),0,(SUM(IF((CkDJ[JEV Number]=$C12)*(CkDJ[Account Code]=(I$9)),CkDJ[Credit]))))</f>
        <v>0</v>
      </c>
      <c r="J12" s="138"/>
      <c r="K12" s="95">
        <f t="array" ref="K12">IF($C12=0,0,(SUM(IF((CkDJ[JEV Number]=$C12)*(CkDJ[Account Code]=(J12)),CkDJ[Credit]))))</f>
        <v>0</v>
      </c>
      <c r="L12" s="95">
        <f t="array" ref="L12">IF(OR($C12=$C11,$C12=0),0,(SUM(IF((CkDJ[JEV Number]=$C12)*(CkDJ[Account Code]=(L$9)),CkDJ[Debit]))))</f>
        <v>0</v>
      </c>
      <c r="M12" s="95">
        <f t="array" ref="M12">IF(OR($C12=$C11,$C12=0),0,(SUM(IF((CkDJ[JEV Number]=$C12)*(CkDJ[Account Code]=(M$9)),CkDJ[Debit]))))</f>
        <v>0</v>
      </c>
      <c r="N12" s="95">
        <f t="array" ref="N12">IF(OR($C12=$C11,$C12=0),0,(SUM(IF((CkDJ[JEV Number]=$C12)*(CkDJ[Account Code]=(N$9)),CkDJ[Debit]))))</f>
        <v>0</v>
      </c>
      <c r="O12" s="95">
        <f t="array" ref="O12">IF(OR($C12=$C11,$C12=0),0,(SUM(IF((CkDJ[JEV Number]=$C12)*(CkDJ[Account Code]=(O$9)),CkDJ[Debit]))))</f>
        <v>0</v>
      </c>
      <c r="P12" s="138"/>
      <c r="Q12" s="95">
        <f t="array" ref="Q12">IF($C12=0,0,(SUM(IF((CkDJ[JEV Number]=$C12)*(CkDJ[Account Code]=(P12)),CkDJ[Debit]))))</f>
        <v>0</v>
      </c>
      <c r="R12" s="514">
        <f>(SUM(L12:O12)+Q12)-(SUM(H12:I12)+K12)</f>
        <v>0</v>
      </c>
    </row>
    <row r="13" spans="1:18">
      <c r="A13" s="92" t="str">
        <f t="array" ref="A13">IF(OR(C13=C12,C13=0),"",INDEX(CkDJ[Date],MATCH(C13,CkDJ[JEV Number],0)))</f>
        <v/>
      </c>
      <c r="B13" s="545"/>
      <c r="C13" s="518" t="str">
        <f t="shared" si="0"/>
        <v>20-01-001</v>
      </c>
      <c r="D13" s="524"/>
      <c r="E13" s="524"/>
      <c r="F13" s="524"/>
      <c r="G13" s="94" t="str">
        <f t="array" ref="G13">IF(OR(C13=C12,C13=0),"",INDEX(CasheirCode[Name],MATCH((INDEX(CkDJ[Sort Code],MATCH(C13,CkDJ[JEV Number],0))),CasheirCode[Sort Code])))</f>
        <v/>
      </c>
      <c r="H13" s="95">
        <f t="array" ref="H13">IF(OR($C13=$C12,$C13=0),0,(SUM(IF((CkDJ[JEV Number]=$C13)*(CkDJ[Account Code]=(H$9)),CkDJ[Credit]))))</f>
        <v>0</v>
      </c>
      <c r="I13" s="95">
        <f t="array" ref="I13">IF(OR($C13=$C12,$C13=0),0,(SUM(IF((CkDJ[JEV Number]=$C13)*(CkDJ[Account Code]=(I$9)),CkDJ[Credit]))))</f>
        <v>0</v>
      </c>
      <c r="J13" s="138"/>
      <c r="K13" s="517">
        <f t="array" ref="K13">IF($C13=0,0,(SUM(IF((CkDJ[JEV Number]=$C13)*(CkDJ[Account Code]=(J13)),CkDJ[Credit]))))</f>
        <v>0</v>
      </c>
      <c r="L13" s="95">
        <f t="array" ref="L13">IF(OR($C13=$C12,$C13=0),0,(SUM(IF((CkDJ[JEV Number]=$C13)*(CkDJ[Account Code]=(L$9)),CkDJ[Debit]))))</f>
        <v>0</v>
      </c>
      <c r="M13" s="95">
        <f t="array" ref="M13">IF(OR($C13=$C12,$C13=0),0,(SUM(IF((CkDJ[JEV Number]=$C13)*(CkDJ[Account Code]=(M$9)),CkDJ[Debit]))))</f>
        <v>0</v>
      </c>
      <c r="N13" s="95">
        <f t="array" ref="N13">IF(OR($C13=$C12,$C13=0),0,(SUM(IF((CkDJ[JEV Number]=$C13)*(CkDJ[Account Code]=(N$9)),CkDJ[Debit]))))</f>
        <v>0</v>
      </c>
      <c r="O13" s="95">
        <f t="array" ref="O13">IF(OR($C13=$C12,$C13=0),0,(SUM(IF((CkDJ[JEV Number]=$C13)*(CkDJ[Account Code]=(O$9)),CkDJ[Debit]))))</f>
        <v>0</v>
      </c>
      <c r="P13" s="696"/>
      <c r="Q13" s="144">
        <f t="array" ref="Q13">IF($C13=0,0,(SUM(IF((CkDJ[JEV Number]=$C13)*(CkDJ[Account Code]=(P13)),CkDJ[Debit]))))</f>
        <v>0</v>
      </c>
      <c r="R13" s="514">
        <f t="shared" ref="R13:R21" si="1">R12+(SUM(L13:O13)+Q13)-(SUM(H13:I13)+K13)</f>
        <v>0</v>
      </c>
    </row>
    <row r="14" spans="1:18">
      <c r="A14" s="92" t="str">
        <f t="array" ref="A14">IF(OR(C14=C13,C14=0),"",INDEX(CkDJ[Date],MATCH(C14,CkDJ[JEV Number],0)))</f>
        <v/>
      </c>
      <c r="B14" s="545"/>
      <c r="C14" s="518" t="str">
        <f t="shared" si="0"/>
        <v>20-01-001</v>
      </c>
      <c r="D14" s="524"/>
      <c r="E14" s="524"/>
      <c r="F14" s="524"/>
      <c r="G14" s="94" t="str">
        <f t="array" ref="G14">IF(OR(C14=C13,C14=0),"",INDEX(CasheirCode[Name],MATCH((INDEX(CkDJ[Sort Code],MATCH(C14,CkDJ[JEV Number],0))),CasheirCode[Sort Code])))</f>
        <v/>
      </c>
      <c r="H14" s="95">
        <f t="array" ref="H14">IF(OR($C14=$C13,$C14=0),0,(SUM(IF((CkDJ[JEV Number]=$C14)*(CkDJ[Account Code]=(H$9)),CkDJ[Credit]))))</f>
        <v>0</v>
      </c>
      <c r="I14" s="95">
        <f t="array" ref="I14">IF(OR($C14=$C13,$C14=0),0,(SUM(IF((CkDJ[JEV Number]=$C14)*(CkDJ[Account Code]=(I$9)),CkDJ[Credit]))))</f>
        <v>0</v>
      </c>
      <c r="J14" s="138"/>
      <c r="K14" s="517">
        <f t="array" ref="K14">IF($C14=0,0,(SUM(IF((CkDJ[JEV Number]=$C14)*(CkDJ[Account Code]=(J14)),CkDJ[Credit]))))</f>
        <v>0</v>
      </c>
      <c r="L14" s="95">
        <f t="array" ref="L14">IF(OR($C14=$C13,$C14=0),0,(SUM(IF((CkDJ[JEV Number]=$C14)*(CkDJ[Account Code]=(L$9)),CkDJ[Debit]))))</f>
        <v>0</v>
      </c>
      <c r="M14" s="95">
        <f t="array" ref="M14">IF(OR($C14=$C13,$C14=0),0,(SUM(IF((CkDJ[JEV Number]=$C14)*(CkDJ[Account Code]=(M$9)),CkDJ[Debit]))))</f>
        <v>0</v>
      </c>
      <c r="N14" s="95">
        <f t="array" ref="N14">IF(OR($C14=$C13,$C14=0),0,(SUM(IF((CkDJ[JEV Number]=$C14)*(CkDJ[Account Code]=(N$9)),CkDJ[Debit]))))</f>
        <v>0</v>
      </c>
      <c r="O14" s="95">
        <f t="array" ref="O14">IF(OR($C14=$C13,$C14=0),0,(SUM(IF((CkDJ[JEV Number]=$C14)*(CkDJ[Account Code]=(O$9)),CkDJ[Debit]))))</f>
        <v>0</v>
      </c>
      <c r="P14" s="138"/>
      <c r="Q14" s="517">
        <f t="array" ref="Q14">IF($C14=0,0,(SUM(IF((CkDJ[JEV Number]=$C14)*(CkDJ[Account Code]=(P14)),CkDJ[Debit]))))</f>
        <v>0</v>
      </c>
      <c r="R14" s="514">
        <f t="shared" si="1"/>
        <v>0</v>
      </c>
    </row>
    <row r="15" spans="1:18">
      <c r="A15" s="525" t="str">
        <f t="array" ref="A15">IF(OR(C15=C14,C15=0),"",INDEX(CkDJ[Date],MATCH(C15,CkDJ[JEV Number],0)))</f>
        <v/>
      </c>
      <c r="B15" s="543"/>
      <c r="C15" s="523" t="str">
        <f t="shared" si="0"/>
        <v>20-01-001</v>
      </c>
      <c r="D15" s="523"/>
      <c r="E15" s="523"/>
      <c r="F15" s="523"/>
      <c r="G15" s="280" t="str">
        <f t="array" ref="G15">IF(OR(C15=C14,C15=0),"",INDEX(CasheirCode[Name],MATCH((INDEX(CkDJ[Sort Code],MATCH(C15,CkDJ[JEV Number],0))),CasheirCode[Sort Code])))</f>
        <v/>
      </c>
      <c r="H15" s="519">
        <f t="array" ref="H15">IF(OR($C15=$C14,$C15=0),0,(SUM(IF((CkDJ[JEV Number]=$C15)*(CkDJ[Account Code]=(H$9)),CkDJ[Credit]))))</f>
        <v>0</v>
      </c>
      <c r="I15" s="519">
        <f t="array" ref="I15">IF(OR($C15=$C14,$C15=0),0,(SUM(IF((CkDJ[JEV Number]=$C15)*(CkDJ[Account Code]=(I$9)),CkDJ[Credit]))))</f>
        <v>0</v>
      </c>
      <c r="J15" s="445"/>
      <c r="K15" s="519">
        <f t="array" ref="K15">IF($C15=0,0,(SUM(IF((CkDJ[JEV Number]=$C15)*(CkDJ[Account Code]=(J15)),CkDJ[Credit]))))</f>
        <v>0</v>
      </c>
      <c r="L15" s="519">
        <f t="array" ref="L15">IF(OR($C15=$C14,$C15=0),0,(SUM(IF((CkDJ[JEV Number]=$C15)*(CkDJ[Account Code]=(L$9)),CkDJ[Debit]))))</f>
        <v>0</v>
      </c>
      <c r="M15" s="519">
        <f t="array" ref="M15">IF(OR($C15=$C14,$C15=0),0,(SUM(IF((CkDJ[JEV Number]=$C15)*(CkDJ[Account Code]=(M$9)),CkDJ[Debit]))))</f>
        <v>0</v>
      </c>
      <c r="N15" s="519">
        <f t="array" ref="N15">IF(OR($C15=$C14,$C15=0),0,(SUM(IF((CkDJ[JEV Number]=$C15)*(CkDJ[Account Code]=(N$9)),CkDJ[Debit]))))</f>
        <v>0</v>
      </c>
      <c r="O15" s="519">
        <f t="array" ref="O15">IF(OR($C15=$C14,$C15=0),0,(SUM(IF((CkDJ[JEV Number]=$C15)*(CkDJ[Account Code]=(O$9)),CkDJ[Debit]))))</f>
        <v>0</v>
      </c>
      <c r="P15" s="138"/>
      <c r="Q15" s="519">
        <f t="array" ref="Q15">IF($C15=0,0,(SUM(IF((CkDJ[JEV Number]=$C15)*(CkDJ[Account Code]=(P15)),CkDJ[Debit]))))</f>
        <v>0</v>
      </c>
      <c r="R15" s="533">
        <f t="shared" si="1"/>
        <v>0</v>
      </c>
    </row>
    <row r="16" spans="1:18">
      <c r="A16" s="670" t="str">
        <f t="array" ref="A16">IF(OR(C16=C15,C16=0),"",INDEX(CkDJ[Date],MATCH(C16,CkDJ[JEV Number],0)))</f>
        <v/>
      </c>
      <c r="B16" s="671"/>
      <c r="C16" s="672" t="str">
        <f t="shared" si="0"/>
        <v>20-01-001</v>
      </c>
      <c r="D16" s="672"/>
      <c r="E16" s="672"/>
      <c r="F16" s="672"/>
      <c r="G16" s="673" t="str">
        <f t="array" ref="G16">IF(OR(C16=C15,C16=0),"",INDEX(CasheirCode[Name],MATCH((INDEX(CkDJ[Sort Code],MATCH(C16,CkDJ[JEV Number],0))),CasheirCode[Sort Code])))</f>
        <v/>
      </c>
      <c r="H16" s="674">
        <f t="array" ref="H16">IF(OR($C16=$C15,$C16=0),0,(SUM(IF((CkDJ[JEV Number]=$C16)*(CkDJ[Account Code]=(H$9)),CkDJ[Credit]))))</f>
        <v>0</v>
      </c>
      <c r="I16" s="674">
        <f t="array" ref="I16">IF(OR($C16=$C15,$C16=0),0,(SUM(IF((CkDJ[JEV Number]=$C16)*(CkDJ[Account Code]=(I$9)),CkDJ[Credit]))))</f>
        <v>0</v>
      </c>
      <c r="J16" s="675"/>
      <c r="K16" s="674">
        <f t="array" ref="K16">IF($C16=0,0,(SUM(IF((CkDJ[JEV Number]=$C16)*(CkDJ[Account Code]=(J16)),CkDJ[Credit]))))</f>
        <v>0</v>
      </c>
      <c r="L16" s="674">
        <f t="array" ref="L16">IF(OR($C16=$C15,$C16=0),0,(SUM(IF((CkDJ[JEV Number]=$C16)*(CkDJ[Account Code]=(L$9)),CkDJ[Debit]))))</f>
        <v>0</v>
      </c>
      <c r="M16" s="674">
        <f t="array" ref="M16">IF(OR($C16=$C15,$C16=0),0,(SUM(IF((CkDJ[JEV Number]=$C16)*(CkDJ[Account Code]=(M$9)),CkDJ[Debit]))))</f>
        <v>0</v>
      </c>
      <c r="N16" s="674">
        <f t="array" ref="N16">IF(OR($C16=$C15,$C16=0),0,(SUM(IF((CkDJ[JEV Number]=$C16)*(CkDJ[Account Code]=(N$9)),CkDJ[Debit]))))</f>
        <v>0</v>
      </c>
      <c r="O16" s="674">
        <f t="array" ref="O16">IF(OR($C16=$C15,$C16=0),0,(SUM(IF((CkDJ[JEV Number]=$C16)*(CkDJ[Account Code]=(O$9)),CkDJ[Debit]))))</f>
        <v>0</v>
      </c>
      <c r="P16" s="138"/>
      <c r="Q16" s="519">
        <f t="array" ref="Q16">IF($C16=0,0,(SUM(IF((CkDJ[JEV Number]=$C16)*(CkDJ[Account Code]=(P16)),CkDJ[Debit]))))</f>
        <v>0</v>
      </c>
      <c r="R16" s="676">
        <f t="shared" si="1"/>
        <v>0</v>
      </c>
    </row>
    <row r="17" spans="1:18">
      <c r="A17" s="670" t="str">
        <f t="array" ref="A17">IF(OR(C17=C16,C17=0),"",INDEX(CkDJ[Date],MATCH(C17,CkDJ[JEV Number],0)))</f>
        <v/>
      </c>
      <c r="B17" s="826"/>
      <c r="C17" s="687" t="str">
        <f t="shared" si="0"/>
        <v>20-01-001</v>
      </c>
      <c r="D17" s="687"/>
      <c r="E17" s="687"/>
      <c r="F17" s="687"/>
      <c r="G17" s="688" t="str">
        <f t="array" ref="G17">IF(OR(C17=C16,C17=0),"",INDEX(CasheirCode[Name],MATCH((INDEX(CkDJ[Sort Code],MATCH(C17,CkDJ[JEV Number],0))),CasheirCode[Sort Code])))</f>
        <v/>
      </c>
      <c r="H17" s="689">
        <f t="array" ref="H17">IF(OR($C17=$C16,$C17=0),0,(SUM(IF((CkDJ[JEV Number]=$C17)*(CkDJ[Account Code]=(H$9)),CkDJ[Credit]))))</f>
        <v>0</v>
      </c>
      <c r="I17" s="689">
        <f t="array" ref="I17">IF(OR($C17=$C16,$C17=0),0,(SUM(IF((CkDJ[JEV Number]=$C17)*(CkDJ[Account Code]=(I$9)),CkDJ[Credit]))))</f>
        <v>0</v>
      </c>
      <c r="J17" s="675"/>
      <c r="K17" s="689">
        <f t="array" ref="K17">IF($C17=0,0,(SUM(IF((CkDJ[JEV Number]=$C17)*(CkDJ[Account Code]=(J17)),CkDJ[Credit]))))</f>
        <v>0</v>
      </c>
      <c r="L17" s="689">
        <f t="array" ref="L17">IF(OR($C17=$C16,$C17=0),0,(SUM(IF((CkDJ[JEV Number]=$C17)*(CkDJ[Account Code]=(L$9)),CkDJ[Debit]))))</f>
        <v>0</v>
      </c>
      <c r="M17" s="689">
        <f t="array" ref="M17">IF(OR($C17=$C16,$C17=0),0,(SUM(IF((CkDJ[JEV Number]=$C17)*(CkDJ[Account Code]=(M$9)),CkDJ[Debit]))))</f>
        <v>0</v>
      </c>
      <c r="N17" s="689">
        <f t="array" ref="N17">IF(OR($C17=$C16,$C17=0),0,(SUM(IF((CkDJ[JEV Number]=$C17)*(CkDJ[Account Code]=(N$9)),CkDJ[Debit]))))</f>
        <v>0</v>
      </c>
      <c r="O17" s="689">
        <f t="array" ref="O17">IF(OR($C17=$C16,$C17=0),0,(SUM(IF((CkDJ[JEV Number]=$C17)*(CkDJ[Account Code]=(O$9)),CkDJ[Debit]))))</f>
        <v>0</v>
      </c>
      <c r="P17" s="722"/>
      <c r="Q17" s="689">
        <f t="array" ref="Q17">IF($C17=0,0,(SUM(IF((CkDJ[JEV Number]=$C17)*(CkDJ[Account Code]=(P17)),CkDJ[Debit]))))</f>
        <v>0</v>
      </c>
      <c r="R17" s="691">
        <f t="shared" si="1"/>
        <v>0</v>
      </c>
    </row>
    <row r="18" spans="1:18">
      <c r="A18" s="670" t="str">
        <f t="array" ref="A18">IF(OR(C18=C17,C18=0),"",INDEX(CkDJ[Date],MATCH(C18,CkDJ[JEV Number],0)))</f>
        <v/>
      </c>
      <c r="B18" s="692"/>
      <c r="C18" s="687" t="str">
        <f t="shared" si="0"/>
        <v>20-01-001</v>
      </c>
      <c r="D18" s="687"/>
      <c r="E18" s="687"/>
      <c r="F18" s="687"/>
      <c r="G18" s="688" t="str">
        <f t="array" ref="G18">IF(OR(C18=C17,C18=0),"",INDEX(CasheirCode[Name],MATCH((INDEX(CkDJ[Sort Code],MATCH(C18,CkDJ[JEV Number],0))),CasheirCode[Sort Code])))</f>
        <v/>
      </c>
      <c r="H18" s="689">
        <f t="array" ref="H18">IF(OR($C18=$C17,$C18=0),0,(SUM(IF((CkDJ[JEV Number]=$C18)*(CkDJ[Account Code]=(H$9)),CkDJ[Credit]))))</f>
        <v>0</v>
      </c>
      <c r="I18" s="689">
        <f t="array" ref="I18">IF(OR($C18=$C17,$C18=0),0,(SUM(IF((CkDJ[JEV Number]=$C18)*(CkDJ[Account Code]=(I$9)),CkDJ[Credit]))))</f>
        <v>0</v>
      </c>
      <c r="J18" s="675"/>
      <c r="K18" s="689">
        <f t="array" ref="K18">IF($C18=0,0,(SUM(IF((CkDJ[JEV Number]=$C18)*(CkDJ[Account Code]=(J18)),CkDJ[Credit]))))</f>
        <v>0</v>
      </c>
      <c r="L18" s="689">
        <f t="array" ref="L18">IF(OR($C18=$C17,$C18=0),0,(SUM(IF((CkDJ[JEV Number]=$C18)*(CkDJ[Account Code]=(L$9)),CkDJ[Debit]))))</f>
        <v>0</v>
      </c>
      <c r="M18" s="689">
        <f t="array" ref="M18">IF(OR($C18=$C17,$C18=0),0,(SUM(IF((CkDJ[JEV Number]=$C18)*(CkDJ[Account Code]=(M$9)),CkDJ[Debit]))))</f>
        <v>0</v>
      </c>
      <c r="N18" s="689">
        <f t="array" ref="N18">IF(OR($C18=$C17,$C18=0),0,(SUM(IF((CkDJ[JEV Number]=$C18)*(CkDJ[Account Code]=(N$9)),CkDJ[Debit]))))</f>
        <v>0</v>
      </c>
      <c r="O18" s="689">
        <f t="array" ref="O18">IF(OR($C18=$C17,$C18=0),0,(SUM(IF((CkDJ[JEV Number]=$C18)*(CkDJ[Account Code]=(O$9)),CkDJ[Debit]))))</f>
        <v>0</v>
      </c>
      <c r="P18" s="722"/>
      <c r="Q18" s="689">
        <f t="array" ref="Q18">IF($C18=0,0,(SUM(IF((CkDJ[JEV Number]=$C18)*(CkDJ[Account Code]=(P18)),CkDJ[Debit]))))</f>
        <v>0</v>
      </c>
      <c r="R18" s="691">
        <f t="shared" si="1"/>
        <v>0</v>
      </c>
    </row>
    <row r="19" spans="1:18">
      <c r="A19" s="670" t="str">
        <f t="array" ref="A19">IF(OR(C19=C18,C19=0),"",INDEX(CkDJ[Date],MATCH(C19,CkDJ[JEV Number],0)))</f>
        <v/>
      </c>
      <c r="B19" s="686"/>
      <c r="C19" s="687" t="str">
        <f>IF(B19=0,C18,B19)</f>
        <v>20-01-001</v>
      </c>
      <c r="D19" s="687"/>
      <c r="E19" s="687"/>
      <c r="F19" s="687"/>
      <c r="G19" s="688" t="str">
        <f t="array" ref="G19">IF(OR(C19=C18,C19=0),"",INDEX(CasheirCode[Name],MATCH((INDEX(CkDJ[Sort Code],MATCH(C19,CkDJ[JEV Number],0))),CasheirCode[Sort Code])))</f>
        <v/>
      </c>
      <c r="H19" s="689">
        <f t="array" ref="H19">IF(OR($C19=$C18,$C19=0),0,(SUM(IF((CkDJ[JEV Number]=$C19)*(CkDJ[Account Code]=(H$9)),CkDJ[Credit]))))</f>
        <v>0</v>
      </c>
      <c r="I19" s="689">
        <f t="array" ref="I19">IF(OR($C19=$C18,$C19=0),0,(SUM(IF((CkDJ[JEV Number]=$C19)*(CkDJ[Account Code]=(I$9)),CkDJ[Credit]))))</f>
        <v>0</v>
      </c>
      <c r="J19" s="724"/>
      <c r="K19" s="689">
        <f t="array" ref="K19">IF($C19=0,0,(SUM(IF((CkDJ[JEV Number]=$C19)*(CkDJ[Account Code]=(J19)),CkDJ[Credit]))))</f>
        <v>0</v>
      </c>
      <c r="L19" s="689">
        <f t="array" ref="L19">IF(OR($C19=$C18,$C19=0),0,(SUM(IF((CkDJ[JEV Number]=$C19)*(CkDJ[Account Code]=(L$9)),CkDJ[Debit]))))</f>
        <v>0</v>
      </c>
      <c r="M19" s="689">
        <f t="array" ref="M19">IF(OR($C19=$C18,$C19=0),0,(SUM(IF((CkDJ[JEV Number]=$C19)*(CkDJ[Account Code]=(M$9)),CkDJ[Debit]))))</f>
        <v>0</v>
      </c>
      <c r="N19" s="689">
        <f t="array" ref="N19">IF(OR($C19=$C18,$C19=0),0,(SUM(IF((CkDJ[JEV Number]=$C19)*(CkDJ[Account Code]=(N$9)),CkDJ[Debit]))))</f>
        <v>0</v>
      </c>
      <c r="O19" s="689">
        <f t="array" ref="O19">IF(OR($C19=$C18,$C19=0),0,(SUM(IF((CkDJ[JEV Number]=$C19)*(CkDJ[Account Code]=(O$9)),CkDJ[Debit]))))</f>
        <v>0</v>
      </c>
      <c r="P19" s="722"/>
      <c r="Q19" s="689">
        <f t="array" ref="Q19">IF($C19=0,0,(SUM(IF((CkDJ[JEV Number]=$C19)*(CkDJ[Account Code]=(P19)),CkDJ[Debit]))))</f>
        <v>0</v>
      </c>
      <c r="R19" s="691">
        <f>R18+(SUM(L19:O19)+Q19)-(SUM(H19:I19)+K19)</f>
        <v>0</v>
      </c>
    </row>
    <row r="20" spans="1:18">
      <c r="A20" s="670" t="str">
        <f t="array" ref="A20">IF(OR(C20=C19,C20=0),"",INDEX(CkDJ[Date],MATCH(C20,CkDJ[JEV Number],0)))</f>
        <v/>
      </c>
      <c r="B20" s="692"/>
      <c r="C20" s="687" t="str">
        <f t="shared" si="0"/>
        <v>20-01-001</v>
      </c>
      <c r="D20" s="687"/>
      <c r="E20" s="687"/>
      <c r="F20" s="687"/>
      <c r="G20" s="688" t="str">
        <f t="array" ref="G20">IF(OR(C20=C19,C20=0),"",INDEX(CasheirCode[Name],MATCH((INDEX(CkDJ[Sort Code],MATCH(C20,CkDJ[JEV Number],0))),CasheirCode[Sort Code])))</f>
        <v/>
      </c>
      <c r="H20" s="689">
        <f t="array" ref="H20">IF(OR($C20=$C19,$C20=0),0,(SUM(IF((CkDJ[JEV Number]=$C20)*(CkDJ[Account Code]=(H$9)),CkDJ[Credit]))))</f>
        <v>0</v>
      </c>
      <c r="I20" s="689">
        <f t="array" ref="I20">IF(OR($C20=$C19,$C20=0),0,(SUM(IF((CkDJ[JEV Number]=$C20)*(CkDJ[Account Code]=(I$9)),CkDJ[Credit]))))</f>
        <v>0</v>
      </c>
      <c r="J20" s="724"/>
      <c r="K20" s="689">
        <f t="array" ref="K20">IF($C20=0,0,(SUM(IF((CkDJ[JEV Number]=$C20)*(CkDJ[Account Code]=(J20)),CkDJ[Credit]))))</f>
        <v>0</v>
      </c>
      <c r="L20" s="689">
        <f t="array" ref="L20">IF(OR($C20=$C19,$C20=0),0,(SUM(IF((CkDJ[JEV Number]=$C20)*(CkDJ[Account Code]=(L$9)),CkDJ[Debit]))))</f>
        <v>0</v>
      </c>
      <c r="M20" s="689">
        <f t="array" ref="M20">IF(OR($C20=$C19,$C20=0),0,(SUM(IF((CkDJ[JEV Number]=$C20)*(CkDJ[Account Code]=(M$9)),CkDJ[Debit]))))</f>
        <v>0</v>
      </c>
      <c r="N20" s="689">
        <f t="array" ref="N20">IF(OR($C20=$C19,$C20=0),0,(SUM(IF((CkDJ[JEV Number]=$C20)*(CkDJ[Account Code]=(N$9)),CkDJ[Debit]))))</f>
        <v>0</v>
      </c>
      <c r="O20" s="689">
        <f t="array" ref="O20">IF(OR($C20=$C19,$C20=0),0,(SUM(IF((CkDJ[JEV Number]=$C20)*(CkDJ[Account Code]=(O$9)),CkDJ[Debit]))))</f>
        <v>0</v>
      </c>
      <c r="P20" s="722"/>
      <c r="Q20" s="689">
        <f t="array" ref="Q20">IF($C20=0,0,(SUM(IF((CkDJ[JEV Number]=$C20)*(CkDJ[Account Code]=(P20)),CkDJ[Debit]))))</f>
        <v>0</v>
      </c>
      <c r="R20" s="691">
        <f t="shared" si="1"/>
        <v>0</v>
      </c>
    </row>
    <row r="21" spans="1:18">
      <c r="A21" s="670" t="str">
        <f t="array" ref="A21">IF(OR(C21=C20,C21=0),"",INDEX(CkDJ[Date],MATCH(C21,CkDJ[JEV Number],0)))</f>
        <v/>
      </c>
      <c r="B21" s="692"/>
      <c r="C21" s="687" t="str">
        <f t="shared" si="0"/>
        <v>20-01-001</v>
      </c>
      <c r="D21" s="687"/>
      <c r="E21" s="687"/>
      <c r="F21" s="687"/>
      <c r="G21" s="688" t="str">
        <f t="array" ref="G21">IF(OR(C21=C20,C21=0),"",INDEX(CasheirCode[Name],MATCH((INDEX(CkDJ[Sort Code],MATCH(C21,CkDJ[JEV Number],0))),CasheirCode[Sort Code])))</f>
        <v/>
      </c>
      <c r="H21" s="689">
        <f t="array" ref="H21">IF(OR($C21=$C20,$C21=0),0,(SUM(IF((CkDJ[JEV Number]=$C21)*(CkDJ[Account Code]=(H$9)),CkDJ[Credit]))))</f>
        <v>0</v>
      </c>
      <c r="I21" s="689">
        <f t="array" ref="I21">IF(OR($C21=$C20,$C21=0),0,(SUM(IF((CkDJ[JEV Number]=$C21)*(CkDJ[Account Code]=(I$9)),CkDJ[Credit]))))</f>
        <v>0</v>
      </c>
      <c r="J21" s="724"/>
      <c r="K21" s="689">
        <f t="array" ref="K21">IF($C21=0,0,(SUM(IF((CkDJ[JEV Number]=$C21)*(CkDJ[Account Code]=(J21)),CkDJ[Credit]))))</f>
        <v>0</v>
      </c>
      <c r="L21" s="689">
        <f t="array" ref="L21">IF(OR($C21=$C20,$C21=0),0,(SUM(IF((CkDJ[JEV Number]=$C21)*(CkDJ[Account Code]=(L$9)),CkDJ[Debit]))))</f>
        <v>0</v>
      </c>
      <c r="M21" s="689">
        <f t="array" ref="M21">IF(OR($C21=$C20,$C21=0),0,(SUM(IF((CkDJ[JEV Number]=$C21)*(CkDJ[Account Code]=(M$9)),CkDJ[Debit]))))</f>
        <v>0</v>
      </c>
      <c r="N21" s="689">
        <f t="array" ref="N21">IF(OR($C21=$C20,$C21=0),0,(SUM(IF((CkDJ[JEV Number]=$C21)*(CkDJ[Account Code]=(N$9)),CkDJ[Debit]))))</f>
        <v>0</v>
      </c>
      <c r="O21" s="689">
        <f t="array" ref="O21">IF(OR($C21=$C20,$C21=0),0,(SUM(IF((CkDJ[JEV Number]=$C21)*(CkDJ[Account Code]=(O$9)),CkDJ[Debit]))))</f>
        <v>0</v>
      </c>
      <c r="P21" s="722"/>
      <c r="Q21" s="689">
        <f t="array" ref="Q21">IF($C21=0,0,(SUM(IF((CkDJ[JEV Number]=$C21)*(CkDJ[Account Code]=(P21)),CkDJ[Debit]))))</f>
        <v>0</v>
      </c>
      <c r="R21" s="691">
        <f t="shared" si="1"/>
        <v>0</v>
      </c>
    </row>
    <row r="22" spans="1:18">
      <c r="A22" s="670" t="str">
        <f t="array" ref="A22">IF(OR(C22=C21,C22=0),"",INDEX(CkDJ[Date],MATCH(C22,CkDJ[JEV Number],0)))</f>
        <v/>
      </c>
      <c r="B22" s="692"/>
      <c r="C22" s="687" t="str">
        <f t="shared" ref="C22:C34" si="2">IF(B22=0,C21,B22)</f>
        <v>20-01-001</v>
      </c>
      <c r="D22" s="687"/>
      <c r="E22" s="687"/>
      <c r="F22" s="687"/>
      <c r="G22" s="688" t="str">
        <f t="array" ref="G22">IF(OR(C22=C21,C22=0),"",INDEX(CasheirCode[Name],MATCH((INDEX(CkDJ[Sort Code],MATCH(C22,CkDJ[JEV Number],0))),CasheirCode[Sort Code])))</f>
        <v/>
      </c>
      <c r="H22" s="689">
        <f t="array" ref="H22">IF(OR($C22=$C21,$C22=0),0,(SUM(IF((CkDJ[JEV Number]=$C22)*(CkDJ[Account Code]=(H$9)),CkDJ[Credit]))))</f>
        <v>0</v>
      </c>
      <c r="I22" s="689">
        <f t="array" ref="I22">IF(OR($C22=$C21,$C22=0),0,(SUM(IF((CkDJ[JEV Number]=$C22)*(CkDJ[Account Code]=(I$9)),CkDJ[Credit]))))</f>
        <v>0</v>
      </c>
      <c r="J22" s="675"/>
      <c r="K22" s="689">
        <f t="array" ref="K22">IF($C22=0,0,(SUM(IF((CkDJ[JEV Number]=$C22)*(CkDJ[Account Code]=(J22)),CkDJ[Credit]))))</f>
        <v>0</v>
      </c>
      <c r="L22" s="689">
        <f t="array" ref="L22">IF(OR($C22=$C21,$C22=0),0,(SUM(IF((CkDJ[JEV Number]=$C22)*(CkDJ[Account Code]=(L$9)),CkDJ[Debit]))))</f>
        <v>0</v>
      </c>
      <c r="M22" s="689">
        <f t="array" ref="M22">IF(OR($C22=$C21,$C22=0),0,(SUM(IF((CkDJ[JEV Number]=$C22)*(CkDJ[Account Code]=(M$9)),CkDJ[Debit]))))</f>
        <v>0</v>
      </c>
      <c r="N22" s="689">
        <f t="array" ref="N22">IF(OR($C22=$C21,$C22=0),0,(SUM(IF((CkDJ[JEV Number]=$C22)*(CkDJ[Account Code]=(N$9)),CkDJ[Debit]))))</f>
        <v>0</v>
      </c>
      <c r="O22" s="689">
        <f t="array" ref="O22">IF(OR($C22=$C21,$C22=0),0,(SUM(IF((CkDJ[JEV Number]=$C22)*(CkDJ[Account Code]=(O$9)),CkDJ[Debit]))))</f>
        <v>0</v>
      </c>
      <c r="P22" s="722"/>
      <c r="Q22" s="689">
        <f t="array" ref="Q22">IF($C22=0,0,(SUM(IF((CkDJ[JEV Number]=$C22)*(CkDJ[Account Code]=(P22)),CkDJ[Debit]))))</f>
        <v>0</v>
      </c>
      <c r="R22" s="691">
        <f t="shared" ref="R22:R34" si="3">R21+(SUM(L22:O22)+Q22)-(SUM(H22:I22)+K22)</f>
        <v>0</v>
      </c>
    </row>
    <row r="23" spans="1:18">
      <c r="A23" s="670" t="str">
        <f t="array" ref="A23">IF(OR(C23=C22,C23=0),"",INDEX(CkDJ[Date],MATCH(C23,CkDJ[JEV Number],0)))</f>
        <v/>
      </c>
      <c r="B23" s="692"/>
      <c r="C23" s="687" t="str">
        <f t="shared" si="2"/>
        <v>20-01-001</v>
      </c>
      <c r="D23" s="687"/>
      <c r="E23" s="687"/>
      <c r="F23" s="687"/>
      <c r="G23" s="688" t="str">
        <f t="array" ref="G23">IF(OR(C23=C22,C23=0),"",INDEX(CasheirCode[Name],MATCH((INDEX(CkDJ[Sort Code],MATCH(C23,CkDJ[JEV Number],0))),CasheirCode[Sort Code])))</f>
        <v/>
      </c>
      <c r="H23" s="689">
        <f t="array" ref="H23">IF(OR($C23=$C22,$C23=0),0,(SUM(IF((CkDJ[JEV Number]=$C23)*(CkDJ[Account Code]=(H$9)),CkDJ[Credit]))))</f>
        <v>0</v>
      </c>
      <c r="I23" s="689">
        <f t="array" ref="I23">IF(OR($C23=$C22,$C23=0),0,(SUM(IF((CkDJ[JEV Number]=$C23)*(CkDJ[Account Code]=(I$9)),CkDJ[Credit]))))</f>
        <v>0</v>
      </c>
      <c r="J23" s="675"/>
      <c r="K23" s="689">
        <f t="array" ref="K23">IF($C23=0,0,(SUM(IF((CkDJ[JEV Number]=$C23)*(CkDJ[Account Code]=(J23)),CkDJ[Credit]))))</f>
        <v>0</v>
      </c>
      <c r="L23" s="689">
        <f t="array" ref="L23">IF(OR($C23=$C22,$C23=0),0,(SUM(IF((CkDJ[JEV Number]=$C23)*(CkDJ[Account Code]=(L$9)),CkDJ[Debit]))))</f>
        <v>0</v>
      </c>
      <c r="M23" s="689">
        <f t="array" ref="M23">IF(OR($C23=$C22,$C23=0),0,(SUM(IF((CkDJ[JEV Number]=$C23)*(CkDJ[Account Code]=(M$9)),CkDJ[Debit]))))</f>
        <v>0</v>
      </c>
      <c r="N23" s="689">
        <f t="array" ref="N23">IF(OR($C23=$C22,$C23=0),0,(SUM(IF((CkDJ[JEV Number]=$C23)*(CkDJ[Account Code]=(N$9)),CkDJ[Debit]))))</f>
        <v>0</v>
      </c>
      <c r="O23" s="689">
        <f t="array" ref="O23">IF(OR($C23=$C22,$C23=0),0,(SUM(IF((CkDJ[JEV Number]=$C23)*(CkDJ[Account Code]=(O$9)),CkDJ[Debit]))))</f>
        <v>0</v>
      </c>
      <c r="P23" s="722"/>
      <c r="Q23" s="689">
        <f t="array" ref="Q23">IF($C23=0,0,(SUM(IF((CkDJ[JEV Number]=$C23)*(CkDJ[Account Code]=(P23)),CkDJ[Debit]))))</f>
        <v>0</v>
      </c>
      <c r="R23" s="691">
        <f t="shared" si="3"/>
        <v>0</v>
      </c>
    </row>
    <row r="24" spans="1:18">
      <c r="A24" s="670" t="str">
        <f t="array" ref="A24">IF(OR(C24=C23,C24=0),"",INDEX(CkDJ[Date],MATCH(C24,CkDJ[JEV Number],0)))</f>
        <v/>
      </c>
      <c r="B24" s="686"/>
      <c r="C24" s="687" t="str">
        <f t="shared" si="2"/>
        <v>20-01-001</v>
      </c>
      <c r="D24" s="687"/>
      <c r="E24" s="687"/>
      <c r="F24" s="687"/>
      <c r="G24" s="688" t="str">
        <f t="array" ref="G24">IF(OR(C24=C23,C24=0),"",INDEX(CasheirCode[Name],MATCH((INDEX(CkDJ[Sort Code],MATCH(C24,CkDJ[JEV Number],0))),CasheirCode[Sort Code])))</f>
        <v/>
      </c>
      <c r="H24" s="689">
        <f t="array" ref="H24">IF(OR($C24=$C23,$C24=0),0,(SUM(IF((CkDJ[JEV Number]=$C24)*(CkDJ[Account Code]=(H$9)),CkDJ[Credit]))))</f>
        <v>0</v>
      </c>
      <c r="I24" s="689">
        <f t="array" ref="I24">IF(OR($C24=$C23,$C24=0),0,(SUM(IF((CkDJ[JEV Number]=$C24)*(CkDJ[Account Code]=(I$9)),CkDJ[Credit]))))</f>
        <v>0</v>
      </c>
      <c r="J24" s="724"/>
      <c r="K24" s="689">
        <f t="array" ref="K24">IF($C24=0,0,(SUM(IF((CkDJ[JEV Number]=$C24)*(CkDJ[Account Code]=(J24)),CkDJ[Credit]))))</f>
        <v>0</v>
      </c>
      <c r="L24" s="689">
        <f t="array" ref="L24">IF(OR($C24=$C23,$C24=0),0,(SUM(IF((CkDJ[JEV Number]=$C24)*(CkDJ[Account Code]=(L$9)),CkDJ[Debit]))))</f>
        <v>0</v>
      </c>
      <c r="M24" s="689">
        <f t="array" ref="M24">IF(OR($C24=$C23,$C24=0),0,(SUM(IF((CkDJ[JEV Number]=$C24)*(CkDJ[Account Code]=(M$9)),CkDJ[Debit]))))</f>
        <v>0</v>
      </c>
      <c r="N24" s="689">
        <f t="array" ref="N24">IF(OR($C24=$C23,$C24=0),0,(SUM(IF((CkDJ[JEV Number]=$C24)*(CkDJ[Account Code]=(N$9)),CkDJ[Debit]))))</f>
        <v>0</v>
      </c>
      <c r="O24" s="689">
        <f t="array" ref="O24">IF(OR($C24=$C23,$C24=0),0,(SUM(IF((CkDJ[JEV Number]=$C24)*(CkDJ[Account Code]=(O$9)),CkDJ[Debit]))))</f>
        <v>0</v>
      </c>
      <c r="P24" s="722"/>
      <c r="Q24" s="689">
        <f t="array" ref="Q24">IF($C24=0,0,(SUM(IF((CkDJ[JEV Number]=$C24)*(CkDJ[Account Code]=(P24)),CkDJ[Debit]))))</f>
        <v>0</v>
      </c>
      <c r="R24" s="691">
        <f t="shared" si="3"/>
        <v>0</v>
      </c>
    </row>
    <row r="25" spans="1:18">
      <c r="A25" s="670" t="str">
        <f t="array" ref="A25">IF(OR(C25=C24,C25=0),"",INDEX(CkDJ[Date],MATCH(C25,CkDJ[JEV Number],0)))</f>
        <v/>
      </c>
      <c r="B25" s="692"/>
      <c r="C25" s="687" t="str">
        <f t="shared" si="2"/>
        <v>20-01-001</v>
      </c>
      <c r="D25" s="687"/>
      <c r="E25" s="687"/>
      <c r="F25" s="687"/>
      <c r="G25" s="688" t="str">
        <f t="array" ref="G25">IF(OR(C25=C24,C25=0),"",INDEX(CasheirCode[Name],MATCH((INDEX(CkDJ[Sort Code],MATCH(C25,CkDJ[JEV Number],0))),CasheirCode[Sort Code])))</f>
        <v/>
      </c>
      <c r="H25" s="689">
        <f t="array" ref="H25">IF(OR($C25=$C24,$C25=0),0,(SUM(IF((CkDJ[JEV Number]=$C25)*(CkDJ[Account Code]=(H$9)),CkDJ[Credit]))))</f>
        <v>0</v>
      </c>
      <c r="I25" s="689">
        <f t="array" ref="I25">IF(OR($C25=$C24,$C25=0),0,(SUM(IF((CkDJ[JEV Number]=$C25)*(CkDJ[Account Code]=(I$9)),CkDJ[Credit]))))</f>
        <v>0</v>
      </c>
      <c r="J25" s="724"/>
      <c r="K25" s="689">
        <f t="array" ref="K25">IF($C25=0,0,(SUM(IF((CkDJ[JEV Number]=$C25)*(CkDJ[Account Code]=(J25)),CkDJ[Credit]))))</f>
        <v>0</v>
      </c>
      <c r="L25" s="689">
        <f t="array" ref="L25">IF(OR($C25=$C24,$C25=0),0,(SUM(IF((CkDJ[JEV Number]=$C25)*(CkDJ[Account Code]=(L$9)),CkDJ[Debit]))))</f>
        <v>0</v>
      </c>
      <c r="M25" s="689">
        <f t="array" ref="M25">IF(OR($C25=$C24,$C25=0),0,(SUM(IF((CkDJ[JEV Number]=$C25)*(CkDJ[Account Code]=(M$9)),CkDJ[Debit]))))</f>
        <v>0</v>
      </c>
      <c r="N25" s="689">
        <f t="array" ref="N25">IF(OR($C25=$C24,$C25=0),0,(SUM(IF((CkDJ[JEV Number]=$C25)*(CkDJ[Account Code]=(N$9)),CkDJ[Debit]))))</f>
        <v>0</v>
      </c>
      <c r="O25" s="689">
        <f t="array" ref="O25">IF(OR($C25=$C24,$C25=0),0,(SUM(IF((CkDJ[JEV Number]=$C25)*(CkDJ[Account Code]=(O$9)),CkDJ[Debit]))))</f>
        <v>0</v>
      </c>
      <c r="P25" s="722"/>
      <c r="Q25" s="689">
        <f t="array" ref="Q25">IF($C25=0,0,(SUM(IF((CkDJ[JEV Number]=$C25)*(CkDJ[Account Code]=(P25)),CkDJ[Debit]))))</f>
        <v>0</v>
      </c>
      <c r="R25" s="691">
        <f t="shared" si="3"/>
        <v>0</v>
      </c>
    </row>
    <row r="26" spans="1:18">
      <c r="A26" s="670" t="str">
        <f t="array" ref="A26">IF(OR(C26=C25,C26=0),"",INDEX(CkDJ[Date],MATCH(C26,CkDJ[JEV Number],0)))</f>
        <v/>
      </c>
      <c r="B26" s="692"/>
      <c r="C26" s="687" t="str">
        <f t="shared" si="2"/>
        <v>20-01-001</v>
      </c>
      <c r="D26" s="687"/>
      <c r="E26" s="687"/>
      <c r="F26" s="687"/>
      <c r="G26" s="688" t="str">
        <f t="array" ref="G26">IF(OR(C26=C25,C26=0),"",INDEX(CasheirCode[Name],MATCH((INDEX(CkDJ[Sort Code],MATCH(C26,CkDJ[JEV Number],0))),CasheirCode[Sort Code])))</f>
        <v/>
      </c>
      <c r="H26" s="689">
        <f t="array" ref="H26">IF(OR($C26=$C25,$C26=0),0,(SUM(IF((CkDJ[JEV Number]=$C26)*(CkDJ[Account Code]=(H$9)),CkDJ[Credit]))))</f>
        <v>0</v>
      </c>
      <c r="I26" s="689">
        <f t="array" ref="I26">IF(OR($C26=$C25,$C26=0),0,(SUM(IF((CkDJ[JEV Number]=$C26)*(CkDJ[Account Code]=(I$9)),CkDJ[Credit]))))</f>
        <v>0</v>
      </c>
      <c r="J26" s="675"/>
      <c r="K26" s="689">
        <f t="array" ref="K26">IF($C26=0,0,(SUM(IF((CkDJ[JEV Number]=$C26)*(CkDJ[Account Code]=(J26)),CkDJ[Credit]))))</f>
        <v>0</v>
      </c>
      <c r="L26" s="689">
        <f t="array" ref="L26">IF(OR($C26=$C25,$C26=0),0,(SUM(IF((CkDJ[JEV Number]=$C26)*(CkDJ[Account Code]=(L$9)),CkDJ[Debit]))))</f>
        <v>0</v>
      </c>
      <c r="M26" s="689">
        <f t="array" ref="M26">IF(OR($C26=$C25,$C26=0),0,(SUM(IF((CkDJ[JEV Number]=$C26)*(CkDJ[Account Code]=(M$9)),CkDJ[Debit]))))</f>
        <v>0</v>
      </c>
      <c r="N26" s="689">
        <f t="array" ref="N26">IF(OR($C26=$C25,$C26=0),0,(SUM(IF((CkDJ[JEV Number]=$C26)*(CkDJ[Account Code]=(N$9)),CkDJ[Debit]))))</f>
        <v>0</v>
      </c>
      <c r="O26" s="689">
        <f t="array" ref="O26">IF(OR($C26=$C25,$C26=0),0,(SUM(IF((CkDJ[JEV Number]=$C26)*(CkDJ[Account Code]=(O$9)),CkDJ[Debit]))))</f>
        <v>0</v>
      </c>
      <c r="P26" s="722"/>
      <c r="Q26" s="689">
        <f t="array" ref="Q26">IF($C26=0,0,(SUM(IF((CkDJ[JEV Number]=$C26)*(CkDJ[Account Code]=(P26)),CkDJ[Debit]))))</f>
        <v>0</v>
      </c>
      <c r="R26" s="691">
        <f t="shared" si="3"/>
        <v>0</v>
      </c>
    </row>
    <row r="27" spans="1:18">
      <c r="A27" s="670" t="str">
        <f t="array" ref="A27">IF(OR(C27=C26,C27=0),"",INDEX(CkDJ[Date],MATCH(C27,CkDJ[JEV Number],0)))</f>
        <v/>
      </c>
      <c r="B27" s="692"/>
      <c r="C27" s="687" t="str">
        <f t="shared" si="2"/>
        <v>20-01-001</v>
      </c>
      <c r="D27" s="687"/>
      <c r="E27" s="687"/>
      <c r="F27" s="687"/>
      <c r="G27" s="688" t="str">
        <f t="array" ref="G27">IF(OR(C27=C26,C27=0),"",INDEX(CasheirCode[Name],MATCH((INDEX(CkDJ[Sort Code],MATCH(C27,CkDJ[JEV Number],0))),CasheirCode[Sort Code])))</f>
        <v/>
      </c>
      <c r="H27" s="689">
        <f t="array" ref="H27">IF(OR($C27=$C26,$C27=0),0,(SUM(IF((CkDJ[JEV Number]=$C27)*(CkDJ[Account Code]=(H$9)),CkDJ[Credit]))))</f>
        <v>0</v>
      </c>
      <c r="I27" s="689">
        <f t="array" ref="I27">IF(OR($C27=$C26,$C27=0),0,(SUM(IF((CkDJ[JEV Number]=$C27)*(CkDJ[Account Code]=(I$9)),CkDJ[Credit]))))</f>
        <v>0</v>
      </c>
      <c r="J27" s="675"/>
      <c r="K27" s="689">
        <f t="array" ref="K27">IF($C27=0,0,(SUM(IF((CkDJ[JEV Number]=$C27)*(CkDJ[Account Code]=(J27)),CkDJ[Credit]))))</f>
        <v>0</v>
      </c>
      <c r="L27" s="689">
        <f t="array" ref="L27">IF(OR($C27=$C26,$C27=0),0,(SUM(IF((CkDJ[JEV Number]=$C27)*(CkDJ[Account Code]=(L$9)),CkDJ[Debit]))))</f>
        <v>0</v>
      </c>
      <c r="M27" s="689">
        <f t="array" ref="M27">IF(OR($C27=$C26,$C27=0),0,(SUM(IF((CkDJ[JEV Number]=$C27)*(CkDJ[Account Code]=(M$9)),CkDJ[Debit]))))</f>
        <v>0</v>
      </c>
      <c r="N27" s="689">
        <f t="array" ref="N27">IF(OR($C27=$C26,$C27=0),0,(SUM(IF((CkDJ[JEV Number]=$C27)*(CkDJ[Account Code]=(N$9)),CkDJ[Debit]))))</f>
        <v>0</v>
      </c>
      <c r="O27" s="689">
        <f t="array" ref="O27">IF(OR($C27=$C26,$C27=0),0,(SUM(IF((CkDJ[JEV Number]=$C27)*(CkDJ[Account Code]=(O$9)),CkDJ[Debit]))))</f>
        <v>0</v>
      </c>
      <c r="P27" s="722"/>
      <c r="Q27" s="689">
        <f t="array" ref="Q27">IF($C27=0,0,(SUM(IF((CkDJ[JEV Number]=$C27)*(CkDJ[Account Code]=(P27)),CkDJ[Debit]))))</f>
        <v>0</v>
      </c>
      <c r="R27" s="691">
        <f t="shared" si="3"/>
        <v>0</v>
      </c>
    </row>
    <row r="28" spans="1:18">
      <c r="A28" s="670" t="str">
        <f t="array" ref="A28">IF(OR(C28=C27,C28=0),"",INDEX(CkDJ[Date],MATCH(C28,CkDJ[JEV Number],0)))</f>
        <v/>
      </c>
      <c r="B28" s="692"/>
      <c r="C28" s="687" t="str">
        <f t="shared" si="2"/>
        <v>20-01-001</v>
      </c>
      <c r="D28" s="687"/>
      <c r="E28" s="687"/>
      <c r="F28" s="687"/>
      <c r="G28" s="688" t="str">
        <f t="array" ref="G28">IF(OR(C28=C27,C28=0),"",INDEX(CasheirCode[Name],MATCH((INDEX(CkDJ[Sort Code],MATCH(C28,CkDJ[JEV Number],0))),CasheirCode[Sort Code])))</f>
        <v/>
      </c>
      <c r="H28" s="689">
        <f t="array" ref="H28">IF(OR($C28=$C27,$C28=0),0,(SUM(IF((CkDJ[JEV Number]=$C28)*(CkDJ[Account Code]=(H$9)),CkDJ[Credit]))))</f>
        <v>0</v>
      </c>
      <c r="I28" s="689">
        <f t="array" ref="I28">IF(OR($C28=$C27,$C28=0),0,(SUM(IF((CkDJ[JEV Number]=$C28)*(CkDJ[Account Code]=(I$9)),CkDJ[Credit]))))</f>
        <v>0</v>
      </c>
      <c r="J28" s="690"/>
      <c r="K28" s="689">
        <f t="array" ref="K28">IF($C28=0,0,(SUM(IF((CkDJ[JEV Number]=$C28)*(CkDJ[Account Code]=(J28)),CkDJ[Credit]))))</f>
        <v>0</v>
      </c>
      <c r="L28" s="689">
        <f t="array" ref="L28">IF(OR($C28=$C27,$C28=0),0,(SUM(IF((CkDJ[JEV Number]=$C28)*(CkDJ[Account Code]=(L$9)),CkDJ[Debit]))))</f>
        <v>0</v>
      </c>
      <c r="M28" s="689">
        <f t="array" ref="M28">IF(OR($C28=$C27,$C28=0),0,(SUM(IF((CkDJ[JEV Number]=$C28)*(CkDJ[Account Code]=(M$9)),CkDJ[Debit]))))</f>
        <v>0</v>
      </c>
      <c r="N28" s="689">
        <f t="array" ref="N28">IF(OR($C28=$C27,$C28=0),0,(SUM(IF((CkDJ[JEV Number]=$C28)*(CkDJ[Account Code]=(N$9)),CkDJ[Debit]))))</f>
        <v>0</v>
      </c>
      <c r="O28" s="689">
        <f t="array" ref="O28">IF(OR($C28=$C27,$C28=0),0,(SUM(IF((CkDJ[JEV Number]=$C28)*(CkDJ[Account Code]=(O$9)),CkDJ[Debit]))))</f>
        <v>0</v>
      </c>
      <c r="P28" s="722"/>
      <c r="Q28" s="689">
        <f t="array" ref="Q28">IF($C28=0,0,(SUM(IF((CkDJ[JEV Number]=$C28)*(CkDJ[Account Code]=(P28)),CkDJ[Debit]))))</f>
        <v>0</v>
      </c>
      <c r="R28" s="691">
        <f t="shared" si="3"/>
        <v>0</v>
      </c>
    </row>
    <row r="29" spans="1:18">
      <c r="A29" s="670" t="str">
        <f t="array" ref="A29">IF(OR(C29=C28,C29=0),"",INDEX(CkDJ[Date],MATCH(C29,CkDJ[JEV Number],0)))</f>
        <v/>
      </c>
      <c r="B29" s="692"/>
      <c r="C29" s="687" t="str">
        <f t="shared" si="2"/>
        <v>20-01-001</v>
      </c>
      <c r="D29" s="687"/>
      <c r="E29" s="687"/>
      <c r="F29" s="687"/>
      <c r="G29" s="688" t="str">
        <f t="array" ref="G29">IF(OR(C29=C28,C29=0),"",INDEX(CasheirCode[Name],MATCH((INDEX(CkDJ[Sort Code],MATCH(C29,CkDJ[JEV Number],0))),CasheirCode[Sort Code])))</f>
        <v/>
      </c>
      <c r="H29" s="689">
        <f t="array" ref="H29">IF(OR($C29=$C28,$C29=0),0,(SUM(IF((CkDJ[JEV Number]=$C29)*(CkDJ[Account Code]=(H$9)),CkDJ[Credit]))))</f>
        <v>0</v>
      </c>
      <c r="I29" s="689">
        <f t="array" ref="I29">IF(OR($C29=$C28,$C29=0),0,(SUM(IF((CkDJ[JEV Number]=$C29)*(CkDJ[Account Code]=(I$9)),CkDJ[Credit]))))</f>
        <v>0</v>
      </c>
      <c r="J29" s="690"/>
      <c r="K29" s="689">
        <f t="array" ref="K29">IF($C29=0,0,(SUM(IF((CkDJ[JEV Number]=$C29)*(CkDJ[Account Code]=(J29)),CkDJ[Credit]))))</f>
        <v>0</v>
      </c>
      <c r="L29" s="689">
        <f t="array" ref="L29">IF(OR($C29=$C28,$C29=0),0,(SUM(IF((CkDJ[JEV Number]=$C29)*(CkDJ[Account Code]=(L$9)),CkDJ[Debit]))))</f>
        <v>0</v>
      </c>
      <c r="M29" s="689">
        <f t="array" ref="M29">IF(OR($C29=$C28,$C29=0),0,(SUM(IF((CkDJ[JEV Number]=$C29)*(CkDJ[Account Code]=(M$9)),CkDJ[Debit]))))</f>
        <v>0</v>
      </c>
      <c r="N29" s="689">
        <f t="array" ref="N29">IF(OR($C29=$C28,$C29=0),0,(SUM(IF((CkDJ[JEV Number]=$C29)*(CkDJ[Account Code]=(N$9)),CkDJ[Debit]))))</f>
        <v>0</v>
      </c>
      <c r="O29" s="689">
        <f t="array" ref="O29">IF(OR($C29=$C28,$C29=0),0,(SUM(IF((CkDJ[JEV Number]=$C29)*(CkDJ[Account Code]=(O$9)),CkDJ[Debit]))))</f>
        <v>0</v>
      </c>
      <c r="P29" s="722"/>
      <c r="Q29" s="689">
        <f t="array" ref="Q29">IF($C29=0,0,(SUM(IF((CkDJ[JEV Number]=$C29)*(CkDJ[Account Code]=(P29)),CkDJ[Debit]))))</f>
        <v>0</v>
      </c>
      <c r="R29" s="691">
        <f t="shared" si="3"/>
        <v>0</v>
      </c>
    </row>
    <row r="30" spans="1:18">
      <c r="A30" s="670" t="str">
        <f t="array" ref="A30">IF(OR(C30=C29,C30=0),"",INDEX(CkDJ[Date],MATCH(C30,CkDJ[JEV Number],0)))</f>
        <v/>
      </c>
      <c r="B30" s="692"/>
      <c r="C30" s="687" t="str">
        <f t="shared" si="2"/>
        <v>20-01-001</v>
      </c>
      <c r="D30" s="687"/>
      <c r="E30" s="687"/>
      <c r="F30" s="687"/>
      <c r="G30" s="688" t="str">
        <f t="array" ref="G30">IF(OR(C30=C29,C30=0),"",INDEX(CasheirCode[Name],MATCH((INDEX(CkDJ[Sort Code],MATCH(C30,CkDJ[JEV Number],0))),CasheirCode[Sort Code])))</f>
        <v/>
      </c>
      <c r="H30" s="689">
        <f t="array" ref="H30">IF(OR($C30=$C29,$C30=0),0,(SUM(IF((CkDJ[JEV Number]=$C30)*(CkDJ[Account Code]=(H$9)),CkDJ[Credit]))))</f>
        <v>0</v>
      </c>
      <c r="I30" s="689">
        <f t="array" ref="I30">IF(OR($C30=$C29,$C30=0),0,(SUM(IF((CkDJ[JEV Number]=$C30)*(CkDJ[Account Code]=(I$9)),CkDJ[Credit]))))</f>
        <v>0</v>
      </c>
      <c r="J30" s="690"/>
      <c r="K30" s="689">
        <f t="array" ref="K30">IF($C30=0,0,(SUM(IF((CkDJ[JEV Number]=$C30)*(CkDJ[Account Code]=(J30)),CkDJ[Credit]))))</f>
        <v>0</v>
      </c>
      <c r="L30" s="689">
        <f t="array" ref="L30">IF(OR($C30=$C29,$C30=0),0,(SUM(IF((CkDJ[JEV Number]=$C30)*(CkDJ[Account Code]=(L$9)),CkDJ[Debit]))))</f>
        <v>0</v>
      </c>
      <c r="M30" s="689">
        <f t="array" ref="M30">IF(OR($C30=$C29,$C30=0),0,(SUM(IF((CkDJ[JEV Number]=$C30)*(CkDJ[Account Code]=(M$9)),CkDJ[Debit]))))</f>
        <v>0</v>
      </c>
      <c r="N30" s="689">
        <f t="array" ref="N30">IF(OR($C30=$C29,$C30=0),0,(SUM(IF((CkDJ[JEV Number]=$C30)*(CkDJ[Account Code]=(N$9)),CkDJ[Debit]))))</f>
        <v>0</v>
      </c>
      <c r="O30" s="689">
        <f t="array" ref="O30">IF(OR($C30=$C29,$C30=0),0,(SUM(IF((CkDJ[JEV Number]=$C30)*(CkDJ[Account Code]=(O$9)),CkDJ[Debit]))))</f>
        <v>0</v>
      </c>
      <c r="P30" s="722"/>
      <c r="Q30" s="689">
        <f t="array" ref="Q30">IF($C30=0,0,(SUM(IF((CkDJ[JEV Number]=$C30)*(CkDJ[Account Code]=(P30)),CkDJ[Debit]))))</f>
        <v>0</v>
      </c>
      <c r="R30" s="691">
        <f t="shared" si="3"/>
        <v>0</v>
      </c>
    </row>
    <row r="31" spans="1:18">
      <c r="A31" s="670" t="str">
        <f t="array" ref="A31">IF(OR(C31=C30,C31=0),"",INDEX(CkDJ[Date],MATCH(C31,CkDJ[JEV Number],0)))</f>
        <v/>
      </c>
      <c r="B31" s="692"/>
      <c r="C31" s="687" t="str">
        <f>IF(B31=0,C30,B31)</f>
        <v>20-01-001</v>
      </c>
      <c r="D31" s="687"/>
      <c r="E31" s="687"/>
      <c r="F31" s="687"/>
      <c r="G31" s="688" t="str">
        <f t="array" ref="G31">IF(OR(C31=C30,C31=0),"",INDEX(CasheirCode[Name],MATCH((INDEX(CkDJ[Sort Code],MATCH(C31,CkDJ[JEV Number],0))),CasheirCode[Sort Code])))</f>
        <v/>
      </c>
      <c r="H31" s="689">
        <f t="array" ref="H31">IF(OR($C31=$C30,$C31=0),0,(SUM(IF((CkDJ[JEV Number]=$C31)*(CkDJ[Account Code]=(H$9)),CkDJ[Credit]))))</f>
        <v>0</v>
      </c>
      <c r="I31" s="689">
        <f t="array" ref="I31">IF(OR($C31=$C30,$C31=0),0,(SUM(IF((CkDJ[JEV Number]=$C31)*(CkDJ[Account Code]=(I$9)),CkDJ[Credit]))))</f>
        <v>0</v>
      </c>
      <c r="J31" s="690"/>
      <c r="K31" s="689">
        <f t="array" ref="K31">IF($C31=0,0,(SUM(IF((CkDJ[JEV Number]=$C31)*(CkDJ[Account Code]=(J31)),CkDJ[Credit]))))</f>
        <v>0</v>
      </c>
      <c r="L31" s="689">
        <f t="array" ref="L31">IF(OR($C31=$C30,$C31=0),0,(SUM(IF((CkDJ[JEV Number]=$C31)*(CkDJ[Account Code]=(L$9)),CkDJ[Debit]))))</f>
        <v>0</v>
      </c>
      <c r="M31" s="689">
        <f t="array" ref="M31">IF(OR($C31=$C30,$C31=0),0,(SUM(IF((CkDJ[JEV Number]=$C31)*(CkDJ[Account Code]=(M$9)),CkDJ[Debit]))))</f>
        <v>0</v>
      </c>
      <c r="N31" s="689">
        <f t="array" ref="N31">IF(OR($C31=$C30,$C31=0),0,(SUM(IF((CkDJ[JEV Number]=$C31)*(CkDJ[Account Code]=(N$9)),CkDJ[Debit]))))</f>
        <v>0</v>
      </c>
      <c r="O31" s="689">
        <f t="array" ref="O31">IF(OR($C31=$C30,$C31=0),0,(SUM(IF((CkDJ[JEV Number]=$C31)*(CkDJ[Account Code]=(O$9)),CkDJ[Debit]))))</f>
        <v>0</v>
      </c>
      <c r="P31" s="722"/>
      <c r="Q31" s="689">
        <f t="array" ref="Q31">IF($C31=0,0,(SUM(IF((CkDJ[JEV Number]=$C31)*(CkDJ[Account Code]=(P31)),CkDJ[Debit]))))</f>
        <v>0</v>
      </c>
      <c r="R31" s="691">
        <f>R30+(SUM(L31:O31)+Q31)-(SUM(H31:I31)+K31)</f>
        <v>0</v>
      </c>
    </row>
    <row r="32" spans="1:18">
      <c r="A32" s="670" t="str">
        <f t="array" ref="A32">IF(OR(C32=C31,C32=0),"",INDEX(CkDJ[Date],MATCH(C32,CkDJ[JEV Number],0)))</f>
        <v/>
      </c>
      <c r="B32" s="671"/>
      <c r="C32" s="687" t="str">
        <f t="shared" si="2"/>
        <v>20-01-001</v>
      </c>
      <c r="D32" s="687"/>
      <c r="E32" s="687"/>
      <c r="F32" s="687"/>
      <c r="G32" s="688" t="str">
        <f t="array" ref="G32">IF(OR(C32=C31,C32=0),"",INDEX(CasheirCode[Name],MATCH((INDEX(CkDJ[Sort Code],MATCH(C32,CkDJ[JEV Number],0))),CasheirCode[Sort Code])))</f>
        <v/>
      </c>
      <c r="H32" s="689">
        <f t="array" ref="H32">IF(OR($C32=$C31,$C32=0),0,(SUM(IF((CkDJ[JEV Number]=$C32)*(CkDJ[Account Code]=(H$9)),CkDJ[Credit]))))</f>
        <v>0</v>
      </c>
      <c r="I32" s="689">
        <f t="array" ref="I32">IF(OR($C32=$C31,$C32=0),0,(SUM(IF((CkDJ[JEV Number]=$C32)*(CkDJ[Account Code]=(I$9)),CkDJ[Credit]))))</f>
        <v>0</v>
      </c>
      <c r="J32" s="675"/>
      <c r="K32" s="689">
        <f t="array" ref="K32">IF($C32=0,0,(SUM(IF((CkDJ[JEV Number]=$C32)*(CkDJ[Account Code]=(J32)),CkDJ[Credit]))))</f>
        <v>0</v>
      </c>
      <c r="L32" s="689">
        <f t="array" ref="L32">IF(OR($C32=$C31,$C32=0),0,(SUM(IF((CkDJ[JEV Number]=$C32)*(CkDJ[Account Code]=(L$9)),CkDJ[Debit]))))</f>
        <v>0</v>
      </c>
      <c r="M32" s="689">
        <f t="array" ref="M32">IF(OR($C32=$C31,$C32=0),0,(SUM(IF((CkDJ[JEV Number]=$C32)*(CkDJ[Account Code]=(M$9)),CkDJ[Debit]))))</f>
        <v>0</v>
      </c>
      <c r="N32" s="689">
        <f t="array" ref="N32">IF(OR($C32=$C31,$C32=0),0,(SUM(IF((CkDJ[JEV Number]=$C32)*(CkDJ[Account Code]=(N$9)),CkDJ[Debit]))))</f>
        <v>0</v>
      </c>
      <c r="O32" s="689">
        <f t="array" ref="O32">IF(OR($C32=$C31,$C32=0),0,(SUM(IF((CkDJ[JEV Number]=$C32)*(CkDJ[Account Code]=(O$9)),CkDJ[Debit]))))</f>
        <v>0</v>
      </c>
      <c r="P32" s="722"/>
      <c r="Q32" s="689">
        <f t="array" ref="Q32">IF($C32=0,0,(SUM(IF((CkDJ[JEV Number]=$C32)*(CkDJ[Account Code]=(P32)),CkDJ[Debit]))))</f>
        <v>0</v>
      </c>
      <c r="R32" s="691">
        <f t="shared" si="3"/>
        <v>0</v>
      </c>
    </row>
    <row r="33" spans="1:18">
      <c r="A33" s="670" t="str">
        <f t="array" ref="A33">IF(OR(C33=C32,C33=0),"",INDEX(CkDJ[Date],MATCH(C33,CkDJ[JEV Number],0)))</f>
        <v/>
      </c>
      <c r="B33" s="692"/>
      <c r="C33" s="687" t="str">
        <f t="shared" si="2"/>
        <v>20-01-001</v>
      </c>
      <c r="D33" s="687"/>
      <c r="E33" s="687"/>
      <c r="F33" s="687"/>
      <c r="G33" s="688" t="str">
        <f t="array" ref="G33">IF(OR(C33=C32,C33=0),"",INDEX(CasheirCode[Name],MATCH((INDEX(CkDJ[Sort Code],MATCH(C33,CkDJ[JEV Number],0))),CasheirCode[Sort Code])))</f>
        <v/>
      </c>
      <c r="H33" s="689">
        <f t="array" ref="H33">IF(OR($C33=$C32,$C33=0),0,(SUM(IF((CkDJ[JEV Number]=$C33)*(CkDJ[Account Code]=(H$9)),CkDJ[Credit]))))</f>
        <v>0</v>
      </c>
      <c r="I33" s="689">
        <f t="array" ref="I33">IF(OR($C33=$C32,$C33=0),0,(SUM(IF((CkDJ[JEV Number]=$C33)*(CkDJ[Account Code]=(I$9)),CkDJ[Credit]))))</f>
        <v>0</v>
      </c>
      <c r="J33" s="675"/>
      <c r="K33" s="689">
        <f t="array" ref="K33">IF($C33=0,0,(SUM(IF((CkDJ[JEV Number]=$C33)*(CkDJ[Account Code]=(J33)),CkDJ[Credit]))))</f>
        <v>0</v>
      </c>
      <c r="L33" s="689">
        <f t="array" ref="L33">IF(OR($C33=$C32,$C33=0),0,(SUM(IF((CkDJ[JEV Number]=$C33)*(CkDJ[Account Code]=(L$9)),CkDJ[Debit]))))</f>
        <v>0</v>
      </c>
      <c r="M33" s="689">
        <f t="array" ref="M33">IF(OR($C33=$C32,$C33=0),0,(SUM(IF((CkDJ[JEV Number]=$C33)*(CkDJ[Account Code]=(M$9)),CkDJ[Debit]))))</f>
        <v>0</v>
      </c>
      <c r="N33" s="689">
        <f t="array" ref="N33">IF(OR($C33=$C32,$C33=0),0,(SUM(IF((CkDJ[JEV Number]=$C33)*(CkDJ[Account Code]=(N$9)),CkDJ[Debit]))))</f>
        <v>0</v>
      </c>
      <c r="O33" s="689">
        <f t="array" ref="O33">IF(OR($C33=$C32,$C33=0),0,(SUM(IF((CkDJ[JEV Number]=$C33)*(CkDJ[Account Code]=(O$9)),CkDJ[Debit]))))</f>
        <v>0</v>
      </c>
      <c r="P33" s="722"/>
      <c r="Q33" s="689">
        <f t="array" ref="Q33">IF($C33=0,0,(SUM(IF((CkDJ[JEV Number]=$C33)*(CkDJ[Account Code]=(P33)),CkDJ[Debit]))))</f>
        <v>0</v>
      </c>
      <c r="R33" s="691">
        <f t="shared" si="3"/>
        <v>0</v>
      </c>
    </row>
    <row r="34" spans="1:18">
      <c r="A34" s="670" t="str">
        <f t="array" ref="A34">IF(OR(C34=C33,C34=0),"",INDEX(CkDJ[Date],MATCH(C34,CkDJ[JEV Number],0)))</f>
        <v/>
      </c>
      <c r="B34" s="671"/>
      <c r="C34" s="687" t="str">
        <f t="shared" si="2"/>
        <v>20-01-001</v>
      </c>
      <c r="D34" s="687"/>
      <c r="E34" s="687"/>
      <c r="F34" s="687"/>
      <c r="G34" s="688" t="str">
        <f t="array" ref="G34">IF(OR(C34=C33,C34=0),"",INDEX(CasheirCode[Name],MATCH((INDEX(CkDJ[Sort Code],MATCH(C34,CkDJ[JEV Number],0))),CasheirCode[Sort Code])))</f>
        <v/>
      </c>
      <c r="H34" s="689">
        <f t="array" ref="H34">IF(OR($C34=$C33,$C34=0),0,(SUM(IF((CkDJ[JEV Number]=$C34)*(CkDJ[Account Code]=(H$9)),CkDJ[Credit]))))</f>
        <v>0</v>
      </c>
      <c r="I34" s="689">
        <f t="array" ref="I34">IF(OR($C34=$C33,$C34=0),0,(SUM(IF((CkDJ[JEV Number]=$C34)*(CkDJ[Account Code]=(I$9)),CkDJ[Credit]))))</f>
        <v>0</v>
      </c>
      <c r="J34" s="675"/>
      <c r="K34" s="689">
        <f t="array" ref="K34">IF($C34=0,0,(SUM(IF((CkDJ[JEV Number]=$C34)*(CkDJ[Account Code]=(J34)),CkDJ[Credit]))))</f>
        <v>0</v>
      </c>
      <c r="L34" s="689">
        <f t="array" ref="L34">IF(OR($C34=$C33,$C34=0),0,(SUM(IF((CkDJ[JEV Number]=$C34)*(CkDJ[Account Code]=(L$9)),CkDJ[Debit]))))</f>
        <v>0</v>
      </c>
      <c r="M34" s="689">
        <f t="array" ref="M34">IF(OR($C34=$C33,$C34=0),0,(SUM(IF((CkDJ[JEV Number]=$C34)*(CkDJ[Account Code]=(M$9)),CkDJ[Debit]))))</f>
        <v>0</v>
      </c>
      <c r="N34" s="689">
        <f t="array" ref="N34">IF(OR($C34=$C33,$C34=0),0,(SUM(IF((CkDJ[JEV Number]=$C34)*(CkDJ[Account Code]=(N$9)),CkDJ[Debit]))))</f>
        <v>0</v>
      </c>
      <c r="O34" s="689">
        <f t="array" ref="O34">IF(OR($C34=$C33,$C34=0),0,(SUM(IF((CkDJ[JEV Number]=$C34)*(CkDJ[Account Code]=(O$9)),CkDJ[Debit]))))</f>
        <v>0</v>
      </c>
      <c r="P34" s="722"/>
      <c r="Q34" s="689">
        <f t="array" ref="Q34">IF($C34=0,0,(SUM(IF((CkDJ[JEV Number]=$C34)*(CkDJ[Account Code]=(P34)),CkDJ[Debit]))))</f>
        <v>0</v>
      </c>
      <c r="R34" s="691">
        <f t="shared" si="3"/>
        <v>0</v>
      </c>
    </row>
    <row r="35" spans="1:18">
      <c r="A35" s="670" t="str">
        <f t="array" ref="A35">IF(OR(C35=C34,C35=0),"",INDEX(CkDJ[Date],MATCH(C35,CkDJ[JEV Number],0)))</f>
        <v/>
      </c>
      <c r="B35" s="671"/>
      <c r="C35" s="672" t="str">
        <f t="shared" ref="C35:C74" si="4">IF(B35=0,C34,B35)</f>
        <v>20-01-001</v>
      </c>
      <c r="D35" s="672"/>
      <c r="E35" s="672"/>
      <c r="F35" s="672"/>
      <c r="G35" s="673" t="str">
        <f t="array" ref="G35">IF(OR(C35=C34,C35=0),"",INDEX(CasheirCode[Name],MATCH((INDEX(CkDJ[Sort Code],MATCH(C35,CkDJ[JEV Number],0))),CasheirCode[Sort Code])))</f>
        <v/>
      </c>
      <c r="H35" s="674">
        <f t="array" ref="H35">IF(OR($C35=$C34,$C35=0),0,(SUM(IF((CkDJ[JEV Number]=$C35)*(CkDJ[Account Code]=(H$9)),CkDJ[Credit]))))</f>
        <v>0</v>
      </c>
      <c r="I35" s="674">
        <f t="array" ref="I35">IF(OR($C35=$C34,$C35=0),0,(SUM(IF((CkDJ[JEV Number]=$C35)*(CkDJ[Account Code]=(I$9)),CkDJ[Credit]))))</f>
        <v>0</v>
      </c>
      <c r="J35" s="675"/>
      <c r="K35" s="674">
        <f t="array" ref="K35">IF($C35=0,0,(SUM(IF((CkDJ[JEV Number]=$C35)*(CkDJ[Account Code]=(J35)),CkDJ[Credit]))))</f>
        <v>0</v>
      </c>
      <c r="L35" s="674">
        <f t="array" ref="L35">IF(OR($C35=$C34,$C35=0),0,(SUM(IF((CkDJ[JEV Number]=$C35)*(CkDJ[Account Code]=(L$9)),CkDJ[Debit]))))</f>
        <v>0</v>
      </c>
      <c r="M35" s="674">
        <f t="array" ref="M35">IF(OR($C35=$C34,$C35=0),0,(SUM(IF((CkDJ[JEV Number]=$C35)*(CkDJ[Account Code]=(M$9)),CkDJ[Debit]))))</f>
        <v>0</v>
      </c>
      <c r="N35" s="674">
        <f t="array" ref="N35">IF(OR($C35=$C34,$C35=0),0,(SUM(IF((CkDJ[JEV Number]=$C35)*(CkDJ[Account Code]=(N$9)),CkDJ[Debit]))))</f>
        <v>0</v>
      </c>
      <c r="O35" s="674">
        <f t="array" ref="O35">IF(OR($C35=$C34,$C35=0),0,(SUM(IF((CkDJ[JEV Number]=$C35)*(CkDJ[Account Code]=(O$9)),CkDJ[Debit]))))</f>
        <v>0</v>
      </c>
      <c r="P35" s="722"/>
      <c r="Q35" s="689">
        <f t="array" ref="Q35">IF($C35=0,0,(SUM(IF((CkDJ[JEV Number]=$C35)*(CkDJ[Account Code]=(P35)),CkDJ[Debit]))))</f>
        <v>0</v>
      </c>
      <c r="R35" s="676">
        <f t="shared" ref="R35:R74" si="5">R34+(SUM(L35:O35)+Q35)-(SUM(H35:I35)+K35)</f>
        <v>0</v>
      </c>
    </row>
    <row r="36" spans="1:18">
      <c r="A36" s="670" t="str">
        <f t="array" ref="A36">IF(OR(C36=C35,C36=0),"",INDEX(CkDJ[Date],MATCH(C36,CkDJ[JEV Number],0)))</f>
        <v/>
      </c>
      <c r="B36" s="671"/>
      <c r="C36" s="672" t="str">
        <f t="shared" si="4"/>
        <v>20-01-001</v>
      </c>
      <c r="D36" s="672"/>
      <c r="E36" s="672"/>
      <c r="F36" s="672"/>
      <c r="G36" s="673" t="str">
        <f t="array" ref="G36">IF(OR(C36=C35,C36=0),"",INDEX(CasheirCode[Name],MATCH((INDEX(CkDJ[Sort Code],MATCH(C36,CkDJ[JEV Number],0))),CasheirCode[Sort Code])))</f>
        <v/>
      </c>
      <c r="H36" s="674">
        <f t="array" ref="H36">IF(OR($C36=$C35,$C36=0),0,(SUM(IF((CkDJ[JEV Number]=$C36)*(CkDJ[Account Code]=(H$9)),CkDJ[Credit]))))</f>
        <v>0</v>
      </c>
      <c r="I36" s="674">
        <f t="array" ref="I36">IF(OR($C36=$C35,$C36=0),0,(SUM(IF((CkDJ[JEV Number]=$C36)*(CkDJ[Account Code]=(I$9)),CkDJ[Credit]))))</f>
        <v>0</v>
      </c>
      <c r="J36" s="675"/>
      <c r="K36" s="674">
        <f t="array" ref="K36">IF($C36=0,0,(SUM(IF((CkDJ[JEV Number]=$C36)*(CkDJ[Account Code]=(J36)),CkDJ[Credit]))))</f>
        <v>0</v>
      </c>
      <c r="L36" s="674">
        <f t="array" ref="L36">IF(OR($C36=$C35,$C36=0),0,(SUM(IF((CkDJ[JEV Number]=$C36)*(CkDJ[Account Code]=(L$9)),CkDJ[Debit]))))</f>
        <v>0</v>
      </c>
      <c r="M36" s="674">
        <f t="array" ref="M36">IF(OR($C36=$C35,$C36=0),0,(SUM(IF((CkDJ[JEV Number]=$C36)*(CkDJ[Account Code]=(M$9)),CkDJ[Debit]))))</f>
        <v>0</v>
      </c>
      <c r="N36" s="674">
        <f t="array" ref="N36">IF(OR($C36=$C35,$C36=0),0,(SUM(IF((CkDJ[JEV Number]=$C36)*(CkDJ[Account Code]=(N$9)),CkDJ[Debit]))))</f>
        <v>0</v>
      </c>
      <c r="O36" s="674">
        <f t="array" ref="O36">IF(OR($C36=$C35,$C36=0),0,(SUM(IF((CkDJ[JEV Number]=$C36)*(CkDJ[Account Code]=(O$9)),CkDJ[Debit]))))</f>
        <v>0</v>
      </c>
      <c r="P36" s="722"/>
      <c r="Q36" s="689">
        <f t="array" ref="Q36">IF($C36=0,0,(SUM(IF((CkDJ[JEV Number]=$C36)*(CkDJ[Account Code]=(P36)),CkDJ[Debit]))))</f>
        <v>0</v>
      </c>
      <c r="R36" s="676">
        <f t="shared" si="5"/>
        <v>0</v>
      </c>
    </row>
    <row r="37" spans="1:18">
      <c r="A37" s="670" t="str">
        <f t="array" ref="A37">IF(OR(C37=C36,C37=0),"",INDEX(CkDJ[Date],MATCH(C37,CkDJ[JEV Number],0)))</f>
        <v/>
      </c>
      <c r="B37" s="671"/>
      <c r="C37" s="672" t="str">
        <f t="shared" si="4"/>
        <v>20-01-001</v>
      </c>
      <c r="D37" s="672"/>
      <c r="E37" s="672"/>
      <c r="F37" s="672"/>
      <c r="G37" s="673" t="str">
        <f t="array" ref="G37">IF(OR(C37=C36,C37=0),"",INDEX(CasheirCode[Name],MATCH((INDEX(CkDJ[Sort Code],MATCH(C37,CkDJ[JEV Number],0))),CasheirCode[Sort Code])))</f>
        <v/>
      </c>
      <c r="H37" s="674">
        <f t="array" ref="H37">IF(OR($C37=$C36,$C37=0),0,(SUM(IF((CkDJ[JEV Number]=$C37)*(CkDJ[Account Code]=(H$9)),CkDJ[Credit]))))</f>
        <v>0</v>
      </c>
      <c r="I37" s="674">
        <f t="array" ref="I37">IF(OR($C37=$C36,$C37=0),0,(SUM(IF((CkDJ[JEV Number]=$C37)*(CkDJ[Account Code]=(I$9)),CkDJ[Credit]))))</f>
        <v>0</v>
      </c>
      <c r="J37" s="675"/>
      <c r="K37" s="674">
        <f t="array" ref="K37">IF($C37=0,0,(SUM(IF((CkDJ[JEV Number]=$C37)*(CkDJ[Account Code]=(J37)),CkDJ[Credit]))))</f>
        <v>0</v>
      </c>
      <c r="L37" s="674">
        <f t="array" ref="L37">IF(OR($C37=$C36,$C37=0),0,(SUM(IF((CkDJ[JEV Number]=$C37)*(CkDJ[Account Code]=(L$9)),CkDJ[Debit]))))</f>
        <v>0</v>
      </c>
      <c r="M37" s="674">
        <f t="array" ref="M37">IF(OR($C37=$C36,$C37=0),0,(SUM(IF((CkDJ[JEV Number]=$C37)*(CkDJ[Account Code]=(M$9)),CkDJ[Debit]))))</f>
        <v>0</v>
      </c>
      <c r="N37" s="674">
        <f t="array" ref="N37">IF(OR($C37=$C36,$C37=0),0,(SUM(IF((CkDJ[JEV Number]=$C37)*(CkDJ[Account Code]=(N$9)),CkDJ[Debit]))))</f>
        <v>0</v>
      </c>
      <c r="O37" s="674">
        <f t="array" ref="O37">IF(OR($C37=$C36,$C37=0),0,(SUM(IF((CkDJ[JEV Number]=$C37)*(CkDJ[Account Code]=(O$9)),CkDJ[Debit]))))</f>
        <v>0</v>
      </c>
      <c r="P37" s="722"/>
      <c r="Q37" s="689">
        <f t="array" ref="Q37">IF($C37=0,0,(SUM(IF((CkDJ[JEV Number]=$C37)*(CkDJ[Account Code]=(P37)),CkDJ[Debit]))))</f>
        <v>0</v>
      </c>
      <c r="R37" s="676">
        <f t="shared" si="5"/>
        <v>0</v>
      </c>
    </row>
    <row r="38" spans="1:18">
      <c r="A38" s="670" t="str">
        <f t="array" ref="A38">IF(OR(C38=C37,C38=0),"",INDEX(CkDJ[Date],MATCH(C38,CkDJ[JEV Number],0)))</f>
        <v/>
      </c>
      <c r="B38" s="671"/>
      <c r="C38" s="672" t="str">
        <f t="shared" si="4"/>
        <v>20-01-001</v>
      </c>
      <c r="D38" s="672"/>
      <c r="E38" s="672"/>
      <c r="F38" s="672"/>
      <c r="G38" s="673" t="str">
        <f t="array" ref="G38">IF(OR(C38=C37,C38=0),"",INDEX(CasheirCode[Name],MATCH((INDEX(CkDJ[Sort Code],MATCH(C38,CkDJ[JEV Number],0))),CasheirCode[Sort Code])))</f>
        <v/>
      </c>
      <c r="H38" s="674">
        <f t="array" ref="H38">IF(OR($C38=$C37,$C38=0),0,(SUM(IF((CkDJ[JEV Number]=$C38)*(CkDJ[Account Code]=(H$9)),CkDJ[Credit]))))</f>
        <v>0</v>
      </c>
      <c r="I38" s="674">
        <f t="array" ref="I38">IF(OR($C38=$C37,$C38=0),0,(SUM(IF((CkDJ[JEV Number]=$C38)*(CkDJ[Account Code]=(I$9)),CkDJ[Credit]))))</f>
        <v>0</v>
      </c>
      <c r="J38" s="675"/>
      <c r="K38" s="674">
        <f t="array" ref="K38">IF($C38=0,0,(SUM(IF((CkDJ[JEV Number]=$C38)*(CkDJ[Account Code]=(J38)),CkDJ[Credit]))))</f>
        <v>0</v>
      </c>
      <c r="L38" s="674">
        <f t="array" ref="L38">IF(OR($C38=$C37,$C38=0),0,(SUM(IF((CkDJ[JEV Number]=$C38)*(CkDJ[Account Code]=(L$9)),CkDJ[Debit]))))</f>
        <v>0</v>
      </c>
      <c r="M38" s="674">
        <f t="array" ref="M38">IF(OR($C38=$C37,$C38=0),0,(SUM(IF((CkDJ[JEV Number]=$C38)*(CkDJ[Account Code]=(M$9)),CkDJ[Debit]))))</f>
        <v>0</v>
      </c>
      <c r="N38" s="674">
        <f t="array" ref="N38">IF(OR($C38=$C37,$C38=0),0,(SUM(IF((CkDJ[JEV Number]=$C38)*(CkDJ[Account Code]=(N$9)),CkDJ[Debit]))))</f>
        <v>0</v>
      </c>
      <c r="O38" s="674">
        <f t="array" ref="O38">IF(OR($C38=$C37,$C38=0),0,(SUM(IF((CkDJ[JEV Number]=$C38)*(CkDJ[Account Code]=(O$9)),CkDJ[Debit]))))</f>
        <v>0</v>
      </c>
      <c r="P38" s="722"/>
      <c r="Q38" s="689">
        <f t="array" ref="Q38">IF($C38=0,0,(SUM(IF((CkDJ[JEV Number]=$C38)*(CkDJ[Account Code]=(P38)),CkDJ[Debit]))))</f>
        <v>0</v>
      </c>
      <c r="R38" s="676">
        <f t="shared" si="5"/>
        <v>0</v>
      </c>
    </row>
    <row r="39" spans="1:18">
      <c r="A39" s="670" t="str">
        <f t="array" ref="A39">IF(OR(C39=C38,C39=0),"",INDEX(CkDJ[Date],MATCH(C39,CkDJ[JEV Number],0)))</f>
        <v/>
      </c>
      <c r="B39" s="671"/>
      <c r="C39" s="672" t="str">
        <f t="shared" si="4"/>
        <v>20-01-001</v>
      </c>
      <c r="D39" s="672"/>
      <c r="E39" s="672"/>
      <c r="F39" s="672"/>
      <c r="G39" s="673" t="str">
        <f t="array" ref="G39">IF(OR(C39=C38,C39=0),"",INDEX(CasheirCode[Name],MATCH((INDEX(CkDJ[Sort Code],MATCH(C39,CkDJ[JEV Number],0))),CasheirCode[Sort Code])))</f>
        <v/>
      </c>
      <c r="H39" s="674">
        <f t="array" ref="H39">IF(OR($C39=$C38,$C39=0),0,(SUM(IF((CkDJ[JEV Number]=$C39)*(CkDJ[Account Code]=(H$9)),CkDJ[Credit]))))</f>
        <v>0</v>
      </c>
      <c r="I39" s="674">
        <f t="array" ref="I39">IF(OR($C39=$C38,$C39=0),0,(SUM(IF((CkDJ[JEV Number]=$C39)*(CkDJ[Account Code]=(I$9)),CkDJ[Credit]))))</f>
        <v>0</v>
      </c>
      <c r="J39" s="675"/>
      <c r="K39" s="674">
        <f t="array" ref="K39">IF($C39=0,0,(SUM(IF((CkDJ[JEV Number]=$C39)*(CkDJ[Account Code]=(J39)),CkDJ[Credit]))))</f>
        <v>0</v>
      </c>
      <c r="L39" s="674">
        <f t="array" ref="L39">IF(OR($C39=$C38,$C39=0),0,(SUM(IF((CkDJ[JEV Number]=$C39)*(CkDJ[Account Code]=(L$9)),CkDJ[Debit]))))</f>
        <v>0</v>
      </c>
      <c r="M39" s="674">
        <f t="array" ref="M39">IF(OR($C39=$C38,$C39=0),0,(SUM(IF((CkDJ[JEV Number]=$C39)*(CkDJ[Account Code]=(M$9)),CkDJ[Debit]))))</f>
        <v>0</v>
      </c>
      <c r="N39" s="674">
        <f t="array" ref="N39">IF(OR($C39=$C38,$C39=0),0,(SUM(IF((CkDJ[JEV Number]=$C39)*(CkDJ[Account Code]=(N$9)),CkDJ[Debit]))))</f>
        <v>0</v>
      </c>
      <c r="O39" s="674">
        <f t="array" ref="O39">IF(OR($C39=$C38,$C39=0),0,(SUM(IF((CkDJ[JEV Number]=$C39)*(CkDJ[Account Code]=(O$9)),CkDJ[Debit]))))</f>
        <v>0</v>
      </c>
      <c r="P39" s="722"/>
      <c r="Q39" s="689">
        <f t="array" ref="Q39">IF($C39=0,0,(SUM(IF((CkDJ[JEV Number]=$C39)*(CkDJ[Account Code]=(P39)),CkDJ[Debit]))))</f>
        <v>0</v>
      </c>
      <c r="R39" s="676">
        <f t="shared" si="5"/>
        <v>0</v>
      </c>
    </row>
    <row r="40" spans="1:18">
      <c r="A40" s="670" t="str">
        <f t="array" ref="A40">IF(OR(C40=C39,C40=0),"",INDEX(CkDJ[Date],MATCH(C40,CkDJ[JEV Number],0)))</f>
        <v/>
      </c>
      <c r="B40" s="671"/>
      <c r="C40" s="672" t="str">
        <f t="shared" si="4"/>
        <v>20-01-001</v>
      </c>
      <c r="D40" s="672"/>
      <c r="E40" s="672"/>
      <c r="F40" s="672"/>
      <c r="G40" s="673" t="str">
        <f t="array" ref="G40">IF(OR(C40=C39,C40=0),"",INDEX(CasheirCode[Name],MATCH((INDEX(CkDJ[Sort Code],MATCH(C40,CkDJ[JEV Number],0))),CasheirCode[Sort Code])))</f>
        <v/>
      </c>
      <c r="H40" s="674">
        <f t="array" ref="H40">IF(OR($C40=$C39,$C40=0),0,(SUM(IF((CkDJ[JEV Number]=$C40)*(CkDJ[Account Code]=(H$9)),CkDJ[Credit]))))</f>
        <v>0</v>
      </c>
      <c r="I40" s="674">
        <f t="array" ref="I40">IF(OR($C40=$C39,$C40=0),0,(SUM(IF((CkDJ[JEV Number]=$C40)*(CkDJ[Account Code]=(I$9)),CkDJ[Credit]))))</f>
        <v>0</v>
      </c>
      <c r="J40" s="675"/>
      <c r="K40" s="674">
        <f t="array" ref="K40">IF($C40=0,0,(SUM(IF((CkDJ[JEV Number]=$C40)*(CkDJ[Account Code]=(J40)),CkDJ[Credit]))))</f>
        <v>0</v>
      </c>
      <c r="L40" s="674">
        <f t="array" ref="L40">IF(OR($C40=$C39,$C40=0),0,(SUM(IF((CkDJ[JEV Number]=$C40)*(CkDJ[Account Code]=(L$9)),CkDJ[Debit]))))</f>
        <v>0</v>
      </c>
      <c r="M40" s="674">
        <f t="array" ref="M40">IF(OR($C40=$C39,$C40=0),0,(SUM(IF((CkDJ[JEV Number]=$C40)*(CkDJ[Account Code]=(M$9)),CkDJ[Debit]))))</f>
        <v>0</v>
      </c>
      <c r="N40" s="674">
        <f t="array" ref="N40">IF(OR($C40=$C39,$C40=0),0,(SUM(IF((CkDJ[JEV Number]=$C40)*(CkDJ[Account Code]=(N$9)),CkDJ[Debit]))))</f>
        <v>0</v>
      </c>
      <c r="O40" s="674">
        <f t="array" ref="O40">IF(OR($C40=$C39,$C40=0),0,(SUM(IF((CkDJ[JEV Number]=$C40)*(CkDJ[Account Code]=(O$9)),CkDJ[Debit]))))</f>
        <v>0</v>
      </c>
      <c r="P40" s="722"/>
      <c r="Q40" s="689">
        <f t="array" ref="Q40">IF($C40=0,0,(SUM(IF((CkDJ[JEV Number]=$C40)*(CkDJ[Account Code]=(P40)),CkDJ[Debit]))))</f>
        <v>0</v>
      </c>
      <c r="R40" s="676">
        <f t="shared" si="5"/>
        <v>0</v>
      </c>
    </row>
    <row r="41" spans="1:18">
      <c r="A41" s="670" t="str">
        <f t="array" ref="A41">IF(OR(C41=C40,C41=0),"",INDEX(CkDJ[Date],MATCH(C41,CkDJ[JEV Number],0)))</f>
        <v/>
      </c>
      <c r="B41" s="671"/>
      <c r="C41" s="672" t="str">
        <f t="shared" si="4"/>
        <v>20-01-001</v>
      </c>
      <c r="D41" s="672"/>
      <c r="E41" s="672"/>
      <c r="F41" s="672"/>
      <c r="G41" s="673" t="str">
        <f t="array" ref="G41">IF(OR(C41=C40,C41=0),"",INDEX(CasheirCode[Name],MATCH((INDEX(CkDJ[Sort Code],MATCH(C41,CkDJ[JEV Number],0))),CasheirCode[Sort Code])))</f>
        <v/>
      </c>
      <c r="H41" s="674">
        <f t="array" ref="H41">IF(OR($C41=$C40,$C41=0),0,(SUM(IF((CkDJ[JEV Number]=$C41)*(CkDJ[Account Code]=(H$9)),CkDJ[Credit]))))</f>
        <v>0</v>
      </c>
      <c r="I41" s="674">
        <f t="array" ref="I41">IF(OR($C41=$C40,$C41=0),0,(SUM(IF((CkDJ[JEV Number]=$C41)*(CkDJ[Account Code]=(I$9)),CkDJ[Credit]))))</f>
        <v>0</v>
      </c>
      <c r="J41" s="675"/>
      <c r="K41" s="674">
        <f t="array" ref="K41">IF($C41=0,0,(SUM(IF((CkDJ[JEV Number]=$C41)*(CkDJ[Account Code]=(J41)),CkDJ[Credit]))))</f>
        <v>0</v>
      </c>
      <c r="L41" s="674">
        <f t="array" ref="L41">IF(OR($C41=$C40,$C41=0),0,(SUM(IF((CkDJ[JEV Number]=$C41)*(CkDJ[Account Code]=(L$9)),CkDJ[Debit]))))</f>
        <v>0</v>
      </c>
      <c r="M41" s="674">
        <f t="array" ref="M41">IF(OR($C41=$C40,$C41=0),0,(SUM(IF((CkDJ[JEV Number]=$C41)*(CkDJ[Account Code]=(M$9)),CkDJ[Debit]))))</f>
        <v>0</v>
      </c>
      <c r="N41" s="674">
        <f t="array" ref="N41">IF(OR($C41=$C40,$C41=0),0,(SUM(IF((CkDJ[JEV Number]=$C41)*(CkDJ[Account Code]=(N$9)),CkDJ[Debit]))))</f>
        <v>0</v>
      </c>
      <c r="O41" s="674">
        <f t="array" ref="O41">IF(OR($C41=$C40,$C41=0),0,(SUM(IF((CkDJ[JEV Number]=$C41)*(CkDJ[Account Code]=(O$9)),CkDJ[Debit]))))</f>
        <v>0</v>
      </c>
      <c r="P41" s="722"/>
      <c r="Q41" s="689">
        <f t="array" ref="Q41">IF($C41=0,0,(SUM(IF((CkDJ[JEV Number]=$C41)*(CkDJ[Account Code]=(P41)),CkDJ[Debit]))))</f>
        <v>0</v>
      </c>
      <c r="R41" s="676">
        <f t="shared" si="5"/>
        <v>0</v>
      </c>
    </row>
    <row r="42" spans="1:18">
      <c r="A42" s="670" t="str">
        <f t="array" ref="A42">IF(OR(C42=C41,C42=0),"",INDEX(CkDJ[Date],MATCH(C42,CkDJ[JEV Number],0)))</f>
        <v/>
      </c>
      <c r="B42" s="671"/>
      <c r="C42" s="672" t="str">
        <f t="shared" si="4"/>
        <v>20-01-001</v>
      </c>
      <c r="D42" s="672"/>
      <c r="E42" s="672"/>
      <c r="F42" s="672"/>
      <c r="G42" s="673" t="str">
        <f t="array" ref="G42">IF(OR(C42=C41,C42=0),"",INDEX(CasheirCode[Name],MATCH((INDEX(CkDJ[Sort Code],MATCH(C42,CkDJ[JEV Number],0))),CasheirCode[Sort Code])))</f>
        <v/>
      </c>
      <c r="H42" s="674">
        <f t="array" ref="H42">IF(OR($C42=$C41,$C42=0),0,(SUM(IF((CkDJ[JEV Number]=$C42)*(CkDJ[Account Code]=(H$9)),CkDJ[Credit]))))</f>
        <v>0</v>
      </c>
      <c r="I42" s="674">
        <f t="array" ref="I42">IF(OR($C42=$C41,$C42=0),0,(SUM(IF((CkDJ[JEV Number]=$C42)*(CkDJ[Account Code]=(I$9)),CkDJ[Credit]))))</f>
        <v>0</v>
      </c>
      <c r="J42" s="675"/>
      <c r="K42" s="674">
        <f t="array" ref="K42">IF($C42=0,0,(SUM(IF((CkDJ[JEV Number]=$C42)*(CkDJ[Account Code]=(J42)),CkDJ[Credit]))))</f>
        <v>0</v>
      </c>
      <c r="L42" s="674">
        <f t="array" ref="L42">IF(OR($C42=$C41,$C42=0),0,(SUM(IF((CkDJ[JEV Number]=$C42)*(CkDJ[Account Code]=(L$9)),CkDJ[Debit]))))</f>
        <v>0</v>
      </c>
      <c r="M42" s="674">
        <f t="array" ref="M42">IF(OR($C42=$C41,$C42=0),0,(SUM(IF((CkDJ[JEV Number]=$C42)*(CkDJ[Account Code]=(M$9)),CkDJ[Debit]))))</f>
        <v>0</v>
      </c>
      <c r="N42" s="674">
        <f t="array" ref="N42">IF(OR($C42=$C41,$C42=0),0,(SUM(IF((CkDJ[JEV Number]=$C42)*(CkDJ[Account Code]=(N$9)),CkDJ[Debit]))))</f>
        <v>0</v>
      </c>
      <c r="O42" s="674">
        <f t="array" ref="O42">IF(OR($C42=$C41,$C42=0),0,(SUM(IF((CkDJ[JEV Number]=$C42)*(CkDJ[Account Code]=(O$9)),CkDJ[Debit]))))</f>
        <v>0</v>
      </c>
      <c r="P42" s="721"/>
      <c r="Q42" s="689">
        <f t="array" ref="Q42">IF($C42=0,0,(SUM(IF((CkDJ[JEV Number]=$C42)*(CkDJ[Account Code]=(P42)),CkDJ[Debit]))))</f>
        <v>0</v>
      </c>
      <c r="R42" s="676">
        <f t="shared" si="5"/>
        <v>0</v>
      </c>
    </row>
    <row r="43" spans="1:18">
      <c r="A43" s="670" t="str">
        <f t="array" ref="A43">IF(OR(C43=C42,C43=0),"",INDEX(CkDJ[Date],MATCH(C43,CkDJ[JEV Number],0)))</f>
        <v/>
      </c>
      <c r="B43" s="671"/>
      <c r="C43" s="672" t="str">
        <f t="shared" si="4"/>
        <v>20-01-001</v>
      </c>
      <c r="D43" s="672"/>
      <c r="E43" s="672"/>
      <c r="F43" s="672"/>
      <c r="G43" s="673" t="str">
        <f t="array" ref="G43">IF(OR(C43=C42,C43=0),"",INDEX(CasheirCode[Name],MATCH((INDEX(CkDJ[Sort Code],MATCH(C43,CkDJ[JEV Number],0))),CasheirCode[Sort Code])))</f>
        <v/>
      </c>
      <c r="H43" s="674">
        <f t="array" ref="H43">IF(OR($C43=$C42,$C43=0),0,(SUM(IF((CkDJ[JEV Number]=$C43)*(CkDJ[Account Code]=(H$9)),CkDJ[Credit]))))</f>
        <v>0</v>
      </c>
      <c r="I43" s="674">
        <f t="array" ref="I43">IF(OR($C43=$C42,$C43=0),0,(SUM(IF((CkDJ[JEV Number]=$C43)*(CkDJ[Account Code]=(I$9)),CkDJ[Credit]))))</f>
        <v>0</v>
      </c>
      <c r="J43" s="675"/>
      <c r="K43" s="674">
        <f t="array" ref="K43">IF($C43=0,0,(SUM(IF((CkDJ[JEV Number]=$C43)*(CkDJ[Account Code]=(J43)),CkDJ[Credit]))))</f>
        <v>0</v>
      </c>
      <c r="L43" s="674">
        <f t="array" ref="L43">IF(OR($C43=$C42,$C43=0),0,(SUM(IF((CkDJ[JEV Number]=$C43)*(CkDJ[Account Code]=(L$9)),CkDJ[Debit]))))</f>
        <v>0</v>
      </c>
      <c r="M43" s="674">
        <f t="array" ref="M43">IF(OR($C43=$C42,$C43=0),0,(SUM(IF((CkDJ[JEV Number]=$C43)*(CkDJ[Account Code]=(M$9)),CkDJ[Debit]))))</f>
        <v>0</v>
      </c>
      <c r="N43" s="674">
        <f t="array" ref="N43">IF(OR($C43=$C42,$C43=0),0,(SUM(IF((CkDJ[JEV Number]=$C43)*(CkDJ[Account Code]=(N$9)),CkDJ[Debit]))))</f>
        <v>0</v>
      </c>
      <c r="O43" s="674">
        <f t="array" ref="O43">IF(OR($C43=$C42,$C43=0),0,(SUM(IF((CkDJ[JEV Number]=$C43)*(CkDJ[Account Code]=(O$9)),CkDJ[Debit]))))</f>
        <v>0</v>
      </c>
      <c r="P43" s="722"/>
      <c r="Q43" s="689">
        <f t="array" ref="Q43">IF($C43=0,0,(SUM(IF((CkDJ[JEV Number]=$C43)*(CkDJ[Account Code]=(P43)),CkDJ[Debit]))))</f>
        <v>0</v>
      </c>
      <c r="R43" s="676">
        <f t="shared" si="5"/>
        <v>0</v>
      </c>
    </row>
    <row r="44" spans="1:18">
      <c r="A44" s="670" t="str">
        <f t="array" ref="A44">IF(OR(C44=C43,C44=0),"",INDEX(CkDJ[Date],MATCH(C44,CkDJ[JEV Number],0)))</f>
        <v/>
      </c>
      <c r="B44" s="671"/>
      <c r="C44" s="672" t="str">
        <f t="shared" si="4"/>
        <v>20-01-001</v>
      </c>
      <c r="D44" s="672"/>
      <c r="E44" s="672"/>
      <c r="F44" s="672"/>
      <c r="G44" s="673" t="str">
        <f t="array" ref="G44">IF(OR(C44=C43,C44=0),"",INDEX(CasheirCode[Name],MATCH((INDEX(CkDJ[Sort Code],MATCH(C44,CkDJ[JEV Number],0))),CasheirCode[Sort Code])))</f>
        <v/>
      </c>
      <c r="H44" s="674">
        <f t="array" ref="H44">IF(OR($C44=$C43,$C44=0),0,(SUM(IF((CkDJ[JEV Number]=$C44)*(CkDJ[Account Code]=(H$9)),CkDJ[Credit]))))</f>
        <v>0</v>
      </c>
      <c r="I44" s="674">
        <f t="array" ref="I44">IF(OR($C44=$C43,$C44=0),0,(SUM(IF((CkDJ[JEV Number]=$C44)*(CkDJ[Account Code]=(I$9)),CkDJ[Credit]))))</f>
        <v>0</v>
      </c>
      <c r="J44" s="675"/>
      <c r="K44" s="674">
        <f t="array" ref="K44">IF($C44=0,0,(SUM(IF((CkDJ[JEV Number]=$C44)*(CkDJ[Account Code]=(J44)),CkDJ[Credit]))))</f>
        <v>0</v>
      </c>
      <c r="L44" s="674">
        <f t="array" ref="L44">IF(OR($C44=$C43,$C44=0),0,(SUM(IF((CkDJ[JEV Number]=$C44)*(CkDJ[Account Code]=(L$9)),CkDJ[Debit]))))</f>
        <v>0</v>
      </c>
      <c r="M44" s="674">
        <f t="array" ref="M44">IF(OR($C44=$C43,$C44=0),0,(SUM(IF((CkDJ[JEV Number]=$C44)*(CkDJ[Account Code]=(M$9)),CkDJ[Debit]))))</f>
        <v>0</v>
      </c>
      <c r="N44" s="674">
        <f t="array" ref="N44">IF(OR($C44=$C43,$C44=0),0,(SUM(IF((CkDJ[JEV Number]=$C44)*(CkDJ[Account Code]=(N$9)),CkDJ[Debit]))))</f>
        <v>0</v>
      </c>
      <c r="O44" s="674">
        <f t="array" ref="O44">IF(OR($C44=$C43,$C44=0),0,(SUM(IF((CkDJ[JEV Number]=$C44)*(CkDJ[Account Code]=(O$9)),CkDJ[Debit]))))</f>
        <v>0</v>
      </c>
      <c r="P44" s="722"/>
      <c r="Q44" s="689">
        <f t="array" ref="Q44">IF($C44=0,0,(SUM(IF((CkDJ[JEV Number]=$C44)*(CkDJ[Account Code]=(P44)),CkDJ[Debit]))))</f>
        <v>0</v>
      </c>
      <c r="R44" s="676">
        <f t="shared" si="5"/>
        <v>0</v>
      </c>
    </row>
    <row r="45" spans="1:18">
      <c r="A45" s="670" t="str">
        <f t="array" ref="A45">IF(OR(C45=C44,C45=0),"",INDEX(CkDJ[Date],MATCH(C45,CkDJ[JEV Number],0)))</f>
        <v/>
      </c>
      <c r="B45" s="671"/>
      <c r="C45" s="672" t="str">
        <f t="shared" si="4"/>
        <v>20-01-001</v>
      </c>
      <c r="D45" s="672"/>
      <c r="E45" s="672"/>
      <c r="F45" s="672"/>
      <c r="G45" s="673" t="str">
        <f t="array" ref="G45">IF(OR(C45=C44,C45=0),"",INDEX(CasheirCode[Name],MATCH((INDEX(CkDJ[Sort Code],MATCH(C45,CkDJ[JEV Number],0))),CasheirCode[Sort Code])))</f>
        <v/>
      </c>
      <c r="H45" s="674">
        <f t="array" ref="H45">IF(OR($C45=$C44,$C45=0),0,(SUM(IF((CkDJ[JEV Number]=$C45)*(CkDJ[Account Code]=(H$9)),CkDJ[Credit]))))</f>
        <v>0</v>
      </c>
      <c r="I45" s="674">
        <f t="array" ref="I45">IF(OR($C45=$C44,$C45=0),0,(SUM(IF((CkDJ[JEV Number]=$C45)*(CkDJ[Account Code]=(I$9)),CkDJ[Credit]))))</f>
        <v>0</v>
      </c>
      <c r="J45" s="675"/>
      <c r="K45" s="674">
        <f t="array" ref="K45">IF($C45=0,0,(SUM(IF((CkDJ[JEV Number]=$C45)*(CkDJ[Account Code]=(J45)),CkDJ[Credit]))))</f>
        <v>0</v>
      </c>
      <c r="L45" s="674">
        <f t="array" ref="L45">IF(OR($C45=$C44,$C45=0),0,(SUM(IF((CkDJ[JEV Number]=$C45)*(CkDJ[Account Code]=(L$9)),CkDJ[Debit]))))</f>
        <v>0</v>
      </c>
      <c r="M45" s="674">
        <f t="array" ref="M45">IF(OR($C45=$C44,$C45=0),0,(SUM(IF((CkDJ[JEV Number]=$C45)*(CkDJ[Account Code]=(M$9)),CkDJ[Debit]))))</f>
        <v>0</v>
      </c>
      <c r="N45" s="674">
        <f t="array" ref="N45">IF(OR($C45=$C44,$C45=0),0,(SUM(IF((CkDJ[JEV Number]=$C45)*(CkDJ[Account Code]=(N$9)),CkDJ[Debit]))))</f>
        <v>0</v>
      </c>
      <c r="O45" s="674">
        <f t="array" ref="O45">IF(OR($C45=$C44,$C45=0),0,(SUM(IF((CkDJ[JEV Number]=$C45)*(CkDJ[Account Code]=(O$9)),CkDJ[Debit]))))</f>
        <v>0</v>
      </c>
      <c r="P45" s="722"/>
      <c r="Q45" s="689">
        <f t="array" ref="Q45">IF($C45=0,0,(SUM(IF((CkDJ[JEV Number]=$C45)*(CkDJ[Account Code]=(P45)),CkDJ[Debit]))))</f>
        <v>0</v>
      </c>
      <c r="R45" s="676">
        <f t="shared" si="5"/>
        <v>0</v>
      </c>
    </row>
    <row r="46" spans="1:18">
      <c r="A46" s="717" t="str">
        <f t="array" ref="A46">IF(OR(C46=C45,C46=0),"",INDEX(CkDJ[Date],MATCH(C46,CkDJ[JEV Number],0)))</f>
        <v/>
      </c>
      <c r="B46" s="543"/>
      <c r="C46" s="524" t="str">
        <f t="shared" si="4"/>
        <v>20-01-001</v>
      </c>
      <c r="D46" s="524"/>
      <c r="E46" s="524"/>
      <c r="F46" s="524"/>
      <c r="G46" s="94" t="str">
        <f t="array" ref="G46">IF(OR(C46=C45,C46=0),"",INDEX(CasheirCode[Name],MATCH((INDEX(CkDJ[Sort Code],MATCH(C46,CkDJ[JEV Number],0))),CasheirCode[Sort Code])))</f>
        <v/>
      </c>
      <c r="H46" s="718">
        <f t="array" ref="H46">IF(OR($C46=$C45,$C46=0),0,(SUM(IF((CkDJ[JEV Number]=$C46)*(CkDJ[Account Code]=(H$9)),CkDJ[Credit]))))</f>
        <v>0</v>
      </c>
      <c r="I46" s="718">
        <f t="array" ref="I46">IF(OR($C46=$C45,$C46=0),0,(SUM(IF((CkDJ[JEV Number]=$C46)*(CkDJ[Account Code]=(I$9)),CkDJ[Credit]))))</f>
        <v>0</v>
      </c>
      <c r="J46" s="445"/>
      <c r="K46" s="718">
        <f t="array" ref="K46">IF($C46=0,0,(SUM(IF((CkDJ[JEV Number]=$C46)*(CkDJ[Account Code]=(J46)),CkDJ[Credit]))))</f>
        <v>0</v>
      </c>
      <c r="L46" s="718">
        <f t="array" ref="L46">IF(OR($C46=$C45,$C46=0),0,(SUM(IF((CkDJ[JEV Number]=$C46)*(CkDJ[Account Code]=(L$9)),CkDJ[Debit]))))</f>
        <v>0</v>
      </c>
      <c r="M46" s="718">
        <f t="array" ref="M46">IF(OR($C46=$C45,$C46=0),0,(SUM(IF((CkDJ[JEV Number]=$C46)*(CkDJ[Account Code]=(M$9)),CkDJ[Debit]))))</f>
        <v>0</v>
      </c>
      <c r="N46" s="718">
        <f t="array" ref="N46">IF(OR($C46=$C45,$C46=0),0,(SUM(IF((CkDJ[JEV Number]=$C46)*(CkDJ[Account Code]=(N$9)),CkDJ[Debit]))))</f>
        <v>0</v>
      </c>
      <c r="O46" s="718">
        <f t="array" ref="O46">IF(OR($C46=$C45,$C46=0),0,(SUM(IF((CkDJ[JEV Number]=$C46)*(CkDJ[Account Code]=(O$9)),CkDJ[Debit]))))</f>
        <v>0</v>
      </c>
      <c r="P46" s="721"/>
      <c r="Q46" s="689">
        <f t="array" ref="Q46">IF($C46=0,0,(SUM(IF((CkDJ[JEV Number]=$C46)*(CkDJ[Account Code]=(P46)),CkDJ[Debit]))))</f>
        <v>0</v>
      </c>
      <c r="R46" s="719">
        <f t="shared" si="5"/>
        <v>0</v>
      </c>
    </row>
    <row r="47" spans="1:18">
      <c r="A47" s="670" t="str">
        <f t="array" ref="A47">IF(OR(C47=C46,C47=0),"",INDEX(CkDJ[Date],MATCH(C47,CkDJ[JEV Number],0)))</f>
        <v/>
      </c>
      <c r="B47" s="671"/>
      <c r="C47" s="672" t="str">
        <f t="shared" si="4"/>
        <v>20-01-001</v>
      </c>
      <c r="D47" s="672"/>
      <c r="E47" s="672"/>
      <c r="F47" s="672"/>
      <c r="G47" s="673" t="str">
        <f t="array" ref="G47">IF(OR(C47=C46,C47=0),"",INDEX(CasheirCode[Name],MATCH((INDEX(CkDJ[Sort Code],MATCH(C47,CkDJ[JEV Number],0))),CasheirCode[Sort Code])))</f>
        <v/>
      </c>
      <c r="H47" s="674">
        <f t="array" ref="H47">IF(OR($C47=$C46,$C47=0),0,(SUM(IF((CkDJ[JEV Number]=$C47)*(CkDJ[Account Code]=(H$9)),CkDJ[Credit]))))</f>
        <v>0</v>
      </c>
      <c r="I47" s="674">
        <f t="array" ref="I47">IF(OR($C47=$C46,$C47=0),0,(SUM(IF((CkDJ[JEV Number]=$C47)*(CkDJ[Account Code]=(I$9)),CkDJ[Credit]))))</f>
        <v>0</v>
      </c>
      <c r="J47" s="675"/>
      <c r="K47" s="674">
        <f t="array" ref="K47">IF($C47=0,0,(SUM(IF((CkDJ[JEV Number]=$C47)*(CkDJ[Account Code]=(J47)),CkDJ[Credit]))))</f>
        <v>0</v>
      </c>
      <c r="L47" s="674">
        <f t="array" ref="L47">IF(OR($C47=$C46,$C47=0),0,(SUM(IF((CkDJ[JEV Number]=$C47)*(CkDJ[Account Code]=(L$9)),CkDJ[Debit]))))</f>
        <v>0</v>
      </c>
      <c r="M47" s="674">
        <f t="array" ref="M47">IF(OR($C47=$C46,$C47=0),0,(SUM(IF((CkDJ[JEV Number]=$C47)*(CkDJ[Account Code]=(M$9)),CkDJ[Debit]))))</f>
        <v>0</v>
      </c>
      <c r="N47" s="674">
        <f t="array" ref="N47">IF(OR($C47=$C46,$C47=0),0,(SUM(IF((CkDJ[JEV Number]=$C47)*(CkDJ[Account Code]=(N$9)),CkDJ[Debit]))))</f>
        <v>0</v>
      </c>
      <c r="O47" s="674">
        <f t="array" ref="O47">IF(OR($C47=$C46,$C47=0),0,(SUM(IF((CkDJ[JEV Number]=$C47)*(CkDJ[Account Code]=(O$9)),CkDJ[Debit]))))</f>
        <v>0</v>
      </c>
      <c r="P47" s="722"/>
      <c r="Q47" s="689">
        <f t="array" ref="Q47">IF($C47=0,0,(SUM(IF((CkDJ[JEV Number]=$C47)*(CkDJ[Account Code]=(P47)),CkDJ[Debit]))))</f>
        <v>0</v>
      </c>
      <c r="R47" s="676">
        <f t="shared" si="5"/>
        <v>0</v>
      </c>
    </row>
    <row r="48" spans="1:18">
      <c r="A48" s="670" t="str">
        <f t="array" ref="A48">IF(OR(C48=C47,C48=0),"",INDEX(CkDJ[Date],MATCH(C48,CkDJ[JEV Number],0)))</f>
        <v/>
      </c>
      <c r="B48" s="671"/>
      <c r="C48" s="672" t="str">
        <f t="shared" si="4"/>
        <v>20-01-001</v>
      </c>
      <c r="D48" s="672"/>
      <c r="E48" s="672"/>
      <c r="F48" s="672"/>
      <c r="G48" s="673" t="str">
        <f t="array" ref="G48">IF(OR(C48=C47,C48=0),"",INDEX(CasheirCode[Name],MATCH((INDEX(CkDJ[Sort Code],MATCH(C48,CkDJ[JEV Number],0))),CasheirCode[Sort Code])))</f>
        <v/>
      </c>
      <c r="H48" s="674">
        <f t="array" ref="H48">IF(OR($C48=$C47,$C48=0),0,(SUM(IF((CkDJ[JEV Number]=$C48)*(CkDJ[Account Code]=(H$9)),CkDJ[Credit]))))</f>
        <v>0</v>
      </c>
      <c r="I48" s="674">
        <f t="array" ref="I48">IF(OR($C48=$C47,$C48=0),0,(SUM(IF((CkDJ[JEV Number]=$C48)*(CkDJ[Account Code]=(I$9)),CkDJ[Credit]))))</f>
        <v>0</v>
      </c>
      <c r="J48" s="675"/>
      <c r="K48" s="674">
        <f t="array" ref="K48">IF($C48=0,0,(SUM(IF((CkDJ[JEV Number]=$C48)*(CkDJ[Account Code]=(J48)),CkDJ[Credit]))))</f>
        <v>0</v>
      </c>
      <c r="L48" s="674">
        <f t="array" ref="L48">IF(OR($C48=$C47,$C48=0),0,(SUM(IF((CkDJ[JEV Number]=$C48)*(CkDJ[Account Code]=(L$9)),CkDJ[Debit]))))</f>
        <v>0</v>
      </c>
      <c r="M48" s="674">
        <f t="array" ref="M48">IF(OR($C48=$C47,$C48=0),0,(SUM(IF((CkDJ[JEV Number]=$C48)*(CkDJ[Account Code]=(M$9)),CkDJ[Debit]))))</f>
        <v>0</v>
      </c>
      <c r="N48" s="674">
        <f t="array" ref="N48">IF(OR($C48=$C47,$C48=0),0,(SUM(IF((CkDJ[JEV Number]=$C48)*(CkDJ[Account Code]=(N$9)),CkDJ[Debit]))))</f>
        <v>0</v>
      </c>
      <c r="O48" s="674">
        <f t="array" ref="O48">IF(OR($C48=$C47,$C48=0),0,(SUM(IF((CkDJ[JEV Number]=$C48)*(CkDJ[Account Code]=(O$9)),CkDJ[Debit]))))</f>
        <v>0</v>
      </c>
      <c r="P48" s="722"/>
      <c r="Q48" s="689">
        <f t="array" ref="Q48">IF($C48=0,0,(SUM(IF((CkDJ[JEV Number]=$C48)*(CkDJ[Account Code]=(P48)),CkDJ[Debit]))))</f>
        <v>0</v>
      </c>
      <c r="R48" s="676">
        <f t="shared" si="5"/>
        <v>0</v>
      </c>
    </row>
    <row r="49" spans="1:18">
      <c r="A49" s="670" t="str">
        <f t="array" ref="A49">IF(OR(C49=C48,C49=0),"",INDEX(CkDJ[Date],MATCH(C49,CkDJ[JEV Number],0)))</f>
        <v/>
      </c>
      <c r="B49" s="671"/>
      <c r="C49" s="672" t="str">
        <f t="shared" si="4"/>
        <v>20-01-001</v>
      </c>
      <c r="D49" s="672"/>
      <c r="E49" s="672"/>
      <c r="F49" s="672"/>
      <c r="G49" s="673" t="str">
        <f t="array" ref="G49">IF(OR(C49=C48,C49=0),"",INDEX(CasheirCode[Name],MATCH((INDEX(CkDJ[Sort Code],MATCH(C49,CkDJ[JEV Number],0))),CasheirCode[Sort Code])))</f>
        <v/>
      </c>
      <c r="H49" s="674">
        <f t="array" ref="H49">IF(OR($C49=$C48,$C49=0),0,(SUM(IF((CkDJ[JEV Number]=$C49)*(CkDJ[Account Code]=(H$9)),CkDJ[Credit]))))</f>
        <v>0</v>
      </c>
      <c r="I49" s="674">
        <f t="array" ref="I49">IF(OR($C49=$C48,$C49=0),0,(SUM(IF((CkDJ[JEV Number]=$C49)*(CkDJ[Account Code]=(I$9)),CkDJ[Credit]))))</f>
        <v>0</v>
      </c>
      <c r="J49" s="675"/>
      <c r="K49" s="674">
        <f t="array" ref="K49">IF($C49=0,0,(SUM(IF((CkDJ[JEV Number]=$C49)*(CkDJ[Account Code]=(J49)),CkDJ[Credit]))))</f>
        <v>0</v>
      </c>
      <c r="L49" s="674">
        <f t="array" ref="L49">IF(OR($C49=$C48,$C49=0),0,(SUM(IF((CkDJ[JEV Number]=$C49)*(CkDJ[Account Code]=(L$9)),CkDJ[Debit]))))</f>
        <v>0</v>
      </c>
      <c r="M49" s="674">
        <f t="array" ref="M49">IF(OR($C49=$C48,$C49=0),0,(SUM(IF((CkDJ[JEV Number]=$C49)*(CkDJ[Account Code]=(M$9)),CkDJ[Debit]))))</f>
        <v>0</v>
      </c>
      <c r="N49" s="674">
        <f t="array" ref="N49">IF(OR($C49=$C48,$C49=0),0,(SUM(IF((CkDJ[JEV Number]=$C49)*(CkDJ[Account Code]=(N$9)),CkDJ[Debit]))))</f>
        <v>0</v>
      </c>
      <c r="O49" s="674">
        <f t="array" ref="O49">IF(OR($C49=$C48,$C49=0),0,(SUM(IF((CkDJ[JEV Number]=$C49)*(CkDJ[Account Code]=(O$9)),CkDJ[Debit]))))</f>
        <v>0</v>
      </c>
      <c r="P49" s="722"/>
      <c r="Q49" s="689">
        <f t="array" ref="Q49">IF($C49=0,0,(SUM(IF((CkDJ[JEV Number]=$C49)*(CkDJ[Account Code]=(P49)),CkDJ[Debit]))))</f>
        <v>0</v>
      </c>
      <c r="R49" s="676">
        <f t="shared" si="5"/>
        <v>0</v>
      </c>
    </row>
    <row r="50" spans="1:18">
      <c r="A50" s="670" t="str">
        <f t="array" ref="A50">IF(OR(C50=C49,C50=0),"",INDEX(CkDJ[Date],MATCH(C50,CkDJ[JEV Number],0)))</f>
        <v/>
      </c>
      <c r="B50" s="671"/>
      <c r="C50" s="672" t="str">
        <f t="shared" si="4"/>
        <v>20-01-001</v>
      </c>
      <c r="D50" s="672"/>
      <c r="E50" s="672"/>
      <c r="F50" s="672"/>
      <c r="G50" s="673" t="str">
        <f t="array" ref="G50">IF(OR(C50=C49,C50=0),"",INDEX(CasheirCode[Name],MATCH((INDEX(CkDJ[Sort Code],MATCH(C50,CkDJ[JEV Number],0))),CasheirCode[Sort Code])))</f>
        <v/>
      </c>
      <c r="H50" s="674">
        <f t="array" ref="H50">IF(OR($C50=$C49,$C50=0),0,(SUM(IF((CkDJ[JEV Number]=$C50)*(CkDJ[Account Code]=(H$9)),CkDJ[Credit]))))</f>
        <v>0</v>
      </c>
      <c r="I50" s="674">
        <f t="array" ref="I50">IF(OR($C50=$C49,$C50=0),0,(SUM(IF((CkDJ[JEV Number]=$C50)*(CkDJ[Account Code]=(I$9)),CkDJ[Credit]))))</f>
        <v>0</v>
      </c>
      <c r="J50" s="675"/>
      <c r="K50" s="674">
        <f t="array" ref="K50">IF($C50=0,0,(SUM(IF((CkDJ[JEV Number]=$C50)*(CkDJ[Account Code]=(J50)),CkDJ[Credit]))))</f>
        <v>0</v>
      </c>
      <c r="L50" s="674">
        <f t="array" ref="L50">IF(OR($C50=$C49,$C50=0),0,(SUM(IF((CkDJ[JEV Number]=$C50)*(CkDJ[Account Code]=(L$9)),CkDJ[Debit]))))</f>
        <v>0</v>
      </c>
      <c r="M50" s="674">
        <f t="array" ref="M50">IF(OR($C50=$C49,$C50=0),0,(SUM(IF((CkDJ[JEV Number]=$C50)*(CkDJ[Account Code]=(M$9)),CkDJ[Debit]))))</f>
        <v>0</v>
      </c>
      <c r="N50" s="674">
        <f t="array" ref="N50">IF(OR($C50=$C49,$C50=0),0,(SUM(IF((CkDJ[JEV Number]=$C50)*(CkDJ[Account Code]=(N$9)),CkDJ[Debit]))))</f>
        <v>0</v>
      </c>
      <c r="O50" s="674">
        <f t="array" ref="O50">IF(OR($C50=$C49,$C50=0),0,(SUM(IF((CkDJ[JEV Number]=$C50)*(CkDJ[Account Code]=(O$9)),CkDJ[Debit]))))</f>
        <v>0</v>
      </c>
      <c r="P50" s="722"/>
      <c r="Q50" s="689">
        <f t="array" ref="Q50">IF($C50=0,0,(SUM(IF((CkDJ[JEV Number]=$C50)*(CkDJ[Account Code]=(P50)),CkDJ[Debit]))))</f>
        <v>0</v>
      </c>
      <c r="R50" s="676">
        <f t="shared" si="5"/>
        <v>0</v>
      </c>
    </row>
    <row r="51" spans="1:18">
      <c r="A51" s="670" t="str">
        <f t="array" ref="A51">IF(OR(C51=C50,C51=0),"",INDEX(CkDJ[Date],MATCH(C51,CkDJ[JEV Number],0)))</f>
        <v/>
      </c>
      <c r="B51" s="671"/>
      <c r="C51" s="672" t="str">
        <f t="shared" si="4"/>
        <v>20-01-001</v>
      </c>
      <c r="D51" s="672"/>
      <c r="E51" s="672"/>
      <c r="F51" s="672"/>
      <c r="G51" s="673" t="str">
        <f t="array" ref="G51">IF(OR(C51=C50,C51=0),"",INDEX(CasheirCode[Name],MATCH((INDEX(CkDJ[Sort Code],MATCH(C51,CkDJ[JEV Number],0))),CasheirCode[Sort Code])))</f>
        <v/>
      </c>
      <c r="H51" s="674">
        <f t="array" ref="H51">IF(OR($C51=$C50,$C51=0),0,(SUM(IF((CkDJ[JEV Number]=$C51)*(CkDJ[Account Code]=(H$9)),CkDJ[Credit]))))</f>
        <v>0</v>
      </c>
      <c r="I51" s="674">
        <f t="array" ref="I51">IF(OR($C51=$C50,$C51=0),0,(SUM(IF((CkDJ[JEV Number]=$C51)*(CkDJ[Account Code]=(I$9)),CkDJ[Credit]))))</f>
        <v>0</v>
      </c>
      <c r="J51" s="675"/>
      <c r="K51" s="674">
        <f t="array" ref="K51">IF($C51=0,0,(SUM(IF((CkDJ[JEV Number]=$C51)*(CkDJ[Account Code]=(J51)),CkDJ[Credit]))))</f>
        <v>0</v>
      </c>
      <c r="L51" s="674">
        <f t="array" ref="L51">IF(OR($C51=$C50,$C51=0),0,(SUM(IF((CkDJ[JEV Number]=$C51)*(CkDJ[Account Code]=(L$9)),CkDJ[Debit]))))</f>
        <v>0</v>
      </c>
      <c r="M51" s="674">
        <f t="array" ref="M51">IF(OR($C51=$C50,$C51=0),0,(SUM(IF((CkDJ[JEV Number]=$C51)*(CkDJ[Account Code]=(M$9)),CkDJ[Debit]))))</f>
        <v>0</v>
      </c>
      <c r="N51" s="674">
        <f t="array" ref="N51">IF(OR($C51=$C50,$C51=0),0,(SUM(IF((CkDJ[JEV Number]=$C51)*(CkDJ[Account Code]=(N$9)),CkDJ[Debit]))))</f>
        <v>0</v>
      </c>
      <c r="O51" s="674">
        <f t="array" ref="O51">IF(OR($C51=$C50,$C51=0),0,(SUM(IF((CkDJ[JEV Number]=$C51)*(CkDJ[Account Code]=(O$9)),CkDJ[Debit]))))</f>
        <v>0</v>
      </c>
      <c r="P51" s="722"/>
      <c r="Q51" s="689">
        <f t="array" ref="Q51">IF($C51=0,0,(SUM(IF((CkDJ[JEV Number]=$C51)*(CkDJ[Account Code]=(P51)),CkDJ[Debit]))))</f>
        <v>0</v>
      </c>
      <c r="R51" s="676">
        <f t="shared" si="5"/>
        <v>0</v>
      </c>
    </row>
    <row r="52" spans="1:18">
      <c r="A52" s="670" t="str">
        <f t="array" ref="A52">IF(OR(C52=C51,C52=0),"",INDEX(CkDJ[Date],MATCH(C52,CkDJ[JEV Number],0)))</f>
        <v/>
      </c>
      <c r="B52" s="671"/>
      <c r="C52" s="672" t="str">
        <f t="shared" si="4"/>
        <v>20-01-001</v>
      </c>
      <c r="D52" s="672"/>
      <c r="E52" s="672"/>
      <c r="F52" s="672"/>
      <c r="G52" s="673" t="str">
        <f t="array" ref="G52">IF(OR(C52=C51,C52=0),"",INDEX(CasheirCode[Name],MATCH((INDEX(CkDJ[Sort Code],MATCH(C52,CkDJ[JEV Number],0))),CasheirCode[Sort Code])))</f>
        <v/>
      </c>
      <c r="H52" s="674">
        <f t="array" ref="H52">IF(OR($C52=$C51,$C52=0),0,(SUM(IF((CkDJ[JEV Number]=$C52)*(CkDJ[Account Code]=(H$9)),CkDJ[Credit]))))</f>
        <v>0</v>
      </c>
      <c r="I52" s="674">
        <f t="array" ref="I52">IF(OR($C52=$C51,$C52=0),0,(SUM(IF((CkDJ[JEV Number]=$C52)*(CkDJ[Account Code]=(I$9)),CkDJ[Credit]))))</f>
        <v>0</v>
      </c>
      <c r="J52" s="675"/>
      <c r="K52" s="674">
        <f t="array" ref="K52">IF($C52=0,0,(SUM(IF((CkDJ[JEV Number]=$C52)*(CkDJ[Account Code]=(J52)),CkDJ[Credit]))))</f>
        <v>0</v>
      </c>
      <c r="L52" s="674">
        <f t="array" ref="L52">IF(OR($C52=$C51,$C52=0),0,(SUM(IF((CkDJ[JEV Number]=$C52)*(CkDJ[Account Code]=(L$9)),CkDJ[Debit]))))</f>
        <v>0</v>
      </c>
      <c r="M52" s="674">
        <f t="array" ref="M52">IF(OR($C52=$C51,$C52=0),0,(SUM(IF((CkDJ[JEV Number]=$C52)*(CkDJ[Account Code]=(M$9)),CkDJ[Debit]))))</f>
        <v>0</v>
      </c>
      <c r="N52" s="674">
        <f t="array" ref="N52">IF(OR($C52=$C51,$C52=0),0,(SUM(IF((CkDJ[JEV Number]=$C52)*(CkDJ[Account Code]=(N$9)),CkDJ[Debit]))))</f>
        <v>0</v>
      </c>
      <c r="O52" s="674">
        <f t="array" ref="O52">IF(OR($C52=$C51,$C52=0),0,(SUM(IF((CkDJ[JEV Number]=$C52)*(CkDJ[Account Code]=(O$9)),CkDJ[Debit]))))</f>
        <v>0</v>
      </c>
      <c r="P52" s="722"/>
      <c r="Q52" s="689">
        <f t="array" ref="Q52">IF($C52=0,0,(SUM(IF((CkDJ[JEV Number]=$C52)*(CkDJ[Account Code]=(P52)),CkDJ[Debit]))))</f>
        <v>0</v>
      </c>
      <c r="R52" s="676">
        <f t="shared" si="5"/>
        <v>0</v>
      </c>
    </row>
    <row r="53" spans="1:18">
      <c r="A53" s="670" t="str">
        <f t="array" ref="A53">IF(OR(C53=C52,C53=0),"",INDEX(CkDJ[Date],MATCH(C53,CkDJ[JEV Number],0)))</f>
        <v/>
      </c>
      <c r="B53" s="671"/>
      <c r="C53" s="672" t="str">
        <f t="shared" si="4"/>
        <v>20-01-001</v>
      </c>
      <c r="D53" s="672"/>
      <c r="E53" s="672"/>
      <c r="F53" s="672"/>
      <c r="G53" s="673" t="str">
        <f t="array" ref="G53">IF(OR(C53=C52,C53=0),"",INDEX(CasheirCode[Name],MATCH((INDEX(CkDJ[Sort Code],MATCH(C53,CkDJ[JEV Number],0))),CasheirCode[Sort Code])))</f>
        <v/>
      </c>
      <c r="H53" s="674">
        <f t="array" ref="H53">IF(OR($C53=$C52,$C53=0),0,(SUM(IF((CkDJ[JEV Number]=$C53)*(CkDJ[Account Code]=(H$9)),CkDJ[Credit]))))</f>
        <v>0</v>
      </c>
      <c r="I53" s="674">
        <f t="array" ref="I53">IF(OR($C53=$C52,$C53=0),0,(SUM(IF((CkDJ[JEV Number]=$C53)*(CkDJ[Account Code]=(I$9)),CkDJ[Credit]))))</f>
        <v>0</v>
      </c>
      <c r="J53" s="675"/>
      <c r="K53" s="674">
        <f t="array" ref="K53">IF($C53=0,0,(SUM(IF((CkDJ[JEV Number]=$C53)*(CkDJ[Account Code]=(J53)),CkDJ[Credit]))))</f>
        <v>0</v>
      </c>
      <c r="L53" s="674">
        <f t="array" ref="L53">IF(OR($C53=$C52,$C53=0),0,(SUM(IF((CkDJ[JEV Number]=$C53)*(CkDJ[Account Code]=(L$9)),CkDJ[Debit]))))</f>
        <v>0</v>
      </c>
      <c r="M53" s="674">
        <f t="array" ref="M53">IF(OR($C53=$C52,$C53=0),0,(SUM(IF((CkDJ[JEV Number]=$C53)*(CkDJ[Account Code]=(M$9)),CkDJ[Debit]))))</f>
        <v>0</v>
      </c>
      <c r="N53" s="674">
        <f t="array" ref="N53">IF(OR($C53=$C52,$C53=0),0,(SUM(IF((CkDJ[JEV Number]=$C53)*(CkDJ[Account Code]=(N$9)),CkDJ[Debit]))))</f>
        <v>0</v>
      </c>
      <c r="O53" s="674">
        <f t="array" ref="O53">IF(OR($C53=$C52,$C53=0),0,(SUM(IF((CkDJ[JEV Number]=$C53)*(CkDJ[Account Code]=(O$9)),CkDJ[Debit]))))</f>
        <v>0</v>
      </c>
      <c r="P53" s="722"/>
      <c r="Q53" s="689">
        <f t="array" ref="Q53">IF($C53=0,0,(SUM(IF((CkDJ[JEV Number]=$C53)*(CkDJ[Account Code]=(P53)),CkDJ[Debit]))))</f>
        <v>0</v>
      </c>
      <c r="R53" s="676">
        <f t="shared" si="5"/>
        <v>0</v>
      </c>
    </row>
    <row r="54" spans="1:18">
      <c r="A54" s="670" t="str">
        <f t="array" ref="A54">IF(OR(C54=C53,C54=0),"",INDEX(CkDJ[Date],MATCH(C54,CkDJ[JEV Number],0)))</f>
        <v/>
      </c>
      <c r="B54" s="671"/>
      <c r="C54" s="672" t="str">
        <f t="shared" si="4"/>
        <v>20-01-001</v>
      </c>
      <c r="D54" s="672"/>
      <c r="E54" s="672"/>
      <c r="F54" s="672"/>
      <c r="G54" s="673" t="str">
        <f t="array" ref="G54">IF(OR(C54=C53,C54=0),"",INDEX(CasheirCode[Name],MATCH((INDEX(CkDJ[Sort Code],MATCH(C54,CkDJ[JEV Number],0))),CasheirCode[Sort Code])))</f>
        <v/>
      </c>
      <c r="H54" s="674">
        <f t="array" ref="H54">IF(OR($C54=$C53,$C54=0),0,(SUM(IF((CkDJ[JEV Number]=$C54)*(CkDJ[Account Code]=(H$9)),CkDJ[Credit]))))</f>
        <v>0</v>
      </c>
      <c r="I54" s="674">
        <f t="array" ref="I54">IF(OR($C54=$C53,$C54=0),0,(SUM(IF((CkDJ[JEV Number]=$C54)*(CkDJ[Account Code]=(I$9)),CkDJ[Credit]))))</f>
        <v>0</v>
      </c>
      <c r="J54" s="675"/>
      <c r="K54" s="674">
        <f t="array" ref="K54">IF($C54=0,0,(SUM(IF((CkDJ[JEV Number]=$C54)*(CkDJ[Account Code]=(J54)),CkDJ[Credit]))))</f>
        <v>0</v>
      </c>
      <c r="L54" s="674">
        <f t="array" ref="L54">IF(OR($C54=$C53,$C54=0),0,(SUM(IF((CkDJ[JEV Number]=$C54)*(CkDJ[Account Code]=(L$9)),CkDJ[Debit]))))</f>
        <v>0</v>
      </c>
      <c r="M54" s="674">
        <f t="array" ref="M54">IF(OR($C54=$C53,$C54=0),0,(SUM(IF((CkDJ[JEV Number]=$C54)*(CkDJ[Account Code]=(M$9)),CkDJ[Debit]))))</f>
        <v>0</v>
      </c>
      <c r="N54" s="674">
        <f t="array" ref="N54">IF(OR($C54=$C53,$C54=0),0,(SUM(IF((CkDJ[JEV Number]=$C54)*(CkDJ[Account Code]=(N$9)),CkDJ[Debit]))))</f>
        <v>0</v>
      </c>
      <c r="O54" s="674">
        <f t="array" ref="O54">IF(OR($C54=$C53,$C54=0),0,(SUM(IF((CkDJ[JEV Number]=$C54)*(CkDJ[Account Code]=(O$9)),CkDJ[Debit]))))</f>
        <v>0</v>
      </c>
      <c r="P54" s="722"/>
      <c r="Q54" s="689">
        <f t="array" ref="Q54">IF($C54=0,0,(SUM(IF((CkDJ[JEV Number]=$C54)*(CkDJ[Account Code]=(P54)),CkDJ[Debit]))))</f>
        <v>0</v>
      </c>
      <c r="R54" s="676">
        <f t="shared" si="5"/>
        <v>0</v>
      </c>
    </row>
    <row r="55" spans="1:18">
      <c r="A55" s="670" t="str">
        <f t="array" ref="A55">IF(OR(C55=C54,C55=0),"",INDEX(CkDJ[Date],MATCH(C55,CkDJ[JEV Number],0)))</f>
        <v/>
      </c>
      <c r="B55" s="671"/>
      <c r="C55" s="672" t="str">
        <f t="shared" si="4"/>
        <v>20-01-001</v>
      </c>
      <c r="D55" s="672"/>
      <c r="E55" s="672"/>
      <c r="F55" s="672"/>
      <c r="G55" s="673" t="str">
        <f t="array" ref="G55">IF(OR(C55=C54,C55=0),"",INDEX(CasheirCode[Name],MATCH((INDEX(CkDJ[Sort Code],MATCH(C55,CkDJ[JEV Number],0))),CasheirCode[Sort Code])))</f>
        <v/>
      </c>
      <c r="H55" s="674">
        <f t="array" ref="H55">IF(OR($C55=$C54,$C55=0),0,(SUM(IF((CkDJ[JEV Number]=$C55)*(CkDJ[Account Code]=(H$9)),CkDJ[Credit]))))</f>
        <v>0</v>
      </c>
      <c r="I55" s="674">
        <f t="array" ref="I55">IF(OR($C55=$C54,$C55=0),0,(SUM(IF((CkDJ[JEV Number]=$C55)*(CkDJ[Account Code]=(I$9)),CkDJ[Credit]))))</f>
        <v>0</v>
      </c>
      <c r="J55" s="675"/>
      <c r="K55" s="674">
        <f t="array" ref="K55">IF($C55=0,0,(SUM(IF((CkDJ[JEV Number]=$C55)*(CkDJ[Account Code]=(J55)),CkDJ[Credit]))))</f>
        <v>0</v>
      </c>
      <c r="L55" s="674">
        <f t="array" ref="L55">IF(OR($C55=$C54,$C55=0),0,(SUM(IF((CkDJ[JEV Number]=$C55)*(CkDJ[Account Code]=(L$9)),CkDJ[Debit]))))</f>
        <v>0</v>
      </c>
      <c r="M55" s="674">
        <f t="array" ref="M55">IF(OR($C55=$C54,$C55=0),0,(SUM(IF((CkDJ[JEV Number]=$C55)*(CkDJ[Account Code]=(M$9)),CkDJ[Debit]))))</f>
        <v>0</v>
      </c>
      <c r="N55" s="674">
        <f t="array" ref="N55">IF(OR($C55=$C54,$C55=0),0,(SUM(IF((CkDJ[JEV Number]=$C55)*(CkDJ[Account Code]=(N$9)),CkDJ[Debit]))))</f>
        <v>0</v>
      </c>
      <c r="O55" s="674">
        <f t="array" ref="O55">IF(OR($C55=$C54,$C55=0),0,(SUM(IF((CkDJ[JEV Number]=$C55)*(CkDJ[Account Code]=(O$9)),CkDJ[Debit]))))</f>
        <v>0</v>
      </c>
      <c r="P55" s="722"/>
      <c r="Q55" s="689">
        <f t="array" ref="Q55">IF($C55=0,0,(SUM(IF((CkDJ[JEV Number]=$C55)*(CkDJ[Account Code]=(P55)),CkDJ[Debit]))))</f>
        <v>0</v>
      </c>
      <c r="R55" s="676">
        <f t="shared" si="5"/>
        <v>0</v>
      </c>
    </row>
    <row r="56" spans="1:18">
      <c r="A56" s="670" t="str">
        <f t="array" ref="A56">IF(OR(C56=C55,C56=0),"",INDEX(CkDJ[Date],MATCH(C56,CkDJ[JEV Number],0)))</f>
        <v/>
      </c>
      <c r="B56" s="671"/>
      <c r="C56" s="672" t="str">
        <f t="shared" si="4"/>
        <v>20-01-001</v>
      </c>
      <c r="D56" s="672"/>
      <c r="E56" s="672"/>
      <c r="F56" s="672"/>
      <c r="G56" s="673" t="str">
        <f t="array" ref="G56">IF(OR(C56=C55,C56=0),"",INDEX(CasheirCode[Name],MATCH((INDEX(CkDJ[Sort Code],MATCH(C56,CkDJ[JEV Number],0))),CasheirCode[Sort Code])))</f>
        <v/>
      </c>
      <c r="H56" s="674">
        <f t="array" ref="H56">IF(OR($C56=$C55,$C56=0),0,(SUM(IF((CkDJ[JEV Number]=$C56)*(CkDJ[Account Code]=(H$9)),CkDJ[Credit]))))</f>
        <v>0</v>
      </c>
      <c r="I56" s="674">
        <f t="array" ref="I56">IF(OR($C56=$C55,$C56=0),0,(SUM(IF((CkDJ[JEV Number]=$C56)*(CkDJ[Account Code]=(I$9)),CkDJ[Credit]))))</f>
        <v>0</v>
      </c>
      <c r="J56" s="675"/>
      <c r="K56" s="674">
        <f t="array" ref="K56">IF($C56=0,0,(SUM(IF((CkDJ[JEV Number]=$C56)*(CkDJ[Account Code]=(J56)),CkDJ[Credit]))))</f>
        <v>0</v>
      </c>
      <c r="L56" s="674">
        <f t="array" ref="L56">IF(OR($C56=$C55,$C56=0),0,(SUM(IF((CkDJ[JEV Number]=$C56)*(CkDJ[Account Code]=(L$9)),CkDJ[Debit]))))</f>
        <v>0</v>
      </c>
      <c r="M56" s="674">
        <f t="array" ref="M56">IF(OR($C56=$C55,$C56=0),0,(SUM(IF((CkDJ[JEV Number]=$C56)*(CkDJ[Account Code]=(M$9)),CkDJ[Debit]))))</f>
        <v>0</v>
      </c>
      <c r="N56" s="674">
        <f t="array" ref="N56">IF(OR($C56=$C55,$C56=0),0,(SUM(IF((CkDJ[JEV Number]=$C56)*(CkDJ[Account Code]=(N$9)),CkDJ[Debit]))))</f>
        <v>0</v>
      </c>
      <c r="O56" s="674">
        <f t="array" ref="O56">IF(OR($C56=$C55,$C56=0),0,(SUM(IF((CkDJ[JEV Number]=$C56)*(CkDJ[Account Code]=(O$9)),CkDJ[Debit]))))</f>
        <v>0</v>
      </c>
      <c r="P56" s="722"/>
      <c r="Q56" s="689">
        <f t="array" ref="Q56">IF($C56=0,0,(SUM(IF((CkDJ[JEV Number]=$C56)*(CkDJ[Account Code]=(P56)),CkDJ[Debit]))))</f>
        <v>0</v>
      </c>
      <c r="R56" s="676">
        <f t="shared" si="5"/>
        <v>0</v>
      </c>
    </row>
    <row r="57" spans="1:18">
      <c r="A57" s="670" t="str">
        <f t="array" ref="A57">IF(OR(C57=C56,C57=0),"",INDEX(CkDJ[Date],MATCH(C57,CkDJ[JEV Number],0)))</f>
        <v/>
      </c>
      <c r="B57" s="671"/>
      <c r="C57" s="672" t="str">
        <f t="shared" si="4"/>
        <v>20-01-001</v>
      </c>
      <c r="D57" s="672"/>
      <c r="E57" s="672"/>
      <c r="F57" s="672"/>
      <c r="G57" s="673" t="str">
        <f t="array" ref="G57">IF(OR(C57=C56,C57=0),"",INDEX(CasheirCode[Name],MATCH((INDEX(CkDJ[Sort Code],MATCH(C57,CkDJ[JEV Number],0))),CasheirCode[Sort Code])))</f>
        <v/>
      </c>
      <c r="H57" s="674">
        <f t="array" ref="H57">IF(OR($C57=$C56,$C57=0),0,(SUM(IF((CkDJ[JEV Number]=$C57)*(CkDJ[Account Code]=(H$9)),CkDJ[Credit]))))</f>
        <v>0</v>
      </c>
      <c r="I57" s="674">
        <f t="array" ref="I57">IF(OR($C57=$C56,$C57=0),0,(SUM(IF((CkDJ[JEV Number]=$C57)*(CkDJ[Account Code]=(I$9)),CkDJ[Credit]))))</f>
        <v>0</v>
      </c>
      <c r="J57" s="675"/>
      <c r="K57" s="674">
        <f t="array" ref="K57">IF($C57=0,0,(SUM(IF((CkDJ[JEV Number]=$C57)*(CkDJ[Account Code]=(J57)),CkDJ[Credit]))))</f>
        <v>0</v>
      </c>
      <c r="L57" s="674">
        <f t="array" ref="L57">IF(OR($C57=$C56,$C57=0),0,(SUM(IF((CkDJ[JEV Number]=$C57)*(CkDJ[Account Code]=(L$9)),CkDJ[Debit]))))</f>
        <v>0</v>
      </c>
      <c r="M57" s="674">
        <f t="array" ref="M57">IF(OR($C57=$C56,$C57=0),0,(SUM(IF((CkDJ[JEV Number]=$C57)*(CkDJ[Account Code]=(M$9)),CkDJ[Debit]))))</f>
        <v>0</v>
      </c>
      <c r="N57" s="674">
        <f t="array" ref="N57">IF(OR($C57=$C56,$C57=0),0,(SUM(IF((CkDJ[JEV Number]=$C57)*(CkDJ[Account Code]=(N$9)),CkDJ[Debit]))))</f>
        <v>0</v>
      </c>
      <c r="O57" s="674">
        <f t="array" ref="O57">IF(OR($C57=$C56,$C57=0),0,(SUM(IF((CkDJ[JEV Number]=$C57)*(CkDJ[Account Code]=(O$9)),CkDJ[Debit]))))</f>
        <v>0</v>
      </c>
      <c r="P57" s="722"/>
      <c r="Q57" s="689">
        <f t="array" ref="Q57">IF($C57=0,0,(SUM(IF((CkDJ[JEV Number]=$C57)*(CkDJ[Account Code]=(P57)),CkDJ[Debit]))))</f>
        <v>0</v>
      </c>
      <c r="R57" s="676">
        <f t="shared" si="5"/>
        <v>0</v>
      </c>
    </row>
    <row r="58" spans="1:18">
      <c r="A58" s="670" t="str">
        <f t="array" ref="A58">IF(OR(C58=C57,C58=0),"",INDEX(CkDJ[Date],MATCH(C58,CkDJ[JEV Number],0)))</f>
        <v/>
      </c>
      <c r="B58" s="671"/>
      <c r="C58" s="672" t="str">
        <f t="shared" si="4"/>
        <v>20-01-001</v>
      </c>
      <c r="D58" s="672"/>
      <c r="E58" s="672"/>
      <c r="F58" s="672"/>
      <c r="G58" s="673" t="str">
        <f t="array" ref="G58">IF(OR(C58=C57,C58=0),"",INDEX(CasheirCode[Name],MATCH((INDEX(CkDJ[Sort Code],MATCH(C58,CkDJ[JEV Number],0))),CasheirCode[Sort Code])))</f>
        <v/>
      </c>
      <c r="H58" s="674">
        <f t="array" ref="H58">IF(OR($C58=$C57,$C58=0),0,(SUM(IF((CkDJ[JEV Number]=$C58)*(CkDJ[Account Code]=(H$9)),CkDJ[Credit]))))</f>
        <v>0</v>
      </c>
      <c r="I58" s="674">
        <f t="array" ref="I58">IF(OR($C58=$C57,$C58=0),0,(SUM(IF((CkDJ[JEV Number]=$C58)*(CkDJ[Account Code]=(I$9)),CkDJ[Credit]))))</f>
        <v>0</v>
      </c>
      <c r="J58" s="675"/>
      <c r="K58" s="674">
        <f t="array" ref="K58">IF($C58=0,0,(SUM(IF((CkDJ[JEV Number]=$C58)*(CkDJ[Account Code]=(J58)),CkDJ[Credit]))))</f>
        <v>0</v>
      </c>
      <c r="L58" s="674">
        <f t="array" ref="L58">IF(OR($C58=$C57,$C58=0),0,(SUM(IF((CkDJ[JEV Number]=$C58)*(CkDJ[Account Code]=(L$9)),CkDJ[Debit]))))</f>
        <v>0</v>
      </c>
      <c r="M58" s="674">
        <f t="array" ref="M58">IF(OR($C58=$C57,$C58=0),0,(SUM(IF((CkDJ[JEV Number]=$C58)*(CkDJ[Account Code]=(M$9)),CkDJ[Debit]))))</f>
        <v>0</v>
      </c>
      <c r="N58" s="674">
        <f t="array" ref="N58">IF(OR($C58=$C57,$C58=0),0,(SUM(IF((CkDJ[JEV Number]=$C58)*(CkDJ[Account Code]=(N$9)),CkDJ[Debit]))))</f>
        <v>0</v>
      </c>
      <c r="O58" s="674">
        <f t="array" ref="O58">IF(OR($C58=$C57,$C58=0),0,(SUM(IF((CkDJ[JEV Number]=$C58)*(CkDJ[Account Code]=(O$9)),CkDJ[Debit]))))</f>
        <v>0</v>
      </c>
      <c r="P58" s="722"/>
      <c r="Q58" s="689">
        <f t="array" ref="Q58">IF($C58=0,0,(SUM(IF((CkDJ[JEV Number]=$C58)*(CkDJ[Account Code]=(P58)),CkDJ[Debit]))))</f>
        <v>0</v>
      </c>
      <c r="R58" s="676">
        <f t="shared" si="5"/>
        <v>0</v>
      </c>
    </row>
    <row r="59" spans="1:18">
      <c r="A59" s="670" t="str">
        <f t="array" ref="A59">IF(OR(C59=C58,C59=0),"",INDEX(CkDJ[Date],MATCH(C59,CkDJ[JEV Number],0)))</f>
        <v/>
      </c>
      <c r="B59" s="671"/>
      <c r="C59" s="672" t="str">
        <f t="shared" si="4"/>
        <v>20-01-001</v>
      </c>
      <c r="D59" s="672"/>
      <c r="E59" s="672"/>
      <c r="F59" s="672"/>
      <c r="G59" s="673" t="str">
        <f t="array" ref="G59">IF(OR(C59=C58,C59=0),"",INDEX(CasheirCode[Name],MATCH((INDEX(CkDJ[Sort Code],MATCH(C59,CkDJ[JEV Number],0))),CasheirCode[Sort Code])))</f>
        <v/>
      </c>
      <c r="H59" s="674">
        <f t="array" ref="H59">IF(OR($C59=$C58,$C59=0),0,(SUM(IF((CkDJ[JEV Number]=$C59)*(CkDJ[Account Code]=(H$9)),CkDJ[Credit]))))</f>
        <v>0</v>
      </c>
      <c r="I59" s="674">
        <f t="array" ref="I59">IF(OR($C59=$C58,$C59=0),0,(SUM(IF((CkDJ[JEV Number]=$C59)*(CkDJ[Account Code]=(I$9)),CkDJ[Credit]))))</f>
        <v>0</v>
      </c>
      <c r="J59" s="675"/>
      <c r="K59" s="674">
        <f t="array" ref="K59">IF($C59=0,0,(SUM(IF((CkDJ[JEV Number]=$C59)*(CkDJ[Account Code]=(J59)),CkDJ[Credit]))))</f>
        <v>0</v>
      </c>
      <c r="L59" s="674">
        <f t="array" ref="L59">IF(OR($C59=$C58,$C59=0),0,(SUM(IF((CkDJ[JEV Number]=$C59)*(CkDJ[Account Code]=(L$9)),CkDJ[Debit]))))</f>
        <v>0</v>
      </c>
      <c r="M59" s="674">
        <f t="array" ref="M59">IF(OR($C59=$C58,$C59=0),0,(SUM(IF((CkDJ[JEV Number]=$C59)*(CkDJ[Account Code]=(M$9)),CkDJ[Debit]))))</f>
        <v>0</v>
      </c>
      <c r="N59" s="674">
        <f t="array" ref="N59">IF(OR($C59=$C58,$C59=0),0,(SUM(IF((CkDJ[JEV Number]=$C59)*(CkDJ[Account Code]=(N$9)),CkDJ[Debit]))))</f>
        <v>0</v>
      </c>
      <c r="O59" s="674">
        <f t="array" ref="O59">IF(OR($C59=$C58,$C59=0),0,(SUM(IF((CkDJ[JEV Number]=$C59)*(CkDJ[Account Code]=(O$9)),CkDJ[Debit]))))</f>
        <v>0</v>
      </c>
      <c r="P59" s="722"/>
      <c r="Q59" s="689">
        <f t="array" ref="Q59">IF($C59=0,0,(SUM(IF((CkDJ[JEV Number]=$C59)*(CkDJ[Account Code]=(P59)),CkDJ[Debit]))))</f>
        <v>0</v>
      </c>
      <c r="R59" s="676">
        <f t="shared" si="5"/>
        <v>0</v>
      </c>
    </row>
    <row r="60" spans="1:18">
      <c r="A60" s="670" t="str">
        <f t="array" ref="A60">IF(OR(C60=C59,C60=0),"",INDEX(CkDJ[Date],MATCH(C60,CkDJ[JEV Number],0)))</f>
        <v/>
      </c>
      <c r="B60" s="671"/>
      <c r="C60" s="672" t="str">
        <f t="shared" si="4"/>
        <v>20-01-001</v>
      </c>
      <c r="D60" s="672"/>
      <c r="E60" s="672"/>
      <c r="F60" s="672"/>
      <c r="G60" s="673" t="str">
        <f t="array" ref="G60">IF(OR(C60=C59,C60=0),"",INDEX(CasheirCode[Name],MATCH((INDEX(CkDJ[Sort Code],MATCH(C60,CkDJ[JEV Number],0))),CasheirCode[Sort Code])))</f>
        <v/>
      </c>
      <c r="H60" s="674">
        <f t="array" ref="H60">IF(OR($C60=$C59,$C60=0),0,(SUM(IF((CkDJ[JEV Number]=$C60)*(CkDJ[Account Code]=(H$9)),CkDJ[Credit]))))</f>
        <v>0</v>
      </c>
      <c r="I60" s="674">
        <f t="array" ref="I60">IF(OR($C60=$C59,$C60=0),0,(SUM(IF((CkDJ[JEV Number]=$C60)*(CkDJ[Account Code]=(I$9)),CkDJ[Credit]))))</f>
        <v>0</v>
      </c>
      <c r="J60" s="675"/>
      <c r="K60" s="674">
        <f t="array" ref="K60">IF($C60=0,0,(SUM(IF((CkDJ[JEV Number]=$C60)*(CkDJ[Account Code]=(J60)),CkDJ[Credit]))))</f>
        <v>0</v>
      </c>
      <c r="L60" s="674">
        <f t="array" ref="L60">IF(OR($C60=$C59,$C60=0),0,(SUM(IF((CkDJ[JEV Number]=$C60)*(CkDJ[Account Code]=(L$9)),CkDJ[Debit]))))</f>
        <v>0</v>
      </c>
      <c r="M60" s="674">
        <f t="array" ref="M60">IF(OR($C60=$C59,$C60=0),0,(SUM(IF((CkDJ[JEV Number]=$C60)*(CkDJ[Account Code]=(M$9)),CkDJ[Debit]))))</f>
        <v>0</v>
      </c>
      <c r="N60" s="674">
        <f t="array" ref="N60">IF(OR($C60=$C59,$C60=0),0,(SUM(IF((CkDJ[JEV Number]=$C60)*(CkDJ[Account Code]=(N$9)),CkDJ[Debit]))))</f>
        <v>0</v>
      </c>
      <c r="O60" s="674">
        <f t="array" ref="O60">IF(OR($C60=$C59,$C60=0),0,(SUM(IF((CkDJ[JEV Number]=$C60)*(CkDJ[Account Code]=(O$9)),CkDJ[Debit]))))</f>
        <v>0</v>
      </c>
      <c r="P60" s="722"/>
      <c r="Q60" s="689">
        <f t="array" ref="Q60">IF($C60=0,0,(SUM(IF((CkDJ[JEV Number]=$C60)*(CkDJ[Account Code]=(P60)),CkDJ[Debit]))))</f>
        <v>0</v>
      </c>
      <c r="R60" s="676">
        <f t="shared" si="5"/>
        <v>0</v>
      </c>
    </row>
    <row r="61" spans="1:18">
      <c r="A61" s="670" t="str">
        <f t="array" ref="A61">IF(OR(C61=C60,C61=0),"",INDEX(CkDJ[Date],MATCH(C61,CkDJ[JEV Number],0)))</f>
        <v/>
      </c>
      <c r="B61" s="671"/>
      <c r="C61" s="672" t="str">
        <f t="shared" si="4"/>
        <v>20-01-001</v>
      </c>
      <c r="D61" s="672"/>
      <c r="E61" s="672"/>
      <c r="F61" s="672"/>
      <c r="G61" s="673" t="str">
        <f t="array" ref="G61">IF(OR(C61=C60,C61=0),"",INDEX(CasheirCode[Name],MATCH((INDEX(CkDJ[Sort Code],MATCH(C61,CkDJ[JEV Number],0))),CasheirCode[Sort Code])))</f>
        <v/>
      </c>
      <c r="H61" s="674">
        <f t="array" ref="H61">IF(OR($C61=$C60,$C61=0),0,(SUM(IF((CkDJ[JEV Number]=$C61)*(CkDJ[Account Code]=(H$9)),CkDJ[Credit]))))</f>
        <v>0</v>
      </c>
      <c r="I61" s="674">
        <f t="array" ref="I61">IF(OR($C61=$C60,$C61=0),0,(SUM(IF((CkDJ[JEV Number]=$C61)*(CkDJ[Account Code]=(I$9)),CkDJ[Credit]))))</f>
        <v>0</v>
      </c>
      <c r="J61" s="675"/>
      <c r="K61" s="674">
        <f t="array" ref="K61">IF($C61=0,0,(SUM(IF((CkDJ[JEV Number]=$C61)*(CkDJ[Account Code]=(J61)),CkDJ[Credit]))))</f>
        <v>0</v>
      </c>
      <c r="L61" s="674">
        <f t="array" ref="L61">IF(OR($C61=$C60,$C61=0),0,(SUM(IF((CkDJ[JEV Number]=$C61)*(CkDJ[Account Code]=(L$9)),CkDJ[Debit]))))</f>
        <v>0</v>
      </c>
      <c r="M61" s="674">
        <f t="array" ref="M61">IF(OR($C61=$C60,$C61=0),0,(SUM(IF((CkDJ[JEV Number]=$C61)*(CkDJ[Account Code]=(M$9)),CkDJ[Debit]))))</f>
        <v>0</v>
      </c>
      <c r="N61" s="674">
        <f t="array" ref="N61">IF(OR($C61=$C60,$C61=0),0,(SUM(IF((CkDJ[JEV Number]=$C61)*(CkDJ[Account Code]=(N$9)),CkDJ[Debit]))))</f>
        <v>0</v>
      </c>
      <c r="O61" s="674">
        <f t="array" ref="O61">IF(OR($C61=$C60,$C61=0),0,(SUM(IF((CkDJ[JEV Number]=$C61)*(CkDJ[Account Code]=(O$9)),CkDJ[Debit]))))</f>
        <v>0</v>
      </c>
      <c r="P61" s="722"/>
      <c r="Q61" s="689">
        <f t="array" ref="Q61">IF($C61=0,0,(SUM(IF((CkDJ[JEV Number]=$C61)*(CkDJ[Account Code]=(P61)),CkDJ[Debit]))))</f>
        <v>0</v>
      </c>
      <c r="R61" s="676">
        <f t="shared" si="5"/>
        <v>0</v>
      </c>
    </row>
    <row r="62" spans="1:18">
      <c r="A62" s="670" t="str">
        <f t="array" ref="A62">IF(OR(C62=C61,C62=0),"",INDEX(CkDJ[Date],MATCH(C62,CkDJ[JEV Number],0)))</f>
        <v/>
      </c>
      <c r="B62" s="671"/>
      <c r="C62" s="672" t="str">
        <f t="shared" si="4"/>
        <v>20-01-001</v>
      </c>
      <c r="D62" s="672"/>
      <c r="E62" s="672"/>
      <c r="F62" s="672"/>
      <c r="G62" s="673" t="str">
        <f t="array" ref="G62">IF(OR(C62=C61,C62=0),"",INDEX(CasheirCode[Name],MATCH((INDEX(CkDJ[Sort Code],MATCH(C62,CkDJ[JEV Number],0))),CasheirCode[Sort Code])))</f>
        <v/>
      </c>
      <c r="H62" s="674">
        <f t="array" ref="H62">IF(OR($C62=$C61,$C62=0),0,(SUM(IF((CkDJ[JEV Number]=$C62)*(CkDJ[Account Code]=(H$9)),CkDJ[Credit]))))</f>
        <v>0</v>
      </c>
      <c r="I62" s="674">
        <f t="array" ref="I62">IF(OR($C62=$C61,$C62=0),0,(SUM(IF((CkDJ[JEV Number]=$C62)*(CkDJ[Account Code]=(I$9)),CkDJ[Credit]))))</f>
        <v>0</v>
      </c>
      <c r="J62" s="675"/>
      <c r="K62" s="674">
        <f t="array" ref="K62">IF($C62=0,0,(SUM(IF((CkDJ[JEV Number]=$C62)*(CkDJ[Account Code]=(J62)),CkDJ[Credit]))))</f>
        <v>0</v>
      </c>
      <c r="L62" s="674">
        <f t="array" ref="L62">IF(OR($C62=$C61,$C62=0),0,(SUM(IF((CkDJ[JEV Number]=$C62)*(CkDJ[Account Code]=(L$9)),CkDJ[Debit]))))</f>
        <v>0</v>
      </c>
      <c r="M62" s="674">
        <f t="array" ref="M62">IF(OR($C62=$C61,$C62=0),0,(SUM(IF((CkDJ[JEV Number]=$C62)*(CkDJ[Account Code]=(M$9)),CkDJ[Debit]))))</f>
        <v>0</v>
      </c>
      <c r="N62" s="674">
        <f t="array" ref="N62">IF(OR($C62=$C61,$C62=0),0,(SUM(IF((CkDJ[JEV Number]=$C62)*(CkDJ[Account Code]=(N$9)),CkDJ[Debit]))))</f>
        <v>0</v>
      </c>
      <c r="O62" s="674">
        <f t="array" ref="O62">IF(OR($C62=$C61,$C62=0),0,(SUM(IF((CkDJ[JEV Number]=$C62)*(CkDJ[Account Code]=(O$9)),CkDJ[Debit]))))</f>
        <v>0</v>
      </c>
      <c r="P62" s="722"/>
      <c r="Q62" s="689">
        <f t="array" ref="Q62">IF($C62=0,0,(SUM(IF((CkDJ[JEV Number]=$C62)*(CkDJ[Account Code]=(P62)),CkDJ[Debit]))))</f>
        <v>0</v>
      </c>
      <c r="R62" s="676">
        <f t="shared" si="5"/>
        <v>0</v>
      </c>
    </row>
    <row r="63" spans="1:18">
      <c r="A63" s="670" t="str">
        <f t="array" ref="A63">IF(OR(C63=C62,C63=0),"",INDEX(CkDJ[Date],MATCH(C63,CkDJ[JEV Number],0)))</f>
        <v/>
      </c>
      <c r="B63" s="671"/>
      <c r="C63" s="672" t="str">
        <f t="shared" si="4"/>
        <v>20-01-001</v>
      </c>
      <c r="D63" s="672"/>
      <c r="E63" s="672"/>
      <c r="F63" s="672"/>
      <c r="G63" s="673" t="str">
        <f t="array" ref="G63">IF(OR(C63=C62,C63=0),"",INDEX(CasheirCode[Name],MATCH((INDEX(CkDJ[Sort Code],MATCH(C63,CkDJ[JEV Number],0))),CasheirCode[Sort Code])))</f>
        <v/>
      </c>
      <c r="H63" s="674">
        <f t="array" ref="H63">IF(OR($C63=$C62,$C63=0),0,(SUM(IF((CkDJ[JEV Number]=$C63)*(CkDJ[Account Code]=(H$9)),CkDJ[Credit]))))</f>
        <v>0</v>
      </c>
      <c r="I63" s="674">
        <f t="array" ref="I63">IF(OR($C63=$C62,$C63=0),0,(SUM(IF((CkDJ[JEV Number]=$C63)*(CkDJ[Account Code]=(I$9)),CkDJ[Credit]))))</f>
        <v>0</v>
      </c>
      <c r="J63" s="675"/>
      <c r="K63" s="674">
        <f t="array" ref="K63">IF($C63=0,0,(SUM(IF((CkDJ[JEV Number]=$C63)*(CkDJ[Account Code]=(J63)),CkDJ[Credit]))))</f>
        <v>0</v>
      </c>
      <c r="L63" s="674">
        <f t="array" ref="L63">IF(OR($C63=$C62,$C63=0),0,(SUM(IF((CkDJ[JEV Number]=$C63)*(CkDJ[Account Code]=(L$9)),CkDJ[Debit]))))</f>
        <v>0</v>
      </c>
      <c r="M63" s="674">
        <f t="array" ref="M63">IF(OR($C63=$C62,$C63=0),0,(SUM(IF((CkDJ[JEV Number]=$C63)*(CkDJ[Account Code]=(M$9)),CkDJ[Debit]))))</f>
        <v>0</v>
      </c>
      <c r="N63" s="674">
        <f t="array" ref="N63">IF(OR($C63=$C62,$C63=0),0,(SUM(IF((CkDJ[JEV Number]=$C63)*(CkDJ[Account Code]=(N$9)),CkDJ[Debit]))))</f>
        <v>0</v>
      </c>
      <c r="O63" s="674">
        <f t="array" ref="O63">IF(OR($C63=$C62,$C63=0),0,(SUM(IF((CkDJ[JEV Number]=$C63)*(CkDJ[Account Code]=(O$9)),CkDJ[Debit]))))</f>
        <v>0</v>
      </c>
      <c r="P63" s="722"/>
      <c r="Q63" s="689">
        <f t="array" ref="Q63">IF($C63=0,0,(SUM(IF((CkDJ[JEV Number]=$C63)*(CkDJ[Account Code]=(P63)),CkDJ[Debit]))))</f>
        <v>0</v>
      </c>
      <c r="R63" s="676">
        <f t="shared" si="5"/>
        <v>0</v>
      </c>
    </row>
    <row r="64" spans="1:18">
      <c r="A64" s="670" t="str">
        <f t="array" ref="A64">IF(OR(C64=C63,C64=0),"",INDEX(CkDJ[Date],MATCH(C64,CkDJ[JEV Number],0)))</f>
        <v/>
      </c>
      <c r="B64" s="671"/>
      <c r="C64" s="672" t="str">
        <f t="shared" si="4"/>
        <v>20-01-001</v>
      </c>
      <c r="D64" s="672"/>
      <c r="E64" s="672"/>
      <c r="F64" s="672"/>
      <c r="G64" s="673" t="str">
        <f t="array" ref="G64">IF(OR(C64=C63,C64=0),"",INDEX(CasheirCode[Name],MATCH((INDEX(CkDJ[Sort Code],MATCH(C64,CkDJ[JEV Number],0))),CasheirCode[Sort Code])))</f>
        <v/>
      </c>
      <c r="H64" s="674">
        <f t="array" ref="H64">IF(OR($C64=$C63,$C64=0),0,(SUM(IF((CkDJ[JEV Number]=$C64)*(CkDJ[Account Code]=(H$9)),CkDJ[Credit]))))</f>
        <v>0</v>
      </c>
      <c r="I64" s="674">
        <f t="array" ref="I64">IF(OR($C64=$C63,$C64=0),0,(SUM(IF((CkDJ[JEV Number]=$C64)*(CkDJ[Account Code]=(I$9)),CkDJ[Credit]))))</f>
        <v>0</v>
      </c>
      <c r="J64" s="724"/>
      <c r="K64" s="674">
        <f t="array" ref="K64">IF($C64=0,0,(SUM(IF((CkDJ[JEV Number]=$C64)*(CkDJ[Account Code]=(J64)),CkDJ[Credit]))))</f>
        <v>0</v>
      </c>
      <c r="L64" s="674">
        <f t="array" ref="L64">IF(OR($C64=$C63,$C64=0),0,(SUM(IF((CkDJ[JEV Number]=$C64)*(CkDJ[Account Code]=(L$9)),CkDJ[Debit]))))</f>
        <v>0</v>
      </c>
      <c r="M64" s="674">
        <f t="array" ref="M64">IF(OR($C64=$C63,$C64=0),0,(SUM(IF((CkDJ[JEV Number]=$C64)*(CkDJ[Account Code]=(M$9)),CkDJ[Debit]))))</f>
        <v>0</v>
      </c>
      <c r="N64" s="674">
        <f t="array" ref="N64">IF(OR($C64=$C63,$C64=0),0,(SUM(IF((CkDJ[JEV Number]=$C64)*(CkDJ[Account Code]=(N$9)),CkDJ[Debit]))))</f>
        <v>0</v>
      </c>
      <c r="O64" s="674">
        <f t="array" ref="O64">IF(OR($C64=$C63,$C64=0),0,(SUM(IF((CkDJ[JEV Number]=$C64)*(CkDJ[Account Code]=(O$9)),CkDJ[Debit]))))</f>
        <v>0</v>
      </c>
      <c r="P64" s="722"/>
      <c r="Q64" s="689">
        <f t="array" ref="Q64">IF($C64=0,0,(SUM(IF((CkDJ[JEV Number]=$C64)*(CkDJ[Account Code]=(P64)),CkDJ[Debit]))))</f>
        <v>0</v>
      </c>
      <c r="R64" s="676">
        <f t="shared" si="5"/>
        <v>0</v>
      </c>
    </row>
    <row r="65" spans="1:18">
      <c r="A65" s="670" t="str">
        <f t="array" ref="A65">IF(OR(C65=C64,C65=0),"",INDEX(CkDJ[Date],MATCH(C65,CkDJ[JEV Number],0)))</f>
        <v/>
      </c>
      <c r="B65" s="671"/>
      <c r="C65" s="672" t="str">
        <f t="shared" si="4"/>
        <v>20-01-001</v>
      </c>
      <c r="D65" s="672"/>
      <c r="E65" s="672"/>
      <c r="F65" s="672"/>
      <c r="G65" s="673" t="str">
        <f t="array" ref="G65">IF(OR(C65=C64,C65=0),"",INDEX(CasheirCode[Name],MATCH((INDEX(CkDJ[Sort Code],MATCH(C65,CkDJ[JEV Number],0))),CasheirCode[Sort Code])))</f>
        <v/>
      </c>
      <c r="H65" s="674">
        <f t="array" ref="H65">IF(OR($C65=$C64,$C65=0),0,(SUM(IF((CkDJ[JEV Number]=$C65)*(CkDJ[Account Code]=(H$9)),CkDJ[Credit]))))</f>
        <v>0</v>
      </c>
      <c r="I65" s="674">
        <f t="array" ref="I65">IF(OR($C65=$C64,$C65=0),0,(SUM(IF((CkDJ[JEV Number]=$C65)*(CkDJ[Account Code]=(I$9)),CkDJ[Credit]))))</f>
        <v>0</v>
      </c>
      <c r="J65" s="675"/>
      <c r="K65" s="674">
        <f t="array" ref="K65">IF($C65=0,0,(SUM(IF((CkDJ[JEV Number]=$C65)*(CkDJ[Account Code]=(J65)),CkDJ[Credit]))))</f>
        <v>0</v>
      </c>
      <c r="L65" s="674">
        <f t="array" ref="L65">IF(OR($C65=$C64,$C65=0),0,(SUM(IF((CkDJ[JEV Number]=$C65)*(CkDJ[Account Code]=(L$9)),CkDJ[Debit]))))</f>
        <v>0</v>
      </c>
      <c r="M65" s="674">
        <f t="array" ref="M65">IF(OR($C65=$C64,$C65=0),0,(SUM(IF((CkDJ[JEV Number]=$C65)*(CkDJ[Account Code]=(M$9)),CkDJ[Debit]))))</f>
        <v>0</v>
      </c>
      <c r="N65" s="674">
        <f t="array" ref="N65">IF(OR($C65=$C64,$C65=0),0,(SUM(IF((CkDJ[JEV Number]=$C65)*(CkDJ[Account Code]=(N$9)),CkDJ[Debit]))))</f>
        <v>0</v>
      </c>
      <c r="O65" s="674">
        <f t="array" ref="O65">IF(OR($C65=$C64,$C65=0),0,(SUM(IF((CkDJ[JEV Number]=$C65)*(CkDJ[Account Code]=(O$9)),CkDJ[Debit]))))</f>
        <v>0</v>
      </c>
      <c r="P65" s="722"/>
      <c r="Q65" s="689">
        <f t="array" ref="Q65">IF($C65=0,0,(SUM(IF((CkDJ[JEV Number]=$C65)*(CkDJ[Account Code]=(P65)),CkDJ[Debit]))))</f>
        <v>0</v>
      </c>
      <c r="R65" s="676">
        <f t="shared" si="5"/>
        <v>0</v>
      </c>
    </row>
    <row r="66" spans="1:18">
      <c r="A66" s="670" t="str">
        <f t="array" ref="A66">IF(OR(C66=C65,C66=0),"",INDEX(CkDJ[Date],MATCH(C66,CkDJ[JEV Number],0)))</f>
        <v/>
      </c>
      <c r="B66" s="671"/>
      <c r="C66" s="672" t="str">
        <f t="shared" si="4"/>
        <v>20-01-001</v>
      </c>
      <c r="D66" s="672"/>
      <c r="E66" s="672"/>
      <c r="F66" s="672"/>
      <c r="G66" s="673" t="str">
        <f t="array" ref="G66">IF(OR(C66=C65,C66=0),"",INDEX(CasheirCode[Name],MATCH((INDEX(CkDJ[Sort Code],MATCH(C66,CkDJ[JEV Number],0))),CasheirCode[Sort Code])))</f>
        <v/>
      </c>
      <c r="H66" s="674">
        <f t="array" ref="H66">IF(OR($C66=$C65,$C66=0),0,(SUM(IF((CkDJ[JEV Number]=$C66)*(CkDJ[Account Code]=(H$9)),CkDJ[Credit]))))</f>
        <v>0</v>
      </c>
      <c r="I66" s="674">
        <f t="array" ref="I66">IF(OR($C66=$C65,$C66=0),0,(SUM(IF((CkDJ[JEV Number]=$C66)*(CkDJ[Account Code]=(I$9)),CkDJ[Credit]))))</f>
        <v>0</v>
      </c>
      <c r="J66" s="675"/>
      <c r="K66" s="674">
        <f t="array" ref="K66">IF($C66=0,0,(SUM(IF((CkDJ[JEV Number]=$C66)*(CkDJ[Account Code]=(J66)),CkDJ[Credit]))))</f>
        <v>0</v>
      </c>
      <c r="L66" s="674">
        <f t="array" ref="L66">IF(OR($C66=$C65,$C66=0),0,(SUM(IF((CkDJ[JEV Number]=$C66)*(CkDJ[Account Code]=(L$9)),CkDJ[Debit]))))</f>
        <v>0</v>
      </c>
      <c r="M66" s="674">
        <f t="array" ref="M66">IF(OR($C66=$C65,$C66=0),0,(SUM(IF((CkDJ[JEV Number]=$C66)*(CkDJ[Account Code]=(M$9)),CkDJ[Debit]))))</f>
        <v>0</v>
      </c>
      <c r="N66" s="674">
        <f t="array" ref="N66">IF(OR($C66=$C65,$C66=0),0,(SUM(IF((CkDJ[JEV Number]=$C66)*(CkDJ[Account Code]=(N$9)),CkDJ[Debit]))))</f>
        <v>0</v>
      </c>
      <c r="O66" s="674">
        <f t="array" ref="O66">IF(OR($C66=$C65,$C66=0),0,(SUM(IF((CkDJ[JEV Number]=$C66)*(CkDJ[Account Code]=(O$9)),CkDJ[Debit]))))</f>
        <v>0</v>
      </c>
      <c r="P66" s="722"/>
      <c r="Q66" s="689">
        <f t="array" ref="Q66">IF($C66=0,0,(SUM(IF((CkDJ[JEV Number]=$C66)*(CkDJ[Account Code]=(P66)),CkDJ[Debit]))))</f>
        <v>0</v>
      </c>
      <c r="R66" s="676">
        <f t="shared" si="5"/>
        <v>0</v>
      </c>
    </row>
    <row r="67" spans="1:18">
      <c r="A67" s="670" t="str">
        <f t="array" ref="A67">IF(OR(C67=C66,C67=0),"",INDEX(CkDJ[Date],MATCH(C67,CkDJ[JEV Number],0)))</f>
        <v/>
      </c>
      <c r="B67" s="671"/>
      <c r="C67" s="672" t="str">
        <f t="shared" si="4"/>
        <v>20-01-001</v>
      </c>
      <c r="D67" s="672"/>
      <c r="E67" s="672"/>
      <c r="F67" s="672"/>
      <c r="G67" s="673" t="str">
        <f t="array" ref="G67">IF(OR(C67=C66,C67=0),"",INDEX(CasheirCode[Name],MATCH((INDEX(CkDJ[Sort Code],MATCH(C67,CkDJ[JEV Number],0))),CasheirCode[Sort Code])))</f>
        <v/>
      </c>
      <c r="H67" s="674">
        <f t="array" ref="H67">IF(OR($C67=$C66,$C67=0),0,(SUM(IF((CkDJ[JEV Number]=$C67)*(CkDJ[Account Code]=(H$9)),CkDJ[Credit]))))</f>
        <v>0</v>
      </c>
      <c r="I67" s="674">
        <f t="array" ref="I67">IF(OR($C67=$C66,$C67=0),0,(SUM(IF((CkDJ[JEV Number]=$C67)*(CkDJ[Account Code]=(I$9)),CkDJ[Credit]))))</f>
        <v>0</v>
      </c>
      <c r="J67" s="675"/>
      <c r="K67" s="674">
        <f t="array" ref="K67">IF($C67=0,0,(SUM(IF((CkDJ[JEV Number]=$C67)*(CkDJ[Account Code]=(J67)),CkDJ[Credit]))))</f>
        <v>0</v>
      </c>
      <c r="L67" s="674">
        <f t="array" ref="L67">IF(OR($C67=$C66,$C67=0),0,(SUM(IF((CkDJ[JEV Number]=$C67)*(CkDJ[Account Code]=(L$9)),CkDJ[Debit]))))</f>
        <v>0</v>
      </c>
      <c r="M67" s="674">
        <f t="array" ref="M67">IF(OR($C67=$C66,$C67=0),0,(SUM(IF((CkDJ[JEV Number]=$C67)*(CkDJ[Account Code]=(M$9)),CkDJ[Debit]))))</f>
        <v>0</v>
      </c>
      <c r="N67" s="674">
        <f t="array" ref="N67">IF(OR($C67=$C66,$C67=0),0,(SUM(IF((CkDJ[JEV Number]=$C67)*(CkDJ[Account Code]=(N$9)),CkDJ[Debit]))))</f>
        <v>0</v>
      </c>
      <c r="O67" s="674">
        <f t="array" ref="O67">IF(OR($C67=$C66,$C67=0),0,(SUM(IF((CkDJ[JEV Number]=$C67)*(CkDJ[Account Code]=(O$9)),CkDJ[Debit]))))</f>
        <v>0</v>
      </c>
      <c r="P67" s="722"/>
      <c r="Q67" s="689">
        <f t="array" ref="Q67">IF($C67=0,0,(SUM(IF((CkDJ[JEV Number]=$C67)*(CkDJ[Account Code]=(P67)),CkDJ[Debit]))))</f>
        <v>0</v>
      </c>
      <c r="R67" s="676">
        <f t="shared" si="5"/>
        <v>0</v>
      </c>
    </row>
    <row r="68" spans="1:18">
      <c r="A68" s="670" t="str">
        <f t="array" ref="A68">IF(OR(C68=C67,C68=0),"",INDEX(CkDJ[Date],MATCH(C68,CkDJ[JEV Number],0)))</f>
        <v/>
      </c>
      <c r="B68" s="671"/>
      <c r="C68" s="672" t="str">
        <f t="shared" si="4"/>
        <v>20-01-001</v>
      </c>
      <c r="D68" s="672"/>
      <c r="E68" s="672"/>
      <c r="F68" s="672"/>
      <c r="G68" s="673" t="str">
        <f t="array" ref="G68">IF(OR(C68=C67,C68=0),"",INDEX(CasheirCode[Name],MATCH((INDEX(CkDJ[Sort Code],MATCH(C68,CkDJ[JEV Number],0))),CasheirCode[Sort Code])))</f>
        <v/>
      </c>
      <c r="H68" s="674">
        <f t="array" ref="H68">IF(OR($C68=$C67,$C68=0),0,(SUM(IF((CkDJ[JEV Number]=$C68)*(CkDJ[Account Code]=(H$9)),CkDJ[Credit]))))</f>
        <v>0</v>
      </c>
      <c r="I68" s="674">
        <f t="array" ref="I68">IF(OR($C68=$C67,$C68=0),0,(SUM(IF((CkDJ[JEV Number]=$C68)*(CkDJ[Account Code]=(I$9)),CkDJ[Credit]))))</f>
        <v>0</v>
      </c>
      <c r="J68" s="675"/>
      <c r="K68" s="674">
        <f t="array" ref="K68">IF($C68=0,0,(SUM(IF((CkDJ[JEV Number]=$C68)*(CkDJ[Account Code]=(J68)),CkDJ[Credit]))))</f>
        <v>0</v>
      </c>
      <c r="L68" s="674">
        <f t="array" ref="L68">IF(OR($C68=$C67,$C68=0),0,(SUM(IF((CkDJ[JEV Number]=$C68)*(CkDJ[Account Code]=(L$9)),CkDJ[Debit]))))</f>
        <v>0</v>
      </c>
      <c r="M68" s="674">
        <f t="array" ref="M68">IF(OR($C68=$C67,$C68=0),0,(SUM(IF((CkDJ[JEV Number]=$C68)*(CkDJ[Account Code]=(M$9)),CkDJ[Debit]))))</f>
        <v>0</v>
      </c>
      <c r="N68" s="674">
        <f t="array" ref="N68">IF(OR($C68=$C67,$C68=0),0,(SUM(IF((CkDJ[JEV Number]=$C68)*(CkDJ[Account Code]=(N$9)),CkDJ[Debit]))))</f>
        <v>0</v>
      </c>
      <c r="O68" s="674">
        <f t="array" ref="O68">IF(OR($C68=$C67,$C68=0),0,(SUM(IF((CkDJ[JEV Number]=$C68)*(CkDJ[Account Code]=(O$9)),CkDJ[Debit]))))</f>
        <v>0</v>
      </c>
      <c r="P68" s="722"/>
      <c r="Q68" s="689">
        <f t="array" ref="Q68">IF($C68=0,0,(SUM(IF((CkDJ[JEV Number]=$C68)*(CkDJ[Account Code]=(P68)),CkDJ[Debit]))))</f>
        <v>0</v>
      </c>
      <c r="R68" s="676">
        <f t="shared" si="5"/>
        <v>0</v>
      </c>
    </row>
    <row r="69" spans="1:18">
      <c r="A69" s="670" t="str">
        <f t="array" ref="A69">IF(OR(C69=C68,C69=0),"",INDEX(CkDJ[Date],MATCH(C69,CkDJ[JEV Number],0)))</f>
        <v/>
      </c>
      <c r="B69" s="671"/>
      <c r="C69" s="672" t="str">
        <f t="shared" si="4"/>
        <v>20-01-001</v>
      </c>
      <c r="D69" s="672"/>
      <c r="E69" s="672"/>
      <c r="F69" s="672"/>
      <c r="G69" s="673" t="str">
        <f t="array" ref="G69">IF(OR(C69=C68,C69=0),"",INDEX(CasheirCode[Name],MATCH((INDEX(CkDJ[Sort Code],MATCH(C69,CkDJ[JEV Number],0))),CasheirCode[Sort Code])))</f>
        <v/>
      </c>
      <c r="H69" s="674">
        <f t="array" ref="H69">IF(OR($C69=$C68,$C69=0),0,(SUM(IF((CkDJ[JEV Number]=$C69)*(CkDJ[Account Code]=(H$9)),CkDJ[Credit]))))</f>
        <v>0</v>
      </c>
      <c r="I69" s="674">
        <f t="array" ref="I69">IF(OR($C69=$C68,$C69=0),0,(SUM(IF((CkDJ[JEV Number]=$C69)*(CkDJ[Account Code]=(I$9)),CkDJ[Credit]))))</f>
        <v>0</v>
      </c>
      <c r="J69" s="675"/>
      <c r="K69" s="674">
        <f t="array" ref="K69">IF($C69=0,0,(SUM(IF((CkDJ[JEV Number]=$C69)*(CkDJ[Account Code]=(J69)),CkDJ[Credit]))))</f>
        <v>0</v>
      </c>
      <c r="L69" s="674">
        <f t="array" ref="L69">IF(OR($C69=$C68,$C69=0),0,(SUM(IF((CkDJ[JEV Number]=$C69)*(CkDJ[Account Code]=(L$9)),CkDJ[Debit]))))</f>
        <v>0</v>
      </c>
      <c r="M69" s="674">
        <f t="array" ref="M69">IF(OR($C69=$C68,$C69=0),0,(SUM(IF((CkDJ[JEV Number]=$C69)*(CkDJ[Account Code]=(M$9)),CkDJ[Debit]))))</f>
        <v>0</v>
      </c>
      <c r="N69" s="674">
        <f t="array" ref="N69">IF(OR($C69=$C68,$C69=0),0,(SUM(IF((CkDJ[JEV Number]=$C69)*(CkDJ[Account Code]=(N$9)),CkDJ[Debit]))))</f>
        <v>0</v>
      </c>
      <c r="O69" s="674">
        <f t="array" ref="O69">IF(OR($C69=$C68,$C69=0),0,(SUM(IF((CkDJ[JEV Number]=$C69)*(CkDJ[Account Code]=(O$9)),CkDJ[Debit]))))</f>
        <v>0</v>
      </c>
      <c r="P69" s="722"/>
      <c r="Q69" s="689">
        <f t="array" ref="Q69">IF($C69=0,0,(SUM(IF((CkDJ[JEV Number]=$C69)*(CkDJ[Account Code]=(P69)),CkDJ[Debit]))))</f>
        <v>0</v>
      </c>
      <c r="R69" s="676">
        <f t="shared" si="5"/>
        <v>0</v>
      </c>
    </row>
    <row r="70" spans="1:18">
      <c r="A70" s="670" t="str">
        <f t="array" ref="A70">IF(OR(C70=C69,C70=0),"",INDEX(CkDJ[Date],MATCH(C70,CkDJ[JEV Number],0)))</f>
        <v/>
      </c>
      <c r="B70" s="671"/>
      <c r="C70" s="672" t="str">
        <f t="shared" si="4"/>
        <v>20-01-001</v>
      </c>
      <c r="D70" s="672"/>
      <c r="E70" s="672"/>
      <c r="F70" s="672"/>
      <c r="G70" s="673" t="str">
        <f t="array" ref="G70">IF(OR(C70=C69,C70=0),"",INDEX(CasheirCode[Name],MATCH((INDEX(CkDJ[Sort Code],MATCH(C70,CkDJ[JEV Number],0))),CasheirCode[Sort Code])))</f>
        <v/>
      </c>
      <c r="H70" s="674">
        <f t="array" ref="H70">IF(OR($C70=$C69,$C70=0),0,(SUM(IF((CkDJ[JEV Number]=$C70)*(CkDJ[Account Code]=(H$9)),CkDJ[Credit]))))</f>
        <v>0</v>
      </c>
      <c r="I70" s="674">
        <f t="array" ref="I70">IF(OR($C70=$C69,$C70=0),0,(SUM(IF((CkDJ[JEV Number]=$C70)*(CkDJ[Account Code]=(I$9)),CkDJ[Credit]))))</f>
        <v>0</v>
      </c>
      <c r="J70" s="724"/>
      <c r="K70" s="674">
        <f t="array" ref="K70">IF($C70=0,0,(SUM(IF((CkDJ[JEV Number]=$C70)*(CkDJ[Account Code]=(J70)),CkDJ[Credit]))))</f>
        <v>0</v>
      </c>
      <c r="L70" s="674">
        <f t="array" ref="L70">IF(OR($C70=$C69,$C70=0),0,(SUM(IF((CkDJ[JEV Number]=$C70)*(CkDJ[Account Code]=(L$9)),CkDJ[Debit]))))</f>
        <v>0</v>
      </c>
      <c r="M70" s="674">
        <f t="array" ref="M70">IF(OR($C70=$C69,$C70=0),0,(SUM(IF((CkDJ[JEV Number]=$C70)*(CkDJ[Account Code]=(M$9)),CkDJ[Debit]))))</f>
        <v>0</v>
      </c>
      <c r="N70" s="674">
        <f t="array" ref="N70">IF(OR($C70=$C69,$C70=0),0,(SUM(IF((CkDJ[JEV Number]=$C70)*(CkDJ[Account Code]=(N$9)),CkDJ[Debit]))))</f>
        <v>0</v>
      </c>
      <c r="O70" s="674">
        <f t="array" ref="O70">IF(OR($C70=$C69,$C70=0),0,(SUM(IF((CkDJ[JEV Number]=$C70)*(CkDJ[Account Code]=(O$9)),CkDJ[Debit]))))</f>
        <v>0</v>
      </c>
      <c r="P70" s="722"/>
      <c r="Q70" s="689">
        <f t="array" ref="Q70">IF($C70=0,0,(SUM(IF((CkDJ[JEV Number]=$C70)*(CkDJ[Account Code]=(P70)),CkDJ[Debit]))))</f>
        <v>0</v>
      </c>
      <c r="R70" s="676">
        <f t="shared" si="5"/>
        <v>0</v>
      </c>
    </row>
    <row r="71" spans="1:18">
      <c r="A71" s="670" t="str">
        <f t="array" ref="A71">IF(OR(C71=C70,C71=0),"",INDEX(CkDJ[Date],MATCH(C71,CkDJ[JEV Number],0)))</f>
        <v/>
      </c>
      <c r="B71" s="671"/>
      <c r="C71" s="672" t="str">
        <f t="shared" si="4"/>
        <v>20-01-001</v>
      </c>
      <c r="D71" s="672"/>
      <c r="E71" s="672"/>
      <c r="F71" s="672"/>
      <c r="G71" s="673" t="str">
        <f t="array" ref="G71">IF(OR(C71=C70,C71=0),"",INDEX(CasheirCode[Name],MATCH((INDEX(CkDJ[Sort Code],MATCH(C71,CkDJ[JEV Number],0))),CasheirCode[Sort Code])))</f>
        <v/>
      </c>
      <c r="H71" s="674">
        <f t="array" ref="H71">IF(OR($C71=$C70,$C71=0),0,(SUM(IF((CkDJ[JEV Number]=$C71)*(CkDJ[Account Code]=(H$9)),CkDJ[Credit]))))</f>
        <v>0</v>
      </c>
      <c r="I71" s="674">
        <f t="array" ref="I71">IF(OR($C71=$C70,$C71=0),0,(SUM(IF((CkDJ[JEV Number]=$C71)*(CkDJ[Account Code]=(I$9)),CkDJ[Credit]))))</f>
        <v>0</v>
      </c>
      <c r="J71" s="724"/>
      <c r="K71" s="674">
        <f t="array" ref="K71">IF($C71=0,0,(SUM(IF((CkDJ[JEV Number]=$C71)*(CkDJ[Account Code]=(J71)),CkDJ[Credit]))))</f>
        <v>0</v>
      </c>
      <c r="L71" s="674">
        <f t="array" ref="L71">IF(OR($C71=$C70,$C71=0),0,(SUM(IF((CkDJ[JEV Number]=$C71)*(CkDJ[Account Code]=(L$9)),CkDJ[Debit]))))</f>
        <v>0</v>
      </c>
      <c r="M71" s="674">
        <f t="array" ref="M71">IF(OR($C71=$C70,$C71=0),0,(SUM(IF((CkDJ[JEV Number]=$C71)*(CkDJ[Account Code]=(M$9)),CkDJ[Debit]))))</f>
        <v>0</v>
      </c>
      <c r="N71" s="674">
        <f t="array" ref="N71">IF(OR($C71=$C70,$C71=0),0,(SUM(IF((CkDJ[JEV Number]=$C71)*(CkDJ[Account Code]=(N$9)),CkDJ[Debit]))))</f>
        <v>0</v>
      </c>
      <c r="O71" s="674">
        <f t="array" ref="O71">IF(OR($C71=$C70,$C71=0),0,(SUM(IF((CkDJ[JEV Number]=$C71)*(CkDJ[Account Code]=(O$9)),CkDJ[Debit]))))</f>
        <v>0</v>
      </c>
      <c r="P71" s="722"/>
      <c r="Q71" s="689">
        <f t="array" ref="Q71">IF($C71=0,0,(SUM(IF((CkDJ[JEV Number]=$C71)*(CkDJ[Account Code]=(P71)),CkDJ[Debit]))))</f>
        <v>0</v>
      </c>
      <c r="R71" s="676">
        <f t="shared" si="5"/>
        <v>0</v>
      </c>
    </row>
    <row r="72" spans="1:18">
      <c r="A72" s="670" t="str">
        <f t="array" ref="A72">IF(OR(C72=C71,C72=0),"",INDEX(CkDJ[Date],MATCH(C72,CkDJ[JEV Number],0)))</f>
        <v/>
      </c>
      <c r="B72" s="671"/>
      <c r="C72" s="672" t="str">
        <f t="shared" si="4"/>
        <v>20-01-001</v>
      </c>
      <c r="D72" s="672"/>
      <c r="E72" s="672"/>
      <c r="F72" s="672"/>
      <c r="G72" s="673" t="str">
        <f t="array" ref="G72">IF(OR(C72=C71,C72=0),"",INDEX(CasheirCode[Name],MATCH((INDEX(CkDJ[Sort Code],MATCH(C72,CkDJ[JEV Number],0))),CasheirCode[Sort Code])))</f>
        <v/>
      </c>
      <c r="H72" s="674">
        <f t="array" ref="H72">IF(OR($C72=$C71,$C72=0),0,(SUM(IF((CkDJ[JEV Number]=$C72)*(CkDJ[Account Code]=(H$9)),CkDJ[Credit]))))</f>
        <v>0</v>
      </c>
      <c r="I72" s="674">
        <f t="array" ref="I72">IF(OR($C72=$C71,$C72=0),0,(SUM(IF((CkDJ[JEV Number]=$C72)*(CkDJ[Account Code]=(I$9)),CkDJ[Credit]))))</f>
        <v>0</v>
      </c>
      <c r="J72" s="675"/>
      <c r="K72" s="674">
        <f t="array" ref="K72">IF($C72=0,0,(SUM(IF((CkDJ[JEV Number]=$C72)*(CkDJ[Account Code]=(J72)),CkDJ[Credit]))))</f>
        <v>0</v>
      </c>
      <c r="L72" s="674">
        <f t="array" ref="L72">IF(OR($C72=$C71,$C72=0),0,(SUM(IF((CkDJ[JEV Number]=$C72)*(CkDJ[Account Code]=(L$9)),CkDJ[Debit]))))</f>
        <v>0</v>
      </c>
      <c r="M72" s="674">
        <f t="array" ref="M72">IF(OR($C72=$C71,$C72=0),0,(SUM(IF((CkDJ[JEV Number]=$C72)*(CkDJ[Account Code]=(M$9)),CkDJ[Debit]))))</f>
        <v>0</v>
      </c>
      <c r="N72" s="674">
        <f t="array" ref="N72">IF(OR($C72=$C71,$C72=0),0,(SUM(IF((CkDJ[JEV Number]=$C72)*(CkDJ[Account Code]=(N$9)),CkDJ[Debit]))))</f>
        <v>0</v>
      </c>
      <c r="O72" s="674">
        <f t="array" ref="O72">IF(OR($C72=$C71,$C72=0),0,(SUM(IF((CkDJ[JEV Number]=$C72)*(CkDJ[Account Code]=(O$9)),CkDJ[Debit]))))</f>
        <v>0</v>
      </c>
      <c r="P72" s="722"/>
      <c r="Q72" s="689">
        <f t="array" ref="Q72">IF($C72=0,0,(SUM(IF((CkDJ[JEV Number]=$C72)*(CkDJ[Account Code]=(P72)),CkDJ[Debit]))))</f>
        <v>0</v>
      </c>
      <c r="R72" s="676">
        <f t="shared" si="5"/>
        <v>0</v>
      </c>
    </row>
    <row r="73" spans="1:18">
      <c r="A73" s="670" t="str">
        <f t="array" ref="A73">IF(OR(C73=C72,C73=0),"",INDEX(CkDJ[Date],MATCH(C73,CkDJ[JEV Number],0)))</f>
        <v/>
      </c>
      <c r="B73" s="671"/>
      <c r="C73" s="672" t="str">
        <f t="shared" si="4"/>
        <v>20-01-001</v>
      </c>
      <c r="D73" s="672"/>
      <c r="E73" s="672"/>
      <c r="F73" s="672"/>
      <c r="G73" s="673" t="str">
        <f t="array" ref="G73">IF(OR(C73=C72,C73=0),"",INDEX(CasheirCode[Name],MATCH((INDEX(CkDJ[Sort Code],MATCH(C73,CkDJ[JEV Number],0))),CasheirCode[Sort Code])))</f>
        <v/>
      </c>
      <c r="H73" s="674">
        <f t="array" ref="H73">IF(OR($C73=$C72,$C73=0),0,(SUM(IF((CkDJ[JEV Number]=$C73)*(CkDJ[Account Code]=(H$9)),CkDJ[Credit]))))</f>
        <v>0</v>
      </c>
      <c r="I73" s="674">
        <f t="array" ref="I73">IF(OR($C73=$C72,$C73=0),0,(SUM(IF((CkDJ[JEV Number]=$C73)*(CkDJ[Account Code]=(I$9)),CkDJ[Credit]))))</f>
        <v>0</v>
      </c>
      <c r="J73" s="675"/>
      <c r="K73" s="674">
        <f t="array" ref="K73">IF($C73=0,0,(SUM(IF((CkDJ[JEV Number]=$C73)*(CkDJ[Account Code]=(J73)),CkDJ[Credit]))))</f>
        <v>0</v>
      </c>
      <c r="L73" s="674">
        <f t="array" ref="L73">IF(OR($C73=$C72,$C73=0),0,(SUM(IF((CkDJ[JEV Number]=$C73)*(CkDJ[Account Code]=(L$9)),CkDJ[Debit]))))</f>
        <v>0</v>
      </c>
      <c r="M73" s="674">
        <f t="array" ref="M73">IF(OR($C73=$C72,$C73=0),0,(SUM(IF((CkDJ[JEV Number]=$C73)*(CkDJ[Account Code]=(M$9)),CkDJ[Debit]))))</f>
        <v>0</v>
      </c>
      <c r="N73" s="674">
        <f t="array" ref="N73">IF(OR($C73=$C72,$C73=0),0,(SUM(IF((CkDJ[JEV Number]=$C73)*(CkDJ[Account Code]=(N$9)),CkDJ[Debit]))))</f>
        <v>0</v>
      </c>
      <c r="O73" s="674">
        <f t="array" ref="O73">IF(OR($C73=$C72,$C73=0),0,(SUM(IF((CkDJ[JEV Number]=$C73)*(CkDJ[Account Code]=(O$9)),CkDJ[Debit]))))</f>
        <v>0</v>
      </c>
      <c r="P73" s="722"/>
      <c r="Q73" s="689">
        <f t="array" ref="Q73">IF($C73=0,0,(SUM(IF((CkDJ[JEV Number]=$C73)*(CkDJ[Account Code]=(P73)),CkDJ[Debit]))))</f>
        <v>0</v>
      </c>
      <c r="R73" s="676">
        <f t="shared" si="5"/>
        <v>0</v>
      </c>
    </row>
    <row r="74" spans="1:18">
      <c r="A74" s="670" t="str">
        <f t="array" ref="A74">IF(OR(C74=C73,C74=0),"",INDEX(CkDJ[Date],MATCH(C74,CkDJ[JEV Number],0)))</f>
        <v/>
      </c>
      <c r="B74" s="671"/>
      <c r="C74" s="672" t="str">
        <f t="shared" si="4"/>
        <v>20-01-001</v>
      </c>
      <c r="D74" s="672"/>
      <c r="E74" s="672"/>
      <c r="F74" s="672"/>
      <c r="G74" s="673" t="str">
        <f t="array" ref="G74">IF(OR(C74=C73,C74=0),"",INDEX(CasheirCode[Name],MATCH((INDEX(CkDJ[Sort Code],MATCH(C74,CkDJ[JEV Number],0))),CasheirCode[Sort Code])))</f>
        <v/>
      </c>
      <c r="H74" s="674">
        <f t="array" ref="H74">IF(OR($C74=$C73,$C74=0),0,(SUM(IF((CkDJ[JEV Number]=$C74)*(CkDJ[Account Code]=(H$9)),CkDJ[Credit]))))</f>
        <v>0</v>
      </c>
      <c r="I74" s="674">
        <f t="array" ref="I74">IF(OR($C74=$C73,$C74=0),0,(SUM(IF((CkDJ[JEV Number]=$C74)*(CkDJ[Account Code]=(I$9)),CkDJ[Credit]))))</f>
        <v>0</v>
      </c>
      <c r="J74" s="675"/>
      <c r="K74" s="674">
        <f t="array" ref="K74">IF($C74=0,0,(SUM(IF((CkDJ[JEV Number]=$C74)*(CkDJ[Account Code]=(J74)),CkDJ[Credit]))))</f>
        <v>0</v>
      </c>
      <c r="L74" s="674">
        <f t="array" ref="L74">IF(OR($C74=$C73,$C74=0),0,(SUM(IF((CkDJ[JEV Number]=$C74)*(CkDJ[Account Code]=(L$9)),CkDJ[Debit]))))</f>
        <v>0</v>
      </c>
      <c r="M74" s="674">
        <f t="array" ref="M74">IF(OR($C74=$C73,$C74=0),0,(SUM(IF((CkDJ[JEV Number]=$C74)*(CkDJ[Account Code]=(M$9)),CkDJ[Debit]))))</f>
        <v>0</v>
      </c>
      <c r="N74" s="674">
        <f t="array" ref="N74">IF(OR($C74=$C73,$C74=0),0,(SUM(IF((CkDJ[JEV Number]=$C74)*(CkDJ[Account Code]=(N$9)),CkDJ[Debit]))))</f>
        <v>0</v>
      </c>
      <c r="O74" s="674">
        <f t="array" ref="O74">IF(OR($C74=$C73,$C74=0),0,(SUM(IF((CkDJ[JEV Number]=$C74)*(CkDJ[Account Code]=(O$9)),CkDJ[Debit]))))</f>
        <v>0</v>
      </c>
      <c r="P74" s="722"/>
      <c r="Q74" s="689">
        <f t="array" ref="Q74">IF($C74=0,0,(SUM(IF((CkDJ[JEV Number]=$C74)*(CkDJ[Account Code]=(P74)),CkDJ[Debit]))))</f>
        <v>0</v>
      </c>
      <c r="R74" s="676">
        <f t="shared" si="5"/>
        <v>0</v>
      </c>
    </row>
    <row r="75" spans="1:18">
      <c r="A75" s="670" t="str">
        <f t="array" ref="A75">IF(OR(C75=C74,C75=0),"",INDEX(CkDJ[Date],MATCH(C75,CkDJ[JEV Number],0)))</f>
        <v/>
      </c>
      <c r="B75" s="759"/>
      <c r="C75" s="687" t="str">
        <f>IF(B75=0,C74,B75)</f>
        <v>20-01-001</v>
      </c>
      <c r="D75" s="687"/>
      <c r="E75" s="687"/>
      <c r="F75" s="687"/>
      <c r="G75" s="688" t="str">
        <f t="array" ref="G75">IF(OR(C75=C74,C75=0),"",INDEX(CasheirCode[Name],MATCH((INDEX(CkDJ[Sort Code],MATCH(C75,CkDJ[JEV Number],0))),CasheirCode[Sort Code])))</f>
        <v/>
      </c>
      <c r="H75" s="689">
        <f t="array" ref="H75">IF(OR($C75=$C74,$C75=0),0,(SUM(IF((CkDJ[JEV Number]=$C75)*(CkDJ[Account Code]=(H$9)),CkDJ[Credit]))))</f>
        <v>0</v>
      </c>
      <c r="I75" s="689">
        <f t="array" ref="I75">IF(OR($C75=$C74,$C75=0),0,(SUM(IF((CkDJ[JEV Number]=$C75)*(CkDJ[Account Code]=(I$9)),CkDJ[Credit]))))</f>
        <v>0</v>
      </c>
      <c r="J75" s="675"/>
      <c r="K75" s="689">
        <f t="array" ref="K75">IF($C75=0,0,(SUM(IF((CkDJ[JEV Number]=$C75)*(CkDJ[Account Code]=(J75)),CkDJ[Credit]))))</f>
        <v>0</v>
      </c>
      <c r="L75" s="689">
        <f t="array" ref="L75">IF(OR($C75=$C74,$C75=0),0,(SUM(IF((CkDJ[JEV Number]=$C75)*(CkDJ[Account Code]=(L$9)),CkDJ[Debit]))))</f>
        <v>0</v>
      </c>
      <c r="M75" s="689">
        <f t="array" ref="M75">IF(OR($C75=$C74,$C75=0),0,(SUM(IF((CkDJ[JEV Number]=$C75)*(CkDJ[Account Code]=(M$9)),CkDJ[Debit]))))</f>
        <v>0</v>
      </c>
      <c r="N75" s="689">
        <f t="array" ref="N75">IF(OR($C75=$C74,$C75=0),0,(SUM(IF((CkDJ[JEV Number]=$C75)*(CkDJ[Account Code]=(N$9)),CkDJ[Debit]))))</f>
        <v>0</v>
      </c>
      <c r="O75" s="689">
        <f t="array" ref="O75">IF(OR($C75=$C74,$C75=0),0,(SUM(IF((CkDJ[JEV Number]=$C75)*(CkDJ[Account Code]=(O$9)),CkDJ[Debit]))))</f>
        <v>0</v>
      </c>
      <c r="P75" s="722"/>
      <c r="Q75" s="689">
        <f t="array" ref="Q75">IF($C75=0,0,(SUM(IF((CkDJ[JEV Number]=$C75)*(CkDJ[Account Code]=(P75)),CkDJ[Debit]))))</f>
        <v>0</v>
      </c>
      <c r="R75" s="691">
        <f>R74+(SUM(L75:O75)+Q75)-(SUM(H75:I75)+K75)</f>
        <v>0</v>
      </c>
    </row>
    <row r="76" spans="1:18">
      <c r="A76" s="717" t="str">
        <f t="array" ref="A76">IF(OR(C76=C75,C76=0),"",INDEX(CkDJ[Date],MATCH(C76,CkDJ[JEV Number],0)))</f>
        <v/>
      </c>
      <c r="B76" s="757"/>
      <c r="C76" s="523" t="str">
        <f t="shared" ref="C76:C107" si="6">IF(B76=0,C75,B76)</f>
        <v>20-01-001</v>
      </c>
      <c r="D76" s="523"/>
      <c r="E76" s="523"/>
      <c r="F76" s="523"/>
      <c r="G76" s="280" t="str">
        <f t="array" ref="G76">IF(OR(C76=C75,C76=0),"",INDEX(CasheirCode[Name],MATCH((INDEX(CkDJ[Sort Code],MATCH(C76,CkDJ[JEV Number],0))),CasheirCode[Sort Code])))</f>
        <v/>
      </c>
      <c r="H76" s="519">
        <f t="array" ref="H76">IF(OR($C76=$C75,$C76=0),0,(SUM(IF((CkDJ[JEV Number]=$C76)*(CkDJ[Account Code]=(H$9)),CkDJ[Credit]))))</f>
        <v>0</v>
      </c>
      <c r="I76" s="519">
        <f t="array" ref="I76">IF(OR($C76=$C75,$C76=0),0,(SUM(IF((CkDJ[JEV Number]=$C76)*(CkDJ[Account Code]=(I$9)),CkDJ[Credit]))))</f>
        <v>0</v>
      </c>
      <c r="J76" s="724"/>
      <c r="K76" s="519">
        <f t="array" ref="K76">IF($C76=0,0,(SUM(IF((CkDJ[JEV Number]=$C76)*(CkDJ[Account Code]=(J76)),CkDJ[Credit]))))</f>
        <v>0</v>
      </c>
      <c r="L76" s="519">
        <f t="array" ref="L76">IF(OR($C76=$C75,$C76=0),0,(SUM(IF((CkDJ[JEV Number]=$C76)*(CkDJ[Account Code]=(L$9)),CkDJ[Debit]))))</f>
        <v>0</v>
      </c>
      <c r="M76" s="519">
        <f t="array" ref="M76">IF(OR($C76=$C75,$C76=0),0,(SUM(IF((CkDJ[JEV Number]=$C76)*(CkDJ[Account Code]=(M$9)),CkDJ[Debit]))))</f>
        <v>0</v>
      </c>
      <c r="N76" s="519">
        <f t="array" ref="N76">IF(OR($C76=$C75,$C76=0),0,(SUM(IF((CkDJ[JEV Number]=$C76)*(CkDJ[Account Code]=(N$9)),CkDJ[Debit]))))</f>
        <v>0</v>
      </c>
      <c r="O76" s="519">
        <f t="array" ref="O76">IF(OR($C76=$C75,$C76=0),0,(SUM(IF((CkDJ[JEV Number]=$C76)*(CkDJ[Account Code]=(O$9)),CkDJ[Debit]))))</f>
        <v>0</v>
      </c>
      <c r="P76" s="722"/>
      <c r="Q76" s="519">
        <f t="array" ref="Q76">IF($C76=0,0,(SUM(IF((CkDJ[JEV Number]=$C76)*(CkDJ[Account Code]=(P76)),CkDJ[Debit]))))</f>
        <v>0</v>
      </c>
      <c r="R76" s="758">
        <f t="shared" ref="R76:R107" si="7">R75+(SUM(L76:O76)+Q76)-(SUM(H76:I76)+K76)</f>
        <v>0</v>
      </c>
    </row>
    <row r="77" spans="1:18">
      <c r="A77" s="717" t="str">
        <f t="array" ref="A77">IF(OR(C77=C76,C77=0),"",INDEX(CkDJ[Date],MATCH(C77,CkDJ[JEV Number],0)))</f>
        <v/>
      </c>
      <c r="B77" s="757"/>
      <c r="C77" s="523" t="str">
        <f t="shared" si="6"/>
        <v>20-01-001</v>
      </c>
      <c r="D77" s="523"/>
      <c r="E77" s="523"/>
      <c r="F77" s="523"/>
      <c r="G77" s="280" t="str">
        <f t="array" ref="G77">IF(OR(C77=C76,C77=0),"",INDEX(CasheirCode[Name],MATCH((INDEX(CkDJ[Sort Code],MATCH(C77,CkDJ[JEV Number],0))),CasheirCode[Sort Code])))</f>
        <v/>
      </c>
      <c r="H77" s="519">
        <f t="array" ref="H77">IF(OR($C77=$C76,$C77=0),0,(SUM(IF((CkDJ[JEV Number]=$C77)*(CkDJ[Account Code]=(H$9)),CkDJ[Credit]))))</f>
        <v>0</v>
      </c>
      <c r="I77" s="519">
        <f t="array" ref="I77">IF(OR($C77=$C76,$C77=0),0,(SUM(IF((CkDJ[JEV Number]=$C77)*(CkDJ[Account Code]=(I$9)),CkDJ[Credit]))))</f>
        <v>0</v>
      </c>
      <c r="J77" s="724"/>
      <c r="K77" s="519">
        <f t="array" ref="K77">IF($C77=0,0,(SUM(IF((CkDJ[JEV Number]=$C77)*(CkDJ[Account Code]=(J77)),CkDJ[Credit]))))</f>
        <v>0</v>
      </c>
      <c r="L77" s="519">
        <f t="array" ref="L77">IF(OR($C77=$C76,$C77=0),0,(SUM(IF((CkDJ[JEV Number]=$C77)*(CkDJ[Account Code]=(L$9)),CkDJ[Debit]))))</f>
        <v>0</v>
      </c>
      <c r="M77" s="519">
        <f t="array" ref="M77">IF(OR($C77=$C76,$C77=0),0,(SUM(IF((CkDJ[JEV Number]=$C77)*(CkDJ[Account Code]=(M$9)),CkDJ[Debit]))))</f>
        <v>0</v>
      </c>
      <c r="N77" s="519">
        <f t="array" ref="N77">IF(OR($C77=$C76,$C77=0),0,(SUM(IF((CkDJ[JEV Number]=$C77)*(CkDJ[Account Code]=(N$9)),CkDJ[Debit]))))</f>
        <v>0</v>
      </c>
      <c r="O77" s="519">
        <f t="array" ref="O77">IF(OR($C77=$C76,$C77=0),0,(SUM(IF((CkDJ[JEV Number]=$C77)*(CkDJ[Account Code]=(O$9)),CkDJ[Debit]))))</f>
        <v>0</v>
      </c>
      <c r="P77" s="722"/>
      <c r="Q77" s="519">
        <f t="array" ref="Q77">IF($C77=0,0,(SUM(IF((CkDJ[JEV Number]=$C77)*(CkDJ[Account Code]=(P77)),CkDJ[Debit]))))</f>
        <v>0</v>
      </c>
      <c r="R77" s="758">
        <f t="shared" si="7"/>
        <v>0</v>
      </c>
    </row>
    <row r="78" spans="1:18">
      <c r="A78" s="717" t="str">
        <f t="array" ref="A78">IF(OR(C78=C77,C78=0),"",INDEX(CkDJ[Date],MATCH(C78,CkDJ[JEV Number],0)))</f>
        <v/>
      </c>
      <c r="B78" s="757"/>
      <c r="C78" s="523" t="str">
        <f t="shared" si="6"/>
        <v>20-01-001</v>
      </c>
      <c r="D78" s="523"/>
      <c r="E78" s="523"/>
      <c r="F78" s="523"/>
      <c r="G78" s="280" t="str">
        <f t="array" ref="G78">IF(OR(C78=C77,C78=0),"",INDEX(CasheirCode[Name],MATCH((INDEX(CkDJ[Sort Code],MATCH(C78,CkDJ[JEV Number],0))),CasheirCode[Sort Code])))</f>
        <v/>
      </c>
      <c r="H78" s="519">
        <f t="array" ref="H78">IF(OR($C78=$C77,$C78=0),0,(SUM(IF((CkDJ[JEV Number]=$C78)*(CkDJ[Account Code]=(H$9)),CkDJ[Credit]))))</f>
        <v>0</v>
      </c>
      <c r="I78" s="519">
        <f t="array" ref="I78">IF(OR($C78=$C77,$C78=0),0,(SUM(IF((CkDJ[JEV Number]=$C78)*(CkDJ[Account Code]=(I$9)),CkDJ[Credit]))))</f>
        <v>0</v>
      </c>
      <c r="J78" s="724"/>
      <c r="K78" s="519">
        <f t="array" ref="K78">IF($C78=0,0,(SUM(IF((CkDJ[JEV Number]=$C78)*(CkDJ[Account Code]=(J78)),CkDJ[Credit]))))</f>
        <v>0</v>
      </c>
      <c r="L78" s="519">
        <f t="array" ref="L78">IF(OR($C78=$C77,$C78=0),0,(SUM(IF((CkDJ[JEV Number]=$C78)*(CkDJ[Account Code]=(L$9)),CkDJ[Debit]))))</f>
        <v>0</v>
      </c>
      <c r="M78" s="519">
        <f t="array" ref="M78">IF(OR($C78=$C77,$C78=0),0,(SUM(IF((CkDJ[JEV Number]=$C78)*(CkDJ[Account Code]=(M$9)),CkDJ[Debit]))))</f>
        <v>0</v>
      </c>
      <c r="N78" s="519">
        <f t="array" ref="N78">IF(OR($C78=$C77,$C78=0),0,(SUM(IF((CkDJ[JEV Number]=$C78)*(CkDJ[Account Code]=(N$9)),CkDJ[Debit]))))</f>
        <v>0</v>
      </c>
      <c r="O78" s="519">
        <f t="array" ref="O78">IF(OR($C78=$C77,$C78=0),0,(SUM(IF((CkDJ[JEV Number]=$C78)*(CkDJ[Account Code]=(O$9)),CkDJ[Debit]))))</f>
        <v>0</v>
      </c>
      <c r="P78" s="722"/>
      <c r="Q78" s="519">
        <f t="array" ref="Q78">IF($C78=0,0,(SUM(IF((CkDJ[JEV Number]=$C78)*(CkDJ[Account Code]=(P78)),CkDJ[Debit]))))</f>
        <v>0</v>
      </c>
      <c r="R78" s="758">
        <f t="shared" si="7"/>
        <v>0</v>
      </c>
    </row>
    <row r="79" spans="1:18">
      <c r="A79" s="717" t="str">
        <f t="array" ref="A79">IF(OR(C79=C78,C79=0),"",INDEX(CkDJ[Date],MATCH(C79,CkDJ[JEV Number],0)))</f>
        <v/>
      </c>
      <c r="B79" s="543"/>
      <c r="C79" s="523" t="str">
        <f t="shared" si="6"/>
        <v>20-01-001</v>
      </c>
      <c r="D79" s="523"/>
      <c r="E79" s="523"/>
      <c r="F79" s="523"/>
      <c r="G79" s="280" t="str">
        <f t="array" ref="G79">IF(OR(C79=C78,C79=0),"",INDEX(CasheirCode[Name],MATCH((INDEX(CkDJ[Sort Code],MATCH(C79,CkDJ[JEV Number],0))),CasheirCode[Sort Code])))</f>
        <v/>
      </c>
      <c r="H79" s="519">
        <f t="array" ref="H79">IF(OR($C79=$C78,$C79=0),0,(SUM(IF((CkDJ[JEV Number]=$C79)*(CkDJ[Account Code]=(H$9)),CkDJ[Credit]))))</f>
        <v>0</v>
      </c>
      <c r="I79" s="519">
        <f t="array" ref="I79">IF(OR($C79=$C78,$C79=0),0,(SUM(IF((CkDJ[JEV Number]=$C79)*(CkDJ[Account Code]=(I$9)),CkDJ[Credit]))))</f>
        <v>0</v>
      </c>
      <c r="J79" s="724"/>
      <c r="K79" s="519">
        <f t="array" ref="K79">IF($C79=0,0,(SUM(IF((CkDJ[JEV Number]=$C79)*(CkDJ[Account Code]=(J79)),CkDJ[Credit]))))</f>
        <v>0</v>
      </c>
      <c r="L79" s="519">
        <f t="array" ref="L79">IF(OR($C79=$C78,$C79=0),0,(SUM(IF((CkDJ[JEV Number]=$C79)*(CkDJ[Account Code]=(L$9)),CkDJ[Debit]))))</f>
        <v>0</v>
      </c>
      <c r="M79" s="519">
        <f t="array" ref="M79">IF(OR($C79=$C78,$C79=0),0,(SUM(IF((CkDJ[JEV Number]=$C79)*(CkDJ[Account Code]=(M$9)),CkDJ[Debit]))))</f>
        <v>0</v>
      </c>
      <c r="N79" s="519">
        <f t="array" ref="N79">IF(OR($C79=$C78,$C79=0),0,(SUM(IF((CkDJ[JEV Number]=$C79)*(CkDJ[Account Code]=(N$9)),CkDJ[Debit]))))</f>
        <v>0</v>
      </c>
      <c r="O79" s="519">
        <f t="array" ref="O79">IF(OR($C79=$C78,$C79=0),0,(SUM(IF((CkDJ[JEV Number]=$C79)*(CkDJ[Account Code]=(O$9)),CkDJ[Debit]))))</f>
        <v>0</v>
      </c>
      <c r="P79" s="722"/>
      <c r="Q79" s="519">
        <f t="array" ref="Q79">IF($C79=0,0,(SUM(IF((CkDJ[JEV Number]=$C79)*(CkDJ[Account Code]=(P79)),CkDJ[Debit]))))</f>
        <v>0</v>
      </c>
      <c r="R79" s="758">
        <f t="shared" si="7"/>
        <v>0</v>
      </c>
    </row>
    <row r="80" spans="1:18">
      <c r="A80" s="717" t="str">
        <f t="array" ref="A80">IF(OR(C80=C79,C80=0),"",INDEX(CkDJ[Date],MATCH(C80,CkDJ[JEV Number],0)))</f>
        <v/>
      </c>
      <c r="B80" s="757"/>
      <c r="C80" s="523" t="str">
        <f t="shared" si="6"/>
        <v>20-01-001</v>
      </c>
      <c r="D80" s="523"/>
      <c r="E80" s="523"/>
      <c r="F80" s="523"/>
      <c r="G80" s="280" t="str">
        <f t="array" ref="G80">IF(OR(C80=C79,C80=0),"",INDEX(CasheirCode[Name],MATCH((INDEX(CkDJ[Sort Code],MATCH(C80,CkDJ[JEV Number],0))),CasheirCode[Sort Code])))</f>
        <v/>
      </c>
      <c r="H80" s="519">
        <f t="array" ref="H80">IF(OR($C80=$C79,$C80=0),0,(SUM(IF((CkDJ[JEV Number]=$C80)*(CkDJ[Account Code]=(H$9)),CkDJ[Credit]))))</f>
        <v>0</v>
      </c>
      <c r="I80" s="519">
        <f t="array" ref="I80">IF(OR($C80=$C79,$C80=0),0,(SUM(IF((CkDJ[JEV Number]=$C80)*(CkDJ[Account Code]=(I$9)),CkDJ[Credit]))))</f>
        <v>0</v>
      </c>
      <c r="J80" s="724"/>
      <c r="K80" s="519">
        <f t="array" ref="K80">IF($C80=0,0,(SUM(IF((CkDJ[JEV Number]=$C80)*(CkDJ[Account Code]=(J80)),CkDJ[Credit]))))</f>
        <v>0</v>
      </c>
      <c r="L80" s="519">
        <f t="array" ref="L80">IF(OR($C80=$C79,$C80=0),0,(SUM(IF((CkDJ[JEV Number]=$C80)*(CkDJ[Account Code]=(L$9)),CkDJ[Debit]))))</f>
        <v>0</v>
      </c>
      <c r="M80" s="519">
        <f t="array" ref="M80">IF(OR($C80=$C79,$C80=0),0,(SUM(IF((CkDJ[JEV Number]=$C80)*(CkDJ[Account Code]=(M$9)),CkDJ[Debit]))))</f>
        <v>0</v>
      </c>
      <c r="N80" s="519">
        <f t="array" ref="N80">IF(OR($C80=$C79,$C80=0),0,(SUM(IF((CkDJ[JEV Number]=$C80)*(CkDJ[Account Code]=(N$9)),CkDJ[Debit]))))</f>
        <v>0</v>
      </c>
      <c r="O80" s="519">
        <f t="array" ref="O80">IF(OR($C80=$C79,$C80=0),0,(SUM(IF((CkDJ[JEV Number]=$C80)*(CkDJ[Account Code]=(O$9)),CkDJ[Debit]))))</f>
        <v>0</v>
      </c>
      <c r="P80" s="722"/>
      <c r="Q80" s="519">
        <f t="array" ref="Q80">IF($C80=0,0,(SUM(IF((CkDJ[JEV Number]=$C80)*(CkDJ[Account Code]=(P80)),CkDJ[Debit]))))</f>
        <v>0</v>
      </c>
      <c r="R80" s="758">
        <f t="shared" si="7"/>
        <v>0</v>
      </c>
    </row>
    <row r="81" spans="1:18">
      <c r="A81" s="717" t="str">
        <f t="array" ref="A81">IF(OR(C81=C80,C81=0),"",INDEX(CkDJ[Date],MATCH(C81,CkDJ[JEV Number],0)))</f>
        <v/>
      </c>
      <c r="B81" s="757"/>
      <c r="C81" s="523" t="str">
        <f t="shared" si="6"/>
        <v>20-01-001</v>
      </c>
      <c r="D81" s="523"/>
      <c r="E81" s="523"/>
      <c r="F81" s="523"/>
      <c r="G81" s="280" t="str">
        <f t="array" ref="G81">IF(OR(C81=C80,C81=0),"",INDEX(CasheirCode[Name],MATCH((INDEX(CkDJ[Sort Code],MATCH(C81,CkDJ[JEV Number],0))),CasheirCode[Sort Code])))</f>
        <v/>
      </c>
      <c r="H81" s="519">
        <f t="array" ref="H81">IF(OR($C81=$C80,$C81=0),0,(SUM(IF((CkDJ[JEV Number]=$C81)*(CkDJ[Account Code]=(H$9)),CkDJ[Credit]))))</f>
        <v>0</v>
      </c>
      <c r="I81" s="519">
        <f t="array" ref="I81">IF(OR($C81=$C80,$C81=0),0,(SUM(IF((CkDJ[JEV Number]=$C81)*(CkDJ[Account Code]=(I$9)),CkDJ[Credit]))))</f>
        <v>0</v>
      </c>
      <c r="J81" s="675"/>
      <c r="K81" s="519">
        <f t="array" ref="K81">IF($C81=0,0,(SUM(IF((CkDJ[JEV Number]=$C81)*(CkDJ[Account Code]=(J81)),CkDJ[Credit]))))</f>
        <v>0</v>
      </c>
      <c r="L81" s="519">
        <f t="array" ref="L81">IF(OR($C81=$C80,$C81=0),0,(SUM(IF((CkDJ[JEV Number]=$C81)*(CkDJ[Account Code]=(L$9)),CkDJ[Debit]))))</f>
        <v>0</v>
      </c>
      <c r="M81" s="519">
        <f t="array" ref="M81">IF(OR($C81=$C80,$C81=0),0,(SUM(IF((CkDJ[JEV Number]=$C81)*(CkDJ[Account Code]=(M$9)),CkDJ[Debit]))))</f>
        <v>0</v>
      </c>
      <c r="N81" s="519">
        <f t="array" ref="N81">IF(OR($C81=$C80,$C81=0),0,(SUM(IF((CkDJ[JEV Number]=$C81)*(CkDJ[Account Code]=(N$9)),CkDJ[Debit]))))</f>
        <v>0</v>
      </c>
      <c r="O81" s="519">
        <f t="array" ref="O81">IF(OR($C81=$C80,$C81=0),0,(SUM(IF((CkDJ[JEV Number]=$C81)*(CkDJ[Account Code]=(O$9)),CkDJ[Debit]))))</f>
        <v>0</v>
      </c>
      <c r="P81" s="722"/>
      <c r="Q81" s="519">
        <f t="array" ref="Q81">IF($C81=0,0,(SUM(IF((CkDJ[JEV Number]=$C81)*(CkDJ[Account Code]=(P81)),CkDJ[Debit]))))</f>
        <v>0</v>
      </c>
      <c r="R81" s="758">
        <f t="shared" si="7"/>
        <v>0</v>
      </c>
    </row>
    <row r="82" spans="1:18">
      <c r="A82" s="717" t="str">
        <f t="array" ref="A82">IF(OR(C82=C81,C82=0),"",INDEX(CkDJ[Date],MATCH(C82,CkDJ[JEV Number],0)))</f>
        <v/>
      </c>
      <c r="B82" s="757"/>
      <c r="C82" s="523" t="str">
        <f t="shared" si="6"/>
        <v>20-01-001</v>
      </c>
      <c r="D82" s="523"/>
      <c r="E82" s="523"/>
      <c r="F82" s="523"/>
      <c r="G82" s="280" t="str">
        <f t="array" ref="G82">IF(OR(C82=C81,C82=0),"",INDEX(CasheirCode[Name],MATCH((INDEX(CkDJ[Sort Code],MATCH(C82,CkDJ[JEV Number],0))),CasheirCode[Sort Code])))</f>
        <v/>
      </c>
      <c r="H82" s="519">
        <f t="array" ref="H82">IF(OR($C82=$C81,$C82=0),0,(SUM(IF((CkDJ[JEV Number]=$C82)*(CkDJ[Account Code]=(H$9)),CkDJ[Credit]))))</f>
        <v>0</v>
      </c>
      <c r="I82" s="519">
        <f t="array" ref="I82">IF(OR($C82=$C81,$C82=0),0,(SUM(IF((CkDJ[JEV Number]=$C82)*(CkDJ[Account Code]=(I$9)),CkDJ[Credit]))))</f>
        <v>0</v>
      </c>
      <c r="J82" s="675"/>
      <c r="K82" s="519">
        <f t="array" ref="K82">IF($C82=0,0,(SUM(IF((CkDJ[JEV Number]=$C82)*(CkDJ[Account Code]=(J82)),CkDJ[Credit]))))</f>
        <v>0</v>
      </c>
      <c r="L82" s="519">
        <f t="array" ref="L82">IF(OR($C82=$C81,$C82=0),0,(SUM(IF((CkDJ[JEV Number]=$C82)*(CkDJ[Account Code]=(L$9)),CkDJ[Debit]))))</f>
        <v>0</v>
      </c>
      <c r="M82" s="519">
        <f t="array" ref="M82">IF(OR($C82=$C81,$C82=0),0,(SUM(IF((CkDJ[JEV Number]=$C82)*(CkDJ[Account Code]=(M$9)),CkDJ[Debit]))))</f>
        <v>0</v>
      </c>
      <c r="N82" s="519">
        <f t="array" ref="N82">IF(OR($C82=$C81,$C82=0),0,(SUM(IF((CkDJ[JEV Number]=$C82)*(CkDJ[Account Code]=(N$9)),CkDJ[Debit]))))</f>
        <v>0</v>
      </c>
      <c r="O82" s="519">
        <f t="array" ref="O82">IF(OR($C82=$C81,$C82=0),0,(SUM(IF((CkDJ[JEV Number]=$C82)*(CkDJ[Account Code]=(O$9)),CkDJ[Debit]))))</f>
        <v>0</v>
      </c>
      <c r="P82" s="722"/>
      <c r="Q82" s="519">
        <f t="array" ref="Q82">IF($C82=0,0,(SUM(IF((CkDJ[JEV Number]=$C82)*(CkDJ[Account Code]=(P82)),CkDJ[Debit]))))</f>
        <v>0</v>
      </c>
      <c r="R82" s="758">
        <f t="shared" si="7"/>
        <v>0</v>
      </c>
    </row>
    <row r="83" spans="1:18">
      <c r="A83" s="717" t="str">
        <f t="array" ref="A83">IF(OR(C83=C82,C83=0),"",INDEX(CkDJ[Date],MATCH(C83,CkDJ[JEV Number],0)))</f>
        <v/>
      </c>
      <c r="B83" s="757"/>
      <c r="C83" s="523" t="str">
        <f t="shared" si="6"/>
        <v>20-01-001</v>
      </c>
      <c r="D83" s="523"/>
      <c r="E83" s="523"/>
      <c r="F83" s="523"/>
      <c r="G83" s="280" t="str">
        <f t="array" ref="G83">IF(OR(C83=C82,C83=0),"",INDEX(CasheirCode[Name],MATCH((INDEX(CkDJ[Sort Code],MATCH(C83,CkDJ[JEV Number],0))),CasheirCode[Sort Code])))</f>
        <v/>
      </c>
      <c r="H83" s="519">
        <f t="array" ref="H83">IF(OR($C83=$C82,$C83=0),0,(SUM(IF((CkDJ[JEV Number]=$C83)*(CkDJ[Account Code]=(H$9)),CkDJ[Credit]))))</f>
        <v>0</v>
      </c>
      <c r="I83" s="519">
        <f t="array" ref="I83">IF(OR($C83=$C82,$C83=0),0,(SUM(IF((CkDJ[JEV Number]=$C83)*(CkDJ[Account Code]=(I$9)),CkDJ[Credit]))))</f>
        <v>0</v>
      </c>
      <c r="J83" s="675"/>
      <c r="K83" s="519">
        <f t="array" ref="K83">IF($C83=0,0,(SUM(IF((CkDJ[JEV Number]=$C83)*(CkDJ[Account Code]=(J83)),CkDJ[Credit]))))</f>
        <v>0</v>
      </c>
      <c r="L83" s="519">
        <f t="array" ref="L83">IF(OR($C83=$C82,$C83=0),0,(SUM(IF((CkDJ[JEV Number]=$C83)*(CkDJ[Account Code]=(L$9)),CkDJ[Debit]))))</f>
        <v>0</v>
      </c>
      <c r="M83" s="519">
        <f t="array" ref="M83">IF(OR($C83=$C82,$C83=0),0,(SUM(IF((CkDJ[JEV Number]=$C83)*(CkDJ[Account Code]=(M$9)),CkDJ[Debit]))))</f>
        <v>0</v>
      </c>
      <c r="N83" s="519">
        <f t="array" ref="N83">IF(OR($C83=$C82,$C83=0),0,(SUM(IF((CkDJ[JEV Number]=$C83)*(CkDJ[Account Code]=(N$9)),CkDJ[Debit]))))</f>
        <v>0</v>
      </c>
      <c r="O83" s="519">
        <f t="array" ref="O83">IF(OR($C83=$C82,$C83=0),0,(SUM(IF((CkDJ[JEV Number]=$C83)*(CkDJ[Account Code]=(O$9)),CkDJ[Debit]))))</f>
        <v>0</v>
      </c>
      <c r="P83" s="722"/>
      <c r="Q83" s="519">
        <f t="array" ref="Q83">IF($C83=0,0,(SUM(IF((CkDJ[JEV Number]=$C83)*(CkDJ[Account Code]=(P83)),CkDJ[Debit]))))</f>
        <v>0</v>
      </c>
      <c r="R83" s="758">
        <f t="shared" si="7"/>
        <v>0</v>
      </c>
    </row>
    <row r="84" spans="1:18">
      <c r="A84" s="717" t="str">
        <f t="array" ref="A84">IF(OR(C84=C83,C84=0),"",INDEX(CkDJ[Date],MATCH(C84,CkDJ[JEV Number],0)))</f>
        <v/>
      </c>
      <c r="B84" s="757"/>
      <c r="C84" s="523" t="str">
        <f t="shared" si="6"/>
        <v>20-01-001</v>
      </c>
      <c r="D84" s="523"/>
      <c r="E84" s="523"/>
      <c r="F84" s="523"/>
      <c r="G84" s="280" t="str">
        <f t="array" ref="G84">IF(OR(C84=C83,C84=0),"",INDEX(CasheirCode[Name],MATCH((INDEX(CkDJ[Sort Code],MATCH(C84,CkDJ[JEV Number],0))),CasheirCode[Sort Code])))</f>
        <v/>
      </c>
      <c r="H84" s="519">
        <f t="array" ref="H84">IF(OR($C84=$C83,$C84=0),0,(SUM(IF((CkDJ[JEV Number]=$C84)*(CkDJ[Account Code]=(H$9)),CkDJ[Credit]))))</f>
        <v>0</v>
      </c>
      <c r="I84" s="519">
        <f t="array" ref="I84">IF(OR($C84=$C83,$C84=0),0,(SUM(IF((CkDJ[JEV Number]=$C84)*(CkDJ[Account Code]=(I$9)),CkDJ[Credit]))))</f>
        <v>0</v>
      </c>
      <c r="J84" s="675"/>
      <c r="K84" s="519">
        <f t="array" ref="K84">IF($C84=0,0,(SUM(IF((CkDJ[JEV Number]=$C84)*(CkDJ[Account Code]=(J84)),CkDJ[Credit]))))</f>
        <v>0</v>
      </c>
      <c r="L84" s="519">
        <f t="array" ref="L84">IF(OR($C84=$C83,$C84=0),0,(SUM(IF((CkDJ[JEV Number]=$C84)*(CkDJ[Account Code]=(L$9)),CkDJ[Debit]))))</f>
        <v>0</v>
      </c>
      <c r="M84" s="519">
        <f t="array" ref="M84">IF(OR($C84=$C83,$C84=0),0,(SUM(IF((CkDJ[JEV Number]=$C84)*(CkDJ[Account Code]=(M$9)),CkDJ[Debit]))))</f>
        <v>0</v>
      </c>
      <c r="N84" s="519">
        <f t="array" ref="N84">IF(OR($C84=$C83,$C84=0),0,(SUM(IF((CkDJ[JEV Number]=$C84)*(CkDJ[Account Code]=(N$9)),CkDJ[Debit]))))</f>
        <v>0</v>
      </c>
      <c r="O84" s="519">
        <f t="array" ref="O84">IF(OR($C84=$C83,$C84=0),0,(SUM(IF((CkDJ[JEV Number]=$C84)*(CkDJ[Account Code]=(O$9)),CkDJ[Debit]))))</f>
        <v>0</v>
      </c>
      <c r="P84" s="722"/>
      <c r="Q84" s="519">
        <f t="array" ref="Q84">IF($C84=0,0,(SUM(IF((CkDJ[JEV Number]=$C84)*(CkDJ[Account Code]=(P84)),CkDJ[Debit]))))</f>
        <v>0</v>
      </c>
      <c r="R84" s="758">
        <f t="shared" si="7"/>
        <v>0</v>
      </c>
    </row>
    <row r="85" spans="1:18">
      <c r="A85" s="717" t="str">
        <f t="array" ref="A85">IF(OR(C85=C84,C85=0),"",INDEX(CkDJ[Date],MATCH(C85,CkDJ[JEV Number],0)))</f>
        <v/>
      </c>
      <c r="B85" s="757"/>
      <c r="C85" s="523" t="str">
        <f t="shared" si="6"/>
        <v>20-01-001</v>
      </c>
      <c r="D85" s="523"/>
      <c r="E85" s="523"/>
      <c r="F85" s="523"/>
      <c r="G85" s="280" t="str">
        <f t="array" ref="G85">IF(OR(C85=C84,C85=0),"",INDEX(CasheirCode[Name],MATCH((INDEX(CkDJ[Sort Code],MATCH(C85,CkDJ[JEV Number],0))),CasheirCode[Sort Code])))</f>
        <v/>
      </c>
      <c r="H85" s="519">
        <f t="array" ref="H85">IF(OR($C85=$C84,$C85=0),0,(SUM(IF((CkDJ[JEV Number]=$C85)*(CkDJ[Account Code]=(H$9)),CkDJ[Credit]))))</f>
        <v>0</v>
      </c>
      <c r="I85" s="519">
        <f t="array" ref="I85">IF(OR($C85=$C84,$C85=0),0,(SUM(IF((CkDJ[JEV Number]=$C85)*(CkDJ[Account Code]=(I$9)),CkDJ[Credit]))))</f>
        <v>0</v>
      </c>
      <c r="J85" s="675"/>
      <c r="K85" s="519">
        <f t="array" ref="K85">IF($C85=0,0,(SUM(IF((CkDJ[JEV Number]=$C85)*(CkDJ[Account Code]=(J85)),CkDJ[Credit]))))</f>
        <v>0</v>
      </c>
      <c r="L85" s="519">
        <f t="array" ref="L85">IF(OR($C85=$C84,$C85=0),0,(SUM(IF((CkDJ[JEV Number]=$C85)*(CkDJ[Account Code]=(L$9)),CkDJ[Debit]))))</f>
        <v>0</v>
      </c>
      <c r="M85" s="519">
        <f t="array" ref="M85">IF(OR($C85=$C84,$C85=0),0,(SUM(IF((CkDJ[JEV Number]=$C85)*(CkDJ[Account Code]=(M$9)),CkDJ[Debit]))))</f>
        <v>0</v>
      </c>
      <c r="N85" s="519">
        <f t="array" ref="N85">IF(OR($C85=$C84,$C85=0),0,(SUM(IF((CkDJ[JEV Number]=$C85)*(CkDJ[Account Code]=(N$9)),CkDJ[Debit]))))</f>
        <v>0</v>
      </c>
      <c r="O85" s="519">
        <f t="array" ref="O85">IF(OR($C85=$C84,$C85=0),0,(SUM(IF((CkDJ[JEV Number]=$C85)*(CkDJ[Account Code]=(O$9)),CkDJ[Debit]))))</f>
        <v>0</v>
      </c>
      <c r="P85" s="722"/>
      <c r="Q85" s="519">
        <f t="array" ref="Q85">IF($C85=0,0,(SUM(IF((CkDJ[JEV Number]=$C85)*(CkDJ[Account Code]=(P85)),CkDJ[Debit]))))</f>
        <v>0</v>
      </c>
      <c r="R85" s="758">
        <f t="shared" si="7"/>
        <v>0</v>
      </c>
    </row>
    <row r="86" spans="1:18">
      <c r="A86" s="717" t="str">
        <f t="array" ref="A86">IF(OR(C86=C85,C86=0),"",INDEX(CkDJ[Date],MATCH(C86,CkDJ[JEV Number],0)))</f>
        <v/>
      </c>
      <c r="B86" s="543"/>
      <c r="C86" s="523" t="str">
        <f t="shared" si="6"/>
        <v>20-01-001</v>
      </c>
      <c r="D86" s="523"/>
      <c r="E86" s="523"/>
      <c r="F86" s="523"/>
      <c r="G86" s="280" t="str">
        <f t="array" ref="G86">IF(OR(C86=C85,C86=0),"",INDEX(CasheirCode[Name],MATCH((INDEX(CkDJ[Sort Code],MATCH(C86,CkDJ[JEV Number],0))),CasheirCode[Sort Code])))</f>
        <v/>
      </c>
      <c r="H86" s="519">
        <f t="array" ref="H86">IF(OR($C86=$C85,$C86=0),0,(SUM(IF((CkDJ[JEV Number]=$C86)*(CkDJ[Account Code]=(H$9)),CkDJ[Credit]))))</f>
        <v>0</v>
      </c>
      <c r="I86" s="519">
        <f t="array" ref="I86">IF(OR($C86=$C85,$C86=0),0,(SUM(IF((CkDJ[JEV Number]=$C86)*(CkDJ[Account Code]=(I$9)),CkDJ[Credit]))))</f>
        <v>0</v>
      </c>
      <c r="J86" s="675"/>
      <c r="K86" s="519">
        <f t="array" ref="K86">IF($C86=0,0,(SUM(IF((CkDJ[JEV Number]=$C86)*(CkDJ[Account Code]=(J86)),CkDJ[Credit]))))</f>
        <v>0</v>
      </c>
      <c r="L86" s="519">
        <f t="array" ref="L86">IF(OR($C86=$C85,$C86=0),0,(SUM(IF((CkDJ[JEV Number]=$C86)*(CkDJ[Account Code]=(L$9)),CkDJ[Debit]))))</f>
        <v>0</v>
      </c>
      <c r="M86" s="519">
        <f t="array" ref="M86">IF(OR($C86=$C85,$C86=0),0,(SUM(IF((CkDJ[JEV Number]=$C86)*(CkDJ[Account Code]=(M$9)),CkDJ[Debit]))))</f>
        <v>0</v>
      </c>
      <c r="N86" s="519">
        <f t="array" ref="N86">IF(OR($C86=$C85,$C86=0),0,(SUM(IF((CkDJ[JEV Number]=$C86)*(CkDJ[Account Code]=(N$9)),CkDJ[Debit]))))</f>
        <v>0</v>
      </c>
      <c r="O86" s="519">
        <f t="array" ref="O86">IF(OR($C86=$C85,$C86=0),0,(SUM(IF((CkDJ[JEV Number]=$C86)*(CkDJ[Account Code]=(O$9)),CkDJ[Debit]))))</f>
        <v>0</v>
      </c>
      <c r="P86" s="722"/>
      <c r="Q86" s="519">
        <f t="array" ref="Q86">IF($C86=0,0,(SUM(IF((CkDJ[JEV Number]=$C86)*(CkDJ[Account Code]=(P86)),CkDJ[Debit]))))</f>
        <v>0</v>
      </c>
      <c r="R86" s="758">
        <f t="shared" si="7"/>
        <v>0</v>
      </c>
    </row>
    <row r="87" spans="1:18">
      <c r="A87" s="717" t="str">
        <f t="array" ref="A87">IF(OR(C87=C86,C87=0),"",INDEX(CkDJ[Date],MATCH(C87,CkDJ[JEV Number],0)))</f>
        <v/>
      </c>
      <c r="B87" s="757"/>
      <c r="C87" s="523" t="str">
        <f t="shared" si="6"/>
        <v>20-01-001</v>
      </c>
      <c r="D87" s="523"/>
      <c r="E87" s="523"/>
      <c r="F87" s="523"/>
      <c r="G87" s="280" t="str">
        <f t="array" ref="G87">IF(OR(C87=C86,C87=0),"",INDEX(CasheirCode[Name],MATCH((INDEX(CkDJ[Sort Code],MATCH(C87,CkDJ[JEV Number],0))),CasheirCode[Sort Code])))</f>
        <v/>
      </c>
      <c r="H87" s="519">
        <f t="array" ref="H87">IF(OR($C87=$C86,$C87=0),0,(SUM(IF((CkDJ[JEV Number]=$C87)*(CkDJ[Account Code]=(H$9)),CkDJ[Credit]))))</f>
        <v>0</v>
      </c>
      <c r="I87" s="519">
        <f t="array" ref="I87">IF(OR($C87=$C86,$C87=0),0,(SUM(IF((CkDJ[JEV Number]=$C87)*(CkDJ[Account Code]=(I$9)),CkDJ[Credit]))))</f>
        <v>0</v>
      </c>
      <c r="J87" s="675"/>
      <c r="K87" s="519">
        <f t="array" ref="K87">IF($C87=0,0,(SUM(IF((CkDJ[JEV Number]=$C87)*(CkDJ[Account Code]=(J87)),CkDJ[Credit]))))</f>
        <v>0</v>
      </c>
      <c r="L87" s="519">
        <f t="array" ref="L87">IF(OR($C87=$C86,$C87=0),0,(SUM(IF((CkDJ[JEV Number]=$C87)*(CkDJ[Account Code]=(L$9)),CkDJ[Debit]))))</f>
        <v>0</v>
      </c>
      <c r="M87" s="519">
        <f t="array" ref="M87">IF(OR($C87=$C86,$C87=0),0,(SUM(IF((CkDJ[JEV Number]=$C87)*(CkDJ[Account Code]=(M$9)),CkDJ[Debit]))))</f>
        <v>0</v>
      </c>
      <c r="N87" s="519">
        <f t="array" ref="N87">IF(OR($C87=$C86,$C87=0),0,(SUM(IF((CkDJ[JEV Number]=$C87)*(CkDJ[Account Code]=(N$9)),CkDJ[Debit]))))</f>
        <v>0</v>
      </c>
      <c r="O87" s="519">
        <f t="array" ref="O87">IF(OR($C87=$C86,$C87=0),0,(SUM(IF((CkDJ[JEV Number]=$C87)*(CkDJ[Account Code]=(O$9)),CkDJ[Debit]))))</f>
        <v>0</v>
      </c>
      <c r="P87" s="722"/>
      <c r="Q87" s="519">
        <f t="array" ref="Q87">IF($C87=0,0,(SUM(IF((CkDJ[JEV Number]=$C87)*(CkDJ[Account Code]=(P87)),CkDJ[Debit]))))</f>
        <v>0</v>
      </c>
      <c r="R87" s="758">
        <f t="shared" si="7"/>
        <v>0</v>
      </c>
    </row>
    <row r="88" spans="1:18">
      <c r="A88" s="717" t="str">
        <f t="array" ref="A88">IF(OR(C88=C87,C88=0),"",INDEX(CkDJ[Date],MATCH(C88,CkDJ[JEV Number],0)))</f>
        <v/>
      </c>
      <c r="B88" s="757"/>
      <c r="C88" s="523" t="str">
        <f t="shared" si="6"/>
        <v>20-01-001</v>
      </c>
      <c r="D88" s="523"/>
      <c r="E88" s="523"/>
      <c r="F88" s="523"/>
      <c r="G88" s="280" t="str">
        <f t="array" ref="G88">IF(OR(C88=C87,C88=0),"",INDEX(CasheirCode[Name],MATCH((INDEX(CkDJ[Sort Code],MATCH(C88,CkDJ[JEV Number],0))),CasheirCode[Sort Code])))</f>
        <v/>
      </c>
      <c r="H88" s="519">
        <f t="array" ref="H88">IF(OR($C88=$C87,$C88=0),0,(SUM(IF((CkDJ[JEV Number]=$C88)*(CkDJ[Account Code]=(H$9)),CkDJ[Credit]))))</f>
        <v>0</v>
      </c>
      <c r="I88" s="519">
        <f t="array" ref="I88">IF(OR($C88=$C87,$C88=0),0,(SUM(IF((CkDJ[JEV Number]=$C88)*(CkDJ[Account Code]=(I$9)),CkDJ[Credit]))))</f>
        <v>0</v>
      </c>
      <c r="J88" s="445"/>
      <c r="K88" s="519">
        <f t="array" ref="K88">IF($C88=0,0,(SUM(IF((CkDJ[JEV Number]=$C88)*(CkDJ[Account Code]=(J88)),CkDJ[Credit]))))</f>
        <v>0</v>
      </c>
      <c r="L88" s="519">
        <f t="array" ref="L88">IF(OR($C88=$C87,$C88=0),0,(SUM(IF((CkDJ[JEV Number]=$C88)*(CkDJ[Account Code]=(L$9)),CkDJ[Debit]))))</f>
        <v>0</v>
      </c>
      <c r="M88" s="519">
        <f t="array" ref="M88">IF(OR($C88=$C87,$C88=0),0,(SUM(IF((CkDJ[JEV Number]=$C88)*(CkDJ[Account Code]=(M$9)),CkDJ[Debit]))))</f>
        <v>0</v>
      </c>
      <c r="N88" s="519">
        <f t="array" ref="N88">IF(OR($C88=$C87,$C88=0),0,(SUM(IF((CkDJ[JEV Number]=$C88)*(CkDJ[Account Code]=(N$9)),CkDJ[Debit]))))</f>
        <v>0</v>
      </c>
      <c r="O88" s="519">
        <f t="array" ref="O88">IF(OR($C88=$C87,$C88=0),0,(SUM(IF((CkDJ[JEV Number]=$C88)*(CkDJ[Account Code]=(O$9)),CkDJ[Debit]))))</f>
        <v>0</v>
      </c>
      <c r="P88" s="722"/>
      <c r="Q88" s="519">
        <f t="array" ref="Q88">IF($C88=0,0,(SUM(IF((CkDJ[JEV Number]=$C88)*(CkDJ[Account Code]=(P88)),CkDJ[Debit]))))</f>
        <v>0</v>
      </c>
      <c r="R88" s="758">
        <f t="shared" si="7"/>
        <v>0</v>
      </c>
    </row>
    <row r="89" spans="1:18">
      <c r="A89" s="670" t="str">
        <f t="array" ref="A89">IF(OR(C89=C88,C89=0),"",INDEX(CkDJ[Date],MATCH(C89,CkDJ[JEV Number],0)))</f>
        <v/>
      </c>
      <c r="B89" s="671"/>
      <c r="C89" s="523" t="str">
        <f t="shared" si="6"/>
        <v>20-01-001</v>
      </c>
      <c r="D89" s="523"/>
      <c r="E89" s="523"/>
      <c r="F89" s="523"/>
      <c r="G89" s="280" t="str">
        <f t="array" ref="G89">IF(OR(C89=C88,C89=0),"",INDEX(CasheirCode[Name],MATCH((INDEX(CkDJ[Sort Code],MATCH(C89,CkDJ[JEV Number],0))),CasheirCode[Sort Code])))</f>
        <v/>
      </c>
      <c r="H89" s="519">
        <f t="array" ref="H89">IF(OR($C89=$C88,$C89=0),0,(SUM(IF((CkDJ[JEV Number]=$C89)*(CkDJ[Account Code]=(H$9)),CkDJ[Credit]))))</f>
        <v>0</v>
      </c>
      <c r="I89" s="519">
        <f t="array" ref="I89">IF(OR($C89=$C88,$C89=0),0,(SUM(IF((CkDJ[JEV Number]=$C89)*(CkDJ[Account Code]=(I$9)),CkDJ[Credit]))))</f>
        <v>0</v>
      </c>
      <c r="J89" s="675"/>
      <c r="K89" s="519">
        <f t="array" ref="K89">IF($C89=0,0,(SUM(IF((CkDJ[JEV Number]=$C89)*(CkDJ[Account Code]=(J89)),CkDJ[Credit]))))</f>
        <v>0</v>
      </c>
      <c r="L89" s="519">
        <f t="array" ref="L89">IF(OR($C89=$C88,$C89=0),0,(SUM(IF((CkDJ[JEV Number]=$C89)*(CkDJ[Account Code]=(L$9)),CkDJ[Debit]))))</f>
        <v>0</v>
      </c>
      <c r="M89" s="519">
        <f t="array" ref="M89">IF(OR($C89=$C88,$C89=0),0,(SUM(IF((CkDJ[JEV Number]=$C89)*(CkDJ[Account Code]=(M$9)),CkDJ[Debit]))))</f>
        <v>0</v>
      </c>
      <c r="N89" s="519">
        <f t="array" ref="N89">IF(OR($C89=$C88,$C89=0),0,(SUM(IF((CkDJ[JEV Number]=$C89)*(CkDJ[Account Code]=(N$9)),CkDJ[Debit]))))</f>
        <v>0</v>
      </c>
      <c r="O89" s="519">
        <f t="array" ref="O89">IF(OR($C89=$C88,$C89=0),0,(SUM(IF((CkDJ[JEV Number]=$C89)*(CkDJ[Account Code]=(O$9)),CkDJ[Debit]))))</f>
        <v>0</v>
      </c>
      <c r="P89" s="722"/>
      <c r="Q89" s="519">
        <f t="array" ref="Q89">IF($C89=0,0,(SUM(IF((CkDJ[JEV Number]=$C89)*(CkDJ[Account Code]=(P89)),CkDJ[Debit]))))</f>
        <v>0</v>
      </c>
      <c r="R89" s="758">
        <f t="shared" ref="R89:R101" si="8">R88+(SUM(L89:O89)+Q89)-(SUM(H89:I89)+K89)</f>
        <v>0</v>
      </c>
    </row>
    <row r="90" spans="1:18">
      <c r="A90" s="717" t="str">
        <f t="array" ref="A90">IF(OR(C90=C89,C90=0),"",INDEX(CkDJ[Date],MATCH(C90,CkDJ[JEV Number],0)))</f>
        <v/>
      </c>
      <c r="B90" s="757"/>
      <c r="C90" s="523" t="str">
        <f t="shared" si="6"/>
        <v>20-01-001</v>
      </c>
      <c r="D90" s="523"/>
      <c r="E90" s="523"/>
      <c r="F90" s="523"/>
      <c r="G90" s="280" t="str">
        <f t="array" ref="G90">IF(OR(C90=C89,C90=0),"",INDEX(CasheirCode[Name],MATCH((INDEX(CkDJ[Sort Code],MATCH(C90,CkDJ[JEV Number],0))),CasheirCode[Sort Code])))</f>
        <v/>
      </c>
      <c r="H90" s="519">
        <f t="array" ref="H90">IF(OR($C90=$C89,$C90=0),0,(SUM(IF((CkDJ[JEV Number]=$C90)*(CkDJ[Account Code]=(H$9)),CkDJ[Credit]))))</f>
        <v>0</v>
      </c>
      <c r="I90" s="519">
        <f t="array" ref="I90">IF(OR($C90=$C89,$C90=0),0,(SUM(IF((CkDJ[JEV Number]=$C90)*(CkDJ[Account Code]=(I$9)),CkDJ[Credit]))))</f>
        <v>0</v>
      </c>
      <c r="J90" s="724"/>
      <c r="K90" s="519">
        <f t="array" ref="K90">IF($C90=0,0,(SUM(IF((CkDJ[JEV Number]=$C90)*(CkDJ[Account Code]=(J90)),CkDJ[Credit]))))</f>
        <v>0</v>
      </c>
      <c r="L90" s="519">
        <f t="array" ref="L90">IF(OR($C90=$C89,$C90=0),0,(SUM(IF((CkDJ[JEV Number]=$C90)*(CkDJ[Account Code]=(L$9)),CkDJ[Debit]))))</f>
        <v>0</v>
      </c>
      <c r="M90" s="519">
        <f t="array" ref="M90">IF(OR($C90=$C89,$C90=0),0,(SUM(IF((CkDJ[JEV Number]=$C90)*(CkDJ[Account Code]=(M$9)),CkDJ[Debit]))))</f>
        <v>0</v>
      </c>
      <c r="N90" s="519">
        <f t="array" ref="N90">IF(OR($C90=$C89,$C90=0),0,(SUM(IF((CkDJ[JEV Number]=$C90)*(CkDJ[Account Code]=(N$9)),CkDJ[Debit]))))</f>
        <v>0</v>
      </c>
      <c r="O90" s="519">
        <f t="array" ref="O90">IF(OR($C90=$C89,$C90=0),0,(SUM(IF((CkDJ[JEV Number]=$C90)*(CkDJ[Account Code]=(O$9)),CkDJ[Debit]))))</f>
        <v>0</v>
      </c>
      <c r="P90" s="722"/>
      <c r="Q90" s="519">
        <f t="array" ref="Q90">IF($C90=0,0,(SUM(IF((CkDJ[JEV Number]=$C90)*(CkDJ[Account Code]=(P90)),CkDJ[Debit]))))</f>
        <v>0</v>
      </c>
      <c r="R90" s="758">
        <f t="shared" si="8"/>
        <v>0</v>
      </c>
    </row>
    <row r="91" spans="1:18">
      <c r="A91" s="717" t="str">
        <f t="array" ref="A91">IF(OR(C91=C90,C91=0),"",INDEX(CkDJ[Date],MATCH(C91,CkDJ[JEV Number],0)))</f>
        <v/>
      </c>
      <c r="B91" s="757"/>
      <c r="C91" s="523" t="str">
        <f t="shared" si="6"/>
        <v>20-01-001</v>
      </c>
      <c r="D91" s="523"/>
      <c r="E91" s="523"/>
      <c r="F91" s="523"/>
      <c r="G91" s="280" t="str">
        <f t="array" ref="G91">IF(OR(C91=C90,C91=0),"",INDEX(CasheirCode[Name],MATCH((INDEX(CkDJ[Sort Code],MATCH(C91,CkDJ[JEV Number],0))),CasheirCode[Sort Code])))</f>
        <v/>
      </c>
      <c r="H91" s="519">
        <f t="array" ref="H91">IF(OR($C91=$C90,$C91=0),0,(SUM(IF((CkDJ[JEV Number]=$C91)*(CkDJ[Account Code]=(H$9)),CkDJ[Credit]))))</f>
        <v>0</v>
      </c>
      <c r="I91" s="519">
        <f t="array" ref="I91">IF(OR($C91=$C90,$C91=0),0,(SUM(IF((CkDJ[JEV Number]=$C91)*(CkDJ[Account Code]=(I$9)),CkDJ[Credit]))))</f>
        <v>0</v>
      </c>
      <c r="J91" s="724"/>
      <c r="K91" s="519">
        <f t="array" ref="K91">IF($C91=0,0,(SUM(IF((CkDJ[JEV Number]=$C91)*(CkDJ[Account Code]=(J91)),CkDJ[Credit]))))</f>
        <v>0</v>
      </c>
      <c r="L91" s="519">
        <f t="array" ref="L91">IF(OR($C91=$C90,$C91=0),0,(SUM(IF((CkDJ[JEV Number]=$C91)*(CkDJ[Account Code]=(L$9)),CkDJ[Debit]))))</f>
        <v>0</v>
      </c>
      <c r="M91" s="519">
        <f t="array" ref="M91">IF(OR($C91=$C90,$C91=0),0,(SUM(IF((CkDJ[JEV Number]=$C91)*(CkDJ[Account Code]=(M$9)),CkDJ[Debit]))))</f>
        <v>0</v>
      </c>
      <c r="N91" s="519">
        <f t="array" ref="N91">IF(OR($C91=$C90,$C91=0),0,(SUM(IF((CkDJ[JEV Number]=$C91)*(CkDJ[Account Code]=(N$9)),CkDJ[Debit]))))</f>
        <v>0</v>
      </c>
      <c r="O91" s="519">
        <f t="array" ref="O91">IF(OR($C91=$C90,$C91=0),0,(SUM(IF((CkDJ[JEV Number]=$C91)*(CkDJ[Account Code]=(O$9)),CkDJ[Debit]))))</f>
        <v>0</v>
      </c>
      <c r="P91" s="722"/>
      <c r="Q91" s="519">
        <f t="array" ref="Q91">IF($C91=0,0,(SUM(IF((CkDJ[JEV Number]=$C91)*(CkDJ[Account Code]=(P91)),CkDJ[Debit]))))</f>
        <v>0</v>
      </c>
      <c r="R91" s="758">
        <f t="shared" si="8"/>
        <v>0</v>
      </c>
    </row>
    <row r="92" spans="1:18">
      <c r="A92" s="717" t="str">
        <f t="array" ref="A92">IF(OR(C92=C91,C92=0),"",INDEX(CkDJ[Date],MATCH(C92,CkDJ[JEV Number],0)))</f>
        <v/>
      </c>
      <c r="B92" s="757"/>
      <c r="C92" s="523" t="str">
        <f t="shared" si="6"/>
        <v>20-01-001</v>
      </c>
      <c r="D92" s="523"/>
      <c r="E92" s="523"/>
      <c r="F92" s="523"/>
      <c r="G92" s="280" t="str">
        <f t="array" ref="G92">IF(OR(C92=C91,C92=0),"",INDEX(CasheirCode[Name],MATCH((INDEX(CkDJ[Sort Code],MATCH(C92,CkDJ[JEV Number],0))),CasheirCode[Sort Code])))</f>
        <v/>
      </c>
      <c r="H92" s="519">
        <f t="array" ref="H92">IF(OR($C92=$C91,$C92=0),0,(SUM(IF((CkDJ[JEV Number]=$C92)*(CkDJ[Account Code]=(H$9)),CkDJ[Credit]))))</f>
        <v>0</v>
      </c>
      <c r="I92" s="519">
        <f t="array" ref="I92">IF(OR($C92=$C91,$C92=0),0,(SUM(IF((CkDJ[JEV Number]=$C92)*(CkDJ[Account Code]=(I$9)),CkDJ[Credit]))))</f>
        <v>0</v>
      </c>
      <c r="J92" s="724"/>
      <c r="K92" s="519">
        <f t="array" ref="K92">IF($C92=0,0,(SUM(IF((CkDJ[JEV Number]=$C92)*(CkDJ[Account Code]=(J92)),CkDJ[Credit]))))</f>
        <v>0</v>
      </c>
      <c r="L92" s="519">
        <f t="array" ref="L92">IF(OR($C92=$C91,$C92=0),0,(SUM(IF((CkDJ[JEV Number]=$C92)*(CkDJ[Account Code]=(L$9)),CkDJ[Debit]))))</f>
        <v>0</v>
      </c>
      <c r="M92" s="519">
        <f t="array" ref="M92">IF(OR($C92=$C91,$C92=0),0,(SUM(IF((CkDJ[JEV Number]=$C92)*(CkDJ[Account Code]=(M$9)),CkDJ[Debit]))))</f>
        <v>0</v>
      </c>
      <c r="N92" s="519">
        <f t="array" ref="N92">IF(OR($C92=$C91,$C92=0),0,(SUM(IF((CkDJ[JEV Number]=$C92)*(CkDJ[Account Code]=(N$9)),CkDJ[Debit]))))</f>
        <v>0</v>
      </c>
      <c r="O92" s="519">
        <f t="array" ref="O92">IF(OR($C92=$C91,$C92=0),0,(SUM(IF((CkDJ[JEV Number]=$C92)*(CkDJ[Account Code]=(O$9)),CkDJ[Debit]))))</f>
        <v>0</v>
      </c>
      <c r="P92" s="722"/>
      <c r="Q92" s="519">
        <f t="array" ref="Q92">IF($C92=0,0,(SUM(IF((CkDJ[JEV Number]=$C92)*(CkDJ[Account Code]=(P92)),CkDJ[Debit]))))</f>
        <v>0</v>
      </c>
      <c r="R92" s="758">
        <f t="shared" si="8"/>
        <v>0</v>
      </c>
    </row>
    <row r="93" spans="1:18">
      <c r="A93" s="717" t="str">
        <f t="array" ref="A93">IF(OR(C93=C92,C93=0),"",INDEX(CkDJ[Date],MATCH(C93,CkDJ[JEV Number],0)))</f>
        <v/>
      </c>
      <c r="B93" s="757"/>
      <c r="C93" s="523" t="str">
        <f t="shared" si="6"/>
        <v>20-01-001</v>
      </c>
      <c r="D93" s="523"/>
      <c r="E93" s="523"/>
      <c r="F93" s="523"/>
      <c r="G93" s="280" t="str">
        <f t="array" ref="G93">IF(OR(C93=C92,C93=0),"",INDEX(CasheirCode[Name],MATCH((INDEX(CkDJ[Sort Code],MATCH(C93,CkDJ[JEV Number],0))),CasheirCode[Sort Code])))</f>
        <v/>
      </c>
      <c r="H93" s="519">
        <f t="array" ref="H93">IF(OR($C93=$C92,$C93=0),0,(SUM(IF((CkDJ[JEV Number]=$C93)*(CkDJ[Account Code]=(H$9)),CkDJ[Credit]))))</f>
        <v>0</v>
      </c>
      <c r="I93" s="519">
        <f t="array" ref="I93">IF(OR($C93=$C92,$C93=0),0,(SUM(IF((CkDJ[JEV Number]=$C93)*(CkDJ[Account Code]=(I$9)),CkDJ[Credit]))))</f>
        <v>0</v>
      </c>
      <c r="J93" s="724"/>
      <c r="K93" s="519">
        <f t="array" ref="K93">IF($C93=0,0,(SUM(IF((CkDJ[JEV Number]=$C93)*(CkDJ[Account Code]=(J93)),CkDJ[Credit]))))</f>
        <v>0</v>
      </c>
      <c r="L93" s="519">
        <f t="array" ref="L93">IF(OR($C93=$C92,$C93=0),0,(SUM(IF((CkDJ[JEV Number]=$C93)*(CkDJ[Account Code]=(L$9)),CkDJ[Debit]))))</f>
        <v>0</v>
      </c>
      <c r="M93" s="519">
        <f t="array" ref="M93">IF(OR($C93=$C92,$C93=0),0,(SUM(IF((CkDJ[JEV Number]=$C93)*(CkDJ[Account Code]=(M$9)),CkDJ[Debit]))))</f>
        <v>0</v>
      </c>
      <c r="N93" s="519">
        <f t="array" ref="N93">IF(OR($C93=$C92,$C93=0),0,(SUM(IF((CkDJ[JEV Number]=$C93)*(CkDJ[Account Code]=(N$9)),CkDJ[Debit]))))</f>
        <v>0</v>
      </c>
      <c r="O93" s="519">
        <f t="array" ref="O93">IF(OR($C93=$C92,$C93=0),0,(SUM(IF((CkDJ[JEV Number]=$C93)*(CkDJ[Account Code]=(O$9)),CkDJ[Debit]))))</f>
        <v>0</v>
      </c>
      <c r="P93" s="722"/>
      <c r="Q93" s="519">
        <f t="array" ref="Q93">IF($C93=0,0,(SUM(IF((CkDJ[JEV Number]=$C93)*(CkDJ[Account Code]=(P93)),CkDJ[Debit]))))</f>
        <v>0</v>
      </c>
      <c r="R93" s="758">
        <f t="shared" si="8"/>
        <v>0</v>
      </c>
    </row>
    <row r="94" spans="1:18">
      <c r="A94" s="717" t="str">
        <f t="array" ref="A94">IF(OR(C94=C93,C94=0),"",INDEX(CkDJ[Date],MATCH(C94,CkDJ[JEV Number],0)))</f>
        <v/>
      </c>
      <c r="B94" s="757"/>
      <c r="C94" s="523" t="str">
        <f t="shared" si="6"/>
        <v>20-01-001</v>
      </c>
      <c r="D94" s="523"/>
      <c r="E94" s="523"/>
      <c r="F94" s="523"/>
      <c r="G94" s="280" t="str">
        <f t="array" ref="G94">IF(OR(C94=C93,C94=0),"",INDEX(CasheirCode[Name],MATCH((INDEX(CkDJ[Sort Code],MATCH(C94,CkDJ[JEV Number],0))),CasheirCode[Sort Code])))</f>
        <v/>
      </c>
      <c r="H94" s="519">
        <f t="array" ref="H94">IF(OR($C94=$C93,$C94=0),0,(SUM(IF((CkDJ[JEV Number]=$C94)*(CkDJ[Account Code]=(H$9)),CkDJ[Credit]))))</f>
        <v>0</v>
      </c>
      <c r="I94" s="519">
        <f t="array" ref="I94">IF(OR($C94=$C93,$C94=0),0,(SUM(IF((CkDJ[JEV Number]=$C94)*(CkDJ[Account Code]=(I$9)),CkDJ[Credit]))))</f>
        <v>0</v>
      </c>
      <c r="J94" s="724"/>
      <c r="K94" s="519">
        <f t="array" ref="K94">IF($C94=0,0,(SUM(IF((CkDJ[JEV Number]=$C94)*(CkDJ[Account Code]=(J94)),CkDJ[Credit]))))</f>
        <v>0</v>
      </c>
      <c r="L94" s="519">
        <f t="array" ref="L94">IF(OR($C94=$C93,$C94=0),0,(SUM(IF((CkDJ[JEV Number]=$C94)*(CkDJ[Account Code]=(L$9)),CkDJ[Debit]))))</f>
        <v>0</v>
      </c>
      <c r="M94" s="519">
        <f t="array" ref="M94">IF(OR($C94=$C93,$C94=0),0,(SUM(IF((CkDJ[JEV Number]=$C94)*(CkDJ[Account Code]=(M$9)),CkDJ[Debit]))))</f>
        <v>0</v>
      </c>
      <c r="N94" s="519">
        <f t="array" ref="N94">IF(OR($C94=$C93,$C94=0),0,(SUM(IF((CkDJ[JEV Number]=$C94)*(CkDJ[Account Code]=(N$9)),CkDJ[Debit]))))</f>
        <v>0</v>
      </c>
      <c r="O94" s="519">
        <f t="array" ref="O94">IF(OR($C94=$C93,$C94=0),0,(SUM(IF((CkDJ[JEV Number]=$C94)*(CkDJ[Account Code]=(O$9)),CkDJ[Debit]))))</f>
        <v>0</v>
      </c>
      <c r="P94" s="722"/>
      <c r="Q94" s="519">
        <f t="array" ref="Q94">IF($C94=0,0,(SUM(IF((CkDJ[JEV Number]=$C94)*(CkDJ[Account Code]=(P94)),CkDJ[Debit]))))</f>
        <v>0</v>
      </c>
      <c r="R94" s="758">
        <f t="shared" si="8"/>
        <v>0</v>
      </c>
    </row>
    <row r="95" spans="1:18">
      <c r="A95" s="717" t="str">
        <f t="array" ref="A95">IF(OR(C95=C94,C95=0),"",INDEX(CkDJ[Date],MATCH(C95,CkDJ[JEV Number],0)))</f>
        <v/>
      </c>
      <c r="B95" s="543"/>
      <c r="C95" s="523" t="str">
        <f t="shared" si="6"/>
        <v>20-01-001</v>
      </c>
      <c r="D95" s="523"/>
      <c r="E95" s="523"/>
      <c r="F95" s="523"/>
      <c r="G95" s="280" t="str">
        <f t="array" ref="G95">IF(OR(C95=C94,C95=0),"",INDEX(CasheirCode[Name],MATCH((INDEX(CkDJ[Sort Code],MATCH(C95,CkDJ[JEV Number],0))),CasheirCode[Sort Code])))</f>
        <v/>
      </c>
      <c r="H95" s="519">
        <f t="array" ref="H95">IF(OR($C95=$C94,$C95=0),0,(SUM(IF((CkDJ[JEV Number]=$C95)*(CkDJ[Account Code]=(H$9)),CkDJ[Credit]))))</f>
        <v>0</v>
      </c>
      <c r="I95" s="519">
        <f t="array" ref="I95">IF(OR($C95=$C94,$C95=0),0,(SUM(IF((CkDJ[JEV Number]=$C95)*(CkDJ[Account Code]=(I$9)),CkDJ[Credit]))))</f>
        <v>0</v>
      </c>
      <c r="J95" s="675"/>
      <c r="K95" s="519">
        <f t="array" ref="K95">IF($C95=0,0,(SUM(IF((CkDJ[JEV Number]=$C95)*(CkDJ[Account Code]=(J95)),CkDJ[Credit]))))</f>
        <v>0</v>
      </c>
      <c r="L95" s="519">
        <f t="array" ref="L95">IF(OR($C95=$C94,$C95=0),0,(SUM(IF((CkDJ[JEV Number]=$C95)*(CkDJ[Account Code]=(L$9)),CkDJ[Debit]))))</f>
        <v>0</v>
      </c>
      <c r="M95" s="519">
        <f t="array" ref="M95">IF(OR($C95=$C94,$C95=0),0,(SUM(IF((CkDJ[JEV Number]=$C95)*(CkDJ[Account Code]=(M$9)),CkDJ[Debit]))))</f>
        <v>0</v>
      </c>
      <c r="N95" s="519">
        <f t="array" ref="N95">IF(OR($C95=$C94,$C95=0),0,(SUM(IF((CkDJ[JEV Number]=$C95)*(CkDJ[Account Code]=(N$9)),CkDJ[Debit]))))</f>
        <v>0</v>
      </c>
      <c r="O95" s="519">
        <f t="array" ref="O95">IF(OR($C95=$C94,$C95=0),0,(SUM(IF((CkDJ[JEV Number]=$C95)*(CkDJ[Account Code]=(O$9)),CkDJ[Debit]))))</f>
        <v>0</v>
      </c>
      <c r="P95" s="722"/>
      <c r="Q95" s="519">
        <f t="array" ref="Q95">IF($C95=0,0,(SUM(IF((CkDJ[JEV Number]=$C95)*(CkDJ[Account Code]=(P95)),CkDJ[Debit]))))</f>
        <v>0</v>
      </c>
      <c r="R95" s="758">
        <f t="shared" si="8"/>
        <v>0</v>
      </c>
    </row>
    <row r="96" spans="1:18">
      <c r="A96" s="717" t="str">
        <f t="array" ref="A96">IF(OR(C96=C95,C96=0),"",INDEX(CkDJ[Date],MATCH(C96,CkDJ[JEV Number],0)))</f>
        <v/>
      </c>
      <c r="B96" s="757"/>
      <c r="C96" s="523" t="str">
        <f t="shared" si="6"/>
        <v>20-01-001</v>
      </c>
      <c r="D96" s="523"/>
      <c r="E96" s="523"/>
      <c r="F96" s="523"/>
      <c r="G96" s="280" t="str">
        <f t="array" ref="G96">IF(OR(C96=C95,C96=0),"",INDEX(CasheirCode[Name],MATCH((INDEX(CkDJ[Sort Code],MATCH(C96,CkDJ[JEV Number],0))),CasheirCode[Sort Code])))</f>
        <v/>
      </c>
      <c r="H96" s="519">
        <f t="array" ref="H96">IF(OR($C96=$C95,$C96=0),0,(SUM(IF((CkDJ[JEV Number]=$C96)*(CkDJ[Account Code]=(H$9)),CkDJ[Credit]))))</f>
        <v>0</v>
      </c>
      <c r="I96" s="519">
        <f t="array" ref="I96">IF(OR($C96=$C95,$C96=0),0,(SUM(IF((CkDJ[JEV Number]=$C96)*(CkDJ[Account Code]=(I$9)),CkDJ[Credit]))))</f>
        <v>0</v>
      </c>
      <c r="J96" s="675"/>
      <c r="K96" s="519">
        <f t="array" ref="K96">IF($C96=0,0,(SUM(IF((CkDJ[JEV Number]=$C96)*(CkDJ[Account Code]=(J96)),CkDJ[Credit]))))</f>
        <v>0</v>
      </c>
      <c r="L96" s="519">
        <f t="array" ref="L96">IF(OR($C96=$C95,$C96=0),0,(SUM(IF((CkDJ[JEV Number]=$C96)*(CkDJ[Account Code]=(L$9)),CkDJ[Debit]))))</f>
        <v>0</v>
      </c>
      <c r="M96" s="519">
        <f t="array" ref="M96">IF(OR($C96=$C95,$C96=0),0,(SUM(IF((CkDJ[JEV Number]=$C96)*(CkDJ[Account Code]=(M$9)),CkDJ[Debit]))))</f>
        <v>0</v>
      </c>
      <c r="N96" s="519">
        <f t="array" ref="N96">IF(OR($C96=$C95,$C96=0),0,(SUM(IF((CkDJ[JEV Number]=$C96)*(CkDJ[Account Code]=(N$9)),CkDJ[Debit]))))</f>
        <v>0</v>
      </c>
      <c r="O96" s="519">
        <f t="array" ref="O96">IF(OR($C96=$C95,$C96=0),0,(SUM(IF((CkDJ[JEV Number]=$C96)*(CkDJ[Account Code]=(O$9)),CkDJ[Debit]))))</f>
        <v>0</v>
      </c>
      <c r="P96" s="722"/>
      <c r="Q96" s="519">
        <f t="array" ref="Q96">IF($C96=0,0,(SUM(IF((CkDJ[JEV Number]=$C96)*(CkDJ[Account Code]=(P96)),CkDJ[Debit]))))</f>
        <v>0</v>
      </c>
      <c r="R96" s="758">
        <f t="shared" si="8"/>
        <v>0</v>
      </c>
    </row>
    <row r="97" spans="1:18">
      <c r="A97" s="717" t="str">
        <f t="array" ref="A97">IF(OR(C97=C96,C97=0),"",INDEX(CkDJ[Date],MATCH(C97,CkDJ[JEV Number],0)))</f>
        <v/>
      </c>
      <c r="B97" s="757"/>
      <c r="C97" s="523" t="str">
        <f t="shared" si="6"/>
        <v>20-01-001</v>
      </c>
      <c r="D97" s="523"/>
      <c r="E97" s="523"/>
      <c r="F97" s="523"/>
      <c r="G97" s="280" t="str">
        <f t="array" ref="G97">IF(OR(C97=C96,C97=0),"",INDEX(CasheirCode[Name],MATCH((INDEX(CkDJ[Sort Code],MATCH(C97,CkDJ[JEV Number],0))),CasheirCode[Sort Code])))</f>
        <v/>
      </c>
      <c r="H97" s="519">
        <f t="array" ref="H97">IF(OR($C97=$C96,$C97=0),0,(SUM(IF((CkDJ[JEV Number]=$C97)*(CkDJ[Account Code]=(H$9)),CkDJ[Credit]))))</f>
        <v>0</v>
      </c>
      <c r="I97" s="519">
        <f t="array" ref="I97">IF(OR($C97=$C96,$C97=0),0,(SUM(IF((CkDJ[JEV Number]=$C97)*(CkDJ[Account Code]=(I$9)),CkDJ[Credit]))))</f>
        <v>0</v>
      </c>
      <c r="J97" s="675"/>
      <c r="K97" s="519">
        <f t="array" ref="K97">IF($C97=0,0,(SUM(IF((CkDJ[JEV Number]=$C97)*(CkDJ[Account Code]=(J97)),CkDJ[Credit]))))</f>
        <v>0</v>
      </c>
      <c r="L97" s="519">
        <f t="array" ref="L97">IF(OR($C97=$C96,$C97=0),0,(SUM(IF((CkDJ[JEV Number]=$C97)*(CkDJ[Account Code]=(L$9)),CkDJ[Debit]))))</f>
        <v>0</v>
      </c>
      <c r="M97" s="519">
        <f t="array" ref="M97">IF(OR($C97=$C96,$C97=0),0,(SUM(IF((CkDJ[JEV Number]=$C97)*(CkDJ[Account Code]=(M$9)),CkDJ[Debit]))))</f>
        <v>0</v>
      </c>
      <c r="N97" s="519">
        <f t="array" ref="N97">IF(OR($C97=$C96,$C97=0),0,(SUM(IF((CkDJ[JEV Number]=$C97)*(CkDJ[Account Code]=(N$9)),CkDJ[Debit]))))</f>
        <v>0</v>
      </c>
      <c r="O97" s="519">
        <f t="array" ref="O97">IF(OR($C97=$C96,$C97=0),0,(SUM(IF((CkDJ[JEV Number]=$C97)*(CkDJ[Account Code]=(O$9)),CkDJ[Debit]))))</f>
        <v>0</v>
      </c>
      <c r="P97" s="722"/>
      <c r="Q97" s="519">
        <f t="array" ref="Q97">IF($C97=0,0,(SUM(IF((CkDJ[JEV Number]=$C97)*(CkDJ[Account Code]=(P97)),CkDJ[Debit]))))</f>
        <v>0</v>
      </c>
      <c r="R97" s="758">
        <f t="shared" si="8"/>
        <v>0</v>
      </c>
    </row>
    <row r="98" spans="1:18">
      <c r="A98" s="717" t="str">
        <f t="array" ref="A98">IF(OR(C98=C97,C98=0),"",INDEX(CkDJ[Date],MATCH(C98,CkDJ[JEV Number],0)))</f>
        <v/>
      </c>
      <c r="B98" s="757"/>
      <c r="C98" s="523" t="str">
        <f t="shared" si="6"/>
        <v>20-01-001</v>
      </c>
      <c r="D98" s="523"/>
      <c r="E98" s="523"/>
      <c r="F98" s="523"/>
      <c r="G98" s="280" t="str">
        <f t="array" ref="G98">IF(OR(C98=C97,C98=0),"",INDEX(CasheirCode[Name],MATCH((INDEX(CkDJ[Sort Code],MATCH(C98,CkDJ[JEV Number],0))),CasheirCode[Sort Code])))</f>
        <v/>
      </c>
      <c r="H98" s="519">
        <f t="array" ref="H98">IF(OR($C98=$C97,$C98=0),0,(SUM(IF((CkDJ[JEV Number]=$C98)*(CkDJ[Account Code]=(H$9)),CkDJ[Credit]))))</f>
        <v>0</v>
      </c>
      <c r="I98" s="519">
        <f t="array" ref="I98">IF(OR($C98=$C97,$C98=0),0,(SUM(IF((CkDJ[JEV Number]=$C98)*(CkDJ[Account Code]=(I$9)),CkDJ[Credit]))))</f>
        <v>0</v>
      </c>
      <c r="J98" s="675"/>
      <c r="K98" s="519">
        <f t="array" ref="K98">IF($C98=0,0,(SUM(IF((CkDJ[JEV Number]=$C98)*(CkDJ[Account Code]=(J98)),CkDJ[Credit]))))</f>
        <v>0</v>
      </c>
      <c r="L98" s="519">
        <f t="array" ref="L98">IF(OR($C98=$C97,$C98=0),0,(SUM(IF((CkDJ[JEV Number]=$C98)*(CkDJ[Account Code]=(L$9)),CkDJ[Debit]))))</f>
        <v>0</v>
      </c>
      <c r="M98" s="519">
        <f t="array" ref="M98">IF(OR($C98=$C97,$C98=0),0,(SUM(IF((CkDJ[JEV Number]=$C98)*(CkDJ[Account Code]=(M$9)),CkDJ[Debit]))))</f>
        <v>0</v>
      </c>
      <c r="N98" s="519">
        <f t="array" ref="N98">IF(OR($C98=$C97,$C98=0),0,(SUM(IF((CkDJ[JEV Number]=$C98)*(CkDJ[Account Code]=(N$9)),CkDJ[Debit]))))</f>
        <v>0</v>
      </c>
      <c r="O98" s="519">
        <f t="array" ref="O98">IF(OR($C98=$C97,$C98=0),0,(SUM(IF((CkDJ[JEV Number]=$C98)*(CkDJ[Account Code]=(O$9)),CkDJ[Debit]))))</f>
        <v>0</v>
      </c>
      <c r="P98" s="722"/>
      <c r="Q98" s="519">
        <f t="array" ref="Q98">IF($C98=0,0,(SUM(IF((CkDJ[JEV Number]=$C98)*(CkDJ[Account Code]=(P98)),CkDJ[Debit]))))</f>
        <v>0</v>
      </c>
      <c r="R98" s="758">
        <f t="shared" si="8"/>
        <v>0</v>
      </c>
    </row>
    <row r="99" spans="1:18">
      <c r="A99" s="717" t="str">
        <f t="array" ref="A99">IF(OR(C99=C98,C99=0),"",INDEX(CkDJ[Date],MATCH(C99,CkDJ[JEV Number],0)))</f>
        <v/>
      </c>
      <c r="B99" s="757"/>
      <c r="C99" s="523" t="str">
        <f t="shared" si="6"/>
        <v>20-01-001</v>
      </c>
      <c r="D99" s="523"/>
      <c r="E99" s="523"/>
      <c r="F99" s="523"/>
      <c r="G99" s="280" t="str">
        <f t="array" ref="G99">IF(OR(C99=C98,C99=0),"",INDEX(CasheirCode[Name],MATCH((INDEX(CkDJ[Sort Code],MATCH(C99,CkDJ[JEV Number],0))),CasheirCode[Sort Code])))</f>
        <v/>
      </c>
      <c r="H99" s="519">
        <f t="array" ref="H99">IF(OR($C99=$C98,$C99=0),0,(SUM(IF((CkDJ[JEV Number]=$C99)*(CkDJ[Account Code]=(H$9)),CkDJ[Credit]))))</f>
        <v>0</v>
      </c>
      <c r="I99" s="519">
        <f t="array" ref="I99">IF(OR($C99=$C98,$C99=0),0,(SUM(IF((CkDJ[JEV Number]=$C99)*(CkDJ[Account Code]=(I$9)),CkDJ[Credit]))))</f>
        <v>0</v>
      </c>
      <c r="J99" s="675"/>
      <c r="K99" s="519">
        <f t="array" ref="K99">IF($C99=0,0,(SUM(IF((CkDJ[JEV Number]=$C99)*(CkDJ[Account Code]=(J99)),CkDJ[Credit]))))</f>
        <v>0</v>
      </c>
      <c r="L99" s="519">
        <f t="array" ref="L99">IF(OR($C99=$C98,$C99=0),0,(SUM(IF((CkDJ[JEV Number]=$C99)*(CkDJ[Account Code]=(L$9)),CkDJ[Debit]))))</f>
        <v>0</v>
      </c>
      <c r="M99" s="519">
        <f t="array" ref="M99">IF(OR($C99=$C98,$C99=0),0,(SUM(IF((CkDJ[JEV Number]=$C99)*(CkDJ[Account Code]=(M$9)),CkDJ[Debit]))))</f>
        <v>0</v>
      </c>
      <c r="N99" s="519">
        <f t="array" ref="N99">IF(OR($C99=$C98,$C99=0),0,(SUM(IF((CkDJ[JEV Number]=$C99)*(CkDJ[Account Code]=(N$9)),CkDJ[Debit]))))</f>
        <v>0</v>
      </c>
      <c r="O99" s="519">
        <f t="array" ref="O99">IF(OR($C99=$C98,$C99=0),0,(SUM(IF((CkDJ[JEV Number]=$C99)*(CkDJ[Account Code]=(O$9)),CkDJ[Debit]))))</f>
        <v>0</v>
      </c>
      <c r="P99" s="722"/>
      <c r="Q99" s="519">
        <f t="array" ref="Q99">IF($C99=0,0,(SUM(IF((CkDJ[JEV Number]=$C99)*(CkDJ[Account Code]=(P99)),CkDJ[Debit]))))</f>
        <v>0</v>
      </c>
      <c r="R99" s="758">
        <f t="shared" si="8"/>
        <v>0</v>
      </c>
    </row>
    <row r="100" spans="1:18">
      <c r="A100" s="717" t="str">
        <f t="array" ref="A100">IF(OR(C100=C99,C100=0),"",INDEX(CkDJ[Date],MATCH(C100,CkDJ[JEV Number],0)))</f>
        <v/>
      </c>
      <c r="B100" s="757"/>
      <c r="C100" s="523" t="str">
        <f t="shared" si="6"/>
        <v>20-01-001</v>
      </c>
      <c r="D100" s="523"/>
      <c r="E100" s="523"/>
      <c r="F100" s="523"/>
      <c r="G100" s="280" t="str">
        <f t="array" ref="G100">IF(OR(C100=C99,C100=0),"",INDEX(CasheirCode[Name],MATCH((INDEX(CkDJ[Sort Code],MATCH(C100,CkDJ[JEV Number],0))),CasheirCode[Sort Code])))</f>
        <v/>
      </c>
      <c r="H100" s="519">
        <f t="array" ref="H100">IF(OR($C100=$C99,$C100=0),0,(SUM(IF((CkDJ[JEV Number]=$C100)*(CkDJ[Account Code]=(H$9)),CkDJ[Credit]))))</f>
        <v>0</v>
      </c>
      <c r="I100" s="519">
        <f t="array" ref="I100">IF(OR($C100=$C99,$C100=0),0,(SUM(IF((CkDJ[JEV Number]=$C100)*(CkDJ[Account Code]=(I$9)),CkDJ[Credit]))))</f>
        <v>0</v>
      </c>
      <c r="J100" s="675"/>
      <c r="K100" s="519">
        <f t="array" ref="K100">IF($C100=0,0,(SUM(IF((CkDJ[JEV Number]=$C100)*(CkDJ[Account Code]=(J100)),CkDJ[Credit]))))</f>
        <v>0</v>
      </c>
      <c r="L100" s="519">
        <f t="array" ref="L100">IF(OR($C100=$C99,$C100=0),0,(SUM(IF((CkDJ[JEV Number]=$C100)*(CkDJ[Account Code]=(L$9)),CkDJ[Debit]))))</f>
        <v>0</v>
      </c>
      <c r="M100" s="519">
        <f t="array" ref="M100">IF(OR($C100=$C99,$C100=0),0,(SUM(IF((CkDJ[JEV Number]=$C100)*(CkDJ[Account Code]=(M$9)),CkDJ[Debit]))))</f>
        <v>0</v>
      </c>
      <c r="N100" s="519">
        <f t="array" ref="N100">IF(OR($C100=$C99,$C100=0),0,(SUM(IF((CkDJ[JEV Number]=$C100)*(CkDJ[Account Code]=(N$9)),CkDJ[Debit]))))</f>
        <v>0</v>
      </c>
      <c r="O100" s="519">
        <f t="array" ref="O100">IF(OR($C100=$C99,$C100=0),0,(SUM(IF((CkDJ[JEV Number]=$C100)*(CkDJ[Account Code]=(O$9)),CkDJ[Debit]))))</f>
        <v>0</v>
      </c>
      <c r="P100" s="722"/>
      <c r="Q100" s="519">
        <f t="array" ref="Q100">IF($C100=0,0,(SUM(IF((CkDJ[JEV Number]=$C100)*(CkDJ[Account Code]=(P100)),CkDJ[Debit]))))</f>
        <v>0</v>
      </c>
      <c r="R100" s="758">
        <f t="shared" si="8"/>
        <v>0</v>
      </c>
    </row>
    <row r="101" spans="1:18">
      <c r="A101" s="670" t="str">
        <f t="array" ref="A101">IF(OR(C101=C100,C101=0),"",INDEX(CkDJ[Date],MATCH(C101,CkDJ[JEV Number],0)))</f>
        <v/>
      </c>
      <c r="B101" s="671"/>
      <c r="C101" s="523" t="str">
        <f>IF(B101=0,C100,B101)</f>
        <v>20-01-001</v>
      </c>
      <c r="D101" s="523"/>
      <c r="E101" s="523"/>
      <c r="F101" s="523"/>
      <c r="G101" s="280" t="str">
        <f t="array" ref="G101">IF(OR(C101=C100,C101=0),"",INDEX(CasheirCode[Name],MATCH((INDEX(CkDJ[Sort Code],MATCH(C101,CkDJ[JEV Number],0))),CasheirCode[Sort Code])))</f>
        <v/>
      </c>
      <c r="H101" s="519">
        <f t="array" ref="H101">IF(OR($C101=$C100,$C101=0),0,(SUM(IF((CkDJ[JEV Number]=$C101)*(CkDJ[Account Code]=(H$9)),CkDJ[Credit]))))</f>
        <v>0</v>
      </c>
      <c r="I101" s="519">
        <f t="array" ref="I101">IF(OR($C101=$C100,$C101=0),0,(SUM(IF((CkDJ[JEV Number]=$C101)*(CkDJ[Account Code]=(I$9)),CkDJ[Credit]))))</f>
        <v>0</v>
      </c>
      <c r="J101" s="724"/>
      <c r="K101" s="519">
        <f t="array" ref="K101">IF($C101=0,0,(SUM(IF((CkDJ[JEV Number]=$C101)*(CkDJ[Account Code]=(J101)),CkDJ[Credit]))))</f>
        <v>0</v>
      </c>
      <c r="L101" s="519">
        <f t="array" ref="L101">IF(OR($C101=$C100,$C101=0),0,(SUM(IF((CkDJ[JEV Number]=$C101)*(CkDJ[Account Code]=(L$9)),CkDJ[Debit]))))</f>
        <v>0</v>
      </c>
      <c r="M101" s="519">
        <f t="array" ref="M101">IF(OR($C101=$C100,$C101=0),0,(SUM(IF((CkDJ[JEV Number]=$C101)*(CkDJ[Account Code]=(M$9)),CkDJ[Debit]))))</f>
        <v>0</v>
      </c>
      <c r="N101" s="519">
        <f t="array" ref="N101">IF(OR($C101=$C100,$C101=0),0,(SUM(IF((CkDJ[JEV Number]=$C101)*(CkDJ[Account Code]=(N$9)),CkDJ[Debit]))))</f>
        <v>0</v>
      </c>
      <c r="O101" s="519">
        <f t="array" ref="O101">IF(OR($C101=$C100,$C101=0),0,(SUM(IF((CkDJ[JEV Number]=$C101)*(CkDJ[Account Code]=(O$9)),CkDJ[Debit]))))</f>
        <v>0</v>
      </c>
      <c r="P101" s="722"/>
      <c r="Q101" s="519">
        <f t="array" ref="Q101">IF($C101=0,0,(SUM(IF((CkDJ[JEV Number]=$C101)*(CkDJ[Account Code]=(P101)),CkDJ[Debit]))))</f>
        <v>0</v>
      </c>
      <c r="R101" s="758">
        <f t="shared" si="8"/>
        <v>0</v>
      </c>
    </row>
    <row r="102" spans="1:18">
      <c r="A102" s="717" t="str">
        <f t="array" ref="A102">IF(OR(C102=C101,C102=0),"",INDEX(CkDJ[Date],MATCH(C102,CkDJ[JEV Number],0)))</f>
        <v/>
      </c>
      <c r="B102" s="757"/>
      <c r="C102" s="523" t="str">
        <f t="shared" si="6"/>
        <v>20-01-001</v>
      </c>
      <c r="D102" s="523"/>
      <c r="E102" s="523"/>
      <c r="F102" s="523"/>
      <c r="G102" s="280" t="str">
        <f t="array" ref="G102">IF(OR(C102=C101,C102=0),"",INDEX(CasheirCode[Name],MATCH((INDEX(CkDJ[Sort Code],MATCH(C102,CkDJ[JEV Number],0))),CasheirCode[Sort Code])))</f>
        <v/>
      </c>
      <c r="H102" s="519">
        <f t="array" ref="H102">IF(OR($C102=$C101,$C102=0),0,(SUM(IF((CkDJ[JEV Number]=$C102)*(CkDJ[Account Code]=(H$9)),CkDJ[Credit]))))</f>
        <v>0</v>
      </c>
      <c r="I102" s="519">
        <f t="array" ref="I102">IF(OR($C102=$C101,$C102=0),0,(SUM(IF((CkDJ[JEV Number]=$C102)*(CkDJ[Account Code]=(I$9)),CkDJ[Credit]))))</f>
        <v>0</v>
      </c>
      <c r="J102" s="724"/>
      <c r="K102" s="519">
        <f t="array" ref="K102">IF($C102=0,0,(SUM(IF((CkDJ[JEV Number]=$C102)*(CkDJ[Account Code]=(J102)),CkDJ[Credit]))))</f>
        <v>0</v>
      </c>
      <c r="L102" s="519">
        <f t="array" ref="L102">IF(OR($C102=$C101,$C102=0),0,(SUM(IF((CkDJ[JEV Number]=$C102)*(CkDJ[Account Code]=(L$9)),CkDJ[Debit]))))</f>
        <v>0</v>
      </c>
      <c r="M102" s="519">
        <f t="array" ref="M102">IF(OR($C102=$C101,$C102=0),0,(SUM(IF((CkDJ[JEV Number]=$C102)*(CkDJ[Account Code]=(M$9)),CkDJ[Debit]))))</f>
        <v>0</v>
      </c>
      <c r="N102" s="519">
        <f t="array" ref="N102">IF(OR($C102=$C101,$C102=0),0,(SUM(IF((CkDJ[JEV Number]=$C102)*(CkDJ[Account Code]=(N$9)),CkDJ[Debit]))))</f>
        <v>0</v>
      </c>
      <c r="O102" s="519">
        <f t="array" ref="O102">IF(OR($C102=$C101,$C102=0),0,(SUM(IF((CkDJ[JEV Number]=$C102)*(CkDJ[Account Code]=(O$9)),CkDJ[Debit]))))</f>
        <v>0</v>
      </c>
      <c r="P102" s="722"/>
      <c r="Q102" s="519">
        <f t="array" ref="Q102">IF($C102=0,0,(SUM(IF((CkDJ[JEV Number]=$C102)*(CkDJ[Account Code]=(P102)),CkDJ[Debit]))))</f>
        <v>0</v>
      </c>
      <c r="R102" s="758">
        <f t="shared" si="7"/>
        <v>0</v>
      </c>
    </row>
    <row r="103" spans="1:18">
      <c r="A103" s="717" t="str">
        <f t="array" ref="A103">IF(OR(C103=C102,C103=0),"",INDEX(CkDJ[Date],MATCH(C103,CkDJ[JEV Number],0)))</f>
        <v/>
      </c>
      <c r="B103" s="757"/>
      <c r="C103" s="523" t="str">
        <f t="shared" si="6"/>
        <v>20-01-001</v>
      </c>
      <c r="D103" s="523"/>
      <c r="E103" s="523"/>
      <c r="F103" s="523"/>
      <c r="G103" s="280" t="str">
        <f t="array" ref="G103">IF(OR(C103=C102,C103=0),"",INDEX(CasheirCode[Name],MATCH((INDEX(CkDJ[Sort Code],MATCH(C103,CkDJ[JEV Number],0))),CasheirCode[Sort Code])))</f>
        <v/>
      </c>
      <c r="H103" s="519">
        <f t="array" ref="H103">IF(OR($C103=$C102,$C103=0),0,(SUM(IF((CkDJ[JEV Number]=$C103)*(CkDJ[Account Code]=(H$9)),CkDJ[Credit]))))</f>
        <v>0</v>
      </c>
      <c r="I103" s="519">
        <f t="array" ref="I103">IF(OR($C103=$C102,$C103=0),0,(SUM(IF((CkDJ[JEV Number]=$C103)*(CkDJ[Account Code]=(I$9)),CkDJ[Credit]))))</f>
        <v>0</v>
      </c>
      <c r="J103" s="724"/>
      <c r="K103" s="519">
        <f t="array" ref="K103">IF($C103=0,0,(SUM(IF((CkDJ[JEV Number]=$C103)*(CkDJ[Account Code]=(J103)),CkDJ[Credit]))))</f>
        <v>0</v>
      </c>
      <c r="L103" s="519">
        <f t="array" ref="L103">IF(OR($C103=$C102,$C103=0),0,(SUM(IF((CkDJ[JEV Number]=$C103)*(CkDJ[Account Code]=(L$9)),CkDJ[Debit]))))</f>
        <v>0</v>
      </c>
      <c r="M103" s="519">
        <f t="array" ref="M103">IF(OR($C103=$C102,$C103=0),0,(SUM(IF((CkDJ[JEV Number]=$C103)*(CkDJ[Account Code]=(M$9)),CkDJ[Debit]))))</f>
        <v>0</v>
      </c>
      <c r="N103" s="519">
        <f t="array" ref="N103">IF(OR($C103=$C102,$C103=0),0,(SUM(IF((CkDJ[JEV Number]=$C103)*(CkDJ[Account Code]=(N$9)),CkDJ[Debit]))))</f>
        <v>0</v>
      </c>
      <c r="O103" s="519">
        <f t="array" ref="O103">IF(OR($C103=$C102,$C103=0),0,(SUM(IF((CkDJ[JEV Number]=$C103)*(CkDJ[Account Code]=(O$9)),CkDJ[Debit]))))</f>
        <v>0</v>
      </c>
      <c r="P103" s="722"/>
      <c r="Q103" s="519">
        <f t="array" ref="Q103">IF($C103=0,0,(SUM(IF((CkDJ[JEV Number]=$C103)*(CkDJ[Account Code]=(P103)),CkDJ[Debit]))))</f>
        <v>0</v>
      </c>
      <c r="R103" s="758">
        <f t="shared" si="7"/>
        <v>0</v>
      </c>
    </row>
    <row r="104" spans="1:18">
      <c r="A104" s="717" t="str">
        <f t="array" ref="A104">IF(OR(C104=C103,C104=0),"",INDEX(CkDJ[Date],MATCH(C104,CkDJ[JEV Number],0)))</f>
        <v/>
      </c>
      <c r="B104" s="757"/>
      <c r="C104" s="523" t="str">
        <f t="shared" si="6"/>
        <v>20-01-001</v>
      </c>
      <c r="D104" s="523"/>
      <c r="E104" s="523"/>
      <c r="F104" s="523"/>
      <c r="G104" s="280" t="str">
        <f t="array" ref="G104">IF(OR(C104=C103,C104=0),"",INDEX(CasheirCode[Name],MATCH((INDEX(CkDJ[Sort Code],MATCH(C104,CkDJ[JEV Number],0))),CasheirCode[Sort Code])))</f>
        <v/>
      </c>
      <c r="H104" s="519">
        <f t="array" ref="H104">IF(OR($C104=$C103,$C104=0),0,(SUM(IF((CkDJ[JEV Number]=$C104)*(CkDJ[Account Code]=(H$9)),CkDJ[Credit]))))</f>
        <v>0</v>
      </c>
      <c r="I104" s="519">
        <f t="array" ref="I104">IF(OR($C104=$C103,$C104=0),0,(SUM(IF((CkDJ[JEV Number]=$C104)*(CkDJ[Account Code]=(I$9)),CkDJ[Credit]))))</f>
        <v>0</v>
      </c>
      <c r="J104" s="724"/>
      <c r="K104" s="519">
        <f t="array" ref="K104">IF($C104=0,0,(SUM(IF((CkDJ[JEV Number]=$C104)*(CkDJ[Account Code]=(J104)),CkDJ[Credit]))))</f>
        <v>0</v>
      </c>
      <c r="L104" s="519">
        <f t="array" ref="L104">IF(OR($C104=$C103,$C104=0),0,(SUM(IF((CkDJ[JEV Number]=$C104)*(CkDJ[Account Code]=(L$9)),CkDJ[Debit]))))</f>
        <v>0</v>
      </c>
      <c r="M104" s="519">
        <f t="array" ref="M104">IF(OR($C104=$C103,$C104=0),0,(SUM(IF((CkDJ[JEV Number]=$C104)*(CkDJ[Account Code]=(M$9)),CkDJ[Debit]))))</f>
        <v>0</v>
      </c>
      <c r="N104" s="519">
        <f t="array" ref="N104">IF(OR($C104=$C103,$C104=0),0,(SUM(IF((CkDJ[JEV Number]=$C104)*(CkDJ[Account Code]=(N$9)),CkDJ[Debit]))))</f>
        <v>0</v>
      </c>
      <c r="O104" s="519">
        <f t="array" ref="O104">IF(OR($C104=$C103,$C104=0),0,(SUM(IF((CkDJ[JEV Number]=$C104)*(CkDJ[Account Code]=(O$9)),CkDJ[Debit]))))</f>
        <v>0</v>
      </c>
      <c r="P104" s="722"/>
      <c r="Q104" s="519">
        <f t="array" ref="Q104">IF($C104=0,0,(SUM(IF((CkDJ[JEV Number]=$C104)*(CkDJ[Account Code]=(P104)),CkDJ[Debit]))))</f>
        <v>0</v>
      </c>
      <c r="R104" s="758">
        <f t="shared" si="7"/>
        <v>0</v>
      </c>
    </row>
    <row r="105" spans="1:18">
      <c r="A105" s="717" t="str">
        <f t="array" ref="A105">IF(OR(C105=C104,C105=0),"",INDEX(CkDJ[Date],MATCH(C105,CkDJ[JEV Number],0)))</f>
        <v/>
      </c>
      <c r="B105" s="757"/>
      <c r="C105" s="523" t="str">
        <f t="shared" si="6"/>
        <v>20-01-001</v>
      </c>
      <c r="D105" s="523"/>
      <c r="E105" s="523"/>
      <c r="F105" s="523"/>
      <c r="G105" s="280" t="str">
        <f t="array" ref="G105">IF(OR(C105=C104,C105=0),"",INDEX(CasheirCode[Name],MATCH((INDEX(CkDJ[Sort Code],MATCH(C105,CkDJ[JEV Number],0))),CasheirCode[Sort Code])))</f>
        <v/>
      </c>
      <c r="H105" s="519">
        <f t="array" ref="H105">IF(OR($C105=$C104,$C105=0),0,(SUM(IF((CkDJ[JEV Number]=$C105)*(CkDJ[Account Code]=(H$9)),CkDJ[Credit]))))</f>
        <v>0</v>
      </c>
      <c r="I105" s="519">
        <f t="array" ref="I105">IF(OR($C105=$C104,$C105=0),0,(SUM(IF((CkDJ[JEV Number]=$C105)*(CkDJ[Account Code]=(I$9)),CkDJ[Credit]))))</f>
        <v>0</v>
      </c>
      <c r="J105" s="724"/>
      <c r="K105" s="519">
        <f t="array" ref="K105">IF($C105=0,0,(SUM(IF((CkDJ[JEV Number]=$C105)*(CkDJ[Account Code]=(J105)),CkDJ[Credit]))))</f>
        <v>0</v>
      </c>
      <c r="L105" s="519">
        <f t="array" ref="L105">IF(OR($C105=$C104,$C105=0),0,(SUM(IF((CkDJ[JEV Number]=$C105)*(CkDJ[Account Code]=(L$9)),CkDJ[Debit]))))</f>
        <v>0</v>
      </c>
      <c r="M105" s="519">
        <f t="array" ref="M105">IF(OR($C105=$C104,$C105=0),0,(SUM(IF((CkDJ[JEV Number]=$C105)*(CkDJ[Account Code]=(M$9)),CkDJ[Debit]))))</f>
        <v>0</v>
      </c>
      <c r="N105" s="519">
        <f t="array" ref="N105">IF(OR($C105=$C104,$C105=0),0,(SUM(IF((CkDJ[JEV Number]=$C105)*(CkDJ[Account Code]=(N$9)),CkDJ[Debit]))))</f>
        <v>0</v>
      </c>
      <c r="O105" s="519">
        <f t="array" ref="O105">IF(OR($C105=$C104,$C105=0),0,(SUM(IF((CkDJ[JEV Number]=$C105)*(CkDJ[Account Code]=(O$9)),CkDJ[Debit]))))</f>
        <v>0</v>
      </c>
      <c r="P105" s="722"/>
      <c r="Q105" s="519">
        <f t="array" ref="Q105">IF($C105=0,0,(SUM(IF((CkDJ[JEV Number]=$C105)*(CkDJ[Account Code]=(P105)),CkDJ[Debit]))))</f>
        <v>0</v>
      </c>
      <c r="R105" s="758">
        <f t="shared" si="7"/>
        <v>0</v>
      </c>
    </row>
    <row r="106" spans="1:18">
      <c r="A106" s="717" t="str">
        <f t="array" ref="A106">IF(OR(C106=C105,C106=0),"",INDEX(CkDJ[Date],MATCH(C106,CkDJ[JEV Number],0)))</f>
        <v/>
      </c>
      <c r="B106" s="757"/>
      <c r="C106" s="523" t="str">
        <f t="shared" si="6"/>
        <v>20-01-001</v>
      </c>
      <c r="D106" s="523"/>
      <c r="E106" s="523"/>
      <c r="F106" s="523"/>
      <c r="G106" s="280" t="str">
        <f t="array" ref="G106">IF(OR(C106=C105,C106=0),"",INDEX(CasheirCode[Name],MATCH((INDEX(CkDJ[Sort Code],MATCH(C106,CkDJ[JEV Number],0))),CasheirCode[Sort Code])))</f>
        <v/>
      </c>
      <c r="H106" s="519">
        <f t="array" ref="H106">IF(OR($C106=$C105,$C106=0),0,(SUM(IF((CkDJ[JEV Number]=$C106)*(CkDJ[Account Code]=(H$9)),CkDJ[Credit]))))</f>
        <v>0</v>
      </c>
      <c r="I106" s="519">
        <f t="array" ref="I106">IF(OR($C106=$C105,$C106=0),0,(SUM(IF((CkDJ[JEV Number]=$C106)*(CkDJ[Account Code]=(I$9)),CkDJ[Credit]))))</f>
        <v>0</v>
      </c>
      <c r="J106" s="675"/>
      <c r="K106" s="519">
        <f t="array" ref="K106">IF($C106=0,0,(SUM(IF((CkDJ[JEV Number]=$C106)*(CkDJ[Account Code]=(J106)),CkDJ[Credit]))))</f>
        <v>0</v>
      </c>
      <c r="L106" s="519">
        <f t="array" ref="L106">IF(OR($C106=$C105,$C106=0),0,(SUM(IF((CkDJ[JEV Number]=$C106)*(CkDJ[Account Code]=(L$9)),CkDJ[Debit]))))</f>
        <v>0</v>
      </c>
      <c r="M106" s="519">
        <f t="array" ref="M106">IF(OR($C106=$C105,$C106=0),0,(SUM(IF((CkDJ[JEV Number]=$C106)*(CkDJ[Account Code]=(M$9)),CkDJ[Debit]))))</f>
        <v>0</v>
      </c>
      <c r="N106" s="519">
        <f t="array" ref="N106">IF(OR($C106=$C105,$C106=0),0,(SUM(IF((CkDJ[JEV Number]=$C106)*(CkDJ[Account Code]=(N$9)),CkDJ[Debit]))))</f>
        <v>0</v>
      </c>
      <c r="O106" s="519">
        <f t="array" ref="O106">IF(OR($C106=$C105,$C106=0),0,(SUM(IF((CkDJ[JEV Number]=$C106)*(CkDJ[Account Code]=(O$9)),CkDJ[Debit]))))</f>
        <v>0</v>
      </c>
      <c r="P106" s="722"/>
      <c r="Q106" s="519">
        <f t="array" ref="Q106">IF($C106=0,0,(SUM(IF((CkDJ[JEV Number]=$C106)*(CkDJ[Account Code]=(P106)),CkDJ[Debit]))))</f>
        <v>0</v>
      </c>
      <c r="R106" s="758">
        <f t="shared" si="7"/>
        <v>0</v>
      </c>
    </row>
    <row r="107" spans="1:18">
      <c r="A107" s="717" t="str">
        <f t="array" ref="A107">IF(OR(C107=C106,C107=0),"",INDEX(CkDJ[Date],MATCH(C107,CkDJ[JEV Number],0)))</f>
        <v/>
      </c>
      <c r="B107" s="757"/>
      <c r="C107" s="523" t="str">
        <f t="shared" si="6"/>
        <v>20-01-001</v>
      </c>
      <c r="D107" s="523"/>
      <c r="E107" s="523"/>
      <c r="F107" s="523"/>
      <c r="G107" s="280" t="str">
        <f t="array" ref="G107">IF(OR(C107=C106,C107=0),"",INDEX(CasheirCode[Name],MATCH((INDEX(CkDJ[Sort Code],MATCH(C107,CkDJ[JEV Number],0))),CasheirCode[Sort Code])))</f>
        <v/>
      </c>
      <c r="H107" s="519">
        <f t="array" ref="H107">IF(OR($C107=$C106,$C107=0),0,(SUM(IF((CkDJ[JEV Number]=$C107)*(CkDJ[Account Code]=(H$9)),CkDJ[Credit]))))</f>
        <v>0</v>
      </c>
      <c r="I107" s="519">
        <f t="array" ref="I107">IF(OR($C107=$C106,$C107=0),0,(SUM(IF((CkDJ[JEV Number]=$C107)*(CkDJ[Account Code]=(I$9)),CkDJ[Credit]))))</f>
        <v>0</v>
      </c>
      <c r="J107" s="675"/>
      <c r="K107" s="519">
        <f t="array" ref="K107">IF($C107=0,0,(SUM(IF((CkDJ[JEV Number]=$C107)*(CkDJ[Account Code]=(J107)),CkDJ[Credit]))))</f>
        <v>0</v>
      </c>
      <c r="L107" s="519">
        <f t="array" ref="L107">IF(OR($C107=$C106,$C107=0),0,(SUM(IF((CkDJ[JEV Number]=$C107)*(CkDJ[Account Code]=(L$9)),CkDJ[Debit]))))</f>
        <v>0</v>
      </c>
      <c r="M107" s="519">
        <f t="array" ref="M107">IF(OR($C107=$C106,$C107=0),0,(SUM(IF((CkDJ[JEV Number]=$C107)*(CkDJ[Account Code]=(M$9)),CkDJ[Debit]))))</f>
        <v>0</v>
      </c>
      <c r="N107" s="519">
        <f t="array" ref="N107">IF(OR($C107=$C106,$C107=0),0,(SUM(IF((CkDJ[JEV Number]=$C107)*(CkDJ[Account Code]=(N$9)),CkDJ[Debit]))))</f>
        <v>0</v>
      </c>
      <c r="O107" s="519">
        <f t="array" ref="O107">IF(OR($C107=$C106,$C107=0),0,(SUM(IF((CkDJ[JEV Number]=$C107)*(CkDJ[Account Code]=(O$9)),CkDJ[Debit]))))</f>
        <v>0</v>
      </c>
      <c r="P107" s="722"/>
      <c r="Q107" s="519">
        <f t="array" ref="Q107">IF($C107=0,0,(SUM(IF((CkDJ[JEV Number]=$C107)*(CkDJ[Account Code]=(P107)),CkDJ[Debit]))))</f>
        <v>0</v>
      </c>
      <c r="R107" s="758">
        <f t="shared" si="7"/>
        <v>0</v>
      </c>
    </row>
    <row r="108" spans="1:18">
      <c r="A108" s="717" t="str">
        <f t="array" ref="A108">IF(OR(C108=C107,C108=0),"",INDEX(CkDJ[Date],MATCH(C108,CkDJ[JEV Number],0)))</f>
        <v/>
      </c>
      <c r="B108" s="543"/>
      <c r="C108" s="523" t="str">
        <f t="shared" ref="C108:C129" si="9">IF(B108=0,C107,B108)</f>
        <v>20-01-001</v>
      </c>
      <c r="D108" s="523"/>
      <c r="E108" s="523"/>
      <c r="F108" s="523"/>
      <c r="G108" s="280" t="str">
        <f t="array" ref="G108">IF(OR(C108=C107,C108=0),"",INDEX(CasheirCode[Name],MATCH((INDEX(CkDJ[Sort Code],MATCH(C108,CkDJ[JEV Number],0))),CasheirCode[Sort Code])))</f>
        <v/>
      </c>
      <c r="H108" s="519">
        <f t="array" ref="H108">IF(OR($C108=$C107,$C108=0),0,(SUM(IF((CkDJ[JEV Number]=$C108)*(CkDJ[Account Code]=(H$9)),CkDJ[Credit]))))</f>
        <v>0</v>
      </c>
      <c r="I108" s="519">
        <f t="array" ref="I108">IF(OR($C108=$C107,$C108=0),0,(SUM(IF((CkDJ[JEV Number]=$C108)*(CkDJ[Account Code]=(I$9)),CkDJ[Credit]))))</f>
        <v>0</v>
      </c>
      <c r="J108" s="675"/>
      <c r="K108" s="519">
        <f t="array" ref="K108">IF($C108=0,0,(SUM(IF((CkDJ[JEV Number]=$C108)*(CkDJ[Account Code]=(J108)),CkDJ[Credit]))))</f>
        <v>0</v>
      </c>
      <c r="L108" s="519">
        <f t="array" ref="L108">IF(OR($C108=$C107,$C108=0),0,(SUM(IF((CkDJ[JEV Number]=$C108)*(CkDJ[Account Code]=(L$9)),CkDJ[Debit]))))</f>
        <v>0</v>
      </c>
      <c r="M108" s="519">
        <f t="array" ref="M108">IF(OR($C108=$C107,$C108=0),0,(SUM(IF((CkDJ[JEV Number]=$C108)*(CkDJ[Account Code]=(M$9)),CkDJ[Debit]))))</f>
        <v>0</v>
      </c>
      <c r="N108" s="519">
        <f t="array" ref="N108">IF(OR($C108=$C107,$C108=0),0,(SUM(IF((CkDJ[JEV Number]=$C108)*(CkDJ[Account Code]=(N$9)),CkDJ[Debit]))))</f>
        <v>0</v>
      </c>
      <c r="O108" s="519">
        <f t="array" ref="O108">IF(OR($C108=$C107,$C108=0),0,(SUM(IF((CkDJ[JEV Number]=$C108)*(CkDJ[Account Code]=(O$9)),CkDJ[Debit]))))</f>
        <v>0</v>
      </c>
      <c r="P108" s="722"/>
      <c r="Q108" s="519">
        <f t="array" ref="Q108">IF($C108=0,0,(SUM(IF((CkDJ[JEV Number]=$C108)*(CkDJ[Account Code]=(P108)),CkDJ[Debit]))))</f>
        <v>0</v>
      </c>
      <c r="R108" s="758">
        <f t="shared" ref="R108:R129" si="10">R107+(SUM(L108:O108)+Q108)-(SUM(H108:I108)+K108)</f>
        <v>0</v>
      </c>
    </row>
    <row r="109" spans="1:18">
      <c r="A109" s="717" t="str">
        <f t="array" ref="A109">IF(OR(C109=C108,C109=0),"",INDEX(CkDJ[Date],MATCH(C109,CkDJ[JEV Number],0)))</f>
        <v/>
      </c>
      <c r="B109" s="757"/>
      <c r="C109" s="523" t="str">
        <f t="shared" si="9"/>
        <v>20-01-001</v>
      </c>
      <c r="D109" s="523"/>
      <c r="E109" s="523"/>
      <c r="F109" s="523"/>
      <c r="G109" s="280" t="str">
        <f t="array" ref="G109">IF(OR(C109=C108,C109=0),"",INDEX(CasheirCode[Name],MATCH((INDEX(CkDJ[Sort Code],MATCH(C109,CkDJ[JEV Number],0))),CasheirCode[Sort Code])))</f>
        <v/>
      </c>
      <c r="H109" s="519">
        <f t="array" ref="H109">IF(OR($C109=$C108,$C109=0),0,(SUM(IF((CkDJ[JEV Number]=$C109)*(CkDJ[Account Code]=(H$9)),CkDJ[Credit]))))</f>
        <v>0</v>
      </c>
      <c r="I109" s="519">
        <f t="array" ref="I109">IF(OR($C109=$C108,$C109=0),0,(SUM(IF((CkDJ[JEV Number]=$C109)*(CkDJ[Account Code]=(I$9)),CkDJ[Credit]))))</f>
        <v>0</v>
      </c>
      <c r="J109" s="675"/>
      <c r="K109" s="519">
        <f t="array" ref="K109">IF($C109=0,0,(SUM(IF((CkDJ[JEV Number]=$C109)*(CkDJ[Account Code]=(J109)),CkDJ[Credit]))))</f>
        <v>0</v>
      </c>
      <c r="L109" s="519">
        <f t="array" ref="L109">IF(OR($C109=$C108,$C109=0),0,(SUM(IF((CkDJ[JEV Number]=$C109)*(CkDJ[Account Code]=(L$9)),CkDJ[Debit]))))</f>
        <v>0</v>
      </c>
      <c r="M109" s="519">
        <f t="array" ref="M109">IF(OR($C109=$C108,$C109=0),0,(SUM(IF((CkDJ[JEV Number]=$C109)*(CkDJ[Account Code]=(M$9)),CkDJ[Debit]))))</f>
        <v>0</v>
      </c>
      <c r="N109" s="519">
        <f t="array" ref="N109">IF(OR($C109=$C108,$C109=0),0,(SUM(IF((CkDJ[JEV Number]=$C109)*(CkDJ[Account Code]=(N$9)),CkDJ[Debit]))))</f>
        <v>0</v>
      </c>
      <c r="O109" s="519">
        <f t="array" ref="O109">IF(OR($C109=$C108,$C109=0),0,(SUM(IF((CkDJ[JEV Number]=$C109)*(CkDJ[Account Code]=(O$9)),CkDJ[Debit]))))</f>
        <v>0</v>
      </c>
      <c r="P109" s="722"/>
      <c r="Q109" s="519">
        <f t="array" ref="Q109">IF($C109=0,0,(SUM(IF((CkDJ[JEV Number]=$C109)*(CkDJ[Account Code]=(P109)),CkDJ[Debit]))))</f>
        <v>0</v>
      </c>
      <c r="R109" s="758">
        <f t="shared" si="10"/>
        <v>0</v>
      </c>
    </row>
    <row r="110" spans="1:18">
      <c r="A110" s="670" t="str">
        <f t="array" ref="A110">IF(OR(C110=C109,C110=0),"",INDEX(CkDJ[Date],MATCH(C110,CkDJ[JEV Number],0)))</f>
        <v/>
      </c>
      <c r="B110" s="671"/>
      <c r="C110" s="523" t="str">
        <f t="shared" si="9"/>
        <v>20-01-001</v>
      </c>
      <c r="D110" s="523"/>
      <c r="E110" s="523"/>
      <c r="F110" s="523"/>
      <c r="G110" s="280" t="str">
        <f t="array" ref="G110">IF(OR(C110=C109,C110=0),"",INDEX(CasheirCode[Name],MATCH((INDEX(CkDJ[Sort Code],MATCH(C110,CkDJ[JEV Number],0))),CasheirCode[Sort Code])))</f>
        <v/>
      </c>
      <c r="H110" s="519">
        <f t="array" ref="H110">IF(OR($C110=$C109,$C110=0),0,(SUM(IF((CkDJ[JEV Number]=$C110)*(CkDJ[Account Code]=(H$9)),CkDJ[Credit]))))</f>
        <v>0</v>
      </c>
      <c r="I110" s="769">
        <f t="array" ref="I110">IF(OR($C110=$C109,$C110=0),0,(SUM(IF((CkDJ[JEV Number]=$C110)*(CkDJ[Account Code]=(I$9)),CkDJ[Credit]))))</f>
        <v>0</v>
      </c>
      <c r="J110" s="724"/>
      <c r="K110" s="519">
        <f t="array" ref="K110">IF($C110=0,0,(SUM(IF((CkDJ[JEV Number]=$C110)*(CkDJ[Account Code]=(J110)),CkDJ[Credit]))))</f>
        <v>0</v>
      </c>
      <c r="L110" s="519">
        <f t="array" ref="L110">IF(OR($C110=$C109,$C110=0),0,(SUM(IF((CkDJ[JEV Number]=$C110)*(CkDJ[Account Code]=(L$9)),CkDJ[Debit]))))</f>
        <v>0</v>
      </c>
      <c r="M110" s="519">
        <f t="array" ref="M110">IF(OR($C110=$C109,$C110=0),0,(SUM(IF((CkDJ[JEV Number]=$C110)*(CkDJ[Account Code]=(M$9)),CkDJ[Debit]))))</f>
        <v>0</v>
      </c>
      <c r="N110" s="519">
        <f t="array" ref="N110">IF(OR($C110=$C109,$C110=0),0,(SUM(IF((CkDJ[JEV Number]=$C110)*(CkDJ[Account Code]=(N$9)),CkDJ[Debit]))))</f>
        <v>0</v>
      </c>
      <c r="O110" s="519">
        <f t="array" ref="O110">IF(OR($C110=$C109,$C110=0),0,(SUM(IF((CkDJ[JEV Number]=$C110)*(CkDJ[Account Code]=(O$9)),CkDJ[Debit]))))</f>
        <v>0</v>
      </c>
      <c r="P110" s="722"/>
      <c r="Q110" s="519">
        <f t="array" ref="Q110">IF($C110=0,0,(SUM(IF((CkDJ[JEV Number]=$C110)*(CkDJ[Account Code]=(P110)),CkDJ[Debit]))))</f>
        <v>0</v>
      </c>
      <c r="R110" s="758">
        <f t="shared" si="10"/>
        <v>0</v>
      </c>
    </row>
    <row r="111" spans="1:18">
      <c r="A111" s="717" t="str">
        <f t="array" ref="A111">IF(OR(C111=C110,C111=0),"",INDEX(CkDJ[Date],MATCH(C111,CkDJ[JEV Number],0)))</f>
        <v/>
      </c>
      <c r="B111" s="757"/>
      <c r="C111" s="523" t="str">
        <f t="shared" si="9"/>
        <v>20-01-001</v>
      </c>
      <c r="D111" s="523"/>
      <c r="E111" s="523"/>
      <c r="F111" s="523"/>
      <c r="G111" s="280" t="str">
        <f t="array" ref="G111">IF(OR(C111=C110,C111=0),"",INDEX(CasheirCode[Name],MATCH((INDEX(CkDJ[Sort Code],MATCH(C111,CkDJ[JEV Number],0))),CasheirCode[Sort Code])))</f>
        <v/>
      </c>
      <c r="H111" s="519">
        <f t="array" ref="H111">IF(OR($C111=$C110,$C111=0),0,(SUM(IF((CkDJ[JEV Number]=$C111)*(CkDJ[Account Code]=(H$9)),CkDJ[Credit]))))</f>
        <v>0</v>
      </c>
      <c r="I111" s="519">
        <f t="array" ref="I111">IF(OR($C111=$C110,$C111=0),0,(SUM(IF((CkDJ[JEV Number]=$C111)*(CkDJ[Account Code]=(I$9)),CkDJ[Credit]))))</f>
        <v>0</v>
      </c>
      <c r="J111" s="724"/>
      <c r="K111" s="519">
        <f t="array" ref="K111">IF($C111=0,0,(SUM(IF((CkDJ[JEV Number]=$C111)*(CkDJ[Account Code]=(J111)),CkDJ[Credit]))))</f>
        <v>0</v>
      </c>
      <c r="L111" s="519">
        <f t="array" ref="L111">IF(OR($C111=$C110,$C111=0),0,(SUM(IF((CkDJ[JEV Number]=$C111)*(CkDJ[Account Code]=(L$9)),CkDJ[Debit]))))</f>
        <v>0</v>
      </c>
      <c r="M111" s="519">
        <f t="array" ref="M111">IF(OR($C111=$C110,$C111=0),0,(SUM(IF((CkDJ[JEV Number]=$C111)*(CkDJ[Account Code]=(M$9)),CkDJ[Debit]))))</f>
        <v>0</v>
      </c>
      <c r="N111" s="519">
        <f t="array" ref="N111">IF(OR($C111=$C110,$C111=0),0,(SUM(IF((CkDJ[JEV Number]=$C111)*(CkDJ[Account Code]=(N$9)),CkDJ[Debit]))))</f>
        <v>0</v>
      </c>
      <c r="O111" s="519">
        <f t="array" ref="O111">IF(OR($C111=$C110,$C111=0),0,(SUM(IF((CkDJ[JEV Number]=$C111)*(CkDJ[Account Code]=(O$9)),CkDJ[Debit]))))</f>
        <v>0</v>
      </c>
      <c r="P111" s="722"/>
      <c r="Q111" s="519">
        <f t="array" ref="Q111">IF($C111=0,0,(SUM(IF((CkDJ[JEV Number]=$C111)*(CkDJ[Account Code]=(P111)),CkDJ[Debit]))))</f>
        <v>0</v>
      </c>
      <c r="R111" s="758">
        <f t="shared" si="10"/>
        <v>0</v>
      </c>
    </row>
    <row r="112" spans="1:18">
      <c r="A112" s="717" t="str">
        <f t="array" ref="A112">IF(OR(C112=C111,C112=0),"",INDEX(CkDJ[Date],MATCH(C112,CkDJ[JEV Number],0)))</f>
        <v/>
      </c>
      <c r="B112" s="757"/>
      <c r="C112" s="523" t="str">
        <f t="shared" si="9"/>
        <v>20-01-001</v>
      </c>
      <c r="D112" s="523"/>
      <c r="E112" s="523"/>
      <c r="F112" s="523"/>
      <c r="G112" s="280" t="str">
        <f t="array" ref="G112">IF(OR(C112=C111,C112=0),"",INDEX(CasheirCode[Name],MATCH((INDEX(CkDJ[Sort Code],MATCH(C112,CkDJ[JEV Number],0))),CasheirCode[Sort Code])))</f>
        <v/>
      </c>
      <c r="H112" s="519">
        <f t="array" ref="H112">IF(OR($C112=$C111,$C112=0),0,(SUM(IF((CkDJ[JEV Number]=$C112)*(CkDJ[Account Code]=(H$9)),CkDJ[Credit]))))</f>
        <v>0</v>
      </c>
      <c r="I112" s="519">
        <f t="array" ref="I112">IF(OR($C112=$C111,$C112=0),0,(SUM(IF((CkDJ[JEV Number]=$C112)*(CkDJ[Account Code]=(I$9)),CkDJ[Credit]))))</f>
        <v>0</v>
      </c>
      <c r="J112" s="724"/>
      <c r="K112" s="519">
        <f t="array" ref="K112">IF($C112=0,0,(SUM(IF((CkDJ[JEV Number]=$C112)*(CkDJ[Account Code]=(J112)),CkDJ[Credit]))))</f>
        <v>0</v>
      </c>
      <c r="L112" s="519">
        <f t="array" ref="L112">IF(OR($C112=$C111,$C112=0),0,(SUM(IF((CkDJ[JEV Number]=$C112)*(CkDJ[Account Code]=(L$9)),CkDJ[Debit]))))</f>
        <v>0</v>
      </c>
      <c r="M112" s="519">
        <f t="array" ref="M112">IF(OR($C112=$C111,$C112=0),0,(SUM(IF((CkDJ[JEV Number]=$C112)*(CkDJ[Account Code]=(M$9)),CkDJ[Debit]))))</f>
        <v>0</v>
      </c>
      <c r="N112" s="519">
        <f t="array" ref="N112">IF(OR($C112=$C111,$C112=0),0,(SUM(IF((CkDJ[JEV Number]=$C112)*(CkDJ[Account Code]=(N$9)),CkDJ[Debit]))))</f>
        <v>0</v>
      </c>
      <c r="O112" s="519">
        <f t="array" ref="O112">IF(OR($C112=$C111,$C112=0),0,(SUM(IF((CkDJ[JEV Number]=$C112)*(CkDJ[Account Code]=(O$9)),CkDJ[Debit]))))</f>
        <v>0</v>
      </c>
      <c r="P112" s="722"/>
      <c r="Q112" s="519">
        <f t="array" ref="Q112">IF($C112=0,0,(SUM(IF((CkDJ[JEV Number]=$C112)*(CkDJ[Account Code]=(P112)),CkDJ[Debit]))))</f>
        <v>0</v>
      </c>
      <c r="R112" s="758">
        <f t="shared" si="10"/>
        <v>0</v>
      </c>
    </row>
    <row r="113" spans="1:18">
      <c r="A113" s="717" t="str">
        <f t="array" ref="A113">IF(OR(C113=C112,C113=0),"",INDEX(CkDJ[Date],MATCH(C113,CkDJ[JEV Number],0)))</f>
        <v/>
      </c>
      <c r="B113" s="757"/>
      <c r="C113" s="523" t="str">
        <f t="shared" si="9"/>
        <v>20-01-001</v>
      </c>
      <c r="D113" s="523"/>
      <c r="E113" s="523"/>
      <c r="F113" s="523"/>
      <c r="G113" s="280" t="str">
        <f t="array" ref="G113">IF(OR(C113=C112,C113=0),"",INDEX(CasheirCode[Name],MATCH((INDEX(CkDJ[Sort Code],MATCH(C113,CkDJ[JEV Number],0))),CasheirCode[Sort Code])))</f>
        <v/>
      </c>
      <c r="H113" s="519">
        <f t="array" ref="H113">IF(OR($C113=$C112,$C113=0),0,(SUM(IF((CkDJ[JEV Number]=$C113)*(CkDJ[Account Code]=(H$9)),CkDJ[Credit]))))</f>
        <v>0</v>
      </c>
      <c r="I113" s="519">
        <f t="array" ref="I113">IF(OR($C113=$C112,$C113=0),0,(SUM(IF((CkDJ[JEV Number]=$C113)*(CkDJ[Account Code]=(I$9)),CkDJ[Credit]))))</f>
        <v>0</v>
      </c>
      <c r="J113" s="724"/>
      <c r="K113" s="519">
        <f t="array" ref="K113">IF($C113=0,0,(SUM(IF((CkDJ[JEV Number]=$C113)*(CkDJ[Account Code]=(J113)),CkDJ[Credit]))))</f>
        <v>0</v>
      </c>
      <c r="L113" s="519">
        <f t="array" ref="L113">IF(OR($C113=$C112,$C113=0),0,(SUM(IF((CkDJ[JEV Number]=$C113)*(CkDJ[Account Code]=(L$9)),CkDJ[Debit]))))</f>
        <v>0</v>
      </c>
      <c r="M113" s="519">
        <f t="array" ref="M113">IF(OR($C113=$C112,$C113=0),0,(SUM(IF((CkDJ[JEV Number]=$C113)*(CkDJ[Account Code]=(M$9)),CkDJ[Debit]))))</f>
        <v>0</v>
      </c>
      <c r="N113" s="519">
        <f t="array" ref="N113">IF(OR($C113=$C112,$C113=0),0,(SUM(IF((CkDJ[JEV Number]=$C113)*(CkDJ[Account Code]=(N$9)),CkDJ[Debit]))))</f>
        <v>0</v>
      </c>
      <c r="O113" s="519">
        <f t="array" ref="O113">IF(OR($C113=$C112,$C113=0),0,(SUM(IF((CkDJ[JEV Number]=$C113)*(CkDJ[Account Code]=(O$9)),CkDJ[Debit]))))</f>
        <v>0</v>
      </c>
      <c r="P113" s="722"/>
      <c r="Q113" s="519">
        <f t="array" ref="Q113">IF($C113=0,0,(SUM(IF((CkDJ[JEV Number]=$C113)*(CkDJ[Account Code]=(P113)),CkDJ[Debit]))))</f>
        <v>0</v>
      </c>
      <c r="R113" s="758">
        <f t="shared" si="10"/>
        <v>0</v>
      </c>
    </row>
    <row r="114" spans="1:18">
      <c r="A114" s="717" t="str">
        <f t="array" ref="A114">IF(OR(C114=C113,C114=0),"",INDEX(CkDJ[Date],MATCH(C114,CkDJ[JEV Number],0)))</f>
        <v/>
      </c>
      <c r="B114" s="757"/>
      <c r="C114" s="523" t="str">
        <f t="shared" si="9"/>
        <v>20-01-001</v>
      </c>
      <c r="D114" s="523"/>
      <c r="E114" s="523"/>
      <c r="F114" s="523"/>
      <c r="G114" s="280" t="str">
        <f t="array" ref="G114">IF(OR(C114=C113,C114=0),"",INDEX(CasheirCode[Name],MATCH((INDEX(CkDJ[Sort Code],MATCH(C114,CkDJ[JEV Number],0))),CasheirCode[Sort Code])))</f>
        <v/>
      </c>
      <c r="H114" s="519">
        <f t="array" ref="H114">IF(OR($C114=$C113,$C114=0),0,(SUM(IF((CkDJ[JEV Number]=$C114)*(CkDJ[Account Code]=(H$9)),CkDJ[Credit]))))</f>
        <v>0</v>
      </c>
      <c r="I114" s="519">
        <f t="array" ref="I114">IF(OR($C114=$C113,$C114=0),0,(SUM(IF((CkDJ[JEV Number]=$C114)*(CkDJ[Account Code]=(I$9)),CkDJ[Credit]))))</f>
        <v>0</v>
      </c>
      <c r="J114" s="675"/>
      <c r="K114" s="519">
        <f t="array" ref="K114">IF($C114=0,0,(SUM(IF((CkDJ[JEV Number]=$C114)*(CkDJ[Account Code]=(J114)),CkDJ[Credit]))))</f>
        <v>0</v>
      </c>
      <c r="L114" s="519">
        <f t="array" ref="L114">IF(OR($C114=$C113,$C114=0),0,(SUM(IF((CkDJ[JEV Number]=$C114)*(CkDJ[Account Code]=(L$9)),CkDJ[Debit]))))</f>
        <v>0</v>
      </c>
      <c r="M114" s="519">
        <f t="array" ref="M114">IF(OR($C114=$C113,$C114=0),0,(SUM(IF((CkDJ[JEV Number]=$C114)*(CkDJ[Account Code]=(M$9)),CkDJ[Debit]))))</f>
        <v>0</v>
      </c>
      <c r="N114" s="519">
        <f t="array" ref="N114">IF(OR($C114=$C113,$C114=0),0,(SUM(IF((CkDJ[JEV Number]=$C114)*(CkDJ[Account Code]=(N$9)),CkDJ[Debit]))))</f>
        <v>0</v>
      </c>
      <c r="O114" s="519">
        <f t="array" ref="O114">IF(OR($C114=$C113,$C114=0),0,(SUM(IF((CkDJ[JEV Number]=$C114)*(CkDJ[Account Code]=(O$9)),CkDJ[Debit]))))</f>
        <v>0</v>
      </c>
      <c r="P114" s="722"/>
      <c r="Q114" s="519">
        <f t="array" ref="Q114">IF($C114=0,0,(SUM(IF((CkDJ[JEV Number]=$C114)*(CkDJ[Account Code]=(P114)),CkDJ[Debit]))))</f>
        <v>0</v>
      </c>
      <c r="R114" s="758">
        <f t="shared" si="10"/>
        <v>0</v>
      </c>
    </row>
    <row r="115" spans="1:18">
      <c r="A115" s="717" t="str">
        <f t="array" ref="A115">IF(OR(C115=C114,C115=0),"",INDEX(CkDJ[Date],MATCH(C115,CkDJ[JEV Number],0)))</f>
        <v/>
      </c>
      <c r="B115" s="757"/>
      <c r="C115" s="523" t="str">
        <f t="shared" si="9"/>
        <v>20-01-001</v>
      </c>
      <c r="D115" s="523"/>
      <c r="E115" s="523"/>
      <c r="F115" s="523"/>
      <c r="G115" s="280" t="str">
        <f t="array" ref="G115">IF(OR(C115=C114,C115=0),"",INDEX(CasheirCode[Name],MATCH((INDEX(CkDJ[Sort Code],MATCH(C115,CkDJ[JEV Number],0))),CasheirCode[Sort Code])))</f>
        <v/>
      </c>
      <c r="H115" s="519">
        <f t="array" ref="H115">IF(OR($C115=$C114,$C115=0),0,(SUM(IF((CkDJ[JEV Number]=$C115)*(CkDJ[Account Code]=(H$9)),CkDJ[Credit]))))</f>
        <v>0</v>
      </c>
      <c r="I115" s="519">
        <f t="array" ref="I115">IF(OR($C115=$C114,$C115=0),0,(SUM(IF((CkDJ[JEV Number]=$C115)*(CkDJ[Account Code]=(I$9)),CkDJ[Credit]))))</f>
        <v>0</v>
      </c>
      <c r="J115" s="724"/>
      <c r="K115" s="519">
        <f t="array" ref="K115">IF($C115=0,0,(SUM(IF((CkDJ[JEV Number]=$C115)*(CkDJ[Account Code]=(J115)),CkDJ[Credit]))))</f>
        <v>0</v>
      </c>
      <c r="L115" s="519">
        <f t="array" ref="L115">IF(OR($C115=$C114,$C115=0),0,(SUM(IF((CkDJ[JEV Number]=$C115)*(CkDJ[Account Code]=(L$9)),CkDJ[Debit]))))</f>
        <v>0</v>
      </c>
      <c r="M115" s="519">
        <f t="array" ref="M115">IF(OR($C115=$C114,$C115=0),0,(SUM(IF((CkDJ[JEV Number]=$C115)*(CkDJ[Account Code]=(M$9)),CkDJ[Debit]))))</f>
        <v>0</v>
      </c>
      <c r="N115" s="519">
        <f t="array" ref="N115">IF(OR($C115=$C114,$C115=0),0,(SUM(IF((CkDJ[JEV Number]=$C115)*(CkDJ[Account Code]=(N$9)),CkDJ[Debit]))))</f>
        <v>0</v>
      </c>
      <c r="O115" s="519">
        <f t="array" ref="O115">IF(OR($C115=$C114,$C115=0),0,(SUM(IF((CkDJ[JEV Number]=$C115)*(CkDJ[Account Code]=(O$9)),CkDJ[Debit]))))</f>
        <v>0</v>
      </c>
      <c r="P115" s="722"/>
      <c r="Q115" s="519">
        <f t="array" ref="Q115">IF($C115=0,0,(SUM(IF((CkDJ[JEV Number]=$C115)*(CkDJ[Account Code]=(P115)),CkDJ[Debit]))))</f>
        <v>0</v>
      </c>
      <c r="R115" s="758">
        <f t="shared" si="10"/>
        <v>0</v>
      </c>
    </row>
    <row r="116" spans="1:18">
      <c r="A116" s="717" t="str">
        <f t="array" ref="A116">IF(OR(C116=C115,C116=0),"",INDEX(CkDJ[Date],MATCH(C116,CkDJ[JEV Number],0)))</f>
        <v/>
      </c>
      <c r="B116" s="543"/>
      <c r="C116" s="523" t="str">
        <f t="shared" si="9"/>
        <v>20-01-001</v>
      </c>
      <c r="D116" s="523"/>
      <c r="E116" s="523"/>
      <c r="F116" s="523"/>
      <c r="G116" s="280" t="str">
        <f t="array" ref="G116">IF(OR(C116=C115,C116=0),"",INDEX(CasheirCode[Name],MATCH((INDEX(CkDJ[Sort Code],MATCH(C116,CkDJ[JEV Number],0))),CasheirCode[Sort Code])))</f>
        <v/>
      </c>
      <c r="H116" s="519">
        <f t="array" ref="H116">IF(OR($C116=$C115,$C116=0),0,(SUM(IF((CkDJ[JEV Number]=$C116)*(CkDJ[Account Code]=(H$9)),CkDJ[Credit]))))</f>
        <v>0</v>
      </c>
      <c r="I116" s="519">
        <f t="array" ref="I116">IF(OR($C116=$C115,$C116=0),0,(SUM(IF((CkDJ[JEV Number]=$C116)*(CkDJ[Account Code]=(I$9)),CkDJ[Credit]))))</f>
        <v>0</v>
      </c>
      <c r="J116" s="724"/>
      <c r="K116" s="519">
        <f t="array" ref="K116">IF($C116=0,0,(SUM(IF((CkDJ[JEV Number]=$C116)*(CkDJ[Account Code]=(J116)),CkDJ[Credit]))))</f>
        <v>0</v>
      </c>
      <c r="L116" s="519">
        <f t="array" ref="L116">IF(OR($C116=$C115,$C116=0),0,(SUM(IF((CkDJ[JEV Number]=$C116)*(CkDJ[Account Code]=(L$9)),CkDJ[Debit]))))</f>
        <v>0</v>
      </c>
      <c r="M116" s="519">
        <f t="array" ref="M116">IF(OR($C116=$C115,$C116=0),0,(SUM(IF((CkDJ[JEV Number]=$C116)*(CkDJ[Account Code]=(M$9)),CkDJ[Debit]))))</f>
        <v>0</v>
      </c>
      <c r="N116" s="519">
        <f t="array" ref="N116">IF(OR($C116=$C115,$C116=0),0,(SUM(IF((CkDJ[JEV Number]=$C116)*(CkDJ[Account Code]=(N$9)),CkDJ[Debit]))))</f>
        <v>0</v>
      </c>
      <c r="O116" s="519">
        <f t="array" ref="O116">IF(OR($C116=$C115,$C116=0),0,(SUM(IF((CkDJ[JEV Number]=$C116)*(CkDJ[Account Code]=(O$9)),CkDJ[Debit]))))</f>
        <v>0</v>
      </c>
      <c r="P116" s="722"/>
      <c r="Q116" s="519">
        <f t="array" ref="Q116">IF($C116=0,0,(SUM(IF((CkDJ[JEV Number]=$C116)*(CkDJ[Account Code]=(P116)),CkDJ[Debit]))))</f>
        <v>0</v>
      </c>
      <c r="R116" s="758">
        <f t="shared" si="10"/>
        <v>0</v>
      </c>
    </row>
    <row r="117" spans="1:18">
      <c r="A117" s="717" t="str">
        <f t="array" ref="A117">IF(OR(C117=C116,C117=0),"",INDEX(CkDJ[Date],MATCH(C117,CkDJ[JEV Number],0)))</f>
        <v/>
      </c>
      <c r="B117" s="543"/>
      <c r="C117" s="523" t="str">
        <f t="shared" si="9"/>
        <v>20-01-001</v>
      </c>
      <c r="D117" s="523"/>
      <c r="E117" s="523"/>
      <c r="F117" s="523"/>
      <c r="G117" s="280" t="str">
        <f t="array" ref="G117">IF(OR(C117=C116,C117=0),"",INDEX(CasheirCode[Name],MATCH((INDEX(CkDJ[Sort Code],MATCH(C117,CkDJ[JEV Number],0))),CasheirCode[Sort Code])))</f>
        <v/>
      </c>
      <c r="H117" s="519">
        <f t="array" ref="H117">IF(OR($C117=$C116,$C117=0),0,(SUM(IF((CkDJ[JEV Number]=$C117)*(CkDJ[Account Code]=(H$9)),CkDJ[Credit]))))</f>
        <v>0</v>
      </c>
      <c r="I117" s="519">
        <f t="array" ref="I117">IF(OR($C117=$C116,$C117=0),0,(SUM(IF((CkDJ[JEV Number]=$C117)*(CkDJ[Account Code]=(I$9)),CkDJ[Credit]))))</f>
        <v>0</v>
      </c>
      <c r="J117" s="724"/>
      <c r="K117" s="519">
        <f t="array" ref="K117">IF($C117=0,0,(SUM(IF((CkDJ[JEV Number]=$C117)*(CkDJ[Account Code]=(J117)),CkDJ[Credit]))))</f>
        <v>0</v>
      </c>
      <c r="L117" s="519">
        <f t="array" ref="L117">IF(OR($C117=$C116,$C117=0),0,(SUM(IF((CkDJ[JEV Number]=$C117)*(CkDJ[Account Code]=(L$9)),CkDJ[Debit]))))</f>
        <v>0</v>
      </c>
      <c r="M117" s="519">
        <f t="array" ref="M117">IF(OR($C117=$C116,$C117=0),0,(SUM(IF((CkDJ[JEV Number]=$C117)*(CkDJ[Account Code]=(M$9)),CkDJ[Debit]))))</f>
        <v>0</v>
      </c>
      <c r="N117" s="519">
        <f t="array" ref="N117">IF(OR($C117=$C116,$C117=0),0,(SUM(IF((CkDJ[JEV Number]=$C117)*(CkDJ[Account Code]=(N$9)),CkDJ[Debit]))))</f>
        <v>0</v>
      </c>
      <c r="O117" s="519">
        <f t="array" ref="O117">IF(OR($C117=$C116,$C117=0),0,(SUM(IF((CkDJ[JEV Number]=$C117)*(CkDJ[Account Code]=(O$9)),CkDJ[Debit]))))</f>
        <v>0</v>
      </c>
      <c r="P117" s="722"/>
      <c r="Q117" s="519">
        <f t="array" ref="Q117">IF($C117=0,0,(SUM(IF((CkDJ[JEV Number]=$C117)*(CkDJ[Account Code]=(P117)),CkDJ[Debit]))))</f>
        <v>0</v>
      </c>
      <c r="R117" s="758">
        <f t="shared" si="10"/>
        <v>0</v>
      </c>
    </row>
    <row r="118" spans="1:18">
      <c r="A118" s="717" t="str">
        <f t="array" ref="A118">IF(OR(C118=C117,C118=0),"",INDEX(CkDJ[Date],MATCH(C118,CkDJ[JEV Number],0)))</f>
        <v/>
      </c>
      <c r="B118" s="543"/>
      <c r="C118" s="523" t="str">
        <f t="shared" si="9"/>
        <v>20-01-001</v>
      </c>
      <c r="D118" s="523"/>
      <c r="E118" s="523"/>
      <c r="F118" s="523"/>
      <c r="G118" s="280" t="str">
        <f t="array" ref="G118">IF(OR(C118=C117,C118=0),"",INDEX(CasheirCode[Name],MATCH((INDEX(CkDJ[Sort Code],MATCH(C118,CkDJ[JEV Number],0))),CasheirCode[Sort Code])))</f>
        <v/>
      </c>
      <c r="H118" s="519">
        <f t="array" ref="H118">IF(OR($C118=$C117,$C118=0),0,(SUM(IF((CkDJ[JEV Number]=$C118)*(CkDJ[Account Code]=(H$9)),CkDJ[Credit]))))</f>
        <v>0</v>
      </c>
      <c r="I118" s="519">
        <f t="array" ref="I118">IF(OR($C118=$C117,$C118=0),0,(SUM(IF((CkDJ[JEV Number]=$C118)*(CkDJ[Account Code]=(I$9)),CkDJ[Credit]))))</f>
        <v>0</v>
      </c>
      <c r="J118" s="675"/>
      <c r="K118" s="519">
        <f t="array" ref="K118">IF($C118=0,0,(SUM(IF((CkDJ[JEV Number]=$C118)*(CkDJ[Account Code]=(J118)),CkDJ[Credit]))))</f>
        <v>0</v>
      </c>
      <c r="L118" s="519">
        <f t="array" ref="L118">IF(OR($C118=$C117,$C118=0),0,(SUM(IF((CkDJ[JEV Number]=$C118)*(CkDJ[Account Code]=(L$9)),CkDJ[Debit]))))</f>
        <v>0</v>
      </c>
      <c r="M118" s="519">
        <f t="array" ref="M118">IF(OR($C118=$C117,$C118=0),0,(SUM(IF((CkDJ[JEV Number]=$C118)*(CkDJ[Account Code]=(M$9)),CkDJ[Debit]))))</f>
        <v>0</v>
      </c>
      <c r="N118" s="519">
        <f t="array" ref="N118">IF(OR($C118=$C117,$C118=0),0,(SUM(IF((CkDJ[JEV Number]=$C118)*(CkDJ[Account Code]=(N$9)),CkDJ[Debit]))))</f>
        <v>0</v>
      </c>
      <c r="O118" s="519">
        <f t="array" ref="O118">IF(OR($C118=$C117,$C118=0),0,(SUM(IF((CkDJ[JEV Number]=$C118)*(CkDJ[Account Code]=(O$9)),CkDJ[Debit]))))</f>
        <v>0</v>
      </c>
      <c r="P118" s="722"/>
      <c r="Q118" s="519">
        <f t="array" ref="Q118">IF($C118=0,0,(SUM(IF((CkDJ[JEV Number]=$C118)*(CkDJ[Account Code]=(P118)),CkDJ[Debit]))))</f>
        <v>0</v>
      </c>
      <c r="R118" s="758">
        <f t="shared" si="10"/>
        <v>0</v>
      </c>
    </row>
    <row r="119" spans="1:18">
      <c r="A119" s="717" t="str">
        <f t="array" ref="A119">IF(OR(C119=C118,C119=0),"",INDEX(CkDJ[Date],MATCH(C119,CkDJ[JEV Number],0)))</f>
        <v/>
      </c>
      <c r="B119" s="543"/>
      <c r="C119" s="523" t="str">
        <f t="shared" si="9"/>
        <v>20-01-001</v>
      </c>
      <c r="D119" s="523"/>
      <c r="E119" s="523"/>
      <c r="F119" s="523"/>
      <c r="G119" s="280" t="str">
        <f t="array" ref="G119">IF(OR(C119=C118,C119=0),"",INDEX(CasheirCode[Name],MATCH((INDEX(CkDJ[Sort Code],MATCH(C119,CkDJ[JEV Number],0))),CasheirCode[Sort Code])))</f>
        <v/>
      </c>
      <c r="H119" s="519">
        <f t="array" ref="H119">IF(OR($C119=$C118,$C119=0),0,(SUM(IF((CkDJ[JEV Number]=$C119)*(CkDJ[Account Code]=(H$9)),CkDJ[Credit]))))</f>
        <v>0</v>
      </c>
      <c r="I119" s="519">
        <f t="array" ref="I119">IF(OR($C119=$C118,$C119=0),0,(SUM(IF((CkDJ[JEV Number]=$C119)*(CkDJ[Account Code]=(I$9)),CkDJ[Credit]))))</f>
        <v>0</v>
      </c>
      <c r="J119" s="675"/>
      <c r="K119" s="519">
        <f t="array" ref="K119">IF($C119=0,0,(SUM(IF((CkDJ[JEV Number]=$C119)*(CkDJ[Account Code]=(J119)),CkDJ[Credit]))))</f>
        <v>0</v>
      </c>
      <c r="L119" s="519">
        <f t="array" ref="L119">IF(OR($C119=$C118,$C119=0),0,(SUM(IF((CkDJ[JEV Number]=$C119)*(CkDJ[Account Code]=(L$9)),CkDJ[Debit]))))</f>
        <v>0</v>
      </c>
      <c r="M119" s="519">
        <f t="array" ref="M119">IF(OR($C119=$C118,$C119=0),0,(SUM(IF((CkDJ[JEV Number]=$C119)*(CkDJ[Account Code]=(M$9)),CkDJ[Debit]))))</f>
        <v>0</v>
      </c>
      <c r="N119" s="519">
        <f t="array" ref="N119">IF(OR($C119=$C118,$C119=0),0,(SUM(IF((CkDJ[JEV Number]=$C119)*(CkDJ[Account Code]=(N$9)),CkDJ[Debit]))))</f>
        <v>0</v>
      </c>
      <c r="O119" s="519">
        <f t="array" ref="O119">IF(OR($C119=$C118,$C119=0),0,(SUM(IF((CkDJ[JEV Number]=$C119)*(CkDJ[Account Code]=(O$9)),CkDJ[Debit]))))</f>
        <v>0</v>
      </c>
      <c r="P119" s="722"/>
      <c r="Q119" s="519">
        <f t="array" ref="Q119">IF($C119=0,0,(SUM(IF((CkDJ[JEV Number]=$C119)*(CkDJ[Account Code]=(P119)),CkDJ[Debit]))))</f>
        <v>0</v>
      </c>
      <c r="R119" s="758">
        <f t="shared" si="10"/>
        <v>0</v>
      </c>
    </row>
    <row r="120" spans="1:18">
      <c r="A120" s="717" t="str">
        <f t="array" ref="A120">IF(OR(C120=C119,C120=0),"",INDEX(CkDJ[Date],MATCH(C120,CkDJ[JEV Number],0)))</f>
        <v/>
      </c>
      <c r="B120" s="543"/>
      <c r="C120" s="523" t="str">
        <f t="shared" si="9"/>
        <v>20-01-001</v>
      </c>
      <c r="D120" s="523"/>
      <c r="E120" s="523"/>
      <c r="F120" s="523"/>
      <c r="G120" s="280" t="str">
        <f t="array" ref="G120">IF(OR(C120=C119,C120=0),"",INDEX(CasheirCode[Name],MATCH((INDEX(CkDJ[Sort Code],MATCH(C120,CkDJ[JEV Number],0))),CasheirCode[Sort Code])))</f>
        <v/>
      </c>
      <c r="H120" s="519">
        <f t="array" ref="H120">IF(OR($C120=$C119,$C120=0),0,(SUM(IF((CkDJ[JEV Number]=$C120)*(CkDJ[Account Code]=(H$9)),CkDJ[Credit]))))</f>
        <v>0</v>
      </c>
      <c r="I120" s="519">
        <f t="array" ref="I120">IF(OR($C120=$C119,$C120=0),0,(SUM(IF((CkDJ[JEV Number]=$C120)*(CkDJ[Account Code]=(I$9)),CkDJ[Credit]))))</f>
        <v>0</v>
      </c>
      <c r="J120" s="675"/>
      <c r="K120" s="519">
        <f t="array" ref="K120">IF($C120=0,0,(SUM(IF((CkDJ[JEV Number]=$C120)*(CkDJ[Account Code]=(J120)),CkDJ[Credit]))))</f>
        <v>0</v>
      </c>
      <c r="L120" s="519">
        <f t="array" ref="L120">IF(OR($C120=$C119,$C120=0),0,(SUM(IF((CkDJ[JEV Number]=$C120)*(CkDJ[Account Code]=(L$9)),CkDJ[Debit]))))</f>
        <v>0</v>
      </c>
      <c r="M120" s="519">
        <f t="array" ref="M120">IF(OR($C120=$C119,$C120=0),0,(SUM(IF((CkDJ[JEV Number]=$C120)*(CkDJ[Account Code]=(M$9)),CkDJ[Debit]))))</f>
        <v>0</v>
      </c>
      <c r="N120" s="519">
        <f t="array" ref="N120">IF(OR($C120=$C119,$C120=0),0,(SUM(IF((CkDJ[JEV Number]=$C120)*(CkDJ[Account Code]=(N$9)),CkDJ[Debit]))))</f>
        <v>0</v>
      </c>
      <c r="O120" s="519">
        <f t="array" ref="O120">IF(OR($C120=$C119,$C120=0),0,(SUM(IF((CkDJ[JEV Number]=$C120)*(CkDJ[Account Code]=(O$9)),CkDJ[Debit]))))</f>
        <v>0</v>
      </c>
      <c r="P120" s="722"/>
      <c r="Q120" s="519">
        <f t="array" ref="Q120">IF($C120=0,0,(SUM(IF((CkDJ[JEV Number]=$C120)*(CkDJ[Account Code]=(P120)),CkDJ[Debit]))))</f>
        <v>0</v>
      </c>
      <c r="R120" s="758">
        <f t="shared" si="10"/>
        <v>0</v>
      </c>
    </row>
    <row r="121" spans="1:18">
      <c r="A121" s="717" t="str">
        <f t="array" ref="A121">IF(OR(C121=C120,C121=0),"",INDEX(CkDJ[Date],MATCH(C121,CkDJ[JEV Number],0)))</f>
        <v/>
      </c>
      <c r="B121" s="543"/>
      <c r="C121" s="523" t="str">
        <f t="shared" si="9"/>
        <v>20-01-001</v>
      </c>
      <c r="D121" s="523"/>
      <c r="E121" s="523"/>
      <c r="F121" s="523"/>
      <c r="G121" s="280" t="str">
        <f t="array" ref="G121">IF(OR(C121=C120,C121=0),"",INDEX(CasheirCode[Name],MATCH((INDEX(CkDJ[Sort Code],MATCH(C121,CkDJ[JEV Number],0))),CasheirCode[Sort Code])))</f>
        <v/>
      </c>
      <c r="H121" s="519">
        <f t="array" ref="H121">IF(OR($C121=$C120,$C121=0),0,(SUM(IF((CkDJ[JEV Number]=$C121)*(CkDJ[Account Code]=(H$9)),CkDJ[Credit]))))</f>
        <v>0</v>
      </c>
      <c r="I121" s="519">
        <f t="array" ref="I121">IF(OR($C121=$C120,$C121=0),0,(SUM(IF((CkDJ[JEV Number]=$C121)*(CkDJ[Account Code]=(I$9)),CkDJ[Credit]))))</f>
        <v>0</v>
      </c>
      <c r="J121" s="675"/>
      <c r="K121" s="519">
        <f t="array" ref="K121">IF($C121=0,0,(SUM(IF((CkDJ[JEV Number]=$C121)*(CkDJ[Account Code]=(J121)),CkDJ[Credit]))))</f>
        <v>0</v>
      </c>
      <c r="L121" s="519">
        <f t="array" ref="L121">IF(OR($C121=$C120,$C121=0),0,(SUM(IF((CkDJ[JEV Number]=$C121)*(CkDJ[Account Code]=(L$9)),CkDJ[Debit]))))</f>
        <v>0</v>
      </c>
      <c r="M121" s="519">
        <f t="array" ref="M121">IF(OR($C121=$C120,$C121=0),0,(SUM(IF((CkDJ[JEV Number]=$C121)*(CkDJ[Account Code]=(M$9)),CkDJ[Debit]))))</f>
        <v>0</v>
      </c>
      <c r="N121" s="519">
        <f t="array" ref="N121">IF(OR($C121=$C120,$C121=0),0,(SUM(IF((CkDJ[JEV Number]=$C121)*(CkDJ[Account Code]=(N$9)),CkDJ[Debit]))))</f>
        <v>0</v>
      </c>
      <c r="O121" s="519">
        <f t="array" ref="O121">IF(OR($C121=$C120,$C121=0),0,(SUM(IF((CkDJ[JEV Number]=$C121)*(CkDJ[Account Code]=(O$9)),CkDJ[Debit]))))</f>
        <v>0</v>
      </c>
      <c r="P121" s="722"/>
      <c r="Q121" s="519">
        <f t="array" ref="Q121">IF($C121=0,0,(SUM(IF((CkDJ[JEV Number]=$C121)*(CkDJ[Account Code]=(P121)),CkDJ[Debit]))))</f>
        <v>0</v>
      </c>
      <c r="R121" s="758">
        <f t="shared" si="10"/>
        <v>0</v>
      </c>
    </row>
    <row r="122" spans="1:18">
      <c r="A122" s="717" t="str">
        <f t="array" ref="A122">IF(OR(C122=C121,C122=0),"",INDEX(CkDJ[Date],MATCH(C122,CkDJ[JEV Number],0)))</f>
        <v/>
      </c>
      <c r="B122" s="543"/>
      <c r="C122" s="523" t="str">
        <f t="shared" si="9"/>
        <v>20-01-001</v>
      </c>
      <c r="D122" s="523"/>
      <c r="E122" s="523"/>
      <c r="F122" s="523"/>
      <c r="G122" s="280" t="str">
        <f t="array" ref="G122">IF(OR(C122=C121,C122=0),"",INDEX(CasheirCode[Name],MATCH((INDEX(CkDJ[Sort Code],MATCH(C122,CkDJ[JEV Number],0))),CasheirCode[Sort Code])))</f>
        <v/>
      </c>
      <c r="H122" s="519">
        <f t="array" ref="H122">IF(OR($C122=$C121,$C122=0),0,(SUM(IF((CkDJ[JEV Number]=$C122)*(CkDJ[Account Code]=(H$9)),CkDJ[Credit]))))</f>
        <v>0</v>
      </c>
      <c r="I122" s="519">
        <f t="array" ref="I122">IF(OR($C122=$C121,$C122=0),0,(SUM(IF((CkDJ[JEV Number]=$C122)*(CkDJ[Account Code]=(I$9)),CkDJ[Credit]))))</f>
        <v>0</v>
      </c>
      <c r="J122" s="675"/>
      <c r="K122" s="519">
        <f t="array" ref="K122">IF($C122=0,0,(SUM(IF((CkDJ[JEV Number]=$C122)*(CkDJ[Account Code]=(J122)),CkDJ[Credit]))))</f>
        <v>0</v>
      </c>
      <c r="L122" s="519">
        <f t="array" ref="L122">IF(OR($C122=$C121,$C122=0),0,(SUM(IF((CkDJ[JEV Number]=$C122)*(CkDJ[Account Code]=(L$9)),CkDJ[Debit]))))</f>
        <v>0</v>
      </c>
      <c r="M122" s="519">
        <f t="array" ref="M122">IF(OR($C122=$C121,$C122=0),0,(SUM(IF((CkDJ[JEV Number]=$C122)*(CkDJ[Account Code]=(M$9)),CkDJ[Debit]))))</f>
        <v>0</v>
      </c>
      <c r="N122" s="519">
        <f t="array" ref="N122">IF(OR($C122=$C121,$C122=0),0,(SUM(IF((CkDJ[JEV Number]=$C122)*(CkDJ[Account Code]=(N$9)),CkDJ[Debit]))))</f>
        <v>0</v>
      </c>
      <c r="O122" s="519">
        <f t="array" ref="O122">IF(OR($C122=$C121,$C122=0),0,(SUM(IF((CkDJ[JEV Number]=$C122)*(CkDJ[Account Code]=(O$9)),CkDJ[Debit]))))</f>
        <v>0</v>
      </c>
      <c r="P122" s="722"/>
      <c r="Q122" s="519">
        <f t="array" ref="Q122">IF($C122=0,0,(SUM(IF((CkDJ[JEV Number]=$C122)*(CkDJ[Account Code]=(P122)),CkDJ[Debit]))))</f>
        <v>0</v>
      </c>
      <c r="R122" s="758">
        <f t="shared" si="10"/>
        <v>0</v>
      </c>
    </row>
    <row r="123" spans="1:18">
      <c r="A123" s="717" t="str">
        <f t="array" ref="A123">IF(OR(C123=C122,C123=0),"",INDEX(CkDJ[Date],MATCH(C123,CkDJ[JEV Number],0)))</f>
        <v/>
      </c>
      <c r="B123" s="543"/>
      <c r="C123" s="523" t="str">
        <f t="shared" si="9"/>
        <v>20-01-001</v>
      </c>
      <c r="D123" s="523"/>
      <c r="E123" s="523"/>
      <c r="F123" s="523"/>
      <c r="G123" s="280" t="str">
        <f t="array" ref="G123">IF(OR(C123=C122,C123=0),"",INDEX(CasheirCode[Name],MATCH((INDEX(CkDJ[Sort Code],MATCH(C123,CkDJ[JEV Number],0))),CasheirCode[Sort Code])))</f>
        <v/>
      </c>
      <c r="H123" s="519">
        <f t="array" ref="H123">IF(OR($C123=$C122,$C123=0),0,(SUM(IF((CkDJ[JEV Number]=$C123)*(CkDJ[Account Code]=(H$9)),CkDJ[Credit]))))</f>
        <v>0</v>
      </c>
      <c r="I123" s="519">
        <f t="array" ref="I123">IF(OR($C123=$C122,$C123=0),0,(SUM(IF((CkDJ[JEV Number]=$C123)*(CkDJ[Account Code]=(I$9)),CkDJ[Credit]))))</f>
        <v>0</v>
      </c>
      <c r="J123" s="675"/>
      <c r="K123" s="519">
        <f t="array" ref="K123">IF($C123=0,0,(SUM(IF((CkDJ[JEV Number]=$C123)*(CkDJ[Account Code]=(J123)),CkDJ[Credit]))))</f>
        <v>0</v>
      </c>
      <c r="L123" s="519">
        <f t="array" ref="L123">IF(OR($C123=$C122,$C123=0),0,(SUM(IF((CkDJ[JEV Number]=$C123)*(CkDJ[Account Code]=(L$9)),CkDJ[Debit]))))</f>
        <v>0</v>
      </c>
      <c r="M123" s="519">
        <f t="array" ref="M123">IF(OR($C123=$C122,$C123=0),0,(SUM(IF((CkDJ[JEV Number]=$C123)*(CkDJ[Account Code]=(M$9)),CkDJ[Debit]))))</f>
        <v>0</v>
      </c>
      <c r="N123" s="519">
        <f t="array" ref="N123">IF(OR($C123=$C122,$C123=0),0,(SUM(IF((CkDJ[JEV Number]=$C123)*(CkDJ[Account Code]=(N$9)),CkDJ[Debit]))))</f>
        <v>0</v>
      </c>
      <c r="O123" s="519">
        <f t="array" ref="O123">IF(OR($C123=$C122,$C123=0),0,(SUM(IF((CkDJ[JEV Number]=$C123)*(CkDJ[Account Code]=(O$9)),CkDJ[Debit]))))</f>
        <v>0</v>
      </c>
      <c r="P123" s="722"/>
      <c r="Q123" s="519">
        <f t="array" ref="Q123">IF($C123=0,0,(SUM(IF((CkDJ[JEV Number]=$C123)*(CkDJ[Account Code]=(P123)),CkDJ[Debit]))))</f>
        <v>0</v>
      </c>
      <c r="R123" s="758">
        <f t="shared" si="10"/>
        <v>0</v>
      </c>
    </row>
    <row r="124" spans="1:18">
      <c r="A124" s="670" t="str">
        <f t="array" ref="A124">IF(OR(C124=C123,C124=0),"",INDEX(CkDJ[Date],MATCH(C124,CkDJ[JEV Number],0)))</f>
        <v/>
      </c>
      <c r="B124" s="671"/>
      <c r="C124" s="523" t="str">
        <f t="shared" si="9"/>
        <v>20-01-001</v>
      </c>
      <c r="D124" s="523"/>
      <c r="E124" s="523"/>
      <c r="F124" s="523"/>
      <c r="G124" s="280" t="str">
        <f t="array" ref="G124">IF(OR(C124=C123,C124=0),"",INDEX(CasheirCode[Name],MATCH((INDEX(CkDJ[Sort Code],MATCH(C124,CkDJ[JEV Number],0))),CasheirCode[Sort Code])))</f>
        <v/>
      </c>
      <c r="H124" s="519">
        <f t="array" ref="H124">IF(OR($C124=$C123,$C124=0),0,(SUM(IF((CkDJ[JEV Number]=$C124)*(CkDJ[Account Code]=(H$9)),CkDJ[Credit]))))</f>
        <v>0</v>
      </c>
      <c r="I124" s="519">
        <f t="array" ref="I124">IF(OR($C124=$C123,$C124=0),0,(SUM(IF((CkDJ[JEV Number]=$C124)*(CkDJ[Account Code]=(I$9)),CkDJ[Credit]))))</f>
        <v>0</v>
      </c>
      <c r="J124" s="675"/>
      <c r="K124" s="519">
        <f t="array" ref="K124">IF($C124=0,0,(SUM(IF((CkDJ[JEV Number]=$C124)*(CkDJ[Account Code]=(J124)),CkDJ[Credit]))))</f>
        <v>0</v>
      </c>
      <c r="L124" s="519">
        <f t="array" ref="L124">IF(OR($C124=$C123,$C124=0),0,(SUM(IF((CkDJ[JEV Number]=$C124)*(CkDJ[Account Code]=(L$9)),CkDJ[Debit]))))</f>
        <v>0</v>
      </c>
      <c r="M124" s="519">
        <f t="array" ref="M124">IF(OR($C124=$C123,$C124=0),0,(SUM(IF((CkDJ[JEV Number]=$C124)*(CkDJ[Account Code]=(M$9)),CkDJ[Debit]))))</f>
        <v>0</v>
      </c>
      <c r="N124" s="519">
        <f t="array" ref="N124">IF(OR($C124=$C123,$C124=0),0,(SUM(IF((CkDJ[JEV Number]=$C124)*(CkDJ[Account Code]=(N$9)),CkDJ[Debit]))))</f>
        <v>0</v>
      </c>
      <c r="O124" s="519">
        <f t="array" ref="O124">IF(OR($C124=$C123,$C124=0),0,(SUM(IF((CkDJ[JEV Number]=$C124)*(CkDJ[Account Code]=(O$9)),CkDJ[Debit]))))</f>
        <v>0</v>
      </c>
      <c r="P124" s="722"/>
      <c r="Q124" s="519">
        <f t="array" ref="Q124">IF($C124=0,0,(SUM(IF((CkDJ[JEV Number]=$C124)*(CkDJ[Account Code]=(P124)),CkDJ[Debit]))))</f>
        <v>0</v>
      </c>
      <c r="R124" s="758">
        <f t="shared" si="10"/>
        <v>0</v>
      </c>
    </row>
    <row r="125" spans="1:18">
      <c r="A125" s="717" t="str">
        <f t="array" ref="A125">IF(OR(C125=C124,C125=0),"",INDEX(CkDJ[Date],MATCH(C125,CkDJ[JEV Number],0)))</f>
        <v/>
      </c>
      <c r="B125" s="543"/>
      <c r="C125" s="523" t="str">
        <f t="shared" si="9"/>
        <v>20-01-001</v>
      </c>
      <c r="D125" s="523"/>
      <c r="E125" s="523"/>
      <c r="F125" s="523"/>
      <c r="G125" s="280" t="str">
        <f t="array" ref="G125">IF(OR(C125=C124,C125=0),"",INDEX(CasheirCode[Name],MATCH((INDEX(CkDJ[Sort Code],MATCH(C125,CkDJ[JEV Number],0))),CasheirCode[Sort Code])))</f>
        <v/>
      </c>
      <c r="H125" s="519">
        <f t="array" ref="H125">IF(OR($C125=$C124,$C125=0),0,(SUM(IF((CkDJ[JEV Number]=$C125)*(CkDJ[Account Code]=(H$9)),CkDJ[Credit]))))</f>
        <v>0</v>
      </c>
      <c r="I125" s="519">
        <f t="array" ref="I125">IF(OR($C125=$C124,$C125=0),0,(SUM(IF((CkDJ[JEV Number]=$C125)*(CkDJ[Account Code]=(I$9)),CkDJ[Credit]))))</f>
        <v>0</v>
      </c>
      <c r="J125" s="675"/>
      <c r="K125" s="519">
        <f t="array" ref="K125">IF($C125=0,0,(SUM(IF((CkDJ[JEV Number]=$C125)*(CkDJ[Account Code]=(J125)),CkDJ[Credit]))))</f>
        <v>0</v>
      </c>
      <c r="L125" s="519">
        <f t="array" ref="L125">IF(OR($C125=$C124,$C125=0),0,(SUM(IF((CkDJ[JEV Number]=$C125)*(CkDJ[Account Code]=(L$9)),CkDJ[Debit]))))</f>
        <v>0</v>
      </c>
      <c r="M125" s="519">
        <f t="array" ref="M125">IF(OR($C125=$C124,$C125=0),0,(SUM(IF((CkDJ[JEV Number]=$C125)*(CkDJ[Account Code]=(M$9)),CkDJ[Debit]))))</f>
        <v>0</v>
      </c>
      <c r="N125" s="519">
        <f t="array" ref="N125">IF(OR($C125=$C124,$C125=0),0,(SUM(IF((CkDJ[JEV Number]=$C125)*(CkDJ[Account Code]=(N$9)),CkDJ[Debit]))))</f>
        <v>0</v>
      </c>
      <c r="O125" s="519">
        <f t="array" ref="O125">IF(OR($C125=$C124,$C125=0),0,(SUM(IF((CkDJ[JEV Number]=$C125)*(CkDJ[Account Code]=(O$9)),CkDJ[Debit]))))</f>
        <v>0</v>
      </c>
      <c r="P125" s="722"/>
      <c r="Q125" s="519">
        <f t="array" ref="Q125">IF($C125=0,0,(SUM(IF((CkDJ[JEV Number]=$C125)*(CkDJ[Account Code]=(P125)),CkDJ[Debit]))))</f>
        <v>0</v>
      </c>
      <c r="R125" s="758">
        <f t="shared" si="10"/>
        <v>0</v>
      </c>
    </row>
    <row r="126" spans="1:18">
      <c r="A126" s="717" t="str">
        <f t="array" ref="A126">IF(OR(C126=C125,C126=0),"",INDEX(CkDJ[Date],MATCH(C126,CkDJ[JEV Number],0)))</f>
        <v/>
      </c>
      <c r="B126" s="543"/>
      <c r="C126" s="523" t="str">
        <f t="shared" si="9"/>
        <v>20-01-001</v>
      </c>
      <c r="D126" s="523"/>
      <c r="E126" s="523"/>
      <c r="F126" s="523"/>
      <c r="G126" s="280" t="str">
        <f t="array" ref="G126">IF(OR(C126=C125,C126=0),"",INDEX(CasheirCode[Name],MATCH((INDEX(CkDJ[Sort Code],MATCH(C126,CkDJ[JEV Number],0))),CasheirCode[Sort Code])))</f>
        <v/>
      </c>
      <c r="H126" s="519">
        <f t="array" ref="H126">IF(OR($C126=$C125,$C126=0),0,(SUM(IF((CkDJ[JEV Number]=$C126)*(CkDJ[Account Code]=(H$9)),CkDJ[Credit]))))</f>
        <v>0</v>
      </c>
      <c r="I126" s="519">
        <f t="array" ref="I126">IF(OR($C126=$C125,$C126=0),0,(SUM(IF((CkDJ[JEV Number]=$C126)*(CkDJ[Account Code]=(I$9)),CkDJ[Credit]))))</f>
        <v>0</v>
      </c>
      <c r="J126" s="675"/>
      <c r="K126" s="519">
        <f t="array" ref="K126">IF($C126=0,0,(SUM(IF((CkDJ[JEV Number]=$C126)*(CkDJ[Account Code]=(J126)),CkDJ[Credit]))))</f>
        <v>0</v>
      </c>
      <c r="L126" s="519">
        <f t="array" ref="L126">IF(OR($C126=$C125,$C126=0),0,(SUM(IF((CkDJ[JEV Number]=$C126)*(CkDJ[Account Code]=(L$9)),CkDJ[Debit]))))</f>
        <v>0</v>
      </c>
      <c r="M126" s="519">
        <f t="array" ref="M126">IF(OR($C126=$C125,$C126=0),0,(SUM(IF((CkDJ[JEV Number]=$C126)*(CkDJ[Account Code]=(M$9)),CkDJ[Debit]))))</f>
        <v>0</v>
      </c>
      <c r="N126" s="519">
        <f t="array" ref="N126">IF(OR($C126=$C125,$C126=0),0,(SUM(IF((CkDJ[JEV Number]=$C126)*(CkDJ[Account Code]=(N$9)),CkDJ[Debit]))))</f>
        <v>0</v>
      </c>
      <c r="O126" s="519">
        <f t="array" ref="O126">IF(OR($C126=$C125,$C126=0),0,(SUM(IF((CkDJ[JEV Number]=$C126)*(CkDJ[Account Code]=(O$9)),CkDJ[Debit]))))</f>
        <v>0</v>
      </c>
      <c r="P126" s="722"/>
      <c r="Q126" s="519">
        <f t="array" ref="Q126">IF($C126=0,0,(SUM(IF((CkDJ[JEV Number]=$C126)*(CkDJ[Account Code]=(P126)),CkDJ[Debit]))))</f>
        <v>0</v>
      </c>
      <c r="R126" s="758">
        <f t="shared" si="10"/>
        <v>0</v>
      </c>
    </row>
    <row r="127" spans="1:18">
      <c r="A127" s="717" t="str">
        <f t="array" ref="A127">IF(OR(C127=C126,C127=0),"",INDEX(CkDJ[Date],MATCH(C127,CkDJ[JEV Number],0)))</f>
        <v/>
      </c>
      <c r="B127" s="543"/>
      <c r="C127" s="523" t="str">
        <f t="shared" si="9"/>
        <v>20-01-001</v>
      </c>
      <c r="D127" s="523"/>
      <c r="E127" s="523"/>
      <c r="F127" s="523"/>
      <c r="G127" s="280" t="str">
        <f t="array" ref="G127">IF(OR(C127=C126,C127=0),"",INDEX(CasheirCode[Name],MATCH((INDEX(CkDJ[Sort Code],MATCH(C127,CkDJ[JEV Number],0))),CasheirCode[Sort Code])))</f>
        <v/>
      </c>
      <c r="H127" s="519">
        <f t="array" ref="H127">IF(OR($C127=$C126,$C127=0),0,(SUM(IF((CkDJ[JEV Number]=$C127)*(CkDJ[Account Code]=(H$9)),CkDJ[Credit]))))</f>
        <v>0</v>
      </c>
      <c r="I127" s="519">
        <f t="array" ref="I127">IF(OR($C127=$C126,$C127=0),0,(SUM(IF((CkDJ[JEV Number]=$C127)*(CkDJ[Account Code]=(I$9)),CkDJ[Credit]))))</f>
        <v>0</v>
      </c>
      <c r="J127" s="675"/>
      <c r="K127" s="519">
        <f t="array" ref="K127">IF($C127=0,0,(SUM(IF((CkDJ[JEV Number]=$C127)*(CkDJ[Account Code]=(J127)),CkDJ[Credit]))))</f>
        <v>0</v>
      </c>
      <c r="L127" s="519">
        <f t="array" ref="L127">IF(OR($C127=$C126,$C127=0),0,(SUM(IF((CkDJ[JEV Number]=$C127)*(CkDJ[Account Code]=(L$9)),CkDJ[Debit]))))</f>
        <v>0</v>
      </c>
      <c r="M127" s="519">
        <f t="array" ref="M127">IF(OR($C127=$C126,$C127=0),0,(SUM(IF((CkDJ[JEV Number]=$C127)*(CkDJ[Account Code]=(M$9)),CkDJ[Debit]))))</f>
        <v>0</v>
      </c>
      <c r="N127" s="519">
        <f t="array" ref="N127">IF(OR($C127=$C126,$C127=0),0,(SUM(IF((CkDJ[JEV Number]=$C127)*(CkDJ[Account Code]=(N$9)),CkDJ[Debit]))))</f>
        <v>0</v>
      </c>
      <c r="O127" s="519">
        <f t="array" ref="O127">IF(OR($C127=$C126,$C127=0),0,(SUM(IF((CkDJ[JEV Number]=$C127)*(CkDJ[Account Code]=(O$9)),CkDJ[Debit]))))</f>
        <v>0</v>
      </c>
      <c r="P127" s="722"/>
      <c r="Q127" s="519">
        <f t="array" ref="Q127">IF($C127=0,0,(SUM(IF((CkDJ[JEV Number]=$C127)*(CkDJ[Account Code]=(P127)),CkDJ[Debit]))))</f>
        <v>0</v>
      </c>
      <c r="R127" s="758">
        <f t="shared" si="10"/>
        <v>0</v>
      </c>
    </row>
    <row r="128" spans="1:18">
      <c r="A128" s="717" t="str">
        <f t="array" ref="A128">IF(OR(C128=C127,C128=0),"",INDEX(CkDJ[Date],MATCH(C128,CkDJ[JEV Number],0)))</f>
        <v/>
      </c>
      <c r="B128" s="543"/>
      <c r="C128" s="523" t="str">
        <f t="shared" si="9"/>
        <v>20-01-001</v>
      </c>
      <c r="D128" s="523"/>
      <c r="E128" s="523"/>
      <c r="F128" s="523"/>
      <c r="G128" s="280" t="str">
        <f t="array" ref="G128">IF(OR(C128=C127,C128=0),"",INDEX(CasheirCode[Name],MATCH((INDEX(CkDJ[Sort Code],MATCH(C128,CkDJ[JEV Number],0))),CasheirCode[Sort Code])))</f>
        <v/>
      </c>
      <c r="H128" s="519">
        <f t="array" ref="H128">IF(OR($C128=$C127,$C128=0),0,(SUM(IF((CkDJ[JEV Number]=$C128)*(CkDJ[Account Code]=(H$9)),CkDJ[Credit]))))</f>
        <v>0</v>
      </c>
      <c r="I128" s="519">
        <f t="array" ref="I128">IF(OR($C128=$C127,$C128=0),0,(SUM(IF((CkDJ[JEV Number]=$C128)*(CkDJ[Account Code]=(I$9)),CkDJ[Credit]))))</f>
        <v>0</v>
      </c>
      <c r="J128" s="675"/>
      <c r="K128" s="519">
        <f t="array" ref="K128">IF($C128=0,0,(SUM(IF((CkDJ[JEV Number]=$C128)*(CkDJ[Account Code]=(J128)),CkDJ[Credit]))))</f>
        <v>0</v>
      </c>
      <c r="L128" s="519">
        <f t="array" ref="L128">IF(OR($C128=$C127,$C128=0),0,(SUM(IF((CkDJ[JEV Number]=$C128)*(CkDJ[Account Code]=(L$9)),CkDJ[Debit]))))</f>
        <v>0</v>
      </c>
      <c r="M128" s="519">
        <f t="array" ref="M128">IF(OR($C128=$C127,$C128=0),0,(SUM(IF((CkDJ[JEV Number]=$C128)*(CkDJ[Account Code]=(M$9)),CkDJ[Debit]))))</f>
        <v>0</v>
      </c>
      <c r="N128" s="519">
        <f t="array" ref="N128">IF(OR($C128=$C127,$C128=0),0,(SUM(IF((CkDJ[JEV Number]=$C128)*(CkDJ[Account Code]=(N$9)),CkDJ[Debit]))))</f>
        <v>0</v>
      </c>
      <c r="O128" s="519">
        <f t="array" ref="O128">IF(OR($C128=$C127,$C128=0),0,(SUM(IF((CkDJ[JEV Number]=$C128)*(CkDJ[Account Code]=(O$9)),CkDJ[Debit]))))</f>
        <v>0</v>
      </c>
      <c r="P128" s="722"/>
      <c r="Q128" s="519">
        <f t="array" ref="Q128">IF($C128=0,0,(SUM(IF((CkDJ[JEV Number]=$C128)*(CkDJ[Account Code]=(P128)),CkDJ[Debit]))))</f>
        <v>0</v>
      </c>
      <c r="R128" s="758">
        <f t="shared" si="10"/>
        <v>0</v>
      </c>
    </row>
    <row r="129" spans="1:18">
      <c r="A129" s="717" t="str">
        <f t="array" ref="A129">IF(OR(C129=C128,C129=0),"",INDEX(CkDJ[Date],MATCH(C129,CkDJ[JEV Number],0)))</f>
        <v/>
      </c>
      <c r="B129" s="543"/>
      <c r="C129" s="523" t="str">
        <f t="shared" si="9"/>
        <v>20-01-001</v>
      </c>
      <c r="D129" s="523"/>
      <c r="E129" s="523"/>
      <c r="F129" s="523"/>
      <c r="G129" s="280" t="str">
        <f t="array" ref="G129">IF(OR(C129=C128,C129=0),"",INDEX(CasheirCode[Name],MATCH((INDEX(CkDJ[Sort Code],MATCH(C129,CkDJ[JEV Number],0))),CasheirCode[Sort Code])))</f>
        <v/>
      </c>
      <c r="H129" s="519">
        <f t="array" ref="H129">IF(OR($C129=$C128,$C129=0),0,(SUM(IF((CkDJ[JEV Number]=$C129)*(CkDJ[Account Code]=(H$9)),CkDJ[Credit]))))</f>
        <v>0</v>
      </c>
      <c r="I129" s="519">
        <f t="array" ref="I129">IF(OR($C129=$C128,$C129=0),0,(SUM(IF((CkDJ[JEV Number]=$C129)*(CkDJ[Account Code]=(I$9)),CkDJ[Credit]))))</f>
        <v>0</v>
      </c>
      <c r="J129" s="675"/>
      <c r="K129" s="519">
        <f t="array" ref="K129">IF($C129=0,0,(SUM(IF((CkDJ[JEV Number]=$C129)*(CkDJ[Account Code]=(J129)),CkDJ[Credit]))))</f>
        <v>0</v>
      </c>
      <c r="L129" s="519">
        <f t="array" ref="L129">IF(OR($C129=$C128,$C129=0),0,(SUM(IF((CkDJ[JEV Number]=$C129)*(CkDJ[Account Code]=(L$9)),CkDJ[Debit]))))</f>
        <v>0</v>
      </c>
      <c r="M129" s="519">
        <f t="array" ref="M129">IF(OR($C129=$C128,$C129=0),0,(SUM(IF((CkDJ[JEV Number]=$C129)*(CkDJ[Account Code]=(M$9)),CkDJ[Debit]))))</f>
        <v>0</v>
      </c>
      <c r="N129" s="519">
        <f t="array" ref="N129">IF(OR($C129=$C128,$C129=0),0,(SUM(IF((CkDJ[JEV Number]=$C129)*(CkDJ[Account Code]=(N$9)),CkDJ[Debit]))))</f>
        <v>0</v>
      </c>
      <c r="O129" s="519">
        <f t="array" ref="O129">IF(OR($C129=$C128,$C129=0),0,(SUM(IF((CkDJ[JEV Number]=$C129)*(CkDJ[Account Code]=(O$9)),CkDJ[Debit]))))</f>
        <v>0</v>
      </c>
      <c r="P129" s="722"/>
      <c r="Q129" s="519">
        <f t="array" ref="Q129">IF($C129=0,0,(SUM(IF((CkDJ[JEV Number]=$C129)*(CkDJ[Account Code]=(P129)),CkDJ[Debit]))))</f>
        <v>0</v>
      </c>
      <c r="R129" s="758">
        <f t="shared" si="10"/>
        <v>0</v>
      </c>
    </row>
    <row r="130" spans="1:18">
      <c r="A130" s="770" t="str">
        <f t="array" ref="A130">IF(OR(C130=C129,C130=0),"",INDEX(CkDJ[Date],MATCH(C130,CkDJ[JEV Number],0)))</f>
        <v/>
      </c>
      <c r="B130" s="671"/>
      <c r="C130" s="672" t="str">
        <f t="shared" ref="C130:C149" si="11">IF(B130=0,C129,B130)</f>
        <v>20-01-001</v>
      </c>
      <c r="D130" s="672"/>
      <c r="E130" s="672"/>
      <c r="F130" s="672"/>
      <c r="G130" s="673" t="str">
        <f t="array" ref="G130">IF(OR(C130=C129,C130=0),"",INDEX(CasheirCode[Name],MATCH((INDEX(CkDJ[Sort Code],MATCH(C130,CkDJ[JEV Number],0))),CasheirCode[Sort Code])))</f>
        <v/>
      </c>
      <c r="H130" s="674">
        <f t="array" ref="H130">IF(OR($C130=$C129,$C130=0),0,(SUM(IF((CkDJ[JEV Number]=$C130)*(CkDJ[Account Code]=(H$9)),CkDJ[Credit]))))</f>
        <v>0</v>
      </c>
      <c r="I130" s="674">
        <f t="array" ref="I130">IF(OR($C130=$C129,$C130=0),0,(SUM(IF((CkDJ[JEV Number]=$C130)*(CkDJ[Account Code]=(I$9)),CkDJ[Credit]))))</f>
        <v>0</v>
      </c>
      <c r="J130" s="675"/>
      <c r="K130" s="674">
        <f t="array" ref="K130">IF($C130=0,0,(SUM(IF((CkDJ[JEV Number]=$C130)*(CkDJ[Account Code]=(J130)),CkDJ[Credit]))))</f>
        <v>0</v>
      </c>
      <c r="L130" s="674">
        <f t="array" ref="L130">IF(OR($C130=$C129,$C130=0),0,(SUM(IF((CkDJ[JEV Number]=$C130)*(CkDJ[Account Code]=(L$9)),CkDJ[Debit]))))</f>
        <v>0</v>
      </c>
      <c r="M130" s="674">
        <f t="array" ref="M130">IF(OR($C130=$C129,$C130=0),0,(SUM(IF((CkDJ[JEV Number]=$C130)*(CkDJ[Account Code]=(M$9)),CkDJ[Debit]))))</f>
        <v>0</v>
      </c>
      <c r="N130" s="674">
        <f t="array" ref="N130">IF(OR($C130=$C129,$C130=0),0,(SUM(IF((CkDJ[JEV Number]=$C130)*(CkDJ[Account Code]=(N$9)),CkDJ[Debit]))))</f>
        <v>0</v>
      </c>
      <c r="O130" s="674">
        <f t="array" ref="O130">IF(OR($C130=$C129,$C130=0),0,(SUM(IF((CkDJ[JEV Number]=$C130)*(CkDJ[Account Code]=(O$9)),CkDJ[Debit]))))</f>
        <v>0</v>
      </c>
      <c r="P130" s="722"/>
      <c r="Q130" s="689">
        <f t="array" ref="Q130">IF($C130=0,0,(SUM(IF((CkDJ[JEV Number]=$C130)*(CkDJ[Account Code]=(P130)),CkDJ[Debit]))))</f>
        <v>0</v>
      </c>
      <c r="R130" s="676">
        <f t="shared" ref="R130:R149" si="12">R129+(SUM(L130:O130)+Q130)-(SUM(H130:I130)+K130)</f>
        <v>0</v>
      </c>
    </row>
    <row r="131" spans="1:18">
      <c r="A131" s="771" t="str">
        <f t="array" ref="A131">IF(OR(C131=C130,C131=0),"",INDEX(CkDJ[Date],MATCH(C131,CkDJ[JEV Number],0)))</f>
        <v/>
      </c>
      <c r="B131" s="671"/>
      <c r="C131" s="672" t="str">
        <f t="shared" si="11"/>
        <v>20-01-001</v>
      </c>
      <c r="D131" s="672"/>
      <c r="E131" s="672"/>
      <c r="F131" s="672"/>
      <c r="G131" s="673" t="str">
        <f t="array" ref="G131">IF(OR(C131=C130,C131=0),"",INDEX(CasheirCode[Name],MATCH((INDEX(CkDJ[Sort Code],MATCH(C131,CkDJ[JEV Number],0))),CasheirCode[Sort Code])))</f>
        <v/>
      </c>
      <c r="H131" s="674">
        <f t="array" ref="H131">IF(OR($C131=$C130,$C131=0),0,(SUM(IF((CkDJ[JEV Number]=$C131)*(CkDJ[Account Code]=(H$9)),CkDJ[Credit]))))</f>
        <v>0</v>
      </c>
      <c r="I131" s="674">
        <f t="array" ref="I131">IF(OR($C131=$C130,$C131=0),0,(SUM(IF((CkDJ[JEV Number]=$C131)*(CkDJ[Account Code]=(I$9)),CkDJ[Credit]))))</f>
        <v>0</v>
      </c>
      <c r="J131" s="675"/>
      <c r="K131" s="674">
        <f t="array" ref="K131">IF($C131=0,0,(SUM(IF((CkDJ[JEV Number]=$C131)*(CkDJ[Account Code]=(J131)),CkDJ[Credit]))))</f>
        <v>0</v>
      </c>
      <c r="L131" s="674">
        <f t="array" ref="L131">IF(OR($C131=$C130,$C131=0),0,(SUM(IF((CkDJ[JEV Number]=$C131)*(CkDJ[Account Code]=(L$9)),CkDJ[Debit]))))</f>
        <v>0</v>
      </c>
      <c r="M131" s="674">
        <f t="array" ref="M131">IF(OR($C131=$C130,$C131=0),0,(SUM(IF((CkDJ[JEV Number]=$C131)*(CkDJ[Account Code]=(M$9)),CkDJ[Debit]))))</f>
        <v>0</v>
      </c>
      <c r="N131" s="674">
        <f t="array" ref="N131">IF(OR($C131=$C130,$C131=0),0,(SUM(IF((CkDJ[JEV Number]=$C131)*(CkDJ[Account Code]=(N$9)),CkDJ[Debit]))))</f>
        <v>0</v>
      </c>
      <c r="O131" s="674">
        <f t="array" ref="O131">IF(OR($C131=$C130,$C131=0),0,(SUM(IF((CkDJ[JEV Number]=$C131)*(CkDJ[Account Code]=(O$9)),CkDJ[Debit]))))</f>
        <v>0</v>
      </c>
      <c r="P131" s="722"/>
      <c r="Q131" s="689">
        <f t="array" ref="Q131">IF($C131=0,0,(SUM(IF((CkDJ[JEV Number]=$C131)*(CkDJ[Account Code]=(P131)),CkDJ[Debit]))))</f>
        <v>0</v>
      </c>
      <c r="R131" s="676">
        <f t="shared" si="12"/>
        <v>0</v>
      </c>
    </row>
    <row r="132" spans="1:18">
      <c r="A132" s="771" t="str">
        <f t="array" ref="A132">IF(OR(C132=C131,C132=0),"",INDEX(CkDJ[Date],MATCH(C132,CkDJ[JEV Number],0)))</f>
        <v/>
      </c>
      <c r="B132" s="671"/>
      <c r="C132" s="672" t="str">
        <f t="shared" si="11"/>
        <v>20-01-001</v>
      </c>
      <c r="D132" s="672"/>
      <c r="E132" s="672"/>
      <c r="F132" s="672"/>
      <c r="G132" s="673" t="str">
        <f t="array" ref="G132">IF(OR(C132=C131,C132=0),"",INDEX(CasheirCode[Name],MATCH((INDEX(CkDJ[Sort Code],MATCH(C132,CkDJ[JEV Number],0))),CasheirCode[Sort Code])))</f>
        <v/>
      </c>
      <c r="H132" s="674">
        <f t="array" ref="H132">IF(OR($C132=$C131,$C132=0),0,(SUM(IF((CkDJ[JEV Number]=$C132)*(CkDJ[Account Code]=(H$9)),CkDJ[Credit]))))</f>
        <v>0</v>
      </c>
      <c r="I132" s="674">
        <f t="array" ref="I132">IF(OR($C132=$C131,$C132=0),0,(SUM(IF((CkDJ[JEV Number]=$C132)*(CkDJ[Account Code]=(I$9)),CkDJ[Credit]))))</f>
        <v>0</v>
      </c>
      <c r="J132" s="675"/>
      <c r="K132" s="674">
        <f t="array" ref="K132">IF($C132=0,0,(SUM(IF((CkDJ[JEV Number]=$C132)*(CkDJ[Account Code]=(J132)),CkDJ[Credit]))))</f>
        <v>0</v>
      </c>
      <c r="L132" s="674">
        <f t="array" ref="L132">IF(OR($C132=$C131,$C132=0),0,(SUM(IF((CkDJ[JEV Number]=$C132)*(CkDJ[Account Code]=(L$9)),CkDJ[Debit]))))</f>
        <v>0</v>
      </c>
      <c r="M132" s="674">
        <f t="array" ref="M132">IF(OR($C132=$C131,$C132=0),0,(SUM(IF((CkDJ[JEV Number]=$C132)*(CkDJ[Account Code]=(M$9)),CkDJ[Debit]))))</f>
        <v>0</v>
      </c>
      <c r="N132" s="674">
        <f t="array" ref="N132">IF(OR($C132=$C131,$C132=0),0,(SUM(IF((CkDJ[JEV Number]=$C132)*(CkDJ[Account Code]=(N$9)),CkDJ[Debit]))))</f>
        <v>0</v>
      </c>
      <c r="O132" s="674">
        <f t="array" ref="O132">IF(OR($C132=$C131,$C132=0),0,(SUM(IF((CkDJ[JEV Number]=$C132)*(CkDJ[Account Code]=(O$9)),CkDJ[Debit]))))</f>
        <v>0</v>
      </c>
      <c r="P132" s="722"/>
      <c r="Q132" s="689">
        <f t="array" ref="Q132">IF($C132=0,0,(SUM(IF((CkDJ[JEV Number]=$C132)*(CkDJ[Account Code]=(P132)),CkDJ[Debit]))))</f>
        <v>0</v>
      </c>
      <c r="R132" s="676">
        <f t="shared" si="12"/>
        <v>0</v>
      </c>
    </row>
    <row r="133" spans="1:18">
      <c r="A133" s="771" t="str">
        <f t="array" ref="A133">IF(OR(C133=C132,C133=0),"",INDEX(CkDJ[Date],MATCH(C133,CkDJ[JEV Number],0)))</f>
        <v/>
      </c>
      <c r="B133" s="671"/>
      <c r="C133" s="672" t="str">
        <f t="shared" si="11"/>
        <v>20-01-001</v>
      </c>
      <c r="D133" s="672"/>
      <c r="E133" s="672"/>
      <c r="F133" s="672"/>
      <c r="G133" s="673" t="str">
        <f t="array" ref="G133">IF(OR(C133=C132,C133=0),"",INDEX(CasheirCode[Name],MATCH((INDEX(CkDJ[Sort Code],MATCH(C133,CkDJ[JEV Number],0))),CasheirCode[Sort Code])))</f>
        <v/>
      </c>
      <c r="H133" s="674">
        <f t="array" ref="H133">IF(OR($C133=$C132,$C133=0),0,(SUM(IF((CkDJ[JEV Number]=$C133)*(CkDJ[Account Code]=(H$9)),CkDJ[Credit]))))</f>
        <v>0</v>
      </c>
      <c r="I133" s="674">
        <f t="array" ref="I133">IF(OR($C133=$C132,$C133=0),0,(SUM(IF((CkDJ[JEV Number]=$C133)*(CkDJ[Account Code]=(I$9)),CkDJ[Credit]))))</f>
        <v>0</v>
      </c>
      <c r="J133" s="675"/>
      <c r="K133" s="674">
        <f t="array" ref="K133">IF($C133=0,0,(SUM(IF((CkDJ[JEV Number]=$C133)*(CkDJ[Account Code]=(J133)),CkDJ[Credit]))))</f>
        <v>0</v>
      </c>
      <c r="L133" s="674">
        <f t="array" ref="L133">IF(OR($C133=$C132,$C133=0),0,(SUM(IF((CkDJ[JEV Number]=$C133)*(CkDJ[Account Code]=(L$9)),CkDJ[Debit]))))</f>
        <v>0</v>
      </c>
      <c r="M133" s="674">
        <f t="array" ref="M133">IF(OR($C133=$C132,$C133=0),0,(SUM(IF((CkDJ[JEV Number]=$C133)*(CkDJ[Account Code]=(M$9)),CkDJ[Debit]))))</f>
        <v>0</v>
      </c>
      <c r="N133" s="674">
        <f t="array" ref="N133">IF(OR($C133=$C132,$C133=0),0,(SUM(IF((CkDJ[JEV Number]=$C133)*(CkDJ[Account Code]=(N$9)),CkDJ[Debit]))))</f>
        <v>0</v>
      </c>
      <c r="O133" s="674">
        <f t="array" ref="O133">IF(OR($C133=$C132,$C133=0),0,(SUM(IF((CkDJ[JEV Number]=$C133)*(CkDJ[Account Code]=(O$9)),CkDJ[Debit]))))</f>
        <v>0</v>
      </c>
      <c r="P133" s="722"/>
      <c r="Q133" s="689">
        <f t="array" ref="Q133">IF($C133=0,0,(SUM(IF((CkDJ[JEV Number]=$C133)*(CkDJ[Account Code]=(P133)),CkDJ[Debit]))))</f>
        <v>0</v>
      </c>
      <c r="R133" s="676">
        <f t="shared" si="12"/>
        <v>0</v>
      </c>
    </row>
    <row r="134" spans="1:18">
      <c r="A134" s="771" t="str">
        <f t="array" ref="A134">IF(OR(C134=C133,C134=0),"",INDEX(CkDJ[Date],MATCH(C134,CkDJ[JEV Number],0)))</f>
        <v/>
      </c>
      <c r="B134" s="671"/>
      <c r="C134" s="672" t="str">
        <f t="shared" si="11"/>
        <v>20-01-001</v>
      </c>
      <c r="D134" s="672"/>
      <c r="E134" s="672"/>
      <c r="F134" s="672"/>
      <c r="G134" s="673" t="str">
        <f t="array" ref="G134">IF(OR(C134=C133,C134=0),"",INDEX(CasheirCode[Name],MATCH((INDEX(CkDJ[Sort Code],MATCH(C134,CkDJ[JEV Number],0))),CasheirCode[Sort Code])))</f>
        <v/>
      </c>
      <c r="H134" s="674">
        <f t="array" ref="H134">IF(OR($C134=$C133,$C134=0),0,(SUM(IF((CkDJ[JEV Number]=$C134)*(CkDJ[Account Code]=(H$9)),CkDJ[Credit]))))</f>
        <v>0</v>
      </c>
      <c r="I134" s="674">
        <f t="array" ref="I134">IF(OR($C134=$C133,$C134=0),0,(SUM(IF((CkDJ[JEV Number]=$C134)*(CkDJ[Account Code]=(I$9)),CkDJ[Credit]))))</f>
        <v>0</v>
      </c>
      <c r="J134" s="675"/>
      <c r="K134" s="674">
        <f t="array" ref="K134">IF($C134=0,0,(SUM(IF((CkDJ[JEV Number]=$C134)*(CkDJ[Account Code]=(J134)),CkDJ[Credit]))))</f>
        <v>0</v>
      </c>
      <c r="L134" s="674">
        <f t="array" ref="L134">IF(OR($C134=$C133,$C134=0),0,(SUM(IF((CkDJ[JEV Number]=$C134)*(CkDJ[Account Code]=(L$9)),CkDJ[Debit]))))</f>
        <v>0</v>
      </c>
      <c r="M134" s="674">
        <f t="array" ref="M134">IF(OR($C134=$C133,$C134=0),0,(SUM(IF((CkDJ[JEV Number]=$C134)*(CkDJ[Account Code]=(M$9)),CkDJ[Debit]))))</f>
        <v>0</v>
      </c>
      <c r="N134" s="674">
        <f t="array" ref="N134">IF(OR($C134=$C133,$C134=0),0,(SUM(IF((CkDJ[JEV Number]=$C134)*(CkDJ[Account Code]=(N$9)),CkDJ[Debit]))))</f>
        <v>0</v>
      </c>
      <c r="O134" s="674">
        <f t="array" ref="O134">IF(OR($C134=$C133,$C134=0),0,(SUM(IF((CkDJ[JEV Number]=$C134)*(CkDJ[Account Code]=(O$9)),CkDJ[Debit]))))</f>
        <v>0</v>
      </c>
      <c r="P134" s="722"/>
      <c r="Q134" s="689">
        <f t="array" ref="Q134">IF($C134=0,0,(SUM(IF((CkDJ[JEV Number]=$C134)*(CkDJ[Account Code]=(P134)),CkDJ[Debit]))))</f>
        <v>0</v>
      </c>
      <c r="R134" s="676">
        <f t="shared" si="12"/>
        <v>0</v>
      </c>
    </row>
    <row r="135" spans="1:18">
      <c r="A135" s="771" t="str">
        <f t="array" ref="A135">IF(OR(C135=C134,C135=0),"",INDEX(CkDJ[Date],MATCH(C135,CkDJ[JEV Number],0)))</f>
        <v/>
      </c>
      <c r="B135" s="671"/>
      <c r="C135" s="672" t="str">
        <f t="shared" si="11"/>
        <v>20-01-001</v>
      </c>
      <c r="D135" s="672"/>
      <c r="E135" s="672"/>
      <c r="F135" s="672"/>
      <c r="G135" s="673" t="str">
        <f t="array" ref="G135">IF(OR(C135=C134,C135=0),"",INDEX(CasheirCode[Name],MATCH((INDEX(CkDJ[Sort Code],MATCH(C135,CkDJ[JEV Number],0))),CasheirCode[Sort Code])))</f>
        <v/>
      </c>
      <c r="H135" s="674">
        <f t="array" ref="H135">IF(OR($C135=$C134,$C135=0),0,(SUM(IF((CkDJ[JEV Number]=$C135)*(CkDJ[Account Code]=(H$9)),CkDJ[Credit]))))</f>
        <v>0</v>
      </c>
      <c r="I135" s="674">
        <f t="array" ref="I135">IF(OR($C135=$C134,$C135=0),0,(SUM(IF((CkDJ[JEV Number]=$C135)*(CkDJ[Account Code]=(I$9)),CkDJ[Credit]))))</f>
        <v>0</v>
      </c>
      <c r="J135" s="675"/>
      <c r="K135" s="674">
        <f t="array" ref="K135">IF($C135=0,0,(SUM(IF((CkDJ[JEV Number]=$C135)*(CkDJ[Account Code]=(J135)),CkDJ[Credit]))))</f>
        <v>0</v>
      </c>
      <c r="L135" s="674">
        <f t="array" ref="L135">IF(OR($C135=$C134,$C135=0),0,(SUM(IF((CkDJ[JEV Number]=$C135)*(CkDJ[Account Code]=(L$9)),CkDJ[Debit]))))</f>
        <v>0</v>
      </c>
      <c r="M135" s="674">
        <f t="array" ref="M135">IF(OR($C135=$C134,$C135=0),0,(SUM(IF((CkDJ[JEV Number]=$C135)*(CkDJ[Account Code]=(M$9)),CkDJ[Debit]))))</f>
        <v>0</v>
      </c>
      <c r="N135" s="674">
        <f t="array" ref="N135">IF(OR($C135=$C134,$C135=0),0,(SUM(IF((CkDJ[JEV Number]=$C135)*(CkDJ[Account Code]=(N$9)),CkDJ[Debit]))))</f>
        <v>0</v>
      </c>
      <c r="O135" s="674">
        <f t="array" ref="O135">IF(OR($C135=$C134,$C135=0),0,(SUM(IF((CkDJ[JEV Number]=$C135)*(CkDJ[Account Code]=(O$9)),CkDJ[Debit]))))</f>
        <v>0</v>
      </c>
      <c r="P135" s="722"/>
      <c r="Q135" s="689">
        <f t="array" ref="Q135">IF($C135=0,0,(SUM(IF((CkDJ[JEV Number]=$C135)*(CkDJ[Account Code]=(P135)),CkDJ[Debit]))))</f>
        <v>0</v>
      </c>
      <c r="R135" s="676">
        <f t="shared" si="12"/>
        <v>0</v>
      </c>
    </row>
    <row r="136" spans="1:18">
      <c r="A136" s="771" t="str">
        <f t="array" ref="A136">IF(OR(C136=C135,C136=0),"",INDEX(CkDJ[Date],MATCH(C136,CkDJ[JEV Number],0)))</f>
        <v/>
      </c>
      <c r="B136" s="671"/>
      <c r="C136" s="672" t="str">
        <f t="shared" si="11"/>
        <v>20-01-001</v>
      </c>
      <c r="D136" s="672"/>
      <c r="E136" s="672"/>
      <c r="F136" s="672"/>
      <c r="G136" s="673" t="str">
        <f t="array" ref="G136">IF(OR(C136=C135,C136=0),"",INDEX(CasheirCode[Name],MATCH((INDEX(CkDJ[Sort Code],MATCH(C136,CkDJ[JEV Number],0))),CasheirCode[Sort Code])))</f>
        <v/>
      </c>
      <c r="H136" s="674">
        <f t="array" ref="H136">IF(OR($C136=$C135,$C136=0),0,(SUM(IF((CkDJ[JEV Number]=$C136)*(CkDJ[Account Code]=(H$9)),CkDJ[Credit]))))</f>
        <v>0</v>
      </c>
      <c r="I136" s="674">
        <f t="array" ref="I136">IF(OR($C136=$C135,$C136=0),0,(SUM(IF((CkDJ[JEV Number]=$C136)*(CkDJ[Account Code]=(I$9)),CkDJ[Credit]))))</f>
        <v>0</v>
      </c>
      <c r="J136" s="675"/>
      <c r="K136" s="674">
        <f t="array" ref="K136">IF($C136=0,0,(SUM(IF((CkDJ[JEV Number]=$C136)*(CkDJ[Account Code]=(J136)),CkDJ[Credit]))))</f>
        <v>0</v>
      </c>
      <c r="L136" s="674">
        <f t="array" ref="L136">IF(OR($C136=$C135,$C136=0),0,(SUM(IF((CkDJ[JEV Number]=$C136)*(CkDJ[Account Code]=(L$9)),CkDJ[Debit]))))</f>
        <v>0</v>
      </c>
      <c r="M136" s="674">
        <f t="array" ref="M136">IF(OR($C136=$C135,$C136=0),0,(SUM(IF((CkDJ[JEV Number]=$C136)*(CkDJ[Account Code]=(M$9)),CkDJ[Debit]))))</f>
        <v>0</v>
      </c>
      <c r="N136" s="674">
        <f t="array" ref="N136">IF(OR($C136=$C135,$C136=0),0,(SUM(IF((CkDJ[JEV Number]=$C136)*(CkDJ[Account Code]=(N$9)),CkDJ[Debit]))))</f>
        <v>0</v>
      </c>
      <c r="O136" s="674">
        <f t="array" ref="O136">IF(OR($C136=$C135,$C136=0),0,(SUM(IF((CkDJ[JEV Number]=$C136)*(CkDJ[Account Code]=(O$9)),CkDJ[Debit]))))</f>
        <v>0</v>
      </c>
      <c r="P136" s="722"/>
      <c r="Q136" s="689">
        <f t="array" ref="Q136">IF($C136=0,0,(SUM(IF((CkDJ[JEV Number]=$C136)*(CkDJ[Account Code]=(P136)),CkDJ[Debit]))))</f>
        <v>0</v>
      </c>
      <c r="R136" s="676">
        <f t="shared" si="12"/>
        <v>0</v>
      </c>
    </row>
    <row r="137" spans="1:18">
      <c r="A137" s="771" t="str">
        <f t="array" ref="A137">IF(OR(C137=C136,C137=0),"",INDEX(CkDJ[Date],MATCH(C137,CkDJ[JEV Number],0)))</f>
        <v/>
      </c>
      <c r="B137" s="671"/>
      <c r="C137" s="672" t="str">
        <f t="shared" si="11"/>
        <v>20-01-001</v>
      </c>
      <c r="D137" s="672"/>
      <c r="E137" s="672"/>
      <c r="F137" s="672"/>
      <c r="G137" s="673" t="str">
        <f t="array" ref="G137">IF(OR(C137=C136,C137=0),"",INDEX(CasheirCode[Name],MATCH((INDEX(CkDJ[Sort Code],MATCH(C137,CkDJ[JEV Number],0))),CasheirCode[Sort Code])))</f>
        <v/>
      </c>
      <c r="H137" s="674">
        <f t="array" ref="H137">IF(OR($C137=$C136,$C137=0),0,(SUM(IF((CkDJ[JEV Number]=$C137)*(CkDJ[Account Code]=(H$9)),CkDJ[Credit]))))</f>
        <v>0</v>
      </c>
      <c r="I137" s="674">
        <f t="array" ref="I137">IF(OR($C137=$C136,$C137=0),0,(SUM(IF((CkDJ[JEV Number]=$C137)*(CkDJ[Account Code]=(I$9)),CkDJ[Credit]))))</f>
        <v>0</v>
      </c>
      <c r="J137" s="675"/>
      <c r="K137" s="674">
        <f t="array" ref="K137">IF($C137=0,0,(SUM(IF((CkDJ[JEV Number]=$C137)*(CkDJ[Account Code]=(J137)),CkDJ[Credit]))))</f>
        <v>0</v>
      </c>
      <c r="L137" s="674">
        <f t="array" ref="L137">IF(OR($C137=$C136,$C137=0),0,(SUM(IF((CkDJ[JEV Number]=$C137)*(CkDJ[Account Code]=(L$9)),CkDJ[Debit]))))</f>
        <v>0</v>
      </c>
      <c r="M137" s="674">
        <f t="array" ref="M137">IF(OR($C137=$C136,$C137=0),0,(SUM(IF((CkDJ[JEV Number]=$C137)*(CkDJ[Account Code]=(M$9)),CkDJ[Debit]))))</f>
        <v>0</v>
      </c>
      <c r="N137" s="674">
        <f t="array" ref="N137">IF(OR($C137=$C136,$C137=0),0,(SUM(IF((CkDJ[JEV Number]=$C137)*(CkDJ[Account Code]=(N$9)),CkDJ[Debit]))))</f>
        <v>0</v>
      </c>
      <c r="O137" s="674">
        <f t="array" ref="O137">IF(OR($C137=$C136,$C137=0),0,(SUM(IF((CkDJ[JEV Number]=$C137)*(CkDJ[Account Code]=(O$9)),CkDJ[Debit]))))</f>
        <v>0</v>
      </c>
      <c r="P137" s="722"/>
      <c r="Q137" s="689">
        <f t="array" ref="Q137">IF($C137=0,0,(SUM(IF((CkDJ[JEV Number]=$C137)*(CkDJ[Account Code]=(P137)),CkDJ[Debit]))))</f>
        <v>0</v>
      </c>
      <c r="R137" s="676">
        <f t="shared" si="12"/>
        <v>0</v>
      </c>
    </row>
    <row r="138" spans="1:18">
      <c r="A138" s="771" t="str">
        <f t="array" ref="A138">IF(OR(C138=C137,C138=0),"",INDEX(CkDJ[Date],MATCH(C138,CkDJ[JEV Number],0)))</f>
        <v/>
      </c>
      <c r="B138" s="671"/>
      <c r="C138" s="672" t="str">
        <f t="shared" si="11"/>
        <v>20-01-001</v>
      </c>
      <c r="D138" s="672"/>
      <c r="E138" s="672"/>
      <c r="F138" s="672"/>
      <c r="G138" s="673" t="str">
        <f t="array" ref="G138">IF(OR(C138=C137,C138=0),"",INDEX(CasheirCode[Name],MATCH((INDEX(CkDJ[Sort Code],MATCH(C138,CkDJ[JEV Number],0))),CasheirCode[Sort Code])))</f>
        <v/>
      </c>
      <c r="H138" s="674">
        <f t="array" ref="H138">IF(OR($C138=$C137,$C138=0),0,(SUM(IF((CkDJ[JEV Number]=$C138)*(CkDJ[Account Code]=(H$9)),CkDJ[Credit]))))</f>
        <v>0</v>
      </c>
      <c r="I138" s="674">
        <f t="array" ref="I138">IF(OR($C138=$C137,$C138=0),0,(SUM(IF((CkDJ[JEV Number]=$C138)*(CkDJ[Account Code]=(I$9)),CkDJ[Credit]))))</f>
        <v>0</v>
      </c>
      <c r="J138" s="675"/>
      <c r="K138" s="674">
        <f t="array" ref="K138">IF($C138=0,0,(SUM(IF((CkDJ[JEV Number]=$C138)*(CkDJ[Account Code]=(J138)),CkDJ[Credit]))))</f>
        <v>0</v>
      </c>
      <c r="L138" s="674">
        <f t="array" ref="L138">IF(OR($C138=$C137,$C138=0),0,(SUM(IF((CkDJ[JEV Number]=$C138)*(CkDJ[Account Code]=(L$9)),CkDJ[Debit]))))</f>
        <v>0</v>
      </c>
      <c r="M138" s="674">
        <f t="array" ref="M138">IF(OR($C138=$C137,$C138=0),0,(SUM(IF((CkDJ[JEV Number]=$C138)*(CkDJ[Account Code]=(M$9)),CkDJ[Debit]))))</f>
        <v>0</v>
      </c>
      <c r="N138" s="674">
        <f t="array" ref="N138">IF(OR($C138=$C137,$C138=0),0,(SUM(IF((CkDJ[JEV Number]=$C138)*(CkDJ[Account Code]=(N$9)),CkDJ[Debit]))))</f>
        <v>0</v>
      </c>
      <c r="O138" s="674">
        <f t="array" ref="O138">IF(OR($C138=$C137,$C138=0),0,(SUM(IF((CkDJ[JEV Number]=$C138)*(CkDJ[Account Code]=(O$9)),CkDJ[Debit]))))</f>
        <v>0</v>
      </c>
      <c r="P138" s="722"/>
      <c r="Q138" s="689">
        <f t="array" ref="Q138">IF($C138=0,0,(SUM(IF((CkDJ[JEV Number]=$C138)*(CkDJ[Account Code]=(P138)),CkDJ[Debit]))))</f>
        <v>0</v>
      </c>
      <c r="R138" s="676">
        <f t="shared" si="12"/>
        <v>0</v>
      </c>
    </row>
    <row r="139" spans="1:18">
      <c r="A139" s="771" t="str">
        <f t="array" ref="A139">IF(OR(C139=C138,C139=0),"",INDEX(CkDJ[Date],MATCH(C139,CkDJ[JEV Number],0)))</f>
        <v/>
      </c>
      <c r="B139" s="671"/>
      <c r="C139" s="672" t="str">
        <f t="shared" si="11"/>
        <v>20-01-001</v>
      </c>
      <c r="D139" s="672"/>
      <c r="E139" s="672"/>
      <c r="F139" s="672"/>
      <c r="G139" s="673" t="str">
        <f t="array" ref="G139">IF(OR(C139=C138,C139=0),"",INDEX(CasheirCode[Name],MATCH((INDEX(CkDJ[Sort Code],MATCH(C139,CkDJ[JEV Number],0))),CasheirCode[Sort Code])))</f>
        <v/>
      </c>
      <c r="H139" s="674">
        <f t="array" ref="H139">IF(OR($C139=$C138,$C139=0),0,(SUM(IF((CkDJ[JEV Number]=$C139)*(CkDJ[Account Code]=(H$9)),CkDJ[Credit]))))</f>
        <v>0</v>
      </c>
      <c r="I139" s="674">
        <f t="array" ref="I139">IF(OR($C139=$C138,$C139=0),0,(SUM(IF((CkDJ[JEV Number]=$C139)*(CkDJ[Account Code]=(I$9)),CkDJ[Credit]))))</f>
        <v>0</v>
      </c>
      <c r="J139" s="675"/>
      <c r="K139" s="674">
        <f t="array" ref="K139">IF($C139=0,0,(SUM(IF((CkDJ[JEV Number]=$C139)*(CkDJ[Account Code]=(J139)),CkDJ[Credit]))))</f>
        <v>0</v>
      </c>
      <c r="L139" s="674">
        <f t="array" ref="L139">IF(OR($C139=$C138,$C139=0),0,(SUM(IF((CkDJ[JEV Number]=$C139)*(CkDJ[Account Code]=(L$9)),CkDJ[Debit]))))</f>
        <v>0</v>
      </c>
      <c r="M139" s="674">
        <f t="array" ref="M139">IF(OR($C139=$C138,$C139=0),0,(SUM(IF((CkDJ[JEV Number]=$C139)*(CkDJ[Account Code]=(M$9)),CkDJ[Debit]))))</f>
        <v>0</v>
      </c>
      <c r="N139" s="674">
        <f t="array" ref="N139">IF(OR($C139=$C138,$C139=0),0,(SUM(IF((CkDJ[JEV Number]=$C139)*(CkDJ[Account Code]=(N$9)),CkDJ[Debit]))))</f>
        <v>0</v>
      </c>
      <c r="O139" s="674">
        <f t="array" ref="O139">IF(OR($C139=$C138,$C139=0),0,(SUM(IF((CkDJ[JEV Number]=$C139)*(CkDJ[Account Code]=(O$9)),CkDJ[Debit]))))</f>
        <v>0</v>
      </c>
      <c r="P139" s="722"/>
      <c r="Q139" s="689">
        <f t="array" ref="Q139">IF($C139=0,0,(SUM(IF((CkDJ[JEV Number]=$C139)*(CkDJ[Account Code]=(P139)),CkDJ[Debit]))))</f>
        <v>0</v>
      </c>
      <c r="R139" s="676">
        <f t="shared" si="12"/>
        <v>0</v>
      </c>
    </row>
    <row r="140" spans="1:18">
      <c r="A140" s="771" t="str">
        <f t="array" ref="A140">IF(OR(C140=C139,C140=0),"",INDEX(CkDJ[Date],MATCH(C140,CkDJ[JEV Number],0)))</f>
        <v/>
      </c>
      <c r="B140" s="671"/>
      <c r="C140" s="672" t="str">
        <f t="shared" si="11"/>
        <v>20-01-001</v>
      </c>
      <c r="D140" s="672"/>
      <c r="E140" s="672"/>
      <c r="F140" s="672"/>
      <c r="G140" s="673" t="str">
        <f t="array" ref="G140">IF(OR(C140=C139,C140=0),"",INDEX(CasheirCode[Name],MATCH((INDEX(CkDJ[Sort Code],MATCH(C140,CkDJ[JEV Number],0))),CasheirCode[Sort Code])))</f>
        <v/>
      </c>
      <c r="H140" s="674">
        <f t="array" ref="H140">IF(OR($C140=$C139,$C140=0),0,(SUM(IF((CkDJ[JEV Number]=$C140)*(CkDJ[Account Code]=(H$9)),CkDJ[Credit]))))</f>
        <v>0</v>
      </c>
      <c r="I140" s="674">
        <f t="array" ref="I140">IF(OR($C140=$C139,$C140=0),0,(SUM(IF((CkDJ[JEV Number]=$C140)*(CkDJ[Account Code]=(I$9)),CkDJ[Credit]))))</f>
        <v>0</v>
      </c>
      <c r="J140" s="675"/>
      <c r="K140" s="674">
        <f t="array" ref="K140">IF($C140=0,0,(SUM(IF((CkDJ[JEV Number]=$C140)*(CkDJ[Account Code]=(J140)),CkDJ[Credit]))))</f>
        <v>0</v>
      </c>
      <c r="L140" s="674">
        <f t="array" ref="L140">IF(OR($C140=$C139,$C140=0),0,(SUM(IF((CkDJ[JEV Number]=$C140)*(CkDJ[Account Code]=(L$9)),CkDJ[Debit]))))</f>
        <v>0</v>
      </c>
      <c r="M140" s="674">
        <f t="array" ref="M140">IF(OR($C140=$C139,$C140=0),0,(SUM(IF((CkDJ[JEV Number]=$C140)*(CkDJ[Account Code]=(M$9)),CkDJ[Debit]))))</f>
        <v>0</v>
      </c>
      <c r="N140" s="674">
        <f t="array" ref="N140">IF(OR($C140=$C139,$C140=0),0,(SUM(IF((CkDJ[JEV Number]=$C140)*(CkDJ[Account Code]=(N$9)),CkDJ[Debit]))))</f>
        <v>0</v>
      </c>
      <c r="O140" s="674">
        <f t="array" ref="O140">IF(OR($C140=$C139,$C140=0),0,(SUM(IF((CkDJ[JEV Number]=$C140)*(CkDJ[Account Code]=(O$9)),CkDJ[Debit]))))</f>
        <v>0</v>
      </c>
      <c r="P140" s="722"/>
      <c r="Q140" s="689">
        <f t="array" ref="Q140">IF($C140=0,0,(SUM(IF((CkDJ[JEV Number]=$C140)*(CkDJ[Account Code]=(P140)),CkDJ[Debit]))))</f>
        <v>0</v>
      </c>
      <c r="R140" s="676">
        <f t="shared" si="12"/>
        <v>0</v>
      </c>
    </row>
    <row r="141" spans="1:18">
      <c r="A141" s="771" t="str">
        <f t="array" ref="A141">IF(OR(C141=C140,C141=0),"",INDEX(CkDJ[Date],MATCH(C141,CkDJ[JEV Number],0)))</f>
        <v/>
      </c>
      <c r="B141" s="671"/>
      <c r="C141" s="672" t="str">
        <f t="shared" si="11"/>
        <v>20-01-001</v>
      </c>
      <c r="D141" s="672"/>
      <c r="E141" s="672"/>
      <c r="F141" s="672"/>
      <c r="G141" s="673" t="str">
        <f t="array" ref="G141">IF(OR(C141=C140,C141=0),"",INDEX(CasheirCode[Name],MATCH((INDEX(CkDJ[Sort Code],MATCH(C141,CkDJ[JEV Number],0))),CasheirCode[Sort Code])))</f>
        <v/>
      </c>
      <c r="H141" s="674">
        <f t="array" ref="H141">IF(OR($C141=$C140,$C141=0),0,(SUM(IF((CkDJ[JEV Number]=$C141)*(CkDJ[Account Code]=(H$9)),CkDJ[Credit]))))</f>
        <v>0</v>
      </c>
      <c r="I141" s="674">
        <f t="array" ref="I141">IF(OR($C141=$C140,$C141=0),0,(SUM(IF((CkDJ[JEV Number]=$C141)*(CkDJ[Account Code]=(I$9)),CkDJ[Credit]))))</f>
        <v>0</v>
      </c>
      <c r="J141" s="675"/>
      <c r="K141" s="674">
        <f t="array" ref="K141">IF($C141=0,0,(SUM(IF((CkDJ[JEV Number]=$C141)*(CkDJ[Account Code]=(J141)),CkDJ[Credit]))))</f>
        <v>0</v>
      </c>
      <c r="L141" s="674">
        <f t="array" ref="L141">IF(OR($C141=$C140,$C141=0),0,(SUM(IF((CkDJ[JEV Number]=$C141)*(CkDJ[Account Code]=(L$9)),CkDJ[Debit]))))</f>
        <v>0</v>
      </c>
      <c r="M141" s="674">
        <f t="array" ref="M141">IF(OR($C141=$C140,$C141=0),0,(SUM(IF((CkDJ[JEV Number]=$C141)*(CkDJ[Account Code]=(M$9)),CkDJ[Debit]))))</f>
        <v>0</v>
      </c>
      <c r="N141" s="674">
        <f t="array" ref="N141">IF(OR($C141=$C140,$C141=0),0,(SUM(IF((CkDJ[JEV Number]=$C141)*(CkDJ[Account Code]=(N$9)),CkDJ[Debit]))))</f>
        <v>0</v>
      </c>
      <c r="O141" s="674">
        <f t="array" ref="O141">IF(OR($C141=$C140,$C141=0),0,(SUM(IF((CkDJ[JEV Number]=$C141)*(CkDJ[Account Code]=(O$9)),CkDJ[Debit]))))</f>
        <v>0</v>
      </c>
      <c r="P141" s="722"/>
      <c r="Q141" s="689">
        <f t="array" ref="Q141">IF($C141=0,0,(SUM(IF((CkDJ[JEV Number]=$C141)*(CkDJ[Account Code]=(P141)),CkDJ[Debit]))))</f>
        <v>0</v>
      </c>
      <c r="R141" s="676">
        <f t="shared" si="12"/>
        <v>0</v>
      </c>
    </row>
    <row r="142" spans="1:18">
      <c r="A142" s="771" t="str">
        <f t="array" ref="A142">IF(OR(C142=C141,C142=0),"",INDEX(CkDJ[Date],MATCH(C142,CkDJ[JEV Number],0)))</f>
        <v/>
      </c>
      <c r="B142" s="671"/>
      <c r="C142" s="672" t="str">
        <f t="shared" si="11"/>
        <v>20-01-001</v>
      </c>
      <c r="D142" s="672"/>
      <c r="E142" s="672"/>
      <c r="F142" s="672"/>
      <c r="G142" s="673" t="str">
        <f t="array" ref="G142">IF(OR(C142=C141,C142=0),"",INDEX(CasheirCode[Name],MATCH((INDEX(CkDJ[Sort Code],MATCH(C142,CkDJ[JEV Number],0))),CasheirCode[Sort Code])))</f>
        <v/>
      </c>
      <c r="H142" s="674">
        <f t="array" ref="H142">IF(OR($C142=$C141,$C142=0),0,(SUM(IF((CkDJ[JEV Number]=$C142)*(CkDJ[Account Code]=(H$9)),CkDJ[Credit]))))</f>
        <v>0</v>
      </c>
      <c r="I142" s="674">
        <f t="array" ref="I142">IF(OR($C142=$C141,$C142=0),0,(SUM(IF((CkDJ[JEV Number]=$C142)*(CkDJ[Account Code]=(I$9)),CkDJ[Credit]))))</f>
        <v>0</v>
      </c>
      <c r="J142" s="675"/>
      <c r="K142" s="674">
        <f t="array" ref="K142">IF($C142=0,0,(SUM(IF((CkDJ[JEV Number]=$C142)*(CkDJ[Account Code]=(J142)),CkDJ[Credit]))))</f>
        <v>0</v>
      </c>
      <c r="L142" s="674">
        <f t="array" ref="L142">IF(OR($C142=$C141,$C142=0),0,(SUM(IF((CkDJ[JEV Number]=$C142)*(CkDJ[Account Code]=(L$9)),CkDJ[Debit]))))</f>
        <v>0</v>
      </c>
      <c r="M142" s="674">
        <f t="array" ref="M142">IF(OR($C142=$C141,$C142=0),0,(SUM(IF((CkDJ[JEV Number]=$C142)*(CkDJ[Account Code]=(M$9)),CkDJ[Debit]))))</f>
        <v>0</v>
      </c>
      <c r="N142" s="674">
        <f t="array" ref="N142">IF(OR($C142=$C141,$C142=0),0,(SUM(IF((CkDJ[JEV Number]=$C142)*(CkDJ[Account Code]=(N$9)),CkDJ[Debit]))))</f>
        <v>0</v>
      </c>
      <c r="O142" s="674">
        <f t="array" ref="O142">IF(OR($C142=$C141,$C142=0),0,(SUM(IF((CkDJ[JEV Number]=$C142)*(CkDJ[Account Code]=(O$9)),CkDJ[Debit]))))</f>
        <v>0</v>
      </c>
      <c r="P142" s="722"/>
      <c r="Q142" s="689">
        <f t="array" ref="Q142">IF($C142=0,0,(SUM(IF((CkDJ[JEV Number]=$C142)*(CkDJ[Account Code]=(P142)),CkDJ[Debit]))))</f>
        <v>0</v>
      </c>
      <c r="R142" s="676">
        <f t="shared" si="12"/>
        <v>0</v>
      </c>
    </row>
    <row r="143" spans="1:18">
      <c r="A143" s="771" t="str">
        <f t="array" ref="A143">IF(OR(C143=C142,C143=0),"",INDEX(CkDJ[Date],MATCH(C143,CkDJ[JEV Number],0)))</f>
        <v/>
      </c>
      <c r="B143" s="671"/>
      <c r="C143" s="672" t="str">
        <f t="shared" si="11"/>
        <v>20-01-001</v>
      </c>
      <c r="D143" s="672"/>
      <c r="E143" s="672"/>
      <c r="F143" s="672"/>
      <c r="G143" s="673" t="str">
        <f t="array" ref="G143">IF(OR(C143=C142,C143=0),"",INDEX(CasheirCode[Name],MATCH((INDEX(CkDJ[Sort Code],MATCH(C143,CkDJ[JEV Number],0))),CasheirCode[Sort Code])))</f>
        <v/>
      </c>
      <c r="H143" s="674">
        <f t="array" ref="H143">IF(OR($C143=$C142,$C143=0),0,(SUM(IF((CkDJ[JEV Number]=$C143)*(CkDJ[Account Code]=(H$9)),CkDJ[Credit]))))</f>
        <v>0</v>
      </c>
      <c r="I143" s="674">
        <f t="array" ref="I143">IF(OR($C143=$C142,$C143=0),0,(SUM(IF((CkDJ[JEV Number]=$C143)*(CkDJ[Account Code]=(I$9)),CkDJ[Credit]))))</f>
        <v>0</v>
      </c>
      <c r="J143" s="675"/>
      <c r="K143" s="674">
        <f t="array" ref="K143">IF($C143=0,0,(SUM(IF((CkDJ[JEV Number]=$C143)*(CkDJ[Account Code]=(J143)),CkDJ[Credit]))))</f>
        <v>0</v>
      </c>
      <c r="L143" s="674">
        <f t="array" ref="L143">IF(OR($C143=$C142,$C143=0),0,(SUM(IF((CkDJ[JEV Number]=$C143)*(CkDJ[Account Code]=(L$9)),CkDJ[Debit]))))</f>
        <v>0</v>
      </c>
      <c r="M143" s="674">
        <f t="array" ref="M143">IF(OR($C143=$C142,$C143=0),0,(SUM(IF((CkDJ[JEV Number]=$C143)*(CkDJ[Account Code]=(M$9)),CkDJ[Debit]))))</f>
        <v>0</v>
      </c>
      <c r="N143" s="674">
        <f t="array" ref="N143">IF(OR($C143=$C142,$C143=0),0,(SUM(IF((CkDJ[JEV Number]=$C143)*(CkDJ[Account Code]=(N$9)),CkDJ[Debit]))))</f>
        <v>0</v>
      </c>
      <c r="O143" s="674">
        <f t="array" ref="O143">IF(OR($C143=$C142,$C143=0),0,(SUM(IF((CkDJ[JEV Number]=$C143)*(CkDJ[Account Code]=(O$9)),CkDJ[Debit]))))</f>
        <v>0</v>
      </c>
      <c r="P143" s="722"/>
      <c r="Q143" s="689">
        <f t="array" ref="Q143">IF($C143=0,0,(SUM(IF((CkDJ[JEV Number]=$C143)*(CkDJ[Account Code]=(P143)),CkDJ[Debit]))))</f>
        <v>0</v>
      </c>
      <c r="R143" s="676">
        <f t="shared" si="12"/>
        <v>0</v>
      </c>
    </row>
    <row r="144" spans="1:18">
      <c r="A144" s="771" t="str">
        <f t="array" ref="A144">IF(OR(C144=C143,C144=0),"",INDEX(CkDJ[Date],MATCH(C144,CkDJ[JEV Number],0)))</f>
        <v/>
      </c>
      <c r="B144" s="671"/>
      <c r="C144" s="672" t="str">
        <f t="shared" si="11"/>
        <v>20-01-001</v>
      </c>
      <c r="D144" s="672"/>
      <c r="E144" s="672"/>
      <c r="F144" s="672"/>
      <c r="G144" s="673" t="str">
        <f t="array" ref="G144">IF(OR(C144=C143,C144=0),"",INDEX(CasheirCode[Name],MATCH((INDEX(CkDJ[Sort Code],MATCH(C144,CkDJ[JEV Number],0))),CasheirCode[Sort Code])))</f>
        <v/>
      </c>
      <c r="H144" s="674">
        <f t="array" ref="H144">IF(OR($C144=$C143,$C144=0),0,(SUM(IF((CkDJ[JEV Number]=$C144)*(CkDJ[Account Code]=(H$9)),CkDJ[Credit]))))</f>
        <v>0</v>
      </c>
      <c r="I144" s="674">
        <f t="array" ref="I144">IF(OR($C144=$C143,$C144=0),0,(SUM(IF((CkDJ[JEV Number]=$C144)*(CkDJ[Account Code]=(I$9)),CkDJ[Credit]))))</f>
        <v>0</v>
      </c>
      <c r="J144" s="675"/>
      <c r="K144" s="674">
        <f t="array" ref="K144">IF($C144=0,0,(SUM(IF((CkDJ[JEV Number]=$C144)*(CkDJ[Account Code]=(J144)),CkDJ[Credit]))))</f>
        <v>0</v>
      </c>
      <c r="L144" s="674">
        <f t="array" ref="L144">IF(OR($C144=$C143,$C144=0),0,(SUM(IF((CkDJ[JEV Number]=$C144)*(CkDJ[Account Code]=(L$9)),CkDJ[Debit]))))</f>
        <v>0</v>
      </c>
      <c r="M144" s="674">
        <f t="array" ref="M144">IF(OR($C144=$C143,$C144=0),0,(SUM(IF((CkDJ[JEV Number]=$C144)*(CkDJ[Account Code]=(M$9)),CkDJ[Debit]))))</f>
        <v>0</v>
      </c>
      <c r="N144" s="674">
        <f t="array" ref="N144">IF(OR($C144=$C143,$C144=0),0,(SUM(IF((CkDJ[JEV Number]=$C144)*(CkDJ[Account Code]=(N$9)),CkDJ[Debit]))))</f>
        <v>0</v>
      </c>
      <c r="O144" s="674">
        <f t="array" ref="O144">IF(OR($C144=$C143,$C144=0),0,(SUM(IF((CkDJ[JEV Number]=$C144)*(CkDJ[Account Code]=(O$9)),CkDJ[Debit]))))</f>
        <v>0</v>
      </c>
      <c r="P144" s="722"/>
      <c r="Q144" s="689">
        <f t="array" ref="Q144">IF($C144=0,0,(SUM(IF((CkDJ[JEV Number]=$C144)*(CkDJ[Account Code]=(P144)),CkDJ[Debit]))))</f>
        <v>0</v>
      </c>
      <c r="R144" s="676">
        <f t="shared" si="12"/>
        <v>0</v>
      </c>
    </row>
    <row r="145" spans="1:18">
      <c r="A145" s="771" t="str">
        <f t="array" ref="A145">IF(OR(C145=C144,C145=0),"",INDEX(CkDJ[Date],MATCH(C145,CkDJ[JEV Number],0)))</f>
        <v/>
      </c>
      <c r="B145" s="671"/>
      <c r="C145" s="672" t="str">
        <f t="shared" si="11"/>
        <v>20-01-001</v>
      </c>
      <c r="D145" s="672"/>
      <c r="E145" s="672"/>
      <c r="F145" s="672"/>
      <c r="G145" s="673" t="str">
        <f t="array" ref="G145">IF(OR(C145=C144,C145=0),"",INDEX(CasheirCode[Name],MATCH((INDEX(CkDJ[Sort Code],MATCH(C145,CkDJ[JEV Number],0))),CasheirCode[Sort Code])))</f>
        <v/>
      </c>
      <c r="H145" s="674">
        <f t="array" ref="H145">IF(OR($C145=$C144,$C145=0),0,(SUM(IF((CkDJ[JEV Number]=$C145)*(CkDJ[Account Code]=(H$9)),CkDJ[Credit]))))</f>
        <v>0</v>
      </c>
      <c r="I145" s="674">
        <f t="array" ref="I145">IF(OR($C145=$C144,$C145=0),0,(SUM(IF((CkDJ[JEV Number]=$C145)*(CkDJ[Account Code]=(I$9)),CkDJ[Credit]))))</f>
        <v>0</v>
      </c>
      <c r="J145" s="724"/>
      <c r="K145" s="674">
        <f t="array" ref="K145">IF($C145=0,0,(SUM(IF((CkDJ[JEV Number]=$C145)*(CkDJ[Account Code]=(J145)),CkDJ[Credit]))))</f>
        <v>0</v>
      </c>
      <c r="L145" s="674">
        <f t="array" ref="L145">IF(OR($C145=$C144,$C145=0),0,(SUM(IF((CkDJ[JEV Number]=$C145)*(CkDJ[Account Code]=(L$9)),CkDJ[Debit]))))</f>
        <v>0</v>
      </c>
      <c r="M145" s="674">
        <f t="array" ref="M145">IF(OR($C145=$C144,$C145=0),0,(SUM(IF((CkDJ[JEV Number]=$C145)*(CkDJ[Account Code]=(M$9)),CkDJ[Debit]))))</f>
        <v>0</v>
      </c>
      <c r="N145" s="674">
        <f t="array" ref="N145">IF(OR($C145=$C144,$C145=0),0,(SUM(IF((CkDJ[JEV Number]=$C145)*(CkDJ[Account Code]=(N$9)),CkDJ[Debit]))))</f>
        <v>0</v>
      </c>
      <c r="O145" s="674">
        <f t="array" ref="O145">IF(OR($C145=$C144,$C145=0),0,(SUM(IF((CkDJ[JEV Number]=$C145)*(CkDJ[Account Code]=(O$9)),CkDJ[Debit]))))</f>
        <v>0</v>
      </c>
      <c r="P145" s="722"/>
      <c r="Q145" s="689">
        <f t="array" ref="Q145">IF($C145=0,0,(SUM(IF((CkDJ[JEV Number]=$C145)*(CkDJ[Account Code]=(P145)),CkDJ[Debit]))))</f>
        <v>0</v>
      </c>
      <c r="R145" s="676">
        <f t="shared" si="12"/>
        <v>0</v>
      </c>
    </row>
    <row r="146" spans="1:18">
      <c r="A146" s="771" t="str">
        <f t="array" ref="A146">IF(OR(C146=C145,C146=0),"",INDEX(CkDJ[Date],MATCH(C146,CkDJ[JEV Number],0)))</f>
        <v/>
      </c>
      <c r="B146" s="671"/>
      <c r="C146" s="672" t="str">
        <f t="shared" si="11"/>
        <v>20-01-001</v>
      </c>
      <c r="D146" s="672"/>
      <c r="E146" s="672"/>
      <c r="F146" s="672"/>
      <c r="G146" s="673" t="str">
        <f t="array" ref="G146">IF(OR(C146=C145,C146=0),"",INDEX(CasheirCode[Name],MATCH((INDEX(CkDJ[Sort Code],MATCH(C146,CkDJ[JEV Number],0))),CasheirCode[Sort Code])))</f>
        <v/>
      </c>
      <c r="H146" s="674">
        <f t="array" ref="H146">IF(OR($C146=$C145,$C146=0),0,(SUM(IF((CkDJ[JEV Number]=$C146)*(CkDJ[Account Code]=(H$9)),CkDJ[Credit]))))</f>
        <v>0</v>
      </c>
      <c r="I146" s="674">
        <f t="array" ref="I146">IF(OR($C146=$C145,$C146=0),0,(SUM(IF((CkDJ[JEV Number]=$C146)*(CkDJ[Account Code]=(I$9)),CkDJ[Credit]))))</f>
        <v>0</v>
      </c>
      <c r="J146" s="724"/>
      <c r="K146" s="674">
        <f t="array" ref="K146">IF($C146=0,0,(SUM(IF((CkDJ[JEV Number]=$C146)*(CkDJ[Account Code]=(J146)),CkDJ[Credit]))))</f>
        <v>0</v>
      </c>
      <c r="L146" s="674">
        <f t="array" ref="L146">IF(OR($C146=$C145,$C146=0),0,(SUM(IF((CkDJ[JEV Number]=$C146)*(CkDJ[Account Code]=(L$9)),CkDJ[Debit]))))</f>
        <v>0</v>
      </c>
      <c r="M146" s="674">
        <f t="array" ref="M146">IF(OR($C146=$C145,$C146=0),0,(SUM(IF((CkDJ[JEV Number]=$C146)*(CkDJ[Account Code]=(M$9)),CkDJ[Debit]))))</f>
        <v>0</v>
      </c>
      <c r="N146" s="674">
        <f t="array" ref="N146">IF(OR($C146=$C145,$C146=0),0,(SUM(IF((CkDJ[JEV Number]=$C146)*(CkDJ[Account Code]=(N$9)),CkDJ[Debit]))))</f>
        <v>0</v>
      </c>
      <c r="O146" s="674">
        <f t="array" ref="O146">IF(OR($C146=$C145,$C146=0),0,(SUM(IF((CkDJ[JEV Number]=$C146)*(CkDJ[Account Code]=(O$9)),CkDJ[Debit]))))</f>
        <v>0</v>
      </c>
      <c r="P146" s="722"/>
      <c r="Q146" s="689">
        <f t="array" ref="Q146">IF($C146=0,0,(SUM(IF((CkDJ[JEV Number]=$C146)*(CkDJ[Account Code]=(P146)),CkDJ[Debit]))))</f>
        <v>0</v>
      </c>
      <c r="R146" s="676">
        <f t="shared" si="12"/>
        <v>0</v>
      </c>
    </row>
    <row r="147" spans="1:18">
      <c r="A147" s="771" t="str">
        <f t="array" ref="A147">IF(OR(C147=C146,C147=0),"",INDEX(CkDJ[Date],MATCH(C147,CkDJ[JEV Number],0)))</f>
        <v/>
      </c>
      <c r="B147" s="671"/>
      <c r="C147" s="672" t="str">
        <f t="shared" si="11"/>
        <v>20-01-001</v>
      </c>
      <c r="D147" s="672"/>
      <c r="E147" s="672"/>
      <c r="F147" s="672"/>
      <c r="G147" s="673" t="str">
        <f t="array" ref="G147">IF(OR(C147=C146,C147=0),"",INDEX(CasheirCode[Name],MATCH((INDEX(CkDJ[Sort Code],MATCH(C147,CkDJ[JEV Number],0))),CasheirCode[Sort Code])))</f>
        <v/>
      </c>
      <c r="H147" s="674">
        <f t="array" ref="H147">IF(OR($C147=$C146,$C147=0),0,(SUM(IF((CkDJ[JEV Number]=$C147)*(CkDJ[Account Code]=(H$9)),CkDJ[Credit]))))</f>
        <v>0</v>
      </c>
      <c r="I147" s="674">
        <f t="array" ref="I147">IF(OR($C147=$C146,$C147=0),0,(SUM(IF((CkDJ[JEV Number]=$C147)*(CkDJ[Account Code]=(I$9)),CkDJ[Credit]))))</f>
        <v>0</v>
      </c>
      <c r="J147" s="724"/>
      <c r="K147" s="674">
        <f t="array" ref="K147">IF($C147=0,0,(SUM(IF((CkDJ[JEV Number]=$C147)*(CkDJ[Account Code]=(J147)),CkDJ[Credit]))))</f>
        <v>0</v>
      </c>
      <c r="L147" s="674">
        <f t="array" ref="L147">IF(OR($C147=$C146,$C147=0),0,(SUM(IF((CkDJ[JEV Number]=$C147)*(CkDJ[Account Code]=(L$9)),CkDJ[Debit]))))</f>
        <v>0</v>
      </c>
      <c r="M147" s="674">
        <f t="array" ref="M147">IF(OR($C147=$C146,$C147=0),0,(SUM(IF((CkDJ[JEV Number]=$C147)*(CkDJ[Account Code]=(M$9)),CkDJ[Debit]))))</f>
        <v>0</v>
      </c>
      <c r="N147" s="674">
        <f t="array" ref="N147">IF(OR($C147=$C146,$C147=0),0,(SUM(IF((CkDJ[JEV Number]=$C147)*(CkDJ[Account Code]=(N$9)),CkDJ[Debit]))))</f>
        <v>0</v>
      </c>
      <c r="O147" s="674">
        <f t="array" ref="O147">IF(OR($C147=$C146,$C147=0),0,(SUM(IF((CkDJ[JEV Number]=$C147)*(CkDJ[Account Code]=(O$9)),CkDJ[Debit]))))</f>
        <v>0</v>
      </c>
      <c r="P147" s="722"/>
      <c r="Q147" s="689">
        <f t="array" ref="Q147">IF($C147=0,0,(SUM(IF((CkDJ[JEV Number]=$C147)*(CkDJ[Account Code]=(P147)),CkDJ[Debit]))))</f>
        <v>0</v>
      </c>
      <c r="R147" s="676">
        <f t="shared" si="12"/>
        <v>0</v>
      </c>
    </row>
    <row r="148" spans="1:18">
      <c r="A148" s="771" t="str">
        <f t="array" ref="A148">IF(OR(C148=C147,C148=0),"",INDEX(CkDJ[Date],MATCH(C148,CkDJ[JEV Number],0)))</f>
        <v/>
      </c>
      <c r="B148" s="671"/>
      <c r="C148" s="672" t="str">
        <f t="shared" si="11"/>
        <v>20-01-001</v>
      </c>
      <c r="D148" s="672"/>
      <c r="E148" s="672"/>
      <c r="F148" s="672"/>
      <c r="G148" s="673" t="str">
        <f t="array" ref="G148">IF(OR(C148=C147,C148=0),"",INDEX(CasheirCode[Name],MATCH((INDEX(CkDJ[Sort Code],MATCH(C148,CkDJ[JEV Number],0))),CasheirCode[Sort Code])))</f>
        <v/>
      </c>
      <c r="H148" s="674">
        <f t="array" ref="H148">IF(OR($C148=$C147,$C148=0),0,(SUM(IF((CkDJ[JEV Number]=$C148)*(CkDJ[Account Code]=(H$9)),CkDJ[Credit]))))</f>
        <v>0</v>
      </c>
      <c r="I148" s="674">
        <f t="array" ref="I148">IF(OR($C148=$C147,$C148=0),0,(SUM(IF((CkDJ[JEV Number]=$C148)*(CkDJ[Account Code]=(I$9)),CkDJ[Credit]))))</f>
        <v>0</v>
      </c>
      <c r="J148" s="675"/>
      <c r="K148" s="674">
        <f t="array" ref="K148">IF($C148=0,0,(SUM(IF((CkDJ[JEV Number]=$C148)*(CkDJ[Account Code]=(J148)),CkDJ[Credit]))))</f>
        <v>0</v>
      </c>
      <c r="L148" s="674">
        <f t="array" ref="L148">IF(OR($C148=$C147,$C148=0),0,(SUM(IF((CkDJ[JEV Number]=$C148)*(CkDJ[Account Code]=(L$9)),CkDJ[Debit]))))</f>
        <v>0</v>
      </c>
      <c r="M148" s="674">
        <f t="array" ref="M148">IF(OR($C148=$C147,$C148=0),0,(SUM(IF((CkDJ[JEV Number]=$C148)*(CkDJ[Account Code]=(M$9)),CkDJ[Debit]))))</f>
        <v>0</v>
      </c>
      <c r="N148" s="674">
        <f t="array" ref="N148">IF(OR($C148=$C147,$C148=0),0,(SUM(IF((CkDJ[JEV Number]=$C148)*(CkDJ[Account Code]=(N$9)),CkDJ[Debit]))))</f>
        <v>0</v>
      </c>
      <c r="O148" s="674">
        <f t="array" ref="O148">IF(OR($C148=$C147,$C148=0),0,(SUM(IF((CkDJ[JEV Number]=$C148)*(CkDJ[Account Code]=(O$9)),CkDJ[Debit]))))</f>
        <v>0</v>
      </c>
      <c r="P148" s="722"/>
      <c r="Q148" s="689">
        <f t="array" ref="Q148">IF($C148=0,0,(SUM(IF((CkDJ[JEV Number]=$C148)*(CkDJ[Account Code]=(P148)),CkDJ[Debit]))))</f>
        <v>0</v>
      </c>
      <c r="R148" s="676">
        <f t="shared" si="12"/>
        <v>0</v>
      </c>
    </row>
    <row r="149" spans="1:18">
      <c r="A149" s="771" t="str">
        <f t="array" ref="A149">IF(OR(C149=C148,C149=0),"",INDEX(CkDJ[Date],MATCH(C149,CkDJ[JEV Number],0)))</f>
        <v/>
      </c>
      <c r="B149" s="671"/>
      <c r="C149" s="672" t="str">
        <f t="shared" si="11"/>
        <v>20-01-001</v>
      </c>
      <c r="D149" s="672"/>
      <c r="E149" s="672"/>
      <c r="F149" s="672"/>
      <c r="G149" s="673" t="str">
        <f t="array" ref="G149">IF(OR(C149=C148,C149=0),"",INDEX(CasheirCode[Name],MATCH((INDEX(CkDJ[Sort Code],MATCH(C149,CkDJ[JEV Number],0))),CasheirCode[Sort Code])))</f>
        <v/>
      </c>
      <c r="H149" s="674">
        <f t="array" ref="H149">IF(OR($C149=$C148,$C149=0),0,(SUM(IF((CkDJ[JEV Number]=$C149)*(CkDJ[Account Code]=(H$9)),CkDJ[Credit]))))</f>
        <v>0</v>
      </c>
      <c r="I149" s="674">
        <f t="array" ref="I149">IF(OR($C149=$C148,$C149=0),0,(SUM(IF((CkDJ[JEV Number]=$C149)*(CkDJ[Account Code]=(I$9)),CkDJ[Credit]))))</f>
        <v>0</v>
      </c>
      <c r="J149" s="675"/>
      <c r="K149" s="674">
        <f t="array" ref="K149">IF($C149=0,0,(SUM(IF((CkDJ[JEV Number]=$C149)*(CkDJ[Account Code]=(J149)),CkDJ[Credit]))))</f>
        <v>0</v>
      </c>
      <c r="L149" s="674">
        <f t="array" ref="L149">IF(OR($C149=$C148,$C149=0),0,(SUM(IF((CkDJ[JEV Number]=$C149)*(CkDJ[Account Code]=(L$9)),CkDJ[Debit]))))</f>
        <v>0</v>
      </c>
      <c r="M149" s="674">
        <f t="array" ref="M149">IF(OR($C149=$C148,$C149=0),0,(SUM(IF((CkDJ[JEV Number]=$C149)*(CkDJ[Account Code]=(M$9)),CkDJ[Debit]))))</f>
        <v>0</v>
      </c>
      <c r="N149" s="674">
        <f t="array" ref="N149">IF(OR($C149=$C148,$C149=0),0,(SUM(IF((CkDJ[JEV Number]=$C149)*(CkDJ[Account Code]=(N$9)),CkDJ[Debit]))))</f>
        <v>0</v>
      </c>
      <c r="O149" s="674">
        <f t="array" ref="O149">IF(OR($C149=$C148,$C149=0),0,(SUM(IF((CkDJ[JEV Number]=$C149)*(CkDJ[Account Code]=(O$9)),CkDJ[Debit]))))</f>
        <v>0</v>
      </c>
      <c r="P149" s="722"/>
      <c r="Q149" s="689">
        <f t="array" ref="Q149">IF($C149=0,0,(SUM(IF((CkDJ[JEV Number]=$C149)*(CkDJ[Account Code]=(P149)),CkDJ[Debit]))))</f>
        <v>0</v>
      </c>
      <c r="R149" s="676">
        <f t="shared" si="12"/>
        <v>0</v>
      </c>
    </row>
    <row r="150" spans="1:18">
      <c r="A150" s="771" t="str">
        <f t="array" ref="A150">IF(OR(C150=C149,C150=0),"",INDEX(CkDJ[Date],MATCH(C150,CkDJ[JEV Number],0)))</f>
        <v/>
      </c>
      <c r="B150" s="671"/>
      <c r="C150" s="687" t="str">
        <f t="shared" ref="C150:C182" si="13">IF(B150=0,C149,B150)</f>
        <v>20-01-001</v>
      </c>
      <c r="D150" s="687"/>
      <c r="E150" s="687"/>
      <c r="F150" s="687"/>
      <c r="G150" s="688" t="str">
        <f t="array" ref="G150">IF(OR(C150=C149,C150=0),"",INDEX(CasheirCode[Name],MATCH((INDEX(CkDJ[Sort Code],MATCH(C150,CkDJ[JEV Number],0))),CasheirCode[Sort Code])))</f>
        <v/>
      </c>
      <c r="H150" s="689">
        <f t="array" ref="H150">IF(OR($C150=$C149,$C150=0),0,(SUM(IF((CkDJ[JEV Number]=$C150)*(CkDJ[Account Code]=(H$9)),CkDJ[Credit]))))</f>
        <v>0</v>
      </c>
      <c r="I150" s="689">
        <f t="array" ref="I150">IF(OR($C150=$C149,$C150=0),0,(SUM(IF((CkDJ[JEV Number]=$C150)*(CkDJ[Account Code]=(I$9)),CkDJ[Credit]))))</f>
        <v>0</v>
      </c>
      <c r="J150" s="675"/>
      <c r="K150" s="689">
        <f t="array" ref="K150">IF($C150=0,0,(SUM(IF((CkDJ[JEV Number]=$C150)*(CkDJ[Account Code]=(J150)),CkDJ[Credit]))))</f>
        <v>0</v>
      </c>
      <c r="L150" s="689">
        <f t="array" ref="L150">IF(OR($C150=$C149,$C150=0),0,(SUM(IF((CkDJ[JEV Number]=$C150)*(CkDJ[Account Code]=(L$9)),CkDJ[Debit]))))</f>
        <v>0</v>
      </c>
      <c r="M150" s="689">
        <f t="array" ref="M150">IF(OR($C150=$C149,$C150=0),0,(SUM(IF((CkDJ[JEV Number]=$C150)*(CkDJ[Account Code]=(M$9)),CkDJ[Debit]))))</f>
        <v>0</v>
      </c>
      <c r="N150" s="689">
        <f t="array" ref="N150">IF(OR($C150=$C149,$C150=0),0,(SUM(IF((CkDJ[JEV Number]=$C150)*(CkDJ[Account Code]=(N$9)),CkDJ[Debit]))))</f>
        <v>0</v>
      </c>
      <c r="O150" s="689">
        <f t="array" ref="O150">IF(OR($C150=$C149,$C150=0),0,(SUM(IF((CkDJ[JEV Number]=$C150)*(CkDJ[Account Code]=(O$9)),CkDJ[Debit]))))</f>
        <v>0</v>
      </c>
      <c r="P150" s="722"/>
      <c r="Q150" s="689">
        <f t="array" ref="Q150">IF($C150=0,0,(SUM(IF((CkDJ[JEV Number]=$C150)*(CkDJ[Account Code]=(P150)),CkDJ[Debit]))))</f>
        <v>0</v>
      </c>
      <c r="R150" s="691">
        <f t="shared" ref="R150:R180" si="14">R149+(SUM(L150:O150)+Q150)-(SUM(H150:I150)+K150)</f>
        <v>0</v>
      </c>
    </row>
    <row r="151" spans="1:18">
      <c r="A151" s="771" t="str">
        <f t="array" ref="A151">IF(OR(C151=C150,C151=0),"",INDEX(CkDJ[Date],MATCH(C151,CkDJ[JEV Number],0)))</f>
        <v/>
      </c>
      <c r="B151" s="671"/>
      <c r="C151" s="687" t="str">
        <f t="shared" si="13"/>
        <v>20-01-001</v>
      </c>
      <c r="D151" s="687"/>
      <c r="E151" s="687"/>
      <c r="F151" s="687"/>
      <c r="G151" s="688" t="str">
        <f t="array" ref="G151">IF(OR(C151=C150,C151=0),"",INDEX(CasheirCode[Name],MATCH((INDEX(CkDJ[Sort Code],MATCH(C151,CkDJ[JEV Number],0))),CasheirCode[Sort Code])))</f>
        <v/>
      </c>
      <c r="H151" s="689">
        <f t="array" ref="H151">IF(OR($C151=$C150,$C151=0),0,(SUM(IF((CkDJ[JEV Number]=$C151)*(CkDJ[Account Code]=(H$9)),CkDJ[Credit]))))</f>
        <v>0</v>
      </c>
      <c r="I151" s="689">
        <f t="array" ref="I151">IF(OR($C151=$C150,$C151=0),0,(SUM(IF((CkDJ[JEV Number]=$C151)*(CkDJ[Account Code]=(I$9)),CkDJ[Credit]))))</f>
        <v>0</v>
      </c>
      <c r="J151" s="675"/>
      <c r="K151" s="689">
        <f t="array" ref="K151">IF($C151=0,0,(SUM(IF((CkDJ[JEV Number]=$C151)*(CkDJ[Account Code]=(J151)),CkDJ[Credit]))))</f>
        <v>0</v>
      </c>
      <c r="L151" s="689">
        <f t="array" ref="L151">IF(OR($C151=$C150,$C151=0),0,(SUM(IF((CkDJ[JEV Number]=$C151)*(CkDJ[Account Code]=(L$9)),CkDJ[Debit]))))</f>
        <v>0</v>
      </c>
      <c r="M151" s="689">
        <f t="array" ref="M151">IF(OR($C151=$C150,$C151=0),0,(SUM(IF((CkDJ[JEV Number]=$C151)*(CkDJ[Account Code]=(M$9)),CkDJ[Debit]))))</f>
        <v>0</v>
      </c>
      <c r="N151" s="689">
        <f t="array" ref="N151">IF(OR($C151=$C150,$C151=0),0,(SUM(IF((CkDJ[JEV Number]=$C151)*(CkDJ[Account Code]=(N$9)),CkDJ[Debit]))))</f>
        <v>0</v>
      </c>
      <c r="O151" s="689">
        <f t="array" ref="O151">IF(OR($C151=$C150,$C151=0),0,(SUM(IF((CkDJ[JEV Number]=$C151)*(CkDJ[Account Code]=(O$9)),CkDJ[Debit]))))</f>
        <v>0</v>
      </c>
      <c r="P151" s="722"/>
      <c r="Q151" s="689">
        <f t="array" ref="Q151">IF($C151=0,0,(SUM(IF((CkDJ[JEV Number]=$C151)*(CkDJ[Account Code]=(P151)),CkDJ[Debit]))))</f>
        <v>0</v>
      </c>
      <c r="R151" s="691">
        <f t="shared" si="14"/>
        <v>0</v>
      </c>
    </row>
    <row r="152" spans="1:18">
      <c r="A152" s="771" t="str">
        <f t="array" ref="A152">IF(OR(C152=C151,C152=0),"",INDEX(CkDJ[Date],MATCH(C152,CkDJ[JEV Number],0)))</f>
        <v/>
      </c>
      <c r="B152" s="671"/>
      <c r="C152" s="687" t="str">
        <f t="shared" si="13"/>
        <v>20-01-001</v>
      </c>
      <c r="D152" s="687"/>
      <c r="E152" s="687"/>
      <c r="F152" s="687"/>
      <c r="G152" s="688" t="str">
        <f t="array" ref="G152">IF(OR(C152=C151,C152=0),"",INDEX(CasheirCode[Name],MATCH((INDEX(CkDJ[Sort Code],MATCH(C152,CkDJ[JEV Number],0))),CasheirCode[Sort Code])))</f>
        <v/>
      </c>
      <c r="H152" s="689">
        <f t="array" ref="H152">IF(OR($C152=$C151,$C152=0),0,(SUM(IF((CkDJ[JEV Number]=$C152)*(CkDJ[Account Code]=(H$9)),CkDJ[Credit]))))</f>
        <v>0</v>
      </c>
      <c r="I152" s="689">
        <f t="array" ref="I152">IF(OR($C152=$C151,$C152=0),0,(SUM(IF((CkDJ[JEV Number]=$C152)*(CkDJ[Account Code]=(I$9)),CkDJ[Credit]))))</f>
        <v>0</v>
      </c>
      <c r="J152" s="675"/>
      <c r="K152" s="689">
        <f t="array" ref="K152">IF($C152=0,0,(SUM(IF((CkDJ[JEV Number]=$C152)*(CkDJ[Account Code]=(J152)),CkDJ[Credit]))))</f>
        <v>0</v>
      </c>
      <c r="L152" s="689">
        <f t="array" ref="L152">IF(OR($C152=$C151,$C152=0),0,(SUM(IF((CkDJ[JEV Number]=$C152)*(CkDJ[Account Code]=(L$9)),CkDJ[Debit]))))</f>
        <v>0</v>
      </c>
      <c r="M152" s="689">
        <f t="array" ref="M152">IF(OR($C152=$C151,$C152=0),0,(SUM(IF((CkDJ[JEV Number]=$C152)*(CkDJ[Account Code]=(M$9)),CkDJ[Debit]))))</f>
        <v>0</v>
      </c>
      <c r="N152" s="689">
        <f t="array" ref="N152">IF(OR($C152=$C151,$C152=0),0,(SUM(IF((CkDJ[JEV Number]=$C152)*(CkDJ[Account Code]=(N$9)),CkDJ[Debit]))))</f>
        <v>0</v>
      </c>
      <c r="O152" s="689">
        <f t="array" ref="O152">IF(OR($C152=$C151,$C152=0),0,(SUM(IF((CkDJ[JEV Number]=$C152)*(CkDJ[Account Code]=(O$9)),CkDJ[Debit]))))</f>
        <v>0</v>
      </c>
      <c r="P152" s="722"/>
      <c r="Q152" s="689">
        <f t="array" ref="Q152">IF($C152=0,0,(SUM(IF((CkDJ[JEV Number]=$C152)*(CkDJ[Account Code]=(P152)),CkDJ[Debit]))))</f>
        <v>0</v>
      </c>
      <c r="R152" s="691">
        <f t="shared" si="14"/>
        <v>0</v>
      </c>
    </row>
    <row r="153" spans="1:18">
      <c r="A153" s="771" t="str">
        <f t="array" ref="A153">IF(OR(C153=C152,C153=0),"",INDEX(CkDJ[Date],MATCH(C153,CkDJ[JEV Number],0)))</f>
        <v/>
      </c>
      <c r="B153" s="671"/>
      <c r="C153" s="687" t="str">
        <f t="shared" si="13"/>
        <v>20-01-001</v>
      </c>
      <c r="D153" s="687"/>
      <c r="E153" s="687"/>
      <c r="F153" s="687"/>
      <c r="G153" s="688" t="str">
        <f t="array" ref="G153">IF(OR(C153=C152,C153=0),"",INDEX(CasheirCode[Name],MATCH((INDEX(CkDJ[Sort Code],MATCH(C153,CkDJ[JEV Number],0))),CasheirCode[Sort Code])))</f>
        <v/>
      </c>
      <c r="H153" s="689">
        <f t="array" ref="H153">IF(OR($C153=$C152,$C153=0),0,(SUM(IF((CkDJ[JEV Number]=$C153)*(CkDJ[Account Code]=(H$9)),CkDJ[Credit]))))</f>
        <v>0</v>
      </c>
      <c r="I153" s="689">
        <f t="array" ref="I153">IF(OR($C153=$C152,$C153=0),0,(SUM(IF((CkDJ[JEV Number]=$C153)*(CkDJ[Account Code]=(I$9)),CkDJ[Credit]))))</f>
        <v>0</v>
      </c>
      <c r="J153" s="675"/>
      <c r="K153" s="689">
        <f t="array" ref="K153">IF($C153=0,0,(SUM(IF((CkDJ[JEV Number]=$C153)*(CkDJ[Account Code]=(J153)),CkDJ[Credit]))))</f>
        <v>0</v>
      </c>
      <c r="L153" s="689">
        <f t="array" ref="L153">IF(OR($C153=$C152,$C153=0),0,(SUM(IF((CkDJ[JEV Number]=$C153)*(CkDJ[Account Code]=(L$9)),CkDJ[Debit]))))</f>
        <v>0</v>
      </c>
      <c r="M153" s="689">
        <f t="array" ref="M153">IF(OR($C153=$C152,$C153=0),0,(SUM(IF((CkDJ[JEV Number]=$C153)*(CkDJ[Account Code]=(M$9)),CkDJ[Debit]))))</f>
        <v>0</v>
      </c>
      <c r="N153" s="689">
        <f t="array" ref="N153">IF(OR($C153=$C152,$C153=0),0,(SUM(IF((CkDJ[JEV Number]=$C153)*(CkDJ[Account Code]=(N$9)),CkDJ[Debit]))))</f>
        <v>0</v>
      </c>
      <c r="O153" s="689">
        <f t="array" ref="O153">IF(OR($C153=$C152,$C153=0),0,(SUM(IF((CkDJ[JEV Number]=$C153)*(CkDJ[Account Code]=(O$9)),CkDJ[Debit]))))</f>
        <v>0</v>
      </c>
      <c r="P153" s="722"/>
      <c r="Q153" s="689">
        <f t="array" ref="Q153">IF($C153=0,0,(SUM(IF((CkDJ[JEV Number]=$C153)*(CkDJ[Account Code]=(P153)),CkDJ[Debit]))))</f>
        <v>0</v>
      </c>
      <c r="R153" s="691">
        <f t="shared" si="14"/>
        <v>0</v>
      </c>
    </row>
    <row r="154" spans="1:18">
      <c r="A154" s="771" t="str">
        <f t="array" ref="A154">IF(OR(C154=C153,C154=0),"",INDEX(CkDJ[Date],MATCH(C154,CkDJ[JEV Number],0)))</f>
        <v/>
      </c>
      <c r="B154" s="671"/>
      <c r="C154" s="687" t="str">
        <f t="shared" si="13"/>
        <v>20-01-001</v>
      </c>
      <c r="D154" s="687"/>
      <c r="E154" s="687"/>
      <c r="F154" s="687"/>
      <c r="G154" s="688" t="str">
        <f t="array" ref="G154">IF(OR(C154=C153,C154=0),"",INDEX(CasheirCode[Name],MATCH((INDEX(CkDJ[Sort Code],MATCH(C154,CkDJ[JEV Number],0))),CasheirCode[Sort Code])))</f>
        <v/>
      </c>
      <c r="H154" s="689">
        <f t="array" ref="H154">IF(OR($C154=$C153,$C154=0),0,(SUM(IF((CkDJ[JEV Number]=$C154)*(CkDJ[Account Code]=(H$9)),CkDJ[Credit]))))</f>
        <v>0</v>
      </c>
      <c r="I154" s="689">
        <f t="array" ref="I154">IF(OR($C154=$C153,$C154=0),0,(SUM(IF((CkDJ[JEV Number]=$C154)*(CkDJ[Account Code]=(I$9)),CkDJ[Credit]))))</f>
        <v>0</v>
      </c>
      <c r="J154" s="675"/>
      <c r="K154" s="689">
        <f t="array" ref="K154">IF($C154=0,0,(SUM(IF((CkDJ[JEV Number]=$C154)*(CkDJ[Account Code]=(J154)),CkDJ[Credit]))))</f>
        <v>0</v>
      </c>
      <c r="L154" s="689">
        <f t="array" ref="L154">IF(OR($C154=$C153,$C154=0),0,(SUM(IF((CkDJ[JEV Number]=$C154)*(CkDJ[Account Code]=(L$9)),CkDJ[Debit]))))</f>
        <v>0</v>
      </c>
      <c r="M154" s="689">
        <f t="array" ref="M154">IF(OR($C154=$C153,$C154=0),0,(SUM(IF((CkDJ[JEV Number]=$C154)*(CkDJ[Account Code]=(M$9)),CkDJ[Debit]))))</f>
        <v>0</v>
      </c>
      <c r="N154" s="689">
        <f t="array" ref="N154">IF(OR($C154=$C153,$C154=0),0,(SUM(IF((CkDJ[JEV Number]=$C154)*(CkDJ[Account Code]=(N$9)),CkDJ[Debit]))))</f>
        <v>0</v>
      </c>
      <c r="O154" s="689">
        <f t="array" ref="O154">IF(OR($C154=$C153,$C154=0),0,(SUM(IF((CkDJ[JEV Number]=$C154)*(CkDJ[Account Code]=(O$9)),CkDJ[Debit]))))</f>
        <v>0</v>
      </c>
      <c r="P154" s="722"/>
      <c r="Q154" s="689">
        <f t="array" ref="Q154">IF($C154=0,0,(SUM(IF((CkDJ[JEV Number]=$C154)*(CkDJ[Account Code]=(P154)),CkDJ[Debit]))))</f>
        <v>0</v>
      </c>
      <c r="R154" s="691">
        <f t="shared" si="14"/>
        <v>0</v>
      </c>
    </row>
    <row r="155" spans="1:18">
      <c r="A155" s="771" t="str">
        <f t="array" ref="A155">IF(OR(C155=C154,C155=0),"",INDEX(CkDJ[Date],MATCH(C155,CkDJ[JEV Number],0)))</f>
        <v/>
      </c>
      <c r="B155" s="671"/>
      <c r="C155" s="687" t="str">
        <f t="shared" si="13"/>
        <v>20-01-001</v>
      </c>
      <c r="D155" s="687"/>
      <c r="E155" s="687"/>
      <c r="F155" s="687"/>
      <c r="G155" s="688" t="str">
        <f t="array" ref="G155">IF(OR(C155=C154,C155=0),"",INDEX(CasheirCode[Name],MATCH((INDEX(CkDJ[Sort Code],MATCH(C155,CkDJ[JEV Number],0))),CasheirCode[Sort Code])))</f>
        <v/>
      </c>
      <c r="H155" s="689">
        <f t="array" ref="H155">IF(OR($C155=$C154,$C155=0),0,(SUM(IF((CkDJ[JEV Number]=$C155)*(CkDJ[Account Code]=(H$9)),CkDJ[Credit]))))</f>
        <v>0</v>
      </c>
      <c r="I155" s="689">
        <f t="array" ref="I155">IF(OR($C155=$C154,$C155=0),0,(SUM(IF((CkDJ[JEV Number]=$C155)*(CkDJ[Account Code]=(I$9)),CkDJ[Credit]))))</f>
        <v>0</v>
      </c>
      <c r="J155" s="724"/>
      <c r="K155" s="689">
        <f t="array" ref="K155">IF($C155=0,0,(SUM(IF((CkDJ[JEV Number]=$C155)*(CkDJ[Account Code]=(J155)),CkDJ[Credit]))))</f>
        <v>0</v>
      </c>
      <c r="L155" s="689">
        <f t="array" ref="L155">IF(OR($C155=$C154,$C155=0),0,(SUM(IF((CkDJ[JEV Number]=$C155)*(CkDJ[Account Code]=(L$9)),CkDJ[Debit]))))</f>
        <v>0</v>
      </c>
      <c r="M155" s="689">
        <f t="array" ref="M155">IF(OR($C155=$C154,$C155=0),0,(SUM(IF((CkDJ[JEV Number]=$C155)*(CkDJ[Account Code]=(M$9)),CkDJ[Debit]))))</f>
        <v>0</v>
      </c>
      <c r="N155" s="689">
        <f t="array" ref="N155">IF(OR($C155=$C154,$C155=0),0,(SUM(IF((CkDJ[JEV Number]=$C155)*(CkDJ[Account Code]=(N$9)),CkDJ[Debit]))))</f>
        <v>0</v>
      </c>
      <c r="O155" s="689">
        <f t="array" ref="O155">IF(OR($C155=$C154,$C155=0),0,(SUM(IF((CkDJ[JEV Number]=$C155)*(CkDJ[Account Code]=(O$9)),CkDJ[Debit]))))</f>
        <v>0</v>
      </c>
      <c r="P155" s="722"/>
      <c r="Q155" s="689">
        <f t="array" ref="Q155">IF($C155=0,0,(SUM(IF((CkDJ[JEV Number]=$C155)*(CkDJ[Account Code]=(P155)),CkDJ[Debit]))))</f>
        <v>0</v>
      </c>
      <c r="R155" s="691">
        <f t="shared" si="14"/>
        <v>0</v>
      </c>
    </row>
    <row r="156" spans="1:18">
      <c r="A156" s="771" t="str">
        <f t="array" ref="A156">IF(OR(C156=C155,C156=0),"",INDEX(CkDJ[Date],MATCH(C156,CkDJ[JEV Number],0)))</f>
        <v/>
      </c>
      <c r="B156" s="671"/>
      <c r="C156" s="687" t="str">
        <f t="shared" si="13"/>
        <v>20-01-001</v>
      </c>
      <c r="D156" s="687"/>
      <c r="E156" s="687"/>
      <c r="F156" s="687"/>
      <c r="G156" s="688" t="str">
        <f t="array" ref="G156">IF(OR(C156=C155,C156=0),"",INDEX(CasheirCode[Name],MATCH((INDEX(CkDJ[Sort Code],MATCH(C156,CkDJ[JEV Number],0))),CasheirCode[Sort Code])))</f>
        <v/>
      </c>
      <c r="H156" s="689">
        <f t="array" ref="H156">IF(OR($C156=$C155,$C156=0),0,(SUM(IF((CkDJ[JEV Number]=$C156)*(CkDJ[Account Code]=(H$9)),CkDJ[Credit]))))</f>
        <v>0</v>
      </c>
      <c r="I156" s="689">
        <f t="array" ref="I156">IF(OR($C156=$C155,$C156=0),0,(SUM(IF((CkDJ[JEV Number]=$C156)*(CkDJ[Account Code]=(I$9)),CkDJ[Credit]))))</f>
        <v>0</v>
      </c>
      <c r="J156" s="724"/>
      <c r="K156" s="689">
        <f t="array" ref="K156">IF($C156=0,0,(SUM(IF((CkDJ[JEV Number]=$C156)*(CkDJ[Account Code]=(J156)),CkDJ[Credit]))))</f>
        <v>0</v>
      </c>
      <c r="L156" s="689">
        <f t="array" ref="L156">IF(OR($C156=$C155,$C156=0),0,(SUM(IF((CkDJ[JEV Number]=$C156)*(CkDJ[Account Code]=(L$9)),CkDJ[Debit]))))</f>
        <v>0</v>
      </c>
      <c r="M156" s="689">
        <f t="array" ref="M156">IF(OR($C156=$C155,$C156=0),0,(SUM(IF((CkDJ[JEV Number]=$C156)*(CkDJ[Account Code]=(M$9)),CkDJ[Debit]))))</f>
        <v>0</v>
      </c>
      <c r="N156" s="689">
        <f t="array" ref="N156">IF(OR($C156=$C155,$C156=0),0,(SUM(IF((CkDJ[JEV Number]=$C156)*(CkDJ[Account Code]=(N$9)),CkDJ[Debit]))))</f>
        <v>0</v>
      </c>
      <c r="O156" s="689">
        <f t="array" ref="O156">IF(OR($C156=$C155,$C156=0),0,(SUM(IF((CkDJ[JEV Number]=$C156)*(CkDJ[Account Code]=(O$9)),CkDJ[Debit]))))</f>
        <v>0</v>
      </c>
      <c r="P156" s="722"/>
      <c r="Q156" s="689">
        <f t="array" ref="Q156">IF($C156=0,0,(SUM(IF((CkDJ[JEV Number]=$C156)*(CkDJ[Account Code]=(P156)),CkDJ[Debit]))))</f>
        <v>0</v>
      </c>
      <c r="R156" s="691">
        <f t="shared" si="14"/>
        <v>0</v>
      </c>
    </row>
    <row r="157" spans="1:18">
      <c r="A157" s="771" t="str">
        <f t="array" ref="A157">IF(OR(C157=C156,C157=0),"",INDEX(CkDJ[Date],MATCH(C157,CkDJ[JEV Number],0)))</f>
        <v/>
      </c>
      <c r="B157" s="671"/>
      <c r="C157" s="687" t="str">
        <f t="shared" si="13"/>
        <v>20-01-001</v>
      </c>
      <c r="D157" s="687"/>
      <c r="E157" s="687"/>
      <c r="F157" s="687"/>
      <c r="G157" s="688" t="str">
        <f t="array" ref="G157">IF(OR(C157=C156,C157=0),"",INDEX(CasheirCode[Name],MATCH((INDEX(CkDJ[Sort Code],MATCH(C157,CkDJ[JEV Number],0))),CasheirCode[Sort Code])))</f>
        <v/>
      </c>
      <c r="H157" s="689">
        <f t="array" ref="H157">IF(OR($C157=$C156,$C157=0),0,(SUM(IF((CkDJ[JEV Number]=$C157)*(CkDJ[Account Code]=(H$9)),CkDJ[Credit]))))</f>
        <v>0</v>
      </c>
      <c r="I157" s="689">
        <f t="array" ref="I157">IF(OR($C157=$C156,$C157=0),0,(SUM(IF((CkDJ[JEV Number]=$C157)*(CkDJ[Account Code]=(I$9)),CkDJ[Credit]))))</f>
        <v>0</v>
      </c>
      <c r="J157" s="724"/>
      <c r="K157" s="689">
        <f t="array" ref="K157">IF($C157=0,0,(SUM(IF((CkDJ[JEV Number]=$C157)*(CkDJ[Account Code]=(J157)),CkDJ[Credit]))))</f>
        <v>0</v>
      </c>
      <c r="L157" s="689">
        <f t="array" ref="L157">IF(OR($C157=$C156,$C157=0),0,(SUM(IF((CkDJ[JEV Number]=$C157)*(CkDJ[Account Code]=(L$9)),CkDJ[Debit]))))</f>
        <v>0</v>
      </c>
      <c r="M157" s="689">
        <f t="array" ref="M157">IF(OR($C157=$C156,$C157=0),0,(SUM(IF((CkDJ[JEV Number]=$C157)*(CkDJ[Account Code]=(M$9)),CkDJ[Debit]))))</f>
        <v>0</v>
      </c>
      <c r="N157" s="689">
        <f t="array" ref="N157">IF(OR($C157=$C156,$C157=0),0,(SUM(IF((CkDJ[JEV Number]=$C157)*(CkDJ[Account Code]=(N$9)),CkDJ[Debit]))))</f>
        <v>0</v>
      </c>
      <c r="O157" s="689">
        <f t="array" ref="O157">IF(OR($C157=$C156,$C157=0),0,(SUM(IF((CkDJ[JEV Number]=$C157)*(CkDJ[Account Code]=(O$9)),CkDJ[Debit]))))</f>
        <v>0</v>
      </c>
      <c r="P157" s="722"/>
      <c r="Q157" s="689">
        <f t="array" ref="Q157">IF($C157=0,0,(SUM(IF((CkDJ[JEV Number]=$C157)*(CkDJ[Account Code]=(P157)),CkDJ[Debit]))))</f>
        <v>0</v>
      </c>
      <c r="R157" s="691">
        <f t="shared" si="14"/>
        <v>0</v>
      </c>
    </row>
    <row r="158" spans="1:18">
      <c r="A158" s="771" t="str">
        <f t="array" ref="A158">IF(OR(C158=C157,C158=0),"",INDEX(CkDJ[Date],MATCH(C158,CkDJ[JEV Number],0)))</f>
        <v/>
      </c>
      <c r="B158" s="671"/>
      <c r="C158" s="687" t="str">
        <f t="shared" si="13"/>
        <v>20-01-001</v>
      </c>
      <c r="D158" s="687"/>
      <c r="E158" s="687"/>
      <c r="F158" s="687"/>
      <c r="G158" s="688" t="str">
        <f t="array" ref="G158">IF(OR(C158=C157,C158=0),"",INDEX(CasheirCode[Name],MATCH((INDEX(CkDJ[Sort Code],MATCH(C158,CkDJ[JEV Number],0))),CasheirCode[Sort Code])))</f>
        <v/>
      </c>
      <c r="H158" s="689">
        <f t="array" ref="H158">IF(OR($C158=$C157,$C158=0),0,(SUM(IF((CkDJ[JEV Number]=$C158)*(CkDJ[Account Code]=(H$9)),CkDJ[Credit]))))</f>
        <v>0</v>
      </c>
      <c r="I158" s="689">
        <f t="array" ref="I158">IF(OR($C158=$C157,$C158=0),0,(SUM(IF((CkDJ[JEV Number]=$C158)*(CkDJ[Account Code]=(I$9)),CkDJ[Credit]))))</f>
        <v>0</v>
      </c>
      <c r="J158" s="675"/>
      <c r="K158" s="689">
        <f t="array" ref="K158">IF($C158=0,0,(SUM(IF((CkDJ[JEV Number]=$C158)*(CkDJ[Account Code]=(J158)),CkDJ[Credit]))))</f>
        <v>0</v>
      </c>
      <c r="L158" s="689">
        <f t="array" ref="L158">IF(OR($C158=$C157,$C158=0),0,(SUM(IF((CkDJ[JEV Number]=$C158)*(CkDJ[Account Code]=(L$9)),CkDJ[Debit]))))</f>
        <v>0</v>
      </c>
      <c r="M158" s="689">
        <f t="array" ref="M158">IF(OR($C158=$C157,$C158=0),0,(SUM(IF((CkDJ[JEV Number]=$C158)*(CkDJ[Account Code]=(M$9)),CkDJ[Debit]))))</f>
        <v>0</v>
      </c>
      <c r="N158" s="689">
        <f t="array" ref="N158">IF(OR($C158=$C157,$C158=0),0,(SUM(IF((CkDJ[JEV Number]=$C158)*(CkDJ[Account Code]=(N$9)),CkDJ[Debit]))))</f>
        <v>0</v>
      </c>
      <c r="O158" s="689">
        <f t="array" ref="O158">IF(OR($C158=$C157,$C158=0),0,(SUM(IF((CkDJ[JEV Number]=$C158)*(CkDJ[Account Code]=(O$9)),CkDJ[Debit]))))</f>
        <v>0</v>
      </c>
      <c r="P158" s="722"/>
      <c r="Q158" s="689">
        <f t="array" ref="Q158">IF($C158=0,0,(SUM(IF((CkDJ[JEV Number]=$C158)*(CkDJ[Account Code]=(P158)),CkDJ[Debit]))))</f>
        <v>0</v>
      </c>
      <c r="R158" s="691">
        <f t="shared" si="14"/>
        <v>0</v>
      </c>
    </row>
    <row r="159" spans="1:18">
      <c r="A159" s="771" t="str">
        <f t="array" ref="A159">IF(OR(C159=C158,C159=0),"",INDEX(CkDJ[Date],MATCH(C159,CkDJ[JEV Number],0)))</f>
        <v/>
      </c>
      <c r="B159" s="671"/>
      <c r="C159" s="687" t="str">
        <f t="shared" si="13"/>
        <v>20-01-001</v>
      </c>
      <c r="D159" s="687"/>
      <c r="E159" s="687"/>
      <c r="F159" s="687"/>
      <c r="G159" s="688" t="str">
        <f t="array" ref="G159">IF(OR(C159=C158,C159=0),"",INDEX(CasheirCode[Name],MATCH((INDEX(CkDJ[Sort Code],MATCH(C159,CkDJ[JEV Number],0))),CasheirCode[Sort Code])))</f>
        <v/>
      </c>
      <c r="H159" s="689">
        <f t="array" ref="H159">IF(OR($C159=$C158,$C159=0),0,(SUM(IF((CkDJ[JEV Number]=$C159)*(CkDJ[Account Code]=(H$9)),CkDJ[Credit]))))</f>
        <v>0</v>
      </c>
      <c r="I159" s="689">
        <f t="array" ref="I159">IF(OR($C159=$C158,$C159=0),0,(SUM(IF((CkDJ[JEV Number]=$C159)*(CkDJ[Account Code]=(I$9)),CkDJ[Credit]))))</f>
        <v>0</v>
      </c>
      <c r="J159" s="675"/>
      <c r="K159" s="689">
        <f t="array" ref="K159">IF($C159=0,0,(SUM(IF((CkDJ[JEV Number]=$C159)*(CkDJ[Account Code]=(J159)),CkDJ[Credit]))))</f>
        <v>0</v>
      </c>
      <c r="L159" s="689">
        <f t="array" ref="L159">IF(OR($C159=$C158,$C159=0),0,(SUM(IF((CkDJ[JEV Number]=$C159)*(CkDJ[Account Code]=(L$9)),CkDJ[Debit]))))</f>
        <v>0</v>
      </c>
      <c r="M159" s="689">
        <f t="array" ref="M159">IF(OR($C159=$C158,$C159=0),0,(SUM(IF((CkDJ[JEV Number]=$C159)*(CkDJ[Account Code]=(M$9)),CkDJ[Debit]))))</f>
        <v>0</v>
      </c>
      <c r="N159" s="689">
        <f t="array" ref="N159">IF(OR($C159=$C158,$C159=0),0,(SUM(IF((CkDJ[JEV Number]=$C159)*(CkDJ[Account Code]=(N$9)),CkDJ[Debit]))))</f>
        <v>0</v>
      </c>
      <c r="O159" s="689">
        <f t="array" ref="O159">IF(OR($C159=$C158,$C159=0),0,(SUM(IF((CkDJ[JEV Number]=$C159)*(CkDJ[Account Code]=(O$9)),CkDJ[Debit]))))</f>
        <v>0</v>
      </c>
      <c r="P159" s="722"/>
      <c r="Q159" s="689">
        <f t="array" ref="Q159">IF($C159=0,0,(SUM(IF((CkDJ[JEV Number]=$C159)*(CkDJ[Account Code]=(P159)),CkDJ[Debit]))))</f>
        <v>0</v>
      </c>
      <c r="R159" s="691">
        <f t="shared" si="14"/>
        <v>0</v>
      </c>
    </row>
    <row r="160" spans="1:18">
      <c r="A160" s="771" t="str">
        <f t="array" ref="A160">IF(OR(C160=C159,C160=0),"",INDEX(CkDJ[Date],MATCH(C160,CkDJ[JEV Number],0)))</f>
        <v/>
      </c>
      <c r="B160" s="671"/>
      <c r="C160" s="687" t="str">
        <f t="shared" si="13"/>
        <v>20-01-001</v>
      </c>
      <c r="D160" s="687"/>
      <c r="E160" s="687"/>
      <c r="F160" s="687"/>
      <c r="G160" s="688" t="str">
        <f t="array" ref="G160">IF(OR(C160=C159,C160=0),"",INDEX(CasheirCode[Name],MATCH((INDEX(CkDJ[Sort Code],MATCH(C160,CkDJ[JEV Number],0))),CasheirCode[Sort Code])))</f>
        <v/>
      </c>
      <c r="H160" s="689">
        <f t="array" ref="H160">IF(OR($C160=$C159,$C160=0),0,(SUM(IF((CkDJ[JEV Number]=$C160)*(CkDJ[Account Code]=(H$9)),CkDJ[Credit]))))</f>
        <v>0</v>
      </c>
      <c r="I160" s="689">
        <f t="array" ref="I160">IF(OR($C160=$C159,$C160=0),0,(SUM(IF((CkDJ[JEV Number]=$C160)*(CkDJ[Account Code]=(I$9)),CkDJ[Credit]))))</f>
        <v>0</v>
      </c>
      <c r="J160" s="675"/>
      <c r="K160" s="689">
        <f t="array" ref="K160">IF($C160=0,0,(SUM(IF((CkDJ[JEV Number]=$C160)*(CkDJ[Account Code]=(J160)),CkDJ[Credit]))))</f>
        <v>0</v>
      </c>
      <c r="L160" s="689">
        <f t="array" ref="L160">IF(OR($C160=$C159,$C160=0),0,(SUM(IF((CkDJ[JEV Number]=$C160)*(CkDJ[Account Code]=(L$9)),CkDJ[Debit]))))</f>
        <v>0</v>
      </c>
      <c r="M160" s="689">
        <f t="array" ref="M160">IF(OR($C160=$C159,$C160=0),0,(SUM(IF((CkDJ[JEV Number]=$C160)*(CkDJ[Account Code]=(M$9)),CkDJ[Debit]))))</f>
        <v>0</v>
      </c>
      <c r="N160" s="689">
        <f t="array" ref="N160">IF(OR($C160=$C159,$C160=0),0,(SUM(IF((CkDJ[JEV Number]=$C160)*(CkDJ[Account Code]=(N$9)),CkDJ[Debit]))))</f>
        <v>0</v>
      </c>
      <c r="O160" s="689">
        <f t="array" ref="O160">IF(OR($C160=$C159,$C160=0),0,(SUM(IF((CkDJ[JEV Number]=$C160)*(CkDJ[Account Code]=(O$9)),CkDJ[Debit]))))</f>
        <v>0</v>
      </c>
      <c r="P160" s="722"/>
      <c r="Q160" s="689">
        <f t="array" ref="Q160">IF($C160=0,0,(SUM(IF((CkDJ[JEV Number]=$C160)*(CkDJ[Account Code]=(P160)),CkDJ[Debit]))))</f>
        <v>0</v>
      </c>
      <c r="R160" s="691">
        <f t="shared" si="14"/>
        <v>0</v>
      </c>
    </row>
    <row r="161" spans="1:18">
      <c r="A161" s="771" t="str">
        <f t="array" ref="A161">IF(OR(C161=C160,C161=0),"",INDEX(CkDJ[Date],MATCH(C161,CkDJ[JEV Number],0)))</f>
        <v/>
      </c>
      <c r="B161" s="671"/>
      <c r="C161" s="687" t="str">
        <f t="shared" si="13"/>
        <v>20-01-001</v>
      </c>
      <c r="D161" s="687"/>
      <c r="E161" s="687"/>
      <c r="F161" s="687"/>
      <c r="G161" s="688" t="str">
        <f t="array" ref="G161">IF(OR(C161=C160,C161=0),"",INDEX(CasheirCode[Name],MATCH((INDEX(CkDJ[Sort Code],MATCH(C161,CkDJ[JEV Number],0))),CasheirCode[Sort Code])))</f>
        <v/>
      </c>
      <c r="H161" s="689">
        <f t="array" ref="H161">IF(OR($C161=$C160,$C161=0),0,(SUM(IF((CkDJ[JEV Number]=$C161)*(CkDJ[Account Code]=(H$9)),CkDJ[Credit]))))</f>
        <v>0</v>
      </c>
      <c r="I161" s="689">
        <f t="array" ref="I161">IF(OR($C161=$C160,$C161=0),0,(SUM(IF((CkDJ[JEV Number]=$C161)*(CkDJ[Account Code]=(I$9)),CkDJ[Credit]))))</f>
        <v>0</v>
      </c>
      <c r="J161" s="675"/>
      <c r="K161" s="689">
        <f t="array" ref="K161">IF($C161=0,0,(SUM(IF((CkDJ[JEV Number]=$C161)*(CkDJ[Account Code]=(J161)),CkDJ[Credit]))))</f>
        <v>0</v>
      </c>
      <c r="L161" s="689">
        <f t="array" ref="L161">IF(OR($C161=$C160,$C161=0),0,(SUM(IF((CkDJ[JEV Number]=$C161)*(CkDJ[Account Code]=(L$9)),CkDJ[Debit]))))</f>
        <v>0</v>
      </c>
      <c r="M161" s="689">
        <f t="array" ref="M161">IF(OR($C161=$C160,$C161=0),0,(SUM(IF((CkDJ[JEV Number]=$C161)*(CkDJ[Account Code]=(M$9)),CkDJ[Debit]))))</f>
        <v>0</v>
      </c>
      <c r="N161" s="689">
        <f t="array" ref="N161">IF(OR($C161=$C160,$C161=0),0,(SUM(IF((CkDJ[JEV Number]=$C161)*(CkDJ[Account Code]=(N$9)),CkDJ[Debit]))))</f>
        <v>0</v>
      </c>
      <c r="O161" s="689">
        <f t="array" ref="O161">IF(OR($C161=$C160,$C161=0),0,(SUM(IF((CkDJ[JEV Number]=$C161)*(CkDJ[Account Code]=(O$9)),CkDJ[Debit]))))</f>
        <v>0</v>
      </c>
      <c r="P161" s="722"/>
      <c r="Q161" s="689">
        <f t="array" ref="Q161">IF($C161=0,0,(SUM(IF((CkDJ[JEV Number]=$C161)*(CkDJ[Account Code]=(P161)),CkDJ[Debit]))))</f>
        <v>0</v>
      </c>
      <c r="R161" s="691">
        <f t="shared" si="14"/>
        <v>0</v>
      </c>
    </row>
    <row r="162" spans="1:18">
      <c r="A162" s="771" t="str">
        <f t="array" ref="A162">IF(OR(C162=C161,C162=0),"",INDEX(CkDJ[Date],MATCH(C162,CkDJ[JEV Number],0)))</f>
        <v/>
      </c>
      <c r="B162" s="671"/>
      <c r="C162" s="687" t="str">
        <f t="shared" si="13"/>
        <v>20-01-001</v>
      </c>
      <c r="D162" s="687"/>
      <c r="E162" s="687"/>
      <c r="F162" s="687"/>
      <c r="G162" s="688" t="str">
        <f t="array" ref="G162">IF(OR(C162=C161,C162=0),"",INDEX(CasheirCode[Name],MATCH((INDEX(CkDJ[Sort Code],MATCH(C162,CkDJ[JEV Number],0))),CasheirCode[Sort Code])))</f>
        <v/>
      </c>
      <c r="H162" s="689">
        <f t="array" ref="H162">IF(OR($C162=$C161,$C162=0),0,(SUM(IF((CkDJ[JEV Number]=$C162)*(CkDJ[Account Code]=(H$9)),CkDJ[Credit]))))</f>
        <v>0</v>
      </c>
      <c r="I162" s="689">
        <f t="array" ref="I162">IF(OR($C162=$C161,$C162=0),0,(SUM(IF((CkDJ[JEV Number]=$C162)*(CkDJ[Account Code]=(I$9)),CkDJ[Credit]))))</f>
        <v>0</v>
      </c>
      <c r="J162" s="675"/>
      <c r="K162" s="689">
        <f t="array" ref="K162">IF($C162=0,0,(SUM(IF((CkDJ[JEV Number]=$C162)*(CkDJ[Account Code]=(J162)),CkDJ[Credit]))))</f>
        <v>0</v>
      </c>
      <c r="L162" s="689">
        <f t="array" ref="L162">IF(OR($C162=$C161,$C162=0),0,(SUM(IF((CkDJ[JEV Number]=$C162)*(CkDJ[Account Code]=(L$9)),CkDJ[Debit]))))</f>
        <v>0</v>
      </c>
      <c r="M162" s="689">
        <f t="array" ref="M162">IF(OR($C162=$C161,$C162=0),0,(SUM(IF((CkDJ[JEV Number]=$C162)*(CkDJ[Account Code]=(M$9)),CkDJ[Debit]))))</f>
        <v>0</v>
      </c>
      <c r="N162" s="689">
        <f t="array" ref="N162">IF(OR($C162=$C161,$C162=0),0,(SUM(IF((CkDJ[JEV Number]=$C162)*(CkDJ[Account Code]=(N$9)),CkDJ[Debit]))))</f>
        <v>0</v>
      </c>
      <c r="O162" s="689">
        <f t="array" ref="O162">IF(OR($C162=$C161,$C162=0),0,(SUM(IF((CkDJ[JEV Number]=$C162)*(CkDJ[Account Code]=(O$9)),CkDJ[Debit]))))</f>
        <v>0</v>
      </c>
      <c r="P162" s="722"/>
      <c r="Q162" s="689">
        <f t="array" ref="Q162">IF($C162=0,0,(SUM(IF((CkDJ[JEV Number]=$C162)*(CkDJ[Account Code]=(P162)),CkDJ[Debit]))))</f>
        <v>0</v>
      </c>
      <c r="R162" s="691">
        <f t="shared" si="14"/>
        <v>0</v>
      </c>
    </row>
    <row r="163" spans="1:18">
      <c r="A163" s="771" t="str">
        <f t="array" ref="A163">IF(OR(C163=C162,C163=0),"",INDEX(CkDJ[Date],MATCH(C163,CkDJ[JEV Number],0)))</f>
        <v/>
      </c>
      <c r="B163" s="671"/>
      <c r="C163" s="687" t="str">
        <f t="shared" si="13"/>
        <v>20-01-001</v>
      </c>
      <c r="D163" s="687"/>
      <c r="E163" s="687"/>
      <c r="F163" s="687"/>
      <c r="G163" s="688" t="str">
        <f t="array" ref="G163">IF(OR(C163=C162,C163=0),"",INDEX(CasheirCode[Name],MATCH((INDEX(CkDJ[Sort Code],MATCH(C163,CkDJ[JEV Number],0))),CasheirCode[Sort Code])))</f>
        <v/>
      </c>
      <c r="H163" s="689">
        <f t="array" ref="H163">IF(OR($C163=$C162,$C163=0),0,(SUM(IF((CkDJ[JEV Number]=$C163)*(CkDJ[Account Code]=(H$9)),CkDJ[Credit]))))</f>
        <v>0</v>
      </c>
      <c r="I163" s="689">
        <f t="array" ref="I163">IF(OR($C163=$C162,$C163=0),0,(SUM(IF((CkDJ[JEV Number]=$C163)*(CkDJ[Account Code]=(I$9)),CkDJ[Credit]))))</f>
        <v>0</v>
      </c>
      <c r="J163" s="675"/>
      <c r="K163" s="689">
        <f t="array" ref="K163">IF($C163=0,0,(SUM(IF((CkDJ[JEV Number]=$C163)*(CkDJ[Account Code]=(J163)),CkDJ[Credit]))))</f>
        <v>0</v>
      </c>
      <c r="L163" s="689">
        <f t="array" ref="L163">IF(OR($C163=$C162,$C163=0),0,(SUM(IF((CkDJ[JEV Number]=$C163)*(CkDJ[Account Code]=(L$9)),CkDJ[Debit]))))</f>
        <v>0</v>
      </c>
      <c r="M163" s="689">
        <f t="array" ref="M163">IF(OR($C163=$C162,$C163=0),0,(SUM(IF((CkDJ[JEV Number]=$C163)*(CkDJ[Account Code]=(M$9)),CkDJ[Debit]))))</f>
        <v>0</v>
      </c>
      <c r="N163" s="689">
        <f t="array" ref="N163">IF(OR($C163=$C162,$C163=0),0,(SUM(IF((CkDJ[JEV Number]=$C163)*(CkDJ[Account Code]=(N$9)),CkDJ[Debit]))))</f>
        <v>0</v>
      </c>
      <c r="O163" s="689">
        <f t="array" ref="O163">IF(OR($C163=$C162,$C163=0),0,(SUM(IF((CkDJ[JEV Number]=$C163)*(CkDJ[Account Code]=(O$9)),CkDJ[Debit]))))</f>
        <v>0</v>
      </c>
      <c r="P163" s="722"/>
      <c r="Q163" s="689">
        <f t="array" ref="Q163">IF($C163=0,0,(SUM(IF((CkDJ[JEV Number]=$C163)*(CkDJ[Account Code]=(P163)),CkDJ[Debit]))))</f>
        <v>0</v>
      </c>
      <c r="R163" s="691">
        <f t="shared" si="14"/>
        <v>0</v>
      </c>
    </row>
    <row r="164" spans="1:18">
      <c r="A164" s="771" t="str">
        <f t="array" ref="A164">IF(OR(C164=C163,C164=0),"",INDEX(CkDJ[Date],MATCH(C164,CkDJ[JEV Number],0)))</f>
        <v/>
      </c>
      <c r="B164" s="671"/>
      <c r="C164" s="687" t="str">
        <f t="shared" si="13"/>
        <v>20-01-001</v>
      </c>
      <c r="D164" s="687"/>
      <c r="E164" s="687"/>
      <c r="F164" s="687"/>
      <c r="G164" s="688" t="str">
        <f t="array" ref="G164">IF(OR(C164=C163,C164=0),"",INDEX(CasheirCode[Name],MATCH((INDEX(CkDJ[Sort Code],MATCH(C164,CkDJ[JEV Number],0))),CasheirCode[Sort Code])))</f>
        <v/>
      </c>
      <c r="H164" s="689">
        <f t="array" ref="H164">IF(OR($C164=$C163,$C164=0),0,(SUM(IF((CkDJ[JEV Number]=$C164)*(CkDJ[Account Code]=(H$9)),CkDJ[Credit]))))</f>
        <v>0</v>
      </c>
      <c r="I164" s="689">
        <f t="array" ref="I164">IF(OR($C164=$C163,$C164=0),0,(SUM(IF((CkDJ[JEV Number]=$C164)*(CkDJ[Account Code]=(I$9)),CkDJ[Credit]))))</f>
        <v>0</v>
      </c>
      <c r="J164" s="675"/>
      <c r="K164" s="689">
        <f t="array" ref="K164">IF($C164=0,0,(SUM(IF((CkDJ[JEV Number]=$C164)*(CkDJ[Account Code]=(J164)),CkDJ[Credit]))))</f>
        <v>0</v>
      </c>
      <c r="L164" s="689">
        <f t="array" ref="L164">IF(OR($C164=$C163,$C164=0),0,(SUM(IF((CkDJ[JEV Number]=$C164)*(CkDJ[Account Code]=(L$9)),CkDJ[Debit]))))</f>
        <v>0</v>
      </c>
      <c r="M164" s="689">
        <f t="array" ref="M164">IF(OR($C164=$C163,$C164=0),0,(SUM(IF((CkDJ[JEV Number]=$C164)*(CkDJ[Account Code]=(M$9)),CkDJ[Debit]))))</f>
        <v>0</v>
      </c>
      <c r="N164" s="689">
        <f t="array" ref="N164">IF(OR($C164=$C163,$C164=0),0,(SUM(IF((CkDJ[JEV Number]=$C164)*(CkDJ[Account Code]=(N$9)),CkDJ[Debit]))))</f>
        <v>0</v>
      </c>
      <c r="O164" s="689">
        <f t="array" ref="O164">IF(OR($C164=$C163,$C164=0),0,(SUM(IF((CkDJ[JEV Number]=$C164)*(CkDJ[Account Code]=(O$9)),CkDJ[Debit]))))</f>
        <v>0</v>
      </c>
      <c r="P164" s="722"/>
      <c r="Q164" s="689">
        <f t="array" ref="Q164">IF($C164=0,0,(SUM(IF((CkDJ[JEV Number]=$C164)*(CkDJ[Account Code]=(P164)),CkDJ[Debit]))))</f>
        <v>0</v>
      </c>
      <c r="R164" s="691">
        <f t="shared" si="14"/>
        <v>0</v>
      </c>
    </row>
    <row r="165" spans="1:18">
      <c r="A165" s="771" t="str">
        <f t="array" ref="A165">IF(OR(C165=C164,C165=0),"",INDEX(CkDJ[Date],MATCH(C165,CkDJ[JEV Number],0)))</f>
        <v/>
      </c>
      <c r="B165" s="671"/>
      <c r="C165" s="687" t="str">
        <f t="shared" si="13"/>
        <v>20-01-001</v>
      </c>
      <c r="D165" s="687"/>
      <c r="E165" s="687"/>
      <c r="F165" s="687"/>
      <c r="G165" s="688" t="str">
        <f t="array" ref="G165">IF(OR(C165=C164,C165=0),"",INDEX(CasheirCode[Name],MATCH((INDEX(CkDJ[Sort Code],MATCH(C165,CkDJ[JEV Number],0))),CasheirCode[Sort Code])))</f>
        <v/>
      </c>
      <c r="H165" s="689">
        <f t="array" ref="H165">IF(OR($C165=$C164,$C165=0),0,(SUM(IF((CkDJ[JEV Number]=$C165)*(CkDJ[Account Code]=(H$9)),CkDJ[Credit]))))</f>
        <v>0</v>
      </c>
      <c r="I165" s="689">
        <f t="array" ref="I165">IF(OR($C165=$C164,$C165=0),0,(SUM(IF((CkDJ[JEV Number]=$C165)*(CkDJ[Account Code]=(I$9)),CkDJ[Credit]))))</f>
        <v>0</v>
      </c>
      <c r="J165" s="675"/>
      <c r="K165" s="689">
        <f t="array" ref="K165">IF($C165=0,0,(SUM(IF((CkDJ[JEV Number]=$C165)*(CkDJ[Account Code]=(J165)),CkDJ[Credit]))))</f>
        <v>0</v>
      </c>
      <c r="L165" s="689">
        <f t="array" ref="L165">IF(OR($C165=$C164,$C165=0),0,(SUM(IF((CkDJ[JEV Number]=$C165)*(CkDJ[Account Code]=(L$9)),CkDJ[Debit]))))</f>
        <v>0</v>
      </c>
      <c r="M165" s="689">
        <f t="array" ref="M165">IF(OR($C165=$C164,$C165=0),0,(SUM(IF((CkDJ[JEV Number]=$C165)*(CkDJ[Account Code]=(M$9)),CkDJ[Debit]))))</f>
        <v>0</v>
      </c>
      <c r="N165" s="689">
        <f t="array" ref="N165">IF(OR($C165=$C164,$C165=0),0,(SUM(IF((CkDJ[JEV Number]=$C165)*(CkDJ[Account Code]=(N$9)),CkDJ[Debit]))))</f>
        <v>0</v>
      </c>
      <c r="O165" s="689">
        <f t="array" ref="O165">IF(OR($C165=$C164,$C165=0),0,(SUM(IF((CkDJ[JEV Number]=$C165)*(CkDJ[Account Code]=(O$9)),CkDJ[Debit]))))</f>
        <v>0</v>
      </c>
      <c r="P165" s="722"/>
      <c r="Q165" s="689">
        <f t="array" ref="Q165">IF($C165=0,0,(SUM(IF((CkDJ[JEV Number]=$C165)*(CkDJ[Account Code]=(P165)),CkDJ[Debit]))))</f>
        <v>0</v>
      </c>
      <c r="R165" s="691">
        <f t="shared" si="14"/>
        <v>0</v>
      </c>
    </row>
    <row r="166" spans="1:18">
      <c r="A166" s="771" t="str">
        <f t="array" ref="A166">IF(OR(C166=C165,C166=0),"",INDEX(CkDJ[Date],MATCH(C166,CkDJ[JEV Number],0)))</f>
        <v/>
      </c>
      <c r="B166" s="671"/>
      <c r="C166" s="687" t="str">
        <f t="shared" si="13"/>
        <v>20-01-001</v>
      </c>
      <c r="D166" s="687"/>
      <c r="E166" s="687"/>
      <c r="F166" s="687"/>
      <c r="G166" s="688" t="str">
        <f t="array" ref="G166">IF(OR(C166=C165,C166=0),"",INDEX(CasheirCode[Name],MATCH((INDEX(CkDJ[Sort Code],MATCH(C166,CkDJ[JEV Number],0))),CasheirCode[Sort Code])))</f>
        <v/>
      </c>
      <c r="H166" s="689">
        <f t="array" ref="H166">IF(OR($C166=$C165,$C166=0),0,(SUM(IF((CkDJ[JEV Number]=$C166)*(CkDJ[Account Code]=(H$9)),CkDJ[Credit]))))</f>
        <v>0</v>
      </c>
      <c r="I166" s="689">
        <f t="array" ref="I166">IF(OR($C166=$C165,$C166=0),0,(SUM(IF((CkDJ[JEV Number]=$C166)*(CkDJ[Account Code]=(I$9)),CkDJ[Credit]))))</f>
        <v>0</v>
      </c>
      <c r="J166" s="675"/>
      <c r="K166" s="689">
        <f t="array" ref="K166">IF($C166=0,0,(SUM(IF((CkDJ[JEV Number]=$C166)*(CkDJ[Account Code]=(J166)),CkDJ[Credit]))))</f>
        <v>0</v>
      </c>
      <c r="L166" s="689">
        <f t="array" ref="L166">IF(OR($C166=$C165,$C166=0),0,(SUM(IF((CkDJ[JEV Number]=$C166)*(CkDJ[Account Code]=(L$9)),CkDJ[Debit]))))</f>
        <v>0</v>
      </c>
      <c r="M166" s="689">
        <f t="array" ref="M166">IF(OR($C166=$C165,$C166=0),0,(SUM(IF((CkDJ[JEV Number]=$C166)*(CkDJ[Account Code]=(M$9)),CkDJ[Debit]))))</f>
        <v>0</v>
      </c>
      <c r="N166" s="689">
        <f t="array" ref="N166">IF(OR($C166=$C165,$C166=0),0,(SUM(IF((CkDJ[JEV Number]=$C166)*(CkDJ[Account Code]=(N$9)),CkDJ[Debit]))))</f>
        <v>0</v>
      </c>
      <c r="O166" s="689">
        <f t="array" ref="O166">IF(OR($C166=$C165,$C166=0),0,(SUM(IF((CkDJ[JEV Number]=$C166)*(CkDJ[Account Code]=(O$9)),CkDJ[Debit]))))</f>
        <v>0</v>
      </c>
      <c r="P166" s="722"/>
      <c r="Q166" s="689">
        <f t="array" ref="Q166">IF($C166=0,0,(SUM(IF((CkDJ[JEV Number]=$C166)*(CkDJ[Account Code]=(P166)),CkDJ[Debit]))))</f>
        <v>0</v>
      </c>
      <c r="R166" s="691">
        <f t="shared" si="14"/>
        <v>0</v>
      </c>
    </row>
    <row r="167" spans="1:18">
      <c r="A167" s="771" t="str">
        <f t="array" ref="A167">IF(OR(C167=C166,C167=0),"",INDEX(CkDJ[Date],MATCH(C167,CkDJ[JEV Number],0)))</f>
        <v/>
      </c>
      <c r="B167" s="671"/>
      <c r="C167" s="687" t="str">
        <f t="shared" si="13"/>
        <v>20-01-001</v>
      </c>
      <c r="D167" s="687"/>
      <c r="E167" s="687"/>
      <c r="F167" s="687"/>
      <c r="G167" s="688" t="str">
        <f t="array" ref="G167">IF(OR(C167=C166,C167=0),"",INDEX(CasheirCode[Name],MATCH((INDEX(CkDJ[Sort Code],MATCH(C167,CkDJ[JEV Number],0))),CasheirCode[Sort Code])))</f>
        <v/>
      </c>
      <c r="H167" s="689">
        <f t="array" ref="H167">IF(OR($C167=$C166,$C167=0),0,(SUM(IF((CkDJ[JEV Number]=$C167)*(CkDJ[Account Code]=(H$9)),CkDJ[Credit]))))</f>
        <v>0</v>
      </c>
      <c r="I167" s="689">
        <f t="array" ref="I167">IF(OR($C167=$C166,$C167=0),0,(SUM(IF((CkDJ[JEV Number]=$C167)*(CkDJ[Account Code]=(I$9)),CkDJ[Credit]))))</f>
        <v>0</v>
      </c>
      <c r="J167" s="724"/>
      <c r="K167" s="689">
        <f t="array" ref="K167">IF($C167=0,0,(SUM(IF((CkDJ[JEV Number]=$C167)*(CkDJ[Account Code]=(J167)),CkDJ[Credit]))))</f>
        <v>0</v>
      </c>
      <c r="L167" s="689">
        <f t="array" ref="L167">IF(OR($C167=$C166,$C167=0),0,(SUM(IF((CkDJ[JEV Number]=$C167)*(CkDJ[Account Code]=(L$9)),CkDJ[Debit]))))</f>
        <v>0</v>
      </c>
      <c r="M167" s="689">
        <f t="array" ref="M167">IF(OR($C167=$C166,$C167=0),0,(SUM(IF((CkDJ[JEV Number]=$C167)*(CkDJ[Account Code]=(M$9)),CkDJ[Debit]))))</f>
        <v>0</v>
      </c>
      <c r="N167" s="689">
        <f t="array" ref="N167">IF(OR($C167=$C166,$C167=0),0,(SUM(IF((CkDJ[JEV Number]=$C167)*(CkDJ[Account Code]=(N$9)),CkDJ[Debit]))))</f>
        <v>0</v>
      </c>
      <c r="O167" s="689">
        <f t="array" ref="O167">IF(OR($C167=$C166,$C167=0),0,(SUM(IF((CkDJ[JEV Number]=$C167)*(CkDJ[Account Code]=(O$9)),CkDJ[Debit]))))</f>
        <v>0</v>
      </c>
      <c r="P167" s="722"/>
      <c r="Q167" s="689">
        <f t="array" ref="Q167">IF($C167=0,0,(SUM(IF((CkDJ[JEV Number]=$C167)*(CkDJ[Account Code]=(P167)),CkDJ[Debit]))))</f>
        <v>0</v>
      </c>
      <c r="R167" s="691">
        <f t="shared" si="14"/>
        <v>0</v>
      </c>
    </row>
    <row r="168" spans="1:18">
      <c r="A168" s="771" t="str">
        <f t="array" ref="A168">IF(OR(C168=C167,C168=0),"",INDEX(CkDJ[Date],MATCH(C168,CkDJ[JEV Number],0)))</f>
        <v/>
      </c>
      <c r="B168" s="671"/>
      <c r="C168" s="672" t="str">
        <f t="shared" si="13"/>
        <v>20-01-001</v>
      </c>
      <c r="D168" s="672"/>
      <c r="E168" s="672"/>
      <c r="F168" s="672"/>
      <c r="G168" s="673" t="str">
        <f t="array" ref="G168">IF(OR(C168=C167,C168=0),"",INDEX(CasheirCode[Name],MATCH((INDEX(CkDJ[Sort Code],MATCH(C168,CkDJ[JEV Number],0))),CasheirCode[Sort Code])))</f>
        <v/>
      </c>
      <c r="H168" s="674">
        <f t="array" ref="H168">IF(OR($C168=$C167,$C168=0),0,(SUM(IF((CkDJ[JEV Number]=$C168)*(CkDJ[Account Code]=(H$9)),CkDJ[Credit]))))</f>
        <v>0</v>
      </c>
      <c r="I168" s="674">
        <f t="array" ref="I168">IF(OR($C168=$C167,$C168=0),0,(SUM(IF((CkDJ[JEV Number]=$C168)*(CkDJ[Account Code]=(I$9)),CkDJ[Credit]))))</f>
        <v>0</v>
      </c>
      <c r="J168" s="724"/>
      <c r="K168" s="674">
        <f t="array" ref="K168">IF($C168=0,0,(SUM(IF((CkDJ[JEV Number]=$C168)*(CkDJ[Account Code]=(J168)),CkDJ[Credit]))))</f>
        <v>0</v>
      </c>
      <c r="L168" s="674">
        <f t="array" ref="L168">IF(OR($C168=$C167,$C168=0),0,(SUM(IF((CkDJ[JEV Number]=$C168)*(CkDJ[Account Code]=(L$9)),CkDJ[Debit]))))</f>
        <v>0</v>
      </c>
      <c r="M168" s="674">
        <f t="array" ref="M168">IF(OR($C168=$C167,$C168=0),0,(SUM(IF((CkDJ[JEV Number]=$C168)*(CkDJ[Account Code]=(M$9)),CkDJ[Debit]))))</f>
        <v>0</v>
      </c>
      <c r="N168" s="674">
        <f t="array" ref="N168">IF(OR($C168=$C167,$C168=0),0,(SUM(IF((CkDJ[JEV Number]=$C168)*(CkDJ[Account Code]=(N$9)),CkDJ[Debit]))))</f>
        <v>0</v>
      </c>
      <c r="O168" s="674">
        <f t="array" ref="O168">IF(OR($C168=$C167,$C168=0),0,(SUM(IF((CkDJ[JEV Number]=$C168)*(CkDJ[Account Code]=(O$9)),CkDJ[Debit]))))</f>
        <v>0</v>
      </c>
      <c r="P168" s="722"/>
      <c r="Q168" s="689">
        <f t="array" ref="Q168">IF($C168=0,0,(SUM(IF((CkDJ[JEV Number]=$C168)*(CkDJ[Account Code]=(P168)),CkDJ[Debit]))))</f>
        <v>0</v>
      </c>
      <c r="R168" s="676">
        <f t="shared" si="14"/>
        <v>0</v>
      </c>
    </row>
    <row r="169" spans="1:18">
      <c r="A169" s="771" t="str">
        <f t="array" ref="A169">IF(OR(C169=C168,C169=0),"",INDEX(CkDJ[Date],MATCH(C169,CkDJ[JEV Number],0)))</f>
        <v/>
      </c>
      <c r="B169" s="671"/>
      <c r="C169" s="672" t="str">
        <f t="shared" si="13"/>
        <v>20-01-001</v>
      </c>
      <c r="D169" s="672"/>
      <c r="E169" s="672"/>
      <c r="F169" s="672"/>
      <c r="G169" s="673" t="str">
        <f t="array" ref="G169">IF(OR(C169=C168,C169=0),"",INDEX(CasheirCode[Name],MATCH((INDEX(CkDJ[Sort Code],MATCH(C169,CkDJ[JEV Number],0))),CasheirCode[Sort Code])))</f>
        <v/>
      </c>
      <c r="H169" s="674">
        <f t="array" ref="H169">IF(OR($C169=$C168,$C169=0),0,(SUM(IF((CkDJ[JEV Number]=$C169)*(CkDJ[Account Code]=(H$9)),CkDJ[Credit]))))</f>
        <v>0</v>
      </c>
      <c r="I169" s="674">
        <f t="array" ref="I169">IF(OR($C169=$C168,$C169=0),0,(SUM(IF((CkDJ[JEV Number]=$C169)*(CkDJ[Account Code]=(I$9)),CkDJ[Credit]))))</f>
        <v>0</v>
      </c>
      <c r="J169" s="724"/>
      <c r="K169" s="674">
        <f t="array" ref="K169">IF($C169=0,0,(SUM(IF((CkDJ[JEV Number]=$C169)*(CkDJ[Account Code]=(J169)),CkDJ[Credit]))))</f>
        <v>0</v>
      </c>
      <c r="L169" s="674">
        <f t="array" ref="L169">IF(OR($C169=$C168,$C169=0),0,(SUM(IF((CkDJ[JEV Number]=$C169)*(CkDJ[Account Code]=(L$9)),CkDJ[Debit]))))</f>
        <v>0</v>
      </c>
      <c r="M169" s="674">
        <f t="array" ref="M169">IF(OR($C169=$C168,$C169=0),0,(SUM(IF((CkDJ[JEV Number]=$C169)*(CkDJ[Account Code]=(M$9)),CkDJ[Debit]))))</f>
        <v>0</v>
      </c>
      <c r="N169" s="674">
        <f t="array" ref="N169">IF(OR($C169=$C168,$C169=0),0,(SUM(IF((CkDJ[JEV Number]=$C169)*(CkDJ[Account Code]=(N$9)),CkDJ[Debit]))))</f>
        <v>0</v>
      </c>
      <c r="O169" s="674">
        <f t="array" ref="O169">IF(OR($C169=$C168,$C169=0),0,(SUM(IF((CkDJ[JEV Number]=$C169)*(CkDJ[Account Code]=(O$9)),CkDJ[Debit]))))</f>
        <v>0</v>
      </c>
      <c r="P169" s="722"/>
      <c r="Q169" s="689">
        <f t="array" ref="Q169">IF($C169=0,0,(SUM(IF((CkDJ[JEV Number]=$C169)*(CkDJ[Account Code]=(P169)),CkDJ[Debit]))))</f>
        <v>0</v>
      </c>
      <c r="R169" s="676">
        <f t="shared" si="14"/>
        <v>0</v>
      </c>
    </row>
    <row r="170" spans="1:18">
      <c r="A170" s="771" t="str">
        <f t="array" ref="A170">IF(OR(C170=C169,C170=0),"",INDEX(CkDJ[Date],MATCH(C170,CkDJ[JEV Number],0)))</f>
        <v/>
      </c>
      <c r="B170" s="671"/>
      <c r="C170" s="672" t="str">
        <f t="shared" si="13"/>
        <v>20-01-001</v>
      </c>
      <c r="D170" s="672"/>
      <c r="E170" s="672"/>
      <c r="F170" s="672"/>
      <c r="G170" s="673" t="str">
        <f t="array" ref="G170">IF(OR(C170=C169,C170=0),"",INDEX(CasheirCode[Name],MATCH((INDEX(CkDJ[Sort Code],MATCH(C170,CkDJ[JEV Number],0))),CasheirCode[Sort Code])))</f>
        <v/>
      </c>
      <c r="H170" s="674">
        <f t="array" ref="H170">IF(OR($C170=$C169,$C170=0),0,(SUM(IF((CkDJ[JEV Number]=$C170)*(CkDJ[Account Code]=(H$9)),CkDJ[Credit]))))</f>
        <v>0</v>
      </c>
      <c r="I170" s="674">
        <f t="array" ref="I170">IF(OR($C170=$C169,$C170=0),0,(SUM(IF((CkDJ[JEV Number]=$C170)*(CkDJ[Account Code]=(I$9)),CkDJ[Credit]))))</f>
        <v>0</v>
      </c>
      <c r="J170" s="675"/>
      <c r="K170" s="674">
        <f t="array" ref="K170">IF($C170=0,0,(SUM(IF((CkDJ[JEV Number]=$C170)*(CkDJ[Account Code]=(J170)),CkDJ[Credit]))))</f>
        <v>0</v>
      </c>
      <c r="L170" s="674">
        <f t="array" ref="L170">IF(OR($C170=$C169,$C170=0),0,(SUM(IF((CkDJ[JEV Number]=$C170)*(CkDJ[Account Code]=(L$9)),CkDJ[Debit]))))</f>
        <v>0</v>
      </c>
      <c r="M170" s="674">
        <f t="array" ref="M170">IF(OR($C170=$C169,$C170=0),0,(SUM(IF((CkDJ[JEV Number]=$C170)*(CkDJ[Account Code]=(M$9)),CkDJ[Debit]))))</f>
        <v>0</v>
      </c>
      <c r="N170" s="674">
        <f t="array" ref="N170">IF(OR($C170=$C169,$C170=0),0,(SUM(IF((CkDJ[JEV Number]=$C170)*(CkDJ[Account Code]=(N$9)),CkDJ[Debit]))))</f>
        <v>0</v>
      </c>
      <c r="O170" s="674">
        <f t="array" ref="O170">IF(OR($C170=$C169,$C170=0),0,(SUM(IF((CkDJ[JEV Number]=$C170)*(CkDJ[Account Code]=(O$9)),CkDJ[Debit]))))</f>
        <v>0</v>
      </c>
      <c r="P170" s="722"/>
      <c r="Q170" s="689">
        <f t="array" ref="Q170">IF($C170=0,0,(SUM(IF((CkDJ[JEV Number]=$C170)*(CkDJ[Account Code]=(P170)),CkDJ[Debit]))))</f>
        <v>0</v>
      </c>
      <c r="R170" s="676">
        <f t="shared" si="14"/>
        <v>0</v>
      </c>
    </row>
    <row r="171" spans="1:18">
      <c r="A171" s="771" t="str">
        <f t="array" ref="A171">IF(OR(C171=C170,C171=0),"",INDEX(CkDJ[Date],MATCH(C171,CkDJ[JEV Number],0)))</f>
        <v/>
      </c>
      <c r="B171" s="671"/>
      <c r="C171" s="672" t="str">
        <f t="shared" si="13"/>
        <v>20-01-001</v>
      </c>
      <c r="D171" s="672"/>
      <c r="E171" s="672"/>
      <c r="F171" s="672"/>
      <c r="G171" s="673" t="str">
        <f t="array" ref="G171">IF(OR(C171=C170,C171=0),"",INDEX(CasheirCode[Name],MATCH((INDEX(CkDJ[Sort Code],MATCH(C171,CkDJ[JEV Number],0))),CasheirCode[Sort Code])))</f>
        <v/>
      </c>
      <c r="H171" s="674">
        <f t="array" ref="H171">IF(OR($C171=$C170,$C171=0),0,(SUM(IF((CkDJ[JEV Number]=$C171)*(CkDJ[Account Code]=(H$9)),CkDJ[Credit]))))</f>
        <v>0</v>
      </c>
      <c r="I171" s="674">
        <f t="array" ref="I171">IF(OR($C171=$C170,$C171=0),0,(SUM(IF((CkDJ[JEV Number]=$C171)*(CkDJ[Account Code]=(I$9)),CkDJ[Credit]))))</f>
        <v>0</v>
      </c>
      <c r="J171" s="675"/>
      <c r="K171" s="674">
        <f t="array" ref="K171">IF($C171=0,0,(SUM(IF((CkDJ[JEV Number]=$C171)*(CkDJ[Account Code]=(J171)),CkDJ[Credit]))))</f>
        <v>0</v>
      </c>
      <c r="L171" s="674">
        <f t="array" ref="L171">IF(OR($C171=$C170,$C171=0),0,(SUM(IF((CkDJ[JEV Number]=$C171)*(CkDJ[Account Code]=(L$9)),CkDJ[Debit]))))</f>
        <v>0</v>
      </c>
      <c r="M171" s="674">
        <f t="array" ref="M171">IF(OR($C171=$C170,$C171=0),0,(SUM(IF((CkDJ[JEV Number]=$C171)*(CkDJ[Account Code]=(M$9)),CkDJ[Debit]))))</f>
        <v>0</v>
      </c>
      <c r="N171" s="674">
        <f t="array" ref="N171">IF(OR($C171=$C170,$C171=0),0,(SUM(IF((CkDJ[JEV Number]=$C171)*(CkDJ[Account Code]=(N$9)),CkDJ[Debit]))))</f>
        <v>0</v>
      </c>
      <c r="O171" s="674">
        <f t="array" ref="O171">IF(OR($C171=$C170,$C171=0),0,(SUM(IF((CkDJ[JEV Number]=$C171)*(CkDJ[Account Code]=(O$9)),CkDJ[Debit]))))</f>
        <v>0</v>
      </c>
      <c r="P171" s="722"/>
      <c r="Q171" s="689">
        <f t="array" ref="Q171">IF($C171=0,0,(SUM(IF((CkDJ[JEV Number]=$C171)*(CkDJ[Account Code]=(P171)),CkDJ[Debit]))))</f>
        <v>0</v>
      </c>
      <c r="R171" s="676">
        <f t="shared" si="14"/>
        <v>0</v>
      </c>
    </row>
    <row r="172" spans="1:18">
      <c r="A172" s="771" t="str">
        <f t="array" ref="A172">IF(OR(C172=C171,C172=0),"",INDEX(CkDJ[Date],MATCH(C172,CkDJ[JEV Number],0)))</f>
        <v/>
      </c>
      <c r="B172" s="671"/>
      <c r="C172" s="672" t="str">
        <f t="shared" si="13"/>
        <v>20-01-001</v>
      </c>
      <c r="D172" s="672"/>
      <c r="E172" s="672"/>
      <c r="F172" s="672"/>
      <c r="G172" s="673" t="str">
        <f t="array" ref="G172">IF(OR(C172=C171,C172=0),"",INDEX(CasheirCode[Name],MATCH((INDEX(CkDJ[Sort Code],MATCH(C172,CkDJ[JEV Number],0))),CasheirCode[Sort Code])))</f>
        <v/>
      </c>
      <c r="H172" s="674">
        <f t="array" ref="H172">IF(OR($C172=$C171,$C172=0),0,(SUM(IF((CkDJ[JEV Number]=$C172)*(CkDJ[Account Code]=(H$9)),CkDJ[Credit]))))</f>
        <v>0</v>
      </c>
      <c r="I172" s="674">
        <f t="array" ref="I172">IF(OR($C172=$C171,$C172=0),0,(SUM(IF((CkDJ[JEV Number]=$C172)*(CkDJ[Account Code]=(I$9)),CkDJ[Credit]))))</f>
        <v>0</v>
      </c>
      <c r="J172" s="675"/>
      <c r="K172" s="674">
        <f t="array" ref="K172">IF($C172=0,0,(SUM(IF((CkDJ[JEV Number]=$C172)*(CkDJ[Account Code]=(J172)),CkDJ[Credit]))))</f>
        <v>0</v>
      </c>
      <c r="L172" s="674">
        <f t="array" ref="L172">IF(OR($C172=$C171,$C172=0),0,(SUM(IF((CkDJ[JEV Number]=$C172)*(CkDJ[Account Code]=(L$9)),CkDJ[Debit]))))</f>
        <v>0</v>
      </c>
      <c r="M172" s="674">
        <f t="array" ref="M172">IF(OR($C172=$C171,$C172=0),0,(SUM(IF((CkDJ[JEV Number]=$C172)*(CkDJ[Account Code]=(M$9)),CkDJ[Debit]))))</f>
        <v>0</v>
      </c>
      <c r="N172" s="674">
        <f t="array" ref="N172">IF(OR($C172=$C171,$C172=0),0,(SUM(IF((CkDJ[JEV Number]=$C172)*(CkDJ[Account Code]=(N$9)),CkDJ[Debit]))))</f>
        <v>0</v>
      </c>
      <c r="O172" s="674">
        <f t="array" ref="O172">IF(OR($C172=$C171,$C172=0),0,(SUM(IF((CkDJ[JEV Number]=$C172)*(CkDJ[Account Code]=(O$9)),CkDJ[Debit]))))</f>
        <v>0</v>
      </c>
      <c r="P172" s="722"/>
      <c r="Q172" s="689">
        <f t="array" ref="Q172">IF($C172=0,0,(SUM(IF((CkDJ[JEV Number]=$C172)*(CkDJ[Account Code]=(P172)),CkDJ[Debit]))))</f>
        <v>0</v>
      </c>
      <c r="R172" s="676">
        <f t="shared" si="14"/>
        <v>0</v>
      </c>
    </row>
    <row r="173" spans="1:18">
      <c r="A173" s="771" t="str">
        <f t="array" ref="A173">IF(OR(C173=C172,C173=0),"",INDEX(CkDJ[Date],MATCH(C173,CkDJ[JEV Number],0)))</f>
        <v/>
      </c>
      <c r="B173" s="671"/>
      <c r="C173" s="672" t="str">
        <f t="shared" si="13"/>
        <v>20-01-001</v>
      </c>
      <c r="D173" s="672"/>
      <c r="E173" s="672"/>
      <c r="F173" s="672"/>
      <c r="G173" s="673" t="str">
        <f t="array" ref="G173">IF(OR(C173=C172,C173=0),"",INDEX(CasheirCode[Name],MATCH((INDEX(CkDJ[Sort Code],MATCH(C173,CkDJ[JEV Number],0))),CasheirCode[Sort Code])))</f>
        <v/>
      </c>
      <c r="H173" s="674">
        <f t="array" ref="H173">IF(OR($C173=$C172,$C173=0),0,(SUM(IF((CkDJ[JEV Number]=$C173)*(CkDJ[Account Code]=(H$9)),CkDJ[Credit]))))</f>
        <v>0</v>
      </c>
      <c r="I173" s="674">
        <f t="array" ref="I173">IF(OR($C173=$C172,$C173=0),0,(SUM(IF((CkDJ[JEV Number]=$C173)*(CkDJ[Account Code]=(I$9)),CkDJ[Credit]))))</f>
        <v>0</v>
      </c>
      <c r="J173" s="724"/>
      <c r="K173" s="674">
        <f t="array" ref="K173">IF($C173=0,0,(SUM(IF((CkDJ[JEV Number]=$C173)*(CkDJ[Account Code]=(J173)),CkDJ[Credit]))))</f>
        <v>0</v>
      </c>
      <c r="L173" s="674">
        <f t="array" ref="L173">IF(OR($C173=$C172,$C173=0),0,(SUM(IF((CkDJ[JEV Number]=$C173)*(CkDJ[Account Code]=(L$9)),CkDJ[Debit]))))</f>
        <v>0</v>
      </c>
      <c r="M173" s="674">
        <f t="array" ref="M173">IF(OR($C173=$C172,$C173=0),0,(SUM(IF((CkDJ[JEV Number]=$C173)*(CkDJ[Account Code]=(M$9)),CkDJ[Debit]))))</f>
        <v>0</v>
      </c>
      <c r="N173" s="674">
        <f t="array" ref="N173">IF(OR($C173=$C172,$C173=0),0,(SUM(IF((CkDJ[JEV Number]=$C173)*(CkDJ[Account Code]=(N$9)),CkDJ[Debit]))))</f>
        <v>0</v>
      </c>
      <c r="O173" s="674">
        <f t="array" ref="O173">IF(OR($C173=$C172,$C173=0),0,(SUM(IF((CkDJ[JEV Number]=$C173)*(CkDJ[Account Code]=(O$9)),CkDJ[Debit]))))</f>
        <v>0</v>
      </c>
      <c r="P173" s="722"/>
      <c r="Q173" s="689">
        <f t="array" ref="Q173">IF($C173=0,0,(SUM(IF((CkDJ[JEV Number]=$C173)*(CkDJ[Account Code]=(P173)),CkDJ[Debit]))))</f>
        <v>0</v>
      </c>
      <c r="R173" s="676">
        <f t="shared" si="14"/>
        <v>0</v>
      </c>
    </row>
    <row r="174" spans="1:18">
      <c r="A174" s="771" t="str">
        <f t="array" ref="A174">IF(OR(C174=C173,C174=0),"",INDEX(CkDJ[Date],MATCH(C174,CkDJ[JEV Number],0)))</f>
        <v/>
      </c>
      <c r="B174" s="671"/>
      <c r="C174" s="672" t="str">
        <f t="shared" si="13"/>
        <v>20-01-001</v>
      </c>
      <c r="D174" s="672"/>
      <c r="E174" s="672"/>
      <c r="F174" s="672"/>
      <c r="G174" s="673" t="str">
        <f t="array" ref="G174">IF(OR(C174=C173,C174=0),"",INDEX(CasheirCode[Name],MATCH((INDEX(CkDJ[Sort Code],MATCH(C174,CkDJ[JEV Number],0))),CasheirCode[Sort Code])))</f>
        <v/>
      </c>
      <c r="H174" s="674">
        <f t="array" ref="H174">IF(OR($C174=$C173,$C174=0),0,(SUM(IF((CkDJ[JEV Number]=$C174)*(CkDJ[Account Code]=(H$9)),CkDJ[Credit]))))</f>
        <v>0</v>
      </c>
      <c r="I174" s="674">
        <f t="array" ref="I174">IF(OR($C174=$C173,$C174=0),0,(SUM(IF((CkDJ[JEV Number]=$C174)*(CkDJ[Account Code]=(I$9)),CkDJ[Credit]))))</f>
        <v>0</v>
      </c>
      <c r="J174" s="724"/>
      <c r="K174" s="674">
        <f t="array" ref="K174">IF($C174=0,0,(SUM(IF((CkDJ[JEV Number]=$C174)*(CkDJ[Account Code]=(J174)),CkDJ[Credit]))))</f>
        <v>0</v>
      </c>
      <c r="L174" s="674">
        <f t="array" ref="L174">IF(OR($C174=$C173,$C174=0),0,(SUM(IF((CkDJ[JEV Number]=$C174)*(CkDJ[Account Code]=(L$9)),CkDJ[Debit]))))</f>
        <v>0</v>
      </c>
      <c r="M174" s="674">
        <f t="array" ref="M174">IF(OR($C174=$C173,$C174=0),0,(SUM(IF((CkDJ[JEV Number]=$C174)*(CkDJ[Account Code]=(M$9)),CkDJ[Debit]))))</f>
        <v>0</v>
      </c>
      <c r="N174" s="674">
        <f t="array" ref="N174">IF(OR($C174=$C173,$C174=0),0,(SUM(IF((CkDJ[JEV Number]=$C174)*(CkDJ[Account Code]=(N$9)),CkDJ[Debit]))))</f>
        <v>0</v>
      </c>
      <c r="O174" s="674">
        <f t="array" ref="O174">IF(OR($C174=$C173,$C174=0),0,(SUM(IF((CkDJ[JEV Number]=$C174)*(CkDJ[Account Code]=(O$9)),CkDJ[Debit]))))</f>
        <v>0</v>
      </c>
      <c r="P174" s="722"/>
      <c r="Q174" s="689">
        <f t="array" ref="Q174">IF($C174=0,0,(SUM(IF((CkDJ[JEV Number]=$C174)*(CkDJ[Account Code]=(P174)),CkDJ[Debit]))))</f>
        <v>0</v>
      </c>
      <c r="R174" s="676">
        <f t="shared" si="14"/>
        <v>0</v>
      </c>
    </row>
    <row r="175" spans="1:18">
      <c r="A175" s="771" t="str">
        <f t="array" ref="A175">IF(OR(C175=C174,C175=0),"",INDEX(CkDJ[Date],MATCH(C175,CkDJ[JEV Number],0)))</f>
        <v/>
      </c>
      <c r="B175" s="671"/>
      <c r="C175" s="672" t="str">
        <f t="shared" si="13"/>
        <v>20-01-001</v>
      </c>
      <c r="D175" s="672"/>
      <c r="E175" s="672"/>
      <c r="F175" s="672"/>
      <c r="G175" s="673" t="str">
        <f t="array" ref="G175">IF(OR(C175=C174,C175=0),"",INDEX(CasheirCode[Name],MATCH((INDEX(CkDJ[Sort Code],MATCH(C175,CkDJ[JEV Number],0))),CasheirCode[Sort Code])))</f>
        <v/>
      </c>
      <c r="H175" s="674">
        <f t="array" ref="H175">IF(OR($C175=$C174,$C175=0),0,(SUM(IF((CkDJ[JEV Number]=$C175)*(CkDJ[Account Code]=(H$9)),CkDJ[Credit]))))</f>
        <v>0</v>
      </c>
      <c r="I175" s="674">
        <f t="array" ref="I175">IF(OR($C175=$C174,$C175=0),0,(SUM(IF((CkDJ[JEV Number]=$C175)*(CkDJ[Account Code]=(I$9)),CkDJ[Credit]))))</f>
        <v>0</v>
      </c>
      <c r="J175" s="724"/>
      <c r="K175" s="674">
        <f t="array" ref="K175">IF($C175=0,0,(SUM(IF((CkDJ[JEV Number]=$C175)*(CkDJ[Account Code]=(J175)),CkDJ[Credit]))))</f>
        <v>0</v>
      </c>
      <c r="L175" s="674">
        <f t="array" ref="L175">IF(OR($C175=$C174,$C175=0),0,(SUM(IF((CkDJ[JEV Number]=$C175)*(CkDJ[Account Code]=(L$9)),CkDJ[Debit]))))</f>
        <v>0</v>
      </c>
      <c r="M175" s="674">
        <f t="array" ref="M175">IF(OR($C175=$C174,$C175=0),0,(SUM(IF((CkDJ[JEV Number]=$C175)*(CkDJ[Account Code]=(M$9)),CkDJ[Debit]))))</f>
        <v>0</v>
      </c>
      <c r="N175" s="674">
        <f t="array" ref="N175">IF(OR($C175=$C174,$C175=0),0,(SUM(IF((CkDJ[JEV Number]=$C175)*(CkDJ[Account Code]=(N$9)),CkDJ[Debit]))))</f>
        <v>0</v>
      </c>
      <c r="O175" s="674">
        <f t="array" ref="O175">IF(OR($C175=$C174,$C175=0),0,(SUM(IF((CkDJ[JEV Number]=$C175)*(CkDJ[Account Code]=(O$9)),CkDJ[Debit]))))</f>
        <v>0</v>
      </c>
      <c r="P175" s="722"/>
      <c r="Q175" s="689">
        <f t="array" ref="Q175">IF($C175=0,0,(SUM(IF((CkDJ[JEV Number]=$C175)*(CkDJ[Account Code]=(P175)),CkDJ[Debit]))))</f>
        <v>0</v>
      </c>
      <c r="R175" s="676">
        <f t="shared" si="14"/>
        <v>0</v>
      </c>
    </row>
    <row r="176" spans="1:18">
      <c r="A176" s="771" t="str">
        <f t="array" ref="A176">IF(OR(C176=C175,C176=0),"",INDEX(CkDJ[Date],MATCH(C176,CkDJ[JEV Number],0)))</f>
        <v/>
      </c>
      <c r="B176" s="671"/>
      <c r="C176" s="672" t="str">
        <f t="shared" si="13"/>
        <v>20-01-001</v>
      </c>
      <c r="D176" s="672"/>
      <c r="E176" s="672"/>
      <c r="F176" s="672"/>
      <c r="G176" s="673" t="str">
        <f t="array" ref="G176">IF(OR(C176=C175,C176=0),"",INDEX(CasheirCode[Name],MATCH((INDEX(CkDJ[Sort Code],MATCH(C176,CkDJ[JEV Number],0))),CasheirCode[Sort Code])))</f>
        <v/>
      </c>
      <c r="H176" s="674">
        <f t="array" ref="H176">IF(OR($C176=$C175,$C176=0),0,(SUM(IF((CkDJ[JEV Number]=$C176)*(CkDJ[Account Code]=(H$9)),CkDJ[Credit]))))</f>
        <v>0</v>
      </c>
      <c r="I176" s="674">
        <f t="array" ref="I176">IF(OR($C176=$C175,$C176=0),0,(SUM(IF((CkDJ[JEV Number]=$C176)*(CkDJ[Account Code]=(I$9)),CkDJ[Credit]))))</f>
        <v>0</v>
      </c>
      <c r="J176" s="724"/>
      <c r="K176" s="674">
        <f t="array" ref="K176">IF($C176=0,0,(SUM(IF((CkDJ[JEV Number]=$C176)*(CkDJ[Account Code]=(J176)),CkDJ[Credit]))))</f>
        <v>0</v>
      </c>
      <c r="L176" s="674">
        <f t="array" ref="L176">IF(OR($C176=$C175,$C176=0),0,(SUM(IF((CkDJ[JEV Number]=$C176)*(CkDJ[Account Code]=(L$9)),CkDJ[Debit]))))</f>
        <v>0</v>
      </c>
      <c r="M176" s="674">
        <f t="array" ref="M176">IF(OR($C176=$C175,$C176=0),0,(SUM(IF((CkDJ[JEV Number]=$C176)*(CkDJ[Account Code]=(M$9)),CkDJ[Debit]))))</f>
        <v>0</v>
      </c>
      <c r="N176" s="674">
        <f t="array" ref="N176">IF(OR($C176=$C175,$C176=0),0,(SUM(IF((CkDJ[JEV Number]=$C176)*(CkDJ[Account Code]=(N$9)),CkDJ[Debit]))))</f>
        <v>0</v>
      </c>
      <c r="O176" s="674">
        <f t="array" ref="O176">IF(OR($C176=$C175,$C176=0),0,(SUM(IF((CkDJ[JEV Number]=$C176)*(CkDJ[Account Code]=(O$9)),CkDJ[Debit]))))</f>
        <v>0</v>
      </c>
      <c r="P176" s="722"/>
      <c r="Q176" s="689">
        <f t="array" ref="Q176">IF($C176=0,0,(SUM(IF((CkDJ[JEV Number]=$C176)*(CkDJ[Account Code]=(P176)),CkDJ[Debit]))))</f>
        <v>0</v>
      </c>
      <c r="R176" s="676">
        <f t="shared" si="14"/>
        <v>0</v>
      </c>
    </row>
    <row r="177" spans="1:18">
      <c r="A177" s="771" t="str">
        <f t="array" ref="A177">IF(OR(C177=C176,C177=0),"",INDEX(CkDJ[Date],MATCH(C177,CkDJ[JEV Number],0)))</f>
        <v/>
      </c>
      <c r="B177" s="671"/>
      <c r="C177" s="672" t="str">
        <f t="shared" si="13"/>
        <v>20-01-001</v>
      </c>
      <c r="D177" s="672"/>
      <c r="E177" s="672"/>
      <c r="F177" s="672"/>
      <c r="G177" s="673" t="str">
        <f t="array" ref="G177">IF(OR(C177=C176,C177=0),"",INDEX(CasheirCode[Name],MATCH((INDEX(CkDJ[Sort Code],MATCH(C177,CkDJ[JEV Number],0))),CasheirCode[Sort Code])))</f>
        <v/>
      </c>
      <c r="H177" s="674">
        <f t="array" ref="H177">IF(OR($C177=$C176,$C177=0),0,(SUM(IF((CkDJ[JEV Number]=$C177)*(CkDJ[Account Code]=(H$9)),CkDJ[Credit]))))</f>
        <v>0</v>
      </c>
      <c r="I177" s="674">
        <f t="array" ref="I177">IF(OR($C177=$C176,$C177=0),0,(SUM(IF((CkDJ[JEV Number]=$C177)*(CkDJ[Account Code]=(I$9)),CkDJ[Credit]))))</f>
        <v>0</v>
      </c>
      <c r="J177" s="724"/>
      <c r="K177" s="674">
        <f t="array" ref="K177">IF($C177=0,0,(SUM(IF((CkDJ[JEV Number]=$C177)*(CkDJ[Account Code]=(J177)),CkDJ[Credit]))))</f>
        <v>0</v>
      </c>
      <c r="L177" s="674">
        <f t="array" ref="L177">IF(OR($C177=$C176,$C177=0),0,(SUM(IF((CkDJ[JEV Number]=$C177)*(CkDJ[Account Code]=(L$9)),CkDJ[Debit]))))</f>
        <v>0</v>
      </c>
      <c r="M177" s="674">
        <f t="array" ref="M177">IF(OR($C177=$C176,$C177=0),0,(SUM(IF((CkDJ[JEV Number]=$C177)*(CkDJ[Account Code]=(M$9)),CkDJ[Debit]))))</f>
        <v>0</v>
      </c>
      <c r="N177" s="674">
        <f t="array" ref="N177">IF(OR($C177=$C176,$C177=0),0,(SUM(IF((CkDJ[JEV Number]=$C177)*(CkDJ[Account Code]=(N$9)),CkDJ[Debit]))))</f>
        <v>0</v>
      </c>
      <c r="O177" s="674">
        <f t="array" ref="O177">IF(OR($C177=$C176,$C177=0),0,(SUM(IF((CkDJ[JEV Number]=$C177)*(CkDJ[Account Code]=(O$9)),CkDJ[Debit]))))</f>
        <v>0</v>
      </c>
      <c r="P177" s="722"/>
      <c r="Q177" s="689">
        <f t="array" ref="Q177">IF($C177=0,0,(SUM(IF((CkDJ[JEV Number]=$C177)*(CkDJ[Account Code]=(P177)),CkDJ[Debit]))))</f>
        <v>0</v>
      </c>
      <c r="R177" s="676">
        <f t="shared" si="14"/>
        <v>0</v>
      </c>
    </row>
    <row r="178" spans="1:18">
      <c r="A178" s="771" t="str">
        <f t="array" ref="A178">IF(OR(C178=C177,C178=0),"",INDEX(CkDJ[Date],MATCH(C178,CkDJ[JEV Number],0)))</f>
        <v/>
      </c>
      <c r="B178" s="671"/>
      <c r="C178" s="672" t="str">
        <f t="shared" si="13"/>
        <v>20-01-001</v>
      </c>
      <c r="D178" s="672"/>
      <c r="E178" s="672"/>
      <c r="F178" s="672"/>
      <c r="G178" s="673" t="str">
        <f t="array" ref="G178">IF(OR(C178=C177,C178=0),"",INDEX(CasheirCode[Name],MATCH((INDEX(CkDJ[Sort Code],MATCH(C178,CkDJ[JEV Number],0))),CasheirCode[Sort Code])))</f>
        <v/>
      </c>
      <c r="H178" s="674">
        <f t="array" ref="H178">IF(OR($C178=$C177,$C178=0),0,(SUM(IF((CkDJ[JEV Number]=$C178)*(CkDJ[Account Code]=(H$9)),CkDJ[Credit]))))</f>
        <v>0</v>
      </c>
      <c r="I178" s="674">
        <f t="array" ref="I178">IF(OR($C178=$C177,$C178=0),0,(SUM(IF((CkDJ[JEV Number]=$C178)*(CkDJ[Account Code]=(I$9)),CkDJ[Credit]))))</f>
        <v>0</v>
      </c>
      <c r="J178" s="675"/>
      <c r="K178" s="674">
        <f t="array" ref="K178">IF($C178=0,0,(SUM(IF((CkDJ[JEV Number]=$C178)*(CkDJ[Account Code]=(J178)),CkDJ[Credit]))))</f>
        <v>0</v>
      </c>
      <c r="L178" s="674">
        <f t="array" ref="L178">IF(OR($C178=$C177,$C178=0),0,(SUM(IF((CkDJ[JEV Number]=$C178)*(CkDJ[Account Code]=(L$9)),CkDJ[Debit]))))</f>
        <v>0</v>
      </c>
      <c r="M178" s="674">
        <f t="array" ref="M178">IF(OR($C178=$C177,$C178=0),0,(SUM(IF((CkDJ[JEV Number]=$C178)*(CkDJ[Account Code]=(M$9)),CkDJ[Debit]))))</f>
        <v>0</v>
      </c>
      <c r="N178" s="674">
        <f t="array" ref="N178">IF(OR($C178=$C177,$C178=0),0,(SUM(IF((CkDJ[JEV Number]=$C178)*(CkDJ[Account Code]=(N$9)),CkDJ[Debit]))))</f>
        <v>0</v>
      </c>
      <c r="O178" s="674">
        <f t="array" ref="O178">IF(OR($C178=$C177,$C178=0),0,(SUM(IF((CkDJ[JEV Number]=$C178)*(CkDJ[Account Code]=(O$9)),CkDJ[Debit]))))</f>
        <v>0</v>
      </c>
      <c r="P178" s="722"/>
      <c r="Q178" s="689">
        <f t="array" ref="Q178">IF($C178=0,0,(SUM(IF((CkDJ[JEV Number]=$C178)*(CkDJ[Account Code]=(P178)),CkDJ[Debit]))))</f>
        <v>0</v>
      </c>
      <c r="R178" s="676">
        <f t="shared" si="14"/>
        <v>0</v>
      </c>
    </row>
    <row r="179" spans="1:18">
      <c r="A179" s="771" t="str">
        <f t="array" ref="A179">IF(OR(C179=C178,C179=0),"",INDEX(CkDJ[Date],MATCH(C179,CkDJ[JEV Number],0)))</f>
        <v/>
      </c>
      <c r="B179" s="671"/>
      <c r="C179" s="672" t="str">
        <f t="shared" si="13"/>
        <v>20-01-001</v>
      </c>
      <c r="D179" s="672"/>
      <c r="E179" s="672"/>
      <c r="F179" s="672"/>
      <c r="G179" s="673" t="str">
        <f t="array" ref="G179">IF(OR(C179=C178,C179=0),"",INDEX(CasheirCode[Name],MATCH((INDEX(CkDJ[Sort Code],MATCH(C179,CkDJ[JEV Number],0))),CasheirCode[Sort Code])))</f>
        <v/>
      </c>
      <c r="H179" s="674">
        <f t="array" ref="H179">IF(OR($C179=$C178,$C179=0),0,(SUM(IF((CkDJ[JEV Number]=$C179)*(CkDJ[Account Code]=(H$9)),CkDJ[Credit]))))</f>
        <v>0</v>
      </c>
      <c r="I179" s="674">
        <f t="array" ref="I179">IF(OR($C179=$C178,$C179=0),0,(SUM(IF((CkDJ[JEV Number]=$C179)*(CkDJ[Account Code]=(I$9)),CkDJ[Credit]))))</f>
        <v>0</v>
      </c>
      <c r="J179" s="675"/>
      <c r="K179" s="674">
        <f t="array" ref="K179">IF($C179=0,0,(SUM(IF((CkDJ[JEV Number]=$C179)*(CkDJ[Account Code]=(J179)),CkDJ[Credit]))))</f>
        <v>0</v>
      </c>
      <c r="L179" s="674">
        <f t="array" ref="L179">IF(OR($C179=$C178,$C179=0),0,(SUM(IF((CkDJ[JEV Number]=$C179)*(CkDJ[Account Code]=(L$9)),CkDJ[Debit]))))</f>
        <v>0</v>
      </c>
      <c r="M179" s="674">
        <f t="array" ref="M179">IF(OR($C179=$C178,$C179=0),0,(SUM(IF((CkDJ[JEV Number]=$C179)*(CkDJ[Account Code]=(M$9)),CkDJ[Debit]))))</f>
        <v>0</v>
      </c>
      <c r="N179" s="674">
        <f t="array" ref="N179">IF(OR($C179=$C178,$C179=0),0,(SUM(IF((CkDJ[JEV Number]=$C179)*(CkDJ[Account Code]=(N$9)),CkDJ[Debit]))))</f>
        <v>0</v>
      </c>
      <c r="O179" s="674">
        <f t="array" ref="O179">IF(OR($C179=$C178,$C179=0),0,(SUM(IF((CkDJ[JEV Number]=$C179)*(CkDJ[Account Code]=(O$9)),CkDJ[Debit]))))</f>
        <v>0</v>
      </c>
      <c r="P179" s="722"/>
      <c r="Q179" s="689">
        <f t="array" ref="Q179">IF($C179=0,0,(SUM(IF((CkDJ[JEV Number]=$C179)*(CkDJ[Account Code]=(P179)),CkDJ[Debit]))))</f>
        <v>0</v>
      </c>
      <c r="R179" s="676">
        <f t="shared" si="14"/>
        <v>0</v>
      </c>
    </row>
    <row r="180" spans="1:18">
      <c r="A180" s="771" t="str">
        <f t="array" ref="A180">IF(OR(C180=C179,C180=0),"",INDEX(CkDJ[Date],MATCH(C180,CkDJ[JEV Number],0)))</f>
        <v/>
      </c>
      <c r="B180" s="671"/>
      <c r="C180" s="672" t="str">
        <f t="shared" si="13"/>
        <v>20-01-001</v>
      </c>
      <c r="D180" s="672"/>
      <c r="E180" s="672"/>
      <c r="F180" s="672"/>
      <c r="G180" s="673" t="str">
        <f t="array" ref="G180">IF(OR(C180=C179,C180=0),"",INDEX(CasheirCode[Name],MATCH((INDEX(CkDJ[Sort Code],MATCH(C180,CkDJ[JEV Number],0))),CasheirCode[Sort Code])))</f>
        <v/>
      </c>
      <c r="H180" s="674">
        <f t="array" ref="H180">IF(OR($C180=$C179,$C180=0),0,(SUM(IF((CkDJ[JEV Number]=$C180)*(CkDJ[Account Code]=(H$9)),CkDJ[Credit]))))</f>
        <v>0</v>
      </c>
      <c r="I180" s="674">
        <f t="array" ref="I180">IF(OR($C180=$C179,$C180=0),0,(SUM(IF((CkDJ[JEV Number]=$C180)*(CkDJ[Account Code]=(I$9)),CkDJ[Credit]))))</f>
        <v>0</v>
      </c>
      <c r="J180" s="675"/>
      <c r="K180" s="674">
        <f t="array" ref="K180">IF($C180=0,0,(SUM(IF((CkDJ[JEV Number]=$C180)*(CkDJ[Account Code]=(J180)),CkDJ[Credit]))))</f>
        <v>0</v>
      </c>
      <c r="L180" s="674">
        <f t="array" ref="L180">IF(OR($C180=$C179,$C180=0),0,(SUM(IF((CkDJ[JEV Number]=$C180)*(CkDJ[Account Code]=(L$9)),CkDJ[Debit]))))</f>
        <v>0</v>
      </c>
      <c r="M180" s="674">
        <f t="array" ref="M180">IF(OR($C180=$C179,$C180=0),0,(SUM(IF((CkDJ[JEV Number]=$C180)*(CkDJ[Account Code]=(M$9)),CkDJ[Debit]))))</f>
        <v>0</v>
      </c>
      <c r="N180" s="674">
        <f t="array" ref="N180">IF(OR($C180=$C179,$C180=0),0,(SUM(IF((CkDJ[JEV Number]=$C180)*(CkDJ[Account Code]=(N$9)),CkDJ[Debit]))))</f>
        <v>0</v>
      </c>
      <c r="O180" s="674">
        <f t="array" ref="O180">IF(OR($C180=$C179,$C180=0),0,(SUM(IF((CkDJ[JEV Number]=$C180)*(CkDJ[Account Code]=(O$9)),CkDJ[Debit]))))</f>
        <v>0</v>
      </c>
      <c r="P180" s="722"/>
      <c r="Q180" s="689">
        <f t="array" ref="Q180">IF($C180=0,0,(SUM(IF((CkDJ[JEV Number]=$C180)*(CkDJ[Account Code]=(P180)),CkDJ[Debit]))))</f>
        <v>0</v>
      </c>
      <c r="R180" s="676">
        <f t="shared" si="14"/>
        <v>0</v>
      </c>
    </row>
    <row r="181" spans="1:18">
      <c r="A181" s="771" t="str">
        <f t="array" ref="A181">IF(OR(C181=C180,C181=0),"",INDEX(CkDJ[Date],MATCH(C181,CkDJ[JEV Number],0)))</f>
        <v/>
      </c>
      <c r="B181" s="671"/>
      <c r="C181" s="672" t="str">
        <f t="shared" si="13"/>
        <v>20-01-001</v>
      </c>
      <c r="D181" s="672"/>
      <c r="E181" s="672"/>
      <c r="F181" s="672"/>
      <c r="G181" s="673" t="str">
        <f t="array" ref="G181">IF(OR(C181=C180,C181=0),"",INDEX(CasheirCode[Name],MATCH((INDEX(CkDJ[Sort Code],MATCH(C181,CkDJ[JEV Number],0))),CasheirCode[Sort Code])))</f>
        <v/>
      </c>
      <c r="H181" s="674">
        <f t="array" ref="H181">IF(OR($C181=$C180,$C181=0),0,(SUM(IF((CkDJ[JEV Number]=$C181)*(CkDJ[Account Code]=(H$9)),CkDJ[Credit]))))</f>
        <v>0</v>
      </c>
      <c r="I181" s="674">
        <f t="array" ref="I181">IF(OR($C181=$C180,$C181=0),0,(SUM(IF((CkDJ[JEV Number]=$C181)*(CkDJ[Account Code]=(I$9)),CkDJ[Credit]))))</f>
        <v>0</v>
      </c>
      <c r="J181" s="675"/>
      <c r="K181" s="674">
        <f t="array" ref="K181">IF($C181=0,0,(SUM(IF((CkDJ[JEV Number]=$C181)*(CkDJ[Account Code]=(J181)),CkDJ[Credit]))))</f>
        <v>0</v>
      </c>
      <c r="L181" s="674">
        <f t="array" ref="L181">IF(OR($C181=$C180,$C181=0),0,(SUM(IF((CkDJ[JEV Number]=$C181)*(CkDJ[Account Code]=(L$9)),CkDJ[Debit]))))</f>
        <v>0</v>
      </c>
      <c r="M181" s="674">
        <f t="array" ref="M181">IF(OR($C181=$C180,$C181=0),0,(SUM(IF((CkDJ[JEV Number]=$C181)*(CkDJ[Account Code]=(M$9)),CkDJ[Debit]))))</f>
        <v>0</v>
      </c>
      <c r="N181" s="674">
        <f t="array" ref="N181">IF(OR($C181=$C180,$C181=0),0,(SUM(IF((CkDJ[JEV Number]=$C181)*(CkDJ[Account Code]=(N$9)),CkDJ[Debit]))))</f>
        <v>0</v>
      </c>
      <c r="O181" s="674">
        <f t="array" ref="O181">IF(OR($C181=$C180,$C181=0),0,(SUM(IF((CkDJ[JEV Number]=$C181)*(CkDJ[Account Code]=(O$9)),CkDJ[Debit]))))</f>
        <v>0</v>
      </c>
      <c r="P181" s="722"/>
      <c r="Q181" s="689">
        <f t="array" ref="Q181">IF($C181=0,0,(SUM(IF((CkDJ[JEV Number]=$C181)*(CkDJ[Account Code]=(P181)),CkDJ[Debit]))))</f>
        <v>0</v>
      </c>
      <c r="R181" s="676">
        <f>R180+(SUM(L181:O181)+Q181)-(SUM(H181:I181)+K181)</f>
        <v>0</v>
      </c>
    </row>
    <row r="182" spans="1:18">
      <c r="A182" s="771" t="str">
        <f t="array" ref="A182">IF(OR(C182=C181,C182=0),"",INDEX(CkDJ[Date],MATCH(C182,CkDJ[JEV Number],0)))</f>
        <v/>
      </c>
      <c r="B182" s="671"/>
      <c r="C182" s="672" t="str">
        <f t="shared" si="13"/>
        <v>20-01-001</v>
      </c>
      <c r="D182" s="672"/>
      <c r="E182" s="672"/>
      <c r="F182" s="672"/>
      <c r="G182" s="673" t="str">
        <f t="array" ref="G182">IF(OR(C182=C181,C182=0),"",INDEX(CasheirCode[Name],MATCH((INDEX(CkDJ[Sort Code],MATCH(C182,CkDJ[JEV Number],0))),CasheirCode[Sort Code])))</f>
        <v/>
      </c>
      <c r="H182" s="674">
        <f t="array" ref="H182">IF(OR($C182=$C181,$C182=0),0,(SUM(IF((CkDJ[JEV Number]=$C182)*(CkDJ[Account Code]=(H$9)),CkDJ[Credit]))))</f>
        <v>0</v>
      </c>
      <c r="I182" s="674">
        <f t="array" ref="I182">IF(OR($C182=$C181,$C182=0),0,(SUM(IF((CkDJ[JEV Number]=$C182)*(CkDJ[Account Code]=(I$9)),CkDJ[Credit]))))</f>
        <v>0</v>
      </c>
      <c r="J182" s="675"/>
      <c r="K182" s="674">
        <f t="array" ref="K182">IF($C182=0,0,(SUM(IF((CkDJ[JEV Number]=$C182)*(CkDJ[Account Code]=(J182)),CkDJ[Credit]))))</f>
        <v>0</v>
      </c>
      <c r="L182" s="674">
        <f t="array" ref="L182">IF(OR($C182=$C181,$C182=0),0,(SUM(IF((CkDJ[JEV Number]=$C182)*(CkDJ[Account Code]=(L$9)),CkDJ[Debit]))))</f>
        <v>0</v>
      </c>
      <c r="M182" s="674">
        <f t="array" ref="M182">IF(OR($C182=$C181,$C182=0),0,(SUM(IF((CkDJ[JEV Number]=$C182)*(CkDJ[Account Code]=(M$9)),CkDJ[Debit]))))</f>
        <v>0</v>
      </c>
      <c r="N182" s="674">
        <f t="array" ref="N182">IF(OR($C182=$C181,$C182=0),0,(SUM(IF((CkDJ[JEV Number]=$C182)*(CkDJ[Account Code]=(N$9)),CkDJ[Debit]))))</f>
        <v>0</v>
      </c>
      <c r="O182" s="674">
        <f t="array" ref="O182">IF(OR($C182=$C181,$C182=0),0,(SUM(IF((CkDJ[JEV Number]=$C182)*(CkDJ[Account Code]=(O$9)),CkDJ[Debit]))))</f>
        <v>0</v>
      </c>
      <c r="P182" s="722"/>
      <c r="Q182" s="689">
        <f t="array" ref="Q182">IF($C182=0,0,(SUM(IF((CkDJ[JEV Number]=$C182)*(CkDJ[Account Code]=(P182)),CkDJ[Debit]))))</f>
        <v>0</v>
      </c>
      <c r="R182" s="676">
        <f>R181+(SUM(L182:O182)+Q182)-(SUM(H182:I182)+K182)</f>
        <v>0</v>
      </c>
    </row>
    <row r="183" spans="1:18">
      <c r="A183" s="670" t="str">
        <f t="array" ref="A183">IF(OR(C183=C182,C183=0),"",INDEX(CkDJ[Date],MATCH(C183,CkDJ[JEV Number],0)))</f>
        <v/>
      </c>
      <c r="B183" s="671"/>
      <c r="C183" s="672" t="str">
        <f t="shared" ref="C183:C214" si="15">IF(B183=0,C182,B183)</f>
        <v>20-01-001</v>
      </c>
      <c r="D183" s="672"/>
      <c r="E183" s="672"/>
      <c r="F183" s="672"/>
      <c r="G183" s="673" t="str">
        <f t="array" ref="G183">IF(OR(C183=C182,C183=0),"",INDEX(CasheirCode[Name],MATCH((INDEX(CkDJ[Sort Code],MATCH(C183,CkDJ[JEV Number],0))),CasheirCode[Sort Code])))</f>
        <v/>
      </c>
      <c r="H183" s="674">
        <f t="array" ref="H183">IF(OR($C183=$C182,$C183=0),0,(SUM(IF((CkDJ[JEV Number]=$C183)*(CkDJ[Account Code]=(H$9)),CkDJ[Credit]))))</f>
        <v>0</v>
      </c>
      <c r="I183" s="674">
        <f t="array" ref="I183">IF(OR($C183=$C182,$C183=0),0,(SUM(IF((CkDJ[JEV Number]=$C183)*(CkDJ[Account Code]=(I$9)),CkDJ[Credit]))))</f>
        <v>0</v>
      </c>
      <c r="J183" s="675"/>
      <c r="K183" s="674">
        <f t="array" ref="K183">IF($C183=0,0,(SUM(IF((CkDJ[JEV Number]=$C183)*(CkDJ[Account Code]=(J183)),CkDJ[Credit]))))</f>
        <v>0</v>
      </c>
      <c r="L183" s="674">
        <f t="array" ref="L183">IF(OR($C183=$C182,$C183=0),0,(SUM(IF((CkDJ[JEV Number]=$C183)*(CkDJ[Account Code]=(L$9)),CkDJ[Debit]))))</f>
        <v>0</v>
      </c>
      <c r="M183" s="674">
        <f t="array" ref="M183">IF(OR($C183=$C182,$C183=0),0,(SUM(IF((CkDJ[JEV Number]=$C183)*(CkDJ[Account Code]=(M$9)),CkDJ[Debit]))))</f>
        <v>0</v>
      </c>
      <c r="N183" s="674">
        <f t="array" ref="N183">IF(OR($C183=$C182,$C183=0),0,(SUM(IF((CkDJ[JEV Number]=$C183)*(CkDJ[Account Code]=(N$9)),CkDJ[Debit]))))</f>
        <v>0</v>
      </c>
      <c r="O183" s="674">
        <f t="array" ref="O183">IF(OR($C183=$C182,$C183=0),0,(SUM(IF((CkDJ[JEV Number]=$C183)*(CkDJ[Account Code]=(O$9)),CkDJ[Debit]))))</f>
        <v>0</v>
      </c>
      <c r="P183" s="722"/>
      <c r="Q183" s="689">
        <f t="array" ref="Q183">IF($C183=0,0,(SUM(IF((CkDJ[JEV Number]=$C183)*(CkDJ[Account Code]=(P183)),CkDJ[Debit]))))</f>
        <v>0</v>
      </c>
      <c r="R183" s="676">
        <f t="shared" ref="R183:R214" si="16">R182+(SUM(L183:O183)+Q183)-(SUM(H183:I183)+K183)</f>
        <v>0</v>
      </c>
    </row>
    <row r="184" spans="1:18">
      <c r="A184" s="670" t="str">
        <f t="array" ref="A184">IF(OR(C184=C183,C184=0),"",INDEX(CkDJ[Date],MATCH(C184,CkDJ[JEV Number],0)))</f>
        <v/>
      </c>
      <c r="B184" s="671"/>
      <c r="C184" s="672" t="str">
        <f t="shared" si="15"/>
        <v>20-01-001</v>
      </c>
      <c r="D184" s="672"/>
      <c r="E184" s="672"/>
      <c r="F184" s="672"/>
      <c r="G184" s="673" t="str">
        <f t="array" ref="G184">IF(OR(C184=C183,C184=0),"",INDEX(CasheirCode[Name],MATCH((INDEX(CkDJ[Sort Code],MATCH(C184,CkDJ[JEV Number],0))),CasheirCode[Sort Code])))</f>
        <v/>
      </c>
      <c r="H184" s="674">
        <f t="array" ref="H184">IF(OR($C184=$C183,$C184=0),0,(SUM(IF((CkDJ[JEV Number]=$C184)*(CkDJ[Account Code]=(H$9)),CkDJ[Credit]))))</f>
        <v>0</v>
      </c>
      <c r="I184" s="674">
        <f t="array" ref="I184">IF(OR($C184=$C183,$C184=0),0,(SUM(IF((CkDJ[JEV Number]=$C184)*(CkDJ[Account Code]=(I$9)),CkDJ[Credit]))))</f>
        <v>0</v>
      </c>
      <c r="J184" s="675"/>
      <c r="K184" s="674">
        <f t="array" ref="K184">IF($C184=0,0,(SUM(IF((CkDJ[JEV Number]=$C184)*(CkDJ[Account Code]=(J184)),CkDJ[Credit]))))</f>
        <v>0</v>
      </c>
      <c r="L184" s="674">
        <f t="array" ref="L184">IF(OR($C184=$C183,$C184=0),0,(SUM(IF((CkDJ[JEV Number]=$C184)*(CkDJ[Account Code]=(L$9)),CkDJ[Debit]))))</f>
        <v>0</v>
      </c>
      <c r="M184" s="674">
        <f t="array" ref="M184">IF(OR($C184=$C183,$C184=0),0,(SUM(IF((CkDJ[JEV Number]=$C184)*(CkDJ[Account Code]=(M$9)),CkDJ[Debit]))))</f>
        <v>0</v>
      </c>
      <c r="N184" s="674">
        <f t="array" ref="N184">IF(OR($C184=$C183,$C184=0),0,(SUM(IF((CkDJ[JEV Number]=$C184)*(CkDJ[Account Code]=(N$9)),CkDJ[Debit]))))</f>
        <v>0</v>
      </c>
      <c r="O184" s="674">
        <f t="array" ref="O184">IF(OR($C184=$C183,$C184=0),0,(SUM(IF((CkDJ[JEV Number]=$C184)*(CkDJ[Account Code]=(O$9)),CkDJ[Debit]))))</f>
        <v>0</v>
      </c>
      <c r="P184" s="722"/>
      <c r="Q184" s="689">
        <f t="array" ref="Q184">IF($C184=0,0,(SUM(IF((CkDJ[JEV Number]=$C184)*(CkDJ[Account Code]=(P184)),CkDJ[Debit]))))</f>
        <v>0</v>
      </c>
      <c r="R184" s="676">
        <f t="shared" si="16"/>
        <v>0</v>
      </c>
    </row>
    <row r="185" spans="1:18">
      <c r="A185" s="670" t="str">
        <f t="array" ref="A185">IF(OR(C185=C184,C185=0),"",INDEX(CkDJ[Date],MATCH(C185,CkDJ[JEV Number],0)))</f>
        <v/>
      </c>
      <c r="B185" s="671"/>
      <c r="C185" s="672" t="str">
        <f t="shared" si="15"/>
        <v>20-01-001</v>
      </c>
      <c r="D185" s="672"/>
      <c r="E185" s="672"/>
      <c r="F185" s="672"/>
      <c r="G185" s="673" t="str">
        <f t="array" ref="G185">IF(OR(C185=C184,C185=0),"",INDEX(CasheirCode[Name],MATCH((INDEX(CkDJ[Sort Code],MATCH(C185,CkDJ[JEV Number],0))),CasheirCode[Sort Code])))</f>
        <v/>
      </c>
      <c r="H185" s="674">
        <f t="array" ref="H185">IF(OR($C185=$C184,$C185=0),0,(SUM(IF((CkDJ[JEV Number]=$C185)*(CkDJ[Account Code]=(H$9)),CkDJ[Credit]))))</f>
        <v>0</v>
      </c>
      <c r="I185" s="674">
        <f t="array" ref="I185">IF(OR($C185=$C184,$C185=0),0,(SUM(IF((CkDJ[JEV Number]=$C185)*(CkDJ[Account Code]=(I$9)),CkDJ[Credit]))))</f>
        <v>0</v>
      </c>
      <c r="J185" s="675"/>
      <c r="K185" s="674">
        <f t="array" ref="K185">IF($C185=0,0,(SUM(IF((CkDJ[JEV Number]=$C185)*(CkDJ[Account Code]=(J185)),CkDJ[Credit]))))</f>
        <v>0</v>
      </c>
      <c r="L185" s="674">
        <f t="array" ref="L185">IF(OR($C185=$C184,$C185=0),0,(SUM(IF((CkDJ[JEV Number]=$C185)*(CkDJ[Account Code]=(L$9)),CkDJ[Debit]))))</f>
        <v>0</v>
      </c>
      <c r="M185" s="674">
        <f t="array" ref="M185">IF(OR($C185=$C184,$C185=0),0,(SUM(IF((CkDJ[JEV Number]=$C185)*(CkDJ[Account Code]=(M$9)),CkDJ[Debit]))))</f>
        <v>0</v>
      </c>
      <c r="N185" s="674">
        <f t="array" ref="N185">IF(OR($C185=$C184,$C185=0),0,(SUM(IF((CkDJ[JEV Number]=$C185)*(CkDJ[Account Code]=(N$9)),CkDJ[Debit]))))</f>
        <v>0</v>
      </c>
      <c r="O185" s="674">
        <f t="array" ref="O185">IF(OR($C185=$C184,$C185=0),0,(SUM(IF((CkDJ[JEV Number]=$C185)*(CkDJ[Account Code]=(O$9)),CkDJ[Debit]))))</f>
        <v>0</v>
      </c>
      <c r="P185" s="722"/>
      <c r="Q185" s="689">
        <f t="array" ref="Q185">IF($C185=0,0,(SUM(IF((CkDJ[JEV Number]=$C185)*(CkDJ[Account Code]=(P185)),CkDJ[Debit]))))</f>
        <v>0</v>
      </c>
      <c r="R185" s="676">
        <f t="shared" si="16"/>
        <v>0</v>
      </c>
    </row>
    <row r="186" spans="1:18">
      <c r="A186" s="670" t="str">
        <f t="array" ref="A186">IF(OR(C186=C185,C186=0),"",INDEX(CkDJ[Date],MATCH(C186,CkDJ[JEV Number],0)))</f>
        <v/>
      </c>
      <c r="B186" s="671"/>
      <c r="C186" s="672" t="str">
        <f t="shared" si="15"/>
        <v>20-01-001</v>
      </c>
      <c r="D186" s="672"/>
      <c r="E186" s="672"/>
      <c r="F186" s="672"/>
      <c r="G186" s="673" t="str">
        <f t="array" ref="G186">IF(OR(C186=C185,C186=0),"",INDEX(CasheirCode[Name],MATCH((INDEX(CkDJ[Sort Code],MATCH(C186,CkDJ[JEV Number],0))),CasheirCode[Sort Code])))</f>
        <v/>
      </c>
      <c r="H186" s="674">
        <f t="array" ref="H186">IF(OR($C186=$C185,$C186=0),0,(SUM(IF((CkDJ[JEV Number]=$C186)*(CkDJ[Account Code]=(H$9)),CkDJ[Credit]))))</f>
        <v>0</v>
      </c>
      <c r="I186" s="674">
        <f t="array" ref="I186">IF(OR($C186=$C185,$C186=0),0,(SUM(IF((CkDJ[JEV Number]=$C186)*(CkDJ[Account Code]=(I$9)),CkDJ[Credit]))))</f>
        <v>0</v>
      </c>
      <c r="J186" s="675"/>
      <c r="K186" s="674">
        <f t="array" ref="K186">IF($C186=0,0,(SUM(IF((CkDJ[JEV Number]=$C186)*(CkDJ[Account Code]=(J186)),CkDJ[Credit]))))</f>
        <v>0</v>
      </c>
      <c r="L186" s="674">
        <f t="array" ref="L186">IF(OR($C186=$C185,$C186=0),0,(SUM(IF((CkDJ[JEV Number]=$C186)*(CkDJ[Account Code]=(L$9)),CkDJ[Debit]))))</f>
        <v>0</v>
      </c>
      <c r="M186" s="674">
        <f t="array" ref="M186">IF(OR($C186=$C185,$C186=0),0,(SUM(IF((CkDJ[JEV Number]=$C186)*(CkDJ[Account Code]=(M$9)),CkDJ[Debit]))))</f>
        <v>0</v>
      </c>
      <c r="N186" s="674">
        <f t="array" ref="N186">IF(OR($C186=$C185,$C186=0),0,(SUM(IF((CkDJ[JEV Number]=$C186)*(CkDJ[Account Code]=(N$9)),CkDJ[Debit]))))</f>
        <v>0</v>
      </c>
      <c r="O186" s="674">
        <f t="array" ref="O186">IF(OR($C186=$C185,$C186=0),0,(SUM(IF((CkDJ[JEV Number]=$C186)*(CkDJ[Account Code]=(O$9)),CkDJ[Debit]))))</f>
        <v>0</v>
      </c>
      <c r="P186" s="722"/>
      <c r="Q186" s="689">
        <f t="array" ref="Q186">IF($C186=0,0,(SUM(IF((CkDJ[JEV Number]=$C186)*(CkDJ[Account Code]=(P186)),CkDJ[Debit]))))</f>
        <v>0</v>
      </c>
      <c r="R186" s="676">
        <f t="shared" si="16"/>
        <v>0</v>
      </c>
    </row>
    <row r="187" spans="1:18">
      <c r="A187" s="670" t="str">
        <f t="array" ref="A187">IF(OR(C187=C186,C187=0),"",INDEX(CkDJ[Date],MATCH(C187,CkDJ[JEV Number],0)))</f>
        <v/>
      </c>
      <c r="B187" s="671"/>
      <c r="C187" s="672" t="str">
        <f t="shared" si="15"/>
        <v>20-01-001</v>
      </c>
      <c r="D187" s="672"/>
      <c r="E187" s="672"/>
      <c r="F187" s="672"/>
      <c r="G187" s="673" t="str">
        <f t="array" ref="G187">IF(OR(C187=C186,C187=0),"",INDEX(CasheirCode[Name],MATCH((INDEX(CkDJ[Sort Code],MATCH(C187,CkDJ[JEV Number],0))),CasheirCode[Sort Code])))</f>
        <v/>
      </c>
      <c r="H187" s="674">
        <f t="array" ref="H187">IF(OR($C187=$C186,$C187=0),0,(SUM(IF((CkDJ[JEV Number]=$C187)*(CkDJ[Account Code]=(H$9)),CkDJ[Credit]))))</f>
        <v>0</v>
      </c>
      <c r="I187" s="674">
        <f t="array" ref="I187">IF(OR($C187=$C186,$C187=0),0,(SUM(IF((CkDJ[JEV Number]=$C187)*(CkDJ[Account Code]=(I$9)),CkDJ[Credit]))))</f>
        <v>0</v>
      </c>
      <c r="J187" s="675"/>
      <c r="K187" s="674">
        <f t="array" ref="K187">IF($C187=0,0,(SUM(IF((CkDJ[JEV Number]=$C187)*(CkDJ[Account Code]=(J187)),CkDJ[Credit]))))</f>
        <v>0</v>
      </c>
      <c r="L187" s="674">
        <f t="array" ref="L187">IF(OR($C187=$C186,$C187=0),0,(SUM(IF((CkDJ[JEV Number]=$C187)*(CkDJ[Account Code]=(L$9)),CkDJ[Debit]))))</f>
        <v>0</v>
      </c>
      <c r="M187" s="674">
        <f t="array" ref="M187">IF(OR($C187=$C186,$C187=0),0,(SUM(IF((CkDJ[JEV Number]=$C187)*(CkDJ[Account Code]=(M$9)),CkDJ[Debit]))))</f>
        <v>0</v>
      </c>
      <c r="N187" s="674">
        <f t="array" ref="N187">IF(OR($C187=$C186,$C187=0),0,(SUM(IF((CkDJ[JEV Number]=$C187)*(CkDJ[Account Code]=(N$9)),CkDJ[Debit]))))</f>
        <v>0</v>
      </c>
      <c r="O187" s="674">
        <f t="array" ref="O187">IF(OR($C187=$C186,$C187=0),0,(SUM(IF((CkDJ[JEV Number]=$C187)*(CkDJ[Account Code]=(O$9)),CkDJ[Debit]))))</f>
        <v>0</v>
      </c>
      <c r="P187" s="722"/>
      <c r="Q187" s="689">
        <f t="array" ref="Q187">IF($C187=0,0,(SUM(IF((CkDJ[JEV Number]=$C187)*(CkDJ[Account Code]=(P187)),CkDJ[Debit]))))</f>
        <v>0</v>
      </c>
      <c r="R187" s="676">
        <f t="shared" si="16"/>
        <v>0</v>
      </c>
    </row>
    <row r="188" spans="1:18">
      <c r="A188" s="670" t="str">
        <f t="array" ref="A188">IF(OR(C188=C187,C188=0),"",INDEX(CkDJ[Date],MATCH(C188,CkDJ[JEV Number],0)))</f>
        <v/>
      </c>
      <c r="B188" s="671"/>
      <c r="C188" s="672" t="str">
        <f t="shared" si="15"/>
        <v>20-01-001</v>
      </c>
      <c r="D188" s="672"/>
      <c r="E188" s="672"/>
      <c r="F188" s="672"/>
      <c r="G188" s="673" t="str">
        <f t="array" ref="G188">IF(OR(C188=C187,C188=0),"",INDEX(CasheirCode[Name],MATCH((INDEX(CkDJ[Sort Code],MATCH(C188,CkDJ[JEV Number],0))),CasheirCode[Sort Code])))</f>
        <v/>
      </c>
      <c r="H188" s="674">
        <f t="array" ref="H188">IF(OR($C188=$C187,$C188=0),0,(SUM(IF((CkDJ[JEV Number]=$C188)*(CkDJ[Account Code]=(H$9)),CkDJ[Credit]))))</f>
        <v>0</v>
      </c>
      <c r="I188" s="674">
        <f t="array" ref="I188">IF(OR($C188=$C187,$C188=0),0,(SUM(IF((CkDJ[JEV Number]=$C188)*(CkDJ[Account Code]=(I$9)),CkDJ[Credit]))))</f>
        <v>0</v>
      </c>
      <c r="J188" s="675"/>
      <c r="K188" s="674">
        <f t="array" ref="K188">IF($C188=0,0,(SUM(IF((CkDJ[JEV Number]=$C188)*(CkDJ[Account Code]=(J188)),CkDJ[Credit]))))</f>
        <v>0</v>
      </c>
      <c r="L188" s="674">
        <f t="array" ref="L188">IF(OR($C188=$C187,$C188=0),0,(SUM(IF((CkDJ[JEV Number]=$C188)*(CkDJ[Account Code]=(L$9)),CkDJ[Debit]))))</f>
        <v>0</v>
      </c>
      <c r="M188" s="674">
        <f t="array" ref="M188">IF(OR($C188=$C187,$C188=0),0,(SUM(IF((CkDJ[JEV Number]=$C188)*(CkDJ[Account Code]=(M$9)),CkDJ[Debit]))))</f>
        <v>0</v>
      </c>
      <c r="N188" s="674">
        <f t="array" ref="N188">IF(OR($C188=$C187,$C188=0),0,(SUM(IF((CkDJ[JEV Number]=$C188)*(CkDJ[Account Code]=(N$9)),CkDJ[Debit]))))</f>
        <v>0</v>
      </c>
      <c r="O188" s="674">
        <f t="array" ref="O188">IF(OR($C188=$C187,$C188=0),0,(SUM(IF((CkDJ[JEV Number]=$C188)*(CkDJ[Account Code]=(O$9)),CkDJ[Debit]))))</f>
        <v>0</v>
      </c>
      <c r="P188" s="722"/>
      <c r="Q188" s="689">
        <f t="array" ref="Q188">IF($C188=0,0,(SUM(IF((CkDJ[JEV Number]=$C188)*(CkDJ[Account Code]=(P188)),CkDJ[Debit]))))</f>
        <v>0</v>
      </c>
      <c r="R188" s="676">
        <f t="shared" si="16"/>
        <v>0</v>
      </c>
    </row>
    <row r="189" spans="1:18">
      <c r="A189" s="670" t="str">
        <f t="array" ref="A189">IF(OR(C189=C188,C189=0),"",INDEX(CkDJ[Date],MATCH(C189,CkDJ[JEV Number],0)))</f>
        <v/>
      </c>
      <c r="B189" s="671"/>
      <c r="C189" s="672" t="str">
        <f t="shared" si="15"/>
        <v>20-01-001</v>
      </c>
      <c r="D189" s="672"/>
      <c r="E189" s="672"/>
      <c r="F189" s="672"/>
      <c r="G189" s="673" t="str">
        <f t="array" ref="G189">IF(OR(C189=C188,C189=0),"",INDEX(CasheirCode[Name],MATCH((INDEX(CkDJ[Sort Code],MATCH(C189,CkDJ[JEV Number],0))),CasheirCode[Sort Code])))</f>
        <v/>
      </c>
      <c r="H189" s="674">
        <f t="array" ref="H189">IF(OR($C189=$C188,$C189=0),0,(SUM(IF((CkDJ[JEV Number]=$C189)*(CkDJ[Account Code]=(H$9)),CkDJ[Credit]))))</f>
        <v>0</v>
      </c>
      <c r="I189" s="674">
        <f t="array" ref="I189">IF(OR($C189=$C188,$C189=0),0,(SUM(IF((CkDJ[JEV Number]=$C189)*(CkDJ[Account Code]=(I$9)),CkDJ[Credit]))))</f>
        <v>0</v>
      </c>
      <c r="J189" s="675"/>
      <c r="K189" s="674">
        <f t="array" ref="K189">IF($C189=0,0,(SUM(IF((CkDJ[JEV Number]=$C189)*(CkDJ[Account Code]=(J189)),CkDJ[Credit]))))</f>
        <v>0</v>
      </c>
      <c r="L189" s="674">
        <f t="array" ref="L189">IF(OR($C189=$C188,$C189=0),0,(SUM(IF((CkDJ[JEV Number]=$C189)*(CkDJ[Account Code]=(L$9)),CkDJ[Debit]))))</f>
        <v>0</v>
      </c>
      <c r="M189" s="674">
        <f t="array" ref="M189">IF(OR($C189=$C188,$C189=0),0,(SUM(IF((CkDJ[JEV Number]=$C189)*(CkDJ[Account Code]=(M$9)),CkDJ[Debit]))))</f>
        <v>0</v>
      </c>
      <c r="N189" s="674">
        <f t="array" ref="N189">IF(OR($C189=$C188,$C189=0),0,(SUM(IF((CkDJ[JEV Number]=$C189)*(CkDJ[Account Code]=(N$9)),CkDJ[Debit]))))</f>
        <v>0</v>
      </c>
      <c r="O189" s="674">
        <f t="array" ref="O189">IF(OR($C189=$C188,$C189=0),0,(SUM(IF((CkDJ[JEV Number]=$C189)*(CkDJ[Account Code]=(O$9)),CkDJ[Debit]))))</f>
        <v>0</v>
      </c>
      <c r="P189" s="722"/>
      <c r="Q189" s="689">
        <f t="array" ref="Q189">IF($C189=0,0,(SUM(IF((CkDJ[JEV Number]=$C189)*(CkDJ[Account Code]=(P189)),CkDJ[Debit]))))</f>
        <v>0</v>
      </c>
      <c r="R189" s="676">
        <f t="shared" si="16"/>
        <v>0</v>
      </c>
    </row>
    <row r="190" spans="1:18">
      <c r="A190" s="670" t="str">
        <f t="array" ref="A190">IF(OR(C190=C189,C190=0),"",INDEX(CkDJ[Date],MATCH(C190,CkDJ[JEV Number],0)))</f>
        <v/>
      </c>
      <c r="B190" s="671"/>
      <c r="C190" s="672" t="str">
        <f t="shared" si="15"/>
        <v>20-01-001</v>
      </c>
      <c r="D190" s="672"/>
      <c r="E190" s="672"/>
      <c r="F190" s="672"/>
      <c r="G190" s="673" t="str">
        <f t="array" ref="G190">IF(OR(C190=C189,C190=0),"",INDEX(CasheirCode[Name],MATCH((INDEX(CkDJ[Sort Code],MATCH(C190,CkDJ[JEV Number],0))),CasheirCode[Sort Code])))</f>
        <v/>
      </c>
      <c r="H190" s="674">
        <f t="array" ref="H190">IF(OR($C190=$C189,$C190=0),0,(SUM(IF((CkDJ[JEV Number]=$C190)*(CkDJ[Account Code]=(H$9)),CkDJ[Credit]))))</f>
        <v>0</v>
      </c>
      <c r="I190" s="674">
        <f t="array" ref="I190">IF(OR($C190=$C189,$C190=0),0,(SUM(IF((CkDJ[JEV Number]=$C190)*(CkDJ[Account Code]=(I$9)),CkDJ[Credit]))))</f>
        <v>0</v>
      </c>
      <c r="J190" s="675"/>
      <c r="K190" s="674">
        <f t="array" ref="K190">IF($C190=0,0,(SUM(IF((CkDJ[JEV Number]=$C190)*(CkDJ[Account Code]=(J190)),CkDJ[Credit]))))</f>
        <v>0</v>
      </c>
      <c r="L190" s="674">
        <f t="array" ref="L190">IF(OR($C190=$C189,$C190=0),0,(SUM(IF((CkDJ[JEV Number]=$C190)*(CkDJ[Account Code]=(L$9)),CkDJ[Debit]))))</f>
        <v>0</v>
      </c>
      <c r="M190" s="674">
        <f t="array" ref="M190">IF(OR($C190=$C189,$C190=0),0,(SUM(IF((CkDJ[JEV Number]=$C190)*(CkDJ[Account Code]=(M$9)),CkDJ[Debit]))))</f>
        <v>0</v>
      </c>
      <c r="N190" s="674">
        <f t="array" ref="N190">IF(OR($C190=$C189,$C190=0),0,(SUM(IF((CkDJ[JEV Number]=$C190)*(CkDJ[Account Code]=(N$9)),CkDJ[Debit]))))</f>
        <v>0</v>
      </c>
      <c r="O190" s="674">
        <f t="array" ref="O190">IF(OR($C190=$C189,$C190=0),0,(SUM(IF((CkDJ[JEV Number]=$C190)*(CkDJ[Account Code]=(O$9)),CkDJ[Debit]))))</f>
        <v>0</v>
      </c>
      <c r="P190" s="722"/>
      <c r="Q190" s="689">
        <f t="array" ref="Q190">IF($C190=0,0,(SUM(IF((CkDJ[JEV Number]=$C190)*(CkDJ[Account Code]=(P190)),CkDJ[Debit]))))</f>
        <v>0</v>
      </c>
      <c r="R190" s="676">
        <f t="shared" si="16"/>
        <v>0</v>
      </c>
    </row>
    <row r="191" spans="1:18">
      <c r="A191" s="670" t="str">
        <f t="array" ref="A191">IF(OR(C191=C190,C191=0),"",INDEX(CkDJ[Date],MATCH(C191,CkDJ[JEV Number],0)))</f>
        <v/>
      </c>
      <c r="B191" s="671"/>
      <c r="C191" s="672" t="str">
        <f t="shared" si="15"/>
        <v>20-01-001</v>
      </c>
      <c r="D191" s="672"/>
      <c r="E191" s="672"/>
      <c r="F191" s="672"/>
      <c r="G191" s="673" t="str">
        <f t="array" ref="G191">IF(OR(C191=C190,C191=0),"",INDEX(CasheirCode[Name],MATCH((INDEX(CkDJ[Sort Code],MATCH(C191,CkDJ[JEV Number],0))),CasheirCode[Sort Code])))</f>
        <v/>
      </c>
      <c r="H191" s="674">
        <f t="array" ref="H191">IF(OR($C191=$C190,$C191=0),0,(SUM(IF((CkDJ[JEV Number]=$C191)*(CkDJ[Account Code]=(H$9)),CkDJ[Credit]))))</f>
        <v>0</v>
      </c>
      <c r="I191" s="674">
        <f t="array" ref="I191">IF(OR($C191=$C190,$C191=0),0,(SUM(IF((CkDJ[JEV Number]=$C191)*(CkDJ[Account Code]=(I$9)),CkDJ[Credit]))))</f>
        <v>0</v>
      </c>
      <c r="J191" s="675"/>
      <c r="K191" s="674">
        <f t="array" ref="K191">IF($C191=0,0,(SUM(IF((CkDJ[JEV Number]=$C191)*(CkDJ[Account Code]=(J191)),CkDJ[Credit]))))</f>
        <v>0</v>
      </c>
      <c r="L191" s="674">
        <f t="array" ref="L191">IF(OR($C191=$C190,$C191=0),0,(SUM(IF((CkDJ[JEV Number]=$C191)*(CkDJ[Account Code]=(L$9)),CkDJ[Debit]))))</f>
        <v>0</v>
      </c>
      <c r="M191" s="674">
        <f t="array" ref="M191">IF(OR($C191=$C190,$C191=0),0,(SUM(IF((CkDJ[JEV Number]=$C191)*(CkDJ[Account Code]=(M$9)),CkDJ[Debit]))))</f>
        <v>0</v>
      </c>
      <c r="N191" s="674">
        <f t="array" ref="N191">IF(OR($C191=$C190,$C191=0),0,(SUM(IF((CkDJ[JEV Number]=$C191)*(CkDJ[Account Code]=(N$9)),CkDJ[Debit]))))</f>
        <v>0</v>
      </c>
      <c r="O191" s="674">
        <f t="array" ref="O191">IF(OR($C191=$C190,$C191=0),0,(SUM(IF((CkDJ[JEV Number]=$C191)*(CkDJ[Account Code]=(O$9)),CkDJ[Debit]))))</f>
        <v>0</v>
      </c>
      <c r="P191" s="722"/>
      <c r="Q191" s="689">
        <f t="array" ref="Q191">IF($C191=0,0,(SUM(IF((CkDJ[JEV Number]=$C191)*(CkDJ[Account Code]=(P191)),CkDJ[Debit]))))</f>
        <v>0</v>
      </c>
      <c r="R191" s="676">
        <f t="shared" si="16"/>
        <v>0</v>
      </c>
    </row>
    <row r="192" spans="1:18">
      <c r="A192" s="670" t="str">
        <f t="array" ref="A192">IF(OR(C192=C191,C192=0),"",INDEX(CkDJ[Date],MATCH(C192,CkDJ[JEV Number],0)))</f>
        <v/>
      </c>
      <c r="B192" s="671"/>
      <c r="C192" s="672" t="str">
        <f t="shared" si="15"/>
        <v>20-01-001</v>
      </c>
      <c r="D192" s="672"/>
      <c r="E192" s="672"/>
      <c r="F192" s="672"/>
      <c r="G192" s="673" t="str">
        <f t="array" ref="G192">IF(OR(C192=C191,C192=0),"",INDEX(CasheirCode[Name],MATCH((INDEX(CkDJ[Sort Code],MATCH(C192,CkDJ[JEV Number],0))),CasheirCode[Sort Code])))</f>
        <v/>
      </c>
      <c r="H192" s="674">
        <f t="array" ref="H192">IF(OR($C192=$C191,$C192=0),0,(SUM(IF((CkDJ[JEV Number]=$C192)*(CkDJ[Account Code]=(H$9)),CkDJ[Credit]))))</f>
        <v>0</v>
      </c>
      <c r="I192" s="674">
        <f t="array" ref="I192">IF(OR($C192=$C191,$C192=0),0,(SUM(IF((CkDJ[JEV Number]=$C192)*(CkDJ[Account Code]=(I$9)),CkDJ[Credit]))))</f>
        <v>0</v>
      </c>
      <c r="J192" s="675"/>
      <c r="K192" s="674">
        <f t="array" ref="K192">IF($C192=0,0,(SUM(IF((CkDJ[JEV Number]=$C192)*(CkDJ[Account Code]=(J192)),CkDJ[Credit]))))</f>
        <v>0</v>
      </c>
      <c r="L192" s="674">
        <f t="array" ref="L192">IF(OR($C192=$C191,$C192=0),0,(SUM(IF((CkDJ[JEV Number]=$C192)*(CkDJ[Account Code]=(L$9)),CkDJ[Debit]))))</f>
        <v>0</v>
      </c>
      <c r="M192" s="674">
        <f t="array" ref="M192">IF(OR($C192=$C191,$C192=0),0,(SUM(IF((CkDJ[JEV Number]=$C192)*(CkDJ[Account Code]=(M$9)),CkDJ[Debit]))))</f>
        <v>0</v>
      </c>
      <c r="N192" s="674">
        <f t="array" ref="N192">IF(OR($C192=$C191,$C192=0),0,(SUM(IF((CkDJ[JEV Number]=$C192)*(CkDJ[Account Code]=(N$9)),CkDJ[Debit]))))</f>
        <v>0</v>
      </c>
      <c r="O192" s="674">
        <f t="array" ref="O192">IF(OR($C192=$C191,$C192=0),0,(SUM(IF((CkDJ[JEV Number]=$C192)*(CkDJ[Account Code]=(O$9)),CkDJ[Debit]))))</f>
        <v>0</v>
      </c>
      <c r="P192" s="722"/>
      <c r="Q192" s="689">
        <f t="array" ref="Q192">IF($C192=0,0,(SUM(IF((CkDJ[JEV Number]=$C192)*(CkDJ[Account Code]=(P192)),CkDJ[Debit]))))</f>
        <v>0</v>
      </c>
      <c r="R192" s="676">
        <f t="shared" si="16"/>
        <v>0</v>
      </c>
    </row>
    <row r="193" spans="1:18">
      <c r="A193" s="670" t="str">
        <f t="array" ref="A193">IF(OR(C193=C192,C193=0),"",INDEX(CkDJ[Date],MATCH(C193,CkDJ[JEV Number],0)))</f>
        <v/>
      </c>
      <c r="B193" s="671"/>
      <c r="C193" s="672" t="str">
        <f t="shared" si="15"/>
        <v>20-01-001</v>
      </c>
      <c r="D193" s="672"/>
      <c r="E193" s="672"/>
      <c r="F193" s="672"/>
      <c r="G193" s="673" t="str">
        <f t="array" ref="G193">IF(OR(C193=C192,C193=0),"",INDEX(CasheirCode[Name],MATCH((INDEX(CkDJ[Sort Code],MATCH(C193,CkDJ[JEV Number],0))),CasheirCode[Sort Code])))</f>
        <v/>
      </c>
      <c r="H193" s="674">
        <f t="array" ref="H193">IF(OR($C193=$C192,$C193=0),0,(SUM(IF((CkDJ[JEV Number]=$C193)*(CkDJ[Account Code]=(H$9)),CkDJ[Credit]))))</f>
        <v>0</v>
      </c>
      <c r="I193" s="674">
        <f t="array" ref="I193">IF(OR($C193=$C192,$C193=0),0,(SUM(IF((CkDJ[JEV Number]=$C193)*(CkDJ[Account Code]=(I$9)),CkDJ[Credit]))))</f>
        <v>0</v>
      </c>
      <c r="J193" s="675"/>
      <c r="K193" s="674">
        <f t="array" ref="K193">IF($C193=0,0,(SUM(IF((CkDJ[JEV Number]=$C193)*(CkDJ[Account Code]=(J193)),CkDJ[Credit]))))</f>
        <v>0</v>
      </c>
      <c r="L193" s="674">
        <f t="array" ref="L193">IF(OR($C193=$C192,$C193=0),0,(SUM(IF((CkDJ[JEV Number]=$C193)*(CkDJ[Account Code]=(L$9)),CkDJ[Debit]))))</f>
        <v>0</v>
      </c>
      <c r="M193" s="674">
        <f t="array" ref="M193">IF(OR($C193=$C192,$C193=0),0,(SUM(IF((CkDJ[JEV Number]=$C193)*(CkDJ[Account Code]=(M$9)),CkDJ[Debit]))))</f>
        <v>0</v>
      </c>
      <c r="N193" s="674">
        <f t="array" ref="N193">IF(OR($C193=$C192,$C193=0),0,(SUM(IF((CkDJ[JEV Number]=$C193)*(CkDJ[Account Code]=(N$9)),CkDJ[Debit]))))</f>
        <v>0</v>
      </c>
      <c r="O193" s="674">
        <f t="array" ref="O193">IF(OR($C193=$C192,$C193=0),0,(SUM(IF((CkDJ[JEV Number]=$C193)*(CkDJ[Account Code]=(O$9)),CkDJ[Debit]))))</f>
        <v>0</v>
      </c>
      <c r="P193" s="722"/>
      <c r="Q193" s="689">
        <f t="array" ref="Q193">IF($C193=0,0,(SUM(IF((CkDJ[JEV Number]=$C193)*(CkDJ[Account Code]=(P193)),CkDJ[Debit]))))</f>
        <v>0</v>
      </c>
      <c r="R193" s="676">
        <f t="shared" si="16"/>
        <v>0</v>
      </c>
    </row>
    <row r="194" spans="1:18">
      <c r="A194" s="670" t="str">
        <f t="array" ref="A194">IF(OR(C194=C193,C194=0),"",INDEX(CkDJ[Date],MATCH(C194,CkDJ[JEV Number],0)))</f>
        <v/>
      </c>
      <c r="B194" s="671"/>
      <c r="C194" s="672" t="str">
        <f t="shared" si="15"/>
        <v>20-01-001</v>
      </c>
      <c r="D194" s="672"/>
      <c r="E194" s="672"/>
      <c r="F194" s="672"/>
      <c r="G194" s="673" t="str">
        <f t="array" ref="G194">IF(OR(C194=C193,C194=0),"",INDEX(CasheirCode[Name],MATCH((INDEX(CkDJ[Sort Code],MATCH(C194,CkDJ[JEV Number],0))),CasheirCode[Sort Code])))</f>
        <v/>
      </c>
      <c r="H194" s="674">
        <f t="array" ref="H194">IF(OR($C194=$C193,$C194=0),0,(SUM(IF((CkDJ[JEV Number]=$C194)*(CkDJ[Account Code]=(H$9)),CkDJ[Credit]))))</f>
        <v>0</v>
      </c>
      <c r="I194" s="674">
        <f t="array" ref="I194">IF(OR($C194=$C193,$C194=0),0,(SUM(IF((CkDJ[JEV Number]=$C194)*(CkDJ[Account Code]=(I$9)),CkDJ[Credit]))))</f>
        <v>0</v>
      </c>
      <c r="J194" s="675"/>
      <c r="K194" s="674">
        <f t="array" ref="K194">IF($C194=0,0,(SUM(IF((CkDJ[JEV Number]=$C194)*(CkDJ[Account Code]=(J194)),CkDJ[Credit]))))</f>
        <v>0</v>
      </c>
      <c r="L194" s="674">
        <f t="array" ref="L194">IF(OR($C194=$C193,$C194=0),0,(SUM(IF((CkDJ[JEV Number]=$C194)*(CkDJ[Account Code]=(L$9)),CkDJ[Debit]))))</f>
        <v>0</v>
      </c>
      <c r="M194" s="674">
        <f t="array" ref="M194">IF(OR($C194=$C193,$C194=0),0,(SUM(IF((CkDJ[JEV Number]=$C194)*(CkDJ[Account Code]=(M$9)),CkDJ[Debit]))))</f>
        <v>0</v>
      </c>
      <c r="N194" s="674">
        <f t="array" ref="N194">IF(OR($C194=$C193,$C194=0),0,(SUM(IF((CkDJ[JEV Number]=$C194)*(CkDJ[Account Code]=(N$9)),CkDJ[Debit]))))</f>
        <v>0</v>
      </c>
      <c r="O194" s="674">
        <f t="array" ref="O194">IF(OR($C194=$C193,$C194=0),0,(SUM(IF((CkDJ[JEV Number]=$C194)*(CkDJ[Account Code]=(O$9)),CkDJ[Debit]))))</f>
        <v>0</v>
      </c>
      <c r="P194" s="722"/>
      <c r="Q194" s="689">
        <f t="array" ref="Q194">IF($C194=0,0,(SUM(IF((CkDJ[JEV Number]=$C194)*(CkDJ[Account Code]=(P194)),CkDJ[Debit]))))</f>
        <v>0</v>
      </c>
      <c r="R194" s="676">
        <f t="shared" si="16"/>
        <v>0</v>
      </c>
    </row>
    <row r="195" spans="1:18">
      <c r="A195" s="670" t="str">
        <f t="array" ref="A195">IF(OR(C195=C194,C195=0),"",INDEX(CkDJ[Date],MATCH(C195,CkDJ[JEV Number],0)))</f>
        <v/>
      </c>
      <c r="B195" s="671"/>
      <c r="C195" s="672" t="str">
        <f t="shared" si="15"/>
        <v>20-01-001</v>
      </c>
      <c r="D195" s="672"/>
      <c r="E195" s="672"/>
      <c r="F195" s="672"/>
      <c r="G195" s="673" t="str">
        <f t="array" ref="G195">IF(OR(C195=C194,C195=0),"",INDEX(CasheirCode[Name],MATCH((INDEX(CkDJ[Sort Code],MATCH(C195,CkDJ[JEV Number],0))),CasheirCode[Sort Code])))</f>
        <v/>
      </c>
      <c r="H195" s="674">
        <f t="array" ref="H195">IF(OR($C195=$C194,$C195=0),0,(SUM(IF((CkDJ[JEV Number]=$C195)*(CkDJ[Account Code]=(H$9)),CkDJ[Credit]))))</f>
        <v>0</v>
      </c>
      <c r="I195" s="674">
        <f t="array" ref="I195">IF(OR($C195=$C194,$C195=0),0,(SUM(IF((CkDJ[JEV Number]=$C195)*(CkDJ[Account Code]=(I$9)),CkDJ[Credit]))))</f>
        <v>0</v>
      </c>
      <c r="J195" s="675"/>
      <c r="K195" s="674">
        <f t="array" ref="K195">IF($C195=0,0,(SUM(IF((CkDJ[JEV Number]=$C195)*(CkDJ[Account Code]=(J195)),CkDJ[Credit]))))</f>
        <v>0</v>
      </c>
      <c r="L195" s="674">
        <f t="array" ref="L195">IF(OR($C195=$C194,$C195=0),0,(SUM(IF((CkDJ[JEV Number]=$C195)*(CkDJ[Account Code]=(L$9)),CkDJ[Debit]))))</f>
        <v>0</v>
      </c>
      <c r="M195" s="674">
        <f t="array" ref="M195">IF(OR($C195=$C194,$C195=0),0,(SUM(IF((CkDJ[JEV Number]=$C195)*(CkDJ[Account Code]=(M$9)),CkDJ[Debit]))))</f>
        <v>0</v>
      </c>
      <c r="N195" s="674">
        <f t="array" ref="N195">IF(OR($C195=$C194,$C195=0),0,(SUM(IF((CkDJ[JEV Number]=$C195)*(CkDJ[Account Code]=(N$9)),CkDJ[Debit]))))</f>
        <v>0</v>
      </c>
      <c r="O195" s="674">
        <f t="array" ref="O195">IF(OR($C195=$C194,$C195=0),0,(SUM(IF((CkDJ[JEV Number]=$C195)*(CkDJ[Account Code]=(O$9)),CkDJ[Debit]))))</f>
        <v>0</v>
      </c>
      <c r="P195" s="722"/>
      <c r="Q195" s="689">
        <f t="array" ref="Q195">IF($C195=0,0,(SUM(IF((CkDJ[JEV Number]=$C195)*(CkDJ[Account Code]=(P195)),CkDJ[Debit]))))</f>
        <v>0</v>
      </c>
      <c r="R195" s="676">
        <f t="shared" si="16"/>
        <v>0</v>
      </c>
    </row>
    <row r="196" spans="1:18">
      <c r="A196" s="670" t="str">
        <f t="array" ref="A196">IF(OR(C196=C195,C196=0),"",INDEX(CkDJ[Date],MATCH(C196,CkDJ[JEV Number],0)))</f>
        <v/>
      </c>
      <c r="B196" s="671"/>
      <c r="C196" s="672" t="str">
        <f t="shared" si="15"/>
        <v>20-01-001</v>
      </c>
      <c r="D196" s="672"/>
      <c r="E196" s="672"/>
      <c r="F196" s="672"/>
      <c r="G196" s="673" t="str">
        <f t="array" ref="G196">IF(OR(C196=C195,C196=0),"",INDEX(CasheirCode[Name],MATCH((INDEX(CkDJ[Sort Code],MATCH(C196,CkDJ[JEV Number],0))),CasheirCode[Sort Code])))</f>
        <v/>
      </c>
      <c r="H196" s="674">
        <f t="array" ref="H196">IF(OR($C196=$C195,$C196=0),0,(SUM(IF((CkDJ[JEV Number]=$C196)*(CkDJ[Account Code]=(H$9)),CkDJ[Credit]))))</f>
        <v>0</v>
      </c>
      <c r="I196" s="674">
        <f t="array" ref="I196">IF(OR($C196=$C195,$C196=0),0,(SUM(IF((CkDJ[JEV Number]=$C196)*(CkDJ[Account Code]=(I$9)),CkDJ[Credit]))))</f>
        <v>0</v>
      </c>
      <c r="J196" s="724"/>
      <c r="K196" s="674">
        <f t="array" ref="K196">IF($C196=0,0,(SUM(IF((CkDJ[JEV Number]=$C196)*(CkDJ[Account Code]=(J196)),CkDJ[Credit]))))</f>
        <v>0</v>
      </c>
      <c r="L196" s="674">
        <f t="array" ref="L196">IF(OR($C196=$C195,$C196=0),0,(SUM(IF((CkDJ[JEV Number]=$C196)*(CkDJ[Account Code]=(L$9)),CkDJ[Debit]))))</f>
        <v>0</v>
      </c>
      <c r="M196" s="674">
        <f t="array" ref="M196">IF(OR($C196=$C195,$C196=0),0,(SUM(IF((CkDJ[JEV Number]=$C196)*(CkDJ[Account Code]=(M$9)),CkDJ[Debit]))))</f>
        <v>0</v>
      </c>
      <c r="N196" s="674">
        <f t="array" ref="N196">IF(OR($C196=$C195,$C196=0),0,(SUM(IF((CkDJ[JEV Number]=$C196)*(CkDJ[Account Code]=(N$9)),CkDJ[Debit]))))</f>
        <v>0</v>
      </c>
      <c r="O196" s="674">
        <f t="array" ref="O196">IF(OR($C196=$C195,$C196=0),0,(SUM(IF((CkDJ[JEV Number]=$C196)*(CkDJ[Account Code]=(O$9)),CkDJ[Debit]))))</f>
        <v>0</v>
      </c>
      <c r="P196" s="722"/>
      <c r="Q196" s="689">
        <f t="array" ref="Q196">IF($C196=0,0,(SUM(IF((CkDJ[JEV Number]=$C196)*(CkDJ[Account Code]=(P196)),CkDJ[Debit]))))</f>
        <v>0</v>
      </c>
      <c r="R196" s="676">
        <f t="shared" si="16"/>
        <v>0</v>
      </c>
    </row>
    <row r="197" spans="1:18">
      <c r="A197" s="670" t="str">
        <f t="array" ref="A197">IF(OR(C197=C196,C197=0),"",INDEX(CkDJ[Date],MATCH(C197,CkDJ[JEV Number],0)))</f>
        <v/>
      </c>
      <c r="B197" s="671"/>
      <c r="C197" s="672" t="str">
        <f t="shared" si="15"/>
        <v>20-01-001</v>
      </c>
      <c r="D197" s="672"/>
      <c r="E197" s="672"/>
      <c r="F197" s="672"/>
      <c r="G197" s="673" t="str">
        <f t="array" ref="G197">IF(OR(C197=C196,C197=0),"",INDEX(CasheirCode[Name],MATCH((INDEX(CkDJ[Sort Code],MATCH(C197,CkDJ[JEV Number],0))),CasheirCode[Sort Code])))</f>
        <v/>
      </c>
      <c r="H197" s="674">
        <f t="array" ref="H197">IF(OR($C197=$C196,$C197=0),0,(SUM(IF((CkDJ[JEV Number]=$C197)*(CkDJ[Account Code]=(H$9)),CkDJ[Credit]))))</f>
        <v>0</v>
      </c>
      <c r="I197" s="674">
        <f t="array" ref="I197">IF(OR($C197=$C196,$C197=0),0,(SUM(IF((CkDJ[JEV Number]=$C197)*(CkDJ[Account Code]=(I$9)),CkDJ[Credit]))))</f>
        <v>0</v>
      </c>
      <c r="J197" s="724"/>
      <c r="K197" s="674">
        <f t="array" ref="K197">IF($C197=0,0,(SUM(IF((CkDJ[JEV Number]=$C197)*(CkDJ[Account Code]=(J197)),CkDJ[Credit]))))</f>
        <v>0</v>
      </c>
      <c r="L197" s="674">
        <f t="array" ref="L197">IF(OR($C197=$C196,$C197=0),0,(SUM(IF((CkDJ[JEV Number]=$C197)*(CkDJ[Account Code]=(L$9)),CkDJ[Debit]))))</f>
        <v>0</v>
      </c>
      <c r="M197" s="674">
        <f t="array" ref="M197">IF(OR($C197=$C196,$C197=0),0,(SUM(IF((CkDJ[JEV Number]=$C197)*(CkDJ[Account Code]=(M$9)),CkDJ[Debit]))))</f>
        <v>0</v>
      </c>
      <c r="N197" s="674">
        <f t="array" ref="N197">IF(OR($C197=$C196,$C197=0),0,(SUM(IF((CkDJ[JEV Number]=$C197)*(CkDJ[Account Code]=(N$9)),CkDJ[Debit]))))</f>
        <v>0</v>
      </c>
      <c r="O197" s="674">
        <f t="array" ref="O197">IF(OR($C197=$C196,$C197=0),0,(SUM(IF((CkDJ[JEV Number]=$C197)*(CkDJ[Account Code]=(O$9)),CkDJ[Debit]))))</f>
        <v>0</v>
      </c>
      <c r="P197" s="722"/>
      <c r="Q197" s="689">
        <f t="array" ref="Q197">IF($C197=0,0,(SUM(IF((CkDJ[JEV Number]=$C197)*(CkDJ[Account Code]=(P197)),CkDJ[Debit]))))</f>
        <v>0</v>
      </c>
      <c r="R197" s="676">
        <f t="shared" si="16"/>
        <v>0</v>
      </c>
    </row>
    <row r="198" spans="1:18">
      <c r="A198" s="670" t="str">
        <f t="array" ref="A198">IF(OR(C198=C197,C198=0),"",INDEX(CkDJ[Date],MATCH(C198,CkDJ[JEV Number],0)))</f>
        <v/>
      </c>
      <c r="B198" s="671"/>
      <c r="C198" s="672" t="str">
        <f t="shared" si="15"/>
        <v>20-01-001</v>
      </c>
      <c r="D198" s="672"/>
      <c r="E198" s="672"/>
      <c r="F198" s="672"/>
      <c r="G198" s="673" t="str">
        <f t="array" ref="G198">IF(OR(C198=C197,C198=0),"",INDEX(CasheirCode[Name],MATCH((INDEX(CkDJ[Sort Code],MATCH(C198,CkDJ[JEV Number],0))),CasheirCode[Sort Code])))</f>
        <v/>
      </c>
      <c r="H198" s="674">
        <f t="array" ref="H198">IF(OR($C198=$C197,$C198=0),0,(SUM(IF((CkDJ[JEV Number]=$C198)*(CkDJ[Account Code]=(H$9)),CkDJ[Credit]))))</f>
        <v>0</v>
      </c>
      <c r="I198" s="674">
        <f t="array" ref="I198">IF(OR($C198=$C197,$C198=0),0,(SUM(IF((CkDJ[JEV Number]=$C198)*(CkDJ[Account Code]=(I$9)),CkDJ[Credit]))))</f>
        <v>0</v>
      </c>
      <c r="J198" s="724"/>
      <c r="K198" s="674">
        <f t="array" ref="K198">IF($C198=0,0,(SUM(IF((CkDJ[JEV Number]=$C198)*(CkDJ[Account Code]=(J198)),CkDJ[Credit]))))</f>
        <v>0</v>
      </c>
      <c r="L198" s="674">
        <f t="array" ref="L198">IF(OR($C198=$C197,$C198=0),0,(SUM(IF((CkDJ[JEV Number]=$C198)*(CkDJ[Account Code]=(L$9)),CkDJ[Debit]))))</f>
        <v>0</v>
      </c>
      <c r="M198" s="674">
        <f t="array" ref="M198">IF(OR($C198=$C197,$C198=0),0,(SUM(IF((CkDJ[JEV Number]=$C198)*(CkDJ[Account Code]=(M$9)),CkDJ[Debit]))))</f>
        <v>0</v>
      </c>
      <c r="N198" s="674">
        <f t="array" ref="N198">IF(OR($C198=$C197,$C198=0),0,(SUM(IF((CkDJ[JEV Number]=$C198)*(CkDJ[Account Code]=(N$9)),CkDJ[Debit]))))</f>
        <v>0</v>
      </c>
      <c r="O198" s="674">
        <f t="array" ref="O198">IF(OR($C198=$C197,$C198=0),0,(SUM(IF((CkDJ[JEV Number]=$C198)*(CkDJ[Account Code]=(O$9)),CkDJ[Debit]))))</f>
        <v>0</v>
      </c>
      <c r="P198" s="722"/>
      <c r="Q198" s="689">
        <f t="array" ref="Q198">IF($C198=0,0,(SUM(IF((CkDJ[JEV Number]=$C198)*(CkDJ[Account Code]=(P198)),CkDJ[Debit]))))</f>
        <v>0</v>
      </c>
      <c r="R198" s="676">
        <f t="shared" si="16"/>
        <v>0</v>
      </c>
    </row>
    <row r="199" spans="1:18">
      <c r="A199" s="670" t="str">
        <f t="array" ref="A199">IF(OR(C199=C198,C199=0),"",INDEX(CkDJ[Date],MATCH(C199,CkDJ[JEV Number],0)))</f>
        <v/>
      </c>
      <c r="B199" s="671"/>
      <c r="C199" s="672" t="str">
        <f t="shared" si="15"/>
        <v>20-01-001</v>
      </c>
      <c r="D199" s="672"/>
      <c r="E199" s="672"/>
      <c r="F199" s="672"/>
      <c r="G199" s="673" t="str">
        <f t="array" ref="G199">IF(OR(C199=C198,C199=0),"",INDEX(CasheirCode[Name],MATCH((INDEX(CkDJ[Sort Code],MATCH(C199,CkDJ[JEV Number],0))),CasheirCode[Sort Code])))</f>
        <v/>
      </c>
      <c r="H199" s="674">
        <f t="array" ref="H199">IF(OR($C199=$C198,$C199=0),0,(SUM(IF((CkDJ[JEV Number]=$C199)*(CkDJ[Account Code]=(H$9)),CkDJ[Credit]))))</f>
        <v>0</v>
      </c>
      <c r="I199" s="674">
        <f t="array" ref="I199">IF(OR($C199=$C198,$C199=0),0,(SUM(IF((CkDJ[JEV Number]=$C199)*(CkDJ[Account Code]=(I$9)),CkDJ[Credit]))))</f>
        <v>0</v>
      </c>
      <c r="J199" s="724"/>
      <c r="K199" s="674">
        <f t="array" ref="K199">IF($C199=0,0,(SUM(IF((CkDJ[JEV Number]=$C199)*(CkDJ[Account Code]=(J199)),CkDJ[Credit]))))</f>
        <v>0</v>
      </c>
      <c r="L199" s="674">
        <f t="array" ref="L199">IF(OR($C199=$C198,$C199=0),0,(SUM(IF((CkDJ[JEV Number]=$C199)*(CkDJ[Account Code]=(L$9)),CkDJ[Debit]))))</f>
        <v>0</v>
      </c>
      <c r="M199" s="674">
        <f t="array" ref="M199">IF(OR($C199=$C198,$C199=0),0,(SUM(IF((CkDJ[JEV Number]=$C199)*(CkDJ[Account Code]=(M$9)),CkDJ[Debit]))))</f>
        <v>0</v>
      </c>
      <c r="N199" s="674">
        <f t="array" ref="N199">IF(OR($C199=$C198,$C199=0),0,(SUM(IF((CkDJ[JEV Number]=$C199)*(CkDJ[Account Code]=(N$9)),CkDJ[Debit]))))</f>
        <v>0</v>
      </c>
      <c r="O199" s="674">
        <f t="array" ref="O199">IF(OR($C199=$C198,$C199=0),0,(SUM(IF((CkDJ[JEV Number]=$C199)*(CkDJ[Account Code]=(O$9)),CkDJ[Debit]))))</f>
        <v>0</v>
      </c>
      <c r="P199" s="722"/>
      <c r="Q199" s="689">
        <f t="array" ref="Q199">IF($C199=0,0,(SUM(IF((CkDJ[JEV Number]=$C199)*(CkDJ[Account Code]=(P199)),CkDJ[Debit]))))</f>
        <v>0</v>
      </c>
      <c r="R199" s="676">
        <f t="shared" si="16"/>
        <v>0</v>
      </c>
    </row>
    <row r="200" spans="1:18">
      <c r="A200" s="670" t="str">
        <f t="array" ref="A200">IF(OR(C200=C199,C200=0),"",INDEX(CkDJ[Date],MATCH(C200,CkDJ[JEV Number],0)))</f>
        <v/>
      </c>
      <c r="B200" s="671"/>
      <c r="C200" s="672" t="str">
        <f t="shared" si="15"/>
        <v>20-01-001</v>
      </c>
      <c r="D200" s="672"/>
      <c r="E200" s="672"/>
      <c r="F200" s="672"/>
      <c r="G200" s="673" t="str">
        <f t="array" ref="G200">IF(OR(C200=C199,C200=0),"",INDEX(CasheirCode[Name],MATCH((INDEX(CkDJ[Sort Code],MATCH(C200,CkDJ[JEV Number],0))),CasheirCode[Sort Code])))</f>
        <v/>
      </c>
      <c r="H200" s="674">
        <f t="array" ref="H200">IF(OR($C200=$C199,$C200=0),0,(SUM(IF((CkDJ[JEV Number]=$C200)*(CkDJ[Account Code]=(H$9)),CkDJ[Credit]))))</f>
        <v>0</v>
      </c>
      <c r="I200" s="674">
        <f t="array" ref="I200">IF(OR($C200=$C199,$C200=0),0,(SUM(IF((CkDJ[JEV Number]=$C200)*(CkDJ[Account Code]=(I$9)),CkDJ[Credit]))))</f>
        <v>0</v>
      </c>
      <c r="J200" s="724"/>
      <c r="K200" s="674">
        <f t="array" ref="K200">IF($C200=0,0,(SUM(IF((CkDJ[JEV Number]=$C200)*(CkDJ[Account Code]=(J200)),CkDJ[Credit]))))</f>
        <v>0</v>
      </c>
      <c r="L200" s="674">
        <f t="array" ref="L200">IF(OR($C200=$C199,$C200=0),0,(SUM(IF((CkDJ[JEV Number]=$C200)*(CkDJ[Account Code]=(L$9)),CkDJ[Debit]))))</f>
        <v>0</v>
      </c>
      <c r="M200" s="674">
        <f t="array" ref="M200">IF(OR($C200=$C199,$C200=0),0,(SUM(IF((CkDJ[JEV Number]=$C200)*(CkDJ[Account Code]=(M$9)),CkDJ[Debit]))))</f>
        <v>0</v>
      </c>
      <c r="N200" s="674">
        <f t="array" ref="N200">IF(OR($C200=$C199,$C200=0),0,(SUM(IF((CkDJ[JEV Number]=$C200)*(CkDJ[Account Code]=(N$9)),CkDJ[Debit]))))</f>
        <v>0</v>
      </c>
      <c r="O200" s="674">
        <f t="array" ref="O200">IF(OR($C200=$C199,$C200=0),0,(SUM(IF((CkDJ[JEV Number]=$C200)*(CkDJ[Account Code]=(O$9)),CkDJ[Debit]))))</f>
        <v>0</v>
      </c>
      <c r="P200" s="722"/>
      <c r="Q200" s="689">
        <f t="array" ref="Q200">IF($C200=0,0,(SUM(IF((CkDJ[JEV Number]=$C200)*(CkDJ[Account Code]=(P200)),CkDJ[Debit]))))</f>
        <v>0</v>
      </c>
      <c r="R200" s="676">
        <f t="shared" si="16"/>
        <v>0</v>
      </c>
    </row>
    <row r="201" spans="1:18">
      <c r="A201" s="670" t="str">
        <f t="array" ref="A201">IF(OR(C201=C200,C201=0),"",INDEX(CkDJ[Date],MATCH(C201,CkDJ[JEV Number],0)))</f>
        <v/>
      </c>
      <c r="B201" s="671"/>
      <c r="C201" s="672" t="str">
        <f t="shared" si="15"/>
        <v>20-01-001</v>
      </c>
      <c r="D201" s="672"/>
      <c r="E201" s="672"/>
      <c r="F201" s="672"/>
      <c r="G201" s="673" t="str">
        <f t="array" ref="G201">IF(OR(C201=C200,C201=0),"",INDEX(CasheirCode[Name],MATCH((INDEX(CkDJ[Sort Code],MATCH(C201,CkDJ[JEV Number],0))),CasheirCode[Sort Code])))</f>
        <v/>
      </c>
      <c r="H201" s="674">
        <f t="array" ref="H201">IF(OR($C201=$C200,$C201=0),0,(SUM(IF((CkDJ[JEV Number]=$C201)*(CkDJ[Account Code]=(H$9)),CkDJ[Credit]))))</f>
        <v>0</v>
      </c>
      <c r="I201" s="674">
        <f t="array" ref="I201">IF(OR($C201=$C200,$C201=0),0,(SUM(IF((CkDJ[JEV Number]=$C201)*(CkDJ[Account Code]=(I$9)),CkDJ[Credit]))))</f>
        <v>0</v>
      </c>
      <c r="J201" s="675"/>
      <c r="K201" s="674">
        <f t="array" ref="K201">IF($C201=0,0,(SUM(IF((CkDJ[JEV Number]=$C201)*(CkDJ[Account Code]=(J201)),CkDJ[Credit]))))</f>
        <v>0</v>
      </c>
      <c r="L201" s="674">
        <f t="array" ref="L201">IF(OR($C201=$C200,$C201=0),0,(SUM(IF((CkDJ[JEV Number]=$C201)*(CkDJ[Account Code]=(L$9)),CkDJ[Debit]))))</f>
        <v>0</v>
      </c>
      <c r="M201" s="674">
        <f t="array" ref="M201">IF(OR($C201=$C200,$C201=0),0,(SUM(IF((CkDJ[JEV Number]=$C201)*(CkDJ[Account Code]=(M$9)),CkDJ[Debit]))))</f>
        <v>0</v>
      </c>
      <c r="N201" s="674">
        <f t="array" ref="N201">IF(OR($C201=$C200,$C201=0),0,(SUM(IF((CkDJ[JEV Number]=$C201)*(CkDJ[Account Code]=(N$9)),CkDJ[Debit]))))</f>
        <v>0</v>
      </c>
      <c r="O201" s="674">
        <f t="array" ref="O201">IF(OR($C201=$C200,$C201=0),0,(SUM(IF((CkDJ[JEV Number]=$C201)*(CkDJ[Account Code]=(O$9)),CkDJ[Debit]))))</f>
        <v>0</v>
      </c>
      <c r="P201" s="722"/>
      <c r="Q201" s="689">
        <f t="array" ref="Q201">IF($C201=0,0,(SUM(IF((CkDJ[JEV Number]=$C201)*(CkDJ[Account Code]=(P201)),CkDJ[Debit]))))</f>
        <v>0</v>
      </c>
      <c r="R201" s="676">
        <f t="shared" si="16"/>
        <v>0</v>
      </c>
    </row>
    <row r="202" spans="1:18">
      <c r="A202" s="670" t="str">
        <f t="array" ref="A202">IF(OR(C202=C201,C202=0),"",INDEX(CkDJ[Date],MATCH(C202,CkDJ[JEV Number],0)))</f>
        <v/>
      </c>
      <c r="B202" s="671"/>
      <c r="C202" s="672" t="str">
        <f t="shared" si="15"/>
        <v>20-01-001</v>
      </c>
      <c r="D202" s="672"/>
      <c r="E202" s="672"/>
      <c r="F202" s="672"/>
      <c r="G202" s="673" t="str">
        <f t="array" ref="G202">IF(OR(C202=C201,C202=0),"",INDEX(CasheirCode[Name],MATCH((INDEX(CkDJ[Sort Code],MATCH(C202,CkDJ[JEV Number],0))),CasheirCode[Sort Code])))</f>
        <v/>
      </c>
      <c r="H202" s="674">
        <f t="array" ref="H202">IF(OR($C202=$C201,$C202=0),0,(SUM(IF((CkDJ[JEV Number]=$C202)*(CkDJ[Account Code]=(H$9)),CkDJ[Credit]))))</f>
        <v>0</v>
      </c>
      <c r="I202" s="674">
        <f t="array" ref="I202">IF(OR($C202=$C201,$C202=0),0,(SUM(IF((CkDJ[JEV Number]=$C202)*(CkDJ[Account Code]=(I$9)),CkDJ[Credit]))))</f>
        <v>0</v>
      </c>
      <c r="J202" s="675"/>
      <c r="K202" s="674">
        <f t="array" ref="K202">IF($C202=0,0,(SUM(IF((CkDJ[JEV Number]=$C202)*(CkDJ[Account Code]=(J202)),CkDJ[Credit]))))</f>
        <v>0</v>
      </c>
      <c r="L202" s="674">
        <f t="array" ref="L202">IF(OR($C202=$C201,$C202=0),0,(SUM(IF((CkDJ[JEV Number]=$C202)*(CkDJ[Account Code]=(L$9)),CkDJ[Debit]))))</f>
        <v>0</v>
      </c>
      <c r="M202" s="674">
        <f t="array" ref="M202">IF(OR($C202=$C201,$C202=0),0,(SUM(IF((CkDJ[JEV Number]=$C202)*(CkDJ[Account Code]=(M$9)),CkDJ[Debit]))))</f>
        <v>0</v>
      </c>
      <c r="N202" s="674">
        <f t="array" ref="N202">IF(OR($C202=$C201,$C202=0),0,(SUM(IF((CkDJ[JEV Number]=$C202)*(CkDJ[Account Code]=(N$9)),CkDJ[Debit]))))</f>
        <v>0</v>
      </c>
      <c r="O202" s="674">
        <f t="array" ref="O202">IF(OR($C202=$C201,$C202=0),0,(SUM(IF((CkDJ[JEV Number]=$C202)*(CkDJ[Account Code]=(O$9)),CkDJ[Debit]))))</f>
        <v>0</v>
      </c>
      <c r="P202" s="722"/>
      <c r="Q202" s="689">
        <f t="array" ref="Q202">IF($C202=0,0,(SUM(IF((CkDJ[JEV Number]=$C202)*(CkDJ[Account Code]=(P202)),CkDJ[Debit]))))</f>
        <v>0</v>
      </c>
      <c r="R202" s="676">
        <f t="shared" si="16"/>
        <v>0</v>
      </c>
    </row>
    <row r="203" spans="1:18">
      <c r="A203" s="670" t="str">
        <f t="array" ref="A203">IF(OR(C203=C202,C203=0),"",INDEX(CkDJ[Date],MATCH(C203,CkDJ[JEV Number],0)))</f>
        <v/>
      </c>
      <c r="B203" s="671"/>
      <c r="C203" s="672" t="str">
        <f t="shared" si="15"/>
        <v>20-01-001</v>
      </c>
      <c r="D203" s="672"/>
      <c r="E203" s="672"/>
      <c r="F203" s="672"/>
      <c r="G203" s="673" t="str">
        <f t="array" ref="G203">IF(OR(C203=C202,C203=0),"",INDEX(CasheirCode[Name],MATCH((INDEX(CkDJ[Sort Code],MATCH(C203,CkDJ[JEV Number],0))),CasheirCode[Sort Code])))</f>
        <v/>
      </c>
      <c r="H203" s="674">
        <f t="array" ref="H203">IF(OR($C203=$C202,$C203=0),0,(SUM(IF((CkDJ[JEV Number]=$C203)*(CkDJ[Account Code]=(H$9)),CkDJ[Credit]))))</f>
        <v>0</v>
      </c>
      <c r="I203" s="674">
        <f t="array" ref="I203">IF(OR($C203=$C202,$C203=0),0,(SUM(IF((CkDJ[JEV Number]=$C203)*(CkDJ[Account Code]=(I$9)),CkDJ[Credit]))))</f>
        <v>0</v>
      </c>
      <c r="J203" s="675"/>
      <c r="K203" s="674">
        <f t="array" ref="K203">IF($C203=0,0,(SUM(IF((CkDJ[JEV Number]=$C203)*(CkDJ[Account Code]=(J203)),CkDJ[Credit]))))</f>
        <v>0</v>
      </c>
      <c r="L203" s="674">
        <f t="array" ref="L203">IF(OR($C203=$C202,$C203=0),0,(SUM(IF((CkDJ[JEV Number]=$C203)*(CkDJ[Account Code]=(L$9)),CkDJ[Debit]))))</f>
        <v>0</v>
      </c>
      <c r="M203" s="674">
        <f t="array" ref="M203">IF(OR($C203=$C202,$C203=0),0,(SUM(IF((CkDJ[JEV Number]=$C203)*(CkDJ[Account Code]=(M$9)),CkDJ[Debit]))))</f>
        <v>0</v>
      </c>
      <c r="N203" s="674">
        <f t="array" ref="N203">IF(OR($C203=$C202,$C203=0),0,(SUM(IF((CkDJ[JEV Number]=$C203)*(CkDJ[Account Code]=(N$9)),CkDJ[Debit]))))</f>
        <v>0</v>
      </c>
      <c r="O203" s="674">
        <f t="array" ref="O203">IF(OR($C203=$C202,$C203=0),0,(SUM(IF((CkDJ[JEV Number]=$C203)*(CkDJ[Account Code]=(O$9)),CkDJ[Debit]))))</f>
        <v>0</v>
      </c>
      <c r="P203" s="722"/>
      <c r="Q203" s="689">
        <f t="array" ref="Q203">IF($C203=0,0,(SUM(IF((CkDJ[JEV Number]=$C203)*(CkDJ[Account Code]=(P203)),CkDJ[Debit]))))</f>
        <v>0</v>
      </c>
      <c r="R203" s="676">
        <f t="shared" si="16"/>
        <v>0</v>
      </c>
    </row>
    <row r="204" spans="1:18">
      <c r="A204" s="670" t="str">
        <f t="array" ref="A204">IF(OR(C204=C203,C204=0),"",INDEX(CkDJ[Date],MATCH(C204,CkDJ[JEV Number],0)))</f>
        <v/>
      </c>
      <c r="B204" s="671"/>
      <c r="C204" s="672" t="str">
        <f t="shared" si="15"/>
        <v>20-01-001</v>
      </c>
      <c r="D204" s="672"/>
      <c r="E204" s="672"/>
      <c r="F204" s="672"/>
      <c r="G204" s="673" t="str">
        <f t="array" ref="G204">IF(OR(C204=C203,C204=0),"",INDEX(CasheirCode[Name],MATCH((INDEX(CkDJ[Sort Code],MATCH(C204,CkDJ[JEV Number],0))),CasheirCode[Sort Code])))</f>
        <v/>
      </c>
      <c r="H204" s="674">
        <f t="array" ref="H204">IF(OR($C204=$C203,$C204=0),0,(SUM(IF((CkDJ[JEV Number]=$C204)*(CkDJ[Account Code]=(H$9)),CkDJ[Credit]))))</f>
        <v>0</v>
      </c>
      <c r="I204" s="674">
        <f t="array" ref="I204">IF(OR($C204=$C203,$C204=0),0,(SUM(IF((CkDJ[JEV Number]=$C204)*(CkDJ[Account Code]=(I$9)),CkDJ[Credit]))))</f>
        <v>0</v>
      </c>
      <c r="J204" s="675"/>
      <c r="K204" s="674">
        <f t="array" ref="K204">IF($C204=0,0,(SUM(IF((CkDJ[JEV Number]=$C204)*(CkDJ[Account Code]=(J204)),CkDJ[Credit]))))</f>
        <v>0</v>
      </c>
      <c r="L204" s="674">
        <f t="array" ref="L204">IF(OR($C204=$C203,$C204=0),0,(SUM(IF((CkDJ[JEV Number]=$C204)*(CkDJ[Account Code]=(L$9)),CkDJ[Debit]))))</f>
        <v>0</v>
      </c>
      <c r="M204" s="674">
        <f t="array" ref="M204">IF(OR($C204=$C203,$C204=0),0,(SUM(IF((CkDJ[JEV Number]=$C204)*(CkDJ[Account Code]=(M$9)),CkDJ[Debit]))))</f>
        <v>0</v>
      </c>
      <c r="N204" s="674">
        <f t="array" ref="N204">IF(OR($C204=$C203,$C204=0),0,(SUM(IF((CkDJ[JEV Number]=$C204)*(CkDJ[Account Code]=(N$9)),CkDJ[Debit]))))</f>
        <v>0</v>
      </c>
      <c r="O204" s="674">
        <f t="array" ref="O204">IF(OR($C204=$C203,$C204=0),0,(SUM(IF((CkDJ[JEV Number]=$C204)*(CkDJ[Account Code]=(O$9)),CkDJ[Debit]))))</f>
        <v>0</v>
      </c>
      <c r="P204" s="722"/>
      <c r="Q204" s="689">
        <f t="array" ref="Q204">IF($C204=0,0,(SUM(IF((CkDJ[JEV Number]=$C204)*(CkDJ[Account Code]=(P204)),CkDJ[Debit]))))</f>
        <v>0</v>
      </c>
      <c r="R204" s="676">
        <f t="shared" si="16"/>
        <v>0</v>
      </c>
    </row>
    <row r="205" spans="1:18">
      <c r="A205" s="670" t="str">
        <f t="array" ref="A205">IF(OR(C205=C204,C205=0),"",INDEX(CkDJ[Date],MATCH(C205,CkDJ[JEV Number],0)))</f>
        <v/>
      </c>
      <c r="B205" s="671"/>
      <c r="C205" s="672" t="str">
        <f t="shared" si="15"/>
        <v>20-01-001</v>
      </c>
      <c r="D205" s="672"/>
      <c r="E205" s="672"/>
      <c r="F205" s="672"/>
      <c r="G205" s="673" t="str">
        <f t="array" ref="G205">IF(OR(C205=C204,C205=0),"",INDEX(CasheirCode[Name],MATCH((INDEX(CkDJ[Sort Code],MATCH(C205,CkDJ[JEV Number],0))),CasheirCode[Sort Code])))</f>
        <v/>
      </c>
      <c r="H205" s="674">
        <f t="array" ref="H205">IF(OR($C205=$C204,$C205=0),0,(SUM(IF((CkDJ[JEV Number]=$C205)*(CkDJ[Account Code]=(H$9)),CkDJ[Credit]))))</f>
        <v>0</v>
      </c>
      <c r="I205" s="772">
        <f t="array" ref="I205">IF(OR($C205=$C204,$C205=0),0,(SUM(IF((CkDJ[JEV Number]=$C205)*(CkDJ[Account Code]=(I$9)),CkDJ[Credit]))))</f>
        <v>0</v>
      </c>
      <c r="J205" s="675"/>
      <c r="K205" s="674">
        <f t="array" ref="K205">IF($C205=0,0,(SUM(IF((CkDJ[JEV Number]=$C205)*(CkDJ[Account Code]=(J205)),CkDJ[Credit]))))</f>
        <v>0</v>
      </c>
      <c r="L205" s="674">
        <f t="array" ref="L205">IF(OR($C205=$C204,$C205=0),0,(SUM(IF((CkDJ[JEV Number]=$C205)*(CkDJ[Account Code]=(L$9)),CkDJ[Debit]))))</f>
        <v>0</v>
      </c>
      <c r="M205" s="674">
        <f t="array" ref="M205">IF(OR($C205=$C204,$C205=0),0,(SUM(IF((CkDJ[JEV Number]=$C205)*(CkDJ[Account Code]=(M$9)),CkDJ[Debit]))))</f>
        <v>0</v>
      </c>
      <c r="N205" s="674">
        <f t="array" ref="N205">IF(OR($C205=$C204,$C205=0),0,(SUM(IF((CkDJ[JEV Number]=$C205)*(CkDJ[Account Code]=(N$9)),CkDJ[Debit]))))</f>
        <v>0</v>
      </c>
      <c r="O205" s="674">
        <f t="array" ref="O205">IF(OR($C205=$C204,$C205=0),0,(SUM(IF((CkDJ[JEV Number]=$C205)*(CkDJ[Account Code]=(O$9)),CkDJ[Debit]))))</f>
        <v>0</v>
      </c>
      <c r="P205" s="722"/>
      <c r="Q205" s="689">
        <f t="array" ref="Q205">IF($C205=0,0,(SUM(IF((CkDJ[JEV Number]=$C205)*(CkDJ[Account Code]=(P205)),CkDJ[Debit]))))</f>
        <v>0</v>
      </c>
      <c r="R205" s="676">
        <f t="shared" si="16"/>
        <v>0</v>
      </c>
    </row>
    <row r="206" spans="1:18">
      <c r="A206" s="670" t="str">
        <f t="array" ref="A206">IF(OR(C206=C205,C206=0),"",INDEX(CkDJ[Date],MATCH(C206,CkDJ[JEV Number],0)))</f>
        <v/>
      </c>
      <c r="B206" s="671"/>
      <c r="C206" s="672" t="str">
        <f t="shared" si="15"/>
        <v>20-01-001</v>
      </c>
      <c r="D206" s="672"/>
      <c r="E206" s="672"/>
      <c r="F206" s="672"/>
      <c r="G206" s="673" t="str">
        <f t="array" ref="G206">IF(OR(C206=C205,C206=0),"",INDEX(CasheirCode[Name],MATCH((INDEX(CkDJ[Sort Code],MATCH(C206,CkDJ[JEV Number],0))),CasheirCode[Sort Code])))</f>
        <v/>
      </c>
      <c r="H206" s="674">
        <f t="array" ref="H206">IF(OR($C206=$C205,$C206=0),0,(SUM(IF((CkDJ[JEV Number]=$C206)*(CkDJ[Account Code]=(H$9)),CkDJ[Credit]))))</f>
        <v>0</v>
      </c>
      <c r="I206" s="674">
        <f t="array" ref="I206">IF(OR($C206=$C205,$C206=0),0,(SUM(IF((CkDJ[JEV Number]=$C206)*(CkDJ[Account Code]=(I$9)),CkDJ[Credit]))))</f>
        <v>0</v>
      </c>
      <c r="J206" s="675"/>
      <c r="K206" s="674">
        <f t="array" ref="K206">IF($C206=0,0,(SUM(IF((CkDJ[JEV Number]=$C206)*(CkDJ[Account Code]=(J206)),CkDJ[Credit]))))</f>
        <v>0</v>
      </c>
      <c r="L206" s="674">
        <f t="array" ref="L206">IF(OR($C206=$C205,$C206=0),0,(SUM(IF((CkDJ[JEV Number]=$C206)*(CkDJ[Account Code]=(L$9)),CkDJ[Debit]))))</f>
        <v>0</v>
      </c>
      <c r="M206" s="674">
        <f t="array" ref="M206">IF(OR($C206=$C205,$C206=0),0,(SUM(IF((CkDJ[JEV Number]=$C206)*(CkDJ[Account Code]=(M$9)),CkDJ[Debit]))))</f>
        <v>0</v>
      </c>
      <c r="N206" s="674">
        <f t="array" ref="N206">IF(OR($C206=$C205,$C206=0),0,(SUM(IF((CkDJ[JEV Number]=$C206)*(CkDJ[Account Code]=(N$9)),CkDJ[Debit]))))</f>
        <v>0</v>
      </c>
      <c r="O206" s="674">
        <f t="array" ref="O206">IF(OR($C206=$C205,$C206=0),0,(SUM(IF((CkDJ[JEV Number]=$C206)*(CkDJ[Account Code]=(O$9)),CkDJ[Debit]))))</f>
        <v>0</v>
      </c>
      <c r="P206" s="722"/>
      <c r="Q206" s="689">
        <f t="array" ref="Q206">IF($C206=0,0,(SUM(IF((CkDJ[JEV Number]=$C206)*(CkDJ[Account Code]=(P206)),CkDJ[Debit]))))</f>
        <v>0</v>
      </c>
      <c r="R206" s="676">
        <f t="shared" si="16"/>
        <v>0</v>
      </c>
    </row>
    <row r="207" spans="1:18">
      <c r="A207" s="670" t="str">
        <f t="array" ref="A207">IF(OR(C207=C206,C207=0),"",INDEX(CkDJ[Date],MATCH(C207,CkDJ[JEV Number],0)))</f>
        <v/>
      </c>
      <c r="B207" s="671"/>
      <c r="C207" s="672" t="str">
        <f t="shared" si="15"/>
        <v>20-01-001</v>
      </c>
      <c r="D207" s="672"/>
      <c r="E207" s="672"/>
      <c r="F207" s="672"/>
      <c r="G207" s="673" t="str">
        <f t="array" ref="G207">IF(OR(C207=C206,C207=0),"",INDEX(CasheirCode[Name],MATCH((INDEX(CkDJ[Sort Code],MATCH(C207,CkDJ[JEV Number],0))),CasheirCode[Sort Code])))</f>
        <v/>
      </c>
      <c r="H207" s="674">
        <f t="array" ref="H207">IF(OR($C207=$C206,$C207=0),0,(SUM(IF((CkDJ[JEV Number]=$C207)*(CkDJ[Account Code]=(H$9)),CkDJ[Credit]))))</f>
        <v>0</v>
      </c>
      <c r="I207" s="674">
        <f t="array" ref="I207">IF(OR($C207=$C206,$C207=0),0,(SUM(IF((CkDJ[JEV Number]=$C207)*(CkDJ[Account Code]=(I$9)),CkDJ[Credit]))))</f>
        <v>0</v>
      </c>
      <c r="J207" s="724"/>
      <c r="K207" s="674">
        <f t="array" ref="K207">IF($C207=0,0,(SUM(IF((CkDJ[JEV Number]=$C207)*(CkDJ[Account Code]=(J207)),CkDJ[Credit]))))</f>
        <v>0</v>
      </c>
      <c r="L207" s="674">
        <f t="array" ref="L207">IF(OR($C207=$C206,$C207=0),0,(SUM(IF((CkDJ[JEV Number]=$C207)*(CkDJ[Account Code]=(L$9)),CkDJ[Debit]))))</f>
        <v>0</v>
      </c>
      <c r="M207" s="674">
        <f t="array" ref="M207">IF(OR($C207=$C206,$C207=0),0,(SUM(IF((CkDJ[JEV Number]=$C207)*(CkDJ[Account Code]=(M$9)),CkDJ[Debit]))))</f>
        <v>0</v>
      </c>
      <c r="N207" s="674">
        <f t="array" ref="N207">IF(OR($C207=$C206,$C207=0),0,(SUM(IF((CkDJ[JEV Number]=$C207)*(CkDJ[Account Code]=(N$9)),CkDJ[Debit]))))</f>
        <v>0</v>
      </c>
      <c r="O207" s="674">
        <f t="array" ref="O207">IF(OR($C207=$C206,$C207=0),0,(SUM(IF((CkDJ[JEV Number]=$C207)*(CkDJ[Account Code]=(O$9)),CkDJ[Debit]))))</f>
        <v>0</v>
      </c>
      <c r="P207" s="722"/>
      <c r="Q207" s="689">
        <f t="array" ref="Q207">IF($C207=0,0,(SUM(IF((CkDJ[JEV Number]=$C207)*(CkDJ[Account Code]=(P207)),CkDJ[Debit]))))</f>
        <v>0</v>
      </c>
      <c r="R207" s="676">
        <f t="shared" si="16"/>
        <v>0</v>
      </c>
    </row>
    <row r="208" spans="1:18">
      <c r="A208" s="670" t="str">
        <f t="array" ref="A208">IF(OR(C208=C207,C208=0),"",INDEX(CkDJ[Date],MATCH(C208,CkDJ[JEV Number],0)))</f>
        <v/>
      </c>
      <c r="B208" s="671"/>
      <c r="C208" s="672" t="str">
        <f t="shared" si="15"/>
        <v>20-01-001</v>
      </c>
      <c r="D208" s="672"/>
      <c r="E208" s="672"/>
      <c r="F208" s="672"/>
      <c r="G208" s="673" t="str">
        <f t="array" ref="G208">IF(OR(C208=C207,C208=0),"",INDEX(CasheirCode[Name],MATCH((INDEX(CkDJ[Sort Code],MATCH(C208,CkDJ[JEV Number],0))),CasheirCode[Sort Code])))</f>
        <v/>
      </c>
      <c r="H208" s="674">
        <f t="array" ref="H208">IF(OR($C208=$C207,$C208=0),0,(SUM(IF((CkDJ[JEV Number]=$C208)*(CkDJ[Account Code]=(H$9)),CkDJ[Credit]))))</f>
        <v>0</v>
      </c>
      <c r="I208" s="674">
        <f t="array" ref="I208">IF(OR($C208=$C207,$C208=0),0,(SUM(IF((CkDJ[JEV Number]=$C208)*(CkDJ[Account Code]=(I$9)),CkDJ[Credit]))))</f>
        <v>0</v>
      </c>
      <c r="J208" s="724"/>
      <c r="K208" s="674">
        <f t="array" ref="K208">IF($C208=0,0,(SUM(IF((CkDJ[JEV Number]=$C208)*(CkDJ[Account Code]=(J208)),CkDJ[Credit]))))</f>
        <v>0</v>
      </c>
      <c r="L208" s="674">
        <f t="array" ref="L208">IF(OR($C208=$C207,$C208=0),0,(SUM(IF((CkDJ[JEV Number]=$C208)*(CkDJ[Account Code]=(L$9)),CkDJ[Debit]))))</f>
        <v>0</v>
      </c>
      <c r="M208" s="674">
        <f t="array" ref="M208">IF(OR($C208=$C207,$C208=0),0,(SUM(IF((CkDJ[JEV Number]=$C208)*(CkDJ[Account Code]=(M$9)),CkDJ[Debit]))))</f>
        <v>0</v>
      </c>
      <c r="N208" s="674">
        <f t="array" ref="N208">IF(OR($C208=$C207,$C208=0),0,(SUM(IF((CkDJ[JEV Number]=$C208)*(CkDJ[Account Code]=(N$9)),CkDJ[Debit]))))</f>
        <v>0</v>
      </c>
      <c r="O208" s="674">
        <f t="array" ref="O208">IF(OR($C208=$C207,$C208=0),0,(SUM(IF((CkDJ[JEV Number]=$C208)*(CkDJ[Account Code]=(O$9)),CkDJ[Debit]))))</f>
        <v>0</v>
      </c>
      <c r="P208" s="722"/>
      <c r="Q208" s="689">
        <f t="array" ref="Q208">IF($C208=0,0,(SUM(IF((CkDJ[JEV Number]=$C208)*(CkDJ[Account Code]=(P208)),CkDJ[Debit]))))</f>
        <v>0</v>
      </c>
      <c r="R208" s="676">
        <f t="shared" si="16"/>
        <v>0</v>
      </c>
    </row>
    <row r="209" spans="1:18">
      <c r="A209" s="670" t="str">
        <f t="array" ref="A209">IF(OR(C209=C208,C209=0),"",INDEX(CkDJ[Date],MATCH(C209,CkDJ[JEV Number],0)))</f>
        <v/>
      </c>
      <c r="B209" s="671"/>
      <c r="C209" s="672" t="str">
        <f t="shared" si="15"/>
        <v>20-01-001</v>
      </c>
      <c r="D209" s="672"/>
      <c r="E209" s="672"/>
      <c r="F209" s="672"/>
      <c r="G209" s="673" t="str">
        <f t="array" ref="G209">IF(OR(C209=C208,C209=0),"",INDEX(CasheirCode[Name],MATCH((INDEX(CkDJ[Sort Code],MATCH(C209,CkDJ[JEV Number],0))),CasheirCode[Sort Code])))</f>
        <v/>
      </c>
      <c r="H209" s="674">
        <f t="array" ref="H209">IF(OR($C209=$C208,$C209=0),0,(SUM(IF((CkDJ[JEV Number]=$C209)*(CkDJ[Account Code]=(H$9)),CkDJ[Credit]))))</f>
        <v>0</v>
      </c>
      <c r="I209" s="674">
        <f t="array" ref="I209">IF(OR($C209=$C208,$C209=0),0,(SUM(IF((CkDJ[JEV Number]=$C209)*(CkDJ[Account Code]=(I$9)),CkDJ[Credit]))))</f>
        <v>0</v>
      </c>
      <c r="J209" s="675"/>
      <c r="K209" s="674">
        <f t="array" ref="K209">IF($C209=0,0,(SUM(IF((CkDJ[JEV Number]=$C209)*(CkDJ[Account Code]=(J209)),CkDJ[Credit]))))</f>
        <v>0</v>
      </c>
      <c r="L209" s="674">
        <f t="array" ref="L209">IF(OR($C209=$C208,$C209=0),0,(SUM(IF((CkDJ[JEV Number]=$C209)*(CkDJ[Account Code]=(L$9)),CkDJ[Debit]))))</f>
        <v>0</v>
      </c>
      <c r="M209" s="674">
        <f t="array" ref="M209">IF(OR($C209=$C208,$C209=0),0,(SUM(IF((CkDJ[JEV Number]=$C209)*(CkDJ[Account Code]=(M$9)),CkDJ[Debit]))))</f>
        <v>0</v>
      </c>
      <c r="N209" s="674">
        <f t="array" ref="N209">IF(OR($C209=$C208,$C209=0),0,(SUM(IF((CkDJ[JEV Number]=$C209)*(CkDJ[Account Code]=(N$9)),CkDJ[Debit]))))</f>
        <v>0</v>
      </c>
      <c r="O209" s="674">
        <f t="array" ref="O209">IF(OR($C209=$C208,$C209=0),0,(SUM(IF((CkDJ[JEV Number]=$C209)*(CkDJ[Account Code]=(O$9)),CkDJ[Debit]))))</f>
        <v>0</v>
      </c>
      <c r="P209" s="722"/>
      <c r="Q209" s="689">
        <f t="array" ref="Q209">IF($C209=0,0,(SUM(IF((CkDJ[JEV Number]=$C209)*(CkDJ[Account Code]=(P209)),CkDJ[Debit]))))</f>
        <v>0</v>
      </c>
      <c r="R209" s="676">
        <f t="shared" si="16"/>
        <v>0</v>
      </c>
    </row>
    <row r="210" spans="1:18">
      <c r="A210" s="670" t="str">
        <f t="array" ref="A210">IF(OR(C210=C209,C210=0),"",INDEX(CkDJ[Date],MATCH(C210,CkDJ[JEV Number],0)))</f>
        <v/>
      </c>
      <c r="B210" s="671"/>
      <c r="C210" s="672" t="str">
        <f t="shared" si="15"/>
        <v>20-01-001</v>
      </c>
      <c r="D210" s="672"/>
      <c r="E210" s="672"/>
      <c r="F210" s="672"/>
      <c r="G210" s="673" t="str">
        <f t="array" ref="G210">IF(OR(C210=C209,C210=0),"",INDEX(CasheirCode[Name],MATCH((INDEX(CkDJ[Sort Code],MATCH(C210,CkDJ[JEV Number],0))),CasheirCode[Sort Code])))</f>
        <v/>
      </c>
      <c r="H210" s="674">
        <f t="array" ref="H210">IF(OR($C210=$C209,$C210=0),0,(SUM(IF((CkDJ[JEV Number]=$C210)*(CkDJ[Account Code]=(H$9)),CkDJ[Credit]))))</f>
        <v>0</v>
      </c>
      <c r="I210" s="674">
        <f t="array" ref="I210">IF(OR($C210=$C209,$C210=0),0,(SUM(IF((CkDJ[JEV Number]=$C210)*(CkDJ[Account Code]=(I$9)),CkDJ[Credit]))))</f>
        <v>0</v>
      </c>
      <c r="J210" s="675"/>
      <c r="K210" s="674">
        <f t="array" ref="K210">IF($C210=0,0,(SUM(IF((CkDJ[JEV Number]=$C210)*(CkDJ[Account Code]=(J210)),CkDJ[Credit]))))</f>
        <v>0</v>
      </c>
      <c r="L210" s="674">
        <f t="array" ref="L210">IF(OR($C210=$C209,$C210=0),0,(SUM(IF((CkDJ[JEV Number]=$C210)*(CkDJ[Account Code]=(L$9)),CkDJ[Debit]))))</f>
        <v>0</v>
      </c>
      <c r="M210" s="674">
        <f t="array" ref="M210">IF(OR($C210=$C209,$C210=0),0,(SUM(IF((CkDJ[JEV Number]=$C210)*(CkDJ[Account Code]=(M$9)),CkDJ[Debit]))))</f>
        <v>0</v>
      </c>
      <c r="N210" s="674">
        <f t="array" ref="N210">IF(OR($C210=$C209,$C210=0),0,(SUM(IF((CkDJ[JEV Number]=$C210)*(CkDJ[Account Code]=(N$9)),CkDJ[Debit]))))</f>
        <v>0</v>
      </c>
      <c r="O210" s="674">
        <f t="array" ref="O210">IF(OR($C210=$C209,$C210=0),0,(SUM(IF((CkDJ[JEV Number]=$C210)*(CkDJ[Account Code]=(O$9)),CkDJ[Debit]))))</f>
        <v>0</v>
      </c>
      <c r="P210" s="722"/>
      <c r="Q210" s="689">
        <f t="array" ref="Q210">IF($C210=0,0,(SUM(IF((CkDJ[JEV Number]=$C210)*(CkDJ[Account Code]=(P210)),CkDJ[Debit]))))</f>
        <v>0</v>
      </c>
      <c r="R210" s="676">
        <f t="shared" si="16"/>
        <v>0</v>
      </c>
    </row>
    <row r="211" spans="1:18">
      <c r="A211" s="670" t="str">
        <f t="array" ref="A211">IF(OR(C211=C210,C211=0),"",INDEX(CkDJ[Date],MATCH(C211,CkDJ[JEV Number],0)))</f>
        <v/>
      </c>
      <c r="B211" s="671"/>
      <c r="C211" s="672" t="str">
        <f t="shared" si="15"/>
        <v>20-01-001</v>
      </c>
      <c r="D211" s="672"/>
      <c r="E211" s="672"/>
      <c r="F211" s="672"/>
      <c r="G211" s="673" t="str">
        <f t="array" ref="G211">IF(OR(C211=C210,C211=0),"",INDEX(CasheirCode[Name],MATCH((INDEX(CkDJ[Sort Code],MATCH(C211,CkDJ[JEV Number],0))),CasheirCode[Sort Code])))</f>
        <v/>
      </c>
      <c r="H211" s="674">
        <f t="array" ref="H211">IF(OR($C211=$C210,$C211=0),0,(SUM(IF((CkDJ[JEV Number]=$C211)*(CkDJ[Account Code]=(H$9)),CkDJ[Credit]))))</f>
        <v>0</v>
      </c>
      <c r="I211" s="674">
        <f t="array" ref="I211">IF(OR($C211=$C210,$C211=0),0,(SUM(IF((CkDJ[JEV Number]=$C211)*(CkDJ[Account Code]=(I$9)),CkDJ[Credit]))))</f>
        <v>0</v>
      </c>
      <c r="J211" s="675"/>
      <c r="K211" s="674">
        <f t="array" ref="K211">IF($C211=0,0,(SUM(IF((CkDJ[JEV Number]=$C211)*(CkDJ[Account Code]=(J211)),CkDJ[Credit]))))</f>
        <v>0</v>
      </c>
      <c r="L211" s="674">
        <f t="array" ref="L211">IF(OR($C211=$C210,$C211=0),0,(SUM(IF((CkDJ[JEV Number]=$C211)*(CkDJ[Account Code]=(L$9)),CkDJ[Debit]))))</f>
        <v>0</v>
      </c>
      <c r="M211" s="674">
        <f t="array" ref="M211">IF(OR($C211=$C210,$C211=0),0,(SUM(IF((CkDJ[JEV Number]=$C211)*(CkDJ[Account Code]=(M$9)),CkDJ[Debit]))))</f>
        <v>0</v>
      </c>
      <c r="N211" s="674">
        <f t="array" ref="N211">IF(OR($C211=$C210,$C211=0),0,(SUM(IF((CkDJ[JEV Number]=$C211)*(CkDJ[Account Code]=(N$9)),CkDJ[Debit]))))</f>
        <v>0</v>
      </c>
      <c r="O211" s="674">
        <f t="array" ref="O211">IF(OR($C211=$C210,$C211=0),0,(SUM(IF((CkDJ[JEV Number]=$C211)*(CkDJ[Account Code]=(O$9)),CkDJ[Debit]))))</f>
        <v>0</v>
      </c>
      <c r="P211" s="722"/>
      <c r="Q211" s="689">
        <f t="array" ref="Q211">IF($C211=0,0,(SUM(IF((CkDJ[JEV Number]=$C211)*(CkDJ[Account Code]=(P211)),CkDJ[Debit]))))</f>
        <v>0</v>
      </c>
      <c r="R211" s="676">
        <f t="shared" si="16"/>
        <v>0</v>
      </c>
    </row>
    <row r="212" spans="1:18">
      <c r="A212" s="670" t="str">
        <f t="array" ref="A212">IF(OR(C212=C211,C212=0),"",INDEX(CkDJ[Date],MATCH(C212,CkDJ[JEV Number],0)))</f>
        <v/>
      </c>
      <c r="B212" s="671"/>
      <c r="C212" s="672" t="str">
        <f t="shared" si="15"/>
        <v>20-01-001</v>
      </c>
      <c r="D212" s="672"/>
      <c r="E212" s="672"/>
      <c r="F212" s="672"/>
      <c r="G212" s="673" t="str">
        <f t="array" ref="G212">IF(OR(C212=C211,C212=0),"",INDEX(CasheirCode[Name],MATCH((INDEX(CkDJ[Sort Code],MATCH(C212,CkDJ[JEV Number],0))),CasheirCode[Sort Code])))</f>
        <v/>
      </c>
      <c r="H212" s="674">
        <f t="array" ref="H212">IF(OR($C212=$C211,$C212=0),0,(SUM(IF((CkDJ[JEV Number]=$C212)*(CkDJ[Account Code]=(H$9)),CkDJ[Credit]))))</f>
        <v>0</v>
      </c>
      <c r="I212" s="674">
        <f t="array" ref="I212">IF(OR($C212=$C211,$C212=0),0,(SUM(IF((CkDJ[JEV Number]=$C212)*(CkDJ[Account Code]=(I$9)),CkDJ[Credit]))))</f>
        <v>0</v>
      </c>
      <c r="J212" s="675"/>
      <c r="K212" s="674">
        <f t="array" ref="K212">IF($C212=0,0,(SUM(IF((CkDJ[JEV Number]=$C212)*(CkDJ[Account Code]=(J212)),CkDJ[Credit]))))</f>
        <v>0</v>
      </c>
      <c r="L212" s="674">
        <f t="array" ref="L212">IF(OR($C212=$C211,$C212=0),0,(SUM(IF((CkDJ[JEV Number]=$C212)*(CkDJ[Account Code]=(L$9)),CkDJ[Debit]))))</f>
        <v>0</v>
      </c>
      <c r="M212" s="674">
        <f t="array" ref="M212">IF(OR($C212=$C211,$C212=0),0,(SUM(IF((CkDJ[JEV Number]=$C212)*(CkDJ[Account Code]=(M$9)),CkDJ[Debit]))))</f>
        <v>0</v>
      </c>
      <c r="N212" s="674">
        <f t="array" ref="N212">IF(OR($C212=$C211,$C212=0),0,(SUM(IF((CkDJ[JEV Number]=$C212)*(CkDJ[Account Code]=(N$9)),CkDJ[Debit]))))</f>
        <v>0</v>
      </c>
      <c r="O212" s="674">
        <f t="array" ref="O212">IF(OR($C212=$C211,$C212=0),0,(SUM(IF((CkDJ[JEV Number]=$C212)*(CkDJ[Account Code]=(O$9)),CkDJ[Debit]))))</f>
        <v>0</v>
      </c>
      <c r="P212" s="722"/>
      <c r="Q212" s="689">
        <f t="array" ref="Q212">IF($C212=0,0,(SUM(IF((CkDJ[JEV Number]=$C212)*(CkDJ[Account Code]=(P212)),CkDJ[Debit]))))</f>
        <v>0</v>
      </c>
      <c r="R212" s="676">
        <f t="shared" si="16"/>
        <v>0</v>
      </c>
    </row>
    <row r="213" spans="1:18">
      <c r="A213" s="670" t="str">
        <f t="array" ref="A213">IF(OR(C213=C212,C213=0),"",INDEX(CkDJ[Date],MATCH(C213,CkDJ[JEV Number],0)))</f>
        <v/>
      </c>
      <c r="B213" s="671"/>
      <c r="C213" s="672" t="str">
        <f t="shared" si="15"/>
        <v>20-01-001</v>
      </c>
      <c r="D213" s="672"/>
      <c r="E213" s="672"/>
      <c r="F213" s="672"/>
      <c r="G213" s="673" t="str">
        <f t="array" ref="G213">IF(OR(C213=C212,C213=0),"",INDEX(CasheirCode[Name],MATCH((INDEX(CkDJ[Sort Code],MATCH(C213,CkDJ[JEV Number],0))),CasheirCode[Sort Code])))</f>
        <v/>
      </c>
      <c r="H213" s="674">
        <f t="array" ref="H213">IF(OR($C213=$C212,$C213=0),0,(SUM(IF((CkDJ[JEV Number]=$C213)*(CkDJ[Account Code]=(H$9)),CkDJ[Credit]))))</f>
        <v>0</v>
      </c>
      <c r="I213" s="674">
        <f t="array" ref="I213">IF(OR($C213=$C212,$C213=0),0,(SUM(IF((CkDJ[JEV Number]=$C213)*(CkDJ[Account Code]=(I$9)),CkDJ[Credit]))))</f>
        <v>0</v>
      </c>
      <c r="J213" s="675"/>
      <c r="K213" s="674">
        <f t="array" ref="K213">IF($C213=0,0,(SUM(IF((CkDJ[JEV Number]=$C213)*(CkDJ[Account Code]=(J213)),CkDJ[Credit]))))</f>
        <v>0</v>
      </c>
      <c r="L213" s="674">
        <f t="array" ref="L213">IF(OR($C213=$C212,$C213=0),0,(SUM(IF((CkDJ[JEV Number]=$C213)*(CkDJ[Account Code]=(L$9)),CkDJ[Debit]))))</f>
        <v>0</v>
      </c>
      <c r="M213" s="674">
        <f t="array" ref="M213">IF(OR($C213=$C212,$C213=0),0,(SUM(IF((CkDJ[JEV Number]=$C213)*(CkDJ[Account Code]=(M$9)),CkDJ[Debit]))))</f>
        <v>0</v>
      </c>
      <c r="N213" s="674">
        <f t="array" ref="N213">IF(OR($C213=$C212,$C213=0),0,(SUM(IF((CkDJ[JEV Number]=$C213)*(CkDJ[Account Code]=(N$9)),CkDJ[Debit]))))</f>
        <v>0</v>
      </c>
      <c r="O213" s="674">
        <f t="array" ref="O213">IF(OR($C213=$C212,$C213=0),0,(SUM(IF((CkDJ[JEV Number]=$C213)*(CkDJ[Account Code]=(O$9)),CkDJ[Debit]))))</f>
        <v>0</v>
      </c>
      <c r="P213" s="722"/>
      <c r="Q213" s="689">
        <f t="array" ref="Q213">IF($C213=0,0,(SUM(IF((CkDJ[JEV Number]=$C213)*(CkDJ[Account Code]=(P213)),CkDJ[Debit]))))</f>
        <v>0</v>
      </c>
      <c r="R213" s="676">
        <f t="shared" si="16"/>
        <v>0</v>
      </c>
    </row>
    <row r="214" spans="1:18">
      <c r="A214" s="670" t="str">
        <f t="array" ref="A214">IF(OR(C214=C213,C214=0),"",INDEX(CkDJ[Date],MATCH(C214,CkDJ[JEV Number],0)))</f>
        <v/>
      </c>
      <c r="B214" s="671"/>
      <c r="C214" s="672" t="str">
        <f t="shared" si="15"/>
        <v>20-01-001</v>
      </c>
      <c r="D214" s="672"/>
      <c r="E214" s="672"/>
      <c r="F214" s="672"/>
      <c r="G214" s="673" t="str">
        <f t="array" ref="G214">IF(OR(C214=C213,C214=0),"",INDEX(CasheirCode[Name],MATCH((INDEX(CkDJ[Sort Code],MATCH(C214,CkDJ[JEV Number],0))),CasheirCode[Sort Code])))</f>
        <v/>
      </c>
      <c r="H214" s="674">
        <f t="array" ref="H214">IF(OR($C214=$C213,$C214=0),0,(SUM(IF((CkDJ[JEV Number]=$C214)*(CkDJ[Account Code]=(H$9)),CkDJ[Credit]))))</f>
        <v>0</v>
      </c>
      <c r="I214" s="674">
        <f t="array" ref="I214">IF(OR($C214=$C213,$C214=0),0,(SUM(IF((CkDJ[JEV Number]=$C214)*(CkDJ[Account Code]=(I$9)),CkDJ[Credit]))))</f>
        <v>0</v>
      </c>
      <c r="J214" s="724"/>
      <c r="K214" s="674">
        <f t="array" ref="K214">IF($C214=0,0,(SUM(IF((CkDJ[JEV Number]=$C214)*(CkDJ[Account Code]=(J214)),CkDJ[Credit]))))</f>
        <v>0</v>
      </c>
      <c r="L214" s="674">
        <f t="array" ref="L214">IF(OR($C214=$C213,$C214=0),0,(SUM(IF((CkDJ[JEV Number]=$C214)*(CkDJ[Account Code]=(L$9)),CkDJ[Debit]))))</f>
        <v>0</v>
      </c>
      <c r="M214" s="674">
        <f t="array" ref="M214">IF(OR($C214=$C213,$C214=0),0,(SUM(IF((CkDJ[JEV Number]=$C214)*(CkDJ[Account Code]=(M$9)),CkDJ[Debit]))))</f>
        <v>0</v>
      </c>
      <c r="N214" s="674">
        <f t="array" ref="N214">IF(OR($C214=$C213,$C214=0),0,(SUM(IF((CkDJ[JEV Number]=$C214)*(CkDJ[Account Code]=(N$9)),CkDJ[Debit]))))</f>
        <v>0</v>
      </c>
      <c r="O214" s="674">
        <f t="array" ref="O214">IF(OR($C214=$C213,$C214=0),0,(SUM(IF((CkDJ[JEV Number]=$C214)*(CkDJ[Account Code]=(O$9)),CkDJ[Debit]))))</f>
        <v>0</v>
      </c>
      <c r="P214" s="722"/>
      <c r="Q214" s="689">
        <f t="array" ref="Q214">IF($C214=0,0,(SUM(IF((CkDJ[JEV Number]=$C214)*(CkDJ[Account Code]=(P214)),CkDJ[Debit]))))</f>
        <v>0</v>
      </c>
      <c r="R214" s="676">
        <f t="shared" si="16"/>
        <v>0</v>
      </c>
    </row>
    <row r="215" spans="1:18">
      <c r="A215" s="670" t="str">
        <f t="array" ref="A215">IF(OR(C215=C214,C215=0),"",INDEX(CkDJ[Date],MATCH(C215,CkDJ[JEV Number],0)))</f>
        <v/>
      </c>
      <c r="B215" s="671"/>
      <c r="C215" s="672" t="str">
        <f t="shared" ref="C215:C231" si="17">IF(B215=0,C214,B215)</f>
        <v>20-01-001</v>
      </c>
      <c r="D215" s="672"/>
      <c r="E215" s="672"/>
      <c r="F215" s="672"/>
      <c r="G215" s="673" t="str">
        <f t="array" ref="G215">IF(OR(C215=C214,C215=0),"",INDEX(CasheirCode[Name],MATCH((INDEX(CkDJ[Sort Code],MATCH(C215,CkDJ[JEV Number],0))),CasheirCode[Sort Code])))</f>
        <v/>
      </c>
      <c r="H215" s="674">
        <f t="array" ref="H215">IF(OR($C215=$C214,$C215=0),0,(SUM(IF((CkDJ[JEV Number]=$C215)*(CkDJ[Account Code]=(H$9)),CkDJ[Credit]))))</f>
        <v>0</v>
      </c>
      <c r="I215" s="674">
        <f t="array" ref="I215">IF(OR($C215=$C214,$C215=0),0,(SUM(IF((CkDJ[JEV Number]=$C215)*(CkDJ[Account Code]=(I$9)),CkDJ[Credit]))))</f>
        <v>0</v>
      </c>
      <c r="J215" s="724"/>
      <c r="K215" s="674">
        <f t="array" ref="K215">IF($C215=0,0,(SUM(IF((CkDJ[JEV Number]=$C215)*(CkDJ[Account Code]=(J215)),CkDJ[Credit]))))</f>
        <v>0</v>
      </c>
      <c r="L215" s="674">
        <f t="array" ref="L215">IF(OR($C215=$C214,$C215=0),0,(SUM(IF((CkDJ[JEV Number]=$C215)*(CkDJ[Account Code]=(L$9)),CkDJ[Debit]))))</f>
        <v>0</v>
      </c>
      <c r="M215" s="674">
        <f t="array" ref="M215">IF(OR($C215=$C214,$C215=0),0,(SUM(IF((CkDJ[JEV Number]=$C215)*(CkDJ[Account Code]=(M$9)),CkDJ[Debit]))))</f>
        <v>0</v>
      </c>
      <c r="N215" s="674">
        <f t="array" ref="N215">IF(OR($C215=$C214,$C215=0),0,(SUM(IF((CkDJ[JEV Number]=$C215)*(CkDJ[Account Code]=(N$9)),CkDJ[Debit]))))</f>
        <v>0</v>
      </c>
      <c r="O215" s="674">
        <f t="array" ref="O215">IF(OR($C215=$C214,$C215=0),0,(SUM(IF((CkDJ[JEV Number]=$C215)*(CkDJ[Account Code]=(O$9)),CkDJ[Debit]))))</f>
        <v>0</v>
      </c>
      <c r="P215" s="722"/>
      <c r="Q215" s="689">
        <f t="array" ref="Q215">IF($C215=0,0,(SUM(IF((CkDJ[JEV Number]=$C215)*(CkDJ[Account Code]=(P215)),CkDJ[Debit]))))</f>
        <v>0</v>
      </c>
      <c r="R215" s="676">
        <f t="shared" ref="R215:R231" si="18">R214+(SUM(L215:O215)+Q215)-(SUM(H215:I215)+K215)</f>
        <v>0</v>
      </c>
    </row>
    <row r="216" spans="1:18">
      <c r="A216" s="670" t="str">
        <f t="array" ref="A216">IF(OR(C216=C215,C216=0),"",INDEX(CkDJ[Date],MATCH(C216,CkDJ[JEV Number],0)))</f>
        <v/>
      </c>
      <c r="B216" s="671"/>
      <c r="C216" s="672" t="str">
        <f t="shared" si="17"/>
        <v>20-01-001</v>
      </c>
      <c r="D216" s="672"/>
      <c r="E216" s="672"/>
      <c r="F216" s="672"/>
      <c r="G216" s="673" t="str">
        <f t="array" ref="G216">IF(OR(C216=C215,C216=0),"",INDEX(CasheirCode[Name],MATCH((INDEX(CkDJ[Sort Code],MATCH(C216,CkDJ[JEV Number],0))),CasheirCode[Sort Code])))</f>
        <v/>
      </c>
      <c r="H216" s="674">
        <f t="array" ref="H216">IF(OR($C216=$C215,$C216=0),0,(SUM(IF((CkDJ[JEV Number]=$C216)*(CkDJ[Account Code]=(H$9)),CkDJ[Credit]))))</f>
        <v>0</v>
      </c>
      <c r="I216" s="674">
        <f t="array" ref="I216">IF(OR($C216=$C215,$C216=0),0,(SUM(IF((CkDJ[JEV Number]=$C216)*(CkDJ[Account Code]=(I$9)),CkDJ[Credit]))))</f>
        <v>0</v>
      </c>
      <c r="J216" s="724"/>
      <c r="K216" s="674">
        <f t="array" ref="K216">IF($C216=0,0,(SUM(IF((CkDJ[JEV Number]=$C216)*(CkDJ[Account Code]=(J216)),CkDJ[Credit]))))</f>
        <v>0</v>
      </c>
      <c r="L216" s="674">
        <f t="array" ref="L216">IF(OR($C216=$C215,$C216=0),0,(SUM(IF((CkDJ[JEV Number]=$C216)*(CkDJ[Account Code]=(L$9)),CkDJ[Debit]))))</f>
        <v>0</v>
      </c>
      <c r="M216" s="674">
        <f t="array" ref="M216">IF(OR($C216=$C215,$C216=0),0,(SUM(IF((CkDJ[JEV Number]=$C216)*(CkDJ[Account Code]=(M$9)),CkDJ[Debit]))))</f>
        <v>0</v>
      </c>
      <c r="N216" s="674">
        <f t="array" ref="N216">IF(OR($C216=$C215,$C216=0),0,(SUM(IF((CkDJ[JEV Number]=$C216)*(CkDJ[Account Code]=(N$9)),CkDJ[Debit]))))</f>
        <v>0</v>
      </c>
      <c r="O216" s="674">
        <f t="array" ref="O216">IF(OR($C216=$C215,$C216=0),0,(SUM(IF((CkDJ[JEV Number]=$C216)*(CkDJ[Account Code]=(O$9)),CkDJ[Debit]))))</f>
        <v>0</v>
      </c>
      <c r="P216" s="722"/>
      <c r="Q216" s="689">
        <f t="array" ref="Q216">IF($C216=0,0,(SUM(IF((CkDJ[JEV Number]=$C216)*(CkDJ[Account Code]=(P216)),CkDJ[Debit]))))</f>
        <v>0</v>
      </c>
      <c r="R216" s="676">
        <f t="shared" si="18"/>
        <v>0</v>
      </c>
    </row>
    <row r="217" spans="1:18">
      <c r="A217" s="670" t="str">
        <f t="array" ref="A217">IF(OR(C217=C216,C217=0),"",INDEX(CkDJ[Date],MATCH(C217,CkDJ[JEV Number],0)))</f>
        <v/>
      </c>
      <c r="B217" s="671"/>
      <c r="C217" s="672" t="str">
        <f t="shared" si="17"/>
        <v>20-01-001</v>
      </c>
      <c r="D217" s="672"/>
      <c r="E217" s="672"/>
      <c r="F217" s="672"/>
      <c r="G217" s="673" t="str">
        <f t="array" ref="G217">IF(OR(C217=C216,C217=0),"",INDEX(CasheirCode[Name],MATCH((INDEX(CkDJ[Sort Code],MATCH(C217,CkDJ[JEV Number],0))),CasheirCode[Sort Code])))</f>
        <v/>
      </c>
      <c r="H217" s="674">
        <f t="array" ref="H217">IF(OR($C217=$C216,$C217=0),0,(SUM(IF((CkDJ[JEV Number]=$C217)*(CkDJ[Account Code]=(H$9)),CkDJ[Credit]))))</f>
        <v>0</v>
      </c>
      <c r="I217" s="674">
        <f t="array" ref="I217">IF(OR($C217=$C216,$C217=0),0,(SUM(IF((CkDJ[JEV Number]=$C217)*(CkDJ[Account Code]=(I$9)),CkDJ[Credit]))))</f>
        <v>0</v>
      </c>
      <c r="J217" s="724"/>
      <c r="K217" s="674">
        <f t="array" ref="K217">IF($C217=0,0,(SUM(IF((CkDJ[JEV Number]=$C217)*(CkDJ[Account Code]=(J217)),CkDJ[Credit]))))</f>
        <v>0</v>
      </c>
      <c r="L217" s="674">
        <f t="array" ref="L217">IF(OR($C217=$C216,$C217=0),0,(SUM(IF((CkDJ[JEV Number]=$C217)*(CkDJ[Account Code]=(L$9)),CkDJ[Debit]))))</f>
        <v>0</v>
      </c>
      <c r="M217" s="674">
        <f t="array" ref="M217">IF(OR($C217=$C216,$C217=0),0,(SUM(IF((CkDJ[JEV Number]=$C217)*(CkDJ[Account Code]=(M$9)),CkDJ[Debit]))))</f>
        <v>0</v>
      </c>
      <c r="N217" s="674">
        <f t="array" ref="N217">IF(OR($C217=$C216,$C217=0),0,(SUM(IF((CkDJ[JEV Number]=$C217)*(CkDJ[Account Code]=(N$9)),CkDJ[Debit]))))</f>
        <v>0</v>
      </c>
      <c r="O217" s="674">
        <f t="array" ref="O217">IF(OR($C217=$C216,$C217=0),0,(SUM(IF((CkDJ[JEV Number]=$C217)*(CkDJ[Account Code]=(O$9)),CkDJ[Debit]))))</f>
        <v>0</v>
      </c>
      <c r="P217" s="722"/>
      <c r="Q217" s="689">
        <f t="array" ref="Q217">IF($C217=0,0,(SUM(IF((CkDJ[JEV Number]=$C217)*(CkDJ[Account Code]=(P217)),CkDJ[Debit]))))</f>
        <v>0</v>
      </c>
      <c r="R217" s="676">
        <f t="shared" si="18"/>
        <v>0</v>
      </c>
    </row>
    <row r="218" spans="1:18">
      <c r="A218" s="670" t="str">
        <f t="array" ref="A218">IF(OR(C218=C217,C218=0),"",INDEX(CkDJ[Date],MATCH(C218,CkDJ[JEV Number],0)))</f>
        <v/>
      </c>
      <c r="B218" s="671"/>
      <c r="C218" s="672" t="str">
        <f t="shared" si="17"/>
        <v>20-01-001</v>
      </c>
      <c r="D218" s="672"/>
      <c r="E218" s="672"/>
      <c r="F218" s="672"/>
      <c r="G218" s="673" t="str">
        <f t="array" ref="G218">IF(OR(C218=C217,C218=0),"",INDEX(CasheirCode[Name],MATCH((INDEX(CkDJ[Sort Code],MATCH(C218,CkDJ[JEV Number],0))),CasheirCode[Sort Code])))</f>
        <v/>
      </c>
      <c r="H218" s="674">
        <f t="array" ref="H218">IF(OR($C218=$C217,$C218=0),0,(SUM(IF((CkDJ[JEV Number]=$C218)*(CkDJ[Account Code]=(H$9)),CkDJ[Credit]))))</f>
        <v>0</v>
      </c>
      <c r="I218" s="674">
        <f t="array" ref="I218">IF(OR($C218=$C217,$C218=0),0,(SUM(IF((CkDJ[JEV Number]=$C218)*(CkDJ[Account Code]=(I$9)),CkDJ[Credit]))))</f>
        <v>0</v>
      </c>
      <c r="J218" s="724"/>
      <c r="K218" s="674">
        <f t="array" ref="K218">IF($C218=0,0,(SUM(IF((CkDJ[JEV Number]=$C218)*(CkDJ[Account Code]=(J218)),CkDJ[Credit]))))</f>
        <v>0</v>
      </c>
      <c r="L218" s="674">
        <f t="array" ref="L218">IF(OR($C218=$C217,$C218=0),0,(SUM(IF((CkDJ[JEV Number]=$C218)*(CkDJ[Account Code]=(L$9)),CkDJ[Debit]))))</f>
        <v>0</v>
      </c>
      <c r="M218" s="674">
        <f t="array" ref="M218">IF(OR($C218=$C217,$C218=0),0,(SUM(IF((CkDJ[JEV Number]=$C218)*(CkDJ[Account Code]=(M$9)),CkDJ[Debit]))))</f>
        <v>0</v>
      </c>
      <c r="N218" s="674">
        <f t="array" ref="N218">IF(OR($C218=$C217,$C218=0),0,(SUM(IF((CkDJ[JEV Number]=$C218)*(CkDJ[Account Code]=(N$9)),CkDJ[Debit]))))</f>
        <v>0</v>
      </c>
      <c r="O218" s="674">
        <f t="array" ref="O218">IF(OR($C218=$C217,$C218=0),0,(SUM(IF((CkDJ[JEV Number]=$C218)*(CkDJ[Account Code]=(O$9)),CkDJ[Debit]))))</f>
        <v>0</v>
      </c>
      <c r="P218" s="722"/>
      <c r="Q218" s="689">
        <f t="array" ref="Q218">IF($C218=0,0,(SUM(IF((CkDJ[JEV Number]=$C218)*(CkDJ[Account Code]=(P218)),CkDJ[Debit]))))</f>
        <v>0</v>
      </c>
      <c r="R218" s="676">
        <f t="shared" si="18"/>
        <v>0</v>
      </c>
    </row>
    <row r="219" spans="1:18">
      <c r="A219" s="670" t="str">
        <f t="array" ref="A219">IF(OR(C219=C218,C219=0),"",INDEX(CkDJ[Date],MATCH(C219,CkDJ[JEV Number],0)))</f>
        <v/>
      </c>
      <c r="B219" s="671"/>
      <c r="C219" s="672" t="str">
        <f t="shared" si="17"/>
        <v>20-01-001</v>
      </c>
      <c r="D219" s="672"/>
      <c r="E219" s="672"/>
      <c r="F219" s="672"/>
      <c r="G219" s="673" t="str">
        <f t="array" ref="G219">IF(OR(C219=C218,C219=0),"",INDEX(CasheirCode[Name],MATCH((INDEX(CkDJ[Sort Code],MATCH(C219,CkDJ[JEV Number],0))),CasheirCode[Sort Code])))</f>
        <v/>
      </c>
      <c r="H219" s="674">
        <f t="array" ref="H219">IF(OR($C219=$C218,$C219=0),0,(SUM(IF((CkDJ[JEV Number]=$C219)*(CkDJ[Account Code]=(H$9)),CkDJ[Credit]))))</f>
        <v>0</v>
      </c>
      <c r="I219" s="674">
        <f t="array" ref="I219">IF(OR($C219=$C218,$C219=0),0,(SUM(IF((CkDJ[JEV Number]=$C219)*(CkDJ[Account Code]=(I$9)),CkDJ[Credit]))))</f>
        <v>0</v>
      </c>
      <c r="J219" s="675"/>
      <c r="K219" s="674">
        <f t="array" ref="K219">IF($C219=0,0,(SUM(IF((CkDJ[JEV Number]=$C219)*(CkDJ[Account Code]=(J219)),CkDJ[Credit]))))</f>
        <v>0</v>
      </c>
      <c r="L219" s="674">
        <f t="array" ref="L219">IF(OR($C219=$C218,$C219=0),0,(SUM(IF((CkDJ[JEV Number]=$C219)*(CkDJ[Account Code]=(L$9)),CkDJ[Debit]))))</f>
        <v>0</v>
      </c>
      <c r="M219" s="674">
        <f t="array" ref="M219">IF(OR($C219=$C218,$C219=0),0,(SUM(IF((CkDJ[JEV Number]=$C219)*(CkDJ[Account Code]=(M$9)),CkDJ[Debit]))))</f>
        <v>0</v>
      </c>
      <c r="N219" s="674">
        <f t="array" ref="N219">IF(OR($C219=$C218,$C219=0),0,(SUM(IF((CkDJ[JEV Number]=$C219)*(CkDJ[Account Code]=(N$9)),CkDJ[Debit]))))</f>
        <v>0</v>
      </c>
      <c r="O219" s="674">
        <f t="array" ref="O219">IF(OR($C219=$C218,$C219=0),0,(SUM(IF((CkDJ[JEV Number]=$C219)*(CkDJ[Account Code]=(O$9)),CkDJ[Debit]))))</f>
        <v>0</v>
      </c>
      <c r="P219" s="722"/>
      <c r="Q219" s="689">
        <f t="array" ref="Q219">IF($C219=0,0,(SUM(IF((CkDJ[JEV Number]=$C219)*(CkDJ[Account Code]=(P219)),CkDJ[Debit]))))</f>
        <v>0</v>
      </c>
      <c r="R219" s="676">
        <f t="shared" si="18"/>
        <v>0</v>
      </c>
    </row>
    <row r="220" spans="1:18">
      <c r="A220" s="670" t="str">
        <f t="array" ref="A220">IF(OR(C220=C219,C220=0),"",INDEX(CkDJ[Date],MATCH(C220,CkDJ[JEV Number],0)))</f>
        <v/>
      </c>
      <c r="B220" s="671"/>
      <c r="C220" s="672" t="str">
        <f t="shared" si="17"/>
        <v>20-01-001</v>
      </c>
      <c r="D220" s="672"/>
      <c r="E220" s="672"/>
      <c r="F220" s="672"/>
      <c r="G220" s="673" t="str">
        <f t="array" ref="G220">IF(OR(C220=C219,C220=0),"",INDEX(CasheirCode[Name],MATCH((INDEX(CkDJ[Sort Code],MATCH(C220,CkDJ[JEV Number],0))),CasheirCode[Sort Code])))</f>
        <v/>
      </c>
      <c r="H220" s="674">
        <f t="array" ref="H220">IF(OR($C220=$C219,$C220=0),0,(SUM(IF((CkDJ[JEV Number]=$C220)*(CkDJ[Account Code]=(H$9)),CkDJ[Credit]))))</f>
        <v>0</v>
      </c>
      <c r="I220" s="674">
        <f t="array" ref="I220">IF(OR($C220=$C219,$C220=0),0,(SUM(IF((CkDJ[JEV Number]=$C220)*(CkDJ[Account Code]=(I$9)),CkDJ[Credit]))))</f>
        <v>0</v>
      </c>
      <c r="J220" s="675"/>
      <c r="K220" s="674">
        <f t="array" ref="K220">IF($C220=0,0,(SUM(IF((CkDJ[JEV Number]=$C220)*(CkDJ[Account Code]=(J220)),CkDJ[Credit]))))</f>
        <v>0</v>
      </c>
      <c r="L220" s="674">
        <f t="array" ref="L220">IF(OR($C220=$C219,$C220=0),0,(SUM(IF((CkDJ[JEV Number]=$C220)*(CkDJ[Account Code]=(L$9)),CkDJ[Debit]))))</f>
        <v>0</v>
      </c>
      <c r="M220" s="674">
        <f t="array" ref="M220">IF(OR($C220=$C219,$C220=0),0,(SUM(IF((CkDJ[JEV Number]=$C220)*(CkDJ[Account Code]=(M$9)),CkDJ[Debit]))))</f>
        <v>0</v>
      </c>
      <c r="N220" s="674">
        <f t="array" ref="N220">IF(OR($C220=$C219,$C220=0),0,(SUM(IF((CkDJ[JEV Number]=$C220)*(CkDJ[Account Code]=(N$9)),CkDJ[Debit]))))</f>
        <v>0</v>
      </c>
      <c r="O220" s="674">
        <f t="array" ref="O220">IF(OR($C220=$C219,$C220=0),0,(SUM(IF((CkDJ[JEV Number]=$C220)*(CkDJ[Account Code]=(O$9)),CkDJ[Debit]))))</f>
        <v>0</v>
      </c>
      <c r="P220" s="722"/>
      <c r="Q220" s="689">
        <f t="array" ref="Q220">IF($C220=0,0,(SUM(IF((CkDJ[JEV Number]=$C220)*(CkDJ[Account Code]=(P220)),CkDJ[Debit]))))</f>
        <v>0</v>
      </c>
      <c r="R220" s="676">
        <f t="shared" si="18"/>
        <v>0</v>
      </c>
    </row>
    <row r="221" spans="1:18">
      <c r="A221" s="670" t="str">
        <f t="array" ref="A221">IF(OR(C221=C220,C221=0),"",INDEX(CkDJ[Date],MATCH(C221,CkDJ[JEV Number],0)))</f>
        <v/>
      </c>
      <c r="B221" s="671"/>
      <c r="C221" s="672" t="str">
        <f t="shared" si="17"/>
        <v>20-01-001</v>
      </c>
      <c r="D221" s="672"/>
      <c r="E221" s="672"/>
      <c r="F221" s="672"/>
      <c r="G221" s="673" t="str">
        <f t="array" ref="G221">IF(OR(C221=C220,C221=0),"",INDEX(CasheirCode[Name],MATCH((INDEX(CkDJ[Sort Code],MATCH(C221,CkDJ[JEV Number],0))),CasheirCode[Sort Code])))</f>
        <v/>
      </c>
      <c r="H221" s="674">
        <f t="array" ref="H221">IF(OR($C221=$C220,$C221=0),0,(SUM(IF((CkDJ[JEV Number]=$C221)*(CkDJ[Account Code]=(H$9)),CkDJ[Credit]))))</f>
        <v>0</v>
      </c>
      <c r="I221" s="674">
        <f t="array" ref="I221">IF(OR($C221=$C220,$C221=0),0,(SUM(IF((CkDJ[JEV Number]=$C221)*(CkDJ[Account Code]=(I$9)),CkDJ[Credit]))))</f>
        <v>0</v>
      </c>
      <c r="J221" s="675"/>
      <c r="K221" s="674">
        <f t="array" ref="K221">IF($C221=0,0,(SUM(IF((CkDJ[JEV Number]=$C221)*(CkDJ[Account Code]=(J221)),CkDJ[Credit]))))</f>
        <v>0</v>
      </c>
      <c r="L221" s="674">
        <f t="array" ref="L221">IF(OR($C221=$C220,$C221=0),0,(SUM(IF((CkDJ[JEV Number]=$C221)*(CkDJ[Account Code]=(L$9)),CkDJ[Debit]))))</f>
        <v>0</v>
      </c>
      <c r="M221" s="674">
        <f t="array" ref="M221">IF(OR($C221=$C220,$C221=0),0,(SUM(IF((CkDJ[JEV Number]=$C221)*(CkDJ[Account Code]=(M$9)),CkDJ[Debit]))))</f>
        <v>0</v>
      </c>
      <c r="N221" s="674">
        <f t="array" ref="N221">IF(OR($C221=$C220,$C221=0),0,(SUM(IF((CkDJ[JEV Number]=$C221)*(CkDJ[Account Code]=(N$9)),CkDJ[Debit]))))</f>
        <v>0</v>
      </c>
      <c r="O221" s="674">
        <f t="array" ref="O221">IF(OR($C221=$C220,$C221=0),0,(SUM(IF((CkDJ[JEV Number]=$C221)*(CkDJ[Account Code]=(O$9)),CkDJ[Debit]))))</f>
        <v>0</v>
      </c>
      <c r="P221" s="722"/>
      <c r="Q221" s="689">
        <f t="array" ref="Q221">IF($C221=0,0,(SUM(IF((CkDJ[JEV Number]=$C221)*(CkDJ[Account Code]=(P221)),CkDJ[Debit]))))</f>
        <v>0</v>
      </c>
      <c r="R221" s="676">
        <f t="shared" si="18"/>
        <v>0</v>
      </c>
    </row>
    <row r="222" spans="1:18">
      <c r="A222" s="670" t="str">
        <f t="array" ref="A222">IF(OR(C222=C221,C222=0),"",INDEX(CkDJ[Date],MATCH(C222,CkDJ[JEV Number],0)))</f>
        <v/>
      </c>
      <c r="B222" s="671"/>
      <c r="C222" s="672" t="str">
        <f t="shared" si="17"/>
        <v>20-01-001</v>
      </c>
      <c r="D222" s="672"/>
      <c r="E222" s="672"/>
      <c r="F222" s="672"/>
      <c r="G222" s="673" t="str">
        <f t="array" ref="G222">IF(OR(C222=C221,C222=0),"",INDEX(CasheirCode[Name],MATCH((INDEX(CkDJ[Sort Code],MATCH(C222,CkDJ[JEV Number],0))),CasheirCode[Sort Code])))</f>
        <v/>
      </c>
      <c r="H222" s="674">
        <f t="array" ref="H222">IF(OR($C222=$C221,$C222=0),0,(SUM(IF((CkDJ[JEV Number]=$C222)*(CkDJ[Account Code]=(H$9)),CkDJ[Credit]))))</f>
        <v>0</v>
      </c>
      <c r="I222" s="674">
        <f t="array" ref="I222">IF(OR($C222=$C221,$C222=0),0,(SUM(IF((CkDJ[JEV Number]=$C222)*(CkDJ[Account Code]=(I$9)),CkDJ[Credit]))))</f>
        <v>0</v>
      </c>
      <c r="J222" s="675"/>
      <c r="K222" s="674">
        <f t="array" ref="K222">IF($C222=0,0,(SUM(IF((CkDJ[JEV Number]=$C222)*(CkDJ[Account Code]=(J222)),CkDJ[Credit]))))</f>
        <v>0</v>
      </c>
      <c r="L222" s="674">
        <f t="array" ref="L222">IF(OR($C222=$C221,$C222=0),0,(SUM(IF((CkDJ[JEV Number]=$C222)*(CkDJ[Account Code]=(L$9)),CkDJ[Debit]))))</f>
        <v>0</v>
      </c>
      <c r="M222" s="674">
        <f t="array" ref="M222">IF(OR($C222=$C221,$C222=0),0,(SUM(IF((CkDJ[JEV Number]=$C222)*(CkDJ[Account Code]=(M$9)),CkDJ[Debit]))))</f>
        <v>0</v>
      </c>
      <c r="N222" s="674">
        <f t="array" ref="N222">IF(OR($C222=$C221,$C222=0),0,(SUM(IF((CkDJ[JEV Number]=$C222)*(CkDJ[Account Code]=(N$9)),CkDJ[Debit]))))</f>
        <v>0</v>
      </c>
      <c r="O222" s="674">
        <f t="array" ref="O222">IF(OR($C222=$C221,$C222=0),0,(SUM(IF((CkDJ[JEV Number]=$C222)*(CkDJ[Account Code]=(O$9)),CkDJ[Debit]))))</f>
        <v>0</v>
      </c>
      <c r="P222" s="722"/>
      <c r="Q222" s="689">
        <f t="array" ref="Q222">IF($C222=0,0,(SUM(IF((CkDJ[JEV Number]=$C222)*(CkDJ[Account Code]=(P222)),CkDJ[Debit]))))</f>
        <v>0</v>
      </c>
      <c r="R222" s="676">
        <f t="shared" si="18"/>
        <v>0</v>
      </c>
    </row>
    <row r="223" spans="1:18">
      <c r="A223" s="670" t="str">
        <f t="array" ref="A223">IF(OR(C223=C222,C223=0),"",INDEX(CkDJ[Date],MATCH(C223,CkDJ[JEV Number],0)))</f>
        <v/>
      </c>
      <c r="B223" s="671"/>
      <c r="C223" s="672" t="str">
        <f t="shared" si="17"/>
        <v>20-01-001</v>
      </c>
      <c r="D223" s="672"/>
      <c r="E223" s="672"/>
      <c r="F223" s="672"/>
      <c r="G223" s="673" t="str">
        <f t="array" ref="G223">IF(OR(C223=C222,C223=0),"",INDEX(CasheirCode[Name],MATCH((INDEX(CkDJ[Sort Code],MATCH(C223,CkDJ[JEV Number],0))),CasheirCode[Sort Code])))</f>
        <v/>
      </c>
      <c r="H223" s="674">
        <f t="array" ref="H223">IF(OR($C223=$C222,$C223=0),0,(SUM(IF((CkDJ[JEV Number]=$C223)*(CkDJ[Account Code]=(H$9)),CkDJ[Credit]))))</f>
        <v>0</v>
      </c>
      <c r="I223" s="674">
        <f t="array" ref="I223">IF(OR($C223=$C222,$C223=0),0,(SUM(IF((CkDJ[JEV Number]=$C223)*(CkDJ[Account Code]=(I$9)),CkDJ[Credit]))))</f>
        <v>0</v>
      </c>
      <c r="J223" s="724"/>
      <c r="K223" s="674">
        <f t="array" ref="K223">IF($C223=0,0,(SUM(IF((CkDJ[JEV Number]=$C223)*(CkDJ[Account Code]=(J223)),CkDJ[Credit]))))</f>
        <v>0</v>
      </c>
      <c r="L223" s="674">
        <f t="array" ref="L223">IF(OR($C223=$C222,$C223=0),0,(SUM(IF((CkDJ[JEV Number]=$C223)*(CkDJ[Account Code]=(L$9)),CkDJ[Debit]))))</f>
        <v>0</v>
      </c>
      <c r="M223" s="674">
        <f t="array" ref="M223">IF(OR($C223=$C222,$C223=0),0,(SUM(IF((CkDJ[JEV Number]=$C223)*(CkDJ[Account Code]=(M$9)),CkDJ[Debit]))))</f>
        <v>0</v>
      </c>
      <c r="N223" s="674">
        <f t="array" ref="N223">IF(OR($C223=$C222,$C223=0),0,(SUM(IF((CkDJ[JEV Number]=$C223)*(CkDJ[Account Code]=(N$9)),CkDJ[Debit]))))</f>
        <v>0</v>
      </c>
      <c r="O223" s="674">
        <f t="array" ref="O223">IF(OR($C223=$C222,$C223=0),0,(SUM(IF((CkDJ[JEV Number]=$C223)*(CkDJ[Account Code]=(O$9)),CkDJ[Debit]))))</f>
        <v>0</v>
      </c>
      <c r="P223" s="722"/>
      <c r="Q223" s="689">
        <f t="array" ref="Q223">IF($C223=0,0,(SUM(IF((CkDJ[JEV Number]=$C223)*(CkDJ[Account Code]=(P223)),CkDJ[Debit]))))</f>
        <v>0</v>
      </c>
      <c r="R223" s="676">
        <f t="shared" si="18"/>
        <v>0</v>
      </c>
    </row>
    <row r="224" spans="1:18">
      <c r="A224" s="670" t="str">
        <f t="array" ref="A224">IF(OR(C224=C223,C224=0),"",INDEX(CkDJ[Date],MATCH(C224,CkDJ[JEV Number],0)))</f>
        <v/>
      </c>
      <c r="B224" s="671"/>
      <c r="C224" s="672" t="str">
        <f t="shared" si="17"/>
        <v>20-01-001</v>
      </c>
      <c r="D224" s="672"/>
      <c r="E224" s="672"/>
      <c r="F224" s="672"/>
      <c r="G224" s="673" t="str">
        <f t="array" ref="G224">IF(OR(C224=C223,C224=0),"",INDEX(CasheirCode[Name],MATCH((INDEX(CkDJ[Sort Code],MATCH(C224,CkDJ[JEV Number],0))),CasheirCode[Sort Code])))</f>
        <v/>
      </c>
      <c r="H224" s="674">
        <f t="array" ref="H224">IF(OR($C224=$C223,$C224=0),0,(SUM(IF((CkDJ[JEV Number]=$C224)*(CkDJ[Account Code]=(H$9)),CkDJ[Credit]))))</f>
        <v>0</v>
      </c>
      <c r="I224" s="674">
        <f t="array" ref="I224">IF(OR($C224=$C223,$C224=0),0,(SUM(IF((CkDJ[JEV Number]=$C224)*(CkDJ[Account Code]=(I$9)),CkDJ[Credit]))))</f>
        <v>0</v>
      </c>
      <c r="J224" s="724"/>
      <c r="K224" s="674">
        <f t="array" ref="K224">IF($C224=0,0,(SUM(IF((CkDJ[JEV Number]=$C224)*(CkDJ[Account Code]=(J224)),CkDJ[Credit]))))</f>
        <v>0</v>
      </c>
      <c r="L224" s="674">
        <f t="array" ref="L224">IF(OR($C224=$C223,$C224=0),0,(SUM(IF((CkDJ[JEV Number]=$C224)*(CkDJ[Account Code]=(L$9)),CkDJ[Debit]))))</f>
        <v>0</v>
      </c>
      <c r="M224" s="674">
        <f t="array" ref="M224">IF(OR($C224=$C223,$C224=0),0,(SUM(IF((CkDJ[JEV Number]=$C224)*(CkDJ[Account Code]=(M$9)),CkDJ[Debit]))))</f>
        <v>0</v>
      </c>
      <c r="N224" s="674">
        <f t="array" ref="N224">IF(OR($C224=$C223,$C224=0),0,(SUM(IF((CkDJ[JEV Number]=$C224)*(CkDJ[Account Code]=(N$9)),CkDJ[Debit]))))</f>
        <v>0</v>
      </c>
      <c r="O224" s="674">
        <f t="array" ref="O224">IF(OR($C224=$C223,$C224=0),0,(SUM(IF((CkDJ[JEV Number]=$C224)*(CkDJ[Account Code]=(O$9)),CkDJ[Debit]))))</f>
        <v>0</v>
      </c>
      <c r="P224" s="722"/>
      <c r="Q224" s="689">
        <f t="array" ref="Q224">IF($C224=0,0,(SUM(IF((CkDJ[JEV Number]=$C224)*(CkDJ[Account Code]=(P224)),CkDJ[Debit]))))</f>
        <v>0</v>
      </c>
      <c r="R224" s="676">
        <f t="shared" si="18"/>
        <v>0</v>
      </c>
    </row>
    <row r="225" spans="1:18">
      <c r="A225" s="670" t="str">
        <f t="array" ref="A225">IF(OR(C225=C224,C225=0),"",INDEX(CkDJ[Date],MATCH(C225,CkDJ[JEV Number],0)))</f>
        <v/>
      </c>
      <c r="B225" s="671"/>
      <c r="C225" s="672" t="str">
        <f t="shared" si="17"/>
        <v>20-01-001</v>
      </c>
      <c r="D225" s="672"/>
      <c r="E225" s="672"/>
      <c r="F225" s="672"/>
      <c r="G225" s="673" t="str">
        <f t="array" ref="G225">IF(OR(C225=C224,C225=0),"",INDEX(CasheirCode[Name],MATCH((INDEX(CkDJ[Sort Code],MATCH(C225,CkDJ[JEV Number],0))),CasheirCode[Sort Code])))</f>
        <v/>
      </c>
      <c r="H225" s="674">
        <f t="array" ref="H225">IF(OR($C225=$C224,$C225=0),0,(SUM(IF((CkDJ[JEV Number]=$C225)*(CkDJ[Account Code]=(H$9)),CkDJ[Credit]))))</f>
        <v>0</v>
      </c>
      <c r="I225" s="674">
        <f t="array" ref="I225">IF(OR($C225=$C224,$C225=0),0,(SUM(IF((CkDJ[JEV Number]=$C225)*(CkDJ[Account Code]=(I$9)),CkDJ[Credit]))))</f>
        <v>0</v>
      </c>
      <c r="J225" s="724"/>
      <c r="K225" s="674">
        <f t="array" ref="K225">IF($C225=0,0,(SUM(IF((CkDJ[JEV Number]=$C225)*(CkDJ[Account Code]=(J225)),CkDJ[Credit]))))</f>
        <v>0</v>
      </c>
      <c r="L225" s="674">
        <f t="array" ref="L225">IF(OR($C225=$C224,$C225=0),0,(SUM(IF((CkDJ[JEV Number]=$C225)*(CkDJ[Account Code]=(L$9)),CkDJ[Debit]))))</f>
        <v>0</v>
      </c>
      <c r="M225" s="674">
        <f t="array" ref="M225">IF(OR($C225=$C224,$C225=0),0,(SUM(IF((CkDJ[JEV Number]=$C225)*(CkDJ[Account Code]=(M$9)),CkDJ[Debit]))))</f>
        <v>0</v>
      </c>
      <c r="N225" s="674">
        <f t="array" ref="N225">IF(OR($C225=$C224,$C225=0),0,(SUM(IF((CkDJ[JEV Number]=$C225)*(CkDJ[Account Code]=(N$9)),CkDJ[Debit]))))</f>
        <v>0</v>
      </c>
      <c r="O225" s="674">
        <f t="array" ref="O225">IF(OR($C225=$C224,$C225=0),0,(SUM(IF((CkDJ[JEV Number]=$C225)*(CkDJ[Account Code]=(O$9)),CkDJ[Debit]))))</f>
        <v>0</v>
      </c>
      <c r="P225" s="722"/>
      <c r="Q225" s="689">
        <f t="array" ref="Q225">IF($C225=0,0,(SUM(IF((CkDJ[JEV Number]=$C225)*(CkDJ[Account Code]=(P225)),CkDJ[Debit]))))</f>
        <v>0</v>
      </c>
      <c r="R225" s="676">
        <f t="shared" si="18"/>
        <v>0</v>
      </c>
    </row>
    <row r="226" spans="1:18">
      <c r="A226" s="670" t="str">
        <f t="array" ref="A226">IF(OR(C226=C225,C226=0),"",INDEX(CkDJ[Date],MATCH(C226,CkDJ[JEV Number],0)))</f>
        <v/>
      </c>
      <c r="B226" s="671"/>
      <c r="C226" s="672" t="str">
        <f t="shared" si="17"/>
        <v>20-01-001</v>
      </c>
      <c r="D226" s="672"/>
      <c r="E226" s="672"/>
      <c r="F226" s="672"/>
      <c r="G226" s="673" t="str">
        <f t="array" ref="G226">IF(OR(C226=C225,C226=0),"",INDEX(CasheirCode[Name],MATCH((INDEX(CkDJ[Sort Code],MATCH(C226,CkDJ[JEV Number],0))),CasheirCode[Sort Code])))</f>
        <v/>
      </c>
      <c r="H226" s="674">
        <f t="array" ref="H226">IF(OR($C226=$C225,$C226=0),0,(SUM(IF((CkDJ[JEV Number]=$C226)*(CkDJ[Account Code]=(H$9)),CkDJ[Credit]))))</f>
        <v>0</v>
      </c>
      <c r="I226" s="674">
        <f t="array" ref="I226">IF(OR($C226=$C225,$C226=0),0,(SUM(IF((CkDJ[JEV Number]=$C226)*(CkDJ[Account Code]=(I$9)),CkDJ[Credit]))))</f>
        <v>0</v>
      </c>
      <c r="J226" s="675"/>
      <c r="K226" s="674">
        <f t="array" ref="K226">IF($C226=0,0,(SUM(IF((CkDJ[JEV Number]=$C226)*(CkDJ[Account Code]=(J226)),CkDJ[Credit]))))</f>
        <v>0</v>
      </c>
      <c r="L226" s="674">
        <f t="array" ref="L226">IF(OR($C226=$C225,$C226=0),0,(SUM(IF((CkDJ[JEV Number]=$C226)*(CkDJ[Account Code]=(L$9)),CkDJ[Debit]))))</f>
        <v>0</v>
      </c>
      <c r="M226" s="674">
        <f t="array" ref="M226">IF(OR($C226=$C225,$C226=0),0,(SUM(IF((CkDJ[JEV Number]=$C226)*(CkDJ[Account Code]=(M$9)),CkDJ[Debit]))))</f>
        <v>0</v>
      </c>
      <c r="N226" s="674">
        <f t="array" ref="N226">IF(OR($C226=$C225,$C226=0),0,(SUM(IF((CkDJ[JEV Number]=$C226)*(CkDJ[Account Code]=(N$9)),CkDJ[Debit]))))</f>
        <v>0</v>
      </c>
      <c r="O226" s="674">
        <f t="array" ref="O226">IF(OR($C226=$C225,$C226=0),0,(SUM(IF((CkDJ[JEV Number]=$C226)*(CkDJ[Account Code]=(O$9)),CkDJ[Debit]))))</f>
        <v>0</v>
      </c>
      <c r="P226" s="722"/>
      <c r="Q226" s="689">
        <f t="array" ref="Q226">IF($C226=0,0,(SUM(IF((CkDJ[JEV Number]=$C226)*(CkDJ[Account Code]=(P226)),CkDJ[Debit]))))</f>
        <v>0</v>
      </c>
      <c r="R226" s="676">
        <f t="shared" si="18"/>
        <v>0</v>
      </c>
    </row>
    <row r="227" spans="1:18">
      <c r="A227" s="670" t="str">
        <f t="array" ref="A227">IF(OR(C227=C226,C227=0),"",INDEX(CkDJ[Date],MATCH(C227,CkDJ[JEV Number],0)))</f>
        <v/>
      </c>
      <c r="B227" s="671"/>
      <c r="C227" s="672" t="str">
        <f t="shared" si="17"/>
        <v>20-01-001</v>
      </c>
      <c r="D227" s="672"/>
      <c r="E227" s="672"/>
      <c r="F227" s="672"/>
      <c r="G227" s="673" t="str">
        <f t="array" ref="G227">IF(OR(C227=C226,C227=0),"",INDEX(CasheirCode[Name],MATCH((INDEX(CkDJ[Sort Code],MATCH(C227,CkDJ[JEV Number],0))),CasheirCode[Sort Code])))</f>
        <v/>
      </c>
      <c r="H227" s="674">
        <f t="array" ref="H227">IF(OR($C227=$C226,$C227=0),0,(SUM(IF((CkDJ[JEV Number]=$C227)*(CkDJ[Account Code]=(H$9)),CkDJ[Credit]))))</f>
        <v>0</v>
      </c>
      <c r="I227" s="674">
        <f t="array" ref="I227">IF(OR($C227=$C226,$C227=0),0,(SUM(IF((CkDJ[JEV Number]=$C227)*(CkDJ[Account Code]=(I$9)),CkDJ[Credit]))))</f>
        <v>0</v>
      </c>
      <c r="J227" s="675"/>
      <c r="K227" s="674">
        <f t="array" ref="K227">IF($C227=0,0,(SUM(IF((CkDJ[JEV Number]=$C227)*(CkDJ[Account Code]=(J227)),CkDJ[Credit]))))</f>
        <v>0</v>
      </c>
      <c r="L227" s="674">
        <f t="array" ref="L227">IF(OR($C227=$C226,$C227=0),0,(SUM(IF((CkDJ[JEV Number]=$C227)*(CkDJ[Account Code]=(L$9)),CkDJ[Debit]))))</f>
        <v>0</v>
      </c>
      <c r="M227" s="674">
        <f t="array" ref="M227">IF(OR($C227=$C226,$C227=0),0,(SUM(IF((CkDJ[JEV Number]=$C227)*(CkDJ[Account Code]=(M$9)),CkDJ[Debit]))))</f>
        <v>0</v>
      </c>
      <c r="N227" s="674">
        <f t="array" ref="N227">IF(OR($C227=$C226,$C227=0),0,(SUM(IF((CkDJ[JEV Number]=$C227)*(CkDJ[Account Code]=(N$9)),CkDJ[Debit]))))</f>
        <v>0</v>
      </c>
      <c r="O227" s="674">
        <f t="array" ref="O227">IF(OR($C227=$C226,$C227=0),0,(SUM(IF((CkDJ[JEV Number]=$C227)*(CkDJ[Account Code]=(O$9)),CkDJ[Debit]))))</f>
        <v>0</v>
      </c>
      <c r="P227" s="722"/>
      <c r="Q227" s="689">
        <f t="array" ref="Q227">IF($C227=0,0,(SUM(IF((CkDJ[JEV Number]=$C227)*(CkDJ[Account Code]=(P227)),CkDJ[Debit]))))</f>
        <v>0</v>
      </c>
      <c r="R227" s="676">
        <f t="shared" si="18"/>
        <v>0</v>
      </c>
    </row>
    <row r="228" spans="1:18">
      <c r="A228" s="670" t="str">
        <f t="array" ref="A228">IF(OR(C228=C227,C228=0),"",INDEX(CkDJ[Date],MATCH(C228,CkDJ[JEV Number],0)))</f>
        <v/>
      </c>
      <c r="B228" s="671"/>
      <c r="C228" s="672" t="str">
        <f t="shared" si="17"/>
        <v>20-01-001</v>
      </c>
      <c r="D228" s="672"/>
      <c r="E228" s="672"/>
      <c r="F228" s="672"/>
      <c r="G228" s="673" t="str">
        <f t="array" ref="G228">IF(OR(C228=C227,C228=0),"",INDEX(CasheirCode[Name],MATCH((INDEX(CkDJ[Sort Code],MATCH(C228,CkDJ[JEV Number],0))),CasheirCode[Sort Code])))</f>
        <v/>
      </c>
      <c r="H228" s="674">
        <f t="array" ref="H228">IF(OR($C228=$C227,$C228=0),0,(SUM(IF((CkDJ[JEV Number]=$C228)*(CkDJ[Account Code]=(H$9)),CkDJ[Credit]))))</f>
        <v>0</v>
      </c>
      <c r="I228" s="674">
        <f t="array" ref="I228">IF(OR($C228=$C227,$C228=0),0,(SUM(IF((CkDJ[JEV Number]=$C228)*(CkDJ[Account Code]=(I$9)),CkDJ[Credit]))))</f>
        <v>0</v>
      </c>
      <c r="J228" s="724"/>
      <c r="K228" s="674">
        <f t="array" ref="K228">IF($C228=0,0,(SUM(IF((CkDJ[JEV Number]=$C228)*(CkDJ[Account Code]=(J228)),CkDJ[Credit]))))</f>
        <v>0</v>
      </c>
      <c r="L228" s="674">
        <f t="array" ref="L228">IF(OR($C228=$C227,$C228=0),0,(SUM(IF((CkDJ[JEV Number]=$C228)*(CkDJ[Account Code]=(L$9)),CkDJ[Debit]))))</f>
        <v>0</v>
      </c>
      <c r="M228" s="674">
        <f t="array" ref="M228">IF(OR($C228=$C227,$C228=0),0,(SUM(IF((CkDJ[JEV Number]=$C228)*(CkDJ[Account Code]=(M$9)),CkDJ[Debit]))))</f>
        <v>0</v>
      </c>
      <c r="N228" s="674">
        <f t="array" ref="N228">IF(OR($C228=$C227,$C228=0),0,(SUM(IF((CkDJ[JEV Number]=$C228)*(CkDJ[Account Code]=(N$9)),CkDJ[Debit]))))</f>
        <v>0</v>
      </c>
      <c r="O228" s="674">
        <f t="array" ref="O228">IF(OR($C228=$C227,$C228=0),0,(SUM(IF((CkDJ[JEV Number]=$C228)*(CkDJ[Account Code]=(O$9)),CkDJ[Debit]))))</f>
        <v>0</v>
      </c>
      <c r="P228" s="722"/>
      <c r="Q228" s="689">
        <f t="array" ref="Q228">IF($C228=0,0,(SUM(IF((CkDJ[JEV Number]=$C228)*(CkDJ[Account Code]=(P228)),CkDJ[Debit]))))</f>
        <v>0</v>
      </c>
      <c r="R228" s="676">
        <f t="shared" si="18"/>
        <v>0</v>
      </c>
    </row>
    <row r="229" spans="1:18">
      <c r="A229" s="670" t="str">
        <f t="array" ref="A229">IF(OR(C229=C228,C229=0),"",INDEX(CkDJ[Date],MATCH(C229,CkDJ[JEV Number],0)))</f>
        <v/>
      </c>
      <c r="B229" s="671"/>
      <c r="C229" s="672" t="str">
        <f t="shared" si="17"/>
        <v>20-01-001</v>
      </c>
      <c r="D229" s="672"/>
      <c r="E229" s="672"/>
      <c r="F229" s="672"/>
      <c r="G229" s="673" t="str">
        <f t="array" ref="G229">IF(OR(C229=C228,C229=0),"",INDEX(CasheirCode[Name],MATCH((INDEX(CkDJ[Sort Code],MATCH(C229,CkDJ[JEV Number],0))),CasheirCode[Sort Code])))</f>
        <v/>
      </c>
      <c r="H229" s="674">
        <f t="array" ref="H229">IF(OR($C229=$C228,$C229=0),0,(SUM(IF((CkDJ[JEV Number]=$C229)*(CkDJ[Account Code]=(H$9)),CkDJ[Credit]))))</f>
        <v>0</v>
      </c>
      <c r="I229" s="674">
        <f t="array" ref="I229">IF(OR($C229=$C228,$C229=0),0,(SUM(IF((CkDJ[JEV Number]=$C229)*(CkDJ[Account Code]=(I$9)),CkDJ[Credit]))))</f>
        <v>0</v>
      </c>
      <c r="J229" s="675"/>
      <c r="K229" s="674">
        <f t="array" ref="K229">IF($C229=0,0,(SUM(IF((CkDJ[JEV Number]=$C229)*(CkDJ[Account Code]=(J229)),CkDJ[Credit]))))</f>
        <v>0</v>
      </c>
      <c r="L229" s="674">
        <f t="array" ref="L229">IF(OR($C229=$C228,$C229=0),0,(SUM(IF((CkDJ[JEV Number]=$C229)*(CkDJ[Account Code]=(L$9)),CkDJ[Debit]))))</f>
        <v>0</v>
      </c>
      <c r="M229" s="674">
        <f t="array" ref="M229">IF(OR($C229=$C228,$C229=0),0,(SUM(IF((CkDJ[JEV Number]=$C229)*(CkDJ[Account Code]=(M$9)),CkDJ[Debit]))))</f>
        <v>0</v>
      </c>
      <c r="N229" s="674">
        <f t="array" ref="N229">IF(OR($C229=$C228,$C229=0),0,(SUM(IF((CkDJ[JEV Number]=$C229)*(CkDJ[Account Code]=(N$9)),CkDJ[Debit]))))</f>
        <v>0</v>
      </c>
      <c r="O229" s="674">
        <f t="array" ref="O229">IF(OR($C229=$C228,$C229=0),0,(SUM(IF((CkDJ[JEV Number]=$C229)*(CkDJ[Account Code]=(O$9)),CkDJ[Debit]))))</f>
        <v>0</v>
      </c>
      <c r="P229" s="722"/>
      <c r="Q229" s="689">
        <f t="array" ref="Q229">IF($C229=0,0,(SUM(IF((CkDJ[JEV Number]=$C229)*(CkDJ[Account Code]=(P229)),CkDJ[Debit]))))</f>
        <v>0</v>
      </c>
      <c r="R229" s="676">
        <f t="shared" si="18"/>
        <v>0</v>
      </c>
    </row>
    <row r="230" spans="1:18">
      <c r="A230" s="670" t="str">
        <f t="array" ref="A230">IF(OR(C230=C229,C230=0),"",INDEX(CkDJ[Date],MATCH(C230,CkDJ[JEV Number],0)))</f>
        <v/>
      </c>
      <c r="B230" s="671"/>
      <c r="C230" s="672" t="str">
        <f t="shared" si="17"/>
        <v>20-01-001</v>
      </c>
      <c r="D230" s="672"/>
      <c r="E230" s="672"/>
      <c r="F230" s="672"/>
      <c r="G230" s="673" t="str">
        <f t="array" ref="G230">IF(OR(C230=C229,C230=0),"",INDEX(CasheirCode[Name],MATCH((INDEX(CkDJ[Sort Code],MATCH(C230,CkDJ[JEV Number],0))),CasheirCode[Sort Code])))</f>
        <v/>
      </c>
      <c r="H230" s="674">
        <f t="array" ref="H230">IF(OR($C230=$C229,$C230=0),0,(SUM(IF((CkDJ[JEV Number]=$C230)*(CkDJ[Account Code]=(H$9)),CkDJ[Credit]))))</f>
        <v>0</v>
      </c>
      <c r="I230" s="674">
        <f t="array" ref="I230">IF(OR($C230=$C229,$C230=0),0,(SUM(IF((CkDJ[JEV Number]=$C230)*(CkDJ[Account Code]=(I$9)),CkDJ[Credit]))))</f>
        <v>0</v>
      </c>
      <c r="J230" s="675"/>
      <c r="K230" s="674">
        <f t="array" ref="K230">IF($C230=0,0,(SUM(IF((CkDJ[JEV Number]=$C230)*(CkDJ[Account Code]=(J230)),CkDJ[Credit]))))</f>
        <v>0</v>
      </c>
      <c r="L230" s="674">
        <f t="array" ref="L230">IF(OR($C230=$C229,$C230=0),0,(SUM(IF((CkDJ[JEV Number]=$C230)*(CkDJ[Account Code]=(L$9)),CkDJ[Debit]))))</f>
        <v>0</v>
      </c>
      <c r="M230" s="674">
        <f t="array" ref="M230">IF(OR($C230=$C229,$C230=0),0,(SUM(IF((CkDJ[JEV Number]=$C230)*(CkDJ[Account Code]=(M$9)),CkDJ[Debit]))))</f>
        <v>0</v>
      </c>
      <c r="N230" s="674">
        <f t="array" ref="N230">IF(OR($C230=$C229,$C230=0),0,(SUM(IF((CkDJ[JEV Number]=$C230)*(CkDJ[Account Code]=(N$9)),CkDJ[Debit]))))</f>
        <v>0</v>
      </c>
      <c r="O230" s="674">
        <f t="array" ref="O230">IF(OR($C230=$C229,$C230=0),0,(SUM(IF((CkDJ[JEV Number]=$C230)*(CkDJ[Account Code]=(O$9)),CkDJ[Debit]))))</f>
        <v>0</v>
      </c>
      <c r="P230" s="722"/>
      <c r="Q230" s="689">
        <f t="array" ref="Q230">IF($C230=0,0,(SUM(IF((CkDJ[JEV Number]=$C230)*(CkDJ[Account Code]=(P230)),CkDJ[Debit]))))</f>
        <v>0</v>
      </c>
      <c r="R230" s="676">
        <f t="shared" si="18"/>
        <v>0</v>
      </c>
    </row>
    <row r="231" spans="1:18">
      <c r="A231" s="670" t="str">
        <f t="array" ref="A231">IF(OR(C231=C230,C231=0),"",INDEX(CkDJ[Date],MATCH(C231,CkDJ[JEV Number],0)))</f>
        <v/>
      </c>
      <c r="B231" s="671"/>
      <c r="C231" s="672" t="str">
        <f t="shared" si="17"/>
        <v>20-01-001</v>
      </c>
      <c r="D231" s="672"/>
      <c r="E231" s="672"/>
      <c r="F231" s="672"/>
      <c r="G231" s="673" t="str">
        <f t="array" ref="G231">IF(OR(C231=C230,C231=0),"",INDEX(CasheirCode[Name],MATCH((INDEX(CkDJ[Sort Code],MATCH(C231,CkDJ[JEV Number],0))),CasheirCode[Sort Code])))</f>
        <v/>
      </c>
      <c r="H231" s="674">
        <f t="array" ref="H231">IF(OR($C231=$C230,$C231=0),0,(SUM(IF((CkDJ[JEV Number]=$C231)*(CkDJ[Account Code]=(H$9)),CkDJ[Credit]))))</f>
        <v>0</v>
      </c>
      <c r="I231" s="674">
        <f t="array" ref="I231">IF(OR($C231=$C230,$C231=0),0,(SUM(IF((CkDJ[JEV Number]=$C231)*(CkDJ[Account Code]=(I$9)),CkDJ[Credit]))))</f>
        <v>0</v>
      </c>
      <c r="J231" s="675"/>
      <c r="K231" s="674">
        <f t="array" ref="K231">IF($C231=0,0,(SUM(IF((CkDJ[JEV Number]=$C231)*(CkDJ[Account Code]=(J231)),CkDJ[Credit]))))</f>
        <v>0</v>
      </c>
      <c r="L231" s="674">
        <f t="array" ref="L231">IF(OR($C231=$C230,$C231=0),0,(SUM(IF((CkDJ[JEV Number]=$C231)*(CkDJ[Account Code]=(L$9)),CkDJ[Debit]))))</f>
        <v>0</v>
      </c>
      <c r="M231" s="674">
        <f t="array" ref="M231">IF(OR($C231=$C230,$C231=0),0,(SUM(IF((CkDJ[JEV Number]=$C231)*(CkDJ[Account Code]=(M$9)),CkDJ[Debit]))))</f>
        <v>0</v>
      </c>
      <c r="N231" s="674">
        <f t="array" ref="N231">IF(OR($C231=$C230,$C231=0),0,(SUM(IF((CkDJ[JEV Number]=$C231)*(CkDJ[Account Code]=(N$9)),CkDJ[Debit]))))</f>
        <v>0</v>
      </c>
      <c r="O231" s="674">
        <f t="array" ref="O231">IF(OR($C231=$C230,$C231=0),0,(SUM(IF((CkDJ[JEV Number]=$C231)*(CkDJ[Account Code]=(O$9)),CkDJ[Debit]))))</f>
        <v>0</v>
      </c>
      <c r="P231" s="722"/>
      <c r="Q231" s="689">
        <f t="array" ref="Q231">IF($C231=0,0,(SUM(IF((CkDJ[JEV Number]=$C231)*(CkDJ[Account Code]=(P231)),CkDJ[Debit]))))</f>
        <v>0</v>
      </c>
      <c r="R231" s="676">
        <f t="shared" si="18"/>
        <v>0</v>
      </c>
    </row>
    <row r="232" spans="1:18">
      <c r="A232" s="723"/>
      <c r="B232" s="808"/>
      <c r="H232" s="114"/>
      <c r="I232" s="114"/>
      <c r="J232" s="809"/>
      <c r="K232" s="114"/>
      <c r="L232" s="114"/>
      <c r="M232" s="114"/>
      <c r="N232" s="114"/>
      <c r="O232" s="114"/>
      <c r="P232" s="810"/>
      <c r="Q232" s="114"/>
      <c r="R232" s="811"/>
    </row>
    <row r="233" spans="1:18">
      <c r="A233" s="723"/>
      <c r="B233" s="808"/>
      <c r="H233" s="114"/>
      <c r="I233" s="114"/>
      <c r="J233" s="809"/>
      <c r="K233" s="114"/>
      <c r="L233" s="114"/>
      <c r="M233" s="114"/>
      <c r="N233" s="114"/>
      <c r="O233" s="114"/>
      <c r="P233" s="810"/>
      <c r="Q233" s="114"/>
      <c r="R233" s="811"/>
    </row>
    <row r="234" spans="1:18">
      <c r="A234" s="723"/>
      <c r="B234" s="808"/>
      <c r="H234" s="114"/>
      <c r="I234" s="114"/>
      <c r="J234" s="809"/>
      <c r="K234" s="114"/>
      <c r="L234" s="114"/>
      <c r="M234" s="114"/>
      <c r="N234" s="114"/>
      <c r="O234" s="114"/>
      <c r="P234" s="810"/>
      <c r="Q234" s="114"/>
      <c r="R234" s="811"/>
    </row>
    <row r="235" spans="1:18">
      <c r="A235" s="723"/>
      <c r="B235" s="808"/>
      <c r="H235" s="114"/>
      <c r="I235" s="114"/>
      <c r="J235" s="809"/>
      <c r="K235" s="114"/>
      <c r="L235" s="114"/>
      <c r="M235" s="114"/>
      <c r="N235" s="114"/>
      <c r="O235" s="114"/>
      <c r="P235" s="810"/>
      <c r="Q235" s="114"/>
      <c r="R235" s="811"/>
    </row>
    <row r="236" spans="1:18">
      <c r="A236" s="723"/>
      <c r="B236" s="808"/>
      <c r="H236" s="114"/>
      <c r="I236" s="114"/>
      <c r="J236" s="809"/>
      <c r="K236" s="114"/>
      <c r="L236" s="114"/>
      <c r="M236" s="114"/>
      <c r="N236" s="114"/>
      <c r="O236" s="114"/>
      <c r="P236" s="810"/>
      <c r="Q236" s="114"/>
      <c r="R236" s="811"/>
    </row>
    <row r="237" spans="1:18">
      <c r="A237" s="723"/>
      <c r="B237" s="808"/>
      <c r="H237" s="114"/>
      <c r="I237" s="114"/>
      <c r="J237" s="809"/>
      <c r="K237" s="114"/>
      <c r="L237" s="114"/>
      <c r="M237" s="114"/>
      <c r="N237" s="114"/>
      <c r="O237" s="114"/>
      <c r="P237" s="810"/>
      <c r="Q237" s="114"/>
      <c r="R237" s="811"/>
    </row>
    <row r="238" spans="1:18">
      <c r="A238" s="723"/>
      <c r="B238" s="808"/>
      <c r="H238" s="114"/>
      <c r="I238" s="114"/>
      <c r="J238" s="809"/>
      <c r="K238" s="114"/>
      <c r="L238" s="114"/>
      <c r="M238" s="114"/>
      <c r="N238" s="114"/>
      <c r="O238" s="114"/>
      <c r="P238" s="810"/>
      <c r="Q238" s="114"/>
      <c r="R238" s="811"/>
    </row>
    <row r="239" spans="1:18">
      <c r="A239" s="723"/>
      <c r="B239" s="808"/>
      <c r="H239" s="114"/>
      <c r="I239" s="114"/>
      <c r="J239" s="809"/>
      <c r="K239" s="114"/>
      <c r="L239" s="114"/>
      <c r="M239" s="114"/>
      <c r="N239" s="114"/>
      <c r="O239" s="114"/>
      <c r="P239" s="810"/>
      <c r="Q239" s="114"/>
      <c r="R239" s="811"/>
    </row>
    <row r="240" spans="1:18">
      <c r="G240" s="760" t="s">
        <v>482</v>
      </c>
      <c r="H240" s="131"/>
      <c r="I240" s="131"/>
      <c r="M240" s="760" t="s">
        <v>353</v>
      </c>
      <c r="N240" s="131"/>
      <c r="O240" s="131"/>
      <c r="P240" s="775"/>
    </row>
    <row r="241" spans="7:14">
      <c r="H241" s="707"/>
      <c r="N241" s="707" t="s">
        <v>1559</v>
      </c>
    </row>
    <row r="242" spans="7:14">
      <c r="G242" s="526"/>
      <c r="H242" s="707"/>
      <c r="M242" s="526"/>
      <c r="N242" s="707" t="s">
        <v>742</v>
      </c>
    </row>
    <row r="243" spans="7:14">
      <c r="G243" s="526"/>
      <c r="M243" s="526"/>
    </row>
  </sheetData>
  <sheetProtection insertRows="0" autoFilter="0" pivotTables="0"/>
  <mergeCells count="20">
    <mergeCell ref="R8:R10"/>
    <mergeCell ref="J9:K9"/>
    <mergeCell ref="L9:L10"/>
    <mergeCell ref="M9:M10"/>
    <mergeCell ref="N9:N10"/>
    <mergeCell ref="O9:O10"/>
    <mergeCell ref="P9:Q9"/>
    <mergeCell ref="G1:O1"/>
    <mergeCell ref="G2:O2"/>
    <mergeCell ref="G3:O4"/>
    <mergeCell ref="A8:A10"/>
    <mergeCell ref="B8:B10"/>
    <mergeCell ref="D8:D10"/>
    <mergeCell ref="E8:F9"/>
    <mergeCell ref="G8:G10"/>
    <mergeCell ref="H8:K8"/>
    <mergeCell ref="L8:Q8"/>
    <mergeCell ref="H9:H10"/>
    <mergeCell ref="I9:I10"/>
    <mergeCell ref="C8:C10"/>
  </mergeCells>
  <printOptions horizontalCentered="1"/>
  <pageMargins left="0.15748031496062992" right="0" top="0.74803149606299213" bottom="0.23622047244094491" header="0.31496062992125984" footer="0.31496062992125984"/>
  <pageSetup paperSize="256" scale="65" orientation="landscape"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7030A0"/>
  </sheetPr>
  <dimension ref="A1:P110"/>
  <sheetViews>
    <sheetView showZeros="0" zoomScale="70" zoomScaleNormal="70" zoomScaleSheetLayoutView="70" workbookViewId="0">
      <pane ySplit="1" topLeftCell="A2" activePane="bottomLeft" state="frozen"/>
      <selection pane="bottomLeft" activeCell="K13" sqref="K13"/>
    </sheetView>
  </sheetViews>
  <sheetFormatPr defaultColWidth="9" defaultRowHeight="15.75"/>
  <cols>
    <col min="1" max="1" width="10.125" style="538" bestFit="1" customWidth="1"/>
    <col min="2" max="2" width="13.5" style="538" bestFit="1" customWidth="1"/>
    <col min="3" max="3" width="8.875" style="557" customWidth="1"/>
    <col min="4" max="4" width="10.625" style="24" customWidth="1"/>
    <col min="5" max="5" width="6.625" style="24" customWidth="1"/>
    <col min="6" max="6" width="5.25" style="24" customWidth="1"/>
    <col min="7" max="7" width="5.125" style="24" customWidth="1"/>
    <col min="8" max="8" width="5.75" style="24" customWidth="1"/>
    <col min="9" max="9" width="22" style="24" customWidth="1"/>
    <col min="10" max="10" width="34.625" style="24" customWidth="1"/>
    <col min="11" max="11" width="35.25" style="25" customWidth="1"/>
    <col min="12" max="12" width="10.75" style="24" customWidth="1"/>
    <col min="13" max="13" width="12.375" style="542" customWidth="1"/>
    <col min="14" max="14" width="14" style="542" customWidth="1"/>
    <col min="15" max="15" width="11.875" style="9" customWidth="1"/>
    <col min="16" max="16" width="13.125" style="25" customWidth="1"/>
    <col min="17" max="16384" width="9" style="25"/>
  </cols>
  <sheetData>
    <row r="1" spans="1:16">
      <c r="A1" s="1187" t="s">
        <v>375</v>
      </c>
      <c r="B1" s="1187"/>
      <c r="C1" s="1187"/>
      <c r="D1" s="1271"/>
      <c r="E1" s="1271"/>
      <c r="F1" s="1271"/>
      <c r="G1" s="1271"/>
      <c r="H1" s="1271"/>
      <c r="I1" s="1271"/>
      <c r="J1" s="1271"/>
      <c r="K1" s="1271"/>
      <c r="L1" s="1271"/>
      <c r="M1" s="1271"/>
      <c r="N1" s="1271"/>
      <c r="O1" s="132"/>
      <c r="P1" s="14"/>
    </row>
    <row r="2" spans="1:16" ht="47.25">
      <c r="A2" s="535" t="s">
        <v>0</v>
      </c>
      <c r="B2" s="535" t="s">
        <v>737</v>
      </c>
      <c r="C2" s="181" t="s">
        <v>738</v>
      </c>
      <c r="D2" s="153" t="s">
        <v>722</v>
      </c>
      <c r="E2" s="153" t="s">
        <v>718</v>
      </c>
      <c r="F2" s="153" t="s">
        <v>740</v>
      </c>
      <c r="G2" s="153" t="s">
        <v>723</v>
      </c>
      <c r="H2" s="153" t="s">
        <v>728</v>
      </c>
      <c r="I2" s="153" t="s">
        <v>838</v>
      </c>
      <c r="J2" s="153" t="s">
        <v>440</v>
      </c>
      <c r="K2" s="153" t="s">
        <v>369</v>
      </c>
      <c r="L2" s="181" t="s">
        <v>370</v>
      </c>
      <c r="M2" s="154" t="s">
        <v>1</v>
      </c>
      <c r="N2" s="154" t="s">
        <v>2</v>
      </c>
      <c r="O2" s="154" t="s">
        <v>715</v>
      </c>
      <c r="P2" s="155" t="s">
        <v>724</v>
      </c>
    </row>
    <row r="3" spans="1:16" ht="34.5" customHeight="1">
      <c r="A3" s="536">
        <v>43861</v>
      </c>
      <c r="B3" s="824">
        <v>43853</v>
      </c>
      <c r="C3" s="825" t="s">
        <v>1611</v>
      </c>
      <c r="D3" s="105" t="s">
        <v>1612</v>
      </c>
      <c r="E3" s="133" t="s">
        <v>485</v>
      </c>
      <c r="F3" s="105"/>
      <c r="G3" s="105"/>
      <c r="H3" s="105"/>
      <c r="I3" s="823" t="s">
        <v>1609</v>
      </c>
      <c r="J3" s="823" t="s">
        <v>1610</v>
      </c>
      <c r="K3" s="3" t="str">
        <f>IF(L3=0,"",(INDEX(AccountCodes[ACCOUNT NAME],MATCH(L3,AccountCodes[NGAS CODE],0))))</f>
        <v>Salaries and Wages-Regular</v>
      </c>
      <c r="L3" s="821" t="s">
        <v>162</v>
      </c>
      <c r="M3" s="820">
        <v>50693</v>
      </c>
      <c r="N3" s="820"/>
      <c r="O3" s="660"/>
      <c r="P3" s="150">
        <f>M3-N3</f>
        <v>50693</v>
      </c>
    </row>
    <row r="4" spans="1:16" ht="45" customHeight="1">
      <c r="A4" s="536">
        <v>43861</v>
      </c>
      <c r="B4" s="824"/>
      <c r="C4" s="825"/>
      <c r="D4" s="105"/>
      <c r="E4" s="133"/>
      <c r="F4" s="105"/>
      <c r="G4" s="146"/>
      <c r="H4" s="146"/>
      <c r="I4" s="823"/>
      <c r="J4" s="823"/>
      <c r="K4" s="148" t="str">
        <f>IF(L4=0,"",(INDEX(AccountCodes[ACCOUNT NAME],MATCH(L4,AccountCodes[NGAS CODE],0))))</f>
        <v/>
      </c>
      <c r="L4" s="821"/>
      <c r="M4" s="820"/>
      <c r="N4" s="820"/>
      <c r="O4" s="660"/>
      <c r="P4" s="152">
        <f t="shared" ref="P4:P10" si="0">P3+M4-N4</f>
        <v>50693</v>
      </c>
    </row>
    <row r="5" spans="1:16">
      <c r="A5" s="536"/>
      <c r="B5" s="824"/>
      <c r="C5" s="825"/>
      <c r="D5" s="105"/>
      <c r="E5" s="133"/>
      <c r="F5" s="105"/>
      <c r="G5" s="499"/>
      <c r="H5" s="499"/>
      <c r="I5" s="823"/>
      <c r="J5" s="823"/>
      <c r="K5" s="496" t="str">
        <f>IF(L5=0,"",(INDEX(AccountCodes[ACCOUNT NAME],MATCH(L5,AccountCodes[NGAS CODE],0))))</f>
        <v/>
      </c>
      <c r="L5" s="821"/>
      <c r="M5" s="820"/>
      <c r="N5" s="820"/>
      <c r="O5" s="660"/>
      <c r="P5" s="498">
        <f t="shared" si="0"/>
        <v>50693</v>
      </c>
    </row>
    <row r="6" spans="1:16">
      <c r="A6" s="536"/>
      <c r="B6" s="824"/>
      <c r="C6" s="825"/>
      <c r="D6" s="105"/>
      <c r="E6" s="133"/>
      <c r="F6" s="105"/>
      <c r="G6" s="499"/>
      <c r="H6" s="499"/>
      <c r="I6" s="823"/>
      <c r="J6" s="823"/>
      <c r="K6" s="496" t="str">
        <f>IF(L6=0,"",(INDEX(AccountCodes[ACCOUNT NAME],MATCH(L6,AccountCodes[NGAS CODE],0))))</f>
        <v/>
      </c>
      <c r="L6" s="821"/>
      <c r="M6" s="820"/>
      <c r="N6" s="820"/>
      <c r="O6" s="660"/>
      <c r="P6" s="558">
        <f t="shared" si="0"/>
        <v>50693</v>
      </c>
    </row>
    <row r="7" spans="1:16">
      <c r="A7" s="536"/>
      <c r="B7" s="824"/>
      <c r="C7" s="825"/>
      <c r="D7" s="105"/>
      <c r="E7" s="133"/>
      <c r="F7" s="105"/>
      <c r="G7" s="499"/>
      <c r="H7" s="499"/>
      <c r="I7" s="823"/>
      <c r="J7" s="823"/>
      <c r="K7" s="496" t="str">
        <f>IF(L7=0,"",(INDEX(AccountCodes[ACCOUNT NAME],MATCH(L7,AccountCodes[NGAS CODE],0))))</f>
        <v/>
      </c>
      <c r="L7" s="821"/>
      <c r="M7" s="820"/>
      <c r="N7" s="820"/>
      <c r="O7" s="660"/>
      <c r="P7" s="558">
        <f t="shared" si="0"/>
        <v>50693</v>
      </c>
    </row>
    <row r="8" spans="1:16">
      <c r="A8" s="536"/>
      <c r="B8" s="824"/>
      <c r="C8" s="825"/>
      <c r="D8" s="105"/>
      <c r="E8" s="133"/>
      <c r="F8" s="105"/>
      <c r="G8" s="499"/>
      <c r="H8" s="499"/>
      <c r="I8" s="823"/>
      <c r="J8" s="823"/>
      <c r="K8" s="496" t="str">
        <f>IF(L8=0,"",(INDEX(AccountCodes[ACCOUNT NAME],MATCH(L8,AccountCodes[NGAS CODE],0))))</f>
        <v/>
      </c>
      <c r="L8" s="821"/>
      <c r="M8" s="820"/>
      <c r="N8" s="820"/>
      <c r="O8" s="660"/>
      <c r="P8" s="558">
        <f t="shared" si="0"/>
        <v>50693</v>
      </c>
    </row>
    <row r="9" spans="1:16">
      <c r="A9" s="536"/>
      <c r="B9" s="824"/>
      <c r="C9" s="825"/>
      <c r="D9" s="105"/>
      <c r="E9" s="133"/>
      <c r="F9" s="105"/>
      <c r="G9" s="499"/>
      <c r="H9" s="499"/>
      <c r="I9" s="823"/>
      <c r="J9" s="823"/>
      <c r="K9" s="496" t="str">
        <f>IF(L9=0,"",(INDEX(AccountCodes[ACCOUNT NAME],MATCH(L9,AccountCodes[NGAS CODE],0))))</f>
        <v/>
      </c>
      <c r="L9" s="821"/>
      <c r="M9" s="822"/>
      <c r="N9" s="820"/>
      <c r="O9" s="660"/>
      <c r="P9" s="558">
        <f t="shared" si="0"/>
        <v>50693</v>
      </c>
    </row>
    <row r="10" spans="1:16">
      <c r="A10" s="536"/>
      <c r="B10" s="824"/>
      <c r="C10" s="825"/>
      <c r="D10" s="105"/>
      <c r="E10" s="133"/>
      <c r="F10" s="145"/>
      <c r="G10" s="105"/>
      <c r="H10" s="105"/>
      <c r="I10" s="823"/>
      <c r="J10" s="823"/>
      <c r="K10" s="3" t="str">
        <f>IF(L10=0,"",(INDEX(AccountCodes[ACCOUNT NAME],MATCH(L10,AccountCodes[NGAS CODE],0))))</f>
        <v/>
      </c>
      <c r="L10" s="821"/>
      <c r="M10" s="822"/>
      <c r="N10" s="822"/>
      <c r="O10" s="660"/>
      <c r="P10" s="150">
        <f t="shared" si="0"/>
        <v>50693</v>
      </c>
    </row>
    <row r="11" spans="1:16" ht="18.75">
      <c r="A11" s="536"/>
      <c r="B11" s="786"/>
      <c r="C11" s="787"/>
      <c r="D11" s="105"/>
      <c r="E11" s="182"/>
      <c r="F11" s="145"/>
      <c r="G11" s="105"/>
      <c r="H11" s="105"/>
      <c r="I11" s="783"/>
      <c r="J11" s="784"/>
      <c r="K11" s="3" t="str">
        <f>IF(L11=0,"",(INDEX(AccountCodes[ACCOUNT NAME],MATCH(L11,AccountCodes[NGAS CODE],0))))</f>
        <v/>
      </c>
      <c r="L11" s="800"/>
      <c r="M11" s="801"/>
      <c r="N11" s="801"/>
      <c r="O11" s="802"/>
      <c r="P11" s="150">
        <f t="shared" ref="P11:P19" si="1">P10+M11-N11</f>
        <v>50693</v>
      </c>
    </row>
    <row r="12" spans="1:16" ht="18.75">
      <c r="A12" s="536"/>
      <c r="B12" s="786"/>
      <c r="C12" s="787"/>
      <c r="D12" s="105"/>
      <c r="E12" s="182"/>
      <c r="F12" s="145"/>
      <c r="G12" s="105"/>
      <c r="H12" s="105"/>
      <c r="I12" s="783"/>
      <c r="J12" s="784"/>
      <c r="K12" s="3" t="str">
        <f>IF(L12=0,"",(INDEX(AccountCodes[ACCOUNT NAME],MATCH(L12,AccountCodes[NGAS CODE],0))))</f>
        <v/>
      </c>
      <c r="L12" s="800"/>
      <c r="M12" s="801"/>
      <c r="N12" s="801"/>
      <c r="O12" s="802"/>
      <c r="P12" s="150">
        <f t="shared" si="1"/>
        <v>50693</v>
      </c>
    </row>
    <row r="13" spans="1:16" ht="18.75">
      <c r="A13" s="536"/>
      <c r="B13" s="786"/>
      <c r="C13" s="787"/>
      <c r="D13" s="105"/>
      <c r="E13" s="182"/>
      <c r="F13" s="145"/>
      <c r="G13" s="105"/>
      <c r="H13" s="105"/>
      <c r="I13" s="783"/>
      <c r="J13" s="784"/>
      <c r="K13" s="3" t="str">
        <f>IF(L13=0,"",(INDEX(AccountCodes[ACCOUNT NAME],MATCH(L13,AccountCodes[NGAS CODE],0))))</f>
        <v/>
      </c>
      <c r="L13" s="800"/>
      <c r="M13" s="801"/>
      <c r="N13" s="801"/>
      <c r="O13" s="802"/>
      <c r="P13" s="150">
        <f t="shared" si="1"/>
        <v>50693</v>
      </c>
    </row>
    <row r="14" spans="1:16" ht="18.75">
      <c r="A14" s="536"/>
      <c r="B14" s="786"/>
      <c r="C14" s="787"/>
      <c r="D14" s="105"/>
      <c r="E14" s="182"/>
      <c r="F14" s="145"/>
      <c r="G14" s="105"/>
      <c r="H14" s="105"/>
      <c r="I14" s="783"/>
      <c r="J14" s="784"/>
      <c r="K14" s="3" t="str">
        <f>IF(L14=0,"",(INDEX(AccountCodes[ACCOUNT NAME],MATCH(L14,AccountCodes[NGAS CODE],0))))</f>
        <v/>
      </c>
      <c r="L14" s="800"/>
      <c r="M14" s="801"/>
      <c r="N14" s="801"/>
      <c r="O14" s="802"/>
      <c r="P14" s="150">
        <f>P13+M14-N14</f>
        <v>50693</v>
      </c>
    </row>
    <row r="15" spans="1:16" ht="18.75">
      <c r="A15" s="536"/>
      <c r="B15" s="786"/>
      <c r="C15" s="787"/>
      <c r="D15" s="105"/>
      <c r="E15" s="182"/>
      <c r="F15" s="145"/>
      <c r="G15" s="105"/>
      <c r="H15" s="105"/>
      <c r="I15" s="783"/>
      <c r="J15" s="784"/>
      <c r="K15" s="3" t="str">
        <f>IF(L15=0,"",(INDEX(AccountCodes[ACCOUNT NAME],MATCH(L15,AccountCodes[NGAS CODE],0))))</f>
        <v/>
      </c>
      <c r="L15" s="800"/>
      <c r="M15" s="801"/>
      <c r="N15" s="801"/>
      <c r="O15" s="802"/>
      <c r="P15" s="150">
        <f t="shared" si="1"/>
        <v>50693</v>
      </c>
    </row>
    <row r="16" spans="1:16" ht="18.75">
      <c r="A16" s="536"/>
      <c r="B16" s="786"/>
      <c r="C16" s="787"/>
      <c r="D16" s="105"/>
      <c r="E16" s="182"/>
      <c r="F16" s="145"/>
      <c r="G16" s="105"/>
      <c r="H16" s="105"/>
      <c r="I16" s="783"/>
      <c r="J16" s="784"/>
      <c r="K16" s="3" t="str">
        <f>IF(L16=0,"",(INDEX(AccountCodes[ACCOUNT NAME],MATCH(L16,AccountCodes[NGAS CODE],0))))</f>
        <v/>
      </c>
      <c r="L16" s="800"/>
      <c r="M16" s="801"/>
      <c r="N16" s="801"/>
      <c r="O16" s="802"/>
      <c r="P16" s="150">
        <f t="shared" si="1"/>
        <v>50693</v>
      </c>
    </row>
    <row r="17" spans="1:16" ht="18.75">
      <c r="A17" s="536"/>
      <c r="B17" s="786"/>
      <c r="C17" s="787"/>
      <c r="D17" s="105"/>
      <c r="E17" s="182"/>
      <c r="F17" s="145"/>
      <c r="G17" s="105"/>
      <c r="H17" s="105"/>
      <c r="I17" s="783"/>
      <c r="J17" s="784"/>
      <c r="K17" s="3" t="str">
        <f>IF(L17=0,"",(INDEX(AccountCodes[ACCOUNT NAME],MATCH(L17,AccountCodes[NGAS CODE],0))))</f>
        <v/>
      </c>
      <c r="L17" s="800"/>
      <c r="M17" s="801"/>
      <c r="N17" s="801"/>
      <c r="O17" s="802"/>
      <c r="P17" s="150">
        <f t="shared" si="1"/>
        <v>50693</v>
      </c>
    </row>
    <row r="18" spans="1:16" ht="18.75">
      <c r="A18" s="536"/>
      <c r="B18" s="786"/>
      <c r="C18" s="787"/>
      <c r="D18" s="105"/>
      <c r="E18" s="182"/>
      <c r="F18" s="145"/>
      <c r="G18" s="105"/>
      <c r="H18" s="105"/>
      <c r="I18" s="785"/>
      <c r="J18" s="784"/>
      <c r="K18" s="3" t="str">
        <f>IF(L18=0,"",(INDEX(AccountCodes[ACCOUNT NAME],MATCH(L18,AccountCodes[NGAS CODE],0))))</f>
        <v/>
      </c>
      <c r="L18" s="803"/>
      <c r="M18" s="804"/>
      <c r="N18" s="804"/>
      <c r="O18" s="802"/>
      <c r="P18" s="150">
        <f t="shared" si="1"/>
        <v>50693</v>
      </c>
    </row>
    <row r="19" spans="1:16">
      <c r="A19" s="541"/>
      <c r="B19" s="559"/>
      <c r="C19" s="145"/>
      <c r="D19" s="105"/>
      <c r="E19" s="182"/>
      <c r="F19" s="145"/>
      <c r="G19" s="105"/>
      <c r="H19" s="105"/>
      <c r="I19" s="560"/>
      <c r="J19" s="560"/>
      <c r="K19" s="3" t="str">
        <f>IF(L19=0,"",(INDEX(AccountCodes[ACCOUNT NAME],MATCH(L19,AccountCodes[NGAS CODE],0))))</f>
        <v/>
      </c>
      <c r="L19" s="794"/>
      <c r="M19" s="509"/>
      <c r="N19" s="509"/>
      <c r="O19" s="4"/>
      <c r="P19" s="150">
        <f t="shared" si="1"/>
        <v>50693</v>
      </c>
    </row>
    <row r="20" spans="1:16">
      <c r="A20" s="541"/>
      <c r="B20" s="559"/>
      <c r="C20" s="145"/>
      <c r="D20" s="105"/>
      <c r="E20" s="182"/>
      <c r="F20" s="145"/>
      <c r="G20" s="151"/>
      <c r="H20" s="151"/>
      <c r="I20" s="560"/>
      <c r="J20" s="560"/>
      <c r="K20" s="148" t="str">
        <f>IF(L20=0,"",(INDEX(AccountCodes[ACCOUNT NAME],MATCH(L20,AccountCodes[NGAS CODE],0))))</f>
        <v/>
      </c>
      <c r="L20" s="794"/>
      <c r="M20" s="509"/>
      <c r="N20" s="509"/>
      <c r="O20" s="149"/>
      <c r="P20" s="152">
        <f t="shared" ref="P20:P26" si="2">P19+M20-N20</f>
        <v>50693</v>
      </c>
    </row>
    <row r="21" spans="1:16">
      <c r="A21" s="541"/>
      <c r="B21" s="559"/>
      <c r="C21" s="145"/>
      <c r="D21" s="105"/>
      <c r="E21" s="182"/>
      <c r="F21" s="145"/>
      <c r="G21" s="151"/>
      <c r="H21" s="151"/>
      <c r="I21" s="560"/>
      <c r="J21" s="560"/>
      <c r="K21" s="148" t="str">
        <f>IF(L21=0,"",(INDEX(AccountCodes[ACCOUNT NAME],MATCH(L21,AccountCodes[NGAS CODE],0))))</f>
        <v/>
      </c>
      <c r="L21" s="794"/>
      <c r="M21" s="509"/>
      <c r="N21" s="509"/>
      <c r="O21" s="149"/>
      <c r="P21" s="152">
        <f t="shared" si="2"/>
        <v>50693</v>
      </c>
    </row>
    <row r="22" spans="1:16">
      <c r="A22" s="541"/>
      <c r="B22" s="559"/>
      <c r="C22" s="145"/>
      <c r="D22" s="105"/>
      <c r="E22" s="182"/>
      <c r="F22" s="145"/>
      <c r="G22" s="151"/>
      <c r="H22" s="151"/>
      <c r="I22" s="560"/>
      <c r="J22" s="560"/>
      <c r="K22" s="148" t="str">
        <f>IF(L22=0,"",(INDEX(AccountCodes[ACCOUNT NAME],MATCH(L22,AccountCodes[NGAS CODE],0))))</f>
        <v/>
      </c>
      <c r="L22" s="794"/>
      <c r="M22" s="509"/>
      <c r="N22" s="509"/>
      <c r="O22" s="149"/>
      <c r="P22" s="152">
        <f t="shared" si="2"/>
        <v>50693</v>
      </c>
    </row>
    <row r="23" spans="1:16">
      <c r="A23" s="541"/>
      <c r="B23" s="559"/>
      <c r="C23" s="145"/>
      <c r="D23" s="105"/>
      <c r="E23" s="182"/>
      <c r="F23" s="145"/>
      <c r="G23" s="151"/>
      <c r="H23" s="151"/>
      <c r="I23" s="560"/>
      <c r="J23" s="560"/>
      <c r="K23" s="148" t="str">
        <f>IF(L23=0,"",(INDEX(AccountCodes[ACCOUNT NAME],MATCH(L23,AccountCodes[NGAS CODE],0))))</f>
        <v/>
      </c>
      <c r="L23" s="794"/>
      <c r="M23" s="509"/>
      <c r="N23" s="509"/>
      <c r="O23" s="149"/>
      <c r="P23" s="152">
        <f t="shared" si="2"/>
        <v>50693</v>
      </c>
    </row>
    <row r="24" spans="1:16">
      <c r="A24" s="541"/>
      <c r="B24" s="559"/>
      <c r="C24" s="145"/>
      <c r="D24" s="105"/>
      <c r="E24" s="182"/>
      <c r="F24" s="145"/>
      <c r="G24" s="151"/>
      <c r="H24" s="151"/>
      <c r="I24" s="668"/>
      <c r="J24" s="668"/>
      <c r="K24" s="148" t="str">
        <f>IF(L24=0,"",(INDEX(AccountCodes[ACCOUNT NAME],MATCH(L24,AccountCodes[NGAS CODE],0))))</f>
        <v/>
      </c>
      <c r="L24" s="794"/>
      <c r="M24" s="513"/>
      <c r="N24" s="513"/>
      <c r="O24" s="149"/>
      <c r="P24" s="152">
        <f t="shared" si="2"/>
        <v>50693</v>
      </c>
    </row>
    <row r="25" spans="1:16">
      <c r="A25" s="541"/>
      <c r="B25" s="559"/>
      <c r="C25" s="145"/>
      <c r="D25" s="105"/>
      <c r="E25" s="182"/>
      <c r="F25" s="145"/>
      <c r="G25" s="151"/>
      <c r="H25" s="151"/>
      <c r="I25" s="668"/>
      <c r="J25" s="668"/>
      <c r="K25" s="148" t="str">
        <f>IF(L25=0,"",(INDEX(AccountCodes[ACCOUNT NAME],MATCH(L25,AccountCodes[NGAS CODE],0))))</f>
        <v/>
      </c>
      <c r="L25" s="794"/>
      <c r="M25" s="513"/>
      <c r="N25" s="513"/>
      <c r="O25" s="149"/>
      <c r="P25" s="152">
        <f t="shared" si="2"/>
        <v>50693</v>
      </c>
    </row>
    <row r="26" spans="1:16">
      <c r="A26" s="541"/>
      <c r="B26" s="559"/>
      <c r="C26" s="145"/>
      <c r="D26" s="105"/>
      <c r="E26" s="182"/>
      <c r="F26" s="145"/>
      <c r="G26" s="151"/>
      <c r="H26" s="151"/>
      <c r="I26" s="668"/>
      <c r="J26" s="668"/>
      <c r="K26" s="148" t="str">
        <f>IF(L26=0,"",(INDEX(AccountCodes[ACCOUNT NAME],MATCH(L26,AccountCodes[NGAS CODE],0))))</f>
        <v/>
      </c>
      <c r="L26" s="794"/>
      <c r="M26" s="513"/>
      <c r="N26" s="513"/>
      <c r="O26" s="149"/>
      <c r="P26" s="152">
        <f t="shared" si="2"/>
        <v>50693</v>
      </c>
    </row>
    <row r="27" spans="1:16">
      <c r="A27" s="541"/>
      <c r="B27" s="559"/>
      <c r="C27" s="145"/>
      <c r="D27" s="105"/>
      <c r="E27" s="182"/>
      <c r="F27" s="133"/>
      <c r="G27" s="105"/>
      <c r="H27" s="105"/>
      <c r="I27" s="668"/>
      <c r="J27" s="668"/>
      <c r="K27" s="3" t="str">
        <f>IF(L27=0,"",(INDEX(AccountCodes[ACCOUNT NAME],MATCH(L27,AccountCodes[NGAS CODE],0))))</f>
        <v/>
      </c>
      <c r="L27" s="794"/>
      <c r="M27" s="513"/>
      <c r="N27" s="513"/>
      <c r="O27" s="4"/>
      <c r="P27" s="150">
        <f t="shared" ref="P27:P42" si="3">P26+M27-N27</f>
        <v>50693</v>
      </c>
    </row>
    <row r="28" spans="1:16">
      <c r="A28" s="541"/>
      <c r="B28" s="559"/>
      <c r="C28" s="145"/>
      <c r="D28" s="105"/>
      <c r="E28" s="182"/>
      <c r="F28" s="133"/>
      <c r="G28" s="105"/>
      <c r="H28" s="105"/>
      <c r="I28" s="668"/>
      <c r="J28" s="668"/>
      <c r="K28" s="3" t="str">
        <f>IF(L28=0,"",(INDEX(AccountCodes[ACCOUNT NAME],MATCH(L28,AccountCodes[NGAS CODE],0))))</f>
        <v/>
      </c>
      <c r="L28" s="794"/>
      <c r="M28" s="513"/>
      <c r="N28" s="513"/>
      <c r="O28" s="4"/>
      <c r="P28" s="150">
        <f t="shared" si="3"/>
        <v>50693</v>
      </c>
    </row>
    <row r="29" spans="1:16">
      <c r="A29" s="541"/>
      <c r="B29" s="712"/>
      <c r="C29" s="827"/>
      <c r="D29" s="105"/>
      <c r="E29" s="182"/>
      <c r="F29" s="133"/>
      <c r="G29" s="105"/>
      <c r="H29" s="105"/>
      <c r="I29" s="267"/>
      <c r="J29" s="684"/>
      <c r="K29" s="3" t="str">
        <f>IF(L29=0,"",(INDEX(AccountCodes[ACCOUNT NAME],MATCH(L29,AccountCodes[NGAS CODE],0))))</f>
        <v/>
      </c>
      <c r="L29" s="133"/>
      <c r="M29" s="500"/>
      <c r="N29" s="500"/>
      <c r="O29" s="4"/>
      <c r="P29" s="150">
        <f t="shared" si="3"/>
        <v>50693</v>
      </c>
    </row>
    <row r="30" spans="1:16">
      <c r="A30" s="541"/>
      <c r="B30" s="712"/>
      <c r="C30" s="827"/>
      <c r="D30" s="105"/>
      <c r="E30" s="182"/>
      <c r="F30" s="133"/>
      <c r="G30" s="105"/>
      <c r="H30" s="105"/>
      <c r="I30" s="267"/>
      <c r="J30" s="684"/>
      <c r="K30" s="3" t="str">
        <f>IF(L30=0,"",(INDEX(AccountCodes[ACCOUNT NAME],MATCH(L30,AccountCodes[NGAS CODE],0))))</f>
        <v/>
      </c>
      <c r="L30" s="133"/>
      <c r="M30" s="500"/>
      <c r="N30" s="500"/>
      <c r="O30" s="4"/>
      <c r="P30" s="150">
        <f t="shared" si="3"/>
        <v>50693</v>
      </c>
    </row>
    <row r="31" spans="1:16" ht="18.75">
      <c r="A31" s="536"/>
      <c r="B31" s="786"/>
      <c r="C31" s="827"/>
      <c r="D31" s="105"/>
      <c r="E31" s="182"/>
      <c r="F31" s="133"/>
      <c r="G31" s="105"/>
      <c r="H31" s="105"/>
      <c r="I31" s="783"/>
      <c r="J31" s="784"/>
      <c r="K31" s="3" t="str">
        <f>IF(L31=0,"",(INDEX(AccountCodes[ACCOUNT NAME],MATCH(L31,AccountCodes[NGAS CODE],0))))</f>
        <v/>
      </c>
      <c r="L31" s="800"/>
      <c r="M31" s="801"/>
      <c r="N31" s="801"/>
      <c r="O31" s="4"/>
      <c r="P31" s="150">
        <f t="shared" si="3"/>
        <v>50693</v>
      </c>
    </row>
    <row r="32" spans="1:16" ht="18.75">
      <c r="A32" s="536"/>
      <c r="B32" s="786"/>
      <c r="C32" s="827"/>
      <c r="D32" s="105"/>
      <c r="E32" s="182"/>
      <c r="F32" s="133"/>
      <c r="G32" s="105"/>
      <c r="H32" s="105"/>
      <c r="I32" s="783"/>
      <c r="J32" s="784"/>
      <c r="K32" s="3" t="str">
        <f>IF(L32=0,"",(INDEX(AccountCodes[ACCOUNT NAME],MATCH(L32,AccountCodes[NGAS CODE],0))))</f>
        <v/>
      </c>
      <c r="L32" s="800"/>
      <c r="M32" s="801"/>
      <c r="N32" s="801"/>
      <c r="O32" s="4"/>
      <c r="P32" s="150">
        <f t="shared" si="3"/>
        <v>50693</v>
      </c>
    </row>
    <row r="33" spans="1:16" ht="18.75">
      <c r="A33" s="536"/>
      <c r="B33" s="786"/>
      <c r="C33" s="827"/>
      <c r="D33" s="105"/>
      <c r="E33" s="182"/>
      <c r="F33" s="133"/>
      <c r="G33" s="105"/>
      <c r="H33" s="105"/>
      <c r="I33" s="783"/>
      <c r="J33" s="784"/>
      <c r="K33" s="3" t="str">
        <f>IF(L33=0,"",(INDEX(AccountCodes[ACCOUNT NAME],MATCH(L33,AccountCodes[NGAS CODE],0))))</f>
        <v/>
      </c>
      <c r="L33" s="800"/>
      <c r="M33" s="801"/>
      <c r="N33" s="801"/>
      <c r="O33" s="4"/>
      <c r="P33" s="150">
        <f t="shared" si="3"/>
        <v>50693</v>
      </c>
    </row>
    <row r="34" spans="1:16" ht="18.75">
      <c r="A34" s="536"/>
      <c r="B34" s="786"/>
      <c r="C34" s="827"/>
      <c r="D34" s="105"/>
      <c r="E34" s="182"/>
      <c r="F34" s="133"/>
      <c r="G34" s="105"/>
      <c r="H34" s="105"/>
      <c r="I34" s="783"/>
      <c r="J34" s="784"/>
      <c r="K34" s="3" t="str">
        <f>IF(L34=0,"",(INDEX(AccountCodes[ACCOUNT NAME],MATCH(L34,AccountCodes[NGAS CODE],0))))</f>
        <v/>
      </c>
      <c r="L34" s="800"/>
      <c r="M34" s="801"/>
      <c r="N34" s="801"/>
      <c r="O34" s="4"/>
      <c r="P34" s="150">
        <f t="shared" si="3"/>
        <v>50693</v>
      </c>
    </row>
    <row r="35" spans="1:16" ht="18.75">
      <c r="A35" s="536"/>
      <c r="B35" s="786"/>
      <c r="C35" s="827"/>
      <c r="D35" s="105"/>
      <c r="E35" s="182"/>
      <c r="F35" s="133"/>
      <c r="G35" s="105"/>
      <c r="H35" s="105"/>
      <c r="I35" s="783"/>
      <c r="J35" s="784"/>
      <c r="K35" s="3" t="str">
        <f>IF(L35=0,"",(INDEX(AccountCodes[ACCOUNT NAME],MATCH(L35,AccountCodes[NGAS CODE],0))))</f>
        <v/>
      </c>
      <c r="L35" s="800"/>
      <c r="M35" s="801"/>
      <c r="N35" s="801"/>
      <c r="O35" s="4"/>
      <c r="P35" s="150">
        <f t="shared" si="3"/>
        <v>50693</v>
      </c>
    </row>
    <row r="36" spans="1:16" ht="18.75">
      <c r="A36" s="536"/>
      <c r="B36" s="786"/>
      <c r="C36" s="827"/>
      <c r="D36" s="105"/>
      <c r="E36" s="182"/>
      <c r="F36" s="133"/>
      <c r="G36" s="105"/>
      <c r="H36" s="105"/>
      <c r="I36" s="783"/>
      <c r="J36" s="784"/>
      <c r="K36" s="3" t="str">
        <f>IF(L36=0,"",(INDEX(AccountCodes[ACCOUNT NAME],MATCH(L36,AccountCodes[NGAS CODE],0))))</f>
        <v/>
      </c>
      <c r="L36" s="800"/>
      <c r="M36" s="801"/>
      <c r="N36" s="801"/>
      <c r="O36" s="4"/>
      <c r="P36" s="150">
        <f>P35+M36-N36</f>
        <v>50693</v>
      </c>
    </row>
    <row r="37" spans="1:16" ht="18.75">
      <c r="A37" s="536"/>
      <c r="B37" s="786"/>
      <c r="C37" s="827"/>
      <c r="D37" s="105"/>
      <c r="E37" s="182"/>
      <c r="F37" s="133"/>
      <c r="G37" s="105"/>
      <c r="H37" s="105"/>
      <c r="I37" s="783"/>
      <c r="J37" s="784"/>
      <c r="K37" s="3" t="str">
        <f>IF(L37=0,"",(INDEX(AccountCodes[ACCOUNT NAME],MATCH(L37,AccountCodes[NGAS CODE],0))))</f>
        <v/>
      </c>
      <c r="L37" s="800"/>
      <c r="M37" s="801"/>
      <c r="N37" s="801"/>
      <c r="O37" s="4"/>
      <c r="P37" s="150">
        <f t="shared" si="3"/>
        <v>50693</v>
      </c>
    </row>
    <row r="38" spans="1:16" ht="18.75">
      <c r="A38" s="536"/>
      <c r="B38" s="786"/>
      <c r="C38" s="827"/>
      <c r="D38" s="105"/>
      <c r="E38" s="182"/>
      <c r="F38" s="133"/>
      <c r="G38" s="105"/>
      <c r="H38" s="105"/>
      <c r="I38" s="785"/>
      <c r="J38" s="784"/>
      <c r="K38" s="3" t="str">
        <f>IF(L38=0,"",(INDEX(AccountCodes[ACCOUNT NAME],MATCH(L38,AccountCodes[NGAS CODE],0))))</f>
        <v/>
      </c>
      <c r="L38" s="803"/>
      <c r="M38" s="804"/>
      <c r="N38" s="804"/>
      <c r="O38" s="4"/>
      <c r="P38" s="150">
        <f t="shared" si="3"/>
        <v>50693</v>
      </c>
    </row>
    <row r="39" spans="1:16" ht="18.75">
      <c r="A39" s="537"/>
      <c r="B39" s="786"/>
      <c r="C39" s="827"/>
      <c r="D39" s="105"/>
      <c r="E39" s="182"/>
      <c r="F39" s="133"/>
      <c r="G39" s="105"/>
      <c r="H39" s="105"/>
      <c r="I39" s="783"/>
      <c r="J39" s="784"/>
      <c r="K39" s="3" t="str">
        <f>IF(L39=0,"",(INDEX(AccountCodes[ACCOUNT NAME],MATCH(L39,AccountCodes[NGAS CODE],0))))</f>
        <v/>
      </c>
      <c r="L39" s="800"/>
      <c r="M39" s="801"/>
      <c r="N39" s="801"/>
      <c r="O39" s="805"/>
      <c r="P39" s="150">
        <f t="shared" si="3"/>
        <v>50693</v>
      </c>
    </row>
    <row r="40" spans="1:16" ht="18.75">
      <c r="A40" s="537"/>
      <c r="B40" s="786"/>
      <c r="C40" s="827"/>
      <c r="D40" s="105"/>
      <c r="E40" s="182"/>
      <c r="F40" s="133"/>
      <c r="G40" s="105"/>
      <c r="H40" s="105"/>
      <c r="I40" s="783"/>
      <c r="J40" s="784"/>
      <c r="K40" s="3" t="str">
        <f>IF(L40=0,"",(INDEX(AccountCodes[ACCOUNT NAME],MATCH(L40,AccountCodes[NGAS CODE],0))))</f>
        <v/>
      </c>
      <c r="L40" s="800"/>
      <c r="M40" s="801"/>
      <c r="N40" s="801"/>
      <c r="O40" s="805"/>
      <c r="P40" s="150">
        <f t="shared" si="3"/>
        <v>50693</v>
      </c>
    </row>
    <row r="41" spans="1:16" ht="18.75">
      <c r="A41" s="537"/>
      <c r="B41" s="786"/>
      <c r="C41" s="827"/>
      <c r="D41" s="105"/>
      <c r="E41" s="182"/>
      <c r="F41" s="133"/>
      <c r="G41" s="105"/>
      <c r="H41" s="105"/>
      <c r="I41" s="783"/>
      <c r="J41" s="784"/>
      <c r="K41" s="3" t="str">
        <f>IF(L41=0,"",(INDEX(AccountCodes[ACCOUNT NAME],MATCH(L41,AccountCodes[NGAS CODE],0))))</f>
        <v/>
      </c>
      <c r="L41" s="800"/>
      <c r="M41" s="801"/>
      <c r="N41" s="801"/>
      <c r="O41" s="805"/>
      <c r="P41" s="150">
        <f t="shared" si="3"/>
        <v>50693</v>
      </c>
    </row>
    <row r="42" spans="1:16" ht="18.75">
      <c r="A42" s="537"/>
      <c r="B42" s="786"/>
      <c r="C42" s="683"/>
      <c r="D42" s="105"/>
      <c r="E42" s="182"/>
      <c r="F42" s="133"/>
      <c r="G42" s="151"/>
      <c r="H42" s="151"/>
      <c r="I42" s="783"/>
      <c r="J42" s="784"/>
      <c r="K42" s="148" t="str">
        <f>IF(L42=0,"",(INDEX(AccountCodes[ACCOUNT NAME],MATCH(L42,AccountCodes[NGAS CODE],0))))</f>
        <v/>
      </c>
      <c r="L42" s="800"/>
      <c r="M42" s="801"/>
      <c r="N42" s="801"/>
      <c r="O42" s="805"/>
      <c r="P42" s="152">
        <f t="shared" si="3"/>
        <v>50693</v>
      </c>
    </row>
    <row r="43" spans="1:16" ht="18.75">
      <c r="A43" s="537"/>
      <c r="B43" s="786"/>
      <c r="C43" s="683"/>
      <c r="D43" s="105"/>
      <c r="E43" s="182"/>
      <c r="F43" s="133"/>
      <c r="G43" s="151"/>
      <c r="H43" s="151"/>
      <c r="I43" s="783"/>
      <c r="J43" s="784"/>
      <c r="K43" s="148" t="str">
        <f>IF(L43=0,"",(INDEX(AccountCodes[ACCOUNT NAME],MATCH(L43,AccountCodes[NGAS CODE],0))))</f>
        <v/>
      </c>
      <c r="L43" s="800"/>
      <c r="M43" s="801"/>
      <c r="N43" s="801"/>
      <c r="O43" s="805"/>
      <c r="P43" s="152">
        <f t="shared" ref="P43:P49" si="4">P42+M43-N43</f>
        <v>50693</v>
      </c>
    </row>
    <row r="44" spans="1:16" ht="18.75">
      <c r="A44" s="537"/>
      <c r="B44" s="786"/>
      <c r="C44" s="683"/>
      <c r="D44" s="105"/>
      <c r="E44" s="182"/>
      <c r="F44" s="133"/>
      <c r="G44" s="151"/>
      <c r="H44" s="151"/>
      <c r="I44" s="783"/>
      <c r="J44" s="784"/>
      <c r="K44" s="148" t="str">
        <f>IF(L44=0,"",(INDEX(AccountCodes[ACCOUNT NAME],MATCH(L44,AccountCodes[NGAS CODE],0))))</f>
        <v/>
      </c>
      <c r="L44" s="800"/>
      <c r="M44" s="801"/>
      <c r="N44" s="801"/>
      <c r="O44" s="805"/>
      <c r="P44" s="152">
        <f t="shared" si="4"/>
        <v>50693</v>
      </c>
    </row>
    <row r="45" spans="1:16" ht="18.75">
      <c r="A45" s="537"/>
      <c r="B45" s="786"/>
      <c r="C45" s="683"/>
      <c r="D45" s="105"/>
      <c r="E45" s="182"/>
      <c r="F45" s="133"/>
      <c r="G45" s="151"/>
      <c r="H45" s="151"/>
      <c r="I45" s="783"/>
      <c r="J45" s="784"/>
      <c r="K45" s="148" t="str">
        <f>IF(L45=0,"",(INDEX(AccountCodes[ACCOUNT NAME],MATCH(L45,AccountCodes[NGAS CODE],0))))</f>
        <v/>
      </c>
      <c r="L45" s="800"/>
      <c r="M45" s="801"/>
      <c r="N45" s="801"/>
      <c r="O45" s="805"/>
      <c r="P45" s="152">
        <f t="shared" si="4"/>
        <v>50693</v>
      </c>
    </row>
    <row r="46" spans="1:16" ht="18.75">
      <c r="A46" s="537"/>
      <c r="B46" s="786"/>
      <c r="C46" s="105"/>
      <c r="D46" s="105"/>
      <c r="E46" s="182"/>
      <c r="F46" s="151"/>
      <c r="G46" s="151"/>
      <c r="H46" s="151"/>
      <c r="I46" s="785"/>
      <c r="J46" s="784"/>
      <c r="K46" s="148" t="str">
        <f>IF(L46=0,"",(INDEX(AccountCodes[ACCOUNT NAME],MATCH(L46,AccountCodes[NGAS CODE],0))))</f>
        <v/>
      </c>
      <c r="L46" s="803"/>
      <c r="M46" s="804"/>
      <c r="N46" s="804"/>
      <c r="O46" s="805"/>
      <c r="P46" s="152">
        <f t="shared" si="4"/>
        <v>50693</v>
      </c>
    </row>
    <row r="47" spans="1:16" ht="18.75">
      <c r="A47" s="537"/>
      <c r="B47" s="786"/>
      <c r="C47" s="105"/>
      <c r="D47" s="105"/>
      <c r="E47" s="147"/>
      <c r="F47" s="151"/>
      <c r="G47" s="151"/>
      <c r="H47" s="151"/>
      <c r="I47" s="783"/>
      <c r="J47" s="784"/>
      <c r="K47" s="148" t="str">
        <f>IF(L47=0,"",(INDEX(AccountCodes[ACCOUNT NAME],MATCH(L47,AccountCodes[NGAS CODE],0))))</f>
        <v/>
      </c>
      <c r="L47" s="800"/>
      <c r="M47" s="801"/>
      <c r="N47" s="801"/>
      <c r="O47" s="805"/>
      <c r="P47" s="152">
        <f t="shared" si="4"/>
        <v>50693</v>
      </c>
    </row>
    <row r="48" spans="1:16" ht="18.75">
      <c r="A48" s="537"/>
      <c r="B48" s="786"/>
      <c r="C48" s="105"/>
      <c r="D48" s="105"/>
      <c r="E48" s="147"/>
      <c r="F48" s="151"/>
      <c r="G48" s="151"/>
      <c r="H48" s="151"/>
      <c r="I48" s="783"/>
      <c r="J48" s="784"/>
      <c r="K48" s="148" t="str">
        <f>IF(L48=0,"",(INDEX(AccountCodes[ACCOUNT NAME],MATCH(L48,AccountCodes[NGAS CODE],0))))</f>
        <v/>
      </c>
      <c r="L48" s="800"/>
      <c r="M48" s="801"/>
      <c r="N48" s="801"/>
      <c r="O48" s="805"/>
      <c r="P48" s="152">
        <f t="shared" si="4"/>
        <v>50693</v>
      </c>
    </row>
    <row r="49" spans="1:16" ht="18.75">
      <c r="A49" s="537"/>
      <c r="B49" s="786"/>
      <c r="C49" s="105"/>
      <c r="D49" s="105"/>
      <c r="E49" s="147"/>
      <c r="F49" s="151"/>
      <c r="G49" s="151"/>
      <c r="H49" s="151"/>
      <c r="I49" s="783"/>
      <c r="J49" s="784"/>
      <c r="K49" s="148" t="str">
        <f>IF(L49=0,"",(INDEX(AccountCodes[ACCOUNT NAME],MATCH(L49,AccountCodes[NGAS CODE],0))))</f>
        <v/>
      </c>
      <c r="L49" s="800"/>
      <c r="M49" s="801"/>
      <c r="N49" s="801"/>
      <c r="O49" s="805"/>
      <c r="P49" s="152">
        <f t="shared" si="4"/>
        <v>50693</v>
      </c>
    </row>
    <row r="50" spans="1:16" ht="18.75">
      <c r="A50" s="537"/>
      <c r="B50" s="786"/>
      <c r="C50" s="105"/>
      <c r="D50" s="105"/>
      <c r="E50" s="147"/>
      <c r="F50" s="499"/>
      <c r="G50" s="499"/>
      <c r="H50" s="499"/>
      <c r="I50" s="783"/>
      <c r="J50" s="784"/>
      <c r="K50" s="496" t="str">
        <f>IF(L50=0,"",(INDEX(AccountCodes[ACCOUNT NAME],MATCH(L50,AccountCodes[NGAS CODE],0))))</f>
        <v/>
      </c>
      <c r="L50" s="800"/>
      <c r="M50" s="801"/>
      <c r="N50" s="801"/>
      <c r="O50" s="805"/>
      <c r="P50" s="711">
        <f t="shared" ref="P50:P58" si="5">P49+M50-N50</f>
        <v>50693</v>
      </c>
    </row>
    <row r="51" spans="1:16" ht="18.75">
      <c r="A51" s="537"/>
      <c r="B51" s="786"/>
      <c r="C51" s="105"/>
      <c r="D51" s="105"/>
      <c r="E51" s="147"/>
      <c r="F51" s="499"/>
      <c r="G51" s="499"/>
      <c r="H51" s="499"/>
      <c r="I51" s="783"/>
      <c r="J51" s="784"/>
      <c r="K51" s="496" t="str">
        <f>IF(L51=0,"",(INDEX(AccountCodes[ACCOUNT NAME],MATCH(L51,AccountCodes[NGAS CODE],0))))</f>
        <v/>
      </c>
      <c r="L51" s="800"/>
      <c r="M51" s="801"/>
      <c r="N51" s="801"/>
      <c r="O51" s="805"/>
      <c r="P51" s="711">
        <f t="shared" si="5"/>
        <v>50693</v>
      </c>
    </row>
    <row r="52" spans="1:16" ht="18.75">
      <c r="A52" s="537"/>
      <c r="B52" s="786"/>
      <c r="C52" s="105"/>
      <c r="D52" s="105"/>
      <c r="E52" s="147"/>
      <c r="F52" s="499"/>
      <c r="G52" s="499"/>
      <c r="H52" s="499"/>
      <c r="I52" s="783"/>
      <c r="J52" s="784"/>
      <c r="K52" s="496" t="str">
        <f>IF(L52=0,"",(INDEX(AccountCodes[ACCOUNT NAME],MATCH(L52,AccountCodes[NGAS CODE],0))))</f>
        <v/>
      </c>
      <c r="L52" s="800"/>
      <c r="M52" s="801"/>
      <c r="N52" s="801"/>
      <c r="O52" s="805"/>
      <c r="P52" s="711">
        <f t="shared" si="5"/>
        <v>50693</v>
      </c>
    </row>
    <row r="53" spans="1:16" ht="18.75">
      <c r="A53" s="537"/>
      <c r="B53" s="786"/>
      <c r="C53" s="105"/>
      <c r="D53" s="105"/>
      <c r="E53" s="147"/>
      <c r="F53" s="499"/>
      <c r="G53" s="499"/>
      <c r="H53" s="499"/>
      <c r="I53" s="783"/>
      <c r="J53" s="784"/>
      <c r="K53" s="496" t="str">
        <f>IF(L53=0,"",(INDEX(AccountCodes[ACCOUNT NAME],MATCH(L53,AccountCodes[NGAS CODE],0))))</f>
        <v/>
      </c>
      <c r="L53" s="800"/>
      <c r="M53" s="801"/>
      <c r="N53" s="801"/>
      <c r="O53" s="805"/>
      <c r="P53" s="711">
        <f t="shared" si="5"/>
        <v>50693</v>
      </c>
    </row>
    <row r="54" spans="1:16" ht="18.75">
      <c r="A54" s="537"/>
      <c r="B54" s="786"/>
      <c r="C54" s="105"/>
      <c r="D54" s="105"/>
      <c r="E54" s="147"/>
      <c r="F54" s="499"/>
      <c r="G54" s="499"/>
      <c r="H54" s="499"/>
      <c r="I54" s="785"/>
      <c r="J54" s="784"/>
      <c r="K54" s="496" t="str">
        <f>IF(L54=0,"",(INDEX(AccountCodes[ACCOUNT NAME],MATCH(L54,AccountCodes[NGAS CODE],0))))</f>
        <v/>
      </c>
      <c r="L54" s="803"/>
      <c r="M54" s="804"/>
      <c r="N54" s="804"/>
      <c r="O54" s="805"/>
      <c r="P54" s="711">
        <f t="shared" si="5"/>
        <v>50693</v>
      </c>
    </row>
    <row r="55" spans="1:16" ht="18.75">
      <c r="A55" s="537"/>
      <c r="B55" s="786"/>
      <c r="C55" s="105"/>
      <c r="D55" s="105"/>
      <c r="E55" s="147"/>
      <c r="F55" s="499"/>
      <c r="G55" s="499"/>
      <c r="H55" s="499"/>
      <c r="I55" s="783"/>
      <c r="J55" s="784"/>
      <c r="K55" s="496" t="str">
        <f>IF(L55=0,"",(INDEX(AccountCodes[ACCOUNT NAME],MATCH(L55,AccountCodes[NGAS CODE],0))))</f>
        <v/>
      </c>
      <c r="L55" s="800"/>
      <c r="M55" s="805"/>
      <c r="N55" s="805"/>
      <c r="O55" s="805"/>
      <c r="P55" s="711">
        <f t="shared" si="5"/>
        <v>50693</v>
      </c>
    </row>
    <row r="56" spans="1:16" ht="18.75">
      <c r="A56" s="537"/>
      <c r="B56" s="786"/>
      <c r="C56" s="105"/>
      <c r="D56" s="105"/>
      <c r="E56" s="147"/>
      <c r="F56" s="499"/>
      <c r="G56" s="499"/>
      <c r="H56" s="499"/>
      <c r="I56" s="783"/>
      <c r="J56" s="784"/>
      <c r="K56" s="496" t="str">
        <f>IF(L56=0,"",(INDEX(AccountCodes[ACCOUNT NAME],MATCH(L56,AccountCodes[NGAS CODE],0))))</f>
        <v/>
      </c>
      <c r="L56" s="800"/>
      <c r="M56" s="805"/>
      <c r="N56" s="805"/>
      <c r="O56" s="805"/>
      <c r="P56" s="711">
        <f t="shared" si="5"/>
        <v>50693</v>
      </c>
    </row>
    <row r="57" spans="1:16" ht="18.75">
      <c r="A57" s="537"/>
      <c r="B57" s="786"/>
      <c r="C57" s="787"/>
      <c r="D57" s="787"/>
      <c r="E57" s="147"/>
      <c r="F57" s="499"/>
      <c r="G57" s="499"/>
      <c r="H57" s="499"/>
      <c r="I57" s="783"/>
      <c r="J57" s="832"/>
      <c r="K57" s="496" t="str">
        <f>IF(L57=0,"",(INDEX(AccountCodes[ACCOUNT NAME],MATCH(L57,AccountCodes[NGAS CODE],0))))</f>
        <v/>
      </c>
      <c r="L57" s="800"/>
      <c r="M57" s="801"/>
      <c r="N57" s="801"/>
      <c r="O57" s="805"/>
      <c r="P57" s="711">
        <f t="shared" si="5"/>
        <v>50693</v>
      </c>
    </row>
    <row r="58" spans="1:16" ht="18.75">
      <c r="A58" s="537"/>
      <c r="B58" s="786"/>
      <c r="C58" s="787"/>
      <c r="D58" s="787"/>
      <c r="E58" s="833"/>
      <c r="F58" s="499"/>
      <c r="G58" s="499"/>
      <c r="H58" s="499"/>
      <c r="I58" s="783"/>
      <c r="J58" s="832"/>
      <c r="K58" s="496" t="str">
        <f>IF(L58=0,"",(INDEX(AccountCodes[ACCOUNT NAME],MATCH(L58,AccountCodes[NGAS CODE],0))))</f>
        <v/>
      </c>
      <c r="L58" s="800"/>
      <c r="M58" s="801"/>
      <c r="N58" s="801"/>
      <c r="O58" s="805"/>
      <c r="P58" s="711">
        <f t="shared" si="5"/>
        <v>50693</v>
      </c>
    </row>
    <row r="59" spans="1:16" ht="18.75">
      <c r="A59" s="537"/>
      <c r="B59" s="786"/>
      <c r="C59" s="787"/>
      <c r="D59" s="787"/>
      <c r="E59" s="833"/>
      <c r="F59" s="105"/>
      <c r="G59" s="105"/>
      <c r="H59" s="105"/>
      <c r="I59" s="783"/>
      <c r="J59" s="832"/>
      <c r="K59" s="3" t="str">
        <f>IF(L59=0,"",(INDEX(AccountCodes[ACCOUNT NAME],MATCH(L59,AccountCodes[NGAS CODE],0))))</f>
        <v/>
      </c>
      <c r="L59" s="831"/>
      <c r="M59" s="801"/>
      <c r="N59" s="801"/>
      <c r="O59" s="805"/>
      <c r="P59" s="150">
        <f t="shared" ref="P59:P84" si="6">P58+M59-N59</f>
        <v>50693</v>
      </c>
    </row>
    <row r="60" spans="1:16" ht="18.75">
      <c r="A60" s="537"/>
      <c r="B60" s="786"/>
      <c r="C60" s="787"/>
      <c r="D60" s="787"/>
      <c r="E60" s="833"/>
      <c r="F60" s="105"/>
      <c r="G60" s="105"/>
      <c r="H60" s="105"/>
      <c r="I60" s="783"/>
      <c r="J60" s="832"/>
      <c r="K60" s="3" t="str">
        <f>IF(L60=0,"",(INDEX(AccountCodes[ACCOUNT NAME],MATCH(L60,AccountCodes[NGAS CODE],0))))</f>
        <v/>
      </c>
      <c r="L60" s="800"/>
      <c r="M60" s="801"/>
      <c r="N60" s="801"/>
      <c r="O60" s="805"/>
      <c r="P60" s="150">
        <f t="shared" si="6"/>
        <v>50693</v>
      </c>
    </row>
    <row r="61" spans="1:16" ht="18.75">
      <c r="A61" s="537"/>
      <c r="B61" s="786"/>
      <c r="C61" s="787"/>
      <c r="D61" s="787"/>
      <c r="E61" s="833"/>
      <c r="F61" s="105"/>
      <c r="G61" s="105"/>
      <c r="H61" s="105"/>
      <c r="I61" s="783"/>
      <c r="J61" s="832"/>
      <c r="K61" s="3" t="str">
        <f>IF(L61=0,"",(INDEX(AccountCodes[ACCOUNT NAME],MATCH(L61,AccountCodes[NGAS CODE],0))))</f>
        <v/>
      </c>
      <c r="L61" s="800"/>
      <c r="M61" s="801"/>
      <c r="N61" s="801"/>
      <c r="O61" s="805"/>
      <c r="P61" s="150">
        <f t="shared" si="6"/>
        <v>50693</v>
      </c>
    </row>
    <row r="62" spans="1:16" ht="18.75">
      <c r="A62" s="537"/>
      <c r="B62" s="786"/>
      <c r="C62" s="787"/>
      <c r="D62" s="787"/>
      <c r="E62" s="833"/>
      <c r="F62" s="105"/>
      <c r="G62" s="105"/>
      <c r="H62" s="105"/>
      <c r="I62" s="783"/>
      <c r="J62" s="832"/>
      <c r="K62" s="3" t="str">
        <f>IF(L62=0,"",(INDEX(AccountCodes[ACCOUNT NAME],MATCH(L62,AccountCodes[NGAS CODE],0))))</f>
        <v/>
      </c>
      <c r="L62" s="800"/>
      <c r="M62" s="801"/>
      <c r="N62" s="801"/>
      <c r="O62" s="805"/>
      <c r="P62" s="150">
        <f t="shared" si="6"/>
        <v>50693</v>
      </c>
    </row>
    <row r="63" spans="1:16" ht="18.75">
      <c r="A63" s="537"/>
      <c r="B63" s="786"/>
      <c r="C63" s="787"/>
      <c r="D63" s="787"/>
      <c r="E63" s="833"/>
      <c r="F63" s="105"/>
      <c r="G63" s="105"/>
      <c r="H63" s="105"/>
      <c r="I63" s="783"/>
      <c r="J63" s="832"/>
      <c r="K63" s="3" t="str">
        <f>IF(L63=0,"",(INDEX(AccountCodes[ACCOUNT NAME],MATCH(L63,AccountCodes[NGAS CODE],0))))</f>
        <v/>
      </c>
      <c r="L63" s="800"/>
      <c r="M63" s="801"/>
      <c r="N63" s="801"/>
      <c r="O63" s="805"/>
      <c r="P63" s="150">
        <f t="shared" si="6"/>
        <v>50693</v>
      </c>
    </row>
    <row r="64" spans="1:16" ht="18.75">
      <c r="A64" s="537"/>
      <c r="B64" s="786"/>
      <c r="C64" s="787"/>
      <c r="D64" s="787"/>
      <c r="E64" s="833"/>
      <c r="F64" s="105"/>
      <c r="G64" s="105"/>
      <c r="H64" s="105"/>
      <c r="I64" s="785"/>
      <c r="J64" s="832"/>
      <c r="K64" s="3" t="str">
        <f>IF(L64=0,"",(INDEX(AccountCodes[ACCOUNT NAME],MATCH(L64,AccountCodes[NGAS CODE],0))))</f>
        <v/>
      </c>
      <c r="L64" s="803"/>
      <c r="M64" s="804"/>
      <c r="N64" s="804"/>
      <c r="O64" s="805"/>
      <c r="P64" s="150">
        <f t="shared" si="6"/>
        <v>50693</v>
      </c>
    </row>
    <row r="65" spans="1:16" ht="18.75">
      <c r="A65" s="537"/>
      <c r="B65" s="786"/>
      <c r="C65" s="787"/>
      <c r="D65" s="787"/>
      <c r="E65" s="833"/>
      <c r="F65" s="105"/>
      <c r="G65" s="105"/>
      <c r="H65" s="105"/>
      <c r="I65" s="783"/>
      <c r="J65" s="832"/>
      <c r="K65" s="3" t="str">
        <f>IF(L65=0,"",(INDEX(AccountCodes[ACCOUNT NAME],MATCH(L65,AccountCodes[NGAS CODE],0))))</f>
        <v/>
      </c>
      <c r="L65" s="800"/>
      <c r="M65" s="801"/>
      <c r="N65" s="801"/>
      <c r="O65" s="805"/>
      <c r="P65" s="150">
        <f t="shared" si="6"/>
        <v>50693</v>
      </c>
    </row>
    <row r="66" spans="1:16" ht="18.75">
      <c r="A66" s="537"/>
      <c r="B66" s="786"/>
      <c r="C66" s="787"/>
      <c r="D66" s="787"/>
      <c r="E66" s="833"/>
      <c r="F66" s="105"/>
      <c r="G66" s="105"/>
      <c r="H66" s="105"/>
      <c r="I66" s="783"/>
      <c r="J66" s="832"/>
      <c r="K66" s="3" t="str">
        <f>IF(L66=0,"",(INDEX(AccountCodes[ACCOUNT NAME],MATCH(L66,AccountCodes[NGAS CODE],0))))</f>
        <v/>
      </c>
      <c r="L66" s="800"/>
      <c r="M66" s="801"/>
      <c r="N66" s="801"/>
      <c r="O66" s="805"/>
      <c r="P66" s="150">
        <f t="shared" si="6"/>
        <v>50693</v>
      </c>
    </row>
    <row r="67" spans="1:16" ht="18.75">
      <c r="A67" s="537"/>
      <c r="B67" s="786"/>
      <c r="C67" s="787"/>
      <c r="D67" s="787"/>
      <c r="E67" s="833"/>
      <c r="F67" s="105"/>
      <c r="G67" s="105"/>
      <c r="H67" s="105"/>
      <c r="I67" s="783"/>
      <c r="J67" s="832"/>
      <c r="K67" s="3" t="str">
        <f>IF(L67=0,"",(INDEX(AccountCodes[ACCOUNT NAME],MATCH(L67,AccountCodes[NGAS CODE],0))))</f>
        <v/>
      </c>
      <c r="L67" s="800"/>
      <c r="M67" s="801"/>
      <c r="N67" s="801"/>
      <c r="O67" s="805"/>
      <c r="P67" s="150">
        <f t="shared" si="6"/>
        <v>50693</v>
      </c>
    </row>
    <row r="68" spans="1:16" ht="18.75">
      <c r="A68" s="537"/>
      <c r="B68" s="786"/>
      <c r="C68" s="787"/>
      <c r="D68" s="787"/>
      <c r="E68" s="833"/>
      <c r="F68" s="105"/>
      <c r="G68" s="105"/>
      <c r="H68" s="105"/>
      <c r="I68" s="783"/>
      <c r="J68" s="832"/>
      <c r="K68" s="3" t="str">
        <f>IF(L68=0,"",(INDEX(AccountCodes[ACCOUNT NAME],MATCH(L68,AccountCodes[NGAS CODE],0))))</f>
        <v/>
      </c>
      <c r="L68" s="800"/>
      <c r="M68" s="801"/>
      <c r="N68" s="801"/>
      <c r="O68" s="805"/>
      <c r="P68" s="150">
        <f t="shared" si="6"/>
        <v>50693</v>
      </c>
    </row>
    <row r="69" spans="1:16" ht="18.75">
      <c r="A69" s="537"/>
      <c r="B69" s="786"/>
      <c r="C69" s="787"/>
      <c r="D69" s="787"/>
      <c r="E69" s="833"/>
      <c r="F69" s="105"/>
      <c r="G69" s="105"/>
      <c r="H69" s="105"/>
      <c r="I69" s="783"/>
      <c r="J69" s="832"/>
      <c r="K69" s="3" t="str">
        <f>IF(L69=0,"",(INDEX(AccountCodes[ACCOUNT NAME],MATCH(L69,AccountCodes[NGAS CODE],0))))</f>
        <v/>
      </c>
      <c r="L69" s="800"/>
      <c r="M69" s="801"/>
      <c r="N69" s="801"/>
      <c r="O69" s="805"/>
      <c r="P69" s="150">
        <f t="shared" si="6"/>
        <v>50693</v>
      </c>
    </row>
    <row r="70" spans="1:16" ht="18.75">
      <c r="A70" s="537"/>
      <c r="B70" s="786"/>
      <c r="C70" s="787"/>
      <c r="D70" s="787"/>
      <c r="E70" s="833"/>
      <c r="F70" s="105"/>
      <c r="G70" s="105"/>
      <c r="H70" s="105"/>
      <c r="I70" s="783"/>
      <c r="J70" s="832"/>
      <c r="K70" s="3" t="str">
        <f>IF(L70=0,"",(INDEX(AccountCodes[ACCOUNT NAME],MATCH(L70,AccountCodes[NGAS CODE],0))))</f>
        <v/>
      </c>
      <c r="L70" s="800"/>
      <c r="M70" s="801"/>
      <c r="N70" s="801"/>
      <c r="O70" s="805"/>
      <c r="P70" s="150">
        <f t="shared" si="6"/>
        <v>50693</v>
      </c>
    </row>
    <row r="71" spans="1:16" ht="18.75">
      <c r="A71" s="537"/>
      <c r="B71" s="786"/>
      <c r="C71" s="787"/>
      <c r="D71" s="787"/>
      <c r="E71" s="833"/>
      <c r="F71" s="105"/>
      <c r="G71" s="105"/>
      <c r="H71" s="105"/>
      <c r="I71" s="783"/>
      <c r="J71" s="832"/>
      <c r="K71" s="3" t="str">
        <f>IF(L71=0,"",(INDEX(AccountCodes[ACCOUNT NAME],MATCH(L71,AccountCodes[NGAS CODE],0))))</f>
        <v/>
      </c>
      <c r="L71" s="800"/>
      <c r="M71" s="801"/>
      <c r="N71" s="801"/>
      <c r="O71" s="805"/>
      <c r="P71" s="150">
        <f t="shared" si="6"/>
        <v>50693</v>
      </c>
    </row>
    <row r="72" spans="1:16" ht="18.75">
      <c r="A72" s="537"/>
      <c r="B72" s="786"/>
      <c r="C72" s="787"/>
      <c r="D72" s="787"/>
      <c r="E72" s="833"/>
      <c r="F72" s="105"/>
      <c r="G72" s="105"/>
      <c r="H72" s="105"/>
      <c r="I72" s="785"/>
      <c r="J72" s="832"/>
      <c r="K72" s="3" t="str">
        <f>IF(L72=0,"",(INDEX(AccountCodes[ACCOUNT NAME],MATCH(L72,AccountCodes[NGAS CODE],0))))</f>
        <v/>
      </c>
      <c r="L72" s="803"/>
      <c r="M72" s="804"/>
      <c r="N72" s="804"/>
      <c r="O72" s="805"/>
      <c r="P72" s="150">
        <f t="shared" si="6"/>
        <v>50693</v>
      </c>
    </row>
    <row r="73" spans="1:16" ht="18.75">
      <c r="A73" s="537"/>
      <c r="B73" s="786"/>
      <c r="C73" s="787"/>
      <c r="D73" s="787"/>
      <c r="E73" s="833"/>
      <c r="F73" s="105"/>
      <c r="G73" s="105"/>
      <c r="H73" s="105"/>
      <c r="I73" s="783"/>
      <c r="J73" s="784"/>
      <c r="K73" s="3" t="str">
        <f>IF(L73=0,"",(INDEX(AccountCodes[ACCOUNT NAME],MATCH(L73,AccountCodes[NGAS CODE],0))))</f>
        <v/>
      </c>
      <c r="L73" s="800"/>
      <c r="M73" s="805"/>
      <c r="N73" s="805"/>
      <c r="O73" s="805"/>
      <c r="P73" s="150">
        <f t="shared" si="6"/>
        <v>50693</v>
      </c>
    </row>
    <row r="74" spans="1:16" ht="18.75">
      <c r="A74" s="537"/>
      <c r="B74" s="786"/>
      <c r="C74" s="787"/>
      <c r="D74" s="787"/>
      <c r="E74" s="833"/>
      <c r="F74" s="105"/>
      <c r="G74" s="105"/>
      <c r="H74" s="105"/>
      <c r="I74" s="785"/>
      <c r="J74" s="832"/>
      <c r="K74" s="3" t="str">
        <f>IF(L74=0,"",(INDEX(AccountCodes[ACCOUNT NAME],MATCH(L74,AccountCodes[NGAS CODE],0))))</f>
        <v/>
      </c>
      <c r="L74" s="803"/>
      <c r="M74" s="805"/>
      <c r="N74" s="805"/>
      <c r="O74" s="805"/>
      <c r="P74" s="150">
        <f t="shared" si="6"/>
        <v>50693</v>
      </c>
    </row>
    <row r="75" spans="1:16" ht="18.75">
      <c r="A75" s="537"/>
      <c r="B75" s="786"/>
      <c r="C75" s="787"/>
      <c r="D75" s="787"/>
      <c r="E75" s="833"/>
      <c r="F75" s="105"/>
      <c r="G75" s="105"/>
      <c r="H75" s="105"/>
      <c r="I75" s="783"/>
      <c r="J75" s="832"/>
      <c r="K75" s="3" t="str">
        <f>IF(L75=0,"",(INDEX(AccountCodes[ACCOUNT NAME],MATCH(L75,AccountCodes[NGAS CODE],0))))</f>
        <v/>
      </c>
      <c r="L75" s="800"/>
      <c r="M75" s="801"/>
      <c r="N75" s="801"/>
      <c r="O75" s="805"/>
      <c r="P75" s="150">
        <f t="shared" si="6"/>
        <v>50693</v>
      </c>
    </row>
    <row r="76" spans="1:16" ht="18.75">
      <c r="A76" s="537"/>
      <c r="B76" s="786"/>
      <c r="C76" s="787"/>
      <c r="D76" s="787"/>
      <c r="E76" s="833"/>
      <c r="F76" s="105"/>
      <c r="G76" s="105"/>
      <c r="H76" s="105"/>
      <c r="I76" s="783"/>
      <c r="J76" s="832"/>
      <c r="K76" s="3" t="str">
        <f>IF(L76=0,"",(INDEX(AccountCodes[ACCOUNT NAME],MATCH(L76,AccountCodes[NGAS CODE],0))))</f>
        <v/>
      </c>
      <c r="L76" s="800"/>
      <c r="M76" s="801"/>
      <c r="N76" s="801"/>
      <c r="O76" s="805"/>
      <c r="P76" s="150">
        <f t="shared" si="6"/>
        <v>50693</v>
      </c>
    </row>
    <row r="77" spans="1:16" ht="18.75">
      <c r="A77" s="537"/>
      <c r="B77" s="786"/>
      <c r="C77" s="787"/>
      <c r="D77" s="787"/>
      <c r="E77" s="833"/>
      <c r="F77" s="105"/>
      <c r="G77" s="105"/>
      <c r="H77" s="105"/>
      <c r="I77" s="783"/>
      <c r="J77" s="832"/>
      <c r="K77" s="3" t="str">
        <f>IF(L77=0,"",(INDEX(AccountCodes[ACCOUNT NAME],MATCH(L77,AccountCodes[NGAS CODE],0))))</f>
        <v/>
      </c>
      <c r="L77" s="800"/>
      <c r="M77" s="801"/>
      <c r="N77" s="801"/>
      <c r="O77" s="805"/>
      <c r="P77" s="150">
        <f t="shared" si="6"/>
        <v>50693</v>
      </c>
    </row>
    <row r="78" spans="1:16" ht="18.75">
      <c r="A78" s="537"/>
      <c r="B78" s="786"/>
      <c r="C78" s="787"/>
      <c r="D78" s="787"/>
      <c r="E78" s="833"/>
      <c r="F78" s="105"/>
      <c r="G78" s="105"/>
      <c r="H78" s="105"/>
      <c r="I78" s="783"/>
      <c r="J78" s="832"/>
      <c r="K78" s="3" t="str">
        <f>IF(L78=0,"",(INDEX(AccountCodes[ACCOUNT NAME],MATCH(L78,AccountCodes[NGAS CODE],0))))</f>
        <v/>
      </c>
      <c r="L78" s="800"/>
      <c r="M78" s="801"/>
      <c r="N78" s="801"/>
      <c r="O78" s="805"/>
      <c r="P78" s="150">
        <f t="shared" si="6"/>
        <v>50693</v>
      </c>
    </row>
    <row r="79" spans="1:16" ht="18.75">
      <c r="A79" s="537"/>
      <c r="B79" s="786"/>
      <c r="C79" s="787"/>
      <c r="D79" s="787"/>
      <c r="E79" s="833"/>
      <c r="F79" s="105"/>
      <c r="G79" s="105"/>
      <c r="H79" s="105"/>
      <c r="I79" s="783"/>
      <c r="J79" s="832"/>
      <c r="K79" s="3" t="str">
        <f>IF(L79=0,"",(INDEX(AccountCodes[ACCOUNT NAME],MATCH(L79,AccountCodes[NGAS CODE],0))))</f>
        <v/>
      </c>
      <c r="L79" s="800"/>
      <c r="M79" s="801"/>
      <c r="N79" s="801"/>
      <c r="O79" s="805"/>
      <c r="P79" s="150">
        <f t="shared" si="6"/>
        <v>50693</v>
      </c>
    </row>
    <row r="80" spans="1:16" ht="18.75">
      <c r="A80" s="537"/>
      <c r="B80" s="786"/>
      <c r="C80" s="787"/>
      <c r="D80" s="787"/>
      <c r="E80" s="833"/>
      <c r="F80" s="105"/>
      <c r="G80" s="105"/>
      <c r="H80" s="105"/>
      <c r="I80" s="783"/>
      <c r="J80" s="832"/>
      <c r="K80" s="3" t="str">
        <f>IF(L80=0,"",(INDEX(AccountCodes[ACCOUNT NAME],MATCH(L80,AccountCodes[NGAS CODE],0))))</f>
        <v/>
      </c>
      <c r="L80" s="800"/>
      <c r="M80" s="801"/>
      <c r="N80" s="801"/>
      <c r="O80" s="805"/>
      <c r="P80" s="150">
        <f t="shared" si="6"/>
        <v>50693</v>
      </c>
    </row>
    <row r="81" spans="1:16" ht="18.75">
      <c r="A81" s="537"/>
      <c r="B81" s="786"/>
      <c r="C81" s="787"/>
      <c r="D81" s="787"/>
      <c r="E81" s="833"/>
      <c r="F81" s="105"/>
      <c r="G81" s="105"/>
      <c r="H81" s="105"/>
      <c r="I81" s="783"/>
      <c r="J81" s="832"/>
      <c r="K81" s="3" t="str">
        <f>IF(L81=0,"",(INDEX(AccountCodes[ACCOUNT NAME],MATCH(L81,AccountCodes[NGAS CODE],0))))</f>
        <v/>
      </c>
      <c r="L81" s="800"/>
      <c r="M81" s="801"/>
      <c r="N81" s="801"/>
      <c r="O81" s="805"/>
      <c r="P81" s="150">
        <f t="shared" si="6"/>
        <v>50693</v>
      </c>
    </row>
    <row r="82" spans="1:16" ht="18.75">
      <c r="A82" s="537"/>
      <c r="B82" s="786"/>
      <c r="C82" s="787"/>
      <c r="D82" s="787"/>
      <c r="E82" s="833"/>
      <c r="F82" s="105"/>
      <c r="G82" s="105"/>
      <c r="H82" s="105"/>
      <c r="I82" s="785"/>
      <c r="J82" s="832"/>
      <c r="K82" s="3" t="str">
        <f>IF(L82=0,"",(INDEX(AccountCodes[ACCOUNT NAME],MATCH(L82,AccountCodes[NGAS CODE],0))))</f>
        <v/>
      </c>
      <c r="L82" s="803"/>
      <c r="M82" s="804"/>
      <c r="N82" s="804"/>
      <c r="O82" s="805"/>
      <c r="P82" s="150">
        <f t="shared" si="6"/>
        <v>50693</v>
      </c>
    </row>
    <row r="83" spans="1:16" ht="18.75">
      <c r="A83" s="537"/>
      <c r="B83" s="851"/>
      <c r="C83" s="852"/>
      <c r="D83" s="787"/>
      <c r="E83" s="834"/>
      <c r="F83" s="105"/>
      <c r="G83" s="105"/>
      <c r="H83" s="105"/>
      <c r="I83" s="856"/>
      <c r="J83" s="832"/>
      <c r="K83" s="3" t="str">
        <f>IF(L83=0,"",(INDEX(AccountCodes[ACCOUNT NAME],MATCH(L83,AccountCodes[NGAS CODE],0))))</f>
        <v/>
      </c>
      <c r="L83" s="853"/>
      <c r="M83" s="854"/>
      <c r="N83" s="854"/>
      <c r="O83" s="805"/>
      <c r="P83" s="150">
        <f t="shared" si="6"/>
        <v>50693</v>
      </c>
    </row>
    <row r="84" spans="1:16" ht="18.75">
      <c r="A84" s="537"/>
      <c r="B84" s="851"/>
      <c r="C84" s="852"/>
      <c r="D84" s="787"/>
      <c r="E84" s="834"/>
      <c r="F84" s="105"/>
      <c r="G84" s="105"/>
      <c r="H84" s="105"/>
      <c r="I84" s="856"/>
      <c r="J84" s="832"/>
      <c r="K84" s="3" t="str">
        <f>IF(L84=0,"",(INDEX(AccountCodes[ACCOUNT NAME],MATCH(L84,AccountCodes[NGAS CODE],0))))</f>
        <v/>
      </c>
      <c r="L84" s="853"/>
      <c r="M84" s="854"/>
      <c r="N84" s="854"/>
      <c r="O84" s="805"/>
      <c r="P84" s="150">
        <f t="shared" si="6"/>
        <v>50693</v>
      </c>
    </row>
    <row r="85" spans="1:16" ht="18.75">
      <c r="A85" s="537"/>
      <c r="B85" s="851"/>
      <c r="C85" s="852"/>
      <c r="D85" s="787"/>
      <c r="E85" s="834"/>
      <c r="F85" s="105"/>
      <c r="G85" s="105"/>
      <c r="H85" s="105"/>
      <c r="I85" s="856"/>
      <c r="J85" s="832"/>
      <c r="K85" s="3" t="str">
        <f>IF(L85=0,"",(INDEX(AccountCodes[ACCOUNT NAME],MATCH(L85,AccountCodes[NGAS CODE],0))))</f>
        <v/>
      </c>
      <c r="L85" s="853"/>
      <c r="M85" s="854"/>
      <c r="N85" s="854"/>
      <c r="O85" s="805"/>
      <c r="P85" s="150">
        <f t="shared" ref="P85:P98" si="7">P84+M85-N85</f>
        <v>50693</v>
      </c>
    </row>
    <row r="86" spans="1:16" ht="18.75">
      <c r="A86" s="537"/>
      <c r="B86" s="851"/>
      <c r="C86" s="852"/>
      <c r="D86" s="787"/>
      <c r="E86" s="834"/>
      <c r="F86" s="105"/>
      <c r="G86" s="105"/>
      <c r="H86" s="105"/>
      <c r="I86" s="856"/>
      <c r="J86" s="832"/>
      <c r="K86" s="3" t="str">
        <f>IF(L86=0,"",(INDEX(AccountCodes[ACCOUNT NAME],MATCH(L86,AccountCodes[NGAS CODE],0))))</f>
        <v/>
      </c>
      <c r="L86" s="853"/>
      <c r="M86" s="854"/>
      <c r="N86" s="854"/>
      <c r="O86" s="805"/>
      <c r="P86" s="150">
        <f t="shared" si="7"/>
        <v>50693</v>
      </c>
    </row>
    <row r="87" spans="1:16" ht="18.75">
      <c r="A87" s="537"/>
      <c r="B87" s="851"/>
      <c r="C87" s="852"/>
      <c r="D87" s="787"/>
      <c r="E87" s="834"/>
      <c r="F87" s="105"/>
      <c r="G87" s="105"/>
      <c r="H87" s="105"/>
      <c r="I87" s="856"/>
      <c r="J87" s="832"/>
      <c r="K87" s="3" t="str">
        <f>IF(L87=0,"",(INDEX(AccountCodes[ACCOUNT NAME],MATCH(L87,AccountCodes[NGAS CODE],0))))</f>
        <v/>
      </c>
      <c r="L87" s="853"/>
      <c r="M87" s="854"/>
      <c r="N87" s="854"/>
      <c r="O87" s="805"/>
      <c r="P87" s="150">
        <f t="shared" si="7"/>
        <v>50693</v>
      </c>
    </row>
    <row r="88" spans="1:16" ht="18.75">
      <c r="A88" s="537"/>
      <c r="B88" s="851"/>
      <c r="C88" s="852"/>
      <c r="D88" s="787"/>
      <c r="E88" s="834"/>
      <c r="F88" s="105"/>
      <c r="G88" s="105"/>
      <c r="H88" s="105"/>
      <c r="I88" s="856"/>
      <c r="J88" s="832"/>
      <c r="K88" s="3" t="str">
        <f>IF(L88=0,"",(INDEX(AccountCodes[ACCOUNT NAME],MATCH(L88,AccountCodes[NGAS CODE],0))))</f>
        <v/>
      </c>
      <c r="L88" s="853"/>
      <c r="M88" s="854"/>
      <c r="N88" s="854"/>
      <c r="O88" s="805"/>
      <c r="P88" s="150">
        <f t="shared" si="7"/>
        <v>50693</v>
      </c>
    </row>
    <row r="89" spans="1:16" ht="18.75">
      <c r="A89" s="537"/>
      <c r="B89" s="851"/>
      <c r="C89" s="852"/>
      <c r="D89" s="787"/>
      <c r="E89" s="834"/>
      <c r="F89" s="105"/>
      <c r="G89" s="105"/>
      <c r="H89" s="105"/>
      <c r="I89" s="856"/>
      <c r="J89" s="832"/>
      <c r="K89" s="3" t="str">
        <f>IF(L89=0,"",(INDEX(AccountCodes[ACCOUNT NAME],MATCH(L89,AccountCodes[NGAS CODE],0))))</f>
        <v/>
      </c>
      <c r="L89" s="853"/>
      <c r="M89" s="854"/>
      <c r="N89" s="854"/>
      <c r="O89" s="805"/>
      <c r="P89" s="150">
        <f t="shared" si="7"/>
        <v>50693</v>
      </c>
    </row>
    <row r="90" spans="1:16" ht="18.75">
      <c r="A90" s="537"/>
      <c r="B90" s="851"/>
      <c r="C90" s="852"/>
      <c r="D90" s="787"/>
      <c r="E90" s="834"/>
      <c r="F90" s="105"/>
      <c r="G90" s="105"/>
      <c r="H90" s="105"/>
      <c r="I90" s="856"/>
      <c r="J90" s="832"/>
      <c r="K90" s="3" t="str">
        <f>IF(L90=0,"",(INDEX(AccountCodes[ACCOUNT NAME],MATCH(L90,AccountCodes[NGAS CODE],0))))</f>
        <v/>
      </c>
      <c r="L90" s="855"/>
      <c r="M90" s="854"/>
      <c r="N90" s="854"/>
      <c r="O90" s="805"/>
      <c r="P90" s="150">
        <f t="shared" si="7"/>
        <v>50693</v>
      </c>
    </row>
    <row r="91" spans="1:16" ht="18.75">
      <c r="A91" s="537"/>
      <c r="B91" s="851"/>
      <c r="C91" s="852"/>
      <c r="D91" s="787"/>
      <c r="E91" s="834"/>
      <c r="F91" s="105"/>
      <c r="G91" s="105"/>
      <c r="H91" s="105"/>
      <c r="I91" s="856"/>
      <c r="J91" s="832"/>
      <c r="K91" s="3" t="str">
        <f>IF(L91=0,"",(INDEX(AccountCodes[ACCOUNT NAME],MATCH(L91,AccountCodes[NGAS CODE],0))))</f>
        <v/>
      </c>
      <c r="L91" s="853"/>
      <c r="M91" s="854"/>
      <c r="N91" s="854"/>
      <c r="O91" s="805"/>
      <c r="P91" s="150">
        <f t="shared" si="7"/>
        <v>50693</v>
      </c>
    </row>
    <row r="92" spans="1:16" ht="18.75">
      <c r="A92" s="537"/>
      <c r="B92" s="851"/>
      <c r="C92" s="852"/>
      <c r="D92" s="787"/>
      <c r="E92" s="834"/>
      <c r="F92" s="105"/>
      <c r="G92" s="105"/>
      <c r="H92" s="105"/>
      <c r="I92" s="856"/>
      <c r="J92" s="832"/>
      <c r="K92" s="3" t="str">
        <f>IF(L92=0,"",(INDEX(AccountCodes[ACCOUNT NAME],MATCH(L92,AccountCodes[NGAS CODE],0))))</f>
        <v/>
      </c>
      <c r="L92" s="853"/>
      <c r="M92" s="854"/>
      <c r="N92" s="854"/>
      <c r="O92" s="805"/>
      <c r="P92" s="150">
        <f t="shared" si="7"/>
        <v>50693</v>
      </c>
    </row>
    <row r="93" spans="1:16" ht="18.75">
      <c r="A93" s="537"/>
      <c r="B93" s="851"/>
      <c r="C93" s="852"/>
      <c r="D93" s="787"/>
      <c r="E93" s="834"/>
      <c r="F93" s="105"/>
      <c r="G93" s="105"/>
      <c r="H93" s="105"/>
      <c r="I93" s="856"/>
      <c r="J93" s="832"/>
      <c r="K93" s="3" t="str">
        <f>IF(L93=0,"",(INDEX(AccountCodes[ACCOUNT NAME],MATCH(L93,AccountCodes[NGAS CODE],0))))</f>
        <v/>
      </c>
      <c r="L93" s="853"/>
      <c r="M93" s="854"/>
      <c r="N93" s="854"/>
      <c r="O93" s="805"/>
      <c r="P93" s="150">
        <f t="shared" si="7"/>
        <v>50693</v>
      </c>
    </row>
    <row r="94" spans="1:16" ht="18.75">
      <c r="A94" s="537"/>
      <c r="B94" s="851"/>
      <c r="C94" s="852"/>
      <c r="D94" s="787"/>
      <c r="E94" s="834"/>
      <c r="F94" s="105"/>
      <c r="G94" s="105"/>
      <c r="H94" s="105"/>
      <c r="I94" s="856"/>
      <c r="J94" s="832"/>
      <c r="K94" s="3" t="str">
        <f>IF(L94=0,"",(INDEX(AccountCodes[ACCOUNT NAME],MATCH(L94,AccountCodes[NGAS CODE],0))))</f>
        <v/>
      </c>
      <c r="L94" s="853"/>
      <c r="M94" s="854"/>
      <c r="N94" s="854"/>
      <c r="O94" s="805"/>
      <c r="P94" s="150">
        <f t="shared" si="7"/>
        <v>50693</v>
      </c>
    </row>
    <row r="95" spans="1:16" ht="18.75">
      <c r="A95" s="537"/>
      <c r="B95" s="851"/>
      <c r="C95" s="852"/>
      <c r="D95" s="787"/>
      <c r="E95" s="834"/>
      <c r="F95" s="105"/>
      <c r="G95" s="105"/>
      <c r="H95" s="105"/>
      <c r="I95" s="856"/>
      <c r="J95" s="832"/>
      <c r="K95" s="3" t="str">
        <f>IF(L95=0,"",(INDEX(AccountCodes[ACCOUNT NAME],MATCH(L95,AccountCodes[NGAS CODE],0))))</f>
        <v/>
      </c>
      <c r="L95" s="853"/>
      <c r="M95" s="854"/>
      <c r="N95" s="854"/>
      <c r="O95" s="805"/>
      <c r="P95" s="150">
        <f t="shared" si="7"/>
        <v>50693</v>
      </c>
    </row>
    <row r="96" spans="1:16" ht="18.75">
      <c r="A96" s="537"/>
      <c r="B96" s="851"/>
      <c r="C96" s="852"/>
      <c r="D96" s="787"/>
      <c r="E96" s="834"/>
      <c r="F96" s="105"/>
      <c r="G96" s="105"/>
      <c r="H96" s="105"/>
      <c r="I96" s="856"/>
      <c r="J96" s="832"/>
      <c r="K96" s="3" t="str">
        <f>IF(L96=0,"",(INDEX(AccountCodes[ACCOUNT NAME],MATCH(L96,AccountCodes[NGAS CODE],0))))</f>
        <v/>
      </c>
      <c r="L96" s="853"/>
      <c r="M96" s="854"/>
      <c r="N96" s="854"/>
      <c r="O96" s="805"/>
      <c r="P96" s="150">
        <f t="shared" si="7"/>
        <v>50693</v>
      </c>
    </row>
    <row r="97" spans="1:16" ht="18.75">
      <c r="A97" s="537"/>
      <c r="B97" s="851"/>
      <c r="C97" s="852"/>
      <c r="D97" s="787"/>
      <c r="E97" s="834"/>
      <c r="F97" s="105"/>
      <c r="G97" s="105"/>
      <c r="H97" s="105"/>
      <c r="I97" s="856"/>
      <c r="J97" s="832"/>
      <c r="K97" s="3" t="str">
        <f>IF(L97=0,"",(INDEX(AccountCodes[ACCOUNT NAME],MATCH(L97,AccountCodes[NGAS CODE],0))))</f>
        <v/>
      </c>
      <c r="L97" s="853"/>
      <c r="M97" s="854"/>
      <c r="N97" s="854"/>
      <c r="O97" s="805"/>
      <c r="P97" s="150">
        <f t="shared" si="7"/>
        <v>50693</v>
      </c>
    </row>
    <row r="98" spans="1:16" ht="18.75">
      <c r="A98" s="537"/>
      <c r="B98" s="851"/>
      <c r="C98" s="852"/>
      <c r="D98" s="787"/>
      <c r="E98" s="834"/>
      <c r="F98" s="105"/>
      <c r="G98" s="105"/>
      <c r="H98" s="105"/>
      <c r="I98" s="856"/>
      <c r="J98" s="832"/>
      <c r="K98" s="3" t="str">
        <f>IF(L98=0,"",(INDEX(AccountCodes[ACCOUNT NAME],MATCH(L98,AccountCodes[NGAS CODE],0))))</f>
        <v/>
      </c>
      <c r="L98" s="855"/>
      <c r="M98" s="854"/>
      <c r="N98" s="854"/>
      <c r="O98" s="805"/>
      <c r="P98" s="150">
        <f t="shared" si="7"/>
        <v>50693</v>
      </c>
    </row>
    <row r="99" spans="1:16" ht="18.75">
      <c r="A99" s="537"/>
      <c r="B99" s="786"/>
      <c r="C99" s="787"/>
      <c r="D99" s="787"/>
      <c r="E99" s="133"/>
      <c r="F99" s="105"/>
      <c r="G99" s="105"/>
      <c r="H99" s="105"/>
      <c r="I99" s="783"/>
      <c r="J99" s="832"/>
      <c r="K99" s="3" t="str">
        <f>IF(L99=0,"",(INDEX(AccountCodes[ACCOUNT NAME],MATCH(L99,AccountCodes[NGAS CODE],0))))</f>
        <v/>
      </c>
      <c r="L99" s="133"/>
      <c r="M99" s="4"/>
      <c r="N99" s="4"/>
      <c r="O99" s="667"/>
      <c r="P99" s="150">
        <f t="shared" ref="P99:P107" si="8">P98+M99-N99</f>
        <v>50693</v>
      </c>
    </row>
    <row r="100" spans="1:16" ht="18.75">
      <c r="A100" s="537"/>
      <c r="B100" s="786"/>
      <c r="C100" s="787"/>
      <c r="D100" s="787"/>
      <c r="E100" s="133"/>
      <c r="F100" s="105"/>
      <c r="G100" s="105"/>
      <c r="H100" s="105"/>
      <c r="I100" s="783"/>
      <c r="J100" s="832"/>
      <c r="K100" s="3" t="str">
        <f>IF(L100=0,"",(INDEX(AccountCodes[ACCOUNT NAME],MATCH(L100,AccountCodes[NGAS CODE],0))))</f>
        <v/>
      </c>
      <c r="L100" s="133"/>
      <c r="M100" s="4"/>
      <c r="N100" s="4"/>
      <c r="O100" s="667"/>
      <c r="P100" s="150">
        <f t="shared" si="8"/>
        <v>50693</v>
      </c>
    </row>
    <row r="101" spans="1:16" ht="18.75">
      <c r="A101" s="537"/>
      <c r="B101" s="786"/>
      <c r="C101" s="787"/>
      <c r="D101" s="787"/>
      <c r="E101" s="133"/>
      <c r="F101" s="105"/>
      <c r="G101" s="105"/>
      <c r="H101" s="105"/>
      <c r="I101" s="783"/>
      <c r="J101" s="832"/>
      <c r="K101" s="3" t="str">
        <f>IF(L101=0,"",(INDEX(AccountCodes[ACCOUNT NAME],MATCH(L101,AccountCodes[NGAS CODE],0))))</f>
        <v/>
      </c>
      <c r="L101" s="133"/>
      <c r="M101" s="4"/>
      <c r="N101" s="4"/>
      <c r="O101" s="667"/>
      <c r="P101" s="150">
        <f t="shared" si="8"/>
        <v>50693</v>
      </c>
    </row>
    <row r="102" spans="1:16" ht="18.75">
      <c r="A102" s="537"/>
      <c r="B102" s="786"/>
      <c r="C102" s="787"/>
      <c r="D102" s="787"/>
      <c r="E102" s="133"/>
      <c r="F102" s="105"/>
      <c r="G102" s="105"/>
      <c r="H102" s="105"/>
      <c r="I102" s="783"/>
      <c r="J102" s="832"/>
      <c r="K102" s="3" t="str">
        <f>IF(L102=0,"",(INDEX(AccountCodes[ACCOUNT NAME],MATCH(L102,AccountCodes[NGAS CODE],0))))</f>
        <v/>
      </c>
      <c r="L102" s="133"/>
      <c r="M102" s="4"/>
      <c r="N102" s="4"/>
      <c r="O102" s="667"/>
      <c r="P102" s="150">
        <f t="shared" si="8"/>
        <v>50693</v>
      </c>
    </row>
    <row r="103" spans="1:16" ht="18.75">
      <c r="A103" s="537"/>
      <c r="B103" s="786"/>
      <c r="C103" s="787"/>
      <c r="D103" s="787"/>
      <c r="E103" s="133"/>
      <c r="F103" s="105"/>
      <c r="G103" s="105"/>
      <c r="H103" s="105"/>
      <c r="I103" s="783"/>
      <c r="J103" s="832"/>
      <c r="K103" s="3" t="str">
        <f>IF(L103=0,"",(INDEX(AccountCodes[ACCOUNT NAME],MATCH(L103,AccountCodes[NGAS CODE],0))))</f>
        <v/>
      </c>
      <c r="L103" s="133"/>
      <c r="M103" s="4"/>
      <c r="N103" s="4"/>
      <c r="O103" s="667"/>
      <c r="P103" s="150">
        <f t="shared" si="8"/>
        <v>50693</v>
      </c>
    </row>
    <row r="104" spans="1:16" ht="18.75">
      <c r="A104" s="537"/>
      <c r="B104" s="786"/>
      <c r="C104" s="787"/>
      <c r="D104" s="787"/>
      <c r="E104" s="133"/>
      <c r="F104" s="105"/>
      <c r="G104" s="105"/>
      <c r="H104" s="105"/>
      <c r="I104" s="783"/>
      <c r="J104" s="832"/>
      <c r="K104" s="3" t="str">
        <f>IF(L104=0,"",(INDEX(AccountCodes[ACCOUNT NAME],MATCH(L104,AccountCodes[NGAS CODE],0))))</f>
        <v/>
      </c>
      <c r="L104" s="133"/>
      <c r="M104" s="4"/>
      <c r="N104" s="4"/>
      <c r="O104" s="667"/>
      <c r="P104" s="150">
        <f t="shared" si="8"/>
        <v>50693</v>
      </c>
    </row>
    <row r="105" spans="1:16" ht="18.75">
      <c r="A105" s="537"/>
      <c r="B105" s="786"/>
      <c r="C105" s="787"/>
      <c r="D105" s="787"/>
      <c r="E105" s="133"/>
      <c r="F105" s="105"/>
      <c r="G105" s="105"/>
      <c r="H105" s="105"/>
      <c r="I105" s="783"/>
      <c r="J105" s="832"/>
      <c r="K105" s="3" t="str">
        <f>IF(L105=0,"",(INDEX(AccountCodes[ACCOUNT NAME],MATCH(L105,AccountCodes[NGAS CODE],0))))</f>
        <v/>
      </c>
      <c r="L105" s="133"/>
      <c r="M105" s="4"/>
      <c r="N105" s="4"/>
      <c r="O105" s="667"/>
      <c r="P105" s="150">
        <f t="shared" si="8"/>
        <v>50693</v>
      </c>
    </row>
    <row r="106" spans="1:16" ht="18.75">
      <c r="A106" s="537"/>
      <c r="B106" s="786"/>
      <c r="C106" s="787"/>
      <c r="D106" s="787"/>
      <c r="E106" s="133"/>
      <c r="F106" s="105"/>
      <c r="G106" s="105"/>
      <c r="H106" s="105"/>
      <c r="I106" s="785"/>
      <c r="J106" s="832"/>
      <c r="K106" s="3" t="str">
        <f>IF(L106=0,"",(INDEX(AccountCodes[ACCOUNT NAME],MATCH(L106,AccountCodes[NGAS CODE],0))))</f>
        <v/>
      </c>
      <c r="L106" s="133"/>
      <c r="M106" s="667"/>
      <c r="N106" s="667"/>
      <c r="O106" s="667"/>
      <c r="P106" s="150">
        <f t="shared" si="8"/>
        <v>50693</v>
      </c>
    </row>
    <row r="107" spans="1:16" ht="18.75">
      <c r="A107" s="537"/>
      <c r="B107" s="786"/>
      <c r="C107" s="787"/>
      <c r="D107" s="787"/>
      <c r="E107" s="133"/>
      <c r="F107" s="151"/>
      <c r="G107" s="151"/>
      <c r="H107" s="151"/>
      <c r="I107" s="785"/>
      <c r="J107" s="832"/>
      <c r="K107" s="148" t="str">
        <f>IF(L107=0,"",(INDEX(AccountCodes[ACCOUNT NAME],MATCH(L107,AccountCodes[NGAS CODE],0))))</f>
        <v/>
      </c>
      <c r="L107" s="147"/>
      <c r="M107" s="149"/>
      <c r="N107" s="149"/>
      <c r="O107" s="858"/>
      <c r="P107" s="152">
        <f t="shared" si="8"/>
        <v>50693</v>
      </c>
    </row>
    <row r="108" spans="1:16" ht="18.75">
      <c r="A108" s="862"/>
      <c r="B108" s="786"/>
      <c r="C108" s="866"/>
      <c r="D108" s="151"/>
      <c r="E108" s="147"/>
      <c r="F108" s="714"/>
      <c r="G108" s="714"/>
      <c r="H108" s="714"/>
      <c r="I108" s="867"/>
      <c r="J108" s="868"/>
      <c r="K108" s="699" t="str">
        <f>IF(L108=0,"",(INDEX(AccountCodes[ACCOUNT NAME],MATCH(L108,AccountCodes[NGAS CODE],0))))</f>
        <v/>
      </c>
      <c r="L108" s="147"/>
      <c r="M108" s="863"/>
      <c r="N108" s="863"/>
      <c r="O108" s="864"/>
      <c r="P108" s="865">
        <f>P107+M108-N108</f>
        <v>50693</v>
      </c>
    </row>
    <row r="109" spans="1:16" ht="18.75">
      <c r="A109" s="870"/>
      <c r="B109" s="870"/>
      <c r="C109" s="866"/>
      <c r="D109" s="151"/>
      <c r="E109" s="147"/>
      <c r="F109" s="151"/>
      <c r="G109" s="151"/>
      <c r="H109" s="151"/>
      <c r="I109" s="867"/>
      <c r="J109" s="868"/>
      <c r="K109" s="148" t="str">
        <f>IF(L109=0,"",(INDEX(AccountCodes[ACCOUNT NAME],MATCH(L109,AccountCodes[NGAS CODE],0))))</f>
        <v/>
      </c>
      <c r="L109" s="147"/>
      <c r="M109" s="858"/>
      <c r="N109" s="858"/>
      <c r="O109" s="149"/>
      <c r="P109" s="152">
        <f>P108+M109-N109</f>
        <v>50693</v>
      </c>
    </row>
    <row r="110" spans="1:16">
      <c r="A110" s="537"/>
      <c r="B110" s="537"/>
      <c r="C110" s="871"/>
      <c r="D110" s="105"/>
      <c r="E110" s="133"/>
      <c r="F110" s="105"/>
      <c r="G110" s="105"/>
      <c r="H110" s="105"/>
      <c r="I110" s="267"/>
      <c r="J110" s="869"/>
      <c r="K110" s="3" t="str">
        <f>IF(L110=0,"",(INDEX(AccountCodes[ACCOUNT NAME],MATCH(L110,AccountCodes[NGAS CODE],0))))</f>
        <v/>
      </c>
      <c r="L110" s="147"/>
      <c r="M110" s="863"/>
      <c r="N110" s="863"/>
      <c r="O110" s="4"/>
      <c r="P110" s="150">
        <f>P109+M110-N110</f>
        <v>50693</v>
      </c>
    </row>
  </sheetData>
  <sheetProtection autoFilter="0"/>
  <mergeCells count="1">
    <mergeCell ref="A1:N1"/>
  </mergeCells>
  <dataValidations count="1">
    <dataValidation type="date" allowBlank="1" showErrorMessage="1" prompt="Input Date Only" sqref="B46:B58 B19:B28">
      <formula1>28299</formula1>
      <formula2>401942</formula2>
    </dataValidation>
  </dataValidations>
  <printOptions horizontalCentered="1"/>
  <pageMargins left="0.23622047244094491" right="0" top="0.74803149606299213" bottom="0.23622047244094491" header="0.31496062992125984" footer="0.31496062992125984"/>
  <pageSetup paperSize="256" scale="65" orientation="landscape" horizontalDpi="300" verticalDpi="30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6"/>
  <sheetViews>
    <sheetView workbookViewId="0">
      <selection activeCell="B10" sqref="B10"/>
    </sheetView>
  </sheetViews>
  <sheetFormatPr defaultRowHeight="15.75"/>
  <cols>
    <col min="1" max="1" width="12.625" bestFit="1" customWidth="1"/>
    <col min="2" max="2" width="55.625" customWidth="1"/>
    <col min="3" max="3" width="17.125" customWidth="1"/>
    <col min="4" max="4" width="16" customWidth="1"/>
  </cols>
  <sheetData>
    <row r="1" spans="1:4">
      <c r="A1" s="303" t="s">
        <v>722</v>
      </c>
      <c r="B1" s="12" t="s">
        <v>1607</v>
      </c>
    </row>
    <row r="3" spans="1:4">
      <c r="A3" s="12"/>
      <c r="B3" s="12"/>
      <c r="C3" s="301" t="s">
        <v>851</v>
      </c>
      <c r="D3" s="302"/>
    </row>
    <row r="4" spans="1:4">
      <c r="A4" s="303" t="s">
        <v>370</v>
      </c>
      <c r="B4" s="303" t="s">
        <v>369</v>
      </c>
      <c r="C4" s="302" t="s">
        <v>852</v>
      </c>
      <c r="D4" s="302" t="s">
        <v>853</v>
      </c>
    </row>
    <row r="5" spans="1:4">
      <c r="A5" s="12" t="s">
        <v>1607</v>
      </c>
      <c r="B5" s="12"/>
      <c r="C5" s="302"/>
      <c r="D5" s="302"/>
    </row>
    <row r="6" spans="1:4">
      <c r="A6" s="12" t="s">
        <v>717</v>
      </c>
      <c r="B6" s="12"/>
      <c r="C6" s="302"/>
      <c r="D6" s="302"/>
    </row>
  </sheetData>
  <pageMargins left="0.7" right="0.7" top="0.75" bottom="0.75" header="0.3" footer="0.3"/>
  <pageSetup paperSize="0" orientation="portrait" horizontalDpi="0" verticalDpi="0" copies="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S60"/>
  <sheetViews>
    <sheetView topLeftCell="E41" zoomScale="80" zoomScaleNormal="80" workbookViewId="0">
      <selection activeCell="L63" sqref="L63"/>
    </sheetView>
  </sheetViews>
  <sheetFormatPr defaultColWidth="9" defaultRowHeight="15.75"/>
  <cols>
    <col min="1" max="1" width="11.875" style="526" customWidth="1"/>
    <col min="2" max="2" width="10.625" style="527" bestFit="1" customWidth="1"/>
    <col min="3" max="3" width="10.625" style="526" hidden="1" customWidth="1"/>
    <col min="4" max="4" width="0" style="526" hidden="1" customWidth="1"/>
    <col min="5" max="6" width="9" style="526"/>
    <col min="7" max="7" width="23.375" style="90" customWidth="1"/>
    <col min="8" max="8" width="13.5" style="90" customWidth="1"/>
    <col min="9" max="10" width="12.625" style="90" customWidth="1"/>
    <col min="11" max="11" width="12.875" style="529" customWidth="1"/>
    <col min="12" max="12" width="14.625" style="90" customWidth="1"/>
    <col min="13" max="13" width="12.875" style="90" bestFit="1" customWidth="1"/>
    <col min="14" max="16" width="12.625" style="90" customWidth="1"/>
    <col min="17" max="17" width="12.875" style="527" bestFit="1" customWidth="1"/>
    <col min="18" max="18" width="14.625" style="90" customWidth="1"/>
    <col min="19" max="19" width="20.125" style="90" bestFit="1" customWidth="1"/>
    <col min="20" max="16384" width="9" style="90"/>
  </cols>
  <sheetData>
    <row r="1" spans="1:19">
      <c r="A1" s="736" t="s">
        <v>470</v>
      </c>
      <c r="G1" s="1272" t="s">
        <v>355</v>
      </c>
      <c r="H1" s="1272"/>
      <c r="I1" s="1272"/>
      <c r="J1" s="1272"/>
      <c r="K1" s="1272"/>
      <c r="L1" s="1272"/>
      <c r="M1" s="1272"/>
      <c r="N1" s="1272"/>
      <c r="O1" s="1272"/>
      <c r="P1" s="1272"/>
      <c r="R1" s="90" t="s">
        <v>495</v>
      </c>
    </row>
    <row r="2" spans="1:19">
      <c r="A2" s="736" t="s">
        <v>472</v>
      </c>
      <c r="G2" s="1272"/>
      <c r="H2" s="1272"/>
      <c r="I2" s="1272"/>
      <c r="J2" s="1272"/>
      <c r="K2" s="1272"/>
      <c r="L2" s="1272"/>
      <c r="M2" s="1272"/>
      <c r="N2" s="1272"/>
      <c r="O2" s="1272"/>
      <c r="P2" s="1272"/>
    </row>
    <row r="3" spans="1:19" ht="17.25" customHeight="1">
      <c r="A3" s="736"/>
      <c r="G3" s="1274" t="s">
        <v>1538</v>
      </c>
      <c r="H3" s="1274"/>
      <c r="I3" s="1274"/>
      <c r="J3" s="1274"/>
      <c r="K3" s="1274"/>
      <c r="L3" s="1274"/>
      <c r="M3" s="1274"/>
      <c r="N3" s="1274"/>
      <c r="O3" s="1274"/>
      <c r="P3" s="1274"/>
    </row>
    <row r="4" spans="1:19">
      <c r="A4" s="736"/>
      <c r="G4" s="1273" t="s">
        <v>1567</v>
      </c>
      <c r="H4" s="1273"/>
      <c r="I4" s="1273"/>
      <c r="J4" s="1273"/>
      <c r="K4" s="1273"/>
      <c r="L4" s="1273"/>
      <c r="M4" s="1273"/>
      <c r="N4" s="1273"/>
      <c r="O4" s="1273"/>
      <c r="P4" s="1273"/>
    </row>
    <row r="5" spans="1:19" ht="12.75" customHeight="1">
      <c r="A5" s="736"/>
      <c r="G5" s="1273"/>
      <c r="H5" s="1273"/>
      <c r="I5" s="1273"/>
      <c r="J5" s="1273"/>
      <c r="K5" s="1273"/>
      <c r="L5" s="1273"/>
      <c r="M5" s="1273"/>
      <c r="N5" s="1273"/>
      <c r="O5" s="1273"/>
      <c r="P5" s="1273"/>
    </row>
    <row r="6" spans="1:19">
      <c r="H6" s="740"/>
      <c r="I6" s="740"/>
      <c r="J6" s="740"/>
      <c r="K6" s="747"/>
      <c r="L6" s="740"/>
      <c r="M6" s="740"/>
      <c r="N6" s="740"/>
      <c r="O6" s="740"/>
      <c r="P6" s="740"/>
    </row>
    <row r="7" spans="1:19" ht="17.25">
      <c r="G7" s="739" t="str">
        <f>Account!$G$1</f>
        <v>FUND 501 CARP</v>
      </c>
      <c r="H7" s="740"/>
      <c r="I7" s="740"/>
      <c r="J7" s="740"/>
      <c r="K7" s="747"/>
      <c r="L7" s="740"/>
      <c r="M7" s="740"/>
      <c r="N7" s="740"/>
      <c r="O7" s="740"/>
      <c r="P7" s="740"/>
    </row>
    <row r="8" spans="1:19" ht="17.25">
      <c r="G8" s="741">
        <f>Account!$G$2</f>
        <v>45291</v>
      </c>
      <c r="H8" s="740"/>
      <c r="I8" s="740"/>
      <c r="J8" s="740"/>
      <c r="K8" s="747"/>
      <c r="L8" s="740"/>
      <c r="M8" s="740"/>
      <c r="N8" s="740"/>
      <c r="O8" s="740"/>
      <c r="P8" s="740"/>
    </row>
    <row r="10" spans="1:19" ht="16.5" customHeight="1">
      <c r="A10" s="1251" t="s">
        <v>473</v>
      </c>
      <c r="B10" s="1270" t="s">
        <v>474</v>
      </c>
      <c r="C10" s="1270" t="s">
        <v>474</v>
      </c>
      <c r="D10" s="1270" t="s">
        <v>475</v>
      </c>
      <c r="E10" s="1270" t="s">
        <v>476</v>
      </c>
      <c r="F10" s="1251"/>
      <c r="G10" s="1270" t="s">
        <v>477</v>
      </c>
      <c r="H10" s="1251" t="s">
        <v>356</v>
      </c>
      <c r="I10" s="1251"/>
      <c r="J10" s="1251"/>
      <c r="K10" s="1251"/>
      <c r="L10" s="1251"/>
      <c r="M10" s="1251" t="s">
        <v>357</v>
      </c>
      <c r="N10" s="1251"/>
      <c r="O10" s="1251"/>
      <c r="P10" s="1251"/>
      <c r="Q10" s="1251"/>
      <c r="R10" s="1251"/>
      <c r="S10" s="1269" t="s">
        <v>724</v>
      </c>
    </row>
    <row r="11" spans="1:19">
      <c r="A11" s="1251"/>
      <c r="B11" s="1251"/>
      <c r="C11" s="1251"/>
      <c r="D11" s="1251"/>
      <c r="E11" s="1251"/>
      <c r="F11" s="1251"/>
      <c r="G11" s="1270"/>
      <c r="H11" s="1251" t="s">
        <v>12</v>
      </c>
      <c r="I11" s="1251" t="s">
        <v>1546</v>
      </c>
      <c r="J11" s="1251" t="s">
        <v>1440</v>
      </c>
      <c r="K11" s="1251" t="s">
        <v>478</v>
      </c>
      <c r="L11" s="1251"/>
      <c r="M11" s="1251" t="s">
        <v>162</v>
      </c>
      <c r="N11" s="1251" t="s">
        <v>164</v>
      </c>
      <c r="O11" s="1251" t="s">
        <v>1565</v>
      </c>
      <c r="P11" s="1251" t="s">
        <v>1566</v>
      </c>
      <c r="Q11" s="1251" t="s">
        <v>478</v>
      </c>
      <c r="R11" s="1251"/>
      <c r="S11" s="1269"/>
    </row>
    <row r="12" spans="1:19">
      <c r="A12" s="1251"/>
      <c r="B12" s="1251"/>
      <c r="C12" s="1251"/>
      <c r="D12" s="1251"/>
      <c r="E12" s="530" t="s">
        <v>479</v>
      </c>
      <c r="F12" s="530" t="s">
        <v>480</v>
      </c>
      <c r="G12" s="1270"/>
      <c r="H12" s="1251"/>
      <c r="I12" s="1251"/>
      <c r="J12" s="1251"/>
      <c r="K12" s="530" t="s">
        <v>481</v>
      </c>
      <c r="L12" s="530" t="s">
        <v>453</v>
      </c>
      <c r="M12" s="1251"/>
      <c r="N12" s="1251"/>
      <c r="O12" s="1251"/>
      <c r="P12" s="1251"/>
      <c r="Q12" s="530" t="s">
        <v>481</v>
      </c>
      <c r="R12" s="530" t="s">
        <v>453</v>
      </c>
      <c r="S12" s="1269"/>
    </row>
    <row r="13" spans="1:19" ht="31.5" hidden="1">
      <c r="A13" s="520" t="s">
        <v>0</v>
      </c>
      <c r="B13" s="528" t="s">
        <v>474</v>
      </c>
      <c r="C13" s="515" t="s">
        <v>1466</v>
      </c>
      <c r="D13" s="521" t="s">
        <v>475</v>
      </c>
      <c r="E13" s="520" t="s">
        <v>479</v>
      </c>
      <c r="F13" s="520" t="s">
        <v>1467</v>
      </c>
      <c r="G13" s="520" t="s">
        <v>477</v>
      </c>
      <c r="H13" s="93" t="s">
        <v>10</v>
      </c>
      <c r="I13" s="93" t="s">
        <v>12</v>
      </c>
      <c r="J13" s="93" t="s">
        <v>109</v>
      </c>
      <c r="K13" s="138" t="s">
        <v>1462</v>
      </c>
      <c r="L13" s="522" t="s">
        <v>453</v>
      </c>
      <c r="M13" s="93" t="s">
        <v>108</v>
      </c>
      <c r="N13" s="93" t="s">
        <v>162</v>
      </c>
      <c r="O13" s="93" t="s">
        <v>163</v>
      </c>
      <c r="P13" s="93" t="s">
        <v>164</v>
      </c>
      <c r="Q13" s="138" t="s">
        <v>1473</v>
      </c>
      <c r="R13" s="522" t="s">
        <v>1472</v>
      </c>
      <c r="S13" s="532" t="s">
        <v>724</v>
      </c>
    </row>
    <row r="14" spans="1:19">
      <c r="A14" s="92">
        <f t="array" ref="A14">IF(OR(C14=C13,C14=0),"",INDEX(CsDJ[Date],MATCH(C14,CsDJ[JEV Number],0)))</f>
        <v>43861</v>
      </c>
      <c r="B14" s="835" t="s">
        <v>1612</v>
      </c>
      <c r="C14" s="93" t="str">
        <f t="shared" ref="C14:C25" si="0">IF(B14=0,C13,B14)</f>
        <v>20-01-004</v>
      </c>
      <c r="D14" s="524"/>
      <c r="E14" s="524"/>
      <c r="F14" s="524"/>
      <c r="G14" s="94" t="str">
        <f t="array" ref="G14">IF(OR(C14=C13,C14=0),"",INDEX(CasheirCode[Name],MATCH((INDEX(CsDJ[Sort Code],MATCH(C14,CsDJ[JEV Number],0))),CasheirCode[Sort Code])))</f>
        <v>Maria Luisa M. Tolledo</v>
      </c>
      <c r="H14" s="95">
        <f t="array" ref="H14">IF(OR($C14=$C13,$C14=0),0,(SUM(IF((CsDJ[JEV Number]=$C14)*(CsDJ[Account Code]=(H$11)),CsDJ[Credit]))))</f>
        <v>0</v>
      </c>
      <c r="I14" s="95">
        <f t="array" ref="I14">IF(OR($C14=$C13,$C14=0),0,(SUM(IF((CsDJ[JEV Number]=$C14)*(CsDJ[Account Code]=(I$11)),CsDJ[Credit]))))</f>
        <v>0</v>
      </c>
      <c r="J14" s="95">
        <f t="array" ref="J14">IF(OR($C14=$C13,$C14=0),0,(SUM(IF((CsDJ[JEV Number]=$C14)*(CsDJ[Account Code]=(J$11)),CsDJ[Credit]))))</f>
        <v>0</v>
      </c>
      <c r="K14" s="696" t="s">
        <v>1444</v>
      </c>
      <c r="L14" s="95">
        <f t="array" ref="L14">IF($C14=0,0,(SUM(IF((CsDJ[JEV Number]=$C14)*(CsDJ[Account Code]=(K14)),CsDJ[Credit]))))</f>
        <v>0</v>
      </c>
      <c r="M14" s="95"/>
      <c r="N14" s="95">
        <f t="array" ref="N14">IF(OR($C14=$C13,$C14=0),0,(SUM(IF((CsDJ[JEV Number]=$C14)*(CsDJ[Account Code]=(N$11)),CsDJ[Debit]))))</f>
        <v>0</v>
      </c>
      <c r="O14" s="95">
        <f t="array" ref="O14">IF(OR($C14=$C13,$C14=0),0,(SUM(IF((CsDJ[JEV Number]=$C14)*(CsDJ[Account Code]=(O$11)),CsDJ[Debit]))))</f>
        <v>0</v>
      </c>
      <c r="P14" s="95">
        <f t="array" ref="P14">IF(OR($C14=$C13,$C14=0),0,(SUM(IF((CsDJ[JEV Number]=$C14)*(CsDJ[Account Code]=(P$11)),CsDJ[Debit]))))</f>
        <v>0</v>
      </c>
      <c r="Q14" s="138"/>
      <c r="R14" s="95">
        <f t="array" ref="R14">IF($C14=0,0,(SUM(IF((CsDJ[JEV Number]=$C14)*(CsDJ[Account Code]=(Q14)),CsDJ[Debit]))))</f>
        <v>0</v>
      </c>
      <c r="S14" s="514">
        <f>(SUM(M14:P14)+R14)-(SUM(H14:J14)+L14)</f>
        <v>0</v>
      </c>
    </row>
    <row r="15" spans="1:19">
      <c r="A15" s="92" t="str">
        <f t="array" ref="A15">IF(OR(C15=C14,C15=0),"",INDEX(CsDJ[Date],MATCH(C15,CsDJ[JEV Number],0)))</f>
        <v/>
      </c>
      <c r="B15" s="835"/>
      <c r="C15" s="518" t="str">
        <f t="shared" si="0"/>
        <v>20-01-004</v>
      </c>
      <c r="D15" s="524"/>
      <c r="E15" s="524"/>
      <c r="F15" s="524"/>
      <c r="G15" s="94" t="str">
        <f t="array" ref="G15">IF(OR(C15=C14,C15=0),"",INDEX(CasheirCode[Name],MATCH((INDEX(CsDJ[Sort Code],MATCH(C15,CsDJ[JEV Number],0))),CasheirCode[Sort Code])))</f>
        <v/>
      </c>
      <c r="H15" s="95">
        <f t="array" ref="H15">IF(OR($C15=$C14,$C15=0),0,(SUM(IF((CsDJ[JEV Number]=$C15)*(CsDJ[Account Code]=(H$11)),CsDJ[Credit]))))</f>
        <v>0</v>
      </c>
      <c r="I15" s="95">
        <f t="array" ref="I15">IF(OR($C15=$C14,$C15=0),0,(SUM(IF((CsDJ[JEV Number]=$C15)*(CsDJ[Account Code]=(I$11)),CsDJ[Credit]))))</f>
        <v>0</v>
      </c>
      <c r="J15" s="95">
        <f t="array" ref="J15">IF(OR($C15=$C14,$C15=0),0,(SUM(IF((CsDJ[JEV Number]=$C15)*(CsDJ[Account Code]=(J$11)),CsDJ[Credit]))))</f>
        <v>0</v>
      </c>
      <c r="K15" s="696"/>
      <c r="L15" s="517">
        <f t="array" ref="L15">IF($C15=0,0,(SUM(IF((CsDJ[JEV Number]=$C15)*(CsDJ[Account Code]=(K15)),CsDJ[Credit]))))</f>
        <v>0</v>
      </c>
      <c r="M15" s="95">
        <f t="array" ref="M15">IF(OR($C15=$C14,$C15=0),0,(SUM(IF((CsDJ[JEV Number]=$C15)*(CsDJ[Account Code]=(M$11)),CsDJ[Debit]))))</f>
        <v>0</v>
      </c>
      <c r="N15" s="95">
        <f t="array" ref="N15">IF(OR($C15=$C14,$C15=0),0,(SUM(IF((CsDJ[JEV Number]=$C15)*(CsDJ[Account Code]=(N$11)),CsDJ[Debit]))))</f>
        <v>0</v>
      </c>
      <c r="O15" s="95">
        <f t="array" ref="O15">IF(OR($C15=$C14,$C15=0),0,(SUM(IF((CsDJ[JEV Number]=$C15)*(CsDJ[Account Code]=(O$11)),CsDJ[Debit]))))</f>
        <v>0</v>
      </c>
      <c r="P15" s="95">
        <f t="array" ref="P15">IF(OR($C15=$C14,$C15=0),0,(SUM(IF((CsDJ[JEV Number]=$C15)*(CsDJ[Account Code]=(P$11)),CsDJ[Debit]))))</f>
        <v>0</v>
      </c>
      <c r="Q15" s="138"/>
      <c r="R15" s="144">
        <f t="array" ref="R15">IF($C15=0,0,(SUM(IF((CsDJ[JEV Number]=$C15)*(CsDJ[Account Code]=(Q15)),CsDJ[Debit]))))</f>
        <v>0</v>
      </c>
      <c r="S15" s="514">
        <f t="shared" ref="S15:S25" si="1">S14+(SUM(M15:P15)+R15)-(SUM(H15:J15)+L15)</f>
        <v>0</v>
      </c>
    </row>
    <row r="16" spans="1:19">
      <c r="A16" s="92" t="str">
        <f t="array" ref="A16">IF(OR(C16=C15,C16=0),"",INDEX(CsDJ[Date],MATCH(C16,CsDJ[JEV Number],0)))</f>
        <v/>
      </c>
      <c r="B16" s="835"/>
      <c r="C16" s="518" t="str">
        <f t="shared" si="0"/>
        <v>20-01-004</v>
      </c>
      <c r="D16" s="524"/>
      <c r="E16" s="524"/>
      <c r="F16" s="524"/>
      <c r="G16" s="94" t="str">
        <f t="array" ref="G16">IF(OR(C16=C15,C16=0),"",INDEX(CasheirCode[Name],MATCH((INDEX(CsDJ[Sort Code],MATCH(C16,CsDJ[JEV Number],0))),CasheirCode[Sort Code])))</f>
        <v/>
      </c>
      <c r="H16" s="95">
        <f t="array" ref="H16">IF(OR($C16=$C15,$C16=0),0,(SUM(IF((CsDJ[JEV Number]=$C16)*(CsDJ[Account Code]=(H$11)),CsDJ[Credit]))))</f>
        <v>0</v>
      </c>
      <c r="I16" s="95">
        <f t="array" ref="I16">IF(OR($C16=$C15,$C16=0),0,(SUM(IF((CsDJ[JEV Number]=$C16)*(CsDJ[Account Code]=(I$11)),CsDJ[Credit]))))</f>
        <v>0</v>
      </c>
      <c r="J16" s="95">
        <f t="array" ref="J16">IF(OR($C16=$C15,$C16=0),0,(SUM(IF((CsDJ[JEV Number]=$C16)*(CsDJ[Account Code]=(J$11)),CsDJ[Credit]))))</f>
        <v>0</v>
      </c>
      <c r="K16" s="696"/>
      <c r="L16" s="517">
        <f t="array" ref="L16">IF($C16=0,0,(SUM(IF((CsDJ[JEV Number]=$C16)*(CsDJ[Account Code]=(K16)),CsDJ[Credit]))))</f>
        <v>0</v>
      </c>
      <c r="M16" s="95">
        <f t="array" ref="M16">IF(OR($C16=$C15,$C16=0),0,(SUM(IF((CsDJ[JEV Number]=$C16)*(CsDJ[Account Code]=(M$11)),CsDJ[Debit]))))</f>
        <v>0</v>
      </c>
      <c r="N16" s="95">
        <f t="array" ref="N16">IF(OR($C16=$C15,$C16=0),0,(SUM(IF((CsDJ[JEV Number]=$C16)*(CsDJ[Account Code]=(N$11)),CsDJ[Debit]))))</f>
        <v>0</v>
      </c>
      <c r="O16" s="95">
        <f t="array" ref="O16">IF(OR($C16=$C15,$C16=0),0,(SUM(IF((CsDJ[JEV Number]=$C16)*(CsDJ[Account Code]=(O$11)),CsDJ[Debit]))))</f>
        <v>0</v>
      </c>
      <c r="P16" s="95">
        <f t="array" ref="P16">IF(OR($C16=$C15,$C16=0),0,(SUM(IF((CsDJ[JEV Number]=$C16)*(CsDJ[Account Code]=(P$11)),CsDJ[Debit]))))</f>
        <v>0</v>
      </c>
      <c r="Q16" s="138"/>
      <c r="R16" s="517">
        <f t="array" ref="R16">IF($C16=0,0,(SUM(IF((CsDJ[JEV Number]=$C16)*(CsDJ[Account Code]=(Q16)),CsDJ[Debit]))))</f>
        <v>0</v>
      </c>
      <c r="S16" s="514">
        <f t="shared" si="1"/>
        <v>0</v>
      </c>
    </row>
    <row r="17" spans="1:19">
      <c r="A17" s="525" t="str">
        <f t="array" ref="A17">IF(OR(C17=C16,C17=0),"",INDEX(CsDJ[Date],MATCH(C17,CsDJ[JEV Number],0)))</f>
        <v/>
      </c>
      <c r="B17" s="836"/>
      <c r="C17" s="523" t="str">
        <f t="shared" si="0"/>
        <v>20-01-004</v>
      </c>
      <c r="D17" s="523"/>
      <c r="E17" s="523"/>
      <c r="F17" s="523"/>
      <c r="G17" s="280" t="str">
        <f t="array" ref="G17">IF(OR(C17=C16,C17=0),"",INDEX(CasheirCode[Name],MATCH((INDEX(CsDJ[Sort Code],MATCH(C17,CsDJ[JEV Number],0))),CasheirCode[Sort Code])))</f>
        <v/>
      </c>
      <c r="H17" s="519">
        <f t="array" ref="H17">IF(OR($C17=$C16,$C17=0),0,(SUM(IF((CsDJ[JEV Number]=$C17)*(CsDJ[Account Code]=(H$11)),CsDJ[Credit]))))</f>
        <v>0</v>
      </c>
      <c r="I17" s="519">
        <f t="array" ref="I17">IF(OR($C17=$C16,$C17=0),0,(SUM(IF((CsDJ[JEV Number]=$C17)*(CsDJ[Account Code]=(I$11)),CsDJ[Credit]))))</f>
        <v>0</v>
      </c>
      <c r="J17" s="519">
        <f t="array" ref="J17">IF(OR($C17=$C16,$C17=0),0,(SUM(IF((CsDJ[JEV Number]=$C17)*(CsDJ[Account Code]=(J$11)),CsDJ[Credit]))))</f>
        <v>0</v>
      </c>
      <c r="K17" s="724"/>
      <c r="L17" s="519">
        <f t="array" ref="L17">IF($C17=0,0,(SUM(IF((CsDJ[JEV Number]=$C17)*(CsDJ[Account Code]=(K17)),CsDJ[Credit]))))</f>
        <v>0</v>
      </c>
      <c r="M17" s="519">
        <f t="array" ref="M17">IF(OR($C17=$C16,$C17=0),0,(SUM(IF((CsDJ[JEV Number]=$C17)*(CsDJ[Account Code]=(M$11)),CsDJ[Debit]))))</f>
        <v>0</v>
      </c>
      <c r="N17" s="519">
        <f t="array" ref="N17">IF(OR($C17=$C16,$C17=0),0,(SUM(IF((CsDJ[JEV Number]=$C17)*(CsDJ[Account Code]=(N$11)),CsDJ[Debit]))))</f>
        <v>0</v>
      </c>
      <c r="O17" s="519">
        <f t="array" ref="O17">IF(OR($C17=$C16,$C17=0),0,(SUM(IF((CsDJ[JEV Number]=$C17)*(CsDJ[Account Code]=(O$11)),CsDJ[Debit]))))</f>
        <v>0</v>
      </c>
      <c r="P17" s="519">
        <f t="array" ref="P17">IF(OR($C17=$C16,$C17=0),0,(SUM(IF((CsDJ[JEV Number]=$C17)*(CsDJ[Account Code]=(P$11)),CsDJ[Debit]))))</f>
        <v>0</v>
      </c>
      <c r="Q17" s="138"/>
      <c r="R17" s="519">
        <f t="array" ref="R17">IF($C17=0,0,(SUM(IF((CsDJ[JEV Number]=$C17)*(CsDJ[Account Code]=(Q17)),CsDJ[Debit]))))</f>
        <v>0</v>
      </c>
      <c r="S17" s="533">
        <f t="shared" si="1"/>
        <v>0</v>
      </c>
    </row>
    <row r="18" spans="1:19">
      <c r="A18" s="670" t="str">
        <f t="array" ref="A18">IF(OR(C18=C17,C18=0),"",INDEX(CsDJ[Date],MATCH(C18,CsDJ[JEV Number],0)))</f>
        <v/>
      </c>
      <c r="B18" s="837"/>
      <c r="C18" s="687" t="str">
        <f t="shared" si="0"/>
        <v>20-01-004</v>
      </c>
      <c r="D18" s="687"/>
      <c r="E18" s="687"/>
      <c r="F18" s="687"/>
      <c r="G18" s="688" t="str">
        <f t="array" ref="G18">IF(OR(C18=C17,C18=0),"",INDEX(CasheirCode[Name],MATCH((INDEX(CsDJ[Sort Code],MATCH(C18,CsDJ[JEV Number],0))),CasheirCode[Sort Code])))</f>
        <v/>
      </c>
      <c r="H18" s="689">
        <f t="array" ref="H18">IF(OR($C18=$C17,$C18=0),0,(SUM(IF((CsDJ[JEV Number]=$C18)*(CsDJ[Account Code]=(H$11)),CsDJ[Credit]))))</f>
        <v>0</v>
      </c>
      <c r="I18" s="689">
        <f t="array" ref="I18">IF(OR($C18=$C17,$C18=0),0,(SUM(IF((CsDJ[JEV Number]=$C18)*(CsDJ[Account Code]=(I$11)),CsDJ[Credit]))))</f>
        <v>0</v>
      </c>
      <c r="J18" s="689">
        <f t="array" ref="J18">IF(OR($C18=$C17,$C18=0),0,(SUM(IF((CsDJ[JEV Number]=$C18)*(CsDJ[Account Code]=(J$11)),CsDJ[Credit]))))</f>
        <v>0</v>
      </c>
      <c r="K18" s="724"/>
      <c r="L18" s="689">
        <f t="array" ref="L18">IF($C18=0,0,(SUM(IF((CsDJ[JEV Number]=$C18)*(CsDJ[Account Code]=(K18)),CsDJ[Credit]))))</f>
        <v>0</v>
      </c>
      <c r="M18" s="689">
        <f t="array" ref="M18">IF(OR($C18=$C17,$C18=0),0,(SUM(IF((CsDJ[JEV Number]=$C18)*(CsDJ[Account Code]=(M$11)),CsDJ[Debit]))))</f>
        <v>0</v>
      </c>
      <c r="N18" s="689">
        <f t="array" ref="N18">IF(OR($C18=$C17,$C18=0),0,(SUM(IF((CsDJ[JEV Number]=$C18)*(CsDJ[Account Code]=(N$11)),CsDJ[Debit]))))</f>
        <v>0</v>
      </c>
      <c r="O18" s="689">
        <f t="array" ref="O18">IF(OR($C18=$C17,$C18=0),0,(SUM(IF((CsDJ[JEV Number]=$C18)*(CsDJ[Account Code]=(O$11)),CsDJ[Debit]))))</f>
        <v>0</v>
      </c>
      <c r="P18" s="689">
        <f t="array" ref="P18">IF(OR($C18=$C17,$C18=0),0,(SUM(IF((CsDJ[JEV Number]=$C18)*(CsDJ[Account Code]=(P$11)),CsDJ[Debit]))))</f>
        <v>0</v>
      </c>
      <c r="Q18" s="693"/>
      <c r="R18" s="689">
        <f t="array" ref="R18">IF($C18=0,0,(SUM(IF((CsDJ[JEV Number]=$C18)*(CsDJ[Account Code]=(Q18)),CsDJ[Debit]))))</f>
        <v>0</v>
      </c>
      <c r="S18" s="691">
        <f t="shared" si="1"/>
        <v>0</v>
      </c>
    </row>
    <row r="19" spans="1:19">
      <c r="A19" s="670" t="str">
        <f t="array" ref="A19">IF(OR(C19=C18,C19=0),"",INDEX(CsDJ[Date],MATCH(C19,CsDJ[JEV Number],0)))</f>
        <v/>
      </c>
      <c r="B19" s="837"/>
      <c r="C19" s="687" t="str">
        <f t="shared" si="0"/>
        <v>20-01-004</v>
      </c>
      <c r="D19" s="687"/>
      <c r="E19" s="687"/>
      <c r="F19" s="687"/>
      <c r="G19" s="688" t="str">
        <f t="array" ref="G19">IF(OR(C19=C18,C19=0),"",INDEX(CasheirCode[Name],MATCH((INDEX(CsDJ[Sort Code],MATCH(C19,CsDJ[JEV Number],0))),CasheirCode[Sort Code])))</f>
        <v/>
      </c>
      <c r="H19" s="689">
        <f t="array" ref="H19">IF(OR($C19=$C18,$C19=0),0,(SUM(IF((CsDJ[JEV Number]=$C19)*(CsDJ[Account Code]=(H$11)),CsDJ[Credit]))))</f>
        <v>0</v>
      </c>
      <c r="I19" s="689">
        <f t="array" ref="I19">IF(OR($C19=$C18,$C19=0),0,(SUM(IF((CsDJ[JEV Number]=$C19)*(CsDJ[Account Code]=(I$11)),CsDJ[Credit]))))</f>
        <v>0</v>
      </c>
      <c r="J19" s="689">
        <f t="array" ref="J19">IF(OR($C19=$C18,$C19=0),0,(SUM(IF((CsDJ[JEV Number]=$C19)*(CsDJ[Account Code]=(J$11)),CsDJ[Credit]))))</f>
        <v>0</v>
      </c>
      <c r="K19" s="724"/>
      <c r="L19" s="689">
        <f t="array" ref="L19">IF($C19=0,0,(SUM(IF((CsDJ[JEV Number]=$C19)*(CsDJ[Account Code]=(K19)),CsDJ[Credit]))))</f>
        <v>0</v>
      </c>
      <c r="M19" s="689">
        <f t="array" ref="M19">IF(OR($C19=$C18,$C19=0),0,(SUM(IF((CsDJ[JEV Number]=$C19)*(CsDJ[Account Code]=(M$11)),CsDJ[Debit]))))</f>
        <v>0</v>
      </c>
      <c r="N19" s="689">
        <f t="array" ref="N19">IF(OR($C19=$C18,$C19=0),0,(SUM(IF((CsDJ[JEV Number]=$C19)*(CsDJ[Account Code]=(N$11)),CsDJ[Debit]))))</f>
        <v>0</v>
      </c>
      <c r="O19" s="689">
        <f t="array" ref="O19">IF(OR($C19=$C18,$C19=0),0,(SUM(IF((CsDJ[JEV Number]=$C19)*(CsDJ[Account Code]=(O$11)),CsDJ[Debit]))))</f>
        <v>0</v>
      </c>
      <c r="P19" s="689">
        <f t="array" ref="P19">IF(OR($C19=$C18,$C19=0),0,(SUM(IF((CsDJ[JEV Number]=$C19)*(CsDJ[Account Code]=(P$11)),CsDJ[Debit]))))</f>
        <v>0</v>
      </c>
      <c r="Q19" s="695"/>
      <c r="R19" s="689">
        <f t="array" ref="R19">IF($C19=0,0,(SUM(IF((CsDJ[JEV Number]=$C19)*(CsDJ[Account Code]=(Q19)),CsDJ[Debit]))))</f>
        <v>0</v>
      </c>
      <c r="S19" s="691">
        <f t="shared" si="1"/>
        <v>0</v>
      </c>
    </row>
    <row r="20" spans="1:19">
      <c r="A20" s="670" t="str">
        <f t="array" ref="A20">IF(OR(C20=C19,C20=0),"",INDEX(CsDJ[Date],MATCH(C20,CsDJ[JEV Number],0)))</f>
        <v/>
      </c>
      <c r="B20" s="838"/>
      <c r="C20" s="687" t="str">
        <f t="shared" si="0"/>
        <v>20-01-004</v>
      </c>
      <c r="D20" s="687"/>
      <c r="E20" s="687"/>
      <c r="F20" s="687"/>
      <c r="G20" s="688" t="str">
        <f t="array" ref="G20">IF(OR(C20=C19,C20=0),"",INDEX(CasheirCode[Name],MATCH((INDEX(CsDJ[Sort Code],MATCH(C20,CsDJ[JEV Number],0))),CasheirCode[Sort Code])))</f>
        <v/>
      </c>
      <c r="H20" s="689">
        <f t="array" ref="H20">IF(OR($C20=$C19,$C20=0),0,(SUM(IF((CsDJ[JEV Number]=$C20)*(CsDJ[Account Code]=(H$11)),CsDJ[Credit]))))</f>
        <v>0</v>
      </c>
      <c r="I20" s="689">
        <f t="array" ref="I20">IF(OR($C20=$C19,$C20=0),0,(SUM(IF((CsDJ[JEV Number]=$C20)*(CsDJ[Account Code]=(I$11)),CsDJ[Credit]))))</f>
        <v>0</v>
      </c>
      <c r="J20" s="689">
        <f t="array" ref="J20">IF(OR($C20=$C19,$C20=0),0,(SUM(IF((CsDJ[JEV Number]=$C20)*(CsDJ[Account Code]=(J$11)),CsDJ[Credit]))))</f>
        <v>0</v>
      </c>
      <c r="K20" s="724"/>
      <c r="L20" s="689">
        <f t="array" ref="L20">IF($C20=0,0,(SUM(IF((CsDJ[JEV Number]=$C20)*(CsDJ[Account Code]=(K20)),CsDJ[Credit]))))</f>
        <v>0</v>
      </c>
      <c r="M20" s="689">
        <f t="array" ref="M20">IF(OR($C20=$C19,$C20=0),0,(SUM(IF((CsDJ[JEV Number]=$C20)*(CsDJ[Account Code]=(M$11)),CsDJ[Debit]))))</f>
        <v>0</v>
      </c>
      <c r="N20" s="689">
        <f t="array" ref="N20">IF(OR($C20=$C19,$C20=0),0,(SUM(IF((CsDJ[JEV Number]=$C20)*(CsDJ[Account Code]=(N$11)),CsDJ[Debit]))))</f>
        <v>0</v>
      </c>
      <c r="O20" s="689">
        <f t="array" ref="O20">IF(OR($C20=$C19,$C20=0),0,(SUM(IF((CsDJ[JEV Number]=$C20)*(CsDJ[Account Code]=(O$11)),CsDJ[Debit]))))</f>
        <v>0</v>
      </c>
      <c r="P20" s="689">
        <f t="array" ref="P20">IF(OR($C20=$C19,$C20=0),0,(SUM(IF((CsDJ[JEV Number]=$C20)*(CsDJ[Account Code]=(P$11)),CsDJ[Debit]))))</f>
        <v>0</v>
      </c>
      <c r="Q20" s="722"/>
      <c r="R20" s="689">
        <f t="array" ref="R20">IF($C20=0,0,(SUM(IF((CsDJ[JEV Number]=$C20)*(CsDJ[Account Code]=(Q20)),CsDJ[Debit]))))</f>
        <v>0</v>
      </c>
      <c r="S20" s="691">
        <f t="shared" si="1"/>
        <v>0</v>
      </c>
    </row>
    <row r="21" spans="1:19">
      <c r="A21" s="670" t="str">
        <f t="array" ref="A21">IF(OR(C21=C20,C21=0),"",INDEX(CsDJ[Date],MATCH(C21,CsDJ[JEV Number],0)))</f>
        <v/>
      </c>
      <c r="B21" s="837"/>
      <c r="C21" s="687" t="str">
        <f t="shared" si="0"/>
        <v>20-01-004</v>
      </c>
      <c r="D21" s="687"/>
      <c r="E21" s="687"/>
      <c r="F21" s="687"/>
      <c r="G21" s="688" t="str">
        <f t="array" ref="G21">IF(OR(C21=C20,C21=0),"",INDEX(CasheirCode[Name],MATCH((INDEX(CsDJ[Sort Code],MATCH(C21,CsDJ[JEV Number],0))),CasheirCode[Sort Code])))</f>
        <v/>
      </c>
      <c r="H21" s="689">
        <f t="array" ref="H21">IF(OR($C21=$C20,$C21=0),0,(SUM(IF((CsDJ[JEV Number]=$C21)*(CsDJ[Account Code]=(H$11)),CsDJ[Credit]))))</f>
        <v>0</v>
      </c>
      <c r="I21" s="689">
        <f t="array" ref="I21">IF(OR($C21=$C20,$C21=0),0,(SUM(IF((CsDJ[JEV Number]=$C21)*(CsDJ[Account Code]=(I$11)),CsDJ[Credit]))))</f>
        <v>0</v>
      </c>
      <c r="J21" s="689">
        <f t="array" ref="J21">IF(OR($C21=$C20,$C21=0),0,(SUM(IF((CsDJ[JEV Number]=$C21)*(CsDJ[Account Code]=(J$11)),CsDJ[Credit]))))</f>
        <v>0</v>
      </c>
      <c r="K21" s="724"/>
      <c r="L21" s="689">
        <f t="array" ref="L21">IF($C21=0,0,(SUM(IF((CsDJ[JEV Number]=$C21)*(CsDJ[Account Code]=(K21)),CsDJ[Credit]))))</f>
        <v>0</v>
      </c>
      <c r="M21" s="689">
        <f t="array" ref="M21">IF(OR($C21=$C20,$C21=0),0,(SUM(IF((CsDJ[JEV Number]=$C21)*(CsDJ[Account Code]=(M$11)),CsDJ[Debit]))))</f>
        <v>0</v>
      </c>
      <c r="N21" s="689">
        <f t="array" ref="N21">IF(OR($C21=$C20,$C21=0),0,(SUM(IF((CsDJ[JEV Number]=$C21)*(CsDJ[Account Code]=(N$11)),CsDJ[Debit]))))</f>
        <v>0</v>
      </c>
      <c r="O21" s="689">
        <f t="array" ref="O21">IF(OR($C21=$C20,$C21=0),0,(SUM(IF((CsDJ[JEV Number]=$C21)*(CsDJ[Account Code]=(O$11)),CsDJ[Debit]))))</f>
        <v>0</v>
      </c>
      <c r="P21" s="689">
        <f t="array" ref="P21">IF(OR($C21=$C20,$C21=0),0,(SUM(IF((CsDJ[JEV Number]=$C21)*(CsDJ[Account Code]=(P$11)),CsDJ[Debit]))))</f>
        <v>0</v>
      </c>
      <c r="Q21" s="693"/>
      <c r="R21" s="689">
        <f t="array" ref="R21">IF($C21=0,0,(SUM(IF((CsDJ[JEV Number]=$C21)*(CsDJ[Account Code]=(Q21)),CsDJ[Debit]))))</f>
        <v>0</v>
      </c>
      <c r="S21" s="691">
        <f t="shared" si="1"/>
        <v>0</v>
      </c>
    </row>
    <row r="22" spans="1:19">
      <c r="A22" s="670" t="str">
        <f t="array" ref="A22">IF(OR(C22=C21,C22=0),"",INDEX(CsDJ[Date],MATCH(C22,CsDJ[JEV Number],0)))</f>
        <v/>
      </c>
      <c r="B22" s="839"/>
      <c r="C22" s="687" t="str">
        <f t="shared" si="0"/>
        <v>20-01-004</v>
      </c>
      <c r="D22" s="687"/>
      <c r="E22" s="687"/>
      <c r="F22" s="687"/>
      <c r="G22" s="688" t="str">
        <f t="array" ref="G22">IF(OR(C22=C21,C22=0),"",INDEX(CasheirCode[Name],MATCH((INDEX(CsDJ[Sort Code],MATCH(C22,CsDJ[JEV Number],0))),CasheirCode[Sort Code])))</f>
        <v/>
      </c>
      <c r="H22" s="689">
        <f t="array" ref="H22">IF(OR($C22=$C21,$C22=0),0,(SUM(IF((CsDJ[JEV Number]=$C22)*(CsDJ[Account Code]=(H$11)),CsDJ[Credit]))))</f>
        <v>0</v>
      </c>
      <c r="I22" s="689">
        <f t="array" ref="I22">IF(OR($C22=$C21,$C22=0),0,(SUM(IF((CsDJ[JEV Number]=$C22)*(CsDJ[Account Code]=(I$11)),CsDJ[Credit]))))</f>
        <v>0</v>
      </c>
      <c r="J22" s="689">
        <f t="array" ref="J22">IF(OR($C22=$C21,$C22=0),0,(SUM(IF((CsDJ[JEV Number]=$C22)*(CsDJ[Account Code]=(J$11)),CsDJ[Credit]))))</f>
        <v>0</v>
      </c>
      <c r="K22" s="724"/>
      <c r="L22" s="689">
        <f t="array" ref="L22">IF($C22=0,0,(SUM(IF((CsDJ[JEV Number]=$C22)*(CsDJ[Account Code]=(K22)),CsDJ[Credit]))))</f>
        <v>0</v>
      </c>
      <c r="M22" s="689">
        <f t="array" ref="M22">IF(OR($C22=$C21,$C22=0),0,(SUM(IF((CsDJ[JEV Number]=$C22)*(CsDJ[Account Code]=(M$11)),CsDJ[Debit]))))</f>
        <v>0</v>
      </c>
      <c r="N22" s="689">
        <f t="array" ref="N22">IF(OR($C22=$C21,$C22=0),0,(SUM(IF((CsDJ[JEV Number]=$C22)*(CsDJ[Account Code]=(N$11)),CsDJ[Debit]))))</f>
        <v>0</v>
      </c>
      <c r="O22" s="689">
        <f t="array" ref="O22">IF(OR($C22=$C21,$C22=0),0,(SUM(IF((CsDJ[JEV Number]=$C22)*(CsDJ[Account Code]=(O$11)),CsDJ[Debit]))))</f>
        <v>0</v>
      </c>
      <c r="P22" s="689">
        <f t="array" ref="P22">IF(OR($C22=$C21,$C22=0),0,(SUM(IF((CsDJ[JEV Number]=$C22)*(CsDJ[Account Code]=(P$11)),CsDJ[Debit]))))</f>
        <v>0</v>
      </c>
      <c r="Q22" s="695"/>
      <c r="R22" s="689">
        <f t="array" ref="R22">IF($C22=0,0,(SUM(IF((CsDJ[JEV Number]=$C22)*(CsDJ[Account Code]=(Q22)),CsDJ[Debit]))))</f>
        <v>0</v>
      </c>
      <c r="S22" s="691">
        <f t="shared" si="1"/>
        <v>0</v>
      </c>
    </row>
    <row r="23" spans="1:19">
      <c r="A23" s="670" t="str">
        <f t="array" ref="A23">IF(OR(C23=C22,C23=0),"",INDEX(CsDJ[Date],MATCH(C23,CsDJ[JEV Number],0)))</f>
        <v/>
      </c>
      <c r="B23" s="838"/>
      <c r="C23" s="687" t="str">
        <f t="shared" si="0"/>
        <v>20-01-004</v>
      </c>
      <c r="D23" s="687"/>
      <c r="E23" s="687"/>
      <c r="F23" s="687"/>
      <c r="G23" s="688" t="str">
        <f t="array" ref="G23">IF(OR(C23=C22,C23=0),"",INDEX(CasheirCode[Name],MATCH((INDEX(CsDJ[Sort Code],MATCH(C23,CsDJ[JEV Number],0))),CasheirCode[Sort Code])))</f>
        <v/>
      </c>
      <c r="H23" s="689">
        <f t="array" ref="H23">IF(OR($C23=$C22,$C23=0),0,(SUM(IF((CsDJ[JEV Number]=$C23)*(CsDJ[Account Code]=(H$11)),CsDJ[Credit]))))</f>
        <v>0</v>
      </c>
      <c r="I23" s="689">
        <f t="array" ref="I23">IF(OR($C23=$C22,$C23=0),0,(SUM(IF((CsDJ[JEV Number]=$C23)*(CsDJ[Account Code]=(I$11)),CsDJ[Credit]))))</f>
        <v>0</v>
      </c>
      <c r="J23" s="689">
        <f t="array" ref="J23">IF(OR($C23=$C22,$C23=0),0,(SUM(IF((CsDJ[JEV Number]=$C23)*(CsDJ[Account Code]=(J$11)),CsDJ[Credit]))))</f>
        <v>0</v>
      </c>
      <c r="K23" s="694"/>
      <c r="L23" s="689">
        <f t="array" ref="L23">IF($C23=0,0,(SUM(IF((CsDJ[JEV Number]=$C23)*(CsDJ[Account Code]=(K23)),CsDJ[Credit]))))</f>
        <v>0</v>
      </c>
      <c r="M23" s="689">
        <f t="array" ref="M23">IF(OR($C23=$C22,$C23=0),0,(SUM(IF((CsDJ[JEV Number]=$C23)*(CsDJ[Account Code]=(M$11)),CsDJ[Debit]))))</f>
        <v>0</v>
      </c>
      <c r="N23" s="689">
        <f t="array" ref="N23">IF(OR($C23=$C22,$C23=0),0,(SUM(IF((CsDJ[JEV Number]=$C23)*(CsDJ[Account Code]=(N$11)),CsDJ[Debit]))))</f>
        <v>0</v>
      </c>
      <c r="O23" s="689">
        <f t="array" ref="O23">IF(OR($C23=$C22,$C23=0),0,(SUM(IF((CsDJ[JEV Number]=$C23)*(CsDJ[Account Code]=(O$11)),CsDJ[Debit]))))</f>
        <v>0</v>
      </c>
      <c r="P23" s="689">
        <f t="array" ref="P23">IF(OR($C23=$C22,$C23=0),0,(SUM(IF((CsDJ[JEV Number]=$C23)*(CsDJ[Account Code]=(P$11)),CsDJ[Debit]))))</f>
        <v>0</v>
      </c>
      <c r="Q23" s="722"/>
      <c r="R23" s="689">
        <f t="array" ref="R23">IF($C23=0,0,(SUM(IF((CsDJ[JEV Number]=$C23)*(CsDJ[Account Code]=(Q23)),CsDJ[Debit]))))</f>
        <v>0</v>
      </c>
      <c r="S23" s="691">
        <f t="shared" si="1"/>
        <v>0</v>
      </c>
    </row>
    <row r="24" spans="1:19">
      <c r="A24" s="670" t="str">
        <f t="array" ref="A24">IF(OR(C24=C23,C24=0),"",INDEX(CsDJ[Date],MATCH(C24,CsDJ[JEV Number],0)))</f>
        <v/>
      </c>
      <c r="B24" s="838"/>
      <c r="C24" s="687" t="str">
        <f t="shared" si="0"/>
        <v>20-01-004</v>
      </c>
      <c r="D24" s="687"/>
      <c r="E24" s="687"/>
      <c r="F24" s="687"/>
      <c r="G24" s="688" t="str">
        <f t="array" ref="G24">IF(OR(C24=C23,C24=0),"",INDEX(CasheirCode[Name],MATCH((INDEX(CsDJ[Sort Code],MATCH(C24,CsDJ[JEV Number],0))),CasheirCode[Sort Code])))</f>
        <v/>
      </c>
      <c r="H24" s="689">
        <f t="array" ref="H24">IF(OR($C24=$C23,$C24=0),0,(SUM(IF((CsDJ[JEV Number]=$C24)*(CsDJ[Account Code]=(H$11)),CsDJ[Credit]))))</f>
        <v>0</v>
      </c>
      <c r="I24" s="689">
        <f t="array" ref="I24">IF(OR($C24=$C23,$C24=0),0,(SUM(IF((CsDJ[JEV Number]=$C24)*(CsDJ[Account Code]=(I$11)),CsDJ[Credit]))))</f>
        <v>0</v>
      </c>
      <c r="J24" s="689">
        <f t="array" ref="J24">IF(OR($C24=$C23,$C24=0),0,(SUM(IF((CsDJ[JEV Number]=$C24)*(CsDJ[Account Code]=(J$11)),CsDJ[Credit]))))</f>
        <v>0</v>
      </c>
      <c r="K24" s="724"/>
      <c r="L24" s="689">
        <f t="array" ref="L24">IF($C24=0,0,(SUM(IF((CsDJ[JEV Number]=$C24)*(CsDJ[Account Code]=(K24)),CsDJ[Credit]))))</f>
        <v>0</v>
      </c>
      <c r="M24" s="689">
        <f t="array" ref="M24">IF(OR($C24=$C23,$C24=0),0,(SUM(IF((CsDJ[JEV Number]=$C24)*(CsDJ[Account Code]=(M$11)),CsDJ[Debit]))))</f>
        <v>0</v>
      </c>
      <c r="N24" s="689">
        <f t="array" ref="N24">IF(OR($C24=$C23,$C24=0),0,(SUM(IF((CsDJ[JEV Number]=$C24)*(CsDJ[Account Code]=(N$11)),CsDJ[Debit]))))</f>
        <v>0</v>
      </c>
      <c r="O24" s="689">
        <f t="array" ref="O24">IF(OR($C24=$C23,$C24=0),0,(SUM(IF((CsDJ[JEV Number]=$C24)*(CsDJ[Account Code]=(O$11)),CsDJ[Debit]))))</f>
        <v>0</v>
      </c>
      <c r="P24" s="689">
        <f t="array" ref="P24">IF(OR($C24=$C23,$C24=0),0,(SUM(IF((CsDJ[JEV Number]=$C24)*(CsDJ[Account Code]=(P$11)),CsDJ[Debit]))))</f>
        <v>0</v>
      </c>
      <c r="Q24" s="695"/>
      <c r="R24" s="689">
        <f t="array" ref="R24">IF($C24=0,0,(SUM(IF((CsDJ[JEV Number]=$C24)*(CsDJ[Account Code]=(Q24)),CsDJ[Debit]))))</f>
        <v>0</v>
      </c>
      <c r="S24" s="691">
        <f t="shared" si="1"/>
        <v>0</v>
      </c>
    </row>
    <row r="25" spans="1:19">
      <c r="A25" s="670" t="str">
        <f t="array" ref="A25">IF(OR(C25=C24,C25=0),"",INDEX(CsDJ[Date],MATCH(C25,CsDJ[JEV Number],0)))</f>
        <v/>
      </c>
      <c r="B25" s="837"/>
      <c r="C25" s="687" t="str">
        <f t="shared" si="0"/>
        <v>20-01-004</v>
      </c>
      <c r="D25" s="687"/>
      <c r="E25" s="687"/>
      <c r="F25" s="687"/>
      <c r="G25" s="688" t="str">
        <f t="array" ref="G25">IF(OR(C25=C24,C25=0),"",INDEX(CasheirCode[Name],MATCH((INDEX(CsDJ[Sort Code],MATCH(C25,CsDJ[JEV Number],0))),CasheirCode[Sort Code])))</f>
        <v/>
      </c>
      <c r="H25" s="689">
        <f t="array" ref="H25">IF(OR($C25=$C24,$C25=0),0,(SUM(IF((CsDJ[JEV Number]=$C25)*(CsDJ[Account Code]=(H$11)),CsDJ[Credit]))))</f>
        <v>0</v>
      </c>
      <c r="I25" s="689">
        <f t="array" ref="I25">IF(OR($C25=$C24,$C25=0),0,(SUM(IF((CsDJ[JEV Number]=$C25)*(CsDJ[Account Code]=(I$11)),CsDJ[Credit]))))</f>
        <v>0</v>
      </c>
      <c r="J25" s="689">
        <f t="array" ref="J25">IF(OR($C25=$C24,$C25=0),0,(SUM(IF((CsDJ[JEV Number]=$C25)*(CsDJ[Account Code]=(J$11)),CsDJ[Credit]))))</f>
        <v>0</v>
      </c>
      <c r="K25" s="724"/>
      <c r="L25" s="689">
        <f t="array" ref="L25">IF($C25=0,0,(SUM(IF((CsDJ[JEV Number]=$C25)*(CsDJ[Account Code]=(K25)),CsDJ[Credit]))))</f>
        <v>0</v>
      </c>
      <c r="M25" s="689">
        <f t="array" ref="M25">IF(OR($C25=$C24,$C25=0),0,(SUM(IF((CsDJ[JEV Number]=$C25)*(CsDJ[Account Code]=(M$11)),CsDJ[Debit]))))</f>
        <v>0</v>
      </c>
      <c r="N25" s="689">
        <f t="array" ref="N25">IF(OR($C25=$C24,$C25=0),0,(SUM(IF((CsDJ[JEV Number]=$C25)*(CsDJ[Account Code]=(N$11)),CsDJ[Debit]))))</f>
        <v>0</v>
      </c>
      <c r="O25" s="689">
        <f t="array" ref="O25">IF(OR($C25=$C24,$C25=0),0,(SUM(IF((CsDJ[JEV Number]=$C25)*(CsDJ[Account Code]=(O$11)),CsDJ[Debit]))))</f>
        <v>0</v>
      </c>
      <c r="P25" s="689">
        <f t="array" ref="P25">IF(OR($C25=$C24,$C25=0),0,(SUM(IF((CsDJ[JEV Number]=$C25)*(CsDJ[Account Code]=(P$11)),CsDJ[Debit]))))</f>
        <v>0</v>
      </c>
      <c r="Q25" s="695"/>
      <c r="R25" s="689">
        <f t="array" ref="R25">IF($C25=0,0,(SUM(IF((CsDJ[JEV Number]=$C25)*(CsDJ[Account Code]=(Q25)),CsDJ[Debit]))))</f>
        <v>0</v>
      </c>
      <c r="S25" s="691">
        <f t="shared" si="1"/>
        <v>0</v>
      </c>
    </row>
    <row r="26" spans="1:19">
      <c r="A26" s="670" t="str">
        <f t="array" ref="A26">IF(OR(C26=C25,C26=0),"",INDEX(CsDJ[Date],MATCH(C26,CsDJ[JEV Number],0)))</f>
        <v/>
      </c>
      <c r="B26" s="838"/>
      <c r="C26" s="672" t="str">
        <f t="shared" ref="C26:C33" si="2">IF(B26=0,C25,B26)</f>
        <v>20-01-004</v>
      </c>
      <c r="D26" s="672"/>
      <c r="E26" s="672"/>
      <c r="F26" s="672"/>
      <c r="G26" s="673" t="str">
        <f t="array" ref="G26">IF(OR(C26=C25,C26=0),"",INDEX(CasheirCode[Name],MATCH((INDEX(CsDJ[Sort Code],MATCH(C26,CsDJ[JEV Number],0))),CasheirCode[Sort Code])))</f>
        <v/>
      </c>
      <c r="H26" s="674">
        <f t="array" ref="H26">IF(OR($C26=$C25,$C26=0),0,(SUM(IF((CsDJ[JEV Number]=$C26)*(CsDJ[Account Code]=(H$11)),CsDJ[Credit]))))</f>
        <v>0</v>
      </c>
      <c r="I26" s="674">
        <f t="array" ref="I26">IF(OR($C26=$C25,$C26=0),0,(SUM(IF((CsDJ[JEV Number]=$C26)*(CsDJ[Account Code]=(I$11)),CsDJ[Credit]))))</f>
        <v>0</v>
      </c>
      <c r="J26" s="674">
        <f t="array" ref="J26">IF(OR($C26=$C25,$C26=0),0,(SUM(IF((CsDJ[JEV Number]=$C26)*(CsDJ[Account Code]=(J$11)),CsDJ[Credit]))))</f>
        <v>0</v>
      </c>
      <c r="K26" s="724"/>
      <c r="L26" s="674">
        <f t="array" ref="L26">IF($C26=0,0,(SUM(IF((CsDJ[JEV Number]=$C26)*(CsDJ[Account Code]=(K26)),CsDJ[Credit]))))</f>
        <v>0</v>
      </c>
      <c r="M26" s="674">
        <f t="array" ref="M26">IF(OR($C26=$C25,$C26=0),0,(SUM(IF((CsDJ[JEV Number]=$C26)*(CsDJ[Account Code]=(M$11)),CsDJ[Debit]))))</f>
        <v>0</v>
      </c>
      <c r="N26" s="674">
        <f t="array" ref="N26">IF(OR($C26=$C25,$C26=0),0,(SUM(IF((CsDJ[JEV Number]=$C26)*(CsDJ[Account Code]=(N$11)),CsDJ[Debit]))))</f>
        <v>0</v>
      </c>
      <c r="O26" s="674">
        <f t="array" ref="O26">IF(OR($C26=$C25,$C26=0),0,(SUM(IF((CsDJ[JEV Number]=$C26)*(CsDJ[Account Code]=(O$11)),CsDJ[Debit]))))</f>
        <v>0</v>
      </c>
      <c r="P26" s="674">
        <f t="array" ref="P26">IF(OR($C26=$C25,$C26=0),0,(SUM(IF((CsDJ[JEV Number]=$C26)*(CsDJ[Account Code]=(P$11)),CsDJ[Debit]))))</f>
        <v>0</v>
      </c>
      <c r="Q26" s="722"/>
      <c r="R26" s="689">
        <f t="array" ref="R26">IF($C26=0,0,(SUM(IF((CsDJ[JEV Number]=$C26)*(CsDJ[Account Code]=(Q26)),CsDJ[Debit]))))</f>
        <v>0</v>
      </c>
      <c r="S26" s="676">
        <f t="shared" ref="S26:S33" si="3">S25+(SUM(M26:P26)+R26)-(SUM(H26:J26)+L26)</f>
        <v>0</v>
      </c>
    </row>
    <row r="27" spans="1:19">
      <c r="A27" s="670" t="str">
        <f t="array" ref="A27">IF(OR(C27=C26,C27=0),"",INDEX(CsDJ[Date],MATCH(C27,CsDJ[JEV Number],0)))</f>
        <v/>
      </c>
      <c r="B27" s="838"/>
      <c r="C27" s="672" t="str">
        <f t="shared" si="2"/>
        <v>20-01-004</v>
      </c>
      <c r="D27" s="672"/>
      <c r="E27" s="672"/>
      <c r="F27" s="672"/>
      <c r="G27" s="673" t="str">
        <f t="array" ref="G27">IF(OR(C27=C26,C27=0),"",INDEX(CasheirCode[Name],MATCH((INDEX(CsDJ[Sort Code],MATCH(C27,CsDJ[JEV Number],0))),CasheirCode[Sort Code])))</f>
        <v/>
      </c>
      <c r="H27" s="674">
        <f t="array" ref="H27">IF(OR($C27=$C26,$C27=0),0,(SUM(IF((CsDJ[JEV Number]=$C27)*(CsDJ[Account Code]=(H$11)),CsDJ[Credit]))))</f>
        <v>0</v>
      </c>
      <c r="I27" s="674">
        <f t="array" ref="I27">IF(OR($C27=$C26,$C27=0),0,(SUM(IF((CsDJ[JEV Number]=$C27)*(CsDJ[Account Code]=(I$11)),CsDJ[Credit]))))</f>
        <v>0</v>
      </c>
      <c r="J27" s="674">
        <f t="array" ref="J27">IF(OR($C27=$C26,$C27=0),0,(SUM(IF((CsDJ[JEV Number]=$C27)*(CsDJ[Account Code]=(J$11)),CsDJ[Credit]))))</f>
        <v>0</v>
      </c>
      <c r="K27" s="724"/>
      <c r="L27" s="674">
        <f t="array" ref="L27">IF($C27=0,0,(SUM(IF((CsDJ[JEV Number]=$C27)*(CsDJ[Account Code]=(K27)),CsDJ[Credit]))))</f>
        <v>0</v>
      </c>
      <c r="M27" s="674">
        <f t="array" ref="M27">IF(OR($C27=$C26,$C27=0),0,(SUM(IF((CsDJ[JEV Number]=$C27)*(CsDJ[Account Code]=(M$11)),CsDJ[Debit]))))</f>
        <v>0</v>
      </c>
      <c r="N27" s="674">
        <f t="array" ref="N27">IF(OR($C27=$C26,$C27=0),0,(SUM(IF((CsDJ[JEV Number]=$C27)*(CsDJ[Account Code]=(N$11)),CsDJ[Debit]))))</f>
        <v>0</v>
      </c>
      <c r="O27" s="674">
        <f t="array" ref="O27">IF(OR($C27=$C26,$C27=0),0,(SUM(IF((CsDJ[JEV Number]=$C27)*(CsDJ[Account Code]=(O$11)),CsDJ[Debit]))))</f>
        <v>0</v>
      </c>
      <c r="P27" s="674">
        <f t="array" ref="P27">IF(OR($C27=$C26,$C27=0),0,(SUM(IF((CsDJ[JEV Number]=$C27)*(CsDJ[Account Code]=(P$11)),CsDJ[Debit]))))</f>
        <v>0</v>
      </c>
      <c r="Q27" s="722"/>
      <c r="R27" s="689">
        <f t="array" ref="R27">IF($C27=0,0,(SUM(IF((CsDJ[JEV Number]=$C27)*(CsDJ[Account Code]=(Q27)),CsDJ[Debit]))))</f>
        <v>0</v>
      </c>
      <c r="S27" s="676">
        <f t="shared" si="3"/>
        <v>0</v>
      </c>
    </row>
    <row r="28" spans="1:19">
      <c r="A28" s="670" t="str">
        <f t="array" ref="A28">IF(OR(C28=C27,C28=0),"",INDEX(CsDJ[Date],MATCH(C28,CsDJ[JEV Number],0)))</f>
        <v/>
      </c>
      <c r="B28" s="838"/>
      <c r="C28" s="672" t="str">
        <f t="shared" si="2"/>
        <v>20-01-004</v>
      </c>
      <c r="D28" s="672"/>
      <c r="E28" s="672"/>
      <c r="F28" s="672"/>
      <c r="G28" s="673" t="str">
        <f t="array" ref="G28">IF(OR(C28=C27,C28=0),"",INDEX(CasheirCode[Name],MATCH((INDEX(CsDJ[Sort Code],MATCH(C28,CsDJ[JEV Number],0))),CasheirCode[Sort Code])))</f>
        <v/>
      </c>
      <c r="H28" s="674">
        <f t="array" ref="H28">IF(OR($C28=$C27,$C28=0),0,(SUM(IF((CsDJ[JEV Number]=$C28)*(CsDJ[Account Code]=(H$11)),CsDJ[Credit]))))</f>
        <v>0</v>
      </c>
      <c r="I28" s="674">
        <f t="array" ref="I28">IF(OR($C28=$C27,$C28=0),0,(SUM(IF((CsDJ[JEV Number]=$C28)*(CsDJ[Account Code]=(I$11)),CsDJ[Credit]))))</f>
        <v>0</v>
      </c>
      <c r="J28" s="674">
        <f t="array" ref="J28">IF(OR($C28=$C27,$C28=0),0,(SUM(IF((CsDJ[JEV Number]=$C28)*(CsDJ[Account Code]=(J$11)),CsDJ[Credit]))))</f>
        <v>0</v>
      </c>
      <c r="K28" s="724"/>
      <c r="L28" s="674">
        <f t="array" ref="L28">IF($C28=0,0,(SUM(IF((CsDJ[JEV Number]=$C28)*(CsDJ[Account Code]=(K28)),CsDJ[Credit]))))</f>
        <v>0</v>
      </c>
      <c r="M28" s="674">
        <f t="array" ref="M28">IF(OR($C28=$C27,$C28=0),0,(SUM(IF((CsDJ[JEV Number]=$C28)*(CsDJ[Account Code]=(M$11)),CsDJ[Debit]))))</f>
        <v>0</v>
      </c>
      <c r="N28" s="674">
        <f t="array" ref="N28">IF(OR($C28=$C27,$C28=0),0,(SUM(IF((CsDJ[JEV Number]=$C28)*(CsDJ[Account Code]=(N$11)),CsDJ[Debit]))))</f>
        <v>0</v>
      </c>
      <c r="O28" s="674">
        <f t="array" ref="O28">IF(OR($C28=$C27,$C28=0),0,(SUM(IF((CsDJ[JEV Number]=$C28)*(CsDJ[Account Code]=(O$11)),CsDJ[Debit]))))</f>
        <v>0</v>
      </c>
      <c r="P28" s="674">
        <f t="array" ref="P28">IF(OR($C28=$C27,$C28=0),0,(SUM(IF((CsDJ[JEV Number]=$C28)*(CsDJ[Account Code]=(P$11)),CsDJ[Debit]))))</f>
        <v>0</v>
      </c>
      <c r="Q28" s="722"/>
      <c r="R28" s="689">
        <f t="array" ref="R28">IF($C28=0,0,(SUM(IF((CsDJ[JEV Number]=$C28)*(CsDJ[Account Code]=(Q28)),CsDJ[Debit]))))</f>
        <v>0</v>
      </c>
      <c r="S28" s="676">
        <f t="shared" si="3"/>
        <v>0</v>
      </c>
    </row>
    <row r="29" spans="1:19">
      <c r="A29" s="670" t="str">
        <f t="array" ref="A29">IF(OR(C29=C28,C29=0),"",INDEX(CsDJ[Date],MATCH(C29,CsDJ[JEV Number],0)))</f>
        <v/>
      </c>
      <c r="B29" s="838"/>
      <c r="C29" s="672" t="str">
        <f t="shared" si="2"/>
        <v>20-01-004</v>
      </c>
      <c r="D29" s="672"/>
      <c r="E29" s="672"/>
      <c r="F29" s="672"/>
      <c r="G29" s="673" t="str">
        <f t="array" ref="G29">IF(OR(C29=C28,C29=0),"",INDEX(CasheirCode[Name],MATCH((INDEX(CsDJ[Sort Code],MATCH(C29,CsDJ[JEV Number],0))),CasheirCode[Sort Code])))</f>
        <v/>
      </c>
      <c r="H29" s="674">
        <f t="array" ref="H29">IF(OR($C29=$C28,$C29=0),0,(SUM(IF((CsDJ[JEV Number]=$C29)*(CsDJ[Account Code]=(H$11)),CsDJ[Credit]))))</f>
        <v>0</v>
      </c>
      <c r="I29" s="674">
        <f t="array" ref="I29">IF(OR($C29=$C28,$C29=0),0,(SUM(IF((CsDJ[JEV Number]=$C29)*(CsDJ[Account Code]=(I$11)),CsDJ[Credit]))))</f>
        <v>0</v>
      </c>
      <c r="J29" s="674">
        <f t="array" ref="J29">IF(OR($C29=$C28,$C29=0),0,(SUM(IF((CsDJ[JEV Number]=$C29)*(CsDJ[Account Code]=(J$11)),CsDJ[Credit]))))</f>
        <v>0</v>
      </c>
      <c r="K29" s="724"/>
      <c r="L29" s="674">
        <f t="array" ref="L29">IF($C29=0,0,(SUM(IF((CsDJ[JEV Number]=$C29)*(CsDJ[Account Code]=(K29)),CsDJ[Credit]))))</f>
        <v>0</v>
      </c>
      <c r="M29" s="674">
        <f t="array" ref="M29">IF(OR($C29=$C28,$C29=0),0,(SUM(IF((CsDJ[JEV Number]=$C29)*(CsDJ[Account Code]=(M$11)),CsDJ[Debit]))))</f>
        <v>0</v>
      </c>
      <c r="N29" s="674">
        <f t="array" ref="N29">IF(OR($C29=$C28,$C29=0),0,(SUM(IF((CsDJ[JEV Number]=$C29)*(CsDJ[Account Code]=(N$11)),CsDJ[Debit]))))</f>
        <v>0</v>
      </c>
      <c r="O29" s="674">
        <f t="array" ref="O29">IF(OR($C29=$C28,$C29=0),0,(SUM(IF((CsDJ[JEV Number]=$C29)*(CsDJ[Account Code]=(O$11)),CsDJ[Debit]))))</f>
        <v>0</v>
      </c>
      <c r="P29" s="674">
        <f t="array" ref="P29">IF(OR($C29=$C28,$C29=0),0,(SUM(IF((CsDJ[JEV Number]=$C29)*(CsDJ[Account Code]=(P$11)),CsDJ[Debit]))))</f>
        <v>0</v>
      </c>
      <c r="Q29" s="722"/>
      <c r="R29" s="689">
        <f t="array" ref="R29">IF($C29=0,0,(SUM(IF((CsDJ[JEV Number]=$C29)*(CsDJ[Account Code]=(Q29)),CsDJ[Debit]))))</f>
        <v>0</v>
      </c>
      <c r="S29" s="676">
        <f t="shared" si="3"/>
        <v>0</v>
      </c>
    </row>
    <row r="30" spans="1:19">
      <c r="A30" s="670" t="str">
        <f t="array" ref="A30">IF(OR(C30=C29,C30=0),"",INDEX(CsDJ[Date],MATCH(C30,CsDJ[JEV Number],0)))</f>
        <v/>
      </c>
      <c r="B30" s="838"/>
      <c r="C30" s="672" t="str">
        <f t="shared" si="2"/>
        <v>20-01-004</v>
      </c>
      <c r="D30" s="672"/>
      <c r="E30" s="672"/>
      <c r="F30" s="672"/>
      <c r="G30" s="673" t="str">
        <f t="array" ref="G30">IF(OR(C30=C29,C30=0),"",INDEX(CasheirCode[Name],MATCH((INDEX(CsDJ[Sort Code],MATCH(C30,CsDJ[JEV Number],0))),CasheirCode[Sort Code])))</f>
        <v/>
      </c>
      <c r="H30" s="674">
        <f t="array" ref="H30">IF(OR($C30=$C29,$C30=0),0,(SUM(IF((CsDJ[JEV Number]=$C30)*(CsDJ[Account Code]=(H$11)),CsDJ[Credit]))))</f>
        <v>0</v>
      </c>
      <c r="I30" s="674">
        <f t="array" ref="I30">IF(OR($C30=$C29,$C30=0),0,(SUM(IF((CsDJ[JEV Number]=$C30)*(CsDJ[Account Code]=(I$11)),CsDJ[Credit]))))</f>
        <v>0</v>
      </c>
      <c r="J30" s="674">
        <f t="array" ref="J30">IF(OR($C30=$C29,$C30=0),0,(SUM(IF((CsDJ[JEV Number]=$C30)*(CsDJ[Account Code]=(J$11)),CsDJ[Credit]))))</f>
        <v>0</v>
      </c>
      <c r="K30" s="724"/>
      <c r="L30" s="674">
        <f t="array" ref="L30">IF($C30=0,0,(SUM(IF((CsDJ[JEV Number]=$C30)*(CsDJ[Account Code]=(K30)),CsDJ[Credit]))))</f>
        <v>0</v>
      </c>
      <c r="M30" s="674">
        <f t="array" ref="M30">IF(OR($C30=$C29,$C30=0),0,(SUM(IF((CsDJ[JEV Number]=$C30)*(CsDJ[Account Code]=(M$11)),CsDJ[Debit]))))</f>
        <v>0</v>
      </c>
      <c r="N30" s="674">
        <f t="array" ref="N30">IF(OR($C30=$C29,$C30=0),0,(SUM(IF((CsDJ[JEV Number]=$C30)*(CsDJ[Account Code]=(N$11)),CsDJ[Debit]))))</f>
        <v>0</v>
      </c>
      <c r="O30" s="674">
        <f t="array" ref="O30">IF(OR($C30=$C29,$C30=0),0,(SUM(IF((CsDJ[JEV Number]=$C30)*(CsDJ[Account Code]=(O$11)),CsDJ[Debit]))))</f>
        <v>0</v>
      </c>
      <c r="P30" s="674">
        <f t="array" ref="P30">IF(OR($C30=$C29,$C30=0),0,(SUM(IF((CsDJ[JEV Number]=$C30)*(CsDJ[Account Code]=(P$11)),CsDJ[Debit]))))</f>
        <v>0</v>
      </c>
      <c r="Q30" s="722"/>
      <c r="R30" s="689">
        <f t="array" ref="R30">IF($C30=0,0,(SUM(IF((CsDJ[JEV Number]=$C30)*(CsDJ[Account Code]=(Q30)),CsDJ[Debit]))))</f>
        <v>0</v>
      </c>
      <c r="S30" s="676">
        <f t="shared" si="3"/>
        <v>0</v>
      </c>
    </row>
    <row r="31" spans="1:19">
      <c r="A31" s="670" t="str">
        <f t="array" ref="A31">IF(OR(C31=C30,C31=0),"",INDEX(CsDJ[Date],MATCH(C31,CsDJ[JEV Number],0)))</f>
        <v/>
      </c>
      <c r="B31" s="838"/>
      <c r="C31" s="672" t="str">
        <f t="shared" si="2"/>
        <v>20-01-004</v>
      </c>
      <c r="D31" s="672"/>
      <c r="E31" s="672"/>
      <c r="F31" s="672"/>
      <c r="G31" s="673" t="str">
        <f t="array" ref="G31">IF(OR(C31=C30,C31=0),"",INDEX(CasheirCode[Name],MATCH((INDEX(CsDJ[Sort Code],MATCH(C31,CsDJ[JEV Number],0))),CasheirCode[Sort Code])))</f>
        <v/>
      </c>
      <c r="H31" s="674">
        <f t="array" ref="H31">IF(OR($C31=$C30,$C31=0),0,(SUM(IF((CsDJ[JEV Number]=$C31)*(CsDJ[Account Code]=(H$11)),CsDJ[Credit]))))</f>
        <v>0</v>
      </c>
      <c r="I31" s="674">
        <f t="array" ref="I31">IF(OR($C31=$C30,$C31=0),0,(SUM(IF((CsDJ[JEV Number]=$C31)*(CsDJ[Account Code]=(I$11)),CsDJ[Credit]))))</f>
        <v>0</v>
      </c>
      <c r="J31" s="674">
        <f t="array" ref="J31">IF(OR($C31=$C30,$C31=0),0,(SUM(IF((CsDJ[JEV Number]=$C31)*(CsDJ[Account Code]=(J$11)),CsDJ[Credit]))))</f>
        <v>0</v>
      </c>
      <c r="K31" s="724"/>
      <c r="L31" s="674">
        <f t="array" ref="L31">IF($C31=0,0,(SUM(IF((CsDJ[JEV Number]=$C31)*(CsDJ[Account Code]=(K31)),CsDJ[Credit]))))</f>
        <v>0</v>
      </c>
      <c r="M31" s="674">
        <f t="array" ref="M31">IF(OR($C31=$C30,$C31=0),0,(SUM(IF((CsDJ[JEV Number]=$C31)*(CsDJ[Account Code]=(M$11)),CsDJ[Debit]))))</f>
        <v>0</v>
      </c>
      <c r="N31" s="674">
        <f t="array" ref="N31">IF(OR($C31=$C30,$C31=0),0,(SUM(IF((CsDJ[JEV Number]=$C31)*(CsDJ[Account Code]=(N$11)),CsDJ[Debit]))))</f>
        <v>0</v>
      </c>
      <c r="O31" s="674">
        <f t="array" ref="O31">IF(OR($C31=$C30,$C31=0),0,(SUM(IF((CsDJ[JEV Number]=$C31)*(CsDJ[Account Code]=(O$11)),CsDJ[Debit]))))</f>
        <v>0</v>
      </c>
      <c r="P31" s="674">
        <f t="array" ref="P31">IF(OR($C31=$C30,$C31=0),0,(SUM(IF((CsDJ[JEV Number]=$C31)*(CsDJ[Account Code]=(P$11)),CsDJ[Debit]))))</f>
        <v>0</v>
      </c>
      <c r="Q31" s="722"/>
      <c r="R31" s="689">
        <f t="array" ref="R31">IF($C31=0,0,(SUM(IF((CsDJ[JEV Number]=$C31)*(CsDJ[Account Code]=(Q31)),CsDJ[Debit]))))</f>
        <v>0</v>
      </c>
      <c r="S31" s="676">
        <f t="shared" si="3"/>
        <v>0</v>
      </c>
    </row>
    <row r="32" spans="1:19">
      <c r="A32" s="670" t="str">
        <f t="array" ref="A32">IF(OR(C32=C31,C32=0),"",INDEX(CsDJ[Date],MATCH(C32,CsDJ[JEV Number],0)))</f>
        <v/>
      </c>
      <c r="B32" s="838"/>
      <c r="C32" s="672" t="str">
        <f t="shared" si="2"/>
        <v>20-01-004</v>
      </c>
      <c r="D32" s="672"/>
      <c r="E32" s="672"/>
      <c r="F32" s="672"/>
      <c r="G32" s="673" t="str">
        <f t="array" ref="G32">IF(OR(C32=C31,C32=0),"",INDEX(CasheirCode[Name],MATCH((INDEX(CsDJ[Sort Code],MATCH(C32,CsDJ[JEV Number],0))),CasheirCode[Sort Code])))</f>
        <v/>
      </c>
      <c r="H32" s="674">
        <f t="array" ref="H32">IF(OR($C32=$C31,$C32=0),0,(SUM(IF((CsDJ[JEV Number]=$C32)*(CsDJ[Account Code]=(H$11)),CsDJ[Credit]))))</f>
        <v>0</v>
      </c>
      <c r="I32" s="674">
        <f t="array" ref="I32">IF(OR($C32=$C31,$C32=0),0,(SUM(IF((CsDJ[JEV Number]=$C32)*(CsDJ[Account Code]=(I$11)),CsDJ[Credit]))))</f>
        <v>0</v>
      </c>
      <c r="J32" s="674">
        <f t="array" ref="J32">IF(OR($C32=$C31,$C32=0),0,(SUM(IF((CsDJ[JEV Number]=$C32)*(CsDJ[Account Code]=(J$11)),CsDJ[Credit]))))</f>
        <v>0</v>
      </c>
      <c r="K32" s="724"/>
      <c r="L32" s="674">
        <f t="array" ref="L32">IF($C32=0,0,(SUM(IF((CsDJ[JEV Number]=$C32)*(CsDJ[Account Code]=(K32)),CsDJ[Credit]))))</f>
        <v>0</v>
      </c>
      <c r="M32" s="674">
        <f t="array" ref="M32">IF(OR($C32=$C31,$C32=0),0,(SUM(IF((CsDJ[JEV Number]=$C32)*(CsDJ[Account Code]=(M$11)),CsDJ[Debit]))))</f>
        <v>0</v>
      </c>
      <c r="N32" s="674">
        <f t="array" ref="N32">IF(OR($C32=$C31,$C32=0),0,(SUM(IF((CsDJ[JEV Number]=$C32)*(CsDJ[Account Code]=(N$11)),CsDJ[Debit]))))</f>
        <v>0</v>
      </c>
      <c r="O32" s="674">
        <f t="array" ref="O32">IF(OR($C32=$C31,$C32=0),0,(SUM(IF((CsDJ[JEV Number]=$C32)*(CsDJ[Account Code]=(O$11)),CsDJ[Debit]))))</f>
        <v>0</v>
      </c>
      <c r="P32" s="674">
        <f t="array" ref="P32">IF(OR($C32=$C31,$C32=0),0,(SUM(IF((CsDJ[JEV Number]=$C32)*(CsDJ[Account Code]=(P$11)),CsDJ[Debit]))))</f>
        <v>0</v>
      </c>
      <c r="Q32" s="722"/>
      <c r="R32" s="689">
        <f t="array" ref="R32">IF($C32=0,0,(SUM(IF((CsDJ[JEV Number]=$C32)*(CsDJ[Account Code]=(Q32)),CsDJ[Debit]))))</f>
        <v>0</v>
      </c>
      <c r="S32" s="676">
        <f t="shared" si="3"/>
        <v>0</v>
      </c>
    </row>
    <row r="33" spans="1:19">
      <c r="A33" s="670" t="str">
        <f t="array" ref="A33">IF(OR(C33=C32,C33=0),"",INDEX(CsDJ[Date],MATCH(C33,CsDJ[JEV Number],0)))</f>
        <v/>
      </c>
      <c r="B33" s="838"/>
      <c r="C33" s="672" t="str">
        <f t="shared" si="2"/>
        <v>20-01-004</v>
      </c>
      <c r="D33" s="672"/>
      <c r="E33" s="672"/>
      <c r="F33" s="672"/>
      <c r="G33" s="673" t="str">
        <f t="array" ref="G33">IF(OR(C33=C32,C33=0),"",INDEX(CasheirCode[Name],MATCH((INDEX(CsDJ[Sort Code],MATCH(C33,CsDJ[JEV Number],0))),CasheirCode[Sort Code])))</f>
        <v/>
      </c>
      <c r="H33" s="674">
        <f t="array" ref="H33">IF(OR($C33=$C32,$C33=0),0,(SUM(IF((CsDJ[JEV Number]=$C33)*(CsDJ[Account Code]=(H$11)),CsDJ[Credit]))))</f>
        <v>0</v>
      </c>
      <c r="I33" s="674">
        <f t="array" ref="I33">IF(OR($C33=$C32,$C33=0),0,(SUM(IF((CsDJ[JEV Number]=$C33)*(CsDJ[Account Code]=(I$11)),CsDJ[Credit]))))</f>
        <v>0</v>
      </c>
      <c r="J33" s="674">
        <f t="array" ref="J33">IF(OR($C33=$C32,$C33=0),0,(SUM(IF((CsDJ[JEV Number]=$C33)*(CsDJ[Account Code]=(J$11)),CsDJ[Credit]))))</f>
        <v>0</v>
      </c>
      <c r="K33" s="132"/>
      <c r="L33" s="674">
        <f t="array" ref="L33">IF($C33=0,0,(SUM(IF((CsDJ[JEV Number]=$C33)*(CsDJ[Account Code]=(K33)),CsDJ[Credit]))))</f>
        <v>0</v>
      </c>
      <c r="M33" s="674">
        <f t="array" ref="M33">IF(OR($C33=$C32,$C33=0),0,(SUM(IF((CsDJ[JEV Number]=$C33)*(CsDJ[Account Code]=(M$11)),CsDJ[Debit]))))</f>
        <v>0</v>
      </c>
      <c r="N33" s="674">
        <f t="array" ref="N33">IF(OR($C33=$C32,$C33=0),0,(SUM(IF((CsDJ[JEV Number]=$C33)*(CsDJ[Account Code]=(N$11)),CsDJ[Debit]))))</f>
        <v>0</v>
      </c>
      <c r="O33" s="674">
        <f t="array" ref="O33">IF(OR($C33=$C32,$C33=0),0,(SUM(IF((CsDJ[JEV Number]=$C33)*(CsDJ[Account Code]=(O$11)),CsDJ[Debit]))))</f>
        <v>0</v>
      </c>
      <c r="P33" s="674">
        <f t="array" ref="P33">IF(OR($C33=$C32,$C33=0),0,(SUM(IF((CsDJ[JEV Number]=$C33)*(CsDJ[Account Code]=(P$11)),CsDJ[Debit]))))</f>
        <v>0</v>
      </c>
      <c r="Q33" s="722"/>
      <c r="R33" s="689">
        <f t="array" ref="R33">IF($C33=0,0,(SUM(IF((CsDJ[JEV Number]=$C33)*(CsDJ[Account Code]=(Q33)),CsDJ[Debit]))))</f>
        <v>0</v>
      </c>
      <c r="S33" s="676">
        <f t="shared" si="3"/>
        <v>0</v>
      </c>
    </row>
    <row r="34" spans="1:19">
      <c r="A34" s="717" t="str">
        <f t="array" ref="A34">IF(OR(C34=C33,C34=0),"",INDEX(CsDJ[Date],MATCH(C34,CsDJ[JEV Number],0)))</f>
        <v/>
      </c>
      <c r="B34" s="836"/>
      <c r="C34" s="524" t="str">
        <f>IF(B34=0,C33,B34)</f>
        <v>20-01-004</v>
      </c>
      <c r="D34" s="524"/>
      <c r="E34" s="524"/>
      <c r="F34" s="524"/>
      <c r="G34" s="94" t="str">
        <f t="array" ref="G34">IF(OR(C34=C33,C34=0),"",INDEX(CasheirCode[Name],MATCH((INDEX(CsDJ[Sort Code],MATCH(C34,CsDJ[JEV Number],0))),CasheirCode[Sort Code])))</f>
        <v/>
      </c>
      <c r="H34" s="718">
        <f t="array" ref="H34">IF(OR($C34=$C33,$C34=0),0,(SUM(IF((CsDJ[JEV Number]=$C34)*(CsDJ[Account Code]=(H$11)),CsDJ[Credit]))))</f>
        <v>0</v>
      </c>
      <c r="I34" s="718">
        <f t="array" ref="I34">IF(OR($C34=$C33,$C34=0),0,(SUM(IF((CsDJ[JEV Number]=$C34)*(CsDJ[Account Code]=(I$11)),CsDJ[Credit]))))</f>
        <v>0</v>
      </c>
      <c r="J34" s="718">
        <f t="array" ref="J34">IF(OR($C34=$C33,$C34=0),0,(SUM(IF((CsDJ[JEV Number]=$C34)*(CsDJ[Account Code]=(J$11)),CsDJ[Credit]))))</f>
        <v>0</v>
      </c>
      <c r="K34" s="767"/>
      <c r="L34" s="718">
        <f t="array" ref="L34">IF($C34=0,0,(SUM(IF((CsDJ[JEV Number]=$C34)*(CsDJ[Account Code]=(K34)),CsDJ[Credit]))))</f>
        <v>0</v>
      </c>
      <c r="M34" s="718">
        <f t="array" ref="M34">IF(OR($C34=$C33,$C34=0),0,(SUM(IF((CsDJ[JEV Number]=$C34)*(CsDJ[Account Code]=(M$11)),CsDJ[Debit]))))</f>
        <v>0</v>
      </c>
      <c r="N34" s="718">
        <f t="array" ref="N34">IF(OR($C34=$C33,$C34=0),0,(SUM(IF((CsDJ[JEV Number]=$C34)*(CsDJ[Account Code]=(N$11)),CsDJ[Debit]))))</f>
        <v>0</v>
      </c>
      <c r="O34" s="718">
        <f t="array" ref="O34">IF(OR($C34=$C33,$C34=0),0,(SUM(IF((CsDJ[JEV Number]=$C34)*(CsDJ[Account Code]=(O$11)),CsDJ[Debit]))))</f>
        <v>0</v>
      </c>
      <c r="P34" s="718">
        <f t="array" ref="P34">IF(OR($C34=$C33,$C34=0),0,(SUM(IF((CsDJ[JEV Number]=$C34)*(CsDJ[Account Code]=(P$11)),CsDJ[Debit]))))</f>
        <v>0</v>
      </c>
      <c r="Q34" s="721"/>
      <c r="R34" s="519">
        <f t="array" ref="R34">IF($C34=0,0,(SUM(IF((CsDJ[JEV Number]=$C34)*(CsDJ[Account Code]=(Q34)),CsDJ[Debit]))))</f>
        <v>0</v>
      </c>
      <c r="S34" s="719">
        <f>S33+(SUM(M34:P34)+R34)-(SUM(H34:J34)+L34)</f>
        <v>0</v>
      </c>
    </row>
    <row r="35" spans="1:19">
      <c r="A35" s="717" t="str">
        <f t="array" ref="A35">IF(OR(C35=C34,C35=0),"",INDEX(CsDJ[Date],MATCH(C35,CsDJ[JEV Number],0)))</f>
        <v/>
      </c>
      <c r="B35" s="836"/>
      <c r="C35" s="524" t="str">
        <f>IF(B35=0,C34,B35)</f>
        <v>20-01-004</v>
      </c>
      <c r="D35" s="524"/>
      <c r="E35" s="524"/>
      <c r="F35" s="524"/>
      <c r="G35" s="94" t="str">
        <f t="array" ref="G35">IF(OR(C35=C34,C35=0),"",INDEX(CasheirCode[Name],MATCH((INDEX(CsDJ[Sort Code],MATCH(C35,CsDJ[JEV Number],0))),CasheirCode[Sort Code])))</f>
        <v/>
      </c>
      <c r="H35" s="718">
        <f t="array" ref="H35">IF(OR($C35=$C34,$C35=0),0,(SUM(IF((CsDJ[JEV Number]=$C35)*(CsDJ[Account Code]=(H$11)),CsDJ[Credit]))))</f>
        <v>0</v>
      </c>
      <c r="I35" s="718">
        <f t="array" ref="I35">IF(OR($C35=$C34,$C35=0),0,(SUM(IF((CsDJ[JEV Number]=$C35)*(CsDJ[Account Code]=(I$11)),CsDJ[Credit]))))</f>
        <v>0</v>
      </c>
      <c r="J35" s="718">
        <f t="array" ref="J35">IF(OR($C35=$C34,$C35=0),0,(SUM(IF((CsDJ[JEV Number]=$C35)*(CsDJ[Account Code]=(J$11)),CsDJ[Credit]))))</f>
        <v>0</v>
      </c>
      <c r="K35" s="767"/>
      <c r="L35" s="718">
        <f t="array" ref="L35">IF($C35=0,0,(SUM(IF((CsDJ[JEV Number]=$C35)*(CsDJ[Account Code]=(K35)),CsDJ[Credit]))))</f>
        <v>0</v>
      </c>
      <c r="M35" s="718">
        <f t="array" ref="M35">IF(OR($C35=$C34,$C35=0),0,(SUM(IF((CsDJ[JEV Number]=$C35)*(CsDJ[Account Code]=(M$11)),CsDJ[Debit]))))</f>
        <v>0</v>
      </c>
      <c r="N35" s="718">
        <f t="array" ref="N35">IF(OR($C35=$C34,$C35=0),0,(SUM(IF((CsDJ[JEV Number]=$C35)*(CsDJ[Account Code]=(N$11)),CsDJ[Debit]))))</f>
        <v>0</v>
      </c>
      <c r="O35" s="718">
        <f t="array" ref="O35">IF(OR($C35=$C34,$C35=0),0,(SUM(IF((CsDJ[JEV Number]=$C35)*(CsDJ[Account Code]=(O$11)),CsDJ[Debit]))))</f>
        <v>0</v>
      </c>
      <c r="P35" s="718">
        <f t="array" ref="P35">IF(OR($C35=$C34,$C35=0),0,(SUM(IF((CsDJ[JEV Number]=$C35)*(CsDJ[Account Code]=(P$11)),CsDJ[Debit]))))</f>
        <v>0</v>
      </c>
      <c r="Q35" s="721"/>
      <c r="R35" s="519">
        <f t="array" ref="R35">IF($C35=0,0,(SUM(IF((CsDJ[JEV Number]=$C35)*(CsDJ[Account Code]=(Q35)),CsDJ[Debit]))))</f>
        <v>0</v>
      </c>
      <c r="S35" s="719">
        <f>S34+(SUM(M35:P35)+R35)-(SUM(H35:J35)+L35)</f>
        <v>0</v>
      </c>
    </row>
    <row r="36" spans="1:19">
      <c r="A36" s="717" t="str">
        <f t="array" ref="A36">IF(OR(C36=C35,C36=0),"",INDEX(CsDJ[Date],MATCH(C36,CsDJ[JEV Number],0)))</f>
        <v/>
      </c>
      <c r="B36" s="836"/>
      <c r="C36" s="524" t="str">
        <f>IF(B36=0,C35,B36)</f>
        <v>20-01-004</v>
      </c>
      <c r="D36" s="524"/>
      <c r="E36" s="524"/>
      <c r="F36" s="524"/>
      <c r="G36" s="94" t="str">
        <f t="array" ref="G36">IF(OR(C36=C35,C36=0),"",INDEX(CasheirCode[Name],MATCH((INDEX(CsDJ[Sort Code],MATCH(C36,CsDJ[JEV Number],0))),CasheirCode[Sort Code])))</f>
        <v/>
      </c>
      <c r="H36" s="718">
        <f t="array" ref="H36">IF(OR($C36=$C35,$C36=0),0,(SUM(IF((CsDJ[JEV Number]=$C36)*(CsDJ[Account Code]=(H$11)),CsDJ[Credit]))))</f>
        <v>0</v>
      </c>
      <c r="I36" s="718">
        <f t="array" ref="I36">IF(OR($C36=$C35,$C36=0),0,(SUM(IF((CsDJ[JEV Number]=$C36)*(CsDJ[Account Code]=(I$11)),CsDJ[Credit]))))</f>
        <v>0</v>
      </c>
      <c r="J36" s="718">
        <f t="array" ref="J36">IF(OR($C36=$C35,$C36=0),0,(SUM(IF((CsDJ[JEV Number]=$C36)*(CsDJ[Account Code]=(J$11)),CsDJ[Credit]))))</f>
        <v>0</v>
      </c>
      <c r="K36" s="767"/>
      <c r="L36" s="718">
        <f t="array" ref="L36">IF($C36=0,0,(SUM(IF((CsDJ[JEV Number]=$C36)*(CsDJ[Account Code]=(K36)),CsDJ[Credit]))))</f>
        <v>0</v>
      </c>
      <c r="M36" s="718">
        <f t="array" ref="M36">IF(OR($C36=$C35,$C36=0),0,(SUM(IF((CsDJ[JEV Number]=$C36)*(CsDJ[Account Code]=(M$11)),CsDJ[Debit]))))</f>
        <v>0</v>
      </c>
      <c r="N36" s="718">
        <f t="array" ref="N36">IF(OR($C36=$C35,$C36=0),0,(SUM(IF((CsDJ[JEV Number]=$C36)*(CsDJ[Account Code]=(N$11)),CsDJ[Debit]))))</f>
        <v>0</v>
      </c>
      <c r="O36" s="718">
        <f t="array" ref="O36">IF(OR($C36=$C35,$C36=0),0,(SUM(IF((CsDJ[JEV Number]=$C36)*(CsDJ[Account Code]=(O$11)),CsDJ[Debit]))))</f>
        <v>0</v>
      </c>
      <c r="P36" s="718">
        <f t="array" ref="P36">IF(OR($C36=$C35,$C36=0),0,(SUM(IF((CsDJ[JEV Number]=$C36)*(CsDJ[Account Code]=(P$11)),CsDJ[Debit]))))</f>
        <v>0</v>
      </c>
      <c r="Q36" s="316"/>
      <c r="R36" s="519">
        <f t="array" ref="R36">IF($C36=0,0,(SUM(IF((CsDJ[JEV Number]=$C36)*(CsDJ[Account Code]=(Q36)),CsDJ[Debit]))))</f>
        <v>0</v>
      </c>
      <c r="S36" s="719">
        <f t="shared" ref="S36:S41" si="4">S35+(SUM(M36:P36)+R36)-(SUM(H36:J36)+L36)</f>
        <v>0</v>
      </c>
    </row>
    <row r="37" spans="1:19">
      <c r="A37" s="717" t="str">
        <f t="array" ref="A37">IF(OR(C37=C36,C37=0),"",INDEX(CsDJ[Date],MATCH(C37,CsDJ[JEV Number],0)))</f>
        <v/>
      </c>
      <c r="B37" s="836"/>
      <c r="C37" s="524" t="str">
        <f>IF(B37=0,C36,B37)</f>
        <v>20-01-004</v>
      </c>
      <c r="D37" s="524"/>
      <c r="E37" s="524"/>
      <c r="F37" s="524"/>
      <c r="G37" s="94" t="str">
        <f t="array" ref="G37">IF(OR(C37=C36,C37=0),"",INDEX(CasheirCode[Name],MATCH((INDEX(CsDJ[Sort Code],MATCH(C37,CsDJ[JEV Number],0))),CasheirCode[Sort Code])))</f>
        <v/>
      </c>
      <c r="H37" s="718">
        <f t="array" ref="H37">IF(OR($C37=$C36,$C37=0),0,(SUM(IF((CsDJ[JEV Number]=$C37)*(CsDJ[Account Code]=(H$11)),CsDJ[Credit]))))</f>
        <v>0</v>
      </c>
      <c r="I37" s="718">
        <f t="array" ref="I37">IF(OR($C37=$C36,$C37=0),0,(SUM(IF((CsDJ[JEV Number]=$C37)*(CsDJ[Account Code]=(I$11)),CsDJ[Credit]))))</f>
        <v>0</v>
      </c>
      <c r="J37" s="718">
        <f t="array" ref="J37">IF(OR($C37=$C36,$C37=0),0,(SUM(IF((CsDJ[JEV Number]=$C37)*(CsDJ[Account Code]=(J$11)),CsDJ[Credit]))))</f>
        <v>0</v>
      </c>
      <c r="K37" s="724"/>
      <c r="L37" s="718">
        <f t="array" ref="L37">IF($C37=0,0,(SUM(IF((CsDJ[JEV Number]=$C37)*(CsDJ[Account Code]=(K37)),CsDJ[Credit]))))</f>
        <v>0</v>
      </c>
      <c r="M37" s="718">
        <f t="array" ref="M37">IF(OR($C37=$C36,$C37=0),0,(SUM(IF((CsDJ[JEV Number]=$C37)*(CsDJ[Account Code]=(M$11)),CsDJ[Debit]))))</f>
        <v>0</v>
      </c>
      <c r="N37" s="718">
        <f t="array" ref="N37">IF(OR($C37=$C36,$C37=0),0,(SUM(IF((CsDJ[JEV Number]=$C37)*(CsDJ[Account Code]=(N$11)),CsDJ[Debit]))))</f>
        <v>0</v>
      </c>
      <c r="O37" s="718">
        <f t="array" ref="O37">IF(OR($C37=$C36,$C37=0),0,(SUM(IF((CsDJ[JEV Number]=$C37)*(CsDJ[Account Code]=(O$11)),CsDJ[Debit]))))</f>
        <v>0</v>
      </c>
      <c r="P37" s="718">
        <f t="array" ref="P37">IF(OR($C37=$C36,$C37=0),0,(SUM(IF((CsDJ[JEV Number]=$C37)*(CsDJ[Account Code]=(P$11)),CsDJ[Debit]))))</f>
        <v>0</v>
      </c>
      <c r="Q37" s="316"/>
      <c r="R37" s="519">
        <f t="array" ref="R37">IF($C37=0,0,(SUM(IF((CsDJ[JEV Number]=$C37)*(CsDJ[Account Code]=(Q37)),CsDJ[Debit]))))</f>
        <v>0</v>
      </c>
      <c r="S37" s="719">
        <f t="shared" si="4"/>
        <v>0</v>
      </c>
    </row>
    <row r="38" spans="1:19">
      <c r="A38" s="670" t="str">
        <f t="array" ref="A38">IF(OR(C38=C37,C38=0),"",INDEX(CsDJ[Date],MATCH(C38,CsDJ[JEV Number],0)))</f>
        <v/>
      </c>
      <c r="B38" s="840"/>
      <c r="C38" s="687" t="str">
        <f t="shared" ref="C38:C44" si="5">IF(B38=0,C37,B38)</f>
        <v>20-01-004</v>
      </c>
      <c r="D38" s="687"/>
      <c r="E38" s="687"/>
      <c r="F38" s="687"/>
      <c r="G38" s="688" t="str">
        <f t="array" ref="G38">IF(OR(C38=C37,C38=0),"",INDEX(CasheirCode[Name],MATCH((INDEX(CsDJ[Sort Code],MATCH(C38,CsDJ[JEV Number],0))),CasheirCode[Sort Code])))</f>
        <v/>
      </c>
      <c r="H38" s="689">
        <f t="array" ref="H38">IF(OR($C38=$C37,$C38=0),0,(SUM(IF((CsDJ[JEV Number]=$C38)*(CsDJ[Account Code]=(H$11)),CsDJ[Credit]))))</f>
        <v>0</v>
      </c>
      <c r="I38" s="689">
        <f t="array" ref="I38">IF(OR($C38=$C37,$C38=0),0,(SUM(IF((CsDJ[JEV Number]=$C38)*(CsDJ[Account Code]=(I$11)),CsDJ[Credit]))))</f>
        <v>0</v>
      </c>
      <c r="J38" s="689">
        <f t="array" ref="J38">IF(OR($C38=$C37,$C38=0),0,(SUM(IF((CsDJ[JEV Number]=$C38)*(CsDJ[Account Code]=(J$11)),CsDJ[Credit]))))</f>
        <v>0</v>
      </c>
      <c r="K38" s="724"/>
      <c r="L38" s="689">
        <f t="array" ref="L38">IF($C38=0,0,(SUM(IF((CsDJ[JEV Number]=$C38)*(CsDJ[Account Code]=(K38)),CsDJ[Credit]))))</f>
        <v>0</v>
      </c>
      <c r="M38" s="689">
        <f t="array" ref="M38">IF(OR($C38=$C37,$C38=0),0,(SUM(IF((CsDJ[JEV Number]=$C38)*(CsDJ[Account Code]=(M$11)),CsDJ[Debit]))))</f>
        <v>0</v>
      </c>
      <c r="N38" s="689">
        <f t="array" ref="N38">IF(OR($C38=$C37,$C38=0),0,(SUM(IF((CsDJ[JEV Number]=$C38)*(CsDJ[Account Code]=(N$11)),CsDJ[Debit]))))</f>
        <v>0</v>
      </c>
      <c r="O38" s="689">
        <f t="array" ref="O38">IF(OR($C38=$C37,$C38=0),0,(SUM(IF((CsDJ[JEV Number]=$C38)*(CsDJ[Account Code]=(O$11)),CsDJ[Debit]))))</f>
        <v>0</v>
      </c>
      <c r="P38" s="689">
        <f t="array" ref="P38">IF(OR($C38=$C37,$C38=0),0,(SUM(IF((CsDJ[JEV Number]=$C38)*(CsDJ[Account Code]=(P$11)),CsDJ[Debit]))))</f>
        <v>0</v>
      </c>
      <c r="Q38" s="774"/>
      <c r="R38" s="689">
        <f t="array" ref="R38">IF($C38=0,0,(SUM(IF((CsDJ[JEV Number]=$C38)*(CsDJ[Account Code]=(Q38)),CsDJ[Debit]))))</f>
        <v>0</v>
      </c>
      <c r="S38" s="691">
        <f t="shared" si="4"/>
        <v>0</v>
      </c>
    </row>
    <row r="39" spans="1:19">
      <c r="A39" s="670" t="str">
        <f t="array" ref="A39">IF(OR(C39=C38,C39=0),"",INDEX(CsDJ[Date],MATCH(C39,CsDJ[JEV Number],0)))</f>
        <v/>
      </c>
      <c r="B39" s="838"/>
      <c r="C39" s="687" t="str">
        <f t="shared" si="5"/>
        <v>20-01-004</v>
      </c>
      <c r="D39" s="687"/>
      <c r="E39" s="687"/>
      <c r="F39" s="687"/>
      <c r="G39" s="688" t="str">
        <f t="array" ref="G39">IF(OR(C39=C38,C39=0),"",INDEX(CasheirCode[Name],MATCH((INDEX(CsDJ[Sort Code],MATCH(C39,CsDJ[JEV Number],0))),CasheirCode[Sort Code])))</f>
        <v/>
      </c>
      <c r="H39" s="689">
        <f t="array" ref="H39">IF(OR($C39=$C38,$C39=0),0,(SUM(IF((CsDJ[JEV Number]=$C39)*(CsDJ[Account Code]=(H$11)),CsDJ[Credit]))))</f>
        <v>0</v>
      </c>
      <c r="I39" s="689">
        <f t="array" ref="I39">IF(OR($C39=$C38,$C39=0),0,(SUM(IF((CsDJ[JEV Number]=$C39)*(CsDJ[Account Code]=(I$11)),CsDJ[Credit]))))</f>
        <v>0</v>
      </c>
      <c r="J39" s="689">
        <f t="array" ref="J39">IF(OR($C39=$C38,$C39=0),0,(SUM(IF((CsDJ[JEV Number]=$C39)*(CsDJ[Account Code]=(J$11)),CsDJ[Credit]))))</f>
        <v>0</v>
      </c>
      <c r="K39" s="779"/>
      <c r="L39" s="689">
        <f t="array" ref="L39">IF($C39=0,0,(SUM(IF((CsDJ[JEV Number]=$C39)*(CsDJ[Account Code]=(K39)),CsDJ[Credit]))))</f>
        <v>0</v>
      </c>
      <c r="M39" s="689">
        <f t="array" ref="M39">IF(OR($C39=$C38,$C39=0),0,(SUM(IF((CsDJ[JEV Number]=$C39)*(CsDJ[Account Code]=(M$11)),CsDJ[Debit]))))</f>
        <v>0</v>
      </c>
      <c r="N39" s="689">
        <f t="array" ref="N39">IF(OR($C39=$C38,$C39=0),0,(SUM(IF((CsDJ[JEV Number]=$C39)*(CsDJ[Account Code]=(N$11)),CsDJ[Debit]))))</f>
        <v>0</v>
      </c>
      <c r="O39" s="689">
        <f t="array" ref="O39">IF(OR($C39=$C38,$C39=0),0,(SUM(IF((CsDJ[JEV Number]=$C39)*(CsDJ[Account Code]=(O$11)),CsDJ[Debit]))))</f>
        <v>0</v>
      </c>
      <c r="P39" s="689">
        <f t="array" ref="P39">IF(OR($C39=$C38,$C39=0),0,(SUM(IF((CsDJ[JEV Number]=$C39)*(CsDJ[Account Code]=(P$11)),CsDJ[Debit]))))</f>
        <v>0</v>
      </c>
      <c r="Q39" s="722"/>
      <c r="R39" s="689">
        <f t="array" ref="R39">IF($C39=0,0,(SUM(IF((CsDJ[JEV Number]=$C39)*(CsDJ[Account Code]=(Q39)),CsDJ[Debit]))))</f>
        <v>0</v>
      </c>
      <c r="S39" s="691">
        <f t="shared" si="4"/>
        <v>0</v>
      </c>
    </row>
    <row r="40" spans="1:19" s="782" customFormat="1">
      <c r="A40" s="771" t="str">
        <f t="array" ref="A40">IF(OR(C40=C39,C40=0),"",INDEX(CsDJ[Date],MATCH(C40,CsDJ[JEV Number],0)))</f>
        <v/>
      </c>
      <c r="B40" s="841"/>
      <c r="C40" s="776" t="str">
        <f t="shared" si="5"/>
        <v>20-01-004</v>
      </c>
      <c r="D40" s="776"/>
      <c r="E40" s="776"/>
      <c r="F40" s="776"/>
      <c r="G40" s="777" t="str">
        <f t="array" ref="G40">IF(OR(C40=C39,C40=0),"",INDEX(CasheirCode[Name],MATCH((INDEX(CsDJ[Sort Code],MATCH(C40,CsDJ[JEV Number],0))),CasheirCode[Sort Code])))</f>
        <v/>
      </c>
      <c r="H40" s="778">
        <f t="array" ref="H40">IF(OR($C40=$C39,$C40=0),0,(SUM(IF((CsDJ[JEV Number]=$C40)*(CsDJ[Account Code]=(H$11)),CsDJ[Credit]))))</f>
        <v>0</v>
      </c>
      <c r="I40" s="778">
        <f t="array" ref="I40">IF(OR($C40=$C39,$C40=0),0,(SUM(IF((CsDJ[JEV Number]=$C40)*(CsDJ[Account Code]=(I$11)),CsDJ[Credit]))))</f>
        <v>0</v>
      </c>
      <c r="J40" s="778">
        <f t="array" ref="J40">IF(OR($C40=$C39,$C40=0),0,(SUM(IF((CsDJ[JEV Number]=$C40)*(CsDJ[Account Code]=(J$11)),CsDJ[Credit]))))</f>
        <v>0</v>
      </c>
      <c r="K40" s="724"/>
      <c r="L40" s="778">
        <f t="array" ref="L40">IF($C40=0,0,(SUM(IF((CsDJ[JEV Number]=$C40)*(CsDJ[Account Code]=(K40)),CsDJ[Credit]))))</f>
        <v>0</v>
      </c>
      <c r="M40" s="778">
        <f t="array" ref="M40">IF(OR($C40=$C39,$C40=0),0,(SUM(IF((CsDJ[JEV Number]=$C40)*(CsDJ[Account Code]=(M$11)),CsDJ[Debit]))))</f>
        <v>0</v>
      </c>
      <c r="N40" s="778">
        <f t="array" ref="N40">IF(OR($C40=$C39,$C40=0),0,(SUM(IF((CsDJ[JEV Number]=$C40)*(CsDJ[Account Code]=(N$11)),CsDJ[Debit]))))</f>
        <v>0</v>
      </c>
      <c r="O40" s="778">
        <f t="array" ref="O40">IF(OR($C40=$C39,$C40=0),0,(SUM(IF((CsDJ[JEV Number]=$C40)*(CsDJ[Account Code]=(O$11)),CsDJ[Debit]))))</f>
        <v>0</v>
      </c>
      <c r="P40" s="778">
        <f t="array" ref="P40">IF(OR($C40=$C39,$C40=0),0,(SUM(IF((CsDJ[JEV Number]=$C40)*(CsDJ[Account Code]=(P$11)),CsDJ[Debit]))))</f>
        <v>0</v>
      </c>
      <c r="Q40" s="780"/>
      <c r="R40" s="778">
        <f t="array" ref="R40">IF($C40=0,0,(SUM(IF((CsDJ[JEV Number]=$C40)*(CsDJ[Account Code]=(Q40)),CsDJ[Debit]))))</f>
        <v>0</v>
      </c>
      <c r="S40" s="781">
        <f t="shared" si="4"/>
        <v>0</v>
      </c>
    </row>
    <row r="41" spans="1:19">
      <c r="A41" s="670" t="str">
        <f t="array" ref="A41">IF(OR(C41=C40,C41=0),"",INDEX(CsDJ[Date],MATCH(C41,CsDJ[JEV Number],0)))</f>
        <v/>
      </c>
      <c r="B41" s="836"/>
      <c r="C41" s="524" t="str">
        <f t="shared" si="5"/>
        <v>20-01-004</v>
      </c>
      <c r="D41" s="524"/>
      <c r="E41" s="524"/>
      <c r="F41" s="524"/>
      <c r="G41" s="94" t="str">
        <f t="array" ref="G41">IF(OR(C41=C40,C41=0),"",INDEX(CasheirCode[Name],MATCH((INDEX(CsDJ[Sort Code],MATCH(C41,CsDJ[JEV Number],0))),CasheirCode[Sort Code])))</f>
        <v/>
      </c>
      <c r="H41" s="718">
        <f t="array" ref="H41">IF(OR($C41=$C40,$C41=0),0,(SUM(IF((CsDJ[JEV Number]=$C41)*(CsDJ[Account Code]=(H$11)),CsDJ[Credit]))))</f>
        <v>0</v>
      </c>
      <c r="I41" s="718">
        <f t="array" ref="I41">IF(OR($C41=$C40,$C41=0),0,(SUM(IF((CsDJ[JEV Number]=$C41)*(CsDJ[Account Code]=(I$11)),CsDJ[Credit]))))</f>
        <v>0</v>
      </c>
      <c r="J41" s="718">
        <f t="array" ref="J41">IF(OR($C41=$C40,$C41=0),0,(SUM(IF((CsDJ[JEV Number]=$C41)*(CsDJ[Account Code]=(J$11)),CsDJ[Credit]))))</f>
        <v>0</v>
      </c>
      <c r="K41" s="724"/>
      <c r="L41" s="718">
        <f t="array" ref="L41">IF($C41=0,0,(SUM(IF((CsDJ[JEV Number]=$C41)*(CsDJ[Account Code]=(K41)),CsDJ[Credit]))))</f>
        <v>0</v>
      </c>
      <c r="M41" s="718">
        <f t="array" ref="M41">IF(OR($C41=$C40,$C41=0),0,(SUM(IF((CsDJ[JEV Number]=$C41)*(CsDJ[Account Code]=(M$11)),CsDJ[Debit]))))</f>
        <v>0</v>
      </c>
      <c r="N41" s="718">
        <f t="array" ref="N41">IF(OR($C41=$C40,$C41=0),0,(SUM(IF((CsDJ[JEV Number]=$C41)*(CsDJ[Account Code]=(N$11)),CsDJ[Debit]))))</f>
        <v>0</v>
      </c>
      <c r="O41" s="718">
        <f t="array" ref="O41">IF(OR($C41=$C40,$C41=0),0,(SUM(IF((CsDJ[JEV Number]=$C41)*(CsDJ[Account Code]=(O$11)),CsDJ[Debit]))))</f>
        <v>0</v>
      </c>
      <c r="P41" s="718">
        <f t="array" ref="P41">IF(OR($C41=$C40,$C41=0),0,(SUM(IF((CsDJ[JEV Number]=$C41)*(CsDJ[Account Code]=(P$11)),CsDJ[Debit]))))</f>
        <v>0</v>
      </c>
      <c r="Q41" s="316"/>
      <c r="R41" s="519">
        <f t="array" ref="R41">IF($C41=0,0,(SUM(IF((CsDJ[JEV Number]=$C41)*(CsDJ[Account Code]=(Q41)),CsDJ[Debit]))))</f>
        <v>0</v>
      </c>
      <c r="S41" s="719">
        <f t="shared" si="4"/>
        <v>0</v>
      </c>
    </row>
    <row r="42" spans="1:19">
      <c r="A42" s="670" t="str">
        <f t="array" ref="A42">IF(OR(C42=C41,C42=0),"",INDEX(CsDJ[Date],MATCH(C42,CsDJ[JEV Number],0)))</f>
        <v/>
      </c>
      <c r="B42" s="842"/>
      <c r="C42" s="687" t="str">
        <f t="shared" si="5"/>
        <v>20-01-004</v>
      </c>
      <c r="D42" s="687"/>
      <c r="E42" s="687"/>
      <c r="F42" s="687"/>
      <c r="G42" s="688" t="str">
        <f t="array" ref="G42">IF(OR(C42=C41,C42=0),"",INDEX(CasheirCode[Name],MATCH((INDEX(CsDJ[Sort Code],MATCH(C42,CsDJ[JEV Number],0))),CasheirCode[Sort Code])))</f>
        <v/>
      </c>
      <c r="H42" s="689">
        <f t="array" ref="H42">IF(OR($C42=$C41,$C42=0),0,(SUM(IF((CsDJ[JEV Number]=$C42)*(CsDJ[Account Code]=(H$11)),CsDJ[Credit]))))</f>
        <v>0</v>
      </c>
      <c r="I42" s="689">
        <f t="array" ref="I42">IF(OR($C42=$C41,$C42=0),0,(SUM(IF((CsDJ[JEV Number]=$C42)*(CsDJ[Account Code]=(I$11)),CsDJ[Credit]))))</f>
        <v>0</v>
      </c>
      <c r="J42" s="689">
        <f t="array" ref="J42">IF(OR($C42=$C41,$C42=0),0,(SUM(IF((CsDJ[JEV Number]=$C42)*(CsDJ[Account Code]=(J$11)),CsDJ[Credit]))))</f>
        <v>0</v>
      </c>
      <c r="K42" s="773"/>
      <c r="L42" s="689">
        <f t="array" ref="L42">IF($C42=0,0,(SUM(IF((CsDJ[JEV Number]=$C42)*(CsDJ[Account Code]=(K42)),CsDJ[Credit]))))</f>
        <v>0</v>
      </c>
      <c r="M42" s="689">
        <f t="array" ref="M42">IF(OR($C42=$C41,$C42=0),0,(SUM(IF((CsDJ[JEV Number]=$C42)*(CsDJ[Account Code]=(M$11)),CsDJ[Debit]))))</f>
        <v>0</v>
      </c>
      <c r="N42" s="689">
        <f t="array" ref="N42">IF(OR($C42=$C41,$C42=0),0,(SUM(IF((CsDJ[JEV Number]=$C42)*(CsDJ[Account Code]=(N$11)),CsDJ[Debit]))))</f>
        <v>0</v>
      </c>
      <c r="O42" s="689">
        <f t="array" ref="O42">IF(OR($C42=$C41,$C42=0),0,(SUM(IF((CsDJ[JEV Number]=$C42)*(CsDJ[Account Code]=(O$11)),CsDJ[Debit]))))</f>
        <v>0</v>
      </c>
      <c r="P42" s="689">
        <f t="array" ref="P42">IF(OR($C42=$C41,$C42=0),0,(SUM(IF((CsDJ[JEV Number]=$C42)*(CsDJ[Account Code]=(P$11)),CsDJ[Debit]))))</f>
        <v>0</v>
      </c>
      <c r="Q42" s="789"/>
      <c r="R42" s="689">
        <f t="array" ref="R42">IF($C42=0,0,(SUM(IF((CsDJ[JEV Number]=$C42)*(CsDJ[Account Code]=(Q42)),CsDJ[Debit]))))</f>
        <v>0</v>
      </c>
      <c r="S42" s="691">
        <f t="shared" ref="S42:S48" si="6">S41+(SUM(M42:P42)+R42)-(SUM(H42:J42)+L42)</f>
        <v>0</v>
      </c>
    </row>
    <row r="43" spans="1:19">
      <c r="A43" s="717" t="str">
        <f t="array" ref="A43">IF(OR(C43=C42,C43=0),"",INDEX(CsDJ[Date],MATCH(C43,CsDJ[JEV Number],0)))</f>
        <v/>
      </c>
      <c r="B43" s="843"/>
      <c r="C43" s="523" t="str">
        <f t="shared" si="5"/>
        <v>20-01-004</v>
      </c>
      <c r="D43" s="523"/>
      <c r="E43" s="523"/>
      <c r="F43" s="523"/>
      <c r="G43" s="280" t="str">
        <f t="array" ref="G43">IF(OR(C43=C42,C43=0),"",INDEX(CasheirCode[Name],MATCH((INDEX(CsDJ[Sort Code],MATCH(C43,CsDJ[JEV Number],0))),CasheirCode[Sort Code])))</f>
        <v/>
      </c>
      <c r="H43" s="519">
        <f t="array" ref="H43">IF(OR($C43=$C42,$C43=0),0,(SUM(IF((CsDJ[JEV Number]=$C43)*(CsDJ[Account Code]=(H$11)),CsDJ[Credit]))))</f>
        <v>0</v>
      </c>
      <c r="I43" s="519">
        <f t="array" ref="I43">IF(OR($C43=$C42,$C43=0),0,(SUM(IF((CsDJ[JEV Number]=$C43)*(CsDJ[Account Code]=(I$11)),CsDJ[Credit]))))</f>
        <v>0</v>
      </c>
      <c r="J43" s="519">
        <f t="array" ref="J43">IF(OR($C43=$C42,$C43=0),0,(SUM(IF((CsDJ[JEV Number]=$C43)*(CsDJ[Account Code]=(J$11)),CsDJ[Credit]))))</f>
        <v>0</v>
      </c>
      <c r="K43" s="773"/>
      <c r="L43" s="519">
        <f t="array" ref="L43">IF($C43=0,0,(SUM(IF((CsDJ[JEV Number]=$C43)*(CsDJ[Account Code]=(K43)),CsDJ[Credit]))))</f>
        <v>0</v>
      </c>
      <c r="M43" s="519">
        <f t="array" ref="M43">IF(OR($C43=$C42,$C43=0),0,(SUM(IF((CsDJ[JEV Number]=$C43)*(CsDJ[Account Code]=(M$11)),CsDJ[Debit]))))</f>
        <v>0</v>
      </c>
      <c r="N43" s="519">
        <f t="array" ref="N43">IF(OR($C43=$C42,$C43=0),0,(SUM(IF((CsDJ[JEV Number]=$C43)*(CsDJ[Account Code]=(N$11)),CsDJ[Debit]))))</f>
        <v>0</v>
      </c>
      <c r="O43" s="519">
        <f t="array" ref="O43">IF(OR($C43=$C42,$C43=0),0,(SUM(IF((CsDJ[JEV Number]=$C43)*(CsDJ[Account Code]=(O$11)),CsDJ[Debit]))))</f>
        <v>0</v>
      </c>
      <c r="P43" s="519">
        <f t="array" ref="P43">IF(OR($C43=$C42,$C43=0),0,(SUM(IF((CsDJ[JEV Number]=$C43)*(CsDJ[Account Code]=(P$11)),CsDJ[Debit]))))</f>
        <v>0</v>
      </c>
      <c r="Q43" s="788"/>
      <c r="R43" s="519">
        <f t="array" ref="R43">IF($C43=0,0,(SUM(IF((CsDJ[JEV Number]=$C43)*(CsDJ[Account Code]=(Q43)),CsDJ[Debit]))))</f>
        <v>0</v>
      </c>
      <c r="S43" s="758">
        <f t="shared" si="6"/>
        <v>0</v>
      </c>
    </row>
    <row r="44" spans="1:19">
      <c r="A44" s="717" t="str">
        <f t="array" ref="A44">IF(OR(C44=C43,C44=0),"",INDEX(CsDJ[Date],MATCH(C44,CsDJ[JEV Number],0)))</f>
        <v/>
      </c>
      <c r="B44" s="836"/>
      <c r="C44" s="523" t="str">
        <f t="shared" si="5"/>
        <v>20-01-004</v>
      </c>
      <c r="D44" s="523"/>
      <c r="E44" s="523"/>
      <c r="F44" s="523"/>
      <c r="G44" s="280" t="str">
        <f t="array" ref="G44">IF(OR(C44=C43,C44=0),"",INDEX(CasheirCode[Name],MATCH((INDEX(CsDJ[Sort Code],MATCH(C44,CsDJ[JEV Number],0))),CasheirCode[Sort Code])))</f>
        <v/>
      </c>
      <c r="H44" s="519">
        <f t="array" ref="H44">IF(OR($C44=$C43,$C44=0),0,(SUM(IF((CsDJ[JEV Number]=$C44)*(CsDJ[Account Code]=(H$11)),CsDJ[Credit]))))</f>
        <v>0</v>
      </c>
      <c r="I44" s="519">
        <f t="array" ref="I44">IF(OR($C44=$C43,$C44=0),0,(SUM(IF((CsDJ[JEV Number]=$C44)*(CsDJ[Account Code]=(I$11)),CsDJ[Credit]))))</f>
        <v>0</v>
      </c>
      <c r="J44" s="519">
        <f t="array" ref="J44">IF(OR($C44=$C43,$C44=0),0,(SUM(IF((CsDJ[JEV Number]=$C44)*(CsDJ[Account Code]=(J$11)),CsDJ[Credit]))))</f>
        <v>0</v>
      </c>
      <c r="K44" s="773"/>
      <c r="L44" s="519">
        <f t="array" ref="L44">IF($C44=0,0,(SUM(IF((CsDJ[JEV Number]=$C44)*(CsDJ[Account Code]=(K44)),CsDJ[Credit]))))</f>
        <v>0</v>
      </c>
      <c r="M44" s="519">
        <f t="array" ref="M44">IF(OR($C44=$C43,$C44=0),0,(SUM(IF((CsDJ[JEV Number]=$C44)*(CsDJ[Account Code]=(M$11)),CsDJ[Debit]))))</f>
        <v>0</v>
      </c>
      <c r="N44" s="519">
        <f t="array" ref="N44">IF(OR($C44=$C43,$C44=0),0,(SUM(IF((CsDJ[JEV Number]=$C44)*(CsDJ[Account Code]=(N$11)),CsDJ[Debit]))))</f>
        <v>0</v>
      </c>
      <c r="O44" s="519">
        <f t="array" ref="O44">IF(OR($C44=$C43,$C44=0),0,(SUM(IF((CsDJ[JEV Number]=$C44)*(CsDJ[Account Code]=(O$11)),CsDJ[Debit]))))</f>
        <v>0</v>
      </c>
      <c r="P44" s="519">
        <f t="array" ref="P44">IF(OR($C44=$C43,$C44=0),0,(SUM(IF((CsDJ[JEV Number]=$C44)*(CsDJ[Account Code]=(P$11)),CsDJ[Debit]))))</f>
        <v>0</v>
      </c>
      <c r="Q44" s="788"/>
      <c r="R44" s="519">
        <f t="array" ref="R44">IF($C44=0,0,(SUM(IF((CsDJ[JEV Number]=$C44)*(CsDJ[Account Code]=(Q44)),CsDJ[Debit]))))</f>
        <v>0</v>
      </c>
      <c r="S44" s="758">
        <f t="shared" si="6"/>
        <v>0</v>
      </c>
    </row>
    <row r="45" spans="1:19">
      <c r="A45" s="717" t="str">
        <f t="array" ref="A45">IF(OR(C45=C44,C45=0),"",INDEX(CsDJ[Date],MATCH(C45,CsDJ[JEV Number],0)))</f>
        <v/>
      </c>
      <c r="B45" s="844"/>
      <c r="C45" s="523" t="str">
        <f t="shared" ref="C45:C55" si="7">IF(B45=0,C44,B45)</f>
        <v>20-01-004</v>
      </c>
      <c r="D45" s="523"/>
      <c r="E45" s="523"/>
      <c r="F45" s="523"/>
      <c r="G45" s="280" t="str">
        <f t="array" ref="G45">IF(OR(C45=C44,C45=0),"",INDEX(CasheirCode[Name],MATCH((INDEX(CsDJ[Sort Code],MATCH(C45,CsDJ[JEV Number],0))),CasheirCode[Sort Code])))</f>
        <v/>
      </c>
      <c r="H45" s="519">
        <f t="array" ref="H45">IF(OR($C45=$C44,$C45=0),0,(SUM(IF((CsDJ[JEV Number]=$C45)*(CsDJ[Account Code]=(H$11)),CsDJ[Credit]))))</f>
        <v>0</v>
      </c>
      <c r="I45" s="519">
        <f t="array" ref="I45">IF(OR($C45=$C44,$C45=0),0,(SUM(IF((CsDJ[JEV Number]=$C45)*(CsDJ[Account Code]=(I$11)),CsDJ[Credit]))))</f>
        <v>0</v>
      </c>
      <c r="J45" s="519">
        <f t="array" ref="J45">IF(OR($C45=$C44,$C45=0),0,(SUM(IF((CsDJ[JEV Number]=$C45)*(CsDJ[Account Code]=(J$11)),CsDJ[Credit]))))</f>
        <v>0</v>
      </c>
      <c r="K45" s="773"/>
      <c r="L45" s="519">
        <f t="array" ref="L45">IF($C45=0,0,(SUM(IF((CsDJ[JEV Number]=$C45)*(CsDJ[Account Code]=(K45)),CsDJ[Credit]))))</f>
        <v>0</v>
      </c>
      <c r="M45" s="519">
        <f t="array" ref="M45">IF(OR($C45=$C44,$C45=0),0,(SUM(IF((CsDJ[JEV Number]=$C45)*(CsDJ[Account Code]=(M$11)),CsDJ[Debit]))))</f>
        <v>0</v>
      </c>
      <c r="N45" s="519">
        <f t="array" ref="N45">IF(OR($C45=$C44,$C45=0),0,(SUM(IF((CsDJ[JEV Number]=$C45)*(CsDJ[Account Code]=(N$11)),CsDJ[Debit]))))</f>
        <v>0</v>
      </c>
      <c r="O45" s="519">
        <f t="array" ref="O45">IF(OR($C45=$C44,$C45=0),0,(SUM(IF((CsDJ[JEV Number]=$C45)*(CsDJ[Account Code]=(O$11)),CsDJ[Debit]))))</f>
        <v>0</v>
      </c>
      <c r="P45" s="519">
        <f t="array" ref="P45">IF(OR($C45=$C44,$C45=0),0,(SUM(IF((CsDJ[JEV Number]=$C45)*(CsDJ[Account Code]=(P$11)),CsDJ[Debit]))))</f>
        <v>0</v>
      </c>
      <c r="Q45" s="792"/>
      <c r="R45" s="519">
        <f t="array" ref="R45">IF($C45=0,0,(SUM(IF((CsDJ[JEV Number]=$C45)*(CsDJ[Account Code]=(Q45)),CsDJ[Debit]))))</f>
        <v>0</v>
      </c>
      <c r="S45" s="758">
        <f t="shared" si="6"/>
        <v>0</v>
      </c>
    </row>
    <row r="46" spans="1:19">
      <c r="A46" s="670" t="str">
        <f t="array" ref="A46">IF(OR(C46=C45,C46=0),"",INDEX(CsDJ[Date],MATCH(C46,CsDJ[JEV Number],0)))</f>
        <v/>
      </c>
      <c r="B46" s="845"/>
      <c r="C46" s="687" t="str">
        <f t="shared" si="7"/>
        <v>20-01-004</v>
      </c>
      <c r="D46" s="687"/>
      <c r="E46" s="687"/>
      <c r="F46" s="687"/>
      <c r="G46" s="688" t="str">
        <f t="array" ref="G46">IF(OR(C46=C45,C46=0),"",INDEX(CasheirCode[Name],MATCH((INDEX(CsDJ[Sort Code],MATCH(C46,CsDJ[JEV Number],0))),CasheirCode[Sort Code])))</f>
        <v/>
      </c>
      <c r="H46" s="689">
        <f t="array" ref="H46">IF(OR($C46=$C45,$C46=0),0,(SUM(IF((CsDJ[JEV Number]=$C46)*(CsDJ[Account Code]=(H$11)),CsDJ[Credit]))))</f>
        <v>0</v>
      </c>
      <c r="I46" s="689">
        <f t="array" ref="I46">IF(OR($C46=$C45,$C46=0),0,(SUM(IF((CsDJ[JEV Number]=$C46)*(CsDJ[Account Code]=(I$11)),CsDJ[Credit]))))</f>
        <v>0</v>
      </c>
      <c r="J46" s="689">
        <f t="array" ref="J46">IF(OR($C46=$C45,$C46=0),0,(SUM(IF((CsDJ[JEV Number]=$C46)*(CsDJ[Account Code]=(J$11)),CsDJ[Credit]))))</f>
        <v>0</v>
      </c>
      <c r="K46" s="773"/>
      <c r="L46" s="689">
        <f t="array" ref="L46">IF($C46=0,0,(SUM(IF((CsDJ[JEV Number]=$C46)*(CsDJ[Account Code]=(K46)),CsDJ[Credit]))))</f>
        <v>0</v>
      </c>
      <c r="M46" s="689">
        <f t="array" ref="M46">IF(OR($C46=$C45,$C46=0),0,(SUM(IF((CsDJ[JEV Number]=$C46)*(CsDJ[Account Code]=(M$11)),CsDJ[Debit]))))</f>
        <v>0</v>
      </c>
      <c r="N46" s="689">
        <f t="array" ref="N46">IF(OR($C46=$C45,$C46=0),0,(SUM(IF((CsDJ[JEV Number]=$C46)*(CsDJ[Account Code]=(N$11)),CsDJ[Debit]))))</f>
        <v>0</v>
      </c>
      <c r="O46" s="689">
        <f t="array" ref="O46">IF(OR($C46=$C45,$C46=0),0,(SUM(IF((CsDJ[JEV Number]=$C46)*(CsDJ[Account Code]=(O$11)),CsDJ[Debit]))))</f>
        <v>0</v>
      </c>
      <c r="P46" s="689">
        <f t="array" ref="P46">IF(OR($C46=$C45,$C46=0),0,(SUM(IF((CsDJ[JEV Number]=$C46)*(CsDJ[Account Code]=(P$11)),CsDJ[Debit]))))</f>
        <v>0</v>
      </c>
      <c r="Q46" s="797"/>
      <c r="R46" s="689">
        <f t="array" ref="R46">IF($C46=0,0,(SUM(IF((CsDJ[JEV Number]=$C46)*(CsDJ[Account Code]=(Q46)),CsDJ[Debit]))))</f>
        <v>0</v>
      </c>
      <c r="S46" s="691">
        <f t="shared" si="6"/>
        <v>0</v>
      </c>
    </row>
    <row r="47" spans="1:19">
      <c r="A47" s="717" t="str">
        <f t="array" ref="A47">IF(OR(C47=C46,C47=0),"",INDEX(CsDJ[Date],MATCH(C47,CsDJ[JEV Number],0)))</f>
        <v/>
      </c>
      <c r="B47" s="846"/>
      <c r="C47" s="523" t="str">
        <f t="shared" si="7"/>
        <v>20-01-004</v>
      </c>
      <c r="D47" s="523"/>
      <c r="E47" s="523"/>
      <c r="F47" s="523"/>
      <c r="G47" s="280" t="str">
        <f t="array" ref="G47">IF(OR(C47=C46,C47=0),"",INDEX(CasheirCode[Name],MATCH((INDEX(CsDJ[Sort Code],MATCH(C47,CsDJ[JEV Number],0))),CasheirCode[Sort Code])))</f>
        <v/>
      </c>
      <c r="H47" s="519">
        <f t="array" ref="H47">IF(OR($C47=$C46,$C47=0),0,(SUM(IF((CsDJ[JEV Number]=$C47)*(CsDJ[Account Code]=(H$11)),CsDJ[Credit]))))</f>
        <v>0</v>
      </c>
      <c r="I47" s="519">
        <f t="array" ref="I47">IF(OR($C47=$C46,$C47=0),0,(SUM(IF((CsDJ[JEV Number]=$C47)*(CsDJ[Account Code]=(I$11)),CsDJ[Credit]))))</f>
        <v>0</v>
      </c>
      <c r="J47" s="519">
        <f t="array" ref="J47">IF(OR($C47=$C46,$C47=0),0,(SUM(IF((CsDJ[JEV Number]=$C47)*(CsDJ[Account Code]=(J$11)),CsDJ[Credit]))))</f>
        <v>0</v>
      </c>
      <c r="K47" s="773"/>
      <c r="L47" s="519">
        <f t="array" ref="L47">IF($C47=0,0,(SUM(IF((CsDJ[JEV Number]=$C47)*(CsDJ[Account Code]=(K47)),CsDJ[Credit]))))</f>
        <v>0</v>
      </c>
      <c r="M47" s="519">
        <f t="array" ref="M47">IF(OR($C47=$C46,$C47=0),0,(SUM(IF((CsDJ[JEV Number]=$C47)*(CsDJ[Account Code]=(M$11)),CsDJ[Debit]))))</f>
        <v>0</v>
      </c>
      <c r="N47" s="519">
        <f t="array" ref="N47">IF(OR($C47=$C46,$C47=0),0,(SUM(IF((CsDJ[JEV Number]=$C47)*(CsDJ[Account Code]=(N$11)),CsDJ[Debit]))))</f>
        <v>0</v>
      </c>
      <c r="O47" s="519">
        <f t="array" ref="O47">IF(OR($C47=$C46,$C47=0),0,(SUM(IF((CsDJ[JEV Number]=$C47)*(CsDJ[Account Code]=(O$11)),CsDJ[Debit]))))</f>
        <v>0</v>
      </c>
      <c r="P47" s="519">
        <f t="array" ref="P47">IF(OR($C47=$C46,$C47=0),0,(SUM(IF((CsDJ[JEV Number]=$C47)*(CsDJ[Account Code]=(P$11)),CsDJ[Debit]))))</f>
        <v>0</v>
      </c>
      <c r="Q47" s="796"/>
      <c r="R47" s="519">
        <f t="array" ref="R47">IF($C47=0,0,(SUM(IF((CsDJ[JEV Number]=$C47)*(CsDJ[Account Code]=(Q47)),CsDJ[Debit]))))</f>
        <v>0</v>
      </c>
      <c r="S47" s="758">
        <f t="shared" si="6"/>
        <v>0</v>
      </c>
    </row>
    <row r="48" spans="1:19">
      <c r="A48" s="670" t="str">
        <f t="array" ref="A48">IF(OR(C48=C47,C48=0),"",INDEX(CsDJ[Date],MATCH(C48,CsDJ[JEV Number],0)))</f>
        <v/>
      </c>
      <c r="B48" s="845"/>
      <c r="C48" s="687" t="str">
        <f t="shared" si="7"/>
        <v>20-01-004</v>
      </c>
      <c r="D48" s="687"/>
      <c r="E48" s="687"/>
      <c r="F48" s="687"/>
      <c r="G48" s="688" t="str">
        <f t="array" ref="G48">IF(OR(C48=C47,C48=0),"",INDEX(CasheirCode[Name],MATCH((INDEX(CsDJ[Sort Code],MATCH(C48,CsDJ[JEV Number],0))),CasheirCode[Sort Code])))</f>
        <v/>
      </c>
      <c r="H48" s="689">
        <f t="array" ref="H48">IF(OR($C48=$C47,$C48=0),0,(SUM(IF((CsDJ[JEV Number]=$C48)*(CsDJ[Account Code]=(H$11)),CsDJ[Credit]))))</f>
        <v>0</v>
      </c>
      <c r="I48" s="689">
        <f t="array" ref="I48">IF(OR($C48=$C47,$C48=0),0,(SUM(IF((CsDJ[JEV Number]=$C48)*(CsDJ[Account Code]=(I$11)),CsDJ[Credit]))))</f>
        <v>0</v>
      </c>
      <c r="J48" s="689">
        <f t="array" ref="J48">IF(OR($C48=$C47,$C48=0),0,(SUM(IF((CsDJ[JEV Number]=$C48)*(CsDJ[Account Code]=(J$11)),CsDJ[Credit]))))</f>
        <v>0</v>
      </c>
      <c r="K48" s="798"/>
      <c r="L48" s="689">
        <f t="array" ref="L48">IF($C48=0,0,(SUM(IF((CsDJ[JEV Number]=$C48)*(CsDJ[Account Code]=(K48)),CsDJ[Credit]))))</f>
        <v>0</v>
      </c>
      <c r="M48" s="689">
        <f t="array" ref="M48">IF(OR($C48=$C47,$C48=0),0,(SUM(IF((CsDJ[JEV Number]=$C48)*(CsDJ[Account Code]=(M$11)),CsDJ[Debit]))))</f>
        <v>0</v>
      </c>
      <c r="N48" s="689">
        <f t="array" ref="N48">IF(OR($C48=$C47,$C48=0),0,(SUM(IF((CsDJ[JEV Number]=$C48)*(CsDJ[Account Code]=(N$11)),CsDJ[Debit]))))</f>
        <v>0</v>
      </c>
      <c r="O48" s="689">
        <f t="array" ref="O48">IF(OR($C48=$C47,$C48=0),0,(SUM(IF((CsDJ[JEV Number]=$C48)*(CsDJ[Account Code]=(O$11)),CsDJ[Debit]))))</f>
        <v>0</v>
      </c>
      <c r="P48" s="689">
        <f t="array" ref="P48">IF(OR($C48=$C47,$C48=0),0,(SUM(IF((CsDJ[JEV Number]=$C48)*(CsDJ[Account Code]=(P$11)),CsDJ[Debit]))))</f>
        <v>0</v>
      </c>
      <c r="Q48" s="797"/>
      <c r="R48" s="689">
        <f t="array" ref="R48">IF($C48=0,0,(SUM(IF((CsDJ[JEV Number]=$C48)*(CsDJ[Account Code]=(Q48)),CsDJ[Debit]))))</f>
        <v>0</v>
      </c>
      <c r="S48" s="691">
        <f t="shared" si="6"/>
        <v>0</v>
      </c>
    </row>
    <row r="49" spans="1:19">
      <c r="A49" s="670" t="str">
        <f t="array" ref="A49">IF(OR(C49=C48,C49=0),"",INDEX(CsDJ[Date],MATCH(C49,CsDJ[JEV Number],0)))</f>
        <v/>
      </c>
      <c r="B49" s="838"/>
      <c r="C49" s="672" t="str">
        <f t="shared" si="7"/>
        <v>20-01-004</v>
      </c>
      <c r="D49" s="672"/>
      <c r="E49" s="672"/>
      <c r="F49" s="672"/>
      <c r="G49" s="673" t="str">
        <f t="array" ref="G49">IF(OR(C49=C48,C49=0),"",INDEX(CasheirCode[Name],MATCH((INDEX(CsDJ[Sort Code],MATCH(C49,CsDJ[JEV Number],0))),CasheirCode[Sort Code])))</f>
        <v/>
      </c>
      <c r="H49" s="674">
        <f t="array" ref="H49">IF(OR($C49=$C48,$C49=0),0,(SUM(IF((CsDJ[JEV Number]=$C49)*(CsDJ[Account Code]=(H$11)),CsDJ[Credit]))))</f>
        <v>0</v>
      </c>
      <c r="I49" s="674">
        <f t="array" ref="I49">IF(OR($C49=$C48,$C49=0),0,(SUM(IF((CsDJ[JEV Number]=$C49)*(CsDJ[Account Code]=(I$11)),CsDJ[Credit]))))</f>
        <v>0</v>
      </c>
      <c r="J49" s="674">
        <f t="array" ref="J49">IF(OR($C49=$C48,$C49=0),0,(SUM(IF((CsDJ[JEV Number]=$C49)*(CsDJ[Account Code]=(J$11)),CsDJ[Credit]))))</f>
        <v>0</v>
      </c>
      <c r="K49" s="773"/>
      <c r="L49" s="674">
        <f t="array" ref="L49">IF($C49=0,0,(SUM(IF((CsDJ[JEV Number]=$C49)*(CsDJ[Account Code]=(K49)),CsDJ[Credit]))))</f>
        <v>0</v>
      </c>
      <c r="M49" s="674">
        <f t="array" ref="M49">IF(OR($C49=$C48,$C49=0),0,(SUM(IF((CsDJ[JEV Number]=$C49)*(CsDJ[Account Code]=(M$11)),CsDJ[Debit]))))</f>
        <v>0</v>
      </c>
      <c r="N49" s="674">
        <f t="array" ref="N49">IF(OR($C49=$C48,$C49=0),0,(SUM(IF((CsDJ[JEV Number]=$C49)*(CsDJ[Account Code]=(N$11)),CsDJ[Debit]))))</f>
        <v>0</v>
      </c>
      <c r="O49" s="674">
        <f t="array" ref="O49">IF(OR($C49=$C48,$C49=0),0,(SUM(IF((CsDJ[JEV Number]=$C49)*(CsDJ[Account Code]=(O$11)),CsDJ[Debit]))))</f>
        <v>0</v>
      </c>
      <c r="P49" s="674">
        <f t="array" ref="P49">IF(OR($C49=$C48,$C49=0),0,(SUM(IF((CsDJ[JEV Number]=$C49)*(CsDJ[Account Code]=(P$11)),CsDJ[Debit]))))</f>
        <v>0</v>
      </c>
      <c r="Q49" s="720"/>
      <c r="R49" s="689">
        <f t="array" ref="R49">IF($C49=0,0,(SUM(IF((CsDJ[JEV Number]=$C49)*(CsDJ[Account Code]=(Q49)),CsDJ[Debit]))))</f>
        <v>0</v>
      </c>
      <c r="S49" s="676">
        <f t="shared" ref="S49:S55" si="8">S48+(SUM(M49:P49)+R49)-(SUM(H49:J49)+L49)</f>
        <v>0</v>
      </c>
    </row>
    <row r="50" spans="1:19">
      <c r="A50" s="717" t="str">
        <f t="array" ref="A50">IF(OR(C50=C49,C50=0),"",INDEX(CsDJ[Date],MATCH(C50,CsDJ[JEV Number],0)))</f>
        <v/>
      </c>
      <c r="B50" s="836"/>
      <c r="C50" s="524" t="str">
        <f t="shared" si="7"/>
        <v>20-01-004</v>
      </c>
      <c r="D50" s="524"/>
      <c r="E50" s="524"/>
      <c r="F50" s="524"/>
      <c r="G50" s="94" t="str">
        <f t="array" ref="G50">IF(OR(C50=C49,C50=0),"",INDEX(CasheirCode[Name],MATCH((INDEX(CsDJ[Sort Code],MATCH(C50,CsDJ[JEV Number],0))),CasheirCode[Sort Code])))</f>
        <v/>
      </c>
      <c r="H50" s="718">
        <f t="array" ref="H50">IF(OR($C50=$C49,$C50=0),0,(SUM(IF((CsDJ[JEV Number]=$C50)*(CsDJ[Account Code]=(H$11)),CsDJ[Credit]))))</f>
        <v>0</v>
      </c>
      <c r="I50" s="718">
        <f t="array" ref="I50">IF(OR($C50=$C49,$C50=0),0,(SUM(IF((CsDJ[JEV Number]=$C50)*(CsDJ[Account Code]=(I$11)),CsDJ[Credit]))))</f>
        <v>0</v>
      </c>
      <c r="J50" s="718">
        <f t="array" ref="J50">IF(OR($C50=$C49,$C50=0),0,(SUM(IF((CsDJ[JEV Number]=$C50)*(CsDJ[Account Code]=(J$11)),CsDJ[Credit]))))</f>
        <v>0</v>
      </c>
      <c r="K50" s="773"/>
      <c r="L50" s="718">
        <f t="array" ref="L50">IF($C50=0,0,(SUM(IF((CsDJ[JEV Number]=$C50)*(CsDJ[Account Code]=(K50)),CsDJ[Credit]))))</f>
        <v>0</v>
      </c>
      <c r="M50" s="718">
        <f t="array" ref="M50">IF(OR($C50=$C49,$C50=0),0,(SUM(IF((CsDJ[JEV Number]=$C50)*(CsDJ[Account Code]=(M$11)),CsDJ[Debit]))))</f>
        <v>0</v>
      </c>
      <c r="N50" s="718">
        <f t="array" ref="N50">IF(OR($C50=$C49,$C50=0),0,(SUM(IF((CsDJ[JEV Number]=$C50)*(CsDJ[Account Code]=(N$11)),CsDJ[Debit]))))</f>
        <v>0</v>
      </c>
      <c r="O50" s="718">
        <f t="array" ref="O50">IF(OR($C50=$C49,$C50=0),0,(SUM(IF((CsDJ[JEV Number]=$C50)*(CsDJ[Account Code]=(O$11)),CsDJ[Debit]))))</f>
        <v>0</v>
      </c>
      <c r="P50" s="718">
        <f t="array" ref="P50">IF(OR($C50=$C49,$C50=0),0,(SUM(IF((CsDJ[JEV Number]=$C50)*(CsDJ[Account Code]=(P$11)),CsDJ[Debit]))))</f>
        <v>0</v>
      </c>
      <c r="Q50" s="316"/>
      <c r="R50" s="519">
        <f t="array" ref="R50">IF($C50=0,0,(SUM(IF((CsDJ[JEV Number]=$C50)*(CsDJ[Account Code]=(Q50)),CsDJ[Debit]))))</f>
        <v>0</v>
      </c>
      <c r="S50" s="719">
        <f t="shared" si="8"/>
        <v>0</v>
      </c>
    </row>
    <row r="51" spans="1:19">
      <c r="A51" s="717" t="str">
        <f t="array" ref="A51">IF(OR(C51=C50,C51=0),"",INDEX(CsDJ[Date],MATCH(C51,CsDJ[JEV Number],0)))</f>
        <v/>
      </c>
      <c r="B51" s="836"/>
      <c r="C51" s="524" t="str">
        <f t="shared" si="7"/>
        <v>20-01-004</v>
      </c>
      <c r="D51" s="524"/>
      <c r="E51" s="524"/>
      <c r="F51" s="524"/>
      <c r="G51" s="94" t="str">
        <f t="array" ref="G51">IF(OR(C51=C50,C51=0),"",INDEX(CasheirCode[Name],MATCH((INDEX(CsDJ[Sort Code],MATCH(C51,CsDJ[JEV Number],0))),CasheirCode[Sort Code])))</f>
        <v/>
      </c>
      <c r="H51" s="718">
        <f t="array" ref="H51">IF(OR($C51=$C50,$C51=0),0,(SUM(IF((CsDJ[JEV Number]=$C51)*(CsDJ[Account Code]=(H$11)),CsDJ[Credit]))))</f>
        <v>0</v>
      </c>
      <c r="I51" s="718">
        <f t="array" ref="I51">IF(OR($C51=$C50,$C51=0),0,(SUM(IF((CsDJ[JEV Number]=$C51)*(CsDJ[Account Code]=(I$11)),CsDJ[Credit]))))</f>
        <v>0</v>
      </c>
      <c r="J51" s="718">
        <f t="array" ref="J51">IF(OR($C51=$C50,$C51=0),0,(SUM(IF((CsDJ[JEV Number]=$C51)*(CsDJ[Account Code]=(J$11)),CsDJ[Credit]))))</f>
        <v>0</v>
      </c>
      <c r="K51" s="798"/>
      <c r="L51" s="718">
        <f t="array" ref="L51">IF($C51=0,0,(SUM(IF((CsDJ[JEV Number]=$C51)*(CsDJ[Account Code]=(K51)),CsDJ[Credit]))))</f>
        <v>0</v>
      </c>
      <c r="M51" s="718">
        <f t="array" ref="M51">IF(OR($C51=$C50,$C51=0),0,(SUM(IF((CsDJ[JEV Number]=$C51)*(CsDJ[Account Code]=(M$11)),CsDJ[Debit]))))</f>
        <v>0</v>
      </c>
      <c r="N51" s="718">
        <f t="array" ref="N51">IF(OR($C51=$C50,$C51=0),0,(SUM(IF((CsDJ[JEV Number]=$C51)*(CsDJ[Account Code]=(N$11)),CsDJ[Debit]))))</f>
        <v>0</v>
      </c>
      <c r="O51" s="718">
        <f t="array" ref="O51">IF(OR($C51=$C50,$C51=0),0,(SUM(IF((CsDJ[JEV Number]=$C51)*(CsDJ[Account Code]=(O$11)),CsDJ[Debit]))))</f>
        <v>0</v>
      </c>
      <c r="P51" s="718">
        <f t="array" ref="P51">IF(OR($C51=$C50,$C51=0),0,(SUM(IF((CsDJ[JEV Number]=$C51)*(CsDJ[Account Code]=(P$11)),CsDJ[Debit]))))</f>
        <v>0</v>
      </c>
      <c r="Q51" s="316"/>
      <c r="R51" s="519">
        <f t="array" ref="R51">IF($C51=0,0,(SUM(IF((CsDJ[JEV Number]=$C51)*(CsDJ[Account Code]=(Q51)),CsDJ[Debit]))))</f>
        <v>0</v>
      </c>
      <c r="S51" s="719">
        <f t="shared" si="8"/>
        <v>0</v>
      </c>
    </row>
    <row r="52" spans="1:19">
      <c r="A52" s="670" t="str">
        <f t="array" ref="A52">IF(OR(C52=C51,C52=0),"",INDEX(CsDJ[Date],MATCH(C52,CsDJ[JEV Number],0)))</f>
        <v/>
      </c>
      <c r="B52" s="838"/>
      <c r="C52" s="672" t="str">
        <f t="shared" si="7"/>
        <v>20-01-004</v>
      </c>
      <c r="D52" s="672"/>
      <c r="E52" s="672"/>
      <c r="F52" s="672"/>
      <c r="G52" s="673" t="str">
        <f t="array" ref="G52">IF(OR(C52=C51,C52=0),"",INDEX(CasheirCode[Name],MATCH((INDEX(CsDJ[Sort Code],MATCH(C52,CsDJ[JEV Number],0))),CasheirCode[Sort Code])))</f>
        <v/>
      </c>
      <c r="H52" s="674">
        <f t="array" ref="H52">IF(OR($C52=$C51,$C52=0),0,(SUM(IF((CsDJ[JEV Number]=$C52)*(CsDJ[Account Code]=(H$11)),CsDJ[Credit]))))</f>
        <v>0</v>
      </c>
      <c r="I52" s="674">
        <f t="array" ref="I52">IF(OR($C52=$C51,$C52=0),0,(SUM(IF((CsDJ[JEV Number]=$C52)*(CsDJ[Account Code]=(I$11)),CsDJ[Credit]))))</f>
        <v>0</v>
      </c>
      <c r="J52" s="674">
        <f t="array" ref="J52">IF(OR($C52=$C51,$C52=0),0,(SUM(IF((CsDJ[JEV Number]=$C52)*(CsDJ[Account Code]=(J$11)),CsDJ[Credit]))))</f>
        <v>0</v>
      </c>
      <c r="K52" s="773"/>
      <c r="L52" s="674">
        <f t="array" ref="L52">IF($C52=0,0,(SUM(IF((CsDJ[JEV Number]=$C52)*(CsDJ[Account Code]=(K52)),CsDJ[Credit]))))</f>
        <v>0</v>
      </c>
      <c r="M52" s="674">
        <f t="array" ref="M52">IF(OR($C52=$C51,$C52=0),0,(SUM(IF((CsDJ[JEV Number]=$C52)*(CsDJ[Account Code]=(M$11)),CsDJ[Debit]))))</f>
        <v>0</v>
      </c>
      <c r="N52" s="674">
        <f t="array" ref="N52">IF(OR($C52=$C51,$C52=0),0,(SUM(IF((CsDJ[JEV Number]=$C52)*(CsDJ[Account Code]=(N$11)),CsDJ[Debit]))))</f>
        <v>0</v>
      </c>
      <c r="O52" s="674">
        <f t="array" ref="O52">IF(OR($C52=$C51,$C52=0),0,(SUM(IF((CsDJ[JEV Number]=$C52)*(CsDJ[Account Code]=(O$11)),CsDJ[Debit]))))</f>
        <v>0</v>
      </c>
      <c r="P52" s="674">
        <f t="array" ref="P52">IF(OR($C52=$C51,$C52=0),0,(SUM(IF((CsDJ[JEV Number]=$C52)*(CsDJ[Account Code]=(P$11)),CsDJ[Debit]))))</f>
        <v>0</v>
      </c>
      <c r="Q52" s="722"/>
      <c r="R52" s="689">
        <f t="array" ref="R52">IF($C52=0,0,(SUM(IF((CsDJ[JEV Number]=$C52)*(CsDJ[Account Code]=(Q52)),CsDJ[Debit]))))</f>
        <v>0</v>
      </c>
      <c r="S52" s="676">
        <f t="shared" si="8"/>
        <v>0</v>
      </c>
    </row>
    <row r="53" spans="1:19">
      <c r="A53" s="717" t="str">
        <f t="array" ref="A53">IF(OR(C53=C52,C53=0),"",INDEX(CsDJ[Date],MATCH(C53,CsDJ[JEV Number],0)))</f>
        <v/>
      </c>
      <c r="B53" s="836"/>
      <c r="C53" s="524" t="str">
        <f t="shared" si="7"/>
        <v>20-01-004</v>
      </c>
      <c r="D53" s="524"/>
      <c r="E53" s="524"/>
      <c r="F53" s="524"/>
      <c r="G53" s="94" t="str">
        <f t="array" ref="G53">IF(OR(C53=C52,C53=0),"",INDEX(CasheirCode[Name],MATCH((INDEX(CsDJ[Sort Code],MATCH(C53,CsDJ[JEV Number],0))),CasheirCode[Sort Code])))</f>
        <v/>
      </c>
      <c r="H53" s="718">
        <f t="array" ref="H53">IF(OR($C53=$C52,$C53=0),0,(SUM(IF((CsDJ[JEV Number]=$C53)*(CsDJ[Account Code]=(H$11)),CsDJ[Credit]))))</f>
        <v>0</v>
      </c>
      <c r="I53" s="718">
        <f t="array" ref="I53">IF(OR($C53=$C52,$C53=0),0,(SUM(IF((CsDJ[JEV Number]=$C53)*(CsDJ[Account Code]=(I$11)),CsDJ[Credit]))))</f>
        <v>0</v>
      </c>
      <c r="J53" s="718">
        <f t="array" ref="J53">IF(OR($C53=$C52,$C53=0),0,(SUM(IF((CsDJ[JEV Number]=$C53)*(CsDJ[Account Code]=(J$11)),CsDJ[Credit]))))</f>
        <v>0</v>
      </c>
      <c r="K53" s="773"/>
      <c r="L53" s="718">
        <f t="array" ref="L53">IF($C53=0,0,(SUM(IF((CsDJ[JEV Number]=$C53)*(CsDJ[Account Code]=(K53)),CsDJ[Credit]))))</f>
        <v>0</v>
      </c>
      <c r="M53" s="718">
        <f t="array" ref="M53">IF(OR($C53=$C52,$C53=0),0,(SUM(IF((CsDJ[JEV Number]=$C53)*(CsDJ[Account Code]=(M$11)),CsDJ[Debit]))))</f>
        <v>0</v>
      </c>
      <c r="N53" s="718">
        <f t="array" ref="N53">IF(OR($C53=$C52,$C53=0),0,(SUM(IF((CsDJ[JEV Number]=$C53)*(CsDJ[Account Code]=(N$11)),CsDJ[Debit]))))</f>
        <v>0</v>
      </c>
      <c r="O53" s="718">
        <f t="array" ref="O53">IF(OR($C53=$C52,$C53=0),0,(SUM(IF((CsDJ[JEV Number]=$C53)*(CsDJ[Account Code]=(O$11)),CsDJ[Debit]))))</f>
        <v>0</v>
      </c>
      <c r="P53" s="718">
        <f t="array" ref="P53">IF(OR($C53=$C52,$C53=0),0,(SUM(IF((CsDJ[JEV Number]=$C53)*(CsDJ[Account Code]=(P$11)),CsDJ[Debit]))))</f>
        <v>0</v>
      </c>
      <c r="Q53" s="721"/>
      <c r="R53" s="519">
        <f t="array" ref="R53">IF($C53=0,0,(SUM(IF((CsDJ[JEV Number]=$C53)*(CsDJ[Account Code]=(Q53)),CsDJ[Debit]))))</f>
        <v>0</v>
      </c>
      <c r="S53" s="719">
        <f t="shared" si="8"/>
        <v>0</v>
      </c>
    </row>
    <row r="54" spans="1:19">
      <c r="A54" s="717" t="str">
        <f t="array" ref="A54">IF(OR(C54=C53,C54=0),"",INDEX(CsDJ[Date],MATCH(C54,CsDJ[JEV Number],0)))</f>
        <v/>
      </c>
      <c r="B54" s="836"/>
      <c r="C54" s="524" t="str">
        <f t="shared" si="7"/>
        <v>20-01-004</v>
      </c>
      <c r="D54" s="524"/>
      <c r="E54" s="524"/>
      <c r="F54" s="524"/>
      <c r="G54" s="94" t="str">
        <f t="array" ref="G54">IF(OR(C54=C53,C54=0),"",INDEX(CasheirCode[Name],MATCH((INDEX(CsDJ[Sort Code],MATCH(C54,CsDJ[JEV Number],0))),CasheirCode[Sort Code])))</f>
        <v/>
      </c>
      <c r="H54" s="718">
        <f t="array" ref="H54">IF(OR($C54=$C53,$C54=0),0,(SUM(IF((CsDJ[JEV Number]=$C54)*(CsDJ[Account Code]=(H$11)),CsDJ[Credit]))))</f>
        <v>0</v>
      </c>
      <c r="I54" s="718">
        <f t="array" ref="I54">IF(OR($C54=$C53,$C54=0),0,(SUM(IF((CsDJ[JEV Number]=$C54)*(CsDJ[Account Code]=(I$11)),CsDJ[Credit]))))</f>
        <v>0</v>
      </c>
      <c r="J54" s="718">
        <f t="array" ref="J54">IF(OR($C54=$C53,$C54=0),0,(SUM(IF((CsDJ[JEV Number]=$C54)*(CsDJ[Account Code]=(J$11)),CsDJ[Credit]))))</f>
        <v>0</v>
      </c>
      <c r="K54" s="798"/>
      <c r="L54" s="718">
        <f t="array" ref="L54">IF($C54=0,0,(SUM(IF((CsDJ[JEV Number]=$C54)*(CsDJ[Account Code]=(K54)),CsDJ[Credit]))))</f>
        <v>0</v>
      </c>
      <c r="M54" s="718">
        <f t="array" ref="M54">IF(OR($C54=$C53,$C54=0),0,(SUM(IF((CsDJ[JEV Number]=$C54)*(CsDJ[Account Code]=(M$11)),CsDJ[Debit]))))</f>
        <v>0</v>
      </c>
      <c r="N54" s="718">
        <f t="array" ref="N54">IF(OR($C54=$C53,$C54=0),0,(SUM(IF((CsDJ[JEV Number]=$C54)*(CsDJ[Account Code]=(N$11)),CsDJ[Debit]))))</f>
        <v>0</v>
      </c>
      <c r="O54" s="718">
        <f t="array" ref="O54">IF(OR($C54=$C53,$C54=0),0,(SUM(IF((CsDJ[JEV Number]=$C54)*(CsDJ[Account Code]=(O$11)),CsDJ[Debit]))))</f>
        <v>0</v>
      </c>
      <c r="P54" s="718">
        <f t="array" ref="P54">IF(OR($C54=$C53,$C54=0),0,(SUM(IF((CsDJ[JEV Number]=$C54)*(CsDJ[Account Code]=(P$11)),CsDJ[Debit]))))</f>
        <v>0</v>
      </c>
      <c r="Q54" s="316"/>
      <c r="R54" s="519">
        <f t="array" ref="R54">IF($C54=0,0,(SUM(IF((CsDJ[JEV Number]=$C54)*(CsDJ[Account Code]=(Q54)),CsDJ[Debit]))))</f>
        <v>0</v>
      </c>
      <c r="S54" s="719">
        <f t="shared" si="8"/>
        <v>0</v>
      </c>
    </row>
    <row r="55" spans="1:19">
      <c r="A55" s="670" t="str">
        <f t="array" ref="A55">IF(OR(C55=C54,C55=0),"",INDEX(CsDJ[Date],MATCH(C55,CsDJ[JEV Number],0)))</f>
        <v/>
      </c>
      <c r="B55" s="847"/>
      <c r="C55" s="687" t="str">
        <f t="shared" si="7"/>
        <v>20-01-004</v>
      </c>
      <c r="D55" s="687"/>
      <c r="E55" s="687"/>
      <c r="F55" s="687"/>
      <c r="G55" s="688" t="str">
        <f t="array" ref="G55">IF(OR(C55=C54,C55=0),"",INDEX(CasheirCode[Name],MATCH((INDEX(CsDJ[Sort Code],MATCH(C55,CsDJ[JEV Number],0))),CasheirCode[Sort Code])))</f>
        <v/>
      </c>
      <c r="H55" s="689">
        <f t="array" ref="H55">IF(OR($C55=$C54,$C55=0),0,(SUM(IF((CsDJ[JEV Number]=$C55)*(CsDJ[Account Code]=(H$11)),CsDJ[Credit]))))</f>
        <v>0</v>
      </c>
      <c r="I55" s="689">
        <f t="array" ref="I55">IF(OR($C55=$C54,$C55=0),0,(SUM(IF((CsDJ[JEV Number]=$C55)*(CsDJ[Account Code]=(I$11)),CsDJ[Credit]))))</f>
        <v>0</v>
      </c>
      <c r="J55" s="689">
        <f t="array" ref="J55">IF(OR($C55=$C54,$C55=0),0,(SUM(IF((CsDJ[JEV Number]=$C55)*(CsDJ[Account Code]=(J$11)),CsDJ[Credit]))))</f>
        <v>0</v>
      </c>
      <c r="K55" s="773"/>
      <c r="L55" s="689">
        <f t="array" ref="L55">IF($C55=0,0,(SUM(IF((CsDJ[JEV Number]=$C55)*(CsDJ[Account Code]=(K55)),CsDJ[Credit]))))</f>
        <v>0</v>
      </c>
      <c r="M55" s="689">
        <f t="array" ref="M55">IF(OR($C55=$C54,$C55=0),0,(SUM(IF((CsDJ[JEV Number]=$C55)*(CsDJ[Account Code]=(M$11)),CsDJ[Debit]))))</f>
        <v>0</v>
      </c>
      <c r="N55" s="689">
        <f t="array" ref="N55">IF(OR($C55=$C54,$C55=0),0,(SUM(IF((CsDJ[JEV Number]=$C55)*(CsDJ[Account Code]=(N$11)),CsDJ[Debit]))))</f>
        <v>0</v>
      </c>
      <c r="O55" s="689">
        <f t="array" ref="O55">IF(OR($C55=$C54,$C55=0),0,(SUM(IF((CsDJ[JEV Number]=$C55)*(CsDJ[Account Code]=(O$11)),CsDJ[Debit]))))</f>
        <v>0</v>
      </c>
      <c r="P55" s="689">
        <f t="array" ref="P55">IF(OR($C55=$C54,$C55=0),0,(SUM(IF((CsDJ[JEV Number]=$C55)*(CsDJ[Account Code]=(P$11)),CsDJ[Debit]))))</f>
        <v>0</v>
      </c>
      <c r="Q55" s="807"/>
      <c r="R55" s="689">
        <f t="array" ref="R55">IF($C55=0,0,(SUM(IF((CsDJ[JEV Number]=$C55)*(CsDJ[Account Code]=(Q55)),CsDJ[Debit]))))</f>
        <v>0</v>
      </c>
      <c r="S55" s="691">
        <f t="shared" si="8"/>
        <v>0</v>
      </c>
    </row>
    <row r="58" spans="1:19">
      <c r="H58" s="707" t="s">
        <v>482</v>
      </c>
      <c r="M58" s="707" t="s">
        <v>353</v>
      </c>
    </row>
    <row r="59" spans="1:19">
      <c r="H59" s="526"/>
      <c r="I59" s="707"/>
      <c r="M59" s="526"/>
      <c r="N59" s="707" t="s">
        <v>1559</v>
      </c>
    </row>
    <row r="60" spans="1:19">
      <c r="H60" s="526"/>
      <c r="I60" s="707"/>
      <c r="M60" s="526"/>
      <c r="N60" s="707" t="s">
        <v>742</v>
      </c>
    </row>
  </sheetData>
  <sheetProtection insertRows="0" autoFilter="0" pivotTables="0"/>
  <mergeCells count="21">
    <mergeCell ref="S10:S12"/>
    <mergeCell ref="H11:H12"/>
    <mergeCell ref="I11:I12"/>
    <mergeCell ref="K11:L11"/>
    <mergeCell ref="M11:M12"/>
    <mergeCell ref="N11:N12"/>
    <mergeCell ref="O11:O12"/>
    <mergeCell ref="P11:P12"/>
    <mergeCell ref="Q11:R11"/>
    <mergeCell ref="J11:J12"/>
    <mergeCell ref="G1:P2"/>
    <mergeCell ref="A10:A12"/>
    <mergeCell ref="B10:B12"/>
    <mergeCell ref="C10:C12"/>
    <mergeCell ref="D10:D12"/>
    <mergeCell ref="E10:F11"/>
    <mergeCell ref="G10:G12"/>
    <mergeCell ref="H10:L10"/>
    <mergeCell ref="M10:R10"/>
    <mergeCell ref="G4:P5"/>
    <mergeCell ref="G3:P3"/>
  </mergeCells>
  <pageMargins left="1.1417322834645669" right="0.23622047244094491" top="0.74803149606299213" bottom="0.23622047244094491" header="0.31496062992125984" footer="0.31496062992125984"/>
  <pageSetup paperSize="8" scale="85" orientation="landscape"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7030A0"/>
  </sheetPr>
  <dimension ref="A1:V1189"/>
  <sheetViews>
    <sheetView showZeros="0" topLeftCell="A7" workbookViewId="0">
      <selection activeCell="W61" sqref="W61"/>
    </sheetView>
  </sheetViews>
  <sheetFormatPr defaultColWidth="9" defaultRowHeight="15.75"/>
  <cols>
    <col min="1" max="1" width="6" style="25" customWidth="1"/>
    <col min="2" max="3" width="2.125" style="25" customWidth="1"/>
    <col min="4" max="4" width="4.875" style="25" customWidth="1"/>
    <col min="5" max="5" width="8.125" style="25" customWidth="1"/>
    <col min="6" max="6" width="5.5" style="25" customWidth="1"/>
    <col min="7" max="7" width="0.875" style="25" customWidth="1"/>
    <col min="8" max="8" width="4.125" style="25" customWidth="1"/>
    <col min="9" max="9" width="26" style="25" customWidth="1"/>
    <col min="10" max="10" width="4.125" style="25" customWidth="1"/>
    <col min="11" max="11" width="9.5" style="25" customWidth="1"/>
    <col min="12" max="12" width="14.125" style="86" customWidth="1"/>
    <col min="13" max="13" width="4.875" style="25" customWidth="1"/>
    <col min="14" max="14" width="14.125" style="25" hidden="1" customWidth="1"/>
    <col min="15" max="15" width="13.875" style="25" hidden="1" customWidth="1"/>
    <col min="16" max="16" width="10.625" style="25" customWidth="1"/>
    <col min="17" max="17" width="2.125" style="25" customWidth="1"/>
    <col min="18" max="18" width="2.625" style="25" customWidth="1"/>
    <col min="19" max="20" width="2.125" style="25" customWidth="1"/>
    <col min="21" max="22" width="5.625" style="25" customWidth="1"/>
    <col min="23" max="16384" width="9" style="25"/>
  </cols>
  <sheetData>
    <row r="1" spans="1:22" ht="22.5">
      <c r="A1" s="31" t="s">
        <v>441</v>
      </c>
      <c r="B1" s="32"/>
      <c r="C1" s="32"/>
      <c r="D1" s="32"/>
      <c r="E1" s="32"/>
      <c r="F1" s="32"/>
      <c r="G1" s="32"/>
      <c r="H1" s="32"/>
      <c r="I1" s="32"/>
      <c r="J1" s="32"/>
      <c r="K1" s="32"/>
      <c r="L1" s="32"/>
      <c r="M1" s="32"/>
      <c r="N1" s="32"/>
      <c r="O1" s="32"/>
      <c r="P1" s="32"/>
      <c r="Q1" s="33"/>
      <c r="R1" s="1218">
        <f>+P55-S55</f>
        <v>0</v>
      </c>
      <c r="S1" s="1219"/>
      <c r="T1" s="1219"/>
      <c r="U1" s="1219"/>
      <c r="V1" s="1220"/>
    </row>
    <row r="2" spans="1:22">
      <c r="A2" s="34" t="s">
        <v>1563</v>
      </c>
      <c r="B2" s="35"/>
      <c r="C2" s="35"/>
      <c r="D2" s="35"/>
      <c r="E2" s="35"/>
      <c r="F2" s="35"/>
      <c r="G2" s="35"/>
      <c r="H2" s="35"/>
      <c r="I2" s="35"/>
      <c r="J2" s="35"/>
      <c r="K2" s="35"/>
      <c r="L2" s="35"/>
      <c r="M2" s="35"/>
      <c r="N2" s="35"/>
      <c r="O2" s="35"/>
      <c r="P2" s="35"/>
      <c r="Q2" s="36"/>
      <c r="R2" s="37" t="s">
        <v>443</v>
      </c>
      <c r="S2"/>
      <c r="T2" s="1221" t="s">
        <v>1618</v>
      </c>
      <c r="U2" s="1221"/>
      <c r="V2" s="1222"/>
    </row>
    <row r="3" spans="1:22">
      <c r="A3" s="38" t="s">
        <v>444</v>
      </c>
      <c r="B3" s="35"/>
      <c r="C3" s="35"/>
      <c r="D3" s="35"/>
      <c r="E3" s="35"/>
      <c r="F3" s="35"/>
      <c r="G3" s="35"/>
      <c r="H3" s="35"/>
      <c r="I3" s="35"/>
      <c r="J3" s="35"/>
      <c r="K3" s="35"/>
      <c r="L3" s="35"/>
      <c r="M3" s="35"/>
      <c r="N3" s="35"/>
      <c r="O3" s="35"/>
      <c r="P3" s="35"/>
      <c r="Q3" s="36"/>
      <c r="R3" s="37" t="s">
        <v>0</v>
      </c>
      <c r="S3"/>
      <c r="T3" s="1223">
        <f>IF(T2=0,0,(LOOKUP(T2,CsDJ[JEV Number],CsDJ[Date])))</f>
        <v>43861</v>
      </c>
      <c r="U3" s="1223"/>
      <c r="V3" s="1224"/>
    </row>
    <row r="4" spans="1:22" ht="16.5" thickBot="1">
      <c r="A4" s="39"/>
      <c r="B4" s="40"/>
      <c r="C4" s="40"/>
      <c r="D4" s="40"/>
      <c r="E4" s="40"/>
      <c r="F4" s="40"/>
      <c r="G4" s="40"/>
      <c r="H4" s="40"/>
      <c r="I4" s="40"/>
      <c r="J4" s="40"/>
      <c r="K4" s="40"/>
      <c r="L4" s="40"/>
      <c r="M4" s="40"/>
      <c r="N4" s="40"/>
      <c r="O4" s="40"/>
      <c r="P4" s="40"/>
      <c r="Q4" s="41"/>
      <c r="R4" s="42"/>
      <c r="S4" s="43"/>
      <c r="T4" s="43"/>
      <c r="U4" s="43"/>
      <c r="V4" s="44"/>
    </row>
    <row r="5" spans="1:22">
      <c r="A5" s="45"/>
      <c r="B5" s="46"/>
      <c r="C5" s="46"/>
      <c r="D5" s="46"/>
      <c r="E5" s="46"/>
      <c r="F5" s="46"/>
      <c r="G5" s="46"/>
      <c r="H5" s="46"/>
      <c r="I5" s="46"/>
      <c r="J5" s="46"/>
      <c r="K5" s="46"/>
      <c r="L5" s="47"/>
      <c r="M5" s="46"/>
      <c r="N5" s="46"/>
      <c r="O5" s="46"/>
      <c r="P5" s="46"/>
      <c r="Q5" s="46"/>
      <c r="R5" s="46"/>
      <c r="S5" s="46"/>
      <c r="T5" s="46"/>
      <c r="U5" s="46"/>
      <c r="V5" s="48"/>
    </row>
    <row r="6" spans="1:22">
      <c r="A6" s="49"/>
      <c r="B6" s="1225"/>
      <c r="C6" s="1225"/>
      <c r="D6" s="50" t="s">
        <v>445</v>
      </c>
      <c r="H6" s="51"/>
      <c r="I6" s="25" t="s">
        <v>447</v>
      </c>
      <c r="J6" s="132" t="s">
        <v>446</v>
      </c>
      <c r="K6" s="52" t="s">
        <v>448</v>
      </c>
      <c r="L6" s="52"/>
      <c r="Q6" s="1225"/>
      <c r="R6" s="1225"/>
      <c r="S6" s="50" t="s">
        <v>449</v>
      </c>
      <c r="T6" s="50"/>
      <c r="U6" s="50"/>
      <c r="V6" s="53"/>
    </row>
    <row r="7" spans="1:22" ht="16.5" thickBot="1">
      <c r="A7" s="54"/>
      <c r="B7" s="55"/>
      <c r="C7" s="55"/>
      <c r="D7" s="55"/>
      <c r="E7" s="55"/>
      <c r="F7" s="55"/>
      <c r="G7" s="55"/>
      <c r="H7" s="55"/>
      <c r="I7" s="55"/>
      <c r="J7" s="55"/>
      <c r="K7" s="55"/>
      <c r="L7" s="56"/>
      <c r="M7" s="55"/>
      <c r="N7" s="55"/>
      <c r="O7" s="55"/>
      <c r="P7" s="55"/>
      <c r="Q7" s="55"/>
      <c r="R7" s="55"/>
      <c r="S7" s="55"/>
      <c r="T7" s="55"/>
      <c r="U7" s="55"/>
      <c r="V7" s="57"/>
    </row>
    <row r="8" spans="1:22">
      <c r="A8" s="1226" t="s">
        <v>397</v>
      </c>
      <c r="B8" s="1227"/>
      <c r="C8" s="1227"/>
      <c r="D8" s="1228"/>
      <c r="E8" s="1235" t="s">
        <v>450</v>
      </c>
      <c r="F8" s="1235"/>
      <c r="G8" s="1235"/>
      <c r="H8" s="1235"/>
      <c r="I8" s="1235"/>
      <c r="J8" s="1235"/>
      <c r="K8" s="1235"/>
      <c r="L8" s="1235"/>
      <c r="M8" s="1235"/>
      <c r="N8" s="1235"/>
      <c r="O8" s="1235"/>
      <c r="P8" s="1235"/>
      <c r="Q8" s="1235"/>
      <c r="R8" s="1235"/>
      <c r="S8" s="1235"/>
      <c r="T8" s="1235"/>
      <c r="U8" s="1235"/>
      <c r="V8" s="1236"/>
    </row>
    <row r="9" spans="1:22">
      <c r="A9" s="1229"/>
      <c r="B9" s="1230"/>
      <c r="C9" s="1230"/>
      <c r="D9" s="1231"/>
      <c r="E9" s="1237" t="s">
        <v>451</v>
      </c>
      <c r="F9" s="1237"/>
      <c r="G9" s="1237"/>
      <c r="H9" s="1237"/>
      <c r="I9" s="1237"/>
      <c r="J9" s="1237"/>
      <c r="K9" s="1239" t="s">
        <v>378</v>
      </c>
      <c r="L9" s="1239"/>
      <c r="M9" s="1237" t="s">
        <v>452</v>
      </c>
      <c r="N9" s="1240" t="s">
        <v>453</v>
      </c>
      <c r="O9" s="1241"/>
      <c r="P9" s="1241"/>
      <c r="Q9" s="1241"/>
      <c r="R9" s="1241"/>
      <c r="S9" s="1241"/>
      <c r="T9" s="1241"/>
      <c r="U9" s="1241"/>
      <c r="V9" s="1242"/>
    </row>
    <row r="10" spans="1:22" ht="16.5" customHeight="1" thickBot="1">
      <c r="A10" s="1232"/>
      <c r="B10" s="1233"/>
      <c r="C10" s="1233"/>
      <c r="D10" s="1234"/>
      <c r="E10" s="1238"/>
      <c r="F10" s="1238"/>
      <c r="G10" s="1238"/>
      <c r="H10" s="1238"/>
      <c r="I10" s="1238"/>
      <c r="J10" s="1238"/>
      <c r="K10" s="58" t="s">
        <v>454</v>
      </c>
      <c r="L10" s="58" t="s">
        <v>455</v>
      </c>
      <c r="M10" s="1238"/>
      <c r="N10" s="87" t="s">
        <v>466</v>
      </c>
      <c r="O10" s="87" t="s">
        <v>467</v>
      </c>
      <c r="P10" s="1243" t="s">
        <v>1</v>
      </c>
      <c r="Q10" s="1244"/>
      <c r="R10" s="1245"/>
      <c r="S10" s="1243" t="s">
        <v>2</v>
      </c>
      <c r="T10" s="1244"/>
      <c r="U10" s="1244"/>
      <c r="V10" s="1246"/>
    </row>
    <row r="11" spans="1:22" ht="19.5">
      <c r="A11" s="1210">
        <f>P55-S55</f>
        <v>0</v>
      </c>
      <c r="B11" s="1211"/>
      <c r="C11" s="1211"/>
      <c r="D11" s="1211"/>
      <c r="E11" s="1212" t="str">
        <f>Account!$G$1</f>
        <v>FUND 501 CARP</v>
      </c>
      <c r="F11" s="1213"/>
      <c r="G11" s="1213"/>
      <c r="H11" s="1213"/>
      <c r="I11" s="1213"/>
      <c r="J11" s="1214"/>
      <c r="K11" s="59"/>
      <c r="L11" s="59"/>
      <c r="M11" s="60"/>
      <c r="N11" s="60"/>
      <c r="O11" s="60"/>
      <c r="P11" s="1215"/>
      <c r="Q11" s="1215"/>
      <c r="R11" s="1215"/>
      <c r="S11" s="1215"/>
      <c r="T11" s="1215"/>
      <c r="U11" s="1215"/>
      <c r="V11" s="1216"/>
    </row>
    <row r="12" spans="1:22">
      <c r="A12" s="1195"/>
      <c r="B12" s="1196"/>
      <c r="C12" s="1196"/>
      <c r="D12" s="1196"/>
      <c r="E12" s="1196"/>
      <c r="F12" s="1196"/>
      <c r="G12" s="1196"/>
      <c r="H12" s="1196"/>
      <c r="I12" s="1196"/>
      <c r="J12" s="1196"/>
      <c r="K12" s="61"/>
      <c r="L12" s="61"/>
      <c r="M12" s="14"/>
      <c r="N12" s="14"/>
      <c r="O12" s="14"/>
      <c r="P12" s="1196"/>
      <c r="Q12" s="1196"/>
      <c r="R12" s="1196"/>
      <c r="S12" s="1196"/>
      <c r="T12" s="1196"/>
      <c r="U12" s="1196"/>
      <c r="V12" s="1217"/>
    </row>
    <row r="13" spans="1:22">
      <c r="A13" s="1195"/>
      <c r="B13" s="1196"/>
      <c r="C13" s="1196"/>
      <c r="D13" s="1196"/>
      <c r="E13" s="1197" t="str">
        <f>IF(K13=0,0,(INDEX(AccountCodes[ACCOUNT NAME],MATCH(K13,AccountCodes[NGAS CODE],0))))</f>
        <v>Advances for Payroll</v>
      </c>
      <c r="F13" s="1198"/>
      <c r="G13" s="1198"/>
      <c r="H13" s="1198"/>
      <c r="I13" s="1198"/>
      <c r="J13" s="1199"/>
      <c r="K13" s="661" t="s">
        <v>12</v>
      </c>
      <c r="L13" s="62">
        <f t="array" ref="L13">IF(K13=0,0,(INDEX(AccountCodes[PPSAS CODE],MATCH(K13,AccountCodes[NGAS CODE],0))))</f>
        <v>1990102000</v>
      </c>
      <c r="M13" s="14"/>
      <c r="N13" s="89">
        <f t="array" ref="N13">SUM(IF((CsDJ[JEV Number]=TRIM($T$2))*(CsDJ[Account Code]=TRIM(K13)),CsDJ[Debit]))</f>
        <v>0</v>
      </c>
      <c r="O13" s="89">
        <f t="array" ref="O13">SUM(IF((CsDJ[JEV Number]=TRIM($T$2))*(CsDJ[Account Code]=TRIM(K13)),CsDJ[Credit]))</f>
        <v>0</v>
      </c>
      <c r="P13" s="1200">
        <f t="shared" ref="P13:P34" si="0">N13</f>
        <v>0</v>
      </c>
      <c r="Q13" s="1200"/>
      <c r="R13" s="1200"/>
      <c r="S13" s="1200">
        <f t="shared" ref="S13:S34" si="1">O13</f>
        <v>0</v>
      </c>
      <c r="T13" s="1200"/>
      <c r="U13" s="1200"/>
      <c r="V13" s="1201"/>
    </row>
    <row r="14" spans="1:22">
      <c r="A14" s="1195"/>
      <c r="B14" s="1196"/>
      <c r="C14" s="1196"/>
      <c r="D14" s="1196"/>
      <c r="E14" s="1197" t="str">
        <f>IF(K14=0,0,(INDEX(AccountCodes[ACCOUNT NAME],MATCH(K14,AccountCodes[NGAS CODE],0))))</f>
        <v>Due to GSIS - Life and Retirement Premium</v>
      </c>
      <c r="F14" s="1198"/>
      <c r="G14" s="1198"/>
      <c r="H14" s="1198"/>
      <c r="I14" s="1198"/>
      <c r="J14" s="1199"/>
      <c r="K14" s="661" t="s">
        <v>1440</v>
      </c>
      <c r="L14" s="62">
        <f t="array" ref="L14">IF(K14=0,0,(INDEX(AccountCodes[PPSAS CODE],MATCH(K14,AccountCodes[NGAS CODE],0))))</f>
        <v>2020102001</v>
      </c>
      <c r="M14" s="14"/>
      <c r="N14" s="89">
        <f t="array" ref="N14">SUM(IF((CsDJ[JEV Number]=TRIM($T$2))*(CsDJ[Account Code]=TRIM(K14)),CsDJ[Debit]))</f>
        <v>0</v>
      </c>
      <c r="O14" s="89">
        <f t="array" ref="O14">SUM(IF((CsDJ[JEV Number]=TRIM($T$2))*(CsDJ[Account Code]=TRIM(K14)),CsDJ[Credit]))</f>
        <v>0</v>
      </c>
      <c r="P14" s="1200">
        <f t="shared" si="0"/>
        <v>0</v>
      </c>
      <c r="Q14" s="1200"/>
      <c r="R14" s="1200"/>
      <c r="S14" s="1200">
        <f t="shared" si="1"/>
        <v>0</v>
      </c>
      <c r="T14" s="1200"/>
      <c r="U14" s="1200"/>
      <c r="V14" s="1201"/>
    </row>
    <row r="15" spans="1:22">
      <c r="A15" s="1195"/>
      <c r="B15" s="1196"/>
      <c r="C15" s="1196"/>
      <c r="D15" s="1196"/>
      <c r="E15" s="1197" t="str">
        <f>IF(K15=0,0,(INDEX(AccountCodes[ACCOUNT NAME],MATCH(K15,AccountCodes[NGAS CODE],0))))</f>
        <v>Due to Pag-IBIG - Pag-IBIG Premium</v>
      </c>
      <c r="F15" s="1198"/>
      <c r="G15" s="1198"/>
      <c r="H15" s="1198"/>
      <c r="I15" s="1198"/>
      <c r="J15" s="1199"/>
      <c r="K15" s="661" t="s">
        <v>1444</v>
      </c>
      <c r="L15" s="62">
        <f t="array" ref="L15">IF(K15=0,0,(INDEX(AccountCodes[PPSAS CODE],MATCH(K15,AccountCodes[NGAS CODE],0))))</f>
        <v>2020103001</v>
      </c>
      <c r="M15" s="14"/>
      <c r="N15" s="89">
        <f t="array" ref="N15">SUM(IF((CsDJ[JEV Number]=TRIM($T$2))*(CsDJ[Account Code]=TRIM(K15)),CsDJ[Debit]))</f>
        <v>0</v>
      </c>
      <c r="O15" s="89">
        <f t="array" ref="O15">SUM(IF((CsDJ[JEV Number]=TRIM($T$2))*(CsDJ[Account Code]=TRIM(K15)),CsDJ[Credit]))</f>
        <v>0</v>
      </c>
      <c r="P15" s="1200">
        <f t="shared" si="0"/>
        <v>0</v>
      </c>
      <c r="Q15" s="1200"/>
      <c r="R15" s="1200"/>
      <c r="S15" s="1200">
        <f t="shared" si="1"/>
        <v>0</v>
      </c>
      <c r="T15" s="1200"/>
      <c r="U15" s="1200"/>
      <c r="V15" s="1201"/>
    </row>
    <row r="16" spans="1:22">
      <c r="A16" s="1195"/>
      <c r="B16" s="1196"/>
      <c r="C16" s="1196"/>
      <c r="D16" s="1196"/>
      <c r="E16" s="1197" t="str">
        <f>IF(K16=0,0,(INDEX(AccountCodes[ACCOUNT NAME],MATCH(K16,AccountCodes[NGAS CODE],0))))</f>
        <v>Due to PhilHealth</v>
      </c>
      <c r="F16" s="1198"/>
      <c r="G16" s="1198"/>
      <c r="H16" s="1198"/>
      <c r="I16" s="1198"/>
      <c r="J16" s="1199"/>
      <c r="K16" s="661" t="s">
        <v>112</v>
      </c>
      <c r="L16" s="62">
        <f t="array" ref="L16">IF(K16=0,0,(INDEX(AccountCodes[PPSAS CODE],MATCH(K16,AccountCodes[NGAS CODE],0))))</f>
        <v>2020104000</v>
      </c>
      <c r="M16" s="14"/>
      <c r="N16" s="89">
        <f t="array" ref="N16">SUM(IF((CsDJ[JEV Number]=TRIM($T$2))*(CsDJ[Account Code]=TRIM(K16)),CsDJ[Debit]))</f>
        <v>0</v>
      </c>
      <c r="O16" s="89">
        <f t="array" ref="O16">SUM(IF((CsDJ[JEV Number]=TRIM($T$2))*(CsDJ[Account Code]=TRIM(K16)),CsDJ[Credit]))</f>
        <v>0</v>
      </c>
      <c r="P16" s="1200">
        <f t="shared" si="0"/>
        <v>0</v>
      </c>
      <c r="Q16" s="1200"/>
      <c r="R16" s="1200"/>
      <c r="S16" s="1200">
        <f t="shared" si="1"/>
        <v>0</v>
      </c>
      <c r="T16" s="1200"/>
      <c r="U16" s="1200"/>
      <c r="V16" s="1201"/>
    </row>
    <row r="17" spans="1:22">
      <c r="A17" s="1195"/>
      <c r="B17" s="1196"/>
      <c r="C17" s="1196"/>
      <c r="D17" s="1196"/>
      <c r="E17" s="1197" t="str">
        <f>IF(K17=0,0,(INDEX(AccountCodes[ACCOUNT NAME],MATCH(K17,AccountCodes[NGAS CODE],0))))</f>
        <v>Other Payables</v>
      </c>
      <c r="F17" s="1198"/>
      <c r="G17" s="1198"/>
      <c r="H17" s="1198"/>
      <c r="I17" s="1198"/>
      <c r="J17" s="1199"/>
      <c r="K17" s="661" t="s">
        <v>117</v>
      </c>
      <c r="L17" s="62">
        <f t="array" ref="L17">IF(K17=0,0,(INDEX(AccountCodes[PPSAS CODE],MATCH(K17,AccountCodes[NGAS CODE],0))))</f>
        <v>2999999000</v>
      </c>
      <c r="M17" s="14"/>
      <c r="N17" s="89">
        <f t="array" ref="N17">SUM(IF((CsDJ[JEV Number]=TRIM($T$2))*(CsDJ[Account Code]=TRIM(K17)),CsDJ[Debit]))</f>
        <v>0</v>
      </c>
      <c r="O17" s="89">
        <f t="array" ref="O17">SUM(IF((CsDJ[JEV Number]=TRIM($T$2))*(CsDJ[Account Code]=TRIM(K17)),CsDJ[Credit]))</f>
        <v>0</v>
      </c>
      <c r="P17" s="1200">
        <f t="shared" si="0"/>
        <v>0</v>
      </c>
      <c r="Q17" s="1200"/>
      <c r="R17" s="1200"/>
      <c r="S17" s="1200">
        <f t="shared" si="1"/>
        <v>0</v>
      </c>
      <c r="T17" s="1200"/>
      <c r="U17" s="1200"/>
      <c r="V17" s="1201"/>
    </row>
    <row r="18" spans="1:22">
      <c r="A18" s="1195"/>
      <c r="B18" s="1196"/>
      <c r="C18" s="1196"/>
      <c r="D18" s="1196"/>
      <c r="E18" s="1197" t="str">
        <f>IF(K18=0,0,(INDEX(AccountCodes[ACCOUNT NAME],MATCH(K18,AccountCodes[NGAS CODE],0))))</f>
        <v>Salaries and Wages-Regular</v>
      </c>
      <c r="F18" s="1198"/>
      <c r="G18" s="1198"/>
      <c r="H18" s="1198"/>
      <c r="I18" s="1198"/>
      <c r="J18" s="1199"/>
      <c r="K18" s="661" t="s">
        <v>162</v>
      </c>
      <c r="L18" s="62">
        <f t="array" ref="L18">IF(K18=0,0,(INDEX(AccountCodes[PPSAS CODE],MATCH(K18,AccountCodes[NGAS CODE],0))))</f>
        <v>5010101000</v>
      </c>
      <c r="M18" s="14"/>
      <c r="N18" s="89">
        <f t="array" ref="N18">SUM(IF((CsDJ[JEV Number]=TRIM($T$2))*(CsDJ[Account Code]=TRIM(K18)),CsDJ[Debit]))</f>
        <v>0</v>
      </c>
      <c r="O18" s="89">
        <f t="array" ref="O18">SUM(IF((CsDJ[JEV Number]=TRIM($T$2))*(CsDJ[Account Code]=TRIM(K18)),CsDJ[Credit]))</f>
        <v>0</v>
      </c>
      <c r="P18" s="1200">
        <f t="shared" si="0"/>
        <v>0</v>
      </c>
      <c r="Q18" s="1200"/>
      <c r="R18" s="1200"/>
      <c r="S18" s="1200">
        <f t="shared" si="1"/>
        <v>0</v>
      </c>
      <c r="T18" s="1200"/>
      <c r="U18" s="1200"/>
      <c r="V18" s="1201"/>
    </row>
    <row r="19" spans="1:22">
      <c r="A19" s="1195"/>
      <c r="B19" s="1196"/>
      <c r="C19" s="1196"/>
      <c r="D19" s="1196"/>
      <c r="E19" s="1197" t="str">
        <f>IF(K19=0,0,(INDEX(AccountCodes[ACCOUNT NAME],MATCH(K19,AccountCodes[NGAS CODE],0))))</f>
        <v>Personal Economic Relief Allowance (PERA)</v>
      </c>
      <c r="F19" s="1198"/>
      <c r="G19" s="1198"/>
      <c r="H19" s="1198"/>
      <c r="I19" s="1198"/>
      <c r="J19" s="1199"/>
      <c r="K19" s="661" t="s">
        <v>164</v>
      </c>
      <c r="L19" s="62">
        <f t="array" ref="L19">IF(K19=0,0,(INDEX(AccountCodes[PPSAS CODE],MATCH(K19,AccountCodes[NGAS CODE],0))))</f>
        <v>5010201000</v>
      </c>
      <c r="M19" s="14"/>
      <c r="N19" s="89">
        <f t="array" ref="N19">SUM(IF((CsDJ[JEV Number]=TRIM($T$2))*(CsDJ[Account Code]=TRIM(K19)),CsDJ[Debit]))</f>
        <v>0</v>
      </c>
      <c r="O19" s="89">
        <f t="array" ref="O19">SUM(IF((CsDJ[JEV Number]=TRIM($T$2))*(CsDJ[Account Code]=TRIM(K19)),CsDJ[Credit]))</f>
        <v>0</v>
      </c>
      <c r="P19" s="1200">
        <f t="shared" si="0"/>
        <v>0</v>
      </c>
      <c r="Q19" s="1200"/>
      <c r="R19" s="1200"/>
      <c r="S19" s="1200">
        <f t="shared" si="1"/>
        <v>0</v>
      </c>
      <c r="T19" s="1200"/>
      <c r="U19" s="1200"/>
      <c r="V19" s="1201"/>
    </row>
    <row r="20" spans="1:22">
      <c r="A20" s="1195"/>
      <c r="B20" s="1196"/>
      <c r="C20" s="1196"/>
      <c r="D20" s="1196"/>
      <c r="E20" s="1197" t="str">
        <f>IF(K20=0,0,(INDEX(AccountCodes[ACCOUNT NAME],MATCH(K20,AccountCodes[NGAS CODE],0))))</f>
        <v>Productivity Incentive Allowance</v>
      </c>
      <c r="F20" s="1198"/>
      <c r="G20" s="1198"/>
      <c r="H20" s="1198"/>
      <c r="I20" s="1198"/>
      <c r="J20" s="1199"/>
      <c r="K20" s="661" t="s">
        <v>171</v>
      </c>
      <c r="L20" s="62">
        <f t="array" ref="L20">IF(K20=0,0,(INDEX(AccountCodes[PPSAS CODE],MATCH(K20,AccountCodes[NGAS CODE],0))))</f>
        <v>5010208000</v>
      </c>
      <c r="M20" s="14"/>
      <c r="N20" s="89">
        <f t="array" ref="N20">SUM(IF((CsDJ[JEV Number]=TRIM($T$2))*(CsDJ[Account Code]=TRIM(K20)),CsDJ[Debit]))</f>
        <v>0</v>
      </c>
      <c r="O20" s="89">
        <f t="array" ref="O20">SUM(IF((CsDJ[JEV Number]=TRIM($T$2))*(CsDJ[Account Code]=TRIM(K20)),CsDJ[Credit]))</f>
        <v>0</v>
      </c>
      <c r="P20" s="1200">
        <f t="shared" si="0"/>
        <v>0</v>
      </c>
      <c r="Q20" s="1200"/>
      <c r="R20" s="1200"/>
      <c r="S20" s="1200">
        <f t="shared" si="1"/>
        <v>0</v>
      </c>
      <c r="T20" s="1200"/>
      <c r="U20" s="1200"/>
      <c r="V20" s="1201"/>
    </row>
    <row r="21" spans="1:22">
      <c r="A21" s="1195"/>
      <c r="B21" s="1196"/>
      <c r="C21" s="1196"/>
      <c r="D21" s="1196"/>
      <c r="E21" s="1197">
        <f>IF(K21=0,0,(INDEX(AccountCodes[ACCOUNT NAME],MATCH(K21,AccountCodes[NGAS CODE],0))))</f>
        <v>0</v>
      </c>
      <c r="F21" s="1198"/>
      <c r="G21" s="1198"/>
      <c r="H21" s="1198"/>
      <c r="I21" s="1198"/>
      <c r="J21" s="1199"/>
      <c r="K21" s="661"/>
      <c r="L21" s="62">
        <f t="array" ref="L21">IF(K21=0,0,(INDEX(AccountCodes[PPSAS CODE],MATCH(K21,AccountCodes[NGAS CODE],0))))</f>
        <v>0</v>
      </c>
      <c r="M21" s="14"/>
      <c r="N21" s="89">
        <f t="array" ref="N21">SUM(IF((CsDJ[JEV Number]=TRIM($T$2))*(CsDJ[Account Code]=TRIM(K21)),CsDJ[Debit]))</f>
        <v>0</v>
      </c>
      <c r="O21" s="89">
        <f t="array" ref="O21">SUM(IF((CsDJ[JEV Number]=TRIM($T$2))*(CsDJ[Account Code]=TRIM(K21)),CsDJ[Credit]))</f>
        <v>0</v>
      </c>
      <c r="P21" s="1200">
        <f t="shared" si="0"/>
        <v>0</v>
      </c>
      <c r="Q21" s="1200"/>
      <c r="R21" s="1200"/>
      <c r="S21" s="1200">
        <f t="shared" si="1"/>
        <v>0</v>
      </c>
      <c r="T21" s="1200"/>
      <c r="U21" s="1200"/>
      <c r="V21" s="1201"/>
    </row>
    <row r="22" spans="1:22">
      <c r="A22" s="1195"/>
      <c r="B22" s="1196"/>
      <c r="C22" s="1196"/>
      <c r="D22" s="1196"/>
      <c r="E22" s="1197">
        <f>IF(K22=0,0,(INDEX(AccountCodes[ACCOUNT NAME],MATCH(K22,AccountCodes[NGAS CODE],0))))</f>
        <v>0</v>
      </c>
      <c r="F22" s="1198"/>
      <c r="G22" s="1198"/>
      <c r="H22" s="1198"/>
      <c r="I22" s="1198"/>
      <c r="J22" s="1199"/>
      <c r="K22" s="661"/>
      <c r="L22" s="62">
        <f t="array" ref="L22">IF(K22=0,0,(INDEX(AccountCodes[PPSAS CODE],MATCH(K22,AccountCodes[NGAS CODE],0))))</f>
        <v>0</v>
      </c>
      <c r="M22" s="14"/>
      <c r="N22" s="89">
        <f t="array" ref="N22">SUM(IF((CsDJ[JEV Number]=TRIM($T$2))*(CsDJ[Account Code]=TRIM(K22)),CsDJ[Debit]))</f>
        <v>0</v>
      </c>
      <c r="O22" s="89">
        <f t="array" ref="O22">SUM(IF((CsDJ[JEV Number]=TRIM($T$2))*(CsDJ[Account Code]=TRIM(K22)),CsDJ[Credit]))</f>
        <v>0</v>
      </c>
      <c r="P22" s="1200">
        <f t="shared" si="0"/>
        <v>0</v>
      </c>
      <c r="Q22" s="1200"/>
      <c r="R22" s="1200"/>
      <c r="S22" s="1200">
        <f t="shared" si="1"/>
        <v>0</v>
      </c>
      <c r="T22" s="1200"/>
      <c r="U22" s="1200"/>
      <c r="V22" s="1201"/>
    </row>
    <row r="23" spans="1:22">
      <c r="A23" s="1195"/>
      <c r="B23" s="1196"/>
      <c r="C23" s="1196"/>
      <c r="D23" s="1196"/>
      <c r="E23" s="1197">
        <f>IF(K23=0,0,(INDEX(AccountCodes[ACCOUNT NAME],MATCH(K23,AccountCodes[NGAS CODE],0))))</f>
        <v>0</v>
      </c>
      <c r="F23" s="1198"/>
      <c r="G23" s="1198"/>
      <c r="H23" s="1198"/>
      <c r="I23" s="1198"/>
      <c r="J23" s="1199"/>
      <c r="K23" s="661"/>
      <c r="L23" s="62">
        <f t="array" ref="L23">IF(K23=0,0,(INDEX(AccountCodes[PPSAS CODE],MATCH(K23,AccountCodes[NGAS CODE],0))))</f>
        <v>0</v>
      </c>
      <c r="M23" s="14"/>
      <c r="N23" s="89">
        <f t="array" ref="N23">SUM(IF((CsDJ[JEV Number]=TRIM($T$2))*(CsDJ[Account Code]=TRIM(K23)),CsDJ[Debit]))</f>
        <v>0</v>
      </c>
      <c r="O23" s="89">
        <f t="array" ref="O23">SUM(IF((CsDJ[JEV Number]=TRIM($T$2))*(CsDJ[Account Code]=TRIM(K23)),CsDJ[Credit]))</f>
        <v>0</v>
      </c>
      <c r="P23" s="1200">
        <f t="shared" si="0"/>
        <v>0</v>
      </c>
      <c r="Q23" s="1200"/>
      <c r="R23" s="1200"/>
      <c r="S23" s="1200">
        <f t="shared" si="1"/>
        <v>0</v>
      </c>
      <c r="T23" s="1200"/>
      <c r="U23" s="1200"/>
      <c r="V23" s="1201"/>
    </row>
    <row r="24" spans="1:22">
      <c r="A24" s="1195"/>
      <c r="B24" s="1196"/>
      <c r="C24" s="1196"/>
      <c r="D24" s="1196"/>
      <c r="E24" s="1197">
        <f>IF(K24=0,0,(INDEX(AccountCodes[ACCOUNT NAME],MATCH(K24,AccountCodes[NGAS CODE],0))))</f>
        <v>0</v>
      </c>
      <c r="F24" s="1198"/>
      <c r="G24" s="1198"/>
      <c r="H24" s="1198"/>
      <c r="I24" s="1198"/>
      <c r="J24" s="1199"/>
      <c r="K24" s="133"/>
      <c r="L24" s="62">
        <f t="array" ref="L24">IF(K24=0,0,(INDEX(AccountCodes[PPSAS CODE],MATCH(K24,AccountCodes[NGAS CODE],0))))</f>
        <v>0</v>
      </c>
      <c r="M24" s="14"/>
      <c r="N24" s="89">
        <f t="array" ref="N24">SUM(IF((CsDJ[JEV Number]=TRIM($T$2))*(CsDJ[Account Code]=TRIM(K24)),CsDJ[Debit]))</f>
        <v>0</v>
      </c>
      <c r="O24" s="89">
        <f t="array" ref="O24">SUM(IF((CsDJ[JEV Number]=TRIM($T$2))*(CsDJ[Account Code]=TRIM(K24)),CsDJ[Credit]))</f>
        <v>0</v>
      </c>
      <c r="P24" s="1200">
        <f t="shared" si="0"/>
        <v>0</v>
      </c>
      <c r="Q24" s="1200"/>
      <c r="R24" s="1200"/>
      <c r="S24" s="1200">
        <f t="shared" si="1"/>
        <v>0</v>
      </c>
      <c r="T24" s="1200"/>
      <c r="U24" s="1200"/>
      <c r="V24" s="1201"/>
    </row>
    <row r="25" spans="1:22">
      <c r="A25" s="1195"/>
      <c r="B25" s="1196"/>
      <c r="C25" s="1196"/>
      <c r="D25" s="1196"/>
      <c r="E25" s="1197">
        <f>IF(K25=0,0,(INDEX(AccountCodes[ACCOUNT NAME],MATCH(K25,AccountCodes[NGAS CODE],0))))</f>
        <v>0</v>
      </c>
      <c r="F25" s="1198"/>
      <c r="G25" s="1198"/>
      <c r="H25" s="1198"/>
      <c r="I25" s="1198"/>
      <c r="J25" s="1199"/>
      <c r="K25" s="133"/>
      <c r="L25" s="62">
        <f t="array" ref="L25">IF(K25=0,0,(INDEX(AccountCodes[PPSAS CODE],MATCH(K25,AccountCodes[NGAS CODE],0))))</f>
        <v>0</v>
      </c>
      <c r="M25" s="14"/>
      <c r="N25" s="89">
        <f t="array" ref="N25">SUM(IF((CsDJ[JEV Number]=TRIM($T$2))*(CsDJ[Account Code]=TRIM(K25)),CsDJ[Debit]))</f>
        <v>0</v>
      </c>
      <c r="O25" s="89">
        <f t="array" ref="O25">SUM(IF((CsDJ[JEV Number]=TRIM($T$2))*(CsDJ[Account Code]=TRIM(K25)),CsDJ[Credit]))</f>
        <v>0</v>
      </c>
      <c r="P25" s="1200">
        <f t="shared" si="0"/>
        <v>0</v>
      </c>
      <c r="Q25" s="1200"/>
      <c r="R25" s="1200"/>
      <c r="S25" s="1200">
        <f t="shared" si="1"/>
        <v>0</v>
      </c>
      <c r="T25" s="1200"/>
      <c r="U25" s="1200"/>
      <c r="V25" s="1201"/>
    </row>
    <row r="26" spans="1:22">
      <c r="A26" s="1195"/>
      <c r="B26" s="1196"/>
      <c r="C26" s="1196"/>
      <c r="D26" s="1196"/>
      <c r="E26" s="1197">
        <f>IF(K26=0,0,(INDEX(AccountCodes[ACCOUNT NAME],MATCH(K26,AccountCodes[NGAS CODE],0))))</f>
        <v>0</v>
      </c>
      <c r="F26" s="1198"/>
      <c r="G26" s="1198"/>
      <c r="H26" s="1198"/>
      <c r="I26" s="1198"/>
      <c r="J26" s="1199"/>
      <c r="K26" s="133"/>
      <c r="L26" s="62">
        <f t="array" ref="L26">IF(K26=0,0,(INDEX(AccountCodes[PPSAS CODE],MATCH(K26,AccountCodes[NGAS CODE],0))))</f>
        <v>0</v>
      </c>
      <c r="M26" s="14"/>
      <c r="N26" s="89">
        <f t="array" ref="N26">SUM(IF((CsDJ[JEV Number]=TRIM($T$2))*(CsDJ[Account Code]=TRIM(K26)),CsDJ[Debit]))</f>
        <v>0</v>
      </c>
      <c r="O26" s="89">
        <f t="array" ref="O26">SUM(IF((CsDJ[JEV Number]=TRIM($T$2))*(CsDJ[Account Code]=TRIM(K26)),CsDJ[Credit]))</f>
        <v>0</v>
      </c>
      <c r="P26" s="1200">
        <f t="shared" si="0"/>
        <v>0</v>
      </c>
      <c r="Q26" s="1200"/>
      <c r="R26" s="1200"/>
      <c r="S26" s="1200">
        <f t="shared" si="1"/>
        <v>0</v>
      </c>
      <c r="T26" s="1200"/>
      <c r="U26" s="1200"/>
      <c r="V26" s="1201"/>
    </row>
    <row r="27" spans="1:22">
      <c r="A27" s="1195"/>
      <c r="B27" s="1196"/>
      <c r="C27" s="1196"/>
      <c r="D27" s="1196"/>
      <c r="E27" s="1197">
        <f>IF(K27=0,0,(INDEX(AccountCodes[ACCOUNT NAME],MATCH(K27,AccountCodes[NGAS CODE],0))))</f>
        <v>0</v>
      </c>
      <c r="F27" s="1198"/>
      <c r="G27" s="1198"/>
      <c r="H27" s="1198"/>
      <c r="I27" s="1198"/>
      <c r="J27" s="1199"/>
      <c r="K27" s="133"/>
      <c r="L27" s="62">
        <f t="array" ref="L27">IF(K27=0,0,(INDEX(AccountCodes[PPSAS CODE],MATCH(K27,AccountCodes[NGAS CODE],0))))</f>
        <v>0</v>
      </c>
      <c r="M27" s="14"/>
      <c r="N27" s="89">
        <f t="array" ref="N27">SUM(IF((CsDJ[JEV Number]=TRIM($T$2))*(CsDJ[Account Code]=TRIM(K27)),CsDJ[Debit]))</f>
        <v>0</v>
      </c>
      <c r="O27" s="89">
        <f t="array" ref="O27">SUM(IF((CsDJ[JEV Number]=TRIM($T$2))*(CsDJ[Account Code]=TRIM(K27)),CsDJ[Credit]))</f>
        <v>0</v>
      </c>
      <c r="P27" s="1200">
        <f t="shared" si="0"/>
        <v>0</v>
      </c>
      <c r="Q27" s="1200"/>
      <c r="R27" s="1200"/>
      <c r="S27" s="1200">
        <f t="shared" si="1"/>
        <v>0</v>
      </c>
      <c r="T27" s="1200"/>
      <c r="U27" s="1200"/>
      <c r="V27" s="1201"/>
    </row>
    <row r="28" spans="1:22">
      <c r="A28" s="1195"/>
      <c r="B28" s="1196"/>
      <c r="C28" s="1196"/>
      <c r="D28" s="1196"/>
      <c r="E28" s="1197">
        <f>IF(K28=0,0,(INDEX(AccountCodes[ACCOUNT NAME],MATCH(K28,AccountCodes[NGAS CODE],0))))</f>
        <v>0</v>
      </c>
      <c r="F28" s="1198"/>
      <c r="G28" s="1198"/>
      <c r="H28" s="1198"/>
      <c r="I28" s="1198"/>
      <c r="J28" s="1199"/>
      <c r="K28" s="133"/>
      <c r="L28" s="62">
        <f t="array" ref="L28">IF(K28=0,0,(INDEX(AccountCodes[PPSAS CODE],MATCH(K28,AccountCodes[NGAS CODE],0))))</f>
        <v>0</v>
      </c>
      <c r="M28" s="14"/>
      <c r="N28" s="89">
        <f t="array" ref="N28">SUM(IF((CsDJ[JEV Number]=TRIM($T$2))*(CsDJ[Account Code]=TRIM(K28)),CsDJ[Debit]))</f>
        <v>0</v>
      </c>
      <c r="O28" s="89">
        <f t="array" ref="O28">SUM(IF((CsDJ[JEV Number]=TRIM($T$2))*(CsDJ[Account Code]=TRIM(K28)),CsDJ[Credit]))</f>
        <v>0</v>
      </c>
      <c r="P28" s="1200">
        <f t="shared" si="0"/>
        <v>0</v>
      </c>
      <c r="Q28" s="1200"/>
      <c r="R28" s="1200"/>
      <c r="S28" s="1200">
        <f t="shared" si="1"/>
        <v>0</v>
      </c>
      <c r="T28" s="1200"/>
      <c r="U28" s="1200"/>
      <c r="V28" s="1201"/>
    </row>
    <row r="29" spans="1:22">
      <c r="A29" s="1195"/>
      <c r="B29" s="1196"/>
      <c r="C29" s="1196"/>
      <c r="D29" s="1196"/>
      <c r="E29" s="1197">
        <f>IF(K29=0,0,(INDEX(AccountCodes[ACCOUNT NAME],MATCH(K29,AccountCodes[NGAS CODE],0))))</f>
        <v>0</v>
      </c>
      <c r="F29" s="1198"/>
      <c r="G29" s="1198"/>
      <c r="H29" s="1198"/>
      <c r="I29" s="1198"/>
      <c r="J29" s="1199"/>
      <c r="K29" s="133"/>
      <c r="L29" s="62">
        <f t="array" ref="L29">IF(K29=0,0,(INDEX(AccountCodes[PPSAS CODE],MATCH(K29,AccountCodes[NGAS CODE],0))))</f>
        <v>0</v>
      </c>
      <c r="M29" s="14"/>
      <c r="N29" s="89">
        <f t="array" ref="N29">SUM(IF((CsDJ[JEV Number]=TRIM($T$2))*(CsDJ[Account Code]=TRIM(K29)),CsDJ[Debit]))</f>
        <v>0</v>
      </c>
      <c r="O29" s="89">
        <f t="array" ref="O29">SUM(IF((CsDJ[JEV Number]=TRIM($T$2))*(CsDJ[Account Code]=TRIM(K29)),CsDJ[Credit]))</f>
        <v>0</v>
      </c>
      <c r="P29" s="1200">
        <f t="shared" si="0"/>
        <v>0</v>
      </c>
      <c r="Q29" s="1200"/>
      <c r="R29" s="1200"/>
      <c r="S29" s="1200">
        <f t="shared" si="1"/>
        <v>0</v>
      </c>
      <c r="T29" s="1200"/>
      <c r="U29" s="1200"/>
      <c r="V29" s="1201"/>
    </row>
    <row r="30" spans="1:22">
      <c r="A30" s="1195"/>
      <c r="B30" s="1196"/>
      <c r="C30" s="1196"/>
      <c r="D30" s="1196"/>
      <c r="E30" s="1197">
        <f>IF(K30=0,0,(INDEX(AccountCodes[ACCOUNT NAME],MATCH(K30,AccountCodes[NGAS CODE],0))))</f>
        <v>0</v>
      </c>
      <c r="F30" s="1198"/>
      <c r="G30" s="1198"/>
      <c r="H30" s="1198"/>
      <c r="I30" s="1198"/>
      <c r="J30" s="1199"/>
      <c r="K30" s="133"/>
      <c r="L30" s="62">
        <f t="array" ref="L30">IF(K30=0,0,(INDEX(AccountCodes[PPSAS CODE],MATCH(K30,AccountCodes[NGAS CODE],0))))</f>
        <v>0</v>
      </c>
      <c r="M30" s="14"/>
      <c r="N30" s="89">
        <f t="array" ref="N30">SUM(IF((CsDJ[JEV Number]=TRIM($T$2))*(CsDJ[Account Code]=TRIM(K30)),CsDJ[Debit]))</f>
        <v>0</v>
      </c>
      <c r="O30" s="89">
        <f t="array" ref="O30">SUM(IF((CsDJ[JEV Number]=TRIM($T$2))*(CsDJ[Account Code]=TRIM(K30)),CsDJ[Credit]))</f>
        <v>0</v>
      </c>
      <c r="P30" s="1200">
        <f t="shared" si="0"/>
        <v>0</v>
      </c>
      <c r="Q30" s="1200"/>
      <c r="R30" s="1200"/>
      <c r="S30" s="1200">
        <f t="shared" si="1"/>
        <v>0</v>
      </c>
      <c r="T30" s="1200"/>
      <c r="U30" s="1200"/>
      <c r="V30" s="1201"/>
    </row>
    <row r="31" spans="1:22">
      <c r="A31" s="1195"/>
      <c r="B31" s="1196"/>
      <c r="C31" s="1196"/>
      <c r="D31" s="1196"/>
      <c r="E31" s="1197">
        <f>IF(K31=0,0,(INDEX(AccountCodes[ACCOUNT NAME],MATCH(K31,AccountCodes[NGAS CODE],0))))</f>
        <v>0</v>
      </c>
      <c r="F31" s="1198"/>
      <c r="G31" s="1198"/>
      <c r="H31" s="1198"/>
      <c r="I31" s="1198"/>
      <c r="J31" s="1199"/>
      <c r="K31" s="133"/>
      <c r="L31" s="62">
        <f t="array" ref="L31">IF(K31=0,0,(INDEX(AccountCodes[PPSAS CODE],MATCH(K31,AccountCodes[NGAS CODE],0))))</f>
        <v>0</v>
      </c>
      <c r="M31" s="14"/>
      <c r="N31" s="89">
        <f t="array" ref="N31">SUM(IF((CsDJ[JEV Number]=TRIM($T$2))*(CsDJ[Account Code]=TRIM(K31)),CsDJ[Debit]))</f>
        <v>0</v>
      </c>
      <c r="O31" s="89">
        <f t="array" ref="O31">SUM(IF((CsDJ[JEV Number]=TRIM($T$2))*(CsDJ[Account Code]=TRIM(K31)),CsDJ[Credit]))</f>
        <v>0</v>
      </c>
      <c r="P31" s="1200">
        <f t="shared" si="0"/>
        <v>0</v>
      </c>
      <c r="Q31" s="1200"/>
      <c r="R31" s="1200"/>
      <c r="S31" s="1200">
        <f t="shared" si="1"/>
        <v>0</v>
      </c>
      <c r="T31" s="1200"/>
      <c r="U31" s="1200"/>
      <c r="V31" s="1201"/>
    </row>
    <row r="32" spans="1:22">
      <c r="A32" s="1195"/>
      <c r="B32" s="1196"/>
      <c r="C32" s="1196"/>
      <c r="D32" s="1196"/>
      <c r="E32" s="1197">
        <f>IF(K32=0,0,(INDEX(AccountCodes[ACCOUNT NAME],MATCH(K32,AccountCodes[NGAS CODE],0))))</f>
        <v>0</v>
      </c>
      <c r="F32" s="1198"/>
      <c r="G32" s="1198"/>
      <c r="H32" s="1198"/>
      <c r="I32" s="1198"/>
      <c r="J32" s="1199"/>
      <c r="K32" s="133"/>
      <c r="L32" s="62">
        <f t="array" ref="L32">IF(K32=0,0,(INDEX(AccountCodes[PPSAS CODE],MATCH(K32,AccountCodes[NGAS CODE],0))))</f>
        <v>0</v>
      </c>
      <c r="M32" s="14"/>
      <c r="N32" s="89">
        <f t="array" ref="N32">SUM(IF((CsDJ[JEV Number]=TRIM($T$2))*(CsDJ[Account Code]=TRIM(K32)),CsDJ[Debit]))</f>
        <v>0</v>
      </c>
      <c r="O32" s="89">
        <f t="array" ref="O32">SUM(IF((CsDJ[JEV Number]=TRIM($T$2))*(CsDJ[Account Code]=TRIM(K32)),CsDJ[Credit]))</f>
        <v>0</v>
      </c>
      <c r="P32" s="1200">
        <f t="shared" si="0"/>
        <v>0</v>
      </c>
      <c r="Q32" s="1200"/>
      <c r="R32" s="1200"/>
      <c r="S32" s="1200">
        <f t="shared" si="1"/>
        <v>0</v>
      </c>
      <c r="T32" s="1200"/>
      <c r="U32" s="1200"/>
      <c r="V32" s="1201"/>
    </row>
    <row r="33" spans="1:22">
      <c r="A33" s="1195"/>
      <c r="B33" s="1196"/>
      <c r="C33" s="1196"/>
      <c r="D33" s="1196"/>
      <c r="E33" s="1197">
        <f>IF(K33=0,0,(INDEX(AccountCodes[ACCOUNT NAME],MATCH(K33,AccountCodes[NGAS CODE],0))))</f>
        <v>0</v>
      </c>
      <c r="F33" s="1198"/>
      <c r="G33" s="1198"/>
      <c r="H33" s="1198"/>
      <c r="I33" s="1198"/>
      <c r="J33" s="1199"/>
      <c r="K33" s="133"/>
      <c r="L33" s="62">
        <f t="array" ref="L33">IF(K33=0,0,(INDEX(AccountCodes[PPSAS CODE],MATCH(K33,AccountCodes[NGAS CODE],0))))</f>
        <v>0</v>
      </c>
      <c r="M33" s="14"/>
      <c r="N33" s="89">
        <f t="array" ref="N33">SUM(IF((CsDJ[JEV Number]=TRIM($T$2))*(CsDJ[Account Code]=TRIM(K33)),CsDJ[Debit]))</f>
        <v>0</v>
      </c>
      <c r="O33" s="89">
        <f t="array" ref="O33">SUM(IF((CsDJ[JEV Number]=TRIM($T$2))*(CsDJ[Account Code]=TRIM(K33)),CsDJ[Credit]))</f>
        <v>0</v>
      </c>
      <c r="P33" s="1200">
        <f t="shared" si="0"/>
        <v>0</v>
      </c>
      <c r="Q33" s="1200"/>
      <c r="R33" s="1200"/>
      <c r="S33" s="1200">
        <f t="shared" si="1"/>
        <v>0</v>
      </c>
      <c r="T33" s="1200"/>
      <c r="U33" s="1200"/>
      <c r="V33" s="1201"/>
    </row>
    <row r="34" spans="1:22">
      <c r="A34" s="1195"/>
      <c r="B34" s="1196"/>
      <c r="C34" s="1196"/>
      <c r="D34" s="1196"/>
      <c r="E34" s="1197">
        <f>IF(K34=0,0,(INDEX(AccountCodes[ACCOUNT NAME],MATCH(K34,AccountCodes[NGAS CODE],0))))</f>
        <v>0</v>
      </c>
      <c r="F34" s="1198"/>
      <c r="G34" s="1198"/>
      <c r="H34" s="1198"/>
      <c r="I34" s="1198"/>
      <c r="J34" s="1199"/>
      <c r="K34" s="133"/>
      <c r="L34" s="62">
        <f t="array" ref="L34">IF(K34=0,0,(INDEX(AccountCodes[PPSAS CODE],MATCH(K34,AccountCodes[NGAS CODE],0))))</f>
        <v>0</v>
      </c>
      <c r="M34" s="14"/>
      <c r="N34" s="89">
        <f t="array" ref="N34">SUM(IF((CsDJ[JEV Number]=TRIM($T$2))*(CsDJ[Account Code]=TRIM(K34)),CsDJ[Debit]))</f>
        <v>0</v>
      </c>
      <c r="O34" s="89">
        <f t="array" ref="O34">SUM(IF((CsDJ[JEV Number]=TRIM($T$2))*(CsDJ[Account Code]=TRIM(K34)),CsDJ[Credit]))</f>
        <v>0</v>
      </c>
      <c r="P34" s="1200">
        <f t="shared" si="0"/>
        <v>0</v>
      </c>
      <c r="Q34" s="1200"/>
      <c r="R34" s="1200"/>
      <c r="S34" s="1200">
        <f t="shared" si="1"/>
        <v>0</v>
      </c>
      <c r="T34" s="1200"/>
      <c r="U34" s="1200"/>
      <c r="V34" s="1201"/>
    </row>
    <row r="35" spans="1:22">
      <c r="A35" s="1195"/>
      <c r="B35" s="1196"/>
      <c r="C35" s="1196"/>
      <c r="D35" s="1196"/>
      <c r="E35" s="1197">
        <f>IF(K35=0,0,(INDEX(AccountCodes[ACCOUNT NAME],MATCH(K35,AccountCodes[NGAS CODE],0))))</f>
        <v>0</v>
      </c>
      <c r="F35" s="1198"/>
      <c r="G35" s="1198"/>
      <c r="H35" s="1198"/>
      <c r="I35" s="1198"/>
      <c r="J35" s="1199"/>
      <c r="K35" s="133"/>
      <c r="L35" s="62">
        <f t="array" ref="L35">IF(K35=0,0,(INDEX(AccountCodes[PPSAS CODE],MATCH(K35,AccountCodes[NGAS CODE],0))))</f>
        <v>0</v>
      </c>
      <c r="M35" s="14"/>
      <c r="N35" s="89">
        <f t="array" ref="N35">SUM(IF((CsDJ[JEV Number]=TRIM($T$2))*(CsDJ[Account Code]=TRIM(K35)),CsDJ[Debit]))</f>
        <v>0</v>
      </c>
      <c r="O35" s="89">
        <f t="array" ref="O35">SUM(IF((CsDJ[JEV Number]=TRIM($T$2))*(CsDJ[Account Code]=TRIM(K35)),CsDJ[Credit]))</f>
        <v>0</v>
      </c>
      <c r="P35" s="1200">
        <f t="shared" ref="P35:P48" si="2">N35</f>
        <v>0</v>
      </c>
      <c r="Q35" s="1200"/>
      <c r="R35" s="1200"/>
      <c r="S35" s="1200">
        <f t="shared" ref="S35:S48" si="3">O35</f>
        <v>0</v>
      </c>
      <c r="T35" s="1200"/>
      <c r="U35" s="1200"/>
      <c r="V35" s="1201"/>
    </row>
    <row r="36" spans="1:22">
      <c r="A36" s="1195"/>
      <c r="B36" s="1196"/>
      <c r="C36" s="1196"/>
      <c r="D36" s="1196"/>
      <c r="E36" s="1197">
        <f>IF(K36=0,0,(INDEX(AccountCodes[ACCOUNT NAME],MATCH(K36,AccountCodes[NGAS CODE],0))))</f>
        <v>0</v>
      </c>
      <c r="F36" s="1198"/>
      <c r="G36" s="1198"/>
      <c r="H36" s="1198"/>
      <c r="I36" s="1198"/>
      <c r="J36" s="1199"/>
      <c r="K36" s="133"/>
      <c r="L36" s="62">
        <f t="array" ref="L36">IF(K36=0,0,(INDEX(AccountCodes[PPSAS CODE],MATCH(K36,AccountCodes[NGAS CODE],0))))</f>
        <v>0</v>
      </c>
      <c r="M36" s="14"/>
      <c r="N36" s="89">
        <f t="array" ref="N36">SUM(IF((CsDJ[JEV Number]=TRIM($T$2))*(CsDJ[Account Code]=TRIM(K36)),CsDJ[Debit]))</f>
        <v>0</v>
      </c>
      <c r="O36" s="89">
        <f t="array" ref="O36">SUM(IF((CsDJ[JEV Number]=TRIM($T$2))*(CsDJ[Account Code]=TRIM(K36)),CsDJ[Credit]))</f>
        <v>0</v>
      </c>
      <c r="P36" s="1200">
        <f t="shared" si="2"/>
        <v>0</v>
      </c>
      <c r="Q36" s="1200"/>
      <c r="R36" s="1200"/>
      <c r="S36" s="1200">
        <f t="shared" si="3"/>
        <v>0</v>
      </c>
      <c r="T36" s="1200"/>
      <c r="U36" s="1200"/>
      <c r="V36" s="1201"/>
    </row>
    <row r="37" spans="1:22">
      <c r="A37" s="1195"/>
      <c r="B37" s="1196"/>
      <c r="C37" s="1196"/>
      <c r="D37" s="1196"/>
      <c r="E37" s="1197">
        <f>IF(K37=0,0,(INDEX(AccountCodes[ACCOUNT NAME],MATCH(K37,AccountCodes[NGAS CODE],0))))</f>
        <v>0</v>
      </c>
      <c r="F37" s="1198"/>
      <c r="G37" s="1198"/>
      <c r="H37" s="1198"/>
      <c r="I37" s="1198"/>
      <c r="J37" s="1199"/>
      <c r="K37" s="133"/>
      <c r="L37" s="62">
        <f t="array" ref="L37">IF(K37=0,0,(INDEX(AccountCodes[PPSAS CODE],MATCH(K37,AccountCodes[NGAS CODE],0))))</f>
        <v>0</v>
      </c>
      <c r="M37" s="14"/>
      <c r="N37" s="89">
        <f t="array" ref="N37">SUM(IF((CsDJ[JEV Number]=TRIM($T$2))*(CsDJ[Account Code]=TRIM(K37)),CsDJ[Debit]))</f>
        <v>0</v>
      </c>
      <c r="O37" s="89">
        <f t="array" ref="O37">SUM(IF((CsDJ[JEV Number]=TRIM($T$2))*(CsDJ[Account Code]=TRIM(K37)),CsDJ[Credit]))</f>
        <v>0</v>
      </c>
      <c r="P37" s="1200">
        <f t="shared" si="2"/>
        <v>0</v>
      </c>
      <c r="Q37" s="1200"/>
      <c r="R37" s="1200"/>
      <c r="S37" s="1200">
        <f t="shared" si="3"/>
        <v>0</v>
      </c>
      <c r="T37" s="1200"/>
      <c r="U37" s="1200"/>
      <c r="V37" s="1201"/>
    </row>
    <row r="38" spans="1:22">
      <c r="A38" s="1195"/>
      <c r="B38" s="1196"/>
      <c r="C38" s="1196"/>
      <c r="D38" s="1196"/>
      <c r="E38" s="1197">
        <f>IF(K38=0,0,(INDEX(AccountCodes[ACCOUNT NAME],MATCH(K38,AccountCodes[NGAS CODE],0))))</f>
        <v>0</v>
      </c>
      <c r="F38" s="1198"/>
      <c r="G38" s="1198"/>
      <c r="H38" s="1198"/>
      <c r="I38" s="1198"/>
      <c r="J38" s="1199"/>
      <c r="K38" s="133"/>
      <c r="L38" s="62">
        <f t="array" ref="L38">IF(K38=0,0,(INDEX(AccountCodes[PPSAS CODE],MATCH(K38,AccountCodes[NGAS CODE],0))))</f>
        <v>0</v>
      </c>
      <c r="M38" s="14"/>
      <c r="N38" s="89">
        <f t="array" ref="N38">SUM(IF((CsDJ[JEV Number]=TRIM($T$2))*(CsDJ[Account Code]=TRIM(K38)),CsDJ[Debit]))</f>
        <v>0</v>
      </c>
      <c r="O38" s="89">
        <f t="array" ref="O38">SUM(IF((CsDJ[JEV Number]=TRIM($T$2))*(CsDJ[Account Code]=TRIM(K38)),CsDJ[Credit]))</f>
        <v>0</v>
      </c>
      <c r="P38" s="1200">
        <f t="shared" si="2"/>
        <v>0</v>
      </c>
      <c r="Q38" s="1200"/>
      <c r="R38" s="1200"/>
      <c r="S38" s="1200">
        <f t="shared" si="3"/>
        <v>0</v>
      </c>
      <c r="T38" s="1200"/>
      <c r="U38" s="1200"/>
      <c r="V38" s="1201"/>
    </row>
    <row r="39" spans="1:22">
      <c r="A39" s="1195"/>
      <c r="B39" s="1196"/>
      <c r="C39" s="1196"/>
      <c r="D39" s="1196"/>
      <c r="E39" s="1197">
        <f>IF(K39=0,0,(INDEX(AccountCodes[ACCOUNT NAME],MATCH(K39,AccountCodes[NGAS CODE],0))))</f>
        <v>0</v>
      </c>
      <c r="F39" s="1198"/>
      <c r="G39" s="1198"/>
      <c r="H39" s="1198"/>
      <c r="I39" s="1198"/>
      <c r="J39" s="1199"/>
      <c r="K39" s="133"/>
      <c r="L39" s="62">
        <f t="array" ref="L39">IF(K39=0,0,(INDEX(AccountCodes[PPSAS CODE],MATCH(K39,AccountCodes[NGAS CODE],0))))</f>
        <v>0</v>
      </c>
      <c r="M39" s="14"/>
      <c r="N39" s="89">
        <f t="array" ref="N39">SUM(IF((CsDJ[JEV Number]=TRIM($T$2))*(CsDJ[Account Code]=TRIM(K39)),CsDJ[Debit]))</f>
        <v>0</v>
      </c>
      <c r="O39" s="89">
        <f t="array" ref="O39">SUM(IF((CsDJ[JEV Number]=TRIM($T$2))*(CsDJ[Account Code]=TRIM(K39)),CsDJ[Credit]))</f>
        <v>0</v>
      </c>
      <c r="P39" s="1200">
        <f t="shared" si="2"/>
        <v>0</v>
      </c>
      <c r="Q39" s="1200"/>
      <c r="R39" s="1200"/>
      <c r="S39" s="1200">
        <f t="shared" si="3"/>
        <v>0</v>
      </c>
      <c r="T39" s="1200"/>
      <c r="U39" s="1200"/>
      <c r="V39" s="1201"/>
    </row>
    <row r="40" spans="1:22">
      <c r="A40" s="1195"/>
      <c r="B40" s="1196"/>
      <c r="C40" s="1196"/>
      <c r="D40" s="1196"/>
      <c r="E40" s="1197">
        <f>IF(K40=0,0,(INDEX(AccountCodes[ACCOUNT NAME],MATCH(K40,AccountCodes[NGAS CODE],0))))</f>
        <v>0</v>
      </c>
      <c r="F40" s="1198"/>
      <c r="G40" s="1198"/>
      <c r="H40" s="1198"/>
      <c r="I40" s="1198"/>
      <c r="J40" s="1199"/>
      <c r="K40" s="133"/>
      <c r="L40" s="62">
        <f t="array" ref="L40">IF(K40=0,0,(INDEX(AccountCodes[PPSAS CODE],MATCH(K40,AccountCodes[NGAS CODE],0))))</f>
        <v>0</v>
      </c>
      <c r="M40" s="14"/>
      <c r="N40" s="89">
        <f t="array" ref="N40">SUM(IF((CsDJ[JEV Number]=TRIM($T$2))*(CsDJ[Account Code]=TRIM(K40)),CsDJ[Debit]))</f>
        <v>0</v>
      </c>
      <c r="O40" s="89">
        <f t="array" ref="O40">SUM(IF((CsDJ[JEV Number]=TRIM($T$2))*(CsDJ[Account Code]=TRIM(K40)),CsDJ[Credit]))</f>
        <v>0</v>
      </c>
      <c r="P40" s="1200">
        <f t="shared" si="2"/>
        <v>0</v>
      </c>
      <c r="Q40" s="1200"/>
      <c r="R40" s="1200"/>
      <c r="S40" s="1200">
        <f t="shared" si="3"/>
        <v>0</v>
      </c>
      <c r="T40" s="1200"/>
      <c r="U40" s="1200"/>
      <c r="V40" s="1201"/>
    </row>
    <row r="41" spans="1:22">
      <c r="A41" s="1195"/>
      <c r="B41" s="1196"/>
      <c r="C41" s="1196"/>
      <c r="D41" s="1196"/>
      <c r="E41" s="1197">
        <f>IF(K41=0,0,(INDEX(AccountCodes[ACCOUNT NAME],MATCH(K41,AccountCodes[NGAS CODE],0))))</f>
        <v>0</v>
      </c>
      <c r="F41" s="1198"/>
      <c r="G41" s="1198"/>
      <c r="H41" s="1198"/>
      <c r="I41" s="1198"/>
      <c r="J41" s="1199"/>
      <c r="K41" s="133"/>
      <c r="L41" s="62">
        <f t="array" ref="L41">IF(K41=0,0,(INDEX(AccountCodes[PPSAS CODE],MATCH(K41,AccountCodes[NGAS CODE],0))))</f>
        <v>0</v>
      </c>
      <c r="M41" s="14"/>
      <c r="N41" s="89">
        <f t="array" ref="N41">SUM(IF((CsDJ[JEV Number]=TRIM($T$2))*(CsDJ[Account Code]=TRIM(K41)),CsDJ[Debit]))</f>
        <v>0</v>
      </c>
      <c r="O41" s="89">
        <f t="array" ref="O41">SUM(IF((CsDJ[JEV Number]=TRIM($T$2))*(CsDJ[Account Code]=TRIM(K41)),CsDJ[Credit]))</f>
        <v>0</v>
      </c>
      <c r="P41" s="1200">
        <f t="shared" si="2"/>
        <v>0</v>
      </c>
      <c r="Q41" s="1200"/>
      <c r="R41" s="1200"/>
      <c r="S41" s="1200">
        <f t="shared" si="3"/>
        <v>0</v>
      </c>
      <c r="T41" s="1200"/>
      <c r="U41" s="1200"/>
      <c r="V41" s="1201"/>
    </row>
    <row r="42" spans="1:22">
      <c r="A42" s="1195"/>
      <c r="B42" s="1196"/>
      <c r="C42" s="1196"/>
      <c r="D42" s="1196"/>
      <c r="E42" s="1197">
        <f>IF(K42=0,0,(INDEX(AccountCodes[ACCOUNT NAME],MATCH(K42,AccountCodes[NGAS CODE],0))))</f>
        <v>0</v>
      </c>
      <c r="F42" s="1198"/>
      <c r="G42" s="1198"/>
      <c r="H42" s="1198"/>
      <c r="I42" s="1198"/>
      <c r="J42" s="1199"/>
      <c r="K42" s="133"/>
      <c r="L42" s="62">
        <f t="array" ref="L42">IF(K42=0,0,(INDEX(AccountCodes[PPSAS CODE],MATCH(K42,AccountCodes[NGAS CODE],0))))</f>
        <v>0</v>
      </c>
      <c r="M42" s="14"/>
      <c r="N42" s="89">
        <f t="array" ref="N42">SUM(IF((CsDJ[JEV Number]=TRIM($T$2))*(CsDJ[Account Code]=TRIM(K42)),CsDJ[Debit]))</f>
        <v>0</v>
      </c>
      <c r="O42" s="89">
        <f t="array" ref="O42">SUM(IF((CsDJ[JEV Number]=TRIM($T$2))*(CsDJ[Account Code]=TRIM(K42)),CsDJ[Credit]))</f>
        <v>0</v>
      </c>
      <c r="P42" s="1200">
        <f t="shared" si="2"/>
        <v>0</v>
      </c>
      <c r="Q42" s="1200"/>
      <c r="R42" s="1200"/>
      <c r="S42" s="1200">
        <f t="shared" si="3"/>
        <v>0</v>
      </c>
      <c r="T42" s="1200"/>
      <c r="U42" s="1200"/>
      <c r="V42" s="1201"/>
    </row>
    <row r="43" spans="1:22">
      <c r="A43" s="1195"/>
      <c r="B43" s="1196"/>
      <c r="C43" s="1196"/>
      <c r="D43" s="1196"/>
      <c r="E43" s="1197">
        <f>IF(K43=0,0,(INDEX(AccountCodes[ACCOUNT NAME],MATCH(K43,AccountCodes[NGAS CODE],0))))</f>
        <v>0</v>
      </c>
      <c r="F43" s="1198"/>
      <c r="G43" s="1198"/>
      <c r="H43" s="1198"/>
      <c r="I43" s="1198"/>
      <c r="J43" s="1199"/>
      <c r="K43" s="133"/>
      <c r="L43" s="62">
        <f t="array" ref="L43">IF(K43=0,0,(INDEX(AccountCodes[PPSAS CODE],MATCH(K43,AccountCodes[NGAS CODE],0))))</f>
        <v>0</v>
      </c>
      <c r="M43" s="14"/>
      <c r="N43" s="89">
        <f t="array" ref="N43">SUM(IF((CsDJ[JEV Number]=TRIM($T$2))*(CsDJ[Account Code]=TRIM(K43)),CsDJ[Debit]))</f>
        <v>0</v>
      </c>
      <c r="O43" s="89">
        <f t="array" ref="O43">SUM(IF((CsDJ[JEV Number]=TRIM($T$2))*(CsDJ[Account Code]=TRIM(K43)),CsDJ[Credit]))</f>
        <v>0</v>
      </c>
      <c r="P43" s="1200">
        <f t="shared" si="2"/>
        <v>0</v>
      </c>
      <c r="Q43" s="1200"/>
      <c r="R43" s="1200"/>
      <c r="S43" s="1200">
        <f t="shared" si="3"/>
        <v>0</v>
      </c>
      <c r="T43" s="1200"/>
      <c r="U43" s="1200"/>
      <c r="V43" s="1201"/>
    </row>
    <row r="44" spans="1:22">
      <c r="A44" s="1195"/>
      <c r="B44" s="1196"/>
      <c r="C44" s="1196"/>
      <c r="D44" s="1196"/>
      <c r="E44" s="1197">
        <f>IF(K44=0,0,(INDEX(AccountCodes[ACCOUNT NAME],MATCH(K44,AccountCodes[NGAS CODE],0))))</f>
        <v>0</v>
      </c>
      <c r="F44" s="1198"/>
      <c r="G44" s="1198"/>
      <c r="H44" s="1198"/>
      <c r="I44" s="1198"/>
      <c r="J44" s="1199"/>
      <c r="K44" s="133"/>
      <c r="L44" s="62">
        <f t="array" ref="L44">IF(K44=0,0,(INDEX(AccountCodes[PPSAS CODE],MATCH(K44,AccountCodes[NGAS CODE],0))))</f>
        <v>0</v>
      </c>
      <c r="M44" s="14"/>
      <c r="N44" s="89">
        <f t="array" ref="N44">SUM(IF((CsDJ[JEV Number]=TRIM($T$2))*(CsDJ[Account Code]=TRIM(K44)),CsDJ[Debit]))</f>
        <v>0</v>
      </c>
      <c r="O44" s="89">
        <f t="array" ref="O44">SUM(IF((CsDJ[JEV Number]=TRIM($T$2))*(CsDJ[Account Code]=TRIM(K44)),CsDJ[Credit]))</f>
        <v>0</v>
      </c>
      <c r="P44" s="1200">
        <f t="shared" si="2"/>
        <v>0</v>
      </c>
      <c r="Q44" s="1200"/>
      <c r="R44" s="1200"/>
      <c r="S44" s="1200">
        <f t="shared" si="3"/>
        <v>0</v>
      </c>
      <c r="T44" s="1200"/>
      <c r="U44" s="1200"/>
      <c r="V44" s="1201"/>
    </row>
    <row r="45" spans="1:22">
      <c r="A45" s="1195"/>
      <c r="B45" s="1196"/>
      <c r="C45" s="1196"/>
      <c r="D45" s="1196"/>
      <c r="E45" s="1197">
        <f>IF(K45=0,0,(INDEX(AccountCodes[ACCOUNT NAME],MATCH(K45,AccountCodes[NGAS CODE],0))))</f>
        <v>0</v>
      </c>
      <c r="F45" s="1198"/>
      <c r="G45" s="1198"/>
      <c r="H45" s="1198"/>
      <c r="I45" s="1198"/>
      <c r="J45" s="1199"/>
      <c r="K45" s="133"/>
      <c r="L45" s="62">
        <f t="array" ref="L45">IF(K45=0,0,(INDEX(AccountCodes[PPSAS CODE],MATCH(K45,AccountCodes[NGAS CODE],0))))</f>
        <v>0</v>
      </c>
      <c r="M45" s="14"/>
      <c r="N45" s="89">
        <f t="array" ref="N45">SUM(IF((CsDJ[JEV Number]=TRIM($T$2))*(CsDJ[Account Code]=TRIM(K45)),CsDJ[Debit]))</f>
        <v>0</v>
      </c>
      <c r="O45" s="89">
        <f t="array" ref="O45">SUM(IF((CsDJ[JEV Number]=TRIM($T$2))*(CsDJ[Account Code]=TRIM(K45)),CsDJ[Credit]))</f>
        <v>0</v>
      </c>
      <c r="P45" s="1200">
        <f t="shared" si="2"/>
        <v>0</v>
      </c>
      <c r="Q45" s="1200"/>
      <c r="R45" s="1200"/>
      <c r="S45" s="1200">
        <f t="shared" si="3"/>
        <v>0</v>
      </c>
      <c r="T45" s="1200"/>
      <c r="U45" s="1200"/>
      <c r="V45" s="1201"/>
    </row>
    <row r="46" spans="1:22">
      <c r="A46" s="1195"/>
      <c r="B46" s="1196"/>
      <c r="C46" s="1196"/>
      <c r="D46" s="1196"/>
      <c r="E46" s="1197">
        <f>IF(K46=0,0,(INDEX(AccountCodes[ACCOUNT NAME],MATCH(K46,AccountCodes[NGAS CODE],0))))</f>
        <v>0</v>
      </c>
      <c r="F46" s="1198"/>
      <c r="G46" s="1198"/>
      <c r="H46" s="1198"/>
      <c r="I46" s="1198"/>
      <c r="J46" s="1199"/>
      <c r="K46" s="133"/>
      <c r="L46" s="62">
        <f t="array" ref="L46">IF(K46=0,0,(INDEX(AccountCodes[PPSAS CODE],MATCH(K46,AccountCodes[NGAS CODE],0))))</f>
        <v>0</v>
      </c>
      <c r="M46" s="14"/>
      <c r="N46" s="89">
        <f t="array" ref="N46">SUM(IF((CsDJ[JEV Number]=TRIM($T$2))*(CsDJ[Account Code]=TRIM(K46)),CsDJ[Debit]))</f>
        <v>0</v>
      </c>
      <c r="O46" s="89">
        <f t="array" ref="O46">SUM(IF((CsDJ[JEV Number]=TRIM($T$2))*(CsDJ[Account Code]=TRIM(K46)),CsDJ[Credit]))</f>
        <v>0</v>
      </c>
      <c r="P46" s="1200">
        <f t="shared" si="2"/>
        <v>0</v>
      </c>
      <c r="Q46" s="1200"/>
      <c r="R46" s="1200"/>
      <c r="S46" s="1200">
        <f t="shared" si="3"/>
        <v>0</v>
      </c>
      <c r="T46" s="1200"/>
      <c r="U46" s="1200"/>
      <c r="V46" s="1201"/>
    </row>
    <row r="47" spans="1:22">
      <c r="A47" s="1195"/>
      <c r="B47" s="1196"/>
      <c r="C47" s="1196"/>
      <c r="D47" s="1196"/>
      <c r="E47" s="1197">
        <f>IF(K47=0,0,(INDEX(AccountCodes[ACCOUNT NAME],MATCH(K47,AccountCodes[NGAS CODE],0))))</f>
        <v>0</v>
      </c>
      <c r="F47" s="1198"/>
      <c r="G47" s="1198"/>
      <c r="H47" s="1198"/>
      <c r="I47" s="1198"/>
      <c r="J47" s="1199"/>
      <c r="K47" s="133"/>
      <c r="L47" s="62">
        <f t="array" ref="L47">IF(K47=0,0,(INDEX(AccountCodes[PPSAS CODE],MATCH(K47,AccountCodes[NGAS CODE],0))))</f>
        <v>0</v>
      </c>
      <c r="M47" s="14"/>
      <c r="N47" s="89">
        <f t="array" ref="N47">SUM(IF((CsDJ[JEV Number]=TRIM($T$2))*(CsDJ[Account Code]=TRIM(K47)),CsDJ[Debit]))</f>
        <v>0</v>
      </c>
      <c r="O47" s="89">
        <f t="array" ref="O47">SUM(IF((CsDJ[JEV Number]=TRIM($T$2))*(CsDJ[Account Code]=TRIM(K47)),CsDJ[Credit]))</f>
        <v>0</v>
      </c>
      <c r="P47" s="1200">
        <f t="shared" si="2"/>
        <v>0</v>
      </c>
      <c r="Q47" s="1200"/>
      <c r="R47" s="1200"/>
      <c r="S47" s="1200">
        <f t="shared" si="3"/>
        <v>0</v>
      </c>
      <c r="T47" s="1200"/>
      <c r="U47" s="1200"/>
      <c r="V47" s="1201"/>
    </row>
    <row r="48" spans="1:22">
      <c r="A48" s="1195"/>
      <c r="B48" s="1196"/>
      <c r="C48" s="1196"/>
      <c r="D48" s="1196"/>
      <c r="E48" s="1197">
        <f>IF(K48=0,0,(INDEX(AccountCodes[ACCOUNT NAME],MATCH(K48,AccountCodes[NGAS CODE],0))))</f>
        <v>0</v>
      </c>
      <c r="F48" s="1198"/>
      <c r="G48" s="1198"/>
      <c r="H48" s="1198"/>
      <c r="I48" s="1198"/>
      <c r="J48" s="1199"/>
      <c r="K48" s="133"/>
      <c r="L48" s="62">
        <f t="array" ref="L48">IF(K48=0,0,(INDEX(AccountCodes[PPSAS CODE],MATCH(K48,AccountCodes[NGAS CODE],0))))</f>
        <v>0</v>
      </c>
      <c r="M48" s="14"/>
      <c r="N48" s="89">
        <f t="array" ref="N48">SUM(IF((CsDJ[JEV Number]=TRIM($T$2))*(CsDJ[Account Code]=TRIM(K48)),CsDJ[Debit]))</f>
        <v>0</v>
      </c>
      <c r="O48" s="89">
        <f t="array" ref="O48">SUM(IF((CsDJ[JEV Number]=TRIM($T$2))*(CsDJ[Account Code]=TRIM(K48)),CsDJ[Credit]))</f>
        <v>0</v>
      </c>
      <c r="P48" s="1200">
        <f t="shared" si="2"/>
        <v>0</v>
      </c>
      <c r="Q48" s="1200"/>
      <c r="R48" s="1200"/>
      <c r="S48" s="1200">
        <f t="shared" si="3"/>
        <v>0</v>
      </c>
      <c r="T48" s="1200"/>
      <c r="U48" s="1200"/>
      <c r="V48" s="1201"/>
    </row>
    <row r="49" spans="1:22">
      <c r="A49" s="1195"/>
      <c r="B49" s="1196"/>
      <c r="C49" s="1196"/>
      <c r="D49" s="1196"/>
      <c r="E49" s="1197">
        <f>IF(K49=0,0,(INDEX(AccountCodes[ACCOUNT NAME],MATCH(K49,AccountCodes[NGAS CODE],0))))</f>
        <v>0</v>
      </c>
      <c r="F49" s="1198"/>
      <c r="G49" s="1198"/>
      <c r="H49" s="1198"/>
      <c r="I49" s="1198"/>
      <c r="J49" s="1199"/>
      <c r="K49" s="133"/>
      <c r="L49" s="62">
        <f t="array" ref="L49">IF(K49=0,0,(INDEX(AccountCodes[PPSAS CODE],MATCH(K49,AccountCodes[NGAS CODE],0))))</f>
        <v>0</v>
      </c>
      <c r="M49" s="14"/>
      <c r="N49" s="89">
        <f t="array" ref="N49">SUM(IF((CsDJ[JEV Number]=TRIM($T$2))*(CsDJ[Account Code]=TRIM(K49)),CsDJ[Debit]))</f>
        <v>0</v>
      </c>
      <c r="O49" s="89">
        <f t="array" ref="O49">SUM(IF((CsDJ[JEV Number]=TRIM($T$2))*(CsDJ[Account Code]=TRIM(K49)),CsDJ[Credit]))</f>
        <v>0</v>
      </c>
      <c r="P49" s="1200">
        <f>N49</f>
        <v>0</v>
      </c>
      <c r="Q49" s="1200"/>
      <c r="R49" s="1200"/>
      <c r="S49" s="1200">
        <f>O49</f>
        <v>0</v>
      </c>
      <c r="T49" s="1200"/>
      <c r="U49" s="1200"/>
      <c r="V49" s="1201"/>
    </row>
    <row r="50" spans="1:22">
      <c r="A50" s="1195"/>
      <c r="B50" s="1196"/>
      <c r="C50" s="1196"/>
      <c r="D50" s="1196"/>
      <c r="E50" s="1257" t="s">
        <v>468</v>
      </c>
      <c r="F50" s="1258"/>
      <c r="G50" s="1258"/>
      <c r="H50" s="1258"/>
      <c r="I50" s="1258"/>
      <c r="J50" s="1259"/>
      <c r="K50" s="133"/>
      <c r="L50" s="62"/>
      <c r="M50" s="14"/>
      <c r="N50" s="89"/>
      <c r="O50" s="89"/>
      <c r="P50" s="1200"/>
      <c r="Q50" s="1200"/>
      <c r="R50" s="1200"/>
      <c r="S50" s="1200"/>
      <c r="T50" s="1200"/>
      <c r="U50" s="1200"/>
      <c r="V50" s="1201"/>
    </row>
    <row r="51" spans="1:22">
      <c r="A51" s="1195"/>
      <c r="B51" s="1196"/>
      <c r="C51" s="1196"/>
      <c r="D51" s="1196"/>
      <c r="E51" s="1202" t="s">
        <v>457</v>
      </c>
      <c r="F51" s="1203"/>
      <c r="G51" s="1203"/>
      <c r="H51" s="1203"/>
      <c r="I51" s="1207">
        <f>T3</f>
        <v>43861</v>
      </c>
      <c r="J51" s="1208"/>
      <c r="K51" s="133"/>
      <c r="L51" s="62"/>
      <c r="M51" s="14"/>
      <c r="N51" s="89"/>
      <c r="O51" s="89"/>
      <c r="P51" s="1200"/>
      <c r="Q51" s="1200"/>
      <c r="R51" s="1200"/>
      <c r="S51" s="1200"/>
      <c r="T51" s="1200"/>
      <c r="U51" s="1200"/>
      <c r="V51" s="1201"/>
    </row>
    <row r="52" spans="1:22">
      <c r="A52" s="1195"/>
      <c r="B52" s="1196"/>
      <c r="C52" s="1196"/>
      <c r="D52" s="1196"/>
      <c r="E52" s="1202" t="s">
        <v>458</v>
      </c>
      <c r="F52" s="1203"/>
      <c r="G52" s="1203"/>
      <c r="H52" s="1203"/>
      <c r="I52" s="1263" t="s">
        <v>1616</v>
      </c>
      <c r="J52" s="1264"/>
      <c r="K52" s="133"/>
      <c r="L52" s="62"/>
      <c r="M52" s="14"/>
      <c r="N52" s="89"/>
      <c r="O52" s="89"/>
      <c r="P52" s="1200"/>
      <c r="Q52" s="1200"/>
      <c r="R52" s="1200"/>
      <c r="S52" s="1200"/>
      <c r="T52" s="1200"/>
      <c r="U52" s="1200"/>
      <c r="V52" s="1201"/>
    </row>
    <row r="53" spans="1:22">
      <c r="A53" s="1195"/>
      <c r="B53" s="1196"/>
      <c r="C53" s="1196"/>
      <c r="D53" s="1196"/>
      <c r="E53" s="1202" t="s">
        <v>459</v>
      </c>
      <c r="F53" s="1203"/>
      <c r="G53" s="1203"/>
      <c r="H53" s="1203"/>
      <c r="I53" s="1204">
        <f>IF(I52="Ma. Vivian C. Salas","Regional Office", IF(I52="Luz R. De Cozar","BANE IMO", IF(I52="Mineonette A. Dela Cruz","PAMBAT IMO", IF(I52="Resella B. Lopez","TARZAM IMO",0))))</f>
        <v>0</v>
      </c>
      <c r="J53" s="1205"/>
      <c r="K53" s="133"/>
      <c r="L53" s="62"/>
      <c r="M53" s="14"/>
      <c r="N53" s="89"/>
      <c r="O53" s="89"/>
      <c r="P53" s="1200"/>
      <c r="Q53" s="1200"/>
      <c r="R53" s="1200"/>
      <c r="S53" s="1200"/>
      <c r="T53" s="1200"/>
      <c r="U53" s="1200"/>
      <c r="V53" s="1201"/>
    </row>
    <row r="54" spans="1:22">
      <c r="A54" s="1195"/>
      <c r="B54" s="1196"/>
      <c r="C54" s="1196"/>
      <c r="D54" s="1196"/>
      <c r="E54" s="1202"/>
      <c r="F54" s="1203"/>
      <c r="G54" s="1203"/>
      <c r="H54" s="1203"/>
      <c r="I54" s="1203"/>
      <c r="J54" s="1206"/>
      <c r="K54" s="133"/>
      <c r="L54" s="62"/>
      <c r="M54" s="14"/>
      <c r="N54" s="89"/>
      <c r="O54" s="89"/>
      <c r="P54" s="1200"/>
      <c r="Q54" s="1200"/>
      <c r="R54" s="1200"/>
      <c r="S54" s="1200"/>
      <c r="T54" s="1200"/>
      <c r="U54" s="1200"/>
      <c r="V54" s="1201"/>
    </row>
    <row r="55" spans="1:22" ht="16.5" thickBot="1">
      <c r="A55" s="1188"/>
      <c r="B55" s="1189"/>
      <c r="C55" s="1189"/>
      <c r="D55" s="1189"/>
      <c r="E55" s="1189"/>
      <c r="F55" s="1189"/>
      <c r="G55" s="1189"/>
      <c r="H55" s="1189"/>
      <c r="I55" s="1189"/>
      <c r="J55" s="1189"/>
      <c r="K55" s="1189"/>
      <c r="L55" s="1189"/>
      <c r="M55" s="1190"/>
      <c r="N55" s="88"/>
      <c r="O55" s="88"/>
      <c r="P55" s="1191">
        <f>SUM(P11:R54)</f>
        <v>0</v>
      </c>
      <c r="Q55" s="1191"/>
      <c r="R55" s="1191"/>
      <c r="S55" s="1191">
        <f>SUM(S11:V54)</f>
        <v>0</v>
      </c>
      <c r="T55" s="1191"/>
      <c r="U55" s="1191"/>
      <c r="V55" s="1192"/>
    </row>
    <row r="56" spans="1:22">
      <c r="A56" s="63"/>
      <c r="B56" s="64"/>
      <c r="C56" s="64"/>
      <c r="D56" s="64"/>
      <c r="E56" s="64"/>
      <c r="F56" s="64"/>
      <c r="G56" s="64"/>
      <c r="H56" s="64"/>
      <c r="I56" s="65"/>
      <c r="J56" s="64"/>
      <c r="K56" s="66"/>
      <c r="L56" s="64"/>
      <c r="M56" s="65"/>
      <c r="N56" s="64"/>
      <c r="O56" s="64"/>
      <c r="P56" s="1193"/>
      <c r="Q56" s="1193"/>
      <c r="R56" s="1193"/>
      <c r="S56" s="1193"/>
      <c r="T56" s="1193"/>
      <c r="U56" s="1193"/>
      <c r="V56" s="1194"/>
    </row>
    <row r="57" spans="1:22">
      <c r="A57" s="67" t="s">
        <v>460</v>
      </c>
      <c r="B57"/>
      <c r="C57"/>
      <c r="D57"/>
      <c r="E57"/>
      <c r="F57"/>
      <c r="G57"/>
      <c r="H57"/>
      <c r="I57" s="68" t="s">
        <v>353</v>
      </c>
      <c r="J57" s="69"/>
      <c r="K57" s="69"/>
      <c r="L57"/>
      <c r="M57" s="68" t="s">
        <v>461</v>
      </c>
      <c r="N57" s="69"/>
      <c r="O57" s="69"/>
      <c r="P57" s="70"/>
      <c r="Q57" s="70"/>
      <c r="R57" s="70"/>
      <c r="S57" s="70"/>
      <c r="T57" s="70"/>
      <c r="U57" s="70"/>
      <c r="V57" s="71"/>
    </row>
    <row r="58" spans="1:22">
      <c r="A58" s="37"/>
      <c r="B58"/>
      <c r="C58"/>
      <c r="D58"/>
      <c r="E58"/>
      <c r="F58"/>
      <c r="G58"/>
      <c r="H58"/>
      <c r="I58" s="72"/>
      <c r="J58"/>
      <c r="K58"/>
      <c r="L58"/>
      <c r="M58" s="72"/>
      <c r="N58"/>
      <c r="O58"/>
      <c r="P58"/>
      <c r="Q58"/>
      <c r="R58"/>
      <c r="S58"/>
      <c r="T58"/>
      <c r="U58"/>
      <c r="V58" s="73"/>
    </row>
    <row r="59" spans="1:22">
      <c r="A59" s="74" t="s">
        <v>1559</v>
      </c>
      <c r="B59" s="75"/>
      <c r="C59" s="75"/>
      <c r="D59" s="75"/>
      <c r="E59" s="75"/>
      <c r="F59" s="75"/>
      <c r="G59" s="75"/>
      <c r="H59" s="76"/>
      <c r="I59" s="77" t="s">
        <v>799</v>
      </c>
      <c r="J59" s="75"/>
      <c r="K59" s="75"/>
      <c r="L59" s="76"/>
      <c r="M59" s="77" t="s">
        <v>1591</v>
      </c>
      <c r="N59" s="75"/>
      <c r="O59" s="75"/>
      <c r="P59" s="75"/>
      <c r="Q59" s="75"/>
      <c r="R59" s="75"/>
      <c r="S59" s="75"/>
      <c r="T59" s="75"/>
      <c r="U59" s="75"/>
      <c r="V59" s="78"/>
    </row>
    <row r="60" spans="1:22">
      <c r="A60" s="79" t="s">
        <v>742</v>
      </c>
      <c r="B60" s="80"/>
      <c r="C60" s="80"/>
      <c r="D60" s="80"/>
      <c r="E60" s="80"/>
      <c r="F60" s="80"/>
      <c r="G60" s="80"/>
      <c r="H60" s="80"/>
      <c r="I60" s="81" t="s">
        <v>799</v>
      </c>
      <c r="J60" s="80"/>
      <c r="K60" s="80"/>
      <c r="L60" s="80"/>
      <c r="M60" s="81" t="s">
        <v>464</v>
      </c>
      <c r="N60" s="80"/>
      <c r="O60" s="80"/>
      <c r="P60" s="82"/>
      <c r="Q60" s="82"/>
      <c r="R60" s="82"/>
      <c r="S60" s="82"/>
      <c r="T60" s="82"/>
      <c r="U60" s="82"/>
      <c r="V60" s="83"/>
    </row>
    <row r="61" spans="1:22" ht="16.5" thickBot="1">
      <c r="A61" s="84" t="s">
        <v>465</v>
      </c>
      <c r="B61" s="43"/>
      <c r="C61" s="43"/>
      <c r="D61" s="43"/>
      <c r="E61" s="43"/>
      <c r="F61" s="43"/>
      <c r="G61" s="43"/>
      <c r="H61" s="43"/>
      <c r="I61" s="85"/>
      <c r="J61" s="43"/>
      <c r="K61" s="43"/>
      <c r="L61" s="43"/>
      <c r="M61" s="85"/>
      <c r="N61" s="43"/>
      <c r="O61" s="43"/>
      <c r="P61" s="43"/>
      <c r="Q61" s="43"/>
      <c r="R61" s="43"/>
      <c r="S61" s="43"/>
      <c r="T61" s="43"/>
      <c r="U61" s="43"/>
      <c r="V61" s="44"/>
    </row>
    <row r="62" spans="1:22" ht="22.5">
      <c r="A62" s="31" t="s">
        <v>441</v>
      </c>
      <c r="B62" s="32"/>
      <c r="C62" s="32"/>
      <c r="D62" s="32"/>
      <c r="E62" s="32"/>
      <c r="F62" s="32"/>
      <c r="G62" s="32"/>
      <c r="H62" s="32"/>
      <c r="I62" s="32"/>
      <c r="J62" s="32"/>
      <c r="K62" s="32"/>
      <c r="L62" s="32"/>
      <c r="M62" s="32"/>
      <c r="N62" s="32"/>
      <c r="O62" s="32"/>
      <c r="P62" s="32"/>
      <c r="Q62" s="33"/>
      <c r="R62" s="1218">
        <f>+P102-S102</f>
        <v>0</v>
      </c>
      <c r="S62" s="1219"/>
      <c r="T62" s="1219"/>
      <c r="U62" s="1219"/>
      <c r="V62" s="1220"/>
    </row>
    <row r="63" spans="1:22">
      <c r="A63" s="34" t="s">
        <v>442</v>
      </c>
      <c r="B63" s="35"/>
      <c r="C63" s="35"/>
      <c r="D63" s="35"/>
      <c r="E63" s="35"/>
      <c r="F63" s="35"/>
      <c r="G63" s="35"/>
      <c r="H63" s="35"/>
      <c r="I63" s="35"/>
      <c r="J63" s="35"/>
      <c r="K63" s="35"/>
      <c r="L63" s="35"/>
      <c r="M63" s="35"/>
      <c r="N63" s="35"/>
      <c r="O63" s="35"/>
      <c r="P63" s="35"/>
      <c r="Q63" s="36"/>
      <c r="R63" s="37" t="s">
        <v>443</v>
      </c>
      <c r="S63"/>
      <c r="T63" s="1221"/>
      <c r="U63" s="1221"/>
      <c r="V63" s="1222"/>
    </row>
    <row r="64" spans="1:22">
      <c r="A64" s="38" t="s">
        <v>444</v>
      </c>
      <c r="B64" s="35"/>
      <c r="C64" s="35"/>
      <c r="D64" s="35"/>
      <c r="E64" s="35"/>
      <c r="F64" s="35"/>
      <c r="G64" s="35"/>
      <c r="H64" s="35"/>
      <c r="I64" s="35"/>
      <c r="J64" s="35"/>
      <c r="K64" s="35"/>
      <c r="L64" s="35"/>
      <c r="M64" s="35"/>
      <c r="N64" s="35"/>
      <c r="O64" s="35"/>
      <c r="P64" s="35"/>
      <c r="Q64" s="36"/>
      <c r="R64" s="37" t="s">
        <v>0</v>
      </c>
      <c r="S64"/>
      <c r="T64" s="1223">
        <f>IF(T63=0,0,(LOOKUP(T63,CsDJ[JEV Number],CsDJ[Date])))</f>
        <v>0</v>
      </c>
      <c r="U64" s="1223"/>
      <c r="V64" s="1224"/>
    </row>
    <row r="65" spans="1:22" ht="16.5" thickBot="1">
      <c r="A65" s="39"/>
      <c r="B65" s="40"/>
      <c r="C65" s="40"/>
      <c r="D65" s="40"/>
      <c r="E65" s="40"/>
      <c r="F65" s="40"/>
      <c r="G65" s="40"/>
      <c r="H65" s="40"/>
      <c r="I65" s="40"/>
      <c r="J65" s="40"/>
      <c r="K65" s="40"/>
      <c r="L65" s="40"/>
      <c r="M65" s="40"/>
      <c r="N65" s="40"/>
      <c r="O65" s="40"/>
      <c r="P65" s="40"/>
      <c r="Q65" s="41"/>
      <c r="R65" s="42"/>
      <c r="S65" s="43"/>
      <c r="T65" s="43"/>
      <c r="U65" s="43"/>
      <c r="V65" s="44"/>
    </row>
    <row r="66" spans="1:22">
      <c r="A66" s="45"/>
      <c r="B66" s="46"/>
      <c r="C66" s="46"/>
      <c r="D66" s="46"/>
      <c r="E66" s="46"/>
      <c r="F66" s="46"/>
      <c r="G66" s="46"/>
      <c r="H66" s="46"/>
      <c r="I66" s="46"/>
      <c r="J66" s="46"/>
      <c r="K66" s="46"/>
      <c r="L66" s="47"/>
      <c r="M66" s="46"/>
      <c r="N66" s="46"/>
      <c r="O66" s="46"/>
      <c r="P66" s="46"/>
      <c r="Q66" s="46"/>
      <c r="R66" s="46"/>
      <c r="S66" s="46"/>
      <c r="T66" s="46"/>
      <c r="U66" s="46"/>
      <c r="V66" s="48"/>
    </row>
    <row r="67" spans="1:22">
      <c r="A67" s="49"/>
      <c r="B67" s="1225"/>
      <c r="C67" s="1225"/>
      <c r="D67" s="50" t="s">
        <v>445</v>
      </c>
      <c r="H67" s="51"/>
      <c r="I67" s="25" t="s">
        <v>447</v>
      </c>
      <c r="J67" s="132" t="s">
        <v>446</v>
      </c>
      <c r="K67" s="52" t="s">
        <v>448</v>
      </c>
      <c r="L67" s="52"/>
      <c r="Q67" s="1225"/>
      <c r="R67" s="1225"/>
      <c r="S67" s="50" t="s">
        <v>449</v>
      </c>
      <c r="T67" s="50"/>
      <c r="U67" s="50"/>
      <c r="V67" s="53"/>
    </row>
    <row r="68" spans="1:22" ht="16.5" thickBot="1">
      <c r="A68" s="54"/>
      <c r="B68" s="55"/>
      <c r="C68" s="55"/>
      <c r="D68" s="55"/>
      <c r="E68" s="55"/>
      <c r="F68" s="55"/>
      <c r="G68" s="55"/>
      <c r="H68" s="55"/>
      <c r="I68" s="55"/>
      <c r="J68" s="55"/>
      <c r="K68" s="55"/>
      <c r="L68" s="56"/>
      <c r="M68" s="55"/>
      <c r="N68" s="55"/>
      <c r="O68" s="55"/>
      <c r="P68" s="55"/>
      <c r="Q68" s="55"/>
      <c r="R68" s="55"/>
      <c r="S68" s="55"/>
      <c r="T68" s="55"/>
      <c r="U68" s="55"/>
      <c r="V68" s="57"/>
    </row>
    <row r="69" spans="1:22">
      <c r="A69" s="1226" t="s">
        <v>397</v>
      </c>
      <c r="B69" s="1227"/>
      <c r="C69" s="1227"/>
      <c r="D69" s="1228"/>
      <c r="E69" s="1235" t="s">
        <v>450</v>
      </c>
      <c r="F69" s="1235"/>
      <c r="G69" s="1235"/>
      <c r="H69" s="1235"/>
      <c r="I69" s="1235"/>
      <c r="J69" s="1235"/>
      <c r="K69" s="1235"/>
      <c r="L69" s="1235"/>
      <c r="M69" s="1235"/>
      <c r="N69" s="1235"/>
      <c r="O69" s="1235"/>
      <c r="P69" s="1235"/>
      <c r="Q69" s="1235"/>
      <c r="R69" s="1235"/>
      <c r="S69" s="1235"/>
      <c r="T69" s="1235"/>
      <c r="U69" s="1235"/>
      <c r="V69" s="1236"/>
    </row>
    <row r="70" spans="1:22">
      <c r="A70" s="1229"/>
      <c r="B70" s="1230"/>
      <c r="C70" s="1230"/>
      <c r="D70" s="1231"/>
      <c r="E70" s="1237" t="s">
        <v>451</v>
      </c>
      <c r="F70" s="1237"/>
      <c r="G70" s="1237"/>
      <c r="H70" s="1237"/>
      <c r="I70" s="1237"/>
      <c r="J70" s="1237"/>
      <c r="K70" s="1239" t="s">
        <v>378</v>
      </c>
      <c r="L70" s="1239"/>
      <c r="M70" s="1237" t="s">
        <v>452</v>
      </c>
      <c r="N70" s="1240" t="s">
        <v>453</v>
      </c>
      <c r="O70" s="1241"/>
      <c r="P70" s="1241"/>
      <c r="Q70" s="1241"/>
      <c r="R70" s="1241"/>
      <c r="S70" s="1241"/>
      <c r="T70" s="1241"/>
      <c r="U70" s="1241"/>
      <c r="V70" s="1242"/>
    </row>
    <row r="71" spans="1:22" ht="16.5" customHeight="1" thickBot="1">
      <c r="A71" s="1232"/>
      <c r="B71" s="1233"/>
      <c r="C71" s="1233"/>
      <c r="D71" s="1234"/>
      <c r="E71" s="1238"/>
      <c r="F71" s="1238"/>
      <c r="G71" s="1238"/>
      <c r="H71" s="1238"/>
      <c r="I71" s="1238"/>
      <c r="J71" s="1238"/>
      <c r="K71" s="58" t="s">
        <v>454</v>
      </c>
      <c r="L71" s="58" t="s">
        <v>455</v>
      </c>
      <c r="M71" s="1238"/>
      <c r="N71" s="87" t="s">
        <v>466</v>
      </c>
      <c r="O71" s="87" t="s">
        <v>467</v>
      </c>
      <c r="P71" s="1243" t="s">
        <v>1</v>
      </c>
      <c r="Q71" s="1244"/>
      <c r="R71" s="1245"/>
      <c r="S71" s="1243" t="s">
        <v>2</v>
      </c>
      <c r="T71" s="1244"/>
      <c r="U71" s="1244"/>
      <c r="V71" s="1246"/>
    </row>
    <row r="72" spans="1:22" ht="19.5">
      <c r="A72" s="1210">
        <f>P102-S102</f>
        <v>0</v>
      </c>
      <c r="B72" s="1211"/>
      <c r="C72" s="1211"/>
      <c r="D72" s="1211"/>
      <c r="E72" s="1212" t="str">
        <f>Account!$G$1</f>
        <v>FUND 501 CARP</v>
      </c>
      <c r="F72" s="1213"/>
      <c r="G72" s="1213"/>
      <c r="H72" s="1213"/>
      <c r="I72" s="1213"/>
      <c r="J72" s="1214"/>
      <c r="K72" s="59"/>
      <c r="L72" s="59"/>
      <c r="M72" s="60"/>
      <c r="N72" s="60"/>
      <c r="O72" s="60"/>
      <c r="P72" s="1215"/>
      <c r="Q72" s="1215"/>
      <c r="R72" s="1215"/>
      <c r="S72" s="1215"/>
      <c r="T72" s="1215"/>
      <c r="U72" s="1215"/>
      <c r="V72" s="1216"/>
    </row>
    <row r="73" spans="1:22">
      <c r="A73" s="1195"/>
      <c r="B73" s="1196"/>
      <c r="C73" s="1196"/>
      <c r="D73" s="1196"/>
      <c r="E73" s="1196"/>
      <c r="F73" s="1196"/>
      <c r="G73" s="1196"/>
      <c r="H73" s="1196"/>
      <c r="I73" s="1196"/>
      <c r="J73" s="1196"/>
      <c r="K73" s="61"/>
      <c r="L73" s="61"/>
      <c r="M73" s="14"/>
      <c r="N73" s="14"/>
      <c r="O73" s="14"/>
      <c r="P73" s="1196"/>
      <c r="Q73" s="1196"/>
      <c r="R73" s="1196"/>
      <c r="S73" s="1196"/>
      <c r="T73" s="1196"/>
      <c r="U73" s="1196"/>
      <c r="V73" s="1217"/>
    </row>
    <row r="74" spans="1:22">
      <c r="A74" s="1195"/>
      <c r="B74" s="1196"/>
      <c r="C74" s="1196"/>
      <c r="D74" s="1196"/>
      <c r="E74" s="1197" t="str">
        <f t="shared" ref="E74:E96" si="4">IF(K74=0,"",(VLOOKUP((TRIM(K74)),Code,2,)))</f>
        <v/>
      </c>
      <c r="F74" s="1198"/>
      <c r="G74" s="1198"/>
      <c r="H74" s="1198"/>
      <c r="I74" s="1198"/>
      <c r="J74" s="1199"/>
      <c r="K74" s="133"/>
      <c r="L74" s="62" t="str">
        <f t="shared" ref="L74:L101" si="5">IF(K74=0,"",VLOOKUP((TRIM(K74)),Code,3,))</f>
        <v/>
      </c>
      <c r="M74" s="14"/>
      <c r="N74" s="89">
        <f t="array" ref="N74">SUM(IF((CsDJ[JEV Number]=TRIM($T63))*(CsDJ[Account Code]=TRIM(K74)),CsDJ[Debit]))</f>
        <v>0</v>
      </c>
      <c r="O74" s="89">
        <f t="array" ref="O74">SUM(IF((CsDJ[JEV Number]=TRIM($T63))*(CsDJ[Account Code]=TRIM(K74)),CsDJ[Credit]))</f>
        <v>0</v>
      </c>
      <c r="P74" s="1200">
        <f>N74</f>
        <v>0</v>
      </c>
      <c r="Q74" s="1200"/>
      <c r="R74" s="1200"/>
      <c r="S74" s="1200">
        <f>O74</f>
        <v>0</v>
      </c>
      <c r="T74" s="1200"/>
      <c r="U74" s="1200"/>
      <c r="V74" s="1201"/>
    </row>
    <row r="75" spans="1:22">
      <c r="A75" s="1195"/>
      <c r="B75" s="1196"/>
      <c r="C75" s="1196"/>
      <c r="D75" s="1196"/>
      <c r="E75" s="1197" t="str">
        <f t="shared" si="4"/>
        <v/>
      </c>
      <c r="F75" s="1198"/>
      <c r="G75" s="1198"/>
      <c r="H75" s="1198"/>
      <c r="I75" s="1198"/>
      <c r="J75" s="1199"/>
      <c r="K75" s="133"/>
      <c r="L75" s="62" t="str">
        <f t="shared" si="5"/>
        <v/>
      </c>
      <c r="M75" s="14"/>
      <c r="N75" s="89">
        <f t="array" ref="N75">SUM(IF((CsDJ[JEV Number]=TRIM($T63))*(CsDJ[Account Code]=TRIM(K75)),CsDJ[Debit]))</f>
        <v>0</v>
      </c>
      <c r="O75" s="89">
        <f t="array" ref="O75">SUM(IF((CsDJ[JEV Number]=TRIM($T63))*(CsDJ[Account Code]=TRIM(K75)),CsDJ[Credit]))</f>
        <v>0</v>
      </c>
      <c r="P75" s="1200">
        <f>N75</f>
        <v>0</v>
      </c>
      <c r="Q75" s="1200"/>
      <c r="R75" s="1200"/>
      <c r="S75" s="1200">
        <f>O75</f>
        <v>0</v>
      </c>
      <c r="T75" s="1200"/>
      <c r="U75" s="1200"/>
      <c r="V75" s="1201"/>
    </row>
    <row r="76" spans="1:22">
      <c r="A76" s="1195"/>
      <c r="B76" s="1196"/>
      <c r="C76" s="1196"/>
      <c r="D76" s="1196"/>
      <c r="E76" s="1197" t="str">
        <f t="shared" si="4"/>
        <v/>
      </c>
      <c r="F76" s="1198"/>
      <c r="G76" s="1198"/>
      <c r="H76" s="1198"/>
      <c r="I76" s="1198"/>
      <c r="J76" s="1199"/>
      <c r="K76" s="133"/>
      <c r="L76" s="62" t="str">
        <f t="shared" si="5"/>
        <v/>
      </c>
      <c r="M76" s="14"/>
      <c r="N76" s="89">
        <f t="array" ref="N76">SUM(IF((CsDJ[JEV Number]=TRIM($T63))*(CsDJ[Account Code]=TRIM(K76)),CsDJ[Debit]))</f>
        <v>0</v>
      </c>
      <c r="O76" s="89">
        <f t="array" ref="O76">SUM(IF((CsDJ[JEV Number]=TRIM($T63))*(CsDJ[Account Code]=TRIM(K76)),CsDJ[Credit]))</f>
        <v>0</v>
      </c>
      <c r="P76" s="1200">
        <f t="shared" ref="P76:P101" si="6">N76</f>
        <v>0</v>
      </c>
      <c r="Q76" s="1200"/>
      <c r="R76" s="1200"/>
      <c r="S76" s="1200">
        <f t="shared" ref="S76:S101" si="7">O76</f>
        <v>0</v>
      </c>
      <c r="T76" s="1200"/>
      <c r="U76" s="1200"/>
      <c r="V76" s="1201"/>
    </row>
    <row r="77" spans="1:22">
      <c r="A77" s="1195"/>
      <c r="B77" s="1196"/>
      <c r="C77" s="1196"/>
      <c r="D77" s="1196"/>
      <c r="E77" s="1197" t="str">
        <f t="shared" si="4"/>
        <v/>
      </c>
      <c r="F77" s="1198"/>
      <c r="G77" s="1198"/>
      <c r="H77" s="1198"/>
      <c r="I77" s="1198"/>
      <c r="J77" s="1199"/>
      <c r="K77" s="133"/>
      <c r="L77" s="62" t="str">
        <f t="shared" si="5"/>
        <v/>
      </c>
      <c r="M77" s="14"/>
      <c r="N77" s="89">
        <f t="array" ref="N77">SUM(IF((CsDJ[JEV Number]=TRIM($T63))*(CsDJ[Account Code]=TRIM(K77)),CsDJ[Debit]))</f>
        <v>0</v>
      </c>
      <c r="O77" s="89">
        <f t="array" ref="O77">SUM(IF((CsDJ[JEV Number]=TRIM($T63))*(CsDJ[Account Code]=TRIM(K77)),CsDJ[Credit]))</f>
        <v>0</v>
      </c>
      <c r="P77" s="1200">
        <f t="shared" si="6"/>
        <v>0</v>
      </c>
      <c r="Q77" s="1200"/>
      <c r="R77" s="1200"/>
      <c r="S77" s="1200">
        <f t="shared" si="7"/>
        <v>0</v>
      </c>
      <c r="T77" s="1200"/>
      <c r="U77" s="1200"/>
      <c r="V77" s="1201"/>
    </row>
    <row r="78" spans="1:22">
      <c r="A78" s="1195"/>
      <c r="B78" s="1196"/>
      <c r="C78" s="1196"/>
      <c r="D78" s="1196"/>
      <c r="E78" s="1197" t="str">
        <f t="shared" si="4"/>
        <v/>
      </c>
      <c r="F78" s="1198"/>
      <c r="G78" s="1198"/>
      <c r="H78" s="1198"/>
      <c r="I78" s="1198"/>
      <c r="J78" s="1199"/>
      <c r="K78" s="133"/>
      <c r="L78" s="62" t="str">
        <f t="shared" si="5"/>
        <v/>
      </c>
      <c r="M78" s="14"/>
      <c r="N78" s="89">
        <f t="array" ref="N78">SUM(IF((CsDJ[JEV Number]=TRIM($T63))*(CsDJ[Account Code]=TRIM(K78)),CsDJ[Debit]))</f>
        <v>0</v>
      </c>
      <c r="O78" s="89">
        <f t="array" ref="O78">SUM(IF((CsDJ[JEV Number]=TRIM($T63))*(CsDJ[Account Code]=TRIM(K78)),CsDJ[Credit]))</f>
        <v>0</v>
      </c>
      <c r="P78" s="1200">
        <f t="shared" si="6"/>
        <v>0</v>
      </c>
      <c r="Q78" s="1200"/>
      <c r="R78" s="1200"/>
      <c r="S78" s="1200">
        <f t="shared" si="7"/>
        <v>0</v>
      </c>
      <c r="T78" s="1200"/>
      <c r="U78" s="1200"/>
      <c r="V78" s="1201"/>
    </row>
    <row r="79" spans="1:22">
      <c r="A79" s="1195"/>
      <c r="B79" s="1196"/>
      <c r="C79" s="1196"/>
      <c r="D79" s="1196"/>
      <c r="E79" s="1197" t="str">
        <f t="shared" si="4"/>
        <v/>
      </c>
      <c r="F79" s="1198"/>
      <c r="G79" s="1198"/>
      <c r="H79" s="1198"/>
      <c r="I79" s="1198"/>
      <c r="J79" s="1199"/>
      <c r="K79" s="133"/>
      <c r="L79" s="62" t="str">
        <f t="shared" si="5"/>
        <v/>
      </c>
      <c r="M79" s="14"/>
      <c r="N79" s="89">
        <f t="array" ref="N79">SUM(IF((CsDJ[JEV Number]=TRIM($T63))*(CsDJ[Account Code]=TRIM(K79)),CsDJ[Debit]))</f>
        <v>0</v>
      </c>
      <c r="O79" s="89">
        <f t="array" ref="O79">SUM(IF((CsDJ[JEV Number]=TRIM($T63))*(CsDJ[Account Code]=TRIM(K79)),CsDJ[Credit]))</f>
        <v>0</v>
      </c>
      <c r="P79" s="1200">
        <f t="shared" si="6"/>
        <v>0</v>
      </c>
      <c r="Q79" s="1200"/>
      <c r="R79" s="1200"/>
      <c r="S79" s="1200">
        <f t="shared" si="7"/>
        <v>0</v>
      </c>
      <c r="T79" s="1200"/>
      <c r="U79" s="1200"/>
      <c r="V79" s="1201"/>
    </row>
    <row r="80" spans="1:22">
      <c r="A80" s="1195"/>
      <c r="B80" s="1196"/>
      <c r="C80" s="1196"/>
      <c r="D80" s="1196"/>
      <c r="E80" s="1197" t="str">
        <f t="shared" si="4"/>
        <v/>
      </c>
      <c r="F80" s="1198"/>
      <c r="G80" s="1198"/>
      <c r="H80" s="1198"/>
      <c r="I80" s="1198"/>
      <c r="J80" s="1199"/>
      <c r="K80" s="133"/>
      <c r="L80" s="62" t="str">
        <f t="shared" si="5"/>
        <v/>
      </c>
      <c r="M80" s="14"/>
      <c r="N80" s="89">
        <f t="array" ref="N80">SUM(IF((CsDJ[JEV Number]=TRIM($T63))*(CsDJ[Account Code]=TRIM(K80)),CsDJ[Debit]))</f>
        <v>0</v>
      </c>
      <c r="O80" s="89">
        <f t="array" ref="O80">SUM(IF((CsDJ[JEV Number]=TRIM($T63))*(CsDJ[Account Code]=TRIM(K80)),CsDJ[Credit]))</f>
        <v>0</v>
      </c>
      <c r="P80" s="1200">
        <f t="shared" si="6"/>
        <v>0</v>
      </c>
      <c r="Q80" s="1200"/>
      <c r="R80" s="1200"/>
      <c r="S80" s="1200">
        <f t="shared" si="7"/>
        <v>0</v>
      </c>
      <c r="T80" s="1200"/>
      <c r="U80" s="1200"/>
      <c r="V80" s="1201"/>
    </row>
    <row r="81" spans="1:22">
      <c r="A81" s="1195"/>
      <c r="B81" s="1196"/>
      <c r="C81" s="1196"/>
      <c r="D81" s="1196"/>
      <c r="E81" s="1197" t="str">
        <f t="shared" si="4"/>
        <v/>
      </c>
      <c r="F81" s="1198"/>
      <c r="G81" s="1198"/>
      <c r="H81" s="1198"/>
      <c r="I81" s="1198"/>
      <c r="J81" s="1199"/>
      <c r="K81" s="133"/>
      <c r="L81" s="62" t="str">
        <f t="shared" si="5"/>
        <v/>
      </c>
      <c r="M81" s="14"/>
      <c r="N81" s="89">
        <f t="array" ref="N81">SUM(IF((CsDJ[JEV Number]=TRIM($T63))*(CsDJ[Account Code]=TRIM(K81)),CsDJ[Debit]))</f>
        <v>0</v>
      </c>
      <c r="O81" s="89">
        <f t="array" ref="O81">SUM(IF((CsDJ[JEV Number]=TRIM($T63))*(CsDJ[Account Code]=TRIM(K81)),CsDJ[Credit]))</f>
        <v>0</v>
      </c>
      <c r="P81" s="1200">
        <f t="shared" si="6"/>
        <v>0</v>
      </c>
      <c r="Q81" s="1200"/>
      <c r="R81" s="1200"/>
      <c r="S81" s="1200">
        <f t="shared" si="7"/>
        <v>0</v>
      </c>
      <c r="T81" s="1200"/>
      <c r="U81" s="1200"/>
      <c r="V81" s="1201"/>
    </row>
    <row r="82" spans="1:22">
      <c r="A82" s="1195"/>
      <c r="B82" s="1196"/>
      <c r="C82" s="1196"/>
      <c r="D82" s="1196"/>
      <c r="E82" s="1197" t="str">
        <f t="shared" si="4"/>
        <v/>
      </c>
      <c r="F82" s="1198"/>
      <c r="G82" s="1198"/>
      <c r="H82" s="1198"/>
      <c r="I82" s="1198"/>
      <c r="J82" s="1199"/>
      <c r="K82" s="134"/>
      <c r="L82" s="62" t="str">
        <f t="shared" si="5"/>
        <v/>
      </c>
      <c r="M82" s="14"/>
      <c r="N82" s="89">
        <f t="array" ref="N82">SUM(IF((CsDJ[JEV Number]=TRIM($T63))*(CsDJ[Account Code]=TRIM(K82)),CsDJ[Debit]))</f>
        <v>0</v>
      </c>
      <c r="O82" s="89">
        <f t="array" ref="O82">SUM(IF((CsDJ[JEV Number]=TRIM($T63))*(CsDJ[Account Code]=TRIM(K82)),CsDJ[Credit]))</f>
        <v>0</v>
      </c>
      <c r="P82" s="1200">
        <f t="shared" si="6"/>
        <v>0</v>
      </c>
      <c r="Q82" s="1200"/>
      <c r="R82" s="1200"/>
      <c r="S82" s="1200">
        <f t="shared" si="7"/>
        <v>0</v>
      </c>
      <c r="T82" s="1200"/>
      <c r="U82" s="1200"/>
      <c r="V82" s="1201"/>
    </row>
    <row r="83" spans="1:22">
      <c r="A83" s="1195"/>
      <c r="B83" s="1196"/>
      <c r="C83" s="1196"/>
      <c r="D83" s="1196"/>
      <c r="E83" s="1197" t="str">
        <f t="shared" si="4"/>
        <v/>
      </c>
      <c r="F83" s="1198"/>
      <c r="G83" s="1198"/>
      <c r="H83" s="1198"/>
      <c r="I83" s="1198"/>
      <c r="J83" s="1199"/>
      <c r="K83" s="134"/>
      <c r="L83" s="62" t="str">
        <f t="shared" si="5"/>
        <v/>
      </c>
      <c r="M83" s="14"/>
      <c r="N83" s="89">
        <f t="array" ref="N83">SUM(IF((CsDJ[JEV Number]=TRIM($T63))*(CsDJ[Account Code]=TRIM(K83)),CsDJ[Debit]))</f>
        <v>0</v>
      </c>
      <c r="O83" s="89">
        <f t="array" ref="O83">SUM(IF((CsDJ[JEV Number]=TRIM($T63))*(CsDJ[Account Code]=TRIM(K83)),CsDJ[Credit]))</f>
        <v>0</v>
      </c>
      <c r="P83" s="1200">
        <f t="shared" si="6"/>
        <v>0</v>
      </c>
      <c r="Q83" s="1200"/>
      <c r="R83" s="1200"/>
      <c r="S83" s="1200">
        <f t="shared" si="7"/>
        <v>0</v>
      </c>
      <c r="T83" s="1200"/>
      <c r="U83" s="1200"/>
      <c r="V83" s="1201"/>
    </row>
    <row r="84" spans="1:22">
      <c r="A84" s="1195"/>
      <c r="B84" s="1196"/>
      <c r="C84" s="1196"/>
      <c r="D84" s="1196"/>
      <c r="E84" s="1197" t="str">
        <f t="shared" si="4"/>
        <v/>
      </c>
      <c r="F84" s="1198"/>
      <c r="G84" s="1198"/>
      <c r="H84" s="1198"/>
      <c r="I84" s="1198"/>
      <c r="J84" s="1199"/>
      <c r="K84" s="134"/>
      <c r="L84" s="62" t="str">
        <f t="shared" si="5"/>
        <v/>
      </c>
      <c r="M84" s="14"/>
      <c r="N84" s="89">
        <f t="array" ref="N84">SUM(IF((CsDJ[JEV Number]=TRIM($T63))*(CsDJ[Account Code]=TRIM(K84)),CsDJ[Debit]))</f>
        <v>0</v>
      </c>
      <c r="O84" s="89">
        <f t="array" ref="O84">SUM(IF((CsDJ[JEV Number]=TRIM($T63))*(CsDJ[Account Code]=TRIM(K84)),CsDJ[Credit]))</f>
        <v>0</v>
      </c>
      <c r="P84" s="1200">
        <f t="shared" si="6"/>
        <v>0</v>
      </c>
      <c r="Q84" s="1200"/>
      <c r="R84" s="1200"/>
      <c r="S84" s="1200">
        <f t="shared" si="7"/>
        <v>0</v>
      </c>
      <c r="T84" s="1200"/>
      <c r="U84" s="1200"/>
      <c r="V84" s="1201"/>
    </row>
    <row r="85" spans="1:22">
      <c r="A85" s="1195"/>
      <c r="B85" s="1196"/>
      <c r="C85" s="1196"/>
      <c r="D85" s="1196"/>
      <c r="E85" s="1197" t="str">
        <f t="shared" si="4"/>
        <v/>
      </c>
      <c r="F85" s="1198"/>
      <c r="G85" s="1198"/>
      <c r="H85" s="1198"/>
      <c r="I85" s="1198"/>
      <c r="J85" s="1199"/>
      <c r="K85" s="134"/>
      <c r="L85" s="62" t="str">
        <f t="shared" si="5"/>
        <v/>
      </c>
      <c r="M85" s="14"/>
      <c r="N85" s="89">
        <f t="array" ref="N85">SUM(IF((CsDJ[JEV Number]=TRIM($T63))*(CsDJ[Account Code]=TRIM(K85)),CsDJ[Debit]))</f>
        <v>0</v>
      </c>
      <c r="O85" s="89">
        <f t="array" ref="O85">SUM(IF((CsDJ[JEV Number]=TRIM($T63))*(CsDJ[Account Code]=TRIM(K85)),CsDJ[Credit]))</f>
        <v>0</v>
      </c>
      <c r="P85" s="1200">
        <f t="shared" si="6"/>
        <v>0</v>
      </c>
      <c r="Q85" s="1200"/>
      <c r="R85" s="1200"/>
      <c r="S85" s="1200">
        <f t="shared" si="7"/>
        <v>0</v>
      </c>
      <c r="T85" s="1200"/>
      <c r="U85" s="1200"/>
      <c r="V85" s="1201"/>
    </row>
    <row r="86" spans="1:22">
      <c r="A86" s="1195"/>
      <c r="B86" s="1196"/>
      <c r="C86" s="1196"/>
      <c r="D86" s="1196"/>
      <c r="E86" s="1197" t="str">
        <f t="shared" si="4"/>
        <v/>
      </c>
      <c r="F86" s="1198"/>
      <c r="G86" s="1198"/>
      <c r="H86" s="1198"/>
      <c r="I86" s="1198"/>
      <c r="J86" s="1199"/>
      <c r="K86" s="134"/>
      <c r="L86" s="62" t="str">
        <f t="shared" si="5"/>
        <v/>
      </c>
      <c r="M86" s="14"/>
      <c r="N86" s="89">
        <f t="array" ref="N86">SUM(IF((CsDJ[JEV Number]=TRIM($T63))*(CsDJ[Account Code]=TRIM(K86)),CsDJ[Debit]))</f>
        <v>0</v>
      </c>
      <c r="O86" s="89">
        <f t="array" ref="O86">SUM(IF((CsDJ[JEV Number]=TRIM($T63))*(CsDJ[Account Code]=TRIM(K86)),CsDJ[Credit]))</f>
        <v>0</v>
      </c>
      <c r="P86" s="1200">
        <f t="shared" si="6"/>
        <v>0</v>
      </c>
      <c r="Q86" s="1200"/>
      <c r="R86" s="1200"/>
      <c r="S86" s="1200">
        <f t="shared" si="7"/>
        <v>0</v>
      </c>
      <c r="T86" s="1200"/>
      <c r="U86" s="1200"/>
      <c r="V86" s="1201"/>
    </row>
    <row r="87" spans="1:22">
      <c r="A87" s="1195"/>
      <c r="B87" s="1196"/>
      <c r="C87" s="1196"/>
      <c r="D87" s="1196"/>
      <c r="E87" s="1197" t="str">
        <f t="shared" si="4"/>
        <v/>
      </c>
      <c r="F87" s="1198"/>
      <c r="G87" s="1198"/>
      <c r="H87" s="1198"/>
      <c r="I87" s="1198"/>
      <c r="J87" s="1199"/>
      <c r="K87" s="134"/>
      <c r="L87" s="62" t="str">
        <f t="shared" si="5"/>
        <v/>
      </c>
      <c r="M87" s="14"/>
      <c r="N87" s="89">
        <f t="array" ref="N87">SUM(IF((CsDJ[JEV Number]=TRIM($T63))*(CsDJ[Account Code]=TRIM(K87)),CsDJ[Debit]))</f>
        <v>0</v>
      </c>
      <c r="O87" s="89">
        <f t="array" ref="O87">SUM(IF((CsDJ[JEV Number]=TRIM($T63))*(CsDJ[Account Code]=TRIM(K87)),CsDJ[Credit]))</f>
        <v>0</v>
      </c>
      <c r="P87" s="1200">
        <f t="shared" si="6"/>
        <v>0</v>
      </c>
      <c r="Q87" s="1200"/>
      <c r="R87" s="1200"/>
      <c r="S87" s="1200">
        <f t="shared" si="7"/>
        <v>0</v>
      </c>
      <c r="T87" s="1200"/>
      <c r="U87" s="1200"/>
      <c r="V87" s="1201"/>
    </row>
    <row r="88" spans="1:22">
      <c r="A88" s="1195"/>
      <c r="B88" s="1196"/>
      <c r="C88" s="1196"/>
      <c r="D88" s="1196"/>
      <c r="E88" s="1197" t="str">
        <f t="shared" si="4"/>
        <v/>
      </c>
      <c r="F88" s="1198"/>
      <c r="G88" s="1198"/>
      <c r="H88" s="1198"/>
      <c r="I88" s="1198"/>
      <c r="J88" s="1199"/>
      <c r="K88" s="134"/>
      <c r="L88" s="62" t="str">
        <f t="shared" si="5"/>
        <v/>
      </c>
      <c r="M88" s="14"/>
      <c r="N88" s="89">
        <f t="array" ref="N88">SUM(IF((CsDJ[JEV Number]=TRIM($T63))*(CsDJ[Account Code]=TRIM(K88)),CsDJ[Debit]))</f>
        <v>0</v>
      </c>
      <c r="O88" s="89">
        <f t="array" ref="O88">SUM(IF((CsDJ[JEV Number]=TRIM($T63))*(CsDJ[Account Code]=TRIM(K88)),CsDJ[Credit]))</f>
        <v>0</v>
      </c>
      <c r="P88" s="1200">
        <f t="shared" si="6"/>
        <v>0</v>
      </c>
      <c r="Q88" s="1200"/>
      <c r="R88" s="1200"/>
      <c r="S88" s="1200">
        <f t="shared" si="7"/>
        <v>0</v>
      </c>
      <c r="T88" s="1200"/>
      <c r="U88" s="1200"/>
      <c r="V88" s="1201"/>
    </row>
    <row r="89" spans="1:22">
      <c r="A89" s="1195"/>
      <c r="B89" s="1196"/>
      <c r="C89" s="1196"/>
      <c r="D89" s="1196"/>
      <c r="E89" s="1197" t="str">
        <f t="shared" si="4"/>
        <v/>
      </c>
      <c r="F89" s="1198"/>
      <c r="G89" s="1198"/>
      <c r="H89" s="1198"/>
      <c r="I89" s="1198"/>
      <c r="J89" s="1199"/>
      <c r="K89" s="134"/>
      <c r="L89" s="62" t="str">
        <f t="shared" si="5"/>
        <v/>
      </c>
      <c r="M89" s="14"/>
      <c r="N89" s="89">
        <f t="array" ref="N89">SUM(IF((CsDJ[JEV Number]=TRIM($T63))*(CsDJ[Account Code]=TRIM(K89)),CsDJ[Debit]))</f>
        <v>0</v>
      </c>
      <c r="O89" s="89">
        <f t="array" ref="O89">SUM(IF((CsDJ[JEV Number]=TRIM($T63))*(CsDJ[Account Code]=TRIM(K89)),CsDJ[Credit]))</f>
        <v>0</v>
      </c>
      <c r="P89" s="1200">
        <f t="shared" si="6"/>
        <v>0</v>
      </c>
      <c r="Q89" s="1200"/>
      <c r="R89" s="1200"/>
      <c r="S89" s="1200">
        <f t="shared" si="7"/>
        <v>0</v>
      </c>
      <c r="T89" s="1200"/>
      <c r="U89" s="1200"/>
      <c r="V89" s="1201"/>
    </row>
    <row r="90" spans="1:22">
      <c r="A90" s="1195"/>
      <c r="B90" s="1196"/>
      <c r="C90" s="1196"/>
      <c r="D90" s="1196"/>
      <c r="E90" s="1197" t="str">
        <f t="shared" si="4"/>
        <v/>
      </c>
      <c r="F90" s="1198"/>
      <c r="G90" s="1198"/>
      <c r="H90" s="1198"/>
      <c r="I90" s="1198"/>
      <c r="J90" s="1199"/>
      <c r="K90" s="134"/>
      <c r="L90" s="62" t="str">
        <f t="shared" si="5"/>
        <v/>
      </c>
      <c r="M90" s="14"/>
      <c r="N90" s="89">
        <f t="array" ref="N90">SUM(IF((CsDJ[JEV Number]=TRIM($T63))*(CsDJ[Account Code]=TRIM(K90)),CsDJ[Debit]))</f>
        <v>0</v>
      </c>
      <c r="O90" s="89">
        <f t="array" ref="O90">SUM(IF((CsDJ[JEV Number]=TRIM($T63))*(CsDJ[Account Code]=TRIM(K90)),CsDJ[Credit]))</f>
        <v>0</v>
      </c>
      <c r="P90" s="1200">
        <f t="shared" si="6"/>
        <v>0</v>
      </c>
      <c r="Q90" s="1200"/>
      <c r="R90" s="1200"/>
      <c r="S90" s="1200">
        <f t="shared" si="7"/>
        <v>0</v>
      </c>
      <c r="T90" s="1200"/>
      <c r="U90" s="1200"/>
      <c r="V90" s="1201"/>
    </row>
    <row r="91" spans="1:22">
      <c r="A91" s="1195"/>
      <c r="B91" s="1196"/>
      <c r="C91" s="1196"/>
      <c r="D91" s="1196"/>
      <c r="E91" s="1197" t="str">
        <f t="shared" si="4"/>
        <v/>
      </c>
      <c r="F91" s="1198"/>
      <c r="G91" s="1198"/>
      <c r="H91" s="1198"/>
      <c r="I91" s="1198"/>
      <c r="J91" s="1199"/>
      <c r="K91" s="134"/>
      <c r="L91" s="62" t="str">
        <f t="shared" si="5"/>
        <v/>
      </c>
      <c r="M91" s="14"/>
      <c r="N91" s="89">
        <f t="array" ref="N91">SUM(IF((CsDJ[JEV Number]=TRIM($T63))*(CsDJ[Account Code]=TRIM(K91)),CsDJ[Debit]))</f>
        <v>0</v>
      </c>
      <c r="O91" s="89">
        <f t="array" ref="O91">SUM(IF((CsDJ[JEV Number]=TRIM($T63))*(CsDJ[Account Code]=TRIM(K91)),CsDJ[Credit]))</f>
        <v>0</v>
      </c>
      <c r="P91" s="1200">
        <f t="shared" si="6"/>
        <v>0</v>
      </c>
      <c r="Q91" s="1200"/>
      <c r="R91" s="1200"/>
      <c r="S91" s="1200">
        <f t="shared" si="7"/>
        <v>0</v>
      </c>
      <c r="T91" s="1200"/>
      <c r="U91" s="1200"/>
      <c r="V91" s="1201"/>
    </row>
    <row r="92" spans="1:22">
      <c r="A92" s="1195"/>
      <c r="B92" s="1196"/>
      <c r="C92" s="1196"/>
      <c r="D92" s="1196"/>
      <c r="E92" s="1197" t="str">
        <f t="shared" si="4"/>
        <v/>
      </c>
      <c r="F92" s="1198"/>
      <c r="G92" s="1198"/>
      <c r="H92" s="1198"/>
      <c r="I92" s="1198"/>
      <c r="J92" s="1199"/>
      <c r="K92" s="134"/>
      <c r="L92" s="62" t="str">
        <f t="shared" si="5"/>
        <v/>
      </c>
      <c r="M92" s="14"/>
      <c r="N92" s="89">
        <f t="array" ref="N92">SUM(IF((CsDJ[JEV Number]=TRIM($T63))*(CsDJ[Account Code]=TRIM(K92)),CsDJ[Debit]))</f>
        <v>0</v>
      </c>
      <c r="O92" s="89">
        <f t="array" ref="O92">SUM(IF((CsDJ[JEV Number]=TRIM($T63))*(CsDJ[Account Code]=TRIM(K92)),CsDJ[Credit]))</f>
        <v>0</v>
      </c>
      <c r="P92" s="1200">
        <f t="shared" si="6"/>
        <v>0</v>
      </c>
      <c r="Q92" s="1200"/>
      <c r="R92" s="1200"/>
      <c r="S92" s="1200">
        <f t="shared" si="7"/>
        <v>0</v>
      </c>
      <c r="T92" s="1200"/>
      <c r="U92" s="1200"/>
      <c r="V92" s="1201"/>
    </row>
    <row r="93" spans="1:22">
      <c r="A93" s="1195"/>
      <c r="B93" s="1196"/>
      <c r="C93" s="1196"/>
      <c r="D93" s="1196"/>
      <c r="E93" s="1197" t="str">
        <f t="shared" si="4"/>
        <v/>
      </c>
      <c r="F93" s="1198"/>
      <c r="G93" s="1198"/>
      <c r="H93" s="1198"/>
      <c r="I93" s="1198"/>
      <c r="J93" s="1199"/>
      <c r="K93" s="134"/>
      <c r="L93" s="62" t="str">
        <f t="shared" si="5"/>
        <v/>
      </c>
      <c r="M93" s="14"/>
      <c r="N93" s="89">
        <f t="array" ref="N93">SUM(IF((CsDJ[JEV Number]=TRIM($T63))*(CsDJ[Account Code]=TRIM(K93)),CsDJ[Debit]))</f>
        <v>0</v>
      </c>
      <c r="O93" s="89">
        <f t="array" ref="O93">SUM(IF((CsDJ[JEV Number]=TRIM($T63))*(CsDJ[Account Code]=TRIM(K93)),CsDJ[Credit]))</f>
        <v>0</v>
      </c>
      <c r="P93" s="1200">
        <f t="shared" si="6"/>
        <v>0</v>
      </c>
      <c r="Q93" s="1200"/>
      <c r="R93" s="1200"/>
      <c r="S93" s="1200">
        <f t="shared" si="7"/>
        <v>0</v>
      </c>
      <c r="T93" s="1200"/>
      <c r="U93" s="1200"/>
      <c r="V93" s="1201"/>
    </row>
    <row r="94" spans="1:22">
      <c r="A94" s="1195"/>
      <c r="B94" s="1196"/>
      <c r="C94" s="1196"/>
      <c r="D94" s="1196"/>
      <c r="E94" s="1197" t="str">
        <f t="shared" si="4"/>
        <v/>
      </c>
      <c r="F94" s="1198"/>
      <c r="G94" s="1198"/>
      <c r="H94" s="1198"/>
      <c r="I94" s="1198"/>
      <c r="J94" s="1199"/>
      <c r="K94" s="134"/>
      <c r="L94" s="62" t="str">
        <f t="shared" si="5"/>
        <v/>
      </c>
      <c r="M94" s="14"/>
      <c r="N94" s="89">
        <f t="array" ref="N94">SUM(IF((CsDJ[JEV Number]=TRIM($T63))*(CsDJ[Account Code]=TRIM(K94)),CsDJ[Debit]))</f>
        <v>0</v>
      </c>
      <c r="O94" s="89">
        <f t="array" ref="O94">SUM(IF((CsDJ[JEV Number]=TRIM($T63))*(CsDJ[Account Code]=TRIM(K94)),CsDJ[Credit]))</f>
        <v>0</v>
      </c>
      <c r="P94" s="1200">
        <f t="shared" si="6"/>
        <v>0</v>
      </c>
      <c r="Q94" s="1200"/>
      <c r="R94" s="1200"/>
      <c r="S94" s="1200">
        <f t="shared" si="7"/>
        <v>0</v>
      </c>
      <c r="T94" s="1200"/>
      <c r="U94" s="1200"/>
      <c r="V94" s="1201"/>
    </row>
    <row r="95" spans="1:22">
      <c r="A95" s="1195"/>
      <c r="B95" s="1196"/>
      <c r="C95" s="1196"/>
      <c r="D95" s="1196"/>
      <c r="E95" s="1197" t="str">
        <f t="shared" si="4"/>
        <v/>
      </c>
      <c r="F95" s="1198"/>
      <c r="G95" s="1198"/>
      <c r="H95" s="1198"/>
      <c r="I95" s="1198"/>
      <c r="J95" s="1199"/>
      <c r="K95" s="134"/>
      <c r="L95" s="62" t="str">
        <f t="shared" si="5"/>
        <v/>
      </c>
      <c r="M95" s="14"/>
      <c r="N95" s="89">
        <f t="array" ref="N95">SUM(IF((CsDJ[JEV Number]=TRIM($T63))*(CsDJ[Account Code]=TRIM(K95)),CsDJ[Debit]))</f>
        <v>0</v>
      </c>
      <c r="O95" s="89">
        <f t="array" ref="O95">SUM(IF((CsDJ[JEV Number]=TRIM($T63))*(CsDJ[Account Code]=TRIM(K95)),CsDJ[Credit]))</f>
        <v>0</v>
      </c>
      <c r="P95" s="1200">
        <f t="shared" si="6"/>
        <v>0</v>
      </c>
      <c r="Q95" s="1200"/>
      <c r="R95" s="1200"/>
      <c r="S95" s="1200">
        <f t="shared" si="7"/>
        <v>0</v>
      </c>
      <c r="T95" s="1200"/>
      <c r="U95" s="1200"/>
      <c r="V95" s="1201"/>
    </row>
    <row r="96" spans="1:22">
      <c r="A96" s="1195"/>
      <c r="B96" s="1196"/>
      <c r="C96" s="1196"/>
      <c r="D96" s="1196"/>
      <c r="E96" s="1197" t="str">
        <f t="shared" si="4"/>
        <v/>
      </c>
      <c r="F96" s="1198"/>
      <c r="G96" s="1198"/>
      <c r="H96" s="1198"/>
      <c r="I96" s="1198"/>
      <c r="J96" s="1199"/>
      <c r="K96" s="134"/>
      <c r="L96" s="62" t="str">
        <f t="shared" si="5"/>
        <v/>
      </c>
      <c r="M96" s="14"/>
      <c r="N96" s="89">
        <f t="array" ref="N96">SUM(IF((CsDJ[JEV Number]=TRIM($T63))*(CsDJ[Account Code]=TRIM(K96)),CsDJ[Debit]))</f>
        <v>0</v>
      </c>
      <c r="O96" s="89">
        <f t="array" ref="O96">SUM(IF((CsDJ[JEV Number]=TRIM($T63))*(CsDJ[Account Code]=TRIM(K96)),CsDJ[Credit]))</f>
        <v>0</v>
      </c>
      <c r="P96" s="1200">
        <f t="shared" si="6"/>
        <v>0</v>
      </c>
      <c r="Q96" s="1200"/>
      <c r="R96" s="1200"/>
      <c r="S96" s="1200">
        <f t="shared" si="7"/>
        <v>0</v>
      </c>
      <c r="T96" s="1200"/>
      <c r="U96" s="1200"/>
      <c r="V96" s="1201"/>
    </row>
    <row r="97" spans="1:22">
      <c r="A97" s="1195"/>
      <c r="B97" s="1196"/>
      <c r="C97" s="1196"/>
      <c r="D97" s="1196"/>
      <c r="E97" s="1257" t="s">
        <v>468</v>
      </c>
      <c r="F97" s="1258"/>
      <c r="G97" s="1258"/>
      <c r="H97" s="1258"/>
      <c r="I97" s="1258"/>
      <c r="J97" s="1259"/>
      <c r="K97" s="133"/>
      <c r="L97" s="62" t="str">
        <f t="shared" si="5"/>
        <v/>
      </c>
      <c r="M97" s="14"/>
      <c r="N97" s="89">
        <f t="array" ref="N97">SUM(IF((CsDJ[JEV Number]=TRIM($T63))*(CsDJ[Account Code]=TRIM(K97)),CsDJ[Debit]))</f>
        <v>0</v>
      </c>
      <c r="O97" s="89">
        <f t="array" ref="O97">SUM(IF((CsDJ[JEV Number]=TRIM($T63))*(CsDJ[Account Code]=TRIM(K97)),CsDJ[Credit]))</f>
        <v>0</v>
      </c>
      <c r="P97" s="1200">
        <f t="shared" si="6"/>
        <v>0</v>
      </c>
      <c r="Q97" s="1200"/>
      <c r="R97" s="1200"/>
      <c r="S97" s="1200">
        <f t="shared" si="7"/>
        <v>0</v>
      </c>
      <c r="T97" s="1200"/>
      <c r="U97" s="1200"/>
      <c r="V97" s="1201"/>
    </row>
    <row r="98" spans="1:22">
      <c r="A98" s="1195"/>
      <c r="B98" s="1196"/>
      <c r="C98" s="1196"/>
      <c r="D98" s="1196"/>
      <c r="E98" s="1202" t="s">
        <v>457</v>
      </c>
      <c r="F98" s="1203"/>
      <c r="G98" s="1203"/>
      <c r="H98" s="1203"/>
      <c r="I98" s="1207">
        <f>T64</f>
        <v>0</v>
      </c>
      <c r="J98" s="1208"/>
      <c r="K98" s="133"/>
      <c r="L98" s="62" t="str">
        <f t="shared" si="5"/>
        <v/>
      </c>
      <c r="M98" s="14"/>
      <c r="N98" s="89">
        <f t="array" ref="N98">SUM(IF((CsDJ[JEV Number]=TRIM($T63))*(CsDJ[Account Code]=TRIM(K98)),CsDJ[Debit]))</f>
        <v>0</v>
      </c>
      <c r="O98" s="89">
        <f t="array" ref="O98">SUM(IF((CsDJ[JEV Number]=TRIM($T63))*(CsDJ[Account Code]=TRIM(K98)),CsDJ[Credit]))</f>
        <v>0</v>
      </c>
      <c r="P98" s="1200">
        <f t="shared" si="6"/>
        <v>0</v>
      </c>
      <c r="Q98" s="1200"/>
      <c r="R98" s="1200"/>
      <c r="S98" s="1200">
        <f t="shared" si="7"/>
        <v>0</v>
      </c>
      <c r="T98" s="1200"/>
      <c r="U98" s="1200"/>
      <c r="V98" s="1201"/>
    </row>
    <row r="99" spans="1:22">
      <c r="A99" s="1195"/>
      <c r="B99" s="1196"/>
      <c r="C99" s="1196"/>
      <c r="D99" s="1196"/>
      <c r="E99" s="1202" t="s">
        <v>458</v>
      </c>
      <c r="F99" s="1203"/>
      <c r="G99" s="1203"/>
      <c r="H99" s="1203"/>
      <c r="I99" s="1263">
        <f>IF(T63=0,0,(IF(LOOKUP(T63,CsDJ[JEV Number],CsDJ[Sort Code])="1","MA. VIVIAN C. SALAS",IF(LOOKUP(T63,CsDJ[JEV Number],CsDJ[Sort Code])="2","LUZ R. DE COZAR",IF(LOOKUP(T63,CsDJ[JEV Number],CsDJ[Sort Code])="3","MINEONETTE A. DELA CRUZ",IF(LOOKUP(T63,CsDJ[JEV Number],CsDJ[Sort Code])="4","RESELLA B. LOPEZ"))))))</f>
        <v>0</v>
      </c>
      <c r="J99" s="1264"/>
      <c r="K99" s="133"/>
      <c r="L99" s="62" t="str">
        <f t="shared" si="5"/>
        <v/>
      </c>
      <c r="M99" s="14"/>
      <c r="N99" s="89">
        <f t="array" ref="N99">SUM(IF((CsDJ[JEV Number]=TRIM($T63))*(CsDJ[Account Code]=TRIM(K99)),CsDJ[Debit]))</f>
        <v>0</v>
      </c>
      <c r="O99" s="89">
        <f t="array" ref="O99">SUM(IF((CsDJ[JEV Number]=TRIM($T63))*(CsDJ[Account Code]=TRIM(K99)),CsDJ[Credit]))</f>
        <v>0</v>
      </c>
      <c r="P99" s="1200">
        <f t="shared" si="6"/>
        <v>0</v>
      </c>
      <c r="Q99" s="1200"/>
      <c r="R99" s="1200"/>
      <c r="S99" s="1200">
        <f t="shared" si="7"/>
        <v>0</v>
      </c>
      <c r="T99" s="1200"/>
      <c r="U99" s="1200"/>
      <c r="V99" s="1201"/>
    </row>
    <row r="100" spans="1:22">
      <c r="A100" s="1195"/>
      <c r="B100" s="1196"/>
      <c r="C100" s="1196"/>
      <c r="D100" s="1196"/>
      <c r="E100" s="1202" t="s">
        <v>459</v>
      </c>
      <c r="F100" s="1203"/>
      <c r="G100" s="1203"/>
      <c r="H100" s="1203"/>
      <c r="I100" s="1204">
        <f>IF(I99="Ma. Vivian C. Salas","Regional Office", IF(I99="Luz R. De Cozar","BANE IMO", IF(I99="Mineonette A. Dela Cruz","PAMBAT IMO", IF(I99="Resella B. Lopez","TARZAM IMO",0))))</f>
        <v>0</v>
      </c>
      <c r="J100" s="1205"/>
      <c r="K100" s="133"/>
      <c r="L100" s="62" t="str">
        <f t="shared" si="5"/>
        <v/>
      </c>
      <c r="M100" s="14"/>
      <c r="N100" s="89">
        <f t="array" ref="N100">SUM(IF((CsDJ[JEV Number]=TRIM($T63))*(CsDJ[Account Code]=TRIM(K100)),CsDJ[Debit]))</f>
        <v>0</v>
      </c>
      <c r="O100" s="89">
        <f t="array" ref="O100">SUM(IF((CsDJ[JEV Number]=TRIM($T63))*(CsDJ[Account Code]=TRIM(K100)),CsDJ[Credit]))</f>
        <v>0</v>
      </c>
      <c r="P100" s="1200">
        <f t="shared" si="6"/>
        <v>0</v>
      </c>
      <c r="Q100" s="1200"/>
      <c r="R100" s="1200"/>
      <c r="S100" s="1200">
        <f t="shared" si="7"/>
        <v>0</v>
      </c>
      <c r="T100" s="1200"/>
      <c r="U100" s="1200"/>
      <c r="V100" s="1201"/>
    </row>
    <row r="101" spans="1:22">
      <c r="A101" s="1195"/>
      <c r="B101" s="1196"/>
      <c r="C101" s="1196"/>
      <c r="D101" s="1196"/>
      <c r="E101" s="1202"/>
      <c r="F101" s="1203"/>
      <c r="G101" s="1203"/>
      <c r="H101" s="1203"/>
      <c r="I101" s="1203"/>
      <c r="J101" s="1206"/>
      <c r="K101" s="133"/>
      <c r="L101" s="62" t="str">
        <f t="shared" si="5"/>
        <v/>
      </c>
      <c r="M101" s="14"/>
      <c r="N101" s="89">
        <f t="array" ref="N101">SUM(IF((CsDJ[JEV Number]=TRIM($T63))*(CsDJ[Account Code]=TRIM(K101)),CsDJ[Debit]))</f>
        <v>0</v>
      </c>
      <c r="O101" s="89">
        <f t="array" ref="O101">SUM(IF((CsDJ[JEV Number]=TRIM($T63))*(CsDJ[Account Code]=TRIM(K101)),CsDJ[Credit]))</f>
        <v>0</v>
      </c>
      <c r="P101" s="1200">
        <f t="shared" si="6"/>
        <v>0</v>
      </c>
      <c r="Q101" s="1200"/>
      <c r="R101" s="1200"/>
      <c r="S101" s="1200">
        <f t="shared" si="7"/>
        <v>0</v>
      </c>
      <c r="T101" s="1200"/>
      <c r="U101" s="1200"/>
      <c r="V101" s="1201"/>
    </row>
    <row r="102" spans="1:22" ht="16.5" thickBot="1">
      <c r="A102" s="1188"/>
      <c r="B102" s="1189"/>
      <c r="C102" s="1189"/>
      <c r="D102" s="1189"/>
      <c r="E102" s="1189"/>
      <c r="F102" s="1189"/>
      <c r="G102" s="1189"/>
      <c r="H102" s="1189"/>
      <c r="I102" s="1189"/>
      <c r="J102" s="1189"/>
      <c r="K102" s="1189"/>
      <c r="L102" s="1189"/>
      <c r="M102" s="1190"/>
      <c r="N102" s="88"/>
      <c r="O102" s="88"/>
      <c r="P102" s="1191">
        <f>SUM(P72:R101)</f>
        <v>0</v>
      </c>
      <c r="Q102" s="1191"/>
      <c r="R102" s="1191"/>
      <c r="S102" s="1191">
        <f>SUM(S72:V101)</f>
        <v>0</v>
      </c>
      <c r="T102" s="1191"/>
      <c r="U102" s="1191"/>
      <c r="V102" s="1192"/>
    </row>
    <row r="103" spans="1:22">
      <c r="A103" s="63"/>
      <c r="B103" s="64"/>
      <c r="C103" s="64"/>
      <c r="D103" s="64"/>
      <c r="E103" s="64"/>
      <c r="F103" s="64"/>
      <c r="G103" s="64"/>
      <c r="H103" s="64"/>
      <c r="I103" s="65"/>
      <c r="J103" s="64"/>
      <c r="K103" s="66"/>
      <c r="L103" s="64"/>
      <c r="M103" s="65"/>
      <c r="N103" s="64"/>
      <c r="O103" s="64"/>
      <c r="P103" s="1193"/>
      <c r="Q103" s="1193"/>
      <c r="R103" s="1193"/>
      <c r="S103" s="1193"/>
      <c r="T103" s="1193"/>
      <c r="U103" s="1193"/>
      <c r="V103" s="1194"/>
    </row>
    <row r="104" spans="1:22">
      <c r="A104" s="67" t="s">
        <v>460</v>
      </c>
      <c r="B104"/>
      <c r="C104"/>
      <c r="D104"/>
      <c r="E104"/>
      <c r="F104"/>
      <c r="G104"/>
      <c r="H104"/>
      <c r="I104" s="68" t="s">
        <v>353</v>
      </c>
      <c r="J104" s="69"/>
      <c r="K104" s="69"/>
      <c r="L104"/>
      <c r="M104" s="68" t="s">
        <v>461</v>
      </c>
      <c r="N104" s="69"/>
      <c r="O104" s="69"/>
      <c r="P104" s="70"/>
      <c r="Q104" s="70"/>
      <c r="R104" s="70"/>
      <c r="S104" s="70"/>
      <c r="T104" s="70"/>
      <c r="U104" s="70"/>
      <c r="V104" s="71"/>
    </row>
    <row r="105" spans="1:22">
      <c r="A105" s="37"/>
      <c r="B105"/>
      <c r="C105"/>
      <c r="D105"/>
      <c r="E105"/>
      <c r="F105"/>
      <c r="G105"/>
      <c r="H105"/>
      <c r="I105" s="72"/>
      <c r="J105"/>
      <c r="K105"/>
      <c r="L105"/>
      <c r="M105" s="72"/>
      <c r="N105"/>
      <c r="O105"/>
      <c r="P105"/>
      <c r="Q105"/>
      <c r="R105"/>
      <c r="S105"/>
      <c r="T105"/>
      <c r="U105"/>
      <c r="V105" s="73"/>
    </row>
    <row r="106" spans="1:22">
      <c r="A106" s="74" t="s">
        <v>462</v>
      </c>
      <c r="B106" s="75"/>
      <c r="C106" s="75"/>
      <c r="D106" s="75"/>
      <c r="E106" s="75"/>
      <c r="F106" s="75"/>
      <c r="G106" s="75"/>
      <c r="H106" s="76"/>
      <c r="I106" s="77" t="s">
        <v>380</v>
      </c>
      <c r="J106" s="75"/>
      <c r="K106" s="75"/>
      <c r="L106" s="76"/>
      <c r="M106" s="77" t="s">
        <v>3</v>
      </c>
      <c r="N106" s="75"/>
      <c r="O106" s="75"/>
      <c r="P106" s="75"/>
      <c r="Q106" s="75"/>
      <c r="R106" s="75"/>
      <c r="S106" s="75"/>
      <c r="T106" s="75"/>
      <c r="U106" s="75"/>
      <c r="V106" s="78"/>
    </row>
    <row r="107" spans="1:22">
      <c r="A107" s="79" t="s">
        <v>463</v>
      </c>
      <c r="B107" s="80"/>
      <c r="C107" s="80"/>
      <c r="D107" s="80"/>
      <c r="E107" s="80"/>
      <c r="F107" s="80"/>
      <c r="G107" s="80"/>
      <c r="H107" s="80"/>
      <c r="I107" s="81" t="s">
        <v>381</v>
      </c>
      <c r="J107" s="80"/>
      <c r="K107" s="80"/>
      <c r="L107" s="80"/>
      <c r="M107" s="81" t="s">
        <v>464</v>
      </c>
      <c r="N107" s="80"/>
      <c r="O107" s="80"/>
      <c r="P107" s="82"/>
      <c r="Q107" s="82"/>
      <c r="R107" s="82"/>
      <c r="S107" s="82"/>
      <c r="T107" s="82"/>
      <c r="U107" s="82"/>
      <c r="V107" s="83"/>
    </row>
    <row r="108" spans="1:22" ht="16.5" thickBot="1">
      <c r="A108" s="84" t="s">
        <v>465</v>
      </c>
      <c r="B108" s="43"/>
      <c r="C108" s="43"/>
      <c r="D108" s="43"/>
      <c r="E108" s="43"/>
      <c r="F108" s="43"/>
      <c r="G108" s="43"/>
      <c r="H108" s="43"/>
      <c r="I108" s="85"/>
      <c r="J108" s="43"/>
      <c r="K108" s="43"/>
      <c r="L108" s="43"/>
      <c r="M108" s="85"/>
      <c r="N108" s="43"/>
      <c r="O108" s="43"/>
      <c r="P108" s="43"/>
      <c r="Q108" s="43"/>
      <c r="R108" s="43"/>
      <c r="S108" s="43"/>
      <c r="T108" s="43"/>
      <c r="U108" s="43"/>
      <c r="V108" s="44"/>
    </row>
    <row r="109" spans="1:22" ht="22.5">
      <c r="A109" s="31" t="s">
        <v>441</v>
      </c>
      <c r="B109" s="32"/>
      <c r="C109" s="32"/>
      <c r="D109" s="32"/>
      <c r="E109" s="32"/>
      <c r="F109" s="32"/>
      <c r="G109" s="32"/>
      <c r="H109" s="32"/>
      <c r="I109" s="32"/>
      <c r="J109" s="32"/>
      <c r="K109" s="32"/>
      <c r="L109" s="32"/>
      <c r="M109" s="32"/>
      <c r="N109" s="32"/>
      <c r="O109" s="32"/>
      <c r="P109" s="32"/>
      <c r="Q109" s="33"/>
      <c r="R109" s="1218">
        <f>+P149-S149</f>
        <v>0</v>
      </c>
      <c r="S109" s="1219"/>
      <c r="T109" s="1219"/>
      <c r="U109" s="1219"/>
      <c r="V109" s="1220"/>
    </row>
    <row r="110" spans="1:22">
      <c r="A110" s="34" t="s">
        <v>442</v>
      </c>
      <c r="B110" s="35"/>
      <c r="C110" s="35"/>
      <c r="D110" s="35"/>
      <c r="E110" s="35"/>
      <c r="F110" s="35"/>
      <c r="G110" s="35"/>
      <c r="H110" s="35"/>
      <c r="I110" s="35"/>
      <c r="J110" s="35"/>
      <c r="K110" s="35"/>
      <c r="L110" s="35"/>
      <c r="M110" s="35"/>
      <c r="N110" s="35"/>
      <c r="O110" s="35"/>
      <c r="P110" s="35"/>
      <c r="Q110" s="36"/>
      <c r="R110" s="37" t="s">
        <v>443</v>
      </c>
      <c r="S110"/>
      <c r="T110" s="1221"/>
      <c r="U110" s="1221"/>
      <c r="V110" s="1222"/>
    </row>
    <row r="111" spans="1:22">
      <c r="A111" s="38" t="s">
        <v>444</v>
      </c>
      <c r="B111" s="35"/>
      <c r="C111" s="35"/>
      <c r="D111" s="35"/>
      <c r="E111" s="35"/>
      <c r="F111" s="35"/>
      <c r="G111" s="35"/>
      <c r="H111" s="35"/>
      <c r="I111" s="35"/>
      <c r="J111" s="35"/>
      <c r="K111" s="35"/>
      <c r="L111" s="35"/>
      <c r="M111" s="35"/>
      <c r="N111" s="35"/>
      <c r="O111" s="35"/>
      <c r="P111" s="35"/>
      <c r="Q111" s="36"/>
      <c r="R111" s="37" t="s">
        <v>0</v>
      </c>
      <c r="S111"/>
      <c r="T111" s="1223">
        <f>IF(T110=0,0,(LOOKUP(T110,CsDJ[JEV Number],CsDJ[Date])))</f>
        <v>0</v>
      </c>
      <c r="U111" s="1223"/>
      <c r="V111" s="1224"/>
    </row>
    <row r="112" spans="1:22" ht="16.5" thickBot="1">
      <c r="A112" s="39"/>
      <c r="B112" s="40"/>
      <c r="C112" s="40"/>
      <c r="D112" s="40"/>
      <c r="E112" s="40"/>
      <c r="F112" s="40"/>
      <c r="G112" s="40"/>
      <c r="H112" s="40"/>
      <c r="I112" s="40"/>
      <c r="J112" s="40"/>
      <c r="K112" s="40"/>
      <c r="L112" s="40"/>
      <c r="M112" s="40"/>
      <c r="N112" s="40"/>
      <c r="O112" s="40"/>
      <c r="P112" s="40"/>
      <c r="Q112" s="41"/>
      <c r="R112" s="42"/>
      <c r="S112" s="43"/>
      <c r="T112" s="43"/>
      <c r="U112" s="43"/>
      <c r="V112" s="44"/>
    </row>
    <row r="113" spans="1:22">
      <c r="A113" s="45"/>
      <c r="B113" s="46"/>
      <c r="C113" s="46"/>
      <c r="D113" s="46"/>
      <c r="E113" s="46"/>
      <c r="F113" s="46"/>
      <c r="G113" s="46"/>
      <c r="H113" s="46"/>
      <c r="I113" s="46"/>
      <c r="J113" s="46"/>
      <c r="K113" s="46"/>
      <c r="L113" s="47"/>
      <c r="M113" s="46"/>
      <c r="N113" s="46"/>
      <c r="O113" s="46"/>
      <c r="P113" s="46"/>
      <c r="Q113" s="46"/>
      <c r="R113" s="46"/>
      <c r="S113" s="46"/>
      <c r="T113" s="46"/>
      <c r="U113" s="46"/>
      <c r="V113" s="48"/>
    </row>
    <row r="114" spans="1:22">
      <c r="A114" s="49"/>
      <c r="B114" s="1225"/>
      <c r="C114" s="1225"/>
      <c r="D114" s="50" t="s">
        <v>445</v>
      </c>
      <c r="H114" s="51"/>
      <c r="I114" s="25" t="s">
        <v>447</v>
      </c>
      <c r="J114" s="132" t="s">
        <v>446</v>
      </c>
      <c r="K114" s="52" t="s">
        <v>448</v>
      </c>
      <c r="L114" s="52"/>
      <c r="Q114" s="1225"/>
      <c r="R114" s="1225"/>
      <c r="S114" s="50" t="s">
        <v>449</v>
      </c>
      <c r="T114" s="50"/>
      <c r="U114" s="50"/>
      <c r="V114" s="53"/>
    </row>
    <row r="115" spans="1:22" ht="16.5" thickBot="1">
      <c r="A115" s="54"/>
      <c r="B115" s="55"/>
      <c r="C115" s="55"/>
      <c r="D115" s="55"/>
      <c r="E115" s="55"/>
      <c r="F115" s="55"/>
      <c r="G115" s="55"/>
      <c r="H115" s="55"/>
      <c r="I115" s="55"/>
      <c r="J115" s="55"/>
      <c r="K115" s="55"/>
      <c r="L115" s="56"/>
      <c r="M115" s="55"/>
      <c r="N115" s="55"/>
      <c r="O115" s="55"/>
      <c r="P115" s="55"/>
      <c r="Q115" s="55"/>
      <c r="R115" s="55"/>
      <c r="S115" s="55"/>
      <c r="T115" s="55"/>
      <c r="U115" s="55"/>
      <c r="V115" s="57"/>
    </row>
    <row r="116" spans="1:22">
      <c r="A116" s="1226" t="s">
        <v>397</v>
      </c>
      <c r="B116" s="1227"/>
      <c r="C116" s="1227"/>
      <c r="D116" s="1228"/>
      <c r="E116" s="1235" t="s">
        <v>450</v>
      </c>
      <c r="F116" s="1235"/>
      <c r="G116" s="1235"/>
      <c r="H116" s="1235"/>
      <c r="I116" s="1235"/>
      <c r="J116" s="1235"/>
      <c r="K116" s="1235"/>
      <c r="L116" s="1235"/>
      <c r="M116" s="1235"/>
      <c r="N116" s="1235"/>
      <c r="O116" s="1235"/>
      <c r="P116" s="1235"/>
      <c r="Q116" s="1235"/>
      <c r="R116" s="1235"/>
      <c r="S116" s="1235"/>
      <c r="T116" s="1235"/>
      <c r="U116" s="1235"/>
      <c r="V116" s="1236"/>
    </row>
    <row r="117" spans="1:22">
      <c r="A117" s="1229"/>
      <c r="B117" s="1230"/>
      <c r="C117" s="1230"/>
      <c r="D117" s="1231"/>
      <c r="E117" s="1237" t="s">
        <v>451</v>
      </c>
      <c r="F117" s="1237"/>
      <c r="G117" s="1237"/>
      <c r="H117" s="1237"/>
      <c r="I117" s="1237"/>
      <c r="J117" s="1237"/>
      <c r="K117" s="1239" t="s">
        <v>378</v>
      </c>
      <c r="L117" s="1239"/>
      <c r="M117" s="1237" t="s">
        <v>452</v>
      </c>
      <c r="N117" s="1240" t="s">
        <v>453</v>
      </c>
      <c r="O117" s="1241"/>
      <c r="P117" s="1241"/>
      <c r="Q117" s="1241"/>
      <c r="R117" s="1241"/>
      <c r="S117" s="1241"/>
      <c r="T117" s="1241"/>
      <c r="U117" s="1241"/>
      <c r="V117" s="1242"/>
    </row>
    <row r="118" spans="1:22" ht="16.5" customHeight="1" thickBot="1">
      <c r="A118" s="1232"/>
      <c r="B118" s="1233"/>
      <c r="C118" s="1233"/>
      <c r="D118" s="1234"/>
      <c r="E118" s="1238"/>
      <c r="F118" s="1238"/>
      <c r="G118" s="1238"/>
      <c r="H118" s="1238"/>
      <c r="I118" s="1238"/>
      <c r="J118" s="1238"/>
      <c r="K118" s="58" t="s">
        <v>454</v>
      </c>
      <c r="L118" s="58" t="s">
        <v>455</v>
      </c>
      <c r="M118" s="1238"/>
      <c r="N118" s="87" t="s">
        <v>466</v>
      </c>
      <c r="O118" s="87" t="s">
        <v>467</v>
      </c>
      <c r="P118" s="1243" t="s">
        <v>1</v>
      </c>
      <c r="Q118" s="1244"/>
      <c r="R118" s="1245"/>
      <c r="S118" s="1243" t="s">
        <v>2</v>
      </c>
      <c r="T118" s="1244"/>
      <c r="U118" s="1244"/>
      <c r="V118" s="1246"/>
    </row>
    <row r="119" spans="1:22" ht="19.5">
      <c r="A119" s="1210">
        <f>P149-S149</f>
        <v>0</v>
      </c>
      <c r="B119" s="1211"/>
      <c r="C119" s="1211"/>
      <c r="D119" s="1211"/>
      <c r="E119" s="1212" t="str">
        <f>Account!$G$1</f>
        <v>FUND 501 CARP</v>
      </c>
      <c r="F119" s="1213"/>
      <c r="G119" s="1213"/>
      <c r="H119" s="1213"/>
      <c r="I119" s="1213"/>
      <c r="J119" s="1214"/>
      <c r="K119" s="59"/>
      <c r="L119" s="59"/>
      <c r="M119" s="60"/>
      <c r="N119" s="60"/>
      <c r="O119" s="60"/>
      <c r="P119" s="1215"/>
      <c r="Q119" s="1215"/>
      <c r="R119" s="1215"/>
      <c r="S119" s="1215"/>
      <c r="T119" s="1215"/>
      <c r="U119" s="1215"/>
      <c r="V119" s="1216"/>
    </row>
    <row r="120" spans="1:22">
      <c r="A120" s="1195"/>
      <c r="B120" s="1196"/>
      <c r="C120" s="1196"/>
      <c r="D120" s="1196"/>
      <c r="E120" s="1196"/>
      <c r="F120" s="1196"/>
      <c r="G120" s="1196"/>
      <c r="H120" s="1196"/>
      <c r="I120" s="1196"/>
      <c r="J120" s="1196"/>
      <c r="K120" s="61"/>
      <c r="L120" s="61"/>
      <c r="M120" s="14"/>
      <c r="N120" s="14"/>
      <c r="O120" s="14"/>
      <c r="P120" s="1196"/>
      <c r="Q120" s="1196"/>
      <c r="R120" s="1196"/>
      <c r="S120" s="1196"/>
      <c r="T120" s="1196"/>
      <c r="U120" s="1196"/>
      <c r="V120" s="1217"/>
    </row>
    <row r="121" spans="1:22">
      <c r="A121" s="1195"/>
      <c r="B121" s="1196"/>
      <c r="C121" s="1196"/>
      <c r="D121" s="1196"/>
      <c r="E121" s="1197" t="str">
        <f t="shared" ref="E121:E143" si="8">IF(K121=0,"",(VLOOKUP((TRIM(K121)),Code,2,)))</f>
        <v/>
      </c>
      <c r="F121" s="1198"/>
      <c r="G121" s="1198"/>
      <c r="H121" s="1198"/>
      <c r="I121" s="1198"/>
      <c r="J121" s="1199"/>
      <c r="K121" s="133"/>
      <c r="L121" s="62" t="str">
        <f t="shared" ref="L121:L148" si="9">IF(K121=0,"",VLOOKUP((TRIM(K121)),Code,3,))</f>
        <v/>
      </c>
      <c r="M121" s="14"/>
      <c r="N121" s="89">
        <f t="array" ref="N121">SUM(IF((CsDJ[JEV Number]=TRIM($T110))*(CsDJ[Account Code]=TRIM(K121)),CsDJ[Debit]))</f>
        <v>0</v>
      </c>
      <c r="O121" s="89">
        <f t="array" ref="O121">SUM(IF((CsDJ[JEV Number]=TRIM($T110))*(CsDJ[Account Code]=TRIM(K121)),CsDJ[Credit]))</f>
        <v>0</v>
      </c>
      <c r="P121" s="1200">
        <f>N121</f>
        <v>0</v>
      </c>
      <c r="Q121" s="1200"/>
      <c r="R121" s="1200"/>
      <c r="S121" s="1200">
        <f>O121</f>
        <v>0</v>
      </c>
      <c r="T121" s="1200"/>
      <c r="U121" s="1200"/>
      <c r="V121" s="1201"/>
    </row>
    <row r="122" spans="1:22">
      <c r="A122" s="1195"/>
      <c r="B122" s="1196"/>
      <c r="C122" s="1196"/>
      <c r="D122" s="1196"/>
      <c r="E122" s="1197" t="str">
        <f t="shared" si="8"/>
        <v/>
      </c>
      <c r="F122" s="1198"/>
      <c r="G122" s="1198"/>
      <c r="H122" s="1198"/>
      <c r="I122" s="1198"/>
      <c r="J122" s="1199"/>
      <c r="K122" s="133"/>
      <c r="L122" s="62" t="str">
        <f t="shared" si="9"/>
        <v/>
      </c>
      <c r="M122" s="14"/>
      <c r="N122" s="89">
        <f t="array" ref="N122">SUM(IF((CsDJ[JEV Number]=TRIM($T110))*(CsDJ[Account Code]=TRIM(K122)),CsDJ[Debit]))</f>
        <v>0</v>
      </c>
      <c r="O122" s="89">
        <f t="array" ref="O122">SUM(IF((CsDJ[JEV Number]=TRIM($T110))*(CsDJ[Account Code]=TRIM(K122)),CsDJ[Credit]))</f>
        <v>0</v>
      </c>
      <c r="P122" s="1200">
        <f>N122</f>
        <v>0</v>
      </c>
      <c r="Q122" s="1200"/>
      <c r="R122" s="1200"/>
      <c r="S122" s="1200">
        <f>O122</f>
        <v>0</v>
      </c>
      <c r="T122" s="1200"/>
      <c r="U122" s="1200"/>
      <c r="V122" s="1201"/>
    </row>
    <row r="123" spans="1:22">
      <c r="A123" s="1195"/>
      <c r="B123" s="1196"/>
      <c r="C123" s="1196"/>
      <c r="D123" s="1196"/>
      <c r="E123" s="1197" t="str">
        <f t="shared" si="8"/>
        <v/>
      </c>
      <c r="F123" s="1198"/>
      <c r="G123" s="1198"/>
      <c r="H123" s="1198"/>
      <c r="I123" s="1198"/>
      <c r="J123" s="1199"/>
      <c r="K123" s="133"/>
      <c r="L123" s="62" t="str">
        <f t="shared" si="9"/>
        <v/>
      </c>
      <c r="M123" s="14"/>
      <c r="N123" s="89">
        <f t="array" ref="N123">SUM(IF((CsDJ[JEV Number]=TRIM($T110))*(CsDJ[Account Code]=TRIM(K123)),CsDJ[Debit]))</f>
        <v>0</v>
      </c>
      <c r="O123" s="89">
        <f t="array" ref="O123">SUM(IF((CsDJ[JEV Number]=TRIM($T110))*(CsDJ[Account Code]=TRIM(K123)),CsDJ[Credit]))</f>
        <v>0</v>
      </c>
      <c r="P123" s="1200">
        <f t="shared" ref="P123:P148" si="10">N123</f>
        <v>0</v>
      </c>
      <c r="Q123" s="1200"/>
      <c r="R123" s="1200"/>
      <c r="S123" s="1200">
        <f t="shared" ref="S123:S148" si="11">O123</f>
        <v>0</v>
      </c>
      <c r="T123" s="1200"/>
      <c r="U123" s="1200"/>
      <c r="V123" s="1201"/>
    </row>
    <row r="124" spans="1:22">
      <c r="A124" s="1195"/>
      <c r="B124" s="1196"/>
      <c r="C124" s="1196"/>
      <c r="D124" s="1196"/>
      <c r="E124" s="1197" t="str">
        <f t="shared" si="8"/>
        <v/>
      </c>
      <c r="F124" s="1198"/>
      <c r="G124" s="1198"/>
      <c r="H124" s="1198"/>
      <c r="I124" s="1198"/>
      <c r="J124" s="1199"/>
      <c r="K124" s="133"/>
      <c r="L124" s="62" t="str">
        <f t="shared" si="9"/>
        <v/>
      </c>
      <c r="M124" s="14"/>
      <c r="N124" s="89">
        <f t="array" ref="N124">SUM(IF((CsDJ[JEV Number]=TRIM($T110))*(CsDJ[Account Code]=TRIM(K124)),CsDJ[Debit]))</f>
        <v>0</v>
      </c>
      <c r="O124" s="89">
        <f t="array" ref="O124">SUM(IF((CsDJ[JEV Number]=TRIM($T110))*(CsDJ[Account Code]=TRIM(K124)),CsDJ[Credit]))</f>
        <v>0</v>
      </c>
      <c r="P124" s="1200">
        <f t="shared" si="10"/>
        <v>0</v>
      </c>
      <c r="Q124" s="1200"/>
      <c r="R124" s="1200"/>
      <c r="S124" s="1200">
        <f t="shared" si="11"/>
        <v>0</v>
      </c>
      <c r="T124" s="1200"/>
      <c r="U124" s="1200"/>
      <c r="V124" s="1201"/>
    </row>
    <row r="125" spans="1:22">
      <c r="A125" s="1195"/>
      <c r="B125" s="1196"/>
      <c r="C125" s="1196"/>
      <c r="D125" s="1196"/>
      <c r="E125" s="1197" t="str">
        <f t="shared" si="8"/>
        <v/>
      </c>
      <c r="F125" s="1198"/>
      <c r="G125" s="1198"/>
      <c r="H125" s="1198"/>
      <c r="I125" s="1198"/>
      <c r="J125" s="1199"/>
      <c r="K125" s="133"/>
      <c r="L125" s="62" t="str">
        <f t="shared" si="9"/>
        <v/>
      </c>
      <c r="M125" s="14"/>
      <c r="N125" s="89">
        <f t="array" ref="N125">SUM(IF((CsDJ[JEV Number]=TRIM($T110))*(CsDJ[Account Code]=TRIM(K125)),CsDJ[Debit]))</f>
        <v>0</v>
      </c>
      <c r="O125" s="89">
        <f t="array" ref="O125">SUM(IF((CsDJ[JEV Number]=TRIM($T110))*(CsDJ[Account Code]=TRIM(K125)),CsDJ[Credit]))</f>
        <v>0</v>
      </c>
      <c r="P125" s="1200">
        <f t="shared" si="10"/>
        <v>0</v>
      </c>
      <c r="Q125" s="1200"/>
      <c r="R125" s="1200"/>
      <c r="S125" s="1200">
        <f t="shared" si="11"/>
        <v>0</v>
      </c>
      <c r="T125" s="1200"/>
      <c r="U125" s="1200"/>
      <c r="V125" s="1201"/>
    </row>
    <row r="126" spans="1:22">
      <c r="A126" s="1195"/>
      <c r="B126" s="1196"/>
      <c r="C126" s="1196"/>
      <c r="D126" s="1196"/>
      <c r="E126" s="1197" t="str">
        <f t="shared" si="8"/>
        <v/>
      </c>
      <c r="F126" s="1198"/>
      <c r="G126" s="1198"/>
      <c r="H126" s="1198"/>
      <c r="I126" s="1198"/>
      <c r="J126" s="1199"/>
      <c r="K126" s="133"/>
      <c r="L126" s="62" t="str">
        <f t="shared" si="9"/>
        <v/>
      </c>
      <c r="M126" s="14"/>
      <c r="N126" s="89">
        <f t="array" ref="N126">SUM(IF((CsDJ[JEV Number]=TRIM($T110))*(CsDJ[Account Code]=TRIM(K126)),CsDJ[Debit]))</f>
        <v>0</v>
      </c>
      <c r="O126" s="89">
        <f t="array" ref="O126">SUM(IF((CsDJ[JEV Number]=TRIM($T110))*(CsDJ[Account Code]=TRIM(K126)),CsDJ[Credit]))</f>
        <v>0</v>
      </c>
      <c r="P126" s="1200">
        <f t="shared" si="10"/>
        <v>0</v>
      </c>
      <c r="Q126" s="1200"/>
      <c r="R126" s="1200"/>
      <c r="S126" s="1200">
        <f t="shared" si="11"/>
        <v>0</v>
      </c>
      <c r="T126" s="1200"/>
      <c r="U126" s="1200"/>
      <c r="V126" s="1201"/>
    </row>
    <row r="127" spans="1:22">
      <c r="A127" s="1195"/>
      <c r="B127" s="1196"/>
      <c r="C127" s="1196"/>
      <c r="D127" s="1196"/>
      <c r="E127" s="1197" t="str">
        <f t="shared" si="8"/>
        <v/>
      </c>
      <c r="F127" s="1198"/>
      <c r="G127" s="1198"/>
      <c r="H127" s="1198"/>
      <c r="I127" s="1198"/>
      <c r="J127" s="1199"/>
      <c r="K127" s="133"/>
      <c r="L127" s="62" t="str">
        <f t="shared" si="9"/>
        <v/>
      </c>
      <c r="M127" s="14"/>
      <c r="N127" s="89">
        <f t="array" ref="N127">SUM(IF((CsDJ[JEV Number]=TRIM($T110))*(CsDJ[Account Code]=TRIM(K127)),CsDJ[Debit]))</f>
        <v>0</v>
      </c>
      <c r="O127" s="89">
        <f t="array" ref="O127">SUM(IF((CsDJ[JEV Number]=TRIM($T110))*(CsDJ[Account Code]=TRIM(K127)),CsDJ[Credit]))</f>
        <v>0</v>
      </c>
      <c r="P127" s="1200">
        <f t="shared" si="10"/>
        <v>0</v>
      </c>
      <c r="Q127" s="1200"/>
      <c r="R127" s="1200"/>
      <c r="S127" s="1200">
        <f t="shared" si="11"/>
        <v>0</v>
      </c>
      <c r="T127" s="1200"/>
      <c r="U127" s="1200"/>
      <c r="V127" s="1201"/>
    </row>
    <row r="128" spans="1:22">
      <c r="A128" s="1195"/>
      <c r="B128" s="1196"/>
      <c r="C128" s="1196"/>
      <c r="D128" s="1196"/>
      <c r="E128" s="1197" t="str">
        <f t="shared" si="8"/>
        <v/>
      </c>
      <c r="F128" s="1198"/>
      <c r="G128" s="1198"/>
      <c r="H128" s="1198"/>
      <c r="I128" s="1198"/>
      <c r="J128" s="1199"/>
      <c r="K128" s="133"/>
      <c r="L128" s="62" t="str">
        <f t="shared" si="9"/>
        <v/>
      </c>
      <c r="M128" s="14"/>
      <c r="N128" s="89">
        <f t="array" ref="N128">SUM(IF((CsDJ[JEV Number]=TRIM($T110))*(CsDJ[Account Code]=TRIM(K128)),CsDJ[Debit]))</f>
        <v>0</v>
      </c>
      <c r="O128" s="89">
        <f t="array" ref="O128">SUM(IF((CsDJ[JEV Number]=TRIM($T110))*(CsDJ[Account Code]=TRIM(K128)),CsDJ[Credit]))</f>
        <v>0</v>
      </c>
      <c r="P128" s="1200">
        <f t="shared" si="10"/>
        <v>0</v>
      </c>
      <c r="Q128" s="1200"/>
      <c r="R128" s="1200"/>
      <c r="S128" s="1200">
        <f t="shared" si="11"/>
        <v>0</v>
      </c>
      <c r="T128" s="1200"/>
      <c r="U128" s="1200"/>
      <c r="V128" s="1201"/>
    </row>
    <row r="129" spans="1:22">
      <c r="A129" s="1195"/>
      <c r="B129" s="1196"/>
      <c r="C129" s="1196"/>
      <c r="D129" s="1196"/>
      <c r="E129" s="1197" t="str">
        <f t="shared" si="8"/>
        <v/>
      </c>
      <c r="F129" s="1198"/>
      <c r="G129" s="1198"/>
      <c r="H129" s="1198"/>
      <c r="I129" s="1198"/>
      <c r="J129" s="1199"/>
      <c r="K129" s="134"/>
      <c r="L129" s="62" t="str">
        <f t="shared" si="9"/>
        <v/>
      </c>
      <c r="M129" s="14"/>
      <c r="N129" s="89">
        <f t="array" ref="N129">SUM(IF((CsDJ[JEV Number]=TRIM($T110))*(CsDJ[Account Code]=TRIM(K129)),CsDJ[Debit]))</f>
        <v>0</v>
      </c>
      <c r="O129" s="89">
        <f t="array" ref="O129">SUM(IF((CsDJ[JEV Number]=TRIM($T110))*(CsDJ[Account Code]=TRIM(K129)),CsDJ[Credit]))</f>
        <v>0</v>
      </c>
      <c r="P129" s="1200">
        <f t="shared" si="10"/>
        <v>0</v>
      </c>
      <c r="Q129" s="1200"/>
      <c r="R129" s="1200"/>
      <c r="S129" s="1200">
        <f t="shared" si="11"/>
        <v>0</v>
      </c>
      <c r="T129" s="1200"/>
      <c r="U129" s="1200"/>
      <c r="V129" s="1201"/>
    </row>
    <row r="130" spans="1:22">
      <c r="A130" s="1195"/>
      <c r="B130" s="1196"/>
      <c r="C130" s="1196"/>
      <c r="D130" s="1196"/>
      <c r="E130" s="1197" t="str">
        <f t="shared" si="8"/>
        <v/>
      </c>
      <c r="F130" s="1198"/>
      <c r="G130" s="1198"/>
      <c r="H130" s="1198"/>
      <c r="I130" s="1198"/>
      <c r="J130" s="1199"/>
      <c r="K130" s="134"/>
      <c r="L130" s="62" t="str">
        <f t="shared" si="9"/>
        <v/>
      </c>
      <c r="M130" s="14"/>
      <c r="N130" s="89">
        <f t="array" ref="N130">SUM(IF((CsDJ[JEV Number]=TRIM($T110))*(CsDJ[Account Code]=TRIM(K130)),CsDJ[Debit]))</f>
        <v>0</v>
      </c>
      <c r="O130" s="89">
        <f t="array" ref="O130">SUM(IF((CsDJ[JEV Number]=TRIM($T110))*(CsDJ[Account Code]=TRIM(K130)),CsDJ[Credit]))</f>
        <v>0</v>
      </c>
      <c r="P130" s="1200">
        <f t="shared" si="10"/>
        <v>0</v>
      </c>
      <c r="Q130" s="1200"/>
      <c r="R130" s="1200"/>
      <c r="S130" s="1200">
        <f t="shared" si="11"/>
        <v>0</v>
      </c>
      <c r="T130" s="1200"/>
      <c r="U130" s="1200"/>
      <c r="V130" s="1201"/>
    </row>
    <row r="131" spans="1:22">
      <c r="A131" s="1195"/>
      <c r="B131" s="1196"/>
      <c r="C131" s="1196"/>
      <c r="D131" s="1196"/>
      <c r="E131" s="1197" t="str">
        <f t="shared" si="8"/>
        <v/>
      </c>
      <c r="F131" s="1198"/>
      <c r="G131" s="1198"/>
      <c r="H131" s="1198"/>
      <c r="I131" s="1198"/>
      <c r="J131" s="1199"/>
      <c r="K131" s="134"/>
      <c r="L131" s="62" t="str">
        <f t="shared" si="9"/>
        <v/>
      </c>
      <c r="M131" s="14"/>
      <c r="N131" s="89">
        <f t="array" ref="N131">SUM(IF((CsDJ[JEV Number]=TRIM($T110))*(CsDJ[Account Code]=TRIM(K131)),CsDJ[Debit]))</f>
        <v>0</v>
      </c>
      <c r="O131" s="89">
        <f t="array" ref="O131">SUM(IF((CsDJ[JEV Number]=TRIM($T110))*(CsDJ[Account Code]=TRIM(K131)),CsDJ[Credit]))</f>
        <v>0</v>
      </c>
      <c r="P131" s="1200">
        <f t="shared" si="10"/>
        <v>0</v>
      </c>
      <c r="Q131" s="1200"/>
      <c r="R131" s="1200"/>
      <c r="S131" s="1200">
        <f t="shared" si="11"/>
        <v>0</v>
      </c>
      <c r="T131" s="1200"/>
      <c r="U131" s="1200"/>
      <c r="V131" s="1201"/>
    </row>
    <row r="132" spans="1:22">
      <c r="A132" s="1195"/>
      <c r="B132" s="1196"/>
      <c r="C132" s="1196"/>
      <c r="D132" s="1196"/>
      <c r="E132" s="1197" t="str">
        <f t="shared" si="8"/>
        <v/>
      </c>
      <c r="F132" s="1198"/>
      <c r="G132" s="1198"/>
      <c r="H132" s="1198"/>
      <c r="I132" s="1198"/>
      <c r="J132" s="1199"/>
      <c r="K132" s="134"/>
      <c r="L132" s="62" t="str">
        <f t="shared" si="9"/>
        <v/>
      </c>
      <c r="M132" s="14"/>
      <c r="N132" s="89">
        <f t="array" ref="N132">SUM(IF((CsDJ[JEV Number]=TRIM($T110))*(CsDJ[Account Code]=TRIM(K132)),CsDJ[Debit]))</f>
        <v>0</v>
      </c>
      <c r="O132" s="89">
        <f t="array" ref="O132">SUM(IF((CsDJ[JEV Number]=TRIM($T110))*(CsDJ[Account Code]=TRIM(K132)),CsDJ[Credit]))</f>
        <v>0</v>
      </c>
      <c r="P132" s="1200">
        <f t="shared" si="10"/>
        <v>0</v>
      </c>
      <c r="Q132" s="1200"/>
      <c r="R132" s="1200"/>
      <c r="S132" s="1200">
        <f t="shared" si="11"/>
        <v>0</v>
      </c>
      <c r="T132" s="1200"/>
      <c r="U132" s="1200"/>
      <c r="V132" s="1201"/>
    </row>
    <row r="133" spans="1:22">
      <c r="A133" s="1195"/>
      <c r="B133" s="1196"/>
      <c r="C133" s="1196"/>
      <c r="D133" s="1196"/>
      <c r="E133" s="1197" t="str">
        <f t="shared" si="8"/>
        <v/>
      </c>
      <c r="F133" s="1198"/>
      <c r="G133" s="1198"/>
      <c r="H133" s="1198"/>
      <c r="I133" s="1198"/>
      <c r="J133" s="1199"/>
      <c r="K133" s="134"/>
      <c r="L133" s="62" t="str">
        <f t="shared" si="9"/>
        <v/>
      </c>
      <c r="M133" s="14"/>
      <c r="N133" s="89">
        <f t="array" ref="N133">SUM(IF((CsDJ[JEV Number]=TRIM($T110))*(CsDJ[Account Code]=TRIM(K133)),CsDJ[Debit]))</f>
        <v>0</v>
      </c>
      <c r="O133" s="89">
        <f t="array" ref="O133">SUM(IF((CsDJ[JEV Number]=TRIM($T110))*(CsDJ[Account Code]=TRIM(K133)),CsDJ[Credit]))</f>
        <v>0</v>
      </c>
      <c r="P133" s="1200">
        <f t="shared" si="10"/>
        <v>0</v>
      </c>
      <c r="Q133" s="1200"/>
      <c r="R133" s="1200"/>
      <c r="S133" s="1200">
        <f t="shared" si="11"/>
        <v>0</v>
      </c>
      <c r="T133" s="1200"/>
      <c r="U133" s="1200"/>
      <c r="V133" s="1201"/>
    </row>
    <row r="134" spans="1:22">
      <c r="A134" s="1195"/>
      <c r="B134" s="1196"/>
      <c r="C134" s="1196"/>
      <c r="D134" s="1196"/>
      <c r="E134" s="1197" t="str">
        <f t="shared" si="8"/>
        <v/>
      </c>
      <c r="F134" s="1198"/>
      <c r="G134" s="1198"/>
      <c r="H134" s="1198"/>
      <c r="I134" s="1198"/>
      <c r="J134" s="1199"/>
      <c r="K134" s="134"/>
      <c r="L134" s="62" t="str">
        <f t="shared" si="9"/>
        <v/>
      </c>
      <c r="M134" s="14"/>
      <c r="N134" s="89">
        <f t="array" ref="N134">SUM(IF((CsDJ[JEV Number]=TRIM($T110))*(CsDJ[Account Code]=TRIM(K134)),CsDJ[Debit]))</f>
        <v>0</v>
      </c>
      <c r="O134" s="89">
        <f t="array" ref="O134">SUM(IF((CsDJ[JEV Number]=TRIM($T110))*(CsDJ[Account Code]=TRIM(K134)),CsDJ[Credit]))</f>
        <v>0</v>
      </c>
      <c r="P134" s="1200">
        <f t="shared" si="10"/>
        <v>0</v>
      </c>
      <c r="Q134" s="1200"/>
      <c r="R134" s="1200"/>
      <c r="S134" s="1200">
        <f t="shared" si="11"/>
        <v>0</v>
      </c>
      <c r="T134" s="1200"/>
      <c r="U134" s="1200"/>
      <c r="V134" s="1201"/>
    </row>
    <row r="135" spans="1:22">
      <c r="A135" s="1195"/>
      <c r="B135" s="1196"/>
      <c r="C135" s="1196"/>
      <c r="D135" s="1196"/>
      <c r="E135" s="1197" t="str">
        <f t="shared" si="8"/>
        <v/>
      </c>
      <c r="F135" s="1198"/>
      <c r="G135" s="1198"/>
      <c r="H135" s="1198"/>
      <c r="I135" s="1198"/>
      <c r="J135" s="1199"/>
      <c r="K135" s="134"/>
      <c r="L135" s="62" t="str">
        <f t="shared" si="9"/>
        <v/>
      </c>
      <c r="M135" s="14"/>
      <c r="N135" s="89">
        <f t="array" ref="N135">SUM(IF((CsDJ[JEV Number]=TRIM($T110))*(CsDJ[Account Code]=TRIM(K135)),CsDJ[Debit]))</f>
        <v>0</v>
      </c>
      <c r="O135" s="89">
        <f t="array" ref="O135">SUM(IF((CsDJ[JEV Number]=TRIM($T110))*(CsDJ[Account Code]=TRIM(K135)),CsDJ[Credit]))</f>
        <v>0</v>
      </c>
      <c r="P135" s="1200">
        <f t="shared" si="10"/>
        <v>0</v>
      </c>
      <c r="Q135" s="1200"/>
      <c r="R135" s="1200"/>
      <c r="S135" s="1200">
        <f t="shared" si="11"/>
        <v>0</v>
      </c>
      <c r="T135" s="1200"/>
      <c r="U135" s="1200"/>
      <c r="V135" s="1201"/>
    </row>
    <row r="136" spans="1:22">
      <c r="A136" s="1195"/>
      <c r="B136" s="1196"/>
      <c r="C136" s="1196"/>
      <c r="D136" s="1196"/>
      <c r="E136" s="1197" t="str">
        <f t="shared" si="8"/>
        <v/>
      </c>
      <c r="F136" s="1198"/>
      <c r="G136" s="1198"/>
      <c r="H136" s="1198"/>
      <c r="I136" s="1198"/>
      <c r="J136" s="1199"/>
      <c r="K136" s="134"/>
      <c r="L136" s="62" t="str">
        <f t="shared" si="9"/>
        <v/>
      </c>
      <c r="M136" s="14"/>
      <c r="N136" s="89">
        <f t="array" ref="N136">SUM(IF((CsDJ[JEV Number]=TRIM($T110))*(CsDJ[Account Code]=TRIM(K136)),CsDJ[Debit]))</f>
        <v>0</v>
      </c>
      <c r="O136" s="89">
        <f t="array" ref="O136">SUM(IF((CsDJ[JEV Number]=TRIM($T110))*(CsDJ[Account Code]=TRIM(K136)),CsDJ[Credit]))</f>
        <v>0</v>
      </c>
      <c r="P136" s="1200">
        <f t="shared" si="10"/>
        <v>0</v>
      </c>
      <c r="Q136" s="1200"/>
      <c r="R136" s="1200"/>
      <c r="S136" s="1200">
        <f t="shared" si="11"/>
        <v>0</v>
      </c>
      <c r="T136" s="1200"/>
      <c r="U136" s="1200"/>
      <c r="V136" s="1201"/>
    </row>
    <row r="137" spans="1:22">
      <c r="A137" s="1195"/>
      <c r="B137" s="1196"/>
      <c r="C137" s="1196"/>
      <c r="D137" s="1196"/>
      <c r="E137" s="1197" t="str">
        <f t="shared" si="8"/>
        <v/>
      </c>
      <c r="F137" s="1198"/>
      <c r="G137" s="1198"/>
      <c r="H137" s="1198"/>
      <c r="I137" s="1198"/>
      <c r="J137" s="1199"/>
      <c r="K137" s="134"/>
      <c r="L137" s="62" t="str">
        <f t="shared" si="9"/>
        <v/>
      </c>
      <c r="M137" s="14"/>
      <c r="N137" s="89">
        <f t="array" ref="N137">SUM(IF((CsDJ[JEV Number]=TRIM($T110))*(CsDJ[Account Code]=TRIM(K137)),CsDJ[Debit]))</f>
        <v>0</v>
      </c>
      <c r="O137" s="89">
        <f t="array" ref="O137">SUM(IF((CsDJ[JEV Number]=TRIM($T110))*(CsDJ[Account Code]=TRIM(K137)),CsDJ[Credit]))</f>
        <v>0</v>
      </c>
      <c r="P137" s="1200">
        <f t="shared" si="10"/>
        <v>0</v>
      </c>
      <c r="Q137" s="1200"/>
      <c r="R137" s="1200"/>
      <c r="S137" s="1200">
        <f t="shared" si="11"/>
        <v>0</v>
      </c>
      <c r="T137" s="1200"/>
      <c r="U137" s="1200"/>
      <c r="V137" s="1201"/>
    </row>
    <row r="138" spans="1:22">
      <c r="A138" s="1195"/>
      <c r="B138" s="1196"/>
      <c r="C138" s="1196"/>
      <c r="D138" s="1196"/>
      <c r="E138" s="1197" t="str">
        <f t="shared" si="8"/>
        <v/>
      </c>
      <c r="F138" s="1198"/>
      <c r="G138" s="1198"/>
      <c r="H138" s="1198"/>
      <c r="I138" s="1198"/>
      <c r="J138" s="1199"/>
      <c r="K138" s="134"/>
      <c r="L138" s="62" t="str">
        <f t="shared" si="9"/>
        <v/>
      </c>
      <c r="M138" s="14"/>
      <c r="N138" s="89">
        <f t="array" ref="N138">SUM(IF((CsDJ[JEV Number]=TRIM($T110))*(CsDJ[Account Code]=TRIM(K138)),CsDJ[Debit]))</f>
        <v>0</v>
      </c>
      <c r="O138" s="89">
        <f t="array" ref="O138">SUM(IF((CsDJ[JEV Number]=TRIM($T110))*(CsDJ[Account Code]=TRIM(K138)),CsDJ[Credit]))</f>
        <v>0</v>
      </c>
      <c r="P138" s="1200">
        <f t="shared" si="10"/>
        <v>0</v>
      </c>
      <c r="Q138" s="1200"/>
      <c r="R138" s="1200"/>
      <c r="S138" s="1200">
        <f t="shared" si="11"/>
        <v>0</v>
      </c>
      <c r="T138" s="1200"/>
      <c r="U138" s="1200"/>
      <c r="V138" s="1201"/>
    </row>
    <row r="139" spans="1:22">
      <c r="A139" s="1195"/>
      <c r="B139" s="1196"/>
      <c r="C139" s="1196"/>
      <c r="D139" s="1196"/>
      <c r="E139" s="1197" t="str">
        <f t="shared" si="8"/>
        <v/>
      </c>
      <c r="F139" s="1198"/>
      <c r="G139" s="1198"/>
      <c r="H139" s="1198"/>
      <c r="I139" s="1198"/>
      <c r="J139" s="1199"/>
      <c r="K139" s="134"/>
      <c r="L139" s="62" t="str">
        <f t="shared" si="9"/>
        <v/>
      </c>
      <c r="M139" s="14"/>
      <c r="N139" s="89">
        <f t="array" ref="N139">SUM(IF((CsDJ[JEV Number]=TRIM($T110))*(CsDJ[Account Code]=TRIM(K139)),CsDJ[Debit]))</f>
        <v>0</v>
      </c>
      <c r="O139" s="89">
        <f t="array" ref="O139">SUM(IF((CsDJ[JEV Number]=TRIM($T110))*(CsDJ[Account Code]=TRIM(K139)),CsDJ[Credit]))</f>
        <v>0</v>
      </c>
      <c r="P139" s="1200">
        <f t="shared" si="10"/>
        <v>0</v>
      </c>
      <c r="Q139" s="1200"/>
      <c r="R139" s="1200"/>
      <c r="S139" s="1200">
        <f t="shared" si="11"/>
        <v>0</v>
      </c>
      <c r="T139" s="1200"/>
      <c r="U139" s="1200"/>
      <c r="V139" s="1201"/>
    </row>
    <row r="140" spans="1:22">
      <c r="A140" s="1195"/>
      <c r="B140" s="1196"/>
      <c r="C140" s="1196"/>
      <c r="D140" s="1196"/>
      <c r="E140" s="1197" t="str">
        <f t="shared" si="8"/>
        <v/>
      </c>
      <c r="F140" s="1198"/>
      <c r="G140" s="1198"/>
      <c r="H140" s="1198"/>
      <c r="I140" s="1198"/>
      <c r="J140" s="1199"/>
      <c r="K140" s="134"/>
      <c r="L140" s="62" t="str">
        <f t="shared" si="9"/>
        <v/>
      </c>
      <c r="M140" s="14"/>
      <c r="N140" s="89">
        <f t="array" ref="N140">SUM(IF((CsDJ[JEV Number]=TRIM($T110))*(CsDJ[Account Code]=TRIM(K140)),CsDJ[Debit]))</f>
        <v>0</v>
      </c>
      <c r="O140" s="89">
        <f t="array" ref="O140">SUM(IF((CsDJ[JEV Number]=TRIM($T110))*(CsDJ[Account Code]=TRIM(K140)),CsDJ[Credit]))</f>
        <v>0</v>
      </c>
      <c r="P140" s="1200">
        <f t="shared" si="10"/>
        <v>0</v>
      </c>
      <c r="Q140" s="1200"/>
      <c r="R140" s="1200"/>
      <c r="S140" s="1200">
        <f t="shared" si="11"/>
        <v>0</v>
      </c>
      <c r="T140" s="1200"/>
      <c r="U140" s="1200"/>
      <c r="V140" s="1201"/>
    </row>
    <row r="141" spans="1:22">
      <c r="A141" s="1195"/>
      <c r="B141" s="1196"/>
      <c r="C141" s="1196"/>
      <c r="D141" s="1196"/>
      <c r="E141" s="1197" t="str">
        <f t="shared" si="8"/>
        <v/>
      </c>
      <c r="F141" s="1198"/>
      <c r="G141" s="1198"/>
      <c r="H141" s="1198"/>
      <c r="I141" s="1198"/>
      <c r="J141" s="1199"/>
      <c r="K141" s="134"/>
      <c r="L141" s="62" t="str">
        <f t="shared" si="9"/>
        <v/>
      </c>
      <c r="M141" s="14"/>
      <c r="N141" s="89">
        <f t="array" ref="N141">SUM(IF((CsDJ[JEV Number]=TRIM($T110))*(CsDJ[Account Code]=TRIM(K141)),CsDJ[Debit]))</f>
        <v>0</v>
      </c>
      <c r="O141" s="89">
        <f t="array" ref="O141">SUM(IF((CsDJ[JEV Number]=TRIM($T110))*(CsDJ[Account Code]=TRIM(K141)),CsDJ[Credit]))</f>
        <v>0</v>
      </c>
      <c r="P141" s="1200">
        <f t="shared" si="10"/>
        <v>0</v>
      </c>
      <c r="Q141" s="1200"/>
      <c r="R141" s="1200"/>
      <c r="S141" s="1200">
        <f t="shared" si="11"/>
        <v>0</v>
      </c>
      <c r="T141" s="1200"/>
      <c r="U141" s="1200"/>
      <c r="V141" s="1201"/>
    </row>
    <row r="142" spans="1:22">
      <c r="A142" s="1195"/>
      <c r="B142" s="1196"/>
      <c r="C142" s="1196"/>
      <c r="D142" s="1196"/>
      <c r="E142" s="1197" t="str">
        <f t="shared" si="8"/>
        <v/>
      </c>
      <c r="F142" s="1198"/>
      <c r="G142" s="1198"/>
      <c r="H142" s="1198"/>
      <c r="I142" s="1198"/>
      <c r="J142" s="1199"/>
      <c r="K142" s="134"/>
      <c r="L142" s="62" t="str">
        <f t="shared" si="9"/>
        <v/>
      </c>
      <c r="M142" s="14"/>
      <c r="N142" s="89">
        <f t="array" ref="N142">SUM(IF((CsDJ[JEV Number]=TRIM($T110))*(CsDJ[Account Code]=TRIM(K142)),CsDJ[Debit]))</f>
        <v>0</v>
      </c>
      <c r="O142" s="89">
        <f t="array" ref="O142">SUM(IF((CsDJ[JEV Number]=TRIM($T110))*(CsDJ[Account Code]=TRIM(K142)),CsDJ[Credit]))</f>
        <v>0</v>
      </c>
      <c r="P142" s="1200">
        <f t="shared" si="10"/>
        <v>0</v>
      </c>
      <c r="Q142" s="1200"/>
      <c r="R142" s="1200"/>
      <c r="S142" s="1200">
        <f t="shared" si="11"/>
        <v>0</v>
      </c>
      <c r="T142" s="1200"/>
      <c r="U142" s="1200"/>
      <c r="V142" s="1201"/>
    </row>
    <row r="143" spans="1:22">
      <c r="A143" s="1195"/>
      <c r="B143" s="1196"/>
      <c r="C143" s="1196"/>
      <c r="D143" s="1196"/>
      <c r="E143" s="1197" t="str">
        <f t="shared" si="8"/>
        <v/>
      </c>
      <c r="F143" s="1198"/>
      <c r="G143" s="1198"/>
      <c r="H143" s="1198"/>
      <c r="I143" s="1198"/>
      <c r="J143" s="1199"/>
      <c r="K143" s="134"/>
      <c r="L143" s="62" t="str">
        <f t="shared" si="9"/>
        <v/>
      </c>
      <c r="M143" s="14"/>
      <c r="N143" s="89">
        <f t="array" ref="N143">SUM(IF((CsDJ[JEV Number]=TRIM($T110))*(CsDJ[Account Code]=TRIM(K143)),CsDJ[Debit]))</f>
        <v>0</v>
      </c>
      <c r="O143" s="89">
        <f t="array" ref="O143">SUM(IF((CsDJ[JEV Number]=TRIM($T110))*(CsDJ[Account Code]=TRIM(K143)),CsDJ[Credit]))</f>
        <v>0</v>
      </c>
      <c r="P143" s="1200">
        <f t="shared" si="10"/>
        <v>0</v>
      </c>
      <c r="Q143" s="1200"/>
      <c r="R143" s="1200"/>
      <c r="S143" s="1200">
        <f t="shared" si="11"/>
        <v>0</v>
      </c>
      <c r="T143" s="1200"/>
      <c r="U143" s="1200"/>
      <c r="V143" s="1201"/>
    </row>
    <row r="144" spans="1:22">
      <c r="A144" s="1195"/>
      <c r="B144" s="1196"/>
      <c r="C144" s="1196"/>
      <c r="D144" s="1196"/>
      <c r="E144" s="1257" t="s">
        <v>468</v>
      </c>
      <c r="F144" s="1258"/>
      <c r="G144" s="1258"/>
      <c r="H144" s="1258"/>
      <c r="I144" s="1258"/>
      <c r="J144" s="1259"/>
      <c r="K144" s="133"/>
      <c r="L144" s="62" t="str">
        <f t="shared" si="9"/>
        <v/>
      </c>
      <c r="M144" s="14"/>
      <c r="N144" s="89">
        <f t="array" ref="N144">SUM(IF((CsDJ[JEV Number]=TRIM($T110))*(CsDJ[Account Code]=TRIM(K144)),CsDJ[Debit]))</f>
        <v>0</v>
      </c>
      <c r="O144" s="89">
        <f t="array" ref="O144">SUM(IF((CsDJ[JEV Number]=TRIM($T110))*(CsDJ[Account Code]=TRIM(K144)),CsDJ[Credit]))</f>
        <v>0</v>
      </c>
      <c r="P144" s="1200">
        <f t="shared" si="10"/>
        <v>0</v>
      </c>
      <c r="Q144" s="1200"/>
      <c r="R144" s="1200"/>
      <c r="S144" s="1200">
        <f t="shared" si="11"/>
        <v>0</v>
      </c>
      <c r="T144" s="1200"/>
      <c r="U144" s="1200"/>
      <c r="V144" s="1201"/>
    </row>
    <row r="145" spans="1:22">
      <c r="A145" s="1195"/>
      <c r="B145" s="1196"/>
      <c r="C145" s="1196"/>
      <c r="D145" s="1196"/>
      <c r="E145" s="1202" t="s">
        <v>457</v>
      </c>
      <c r="F145" s="1203"/>
      <c r="G145" s="1203"/>
      <c r="H145" s="1203"/>
      <c r="I145" s="1207">
        <f>T111</f>
        <v>0</v>
      </c>
      <c r="J145" s="1208"/>
      <c r="K145" s="133"/>
      <c r="L145" s="62" t="str">
        <f t="shared" si="9"/>
        <v/>
      </c>
      <c r="M145" s="14"/>
      <c r="N145" s="89">
        <f t="array" ref="N145">SUM(IF((CsDJ[JEV Number]=TRIM($T110))*(CsDJ[Account Code]=TRIM(K145)),CsDJ[Debit]))</f>
        <v>0</v>
      </c>
      <c r="O145" s="89">
        <f t="array" ref="O145">SUM(IF((CsDJ[JEV Number]=TRIM($T110))*(CsDJ[Account Code]=TRIM(K145)),CsDJ[Credit]))</f>
        <v>0</v>
      </c>
      <c r="P145" s="1200">
        <f t="shared" si="10"/>
        <v>0</v>
      </c>
      <c r="Q145" s="1200"/>
      <c r="R145" s="1200"/>
      <c r="S145" s="1200">
        <f t="shared" si="11"/>
        <v>0</v>
      </c>
      <c r="T145" s="1200"/>
      <c r="U145" s="1200"/>
      <c r="V145" s="1201"/>
    </row>
    <row r="146" spans="1:22">
      <c r="A146" s="1195"/>
      <c r="B146" s="1196"/>
      <c r="C146" s="1196"/>
      <c r="D146" s="1196"/>
      <c r="E146" s="1202" t="s">
        <v>458</v>
      </c>
      <c r="F146" s="1203"/>
      <c r="G146" s="1203"/>
      <c r="H146" s="1203"/>
      <c r="I146" s="1263">
        <f>IF(T110=0,0,(IF(LOOKUP(T110,CsDJ[JEV Number],CsDJ[Sort Code])="1","MA. VIVIAN C. SALAS",IF(LOOKUP(T110,CsDJ[JEV Number],CsDJ[Sort Code])="2","LUZ R. DE COZAR",IF(LOOKUP(T110,CsDJ[JEV Number],CsDJ[Sort Code])="3","MINEONETTE A. DELA CRUZ",IF(LOOKUP(T110,CsDJ[JEV Number],CsDJ[Sort Code])="4","RESELLA B. LOPEZ"))))))</f>
        <v>0</v>
      </c>
      <c r="J146" s="1264"/>
      <c r="K146" s="133"/>
      <c r="L146" s="62" t="str">
        <f t="shared" si="9"/>
        <v/>
      </c>
      <c r="M146" s="14"/>
      <c r="N146" s="89">
        <f t="array" ref="N146">SUM(IF((CsDJ[JEV Number]=TRIM($T110))*(CsDJ[Account Code]=TRIM(K146)),CsDJ[Debit]))</f>
        <v>0</v>
      </c>
      <c r="O146" s="89">
        <f t="array" ref="O146">SUM(IF((CsDJ[JEV Number]=TRIM($T110))*(CsDJ[Account Code]=TRIM(K146)),CsDJ[Credit]))</f>
        <v>0</v>
      </c>
      <c r="P146" s="1200">
        <f t="shared" si="10"/>
        <v>0</v>
      </c>
      <c r="Q146" s="1200"/>
      <c r="R146" s="1200"/>
      <c r="S146" s="1200">
        <f t="shared" si="11"/>
        <v>0</v>
      </c>
      <c r="T146" s="1200"/>
      <c r="U146" s="1200"/>
      <c r="V146" s="1201"/>
    </row>
    <row r="147" spans="1:22">
      <c r="A147" s="1195"/>
      <c r="B147" s="1196"/>
      <c r="C147" s="1196"/>
      <c r="D147" s="1196"/>
      <c r="E147" s="1202" t="s">
        <v>459</v>
      </c>
      <c r="F147" s="1203"/>
      <c r="G147" s="1203"/>
      <c r="H147" s="1203"/>
      <c r="I147" s="1204">
        <f>IF(I146="Ma. Vivian C. Salas","Regional Office", IF(I146="Luz R. De Cozar","BANE IMO", IF(I146="Mineonette A. Dela Cruz","PAMBAT IMO", IF(I146="Resella B. Lopez","TARZAM IMO",0))))</f>
        <v>0</v>
      </c>
      <c r="J147" s="1205"/>
      <c r="K147" s="133"/>
      <c r="L147" s="62" t="str">
        <f t="shared" si="9"/>
        <v/>
      </c>
      <c r="M147" s="14"/>
      <c r="N147" s="89">
        <f t="array" ref="N147">SUM(IF((CsDJ[JEV Number]=TRIM($T110))*(CsDJ[Account Code]=TRIM(K147)),CsDJ[Debit]))</f>
        <v>0</v>
      </c>
      <c r="O147" s="89">
        <f t="array" ref="O147">SUM(IF((CsDJ[JEV Number]=TRIM($T110))*(CsDJ[Account Code]=TRIM(K147)),CsDJ[Credit]))</f>
        <v>0</v>
      </c>
      <c r="P147" s="1200">
        <f t="shared" si="10"/>
        <v>0</v>
      </c>
      <c r="Q147" s="1200"/>
      <c r="R147" s="1200"/>
      <c r="S147" s="1200">
        <f t="shared" si="11"/>
        <v>0</v>
      </c>
      <c r="T147" s="1200"/>
      <c r="U147" s="1200"/>
      <c r="V147" s="1201"/>
    </row>
    <row r="148" spans="1:22">
      <c r="A148" s="1195"/>
      <c r="B148" s="1196"/>
      <c r="C148" s="1196"/>
      <c r="D148" s="1196"/>
      <c r="E148" s="1202"/>
      <c r="F148" s="1203"/>
      <c r="G148" s="1203"/>
      <c r="H148" s="1203"/>
      <c r="I148" s="1203"/>
      <c r="J148" s="1206"/>
      <c r="K148" s="133"/>
      <c r="L148" s="62" t="str">
        <f t="shared" si="9"/>
        <v/>
      </c>
      <c r="M148" s="14"/>
      <c r="N148" s="89">
        <f t="array" ref="N148">SUM(IF((CsDJ[JEV Number]=TRIM($T110))*(CsDJ[Account Code]=TRIM(K148)),CsDJ[Debit]))</f>
        <v>0</v>
      </c>
      <c r="O148" s="89">
        <f t="array" ref="O148">SUM(IF((CsDJ[JEV Number]=TRIM($T110))*(CsDJ[Account Code]=TRIM(K148)),CsDJ[Credit]))</f>
        <v>0</v>
      </c>
      <c r="P148" s="1200">
        <f t="shared" si="10"/>
        <v>0</v>
      </c>
      <c r="Q148" s="1200"/>
      <c r="R148" s="1200"/>
      <c r="S148" s="1200">
        <f t="shared" si="11"/>
        <v>0</v>
      </c>
      <c r="T148" s="1200"/>
      <c r="U148" s="1200"/>
      <c r="V148" s="1201"/>
    </row>
    <row r="149" spans="1:22" ht="16.5" thickBot="1">
      <c r="A149" s="1188"/>
      <c r="B149" s="1189"/>
      <c r="C149" s="1189"/>
      <c r="D149" s="1189"/>
      <c r="E149" s="1189"/>
      <c r="F149" s="1189"/>
      <c r="G149" s="1189"/>
      <c r="H149" s="1189"/>
      <c r="I149" s="1189"/>
      <c r="J149" s="1189"/>
      <c r="K149" s="1189"/>
      <c r="L149" s="1189"/>
      <c r="M149" s="1190"/>
      <c r="N149" s="88"/>
      <c r="O149" s="88"/>
      <c r="P149" s="1191">
        <f>SUM(P119:R148)</f>
        <v>0</v>
      </c>
      <c r="Q149" s="1191"/>
      <c r="R149" s="1191"/>
      <c r="S149" s="1191">
        <f>SUM(S119:V148)</f>
        <v>0</v>
      </c>
      <c r="T149" s="1191"/>
      <c r="U149" s="1191"/>
      <c r="V149" s="1192"/>
    </row>
    <row r="150" spans="1:22">
      <c r="A150" s="63"/>
      <c r="B150" s="64"/>
      <c r="C150" s="64"/>
      <c r="D150" s="64"/>
      <c r="E150" s="64"/>
      <c r="F150" s="64"/>
      <c r="G150" s="64"/>
      <c r="H150" s="64"/>
      <c r="I150" s="65"/>
      <c r="J150" s="64"/>
      <c r="K150" s="66"/>
      <c r="L150" s="64"/>
      <c r="M150" s="65"/>
      <c r="N150" s="64"/>
      <c r="O150" s="64"/>
      <c r="P150" s="1193"/>
      <c r="Q150" s="1193"/>
      <c r="R150" s="1193"/>
      <c r="S150" s="1193"/>
      <c r="T150" s="1193"/>
      <c r="U150" s="1193"/>
      <c r="V150" s="1194"/>
    </row>
    <row r="151" spans="1:22">
      <c r="A151" s="67" t="s">
        <v>460</v>
      </c>
      <c r="B151"/>
      <c r="C151"/>
      <c r="D151"/>
      <c r="E151"/>
      <c r="F151"/>
      <c r="G151"/>
      <c r="H151"/>
      <c r="I151" s="68" t="s">
        <v>353</v>
      </c>
      <c r="J151" s="69"/>
      <c r="K151" s="69"/>
      <c r="L151"/>
      <c r="M151" s="68" t="s">
        <v>461</v>
      </c>
      <c r="N151" s="69"/>
      <c r="O151" s="69"/>
      <c r="P151" s="70"/>
      <c r="Q151" s="70"/>
      <c r="R151" s="70"/>
      <c r="S151" s="70"/>
      <c r="T151" s="70"/>
      <c r="U151" s="70"/>
      <c r="V151" s="71"/>
    </row>
    <row r="152" spans="1:22">
      <c r="A152" s="37"/>
      <c r="B152"/>
      <c r="C152"/>
      <c r="D152"/>
      <c r="E152"/>
      <c r="F152"/>
      <c r="G152"/>
      <c r="H152"/>
      <c r="I152" s="72"/>
      <c r="J152"/>
      <c r="K152"/>
      <c r="L152"/>
      <c r="M152" s="72"/>
      <c r="N152"/>
      <c r="O152"/>
      <c r="P152"/>
      <c r="Q152"/>
      <c r="R152"/>
      <c r="S152"/>
      <c r="T152"/>
      <c r="U152"/>
      <c r="V152" s="73"/>
    </row>
    <row r="153" spans="1:22">
      <c r="A153" s="74" t="s">
        <v>462</v>
      </c>
      <c r="B153" s="75"/>
      <c r="C153" s="75"/>
      <c r="D153" s="75"/>
      <c r="E153" s="75"/>
      <c r="F153" s="75"/>
      <c r="G153" s="75"/>
      <c r="H153" s="76"/>
      <c r="I153" s="77" t="s">
        <v>380</v>
      </c>
      <c r="J153" s="75"/>
      <c r="K153" s="75"/>
      <c r="L153" s="76"/>
      <c r="M153" s="77" t="s">
        <v>3</v>
      </c>
      <c r="N153" s="75"/>
      <c r="O153" s="75"/>
      <c r="P153" s="75"/>
      <c r="Q153" s="75"/>
      <c r="R153" s="75"/>
      <c r="S153" s="75"/>
      <c r="T153" s="75"/>
      <c r="U153" s="75"/>
      <c r="V153" s="78"/>
    </row>
    <row r="154" spans="1:22">
      <c r="A154" s="79" t="s">
        <v>463</v>
      </c>
      <c r="B154" s="80"/>
      <c r="C154" s="80"/>
      <c r="D154" s="80"/>
      <c r="E154" s="80"/>
      <c r="F154" s="80"/>
      <c r="G154" s="80"/>
      <c r="H154" s="80"/>
      <c r="I154" s="81" t="s">
        <v>381</v>
      </c>
      <c r="J154" s="80"/>
      <c r="K154" s="80"/>
      <c r="L154" s="80"/>
      <c r="M154" s="81" t="s">
        <v>464</v>
      </c>
      <c r="N154" s="80"/>
      <c r="O154" s="80"/>
      <c r="P154" s="82"/>
      <c r="Q154" s="82"/>
      <c r="R154" s="82"/>
      <c r="S154" s="82"/>
      <c r="T154" s="82"/>
      <c r="U154" s="82"/>
      <c r="V154" s="83"/>
    </row>
    <row r="155" spans="1:22" ht="16.5" thickBot="1">
      <c r="A155" s="84" t="s">
        <v>465</v>
      </c>
      <c r="B155" s="43"/>
      <c r="C155" s="43"/>
      <c r="D155" s="43"/>
      <c r="E155" s="43"/>
      <c r="F155" s="43"/>
      <c r="G155" s="43"/>
      <c r="H155" s="43"/>
      <c r="I155" s="85"/>
      <c r="J155" s="43"/>
      <c r="K155" s="43"/>
      <c r="L155" s="43"/>
      <c r="M155" s="85"/>
      <c r="N155" s="43"/>
      <c r="O155" s="43"/>
      <c r="P155" s="43"/>
      <c r="Q155" s="43"/>
      <c r="R155" s="43"/>
      <c r="S155" s="43"/>
      <c r="T155" s="43"/>
      <c r="U155" s="43"/>
      <c r="V155" s="44"/>
    </row>
    <row r="156" spans="1:22" ht="22.5">
      <c r="A156" s="31" t="s">
        <v>441</v>
      </c>
      <c r="B156" s="32"/>
      <c r="C156" s="32"/>
      <c r="D156" s="32"/>
      <c r="E156" s="32"/>
      <c r="F156" s="32"/>
      <c r="G156" s="32"/>
      <c r="H156" s="32"/>
      <c r="I156" s="32"/>
      <c r="J156" s="32"/>
      <c r="K156" s="32"/>
      <c r="L156" s="32"/>
      <c r="M156" s="32"/>
      <c r="N156" s="32"/>
      <c r="O156" s="32"/>
      <c r="P156" s="32"/>
      <c r="Q156" s="33"/>
      <c r="R156" s="1218">
        <f>+P196-S196</f>
        <v>0</v>
      </c>
      <c r="S156" s="1219"/>
      <c r="T156" s="1219"/>
      <c r="U156" s="1219"/>
      <c r="V156" s="1220"/>
    </row>
    <row r="157" spans="1:22">
      <c r="A157" s="34" t="s">
        <v>442</v>
      </c>
      <c r="B157" s="35"/>
      <c r="C157" s="35"/>
      <c r="D157" s="35"/>
      <c r="E157" s="35"/>
      <c r="F157" s="35"/>
      <c r="G157" s="35"/>
      <c r="H157" s="35"/>
      <c r="I157" s="35"/>
      <c r="J157" s="35"/>
      <c r="K157" s="35"/>
      <c r="L157" s="35"/>
      <c r="M157" s="35"/>
      <c r="N157" s="35"/>
      <c r="O157" s="35"/>
      <c r="P157" s="35"/>
      <c r="Q157" s="36"/>
      <c r="R157" s="37" t="s">
        <v>443</v>
      </c>
      <c r="S157"/>
      <c r="T157" s="1221"/>
      <c r="U157" s="1221"/>
      <c r="V157" s="1222"/>
    </row>
    <row r="158" spans="1:22">
      <c r="A158" s="38" t="s">
        <v>444</v>
      </c>
      <c r="B158" s="35"/>
      <c r="C158" s="35"/>
      <c r="D158" s="35"/>
      <c r="E158" s="35"/>
      <c r="F158" s="35"/>
      <c r="G158" s="35"/>
      <c r="H158" s="35"/>
      <c r="I158" s="35"/>
      <c r="J158" s="35"/>
      <c r="K158" s="35"/>
      <c r="L158" s="35"/>
      <c r="M158" s="35"/>
      <c r="N158" s="35"/>
      <c r="O158" s="35"/>
      <c r="P158" s="35"/>
      <c r="Q158" s="36"/>
      <c r="R158" s="37" t="s">
        <v>0</v>
      </c>
      <c r="S158"/>
      <c r="T158" s="1223">
        <f>IF(T157=0,0,(LOOKUP(T157,CsDJ[JEV Number],CsDJ[Date])))</f>
        <v>0</v>
      </c>
      <c r="U158" s="1223"/>
      <c r="V158" s="1224"/>
    </row>
    <row r="159" spans="1:22" ht="16.5" thickBot="1">
      <c r="A159" s="39"/>
      <c r="B159" s="40"/>
      <c r="C159" s="40"/>
      <c r="D159" s="40"/>
      <c r="E159" s="40"/>
      <c r="F159" s="40"/>
      <c r="G159" s="40"/>
      <c r="H159" s="40"/>
      <c r="I159" s="40"/>
      <c r="J159" s="40"/>
      <c r="K159" s="40"/>
      <c r="L159" s="40"/>
      <c r="M159" s="40"/>
      <c r="N159" s="40"/>
      <c r="O159" s="40"/>
      <c r="P159" s="40"/>
      <c r="Q159" s="41"/>
      <c r="R159" s="42"/>
      <c r="S159" s="43"/>
      <c r="T159" s="43"/>
      <c r="U159" s="43"/>
      <c r="V159" s="44"/>
    </row>
    <row r="160" spans="1:22">
      <c r="A160" s="45"/>
      <c r="B160" s="46"/>
      <c r="C160" s="46"/>
      <c r="D160" s="46"/>
      <c r="E160" s="46"/>
      <c r="F160" s="46"/>
      <c r="G160" s="46"/>
      <c r="H160" s="46"/>
      <c r="I160" s="46"/>
      <c r="J160" s="46"/>
      <c r="K160" s="46"/>
      <c r="L160" s="47"/>
      <c r="M160" s="46"/>
      <c r="N160" s="46"/>
      <c r="O160" s="46"/>
      <c r="P160" s="46"/>
      <c r="Q160" s="46"/>
      <c r="R160" s="46"/>
      <c r="S160" s="46"/>
      <c r="T160" s="46"/>
      <c r="U160" s="46"/>
      <c r="V160" s="48"/>
    </row>
    <row r="161" spans="1:22">
      <c r="A161" s="49"/>
      <c r="B161" s="1225"/>
      <c r="C161" s="1225"/>
      <c r="D161" s="50" t="s">
        <v>445</v>
      </c>
      <c r="H161" s="51"/>
      <c r="I161" s="25" t="s">
        <v>447</v>
      </c>
      <c r="J161" s="132" t="s">
        <v>446</v>
      </c>
      <c r="K161" s="52" t="s">
        <v>448</v>
      </c>
      <c r="L161" s="52"/>
      <c r="Q161" s="1225"/>
      <c r="R161" s="1225"/>
      <c r="S161" s="50" t="s">
        <v>449</v>
      </c>
      <c r="T161" s="50"/>
      <c r="U161" s="50"/>
      <c r="V161" s="53"/>
    </row>
    <row r="162" spans="1:22" ht="16.5" thickBot="1">
      <c r="A162" s="54"/>
      <c r="B162" s="55"/>
      <c r="C162" s="55"/>
      <c r="D162" s="55"/>
      <c r="E162" s="55"/>
      <c r="F162" s="55"/>
      <c r="G162" s="55"/>
      <c r="H162" s="55"/>
      <c r="I162" s="55"/>
      <c r="J162" s="55"/>
      <c r="K162" s="55"/>
      <c r="L162" s="56"/>
      <c r="M162" s="55"/>
      <c r="N162" s="55"/>
      <c r="O162" s="55"/>
      <c r="P162" s="55"/>
      <c r="Q162" s="55"/>
      <c r="R162" s="55"/>
      <c r="S162" s="55"/>
      <c r="T162" s="55"/>
      <c r="U162" s="55"/>
      <c r="V162" s="57"/>
    </row>
    <row r="163" spans="1:22">
      <c r="A163" s="1226" t="s">
        <v>397</v>
      </c>
      <c r="B163" s="1227"/>
      <c r="C163" s="1227"/>
      <c r="D163" s="1228"/>
      <c r="E163" s="1235" t="s">
        <v>450</v>
      </c>
      <c r="F163" s="1235"/>
      <c r="G163" s="1235"/>
      <c r="H163" s="1235"/>
      <c r="I163" s="1235"/>
      <c r="J163" s="1235"/>
      <c r="K163" s="1235"/>
      <c r="L163" s="1235"/>
      <c r="M163" s="1235"/>
      <c r="N163" s="1235"/>
      <c r="O163" s="1235"/>
      <c r="P163" s="1235"/>
      <c r="Q163" s="1235"/>
      <c r="R163" s="1235"/>
      <c r="S163" s="1235"/>
      <c r="T163" s="1235"/>
      <c r="U163" s="1235"/>
      <c r="V163" s="1236"/>
    </row>
    <row r="164" spans="1:22">
      <c r="A164" s="1229"/>
      <c r="B164" s="1230"/>
      <c r="C164" s="1230"/>
      <c r="D164" s="1231"/>
      <c r="E164" s="1237" t="s">
        <v>451</v>
      </c>
      <c r="F164" s="1237"/>
      <c r="G164" s="1237"/>
      <c r="H164" s="1237"/>
      <c r="I164" s="1237"/>
      <c r="J164" s="1237"/>
      <c r="K164" s="1239" t="s">
        <v>378</v>
      </c>
      <c r="L164" s="1239"/>
      <c r="M164" s="1237" t="s">
        <v>452</v>
      </c>
      <c r="N164" s="1240" t="s">
        <v>453</v>
      </c>
      <c r="O164" s="1241"/>
      <c r="P164" s="1241"/>
      <c r="Q164" s="1241"/>
      <c r="R164" s="1241"/>
      <c r="S164" s="1241"/>
      <c r="T164" s="1241"/>
      <c r="U164" s="1241"/>
      <c r="V164" s="1242"/>
    </row>
    <row r="165" spans="1:22" ht="16.5" customHeight="1" thickBot="1">
      <c r="A165" s="1232"/>
      <c r="B165" s="1233"/>
      <c r="C165" s="1233"/>
      <c r="D165" s="1234"/>
      <c r="E165" s="1238"/>
      <c r="F165" s="1238"/>
      <c r="G165" s="1238"/>
      <c r="H165" s="1238"/>
      <c r="I165" s="1238"/>
      <c r="J165" s="1238"/>
      <c r="K165" s="58" t="s">
        <v>454</v>
      </c>
      <c r="L165" s="58" t="s">
        <v>455</v>
      </c>
      <c r="M165" s="1238"/>
      <c r="N165" s="87" t="s">
        <v>466</v>
      </c>
      <c r="O165" s="87" t="s">
        <v>467</v>
      </c>
      <c r="P165" s="1243" t="s">
        <v>1</v>
      </c>
      <c r="Q165" s="1244"/>
      <c r="R165" s="1245"/>
      <c r="S165" s="1243" t="s">
        <v>2</v>
      </c>
      <c r="T165" s="1244"/>
      <c r="U165" s="1244"/>
      <c r="V165" s="1246"/>
    </row>
    <row r="166" spans="1:22" ht="19.5">
      <c r="A166" s="1210">
        <f>P196-S196</f>
        <v>0</v>
      </c>
      <c r="B166" s="1211"/>
      <c r="C166" s="1211"/>
      <c r="D166" s="1211"/>
      <c r="E166" s="1212" t="str">
        <f>Account!$G$1</f>
        <v>FUND 501 CARP</v>
      </c>
      <c r="F166" s="1213"/>
      <c r="G166" s="1213"/>
      <c r="H166" s="1213"/>
      <c r="I166" s="1213"/>
      <c r="J166" s="1214"/>
      <c r="K166" s="59"/>
      <c r="L166" s="59"/>
      <c r="M166" s="60"/>
      <c r="N166" s="60"/>
      <c r="O166" s="60"/>
      <c r="P166" s="1215"/>
      <c r="Q166" s="1215"/>
      <c r="R166" s="1215"/>
      <c r="S166" s="1215"/>
      <c r="T166" s="1215"/>
      <c r="U166" s="1215"/>
      <c r="V166" s="1216"/>
    </row>
    <row r="167" spans="1:22">
      <c r="A167" s="1195"/>
      <c r="B167" s="1196"/>
      <c r="C167" s="1196"/>
      <c r="D167" s="1196"/>
      <c r="E167" s="1196"/>
      <c r="F167" s="1196"/>
      <c r="G167" s="1196"/>
      <c r="H167" s="1196"/>
      <c r="I167" s="1196"/>
      <c r="J167" s="1196"/>
      <c r="K167" s="61"/>
      <c r="L167" s="61"/>
      <c r="M167" s="14"/>
      <c r="N167" s="14"/>
      <c r="O167" s="14"/>
      <c r="P167" s="1196"/>
      <c r="Q167" s="1196"/>
      <c r="R167" s="1196"/>
      <c r="S167" s="1196"/>
      <c r="T167" s="1196"/>
      <c r="U167" s="1196"/>
      <c r="V167" s="1217"/>
    </row>
    <row r="168" spans="1:22">
      <c r="A168" s="1195"/>
      <c r="B168" s="1196"/>
      <c r="C168" s="1196"/>
      <c r="D168" s="1196"/>
      <c r="E168" s="1197" t="str">
        <f t="shared" ref="E168:E190" si="12">IF(K168=0,"",(VLOOKUP((TRIM(K168)),Code,2,)))</f>
        <v/>
      </c>
      <c r="F168" s="1198"/>
      <c r="G168" s="1198"/>
      <c r="H168" s="1198"/>
      <c r="I168" s="1198"/>
      <c r="J168" s="1199"/>
      <c r="K168" s="133"/>
      <c r="L168" s="62" t="str">
        <f t="shared" ref="L168:L195" si="13">IF(K168=0,"",VLOOKUP((TRIM(K168)),Code,3,))</f>
        <v/>
      </c>
      <c r="M168" s="14"/>
      <c r="N168" s="89">
        <f t="array" ref="N168">SUM(IF((CsDJ[JEV Number]=TRIM($T157))*(CsDJ[Account Code]=TRIM(K168)),CsDJ[Debit]))</f>
        <v>0</v>
      </c>
      <c r="O168" s="89">
        <f t="array" ref="O168">SUM(IF((CsDJ[JEV Number]=TRIM($T157))*(CsDJ[Account Code]=TRIM(K168)),CsDJ[Credit]))</f>
        <v>0</v>
      </c>
      <c r="P168" s="1200">
        <f>N168</f>
        <v>0</v>
      </c>
      <c r="Q168" s="1200"/>
      <c r="R168" s="1200"/>
      <c r="S168" s="1200">
        <f>O168</f>
        <v>0</v>
      </c>
      <c r="T168" s="1200"/>
      <c r="U168" s="1200"/>
      <c r="V168" s="1201"/>
    </row>
    <row r="169" spans="1:22">
      <c r="A169" s="1195"/>
      <c r="B169" s="1196"/>
      <c r="C169" s="1196"/>
      <c r="D169" s="1196"/>
      <c r="E169" s="1197" t="str">
        <f t="shared" si="12"/>
        <v/>
      </c>
      <c r="F169" s="1198"/>
      <c r="G169" s="1198"/>
      <c r="H169" s="1198"/>
      <c r="I169" s="1198"/>
      <c r="J169" s="1199"/>
      <c r="K169" s="133"/>
      <c r="L169" s="62" t="str">
        <f t="shared" si="13"/>
        <v/>
      </c>
      <c r="M169" s="14"/>
      <c r="N169" s="89">
        <f t="array" ref="N169">SUM(IF((CsDJ[JEV Number]=TRIM($T157))*(CsDJ[Account Code]=TRIM(K169)),CsDJ[Debit]))</f>
        <v>0</v>
      </c>
      <c r="O169" s="89">
        <f t="array" ref="O169">SUM(IF((CsDJ[JEV Number]=TRIM($T157))*(CsDJ[Account Code]=TRIM(K169)),CsDJ[Credit]))</f>
        <v>0</v>
      </c>
      <c r="P169" s="1200">
        <f>N169</f>
        <v>0</v>
      </c>
      <c r="Q169" s="1200"/>
      <c r="R169" s="1200"/>
      <c r="S169" s="1200">
        <f>O169</f>
        <v>0</v>
      </c>
      <c r="T169" s="1200"/>
      <c r="U169" s="1200"/>
      <c r="V169" s="1201"/>
    </row>
    <row r="170" spans="1:22">
      <c r="A170" s="1195"/>
      <c r="B170" s="1196"/>
      <c r="C170" s="1196"/>
      <c r="D170" s="1196"/>
      <c r="E170" s="1197" t="str">
        <f t="shared" si="12"/>
        <v/>
      </c>
      <c r="F170" s="1198"/>
      <c r="G170" s="1198"/>
      <c r="H170" s="1198"/>
      <c r="I170" s="1198"/>
      <c r="J170" s="1199"/>
      <c r="K170" s="133"/>
      <c r="L170" s="62" t="str">
        <f t="shared" si="13"/>
        <v/>
      </c>
      <c r="M170" s="14"/>
      <c r="N170" s="89">
        <f t="array" ref="N170">SUM(IF((CsDJ[JEV Number]=TRIM($T157))*(CsDJ[Account Code]=TRIM(K170)),CsDJ[Debit]))</f>
        <v>0</v>
      </c>
      <c r="O170" s="89">
        <f t="array" ref="O170">SUM(IF((CsDJ[JEV Number]=TRIM($T157))*(CsDJ[Account Code]=TRIM(K170)),CsDJ[Credit]))</f>
        <v>0</v>
      </c>
      <c r="P170" s="1200">
        <f t="shared" ref="P170:P195" si="14">N170</f>
        <v>0</v>
      </c>
      <c r="Q170" s="1200"/>
      <c r="R170" s="1200"/>
      <c r="S170" s="1200">
        <f t="shared" ref="S170:S195" si="15">O170</f>
        <v>0</v>
      </c>
      <c r="T170" s="1200"/>
      <c r="U170" s="1200"/>
      <c r="V170" s="1201"/>
    </row>
    <row r="171" spans="1:22">
      <c r="A171" s="1195"/>
      <c r="B171" s="1196"/>
      <c r="C171" s="1196"/>
      <c r="D171" s="1196"/>
      <c r="E171" s="1197" t="str">
        <f t="shared" si="12"/>
        <v/>
      </c>
      <c r="F171" s="1198"/>
      <c r="G171" s="1198"/>
      <c r="H171" s="1198"/>
      <c r="I171" s="1198"/>
      <c r="J171" s="1199"/>
      <c r="K171" s="133"/>
      <c r="L171" s="62" t="str">
        <f t="shared" si="13"/>
        <v/>
      </c>
      <c r="M171" s="14"/>
      <c r="N171" s="89">
        <f t="array" ref="N171">SUM(IF((CsDJ[JEV Number]=TRIM($T157))*(CsDJ[Account Code]=TRIM(K171)),CsDJ[Debit]))</f>
        <v>0</v>
      </c>
      <c r="O171" s="89">
        <f t="array" ref="O171">SUM(IF((CsDJ[JEV Number]=TRIM($T157))*(CsDJ[Account Code]=TRIM(K171)),CsDJ[Credit]))</f>
        <v>0</v>
      </c>
      <c r="P171" s="1200">
        <f t="shared" si="14"/>
        <v>0</v>
      </c>
      <c r="Q171" s="1200"/>
      <c r="R171" s="1200"/>
      <c r="S171" s="1200">
        <f t="shared" si="15"/>
        <v>0</v>
      </c>
      <c r="T171" s="1200"/>
      <c r="U171" s="1200"/>
      <c r="V171" s="1201"/>
    </row>
    <row r="172" spans="1:22">
      <c r="A172" s="1195"/>
      <c r="B172" s="1196"/>
      <c r="C172" s="1196"/>
      <c r="D172" s="1196"/>
      <c r="E172" s="1197" t="str">
        <f t="shared" si="12"/>
        <v/>
      </c>
      <c r="F172" s="1198"/>
      <c r="G172" s="1198"/>
      <c r="H172" s="1198"/>
      <c r="I172" s="1198"/>
      <c r="J172" s="1199"/>
      <c r="K172" s="133"/>
      <c r="L172" s="62" t="str">
        <f t="shared" si="13"/>
        <v/>
      </c>
      <c r="M172" s="14"/>
      <c r="N172" s="89">
        <f t="array" ref="N172">SUM(IF((CsDJ[JEV Number]=TRIM($T157))*(CsDJ[Account Code]=TRIM(K172)),CsDJ[Debit]))</f>
        <v>0</v>
      </c>
      <c r="O172" s="89">
        <f t="array" ref="O172">SUM(IF((CsDJ[JEV Number]=TRIM($T157))*(CsDJ[Account Code]=TRIM(K172)),CsDJ[Credit]))</f>
        <v>0</v>
      </c>
      <c r="P172" s="1200">
        <f t="shared" si="14"/>
        <v>0</v>
      </c>
      <c r="Q172" s="1200"/>
      <c r="R172" s="1200"/>
      <c r="S172" s="1200">
        <f t="shared" si="15"/>
        <v>0</v>
      </c>
      <c r="T172" s="1200"/>
      <c r="U172" s="1200"/>
      <c r="V172" s="1201"/>
    </row>
    <row r="173" spans="1:22">
      <c r="A173" s="1195"/>
      <c r="B173" s="1196"/>
      <c r="C173" s="1196"/>
      <c r="D173" s="1196"/>
      <c r="E173" s="1197" t="str">
        <f t="shared" si="12"/>
        <v/>
      </c>
      <c r="F173" s="1198"/>
      <c r="G173" s="1198"/>
      <c r="H173" s="1198"/>
      <c r="I173" s="1198"/>
      <c r="J173" s="1199"/>
      <c r="K173" s="133"/>
      <c r="L173" s="62" t="str">
        <f t="shared" si="13"/>
        <v/>
      </c>
      <c r="M173" s="14"/>
      <c r="N173" s="89">
        <f t="array" ref="N173">SUM(IF((CsDJ[JEV Number]=TRIM($T157))*(CsDJ[Account Code]=TRIM(K173)),CsDJ[Debit]))</f>
        <v>0</v>
      </c>
      <c r="O173" s="89">
        <f t="array" ref="O173">SUM(IF((CsDJ[JEV Number]=TRIM($T157))*(CsDJ[Account Code]=TRIM(K173)),CsDJ[Credit]))</f>
        <v>0</v>
      </c>
      <c r="P173" s="1200">
        <f t="shared" si="14"/>
        <v>0</v>
      </c>
      <c r="Q173" s="1200"/>
      <c r="R173" s="1200"/>
      <c r="S173" s="1200">
        <f t="shared" si="15"/>
        <v>0</v>
      </c>
      <c r="T173" s="1200"/>
      <c r="U173" s="1200"/>
      <c r="V173" s="1201"/>
    </row>
    <row r="174" spans="1:22">
      <c r="A174" s="1195"/>
      <c r="B174" s="1196"/>
      <c r="C174" s="1196"/>
      <c r="D174" s="1196"/>
      <c r="E174" s="1197" t="str">
        <f t="shared" si="12"/>
        <v/>
      </c>
      <c r="F174" s="1198"/>
      <c r="G174" s="1198"/>
      <c r="H174" s="1198"/>
      <c r="I174" s="1198"/>
      <c r="J174" s="1199"/>
      <c r="K174" s="133"/>
      <c r="L174" s="62" t="str">
        <f t="shared" si="13"/>
        <v/>
      </c>
      <c r="M174" s="14"/>
      <c r="N174" s="89">
        <f t="array" ref="N174">SUM(IF((CsDJ[JEV Number]=TRIM($T157))*(CsDJ[Account Code]=TRIM(K174)),CsDJ[Debit]))</f>
        <v>0</v>
      </c>
      <c r="O174" s="89">
        <f t="array" ref="O174">SUM(IF((CsDJ[JEV Number]=TRIM($T157))*(CsDJ[Account Code]=TRIM(K174)),CsDJ[Credit]))</f>
        <v>0</v>
      </c>
      <c r="P174" s="1200">
        <f t="shared" si="14"/>
        <v>0</v>
      </c>
      <c r="Q174" s="1200"/>
      <c r="R174" s="1200"/>
      <c r="S174" s="1200">
        <f t="shared" si="15"/>
        <v>0</v>
      </c>
      <c r="T174" s="1200"/>
      <c r="U174" s="1200"/>
      <c r="V174" s="1201"/>
    </row>
    <row r="175" spans="1:22">
      <c r="A175" s="1195"/>
      <c r="B175" s="1196"/>
      <c r="C175" s="1196"/>
      <c r="D175" s="1196"/>
      <c r="E175" s="1197" t="str">
        <f t="shared" si="12"/>
        <v/>
      </c>
      <c r="F175" s="1198"/>
      <c r="G175" s="1198"/>
      <c r="H175" s="1198"/>
      <c r="I175" s="1198"/>
      <c r="J175" s="1199"/>
      <c r="K175" s="133"/>
      <c r="L175" s="62" t="str">
        <f t="shared" si="13"/>
        <v/>
      </c>
      <c r="M175" s="14"/>
      <c r="N175" s="89">
        <f t="array" ref="N175">SUM(IF((CsDJ[JEV Number]=TRIM($T157))*(CsDJ[Account Code]=TRIM(K175)),CsDJ[Debit]))</f>
        <v>0</v>
      </c>
      <c r="O175" s="89">
        <f t="array" ref="O175">SUM(IF((CsDJ[JEV Number]=TRIM($T157))*(CsDJ[Account Code]=TRIM(K175)),CsDJ[Credit]))</f>
        <v>0</v>
      </c>
      <c r="P175" s="1200">
        <f t="shared" si="14"/>
        <v>0</v>
      </c>
      <c r="Q175" s="1200"/>
      <c r="R175" s="1200"/>
      <c r="S175" s="1200">
        <f t="shared" si="15"/>
        <v>0</v>
      </c>
      <c r="T175" s="1200"/>
      <c r="U175" s="1200"/>
      <c r="V175" s="1201"/>
    </row>
    <row r="176" spans="1:22">
      <c r="A176" s="1195"/>
      <c r="B176" s="1196"/>
      <c r="C176" s="1196"/>
      <c r="D176" s="1196"/>
      <c r="E176" s="1197" t="str">
        <f t="shared" si="12"/>
        <v/>
      </c>
      <c r="F176" s="1198"/>
      <c r="G176" s="1198"/>
      <c r="H176" s="1198"/>
      <c r="I176" s="1198"/>
      <c r="J176" s="1199"/>
      <c r="K176" s="134"/>
      <c r="L176" s="62" t="str">
        <f t="shared" si="13"/>
        <v/>
      </c>
      <c r="M176" s="14"/>
      <c r="N176" s="89">
        <f t="array" ref="N176">SUM(IF((CsDJ[JEV Number]=TRIM($T157))*(CsDJ[Account Code]=TRIM(K176)),CsDJ[Debit]))</f>
        <v>0</v>
      </c>
      <c r="O176" s="89">
        <f t="array" ref="O176">SUM(IF((CsDJ[JEV Number]=TRIM($T157))*(CsDJ[Account Code]=TRIM(K176)),CsDJ[Credit]))</f>
        <v>0</v>
      </c>
      <c r="P176" s="1200">
        <f t="shared" si="14"/>
        <v>0</v>
      </c>
      <c r="Q176" s="1200"/>
      <c r="R176" s="1200"/>
      <c r="S176" s="1200">
        <f t="shared" si="15"/>
        <v>0</v>
      </c>
      <c r="T176" s="1200"/>
      <c r="U176" s="1200"/>
      <c r="V176" s="1201"/>
    </row>
    <row r="177" spans="1:22">
      <c r="A177" s="1195"/>
      <c r="B177" s="1196"/>
      <c r="C177" s="1196"/>
      <c r="D177" s="1196"/>
      <c r="E177" s="1197" t="str">
        <f t="shared" si="12"/>
        <v/>
      </c>
      <c r="F177" s="1198"/>
      <c r="G177" s="1198"/>
      <c r="H177" s="1198"/>
      <c r="I177" s="1198"/>
      <c r="J177" s="1199"/>
      <c r="K177" s="134"/>
      <c r="L177" s="62" t="str">
        <f t="shared" si="13"/>
        <v/>
      </c>
      <c r="M177" s="14"/>
      <c r="N177" s="89">
        <f t="array" ref="N177">SUM(IF((CsDJ[JEV Number]=TRIM($T157))*(CsDJ[Account Code]=TRIM(K177)),CsDJ[Debit]))</f>
        <v>0</v>
      </c>
      <c r="O177" s="89">
        <f t="array" ref="O177">SUM(IF((CsDJ[JEV Number]=TRIM($T157))*(CsDJ[Account Code]=TRIM(K177)),CsDJ[Credit]))</f>
        <v>0</v>
      </c>
      <c r="P177" s="1200">
        <f t="shared" si="14"/>
        <v>0</v>
      </c>
      <c r="Q177" s="1200"/>
      <c r="R177" s="1200"/>
      <c r="S177" s="1200">
        <f t="shared" si="15"/>
        <v>0</v>
      </c>
      <c r="T177" s="1200"/>
      <c r="U177" s="1200"/>
      <c r="V177" s="1201"/>
    </row>
    <row r="178" spans="1:22">
      <c r="A178" s="1195"/>
      <c r="B178" s="1196"/>
      <c r="C178" s="1196"/>
      <c r="D178" s="1196"/>
      <c r="E178" s="1197" t="str">
        <f t="shared" si="12"/>
        <v/>
      </c>
      <c r="F178" s="1198"/>
      <c r="G178" s="1198"/>
      <c r="H178" s="1198"/>
      <c r="I178" s="1198"/>
      <c r="J178" s="1199"/>
      <c r="K178" s="134"/>
      <c r="L178" s="62" t="str">
        <f t="shared" si="13"/>
        <v/>
      </c>
      <c r="M178" s="14"/>
      <c r="N178" s="89">
        <f t="array" ref="N178">SUM(IF((CsDJ[JEV Number]=TRIM($T157))*(CsDJ[Account Code]=TRIM(K178)),CsDJ[Debit]))</f>
        <v>0</v>
      </c>
      <c r="O178" s="89">
        <f t="array" ref="O178">SUM(IF((CsDJ[JEV Number]=TRIM($T157))*(CsDJ[Account Code]=TRIM(K178)),CsDJ[Credit]))</f>
        <v>0</v>
      </c>
      <c r="P178" s="1200">
        <f t="shared" si="14"/>
        <v>0</v>
      </c>
      <c r="Q178" s="1200"/>
      <c r="R178" s="1200"/>
      <c r="S178" s="1200">
        <f t="shared" si="15"/>
        <v>0</v>
      </c>
      <c r="T178" s="1200"/>
      <c r="U178" s="1200"/>
      <c r="V178" s="1201"/>
    </row>
    <row r="179" spans="1:22">
      <c r="A179" s="1195"/>
      <c r="B179" s="1196"/>
      <c r="C179" s="1196"/>
      <c r="D179" s="1196"/>
      <c r="E179" s="1197" t="str">
        <f t="shared" si="12"/>
        <v/>
      </c>
      <c r="F179" s="1198"/>
      <c r="G179" s="1198"/>
      <c r="H179" s="1198"/>
      <c r="I179" s="1198"/>
      <c r="J179" s="1199"/>
      <c r="K179" s="134"/>
      <c r="L179" s="62" t="str">
        <f t="shared" si="13"/>
        <v/>
      </c>
      <c r="M179" s="14"/>
      <c r="N179" s="89">
        <f t="array" ref="N179">SUM(IF((CsDJ[JEV Number]=TRIM($T157))*(CsDJ[Account Code]=TRIM(K179)),CsDJ[Debit]))</f>
        <v>0</v>
      </c>
      <c r="O179" s="89">
        <f t="array" ref="O179">SUM(IF((CsDJ[JEV Number]=TRIM($T157))*(CsDJ[Account Code]=TRIM(K179)),CsDJ[Credit]))</f>
        <v>0</v>
      </c>
      <c r="P179" s="1200">
        <f t="shared" si="14"/>
        <v>0</v>
      </c>
      <c r="Q179" s="1200"/>
      <c r="R179" s="1200"/>
      <c r="S179" s="1200">
        <f t="shared" si="15"/>
        <v>0</v>
      </c>
      <c r="T179" s="1200"/>
      <c r="U179" s="1200"/>
      <c r="V179" s="1201"/>
    </row>
    <row r="180" spans="1:22">
      <c r="A180" s="1195"/>
      <c r="B180" s="1196"/>
      <c r="C180" s="1196"/>
      <c r="D180" s="1196"/>
      <c r="E180" s="1197" t="str">
        <f t="shared" si="12"/>
        <v/>
      </c>
      <c r="F180" s="1198"/>
      <c r="G180" s="1198"/>
      <c r="H180" s="1198"/>
      <c r="I180" s="1198"/>
      <c r="J180" s="1199"/>
      <c r="K180" s="134"/>
      <c r="L180" s="62" t="str">
        <f t="shared" si="13"/>
        <v/>
      </c>
      <c r="M180" s="14"/>
      <c r="N180" s="89">
        <f t="array" ref="N180">SUM(IF((CsDJ[JEV Number]=TRIM($T157))*(CsDJ[Account Code]=TRIM(K180)),CsDJ[Debit]))</f>
        <v>0</v>
      </c>
      <c r="O180" s="89">
        <f t="array" ref="O180">SUM(IF((CsDJ[JEV Number]=TRIM($T157))*(CsDJ[Account Code]=TRIM(K180)),CsDJ[Credit]))</f>
        <v>0</v>
      </c>
      <c r="P180" s="1200">
        <f t="shared" si="14"/>
        <v>0</v>
      </c>
      <c r="Q180" s="1200"/>
      <c r="R180" s="1200"/>
      <c r="S180" s="1200">
        <f t="shared" si="15"/>
        <v>0</v>
      </c>
      <c r="T180" s="1200"/>
      <c r="U180" s="1200"/>
      <c r="V180" s="1201"/>
    </row>
    <row r="181" spans="1:22">
      <c r="A181" s="1195"/>
      <c r="B181" s="1196"/>
      <c r="C181" s="1196"/>
      <c r="D181" s="1196"/>
      <c r="E181" s="1197" t="str">
        <f t="shared" si="12"/>
        <v/>
      </c>
      <c r="F181" s="1198"/>
      <c r="G181" s="1198"/>
      <c r="H181" s="1198"/>
      <c r="I181" s="1198"/>
      <c r="J181" s="1199"/>
      <c r="K181" s="134"/>
      <c r="L181" s="62" t="str">
        <f t="shared" si="13"/>
        <v/>
      </c>
      <c r="M181" s="14"/>
      <c r="N181" s="89">
        <f t="array" ref="N181">SUM(IF((CsDJ[JEV Number]=TRIM($T157))*(CsDJ[Account Code]=TRIM(K181)),CsDJ[Debit]))</f>
        <v>0</v>
      </c>
      <c r="O181" s="89">
        <f t="array" ref="O181">SUM(IF((CsDJ[JEV Number]=TRIM($T157))*(CsDJ[Account Code]=TRIM(K181)),CsDJ[Credit]))</f>
        <v>0</v>
      </c>
      <c r="P181" s="1200">
        <f t="shared" si="14"/>
        <v>0</v>
      </c>
      <c r="Q181" s="1200"/>
      <c r="R181" s="1200"/>
      <c r="S181" s="1200">
        <f t="shared" si="15"/>
        <v>0</v>
      </c>
      <c r="T181" s="1200"/>
      <c r="U181" s="1200"/>
      <c r="V181" s="1201"/>
    </row>
    <row r="182" spans="1:22">
      <c r="A182" s="1195"/>
      <c r="B182" s="1196"/>
      <c r="C182" s="1196"/>
      <c r="D182" s="1196"/>
      <c r="E182" s="1197" t="str">
        <f t="shared" si="12"/>
        <v/>
      </c>
      <c r="F182" s="1198"/>
      <c r="G182" s="1198"/>
      <c r="H182" s="1198"/>
      <c r="I182" s="1198"/>
      <c r="J182" s="1199"/>
      <c r="K182" s="134"/>
      <c r="L182" s="62" t="str">
        <f t="shared" si="13"/>
        <v/>
      </c>
      <c r="M182" s="14"/>
      <c r="N182" s="89">
        <f t="array" ref="N182">SUM(IF((CsDJ[JEV Number]=TRIM($T157))*(CsDJ[Account Code]=TRIM(K182)),CsDJ[Debit]))</f>
        <v>0</v>
      </c>
      <c r="O182" s="89">
        <f t="array" ref="O182">SUM(IF((CsDJ[JEV Number]=TRIM($T157))*(CsDJ[Account Code]=TRIM(K182)),CsDJ[Credit]))</f>
        <v>0</v>
      </c>
      <c r="P182" s="1200">
        <f t="shared" si="14"/>
        <v>0</v>
      </c>
      <c r="Q182" s="1200"/>
      <c r="R182" s="1200"/>
      <c r="S182" s="1200">
        <f t="shared" si="15"/>
        <v>0</v>
      </c>
      <c r="T182" s="1200"/>
      <c r="U182" s="1200"/>
      <c r="V182" s="1201"/>
    </row>
    <row r="183" spans="1:22">
      <c r="A183" s="1195"/>
      <c r="B183" s="1196"/>
      <c r="C183" s="1196"/>
      <c r="D183" s="1196"/>
      <c r="E183" s="1197" t="str">
        <f t="shared" si="12"/>
        <v/>
      </c>
      <c r="F183" s="1198"/>
      <c r="G183" s="1198"/>
      <c r="H183" s="1198"/>
      <c r="I183" s="1198"/>
      <c r="J183" s="1199"/>
      <c r="K183" s="134"/>
      <c r="L183" s="62" t="str">
        <f t="shared" si="13"/>
        <v/>
      </c>
      <c r="M183" s="14"/>
      <c r="N183" s="89">
        <f t="array" ref="N183">SUM(IF((CsDJ[JEV Number]=TRIM($T157))*(CsDJ[Account Code]=TRIM(K183)),CsDJ[Debit]))</f>
        <v>0</v>
      </c>
      <c r="O183" s="89">
        <f t="array" ref="O183">SUM(IF((CsDJ[JEV Number]=TRIM($T157))*(CsDJ[Account Code]=TRIM(K183)),CsDJ[Credit]))</f>
        <v>0</v>
      </c>
      <c r="P183" s="1200">
        <f t="shared" si="14"/>
        <v>0</v>
      </c>
      <c r="Q183" s="1200"/>
      <c r="R183" s="1200"/>
      <c r="S183" s="1200">
        <f t="shared" si="15"/>
        <v>0</v>
      </c>
      <c r="T183" s="1200"/>
      <c r="U183" s="1200"/>
      <c r="V183" s="1201"/>
    </row>
    <row r="184" spans="1:22">
      <c r="A184" s="1195"/>
      <c r="B184" s="1196"/>
      <c r="C184" s="1196"/>
      <c r="D184" s="1196"/>
      <c r="E184" s="1197" t="str">
        <f t="shared" si="12"/>
        <v/>
      </c>
      <c r="F184" s="1198"/>
      <c r="G184" s="1198"/>
      <c r="H184" s="1198"/>
      <c r="I184" s="1198"/>
      <c r="J184" s="1199"/>
      <c r="K184" s="134"/>
      <c r="L184" s="62" t="str">
        <f t="shared" si="13"/>
        <v/>
      </c>
      <c r="M184" s="14"/>
      <c r="N184" s="89">
        <f t="array" ref="N184">SUM(IF((CsDJ[JEV Number]=TRIM($T157))*(CsDJ[Account Code]=TRIM(K184)),CsDJ[Debit]))</f>
        <v>0</v>
      </c>
      <c r="O184" s="89">
        <f t="array" ref="O184">SUM(IF((CsDJ[JEV Number]=TRIM($T157))*(CsDJ[Account Code]=TRIM(K184)),CsDJ[Credit]))</f>
        <v>0</v>
      </c>
      <c r="P184" s="1200">
        <f t="shared" si="14"/>
        <v>0</v>
      </c>
      <c r="Q184" s="1200"/>
      <c r="R184" s="1200"/>
      <c r="S184" s="1200">
        <f t="shared" si="15"/>
        <v>0</v>
      </c>
      <c r="T184" s="1200"/>
      <c r="U184" s="1200"/>
      <c r="V184" s="1201"/>
    </row>
    <row r="185" spans="1:22">
      <c r="A185" s="1195"/>
      <c r="B185" s="1196"/>
      <c r="C185" s="1196"/>
      <c r="D185" s="1196"/>
      <c r="E185" s="1197" t="str">
        <f t="shared" si="12"/>
        <v/>
      </c>
      <c r="F185" s="1198"/>
      <c r="G185" s="1198"/>
      <c r="H185" s="1198"/>
      <c r="I185" s="1198"/>
      <c r="J185" s="1199"/>
      <c r="K185" s="134"/>
      <c r="L185" s="62" t="str">
        <f t="shared" si="13"/>
        <v/>
      </c>
      <c r="M185" s="14"/>
      <c r="N185" s="89">
        <f t="array" ref="N185">SUM(IF((CsDJ[JEV Number]=TRIM($T157))*(CsDJ[Account Code]=TRIM(K185)),CsDJ[Debit]))</f>
        <v>0</v>
      </c>
      <c r="O185" s="89">
        <f t="array" ref="O185">SUM(IF((CsDJ[JEV Number]=TRIM($T157))*(CsDJ[Account Code]=TRIM(K185)),CsDJ[Credit]))</f>
        <v>0</v>
      </c>
      <c r="P185" s="1200">
        <f t="shared" si="14"/>
        <v>0</v>
      </c>
      <c r="Q185" s="1200"/>
      <c r="R185" s="1200"/>
      <c r="S185" s="1200">
        <f t="shared" si="15"/>
        <v>0</v>
      </c>
      <c r="T185" s="1200"/>
      <c r="U185" s="1200"/>
      <c r="V185" s="1201"/>
    </row>
    <row r="186" spans="1:22">
      <c r="A186" s="1195"/>
      <c r="B186" s="1196"/>
      <c r="C186" s="1196"/>
      <c r="D186" s="1196"/>
      <c r="E186" s="1197" t="str">
        <f t="shared" si="12"/>
        <v/>
      </c>
      <c r="F186" s="1198"/>
      <c r="G186" s="1198"/>
      <c r="H186" s="1198"/>
      <c r="I186" s="1198"/>
      <c r="J186" s="1199"/>
      <c r="K186" s="134"/>
      <c r="L186" s="62" t="str">
        <f t="shared" si="13"/>
        <v/>
      </c>
      <c r="M186" s="14"/>
      <c r="N186" s="89">
        <f t="array" ref="N186">SUM(IF((CsDJ[JEV Number]=TRIM($T157))*(CsDJ[Account Code]=TRIM(K186)),CsDJ[Debit]))</f>
        <v>0</v>
      </c>
      <c r="O186" s="89">
        <f t="array" ref="O186">SUM(IF((CsDJ[JEV Number]=TRIM($T157))*(CsDJ[Account Code]=TRIM(K186)),CsDJ[Credit]))</f>
        <v>0</v>
      </c>
      <c r="P186" s="1200">
        <f t="shared" si="14"/>
        <v>0</v>
      </c>
      <c r="Q186" s="1200"/>
      <c r="R186" s="1200"/>
      <c r="S186" s="1200">
        <f t="shared" si="15"/>
        <v>0</v>
      </c>
      <c r="T186" s="1200"/>
      <c r="U186" s="1200"/>
      <c r="V186" s="1201"/>
    </row>
    <row r="187" spans="1:22">
      <c r="A187" s="1195"/>
      <c r="B187" s="1196"/>
      <c r="C187" s="1196"/>
      <c r="D187" s="1196"/>
      <c r="E187" s="1197" t="str">
        <f t="shared" si="12"/>
        <v/>
      </c>
      <c r="F187" s="1198"/>
      <c r="G187" s="1198"/>
      <c r="H187" s="1198"/>
      <c r="I187" s="1198"/>
      <c r="J187" s="1199"/>
      <c r="K187" s="134"/>
      <c r="L187" s="62" t="str">
        <f t="shared" si="13"/>
        <v/>
      </c>
      <c r="M187" s="14"/>
      <c r="N187" s="89">
        <f t="array" ref="N187">SUM(IF((CsDJ[JEV Number]=TRIM($T157))*(CsDJ[Account Code]=TRIM(K187)),CsDJ[Debit]))</f>
        <v>0</v>
      </c>
      <c r="O187" s="89">
        <f t="array" ref="O187">SUM(IF((CsDJ[JEV Number]=TRIM($T157))*(CsDJ[Account Code]=TRIM(K187)),CsDJ[Credit]))</f>
        <v>0</v>
      </c>
      <c r="P187" s="1200">
        <f t="shared" si="14"/>
        <v>0</v>
      </c>
      <c r="Q187" s="1200"/>
      <c r="R187" s="1200"/>
      <c r="S187" s="1200">
        <f t="shared" si="15"/>
        <v>0</v>
      </c>
      <c r="T187" s="1200"/>
      <c r="U187" s="1200"/>
      <c r="V187" s="1201"/>
    </row>
    <row r="188" spans="1:22">
      <c r="A188" s="1195"/>
      <c r="B188" s="1196"/>
      <c r="C188" s="1196"/>
      <c r="D188" s="1196"/>
      <c r="E188" s="1197" t="str">
        <f t="shared" si="12"/>
        <v/>
      </c>
      <c r="F188" s="1198"/>
      <c r="G188" s="1198"/>
      <c r="H188" s="1198"/>
      <c r="I188" s="1198"/>
      <c r="J188" s="1199"/>
      <c r="K188" s="134"/>
      <c r="L188" s="62" t="str">
        <f t="shared" si="13"/>
        <v/>
      </c>
      <c r="M188" s="14"/>
      <c r="N188" s="89">
        <f t="array" ref="N188">SUM(IF((CsDJ[JEV Number]=TRIM($T157))*(CsDJ[Account Code]=TRIM(K188)),CsDJ[Debit]))</f>
        <v>0</v>
      </c>
      <c r="O188" s="89">
        <f t="array" ref="O188">SUM(IF((CsDJ[JEV Number]=TRIM($T157))*(CsDJ[Account Code]=TRIM(K188)),CsDJ[Credit]))</f>
        <v>0</v>
      </c>
      <c r="P188" s="1200">
        <f t="shared" si="14"/>
        <v>0</v>
      </c>
      <c r="Q188" s="1200"/>
      <c r="R188" s="1200"/>
      <c r="S188" s="1200">
        <f t="shared" si="15"/>
        <v>0</v>
      </c>
      <c r="T188" s="1200"/>
      <c r="U188" s="1200"/>
      <c r="V188" s="1201"/>
    </row>
    <row r="189" spans="1:22">
      <c r="A189" s="1195"/>
      <c r="B189" s="1196"/>
      <c r="C189" s="1196"/>
      <c r="D189" s="1196"/>
      <c r="E189" s="1197" t="str">
        <f t="shared" si="12"/>
        <v/>
      </c>
      <c r="F189" s="1198"/>
      <c r="G189" s="1198"/>
      <c r="H189" s="1198"/>
      <c r="I189" s="1198"/>
      <c r="J189" s="1199"/>
      <c r="K189" s="134"/>
      <c r="L189" s="62" t="str">
        <f t="shared" si="13"/>
        <v/>
      </c>
      <c r="M189" s="14"/>
      <c r="N189" s="89">
        <f t="array" ref="N189">SUM(IF((CsDJ[JEV Number]=TRIM($T157))*(CsDJ[Account Code]=TRIM(K189)),CsDJ[Debit]))</f>
        <v>0</v>
      </c>
      <c r="O189" s="89">
        <f t="array" ref="O189">SUM(IF((CsDJ[JEV Number]=TRIM($T157))*(CsDJ[Account Code]=TRIM(K189)),CsDJ[Credit]))</f>
        <v>0</v>
      </c>
      <c r="P189" s="1200">
        <f t="shared" si="14"/>
        <v>0</v>
      </c>
      <c r="Q189" s="1200"/>
      <c r="R189" s="1200"/>
      <c r="S189" s="1200">
        <f t="shared" si="15"/>
        <v>0</v>
      </c>
      <c r="T189" s="1200"/>
      <c r="U189" s="1200"/>
      <c r="V189" s="1201"/>
    </row>
    <row r="190" spans="1:22">
      <c r="A190" s="1195"/>
      <c r="B190" s="1196"/>
      <c r="C190" s="1196"/>
      <c r="D190" s="1196"/>
      <c r="E190" s="1197" t="str">
        <f t="shared" si="12"/>
        <v/>
      </c>
      <c r="F190" s="1198"/>
      <c r="G190" s="1198"/>
      <c r="H190" s="1198"/>
      <c r="I190" s="1198"/>
      <c r="J190" s="1199"/>
      <c r="K190" s="134"/>
      <c r="L190" s="62" t="str">
        <f t="shared" si="13"/>
        <v/>
      </c>
      <c r="M190" s="14"/>
      <c r="N190" s="89">
        <f t="array" ref="N190">SUM(IF((CsDJ[JEV Number]=TRIM($T157))*(CsDJ[Account Code]=TRIM(K190)),CsDJ[Debit]))</f>
        <v>0</v>
      </c>
      <c r="O190" s="89">
        <f t="array" ref="O190">SUM(IF((CsDJ[JEV Number]=TRIM($T157))*(CsDJ[Account Code]=TRIM(K190)),CsDJ[Credit]))</f>
        <v>0</v>
      </c>
      <c r="P190" s="1200">
        <f t="shared" si="14"/>
        <v>0</v>
      </c>
      <c r="Q190" s="1200"/>
      <c r="R190" s="1200"/>
      <c r="S190" s="1200">
        <f t="shared" si="15"/>
        <v>0</v>
      </c>
      <c r="T190" s="1200"/>
      <c r="U190" s="1200"/>
      <c r="V190" s="1201"/>
    </row>
    <row r="191" spans="1:22">
      <c r="A191" s="1195"/>
      <c r="B191" s="1196"/>
      <c r="C191" s="1196"/>
      <c r="D191" s="1196"/>
      <c r="E191" s="1257" t="s">
        <v>468</v>
      </c>
      <c r="F191" s="1258"/>
      <c r="G191" s="1258"/>
      <c r="H191" s="1258"/>
      <c r="I191" s="1258"/>
      <c r="J191" s="1259"/>
      <c r="K191" s="133"/>
      <c r="L191" s="62" t="str">
        <f t="shared" si="13"/>
        <v/>
      </c>
      <c r="M191" s="14"/>
      <c r="N191" s="89">
        <f t="array" ref="N191">SUM(IF((CsDJ[JEV Number]=TRIM($T157))*(CsDJ[Account Code]=TRIM(K191)),CsDJ[Debit]))</f>
        <v>0</v>
      </c>
      <c r="O191" s="89">
        <f t="array" ref="O191">SUM(IF((CsDJ[JEV Number]=TRIM($T157))*(CsDJ[Account Code]=TRIM(K191)),CsDJ[Credit]))</f>
        <v>0</v>
      </c>
      <c r="P191" s="1200">
        <f t="shared" si="14"/>
        <v>0</v>
      </c>
      <c r="Q191" s="1200"/>
      <c r="R191" s="1200"/>
      <c r="S191" s="1200">
        <f t="shared" si="15"/>
        <v>0</v>
      </c>
      <c r="T191" s="1200"/>
      <c r="U191" s="1200"/>
      <c r="V191" s="1201"/>
    </row>
    <row r="192" spans="1:22">
      <c r="A192" s="1195"/>
      <c r="B192" s="1196"/>
      <c r="C192" s="1196"/>
      <c r="D192" s="1196"/>
      <c r="E192" s="1202" t="s">
        <v>457</v>
      </c>
      <c r="F192" s="1203"/>
      <c r="G192" s="1203"/>
      <c r="H192" s="1203"/>
      <c r="I192" s="1207">
        <f>T158</f>
        <v>0</v>
      </c>
      <c r="J192" s="1208"/>
      <c r="K192" s="133"/>
      <c r="L192" s="62" t="str">
        <f t="shared" si="13"/>
        <v/>
      </c>
      <c r="M192" s="14"/>
      <c r="N192" s="89">
        <f t="array" ref="N192">SUM(IF((CsDJ[JEV Number]=TRIM($T157))*(CsDJ[Account Code]=TRIM(K192)),CsDJ[Debit]))</f>
        <v>0</v>
      </c>
      <c r="O192" s="89">
        <f t="array" ref="O192">SUM(IF((CsDJ[JEV Number]=TRIM($T157))*(CsDJ[Account Code]=TRIM(K192)),CsDJ[Credit]))</f>
        <v>0</v>
      </c>
      <c r="P192" s="1200">
        <f t="shared" si="14"/>
        <v>0</v>
      </c>
      <c r="Q192" s="1200"/>
      <c r="R192" s="1200"/>
      <c r="S192" s="1200">
        <f t="shared" si="15"/>
        <v>0</v>
      </c>
      <c r="T192" s="1200"/>
      <c r="U192" s="1200"/>
      <c r="V192" s="1201"/>
    </row>
    <row r="193" spans="1:22">
      <c r="A193" s="1195"/>
      <c r="B193" s="1196"/>
      <c r="C193" s="1196"/>
      <c r="D193" s="1196"/>
      <c r="E193" s="1202" t="s">
        <v>458</v>
      </c>
      <c r="F193" s="1203"/>
      <c r="G193" s="1203"/>
      <c r="H193" s="1203"/>
      <c r="I193" s="1263">
        <f>IF(T157=0,0,(IF(LOOKUP(T157,CsDJ[JEV Number],CsDJ[Sort Code])="1","MA. VIVIAN C. SALAS",IF(LOOKUP(T157,CsDJ[JEV Number],CsDJ[Sort Code])="2","LUZ R. DE COZAR",IF(LOOKUP(T157,CsDJ[JEV Number],CsDJ[Sort Code])="3","MINEONETTE A. DELA CRUZ",IF(LOOKUP(T157,CsDJ[JEV Number],CsDJ[Sort Code])="4","RESELLA B. LOPEZ"))))))</f>
        <v>0</v>
      </c>
      <c r="J193" s="1264"/>
      <c r="K193" s="133"/>
      <c r="L193" s="62" t="str">
        <f t="shared" si="13"/>
        <v/>
      </c>
      <c r="M193" s="14"/>
      <c r="N193" s="89">
        <f t="array" ref="N193">SUM(IF((CsDJ[JEV Number]=TRIM($T157))*(CsDJ[Account Code]=TRIM(K193)),CsDJ[Debit]))</f>
        <v>0</v>
      </c>
      <c r="O193" s="89">
        <f t="array" ref="O193">SUM(IF((CsDJ[JEV Number]=TRIM($T157))*(CsDJ[Account Code]=TRIM(K193)),CsDJ[Credit]))</f>
        <v>0</v>
      </c>
      <c r="P193" s="1200">
        <f t="shared" si="14"/>
        <v>0</v>
      </c>
      <c r="Q193" s="1200"/>
      <c r="R193" s="1200"/>
      <c r="S193" s="1200">
        <f t="shared" si="15"/>
        <v>0</v>
      </c>
      <c r="T193" s="1200"/>
      <c r="U193" s="1200"/>
      <c r="V193" s="1201"/>
    </row>
    <row r="194" spans="1:22">
      <c r="A194" s="1195"/>
      <c r="B194" s="1196"/>
      <c r="C194" s="1196"/>
      <c r="D194" s="1196"/>
      <c r="E194" s="1202" t="s">
        <v>459</v>
      </c>
      <c r="F194" s="1203"/>
      <c r="G194" s="1203"/>
      <c r="H194" s="1203"/>
      <c r="I194" s="1204">
        <f>IF(I193="Ma. Vivian C. Salas","Regional Office", IF(I193="Luz R. De Cozar","BANE IMO", IF(I193="Mineonette A. Dela Cruz","PAMBAT IMO", IF(I193="Resella B. Lopez","TARZAM IMO",0))))</f>
        <v>0</v>
      </c>
      <c r="J194" s="1205"/>
      <c r="K194" s="133"/>
      <c r="L194" s="62" t="str">
        <f t="shared" si="13"/>
        <v/>
      </c>
      <c r="M194" s="14"/>
      <c r="N194" s="89">
        <f t="array" ref="N194">SUM(IF((CsDJ[JEV Number]=TRIM($T157))*(CsDJ[Account Code]=TRIM(K194)),CsDJ[Debit]))</f>
        <v>0</v>
      </c>
      <c r="O194" s="89">
        <f t="array" ref="O194">SUM(IF((CsDJ[JEV Number]=TRIM($T157))*(CsDJ[Account Code]=TRIM(K194)),CsDJ[Credit]))</f>
        <v>0</v>
      </c>
      <c r="P194" s="1200">
        <f t="shared" si="14"/>
        <v>0</v>
      </c>
      <c r="Q194" s="1200"/>
      <c r="R194" s="1200"/>
      <c r="S194" s="1200">
        <f t="shared" si="15"/>
        <v>0</v>
      </c>
      <c r="T194" s="1200"/>
      <c r="U194" s="1200"/>
      <c r="V194" s="1201"/>
    </row>
    <row r="195" spans="1:22">
      <c r="A195" s="1195"/>
      <c r="B195" s="1196"/>
      <c r="C195" s="1196"/>
      <c r="D195" s="1196"/>
      <c r="E195" s="1202"/>
      <c r="F195" s="1203"/>
      <c r="G195" s="1203"/>
      <c r="H195" s="1203"/>
      <c r="I195" s="1203"/>
      <c r="J195" s="1206"/>
      <c r="K195" s="133"/>
      <c r="L195" s="62" t="str">
        <f t="shared" si="13"/>
        <v/>
      </c>
      <c r="M195" s="14"/>
      <c r="N195" s="89">
        <f t="array" ref="N195">SUM(IF((CsDJ[JEV Number]=TRIM($T157))*(CsDJ[Account Code]=TRIM(K195)),CsDJ[Debit]))</f>
        <v>0</v>
      </c>
      <c r="O195" s="89">
        <f t="array" ref="O195">SUM(IF((CsDJ[JEV Number]=TRIM($T157))*(CsDJ[Account Code]=TRIM(K195)),CsDJ[Credit]))</f>
        <v>0</v>
      </c>
      <c r="P195" s="1200">
        <f t="shared" si="14"/>
        <v>0</v>
      </c>
      <c r="Q195" s="1200"/>
      <c r="R195" s="1200"/>
      <c r="S195" s="1200">
        <f t="shared" si="15"/>
        <v>0</v>
      </c>
      <c r="T195" s="1200"/>
      <c r="U195" s="1200"/>
      <c r="V195" s="1201"/>
    </row>
    <row r="196" spans="1:22" ht="16.5" thickBot="1">
      <c r="A196" s="1188"/>
      <c r="B196" s="1189"/>
      <c r="C196" s="1189"/>
      <c r="D196" s="1189"/>
      <c r="E196" s="1189"/>
      <c r="F196" s="1189"/>
      <c r="G196" s="1189"/>
      <c r="H196" s="1189"/>
      <c r="I196" s="1189"/>
      <c r="J196" s="1189"/>
      <c r="K196" s="1189"/>
      <c r="L196" s="1189"/>
      <c r="M196" s="1190"/>
      <c r="N196" s="88"/>
      <c r="O196" s="88"/>
      <c r="P196" s="1191">
        <f>SUM(P166:R195)</f>
        <v>0</v>
      </c>
      <c r="Q196" s="1191"/>
      <c r="R196" s="1191"/>
      <c r="S196" s="1191">
        <f>SUM(S166:V195)</f>
        <v>0</v>
      </c>
      <c r="T196" s="1191"/>
      <c r="U196" s="1191"/>
      <c r="V196" s="1192"/>
    </row>
    <row r="197" spans="1:22">
      <c r="A197" s="63"/>
      <c r="B197" s="64"/>
      <c r="C197" s="64"/>
      <c r="D197" s="64"/>
      <c r="E197" s="64"/>
      <c r="F197" s="64"/>
      <c r="G197" s="64"/>
      <c r="H197" s="64"/>
      <c r="I197" s="65"/>
      <c r="J197" s="64"/>
      <c r="K197" s="66"/>
      <c r="L197" s="64"/>
      <c r="M197" s="65"/>
      <c r="N197" s="64"/>
      <c r="O197" s="64"/>
      <c r="P197" s="1193"/>
      <c r="Q197" s="1193"/>
      <c r="R197" s="1193"/>
      <c r="S197" s="1193"/>
      <c r="T197" s="1193"/>
      <c r="U197" s="1193"/>
      <c r="V197" s="1194"/>
    </row>
    <row r="198" spans="1:22">
      <c r="A198" s="67" t="s">
        <v>460</v>
      </c>
      <c r="B198"/>
      <c r="C198"/>
      <c r="D198"/>
      <c r="E198"/>
      <c r="F198"/>
      <c r="G198"/>
      <c r="H198"/>
      <c r="I198" s="68" t="s">
        <v>353</v>
      </c>
      <c r="J198" s="69"/>
      <c r="K198" s="69"/>
      <c r="L198"/>
      <c r="M198" s="68" t="s">
        <v>461</v>
      </c>
      <c r="N198" s="69"/>
      <c r="O198" s="69"/>
      <c r="P198" s="70"/>
      <c r="Q198" s="70"/>
      <c r="R198" s="70"/>
      <c r="S198" s="70"/>
      <c r="T198" s="70"/>
      <c r="U198" s="70"/>
      <c r="V198" s="71"/>
    </row>
    <row r="199" spans="1:22">
      <c r="A199" s="37"/>
      <c r="B199"/>
      <c r="C199"/>
      <c r="D199"/>
      <c r="E199"/>
      <c r="F199"/>
      <c r="G199"/>
      <c r="H199"/>
      <c r="I199" s="72"/>
      <c r="J199"/>
      <c r="K199"/>
      <c r="L199"/>
      <c r="M199" s="72"/>
      <c r="N199"/>
      <c r="O199"/>
      <c r="P199"/>
      <c r="Q199"/>
      <c r="R199"/>
      <c r="S199"/>
      <c r="T199"/>
      <c r="U199"/>
      <c r="V199" s="73"/>
    </row>
    <row r="200" spans="1:22">
      <c r="A200" s="74" t="s">
        <v>462</v>
      </c>
      <c r="B200" s="75"/>
      <c r="C200" s="75"/>
      <c r="D200" s="75"/>
      <c r="E200" s="75"/>
      <c r="F200" s="75"/>
      <c r="G200" s="75"/>
      <c r="H200" s="76"/>
      <c r="I200" s="77" t="s">
        <v>380</v>
      </c>
      <c r="J200" s="75"/>
      <c r="K200" s="75"/>
      <c r="L200" s="76"/>
      <c r="M200" s="77" t="s">
        <v>3</v>
      </c>
      <c r="N200" s="75"/>
      <c r="O200" s="75"/>
      <c r="P200" s="75"/>
      <c r="Q200" s="75"/>
      <c r="R200" s="75"/>
      <c r="S200" s="75"/>
      <c r="T200" s="75"/>
      <c r="U200" s="75"/>
      <c r="V200" s="78"/>
    </row>
    <row r="201" spans="1:22">
      <c r="A201" s="79" t="s">
        <v>463</v>
      </c>
      <c r="B201" s="80"/>
      <c r="C201" s="80"/>
      <c r="D201" s="80"/>
      <c r="E201" s="80"/>
      <c r="F201" s="80"/>
      <c r="G201" s="80"/>
      <c r="H201" s="80"/>
      <c r="I201" s="81" t="s">
        <v>381</v>
      </c>
      <c r="J201" s="80"/>
      <c r="K201" s="80"/>
      <c r="L201" s="80"/>
      <c r="M201" s="81" t="s">
        <v>464</v>
      </c>
      <c r="N201" s="80"/>
      <c r="O201" s="80"/>
      <c r="P201" s="82"/>
      <c r="Q201" s="82"/>
      <c r="R201" s="82"/>
      <c r="S201" s="82"/>
      <c r="T201" s="82"/>
      <c r="U201" s="82"/>
      <c r="V201" s="83"/>
    </row>
    <row r="202" spans="1:22" ht="16.5" thickBot="1">
      <c r="A202" s="84" t="s">
        <v>465</v>
      </c>
      <c r="B202" s="43"/>
      <c r="C202" s="43"/>
      <c r="D202" s="43"/>
      <c r="E202" s="43"/>
      <c r="F202" s="43"/>
      <c r="G202" s="43"/>
      <c r="H202" s="43"/>
      <c r="I202" s="85"/>
      <c r="J202" s="43"/>
      <c r="K202" s="43"/>
      <c r="L202" s="43"/>
      <c r="M202" s="85"/>
      <c r="N202" s="43"/>
      <c r="O202" s="43"/>
      <c r="P202" s="43"/>
      <c r="Q202" s="43"/>
      <c r="R202" s="43"/>
      <c r="S202" s="43"/>
      <c r="T202" s="43"/>
      <c r="U202" s="43"/>
      <c r="V202" s="44"/>
    </row>
    <row r="203" spans="1:22" ht="22.5">
      <c r="A203" s="31" t="s">
        <v>441</v>
      </c>
      <c r="B203" s="32"/>
      <c r="C203" s="32"/>
      <c r="D203" s="32"/>
      <c r="E203" s="32"/>
      <c r="F203" s="32"/>
      <c r="G203" s="32"/>
      <c r="H203" s="32"/>
      <c r="I203" s="32"/>
      <c r="J203" s="32"/>
      <c r="K203" s="32"/>
      <c r="L203" s="32"/>
      <c r="M203" s="32"/>
      <c r="N203" s="32"/>
      <c r="O203" s="32"/>
      <c r="P203" s="32"/>
      <c r="Q203" s="33"/>
      <c r="R203" s="1218">
        <f>+P243-S243</f>
        <v>0</v>
      </c>
      <c r="S203" s="1219"/>
      <c r="T203" s="1219"/>
      <c r="U203" s="1219"/>
      <c r="V203" s="1220"/>
    </row>
    <row r="204" spans="1:22">
      <c r="A204" s="34" t="s">
        <v>442</v>
      </c>
      <c r="B204" s="35"/>
      <c r="C204" s="35"/>
      <c r="D204" s="35"/>
      <c r="E204" s="35"/>
      <c r="F204" s="35"/>
      <c r="G204" s="35"/>
      <c r="H204" s="35"/>
      <c r="I204" s="35"/>
      <c r="J204" s="35"/>
      <c r="K204" s="35"/>
      <c r="L204" s="35"/>
      <c r="M204" s="35"/>
      <c r="N204" s="35"/>
      <c r="O204" s="35"/>
      <c r="P204" s="35"/>
      <c r="Q204" s="36"/>
      <c r="R204" s="37" t="s">
        <v>443</v>
      </c>
      <c r="S204"/>
      <c r="T204" s="1221"/>
      <c r="U204" s="1221"/>
      <c r="V204" s="1222"/>
    </row>
    <row r="205" spans="1:22">
      <c r="A205" s="38" t="s">
        <v>444</v>
      </c>
      <c r="B205" s="35"/>
      <c r="C205" s="35"/>
      <c r="D205" s="35"/>
      <c r="E205" s="35"/>
      <c r="F205" s="35"/>
      <c r="G205" s="35"/>
      <c r="H205" s="35"/>
      <c r="I205" s="35"/>
      <c r="J205" s="35"/>
      <c r="K205" s="35"/>
      <c r="L205" s="35"/>
      <c r="M205" s="35"/>
      <c r="N205" s="35"/>
      <c r="O205" s="35"/>
      <c r="P205" s="35"/>
      <c r="Q205" s="36"/>
      <c r="R205" s="37" t="s">
        <v>0</v>
      </c>
      <c r="S205"/>
      <c r="T205" s="1223">
        <f>IF(T204=0,0,(LOOKUP(T204,CsDJ[JEV Number],CsDJ[Date])))</f>
        <v>0</v>
      </c>
      <c r="U205" s="1223"/>
      <c r="V205" s="1224"/>
    </row>
    <row r="206" spans="1:22" ht="16.5" thickBot="1">
      <c r="A206" s="39"/>
      <c r="B206" s="40"/>
      <c r="C206" s="40"/>
      <c r="D206" s="40"/>
      <c r="E206" s="40"/>
      <c r="F206" s="40"/>
      <c r="G206" s="40"/>
      <c r="H206" s="40"/>
      <c r="I206" s="40"/>
      <c r="J206" s="40"/>
      <c r="K206" s="40"/>
      <c r="L206" s="40"/>
      <c r="M206" s="40"/>
      <c r="N206" s="40"/>
      <c r="O206" s="40"/>
      <c r="P206" s="40"/>
      <c r="Q206" s="41"/>
      <c r="R206" s="42"/>
      <c r="S206" s="43"/>
      <c r="T206" s="43"/>
      <c r="U206" s="43"/>
      <c r="V206" s="44"/>
    </row>
    <row r="207" spans="1:22">
      <c r="A207" s="45"/>
      <c r="B207" s="46"/>
      <c r="C207" s="46"/>
      <c r="D207" s="46"/>
      <c r="E207" s="46"/>
      <c r="F207" s="46"/>
      <c r="G207" s="46"/>
      <c r="H207" s="46"/>
      <c r="I207" s="46"/>
      <c r="J207" s="46"/>
      <c r="K207" s="46"/>
      <c r="L207" s="47"/>
      <c r="M207" s="46"/>
      <c r="N207" s="46"/>
      <c r="O207" s="46"/>
      <c r="P207" s="46"/>
      <c r="Q207" s="46"/>
      <c r="R207" s="46"/>
      <c r="S207" s="46"/>
      <c r="T207" s="46"/>
      <c r="U207" s="46"/>
      <c r="V207" s="48"/>
    </row>
    <row r="208" spans="1:22">
      <c r="A208" s="49"/>
      <c r="B208" s="1225"/>
      <c r="C208" s="1225"/>
      <c r="D208" s="50" t="s">
        <v>445</v>
      </c>
      <c r="H208" s="51"/>
      <c r="I208" s="25" t="s">
        <v>447</v>
      </c>
      <c r="J208" s="132" t="s">
        <v>446</v>
      </c>
      <c r="K208" s="52" t="s">
        <v>448</v>
      </c>
      <c r="L208" s="52"/>
      <c r="Q208" s="1225"/>
      <c r="R208" s="1225"/>
      <c r="S208" s="50" t="s">
        <v>449</v>
      </c>
      <c r="T208" s="50"/>
      <c r="U208" s="50"/>
      <c r="V208" s="53"/>
    </row>
    <row r="209" spans="1:22" ht="16.5" thickBot="1">
      <c r="A209" s="54"/>
      <c r="B209" s="55"/>
      <c r="C209" s="55"/>
      <c r="D209" s="55"/>
      <c r="E209" s="55"/>
      <c r="F209" s="55"/>
      <c r="G209" s="55"/>
      <c r="H209" s="55"/>
      <c r="I209" s="55"/>
      <c r="J209" s="55"/>
      <c r="K209" s="55"/>
      <c r="L209" s="56"/>
      <c r="M209" s="55"/>
      <c r="N209" s="55"/>
      <c r="O209" s="55"/>
      <c r="P209" s="55"/>
      <c r="Q209" s="55"/>
      <c r="R209" s="55"/>
      <c r="S209" s="55"/>
      <c r="T209" s="55"/>
      <c r="U209" s="55"/>
      <c r="V209" s="57"/>
    </row>
    <row r="210" spans="1:22">
      <c r="A210" s="1226" t="s">
        <v>397</v>
      </c>
      <c r="B210" s="1227"/>
      <c r="C210" s="1227"/>
      <c r="D210" s="1228"/>
      <c r="E210" s="1235" t="s">
        <v>450</v>
      </c>
      <c r="F210" s="1235"/>
      <c r="G210" s="1235"/>
      <c r="H210" s="1235"/>
      <c r="I210" s="1235"/>
      <c r="J210" s="1235"/>
      <c r="K210" s="1235"/>
      <c r="L210" s="1235"/>
      <c r="M210" s="1235"/>
      <c r="N210" s="1235"/>
      <c r="O210" s="1235"/>
      <c r="P210" s="1235"/>
      <c r="Q210" s="1235"/>
      <c r="R210" s="1235"/>
      <c r="S210" s="1235"/>
      <c r="T210" s="1235"/>
      <c r="U210" s="1235"/>
      <c r="V210" s="1236"/>
    </row>
    <row r="211" spans="1:22">
      <c r="A211" s="1229"/>
      <c r="B211" s="1230"/>
      <c r="C211" s="1230"/>
      <c r="D211" s="1231"/>
      <c r="E211" s="1237" t="s">
        <v>451</v>
      </c>
      <c r="F211" s="1237"/>
      <c r="G211" s="1237"/>
      <c r="H211" s="1237"/>
      <c r="I211" s="1237"/>
      <c r="J211" s="1237"/>
      <c r="K211" s="1239" t="s">
        <v>378</v>
      </c>
      <c r="L211" s="1239"/>
      <c r="M211" s="1237" t="s">
        <v>452</v>
      </c>
      <c r="N211" s="1240" t="s">
        <v>453</v>
      </c>
      <c r="O211" s="1241"/>
      <c r="P211" s="1241"/>
      <c r="Q211" s="1241"/>
      <c r="R211" s="1241"/>
      <c r="S211" s="1241"/>
      <c r="T211" s="1241"/>
      <c r="U211" s="1241"/>
      <c r="V211" s="1242"/>
    </row>
    <row r="212" spans="1:22" ht="16.5" customHeight="1" thickBot="1">
      <c r="A212" s="1232"/>
      <c r="B212" s="1233"/>
      <c r="C212" s="1233"/>
      <c r="D212" s="1234"/>
      <c r="E212" s="1238"/>
      <c r="F212" s="1238"/>
      <c r="G212" s="1238"/>
      <c r="H212" s="1238"/>
      <c r="I212" s="1238"/>
      <c r="J212" s="1238"/>
      <c r="K212" s="58" t="s">
        <v>454</v>
      </c>
      <c r="L212" s="58" t="s">
        <v>455</v>
      </c>
      <c r="M212" s="1238"/>
      <c r="N212" s="87" t="s">
        <v>466</v>
      </c>
      <c r="O212" s="87" t="s">
        <v>467</v>
      </c>
      <c r="P212" s="1243" t="s">
        <v>1</v>
      </c>
      <c r="Q212" s="1244"/>
      <c r="R212" s="1245"/>
      <c r="S212" s="1243" t="s">
        <v>2</v>
      </c>
      <c r="T212" s="1244"/>
      <c r="U212" s="1244"/>
      <c r="V212" s="1246"/>
    </row>
    <row r="213" spans="1:22" ht="19.5">
      <c r="A213" s="1210">
        <f>P243-S243</f>
        <v>0</v>
      </c>
      <c r="B213" s="1211"/>
      <c r="C213" s="1211"/>
      <c r="D213" s="1211"/>
      <c r="E213" s="1212" t="str">
        <f>Account!$G$1</f>
        <v>FUND 501 CARP</v>
      </c>
      <c r="F213" s="1213"/>
      <c r="G213" s="1213"/>
      <c r="H213" s="1213"/>
      <c r="I213" s="1213"/>
      <c r="J213" s="1214"/>
      <c r="K213" s="59"/>
      <c r="L213" s="59"/>
      <c r="M213" s="60"/>
      <c r="N213" s="60"/>
      <c r="O213" s="60"/>
      <c r="P213" s="1215"/>
      <c r="Q213" s="1215"/>
      <c r="R213" s="1215"/>
      <c r="S213" s="1215"/>
      <c r="T213" s="1215"/>
      <c r="U213" s="1215"/>
      <c r="V213" s="1216"/>
    </row>
    <row r="214" spans="1:22">
      <c r="A214" s="1195"/>
      <c r="B214" s="1196"/>
      <c r="C214" s="1196"/>
      <c r="D214" s="1196"/>
      <c r="E214" s="1196"/>
      <c r="F214" s="1196"/>
      <c r="G214" s="1196"/>
      <c r="H214" s="1196"/>
      <c r="I214" s="1196"/>
      <c r="J214" s="1196"/>
      <c r="K214" s="61"/>
      <c r="L214" s="61"/>
      <c r="M214" s="14"/>
      <c r="N214" s="14"/>
      <c r="O214" s="14"/>
      <c r="P214" s="1196"/>
      <c r="Q214" s="1196"/>
      <c r="R214" s="1196"/>
      <c r="S214" s="1196"/>
      <c r="T214" s="1196"/>
      <c r="U214" s="1196"/>
      <c r="V214" s="1217"/>
    </row>
    <row r="215" spans="1:22">
      <c r="A215" s="1195"/>
      <c r="B215" s="1196"/>
      <c r="C215" s="1196"/>
      <c r="D215" s="1196"/>
      <c r="E215" s="1197" t="str">
        <f t="shared" ref="E215:E237" si="16">IF(K215=0,"",(VLOOKUP((TRIM(K215)),Code,2,)))</f>
        <v/>
      </c>
      <c r="F215" s="1198"/>
      <c r="G215" s="1198"/>
      <c r="H215" s="1198"/>
      <c r="I215" s="1198"/>
      <c r="J215" s="1199"/>
      <c r="K215" s="133"/>
      <c r="L215" s="62" t="str">
        <f t="shared" ref="L215:L242" si="17">IF(K215=0,"",VLOOKUP((TRIM(K215)),Code,3,))</f>
        <v/>
      </c>
      <c r="M215" s="14"/>
      <c r="N215" s="89">
        <f t="array" ref="N215">SUM(IF((CsDJ[JEV Number]=TRIM($T204))*(CsDJ[Account Code]=TRIM(K215)),CsDJ[Debit]))</f>
        <v>0</v>
      </c>
      <c r="O215" s="89">
        <f t="array" ref="O215">SUM(IF((CsDJ[JEV Number]=TRIM($T204))*(CsDJ[Account Code]=TRIM(K215)),CsDJ[Credit]))</f>
        <v>0</v>
      </c>
      <c r="P215" s="1200">
        <f>N215</f>
        <v>0</v>
      </c>
      <c r="Q215" s="1200"/>
      <c r="R215" s="1200"/>
      <c r="S215" s="1200">
        <f>O215</f>
        <v>0</v>
      </c>
      <c r="T215" s="1200"/>
      <c r="U215" s="1200"/>
      <c r="V215" s="1201"/>
    </row>
    <row r="216" spans="1:22">
      <c r="A216" s="1195"/>
      <c r="B216" s="1196"/>
      <c r="C216" s="1196"/>
      <c r="D216" s="1196"/>
      <c r="E216" s="1197" t="str">
        <f t="shared" si="16"/>
        <v/>
      </c>
      <c r="F216" s="1198"/>
      <c r="G216" s="1198"/>
      <c r="H216" s="1198"/>
      <c r="I216" s="1198"/>
      <c r="J216" s="1199"/>
      <c r="K216" s="133"/>
      <c r="L216" s="62" t="str">
        <f t="shared" si="17"/>
        <v/>
      </c>
      <c r="M216" s="14"/>
      <c r="N216" s="89">
        <f t="array" ref="N216">SUM(IF((CsDJ[JEV Number]=TRIM($T204))*(CsDJ[Account Code]=TRIM(K216)),CsDJ[Debit]))</f>
        <v>0</v>
      </c>
      <c r="O216" s="89">
        <f t="array" ref="O216">SUM(IF((CsDJ[JEV Number]=TRIM($T204))*(CsDJ[Account Code]=TRIM(K216)),CsDJ[Credit]))</f>
        <v>0</v>
      </c>
      <c r="P216" s="1200">
        <f>N216</f>
        <v>0</v>
      </c>
      <c r="Q216" s="1200"/>
      <c r="R216" s="1200"/>
      <c r="S216" s="1200">
        <f>O216</f>
        <v>0</v>
      </c>
      <c r="T216" s="1200"/>
      <c r="U216" s="1200"/>
      <c r="V216" s="1201"/>
    </row>
    <row r="217" spans="1:22">
      <c r="A217" s="1195"/>
      <c r="B217" s="1196"/>
      <c r="C217" s="1196"/>
      <c r="D217" s="1196"/>
      <c r="E217" s="1197" t="str">
        <f t="shared" si="16"/>
        <v/>
      </c>
      <c r="F217" s="1198"/>
      <c r="G217" s="1198"/>
      <c r="H217" s="1198"/>
      <c r="I217" s="1198"/>
      <c r="J217" s="1199"/>
      <c r="K217" s="133"/>
      <c r="L217" s="62" t="str">
        <f t="shared" si="17"/>
        <v/>
      </c>
      <c r="M217" s="14"/>
      <c r="N217" s="89">
        <f t="array" ref="N217">SUM(IF((CsDJ[JEV Number]=TRIM($T204))*(CsDJ[Account Code]=TRIM(K217)),CsDJ[Debit]))</f>
        <v>0</v>
      </c>
      <c r="O217" s="89">
        <f t="array" ref="O217">SUM(IF((CsDJ[JEV Number]=TRIM($T204))*(CsDJ[Account Code]=TRIM(K217)),CsDJ[Credit]))</f>
        <v>0</v>
      </c>
      <c r="P217" s="1200">
        <f t="shared" ref="P217:P242" si="18">N217</f>
        <v>0</v>
      </c>
      <c r="Q217" s="1200"/>
      <c r="R217" s="1200"/>
      <c r="S217" s="1200">
        <f t="shared" ref="S217:S242" si="19">O217</f>
        <v>0</v>
      </c>
      <c r="T217" s="1200"/>
      <c r="U217" s="1200"/>
      <c r="V217" s="1201"/>
    </row>
    <row r="218" spans="1:22">
      <c r="A218" s="1195"/>
      <c r="B218" s="1196"/>
      <c r="C218" s="1196"/>
      <c r="D218" s="1196"/>
      <c r="E218" s="1197" t="str">
        <f t="shared" si="16"/>
        <v/>
      </c>
      <c r="F218" s="1198"/>
      <c r="G218" s="1198"/>
      <c r="H218" s="1198"/>
      <c r="I218" s="1198"/>
      <c r="J218" s="1199"/>
      <c r="K218" s="133"/>
      <c r="L218" s="62" t="str">
        <f t="shared" si="17"/>
        <v/>
      </c>
      <c r="M218" s="14"/>
      <c r="N218" s="89">
        <f t="array" ref="N218">SUM(IF((CsDJ[JEV Number]=TRIM($T204))*(CsDJ[Account Code]=TRIM(K218)),CsDJ[Debit]))</f>
        <v>0</v>
      </c>
      <c r="O218" s="89">
        <f t="array" ref="O218">SUM(IF((CsDJ[JEV Number]=TRIM($T204))*(CsDJ[Account Code]=TRIM(K218)),CsDJ[Credit]))</f>
        <v>0</v>
      </c>
      <c r="P218" s="1200">
        <f t="shared" si="18"/>
        <v>0</v>
      </c>
      <c r="Q218" s="1200"/>
      <c r="R218" s="1200"/>
      <c r="S218" s="1200">
        <f t="shared" si="19"/>
        <v>0</v>
      </c>
      <c r="T218" s="1200"/>
      <c r="U218" s="1200"/>
      <c r="V218" s="1201"/>
    </row>
    <row r="219" spans="1:22">
      <c r="A219" s="1195"/>
      <c r="B219" s="1196"/>
      <c r="C219" s="1196"/>
      <c r="D219" s="1196"/>
      <c r="E219" s="1197" t="str">
        <f t="shared" si="16"/>
        <v/>
      </c>
      <c r="F219" s="1198"/>
      <c r="G219" s="1198"/>
      <c r="H219" s="1198"/>
      <c r="I219" s="1198"/>
      <c r="J219" s="1199"/>
      <c r="K219" s="133"/>
      <c r="L219" s="62" t="str">
        <f t="shared" si="17"/>
        <v/>
      </c>
      <c r="M219" s="14"/>
      <c r="N219" s="89">
        <f t="array" ref="N219">SUM(IF((CsDJ[JEV Number]=TRIM($T204))*(CsDJ[Account Code]=TRIM(K219)),CsDJ[Debit]))</f>
        <v>0</v>
      </c>
      <c r="O219" s="89">
        <f t="array" ref="O219">SUM(IF((CsDJ[JEV Number]=TRIM($T204))*(CsDJ[Account Code]=TRIM(K219)),CsDJ[Credit]))</f>
        <v>0</v>
      </c>
      <c r="P219" s="1200">
        <f t="shared" si="18"/>
        <v>0</v>
      </c>
      <c r="Q219" s="1200"/>
      <c r="R219" s="1200"/>
      <c r="S219" s="1200">
        <f t="shared" si="19"/>
        <v>0</v>
      </c>
      <c r="T219" s="1200"/>
      <c r="U219" s="1200"/>
      <c r="V219" s="1201"/>
    </row>
    <row r="220" spans="1:22">
      <c r="A220" s="1195"/>
      <c r="B220" s="1196"/>
      <c r="C220" s="1196"/>
      <c r="D220" s="1196"/>
      <c r="E220" s="1197" t="str">
        <f t="shared" si="16"/>
        <v/>
      </c>
      <c r="F220" s="1198"/>
      <c r="G220" s="1198"/>
      <c r="H220" s="1198"/>
      <c r="I220" s="1198"/>
      <c r="J220" s="1199"/>
      <c r="K220" s="133"/>
      <c r="L220" s="62" t="str">
        <f t="shared" si="17"/>
        <v/>
      </c>
      <c r="M220" s="14"/>
      <c r="N220" s="89">
        <f t="array" ref="N220">SUM(IF((CsDJ[JEV Number]=TRIM($T204))*(CsDJ[Account Code]=TRIM(K220)),CsDJ[Debit]))</f>
        <v>0</v>
      </c>
      <c r="O220" s="89">
        <f t="array" ref="O220">SUM(IF((CsDJ[JEV Number]=TRIM($T204))*(CsDJ[Account Code]=TRIM(K220)),CsDJ[Credit]))</f>
        <v>0</v>
      </c>
      <c r="P220" s="1200">
        <f t="shared" si="18"/>
        <v>0</v>
      </c>
      <c r="Q220" s="1200"/>
      <c r="R220" s="1200"/>
      <c r="S220" s="1200">
        <f t="shared" si="19"/>
        <v>0</v>
      </c>
      <c r="T220" s="1200"/>
      <c r="U220" s="1200"/>
      <c r="V220" s="1201"/>
    </row>
    <row r="221" spans="1:22">
      <c r="A221" s="1195"/>
      <c r="B221" s="1196"/>
      <c r="C221" s="1196"/>
      <c r="D221" s="1196"/>
      <c r="E221" s="1197" t="str">
        <f t="shared" si="16"/>
        <v/>
      </c>
      <c r="F221" s="1198"/>
      <c r="G221" s="1198"/>
      <c r="H221" s="1198"/>
      <c r="I221" s="1198"/>
      <c r="J221" s="1199"/>
      <c r="K221" s="133"/>
      <c r="L221" s="62" t="str">
        <f t="shared" si="17"/>
        <v/>
      </c>
      <c r="M221" s="14"/>
      <c r="N221" s="89">
        <f t="array" ref="N221">SUM(IF((CsDJ[JEV Number]=TRIM($T204))*(CsDJ[Account Code]=TRIM(K221)),CsDJ[Debit]))</f>
        <v>0</v>
      </c>
      <c r="O221" s="89">
        <f t="array" ref="O221">SUM(IF((CsDJ[JEV Number]=TRIM($T204))*(CsDJ[Account Code]=TRIM(K221)),CsDJ[Credit]))</f>
        <v>0</v>
      </c>
      <c r="P221" s="1200">
        <f t="shared" si="18"/>
        <v>0</v>
      </c>
      <c r="Q221" s="1200"/>
      <c r="R221" s="1200"/>
      <c r="S221" s="1200">
        <f t="shared" si="19"/>
        <v>0</v>
      </c>
      <c r="T221" s="1200"/>
      <c r="U221" s="1200"/>
      <c r="V221" s="1201"/>
    </row>
    <row r="222" spans="1:22">
      <c r="A222" s="1195"/>
      <c r="B222" s="1196"/>
      <c r="C222" s="1196"/>
      <c r="D222" s="1196"/>
      <c r="E222" s="1197" t="str">
        <f t="shared" si="16"/>
        <v/>
      </c>
      <c r="F222" s="1198"/>
      <c r="G222" s="1198"/>
      <c r="H222" s="1198"/>
      <c r="I222" s="1198"/>
      <c r="J222" s="1199"/>
      <c r="K222" s="133"/>
      <c r="L222" s="62" t="str">
        <f t="shared" si="17"/>
        <v/>
      </c>
      <c r="M222" s="14"/>
      <c r="N222" s="89">
        <f t="array" ref="N222">SUM(IF((CsDJ[JEV Number]=TRIM($T204))*(CsDJ[Account Code]=TRIM(K222)),CsDJ[Debit]))</f>
        <v>0</v>
      </c>
      <c r="O222" s="89">
        <f t="array" ref="O222">SUM(IF((CsDJ[JEV Number]=TRIM($T204))*(CsDJ[Account Code]=TRIM(K222)),CsDJ[Credit]))</f>
        <v>0</v>
      </c>
      <c r="P222" s="1200">
        <f t="shared" si="18"/>
        <v>0</v>
      </c>
      <c r="Q222" s="1200"/>
      <c r="R222" s="1200"/>
      <c r="S222" s="1200">
        <f t="shared" si="19"/>
        <v>0</v>
      </c>
      <c r="T222" s="1200"/>
      <c r="U222" s="1200"/>
      <c r="V222" s="1201"/>
    </row>
    <row r="223" spans="1:22">
      <c r="A223" s="1195"/>
      <c r="B223" s="1196"/>
      <c r="C223" s="1196"/>
      <c r="D223" s="1196"/>
      <c r="E223" s="1197" t="str">
        <f t="shared" si="16"/>
        <v/>
      </c>
      <c r="F223" s="1198"/>
      <c r="G223" s="1198"/>
      <c r="H223" s="1198"/>
      <c r="I223" s="1198"/>
      <c r="J223" s="1199"/>
      <c r="K223" s="134"/>
      <c r="L223" s="62" t="str">
        <f t="shared" si="17"/>
        <v/>
      </c>
      <c r="M223" s="14"/>
      <c r="N223" s="89">
        <f t="array" ref="N223">SUM(IF((CsDJ[JEV Number]=TRIM($T204))*(CsDJ[Account Code]=TRIM(K223)),CsDJ[Debit]))</f>
        <v>0</v>
      </c>
      <c r="O223" s="89">
        <f t="array" ref="O223">SUM(IF((CsDJ[JEV Number]=TRIM($T204))*(CsDJ[Account Code]=TRIM(K223)),CsDJ[Credit]))</f>
        <v>0</v>
      </c>
      <c r="P223" s="1200">
        <f t="shared" si="18"/>
        <v>0</v>
      </c>
      <c r="Q223" s="1200"/>
      <c r="R223" s="1200"/>
      <c r="S223" s="1200">
        <f t="shared" si="19"/>
        <v>0</v>
      </c>
      <c r="T223" s="1200"/>
      <c r="U223" s="1200"/>
      <c r="V223" s="1201"/>
    </row>
    <row r="224" spans="1:22">
      <c r="A224" s="1195"/>
      <c r="B224" s="1196"/>
      <c r="C224" s="1196"/>
      <c r="D224" s="1196"/>
      <c r="E224" s="1197" t="str">
        <f t="shared" si="16"/>
        <v/>
      </c>
      <c r="F224" s="1198"/>
      <c r="G224" s="1198"/>
      <c r="H224" s="1198"/>
      <c r="I224" s="1198"/>
      <c r="J224" s="1199"/>
      <c r="K224" s="134"/>
      <c r="L224" s="62" t="str">
        <f t="shared" si="17"/>
        <v/>
      </c>
      <c r="M224" s="14"/>
      <c r="N224" s="89">
        <f t="array" ref="N224">SUM(IF((CsDJ[JEV Number]=TRIM($T204))*(CsDJ[Account Code]=TRIM(K224)),CsDJ[Debit]))</f>
        <v>0</v>
      </c>
      <c r="O224" s="89">
        <f t="array" ref="O224">SUM(IF((CsDJ[JEV Number]=TRIM($T204))*(CsDJ[Account Code]=TRIM(K224)),CsDJ[Credit]))</f>
        <v>0</v>
      </c>
      <c r="P224" s="1200">
        <f t="shared" si="18"/>
        <v>0</v>
      </c>
      <c r="Q224" s="1200"/>
      <c r="R224" s="1200"/>
      <c r="S224" s="1200">
        <f t="shared" si="19"/>
        <v>0</v>
      </c>
      <c r="T224" s="1200"/>
      <c r="U224" s="1200"/>
      <c r="V224" s="1201"/>
    </row>
    <row r="225" spans="1:22">
      <c r="A225" s="1195"/>
      <c r="B225" s="1196"/>
      <c r="C225" s="1196"/>
      <c r="D225" s="1196"/>
      <c r="E225" s="1197" t="str">
        <f t="shared" si="16"/>
        <v/>
      </c>
      <c r="F225" s="1198"/>
      <c r="G225" s="1198"/>
      <c r="H225" s="1198"/>
      <c r="I225" s="1198"/>
      <c r="J225" s="1199"/>
      <c r="K225" s="134"/>
      <c r="L225" s="62" t="str">
        <f t="shared" si="17"/>
        <v/>
      </c>
      <c r="M225" s="14"/>
      <c r="N225" s="89">
        <f t="array" ref="N225">SUM(IF((CsDJ[JEV Number]=TRIM($T204))*(CsDJ[Account Code]=TRIM(K225)),CsDJ[Debit]))</f>
        <v>0</v>
      </c>
      <c r="O225" s="89">
        <f t="array" ref="O225">SUM(IF((CsDJ[JEV Number]=TRIM($T204))*(CsDJ[Account Code]=TRIM(K225)),CsDJ[Credit]))</f>
        <v>0</v>
      </c>
      <c r="P225" s="1200">
        <f t="shared" si="18"/>
        <v>0</v>
      </c>
      <c r="Q225" s="1200"/>
      <c r="R225" s="1200"/>
      <c r="S225" s="1200">
        <f t="shared" si="19"/>
        <v>0</v>
      </c>
      <c r="T225" s="1200"/>
      <c r="U225" s="1200"/>
      <c r="V225" s="1201"/>
    </row>
    <row r="226" spans="1:22">
      <c r="A226" s="1195"/>
      <c r="B226" s="1196"/>
      <c r="C226" s="1196"/>
      <c r="D226" s="1196"/>
      <c r="E226" s="1197" t="str">
        <f t="shared" si="16"/>
        <v/>
      </c>
      <c r="F226" s="1198"/>
      <c r="G226" s="1198"/>
      <c r="H226" s="1198"/>
      <c r="I226" s="1198"/>
      <c r="J226" s="1199"/>
      <c r="K226" s="134"/>
      <c r="L226" s="62" t="str">
        <f t="shared" si="17"/>
        <v/>
      </c>
      <c r="M226" s="14"/>
      <c r="N226" s="89">
        <f t="array" ref="N226">SUM(IF((CsDJ[JEV Number]=TRIM($T204))*(CsDJ[Account Code]=TRIM(K226)),CsDJ[Debit]))</f>
        <v>0</v>
      </c>
      <c r="O226" s="89">
        <f t="array" ref="O226">SUM(IF((CsDJ[JEV Number]=TRIM($T204))*(CsDJ[Account Code]=TRIM(K226)),CsDJ[Credit]))</f>
        <v>0</v>
      </c>
      <c r="P226" s="1200">
        <f t="shared" si="18"/>
        <v>0</v>
      </c>
      <c r="Q226" s="1200"/>
      <c r="R226" s="1200"/>
      <c r="S226" s="1200">
        <f t="shared" si="19"/>
        <v>0</v>
      </c>
      <c r="T226" s="1200"/>
      <c r="U226" s="1200"/>
      <c r="V226" s="1201"/>
    </row>
    <row r="227" spans="1:22">
      <c r="A227" s="1195"/>
      <c r="B227" s="1196"/>
      <c r="C227" s="1196"/>
      <c r="D227" s="1196"/>
      <c r="E227" s="1197" t="str">
        <f t="shared" si="16"/>
        <v/>
      </c>
      <c r="F227" s="1198"/>
      <c r="G227" s="1198"/>
      <c r="H227" s="1198"/>
      <c r="I227" s="1198"/>
      <c r="J227" s="1199"/>
      <c r="K227" s="134"/>
      <c r="L227" s="62" t="str">
        <f t="shared" si="17"/>
        <v/>
      </c>
      <c r="M227" s="14"/>
      <c r="N227" s="89">
        <f t="array" ref="N227">SUM(IF((CsDJ[JEV Number]=TRIM($T204))*(CsDJ[Account Code]=TRIM(K227)),CsDJ[Debit]))</f>
        <v>0</v>
      </c>
      <c r="O227" s="89">
        <f t="array" ref="O227">SUM(IF((CsDJ[JEV Number]=TRIM($T204))*(CsDJ[Account Code]=TRIM(K227)),CsDJ[Credit]))</f>
        <v>0</v>
      </c>
      <c r="P227" s="1200">
        <f t="shared" si="18"/>
        <v>0</v>
      </c>
      <c r="Q227" s="1200"/>
      <c r="R227" s="1200"/>
      <c r="S227" s="1200">
        <f t="shared" si="19"/>
        <v>0</v>
      </c>
      <c r="T227" s="1200"/>
      <c r="U227" s="1200"/>
      <c r="V227" s="1201"/>
    </row>
    <row r="228" spans="1:22">
      <c r="A228" s="1195"/>
      <c r="B228" s="1196"/>
      <c r="C228" s="1196"/>
      <c r="D228" s="1196"/>
      <c r="E228" s="1197" t="str">
        <f t="shared" si="16"/>
        <v/>
      </c>
      <c r="F228" s="1198"/>
      <c r="G228" s="1198"/>
      <c r="H228" s="1198"/>
      <c r="I228" s="1198"/>
      <c r="J228" s="1199"/>
      <c r="K228" s="134"/>
      <c r="L228" s="62" t="str">
        <f t="shared" si="17"/>
        <v/>
      </c>
      <c r="M228" s="14"/>
      <c r="N228" s="89">
        <f t="array" ref="N228">SUM(IF((CsDJ[JEV Number]=TRIM($T204))*(CsDJ[Account Code]=TRIM(K228)),CsDJ[Debit]))</f>
        <v>0</v>
      </c>
      <c r="O228" s="89">
        <f t="array" ref="O228">SUM(IF((CsDJ[JEV Number]=TRIM($T204))*(CsDJ[Account Code]=TRIM(K228)),CsDJ[Credit]))</f>
        <v>0</v>
      </c>
      <c r="P228" s="1200">
        <f t="shared" si="18"/>
        <v>0</v>
      </c>
      <c r="Q228" s="1200"/>
      <c r="R228" s="1200"/>
      <c r="S228" s="1200">
        <f t="shared" si="19"/>
        <v>0</v>
      </c>
      <c r="T228" s="1200"/>
      <c r="U228" s="1200"/>
      <c r="V228" s="1201"/>
    </row>
    <row r="229" spans="1:22">
      <c r="A229" s="1195"/>
      <c r="B229" s="1196"/>
      <c r="C229" s="1196"/>
      <c r="D229" s="1196"/>
      <c r="E229" s="1197" t="str">
        <f t="shared" si="16"/>
        <v/>
      </c>
      <c r="F229" s="1198"/>
      <c r="G229" s="1198"/>
      <c r="H229" s="1198"/>
      <c r="I229" s="1198"/>
      <c r="J229" s="1199"/>
      <c r="K229" s="134"/>
      <c r="L229" s="62" t="str">
        <f t="shared" si="17"/>
        <v/>
      </c>
      <c r="M229" s="14"/>
      <c r="N229" s="89">
        <f t="array" ref="N229">SUM(IF((CsDJ[JEV Number]=TRIM($T204))*(CsDJ[Account Code]=TRIM(K229)),CsDJ[Debit]))</f>
        <v>0</v>
      </c>
      <c r="O229" s="89">
        <f t="array" ref="O229">SUM(IF((CsDJ[JEV Number]=TRIM($T204))*(CsDJ[Account Code]=TRIM(K229)),CsDJ[Credit]))</f>
        <v>0</v>
      </c>
      <c r="P229" s="1200">
        <f t="shared" si="18"/>
        <v>0</v>
      </c>
      <c r="Q229" s="1200"/>
      <c r="R229" s="1200"/>
      <c r="S229" s="1200">
        <f t="shared" si="19"/>
        <v>0</v>
      </c>
      <c r="T229" s="1200"/>
      <c r="U229" s="1200"/>
      <c r="V229" s="1201"/>
    </row>
    <row r="230" spans="1:22">
      <c r="A230" s="1195"/>
      <c r="B230" s="1196"/>
      <c r="C230" s="1196"/>
      <c r="D230" s="1196"/>
      <c r="E230" s="1197" t="str">
        <f t="shared" si="16"/>
        <v/>
      </c>
      <c r="F230" s="1198"/>
      <c r="G230" s="1198"/>
      <c r="H230" s="1198"/>
      <c r="I230" s="1198"/>
      <c r="J230" s="1199"/>
      <c r="K230" s="134"/>
      <c r="L230" s="62" t="str">
        <f t="shared" si="17"/>
        <v/>
      </c>
      <c r="M230" s="14"/>
      <c r="N230" s="89">
        <f t="array" ref="N230">SUM(IF((CsDJ[JEV Number]=TRIM($T204))*(CsDJ[Account Code]=TRIM(K230)),CsDJ[Debit]))</f>
        <v>0</v>
      </c>
      <c r="O230" s="89">
        <f t="array" ref="O230">SUM(IF((CsDJ[JEV Number]=TRIM($T204))*(CsDJ[Account Code]=TRIM(K230)),CsDJ[Credit]))</f>
        <v>0</v>
      </c>
      <c r="P230" s="1200">
        <f t="shared" si="18"/>
        <v>0</v>
      </c>
      <c r="Q230" s="1200"/>
      <c r="R230" s="1200"/>
      <c r="S230" s="1200">
        <f t="shared" si="19"/>
        <v>0</v>
      </c>
      <c r="T230" s="1200"/>
      <c r="U230" s="1200"/>
      <c r="V230" s="1201"/>
    </row>
    <row r="231" spans="1:22">
      <c r="A231" s="1195"/>
      <c r="B231" s="1196"/>
      <c r="C231" s="1196"/>
      <c r="D231" s="1196"/>
      <c r="E231" s="1197" t="str">
        <f t="shared" si="16"/>
        <v/>
      </c>
      <c r="F231" s="1198"/>
      <c r="G231" s="1198"/>
      <c r="H231" s="1198"/>
      <c r="I231" s="1198"/>
      <c r="J231" s="1199"/>
      <c r="K231" s="134"/>
      <c r="L231" s="62" t="str">
        <f t="shared" si="17"/>
        <v/>
      </c>
      <c r="M231" s="14"/>
      <c r="N231" s="89">
        <f t="array" ref="N231">SUM(IF((CsDJ[JEV Number]=TRIM($T204))*(CsDJ[Account Code]=TRIM(K231)),CsDJ[Debit]))</f>
        <v>0</v>
      </c>
      <c r="O231" s="89">
        <f t="array" ref="O231">SUM(IF((CsDJ[JEV Number]=TRIM($T204))*(CsDJ[Account Code]=TRIM(K231)),CsDJ[Credit]))</f>
        <v>0</v>
      </c>
      <c r="P231" s="1200">
        <f t="shared" si="18"/>
        <v>0</v>
      </c>
      <c r="Q231" s="1200"/>
      <c r="R231" s="1200"/>
      <c r="S231" s="1200">
        <f t="shared" si="19"/>
        <v>0</v>
      </c>
      <c r="T231" s="1200"/>
      <c r="U231" s="1200"/>
      <c r="V231" s="1201"/>
    </row>
    <row r="232" spans="1:22">
      <c r="A232" s="1195"/>
      <c r="B232" s="1196"/>
      <c r="C232" s="1196"/>
      <c r="D232" s="1196"/>
      <c r="E232" s="1197" t="str">
        <f t="shared" si="16"/>
        <v/>
      </c>
      <c r="F232" s="1198"/>
      <c r="G232" s="1198"/>
      <c r="H232" s="1198"/>
      <c r="I232" s="1198"/>
      <c r="J232" s="1199"/>
      <c r="K232" s="134"/>
      <c r="L232" s="62" t="str">
        <f t="shared" si="17"/>
        <v/>
      </c>
      <c r="M232" s="14"/>
      <c r="N232" s="89">
        <f t="array" ref="N232">SUM(IF((CsDJ[JEV Number]=TRIM($T204))*(CsDJ[Account Code]=TRIM(K232)),CsDJ[Debit]))</f>
        <v>0</v>
      </c>
      <c r="O232" s="89">
        <f t="array" ref="O232">SUM(IF((CsDJ[JEV Number]=TRIM($T204))*(CsDJ[Account Code]=TRIM(K232)),CsDJ[Credit]))</f>
        <v>0</v>
      </c>
      <c r="P232" s="1200">
        <f t="shared" si="18"/>
        <v>0</v>
      </c>
      <c r="Q232" s="1200"/>
      <c r="R232" s="1200"/>
      <c r="S232" s="1200">
        <f t="shared" si="19"/>
        <v>0</v>
      </c>
      <c r="T232" s="1200"/>
      <c r="U232" s="1200"/>
      <c r="V232" s="1201"/>
    </row>
    <row r="233" spans="1:22">
      <c r="A233" s="1195"/>
      <c r="B233" s="1196"/>
      <c r="C233" s="1196"/>
      <c r="D233" s="1196"/>
      <c r="E233" s="1197" t="str">
        <f t="shared" si="16"/>
        <v/>
      </c>
      <c r="F233" s="1198"/>
      <c r="G233" s="1198"/>
      <c r="H233" s="1198"/>
      <c r="I233" s="1198"/>
      <c r="J233" s="1199"/>
      <c r="K233" s="134"/>
      <c r="L233" s="62" t="str">
        <f t="shared" si="17"/>
        <v/>
      </c>
      <c r="M233" s="14"/>
      <c r="N233" s="89">
        <f t="array" ref="N233">SUM(IF((CsDJ[JEV Number]=TRIM($T204))*(CsDJ[Account Code]=TRIM(K233)),CsDJ[Debit]))</f>
        <v>0</v>
      </c>
      <c r="O233" s="89">
        <f t="array" ref="O233">SUM(IF((CsDJ[JEV Number]=TRIM($T204))*(CsDJ[Account Code]=TRIM(K233)),CsDJ[Credit]))</f>
        <v>0</v>
      </c>
      <c r="P233" s="1200">
        <f t="shared" si="18"/>
        <v>0</v>
      </c>
      <c r="Q233" s="1200"/>
      <c r="R233" s="1200"/>
      <c r="S233" s="1200">
        <f t="shared" si="19"/>
        <v>0</v>
      </c>
      <c r="T233" s="1200"/>
      <c r="U233" s="1200"/>
      <c r="V233" s="1201"/>
    </row>
    <row r="234" spans="1:22">
      <c r="A234" s="1195"/>
      <c r="B234" s="1196"/>
      <c r="C234" s="1196"/>
      <c r="D234" s="1196"/>
      <c r="E234" s="1197" t="str">
        <f t="shared" si="16"/>
        <v/>
      </c>
      <c r="F234" s="1198"/>
      <c r="G234" s="1198"/>
      <c r="H234" s="1198"/>
      <c r="I234" s="1198"/>
      <c r="J234" s="1199"/>
      <c r="K234" s="134"/>
      <c r="L234" s="62" t="str">
        <f t="shared" si="17"/>
        <v/>
      </c>
      <c r="M234" s="14"/>
      <c r="N234" s="89">
        <f t="array" ref="N234">SUM(IF((CsDJ[JEV Number]=TRIM($T204))*(CsDJ[Account Code]=TRIM(K234)),CsDJ[Debit]))</f>
        <v>0</v>
      </c>
      <c r="O234" s="89">
        <f t="array" ref="O234">SUM(IF((CsDJ[JEV Number]=TRIM($T204))*(CsDJ[Account Code]=TRIM(K234)),CsDJ[Credit]))</f>
        <v>0</v>
      </c>
      <c r="P234" s="1200">
        <f t="shared" si="18"/>
        <v>0</v>
      </c>
      <c r="Q234" s="1200"/>
      <c r="R234" s="1200"/>
      <c r="S234" s="1200">
        <f t="shared" si="19"/>
        <v>0</v>
      </c>
      <c r="T234" s="1200"/>
      <c r="U234" s="1200"/>
      <c r="V234" s="1201"/>
    </row>
    <row r="235" spans="1:22">
      <c r="A235" s="1195"/>
      <c r="B235" s="1196"/>
      <c r="C235" s="1196"/>
      <c r="D235" s="1196"/>
      <c r="E235" s="1197" t="str">
        <f t="shared" si="16"/>
        <v/>
      </c>
      <c r="F235" s="1198"/>
      <c r="G235" s="1198"/>
      <c r="H235" s="1198"/>
      <c r="I235" s="1198"/>
      <c r="J235" s="1199"/>
      <c r="K235" s="134"/>
      <c r="L235" s="62" t="str">
        <f t="shared" si="17"/>
        <v/>
      </c>
      <c r="M235" s="14"/>
      <c r="N235" s="89">
        <f t="array" ref="N235">SUM(IF((CsDJ[JEV Number]=TRIM($T204))*(CsDJ[Account Code]=TRIM(K235)),CsDJ[Debit]))</f>
        <v>0</v>
      </c>
      <c r="O235" s="89">
        <f t="array" ref="O235">SUM(IF((CsDJ[JEV Number]=TRIM($T204))*(CsDJ[Account Code]=TRIM(K235)),CsDJ[Credit]))</f>
        <v>0</v>
      </c>
      <c r="P235" s="1200">
        <f t="shared" si="18"/>
        <v>0</v>
      </c>
      <c r="Q235" s="1200"/>
      <c r="R235" s="1200"/>
      <c r="S235" s="1200">
        <f t="shared" si="19"/>
        <v>0</v>
      </c>
      <c r="T235" s="1200"/>
      <c r="U235" s="1200"/>
      <c r="V235" s="1201"/>
    </row>
    <row r="236" spans="1:22">
      <c r="A236" s="1195"/>
      <c r="B236" s="1196"/>
      <c r="C236" s="1196"/>
      <c r="D236" s="1196"/>
      <c r="E236" s="1197" t="str">
        <f t="shared" si="16"/>
        <v/>
      </c>
      <c r="F236" s="1198"/>
      <c r="G236" s="1198"/>
      <c r="H236" s="1198"/>
      <c r="I236" s="1198"/>
      <c r="J236" s="1199"/>
      <c r="K236" s="134"/>
      <c r="L236" s="62" t="str">
        <f t="shared" si="17"/>
        <v/>
      </c>
      <c r="M236" s="14"/>
      <c r="N236" s="89">
        <f t="array" ref="N236">SUM(IF((CsDJ[JEV Number]=TRIM($T204))*(CsDJ[Account Code]=TRIM(K236)),CsDJ[Debit]))</f>
        <v>0</v>
      </c>
      <c r="O236" s="89">
        <f t="array" ref="O236">SUM(IF((CsDJ[JEV Number]=TRIM($T204))*(CsDJ[Account Code]=TRIM(K236)),CsDJ[Credit]))</f>
        <v>0</v>
      </c>
      <c r="P236" s="1200">
        <f t="shared" si="18"/>
        <v>0</v>
      </c>
      <c r="Q236" s="1200"/>
      <c r="R236" s="1200"/>
      <c r="S236" s="1200">
        <f t="shared" si="19"/>
        <v>0</v>
      </c>
      <c r="T236" s="1200"/>
      <c r="U236" s="1200"/>
      <c r="V236" s="1201"/>
    </row>
    <row r="237" spans="1:22">
      <c r="A237" s="1195"/>
      <c r="B237" s="1196"/>
      <c r="C237" s="1196"/>
      <c r="D237" s="1196"/>
      <c r="E237" s="1197" t="str">
        <f t="shared" si="16"/>
        <v/>
      </c>
      <c r="F237" s="1198"/>
      <c r="G237" s="1198"/>
      <c r="H237" s="1198"/>
      <c r="I237" s="1198"/>
      <c r="J237" s="1199"/>
      <c r="K237" s="134"/>
      <c r="L237" s="62" t="str">
        <f t="shared" si="17"/>
        <v/>
      </c>
      <c r="M237" s="14"/>
      <c r="N237" s="89">
        <f t="array" ref="N237">SUM(IF((CsDJ[JEV Number]=TRIM($T204))*(CsDJ[Account Code]=TRIM(K237)),CsDJ[Debit]))</f>
        <v>0</v>
      </c>
      <c r="O237" s="89">
        <f t="array" ref="O237">SUM(IF((CsDJ[JEV Number]=TRIM($T204))*(CsDJ[Account Code]=TRIM(K237)),CsDJ[Credit]))</f>
        <v>0</v>
      </c>
      <c r="P237" s="1200">
        <f t="shared" si="18"/>
        <v>0</v>
      </c>
      <c r="Q237" s="1200"/>
      <c r="R237" s="1200"/>
      <c r="S237" s="1200">
        <f t="shared" si="19"/>
        <v>0</v>
      </c>
      <c r="T237" s="1200"/>
      <c r="U237" s="1200"/>
      <c r="V237" s="1201"/>
    </row>
    <row r="238" spans="1:22">
      <c r="A238" s="1195"/>
      <c r="B238" s="1196"/>
      <c r="C238" s="1196"/>
      <c r="D238" s="1196"/>
      <c r="E238" s="1257" t="s">
        <v>468</v>
      </c>
      <c r="F238" s="1258"/>
      <c r="G238" s="1258"/>
      <c r="H238" s="1258"/>
      <c r="I238" s="1258"/>
      <c r="J238" s="1259"/>
      <c r="K238" s="133"/>
      <c r="L238" s="62" t="str">
        <f t="shared" si="17"/>
        <v/>
      </c>
      <c r="M238" s="14"/>
      <c r="N238" s="89">
        <f t="array" ref="N238">SUM(IF((CsDJ[JEV Number]=TRIM($T204))*(CsDJ[Account Code]=TRIM(K238)),CsDJ[Debit]))</f>
        <v>0</v>
      </c>
      <c r="O238" s="89">
        <f t="array" ref="O238">SUM(IF((CsDJ[JEV Number]=TRIM($T204))*(CsDJ[Account Code]=TRIM(K238)),CsDJ[Credit]))</f>
        <v>0</v>
      </c>
      <c r="P238" s="1200">
        <f t="shared" si="18"/>
        <v>0</v>
      </c>
      <c r="Q238" s="1200"/>
      <c r="R238" s="1200"/>
      <c r="S238" s="1200">
        <f t="shared" si="19"/>
        <v>0</v>
      </c>
      <c r="T238" s="1200"/>
      <c r="U238" s="1200"/>
      <c r="V238" s="1201"/>
    </row>
    <row r="239" spans="1:22">
      <c r="A239" s="1195"/>
      <c r="B239" s="1196"/>
      <c r="C239" s="1196"/>
      <c r="D239" s="1196"/>
      <c r="E239" s="1202" t="s">
        <v>457</v>
      </c>
      <c r="F239" s="1203"/>
      <c r="G239" s="1203"/>
      <c r="H239" s="1203"/>
      <c r="I239" s="1207">
        <f>T205</f>
        <v>0</v>
      </c>
      <c r="J239" s="1208"/>
      <c r="K239" s="133"/>
      <c r="L239" s="62" t="str">
        <f t="shared" si="17"/>
        <v/>
      </c>
      <c r="M239" s="14"/>
      <c r="N239" s="89">
        <f t="array" ref="N239">SUM(IF((CsDJ[JEV Number]=TRIM($T204))*(CsDJ[Account Code]=TRIM(K239)),CsDJ[Debit]))</f>
        <v>0</v>
      </c>
      <c r="O239" s="89">
        <f t="array" ref="O239">SUM(IF((CsDJ[JEV Number]=TRIM($T204))*(CsDJ[Account Code]=TRIM(K239)),CsDJ[Credit]))</f>
        <v>0</v>
      </c>
      <c r="P239" s="1200">
        <f t="shared" si="18"/>
        <v>0</v>
      </c>
      <c r="Q239" s="1200"/>
      <c r="R239" s="1200"/>
      <c r="S239" s="1200">
        <f t="shared" si="19"/>
        <v>0</v>
      </c>
      <c r="T239" s="1200"/>
      <c r="U239" s="1200"/>
      <c r="V239" s="1201"/>
    </row>
    <row r="240" spans="1:22">
      <c r="A240" s="1195"/>
      <c r="B240" s="1196"/>
      <c r="C240" s="1196"/>
      <c r="D240" s="1196"/>
      <c r="E240" s="1202" t="s">
        <v>458</v>
      </c>
      <c r="F240" s="1203"/>
      <c r="G240" s="1203"/>
      <c r="H240" s="1203"/>
      <c r="I240" s="1263">
        <f>IF(T204=0,0,(IF(LOOKUP(T204,CsDJ[JEV Number],CsDJ[Sort Code])="1","MA. VIVIAN C. SALAS",IF(LOOKUP(T204,CsDJ[JEV Number],CsDJ[Sort Code])="2","LUZ R. DE COZAR",IF(LOOKUP(T204,CsDJ[JEV Number],CsDJ[Sort Code])="3","MINEONETTE A. DELA CRUZ",IF(LOOKUP(T204,CsDJ[JEV Number],CsDJ[Sort Code])="4","RESELLA B. LOPEZ"))))))</f>
        <v>0</v>
      </c>
      <c r="J240" s="1264"/>
      <c r="K240" s="133"/>
      <c r="L240" s="62" t="str">
        <f t="shared" si="17"/>
        <v/>
      </c>
      <c r="M240" s="14"/>
      <c r="N240" s="89">
        <f t="array" ref="N240">SUM(IF((CsDJ[JEV Number]=TRIM($T204))*(CsDJ[Account Code]=TRIM(K240)),CsDJ[Debit]))</f>
        <v>0</v>
      </c>
      <c r="O240" s="89">
        <f t="array" ref="O240">SUM(IF((CsDJ[JEV Number]=TRIM($T204))*(CsDJ[Account Code]=TRIM(K240)),CsDJ[Credit]))</f>
        <v>0</v>
      </c>
      <c r="P240" s="1200">
        <f t="shared" si="18"/>
        <v>0</v>
      </c>
      <c r="Q240" s="1200"/>
      <c r="R240" s="1200"/>
      <c r="S240" s="1200">
        <f t="shared" si="19"/>
        <v>0</v>
      </c>
      <c r="T240" s="1200"/>
      <c r="U240" s="1200"/>
      <c r="V240" s="1201"/>
    </row>
    <row r="241" spans="1:22">
      <c r="A241" s="1195"/>
      <c r="B241" s="1196"/>
      <c r="C241" s="1196"/>
      <c r="D241" s="1196"/>
      <c r="E241" s="1202" t="s">
        <v>459</v>
      </c>
      <c r="F241" s="1203"/>
      <c r="G241" s="1203"/>
      <c r="H241" s="1203"/>
      <c r="I241" s="1204">
        <f>IF(I240="Ma. Vivian C. Salas","Regional Office", IF(I240="Luz R. De Cozar","BANE IMO", IF(I240="Mineonette A. Dela Cruz","PAMBAT IMO", IF(I240="Resella B. Lopez","TARZAM IMO",0))))</f>
        <v>0</v>
      </c>
      <c r="J241" s="1205"/>
      <c r="K241" s="133"/>
      <c r="L241" s="62" t="str">
        <f t="shared" si="17"/>
        <v/>
      </c>
      <c r="M241" s="14"/>
      <c r="N241" s="89">
        <f t="array" ref="N241">SUM(IF((CsDJ[JEV Number]=TRIM($T204))*(CsDJ[Account Code]=TRIM(K241)),CsDJ[Debit]))</f>
        <v>0</v>
      </c>
      <c r="O241" s="89">
        <f t="array" ref="O241">SUM(IF((CsDJ[JEV Number]=TRIM($T204))*(CsDJ[Account Code]=TRIM(K241)),CsDJ[Credit]))</f>
        <v>0</v>
      </c>
      <c r="P241" s="1200">
        <f t="shared" si="18"/>
        <v>0</v>
      </c>
      <c r="Q241" s="1200"/>
      <c r="R241" s="1200"/>
      <c r="S241" s="1200">
        <f t="shared" si="19"/>
        <v>0</v>
      </c>
      <c r="T241" s="1200"/>
      <c r="U241" s="1200"/>
      <c r="V241" s="1201"/>
    </row>
    <row r="242" spans="1:22">
      <c r="A242" s="1195"/>
      <c r="B242" s="1196"/>
      <c r="C242" s="1196"/>
      <c r="D242" s="1196"/>
      <c r="E242" s="1202"/>
      <c r="F242" s="1203"/>
      <c r="G242" s="1203"/>
      <c r="H242" s="1203"/>
      <c r="I242" s="1203"/>
      <c r="J242" s="1206"/>
      <c r="K242" s="133"/>
      <c r="L242" s="62" t="str">
        <f t="shared" si="17"/>
        <v/>
      </c>
      <c r="M242" s="14"/>
      <c r="N242" s="89">
        <f t="array" ref="N242">SUM(IF((CsDJ[JEV Number]=TRIM($T204))*(CsDJ[Account Code]=TRIM(K242)),CsDJ[Debit]))</f>
        <v>0</v>
      </c>
      <c r="O242" s="89">
        <f t="array" ref="O242">SUM(IF((CsDJ[JEV Number]=TRIM($T204))*(CsDJ[Account Code]=TRIM(K242)),CsDJ[Credit]))</f>
        <v>0</v>
      </c>
      <c r="P242" s="1200">
        <f t="shared" si="18"/>
        <v>0</v>
      </c>
      <c r="Q242" s="1200"/>
      <c r="R242" s="1200"/>
      <c r="S242" s="1200">
        <f t="shared" si="19"/>
        <v>0</v>
      </c>
      <c r="T242" s="1200"/>
      <c r="U242" s="1200"/>
      <c r="V242" s="1201"/>
    </row>
    <row r="243" spans="1:22" ht="16.5" thickBot="1">
      <c r="A243" s="1188"/>
      <c r="B243" s="1189"/>
      <c r="C243" s="1189"/>
      <c r="D243" s="1189"/>
      <c r="E243" s="1189"/>
      <c r="F243" s="1189"/>
      <c r="G243" s="1189"/>
      <c r="H243" s="1189"/>
      <c r="I243" s="1189"/>
      <c r="J243" s="1189"/>
      <c r="K243" s="1189"/>
      <c r="L243" s="1189"/>
      <c r="M243" s="1190"/>
      <c r="N243" s="88"/>
      <c r="O243" s="88"/>
      <c r="P243" s="1191">
        <f>SUM(P213:R242)</f>
        <v>0</v>
      </c>
      <c r="Q243" s="1191"/>
      <c r="R243" s="1191"/>
      <c r="S243" s="1191">
        <f>SUM(S213:V242)</f>
        <v>0</v>
      </c>
      <c r="T243" s="1191"/>
      <c r="U243" s="1191"/>
      <c r="V243" s="1192"/>
    </row>
    <row r="244" spans="1:22">
      <c r="A244" s="63"/>
      <c r="B244" s="64"/>
      <c r="C244" s="64"/>
      <c r="D244" s="64"/>
      <c r="E244" s="64"/>
      <c r="F244" s="64"/>
      <c r="G244" s="64"/>
      <c r="H244" s="64"/>
      <c r="I244" s="65"/>
      <c r="J244" s="64"/>
      <c r="K244" s="66"/>
      <c r="L244" s="64"/>
      <c r="M244" s="65"/>
      <c r="N244" s="64"/>
      <c r="O244" s="64"/>
      <c r="P244" s="1193"/>
      <c r="Q244" s="1193"/>
      <c r="R244" s="1193"/>
      <c r="S244" s="1193"/>
      <c r="T244" s="1193"/>
      <c r="U244" s="1193"/>
      <c r="V244" s="1194"/>
    </row>
    <row r="245" spans="1:22">
      <c r="A245" s="67" t="s">
        <v>460</v>
      </c>
      <c r="B245"/>
      <c r="C245"/>
      <c r="D245"/>
      <c r="E245"/>
      <c r="F245"/>
      <c r="G245"/>
      <c r="H245"/>
      <c r="I245" s="68" t="s">
        <v>353</v>
      </c>
      <c r="J245" s="69"/>
      <c r="K245" s="69"/>
      <c r="L245"/>
      <c r="M245" s="68" t="s">
        <v>461</v>
      </c>
      <c r="N245" s="69"/>
      <c r="O245" s="69"/>
      <c r="P245" s="70"/>
      <c r="Q245" s="70"/>
      <c r="R245" s="70"/>
      <c r="S245" s="70"/>
      <c r="T245" s="70"/>
      <c r="U245" s="70"/>
      <c r="V245" s="71"/>
    </row>
    <row r="246" spans="1:22">
      <c r="A246" s="37"/>
      <c r="B246"/>
      <c r="C246"/>
      <c r="D246"/>
      <c r="E246"/>
      <c r="F246"/>
      <c r="G246"/>
      <c r="H246"/>
      <c r="I246" s="72"/>
      <c r="J246"/>
      <c r="K246"/>
      <c r="L246"/>
      <c r="M246" s="72"/>
      <c r="N246"/>
      <c r="O246"/>
      <c r="P246"/>
      <c r="Q246"/>
      <c r="R246"/>
      <c r="S246"/>
      <c r="T246"/>
      <c r="U246"/>
      <c r="V246" s="73"/>
    </row>
    <row r="247" spans="1:22">
      <c r="A247" s="74" t="s">
        <v>462</v>
      </c>
      <c r="B247" s="75"/>
      <c r="C247" s="75"/>
      <c r="D247" s="75"/>
      <c r="E247" s="75"/>
      <c r="F247" s="75"/>
      <c r="G247" s="75"/>
      <c r="H247" s="76"/>
      <c r="I247" s="77" t="s">
        <v>380</v>
      </c>
      <c r="J247" s="75"/>
      <c r="K247" s="75"/>
      <c r="L247" s="76"/>
      <c r="M247" s="77" t="s">
        <v>3</v>
      </c>
      <c r="N247" s="75"/>
      <c r="O247" s="75"/>
      <c r="P247" s="75"/>
      <c r="Q247" s="75"/>
      <c r="R247" s="75"/>
      <c r="S247" s="75"/>
      <c r="T247" s="75"/>
      <c r="U247" s="75"/>
      <c r="V247" s="78"/>
    </row>
    <row r="248" spans="1:22">
      <c r="A248" s="79" t="s">
        <v>463</v>
      </c>
      <c r="B248" s="80"/>
      <c r="C248" s="80"/>
      <c r="D248" s="80"/>
      <c r="E248" s="80"/>
      <c r="F248" s="80"/>
      <c r="G248" s="80"/>
      <c r="H248" s="80"/>
      <c r="I248" s="81" t="s">
        <v>381</v>
      </c>
      <c r="J248" s="80"/>
      <c r="K248" s="80"/>
      <c r="L248" s="80"/>
      <c r="M248" s="81" t="s">
        <v>464</v>
      </c>
      <c r="N248" s="80"/>
      <c r="O248" s="80"/>
      <c r="P248" s="82"/>
      <c r="Q248" s="82"/>
      <c r="R248" s="82"/>
      <c r="S248" s="82"/>
      <c r="T248" s="82"/>
      <c r="U248" s="82"/>
      <c r="V248" s="83"/>
    </row>
    <row r="249" spans="1:22" ht="16.5" thickBot="1">
      <c r="A249" s="84" t="s">
        <v>465</v>
      </c>
      <c r="B249" s="43"/>
      <c r="C249" s="43"/>
      <c r="D249" s="43"/>
      <c r="E249" s="43"/>
      <c r="F249" s="43"/>
      <c r="G249" s="43"/>
      <c r="H249" s="43"/>
      <c r="I249" s="85"/>
      <c r="J249" s="43"/>
      <c r="K249" s="43"/>
      <c r="L249" s="43"/>
      <c r="M249" s="85"/>
      <c r="N249" s="43"/>
      <c r="O249" s="43"/>
      <c r="P249" s="43"/>
      <c r="Q249" s="43"/>
      <c r="R249" s="43"/>
      <c r="S249" s="43"/>
      <c r="T249" s="43"/>
      <c r="U249" s="43"/>
      <c r="V249" s="44"/>
    </row>
    <row r="250" spans="1:22" ht="22.5">
      <c r="A250" s="31" t="s">
        <v>441</v>
      </c>
      <c r="B250" s="32"/>
      <c r="C250" s="32"/>
      <c r="D250" s="32"/>
      <c r="E250" s="32"/>
      <c r="F250" s="32"/>
      <c r="G250" s="32"/>
      <c r="H250" s="32"/>
      <c r="I250" s="32"/>
      <c r="J250" s="32"/>
      <c r="K250" s="32"/>
      <c r="L250" s="32"/>
      <c r="M250" s="32"/>
      <c r="N250" s="32"/>
      <c r="O250" s="32"/>
      <c r="P250" s="32"/>
      <c r="Q250" s="33"/>
      <c r="R250" s="1218">
        <f>+P290-S290</f>
        <v>0</v>
      </c>
      <c r="S250" s="1219"/>
      <c r="T250" s="1219"/>
      <c r="U250" s="1219"/>
      <c r="V250" s="1220"/>
    </row>
    <row r="251" spans="1:22">
      <c r="A251" s="34" t="s">
        <v>442</v>
      </c>
      <c r="B251" s="35"/>
      <c r="C251" s="35"/>
      <c r="D251" s="35"/>
      <c r="E251" s="35"/>
      <c r="F251" s="35"/>
      <c r="G251" s="35"/>
      <c r="H251" s="35"/>
      <c r="I251" s="35"/>
      <c r="J251" s="35"/>
      <c r="K251" s="35"/>
      <c r="L251" s="35"/>
      <c r="M251" s="35"/>
      <c r="N251" s="35"/>
      <c r="O251" s="35"/>
      <c r="P251" s="35"/>
      <c r="Q251" s="36"/>
      <c r="R251" s="37" t="s">
        <v>443</v>
      </c>
      <c r="S251"/>
      <c r="T251" s="1221"/>
      <c r="U251" s="1221"/>
      <c r="V251" s="1222"/>
    </row>
    <row r="252" spans="1:22">
      <c r="A252" s="38" t="s">
        <v>444</v>
      </c>
      <c r="B252" s="35"/>
      <c r="C252" s="35"/>
      <c r="D252" s="35"/>
      <c r="E252" s="35"/>
      <c r="F252" s="35"/>
      <c r="G252" s="35"/>
      <c r="H252" s="35"/>
      <c r="I252" s="35"/>
      <c r="J252" s="35"/>
      <c r="K252" s="35"/>
      <c r="L252" s="35"/>
      <c r="M252" s="35"/>
      <c r="N252" s="35"/>
      <c r="O252" s="35"/>
      <c r="P252" s="35"/>
      <c r="Q252" s="36"/>
      <c r="R252" s="37" t="s">
        <v>0</v>
      </c>
      <c r="S252"/>
      <c r="T252" s="1223">
        <f>IF(T251=0,0,(LOOKUP(T251,CsDJ[JEV Number],CsDJ[Date])))</f>
        <v>0</v>
      </c>
      <c r="U252" s="1223"/>
      <c r="V252" s="1224"/>
    </row>
    <row r="253" spans="1:22" ht="16.5" thickBot="1">
      <c r="A253" s="39"/>
      <c r="B253" s="40"/>
      <c r="C253" s="40"/>
      <c r="D253" s="40"/>
      <c r="E253" s="40"/>
      <c r="F253" s="40"/>
      <c r="G253" s="40"/>
      <c r="H253" s="40"/>
      <c r="I253" s="40"/>
      <c r="J253" s="40"/>
      <c r="K253" s="40"/>
      <c r="L253" s="40"/>
      <c r="M253" s="40"/>
      <c r="N253" s="40"/>
      <c r="O253" s="40"/>
      <c r="P253" s="40"/>
      <c r="Q253" s="41"/>
      <c r="R253" s="42"/>
      <c r="S253" s="43"/>
      <c r="T253" s="43"/>
      <c r="U253" s="43"/>
      <c r="V253" s="44"/>
    </row>
    <row r="254" spans="1:22">
      <c r="A254" s="45"/>
      <c r="B254" s="46"/>
      <c r="C254" s="46"/>
      <c r="D254" s="46"/>
      <c r="E254" s="46"/>
      <c r="F254" s="46"/>
      <c r="G254" s="46"/>
      <c r="H254" s="46"/>
      <c r="I254" s="46"/>
      <c r="J254" s="46"/>
      <c r="K254" s="46"/>
      <c r="L254" s="47"/>
      <c r="M254" s="46"/>
      <c r="N254" s="46"/>
      <c r="O254" s="46"/>
      <c r="P254" s="46"/>
      <c r="Q254" s="46"/>
      <c r="R254" s="46"/>
      <c r="S254" s="46"/>
      <c r="T254" s="46"/>
      <c r="U254" s="46"/>
      <c r="V254" s="48"/>
    </row>
    <row r="255" spans="1:22">
      <c r="A255" s="49"/>
      <c r="B255" s="1225"/>
      <c r="C255" s="1225"/>
      <c r="D255" s="50" t="s">
        <v>445</v>
      </c>
      <c r="H255" s="51"/>
      <c r="I255" s="25" t="s">
        <v>447</v>
      </c>
      <c r="J255" s="132" t="s">
        <v>446</v>
      </c>
      <c r="K255" s="52" t="s">
        <v>448</v>
      </c>
      <c r="L255" s="52"/>
      <c r="Q255" s="1225"/>
      <c r="R255" s="1225"/>
      <c r="S255" s="50" t="s">
        <v>449</v>
      </c>
      <c r="T255" s="50"/>
      <c r="U255" s="50"/>
      <c r="V255" s="53"/>
    </row>
    <row r="256" spans="1:22" ht="16.5" thickBot="1">
      <c r="A256" s="54"/>
      <c r="B256" s="55"/>
      <c r="C256" s="55"/>
      <c r="D256" s="55"/>
      <c r="E256" s="55"/>
      <c r="F256" s="55"/>
      <c r="G256" s="55"/>
      <c r="H256" s="55"/>
      <c r="I256" s="55"/>
      <c r="J256" s="55"/>
      <c r="K256" s="55"/>
      <c r="L256" s="56"/>
      <c r="M256" s="55"/>
      <c r="N256" s="55"/>
      <c r="O256" s="55"/>
      <c r="P256" s="55"/>
      <c r="Q256" s="55"/>
      <c r="R256" s="55"/>
      <c r="S256" s="55"/>
      <c r="T256" s="55"/>
      <c r="U256" s="55"/>
      <c r="V256" s="57"/>
    </row>
    <row r="257" spans="1:22">
      <c r="A257" s="1226" t="s">
        <v>397</v>
      </c>
      <c r="B257" s="1227"/>
      <c r="C257" s="1227"/>
      <c r="D257" s="1228"/>
      <c r="E257" s="1235" t="s">
        <v>450</v>
      </c>
      <c r="F257" s="1235"/>
      <c r="G257" s="1235"/>
      <c r="H257" s="1235"/>
      <c r="I257" s="1235"/>
      <c r="J257" s="1235"/>
      <c r="K257" s="1235"/>
      <c r="L257" s="1235"/>
      <c r="M257" s="1235"/>
      <c r="N257" s="1235"/>
      <c r="O257" s="1235"/>
      <c r="P257" s="1235"/>
      <c r="Q257" s="1235"/>
      <c r="R257" s="1235"/>
      <c r="S257" s="1235"/>
      <c r="T257" s="1235"/>
      <c r="U257" s="1235"/>
      <c r="V257" s="1236"/>
    </row>
    <row r="258" spans="1:22">
      <c r="A258" s="1229"/>
      <c r="B258" s="1230"/>
      <c r="C258" s="1230"/>
      <c r="D258" s="1231"/>
      <c r="E258" s="1237" t="s">
        <v>451</v>
      </c>
      <c r="F258" s="1237"/>
      <c r="G258" s="1237"/>
      <c r="H258" s="1237"/>
      <c r="I258" s="1237"/>
      <c r="J258" s="1237"/>
      <c r="K258" s="1239" t="s">
        <v>378</v>
      </c>
      <c r="L258" s="1239"/>
      <c r="M258" s="1237" t="s">
        <v>452</v>
      </c>
      <c r="N258" s="1240" t="s">
        <v>453</v>
      </c>
      <c r="O258" s="1241"/>
      <c r="P258" s="1241"/>
      <c r="Q258" s="1241"/>
      <c r="R258" s="1241"/>
      <c r="S258" s="1241"/>
      <c r="T258" s="1241"/>
      <c r="U258" s="1241"/>
      <c r="V258" s="1242"/>
    </row>
    <row r="259" spans="1:22" ht="16.5" customHeight="1" thickBot="1">
      <c r="A259" s="1232"/>
      <c r="B259" s="1233"/>
      <c r="C259" s="1233"/>
      <c r="D259" s="1234"/>
      <c r="E259" s="1238"/>
      <c r="F259" s="1238"/>
      <c r="G259" s="1238"/>
      <c r="H259" s="1238"/>
      <c r="I259" s="1238"/>
      <c r="J259" s="1238"/>
      <c r="K259" s="58" t="s">
        <v>454</v>
      </c>
      <c r="L259" s="58" t="s">
        <v>455</v>
      </c>
      <c r="M259" s="1238"/>
      <c r="N259" s="87" t="s">
        <v>466</v>
      </c>
      <c r="O259" s="87" t="s">
        <v>467</v>
      </c>
      <c r="P259" s="1243" t="s">
        <v>1</v>
      </c>
      <c r="Q259" s="1244"/>
      <c r="R259" s="1245"/>
      <c r="S259" s="1243" t="s">
        <v>2</v>
      </c>
      <c r="T259" s="1244"/>
      <c r="U259" s="1244"/>
      <c r="V259" s="1246"/>
    </row>
    <row r="260" spans="1:22" ht="19.5">
      <c r="A260" s="1210">
        <f>P290-S290</f>
        <v>0</v>
      </c>
      <c r="B260" s="1211"/>
      <c r="C260" s="1211"/>
      <c r="D260" s="1211"/>
      <c r="E260" s="1212" t="str">
        <f>Account!$G$1</f>
        <v>FUND 501 CARP</v>
      </c>
      <c r="F260" s="1213"/>
      <c r="G260" s="1213"/>
      <c r="H260" s="1213"/>
      <c r="I260" s="1213"/>
      <c r="J260" s="1214"/>
      <c r="K260" s="59"/>
      <c r="L260" s="59"/>
      <c r="M260" s="60"/>
      <c r="N260" s="60"/>
      <c r="O260" s="60"/>
      <c r="P260" s="1215"/>
      <c r="Q260" s="1215"/>
      <c r="R260" s="1215"/>
      <c r="S260" s="1215"/>
      <c r="T260" s="1215"/>
      <c r="U260" s="1215"/>
      <c r="V260" s="1216"/>
    </row>
    <row r="261" spans="1:22">
      <c r="A261" s="1195"/>
      <c r="B261" s="1196"/>
      <c r="C261" s="1196"/>
      <c r="D261" s="1196"/>
      <c r="E261" s="1196"/>
      <c r="F261" s="1196"/>
      <c r="G261" s="1196"/>
      <c r="H261" s="1196"/>
      <c r="I261" s="1196"/>
      <c r="J261" s="1196"/>
      <c r="K261" s="61"/>
      <c r="L261" s="61"/>
      <c r="M261" s="14"/>
      <c r="N261" s="14"/>
      <c r="O261" s="14"/>
      <c r="P261" s="1196"/>
      <c r="Q261" s="1196"/>
      <c r="R261" s="1196"/>
      <c r="S261" s="1196"/>
      <c r="T261" s="1196"/>
      <c r="U261" s="1196"/>
      <c r="V261" s="1217"/>
    </row>
    <row r="262" spans="1:22">
      <c r="A262" s="1195"/>
      <c r="B262" s="1196"/>
      <c r="C262" s="1196"/>
      <c r="D262" s="1196"/>
      <c r="E262" s="1197" t="str">
        <f t="shared" ref="E262:E284" si="20">IF(K262=0,"",(VLOOKUP((TRIM(K262)),Code,2,)))</f>
        <v/>
      </c>
      <c r="F262" s="1198"/>
      <c r="G262" s="1198"/>
      <c r="H262" s="1198"/>
      <c r="I262" s="1198"/>
      <c r="J262" s="1199"/>
      <c r="K262" s="133"/>
      <c r="L262" s="62" t="str">
        <f t="shared" ref="L262:L289" si="21">IF(K262=0,"",VLOOKUP((TRIM(K262)),Code,3,))</f>
        <v/>
      </c>
      <c r="M262" s="14"/>
      <c r="N262" s="89">
        <f t="array" ref="N262">SUM(IF((CsDJ[JEV Number]=TRIM($T251))*(CsDJ[Account Code]=TRIM(K262)),CsDJ[Debit]))</f>
        <v>0</v>
      </c>
      <c r="O262" s="89">
        <f t="array" ref="O262">SUM(IF((CsDJ[JEV Number]=TRIM($T251))*(CsDJ[Account Code]=TRIM(K262)),CsDJ[Credit]))</f>
        <v>0</v>
      </c>
      <c r="P262" s="1200">
        <f>N262</f>
        <v>0</v>
      </c>
      <c r="Q262" s="1200"/>
      <c r="R262" s="1200"/>
      <c r="S262" s="1200">
        <f>O262</f>
        <v>0</v>
      </c>
      <c r="T262" s="1200"/>
      <c r="U262" s="1200"/>
      <c r="V262" s="1201"/>
    </row>
    <row r="263" spans="1:22">
      <c r="A263" s="1195"/>
      <c r="B263" s="1196"/>
      <c r="C263" s="1196"/>
      <c r="D263" s="1196"/>
      <c r="E263" s="1197" t="str">
        <f t="shared" si="20"/>
        <v/>
      </c>
      <c r="F263" s="1198"/>
      <c r="G263" s="1198"/>
      <c r="H263" s="1198"/>
      <c r="I263" s="1198"/>
      <c r="J263" s="1199"/>
      <c r="K263" s="133"/>
      <c r="L263" s="62" t="str">
        <f t="shared" si="21"/>
        <v/>
      </c>
      <c r="M263" s="14"/>
      <c r="N263" s="89">
        <f t="array" ref="N263">SUM(IF((CsDJ[JEV Number]=TRIM($T251))*(CsDJ[Account Code]=TRIM(K263)),CsDJ[Debit]))</f>
        <v>0</v>
      </c>
      <c r="O263" s="89">
        <f t="array" ref="O263">SUM(IF((CsDJ[JEV Number]=TRIM($T251))*(CsDJ[Account Code]=TRIM(K263)),CsDJ[Credit]))</f>
        <v>0</v>
      </c>
      <c r="P263" s="1200">
        <f>N263</f>
        <v>0</v>
      </c>
      <c r="Q263" s="1200"/>
      <c r="R263" s="1200"/>
      <c r="S263" s="1200">
        <f>O263</f>
        <v>0</v>
      </c>
      <c r="T263" s="1200"/>
      <c r="U263" s="1200"/>
      <c r="V263" s="1201"/>
    </row>
    <row r="264" spans="1:22">
      <c r="A264" s="1195"/>
      <c r="B264" s="1196"/>
      <c r="C264" s="1196"/>
      <c r="D264" s="1196"/>
      <c r="E264" s="1197" t="str">
        <f t="shared" si="20"/>
        <v/>
      </c>
      <c r="F264" s="1198"/>
      <c r="G264" s="1198"/>
      <c r="H264" s="1198"/>
      <c r="I264" s="1198"/>
      <c r="J264" s="1199"/>
      <c r="K264" s="133"/>
      <c r="L264" s="62" t="str">
        <f t="shared" si="21"/>
        <v/>
      </c>
      <c r="M264" s="14"/>
      <c r="N264" s="89">
        <f t="array" ref="N264">SUM(IF((CsDJ[JEV Number]=TRIM($T251))*(CsDJ[Account Code]=TRIM(K264)),CsDJ[Debit]))</f>
        <v>0</v>
      </c>
      <c r="O264" s="89">
        <f t="array" ref="O264">SUM(IF((CsDJ[JEV Number]=TRIM($T251))*(CsDJ[Account Code]=TRIM(K264)),CsDJ[Credit]))</f>
        <v>0</v>
      </c>
      <c r="P264" s="1200">
        <f t="shared" ref="P264:P289" si="22">N264</f>
        <v>0</v>
      </c>
      <c r="Q264" s="1200"/>
      <c r="R264" s="1200"/>
      <c r="S264" s="1200">
        <f t="shared" ref="S264:S289" si="23">O264</f>
        <v>0</v>
      </c>
      <c r="T264" s="1200"/>
      <c r="U264" s="1200"/>
      <c r="V264" s="1201"/>
    </row>
    <row r="265" spans="1:22">
      <c r="A265" s="1195"/>
      <c r="B265" s="1196"/>
      <c r="C265" s="1196"/>
      <c r="D265" s="1196"/>
      <c r="E265" s="1197" t="str">
        <f t="shared" si="20"/>
        <v/>
      </c>
      <c r="F265" s="1198"/>
      <c r="G265" s="1198"/>
      <c r="H265" s="1198"/>
      <c r="I265" s="1198"/>
      <c r="J265" s="1199"/>
      <c r="K265" s="133"/>
      <c r="L265" s="62" t="str">
        <f t="shared" si="21"/>
        <v/>
      </c>
      <c r="M265" s="14"/>
      <c r="N265" s="89">
        <f t="array" ref="N265">SUM(IF((CsDJ[JEV Number]=TRIM($T251))*(CsDJ[Account Code]=TRIM(K265)),CsDJ[Debit]))</f>
        <v>0</v>
      </c>
      <c r="O265" s="89">
        <f t="array" ref="O265">SUM(IF((CsDJ[JEV Number]=TRIM($T251))*(CsDJ[Account Code]=TRIM(K265)),CsDJ[Credit]))</f>
        <v>0</v>
      </c>
      <c r="P265" s="1200">
        <f t="shared" si="22"/>
        <v>0</v>
      </c>
      <c r="Q265" s="1200"/>
      <c r="R265" s="1200"/>
      <c r="S265" s="1200">
        <f t="shared" si="23"/>
        <v>0</v>
      </c>
      <c r="T265" s="1200"/>
      <c r="U265" s="1200"/>
      <c r="V265" s="1201"/>
    </row>
    <row r="266" spans="1:22">
      <c r="A266" s="1195"/>
      <c r="B266" s="1196"/>
      <c r="C266" s="1196"/>
      <c r="D266" s="1196"/>
      <c r="E266" s="1197" t="str">
        <f t="shared" si="20"/>
        <v/>
      </c>
      <c r="F266" s="1198"/>
      <c r="G266" s="1198"/>
      <c r="H266" s="1198"/>
      <c r="I266" s="1198"/>
      <c r="J266" s="1199"/>
      <c r="K266" s="133"/>
      <c r="L266" s="62" t="str">
        <f t="shared" si="21"/>
        <v/>
      </c>
      <c r="M266" s="14"/>
      <c r="N266" s="89">
        <f t="array" ref="N266">SUM(IF((CsDJ[JEV Number]=TRIM($T251))*(CsDJ[Account Code]=TRIM(K266)),CsDJ[Debit]))</f>
        <v>0</v>
      </c>
      <c r="O266" s="89">
        <f t="array" ref="O266">SUM(IF((CsDJ[JEV Number]=TRIM($T251))*(CsDJ[Account Code]=TRIM(K266)),CsDJ[Credit]))</f>
        <v>0</v>
      </c>
      <c r="P266" s="1200">
        <f t="shared" si="22"/>
        <v>0</v>
      </c>
      <c r="Q266" s="1200"/>
      <c r="R266" s="1200"/>
      <c r="S266" s="1200">
        <f t="shared" si="23"/>
        <v>0</v>
      </c>
      <c r="T266" s="1200"/>
      <c r="U266" s="1200"/>
      <c r="V266" s="1201"/>
    </row>
    <row r="267" spans="1:22">
      <c r="A267" s="1195"/>
      <c r="B267" s="1196"/>
      <c r="C267" s="1196"/>
      <c r="D267" s="1196"/>
      <c r="E267" s="1197" t="str">
        <f t="shared" si="20"/>
        <v/>
      </c>
      <c r="F267" s="1198"/>
      <c r="G267" s="1198"/>
      <c r="H267" s="1198"/>
      <c r="I267" s="1198"/>
      <c r="J267" s="1199"/>
      <c r="K267" s="133"/>
      <c r="L267" s="62" t="str">
        <f t="shared" si="21"/>
        <v/>
      </c>
      <c r="M267" s="14"/>
      <c r="N267" s="89">
        <f t="array" ref="N267">SUM(IF((CsDJ[JEV Number]=TRIM($T251))*(CsDJ[Account Code]=TRIM(K267)),CsDJ[Debit]))</f>
        <v>0</v>
      </c>
      <c r="O267" s="89">
        <f t="array" ref="O267">SUM(IF((CsDJ[JEV Number]=TRIM($T251))*(CsDJ[Account Code]=TRIM(K267)),CsDJ[Credit]))</f>
        <v>0</v>
      </c>
      <c r="P267" s="1200">
        <f t="shared" si="22"/>
        <v>0</v>
      </c>
      <c r="Q267" s="1200"/>
      <c r="R267" s="1200"/>
      <c r="S267" s="1200">
        <f t="shared" si="23"/>
        <v>0</v>
      </c>
      <c r="T267" s="1200"/>
      <c r="U267" s="1200"/>
      <c r="V267" s="1201"/>
    </row>
    <row r="268" spans="1:22">
      <c r="A268" s="1195"/>
      <c r="B268" s="1196"/>
      <c r="C268" s="1196"/>
      <c r="D268" s="1196"/>
      <c r="E268" s="1197" t="str">
        <f t="shared" si="20"/>
        <v/>
      </c>
      <c r="F268" s="1198"/>
      <c r="G268" s="1198"/>
      <c r="H268" s="1198"/>
      <c r="I268" s="1198"/>
      <c r="J268" s="1199"/>
      <c r="K268" s="133"/>
      <c r="L268" s="62" t="str">
        <f t="shared" si="21"/>
        <v/>
      </c>
      <c r="M268" s="14"/>
      <c r="N268" s="89">
        <f t="array" ref="N268">SUM(IF((CsDJ[JEV Number]=TRIM($T251))*(CsDJ[Account Code]=TRIM(K268)),CsDJ[Debit]))</f>
        <v>0</v>
      </c>
      <c r="O268" s="89">
        <f t="array" ref="O268">SUM(IF((CsDJ[JEV Number]=TRIM($T251))*(CsDJ[Account Code]=TRIM(K268)),CsDJ[Credit]))</f>
        <v>0</v>
      </c>
      <c r="P268" s="1200">
        <f t="shared" si="22"/>
        <v>0</v>
      </c>
      <c r="Q268" s="1200"/>
      <c r="R268" s="1200"/>
      <c r="S268" s="1200">
        <f t="shared" si="23"/>
        <v>0</v>
      </c>
      <c r="T268" s="1200"/>
      <c r="U268" s="1200"/>
      <c r="V268" s="1201"/>
    </row>
    <row r="269" spans="1:22">
      <c r="A269" s="1195"/>
      <c r="B269" s="1196"/>
      <c r="C269" s="1196"/>
      <c r="D269" s="1196"/>
      <c r="E269" s="1197" t="str">
        <f t="shared" si="20"/>
        <v/>
      </c>
      <c r="F269" s="1198"/>
      <c r="G269" s="1198"/>
      <c r="H269" s="1198"/>
      <c r="I269" s="1198"/>
      <c r="J269" s="1199"/>
      <c r="K269" s="133"/>
      <c r="L269" s="62" t="str">
        <f t="shared" si="21"/>
        <v/>
      </c>
      <c r="M269" s="14"/>
      <c r="N269" s="89">
        <f t="array" ref="N269">SUM(IF((CsDJ[JEV Number]=TRIM($T251))*(CsDJ[Account Code]=TRIM(K269)),CsDJ[Debit]))</f>
        <v>0</v>
      </c>
      <c r="O269" s="89">
        <f t="array" ref="O269">SUM(IF((CsDJ[JEV Number]=TRIM($T251))*(CsDJ[Account Code]=TRIM(K269)),CsDJ[Credit]))</f>
        <v>0</v>
      </c>
      <c r="P269" s="1200">
        <f t="shared" si="22"/>
        <v>0</v>
      </c>
      <c r="Q269" s="1200"/>
      <c r="R269" s="1200"/>
      <c r="S269" s="1200">
        <f t="shared" si="23"/>
        <v>0</v>
      </c>
      <c r="T269" s="1200"/>
      <c r="U269" s="1200"/>
      <c r="V269" s="1201"/>
    </row>
    <row r="270" spans="1:22">
      <c r="A270" s="1195"/>
      <c r="B270" s="1196"/>
      <c r="C270" s="1196"/>
      <c r="D270" s="1196"/>
      <c r="E270" s="1197" t="str">
        <f t="shared" si="20"/>
        <v/>
      </c>
      <c r="F270" s="1198"/>
      <c r="G270" s="1198"/>
      <c r="H270" s="1198"/>
      <c r="I270" s="1198"/>
      <c r="J270" s="1199"/>
      <c r="K270" s="134"/>
      <c r="L270" s="62" t="str">
        <f t="shared" si="21"/>
        <v/>
      </c>
      <c r="M270" s="14"/>
      <c r="N270" s="89">
        <f t="array" ref="N270">SUM(IF((CsDJ[JEV Number]=TRIM($T251))*(CsDJ[Account Code]=TRIM(K270)),CsDJ[Debit]))</f>
        <v>0</v>
      </c>
      <c r="O270" s="89">
        <f t="array" ref="O270">SUM(IF((CsDJ[JEV Number]=TRIM($T251))*(CsDJ[Account Code]=TRIM(K270)),CsDJ[Credit]))</f>
        <v>0</v>
      </c>
      <c r="P270" s="1200">
        <f t="shared" si="22"/>
        <v>0</v>
      </c>
      <c r="Q270" s="1200"/>
      <c r="R270" s="1200"/>
      <c r="S270" s="1200">
        <f t="shared" si="23"/>
        <v>0</v>
      </c>
      <c r="T270" s="1200"/>
      <c r="U270" s="1200"/>
      <c r="V270" s="1201"/>
    </row>
    <row r="271" spans="1:22">
      <c r="A271" s="1195"/>
      <c r="B271" s="1196"/>
      <c r="C271" s="1196"/>
      <c r="D271" s="1196"/>
      <c r="E271" s="1197" t="str">
        <f t="shared" si="20"/>
        <v/>
      </c>
      <c r="F271" s="1198"/>
      <c r="G271" s="1198"/>
      <c r="H271" s="1198"/>
      <c r="I271" s="1198"/>
      <c r="J271" s="1199"/>
      <c r="K271" s="134"/>
      <c r="L271" s="62" t="str">
        <f t="shared" si="21"/>
        <v/>
      </c>
      <c r="M271" s="14"/>
      <c r="N271" s="89">
        <f t="array" ref="N271">SUM(IF((CsDJ[JEV Number]=TRIM($T251))*(CsDJ[Account Code]=TRIM(K271)),CsDJ[Debit]))</f>
        <v>0</v>
      </c>
      <c r="O271" s="89">
        <f t="array" ref="O271">SUM(IF((CsDJ[JEV Number]=TRIM($T251))*(CsDJ[Account Code]=TRIM(K271)),CsDJ[Credit]))</f>
        <v>0</v>
      </c>
      <c r="P271" s="1200">
        <f t="shared" si="22"/>
        <v>0</v>
      </c>
      <c r="Q271" s="1200"/>
      <c r="R271" s="1200"/>
      <c r="S271" s="1200">
        <f t="shared" si="23"/>
        <v>0</v>
      </c>
      <c r="T271" s="1200"/>
      <c r="U271" s="1200"/>
      <c r="V271" s="1201"/>
    </row>
    <row r="272" spans="1:22">
      <c r="A272" s="1195"/>
      <c r="B272" s="1196"/>
      <c r="C272" s="1196"/>
      <c r="D272" s="1196"/>
      <c r="E272" s="1197" t="str">
        <f t="shared" si="20"/>
        <v/>
      </c>
      <c r="F272" s="1198"/>
      <c r="G272" s="1198"/>
      <c r="H272" s="1198"/>
      <c r="I272" s="1198"/>
      <c r="J272" s="1199"/>
      <c r="K272" s="134"/>
      <c r="L272" s="62" t="str">
        <f t="shared" si="21"/>
        <v/>
      </c>
      <c r="M272" s="14"/>
      <c r="N272" s="89">
        <f t="array" ref="N272">SUM(IF((CsDJ[JEV Number]=TRIM($T251))*(CsDJ[Account Code]=TRIM(K272)),CsDJ[Debit]))</f>
        <v>0</v>
      </c>
      <c r="O272" s="89">
        <f t="array" ref="O272">SUM(IF((CsDJ[JEV Number]=TRIM($T251))*(CsDJ[Account Code]=TRIM(K272)),CsDJ[Credit]))</f>
        <v>0</v>
      </c>
      <c r="P272" s="1200">
        <f t="shared" si="22"/>
        <v>0</v>
      </c>
      <c r="Q272" s="1200"/>
      <c r="R272" s="1200"/>
      <c r="S272" s="1200">
        <f t="shared" si="23"/>
        <v>0</v>
      </c>
      <c r="T272" s="1200"/>
      <c r="U272" s="1200"/>
      <c r="V272" s="1201"/>
    </row>
    <row r="273" spans="1:22">
      <c r="A273" s="1195"/>
      <c r="B273" s="1196"/>
      <c r="C273" s="1196"/>
      <c r="D273" s="1196"/>
      <c r="E273" s="1197" t="str">
        <f t="shared" si="20"/>
        <v/>
      </c>
      <c r="F273" s="1198"/>
      <c r="G273" s="1198"/>
      <c r="H273" s="1198"/>
      <c r="I273" s="1198"/>
      <c r="J273" s="1199"/>
      <c r="K273" s="134"/>
      <c r="L273" s="62" t="str">
        <f t="shared" si="21"/>
        <v/>
      </c>
      <c r="M273" s="14"/>
      <c r="N273" s="89">
        <f t="array" ref="N273">SUM(IF((CsDJ[JEV Number]=TRIM($T251))*(CsDJ[Account Code]=TRIM(K273)),CsDJ[Debit]))</f>
        <v>0</v>
      </c>
      <c r="O273" s="89">
        <f t="array" ref="O273">SUM(IF((CsDJ[JEV Number]=TRIM($T251))*(CsDJ[Account Code]=TRIM(K273)),CsDJ[Credit]))</f>
        <v>0</v>
      </c>
      <c r="P273" s="1200">
        <f t="shared" si="22"/>
        <v>0</v>
      </c>
      <c r="Q273" s="1200"/>
      <c r="R273" s="1200"/>
      <c r="S273" s="1200">
        <f t="shared" si="23"/>
        <v>0</v>
      </c>
      <c r="T273" s="1200"/>
      <c r="U273" s="1200"/>
      <c r="V273" s="1201"/>
    </row>
    <row r="274" spans="1:22">
      <c r="A274" s="1195"/>
      <c r="B274" s="1196"/>
      <c r="C274" s="1196"/>
      <c r="D274" s="1196"/>
      <c r="E274" s="1197" t="str">
        <f t="shared" si="20"/>
        <v/>
      </c>
      <c r="F274" s="1198"/>
      <c r="G274" s="1198"/>
      <c r="H274" s="1198"/>
      <c r="I274" s="1198"/>
      <c r="J274" s="1199"/>
      <c r="K274" s="134"/>
      <c r="L274" s="62" t="str">
        <f t="shared" si="21"/>
        <v/>
      </c>
      <c r="M274" s="14"/>
      <c r="N274" s="89">
        <f t="array" ref="N274">SUM(IF((CsDJ[JEV Number]=TRIM($T251))*(CsDJ[Account Code]=TRIM(K274)),CsDJ[Debit]))</f>
        <v>0</v>
      </c>
      <c r="O274" s="89">
        <f t="array" ref="O274">SUM(IF((CsDJ[JEV Number]=TRIM($T251))*(CsDJ[Account Code]=TRIM(K274)),CsDJ[Credit]))</f>
        <v>0</v>
      </c>
      <c r="P274" s="1200">
        <f t="shared" si="22"/>
        <v>0</v>
      </c>
      <c r="Q274" s="1200"/>
      <c r="R274" s="1200"/>
      <c r="S274" s="1200">
        <f t="shared" si="23"/>
        <v>0</v>
      </c>
      <c r="T274" s="1200"/>
      <c r="U274" s="1200"/>
      <c r="V274" s="1201"/>
    </row>
    <row r="275" spans="1:22">
      <c r="A275" s="1195"/>
      <c r="B275" s="1196"/>
      <c r="C275" s="1196"/>
      <c r="D275" s="1196"/>
      <c r="E275" s="1197" t="str">
        <f t="shared" si="20"/>
        <v/>
      </c>
      <c r="F275" s="1198"/>
      <c r="G275" s="1198"/>
      <c r="H275" s="1198"/>
      <c r="I275" s="1198"/>
      <c r="J275" s="1199"/>
      <c r="K275" s="134"/>
      <c r="L275" s="62" t="str">
        <f t="shared" si="21"/>
        <v/>
      </c>
      <c r="M275" s="14"/>
      <c r="N275" s="89">
        <f t="array" ref="N275">SUM(IF((CsDJ[JEV Number]=TRIM($T251))*(CsDJ[Account Code]=TRIM(K275)),CsDJ[Debit]))</f>
        <v>0</v>
      </c>
      <c r="O275" s="89">
        <f t="array" ref="O275">SUM(IF((CsDJ[JEV Number]=TRIM($T251))*(CsDJ[Account Code]=TRIM(K275)),CsDJ[Credit]))</f>
        <v>0</v>
      </c>
      <c r="P275" s="1200">
        <f t="shared" si="22"/>
        <v>0</v>
      </c>
      <c r="Q275" s="1200"/>
      <c r="R275" s="1200"/>
      <c r="S275" s="1200">
        <f t="shared" si="23"/>
        <v>0</v>
      </c>
      <c r="T275" s="1200"/>
      <c r="U275" s="1200"/>
      <c r="V275" s="1201"/>
    </row>
    <row r="276" spans="1:22">
      <c r="A276" s="1195"/>
      <c r="B276" s="1196"/>
      <c r="C276" s="1196"/>
      <c r="D276" s="1196"/>
      <c r="E276" s="1197" t="str">
        <f t="shared" si="20"/>
        <v/>
      </c>
      <c r="F276" s="1198"/>
      <c r="G276" s="1198"/>
      <c r="H276" s="1198"/>
      <c r="I276" s="1198"/>
      <c r="J276" s="1199"/>
      <c r="K276" s="134"/>
      <c r="L276" s="62" t="str">
        <f t="shared" si="21"/>
        <v/>
      </c>
      <c r="M276" s="14"/>
      <c r="N276" s="89">
        <f t="array" ref="N276">SUM(IF((CsDJ[JEV Number]=TRIM($T251))*(CsDJ[Account Code]=TRIM(K276)),CsDJ[Debit]))</f>
        <v>0</v>
      </c>
      <c r="O276" s="89">
        <f t="array" ref="O276">SUM(IF((CsDJ[JEV Number]=TRIM($T251))*(CsDJ[Account Code]=TRIM(K276)),CsDJ[Credit]))</f>
        <v>0</v>
      </c>
      <c r="P276" s="1200">
        <f t="shared" si="22"/>
        <v>0</v>
      </c>
      <c r="Q276" s="1200"/>
      <c r="R276" s="1200"/>
      <c r="S276" s="1200">
        <f t="shared" si="23"/>
        <v>0</v>
      </c>
      <c r="T276" s="1200"/>
      <c r="U276" s="1200"/>
      <c r="V276" s="1201"/>
    </row>
    <row r="277" spans="1:22">
      <c r="A277" s="1195"/>
      <c r="B277" s="1196"/>
      <c r="C277" s="1196"/>
      <c r="D277" s="1196"/>
      <c r="E277" s="1197" t="str">
        <f t="shared" si="20"/>
        <v/>
      </c>
      <c r="F277" s="1198"/>
      <c r="G277" s="1198"/>
      <c r="H277" s="1198"/>
      <c r="I277" s="1198"/>
      <c r="J277" s="1199"/>
      <c r="K277" s="134"/>
      <c r="L277" s="62" t="str">
        <f t="shared" si="21"/>
        <v/>
      </c>
      <c r="M277" s="14"/>
      <c r="N277" s="89">
        <f t="array" ref="N277">SUM(IF((CsDJ[JEV Number]=TRIM($T251))*(CsDJ[Account Code]=TRIM(K277)),CsDJ[Debit]))</f>
        <v>0</v>
      </c>
      <c r="O277" s="89">
        <f t="array" ref="O277">SUM(IF((CsDJ[JEV Number]=TRIM($T251))*(CsDJ[Account Code]=TRIM(K277)),CsDJ[Credit]))</f>
        <v>0</v>
      </c>
      <c r="P277" s="1200">
        <f t="shared" si="22"/>
        <v>0</v>
      </c>
      <c r="Q277" s="1200"/>
      <c r="R277" s="1200"/>
      <c r="S277" s="1200">
        <f t="shared" si="23"/>
        <v>0</v>
      </c>
      <c r="T277" s="1200"/>
      <c r="U277" s="1200"/>
      <c r="V277" s="1201"/>
    </row>
    <row r="278" spans="1:22">
      <c r="A278" s="1195"/>
      <c r="B278" s="1196"/>
      <c r="C278" s="1196"/>
      <c r="D278" s="1196"/>
      <c r="E278" s="1197" t="str">
        <f t="shared" si="20"/>
        <v/>
      </c>
      <c r="F278" s="1198"/>
      <c r="G278" s="1198"/>
      <c r="H278" s="1198"/>
      <c r="I278" s="1198"/>
      <c r="J278" s="1199"/>
      <c r="K278" s="134"/>
      <c r="L278" s="62" t="str">
        <f t="shared" si="21"/>
        <v/>
      </c>
      <c r="M278" s="14"/>
      <c r="N278" s="89">
        <f t="array" ref="N278">SUM(IF((CsDJ[JEV Number]=TRIM($T251))*(CsDJ[Account Code]=TRIM(K278)),CsDJ[Debit]))</f>
        <v>0</v>
      </c>
      <c r="O278" s="89">
        <f t="array" ref="O278">SUM(IF((CsDJ[JEV Number]=TRIM($T251))*(CsDJ[Account Code]=TRIM(K278)),CsDJ[Credit]))</f>
        <v>0</v>
      </c>
      <c r="P278" s="1200">
        <f t="shared" si="22"/>
        <v>0</v>
      </c>
      <c r="Q278" s="1200"/>
      <c r="R278" s="1200"/>
      <c r="S278" s="1200">
        <f t="shared" si="23"/>
        <v>0</v>
      </c>
      <c r="T278" s="1200"/>
      <c r="U278" s="1200"/>
      <c r="V278" s="1201"/>
    </row>
    <row r="279" spans="1:22">
      <c r="A279" s="1195"/>
      <c r="B279" s="1196"/>
      <c r="C279" s="1196"/>
      <c r="D279" s="1196"/>
      <c r="E279" s="1197" t="str">
        <f t="shared" si="20"/>
        <v/>
      </c>
      <c r="F279" s="1198"/>
      <c r="G279" s="1198"/>
      <c r="H279" s="1198"/>
      <c r="I279" s="1198"/>
      <c r="J279" s="1199"/>
      <c r="K279" s="134"/>
      <c r="L279" s="62" t="str">
        <f t="shared" si="21"/>
        <v/>
      </c>
      <c r="M279" s="14"/>
      <c r="N279" s="89">
        <f t="array" ref="N279">SUM(IF((CsDJ[JEV Number]=TRIM($T251))*(CsDJ[Account Code]=TRIM(K279)),CsDJ[Debit]))</f>
        <v>0</v>
      </c>
      <c r="O279" s="89">
        <f t="array" ref="O279">SUM(IF((CsDJ[JEV Number]=TRIM($T251))*(CsDJ[Account Code]=TRIM(K279)),CsDJ[Credit]))</f>
        <v>0</v>
      </c>
      <c r="P279" s="1200">
        <f t="shared" si="22"/>
        <v>0</v>
      </c>
      <c r="Q279" s="1200"/>
      <c r="R279" s="1200"/>
      <c r="S279" s="1200">
        <f t="shared" si="23"/>
        <v>0</v>
      </c>
      <c r="T279" s="1200"/>
      <c r="U279" s="1200"/>
      <c r="V279" s="1201"/>
    </row>
    <row r="280" spans="1:22">
      <c r="A280" s="1195"/>
      <c r="B280" s="1196"/>
      <c r="C280" s="1196"/>
      <c r="D280" s="1196"/>
      <c r="E280" s="1197" t="str">
        <f t="shared" si="20"/>
        <v/>
      </c>
      <c r="F280" s="1198"/>
      <c r="G280" s="1198"/>
      <c r="H280" s="1198"/>
      <c r="I280" s="1198"/>
      <c r="J280" s="1199"/>
      <c r="K280" s="134"/>
      <c r="L280" s="62" t="str">
        <f t="shared" si="21"/>
        <v/>
      </c>
      <c r="M280" s="14"/>
      <c r="N280" s="89">
        <f t="array" ref="N280">SUM(IF((CsDJ[JEV Number]=TRIM($T251))*(CsDJ[Account Code]=TRIM(K280)),CsDJ[Debit]))</f>
        <v>0</v>
      </c>
      <c r="O280" s="89">
        <f t="array" ref="O280">SUM(IF((CsDJ[JEV Number]=TRIM($T251))*(CsDJ[Account Code]=TRIM(K280)),CsDJ[Credit]))</f>
        <v>0</v>
      </c>
      <c r="P280" s="1200">
        <f t="shared" si="22"/>
        <v>0</v>
      </c>
      <c r="Q280" s="1200"/>
      <c r="R280" s="1200"/>
      <c r="S280" s="1200">
        <f t="shared" si="23"/>
        <v>0</v>
      </c>
      <c r="T280" s="1200"/>
      <c r="U280" s="1200"/>
      <c r="V280" s="1201"/>
    </row>
    <row r="281" spans="1:22">
      <c r="A281" s="1195"/>
      <c r="B281" s="1196"/>
      <c r="C281" s="1196"/>
      <c r="D281" s="1196"/>
      <c r="E281" s="1197" t="str">
        <f t="shared" si="20"/>
        <v/>
      </c>
      <c r="F281" s="1198"/>
      <c r="G281" s="1198"/>
      <c r="H281" s="1198"/>
      <c r="I281" s="1198"/>
      <c r="J281" s="1199"/>
      <c r="K281" s="134"/>
      <c r="L281" s="62" t="str">
        <f t="shared" si="21"/>
        <v/>
      </c>
      <c r="M281" s="14"/>
      <c r="N281" s="89">
        <f t="array" ref="N281">SUM(IF((CsDJ[JEV Number]=TRIM($T251))*(CsDJ[Account Code]=TRIM(K281)),CsDJ[Debit]))</f>
        <v>0</v>
      </c>
      <c r="O281" s="89">
        <f t="array" ref="O281">SUM(IF((CsDJ[JEV Number]=TRIM($T251))*(CsDJ[Account Code]=TRIM(K281)),CsDJ[Credit]))</f>
        <v>0</v>
      </c>
      <c r="P281" s="1200">
        <f t="shared" si="22"/>
        <v>0</v>
      </c>
      <c r="Q281" s="1200"/>
      <c r="R281" s="1200"/>
      <c r="S281" s="1200">
        <f t="shared" si="23"/>
        <v>0</v>
      </c>
      <c r="T281" s="1200"/>
      <c r="U281" s="1200"/>
      <c r="V281" s="1201"/>
    </row>
    <row r="282" spans="1:22">
      <c r="A282" s="1195"/>
      <c r="B282" s="1196"/>
      <c r="C282" s="1196"/>
      <c r="D282" s="1196"/>
      <c r="E282" s="1197" t="str">
        <f t="shared" si="20"/>
        <v/>
      </c>
      <c r="F282" s="1198"/>
      <c r="G282" s="1198"/>
      <c r="H282" s="1198"/>
      <c r="I282" s="1198"/>
      <c r="J282" s="1199"/>
      <c r="K282" s="134"/>
      <c r="L282" s="62" t="str">
        <f t="shared" si="21"/>
        <v/>
      </c>
      <c r="M282" s="14"/>
      <c r="N282" s="89">
        <f t="array" ref="N282">SUM(IF((CsDJ[JEV Number]=TRIM($T251))*(CsDJ[Account Code]=TRIM(K282)),CsDJ[Debit]))</f>
        <v>0</v>
      </c>
      <c r="O282" s="89">
        <f t="array" ref="O282">SUM(IF((CsDJ[JEV Number]=TRIM($T251))*(CsDJ[Account Code]=TRIM(K282)),CsDJ[Credit]))</f>
        <v>0</v>
      </c>
      <c r="P282" s="1200">
        <f t="shared" si="22"/>
        <v>0</v>
      </c>
      <c r="Q282" s="1200"/>
      <c r="R282" s="1200"/>
      <c r="S282" s="1200">
        <f t="shared" si="23"/>
        <v>0</v>
      </c>
      <c r="T282" s="1200"/>
      <c r="U282" s="1200"/>
      <c r="V282" s="1201"/>
    </row>
    <row r="283" spans="1:22">
      <c r="A283" s="1195"/>
      <c r="B283" s="1196"/>
      <c r="C283" s="1196"/>
      <c r="D283" s="1196"/>
      <c r="E283" s="1197" t="str">
        <f t="shared" si="20"/>
        <v/>
      </c>
      <c r="F283" s="1198"/>
      <c r="G283" s="1198"/>
      <c r="H283" s="1198"/>
      <c r="I283" s="1198"/>
      <c r="J283" s="1199"/>
      <c r="K283" s="134"/>
      <c r="L283" s="62" t="str">
        <f t="shared" si="21"/>
        <v/>
      </c>
      <c r="M283" s="14"/>
      <c r="N283" s="89">
        <f t="array" ref="N283">SUM(IF((CsDJ[JEV Number]=TRIM($T251))*(CsDJ[Account Code]=TRIM(K283)),CsDJ[Debit]))</f>
        <v>0</v>
      </c>
      <c r="O283" s="89">
        <f t="array" ref="O283">SUM(IF((CsDJ[JEV Number]=TRIM($T251))*(CsDJ[Account Code]=TRIM(K283)),CsDJ[Credit]))</f>
        <v>0</v>
      </c>
      <c r="P283" s="1200">
        <f t="shared" si="22"/>
        <v>0</v>
      </c>
      <c r="Q283" s="1200"/>
      <c r="R283" s="1200"/>
      <c r="S283" s="1200">
        <f t="shared" si="23"/>
        <v>0</v>
      </c>
      <c r="T283" s="1200"/>
      <c r="U283" s="1200"/>
      <c r="V283" s="1201"/>
    </row>
    <row r="284" spans="1:22">
      <c r="A284" s="1195"/>
      <c r="B284" s="1196"/>
      <c r="C284" s="1196"/>
      <c r="D284" s="1196"/>
      <c r="E284" s="1197" t="str">
        <f t="shared" si="20"/>
        <v/>
      </c>
      <c r="F284" s="1198"/>
      <c r="G284" s="1198"/>
      <c r="H284" s="1198"/>
      <c r="I284" s="1198"/>
      <c r="J284" s="1199"/>
      <c r="K284" s="134"/>
      <c r="L284" s="62" t="str">
        <f t="shared" si="21"/>
        <v/>
      </c>
      <c r="M284" s="14"/>
      <c r="N284" s="89">
        <f t="array" ref="N284">SUM(IF((CsDJ[JEV Number]=TRIM($T251))*(CsDJ[Account Code]=TRIM(K284)),CsDJ[Debit]))</f>
        <v>0</v>
      </c>
      <c r="O284" s="89">
        <f t="array" ref="O284">SUM(IF((CsDJ[JEV Number]=TRIM($T251))*(CsDJ[Account Code]=TRIM(K284)),CsDJ[Credit]))</f>
        <v>0</v>
      </c>
      <c r="P284" s="1200">
        <f t="shared" si="22"/>
        <v>0</v>
      </c>
      <c r="Q284" s="1200"/>
      <c r="R284" s="1200"/>
      <c r="S284" s="1200">
        <f t="shared" si="23"/>
        <v>0</v>
      </c>
      <c r="T284" s="1200"/>
      <c r="U284" s="1200"/>
      <c r="V284" s="1201"/>
    </row>
    <row r="285" spans="1:22">
      <c r="A285" s="1195"/>
      <c r="B285" s="1196"/>
      <c r="C285" s="1196"/>
      <c r="D285" s="1196"/>
      <c r="E285" s="1257" t="s">
        <v>468</v>
      </c>
      <c r="F285" s="1258"/>
      <c r="G285" s="1258"/>
      <c r="H285" s="1258"/>
      <c r="I285" s="1258"/>
      <c r="J285" s="1259"/>
      <c r="K285" s="133"/>
      <c r="L285" s="62" t="str">
        <f t="shared" si="21"/>
        <v/>
      </c>
      <c r="M285" s="14"/>
      <c r="N285" s="89">
        <f t="array" ref="N285">SUM(IF((CsDJ[JEV Number]=TRIM($T251))*(CsDJ[Account Code]=TRIM(K285)),CsDJ[Debit]))</f>
        <v>0</v>
      </c>
      <c r="O285" s="89">
        <f t="array" ref="O285">SUM(IF((CsDJ[JEV Number]=TRIM($T251))*(CsDJ[Account Code]=TRIM(K285)),CsDJ[Credit]))</f>
        <v>0</v>
      </c>
      <c r="P285" s="1200">
        <f t="shared" si="22"/>
        <v>0</v>
      </c>
      <c r="Q285" s="1200"/>
      <c r="R285" s="1200"/>
      <c r="S285" s="1200">
        <f t="shared" si="23"/>
        <v>0</v>
      </c>
      <c r="T285" s="1200"/>
      <c r="U285" s="1200"/>
      <c r="V285" s="1201"/>
    </row>
    <row r="286" spans="1:22">
      <c r="A286" s="1195"/>
      <c r="B286" s="1196"/>
      <c r="C286" s="1196"/>
      <c r="D286" s="1196"/>
      <c r="E286" s="1202" t="s">
        <v>457</v>
      </c>
      <c r="F286" s="1203"/>
      <c r="G286" s="1203"/>
      <c r="H286" s="1203"/>
      <c r="I286" s="1207">
        <f>T252</f>
        <v>0</v>
      </c>
      <c r="J286" s="1208"/>
      <c r="K286" s="133"/>
      <c r="L286" s="62" t="str">
        <f t="shared" si="21"/>
        <v/>
      </c>
      <c r="M286" s="14"/>
      <c r="N286" s="89">
        <f t="array" ref="N286">SUM(IF((CsDJ[JEV Number]=TRIM($T251))*(CsDJ[Account Code]=TRIM(K286)),CsDJ[Debit]))</f>
        <v>0</v>
      </c>
      <c r="O286" s="89">
        <f t="array" ref="O286">SUM(IF((CsDJ[JEV Number]=TRIM($T251))*(CsDJ[Account Code]=TRIM(K286)),CsDJ[Credit]))</f>
        <v>0</v>
      </c>
      <c r="P286" s="1200">
        <f t="shared" si="22"/>
        <v>0</v>
      </c>
      <c r="Q286" s="1200"/>
      <c r="R286" s="1200"/>
      <c r="S286" s="1200">
        <f t="shared" si="23"/>
        <v>0</v>
      </c>
      <c r="T286" s="1200"/>
      <c r="U286" s="1200"/>
      <c r="V286" s="1201"/>
    </row>
    <row r="287" spans="1:22">
      <c r="A287" s="1195"/>
      <c r="B287" s="1196"/>
      <c r="C287" s="1196"/>
      <c r="D287" s="1196"/>
      <c r="E287" s="1202" t="s">
        <v>458</v>
      </c>
      <c r="F287" s="1203"/>
      <c r="G287" s="1203"/>
      <c r="H287" s="1203"/>
      <c r="I287" s="1263">
        <f>IF(T251=0,0,(IF(LOOKUP(T251,CsDJ[JEV Number],CsDJ[Sort Code])="1","MA. VIVIAN C. SALAS",IF(LOOKUP(T251,CsDJ[JEV Number],CsDJ[Sort Code])="2","LUZ R. DE COZAR",IF(LOOKUP(T251,CsDJ[JEV Number],CsDJ[Sort Code])="3","MINEONETTE A. DELA CRUZ",IF(LOOKUP(T251,CsDJ[JEV Number],CsDJ[Sort Code])="4","RESELLA B. LOPEZ"))))))</f>
        <v>0</v>
      </c>
      <c r="J287" s="1264"/>
      <c r="K287" s="133"/>
      <c r="L287" s="62" t="str">
        <f t="shared" si="21"/>
        <v/>
      </c>
      <c r="M287" s="14"/>
      <c r="N287" s="89">
        <f t="array" ref="N287">SUM(IF((CsDJ[JEV Number]=TRIM($T251))*(CsDJ[Account Code]=TRIM(K287)),CsDJ[Debit]))</f>
        <v>0</v>
      </c>
      <c r="O287" s="89">
        <f t="array" ref="O287">SUM(IF((CsDJ[JEV Number]=TRIM($T251))*(CsDJ[Account Code]=TRIM(K287)),CsDJ[Credit]))</f>
        <v>0</v>
      </c>
      <c r="P287" s="1200">
        <f t="shared" si="22"/>
        <v>0</v>
      </c>
      <c r="Q287" s="1200"/>
      <c r="R287" s="1200"/>
      <c r="S287" s="1200">
        <f t="shared" si="23"/>
        <v>0</v>
      </c>
      <c r="T287" s="1200"/>
      <c r="U287" s="1200"/>
      <c r="V287" s="1201"/>
    </row>
    <row r="288" spans="1:22">
      <c r="A288" s="1195"/>
      <c r="B288" s="1196"/>
      <c r="C288" s="1196"/>
      <c r="D288" s="1196"/>
      <c r="E288" s="1202" t="s">
        <v>459</v>
      </c>
      <c r="F288" s="1203"/>
      <c r="G288" s="1203"/>
      <c r="H288" s="1203"/>
      <c r="I288" s="1204">
        <f>IF(I287="Ma. Vivian C. Salas","Regional Office", IF(I287="Luz R. De Cozar","BANE IMO", IF(I287="Mineonette A. Dela Cruz","PAMBAT IMO", IF(I287="Resella B. Lopez","TARZAM IMO",0))))</f>
        <v>0</v>
      </c>
      <c r="J288" s="1205"/>
      <c r="K288" s="133"/>
      <c r="L288" s="62" t="str">
        <f t="shared" si="21"/>
        <v/>
      </c>
      <c r="M288" s="14"/>
      <c r="N288" s="89">
        <f t="array" ref="N288">SUM(IF((CsDJ[JEV Number]=TRIM($T251))*(CsDJ[Account Code]=TRIM(K288)),CsDJ[Debit]))</f>
        <v>0</v>
      </c>
      <c r="O288" s="89">
        <f t="array" ref="O288">SUM(IF((CsDJ[JEV Number]=TRIM($T251))*(CsDJ[Account Code]=TRIM(K288)),CsDJ[Credit]))</f>
        <v>0</v>
      </c>
      <c r="P288" s="1200">
        <f t="shared" si="22"/>
        <v>0</v>
      </c>
      <c r="Q288" s="1200"/>
      <c r="R288" s="1200"/>
      <c r="S288" s="1200">
        <f t="shared" si="23"/>
        <v>0</v>
      </c>
      <c r="T288" s="1200"/>
      <c r="U288" s="1200"/>
      <c r="V288" s="1201"/>
    </row>
    <row r="289" spans="1:22">
      <c r="A289" s="1195"/>
      <c r="B289" s="1196"/>
      <c r="C289" s="1196"/>
      <c r="D289" s="1196"/>
      <c r="E289" s="1202"/>
      <c r="F289" s="1203"/>
      <c r="G289" s="1203"/>
      <c r="H289" s="1203"/>
      <c r="I289" s="1203"/>
      <c r="J289" s="1206"/>
      <c r="K289" s="133"/>
      <c r="L289" s="62" t="str">
        <f t="shared" si="21"/>
        <v/>
      </c>
      <c r="M289" s="14"/>
      <c r="N289" s="89">
        <f t="array" ref="N289">SUM(IF((CsDJ[JEV Number]=TRIM($T251))*(CsDJ[Account Code]=TRIM(K289)),CsDJ[Debit]))</f>
        <v>0</v>
      </c>
      <c r="O289" s="89">
        <f t="array" ref="O289">SUM(IF((CsDJ[JEV Number]=TRIM($T251))*(CsDJ[Account Code]=TRIM(K289)),CsDJ[Credit]))</f>
        <v>0</v>
      </c>
      <c r="P289" s="1200">
        <f t="shared" si="22"/>
        <v>0</v>
      </c>
      <c r="Q289" s="1200"/>
      <c r="R289" s="1200"/>
      <c r="S289" s="1200">
        <f t="shared" si="23"/>
        <v>0</v>
      </c>
      <c r="T289" s="1200"/>
      <c r="U289" s="1200"/>
      <c r="V289" s="1201"/>
    </row>
    <row r="290" spans="1:22" ht="16.5" thickBot="1">
      <c r="A290" s="1188"/>
      <c r="B290" s="1189"/>
      <c r="C290" s="1189"/>
      <c r="D290" s="1189"/>
      <c r="E290" s="1189"/>
      <c r="F290" s="1189"/>
      <c r="G290" s="1189"/>
      <c r="H290" s="1189"/>
      <c r="I290" s="1189"/>
      <c r="J290" s="1189"/>
      <c r="K290" s="1189"/>
      <c r="L290" s="1189"/>
      <c r="M290" s="1190"/>
      <c r="N290" s="88"/>
      <c r="O290" s="88"/>
      <c r="P290" s="1191">
        <f>SUM(P260:R289)</f>
        <v>0</v>
      </c>
      <c r="Q290" s="1191"/>
      <c r="R290" s="1191"/>
      <c r="S290" s="1191">
        <f>SUM(S260:V289)</f>
        <v>0</v>
      </c>
      <c r="T290" s="1191"/>
      <c r="U290" s="1191"/>
      <c r="V290" s="1192"/>
    </row>
    <row r="291" spans="1:22">
      <c r="A291" s="63"/>
      <c r="B291" s="64"/>
      <c r="C291" s="64"/>
      <c r="D291" s="64"/>
      <c r="E291" s="64"/>
      <c r="F291" s="64"/>
      <c r="G291" s="64"/>
      <c r="H291" s="64"/>
      <c r="I291" s="65"/>
      <c r="J291" s="64"/>
      <c r="K291" s="66"/>
      <c r="L291" s="64"/>
      <c r="M291" s="65"/>
      <c r="N291" s="64"/>
      <c r="O291" s="64"/>
      <c r="P291" s="1193"/>
      <c r="Q291" s="1193"/>
      <c r="R291" s="1193"/>
      <c r="S291" s="1193"/>
      <c r="T291" s="1193"/>
      <c r="U291" s="1193"/>
      <c r="V291" s="1194"/>
    </row>
    <row r="292" spans="1:22">
      <c r="A292" s="67" t="s">
        <v>460</v>
      </c>
      <c r="B292"/>
      <c r="C292"/>
      <c r="D292"/>
      <c r="E292"/>
      <c r="F292"/>
      <c r="G292"/>
      <c r="H292"/>
      <c r="I292" s="68" t="s">
        <v>353</v>
      </c>
      <c r="J292" s="69"/>
      <c r="K292" s="69"/>
      <c r="L292"/>
      <c r="M292" s="68" t="s">
        <v>461</v>
      </c>
      <c r="N292" s="69"/>
      <c r="O292" s="69"/>
      <c r="P292" s="70"/>
      <c r="Q292" s="70"/>
      <c r="R292" s="70"/>
      <c r="S292" s="70"/>
      <c r="T292" s="70"/>
      <c r="U292" s="70"/>
      <c r="V292" s="71"/>
    </row>
    <row r="293" spans="1:22">
      <c r="A293" s="37"/>
      <c r="B293"/>
      <c r="C293"/>
      <c r="D293"/>
      <c r="E293"/>
      <c r="F293"/>
      <c r="G293"/>
      <c r="H293"/>
      <c r="I293" s="72"/>
      <c r="J293"/>
      <c r="K293"/>
      <c r="L293"/>
      <c r="M293" s="72"/>
      <c r="N293"/>
      <c r="O293"/>
      <c r="P293"/>
      <c r="Q293"/>
      <c r="R293"/>
      <c r="S293"/>
      <c r="T293"/>
      <c r="U293"/>
      <c r="V293" s="73"/>
    </row>
    <row r="294" spans="1:22">
      <c r="A294" s="74" t="s">
        <v>462</v>
      </c>
      <c r="B294" s="75"/>
      <c r="C294" s="75"/>
      <c r="D294" s="75"/>
      <c r="E294" s="75"/>
      <c r="F294" s="75"/>
      <c r="G294" s="75"/>
      <c r="H294" s="76"/>
      <c r="I294" s="77" t="s">
        <v>380</v>
      </c>
      <c r="J294" s="75"/>
      <c r="K294" s="75"/>
      <c r="L294" s="76"/>
      <c r="M294" s="77" t="s">
        <v>3</v>
      </c>
      <c r="N294" s="75"/>
      <c r="O294" s="75"/>
      <c r="P294" s="75"/>
      <c r="Q294" s="75"/>
      <c r="R294" s="75"/>
      <c r="S294" s="75"/>
      <c r="T294" s="75"/>
      <c r="U294" s="75"/>
      <c r="V294" s="78"/>
    </row>
    <row r="295" spans="1:22">
      <c r="A295" s="79" t="s">
        <v>463</v>
      </c>
      <c r="B295" s="80"/>
      <c r="C295" s="80"/>
      <c r="D295" s="80"/>
      <c r="E295" s="80"/>
      <c r="F295" s="80"/>
      <c r="G295" s="80"/>
      <c r="H295" s="80"/>
      <c r="I295" s="81" t="s">
        <v>381</v>
      </c>
      <c r="J295" s="80"/>
      <c r="K295" s="80"/>
      <c r="L295" s="80"/>
      <c r="M295" s="81" t="s">
        <v>464</v>
      </c>
      <c r="N295" s="80"/>
      <c r="O295" s="80"/>
      <c r="P295" s="82"/>
      <c r="Q295" s="82"/>
      <c r="R295" s="82"/>
      <c r="S295" s="82"/>
      <c r="T295" s="82"/>
      <c r="U295" s="82"/>
      <c r="V295" s="83"/>
    </row>
    <row r="296" spans="1:22" ht="16.5" thickBot="1">
      <c r="A296" s="84" t="s">
        <v>465</v>
      </c>
      <c r="B296" s="43"/>
      <c r="C296" s="43"/>
      <c r="D296" s="43"/>
      <c r="E296" s="43"/>
      <c r="F296" s="43"/>
      <c r="G296" s="43"/>
      <c r="H296" s="43"/>
      <c r="I296" s="85"/>
      <c r="J296" s="43"/>
      <c r="K296" s="43"/>
      <c r="L296" s="43"/>
      <c r="M296" s="85"/>
      <c r="N296" s="43"/>
      <c r="O296" s="43"/>
      <c r="P296" s="43"/>
      <c r="Q296" s="43"/>
      <c r="R296" s="43"/>
      <c r="S296" s="43"/>
      <c r="T296" s="43"/>
      <c r="U296" s="43"/>
      <c r="V296" s="44"/>
    </row>
    <row r="297" spans="1:22" ht="22.5">
      <c r="A297" s="31" t="s">
        <v>441</v>
      </c>
      <c r="B297" s="32"/>
      <c r="C297" s="32"/>
      <c r="D297" s="32"/>
      <c r="E297" s="32"/>
      <c r="F297" s="32"/>
      <c r="G297" s="32"/>
      <c r="H297" s="32"/>
      <c r="I297" s="32"/>
      <c r="J297" s="32"/>
      <c r="K297" s="32"/>
      <c r="L297" s="32"/>
      <c r="M297" s="32"/>
      <c r="N297" s="32"/>
      <c r="O297" s="32"/>
      <c r="P297" s="32"/>
      <c r="Q297" s="33"/>
      <c r="R297" s="1218">
        <f>+P337-S337</f>
        <v>0</v>
      </c>
      <c r="S297" s="1219"/>
      <c r="T297" s="1219"/>
      <c r="U297" s="1219"/>
      <c r="V297" s="1220"/>
    </row>
    <row r="298" spans="1:22">
      <c r="A298" s="34" t="s">
        <v>442</v>
      </c>
      <c r="B298" s="35"/>
      <c r="C298" s="35"/>
      <c r="D298" s="35"/>
      <c r="E298" s="35"/>
      <c r="F298" s="35"/>
      <c r="G298" s="35"/>
      <c r="H298" s="35"/>
      <c r="I298" s="35"/>
      <c r="J298" s="35"/>
      <c r="K298" s="35"/>
      <c r="L298" s="35"/>
      <c r="M298" s="35"/>
      <c r="N298" s="35"/>
      <c r="O298" s="35"/>
      <c r="P298" s="35"/>
      <c r="Q298" s="36"/>
      <c r="R298" s="37" t="s">
        <v>443</v>
      </c>
      <c r="S298"/>
      <c r="T298" s="1221"/>
      <c r="U298" s="1221"/>
      <c r="V298" s="1222"/>
    </row>
    <row r="299" spans="1:22">
      <c r="A299" s="38" t="s">
        <v>444</v>
      </c>
      <c r="B299" s="35"/>
      <c r="C299" s="35"/>
      <c r="D299" s="35"/>
      <c r="E299" s="35"/>
      <c r="F299" s="35"/>
      <c r="G299" s="35"/>
      <c r="H299" s="35"/>
      <c r="I299" s="35"/>
      <c r="J299" s="35"/>
      <c r="K299" s="35"/>
      <c r="L299" s="35"/>
      <c r="M299" s="35"/>
      <c r="N299" s="35"/>
      <c r="O299" s="35"/>
      <c r="P299" s="35"/>
      <c r="Q299" s="36"/>
      <c r="R299" s="37" t="s">
        <v>0</v>
      </c>
      <c r="S299"/>
      <c r="T299" s="1223">
        <f>IF(T298=0,0,(LOOKUP(T298,CsDJ[JEV Number],CsDJ[Date])))</f>
        <v>0</v>
      </c>
      <c r="U299" s="1223"/>
      <c r="V299" s="1224"/>
    </row>
    <row r="300" spans="1:22" ht="16.5" thickBot="1">
      <c r="A300" s="39"/>
      <c r="B300" s="40"/>
      <c r="C300" s="40"/>
      <c r="D300" s="40"/>
      <c r="E300" s="40"/>
      <c r="F300" s="40"/>
      <c r="G300" s="40"/>
      <c r="H300" s="40"/>
      <c r="I300" s="40"/>
      <c r="J300" s="40"/>
      <c r="K300" s="40"/>
      <c r="L300" s="40"/>
      <c r="M300" s="40"/>
      <c r="N300" s="40"/>
      <c r="O300" s="40"/>
      <c r="P300" s="40"/>
      <c r="Q300" s="41"/>
      <c r="R300" s="42"/>
      <c r="S300" s="43"/>
      <c r="T300" s="43"/>
      <c r="U300" s="43"/>
      <c r="V300" s="44"/>
    </row>
    <row r="301" spans="1:22">
      <c r="A301" s="45"/>
      <c r="B301" s="46"/>
      <c r="C301" s="46"/>
      <c r="D301" s="46"/>
      <c r="E301" s="46"/>
      <c r="F301" s="46"/>
      <c r="G301" s="46"/>
      <c r="H301" s="46"/>
      <c r="I301" s="46"/>
      <c r="J301" s="46"/>
      <c r="K301" s="46"/>
      <c r="L301" s="47"/>
      <c r="M301" s="46"/>
      <c r="N301" s="46"/>
      <c r="O301" s="46"/>
      <c r="P301" s="46"/>
      <c r="Q301" s="46"/>
      <c r="R301" s="46"/>
      <c r="S301" s="46"/>
      <c r="T301" s="46"/>
      <c r="U301" s="46"/>
      <c r="V301" s="48"/>
    </row>
    <row r="302" spans="1:22">
      <c r="A302" s="49"/>
      <c r="B302" s="1225"/>
      <c r="C302" s="1225"/>
      <c r="D302" s="50" t="s">
        <v>445</v>
      </c>
      <c r="H302" s="51"/>
      <c r="I302" s="25" t="s">
        <v>447</v>
      </c>
      <c r="J302" s="132" t="s">
        <v>446</v>
      </c>
      <c r="K302" s="52" t="s">
        <v>448</v>
      </c>
      <c r="L302" s="52"/>
      <c r="Q302" s="1225"/>
      <c r="R302" s="1225"/>
      <c r="S302" s="50" t="s">
        <v>449</v>
      </c>
      <c r="T302" s="50"/>
      <c r="U302" s="50"/>
      <c r="V302" s="53"/>
    </row>
    <row r="303" spans="1:22" ht="16.5" thickBot="1">
      <c r="A303" s="54"/>
      <c r="B303" s="55"/>
      <c r="C303" s="55"/>
      <c r="D303" s="55"/>
      <c r="E303" s="55"/>
      <c r="F303" s="55"/>
      <c r="G303" s="55"/>
      <c r="H303" s="55"/>
      <c r="I303" s="55"/>
      <c r="J303" s="55"/>
      <c r="K303" s="55"/>
      <c r="L303" s="56"/>
      <c r="M303" s="55"/>
      <c r="N303" s="55"/>
      <c r="O303" s="55"/>
      <c r="P303" s="55"/>
      <c r="Q303" s="55"/>
      <c r="R303" s="55"/>
      <c r="S303" s="55"/>
      <c r="T303" s="55"/>
      <c r="U303" s="55"/>
      <c r="V303" s="57"/>
    </row>
    <row r="304" spans="1:22">
      <c r="A304" s="1226" t="s">
        <v>397</v>
      </c>
      <c r="B304" s="1227"/>
      <c r="C304" s="1227"/>
      <c r="D304" s="1228"/>
      <c r="E304" s="1235" t="s">
        <v>450</v>
      </c>
      <c r="F304" s="1235"/>
      <c r="G304" s="1235"/>
      <c r="H304" s="1235"/>
      <c r="I304" s="1235"/>
      <c r="J304" s="1235"/>
      <c r="K304" s="1235"/>
      <c r="L304" s="1235"/>
      <c r="M304" s="1235"/>
      <c r="N304" s="1235"/>
      <c r="O304" s="1235"/>
      <c r="P304" s="1235"/>
      <c r="Q304" s="1235"/>
      <c r="R304" s="1235"/>
      <c r="S304" s="1235"/>
      <c r="T304" s="1235"/>
      <c r="U304" s="1235"/>
      <c r="V304" s="1236"/>
    </row>
    <row r="305" spans="1:22">
      <c r="A305" s="1229"/>
      <c r="B305" s="1230"/>
      <c r="C305" s="1230"/>
      <c r="D305" s="1231"/>
      <c r="E305" s="1237" t="s">
        <v>451</v>
      </c>
      <c r="F305" s="1237"/>
      <c r="G305" s="1237"/>
      <c r="H305" s="1237"/>
      <c r="I305" s="1237"/>
      <c r="J305" s="1237"/>
      <c r="K305" s="1239" t="s">
        <v>378</v>
      </c>
      <c r="L305" s="1239"/>
      <c r="M305" s="1237" t="s">
        <v>452</v>
      </c>
      <c r="N305" s="1240" t="s">
        <v>453</v>
      </c>
      <c r="O305" s="1241"/>
      <c r="P305" s="1241"/>
      <c r="Q305" s="1241"/>
      <c r="R305" s="1241"/>
      <c r="S305" s="1241"/>
      <c r="T305" s="1241"/>
      <c r="U305" s="1241"/>
      <c r="V305" s="1242"/>
    </row>
    <row r="306" spans="1:22" ht="16.5" customHeight="1" thickBot="1">
      <c r="A306" s="1232"/>
      <c r="B306" s="1233"/>
      <c r="C306" s="1233"/>
      <c r="D306" s="1234"/>
      <c r="E306" s="1238"/>
      <c r="F306" s="1238"/>
      <c r="G306" s="1238"/>
      <c r="H306" s="1238"/>
      <c r="I306" s="1238"/>
      <c r="J306" s="1238"/>
      <c r="K306" s="58" t="s">
        <v>454</v>
      </c>
      <c r="L306" s="58" t="s">
        <v>455</v>
      </c>
      <c r="M306" s="1238"/>
      <c r="N306" s="87" t="s">
        <v>466</v>
      </c>
      <c r="O306" s="87" t="s">
        <v>467</v>
      </c>
      <c r="P306" s="1243" t="s">
        <v>1</v>
      </c>
      <c r="Q306" s="1244"/>
      <c r="R306" s="1245"/>
      <c r="S306" s="1243" t="s">
        <v>2</v>
      </c>
      <c r="T306" s="1244"/>
      <c r="U306" s="1244"/>
      <c r="V306" s="1246"/>
    </row>
    <row r="307" spans="1:22" ht="19.5">
      <c r="A307" s="1210">
        <f>P337-S337</f>
        <v>0</v>
      </c>
      <c r="B307" s="1211"/>
      <c r="C307" s="1211"/>
      <c r="D307" s="1211"/>
      <c r="E307" s="1212" t="str">
        <f>Account!$G$1</f>
        <v>FUND 501 CARP</v>
      </c>
      <c r="F307" s="1213"/>
      <c r="G307" s="1213"/>
      <c r="H307" s="1213"/>
      <c r="I307" s="1213"/>
      <c r="J307" s="1214"/>
      <c r="K307" s="59"/>
      <c r="L307" s="59"/>
      <c r="M307" s="60"/>
      <c r="N307" s="60"/>
      <c r="O307" s="60"/>
      <c r="P307" s="1215"/>
      <c r="Q307" s="1215"/>
      <c r="R307" s="1215"/>
      <c r="S307" s="1215"/>
      <c r="T307" s="1215"/>
      <c r="U307" s="1215"/>
      <c r="V307" s="1216"/>
    </row>
    <row r="308" spans="1:22">
      <c r="A308" s="1195"/>
      <c r="B308" s="1196"/>
      <c r="C308" s="1196"/>
      <c r="D308" s="1196"/>
      <c r="E308" s="1196"/>
      <c r="F308" s="1196"/>
      <c r="G308" s="1196"/>
      <c r="H308" s="1196"/>
      <c r="I308" s="1196"/>
      <c r="J308" s="1196"/>
      <c r="K308" s="61"/>
      <c r="L308" s="61"/>
      <c r="M308" s="14"/>
      <c r="N308" s="14"/>
      <c r="O308" s="14"/>
      <c r="P308" s="1196"/>
      <c r="Q308" s="1196"/>
      <c r="R308" s="1196"/>
      <c r="S308" s="1196"/>
      <c r="T308" s="1196"/>
      <c r="U308" s="1196"/>
      <c r="V308" s="1217"/>
    </row>
    <row r="309" spans="1:22">
      <c r="A309" s="1195"/>
      <c r="B309" s="1196"/>
      <c r="C309" s="1196"/>
      <c r="D309" s="1196"/>
      <c r="E309" s="1197" t="str">
        <f t="shared" ref="E309:E331" si="24">IF(K309=0,"",(VLOOKUP((TRIM(K309)),Code,2,)))</f>
        <v/>
      </c>
      <c r="F309" s="1198"/>
      <c r="G309" s="1198"/>
      <c r="H309" s="1198"/>
      <c r="I309" s="1198"/>
      <c r="J309" s="1199"/>
      <c r="K309" s="133"/>
      <c r="L309" s="62" t="str">
        <f t="shared" ref="L309:L336" si="25">IF(K309=0,"",VLOOKUP((TRIM(K309)),Code,3,))</f>
        <v/>
      </c>
      <c r="M309" s="14"/>
      <c r="N309" s="89">
        <f t="array" ref="N309">SUM(IF((CsDJ[JEV Number]=TRIM($T298))*(CsDJ[Account Code]=TRIM(K309)),CsDJ[Debit]))</f>
        <v>0</v>
      </c>
      <c r="O309" s="89">
        <f t="array" ref="O309">SUM(IF((CsDJ[JEV Number]=TRIM($T298))*(CsDJ[Account Code]=TRIM(K309)),CsDJ[Credit]))</f>
        <v>0</v>
      </c>
      <c r="P309" s="1200">
        <f>N309</f>
        <v>0</v>
      </c>
      <c r="Q309" s="1200"/>
      <c r="R309" s="1200"/>
      <c r="S309" s="1200">
        <f>O309</f>
        <v>0</v>
      </c>
      <c r="T309" s="1200"/>
      <c r="U309" s="1200"/>
      <c r="V309" s="1201"/>
    </row>
    <row r="310" spans="1:22">
      <c r="A310" s="1195"/>
      <c r="B310" s="1196"/>
      <c r="C310" s="1196"/>
      <c r="D310" s="1196"/>
      <c r="E310" s="1197" t="str">
        <f t="shared" si="24"/>
        <v/>
      </c>
      <c r="F310" s="1198"/>
      <c r="G310" s="1198"/>
      <c r="H310" s="1198"/>
      <c r="I310" s="1198"/>
      <c r="J310" s="1199"/>
      <c r="K310" s="133"/>
      <c r="L310" s="62" t="str">
        <f t="shared" si="25"/>
        <v/>
      </c>
      <c r="M310" s="14"/>
      <c r="N310" s="89">
        <f t="array" ref="N310">SUM(IF((CsDJ[JEV Number]=TRIM($T298))*(CsDJ[Account Code]=TRIM(K310)),CsDJ[Debit]))</f>
        <v>0</v>
      </c>
      <c r="O310" s="89">
        <f t="array" ref="O310">SUM(IF((CsDJ[JEV Number]=TRIM($T298))*(CsDJ[Account Code]=TRIM(K310)),CsDJ[Credit]))</f>
        <v>0</v>
      </c>
      <c r="P310" s="1200">
        <f>N310</f>
        <v>0</v>
      </c>
      <c r="Q310" s="1200"/>
      <c r="R310" s="1200"/>
      <c r="S310" s="1200">
        <f>O310</f>
        <v>0</v>
      </c>
      <c r="T310" s="1200"/>
      <c r="U310" s="1200"/>
      <c r="V310" s="1201"/>
    </row>
    <row r="311" spans="1:22">
      <c r="A311" s="1195"/>
      <c r="B311" s="1196"/>
      <c r="C311" s="1196"/>
      <c r="D311" s="1196"/>
      <c r="E311" s="1197" t="str">
        <f t="shared" si="24"/>
        <v/>
      </c>
      <c r="F311" s="1198"/>
      <c r="G311" s="1198"/>
      <c r="H311" s="1198"/>
      <c r="I311" s="1198"/>
      <c r="J311" s="1199"/>
      <c r="K311" s="133"/>
      <c r="L311" s="62" t="str">
        <f t="shared" si="25"/>
        <v/>
      </c>
      <c r="M311" s="14"/>
      <c r="N311" s="89">
        <f t="array" ref="N311">SUM(IF((CsDJ[JEV Number]=TRIM($T298))*(CsDJ[Account Code]=TRIM(K311)),CsDJ[Debit]))</f>
        <v>0</v>
      </c>
      <c r="O311" s="89">
        <f t="array" ref="O311">SUM(IF((CsDJ[JEV Number]=TRIM($T298))*(CsDJ[Account Code]=TRIM(K311)),CsDJ[Credit]))</f>
        <v>0</v>
      </c>
      <c r="P311" s="1200">
        <f t="shared" ref="P311:P336" si="26">N311</f>
        <v>0</v>
      </c>
      <c r="Q311" s="1200"/>
      <c r="R311" s="1200"/>
      <c r="S311" s="1200">
        <f t="shared" ref="S311:S336" si="27">O311</f>
        <v>0</v>
      </c>
      <c r="T311" s="1200"/>
      <c r="U311" s="1200"/>
      <c r="V311" s="1201"/>
    </row>
    <row r="312" spans="1:22">
      <c r="A312" s="1195"/>
      <c r="B312" s="1196"/>
      <c r="C312" s="1196"/>
      <c r="D312" s="1196"/>
      <c r="E312" s="1197" t="str">
        <f t="shared" si="24"/>
        <v/>
      </c>
      <c r="F312" s="1198"/>
      <c r="G312" s="1198"/>
      <c r="H312" s="1198"/>
      <c r="I312" s="1198"/>
      <c r="J312" s="1199"/>
      <c r="K312" s="133"/>
      <c r="L312" s="62" t="str">
        <f t="shared" si="25"/>
        <v/>
      </c>
      <c r="M312" s="14"/>
      <c r="N312" s="89">
        <f t="array" ref="N312">SUM(IF((CsDJ[JEV Number]=TRIM($T298))*(CsDJ[Account Code]=TRIM(K312)),CsDJ[Debit]))</f>
        <v>0</v>
      </c>
      <c r="O312" s="89">
        <f t="array" ref="O312">SUM(IF((CsDJ[JEV Number]=TRIM($T298))*(CsDJ[Account Code]=TRIM(K312)),CsDJ[Credit]))</f>
        <v>0</v>
      </c>
      <c r="P312" s="1200">
        <f t="shared" si="26"/>
        <v>0</v>
      </c>
      <c r="Q312" s="1200"/>
      <c r="R312" s="1200"/>
      <c r="S312" s="1200">
        <f t="shared" si="27"/>
        <v>0</v>
      </c>
      <c r="T312" s="1200"/>
      <c r="U312" s="1200"/>
      <c r="V312" s="1201"/>
    </row>
    <row r="313" spans="1:22">
      <c r="A313" s="1195"/>
      <c r="B313" s="1196"/>
      <c r="C313" s="1196"/>
      <c r="D313" s="1196"/>
      <c r="E313" s="1197" t="str">
        <f t="shared" si="24"/>
        <v/>
      </c>
      <c r="F313" s="1198"/>
      <c r="G313" s="1198"/>
      <c r="H313" s="1198"/>
      <c r="I313" s="1198"/>
      <c r="J313" s="1199"/>
      <c r="K313" s="133"/>
      <c r="L313" s="62" t="str">
        <f t="shared" si="25"/>
        <v/>
      </c>
      <c r="M313" s="14"/>
      <c r="N313" s="89">
        <f t="array" ref="N313">SUM(IF((CsDJ[JEV Number]=TRIM($T298))*(CsDJ[Account Code]=TRIM(K313)),CsDJ[Debit]))</f>
        <v>0</v>
      </c>
      <c r="O313" s="89">
        <f t="array" ref="O313">SUM(IF((CsDJ[JEV Number]=TRIM($T298))*(CsDJ[Account Code]=TRIM(K313)),CsDJ[Credit]))</f>
        <v>0</v>
      </c>
      <c r="P313" s="1200">
        <f t="shared" si="26"/>
        <v>0</v>
      </c>
      <c r="Q313" s="1200"/>
      <c r="R313" s="1200"/>
      <c r="S313" s="1200">
        <f t="shared" si="27"/>
        <v>0</v>
      </c>
      <c r="T313" s="1200"/>
      <c r="U313" s="1200"/>
      <c r="V313" s="1201"/>
    </row>
    <row r="314" spans="1:22">
      <c r="A314" s="1195"/>
      <c r="B314" s="1196"/>
      <c r="C314" s="1196"/>
      <c r="D314" s="1196"/>
      <c r="E314" s="1197" t="str">
        <f t="shared" si="24"/>
        <v/>
      </c>
      <c r="F314" s="1198"/>
      <c r="G314" s="1198"/>
      <c r="H314" s="1198"/>
      <c r="I314" s="1198"/>
      <c r="J314" s="1199"/>
      <c r="K314" s="133"/>
      <c r="L314" s="62" t="str">
        <f t="shared" si="25"/>
        <v/>
      </c>
      <c r="M314" s="14"/>
      <c r="N314" s="89">
        <f t="array" ref="N314">SUM(IF((CsDJ[JEV Number]=TRIM($T298))*(CsDJ[Account Code]=TRIM(K314)),CsDJ[Debit]))</f>
        <v>0</v>
      </c>
      <c r="O314" s="89">
        <f t="array" ref="O314">SUM(IF((CsDJ[JEV Number]=TRIM($T298))*(CsDJ[Account Code]=TRIM(K314)),CsDJ[Credit]))</f>
        <v>0</v>
      </c>
      <c r="P314" s="1200">
        <f t="shared" si="26"/>
        <v>0</v>
      </c>
      <c r="Q314" s="1200"/>
      <c r="R314" s="1200"/>
      <c r="S314" s="1200">
        <f t="shared" si="27"/>
        <v>0</v>
      </c>
      <c r="T314" s="1200"/>
      <c r="U314" s="1200"/>
      <c r="V314" s="1201"/>
    </row>
    <row r="315" spans="1:22">
      <c r="A315" s="1195"/>
      <c r="B315" s="1196"/>
      <c r="C315" s="1196"/>
      <c r="D315" s="1196"/>
      <c r="E315" s="1197" t="str">
        <f t="shared" si="24"/>
        <v/>
      </c>
      <c r="F315" s="1198"/>
      <c r="G315" s="1198"/>
      <c r="H315" s="1198"/>
      <c r="I315" s="1198"/>
      <c r="J315" s="1199"/>
      <c r="K315" s="133"/>
      <c r="L315" s="62" t="str">
        <f t="shared" si="25"/>
        <v/>
      </c>
      <c r="M315" s="14"/>
      <c r="N315" s="89">
        <f t="array" ref="N315">SUM(IF((CsDJ[JEV Number]=TRIM($T298))*(CsDJ[Account Code]=TRIM(K315)),CsDJ[Debit]))</f>
        <v>0</v>
      </c>
      <c r="O315" s="89">
        <f t="array" ref="O315">SUM(IF((CsDJ[JEV Number]=TRIM($T298))*(CsDJ[Account Code]=TRIM(K315)),CsDJ[Credit]))</f>
        <v>0</v>
      </c>
      <c r="P315" s="1200">
        <f t="shared" si="26"/>
        <v>0</v>
      </c>
      <c r="Q315" s="1200"/>
      <c r="R315" s="1200"/>
      <c r="S315" s="1200">
        <f t="shared" si="27"/>
        <v>0</v>
      </c>
      <c r="T315" s="1200"/>
      <c r="U315" s="1200"/>
      <c r="V315" s="1201"/>
    </row>
    <row r="316" spans="1:22">
      <c r="A316" s="1195"/>
      <c r="B316" s="1196"/>
      <c r="C316" s="1196"/>
      <c r="D316" s="1196"/>
      <c r="E316" s="1197" t="str">
        <f t="shared" si="24"/>
        <v/>
      </c>
      <c r="F316" s="1198"/>
      <c r="G316" s="1198"/>
      <c r="H316" s="1198"/>
      <c r="I316" s="1198"/>
      <c r="J316" s="1199"/>
      <c r="K316" s="133"/>
      <c r="L316" s="62" t="str">
        <f t="shared" si="25"/>
        <v/>
      </c>
      <c r="M316" s="14"/>
      <c r="N316" s="89">
        <f t="array" ref="N316">SUM(IF((CsDJ[JEV Number]=TRIM($T298))*(CsDJ[Account Code]=TRIM(K316)),CsDJ[Debit]))</f>
        <v>0</v>
      </c>
      <c r="O316" s="89">
        <f t="array" ref="O316">SUM(IF((CsDJ[JEV Number]=TRIM($T298))*(CsDJ[Account Code]=TRIM(K316)),CsDJ[Credit]))</f>
        <v>0</v>
      </c>
      <c r="P316" s="1200">
        <f t="shared" si="26"/>
        <v>0</v>
      </c>
      <c r="Q316" s="1200"/>
      <c r="R316" s="1200"/>
      <c r="S316" s="1200">
        <f t="shared" si="27"/>
        <v>0</v>
      </c>
      <c r="T316" s="1200"/>
      <c r="U316" s="1200"/>
      <c r="V316" s="1201"/>
    </row>
    <row r="317" spans="1:22">
      <c r="A317" s="1195"/>
      <c r="B317" s="1196"/>
      <c r="C317" s="1196"/>
      <c r="D317" s="1196"/>
      <c r="E317" s="1197" t="str">
        <f t="shared" si="24"/>
        <v/>
      </c>
      <c r="F317" s="1198"/>
      <c r="G317" s="1198"/>
      <c r="H317" s="1198"/>
      <c r="I317" s="1198"/>
      <c r="J317" s="1199"/>
      <c r="K317" s="134"/>
      <c r="L317" s="62" t="str">
        <f t="shared" si="25"/>
        <v/>
      </c>
      <c r="M317" s="14"/>
      <c r="N317" s="89">
        <f t="array" ref="N317">SUM(IF((CsDJ[JEV Number]=TRIM($T298))*(CsDJ[Account Code]=TRIM(K317)),CsDJ[Debit]))</f>
        <v>0</v>
      </c>
      <c r="O317" s="89">
        <f t="array" ref="O317">SUM(IF((CsDJ[JEV Number]=TRIM($T298))*(CsDJ[Account Code]=TRIM(K317)),CsDJ[Credit]))</f>
        <v>0</v>
      </c>
      <c r="P317" s="1200">
        <f t="shared" si="26"/>
        <v>0</v>
      </c>
      <c r="Q317" s="1200"/>
      <c r="R317" s="1200"/>
      <c r="S317" s="1200">
        <f t="shared" si="27"/>
        <v>0</v>
      </c>
      <c r="T317" s="1200"/>
      <c r="U317" s="1200"/>
      <c r="V317" s="1201"/>
    </row>
    <row r="318" spans="1:22">
      <c r="A318" s="1195"/>
      <c r="B318" s="1196"/>
      <c r="C318" s="1196"/>
      <c r="D318" s="1196"/>
      <c r="E318" s="1197" t="str">
        <f t="shared" si="24"/>
        <v/>
      </c>
      <c r="F318" s="1198"/>
      <c r="G318" s="1198"/>
      <c r="H318" s="1198"/>
      <c r="I318" s="1198"/>
      <c r="J318" s="1199"/>
      <c r="K318" s="134"/>
      <c r="L318" s="62" t="str">
        <f t="shared" si="25"/>
        <v/>
      </c>
      <c r="M318" s="14"/>
      <c r="N318" s="89">
        <f t="array" ref="N318">SUM(IF((CsDJ[JEV Number]=TRIM($T298))*(CsDJ[Account Code]=TRIM(K318)),CsDJ[Debit]))</f>
        <v>0</v>
      </c>
      <c r="O318" s="89">
        <f t="array" ref="O318">SUM(IF((CsDJ[JEV Number]=TRIM($T298))*(CsDJ[Account Code]=TRIM(K318)),CsDJ[Credit]))</f>
        <v>0</v>
      </c>
      <c r="P318" s="1200">
        <f t="shared" si="26"/>
        <v>0</v>
      </c>
      <c r="Q318" s="1200"/>
      <c r="R318" s="1200"/>
      <c r="S318" s="1200">
        <f t="shared" si="27"/>
        <v>0</v>
      </c>
      <c r="T318" s="1200"/>
      <c r="U318" s="1200"/>
      <c r="V318" s="1201"/>
    </row>
    <row r="319" spans="1:22">
      <c r="A319" s="1195"/>
      <c r="B319" s="1196"/>
      <c r="C319" s="1196"/>
      <c r="D319" s="1196"/>
      <c r="E319" s="1197" t="str">
        <f t="shared" si="24"/>
        <v/>
      </c>
      <c r="F319" s="1198"/>
      <c r="G319" s="1198"/>
      <c r="H319" s="1198"/>
      <c r="I319" s="1198"/>
      <c r="J319" s="1199"/>
      <c r="K319" s="134"/>
      <c r="L319" s="62" t="str">
        <f t="shared" si="25"/>
        <v/>
      </c>
      <c r="M319" s="14"/>
      <c r="N319" s="89">
        <f t="array" ref="N319">SUM(IF((CsDJ[JEV Number]=TRIM($T298))*(CsDJ[Account Code]=TRIM(K319)),CsDJ[Debit]))</f>
        <v>0</v>
      </c>
      <c r="O319" s="89">
        <f t="array" ref="O319">SUM(IF((CsDJ[JEV Number]=TRIM($T298))*(CsDJ[Account Code]=TRIM(K319)),CsDJ[Credit]))</f>
        <v>0</v>
      </c>
      <c r="P319" s="1200">
        <f t="shared" si="26"/>
        <v>0</v>
      </c>
      <c r="Q319" s="1200"/>
      <c r="R319" s="1200"/>
      <c r="S319" s="1200">
        <f t="shared" si="27"/>
        <v>0</v>
      </c>
      <c r="T319" s="1200"/>
      <c r="U319" s="1200"/>
      <c r="V319" s="1201"/>
    </row>
    <row r="320" spans="1:22">
      <c r="A320" s="1195"/>
      <c r="B320" s="1196"/>
      <c r="C320" s="1196"/>
      <c r="D320" s="1196"/>
      <c r="E320" s="1197" t="str">
        <f t="shared" si="24"/>
        <v/>
      </c>
      <c r="F320" s="1198"/>
      <c r="G320" s="1198"/>
      <c r="H320" s="1198"/>
      <c r="I320" s="1198"/>
      <c r="J320" s="1199"/>
      <c r="K320" s="134"/>
      <c r="L320" s="62" t="str">
        <f t="shared" si="25"/>
        <v/>
      </c>
      <c r="M320" s="14"/>
      <c r="N320" s="89">
        <f t="array" ref="N320">SUM(IF((CsDJ[JEV Number]=TRIM($T298))*(CsDJ[Account Code]=TRIM(K320)),CsDJ[Debit]))</f>
        <v>0</v>
      </c>
      <c r="O320" s="89">
        <f t="array" ref="O320">SUM(IF((CsDJ[JEV Number]=TRIM($T298))*(CsDJ[Account Code]=TRIM(K320)),CsDJ[Credit]))</f>
        <v>0</v>
      </c>
      <c r="P320" s="1200">
        <f t="shared" si="26"/>
        <v>0</v>
      </c>
      <c r="Q320" s="1200"/>
      <c r="R320" s="1200"/>
      <c r="S320" s="1200">
        <f t="shared" si="27"/>
        <v>0</v>
      </c>
      <c r="T320" s="1200"/>
      <c r="U320" s="1200"/>
      <c r="V320" s="1201"/>
    </row>
    <row r="321" spans="1:22">
      <c r="A321" s="1195"/>
      <c r="B321" s="1196"/>
      <c r="C321" s="1196"/>
      <c r="D321" s="1196"/>
      <c r="E321" s="1197" t="str">
        <f t="shared" si="24"/>
        <v/>
      </c>
      <c r="F321" s="1198"/>
      <c r="G321" s="1198"/>
      <c r="H321" s="1198"/>
      <c r="I321" s="1198"/>
      <c r="J321" s="1199"/>
      <c r="K321" s="134"/>
      <c r="L321" s="62" t="str">
        <f t="shared" si="25"/>
        <v/>
      </c>
      <c r="M321" s="14"/>
      <c r="N321" s="89">
        <f t="array" ref="N321">SUM(IF((CsDJ[JEV Number]=TRIM($T298))*(CsDJ[Account Code]=TRIM(K321)),CsDJ[Debit]))</f>
        <v>0</v>
      </c>
      <c r="O321" s="89">
        <f t="array" ref="O321">SUM(IF((CsDJ[JEV Number]=TRIM($T298))*(CsDJ[Account Code]=TRIM(K321)),CsDJ[Credit]))</f>
        <v>0</v>
      </c>
      <c r="P321" s="1200">
        <f t="shared" si="26"/>
        <v>0</v>
      </c>
      <c r="Q321" s="1200"/>
      <c r="R321" s="1200"/>
      <c r="S321" s="1200">
        <f t="shared" si="27"/>
        <v>0</v>
      </c>
      <c r="T321" s="1200"/>
      <c r="U321" s="1200"/>
      <c r="V321" s="1201"/>
    </row>
    <row r="322" spans="1:22">
      <c r="A322" s="1195"/>
      <c r="B322" s="1196"/>
      <c r="C322" s="1196"/>
      <c r="D322" s="1196"/>
      <c r="E322" s="1197" t="str">
        <f t="shared" si="24"/>
        <v/>
      </c>
      <c r="F322" s="1198"/>
      <c r="G322" s="1198"/>
      <c r="H322" s="1198"/>
      <c r="I322" s="1198"/>
      <c r="J322" s="1199"/>
      <c r="K322" s="134"/>
      <c r="L322" s="62" t="str">
        <f t="shared" si="25"/>
        <v/>
      </c>
      <c r="M322" s="14"/>
      <c r="N322" s="89">
        <f t="array" ref="N322">SUM(IF((CsDJ[JEV Number]=TRIM($T298))*(CsDJ[Account Code]=TRIM(K322)),CsDJ[Debit]))</f>
        <v>0</v>
      </c>
      <c r="O322" s="89">
        <f t="array" ref="O322">SUM(IF((CsDJ[JEV Number]=TRIM($T298))*(CsDJ[Account Code]=TRIM(K322)),CsDJ[Credit]))</f>
        <v>0</v>
      </c>
      <c r="P322" s="1200">
        <f t="shared" si="26"/>
        <v>0</v>
      </c>
      <c r="Q322" s="1200"/>
      <c r="R322" s="1200"/>
      <c r="S322" s="1200">
        <f t="shared" si="27"/>
        <v>0</v>
      </c>
      <c r="T322" s="1200"/>
      <c r="U322" s="1200"/>
      <c r="V322" s="1201"/>
    </row>
    <row r="323" spans="1:22">
      <c r="A323" s="1195"/>
      <c r="B323" s="1196"/>
      <c r="C323" s="1196"/>
      <c r="D323" s="1196"/>
      <c r="E323" s="1197" t="str">
        <f t="shared" si="24"/>
        <v/>
      </c>
      <c r="F323" s="1198"/>
      <c r="G323" s="1198"/>
      <c r="H323" s="1198"/>
      <c r="I323" s="1198"/>
      <c r="J323" s="1199"/>
      <c r="K323" s="134"/>
      <c r="L323" s="62" t="str">
        <f t="shared" si="25"/>
        <v/>
      </c>
      <c r="M323" s="14"/>
      <c r="N323" s="89">
        <f t="array" ref="N323">SUM(IF((CsDJ[JEV Number]=TRIM($T298))*(CsDJ[Account Code]=TRIM(K323)),CsDJ[Debit]))</f>
        <v>0</v>
      </c>
      <c r="O323" s="89">
        <f t="array" ref="O323">SUM(IF((CsDJ[JEV Number]=TRIM($T298))*(CsDJ[Account Code]=TRIM(K323)),CsDJ[Credit]))</f>
        <v>0</v>
      </c>
      <c r="P323" s="1200">
        <f t="shared" si="26"/>
        <v>0</v>
      </c>
      <c r="Q323" s="1200"/>
      <c r="R323" s="1200"/>
      <c r="S323" s="1200">
        <f t="shared" si="27"/>
        <v>0</v>
      </c>
      <c r="T323" s="1200"/>
      <c r="U323" s="1200"/>
      <c r="V323" s="1201"/>
    </row>
    <row r="324" spans="1:22">
      <c r="A324" s="1195"/>
      <c r="B324" s="1196"/>
      <c r="C324" s="1196"/>
      <c r="D324" s="1196"/>
      <c r="E324" s="1197" t="str">
        <f t="shared" si="24"/>
        <v/>
      </c>
      <c r="F324" s="1198"/>
      <c r="G324" s="1198"/>
      <c r="H324" s="1198"/>
      <c r="I324" s="1198"/>
      <c r="J324" s="1199"/>
      <c r="K324" s="134"/>
      <c r="L324" s="62" t="str">
        <f t="shared" si="25"/>
        <v/>
      </c>
      <c r="M324" s="14"/>
      <c r="N324" s="89">
        <f t="array" ref="N324">SUM(IF((CsDJ[JEV Number]=TRIM($T298))*(CsDJ[Account Code]=TRIM(K324)),CsDJ[Debit]))</f>
        <v>0</v>
      </c>
      <c r="O324" s="89">
        <f t="array" ref="O324">SUM(IF((CsDJ[JEV Number]=TRIM($T298))*(CsDJ[Account Code]=TRIM(K324)),CsDJ[Credit]))</f>
        <v>0</v>
      </c>
      <c r="P324" s="1200">
        <f t="shared" si="26"/>
        <v>0</v>
      </c>
      <c r="Q324" s="1200"/>
      <c r="R324" s="1200"/>
      <c r="S324" s="1200">
        <f t="shared" si="27"/>
        <v>0</v>
      </c>
      <c r="T324" s="1200"/>
      <c r="U324" s="1200"/>
      <c r="V324" s="1201"/>
    </row>
    <row r="325" spans="1:22">
      <c r="A325" s="1195"/>
      <c r="B325" s="1196"/>
      <c r="C325" s="1196"/>
      <c r="D325" s="1196"/>
      <c r="E325" s="1197" t="str">
        <f t="shared" si="24"/>
        <v/>
      </c>
      <c r="F325" s="1198"/>
      <c r="G325" s="1198"/>
      <c r="H325" s="1198"/>
      <c r="I325" s="1198"/>
      <c r="J325" s="1199"/>
      <c r="K325" s="134"/>
      <c r="L325" s="62" t="str">
        <f t="shared" si="25"/>
        <v/>
      </c>
      <c r="M325" s="14"/>
      <c r="N325" s="89">
        <f t="array" ref="N325">SUM(IF((CsDJ[JEV Number]=TRIM($T298))*(CsDJ[Account Code]=TRIM(K325)),CsDJ[Debit]))</f>
        <v>0</v>
      </c>
      <c r="O325" s="89">
        <f t="array" ref="O325">SUM(IF((CsDJ[JEV Number]=TRIM($T298))*(CsDJ[Account Code]=TRIM(K325)),CsDJ[Credit]))</f>
        <v>0</v>
      </c>
      <c r="P325" s="1200">
        <f t="shared" si="26"/>
        <v>0</v>
      </c>
      <c r="Q325" s="1200"/>
      <c r="R325" s="1200"/>
      <c r="S325" s="1200">
        <f t="shared" si="27"/>
        <v>0</v>
      </c>
      <c r="T325" s="1200"/>
      <c r="U325" s="1200"/>
      <c r="V325" s="1201"/>
    </row>
    <row r="326" spans="1:22">
      <c r="A326" s="1195"/>
      <c r="B326" s="1196"/>
      <c r="C326" s="1196"/>
      <c r="D326" s="1196"/>
      <c r="E326" s="1197" t="str">
        <f t="shared" si="24"/>
        <v/>
      </c>
      <c r="F326" s="1198"/>
      <c r="G326" s="1198"/>
      <c r="H326" s="1198"/>
      <c r="I326" s="1198"/>
      <c r="J326" s="1199"/>
      <c r="K326" s="134"/>
      <c r="L326" s="62" t="str">
        <f t="shared" si="25"/>
        <v/>
      </c>
      <c r="M326" s="14"/>
      <c r="N326" s="89">
        <f t="array" ref="N326">SUM(IF((CsDJ[JEV Number]=TRIM($T298))*(CsDJ[Account Code]=TRIM(K326)),CsDJ[Debit]))</f>
        <v>0</v>
      </c>
      <c r="O326" s="89">
        <f t="array" ref="O326">SUM(IF((CsDJ[JEV Number]=TRIM($T298))*(CsDJ[Account Code]=TRIM(K326)),CsDJ[Credit]))</f>
        <v>0</v>
      </c>
      <c r="P326" s="1200">
        <f t="shared" si="26"/>
        <v>0</v>
      </c>
      <c r="Q326" s="1200"/>
      <c r="R326" s="1200"/>
      <c r="S326" s="1200">
        <f t="shared" si="27"/>
        <v>0</v>
      </c>
      <c r="T326" s="1200"/>
      <c r="U326" s="1200"/>
      <c r="V326" s="1201"/>
    </row>
    <row r="327" spans="1:22">
      <c r="A327" s="1195"/>
      <c r="B327" s="1196"/>
      <c r="C327" s="1196"/>
      <c r="D327" s="1196"/>
      <c r="E327" s="1197" t="str">
        <f t="shared" si="24"/>
        <v/>
      </c>
      <c r="F327" s="1198"/>
      <c r="G327" s="1198"/>
      <c r="H327" s="1198"/>
      <c r="I327" s="1198"/>
      <c r="J327" s="1199"/>
      <c r="K327" s="134"/>
      <c r="L327" s="62" t="str">
        <f t="shared" si="25"/>
        <v/>
      </c>
      <c r="M327" s="14"/>
      <c r="N327" s="89">
        <f t="array" ref="N327">SUM(IF((CsDJ[JEV Number]=TRIM($T298))*(CsDJ[Account Code]=TRIM(K327)),CsDJ[Debit]))</f>
        <v>0</v>
      </c>
      <c r="O327" s="89">
        <f t="array" ref="O327">SUM(IF((CsDJ[JEV Number]=TRIM($T298))*(CsDJ[Account Code]=TRIM(K327)),CsDJ[Credit]))</f>
        <v>0</v>
      </c>
      <c r="P327" s="1200">
        <f t="shared" si="26"/>
        <v>0</v>
      </c>
      <c r="Q327" s="1200"/>
      <c r="R327" s="1200"/>
      <c r="S327" s="1200">
        <f t="shared" si="27"/>
        <v>0</v>
      </c>
      <c r="T327" s="1200"/>
      <c r="U327" s="1200"/>
      <c r="V327" s="1201"/>
    </row>
    <row r="328" spans="1:22">
      <c r="A328" s="1195"/>
      <c r="B328" s="1196"/>
      <c r="C328" s="1196"/>
      <c r="D328" s="1196"/>
      <c r="E328" s="1197" t="str">
        <f t="shared" si="24"/>
        <v/>
      </c>
      <c r="F328" s="1198"/>
      <c r="G328" s="1198"/>
      <c r="H328" s="1198"/>
      <c r="I328" s="1198"/>
      <c r="J328" s="1199"/>
      <c r="K328" s="134"/>
      <c r="L328" s="62" t="str">
        <f t="shared" si="25"/>
        <v/>
      </c>
      <c r="M328" s="14"/>
      <c r="N328" s="89">
        <f t="array" ref="N328">SUM(IF((CsDJ[JEV Number]=TRIM($T298))*(CsDJ[Account Code]=TRIM(K328)),CsDJ[Debit]))</f>
        <v>0</v>
      </c>
      <c r="O328" s="89">
        <f t="array" ref="O328">SUM(IF((CsDJ[JEV Number]=TRIM($T298))*(CsDJ[Account Code]=TRIM(K328)),CsDJ[Credit]))</f>
        <v>0</v>
      </c>
      <c r="P328" s="1200">
        <f t="shared" si="26"/>
        <v>0</v>
      </c>
      <c r="Q328" s="1200"/>
      <c r="R328" s="1200"/>
      <c r="S328" s="1200">
        <f t="shared" si="27"/>
        <v>0</v>
      </c>
      <c r="T328" s="1200"/>
      <c r="U328" s="1200"/>
      <c r="V328" s="1201"/>
    </row>
    <row r="329" spans="1:22">
      <c r="A329" s="1195"/>
      <c r="B329" s="1196"/>
      <c r="C329" s="1196"/>
      <c r="D329" s="1196"/>
      <c r="E329" s="1197" t="str">
        <f t="shared" si="24"/>
        <v/>
      </c>
      <c r="F329" s="1198"/>
      <c r="G329" s="1198"/>
      <c r="H329" s="1198"/>
      <c r="I329" s="1198"/>
      <c r="J329" s="1199"/>
      <c r="K329" s="134"/>
      <c r="L329" s="62" t="str">
        <f t="shared" si="25"/>
        <v/>
      </c>
      <c r="M329" s="14"/>
      <c r="N329" s="89">
        <f t="array" ref="N329">SUM(IF((CsDJ[JEV Number]=TRIM($T298))*(CsDJ[Account Code]=TRIM(K329)),CsDJ[Debit]))</f>
        <v>0</v>
      </c>
      <c r="O329" s="89">
        <f t="array" ref="O329">SUM(IF((CsDJ[JEV Number]=TRIM($T298))*(CsDJ[Account Code]=TRIM(K329)),CsDJ[Credit]))</f>
        <v>0</v>
      </c>
      <c r="P329" s="1200">
        <f t="shared" si="26"/>
        <v>0</v>
      </c>
      <c r="Q329" s="1200"/>
      <c r="R329" s="1200"/>
      <c r="S329" s="1200">
        <f t="shared" si="27"/>
        <v>0</v>
      </c>
      <c r="T329" s="1200"/>
      <c r="U329" s="1200"/>
      <c r="V329" s="1201"/>
    </row>
    <row r="330" spans="1:22">
      <c r="A330" s="1195"/>
      <c r="B330" s="1196"/>
      <c r="C330" s="1196"/>
      <c r="D330" s="1196"/>
      <c r="E330" s="1197" t="str">
        <f t="shared" si="24"/>
        <v/>
      </c>
      <c r="F330" s="1198"/>
      <c r="G330" s="1198"/>
      <c r="H330" s="1198"/>
      <c r="I330" s="1198"/>
      <c r="J330" s="1199"/>
      <c r="K330" s="134"/>
      <c r="L330" s="62" t="str">
        <f t="shared" si="25"/>
        <v/>
      </c>
      <c r="M330" s="14"/>
      <c r="N330" s="89">
        <f t="array" ref="N330">SUM(IF((CsDJ[JEV Number]=TRIM($T298))*(CsDJ[Account Code]=TRIM(K330)),CsDJ[Debit]))</f>
        <v>0</v>
      </c>
      <c r="O330" s="89">
        <f t="array" ref="O330">SUM(IF((CsDJ[JEV Number]=TRIM($T298))*(CsDJ[Account Code]=TRIM(K330)),CsDJ[Credit]))</f>
        <v>0</v>
      </c>
      <c r="P330" s="1200">
        <f t="shared" si="26"/>
        <v>0</v>
      </c>
      <c r="Q330" s="1200"/>
      <c r="R330" s="1200"/>
      <c r="S330" s="1200">
        <f t="shared" si="27"/>
        <v>0</v>
      </c>
      <c r="T330" s="1200"/>
      <c r="U330" s="1200"/>
      <c r="V330" s="1201"/>
    </row>
    <row r="331" spans="1:22">
      <c r="A331" s="1195"/>
      <c r="B331" s="1196"/>
      <c r="C331" s="1196"/>
      <c r="D331" s="1196"/>
      <c r="E331" s="1197" t="str">
        <f t="shared" si="24"/>
        <v/>
      </c>
      <c r="F331" s="1198"/>
      <c r="G331" s="1198"/>
      <c r="H331" s="1198"/>
      <c r="I331" s="1198"/>
      <c r="J331" s="1199"/>
      <c r="K331" s="134"/>
      <c r="L331" s="62" t="str">
        <f t="shared" si="25"/>
        <v/>
      </c>
      <c r="M331" s="14"/>
      <c r="N331" s="89">
        <f t="array" ref="N331">SUM(IF((CsDJ[JEV Number]=TRIM($T298))*(CsDJ[Account Code]=TRIM(K331)),CsDJ[Debit]))</f>
        <v>0</v>
      </c>
      <c r="O331" s="89">
        <f t="array" ref="O331">SUM(IF((CsDJ[JEV Number]=TRIM($T298))*(CsDJ[Account Code]=TRIM(K331)),CsDJ[Credit]))</f>
        <v>0</v>
      </c>
      <c r="P331" s="1200">
        <f t="shared" si="26"/>
        <v>0</v>
      </c>
      <c r="Q331" s="1200"/>
      <c r="R331" s="1200"/>
      <c r="S331" s="1200">
        <f t="shared" si="27"/>
        <v>0</v>
      </c>
      <c r="T331" s="1200"/>
      <c r="U331" s="1200"/>
      <c r="V331" s="1201"/>
    </row>
    <row r="332" spans="1:22">
      <c r="A332" s="1195"/>
      <c r="B332" s="1196"/>
      <c r="C332" s="1196"/>
      <c r="D332" s="1196"/>
      <c r="E332" s="1257" t="s">
        <v>468</v>
      </c>
      <c r="F332" s="1258"/>
      <c r="G332" s="1258"/>
      <c r="H332" s="1258"/>
      <c r="I332" s="1258"/>
      <c r="J332" s="1259"/>
      <c r="K332" s="133"/>
      <c r="L332" s="62" t="str">
        <f t="shared" si="25"/>
        <v/>
      </c>
      <c r="M332" s="14"/>
      <c r="N332" s="89">
        <f t="array" ref="N332">SUM(IF((CsDJ[JEV Number]=TRIM($T298))*(CsDJ[Account Code]=TRIM(K332)),CsDJ[Debit]))</f>
        <v>0</v>
      </c>
      <c r="O332" s="89">
        <f t="array" ref="O332">SUM(IF((CsDJ[JEV Number]=TRIM($T298))*(CsDJ[Account Code]=TRIM(K332)),CsDJ[Credit]))</f>
        <v>0</v>
      </c>
      <c r="P332" s="1200">
        <f t="shared" si="26"/>
        <v>0</v>
      </c>
      <c r="Q332" s="1200"/>
      <c r="R332" s="1200"/>
      <c r="S332" s="1200">
        <f t="shared" si="27"/>
        <v>0</v>
      </c>
      <c r="T332" s="1200"/>
      <c r="U332" s="1200"/>
      <c r="V332" s="1201"/>
    </row>
    <row r="333" spans="1:22">
      <c r="A333" s="1195"/>
      <c r="B333" s="1196"/>
      <c r="C333" s="1196"/>
      <c r="D333" s="1196"/>
      <c r="E333" s="1202" t="s">
        <v>457</v>
      </c>
      <c r="F333" s="1203"/>
      <c r="G333" s="1203"/>
      <c r="H333" s="1203"/>
      <c r="I333" s="1207">
        <f>T299</f>
        <v>0</v>
      </c>
      <c r="J333" s="1208"/>
      <c r="K333" s="133"/>
      <c r="L333" s="62" t="str">
        <f t="shared" si="25"/>
        <v/>
      </c>
      <c r="M333" s="14"/>
      <c r="N333" s="89">
        <f t="array" ref="N333">SUM(IF((CsDJ[JEV Number]=TRIM($T298))*(CsDJ[Account Code]=TRIM(K333)),CsDJ[Debit]))</f>
        <v>0</v>
      </c>
      <c r="O333" s="89">
        <f t="array" ref="O333">SUM(IF((CsDJ[JEV Number]=TRIM($T298))*(CsDJ[Account Code]=TRIM(K333)),CsDJ[Credit]))</f>
        <v>0</v>
      </c>
      <c r="P333" s="1200">
        <f t="shared" si="26"/>
        <v>0</v>
      </c>
      <c r="Q333" s="1200"/>
      <c r="R333" s="1200"/>
      <c r="S333" s="1200">
        <f t="shared" si="27"/>
        <v>0</v>
      </c>
      <c r="T333" s="1200"/>
      <c r="U333" s="1200"/>
      <c r="V333" s="1201"/>
    </row>
    <row r="334" spans="1:22">
      <c r="A334" s="1195"/>
      <c r="B334" s="1196"/>
      <c r="C334" s="1196"/>
      <c r="D334" s="1196"/>
      <c r="E334" s="1202" t="s">
        <v>458</v>
      </c>
      <c r="F334" s="1203"/>
      <c r="G334" s="1203"/>
      <c r="H334" s="1203"/>
      <c r="I334" s="1263">
        <f>IF(T298=0,0,(IF(LOOKUP(T298,CsDJ[JEV Number],CsDJ[Sort Code])="1","MA. VIVIAN C. SALAS",IF(LOOKUP(T298,CsDJ[JEV Number],CsDJ[Sort Code])="2","LUZ R. DE COZAR",IF(LOOKUP(T298,CsDJ[JEV Number],CsDJ[Sort Code])="3","MINEONETTE A. DELA CRUZ",IF(LOOKUP(T298,CsDJ[JEV Number],CsDJ[Sort Code])="4","RESELLA B. LOPEZ"))))))</f>
        <v>0</v>
      </c>
      <c r="J334" s="1264"/>
      <c r="K334" s="133"/>
      <c r="L334" s="62" t="str">
        <f t="shared" si="25"/>
        <v/>
      </c>
      <c r="M334" s="14"/>
      <c r="N334" s="89">
        <f t="array" ref="N334">SUM(IF((CsDJ[JEV Number]=TRIM($T298))*(CsDJ[Account Code]=TRIM(K334)),CsDJ[Debit]))</f>
        <v>0</v>
      </c>
      <c r="O334" s="89">
        <f t="array" ref="O334">SUM(IF((CsDJ[JEV Number]=TRIM($T298))*(CsDJ[Account Code]=TRIM(K334)),CsDJ[Credit]))</f>
        <v>0</v>
      </c>
      <c r="P334" s="1200">
        <f t="shared" si="26"/>
        <v>0</v>
      </c>
      <c r="Q334" s="1200"/>
      <c r="R334" s="1200"/>
      <c r="S334" s="1200">
        <f t="shared" si="27"/>
        <v>0</v>
      </c>
      <c r="T334" s="1200"/>
      <c r="U334" s="1200"/>
      <c r="V334" s="1201"/>
    </row>
    <row r="335" spans="1:22">
      <c r="A335" s="1195"/>
      <c r="B335" s="1196"/>
      <c r="C335" s="1196"/>
      <c r="D335" s="1196"/>
      <c r="E335" s="1202" t="s">
        <v>459</v>
      </c>
      <c r="F335" s="1203"/>
      <c r="G335" s="1203"/>
      <c r="H335" s="1203"/>
      <c r="I335" s="1204">
        <f>IF(I334="Ma. Vivian C. Salas","Regional Office", IF(I334="Luz R. De Cozar","BANE IMO", IF(I334="Mineonette A. Dela Cruz","PAMBAT IMO", IF(I334="Resella B. Lopez","TARZAM IMO",0))))</f>
        <v>0</v>
      </c>
      <c r="J335" s="1205"/>
      <c r="K335" s="133"/>
      <c r="L335" s="62" t="str">
        <f t="shared" si="25"/>
        <v/>
      </c>
      <c r="M335" s="14"/>
      <c r="N335" s="89">
        <f t="array" ref="N335">SUM(IF((CsDJ[JEV Number]=TRIM($T298))*(CsDJ[Account Code]=TRIM(K335)),CsDJ[Debit]))</f>
        <v>0</v>
      </c>
      <c r="O335" s="89">
        <f t="array" ref="O335">SUM(IF((CsDJ[JEV Number]=TRIM($T298))*(CsDJ[Account Code]=TRIM(K335)),CsDJ[Credit]))</f>
        <v>0</v>
      </c>
      <c r="P335" s="1200">
        <f t="shared" si="26"/>
        <v>0</v>
      </c>
      <c r="Q335" s="1200"/>
      <c r="R335" s="1200"/>
      <c r="S335" s="1200">
        <f t="shared" si="27"/>
        <v>0</v>
      </c>
      <c r="T335" s="1200"/>
      <c r="U335" s="1200"/>
      <c r="V335" s="1201"/>
    </row>
    <row r="336" spans="1:22">
      <c r="A336" s="1195"/>
      <c r="B336" s="1196"/>
      <c r="C336" s="1196"/>
      <c r="D336" s="1196"/>
      <c r="E336" s="1202"/>
      <c r="F336" s="1203"/>
      <c r="G336" s="1203"/>
      <c r="H336" s="1203"/>
      <c r="I336" s="1203"/>
      <c r="J336" s="1206"/>
      <c r="K336" s="133"/>
      <c r="L336" s="62" t="str">
        <f t="shared" si="25"/>
        <v/>
      </c>
      <c r="M336" s="14"/>
      <c r="N336" s="89">
        <f t="array" ref="N336">SUM(IF((CsDJ[JEV Number]=TRIM($T298))*(CsDJ[Account Code]=TRIM(K336)),CsDJ[Debit]))</f>
        <v>0</v>
      </c>
      <c r="O336" s="89">
        <f t="array" ref="O336">SUM(IF((CsDJ[JEV Number]=TRIM($T298))*(CsDJ[Account Code]=TRIM(K336)),CsDJ[Credit]))</f>
        <v>0</v>
      </c>
      <c r="P336" s="1200">
        <f t="shared" si="26"/>
        <v>0</v>
      </c>
      <c r="Q336" s="1200"/>
      <c r="R336" s="1200"/>
      <c r="S336" s="1200">
        <f t="shared" si="27"/>
        <v>0</v>
      </c>
      <c r="T336" s="1200"/>
      <c r="U336" s="1200"/>
      <c r="V336" s="1201"/>
    </row>
    <row r="337" spans="1:22" ht="16.5" thickBot="1">
      <c r="A337" s="1188"/>
      <c r="B337" s="1189"/>
      <c r="C337" s="1189"/>
      <c r="D337" s="1189"/>
      <c r="E337" s="1189"/>
      <c r="F337" s="1189"/>
      <c r="G337" s="1189"/>
      <c r="H337" s="1189"/>
      <c r="I337" s="1189"/>
      <c r="J337" s="1189"/>
      <c r="K337" s="1189"/>
      <c r="L337" s="1189"/>
      <c r="M337" s="1190"/>
      <c r="N337" s="88"/>
      <c r="O337" s="88"/>
      <c r="P337" s="1191">
        <f>SUM(P307:R336)</f>
        <v>0</v>
      </c>
      <c r="Q337" s="1191"/>
      <c r="R337" s="1191"/>
      <c r="S337" s="1191">
        <f>SUM(S307:V336)</f>
        <v>0</v>
      </c>
      <c r="T337" s="1191"/>
      <c r="U337" s="1191"/>
      <c r="V337" s="1192"/>
    </row>
    <row r="338" spans="1:22">
      <c r="A338" s="63"/>
      <c r="B338" s="64"/>
      <c r="C338" s="64"/>
      <c r="D338" s="64"/>
      <c r="E338" s="64"/>
      <c r="F338" s="64"/>
      <c r="G338" s="64"/>
      <c r="H338" s="64"/>
      <c r="I338" s="65"/>
      <c r="J338" s="64"/>
      <c r="K338" s="66"/>
      <c r="L338" s="64"/>
      <c r="M338" s="65"/>
      <c r="N338" s="64"/>
      <c r="O338" s="64"/>
      <c r="P338" s="1193"/>
      <c r="Q338" s="1193"/>
      <c r="R338" s="1193"/>
      <c r="S338" s="1193"/>
      <c r="T338" s="1193"/>
      <c r="U338" s="1193"/>
      <c r="V338" s="1194"/>
    </row>
    <row r="339" spans="1:22">
      <c r="A339" s="67" t="s">
        <v>460</v>
      </c>
      <c r="B339"/>
      <c r="C339"/>
      <c r="D339"/>
      <c r="E339"/>
      <c r="F339"/>
      <c r="G339"/>
      <c r="H339"/>
      <c r="I339" s="68" t="s">
        <v>353</v>
      </c>
      <c r="J339" s="69"/>
      <c r="K339" s="69"/>
      <c r="L339"/>
      <c r="M339" s="68" t="s">
        <v>461</v>
      </c>
      <c r="N339" s="69"/>
      <c r="O339" s="69"/>
      <c r="P339" s="70"/>
      <c r="Q339" s="70"/>
      <c r="R339" s="70"/>
      <c r="S339" s="70"/>
      <c r="T339" s="70"/>
      <c r="U339" s="70"/>
      <c r="V339" s="71"/>
    </row>
    <row r="340" spans="1:22">
      <c r="A340" s="37"/>
      <c r="B340"/>
      <c r="C340"/>
      <c r="D340"/>
      <c r="E340"/>
      <c r="F340"/>
      <c r="G340"/>
      <c r="H340"/>
      <c r="I340" s="72"/>
      <c r="J340"/>
      <c r="K340"/>
      <c r="L340"/>
      <c r="M340" s="72"/>
      <c r="N340"/>
      <c r="O340"/>
      <c r="P340"/>
      <c r="Q340"/>
      <c r="R340"/>
      <c r="S340"/>
      <c r="T340"/>
      <c r="U340"/>
      <c r="V340" s="73"/>
    </row>
    <row r="341" spans="1:22">
      <c r="A341" s="74" t="s">
        <v>462</v>
      </c>
      <c r="B341" s="75"/>
      <c r="C341" s="75"/>
      <c r="D341" s="75"/>
      <c r="E341" s="75"/>
      <c r="F341" s="75"/>
      <c r="G341" s="75"/>
      <c r="H341" s="76"/>
      <c r="I341" s="77" t="s">
        <v>380</v>
      </c>
      <c r="J341" s="75"/>
      <c r="K341" s="75"/>
      <c r="L341" s="76"/>
      <c r="M341" s="77" t="s">
        <v>3</v>
      </c>
      <c r="N341" s="75"/>
      <c r="O341" s="75"/>
      <c r="P341" s="75"/>
      <c r="Q341" s="75"/>
      <c r="R341" s="75"/>
      <c r="S341" s="75"/>
      <c r="T341" s="75"/>
      <c r="U341" s="75"/>
      <c r="V341" s="78"/>
    </row>
    <row r="342" spans="1:22">
      <c r="A342" s="79" t="s">
        <v>463</v>
      </c>
      <c r="B342" s="80"/>
      <c r="C342" s="80"/>
      <c r="D342" s="80"/>
      <c r="E342" s="80"/>
      <c r="F342" s="80"/>
      <c r="G342" s="80"/>
      <c r="H342" s="80"/>
      <c r="I342" s="81" t="s">
        <v>381</v>
      </c>
      <c r="J342" s="80"/>
      <c r="K342" s="80"/>
      <c r="L342" s="80"/>
      <c r="M342" s="81" t="s">
        <v>464</v>
      </c>
      <c r="N342" s="80"/>
      <c r="O342" s="80"/>
      <c r="P342" s="82"/>
      <c r="Q342" s="82"/>
      <c r="R342" s="82"/>
      <c r="S342" s="82"/>
      <c r="T342" s="82"/>
      <c r="U342" s="82"/>
      <c r="V342" s="83"/>
    </row>
    <row r="343" spans="1:22" ht="16.5" thickBot="1">
      <c r="A343" s="84" t="s">
        <v>465</v>
      </c>
      <c r="B343" s="43"/>
      <c r="C343" s="43"/>
      <c r="D343" s="43"/>
      <c r="E343" s="43"/>
      <c r="F343" s="43"/>
      <c r="G343" s="43"/>
      <c r="H343" s="43"/>
      <c r="I343" s="85"/>
      <c r="J343" s="43"/>
      <c r="K343" s="43"/>
      <c r="L343" s="43"/>
      <c r="M343" s="85"/>
      <c r="N343" s="43"/>
      <c r="O343" s="43"/>
      <c r="P343" s="43"/>
      <c r="Q343" s="43"/>
      <c r="R343" s="43"/>
      <c r="S343" s="43"/>
      <c r="T343" s="43"/>
      <c r="U343" s="43"/>
      <c r="V343" s="44"/>
    </row>
    <row r="344" spans="1:22" ht="22.5">
      <c r="A344" s="31" t="s">
        <v>441</v>
      </c>
      <c r="B344" s="32"/>
      <c r="C344" s="32"/>
      <c r="D344" s="32"/>
      <c r="E344" s="32"/>
      <c r="F344" s="32"/>
      <c r="G344" s="32"/>
      <c r="H344" s="32"/>
      <c r="I344" s="32"/>
      <c r="J344" s="32"/>
      <c r="K344" s="32"/>
      <c r="L344" s="32"/>
      <c r="M344" s="32"/>
      <c r="N344" s="32"/>
      <c r="O344" s="32"/>
      <c r="P344" s="32"/>
      <c r="Q344" s="33"/>
      <c r="R344" s="1218">
        <f>+P384-S384</f>
        <v>0</v>
      </c>
      <c r="S344" s="1219"/>
      <c r="T344" s="1219"/>
      <c r="U344" s="1219"/>
      <c r="V344" s="1220"/>
    </row>
    <row r="345" spans="1:22">
      <c r="A345" s="34" t="s">
        <v>442</v>
      </c>
      <c r="B345" s="35"/>
      <c r="C345" s="35"/>
      <c r="D345" s="35"/>
      <c r="E345" s="35"/>
      <c r="F345" s="35"/>
      <c r="G345" s="35"/>
      <c r="H345" s="35"/>
      <c r="I345" s="35"/>
      <c r="J345" s="35"/>
      <c r="K345" s="35"/>
      <c r="L345" s="35"/>
      <c r="M345" s="35"/>
      <c r="N345" s="35"/>
      <c r="O345" s="35"/>
      <c r="P345" s="35"/>
      <c r="Q345" s="36"/>
      <c r="R345" s="37" t="s">
        <v>443</v>
      </c>
      <c r="S345"/>
      <c r="T345" s="1221"/>
      <c r="U345" s="1221"/>
      <c r="V345" s="1222"/>
    </row>
    <row r="346" spans="1:22">
      <c r="A346" s="38" t="s">
        <v>444</v>
      </c>
      <c r="B346" s="35"/>
      <c r="C346" s="35"/>
      <c r="D346" s="35"/>
      <c r="E346" s="35"/>
      <c r="F346" s="35"/>
      <c r="G346" s="35"/>
      <c r="H346" s="35"/>
      <c r="I346" s="35"/>
      <c r="J346" s="35"/>
      <c r="K346" s="35"/>
      <c r="L346" s="35"/>
      <c r="M346" s="35"/>
      <c r="N346" s="35"/>
      <c r="O346" s="35"/>
      <c r="P346" s="35"/>
      <c r="Q346" s="36"/>
      <c r="R346" s="37" t="s">
        <v>0</v>
      </c>
      <c r="S346"/>
      <c r="T346" s="1223">
        <f>IF(T345=0,0,(LOOKUP(T345,CsDJ[JEV Number],CsDJ[Date])))</f>
        <v>0</v>
      </c>
      <c r="U346" s="1223"/>
      <c r="V346" s="1224"/>
    </row>
    <row r="347" spans="1:22" ht="16.5" thickBot="1">
      <c r="A347" s="39"/>
      <c r="B347" s="40"/>
      <c r="C347" s="40"/>
      <c r="D347" s="40"/>
      <c r="E347" s="40"/>
      <c r="F347" s="40"/>
      <c r="G347" s="40"/>
      <c r="H347" s="40"/>
      <c r="I347" s="40"/>
      <c r="J347" s="40"/>
      <c r="K347" s="40"/>
      <c r="L347" s="40"/>
      <c r="M347" s="40"/>
      <c r="N347" s="40"/>
      <c r="O347" s="40"/>
      <c r="P347" s="40"/>
      <c r="Q347" s="41"/>
      <c r="R347" s="42"/>
      <c r="S347" s="43"/>
      <c r="T347" s="43"/>
      <c r="U347" s="43"/>
      <c r="V347" s="44"/>
    </row>
    <row r="348" spans="1:22">
      <c r="A348" s="45"/>
      <c r="B348" s="46"/>
      <c r="C348" s="46"/>
      <c r="D348" s="46"/>
      <c r="E348" s="46"/>
      <c r="F348" s="46"/>
      <c r="G348" s="46"/>
      <c r="H348" s="46"/>
      <c r="I348" s="46"/>
      <c r="J348" s="46"/>
      <c r="K348" s="46"/>
      <c r="L348" s="47"/>
      <c r="M348" s="46"/>
      <c r="N348" s="46"/>
      <c r="O348" s="46"/>
      <c r="P348" s="46"/>
      <c r="Q348" s="46"/>
      <c r="R348" s="46"/>
      <c r="S348" s="46"/>
      <c r="T348" s="46"/>
      <c r="U348" s="46"/>
      <c r="V348" s="48"/>
    </row>
    <row r="349" spans="1:22">
      <c r="A349" s="49"/>
      <c r="B349" s="1225"/>
      <c r="C349" s="1225"/>
      <c r="D349" s="50" t="s">
        <v>445</v>
      </c>
      <c r="H349" s="51"/>
      <c r="I349" s="25" t="s">
        <v>447</v>
      </c>
      <c r="J349" s="132" t="s">
        <v>446</v>
      </c>
      <c r="K349" s="52" t="s">
        <v>448</v>
      </c>
      <c r="L349" s="52"/>
      <c r="Q349" s="1225"/>
      <c r="R349" s="1225"/>
      <c r="S349" s="50" t="s">
        <v>449</v>
      </c>
      <c r="T349" s="50"/>
      <c r="U349" s="50"/>
      <c r="V349" s="53"/>
    </row>
    <row r="350" spans="1:22" ht="16.5" thickBot="1">
      <c r="A350" s="54"/>
      <c r="B350" s="55"/>
      <c r="C350" s="55"/>
      <c r="D350" s="55"/>
      <c r="E350" s="55"/>
      <c r="F350" s="55"/>
      <c r="G350" s="55"/>
      <c r="H350" s="55"/>
      <c r="I350" s="55"/>
      <c r="J350" s="55"/>
      <c r="K350" s="55"/>
      <c r="L350" s="56"/>
      <c r="M350" s="55"/>
      <c r="N350" s="55"/>
      <c r="O350" s="55"/>
      <c r="P350" s="55"/>
      <c r="Q350" s="55"/>
      <c r="R350" s="55"/>
      <c r="S350" s="55"/>
      <c r="T350" s="55"/>
      <c r="U350" s="55"/>
      <c r="V350" s="57"/>
    </row>
    <row r="351" spans="1:22">
      <c r="A351" s="1226" t="s">
        <v>397</v>
      </c>
      <c r="B351" s="1227"/>
      <c r="C351" s="1227"/>
      <c r="D351" s="1228"/>
      <c r="E351" s="1235" t="s">
        <v>450</v>
      </c>
      <c r="F351" s="1235"/>
      <c r="G351" s="1235"/>
      <c r="H351" s="1235"/>
      <c r="I351" s="1235"/>
      <c r="J351" s="1235"/>
      <c r="K351" s="1235"/>
      <c r="L351" s="1235"/>
      <c r="M351" s="1235"/>
      <c r="N351" s="1235"/>
      <c r="O351" s="1235"/>
      <c r="P351" s="1235"/>
      <c r="Q351" s="1235"/>
      <c r="R351" s="1235"/>
      <c r="S351" s="1235"/>
      <c r="T351" s="1235"/>
      <c r="U351" s="1235"/>
      <c r="V351" s="1236"/>
    </row>
    <row r="352" spans="1:22">
      <c r="A352" s="1229"/>
      <c r="B352" s="1230"/>
      <c r="C352" s="1230"/>
      <c r="D352" s="1231"/>
      <c r="E352" s="1237" t="s">
        <v>451</v>
      </c>
      <c r="F352" s="1237"/>
      <c r="G352" s="1237"/>
      <c r="H352" s="1237"/>
      <c r="I352" s="1237"/>
      <c r="J352" s="1237"/>
      <c r="K352" s="1239" t="s">
        <v>378</v>
      </c>
      <c r="L352" s="1239"/>
      <c r="M352" s="1237" t="s">
        <v>452</v>
      </c>
      <c r="N352" s="1240" t="s">
        <v>453</v>
      </c>
      <c r="O352" s="1241"/>
      <c r="P352" s="1241"/>
      <c r="Q352" s="1241"/>
      <c r="R352" s="1241"/>
      <c r="S352" s="1241"/>
      <c r="T352" s="1241"/>
      <c r="U352" s="1241"/>
      <c r="V352" s="1242"/>
    </row>
    <row r="353" spans="1:22" ht="16.5" customHeight="1" thickBot="1">
      <c r="A353" s="1232"/>
      <c r="B353" s="1233"/>
      <c r="C353" s="1233"/>
      <c r="D353" s="1234"/>
      <c r="E353" s="1238"/>
      <c r="F353" s="1238"/>
      <c r="G353" s="1238"/>
      <c r="H353" s="1238"/>
      <c r="I353" s="1238"/>
      <c r="J353" s="1238"/>
      <c r="K353" s="58" t="s">
        <v>454</v>
      </c>
      <c r="L353" s="58" t="s">
        <v>455</v>
      </c>
      <c r="M353" s="1238"/>
      <c r="N353" s="87" t="s">
        <v>466</v>
      </c>
      <c r="O353" s="87" t="s">
        <v>467</v>
      </c>
      <c r="P353" s="1243" t="s">
        <v>1</v>
      </c>
      <c r="Q353" s="1244"/>
      <c r="R353" s="1245"/>
      <c r="S353" s="1243" t="s">
        <v>2</v>
      </c>
      <c r="T353" s="1244"/>
      <c r="U353" s="1244"/>
      <c r="V353" s="1246"/>
    </row>
    <row r="354" spans="1:22" ht="19.5">
      <c r="A354" s="1210">
        <f>P384-S384</f>
        <v>0</v>
      </c>
      <c r="B354" s="1211"/>
      <c r="C354" s="1211"/>
      <c r="D354" s="1211"/>
      <c r="E354" s="1212" t="str">
        <f>Account!$G$1</f>
        <v>FUND 501 CARP</v>
      </c>
      <c r="F354" s="1213"/>
      <c r="G354" s="1213"/>
      <c r="H354" s="1213"/>
      <c r="I354" s="1213"/>
      <c r="J354" s="1214"/>
      <c r="K354" s="59"/>
      <c r="L354" s="59"/>
      <c r="M354" s="60"/>
      <c r="N354" s="60"/>
      <c r="O354" s="60"/>
      <c r="P354" s="1215"/>
      <c r="Q354" s="1215"/>
      <c r="R354" s="1215"/>
      <c r="S354" s="1215"/>
      <c r="T354" s="1215"/>
      <c r="U354" s="1215"/>
      <c r="V354" s="1216"/>
    </row>
    <row r="355" spans="1:22">
      <c r="A355" s="1195"/>
      <c r="B355" s="1196"/>
      <c r="C355" s="1196"/>
      <c r="D355" s="1196"/>
      <c r="E355" s="1196"/>
      <c r="F355" s="1196"/>
      <c r="G355" s="1196"/>
      <c r="H355" s="1196"/>
      <c r="I355" s="1196"/>
      <c r="J355" s="1196"/>
      <c r="K355" s="61"/>
      <c r="L355" s="61"/>
      <c r="M355" s="14"/>
      <c r="N355" s="14"/>
      <c r="O355" s="14"/>
      <c r="P355" s="1196"/>
      <c r="Q355" s="1196"/>
      <c r="R355" s="1196"/>
      <c r="S355" s="1196"/>
      <c r="T355" s="1196"/>
      <c r="U355" s="1196"/>
      <c r="V355" s="1217"/>
    </row>
    <row r="356" spans="1:22">
      <c r="A356" s="1195"/>
      <c r="B356" s="1196"/>
      <c r="C356" s="1196"/>
      <c r="D356" s="1196"/>
      <c r="E356" s="1197" t="str">
        <f t="shared" ref="E356:E378" si="28">IF(K356=0,"",(VLOOKUP((TRIM(K356)),Code,2,)))</f>
        <v/>
      </c>
      <c r="F356" s="1198"/>
      <c r="G356" s="1198"/>
      <c r="H356" s="1198"/>
      <c r="I356" s="1198"/>
      <c r="J356" s="1199"/>
      <c r="K356" s="133"/>
      <c r="L356" s="62" t="str">
        <f t="shared" ref="L356:L383" si="29">IF(K356=0,"",VLOOKUP((TRIM(K356)),Code,3,))</f>
        <v/>
      </c>
      <c r="M356" s="14"/>
      <c r="N356" s="89">
        <f t="array" ref="N356">SUM(IF((CsDJ[JEV Number]=TRIM($T345))*(CsDJ[Account Code]=TRIM(K356)),CsDJ[Debit]))</f>
        <v>0</v>
      </c>
      <c r="O356" s="89">
        <f t="array" ref="O356">SUM(IF((CsDJ[JEV Number]=TRIM($T345))*(CsDJ[Account Code]=TRIM(K356)),CsDJ[Credit]))</f>
        <v>0</v>
      </c>
      <c r="P356" s="1200">
        <f>N356</f>
        <v>0</v>
      </c>
      <c r="Q356" s="1200"/>
      <c r="R356" s="1200"/>
      <c r="S356" s="1200">
        <f>O356</f>
        <v>0</v>
      </c>
      <c r="T356" s="1200"/>
      <c r="U356" s="1200"/>
      <c r="V356" s="1201"/>
    </row>
    <row r="357" spans="1:22">
      <c r="A357" s="1195"/>
      <c r="B357" s="1196"/>
      <c r="C357" s="1196"/>
      <c r="D357" s="1196"/>
      <c r="E357" s="1197" t="str">
        <f t="shared" si="28"/>
        <v/>
      </c>
      <c r="F357" s="1198"/>
      <c r="G357" s="1198"/>
      <c r="H357" s="1198"/>
      <c r="I357" s="1198"/>
      <c r="J357" s="1199"/>
      <c r="K357" s="133"/>
      <c r="L357" s="62" t="str">
        <f t="shared" si="29"/>
        <v/>
      </c>
      <c r="M357" s="14"/>
      <c r="N357" s="89">
        <f t="array" ref="N357">SUM(IF((CsDJ[JEV Number]=TRIM($T345))*(CsDJ[Account Code]=TRIM(K357)),CsDJ[Debit]))</f>
        <v>0</v>
      </c>
      <c r="O357" s="89">
        <f t="array" ref="O357">SUM(IF((CsDJ[JEV Number]=TRIM($T345))*(CsDJ[Account Code]=TRIM(K357)),CsDJ[Credit]))</f>
        <v>0</v>
      </c>
      <c r="P357" s="1200">
        <f>N357</f>
        <v>0</v>
      </c>
      <c r="Q357" s="1200"/>
      <c r="R357" s="1200"/>
      <c r="S357" s="1200">
        <f>O357</f>
        <v>0</v>
      </c>
      <c r="T357" s="1200"/>
      <c r="U357" s="1200"/>
      <c r="V357" s="1201"/>
    </row>
    <row r="358" spans="1:22">
      <c r="A358" s="1195"/>
      <c r="B358" s="1196"/>
      <c r="C358" s="1196"/>
      <c r="D358" s="1196"/>
      <c r="E358" s="1197" t="str">
        <f t="shared" si="28"/>
        <v/>
      </c>
      <c r="F358" s="1198"/>
      <c r="G358" s="1198"/>
      <c r="H358" s="1198"/>
      <c r="I358" s="1198"/>
      <c r="J358" s="1199"/>
      <c r="K358" s="133"/>
      <c r="L358" s="62" t="str">
        <f t="shared" si="29"/>
        <v/>
      </c>
      <c r="M358" s="14"/>
      <c r="N358" s="89">
        <f t="array" ref="N358">SUM(IF((CsDJ[JEV Number]=TRIM($T345))*(CsDJ[Account Code]=TRIM(K358)),CsDJ[Debit]))</f>
        <v>0</v>
      </c>
      <c r="O358" s="89">
        <f t="array" ref="O358">SUM(IF((CsDJ[JEV Number]=TRIM($T345))*(CsDJ[Account Code]=TRIM(K358)),CsDJ[Credit]))</f>
        <v>0</v>
      </c>
      <c r="P358" s="1200">
        <f t="shared" ref="P358:P383" si="30">N358</f>
        <v>0</v>
      </c>
      <c r="Q358" s="1200"/>
      <c r="R358" s="1200"/>
      <c r="S358" s="1200">
        <f t="shared" ref="S358:S383" si="31">O358</f>
        <v>0</v>
      </c>
      <c r="T358" s="1200"/>
      <c r="U358" s="1200"/>
      <c r="V358" s="1201"/>
    </row>
    <row r="359" spans="1:22">
      <c r="A359" s="1195"/>
      <c r="B359" s="1196"/>
      <c r="C359" s="1196"/>
      <c r="D359" s="1196"/>
      <c r="E359" s="1197" t="str">
        <f t="shared" si="28"/>
        <v/>
      </c>
      <c r="F359" s="1198"/>
      <c r="G359" s="1198"/>
      <c r="H359" s="1198"/>
      <c r="I359" s="1198"/>
      <c r="J359" s="1199"/>
      <c r="K359" s="133"/>
      <c r="L359" s="62" t="str">
        <f t="shared" si="29"/>
        <v/>
      </c>
      <c r="M359" s="14"/>
      <c r="N359" s="89">
        <f t="array" ref="N359">SUM(IF((CsDJ[JEV Number]=TRIM($T345))*(CsDJ[Account Code]=TRIM(K359)),CsDJ[Debit]))</f>
        <v>0</v>
      </c>
      <c r="O359" s="89">
        <f t="array" ref="O359">SUM(IF((CsDJ[JEV Number]=TRIM($T345))*(CsDJ[Account Code]=TRIM(K359)),CsDJ[Credit]))</f>
        <v>0</v>
      </c>
      <c r="P359" s="1200">
        <f t="shared" si="30"/>
        <v>0</v>
      </c>
      <c r="Q359" s="1200"/>
      <c r="R359" s="1200"/>
      <c r="S359" s="1200">
        <f t="shared" si="31"/>
        <v>0</v>
      </c>
      <c r="T359" s="1200"/>
      <c r="U359" s="1200"/>
      <c r="V359" s="1201"/>
    </row>
    <row r="360" spans="1:22">
      <c r="A360" s="1195"/>
      <c r="B360" s="1196"/>
      <c r="C360" s="1196"/>
      <c r="D360" s="1196"/>
      <c r="E360" s="1197" t="str">
        <f t="shared" si="28"/>
        <v/>
      </c>
      <c r="F360" s="1198"/>
      <c r="G360" s="1198"/>
      <c r="H360" s="1198"/>
      <c r="I360" s="1198"/>
      <c r="J360" s="1199"/>
      <c r="K360" s="133"/>
      <c r="L360" s="62" t="str">
        <f t="shared" si="29"/>
        <v/>
      </c>
      <c r="M360" s="14"/>
      <c r="N360" s="89">
        <f t="array" ref="N360">SUM(IF((CsDJ[JEV Number]=TRIM($T345))*(CsDJ[Account Code]=TRIM(K360)),CsDJ[Debit]))</f>
        <v>0</v>
      </c>
      <c r="O360" s="89">
        <f t="array" ref="O360">SUM(IF((CsDJ[JEV Number]=TRIM($T345))*(CsDJ[Account Code]=TRIM(K360)),CsDJ[Credit]))</f>
        <v>0</v>
      </c>
      <c r="P360" s="1200">
        <f t="shared" si="30"/>
        <v>0</v>
      </c>
      <c r="Q360" s="1200"/>
      <c r="R360" s="1200"/>
      <c r="S360" s="1200">
        <f t="shared" si="31"/>
        <v>0</v>
      </c>
      <c r="T360" s="1200"/>
      <c r="U360" s="1200"/>
      <c r="V360" s="1201"/>
    </row>
    <row r="361" spans="1:22">
      <c r="A361" s="1195"/>
      <c r="B361" s="1196"/>
      <c r="C361" s="1196"/>
      <c r="D361" s="1196"/>
      <c r="E361" s="1197" t="str">
        <f t="shared" si="28"/>
        <v/>
      </c>
      <c r="F361" s="1198"/>
      <c r="G361" s="1198"/>
      <c r="H361" s="1198"/>
      <c r="I361" s="1198"/>
      <c r="J361" s="1199"/>
      <c r="K361" s="133"/>
      <c r="L361" s="62" t="str">
        <f t="shared" si="29"/>
        <v/>
      </c>
      <c r="M361" s="14"/>
      <c r="N361" s="89">
        <f t="array" ref="N361">SUM(IF((CsDJ[JEV Number]=TRIM($T345))*(CsDJ[Account Code]=TRIM(K361)),CsDJ[Debit]))</f>
        <v>0</v>
      </c>
      <c r="O361" s="89">
        <f t="array" ref="O361">SUM(IF((CsDJ[JEV Number]=TRIM($T345))*(CsDJ[Account Code]=TRIM(K361)),CsDJ[Credit]))</f>
        <v>0</v>
      </c>
      <c r="P361" s="1200">
        <f t="shared" si="30"/>
        <v>0</v>
      </c>
      <c r="Q361" s="1200"/>
      <c r="R361" s="1200"/>
      <c r="S361" s="1200">
        <f t="shared" si="31"/>
        <v>0</v>
      </c>
      <c r="T361" s="1200"/>
      <c r="U361" s="1200"/>
      <c r="V361" s="1201"/>
    </row>
    <row r="362" spans="1:22">
      <c r="A362" s="1195"/>
      <c r="B362" s="1196"/>
      <c r="C362" s="1196"/>
      <c r="D362" s="1196"/>
      <c r="E362" s="1197" t="str">
        <f t="shared" si="28"/>
        <v/>
      </c>
      <c r="F362" s="1198"/>
      <c r="G362" s="1198"/>
      <c r="H362" s="1198"/>
      <c r="I362" s="1198"/>
      <c r="J362" s="1199"/>
      <c r="K362" s="133"/>
      <c r="L362" s="62" t="str">
        <f t="shared" si="29"/>
        <v/>
      </c>
      <c r="M362" s="14"/>
      <c r="N362" s="89">
        <f t="array" ref="N362">SUM(IF((CsDJ[JEV Number]=TRIM($T345))*(CsDJ[Account Code]=TRIM(K362)),CsDJ[Debit]))</f>
        <v>0</v>
      </c>
      <c r="O362" s="89">
        <f t="array" ref="O362">SUM(IF((CsDJ[JEV Number]=TRIM($T345))*(CsDJ[Account Code]=TRIM(K362)),CsDJ[Credit]))</f>
        <v>0</v>
      </c>
      <c r="P362" s="1200">
        <f t="shared" si="30"/>
        <v>0</v>
      </c>
      <c r="Q362" s="1200"/>
      <c r="R362" s="1200"/>
      <c r="S362" s="1200">
        <f t="shared" si="31"/>
        <v>0</v>
      </c>
      <c r="T362" s="1200"/>
      <c r="U362" s="1200"/>
      <c r="V362" s="1201"/>
    </row>
    <row r="363" spans="1:22">
      <c r="A363" s="1195"/>
      <c r="B363" s="1196"/>
      <c r="C363" s="1196"/>
      <c r="D363" s="1196"/>
      <c r="E363" s="1197" t="str">
        <f t="shared" si="28"/>
        <v/>
      </c>
      <c r="F363" s="1198"/>
      <c r="G363" s="1198"/>
      <c r="H363" s="1198"/>
      <c r="I363" s="1198"/>
      <c r="J363" s="1199"/>
      <c r="K363" s="133"/>
      <c r="L363" s="62" t="str">
        <f t="shared" si="29"/>
        <v/>
      </c>
      <c r="M363" s="14"/>
      <c r="N363" s="89">
        <f t="array" ref="N363">SUM(IF((CsDJ[JEV Number]=TRIM($T345))*(CsDJ[Account Code]=TRIM(K363)),CsDJ[Debit]))</f>
        <v>0</v>
      </c>
      <c r="O363" s="89">
        <f t="array" ref="O363">SUM(IF((CsDJ[JEV Number]=TRIM($T345))*(CsDJ[Account Code]=TRIM(K363)),CsDJ[Credit]))</f>
        <v>0</v>
      </c>
      <c r="P363" s="1200">
        <f t="shared" si="30"/>
        <v>0</v>
      </c>
      <c r="Q363" s="1200"/>
      <c r="R363" s="1200"/>
      <c r="S363" s="1200">
        <f t="shared" si="31"/>
        <v>0</v>
      </c>
      <c r="T363" s="1200"/>
      <c r="U363" s="1200"/>
      <c r="V363" s="1201"/>
    </row>
    <row r="364" spans="1:22">
      <c r="A364" s="1195"/>
      <c r="B364" s="1196"/>
      <c r="C364" s="1196"/>
      <c r="D364" s="1196"/>
      <c r="E364" s="1197" t="str">
        <f t="shared" si="28"/>
        <v/>
      </c>
      <c r="F364" s="1198"/>
      <c r="G364" s="1198"/>
      <c r="H364" s="1198"/>
      <c r="I364" s="1198"/>
      <c r="J364" s="1199"/>
      <c r="K364" s="134"/>
      <c r="L364" s="62" t="str">
        <f t="shared" si="29"/>
        <v/>
      </c>
      <c r="M364" s="14"/>
      <c r="N364" s="89">
        <f t="array" ref="N364">SUM(IF((CsDJ[JEV Number]=TRIM($T345))*(CsDJ[Account Code]=TRIM(K364)),CsDJ[Debit]))</f>
        <v>0</v>
      </c>
      <c r="O364" s="89">
        <f t="array" ref="O364">SUM(IF((CsDJ[JEV Number]=TRIM($T345))*(CsDJ[Account Code]=TRIM(K364)),CsDJ[Credit]))</f>
        <v>0</v>
      </c>
      <c r="P364" s="1200">
        <f t="shared" si="30"/>
        <v>0</v>
      </c>
      <c r="Q364" s="1200"/>
      <c r="R364" s="1200"/>
      <c r="S364" s="1200">
        <f t="shared" si="31"/>
        <v>0</v>
      </c>
      <c r="T364" s="1200"/>
      <c r="U364" s="1200"/>
      <c r="V364" s="1201"/>
    </row>
    <row r="365" spans="1:22">
      <c r="A365" s="1195"/>
      <c r="B365" s="1196"/>
      <c r="C365" s="1196"/>
      <c r="D365" s="1196"/>
      <c r="E365" s="1197" t="str">
        <f t="shared" si="28"/>
        <v/>
      </c>
      <c r="F365" s="1198"/>
      <c r="G365" s="1198"/>
      <c r="H365" s="1198"/>
      <c r="I365" s="1198"/>
      <c r="J365" s="1199"/>
      <c r="K365" s="134"/>
      <c r="L365" s="62" t="str">
        <f t="shared" si="29"/>
        <v/>
      </c>
      <c r="M365" s="14"/>
      <c r="N365" s="89">
        <f t="array" ref="N365">SUM(IF((CsDJ[JEV Number]=TRIM($T345))*(CsDJ[Account Code]=TRIM(K365)),CsDJ[Debit]))</f>
        <v>0</v>
      </c>
      <c r="O365" s="89">
        <f t="array" ref="O365">SUM(IF((CsDJ[JEV Number]=TRIM($T345))*(CsDJ[Account Code]=TRIM(K365)),CsDJ[Credit]))</f>
        <v>0</v>
      </c>
      <c r="P365" s="1200">
        <f t="shared" si="30"/>
        <v>0</v>
      </c>
      <c r="Q365" s="1200"/>
      <c r="R365" s="1200"/>
      <c r="S365" s="1200">
        <f t="shared" si="31"/>
        <v>0</v>
      </c>
      <c r="T365" s="1200"/>
      <c r="U365" s="1200"/>
      <c r="V365" s="1201"/>
    </row>
    <row r="366" spans="1:22">
      <c r="A366" s="1195"/>
      <c r="B366" s="1196"/>
      <c r="C366" s="1196"/>
      <c r="D366" s="1196"/>
      <c r="E366" s="1197" t="str">
        <f t="shared" si="28"/>
        <v/>
      </c>
      <c r="F366" s="1198"/>
      <c r="G366" s="1198"/>
      <c r="H366" s="1198"/>
      <c r="I366" s="1198"/>
      <c r="J366" s="1199"/>
      <c r="K366" s="134"/>
      <c r="L366" s="62" t="str">
        <f t="shared" si="29"/>
        <v/>
      </c>
      <c r="M366" s="14"/>
      <c r="N366" s="89">
        <f t="array" ref="N366">SUM(IF((CsDJ[JEV Number]=TRIM($T345))*(CsDJ[Account Code]=TRIM(K366)),CsDJ[Debit]))</f>
        <v>0</v>
      </c>
      <c r="O366" s="89">
        <f t="array" ref="O366">SUM(IF((CsDJ[JEV Number]=TRIM($T345))*(CsDJ[Account Code]=TRIM(K366)),CsDJ[Credit]))</f>
        <v>0</v>
      </c>
      <c r="P366" s="1200">
        <f t="shared" si="30"/>
        <v>0</v>
      </c>
      <c r="Q366" s="1200"/>
      <c r="R366" s="1200"/>
      <c r="S366" s="1200">
        <f t="shared" si="31"/>
        <v>0</v>
      </c>
      <c r="T366" s="1200"/>
      <c r="U366" s="1200"/>
      <c r="V366" s="1201"/>
    </row>
    <row r="367" spans="1:22">
      <c r="A367" s="1195"/>
      <c r="B367" s="1196"/>
      <c r="C367" s="1196"/>
      <c r="D367" s="1196"/>
      <c r="E367" s="1197" t="str">
        <f t="shared" si="28"/>
        <v/>
      </c>
      <c r="F367" s="1198"/>
      <c r="G367" s="1198"/>
      <c r="H367" s="1198"/>
      <c r="I367" s="1198"/>
      <c r="J367" s="1199"/>
      <c r="K367" s="134"/>
      <c r="L367" s="62" t="str">
        <f t="shared" si="29"/>
        <v/>
      </c>
      <c r="M367" s="14"/>
      <c r="N367" s="89">
        <f t="array" ref="N367">SUM(IF((CsDJ[JEV Number]=TRIM($T345))*(CsDJ[Account Code]=TRIM(K367)),CsDJ[Debit]))</f>
        <v>0</v>
      </c>
      <c r="O367" s="89">
        <f t="array" ref="O367">SUM(IF((CsDJ[JEV Number]=TRIM($T345))*(CsDJ[Account Code]=TRIM(K367)),CsDJ[Credit]))</f>
        <v>0</v>
      </c>
      <c r="P367" s="1200">
        <f t="shared" si="30"/>
        <v>0</v>
      </c>
      <c r="Q367" s="1200"/>
      <c r="R367" s="1200"/>
      <c r="S367" s="1200">
        <f t="shared" si="31"/>
        <v>0</v>
      </c>
      <c r="T367" s="1200"/>
      <c r="U367" s="1200"/>
      <c r="V367" s="1201"/>
    </row>
    <row r="368" spans="1:22">
      <c r="A368" s="1195"/>
      <c r="B368" s="1196"/>
      <c r="C368" s="1196"/>
      <c r="D368" s="1196"/>
      <c r="E368" s="1197" t="str">
        <f t="shared" si="28"/>
        <v/>
      </c>
      <c r="F368" s="1198"/>
      <c r="G368" s="1198"/>
      <c r="H368" s="1198"/>
      <c r="I368" s="1198"/>
      <c r="J368" s="1199"/>
      <c r="K368" s="134"/>
      <c r="L368" s="62" t="str">
        <f t="shared" si="29"/>
        <v/>
      </c>
      <c r="M368" s="14"/>
      <c r="N368" s="89">
        <f t="array" ref="N368">SUM(IF((CsDJ[JEV Number]=TRIM($T345))*(CsDJ[Account Code]=TRIM(K368)),CsDJ[Debit]))</f>
        <v>0</v>
      </c>
      <c r="O368" s="89">
        <f t="array" ref="O368">SUM(IF((CsDJ[JEV Number]=TRIM($T345))*(CsDJ[Account Code]=TRIM(K368)),CsDJ[Credit]))</f>
        <v>0</v>
      </c>
      <c r="P368" s="1200">
        <f t="shared" si="30"/>
        <v>0</v>
      </c>
      <c r="Q368" s="1200"/>
      <c r="R368" s="1200"/>
      <c r="S368" s="1200">
        <f t="shared" si="31"/>
        <v>0</v>
      </c>
      <c r="T368" s="1200"/>
      <c r="U368" s="1200"/>
      <c r="V368" s="1201"/>
    </row>
    <row r="369" spans="1:22">
      <c r="A369" s="1195"/>
      <c r="B369" s="1196"/>
      <c r="C369" s="1196"/>
      <c r="D369" s="1196"/>
      <c r="E369" s="1197" t="str">
        <f t="shared" si="28"/>
        <v/>
      </c>
      <c r="F369" s="1198"/>
      <c r="G369" s="1198"/>
      <c r="H369" s="1198"/>
      <c r="I369" s="1198"/>
      <c r="J369" s="1199"/>
      <c r="K369" s="134"/>
      <c r="L369" s="62" t="str">
        <f t="shared" si="29"/>
        <v/>
      </c>
      <c r="M369" s="14"/>
      <c r="N369" s="89">
        <f t="array" ref="N369">SUM(IF((CsDJ[JEV Number]=TRIM($T345))*(CsDJ[Account Code]=TRIM(K369)),CsDJ[Debit]))</f>
        <v>0</v>
      </c>
      <c r="O369" s="89">
        <f t="array" ref="O369">SUM(IF((CsDJ[JEV Number]=TRIM($T345))*(CsDJ[Account Code]=TRIM(K369)),CsDJ[Credit]))</f>
        <v>0</v>
      </c>
      <c r="P369" s="1200">
        <f t="shared" si="30"/>
        <v>0</v>
      </c>
      <c r="Q369" s="1200"/>
      <c r="R369" s="1200"/>
      <c r="S369" s="1200">
        <f t="shared" si="31"/>
        <v>0</v>
      </c>
      <c r="T369" s="1200"/>
      <c r="U369" s="1200"/>
      <c r="V369" s="1201"/>
    </row>
    <row r="370" spans="1:22">
      <c r="A370" s="1195"/>
      <c r="B370" s="1196"/>
      <c r="C370" s="1196"/>
      <c r="D370" s="1196"/>
      <c r="E370" s="1197" t="str">
        <f t="shared" si="28"/>
        <v/>
      </c>
      <c r="F370" s="1198"/>
      <c r="G370" s="1198"/>
      <c r="H370" s="1198"/>
      <c r="I370" s="1198"/>
      <c r="J370" s="1199"/>
      <c r="K370" s="134"/>
      <c r="L370" s="62" t="str">
        <f t="shared" si="29"/>
        <v/>
      </c>
      <c r="M370" s="14"/>
      <c r="N370" s="89">
        <f t="array" ref="N370">SUM(IF((CsDJ[JEV Number]=TRIM($T345))*(CsDJ[Account Code]=TRIM(K370)),CsDJ[Debit]))</f>
        <v>0</v>
      </c>
      <c r="O370" s="89">
        <f t="array" ref="O370">SUM(IF((CsDJ[JEV Number]=TRIM($T345))*(CsDJ[Account Code]=TRIM(K370)),CsDJ[Credit]))</f>
        <v>0</v>
      </c>
      <c r="P370" s="1200">
        <f t="shared" si="30"/>
        <v>0</v>
      </c>
      <c r="Q370" s="1200"/>
      <c r="R370" s="1200"/>
      <c r="S370" s="1200">
        <f t="shared" si="31"/>
        <v>0</v>
      </c>
      <c r="T370" s="1200"/>
      <c r="U370" s="1200"/>
      <c r="V370" s="1201"/>
    </row>
    <row r="371" spans="1:22">
      <c r="A371" s="1195"/>
      <c r="B371" s="1196"/>
      <c r="C371" s="1196"/>
      <c r="D371" s="1196"/>
      <c r="E371" s="1197" t="str">
        <f t="shared" si="28"/>
        <v/>
      </c>
      <c r="F371" s="1198"/>
      <c r="G371" s="1198"/>
      <c r="H371" s="1198"/>
      <c r="I371" s="1198"/>
      <c r="J371" s="1199"/>
      <c r="K371" s="134"/>
      <c r="L371" s="62" t="str">
        <f t="shared" si="29"/>
        <v/>
      </c>
      <c r="M371" s="14"/>
      <c r="N371" s="89">
        <f t="array" ref="N371">SUM(IF((CsDJ[JEV Number]=TRIM($T345))*(CsDJ[Account Code]=TRIM(K371)),CsDJ[Debit]))</f>
        <v>0</v>
      </c>
      <c r="O371" s="89">
        <f t="array" ref="O371">SUM(IF((CsDJ[JEV Number]=TRIM($T345))*(CsDJ[Account Code]=TRIM(K371)),CsDJ[Credit]))</f>
        <v>0</v>
      </c>
      <c r="P371" s="1200">
        <f t="shared" si="30"/>
        <v>0</v>
      </c>
      <c r="Q371" s="1200"/>
      <c r="R371" s="1200"/>
      <c r="S371" s="1200">
        <f t="shared" si="31"/>
        <v>0</v>
      </c>
      <c r="T371" s="1200"/>
      <c r="U371" s="1200"/>
      <c r="V371" s="1201"/>
    </row>
    <row r="372" spans="1:22">
      <c r="A372" s="1195"/>
      <c r="B372" s="1196"/>
      <c r="C372" s="1196"/>
      <c r="D372" s="1196"/>
      <c r="E372" s="1197" t="str">
        <f t="shared" si="28"/>
        <v/>
      </c>
      <c r="F372" s="1198"/>
      <c r="G372" s="1198"/>
      <c r="H372" s="1198"/>
      <c r="I372" s="1198"/>
      <c r="J372" s="1199"/>
      <c r="K372" s="134"/>
      <c r="L372" s="62" t="str">
        <f t="shared" si="29"/>
        <v/>
      </c>
      <c r="M372" s="14"/>
      <c r="N372" s="89">
        <f t="array" ref="N372">SUM(IF((CsDJ[JEV Number]=TRIM($T345))*(CsDJ[Account Code]=TRIM(K372)),CsDJ[Debit]))</f>
        <v>0</v>
      </c>
      <c r="O372" s="89">
        <f t="array" ref="O372">SUM(IF((CsDJ[JEV Number]=TRIM($T345))*(CsDJ[Account Code]=TRIM(K372)),CsDJ[Credit]))</f>
        <v>0</v>
      </c>
      <c r="P372" s="1200">
        <f t="shared" si="30"/>
        <v>0</v>
      </c>
      <c r="Q372" s="1200"/>
      <c r="R372" s="1200"/>
      <c r="S372" s="1200">
        <f t="shared" si="31"/>
        <v>0</v>
      </c>
      <c r="T372" s="1200"/>
      <c r="U372" s="1200"/>
      <c r="V372" s="1201"/>
    </row>
    <row r="373" spans="1:22">
      <c r="A373" s="1195"/>
      <c r="B373" s="1196"/>
      <c r="C373" s="1196"/>
      <c r="D373" s="1196"/>
      <c r="E373" s="1197" t="str">
        <f t="shared" si="28"/>
        <v/>
      </c>
      <c r="F373" s="1198"/>
      <c r="G373" s="1198"/>
      <c r="H373" s="1198"/>
      <c r="I373" s="1198"/>
      <c r="J373" s="1199"/>
      <c r="K373" s="134"/>
      <c r="L373" s="62" t="str">
        <f t="shared" si="29"/>
        <v/>
      </c>
      <c r="M373" s="14"/>
      <c r="N373" s="89">
        <f t="array" ref="N373">SUM(IF((CsDJ[JEV Number]=TRIM($T345))*(CsDJ[Account Code]=TRIM(K373)),CsDJ[Debit]))</f>
        <v>0</v>
      </c>
      <c r="O373" s="89">
        <f t="array" ref="O373">SUM(IF((CsDJ[JEV Number]=TRIM($T345))*(CsDJ[Account Code]=TRIM(K373)),CsDJ[Credit]))</f>
        <v>0</v>
      </c>
      <c r="P373" s="1200">
        <f t="shared" si="30"/>
        <v>0</v>
      </c>
      <c r="Q373" s="1200"/>
      <c r="R373" s="1200"/>
      <c r="S373" s="1200">
        <f t="shared" si="31"/>
        <v>0</v>
      </c>
      <c r="T373" s="1200"/>
      <c r="U373" s="1200"/>
      <c r="V373" s="1201"/>
    </row>
    <row r="374" spans="1:22">
      <c r="A374" s="1195"/>
      <c r="B374" s="1196"/>
      <c r="C374" s="1196"/>
      <c r="D374" s="1196"/>
      <c r="E374" s="1197" t="str">
        <f t="shared" si="28"/>
        <v/>
      </c>
      <c r="F374" s="1198"/>
      <c r="G374" s="1198"/>
      <c r="H374" s="1198"/>
      <c r="I374" s="1198"/>
      <c r="J374" s="1199"/>
      <c r="K374" s="134"/>
      <c r="L374" s="62" t="str">
        <f t="shared" si="29"/>
        <v/>
      </c>
      <c r="M374" s="14"/>
      <c r="N374" s="89">
        <f t="array" ref="N374">SUM(IF((CsDJ[JEV Number]=TRIM($T345))*(CsDJ[Account Code]=TRIM(K374)),CsDJ[Debit]))</f>
        <v>0</v>
      </c>
      <c r="O374" s="89">
        <f t="array" ref="O374">SUM(IF((CsDJ[JEV Number]=TRIM($T345))*(CsDJ[Account Code]=TRIM(K374)),CsDJ[Credit]))</f>
        <v>0</v>
      </c>
      <c r="P374" s="1200">
        <f t="shared" si="30"/>
        <v>0</v>
      </c>
      <c r="Q374" s="1200"/>
      <c r="R374" s="1200"/>
      <c r="S374" s="1200">
        <f t="shared" si="31"/>
        <v>0</v>
      </c>
      <c r="T374" s="1200"/>
      <c r="U374" s="1200"/>
      <c r="V374" s="1201"/>
    </row>
    <row r="375" spans="1:22">
      <c r="A375" s="1195"/>
      <c r="B375" s="1196"/>
      <c r="C375" s="1196"/>
      <c r="D375" s="1196"/>
      <c r="E375" s="1197" t="str">
        <f t="shared" si="28"/>
        <v/>
      </c>
      <c r="F375" s="1198"/>
      <c r="G375" s="1198"/>
      <c r="H375" s="1198"/>
      <c r="I375" s="1198"/>
      <c r="J375" s="1199"/>
      <c r="K375" s="134"/>
      <c r="L375" s="62" t="str">
        <f t="shared" si="29"/>
        <v/>
      </c>
      <c r="M375" s="14"/>
      <c r="N375" s="89">
        <f t="array" ref="N375">SUM(IF((CsDJ[JEV Number]=TRIM($T345))*(CsDJ[Account Code]=TRIM(K375)),CsDJ[Debit]))</f>
        <v>0</v>
      </c>
      <c r="O375" s="89">
        <f t="array" ref="O375">SUM(IF((CsDJ[JEV Number]=TRIM($T345))*(CsDJ[Account Code]=TRIM(K375)),CsDJ[Credit]))</f>
        <v>0</v>
      </c>
      <c r="P375" s="1200">
        <f t="shared" si="30"/>
        <v>0</v>
      </c>
      <c r="Q375" s="1200"/>
      <c r="R375" s="1200"/>
      <c r="S375" s="1200">
        <f t="shared" si="31"/>
        <v>0</v>
      </c>
      <c r="T375" s="1200"/>
      <c r="U375" s="1200"/>
      <c r="V375" s="1201"/>
    </row>
    <row r="376" spans="1:22">
      <c r="A376" s="1195"/>
      <c r="B376" s="1196"/>
      <c r="C376" s="1196"/>
      <c r="D376" s="1196"/>
      <c r="E376" s="1197" t="str">
        <f t="shared" si="28"/>
        <v/>
      </c>
      <c r="F376" s="1198"/>
      <c r="G376" s="1198"/>
      <c r="H376" s="1198"/>
      <c r="I376" s="1198"/>
      <c r="J376" s="1199"/>
      <c r="K376" s="134"/>
      <c r="L376" s="62" t="str">
        <f t="shared" si="29"/>
        <v/>
      </c>
      <c r="M376" s="14"/>
      <c r="N376" s="89">
        <f t="array" ref="N376">SUM(IF((CsDJ[JEV Number]=TRIM($T345))*(CsDJ[Account Code]=TRIM(K376)),CsDJ[Debit]))</f>
        <v>0</v>
      </c>
      <c r="O376" s="89">
        <f t="array" ref="O376">SUM(IF((CsDJ[JEV Number]=TRIM($T345))*(CsDJ[Account Code]=TRIM(K376)),CsDJ[Credit]))</f>
        <v>0</v>
      </c>
      <c r="P376" s="1200">
        <f t="shared" si="30"/>
        <v>0</v>
      </c>
      <c r="Q376" s="1200"/>
      <c r="R376" s="1200"/>
      <c r="S376" s="1200">
        <f t="shared" si="31"/>
        <v>0</v>
      </c>
      <c r="T376" s="1200"/>
      <c r="U376" s="1200"/>
      <c r="V376" s="1201"/>
    </row>
    <row r="377" spans="1:22">
      <c r="A377" s="1195"/>
      <c r="B377" s="1196"/>
      <c r="C377" s="1196"/>
      <c r="D377" s="1196"/>
      <c r="E377" s="1197" t="str">
        <f t="shared" si="28"/>
        <v/>
      </c>
      <c r="F377" s="1198"/>
      <c r="G377" s="1198"/>
      <c r="H377" s="1198"/>
      <c r="I377" s="1198"/>
      <c r="J377" s="1199"/>
      <c r="K377" s="134"/>
      <c r="L377" s="62" t="str">
        <f t="shared" si="29"/>
        <v/>
      </c>
      <c r="M377" s="14"/>
      <c r="N377" s="89">
        <f t="array" ref="N377">SUM(IF((CsDJ[JEV Number]=TRIM($T345))*(CsDJ[Account Code]=TRIM(K377)),CsDJ[Debit]))</f>
        <v>0</v>
      </c>
      <c r="O377" s="89">
        <f t="array" ref="O377">SUM(IF((CsDJ[JEV Number]=TRIM($T345))*(CsDJ[Account Code]=TRIM(K377)),CsDJ[Credit]))</f>
        <v>0</v>
      </c>
      <c r="P377" s="1200">
        <f t="shared" si="30"/>
        <v>0</v>
      </c>
      <c r="Q377" s="1200"/>
      <c r="R377" s="1200"/>
      <c r="S377" s="1200">
        <f t="shared" si="31"/>
        <v>0</v>
      </c>
      <c r="T377" s="1200"/>
      <c r="U377" s="1200"/>
      <c r="V377" s="1201"/>
    </row>
    <row r="378" spans="1:22">
      <c r="A378" s="1195"/>
      <c r="B378" s="1196"/>
      <c r="C378" s="1196"/>
      <c r="D378" s="1196"/>
      <c r="E378" s="1197" t="str">
        <f t="shared" si="28"/>
        <v/>
      </c>
      <c r="F378" s="1198"/>
      <c r="G378" s="1198"/>
      <c r="H378" s="1198"/>
      <c r="I378" s="1198"/>
      <c r="J378" s="1199"/>
      <c r="K378" s="134"/>
      <c r="L378" s="62" t="str">
        <f t="shared" si="29"/>
        <v/>
      </c>
      <c r="M378" s="14"/>
      <c r="N378" s="89">
        <f t="array" ref="N378">SUM(IF((CsDJ[JEV Number]=TRIM($T345))*(CsDJ[Account Code]=TRIM(K378)),CsDJ[Debit]))</f>
        <v>0</v>
      </c>
      <c r="O378" s="89">
        <f t="array" ref="O378">SUM(IF((CsDJ[JEV Number]=TRIM($T345))*(CsDJ[Account Code]=TRIM(K378)),CsDJ[Credit]))</f>
        <v>0</v>
      </c>
      <c r="P378" s="1200">
        <f t="shared" si="30"/>
        <v>0</v>
      </c>
      <c r="Q378" s="1200"/>
      <c r="R378" s="1200"/>
      <c r="S378" s="1200">
        <f t="shared" si="31"/>
        <v>0</v>
      </c>
      <c r="T378" s="1200"/>
      <c r="U378" s="1200"/>
      <c r="V378" s="1201"/>
    </row>
    <row r="379" spans="1:22">
      <c r="A379" s="1195"/>
      <c r="B379" s="1196"/>
      <c r="C379" s="1196"/>
      <c r="D379" s="1196"/>
      <c r="E379" s="1257" t="s">
        <v>468</v>
      </c>
      <c r="F379" s="1258"/>
      <c r="G379" s="1258"/>
      <c r="H379" s="1258"/>
      <c r="I379" s="1258"/>
      <c r="J379" s="1259"/>
      <c r="K379" s="133"/>
      <c r="L379" s="62" t="str">
        <f t="shared" si="29"/>
        <v/>
      </c>
      <c r="M379" s="14"/>
      <c r="N379" s="89">
        <f t="array" ref="N379">SUM(IF((CsDJ[JEV Number]=TRIM($T345))*(CsDJ[Account Code]=TRIM(K379)),CsDJ[Debit]))</f>
        <v>0</v>
      </c>
      <c r="O379" s="89">
        <f t="array" ref="O379">SUM(IF((CsDJ[JEV Number]=TRIM($T345))*(CsDJ[Account Code]=TRIM(K379)),CsDJ[Credit]))</f>
        <v>0</v>
      </c>
      <c r="P379" s="1200">
        <f t="shared" si="30"/>
        <v>0</v>
      </c>
      <c r="Q379" s="1200"/>
      <c r="R379" s="1200"/>
      <c r="S379" s="1200">
        <f t="shared" si="31"/>
        <v>0</v>
      </c>
      <c r="T379" s="1200"/>
      <c r="U379" s="1200"/>
      <c r="V379" s="1201"/>
    </row>
    <row r="380" spans="1:22">
      <c r="A380" s="1195"/>
      <c r="B380" s="1196"/>
      <c r="C380" s="1196"/>
      <c r="D380" s="1196"/>
      <c r="E380" s="1202" t="s">
        <v>457</v>
      </c>
      <c r="F380" s="1203"/>
      <c r="G380" s="1203"/>
      <c r="H380" s="1203"/>
      <c r="I380" s="1207">
        <f>T346</f>
        <v>0</v>
      </c>
      <c r="J380" s="1208"/>
      <c r="K380" s="133"/>
      <c r="L380" s="62" t="str">
        <f t="shared" si="29"/>
        <v/>
      </c>
      <c r="M380" s="14"/>
      <c r="N380" s="89">
        <f t="array" ref="N380">SUM(IF((CsDJ[JEV Number]=TRIM($T345))*(CsDJ[Account Code]=TRIM(K380)),CsDJ[Debit]))</f>
        <v>0</v>
      </c>
      <c r="O380" s="89">
        <f t="array" ref="O380">SUM(IF((CsDJ[JEV Number]=TRIM($T345))*(CsDJ[Account Code]=TRIM(K380)),CsDJ[Credit]))</f>
        <v>0</v>
      </c>
      <c r="P380" s="1200">
        <f t="shared" si="30"/>
        <v>0</v>
      </c>
      <c r="Q380" s="1200"/>
      <c r="R380" s="1200"/>
      <c r="S380" s="1200">
        <f t="shared" si="31"/>
        <v>0</v>
      </c>
      <c r="T380" s="1200"/>
      <c r="U380" s="1200"/>
      <c r="V380" s="1201"/>
    </row>
    <row r="381" spans="1:22">
      <c r="A381" s="1195"/>
      <c r="B381" s="1196"/>
      <c r="C381" s="1196"/>
      <c r="D381" s="1196"/>
      <c r="E381" s="1202" t="s">
        <v>458</v>
      </c>
      <c r="F381" s="1203"/>
      <c r="G381" s="1203"/>
      <c r="H381" s="1203"/>
      <c r="I381" s="1263">
        <f>IF(T345=0,0,(IF(LOOKUP(T345,CsDJ[JEV Number],CsDJ[Sort Code])="1","MA. VIVIAN C. SALAS",IF(LOOKUP(T345,CsDJ[JEV Number],CsDJ[Sort Code])="2","LUZ R. DE COZAR",IF(LOOKUP(T345,CsDJ[JEV Number],CsDJ[Sort Code])="3","MINEONETTE A. DELA CRUZ",IF(LOOKUP(T345,CsDJ[JEV Number],CsDJ[Sort Code])="4","RESELLA B. LOPEZ"))))))</f>
        <v>0</v>
      </c>
      <c r="J381" s="1264"/>
      <c r="K381" s="133"/>
      <c r="L381" s="62" t="str">
        <f t="shared" si="29"/>
        <v/>
      </c>
      <c r="M381" s="14"/>
      <c r="N381" s="89">
        <f t="array" ref="N381">SUM(IF((CsDJ[JEV Number]=TRIM($T345))*(CsDJ[Account Code]=TRIM(K381)),CsDJ[Debit]))</f>
        <v>0</v>
      </c>
      <c r="O381" s="89">
        <f t="array" ref="O381">SUM(IF((CsDJ[JEV Number]=TRIM($T345))*(CsDJ[Account Code]=TRIM(K381)),CsDJ[Credit]))</f>
        <v>0</v>
      </c>
      <c r="P381" s="1200">
        <f t="shared" si="30"/>
        <v>0</v>
      </c>
      <c r="Q381" s="1200"/>
      <c r="R381" s="1200"/>
      <c r="S381" s="1200">
        <f t="shared" si="31"/>
        <v>0</v>
      </c>
      <c r="T381" s="1200"/>
      <c r="U381" s="1200"/>
      <c r="V381" s="1201"/>
    </row>
    <row r="382" spans="1:22">
      <c r="A382" s="1195"/>
      <c r="B382" s="1196"/>
      <c r="C382" s="1196"/>
      <c r="D382" s="1196"/>
      <c r="E382" s="1202" t="s">
        <v>459</v>
      </c>
      <c r="F382" s="1203"/>
      <c r="G382" s="1203"/>
      <c r="H382" s="1203"/>
      <c r="I382" s="1204">
        <f>IF(I381="Ma. Vivian C. Salas","Regional Office", IF(I381="Luz R. De Cozar","BANE IMO", IF(I381="Mineonette A. Dela Cruz","PAMBAT IMO", IF(I381="Resella B. Lopez","TARZAM IMO",0))))</f>
        <v>0</v>
      </c>
      <c r="J382" s="1205"/>
      <c r="K382" s="133"/>
      <c r="L382" s="62" t="str">
        <f t="shared" si="29"/>
        <v/>
      </c>
      <c r="M382" s="14"/>
      <c r="N382" s="89">
        <f t="array" ref="N382">SUM(IF((CsDJ[JEV Number]=TRIM($T345))*(CsDJ[Account Code]=TRIM(K382)),CsDJ[Debit]))</f>
        <v>0</v>
      </c>
      <c r="O382" s="89">
        <f t="array" ref="O382">SUM(IF((CsDJ[JEV Number]=TRIM($T345))*(CsDJ[Account Code]=TRIM(K382)),CsDJ[Credit]))</f>
        <v>0</v>
      </c>
      <c r="P382" s="1200">
        <f t="shared" si="30"/>
        <v>0</v>
      </c>
      <c r="Q382" s="1200"/>
      <c r="R382" s="1200"/>
      <c r="S382" s="1200">
        <f t="shared" si="31"/>
        <v>0</v>
      </c>
      <c r="T382" s="1200"/>
      <c r="U382" s="1200"/>
      <c r="V382" s="1201"/>
    </row>
    <row r="383" spans="1:22">
      <c r="A383" s="1195"/>
      <c r="B383" s="1196"/>
      <c r="C383" s="1196"/>
      <c r="D383" s="1196"/>
      <c r="E383" s="1202"/>
      <c r="F383" s="1203"/>
      <c r="G383" s="1203"/>
      <c r="H383" s="1203"/>
      <c r="I383" s="1203"/>
      <c r="J383" s="1206"/>
      <c r="K383" s="133"/>
      <c r="L383" s="62" t="str">
        <f t="shared" si="29"/>
        <v/>
      </c>
      <c r="M383" s="14"/>
      <c r="N383" s="89">
        <f t="array" ref="N383">SUM(IF((CsDJ[JEV Number]=TRIM($T345))*(CsDJ[Account Code]=TRIM(K383)),CsDJ[Debit]))</f>
        <v>0</v>
      </c>
      <c r="O383" s="89">
        <f t="array" ref="O383">SUM(IF((CsDJ[JEV Number]=TRIM($T345))*(CsDJ[Account Code]=TRIM(K383)),CsDJ[Credit]))</f>
        <v>0</v>
      </c>
      <c r="P383" s="1200">
        <f t="shared" si="30"/>
        <v>0</v>
      </c>
      <c r="Q383" s="1200"/>
      <c r="R383" s="1200"/>
      <c r="S383" s="1200">
        <f t="shared" si="31"/>
        <v>0</v>
      </c>
      <c r="T383" s="1200"/>
      <c r="U383" s="1200"/>
      <c r="V383" s="1201"/>
    </row>
    <row r="384" spans="1:22" ht="16.5" thickBot="1">
      <c r="A384" s="1188"/>
      <c r="B384" s="1189"/>
      <c r="C384" s="1189"/>
      <c r="D384" s="1189"/>
      <c r="E384" s="1189"/>
      <c r="F384" s="1189"/>
      <c r="G384" s="1189"/>
      <c r="H384" s="1189"/>
      <c r="I384" s="1189"/>
      <c r="J384" s="1189"/>
      <c r="K384" s="1189"/>
      <c r="L384" s="1189"/>
      <c r="M384" s="1190"/>
      <c r="N384" s="88"/>
      <c r="O384" s="88"/>
      <c r="P384" s="1191">
        <f>SUM(P354:R383)</f>
        <v>0</v>
      </c>
      <c r="Q384" s="1191"/>
      <c r="R384" s="1191"/>
      <c r="S384" s="1191">
        <f>SUM(S354:V383)</f>
        <v>0</v>
      </c>
      <c r="T384" s="1191"/>
      <c r="U384" s="1191"/>
      <c r="V384" s="1192"/>
    </row>
    <row r="385" spans="1:22">
      <c r="A385" s="63"/>
      <c r="B385" s="64"/>
      <c r="C385" s="64"/>
      <c r="D385" s="64"/>
      <c r="E385" s="64"/>
      <c r="F385" s="64"/>
      <c r="G385" s="64"/>
      <c r="H385" s="64"/>
      <c r="I385" s="65"/>
      <c r="J385" s="64"/>
      <c r="K385" s="66"/>
      <c r="L385" s="64"/>
      <c r="M385" s="65"/>
      <c r="N385" s="64"/>
      <c r="O385" s="64"/>
      <c r="P385" s="1193"/>
      <c r="Q385" s="1193"/>
      <c r="R385" s="1193"/>
      <c r="S385" s="1193"/>
      <c r="T385" s="1193"/>
      <c r="U385" s="1193"/>
      <c r="V385" s="1194"/>
    </row>
    <row r="386" spans="1:22">
      <c r="A386" s="67" t="s">
        <v>460</v>
      </c>
      <c r="B386"/>
      <c r="C386"/>
      <c r="D386"/>
      <c r="E386"/>
      <c r="F386"/>
      <c r="G386"/>
      <c r="H386"/>
      <c r="I386" s="68" t="s">
        <v>353</v>
      </c>
      <c r="J386" s="69"/>
      <c r="K386" s="69"/>
      <c r="L386"/>
      <c r="M386" s="68" t="s">
        <v>461</v>
      </c>
      <c r="N386" s="69"/>
      <c r="O386" s="69"/>
      <c r="P386" s="70"/>
      <c r="Q386" s="70"/>
      <c r="R386" s="70"/>
      <c r="S386" s="70"/>
      <c r="T386" s="70"/>
      <c r="U386" s="70"/>
      <c r="V386" s="71"/>
    </row>
    <row r="387" spans="1:22">
      <c r="A387" s="37"/>
      <c r="B387"/>
      <c r="C387"/>
      <c r="D387"/>
      <c r="E387"/>
      <c r="F387"/>
      <c r="G387"/>
      <c r="H387"/>
      <c r="I387" s="72"/>
      <c r="J387"/>
      <c r="K387"/>
      <c r="L387"/>
      <c r="M387" s="72"/>
      <c r="N387"/>
      <c r="O387"/>
      <c r="P387"/>
      <c r="Q387"/>
      <c r="R387"/>
      <c r="S387"/>
      <c r="T387"/>
      <c r="U387"/>
      <c r="V387" s="73"/>
    </row>
    <row r="388" spans="1:22">
      <c r="A388" s="74" t="s">
        <v>462</v>
      </c>
      <c r="B388" s="75"/>
      <c r="C388" s="75"/>
      <c r="D388" s="75"/>
      <c r="E388" s="75"/>
      <c r="F388" s="75"/>
      <c r="G388" s="75"/>
      <c r="H388" s="76"/>
      <c r="I388" s="77" t="s">
        <v>380</v>
      </c>
      <c r="J388" s="75"/>
      <c r="K388" s="75"/>
      <c r="L388" s="76"/>
      <c r="M388" s="77" t="s">
        <v>3</v>
      </c>
      <c r="N388" s="75"/>
      <c r="O388" s="75"/>
      <c r="P388" s="75"/>
      <c r="Q388" s="75"/>
      <c r="R388" s="75"/>
      <c r="S388" s="75"/>
      <c r="T388" s="75"/>
      <c r="U388" s="75"/>
      <c r="V388" s="78"/>
    </row>
    <row r="389" spans="1:22">
      <c r="A389" s="79" t="s">
        <v>463</v>
      </c>
      <c r="B389" s="80"/>
      <c r="C389" s="80"/>
      <c r="D389" s="80"/>
      <c r="E389" s="80"/>
      <c r="F389" s="80"/>
      <c r="G389" s="80"/>
      <c r="H389" s="80"/>
      <c r="I389" s="81" t="s">
        <v>381</v>
      </c>
      <c r="J389" s="80"/>
      <c r="K389" s="80"/>
      <c r="L389" s="80"/>
      <c r="M389" s="81" t="s">
        <v>464</v>
      </c>
      <c r="N389" s="80"/>
      <c r="O389" s="80"/>
      <c r="P389" s="82"/>
      <c r="Q389" s="82"/>
      <c r="R389" s="82"/>
      <c r="S389" s="82"/>
      <c r="T389" s="82"/>
      <c r="U389" s="82"/>
      <c r="V389" s="83"/>
    </row>
    <row r="390" spans="1:22" ht="16.5" thickBot="1">
      <c r="A390" s="84" t="s">
        <v>465</v>
      </c>
      <c r="B390" s="43"/>
      <c r="C390" s="43"/>
      <c r="D390" s="43"/>
      <c r="E390" s="43"/>
      <c r="F390" s="43"/>
      <c r="G390" s="43"/>
      <c r="H390" s="43"/>
      <c r="I390" s="85"/>
      <c r="J390" s="43"/>
      <c r="K390" s="43"/>
      <c r="L390" s="43"/>
      <c r="M390" s="85"/>
      <c r="N390" s="43"/>
      <c r="O390" s="43"/>
      <c r="P390" s="43"/>
      <c r="Q390" s="43"/>
      <c r="R390" s="43"/>
      <c r="S390" s="43"/>
      <c r="T390" s="43"/>
      <c r="U390" s="43"/>
      <c r="V390" s="44"/>
    </row>
    <row r="391" spans="1:22" ht="22.5">
      <c r="A391" s="31" t="s">
        <v>441</v>
      </c>
      <c r="B391" s="32"/>
      <c r="C391" s="32"/>
      <c r="D391" s="32"/>
      <c r="E391" s="32"/>
      <c r="F391" s="32"/>
      <c r="G391" s="32"/>
      <c r="H391" s="32"/>
      <c r="I391" s="32"/>
      <c r="J391" s="32"/>
      <c r="K391" s="32"/>
      <c r="L391" s="32"/>
      <c r="M391" s="32"/>
      <c r="N391" s="32"/>
      <c r="O391" s="32"/>
      <c r="P391" s="32"/>
      <c r="Q391" s="33"/>
      <c r="R391" s="1218">
        <f>+P431-S431</f>
        <v>0</v>
      </c>
      <c r="S391" s="1219"/>
      <c r="T391" s="1219"/>
      <c r="U391" s="1219"/>
      <c r="V391" s="1220"/>
    </row>
    <row r="392" spans="1:22">
      <c r="A392" s="34" t="s">
        <v>442</v>
      </c>
      <c r="B392" s="35"/>
      <c r="C392" s="35"/>
      <c r="D392" s="35"/>
      <c r="E392" s="35"/>
      <c r="F392" s="35"/>
      <c r="G392" s="35"/>
      <c r="H392" s="35"/>
      <c r="I392" s="35"/>
      <c r="J392" s="35"/>
      <c r="K392" s="35"/>
      <c r="L392" s="35"/>
      <c r="M392" s="35"/>
      <c r="N392" s="35"/>
      <c r="O392" s="35"/>
      <c r="P392" s="35"/>
      <c r="Q392" s="36"/>
      <c r="R392" s="37" t="s">
        <v>443</v>
      </c>
      <c r="S392"/>
      <c r="T392" s="1221"/>
      <c r="U392" s="1221"/>
      <c r="V392" s="1222"/>
    </row>
    <row r="393" spans="1:22">
      <c r="A393" s="38" t="s">
        <v>444</v>
      </c>
      <c r="B393" s="35"/>
      <c r="C393" s="35"/>
      <c r="D393" s="35"/>
      <c r="E393" s="35"/>
      <c r="F393" s="35"/>
      <c r="G393" s="35"/>
      <c r="H393" s="35"/>
      <c r="I393" s="35"/>
      <c r="J393" s="35"/>
      <c r="K393" s="35"/>
      <c r="L393" s="35"/>
      <c r="M393" s="35"/>
      <c r="N393" s="35"/>
      <c r="O393" s="35"/>
      <c r="P393" s="35"/>
      <c r="Q393" s="36"/>
      <c r="R393" s="37" t="s">
        <v>0</v>
      </c>
      <c r="S393"/>
      <c r="T393" s="1223">
        <f>IF(T392=0,0,(LOOKUP(T392,CsDJ[JEV Number],CsDJ[Date])))</f>
        <v>0</v>
      </c>
      <c r="U393" s="1223"/>
      <c r="V393" s="1224"/>
    </row>
    <row r="394" spans="1:22" ht="16.5" thickBot="1">
      <c r="A394" s="39"/>
      <c r="B394" s="40"/>
      <c r="C394" s="40"/>
      <c r="D394" s="40"/>
      <c r="E394" s="40"/>
      <c r="F394" s="40"/>
      <c r="G394" s="40"/>
      <c r="H394" s="40"/>
      <c r="I394" s="40"/>
      <c r="J394" s="40"/>
      <c r="K394" s="40"/>
      <c r="L394" s="40"/>
      <c r="M394" s="40"/>
      <c r="N394" s="40"/>
      <c r="O394" s="40"/>
      <c r="P394" s="40"/>
      <c r="Q394" s="41"/>
      <c r="R394" s="42"/>
      <c r="S394" s="43"/>
      <c r="T394" s="43"/>
      <c r="U394" s="43"/>
      <c r="V394" s="44"/>
    </row>
    <row r="395" spans="1:22">
      <c r="A395" s="45"/>
      <c r="B395" s="46"/>
      <c r="C395" s="46"/>
      <c r="D395" s="46"/>
      <c r="E395" s="46"/>
      <c r="F395" s="46"/>
      <c r="G395" s="46"/>
      <c r="H395" s="46"/>
      <c r="I395" s="46"/>
      <c r="J395" s="46"/>
      <c r="K395" s="46"/>
      <c r="L395" s="47"/>
      <c r="M395" s="46"/>
      <c r="N395" s="46"/>
      <c r="O395" s="46"/>
      <c r="P395" s="46"/>
      <c r="Q395" s="46"/>
      <c r="R395" s="46"/>
      <c r="S395" s="46"/>
      <c r="T395" s="46"/>
      <c r="U395" s="46"/>
      <c r="V395" s="48"/>
    </row>
    <row r="396" spans="1:22">
      <c r="A396" s="49"/>
      <c r="B396" s="1225"/>
      <c r="C396" s="1225"/>
      <c r="D396" s="50" t="s">
        <v>445</v>
      </c>
      <c r="H396" s="51"/>
      <c r="I396" s="25" t="s">
        <v>447</v>
      </c>
      <c r="J396" s="132" t="s">
        <v>446</v>
      </c>
      <c r="K396" s="52" t="s">
        <v>448</v>
      </c>
      <c r="L396" s="52"/>
      <c r="Q396" s="1225"/>
      <c r="R396" s="1225"/>
      <c r="S396" s="50" t="s">
        <v>449</v>
      </c>
      <c r="T396" s="50"/>
      <c r="U396" s="50"/>
      <c r="V396" s="53"/>
    </row>
    <row r="397" spans="1:22" ht="16.5" thickBot="1">
      <c r="A397" s="54"/>
      <c r="B397" s="55"/>
      <c r="C397" s="55"/>
      <c r="D397" s="55"/>
      <c r="E397" s="55"/>
      <c r="F397" s="55"/>
      <c r="G397" s="55"/>
      <c r="H397" s="55"/>
      <c r="I397" s="55"/>
      <c r="J397" s="55"/>
      <c r="K397" s="55"/>
      <c r="L397" s="56"/>
      <c r="M397" s="55"/>
      <c r="N397" s="55"/>
      <c r="O397" s="55"/>
      <c r="P397" s="55"/>
      <c r="Q397" s="55"/>
      <c r="R397" s="55"/>
      <c r="S397" s="55"/>
      <c r="T397" s="55"/>
      <c r="U397" s="55"/>
      <c r="V397" s="57"/>
    </row>
    <row r="398" spans="1:22">
      <c r="A398" s="1226" t="s">
        <v>397</v>
      </c>
      <c r="B398" s="1227"/>
      <c r="C398" s="1227"/>
      <c r="D398" s="1228"/>
      <c r="E398" s="1235" t="s">
        <v>450</v>
      </c>
      <c r="F398" s="1235"/>
      <c r="G398" s="1235"/>
      <c r="H398" s="1235"/>
      <c r="I398" s="1235"/>
      <c r="J398" s="1235"/>
      <c r="K398" s="1235"/>
      <c r="L398" s="1235"/>
      <c r="M398" s="1235"/>
      <c r="N398" s="1235"/>
      <c r="O398" s="1235"/>
      <c r="P398" s="1235"/>
      <c r="Q398" s="1235"/>
      <c r="R398" s="1235"/>
      <c r="S398" s="1235"/>
      <c r="T398" s="1235"/>
      <c r="U398" s="1235"/>
      <c r="V398" s="1236"/>
    </row>
    <row r="399" spans="1:22">
      <c r="A399" s="1229"/>
      <c r="B399" s="1230"/>
      <c r="C399" s="1230"/>
      <c r="D399" s="1231"/>
      <c r="E399" s="1237" t="s">
        <v>451</v>
      </c>
      <c r="F399" s="1237"/>
      <c r="G399" s="1237"/>
      <c r="H399" s="1237"/>
      <c r="I399" s="1237"/>
      <c r="J399" s="1237"/>
      <c r="K399" s="1239" t="s">
        <v>378</v>
      </c>
      <c r="L399" s="1239"/>
      <c r="M399" s="1237" t="s">
        <v>452</v>
      </c>
      <c r="N399" s="1240" t="s">
        <v>453</v>
      </c>
      <c r="O399" s="1241"/>
      <c r="P399" s="1241"/>
      <c r="Q399" s="1241"/>
      <c r="R399" s="1241"/>
      <c r="S399" s="1241"/>
      <c r="T399" s="1241"/>
      <c r="U399" s="1241"/>
      <c r="V399" s="1242"/>
    </row>
    <row r="400" spans="1:22" ht="16.5" customHeight="1" thickBot="1">
      <c r="A400" s="1232"/>
      <c r="B400" s="1233"/>
      <c r="C400" s="1233"/>
      <c r="D400" s="1234"/>
      <c r="E400" s="1238"/>
      <c r="F400" s="1238"/>
      <c r="G400" s="1238"/>
      <c r="H400" s="1238"/>
      <c r="I400" s="1238"/>
      <c r="J400" s="1238"/>
      <c r="K400" s="58" t="s">
        <v>454</v>
      </c>
      <c r="L400" s="58" t="s">
        <v>455</v>
      </c>
      <c r="M400" s="1238"/>
      <c r="N400" s="87" t="s">
        <v>466</v>
      </c>
      <c r="O400" s="87" t="s">
        <v>467</v>
      </c>
      <c r="P400" s="1243" t="s">
        <v>1</v>
      </c>
      <c r="Q400" s="1244"/>
      <c r="R400" s="1245"/>
      <c r="S400" s="1243" t="s">
        <v>2</v>
      </c>
      <c r="T400" s="1244"/>
      <c r="U400" s="1244"/>
      <c r="V400" s="1246"/>
    </row>
    <row r="401" spans="1:22" ht="19.5">
      <c r="A401" s="1210">
        <f>P431-S431</f>
        <v>0</v>
      </c>
      <c r="B401" s="1211"/>
      <c r="C401" s="1211"/>
      <c r="D401" s="1211"/>
      <c r="E401" s="1212" t="str">
        <f>Account!$G$1</f>
        <v>FUND 501 CARP</v>
      </c>
      <c r="F401" s="1213"/>
      <c r="G401" s="1213"/>
      <c r="H401" s="1213"/>
      <c r="I401" s="1213"/>
      <c r="J401" s="1214"/>
      <c r="K401" s="59"/>
      <c r="L401" s="59"/>
      <c r="M401" s="60"/>
      <c r="N401" s="60"/>
      <c r="O401" s="60"/>
      <c r="P401" s="1215"/>
      <c r="Q401" s="1215"/>
      <c r="R401" s="1215"/>
      <c r="S401" s="1215"/>
      <c r="T401" s="1215"/>
      <c r="U401" s="1215"/>
      <c r="V401" s="1216"/>
    </row>
    <row r="402" spans="1:22">
      <c r="A402" s="1195"/>
      <c r="B402" s="1196"/>
      <c r="C402" s="1196"/>
      <c r="D402" s="1196"/>
      <c r="E402" s="1196"/>
      <c r="F402" s="1196"/>
      <c r="G402" s="1196"/>
      <c r="H402" s="1196"/>
      <c r="I402" s="1196"/>
      <c r="J402" s="1196"/>
      <c r="K402" s="61"/>
      <c r="L402" s="61"/>
      <c r="M402" s="14"/>
      <c r="N402" s="14"/>
      <c r="O402" s="14"/>
      <c r="P402" s="1196"/>
      <c r="Q402" s="1196"/>
      <c r="R402" s="1196"/>
      <c r="S402" s="1196"/>
      <c r="T402" s="1196"/>
      <c r="U402" s="1196"/>
      <c r="V402" s="1217"/>
    </row>
    <row r="403" spans="1:22">
      <c r="A403" s="1195"/>
      <c r="B403" s="1196"/>
      <c r="C403" s="1196"/>
      <c r="D403" s="1196"/>
      <c r="E403" s="1197" t="str">
        <f t="shared" ref="E403:E425" si="32">IF(K403=0,"",(VLOOKUP((TRIM(K403)),Code,2,)))</f>
        <v/>
      </c>
      <c r="F403" s="1198"/>
      <c r="G403" s="1198"/>
      <c r="H403" s="1198"/>
      <c r="I403" s="1198"/>
      <c r="J403" s="1199"/>
      <c r="K403" s="133"/>
      <c r="L403" s="62" t="str">
        <f t="shared" ref="L403:L430" si="33">IF(K403=0,"",VLOOKUP((TRIM(K403)),Code,3,))</f>
        <v/>
      </c>
      <c r="M403" s="14"/>
      <c r="N403" s="89">
        <f t="array" ref="N403">SUM(IF((CsDJ[JEV Number]=TRIM($T392))*(CsDJ[Account Code]=TRIM(K403)),CsDJ[Debit]))</f>
        <v>0</v>
      </c>
      <c r="O403" s="89">
        <f t="array" ref="O403">SUM(IF((CsDJ[JEV Number]=TRIM($T392))*(CsDJ[Account Code]=TRIM(K403)),CsDJ[Credit]))</f>
        <v>0</v>
      </c>
      <c r="P403" s="1200">
        <f>N403</f>
        <v>0</v>
      </c>
      <c r="Q403" s="1200"/>
      <c r="R403" s="1200"/>
      <c r="S403" s="1200">
        <f>O403</f>
        <v>0</v>
      </c>
      <c r="T403" s="1200"/>
      <c r="U403" s="1200"/>
      <c r="V403" s="1201"/>
    </row>
    <row r="404" spans="1:22">
      <c r="A404" s="1195"/>
      <c r="B404" s="1196"/>
      <c r="C404" s="1196"/>
      <c r="D404" s="1196"/>
      <c r="E404" s="1197" t="str">
        <f t="shared" si="32"/>
        <v/>
      </c>
      <c r="F404" s="1198"/>
      <c r="G404" s="1198"/>
      <c r="H404" s="1198"/>
      <c r="I404" s="1198"/>
      <c r="J404" s="1199"/>
      <c r="K404" s="133"/>
      <c r="L404" s="62" t="str">
        <f t="shared" si="33"/>
        <v/>
      </c>
      <c r="M404" s="14"/>
      <c r="N404" s="89">
        <f t="array" ref="N404">SUM(IF((CsDJ[JEV Number]=TRIM($T392))*(CsDJ[Account Code]=TRIM(K404)),CsDJ[Debit]))</f>
        <v>0</v>
      </c>
      <c r="O404" s="89">
        <f t="array" ref="O404">SUM(IF((CsDJ[JEV Number]=TRIM($T392))*(CsDJ[Account Code]=TRIM(K404)),CsDJ[Credit]))</f>
        <v>0</v>
      </c>
      <c r="P404" s="1200">
        <f>N404</f>
        <v>0</v>
      </c>
      <c r="Q404" s="1200"/>
      <c r="R404" s="1200"/>
      <c r="S404" s="1200">
        <f>O404</f>
        <v>0</v>
      </c>
      <c r="T404" s="1200"/>
      <c r="U404" s="1200"/>
      <c r="V404" s="1201"/>
    </row>
    <row r="405" spans="1:22">
      <c r="A405" s="1195"/>
      <c r="B405" s="1196"/>
      <c r="C405" s="1196"/>
      <c r="D405" s="1196"/>
      <c r="E405" s="1197" t="str">
        <f t="shared" si="32"/>
        <v/>
      </c>
      <c r="F405" s="1198"/>
      <c r="G405" s="1198"/>
      <c r="H405" s="1198"/>
      <c r="I405" s="1198"/>
      <c r="J405" s="1199"/>
      <c r="K405" s="133"/>
      <c r="L405" s="62" t="str">
        <f t="shared" si="33"/>
        <v/>
      </c>
      <c r="M405" s="14"/>
      <c r="N405" s="89">
        <f t="array" ref="N405">SUM(IF((CsDJ[JEV Number]=TRIM($T392))*(CsDJ[Account Code]=TRIM(K405)),CsDJ[Debit]))</f>
        <v>0</v>
      </c>
      <c r="O405" s="89">
        <f t="array" ref="O405">SUM(IF((CsDJ[JEV Number]=TRIM($T392))*(CsDJ[Account Code]=TRIM(K405)),CsDJ[Credit]))</f>
        <v>0</v>
      </c>
      <c r="P405" s="1200">
        <f t="shared" ref="P405:P430" si="34">N405</f>
        <v>0</v>
      </c>
      <c r="Q405" s="1200"/>
      <c r="R405" s="1200"/>
      <c r="S405" s="1200">
        <f t="shared" ref="S405:S430" si="35">O405</f>
        <v>0</v>
      </c>
      <c r="T405" s="1200"/>
      <c r="U405" s="1200"/>
      <c r="V405" s="1201"/>
    </row>
    <row r="406" spans="1:22">
      <c r="A406" s="1195"/>
      <c r="B406" s="1196"/>
      <c r="C406" s="1196"/>
      <c r="D406" s="1196"/>
      <c r="E406" s="1197" t="str">
        <f t="shared" si="32"/>
        <v/>
      </c>
      <c r="F406" s="1198"/>
      <c r="G406" s="1198"/>
      <c r="H406" s="1198"/>
      <c r="I406" s="1198"/>
      <c r="J406" s="1199"/>
      <c r="K406" s="133"/>
      <c r="L406" s="62" t="str">
        <f t="shared" si="33"/>
        <v/>
      </c>
      <c r="M406" s="14"/>
      <c r="N406" s="89">
        <f t="array" ref="N406">SUM(IF((CsDJ[JEV Number]=TRIM($T392))*(CsDJ[Account Code]=TRIM(K406)),CsDJ[Debit]))</f>
        <v>0</v>
      </c>
      <c r="O406" s="89">
        <f t="array" ref="O406">SUM(IF((CsDJ[JEV Number]=TRIM($T392))*(CsDJ[Account Code]=TRIM(K406)),CsDJ[Credit]))</f>
        <v>0</v>
      </c>
      <c r="P406" s="1200">
        <f t="shared" si="34"/>
        <v>0</v>
      </c>
      <c r="Q406" s="1200"/>
      <c r="R406" s="1200"/>
      <c r="S406" s="1200">
        <f t="shared" si="35"/>
        <v>0</v>
      </c>
      <c r="T406" s="1200"/>
      <c r="U406" s="1200"/>
      <c r="V406" s="1201"/>
    </row>
    <row r="407" spans="1:22">
      <c r="A407" s="1195"/>
      <c r="B407" s="1196"/>
      <c r="C407" s="1196"/>
      <c r="D407" s="1196"/>
      <c r="E407" s="1197" t="str">
        <f t="shared" si="32"/>
        <v/>
      </c>
      <c r="F407" s="1198"/>
      <c r="G407" s="1198"/>
      <c r="H407" s="1198"/>
      <c r="I407" s="1198"/>
      <c r="J407" s="1199"/>
      <c r="K407" s="133"/>
      <c r="L407" s="62" t="str">
        <f t="shared" si="33"/>
        <v/>
      </c>
      <c r="M407" s="14"/>
      <c r="N407" s="89">
        <f t="array" ref="N407">SUM(IF((CsDJ[JEV Number]=TRIM($T392))*(CsDJ[Account Code]=TRIM(K407)),CsDJ[Debit]))</f>
        <v>0</v>
      </c>
      <c r="O407" s="89">
        <f t="array" ref="O407">SUM(IF((CsDJ[JEV Number]=TRIM($T392))*(CsDJ[Account Code]=TRIM(K407)),CsDJ[Credit]))</f>
        <v>0</v>
      </c>
      <c r="P407" s="1200">
        <f t="shared" si="34"/>
        <v>0</v>
      </c>
      <c r="Q407" s="1200"/>
      <c r="R407" s="1200"/>
      <c r="S407" s="1200">
        <f t="shared" si="35"/>
        <v>0</v>
      </c>
      <c r="T407" s="1200"/>
      <c r="U407" s="1200"/>
      <c r="V407" s="1201"/>
    </row>
    <row r="408" spans="1:22">
      <c r="A408" s="1195"/>
      <c r="B408" s="1196"/>
      <c r="C408" s="1196"/>
      <c r="D408" s="1196"/>
      <c r="E408" s="1197" t="str">
        <f t="shared" si="32"/>
        <v/>
      </c>
      <c r="F408" s="1198"/>
      <c r="G408" s="1198"/>
      <c r="H408" s="1198"/>
      <c r="I408" s="1198"/>
      <c r="J408" s="1199"/>
      <c r="K408" s="133"/>
      <c r="L408" s="62" t="str">
        <f t="shared" si="33"/>
        <v/>
      </c>
      <c r="M408" s="14"/>
      <c r="N408" s="89">
        <f t="array" ref="N408">SUM(IF((CsDJ[JEV Number]=TRIM($T392))*(CsDJ[Account Code]=TRIM(K408)),CsDJ[Debit]))</f>
        <v>0</v>
      </c>
      <c r="O408" s="89">
        <f t="array" ref="O408">SUM(IF((CsDJ[JEV Number]=TRIM($T392))*(CsDJ[Account Code]=TRIM(K408)),CsDJ[Credit]))</f>
        <v>0</v>
      </c>
      <c r="P408" s="1200">
        <f t="shared" si="34"/>
        <v>0</v>
      </c>
      <c r="Q408" s="1200"/>
      <c r="R408" s="1200"/>
      <c r="S408" s="1200">
        <f t="shared" si="35"/>
        <v>0</v>
      </c>
      <c r="T408" s="1200"/>
      <c r="U408" s="1200"/>
      <c r="V408" s="1201"/>
    </row>
    <row r="409" spans="1:22">
      <c r="A409" s="1195"/>
      <c r="B409" s="1196"/>
      <c r="C409" s="1196"/>
      <c r="D409" s="1196"/>
      <c r="E409" s="1197" t="str">
        <f t="shared" si="32"/>
        <v/>
      </c>
      <c r="F409" s="1198"/>
      <c r="G409" s="1198"/>
      <c r="H409" s="1198"/>
      <c r="I409" s="1198"/>
      <c r="J409" s="1199"/>
      <c r="K409" s="133"/>
      <c r="L409" s="62" t="str">
        <f t="shared" si="33"/>
        <v/>
      </c>
      <c r="M409" s="14"/>
      <c r="N409" s="89">
        <f t="array" ref="N409">SUM(IF((CsDJ[JEV Number]=TRIM($T392))*(CsDJ[Account Code]=TRIM(K409)),CsDJ[Debit]))</f>
        <v>0</v>
      </c>
      <c r="O409" s="89">
        <f t="array" ref="O409">SUM(IF((CsDJ[JEV Number]=TRIM($T392))*(CsDJ[Account Code]=TRIM(K409)),CsDJ[Credit]))</f>
        <v>0</v>
      </c>
      <c r="P409" s="1200">
        <f t="shared" si="34"/>
        <v>0</v>
      </c>
      <c r="Q409" s="1200"/>
      <c r="R409" s="1200"/>
      <c r="S409" s="1200">
        <f t="shared" si="35"/>
        <v>0</v>
      </c>
      <c r="T409" s="1200"/>
      <c r="U409" s="1200"/>
      <c r="V409" s="1201"/>
    </row>
    <row r="410" spans="1:22">
      <c r="A410" s="1195"/>
      <c r="B410" s="1196"/>
      <c r="C410" s="1196"/>
      <c r="D410" s="1196"/>
      <c r="E410" s="1197" t="str">
        <f t="shared" si="32"/>
        <v/>
      </c>
      <c r="F410" s="1198"/>
      <c r="G410" s="1198"/>
      <c r="H410" s="1198"/>
      <c r="I410" s="1198"/>
      <c r="J410" s="1199"/>
      <c r="K410" s="133"/>
      <c r="L410" s="62" t="str">
        <f t="shared" si="33"/>
        <v/>
      </c>
      <c r="M410" s="14"/>
      <c r="N410" s="89">
        <f t="array" ref="N410">SUM(IF((CsDJ[JEV Number]=TRIM($T392))*(CsDJ[Account Code]=TRIM(K410)),CsDJ[Debit]))</f>
        <v>0</v>
      </c>
      <c r="O410" s="89">
        <f t="array" ref="O410">SUM(IF((CsDJ[JEV Number]=TRIM($T392))*(CsDJ[Account Code]=TRIM(K410)),CsDJ[Credit]))</f>
        <v>0</v>
      </c>
      <c r="P410" s="1200">
        <f t="shared" si="34"/>
        <v>0</v>
      </c>
      <c r="Q410" s="1200"/>
      <c r="R410" s="1200"/>
      <c r="S410" s="1200">
        <f t="shared" si="35"/>
        <v>0</v>
      </c>
      <c r="T410" s="1200"/>
      <c r="U410" s="1200"/>
      <c r="V410" s="1201"/>
    </row>
    <row r="411" spans="1:22">
      <c r="A411" s="1195"/>
      <c r="B411" s="1196"/>
      <c r="C411" s="1196"/>
      <c r="D411" s="1196"/>
      <c r="E411" s="1197" t="str">
        <f t="shared" si="32"/>
        <v/>
      </c>
      <c r="F411" s="1198"/>
      <c r="G411" s="1198"/>
      <c r="H411" s="1198"/>
      <c r="I411" s="1198"/>
      <c r="J411" s="1199"/>
      <c r="K411" s="134"/>
      <c r="L411" s="62" t="str">
        <f t="shared" si="33"/>
        <v/>
      </c>
      <c r="M411" s="14"/>
      <c r="N411" s="89">
        <f t="array" ref="N411">SUM(IF((CsDJ[JEV Number]=TRIM($T392))*(CsDJ[Account Code]=TRIM(K411)),CsDJ[Debit]))</f>
        <v>0</v>
      </c>
      <c r="O411" s="89">
        <f t="array" ref="O411">SUM(IF((CsDJ[JEV Number]=TRIM($T392))*(CsDJ[Account Code]=TRIM(K411)),CsDJ[Credit]))</f>
        <v>0</v>
      </c>
      <c r="P411" s="1200">
        <f t="shared" si="34"/>
        <v>0</v>
      </c>
      <c r="Q411" s="1200"/>
      <c r="R411" s="1200"/>
      <c r="S411" s="1200">
        <f t="shared" si="35"/>
        <v>0</v>
      </c>
      <c r="T411" s="1200"/>
      <c r="U411" s="1200"/>
      <c r="V411" s="1201"/>
    </row>
    <row r="412" spans="1:22">
      <c r="A412" s="1195"/>
      <c r="B412" s="1196"/>
      <c r="C412" s="1196"/>
      <c r="D412" s="1196"/>
      <c r="E412" s="1197" t="str">
        <f t="shared" si="32"/>
        <v/>
      </c>
      <c r="F412" s="1198"/>
      <c r="G412" s="1198"/>
      <c r="H412" s="1198"/>
      <c r="I412" s="1198"/>
      <c r="J412" s="1199"/>
      <c r="K412" s="134"/>
      <c r="L412" s="62" t="str">
        <f t="shared" si="33"/>
        <v/>
      </c>
      <c r="M412" s="14"/>
      <c r="N412" s="89">
        <f t="array" ref="N412">SUM(IF((CsDJ[JEV Number]=TRIM($T392))*(CsDJ[Account Code]=TRIM(K412)),CsDJ[Debit]))</f>
        <v>0</v>
      </c>
      <c r="O412" s="89">
        <f t="array" ref="O412">SUM(IF((CsDJ[JEV Number]=TRIM($T392))*(CsDJ[Account Code]=TRIM(K412)),CsDJ[Credit]))</f>
        <v>0</v>
      </c>
      <c r="P412" s="1200">
        <f t="shared" si="34"/>
        <v>0</v>
      </c>
      <c r="Q412" s="1200"/>
      <c r="R412" s="1200"/>
      <c r="S412" s="1200">
        <f t="shared" si="35"/>
        <v>0</v>
      </c>
      <c r="T412" s="1200"/>
      <c r="U412" s="1200"/>
      <c r="V412" s="1201"/>
    </row>
    <row r="413" spans="1:22">
      <c r="A413" s="1195"/>
      <c r="B413" s="1196"/>
      <c r="C413" s="1196"/>
      <c r="D413" s="1196"/>
      <c r="E413" s="1197" t="str">
        <f t="shared" si="32"/>
        <v/>
      </c>
      <c r="F413" s="1198"/>
      <c r="G413" s="1198"/>
      <c r="H413" s="1198"/>
      <c r="I413" s="1198"/>
      <c r="J413" s="1199"/>
      <c r="K413" s="134"/>
      <c r="L413" s="62" t="str">
        <f t="shared" si="33"/>
        <v/>
      </c>
      <c r="M413" s="14"/>
      <c r="N413" s="89">
        <f t="array" ref="N413">SUM(IF((CsDJ[JEV Number]=TRIM($T392))*(CsDJ[Account Code]=TRIM(K413)),CsDJ[Debit]))</f>
        <v>0</v>
      </c>
      <c r="O413" s="89">
        <f t="array" ref="O413">SUM(IF((CsDJ[JEV Number]=TRIM($T392))*(CsDJ[Account Code]=TRIM(K413)),CsDJ[Credit]))</f>
        <v>0</v>
      </c>
      <c r="P413" s="1200">
        <f t="shared" si="34"/>
        <v>0</v>
      </c>
      <c r="Q413" s="1200"/>
      <c r="R413" s="1200"/>
      <c r="S413" s="1200">
        <f t="shared" si="35"/>
        <v>0</v>
      </c>
      <c r="T413" s="1200"/>
      <c r="U413" s="1200"/>
      <c r="V413" s="1201"/>
    </row>
    <row r="414" spans="1:22">
      <c r="A414" s="1195"/>
      <c r="B414" s="1196"/>
      <c r="C414" s="1196"/>
      <c r="D414" s="1196"/>
      <c r="E414" s="1197" t="str">
        <f t="shared" si="32"/>
        <v/>
      </c>
      <c r="F414" s="1198"/>
      <c r="G414" s="1198"/>
      <c r="H414" s="1198"/>
      <c r="I414" s="1198"/>
      <c r="J414" s="1199"/>
      <c r="K414" s="134"/>
      <c r="L414" s="62" t="str">
        <f t="shared" si="33"/>
        <v/>
      </c>
      <c r="M414" s="14"/>
      <c r="N414" s="89">
        <f t="array" ref="N414">SUM(IF((CsDJ[JEV Number]=TRIM($T392))*(CsDJ[Account Code]=TRIM(K414)),CsDJ[Debit]))</f>
        <v>0</v>
      </c>
      <c r="O414" s="89">
        <f t="array" ref="O414">SUM(IF((CsDJ[JEV Number]=TRIM($T392))*(CsDJ[Account Code]=TRIM(K414)),CsDJ[Credit]))</f>
        <v>0</v>
      </c>
      <c r="P414" s="1200">
        <f t="shared" si="34"/>
        <v>0</v>
      </c>
      <c r="Q414" s="1200"/>
      <c r="R414" s="1200"/>
      <c r="S414" s="1200">
        <f t="shared" si="35"/>
        <v>0</v>
      </c>
      <c r="T414" s="1200"/>
      <c r="U414" s="1200"/>
      <c r="V414" s="1201"/>
    </row>
    <row r="415" spans="1:22">
      <c r="A415" s="1195"/>
      <c r="B415" s="1196"/>
      <c r="C415" s="1196"/>
      <c r="D415" s="1196"/>
      <c r="E415" s="1197" t="str">
        <f t="shared" si="32"/>
        <v/>
      </c>
      <c r="F415" s="1198"/>
      <c r="G415" s="1198"/>
      <c r="H415" s="1198"/>
      <c r="I415" s="1198"/>
      <c r="J415" s="1199"/>
      <c r="K415" s="134"/>
      <c r="L415" s="62" t="str">
        <f t="shared" si="33"/>
        <v/>
      </c>
      <c r="M415" s="14"/>
      <c r="N415" s="89">
        <f t="array" ref="N415">SUM(IF((CsDJ[JEV Number]=TRIM($T392))*(CsDJ[Account Code]=TRIM(K415)),CsDJ[Debit]))</f>
        <v>0</v>
      </c>
      <c r="O415" s="89">
        <f t="array" ref="O415">SUM(IF((CsDJ[JEV Number]=TRIM($T392))*(CsDJ[Account Code]=TRIM(K415)),CsDJ[Credit]))</f>
        <v>0</v>
      </c>
      <c r="P415" s="1200">
        <f t="shared" si="34"/>
        <v>0</v>
      </c>
      <c r="Q415" s="1200"/>
      <c r="R415" s="1200"/>
      <c r="S415" s="1200">
        <f t="shared" si="35"/>
        <v>0</v>
      </c>
      <c r="T415" s="1200"/>
      <c r="U415" s="1200"/>
      <c r="V415" s="1201"/>
    </row>
    <row r="416" spans="1:22">
      <c r="A416" s="1195"/>
      <c r="B416" s="1196"/>
      <c r="C416" s="1196"/>
      <c r="D416" s="1196"/>
      <c r="E416" s="1197" t="str">
        <f t="shared" si="32"/>
        <v/>
      </c>
      <c r="F416" s="1198"/>
      <c r="G416" s="1198"/>
      <c r="H416" s="1198"/>
      <c r="I416" s="1198"/>
      <c r="J416" s="1199"/>
      <c r="K416" s="134"/>
      <c r="L416" s="62" t="str">
        <f t="shared" si="33"/>
        <v/>
      </c>
      <c r="M416" s="14"/>
      <c r="N416" s="89">
        <f t="array" ref="N416">SUM(IF((CsDJ[JEV Number]=TRIM($T392))*(CsDJ[Account Code]=TRIM(K416)),CsDJ[Debit]))</f>
        <v>0</v>
      </c>
      <c r="O416" s="89">
        <f t="array" ref="O416">SUM(IF((CsDJ[JEV Number]=TRIM($T392))*(CsDJ[Account Code]=TRIM(K416)),CsDJ[Credit]))</f>
        <v>0</v>
      </c>
      <c r="P416" s="1200">
        <f t="shared" si="34"/>
        <v>0</v>
      </c>
      <c r="Q416" s="1200"/>
      <c r="R416" s="1200"/>
      <c r="S416" s="1200">
        <f t="shared" si="35"/>
        <v>0</v>
      </c>
      <c r="T416" s="1200"/>
      <c r="U416" s="1200"/>
      <c r="V416" s="1201"/>
    </row>
    <row r="417" spans="1:22">
      <c r="A417" s="1195"/>
      <c r="B417" s="1196"/>
      <c r="C417" s="1196"/>
      <c r="D417" s="1196"/>
      <c r="E417" s="1197" t="str">
        <f t="shared" si="32"/>
        <v/>
      </c>
      <c r="F417" s="1198"/>
      <c r="G417" s="1198"/>
      <c r="H417" s="1198"/>
      <c r="I417" s="1198"/>
      <c r="J417" s="1199"/>
      <c r="K417" s="134"/>
      <c r="L417" s="62" t="str">
        <f t="shared" si="33"/>
        <v/>
      </c>
      <c r="M417" s="14"/>
      <c r="N417" s="89">
        <f t="array" ref="N417">SUM(IF((CsDJ[JEV Number]=TRIM($T392))*(CsDJ[Account Code]=TRIM(K417)),CsDJ[Debit]))</f>
        <v>0</v>
      </c>
      <c r="O417" s="89">
        <f t="array" ref="O417">SUM(IF((CsDJ[JEV Number]=TRIM($T392))*(CsDJ[Account Code]=TRIM(K417)),CsDJ[Credit]))</f>
        <v>0</v>
      </c>
      <c r="P417" s="1200">
        <f t="shared" si="34"/>
        <v>0</v>
      </c>
      <c r="Q417" s="1200"/>
      <c r="R417" s="1200"/>
      <c r="S417" s="1200">
        <f t="shared" si="35"/>
        <v>0</v>
      </c>
      <c r="T417" s="1200"/>
      <c r="U417" s="1200"/>
      <c r="V417" s="1201"/>
    </row>
    <row r="418" spans="1:22">
      <c r="A418" s="1195"/>
      <c r="B418" s="1196"/>
      <c r="C418" s="1196"/>
      <c r="D418" s="1196"/>
      <c r="E418" s="1197" t="str">
        <f t="shared" si="32"/>
        <v/>
      </c>
      <c r="F418" s="1198"/>
      <c r="G418" s="1198"/>
      <c r="H418" s="1198"/>
      <c r="I418" s="1198"/>
      <c r="J418" s="1199"/>
      <c r="K418" s="134"/>
      <c r="L418" s="62" t="str">
        <f t="shared" si="33"/>
        <v/>
      </c>
      <c r="M418" s="14"/>
      <c r="N418" s="89">
        <f t="array" ref="N418">SUM(IF((CsDJ[JEV Number]=TRIM($T392))*(CsDJ[Account Code]=TRIM(K418)),CsDJ[Debit]))</f>
        <v>0</v>
      </c>
      <c r="O418" s="89">
        <f t="array" ref="O418">SUM(IF((CsDJ[JEV Number]=TRIM($T392))*(CsDJ[Account Code]=TRIM(K418)),CsDJ[Credit]))</f>
        <v>0</v>
      </c>
      <c r="P418" s="1200">
        <f t="shared" si="34"/>
        <v>0</v>
      </c>
      <c r="Q418" s="1200"/>
      <c r="R418" s="1200"/>
      <c r="S418" s="1200">
        <f t="shared" si="35"/>
        <v>0</v>
      </c>
      <c r="T418" s="1200"/>
      <c r="U418" s="1200"/>
      <c r="V418" s="1201"/>
    </row>
    <row r="419" spans="1:22">
      <c r="A419" s="1195"/>
      <c r="B419" s="1196"/>
      <c r="C419" s="1196"/>
      <c r="D419" s="1196"/>
      <c r="E419" s="1197" t="str">
        <f t="shared" si="32"/>
        <v/>
      </c>
      <c r="F419" s="1198"/>
      <c r="G419" s="1198"/>
      <c r="H419" s="1198"/>
      <c r="I419" s="1198"/>
      <c r="J419" s="1199"/>
      <c r="K419" s="134"/>
      <c r="L419" s="62" t="str">
        <f t="shared" si="33"/>
        <v/>
      </c>
      <c r="M419" s="14"/>
      <c r="N419" s="89">
        <f t="array" ref="N419">SUM(IF((CsDJ[JEV Number]=TRIM($T392))*(CsDJ[Account Code]=TRIM(K419)),CsDJ[Debit]))</f>
        <v>0</v>
      </c>
      <c r="O419" s="89">
        <f t="array" ref="O419">SUM(IF((CsDJ[JEV Number]=TRIM($T392))*(CsDJ[Account Code]=TRIM(K419)),CsDJ[Credit]))</f>
        <v>0</v>
      </c>
      <c r="P419" s="1200">
        <f t="shared" si="34"/>
        <v>0</v>
      </c>
      <c r="Q419" s="1200"/>
      <c r="R419" s="1200"/>
      <c r="S419" s="1200">
        <f t="shared" si="35"/>
        <v>0</v>
      </c>
      <c r="T419" s="1200"/>
      <c r="U419" s="1200"/>
      <c r="V419" s="1201"/>
    </row>
    <row r="420" spans="1:22">
      <c r="A420" s="1195"/>
      <c r="B420" s="1196"/>
      <c r="C420" s="1196"/>
      <c r="D420" s="1196"/>
      <c r="E420" s="1197" t="str">
        <f t="shared" si="32"/>
        <v/>
      </c>
      <c r="F420" s="1198"/>
      <c r="G420" s="1198"/>
      <c r="H420" s="1198"/>
      <c r="I420" s="1198"/>
      <c r="J420" s="1199"/>
      <c r="K420" s="134"/>
      <c r="L420" s="62" t="str">
        <f t="shared" si="33"/>
        <v/>
      </c>
      <c r="M420" s="14"/>
      <c r="N420" s="89">
        <f t="array" ref="N420">SUM(IF((CsDJ[JEV Number]=TRIM($T392))*(CsDJ[Account Code]=TRIM(K420)),CsDJ[Debit]))</f>
        <v>0</v>
      </c>
      <c r="O420" s="89">
        <f t="array" ref="O420">SUM(IF((CsDJ[JEV Number]=TRIM($T392))*(CsDJ[Account Code]=TRIM(K420)),CsDJ[Credit]))</f>
        <v>0</v>
      </c>
      <c r="P420" s="1200">
        <f t="shared" si="34"/>
        <v>0</v>
      </c>
      <c r="Q420" s="1200"/>
      <c r="R420" s="1200"/>
      <c r="S420" s="1200">
        <f t="shared" si="35"/>
        <v>0</v>
      </c>
      <c r="T420" s="1200"/>
      <c r="U420" s="1200"/>
      <c r="V420" s="1201"/>
    </row>
    <row r="421" spans="1:22">
      <c r="A421" s="1195"/>
      <c r="B421" s="1196"/>
      <c r="C421" s="1196"/>
      <c r="D421" s="1196"/>
      <c r="E421" s="1197" t="str">
        <f t="shared" si="32"/>
        <v/>
      </c>
      <c r="F421" s="1198"/>
      <c r="G421" s="1198"/>
      <c r="H421" s="1198"/>
      <c r="I421" s="1198"/>
      <c r="J421" s="1199"/>
      <c r="K421" s="134"/>
      <c r="L421" s="62" t="str">
        <f t="shared" si="33"/>
        <v/>
      </c>
      <c r="M421" s="14"/>
      <c r="N421" s="89">
        <f t="array" ref="N421">SUM(IF((CsDJ[JEV Number]=TRIM($T392))*(CsDJ[Account Code]=TRIM(K421)),CsDJ[Debit]))</f>
        <v>0</v>
      </c>
      <c r="O421" s="89">
        <f t="array" ref="O421">SUM(IF((CsDJ[JEV Number]=TRIM($T392))*(CsDJ[Account Code]=TRIM(K421)),CsDJ[Credit]))</f>
        <v>0</v>
      </c>
      <c r="P421" s="1200">
        <f t="shared" si="34"/>
        <v>0</v>
      </c>
      <c r="Q421" s="1200"/>
      <c r="R421" s="1200"/>
      <c r="S421" s="1200">
        <f t="shared" si="35"/>
        <v>0</v>
      </c>
      <c r="T421" s="1200"/>
      <c r="U421" s="1200"/>
      <c r="V421" s="1201"/>
    </row>
    <row r="422" spans="1:22">
      <c r="A422" s="1195"/>
      <c r="B422" s="1196"/>
      <c r="C422" s="1196"/>
      <c r="D422" s="1196"/>
      <c r="E422" s="1197" t="str">
        <f t="shared" si="32"/>
        <v/>
      </c>
      <c r="F422" s="1198"/>
      <c r="G422" s="1198"/>
      <c r="H422" s="1198"/>
      <c r="I422" s="1198"/>
      <c r="J422" s="1199"/>
      <c r="K422" s="134"/>
      <c r="L422" s="62" t="str">
        <f t="shared" si="33"/>
        <v/>
      </c>
      <c r="M422" s="14"/>
      <c r="N422" s="89">
        <f t="array" ref="N422">SUM(IF((CsDJ[JEV Number]=TRIM($T392))*(CsDJ[Account Code]=TRIM(K422)),CsDJ[Debit]))</f>
        <v>0</v>
      </c>
      <c r="O422" s="89">
        <f t="array" ref="O422">SUM(IF((CsDJ[JEV Number]=TRIM($T392))*(CsDJ[Account Code]=TRIM(K422)),CsDJ[Credit]))</f>
        <v>0</v>
      </c>
      <c r="P422" s="1200">
        <f t="shared" si="34"/>
        <v>0</v>
      </c>
      <c r="Q422" s="1200"/>
      <c r="R422" s="1200"/>
      <c r="S422" s="1200">
        <f t="shared" si="35"/>
        <v>0</v>
      </c>
      <c r="T422" s="1200"/>
      <c r="U422" s="1200"/>
      <c r="V422" s="1201"/>
    </row>
    <row r="423" spans="1:22">
      <c r="A423" s="1195"/>
      <c r="B423" s="1196"/>
      <c r="C423" s="1196"/>
      <c r="D423" s="1196"/>
      <c r="E423" s="1197" t="str">
        <f t="shared" si="32"/>
        <v/>
      </c>
      <c r="F423" s="1198"/>
      <c r="G423" s="1198"/>
      <c r="H423" s="1198"/>
      <c r="I423" s="1198"/>
      <c r="J423" s="1199"/>
      <c r="K423" s="134"/>
      <c r="L423" s="62" t="str">
        <f t="shared" si="33"/>
        <v/>
      </c>
      <c r="M423" s="14"/>
      <c r="N423" s="89">
        <f t="array" ref="N423">SUM(IF((CsDJ[JEV Number]=TRIM($T392))*(CsDJ[Account Code]=TRIM(K423)),CsDJ[Debit]))</f>
        <v>0</v>
      </c>
      <c r="O423" s="89">
        <f t="array" ref="O423">SUM(IF((CsDJ[JEV Number]=TRIM($T392))*(CsDJ[Account Code]=TRIM(K423)),CsDJ[Credit]))</f>
        <v>0</v>
      </c>
      <c r="P423" s="1200">
        <f t="shared" si="34"/>
        <v>0</v>
      </c>
      <c r="Q423" s="1200"/>
      <c r="R423" s="1200"/>
      <c r="S423" s="1200">
        <f t="shared" si="35"/>
        <v>0</v>
      </c>
      <c r="T423" s="1200"/>
      <c r="U423" s="1200"/>
      <c r="V423" s="1201"/>
    </row>
    <row r="424" spans="1:22">
      <c r="A424" s="1195"/>
      <c r="B424" s="1196"/>
      <c r="C424" s="1196"/>
      <c r="D424" s="1196"/>
      <c r="E424" s="1197" t="str">
        <f t="shared" si="32"/>
        <v/>
      </c>
      <c r="F424" s="1198"/>
      <c r="G424" s="1198"/>
      <c r="H424" s="1198"/>
      <c r="I424" s="1198"/>
      <c r="J424" s="1199"/>
      <c r="K424" s="134"/>
      <c r="L424" s="62" t="str">
        <f t="shared" si="33"/>
        <v/>
      </c>
      <c r="M424" s="14"/>
      <c r="N424" s="89">
        <f t="array" ref="N424">SUM(IF((CsDJ[JEV Number]=TRIM($T392))*(CsDJ[Account Code]=TRIM(K424)),CsDJ[Debit]))</f>
        <v>0</v>
      </c>
      <c r="O424" s="89">
        <f t="array" ref="O424">SUM(IF((CsDJ[JEV Number]=TRIM($T392))*(CsDJ[Account Code]=TRIM(K424)),CsDJ[Credit]))</f>
        <v>0</v>
      </c>
      <c r="P424" s="1200">
        <f t="shared" si="34"/>
        <v>0</v>
      </c>
      <c r="Q424" s="1200"/>
      <c r="R424" s="1200"/>
      <c r="S424" s="1200">
        <f t="shared" si="35"/>
        <v>0</v>
      </c>
      <c r="T424" s="1200"/>
      <c r="U424" s="1200"/>
      <c r="V424" s="1201"/>
    </row>
    <row r="425" spans="1:22">
      <c r="A425" s="1195"/>
      <c r="B425" s="1196"/>
      <c r="C425" s="1196"/>
      <c r="D425" s="1196"/>
      <c r="E425" s="1197" t="str">
        <f t="shared" si="32"/>
        <v/>
      </c>
      <c r="F425" s="1198"/>
      <c r="G425" s="1198"/>
      <c r="H425" s="1198"/>
      <c r="I425" s="1198"/>
      <c r="J425" s="1199"/>
      <c r="K425" s="134"/>
      <c r="L425" s="62" t="str">
        <f t="shared" si="33"/>
        <v/>
      </c>
      <c r="M425" s="14"/>
      <c r="N425" s="89">
        <f t="array" ref="N425">SUM(IF((CsDJ[JEV Number]=TRIM($T392))*(CsDJ[Account Code]=TRIM(K425)),CsDJ[Debit]))</f>
        <v>0</v>
      </c>
      <c r="O425" s="89">
        <f t="array" ref="O425">SUM(IF((CsDJ[JEV Number]=TRIM($T392))*(CsDJ[Account Code]=TRIM(K425)),CsDJ[Credit]))</f>
        <v>0</v>
      </c>
      <c r="P425" s="1200">
        <f t="shared" si="34"/>
        <v>0</v>
      </c>
      <c r="Q425" s="1200"/>
      <c r="R425" s="1200"/>
      <c r="S425" s="1200">
        <f t="shared" si="35"/>
        <v>0</v>
      </c>
      <c r="T425" s="1200"/>
      <c r="U425" s="1200"/>
      <c r="V425" s="1201"/>
    </row>
    <row r="426" spans="1:22">
      <c r="A426" s="1195"/>
      <c r="B426" s="1196"/>
      <c r="C426" s="1196"/>
      <c r="D426" s="1196"/>
      <c r="E426" s="1257" t="s">
        <v>468</v>
      </c>
      <c r="F426" s="1258"/>
      <c r="G426" s="1258"/>
      <c r="H426" s="1258"/>
      <c r="I426" s="1258"/>
      <c r="J426" s="1259"/>
      <c r="K426" s="133"/>
      <c r="L426" s="62" t="str">
        <f t="shared" si="33"/>
        <v/>
      </c>
      <c r="M426" s="14"/>
      <c r="N426" s="89">
        <f t="array" ref="N426">SUM(IF((CsDJ[JEV Number]=TRIM($T392))*(CsDJ[Account Code]=TRIM(K426)),CsDJ[Debit]))</f>
        <v>0</v>
      </c>
      <c r="O426" s="89">
        <f t="array" ref="O426">SUM(IF((CsDJ[JEV Number]=TRIM($T392))*(CsDJ[Account Code]=TRIM(K426)),CsDJ[Credit]))</f>
        <v>0</v>
      </c>
      <c r="P426" s="1200">
        <f t="shared" si="34"/>
        <v>0</v>
      </c>
      <c r="Q426" s="1200"/>
      <c r="R426" s="1200"/>
      <c r="S426" s="1200">
        <f t="shared" si="35"/>
        <v>0</v>
      </c>
      <c r="T426" s="1200"/>
      <c r="U426" s="1200"/>
      <c r="V426" s="1201"/>
    </row>
    <row r="427" spans="1:22">
      <c r="A427" s="1195"/>
      <c r="B427" s="1196"/>
      <c r="C427" s="1196"/>
      <c r="D427" s="1196"/>
      <c r="E427" s="1202" t="s">
        <v>457</v>
      </c>
      <c r="F427" s="1203"/>
      <c r="G427" s="1203"/>
      <c r="H427" s="1203"/>
      <c r="I427" s="1207">
        <f>T393</f>
        <v>0</v>
      </c>
      <c r="J427" s="1208"/>
      <c r="K427" s="133"/>
      <c r="L427" s="62" t="str">
        <f t="shared" si="33"/>
        <v/>
      </c>
      <c r="M427" s="14"/>
      <c r="N427" s="89">
        <f t="array" ref="N427">SUM(IF((CsDJ[JEV Number]=TRIM($T392))*(CsDJ[Account Code]=TRIM(K427)),CsDJ[Debit]))</f>
        <v>0</v>
      </c>
      <c r="O427" s="89">
        <f t="array" ref="O427">SUM(IF((CsDJ[JEV Number]=TRIM($T392))*(CsDJ[Account Code]=TRIM(K427)),CsDJ[Credit]))</f>
        <v>0</v>
      </c>
      <c r="P427" s="1200">
        <f t="shared" si="34"/>
        <v>0</v>
      </c>
      <c r="Q427" s="1200"/>
      <c r="R427" s="1200"/>
      <c r="S427" s="1200">
        <f t="shared" si="35"/>
        <v>0</v>
      </c>
      <c r="T427" s="1200"/>
      <c r="U427" s="1200"/>
      <c r="V427" s="1201"/>
    </row>
    <row r="428" spans="1:22">
      <c r="A428" s="1195"/>
      <c r="B428" s="1196"/>
      <c r="C428" s="1196"/>
      <c r="D428" s="1196"/>
      <c r="E428" s="1202" t="s">
        <v>458</v>
      </c>
      <c r="F428" s="1203"/>
      <c r="G428" s="1203"/>
      <c r="H428" s="1203"/>
      <c r="I428" s="1263">
        <f>IF(T392=0,0,(IF(LOOKUP(T392,CsDJ[JEV Number],CsDJ[Sort Code])="1","MA. VIVIAN C. SALAS",IF(LOOKUP(T392,CsDJ[JEV Number],CsDJ[Sort Code])="2","LUZ R. DE COZAR",IF(LOOKUP(T392,CsDJ[JEV Number],CsDJ[Sort Code])="3","MINEONETTE A. DELA CRUZ",IF(LOOKUP(T392,CsDJ[JEV Number],CsDJ[Sort Code])="4","RESELLA B. LOPEZ"))))))</f>
        <v>0</v>
      </c>
      <c r="J428" s="1264"/>
      <c r="K428" s="133"/>
      <c r="L428" s="62" t="str">
        <f t="shared" si="33"/>
        <v/>
      </c>
      <c r="M428" s="14"/>
      <c r="N428" s="89">
        <f t="array" ref="N428">SUM(IF((CsDJ[JEV Number]=TRIM($T392))*(CsDJ[Account Code]=TRIM(K428)),CsDJ[Debit]))</f>
        <v>0</v>
      </c>
      <c r="O428" s="89">
        <f t="array" ref="O428">SUM(IF((CsDJ[JEV Number]=TRIM($T392))*(CsDJ[Account Code]=TRIM(K428)),CsDJ[Credit]))</f>
        <v>0</v>
      </c>
      <c r="P428" s="1200">
        <f t="shared" si="34"/>
        <v>0</v>
      </c>
      <c r="Q428" s="1200"/>
      <c r="R428" s="1200"/>
      <c r="S428" s="1200">
        <f t="shared" si="35"/>
        <v>0</v>
      </c>
      <c r="T428" s="1200"/>
      <c r="U428" s="1200"/>
      <c r="V428" s="1201"/>
    </row>
    <row r="429" spans="1:22">
      <c r="A429" s="1195"/>
      <c r="B429" s="1196"/>
      <c r="C429" s="1196"/>
      <c r="D429" s="1196"/>
      <c r="E429" s="1202" t="s">
        <v>459</v>
      </c>
      <c r="F429" s="1203"/>
      <c r="G429" s="1203"/>
      <c r="H429" s="1203"/>
      <c r="I429" s="1204">
        <f>IF(I428="Ma. Vivian C. Salas","Regional Office", IF(I428="Luz R. De Cozar","BANE IMO", IF(I428="Mineonette A. Dela Cruz","PAMBAT IMO", IF(I428="Resella B. Lopez","TARZAM IMO",0))))</f>
        <v>0</v>
      </c>
      <c r="J429" s="1205"/>
      <c r="K429" s="133"/>
      <c r="L429" s="62" t="str">
        <f t="shared" si="33"/>
        <v/>
      </c>
      <c r="M429" s="14"/>
      <c r="N429" s="89">
        <f t="array" ref="N429">SUM(IF((CsDJ[JEV Number]=TRIM($T392))*(CsDJ[Account Code]=TRIM(K429)),CsDJ[Debit]))</f>
        <v>0</v>
      </c>
      <c r="O429" s="89">
        <f t="array" ref="O429">SUM(IF((CsDJ[JEV Number]=TRIM($T392))*(CsDJ[Account Code]=TRIM(K429)),CsDJ[Credit]))</f>
        <v>0</v>
      </c>
      <c r="P429" s="1200">
        <f t="shared" si="34"/>
        <v>0</v>
      </c>
      <c r="Q429" s="1200"/>
      <c r="R429" s="1200"/>
      <c r="S429" s="1200">
        <f t="shared" si="35"/>
        <v>0</v>
      </c>
      <c r="T429" s="1200"/>
      <c r="U429" s="1200"/>
      <c r="V429" s="1201"/>
    </row>
    <row r="430" spans="1:22">
      <c r="A430" s="1195"/>
      <c r="B430" s="1196"/>
      <c r="C430" s="1196"/>
      <c r="D430" s="1196"/>
      <c r="E430" s="1202"/>
      <c r="F430" s="1203"/>
      <c r="G430" s="1203"/>
      <c r="H430" s="1203"/>
      <c r="I430" s="1203"/>
      <c r="J430" s="1206"/>
      <c r="K430" s="133"/>
      <c r="L430" s="62" t="str">
        <f t="shared" si="33"/>
        <v/>
      </c>
      <c r="M430" s="14"/>
      <c r="N430" s="89">
        <f t="array" ref="N430">SUM(IF((CsDJ[JEV Number]=TRIM($T392))*(CsDJ[Account Code]=TRIM(K430)),CsDJ[Debit]))</f>
        <v>0</v>
      </c>
      <c r="O430" s="89">
        <f t="array" ref="O430">SUM(IF((CsDJ[JEV Number]=TRIM($T392))*(CsDJ[Account Code]=TRIM(K430)),CsDJ[Credit]))</f>
        <v>0</v>
      </c>
      <c r="P430" s="1200">
        <f t="shared" si="34"/>
        <v>0</v>
      </c>
      <c r="Q430" s="1200"/>
      <c r="R430" s="1200"/>
      <c r="S430" s="1200">
        <f t="shared" si="35"/>
        <v>0</v>
      </c>
      <c r="T430" s="1200"/>
      <c r="U430" s="1200"/>
      <c r="V430" s="1201"/>
    </row>
    <row r="431" spans="1:22" ht="16.5" thickBot="1">
      <c r="A431" s="1188"/>
      <c r="B431" s="1189"/>
      <c r="C431" s="1189"/>
      <c r="D431" s="1189"/>
      <c r="E431" s="1189"/>
      <c r="F431" s="1189"/>
      <c r="G431" s="1189"/>
      <c r="H431" s="1189"/>
      <c r="I431" s="1189"/>
      <c r="J431" s="1189"/>
      <c r="K431" s="1189"/>
      <c r="L431" s="1189"/>
      <c r="M431" s="1190"/>
      <c r="N431" s="88"/>
      <c r="O431" s="88"/>
      <c r="P431" s="1191">
        <f>SUM(P401:R430)</f>
        <v>0</v>
      </c>
      <c r="Q431" s="1191"/>
      <c r="R431" s="1191"/>
      <c r="S431" s="1191">
        <f>SUM(S401:V430)</f>
        <v>0</v>
      </c>
      <c r="T431" s="1191"/>
      <c r="U431" s="1191"/>
      <c r="V431" s="1192"/>
    </row>
    <row r="432" spans="1:22">
      <c r="A432" s="63"/>
      <c r="B432" s="64"/>
      <c r="C432" s="64"/>
      <c r="D432" s="64"/>
      <c r="E432" s="64"/>
      <c r="F432" s="64"/>
      <c r="G432" s="64"/>
      <c r="H432" s="64"/>
      <c r="I432" s="65"/>
      <c r="J432" s="64"/>
      <c r="K432" s="66"/>
      <c r="L432" s="64"/>
      <c r="M432" s="65"/>
      <c r="N432" s="64"/>
      <c r="O432" s="64"/>
      <c r="P432" s="1193"/>
      <c r="Q432" s="1193"/>
      <c r="R432" s="1193"/>
      <c r="S432" s="1193"/>
      <c r="T432" s="1193"/>
      <c r="U432" s="1193"/>
      <c r="V432" s="1194"/>
    </row>
    <row r="433" spans="1:22">
      <c r="A433" s="67" t="s">
        <v>460</v>
      </c>
      <c r="B433"/>
      <c r="C433"/>
      <c r="D433"/>
      <c r="E433"/>
      <c r="F433"/>
      <c r="G433"/>
      <c r="H433"/>
      <c r="I433" s="68" t="s">
        <v>353</v>
      </c>
      <c r="J433" s="69"/>
      <c r="K433" s="69"/>
      <c r="L433"/>
      <c r="M433" s="68" t="s">
        <v>461</v>
      </c>
      <c r="N433" s="69"/>
      <c r="O433" s="69"/>
      <c r="P433" s="70"/>
      <c r="Q433" s="70"/>
      <c r="R433" s="70"/>
      <c r="S433" s="70"/>
      <c r="T433" s="70"/>
      <c r="U433" s="70"/>
      <c r="V433" s="71"/>
    </row>
    <row r="434" spans="1:22">
      <c r="A434" s="37"/>
      <c r="B434"/>
      <c r="C434"/>
      <c r="D434"/>
      <c r="E434"/>
      <c r="F434"/>
      <c r="G434"/>
      <c r="H434"/>
      <c r="I434" s="72"/>
      <c r="J434"/>
      <c r="K434"/>
      <c r="L434"/>
      <c r="M434" s="72"/>
      <c r="N434"/>
      <c r="O434"/>
      <c r="P434"/>
      <c r="Q434"/>
      <c r="R434"/>
      <c r="S434"/>
      <c r="T434"/>
      <c r="U434"/>
      <c r="V434" s="73"/>
    </row>
    <row r="435" spans="1:22">
      <c r="A435" s="74" t="s">
        <v>462</v>
      </c>
      <c r="B435" s="75"/>
      <c r="C435" s="75"/>
      <c r="D435" s="75"/>
      <c r="E435" s="75"/>
      <c r="F435" s="75"/>
      <c r="G435" s="75"/>
      <c r="H435" s="76"/>
      <c r="I435" s="77" t="s">
        <v>380</v>
      </c>
      <c r="J435" s="75"/>
      <c r="K435" s="75"/>
      <c r="L435" s="76"/>
      <c r="M435" s="77" t="s">
        <v>3</v>
      </c>
      <c r="N435" s="75"/>
      <c r="O435" s="75"/>
      <c r="P435" s="75"/>
      <c r="Q435" s="75"/>
      <c r="R435" s="75"/>
      <c r="S435" s="75"/>
      <c r="T435" s="75"/>
      <c r="U435" s="75"/>
      <c r="V435" s="78"/>
    </row>
    <row r="436" spans="1:22">
      <c r="A436" s="79" t="s">
        <v>463</v>
      </c>
      <c r="B436" s="80"/>
      <c r="C436" s="80"/>
      <c r="D436" s="80"/>
      <c r="E436" s="80"/>
      <c r="F436" s="80"/>
      <c r="G436" s="80"/>
      <c r="H436" s="80"/>
      <c r="I436" s="81" t="s">
        <v>381</v>
      </c>
      <c r="J436" s="80"/>
      <c r="K436" s="80"/>
      <c r="L436" s="80"/>
      <c r="M436" s="81" t="s">
        <v>464</v>
      </c>
      <c r="N436" s="80"/>
      <c r="O436" s="80"/>
      <c r="P436" s="82"/>
      <c r="Q436" s="82"/>
      <c r="R436" s="82"/>
      <c r="S436" s="82"/>
      <c r="T436" s="82"/>
      <c r="U436" s="82"/>
      <c r="V436" s="83"/>
    </row>
    <row r="437" spans="1:22" ht="16.5" thickBot="1">
      <c r="A437" s="84" t="s">
        <v>465</v>
      </c>
      <c r="B437" s="43"/>
      <c r="C437" s="43"/>
      <c r="D437" s="43"/>
      <c r="E437" s="43"/>
      <c r="F437" s="43"/>
      <c r="G437" s="43"/>
      <c r="H437" s="43"/>
      <c r="I437" s="85"/>
      <c r="J437" s="43"/>
      <c r="K437" s="43"/>
      <c r="L437" s="43"/>
      <c r="M437" s="85"/>
      <c r="N437" s="43"/>
      <c r="O437" s="43"/>
      <c r="P437" s="43"/>
      <c r="Q437" s="43"/>
      <c r="R437" s="43"/>
      <c r="S437" s="43"/>
      <c r="T437" s="43"/>
      <c r="U437" s="43"/>
      <c r="V437" s="44"/>
    </row>
    <row r="438" spans="1:22" ht="22.5">
      <c r="A438" s="31" t="s">
        <v>441</v>
      </c>
      <c r="B438" s="32"/>
      <c r="C438" s="32"/>
      <c r="D438" s="32"/>
      <c r="E438" s="32"/>
      <c r="F438" s="32"/>
      <c r="G438" s="32"/>
      <c r="H438" s="32"/>
      <c r="I438" s="32"/>
      <c r="J438" s="32"/>
      <c r="K438" s="32"/>
      <c r="L438" s="32"/>
      <c r="M438" s="32"/>
      <c r="N438" s="32"/>
      <c r="O438" s="32"/>
      <c r="P438" s="32"/>
      <c r="Q438" s="33"/>
      <c r="R438" s="1218">
        <f>+P478-S478</f>
        <v>0</v>
      </c>
      <c r="S438" s="1219"/>
      <c r="T438" s="1219"/>
      <c r="U438" s="1219"/>
      <c r="V438" s="1220"/>
    </row>
    <row r="439" spans="1:22">
      <c r="A439" s="34" t="s">
        <v>442</v>
      </c>
      <c r="B439" s="35"/>
      <c r="C439" s="35"/>
      <c r="D439" s="35"/>
      <c r="E439" s="35"/>
      <c r="F439" s="35"/>
      <c r="G439" s="35"/>
      <c r="H439" s="35"/>
      <c r="I439" s="35"/>
      <c r="J439" s="35"/>
      <c r="K439" s="35"/>
      <c r="L439" s="35"/>
      <c r="M439" s="35"/>
      <c r="N439" s="35"/>
      <c r="O439" s="35"/>
      <c r="P439" s="35"/>
      <c r="Q439" s="36"/>
      <c r="R439" s="37" t="s">
        <v>443</v>
      </c>
      <c r="S439"/>
      <c r="T439" s="1221"/>
      <c r="U439" s="1221"/>
      <c r="V439" s="1222"/>
    </row>
    <row r="440" spans="1:22">
      <c r="A440" s="38" t="s">
        <v>444</v>
      </c>
      <c r="B440" s="35"/>
      <c r="C440" s="35"/>
      <c r="D440" s="35"/>
      <c r="E440" s="35"/>
      <c r="F440" s="35"/>
      <c r="G440" s="35"/>
      <c r="H440" s="35"/>
      <c r="I440" s="35"/>
      <c r="J440" s="35"/>
      <c r="K440" s="35"/>
      <c r="L440" s="35"/>
      <c r="M440" s="35"/>
      <c r="N440" s="35"/>
      <c r="O440" s="35"/>
      <c r="P440" s="35"/>
      <c r="Q440" s="36"/>
      <c r="R440" s="37" t="s">
        <v>0</v>
      </c>
      <c r="S440"/>
      <c r="T440" s="1223">
        <f>IF(T439=0,0,(LOOKUP(T439,CsDJ[JEV Number],CsDJ[Date])))</f>
        <v>0</v>
      </c>
      <c r="U440" s="1223"/>
      <c r="V440" s="1224"/>
    </row>
    <row r="441" spans="1:22" ht="16.5" thickBot="1">
      <c r="A441" s="39"/>
      <c r="B441" s="40"/>
      <c r="C441" s="40"/>
      <c r="D441" s="40"/>
      <c r="E441" s="40"/>
      <c r="F441" s="40"/>
      <c r="G441" s="40"/>
      <c r="H441" s="40"/>
      <c r="I441" s="40"/>
      <c r="J441" s="40"/>
      <c r="K441" s="40"/>
      <c r="L441" s="40"/>
      <c r="M441" s="40"/>
      <c r="N441" s="40"/>
      <c r="O441" s="40"/>
      <c r="P441" s="40"/>
      <c r="Q441" s="41"/>
      <c r="R441" s="42"/>
      <c r="S441" s="43"/>
      <c r="T441" s="43"/>
      <c r="U441" s="43"/>
      <c r="V441" s="44"/>
    </row>
    <row r="442" spans="1:22">
      <c r="A442" s="45"/>
      <c r="B442" s="46"/>
      <c r="C442" s="46"/>
      <c r="D442" s="46"/>
      <c r="E442" s="46"/>
      <c r="F442" s="46"/>
      <c r="G442" s="46"/>
      <c r="H442" s="46"/>
      <c r="I442" s="46"/>
      <c r="J442" s="46"/>
      <c r="K442" s="46"/>
      <c r="L442" s="47"/>
      <c r="M442" s="46"/>
      <c r="N442" s="46"/>
      <c r="O442" s="46"/>
      <c r="P442" s="46"/>
      <c r="Q442" s="46"/>
      <c r="R442" s="46"/>
      <c r="S442" s="46"/>
      <c r="T442" s="46"/>
      <c r="U442" s="46"/>
      <c r="V442" s="48"/>
    </row>
    <row r="443" spans="1:22">
      <c r="A443" s="49"/>
      <c r="B443" s="1225"/>
      <c r="C443" s="1225"/>
      <c r="D443" s="50" t="s">
        <v>445</v>
      </c>
      <c r="H443" s="51"/>
      <c r="I443" s="25" t="s">
        <v>447</v>
      </c>
      <c r="J443" s="132" t="s">
        <v>446</v>
      </c>
      <c r="K443" s="52" t="s">
        <v>448</v>
      </c>
      <c r="L443" s="52"/>
      <c r="Q443" s="1225"/>
      <c r="R443" s="1225"/>
      <c r="S443" s="50" t="s">
        <v>449</v>
      </c>
      <c r="T443" s="50"/>
      <c r="U443" s="50"/>
      <c r="V443" s="53"/>
    </row>
    <row r="444" spans="1:22" ht="16.5" thickBot="1">
      <c r="A444" s="54"/>
      <c r="B444" s="55"/>
      <c r="C444" s="55"/>
      <c r="D444" s="55"/>
      <c r="E444" s="55"/>
      <c r="F444" s="55"/>
      <c r="G444" s="55"/>
      <c r="H444" s="55"/>
      <c r="I444" s="55"/>
      <c r="J444" s="55"/>
      <c r="K444" s="55"/>
      <c r="L444" s="56"/>
      <c r="M444" s="55"/>
      <c r="N444" s="55"/>
      <c r="O444" s="55"/>
      <c r="P444" s="55"/>
      <c r="Q444" s="55"/>
      <c r="R444" s="55"/>
      <c r="S444" s="55"/>
      <c r="T444" s="55"/>
      <c r="U444" s="55"/>
      <c r="V444" s="57"/>
    </row>
    <row r="445" spans="1:22">
      <c r="A445" s="1226" t="s">
        <v>397</v>
      </c>
      <c r="B445" s="1227"/>
      <c r="C445" s="1227"/>
      <c r="D445" s="1228"/>
      <c r="E445" s="1235" t="s">
        <v>450</v>
      </c>
      <c r="F445" s="1235"/>
      <c r="G445" s="1235"/>
      <c r="H445" s="1235"/>
      <c r="I445" s="1235"/>
      <c r="J445" s="1235"/>
      <c r="K445" s="1235"/>
      <c r="L445" s="1235"/>
      <c r="M445" s="1235"/>
      <c r="N445" s="1235"/>
      <c r="O445" s="1235"/>
      <c r="P445" s="1235"/>
      <c r="Q445" s="1235"/>
      <c r="R445" s="1235"/>
      <c r="S445" s="1235"/>
      <c r="T445" s="1235"/>
      <c r="U445" s="1235"/>
      <c r="V445" s="1236"/>
    </row>
    <row r="446" spans="1:22">
      <c r="A446" s="1229"/>
      <c r="B446" s="1230"/>
      <c r="C446" s="1230"/>
      <c r="D446" s="1231"/>
      <c r="E446" s="1237" t="s">
        <v>451</v>
      </c>
      <c r="F446" s="1237"/>
      <c r="G446" s="1237"/>
      <c r="H446" s="1237"/>
      <c r="I446" s="1237"/>
      <c r="J446" s="1237"/>
      <c r="K446" s="1239" t="s">
        <v>378</v>
      </c>
      <c r="L446" s="1239"/>
      <c r="M446" s="1237" t="s">
        <v>452</v>
      </c>
      <c r="N446" s="1240" t="s">
        <v>453</v>
      </c>
      <c r="O446" s="1241"/>
      <c r="P446" s="1241"/>
      <c r="Q446" s="1241"/>
      <c r="R446" s="1241"/>
      <c r="S446" s="1241"/>
      <c r="T446" s="1241"/>
      <c r="U446" s="1241"/>
      <c r="V446" s="1242"/>
    </row>
    <row r="447" spans="1:22" ht="16.5" customHeight="1" thickBot="1">
      <c r="A447" s="1232"/>
      <c r="B447" s="1233"/>
      <c r="C447" s="1233"/>
      <c r="D447" s="1234"/>
      <c r="E447" s="1238"/>
      <c r="F447" s="1238"/>
      <c r="G447" s="1238"/>
      <c r="H447" s="1238"/>
      <c r="I447" s="1238"/>
      <c r="J447" s="1238"/>
      <c r="K447" s="58" t="s">
        <v>454</v>
      </c>
      <c r="L447" s="58" t="s">
        <v>455</v>
      </c>
      <c r="M447" s="1238"/>
      <c r="N447" s="87" t="s">
        <v>466</v>
      </c>
      <c r="O447" s="87" t="s">
        <v>467</v>
      </c>
      <c r="P447" s="1243" t="s">
        <v>1</v>
      </c>
      <c r="Q447" s="1244"/>
      <c r="R447" s="1245"/>
      <c r="S447" s="1243" t="s">
        <v>2</v>
      </c>
      <c r="T447" s="1244"/>
      <c r="U447" s="1244"/>
      <c r="V447" s="1246"/>
    </row>
    <row r="448" spans="1:22" ht="19.5">
      <c r="A448" s="1210">
        <f>P478-S478</f>
        <v>0</v>
      </c>
      <c r="B448" s="1211"/>
      <c r="C448" s="1211"/>
      <c r="D448" s="1211"/>
      <c r="E448" s="1212" t="str">
        <f>Account!$G$1</f>
        <v>FUND 501 CARP</v>
      </c>
      <c r="F448" s="1213"/>
      <c r="G448" s="1213"/>
      <c r="H448" s="1213"/>
      <c r="I448" s="1213"/>
      <c r="J448" s="1214"/>
      <c r="K448" s="59"/>
      <c r="L448" s="59"/>
      <c r="M448" s="60"/>
      <c r="N448" s="60"/>
      <c r="O448" s="60"/>
      <c r="P448" s="1215"/>
      <c r="Q448" s="1215"/>
      <c r="R448" s="1215"/>
      <c r="S448" s="1215"/>
      <c r="T448" s="1215"/>
      <c r="U448" s="1215"/>
      <c r="V448" s="1216"/>
    </row>
    <row r="449" spans="1:22">
      <c r="A449" s="1195"/>
      <c r="B449" s="1196"/>
      <c r="C449" s="1196"/>
      <c r="D449" s="1196"/>
      <c r="E449" s="1196"/>
      <c r="F449" s="1196"/>
      <c r="G449" s="1196"/>
      <c r="H449" s="1196"/>
      <c r="I449" s="1196"/>
      <c r="J449" s="1196"/>
      <c r="K449" s="61"/>
      <c r="L449" s="61"/>
      <c r="M449" s="14"/>
      <c r="N449" s="14"/>
      <c r="O449" s="14"/>
      <c r="P449" s="1196"/>
      <c r="Q449" s="1196"/>
      <c r="R449" s="1196"/>
      <c r="S449" s="1196"/>
      <c r="T449" s="1196"/>
      <c r="U449" s="1196"/>
      <c r="V449" s="1217"/>
    </row>
    <row r="450" spans="1:22">
      <c r="A450" s="1195"/>
      <c r="B450" s="1196"/>
      <c r="C450" s="1196"/>
      <c r="D450" s="1196"/>
      <c r="E450" s="1197" t="str">
        <f t="shared" ref="E450:E472" si="36">IF(K450=0,"",(VLOOKUP((TRIM(K450)),Code,2,)))</f>
        <v/>
      </c>
      <c r="F450" s="1198"/>
      <c r="G450" s="1198"/>
      <c r="H450" s="1198"/>
      <c r="I450" s="1198"/>
      <c r="J450" s="1199"/>
      <c r="K450" s="133"/>
      <c r="L450" s="62" t="str">
        <f t="shared" ref="L450:L477" si="37">IF(K450=0,"",VLOOKUP((TRIM(K450)),Code,3,))</f>
        <v/>
      </c>
      <c r="M450" s="14"/>
      <c r="N450" s="89">
        <f t="array" ref="N450">SUM(IF((CsDJ[JEV Number]=TRIM($T439))*(CsDJ[Account Code]=TRIM(K450)),CsDJ[Debit]))</f>
        <v>0</v>
      </c>
      <c r="O450" s="89">
        <f t="array" ref="O450">SUM(IF((CsDJ[JEV Number]=TRIM($T439))*(CsDJ[Account Code]=TRIM(K450)),CsDJ[Credit]))</f>
        <v>0</v>
      </c>
      <c r="P450" s="1200">
        <f>N450</f>
        <v>0</v>
      </c>
      <c r="Q450" s="1200"/>
      <c r="R450" s="1200"/>
      <c r="S450" s="1200">
        <f>O450</f>
        <v>0</v>
      </c>
      <c r="T450" s="1200"/>
      <c r="U450" s="1200"/>
      <c r="V450" s="1201"/>
    </row>
    <row r="451" spans="1:22">
      <c r="A451" s="1195"/>
      <c r="B451" s="1196"/>
      <c r="C451" s="1196"/>
      <c r="D451" s="1196"/>
      <c r="E451" s="1197" t="str">
        <f t="shared" si="36"/>
        <v/>
      </c>
      <c r="F451" s="1198"/>
      <c r="G451" s="1198"/>
      <c r="H451" s="1198"/>
      <c r="I451" s="1198"/>
      <c r="J451" s="1199"/>
      <c r="K451" s="133"/>
      <c r="L451" s="62" t="str">
        <f t="shared" si="37"/>
        <v/>
      </c>
      <c r="M451" s="14"/>
      <c r="N451" s="89">
        <f t="array" ref="N451">SUM(IF((CsDJ[JEV Number]=TRIM($T439))*(CsDJ[Account Code]=TRIM(K451)),CsDJ[Debit]))</f>
        <v>0</v>
      </c>
      <c r="O451" s="89">
        <f t="array" ref="O451">SUM(IF((CsDJ[JEV Number]=TRIM($T439))*(CsDJ[Account Code]=TRIM(K451)),CsDJ[Credit]))</f>
        <v>0</v>
      </c>
      <c r="P451" s="1200">
        <f>N451</f>
        <v>0</v>
      </c>
      <c r="Q451" s="1200"/>
      <c r="R451" s="1200"/>
      <c r="S451" s="1200">
        <f>O451</f>
        <v>0</v>
      </c>
      <c r="T451" s="1200"/>
      <c r="U451" s="1200"/>
      <c r="V451" s="1201"/>
    </row>
    <row r="452" spans="1:22">
      <c r="A452" s="1195"/>
      <c r="B452" s="1196"/>
      <c r="C452" s="1196"/>
      <c r="D452" s="1196"/>
      <c r="E452" s="1197" t="str">
        <f t="shared" si="36"/>
        <v/>
      </c>
      <c r="F452" s="1198"/>
      <c r="G452" s="1198"/>
      <c r="H452" s="1198"/>
      <c r="I452" s="1198"/>
      <c r="J452" s="1199"/>
      <c r="K452" s="133"/>
      <c r="L452" s="62" t="str">
        <f t="shared" si="37"/>
        <v/>
      </c>
      <c r="M452" s="14"/>
      <c r="N452" s="89">
        <f t="array" ref="N452">SUM(IF((CsDJ[JEV Number]=TRIM($T439))*(CsDJ[Account Code]=TRIM(K452)),CsDJ[Debit]))</f>
        <v>0</v>
      </c>
      <c r="O452" s="89">
        <f t="array" ref="O452">SUM(IF((CsDJ[JEV Number]=TRIM($T439))*(CsDJ[Account Code]=TRIM(K452)),CsDJ[Credit]))</f>
        <v>0</v>
      </c>
      <c r="P452" s="1200">
        <f t="shared" ref="P452:P477" si="38">N452</f>
        <v>0</v>
      </c>
      <c r="Q452" s="1200"/>
      <c r="R452" s="1200"/>
      <c r="S452" s="1200">
        <f t="shared" ref="S452:S477" si="39">O452</f>
        <v>0</v>
      </c>
      <c r="T452" s="1200"/>
      <c r="U452" s="1200"/>
      <c r="V452" s="1201"/>
    </row>
    <row r="453" spans="1:22">
      <c r="A453" s="1195"/>
      <c r="B453" s="1196"/>
      <c r="C453" s="1196"/>
      <c r="D453" s="1196"/>
      <c r="E453" s="1197" t="str">
        <f t="shared" si="36"/>
        <v/>
      </c>
      <c r="F453" s="1198"/>
      <c r="G453" s="1198"/>
      <c r="H453" s="1198"/>
      <c r="I453" s="1198"/>
      <c r="J453" s="1199"/>
      <c r="K453" s="133"/>
      <c r="L453" s="62" t="str">
        <f t="shared" si="37"/>
        <v/>
      </c>
      <c r="M453" s="14"/>
      <c r="N453" s="89">
        <f t="array" ref="N453">SUM(IF((CsDJ[JEV Number]=TRIM($T439))*(CsDJ[Account Code]=TRIM(K453)),CsDJ[Debit]))</f>
        <v>0</v>
      </c>
      <c r="O453" s="89">
        <f t="array" ref="O453">SUM(IF((CsDJ[JEV Number]=TRIM($T439))*(CsDJ[Account Code]=TRIM(K453)),CsDJ[Credit]))</f>
        <v>0</v>
      </c>
      <c r="P453" s="1200">
        <f t="shared" si="38"/>
        <v>0</v>
      </c>
      <c r="Q453" s="1200"/>
      <c r="R453" s="1200"/>
      <c r="S453" s="1200">
        <f t="shared" si="39"/>
        <v>0</v>
      </c>
      <c r="T453" s="1200"/>
      <c r="U453" s="1200"/>
      <c r="V453" s="1201"/>
    </row>
    <row r="454" spans="1:22">
      <c r="A454" s="1195"/>
      <c r="B454" s="1196"/>
      <c r="C454" s="1196"/>
      <c r="D454" s="1196"/>
      <c r="E454" s="1197" t="str">
        <f t="shared" si="36"/>
        <v/>
      </c>
      <c r="F454" s="1198"/>
      <c r="G454" s="1198"/>
      <c r="H454" s="1198"/>
      <c r="I454" s="1198"/>
      <c r="J454" s="1199"/>
      <c r="K454" s="133"/>
      <c r="L454" s="62" t="str">
        <f t="shared" si="37"/>
        <v/>
      </c>
      <c r="M454" s="14"/>
      <c r="N454" s="89">
        <f t="array" ref="N454">SUM(IF((CsDJ[JEV Number]=TRIM($T439))*(CsDJ[Account Code]=TRIM(K454)),CsDJ[Debit]))</f>
        <v>0</v>
      </c>
      <c r="O454" s="89">
        <f t="array" ref="O454">SUM(IF((CsDJ[JEV Number]=TRIM($T439))*(CsDJ[Account Code]=TRIM(K454)),CsDJ[Credit]))</f>
        <v>0</v>
      </c>
      <c r="P454" s="1200">
        <f t="shared" si="38"/>
        <v>0</v>
      </c>
      <c r="Q454" s="1200"/>
      <c r="R454" s="1200"/>
      <c r="S454" s="1200">
        <f t="shared" si="39"/>
        <v>0</v>
      </c>
      <c r="T454" s="1200"/>
      <c r="U454" s="1200"/>
      <c r="V454" s="1201"/>
    </row>
    <row r="455" spans="1:22">
      <c r="A455" s="1195"/>
      <c r="B455" s="1196"/>
      <c r="C455" s="1196"/>
      <c r="D455" s="1196"/>
      <c r="E455" s="1197" t="str">
        <f t="shared" si="36"/>
        <v/>
      </c>
      <c r="F455" s="1198"/>
      <c r="G455" s="1198"/>
      <c r="H455" s="1198"/>
      <c r="I455" s="1198"/>
      <c r="J455" s="1199"/>
      <c r="K455" s="133"/>
      <c r="L455" s="62" t="str">
        <f t="shared" si="37"/>
        <v/>
      </c>
      <c r="M455" s="14"/>
      <c r="N455" s="89">
        <f t="array" ref="N455">SUM(IF((CsDJ[JEV Number]=TRIM($T439))*(CsDJ[Account Code]=TRIM(K455)),CsDJ[Debit]))</f>
        <v>0</v>
      </c>
      <c r="O455" s="89">
        <f t="array" ref="O455">SUM(IF((CsDJ[JEV Number]=TRIM($T439))*(CsDJ[Account Code]=TRIM(K455)),CsDJ[Credit]))</f>
        <v>0</v>
      </c>
      <c r="P455" s="1200">
        <f t="shared" si="38"/>
        <v>0</v>
      </c>
      <c r="Q455" s="1200"/>
      <c r="R455" s="1200"/>
      <c r="S455" s="1200">
        <f t="shared" si="39"/>
        <v>0</v>
      </c>
      <c r="T455" s="1200"/>
      <c r="U455" s="1200"/>
      <c r="V455" s="1201"/>
    </row>
    <row r="456" spans="1:22">
      <c r="A456" s="1195"/>
      <c r="B456" s="1196"/>
      <c r="C456" s="1196"/>
      <c r="D456" s="1196"/>
      <c r="E456" s="1197" t="str">
        <f t="shared" si="36"/>
        <v/>
      </c>
      <c r="F456" s="1198"/>
      <c r="G456" s="1198"/>
      <c r="H456" s="1198"/>
      <c r="I456" s="1198"/>
      <c r="J456" s="1199"/>
      <c r="K456" s="133"/>
      <c r="L456" s="62" t="str">
        <f t="shared" si="37"/>
        <v/>
      </c>
      <c r="M456" s="14"/>
      <c r="N456" s="89">
        <f t="array" ref="N456">SUM(IF((CsDJ[JEV Number]=TRIM($T439))*(CsDJ[Account Code]=TRIM(K456)),CsDJ[Debit]))</f>
        <v>0</v>
      </c>
      <c r="O456" s="89">
        <f t="array" ref="O456">SUM(IF((CsDJ[JEV Number]=TRIM($T439))*(CsDJ[Account Code]=TRIM(K456)),CsDJ[Credit]))</f>
        <v>0</v>
      </c>
      <c r="P456" s="1200">
        <f t="shared" si="38"/>
        <v>0</v>
      </c>
      <c r="Q456" s="1200"/>
      <c r="R456" s="1200"/>
      <c r="S456" s="1200">
        <f t="shared" si="39"/>
        <v>0</v>
      </c>
      <c r="T456" s="1200"/>
      <c r="U456" s="1200"/>
      <c r="V456" s="1201"/>
    </row>
    <row r="457" spans="1:22">
      <c r="A457" s="1195"/>
      <c r="B457" s="1196"/>
      <c r="C457" s="1196"/>
      <c r="D457" s="1196"/>
      <c r="E457" s="1197" t="str">
        <f t="shared" si="36"/>
        <v/>
      </c>
      <c r="F457" s="1198"/>
      <c r="G457" s="1198"/>
      <c r="H457" s="1198"/>
      <c r="I457" s="1198"/>
      <c r="J457" s="1199"/>
      <c r="K457" s="133"/>
      <c r="L457" s="62" t="str">
        <f t="shared" si="37"/>
        <v/>
      </c>
      <c r="M457" s="14"/>
      <c r="N457" s="89">
        <f t="array" ref="N457">SUM(IF((CsDJ[JEV Number]=TRIM($T439))*(CsDJ[Account Code]=TRIM(K457)),CsDJ[Debit]))</f>
        <v>0</v>
      </c>
      <c r="O457" s="89">
        <f t="array" ref="O457">SUM(IF((CsDJ[JEV Number]=TRIM($T439))*(CsDJ[Account Code]=TRIM(K457)),CsDJ[Credit]))</f>
        <v>0</v>
      </c>
      <c r="P457" s="1200">
        <f t="shared" si="38"/>
        <v>0</v>
      </c>
      <c r="Q457" s="1200"/>
      <c r="R457" s="1200"/>
      <c r="S457" s="1200">
        <f t="shared" si="39"/>
        <v>0</v>
      </c>
      <c r="T457" s="1200"/>
      <c r="U457" s="1200"/>
      <c r="V457" s="1201"/>
    </row>
    <row r="458" spans="1:22">
      <c r="A458" s="1195"/>
      <c r="B458" s="1196"/>
      <c r="C458" s="1196"/>
      <c r="D458" s="1196"/>
      <c r="E458" s="1197" t="str">
        <f t="shared" si="36"/>
        <v/>
      </c>
      <c r="F458" s="1198"/>
      <c r="G458" s="1198"/>
      <c r="H458" s="1198"/>
      <c r="I458" s="1198"/>
      <c r="J458" s="1199"/>
      <c r="K458" s="134"/>
      <c r="L458" s="62" t="str">
        <f t="shared" si="37"/>
        <v/>
      </c>
      <c r="M458" s="14"/>
      <c r="N458" s="89">
        <f t="array" ref="N458">SUM(IF((CsDJ[JEV Number]=TRIM($T439))*(CsDJ[Account Code]=TRIM(K458)),CsDJ[Debit]))</f>
        <v>0</v>
      </c>
      <c r="O458" s="89">
        <f t="array" ref="O458">SUM(IF((CsDJ[JEV Number]=TRIM($T439))*(CsDJ[Account Code]=TRIM(K458)),CsDJ[Credit]))</f>
        <v>0</v>
      </c>
      <c r="P458" s="1200">
        <f t="shared" si="38"/>
        <v>0</v>
      </c>
      <c r="Q458" s="1200"/>
      <c r="R458" s="1200"/>
      <c r="S458" s="1200">
        <f t="shared" si="39"/>
        <v>0</v>
      </c>
      <c r="T458" s="1200"/>
      <c r="U458" s="1200"/>
      <c r="V458" s="1201"/>
    </row>
    <row r="459" spans="1:22">
      <c r="A459" s="1195"/>
      <c r="B459" s="1196"/>
      <c r="C459" s="1196"/>
      <c r="D459" s="1196"/>
      <c r="E459" s="1197" t="str">
        <f t="shared" si="36"/>
        <v/>
      </c>
      <c r="F459" s="1198"/>
      <c r="G459" s="1198"/>
      <c r="H459" s="1198"/>
      <c r="I459" s="1198"/>
      <c r="J459" s="1199"/>
      <c r="K459" s="134"/>
      <c r="L459" s="62" t="str">
        <f t="shared" si="37"/>
        <v/>
      </c>
      <c r="M459" s="14"/>
      <c r="N459" s="89">
        <f t="array" ref="N459">SUM(IF((CsDJ[JEV Number]=TRIM($T439))*(CsDJ[Account Code]=TRIM(K459)),CsDJ[Debit]))</f>
        <v>0</v>
      </c>
      <c r="O459" s="89">
        <f t="array" ref="O459">SUM(IF((CsDJ[JEV Number]=TRIM($T439))*(CsDJ[Account Code]=TRIM(K459)),CsDJ[Credit]))</f>
        <v>0</v>
      </c>
      <c r="P459" s="1200">
        <f t="shared" si="38"/>
        <v>0</v>
      </c>
      <c r="Q459" s="1200"/>
      <c r="R459" s="1200"/>
      <c r="S459" s="1200">
        <f t="shared" si="39"/>
        <v>0</v>
      </c>
      <c r="T459" s="1200"/>
      <c r="U459" s="1200"/>
      <c r="V459" s="1201"/>
    </row>
    <row r="460" spans="1:22">
      <c r="A460" s="1195"/>
      <c r="B460" s="1196"/>
      <c r="C460" s="1196"/>
      <c r="D460" s="1196"/>
      <c r="E460" s="1197" t="str">
        <f t="shared" si="36"/>
        <v/>
      </c>
      <c r="F460" s="1198"/>
      <c r="G460" s="1198"/>
      <c r="H460" s="1198"/>
      <c r="I460" s="1198"/>
      <c r="J460" s="1199"/>
      <c r="K460" s="134"/>
      <c r="L460" s="62" t="str">
        <f t="shared" si="37"/>
        <v/>
      </c>
      <c r="M460" s="14"/>
      <c r="N460" s="89">
        <f t="array" ref="N460">SUM(IF((CsDJ[JEV Number]=TRIM($T439))*(CsDJ[Account Code]=TRIM(K460)),CsDJ[Debit]))</f>
        <v>0</v>
      </c>
      <c r="O460" s="89">
        <f t="array" ref="O460">SUM(IF((CsDJ[JEV Number]=TRIM($T439))*(CsDJ[Account Code]=TRIM(K460)),CsDJ[Credit]))</f>
        <v>0</v>
      </c>
      <c r="P460" s="1200">
        <f t="shared" si="38"/>
        <v>0</v>
      </c>
      <c r="Q460" s="1200"/>
      <c r="R460" s="1200"/>
      <c r="S460" s="1200">
        <f t="shared" si="39"/>
        <v>0</v>
      </c>
      <c r="T460" s="1200"/>
      <c r="U460" s="1200"/>
      <c r="V460" s="1201"/>
    </row>
    <row r="461" spans="1:22">
      <c r="A461" s="1195"/>
      <c r="B461" s="1196"/>
      <c r="C461" s="1196"/>
      <c r="D461" s="1196"/>
      <c r="E461" s="1197" t="str">
        <f t="shared" si="36"/>
        <v/>
      </c>
      <c r="F461" s="1198"/>
      <c r="G461" s="1198"/>
      <c r="H461" s="1198"/>
      <c r="I461" s="1198"/>
      <c r="J461" s="1199"/>
      <c r="K461" s="134"/>
      <c r="L461" s="62" t="str">
        <f t="shared" si="37"/>
        <v/>
      </c>
      <c r="M461" s="14"/>
      <c r="N461" s="89">
        <f t="array" ref="N461">SUM(IF((CsDJ[JEV Number]=TRIM($T439))*(CsDJ[Account Code]=TRIM(K461)),CsDJ[Debit]))</f>
        <v>0</v>
      </c>
      <c r="O461" s="89">
        <f t="array" ref="O461">SUM(IF((CsDJ[JEV Number]=TRIM($T439))*(CsDJ[Account Code]=TRIM(K461)),CsDJ[Credit]))</f>
        <v>0</v>
      </c>
      <c r="P461" s="1200">
        <f t="shared" si="38"/>
        <v>0</v>
      </c>
      <c r="Q461" s="1200"/>
      <c r="R461" s="1200"/>
      <c r="S461" s="1200">
        <f t="shared" si="39"/>
        <v>0</v>
      </c>
      <c r="T461" s="1200"/>
      <c r="U461" s="1200"/>
      <c r="V461" s="1201"/>
    </row>
    <row r="462" spans="1:22">
      <c r="A462" s="1195"/>
      <c r="B462" s="1196"/>
      <c r="C462" s="1196"/>
      <c r="D462" s="1196"/>
      <c r="E462" s="1197" t="str">
        <f t="shared" si="36"/>
        <v/>
      </c>
      <c r="F462" s="1198"/>
      <c r="G462" s="1198"/>
      <c r="H462" s="1198"/>
      <c r="I462" s="1198"/>
      <c r="J462" s="1199"/>
      <c r="K462" s="134"/>
      <c r="L462" s="62" t="str">
        <f t="shared" si="37"/>
        <v/>
      </c>
      <c r="M462" s="14"/>
      <c r="N462" s="89">
        <f t="array" ref="N462">SUM(IF((CsDJ[JEV Number]=TRIM($T439))*(CsDJ[Account Code]=TRIM(K462)),CsDJ[Debit]))</f>
        <v>0</v>
      </c>
      <c r="O462" s="89">
        <f t="array" ref="O462">SUM(IF((CsDJ[JEV Number]=TRIM($T439))*(CsDJ[Account Code]=TRIM(K462)),CsDJ[Credit]))</f>
        <v>0</v>
      </c>
      <c r="P462" s="1200">
        <f t="shared" si="38"/>
        <v>0</v>
      </c>
      <c r="Q462" s="1200"/>
      <c r="R462" s="1200"/>
      <c r="S462" s="1200">
        <f t="shared" si="39"/>
        <v>0</v>
      </c>
      <c r="T462" s="1200"/>
      <c r="U462" s="1200"/>
      <c r="V462" s="1201"/>
    </row>
    <row r="463" spans="1:22">
      <c r="A463" s="1195"/>
      <c r="B463" s="1196"/>
      <c r="C463" s="1196"/>
      <c r="D463" s="1196"/>
      <c r="E463" s="1197" t="str">
        <f t="shared" si="36"/>
        <v/>
      </c>
      <c r="F463" s="1198"/>
      <c r="G463" s="1198"/>
      <c r="H463" s="1198"/>
      <c r="I463" s="1198"/>
      <c r="J463" s="1199"/>
      <c r="K463" s="134"/>
      <c r="L463" s="62" t="str">
        <f t="shared" si="37"/>
        <v/>
      </c>
      <c r="M463" s="14"/>
      <c r="N463" s="89">
        <f t="array" ref="N463">SUM(IF((CsDJ[JEV Number]=TRIM($T439))*(CsDJ[Account Code]=TRIM(K463)),CsDJ[Debit]))</f>
        <v>0</v>
      </c>
      <c r="O463" s="89">
        <f t="array" ref="O463">SUM(IF((CsDJ[JEV Number]=TRIM($T439))*(CsDJ[Account Code]=TRIM(K463)),CsDJ[Credit]))</f>
        <v>0</v>
      </c>
      <c r="P463" s="1200">
        <f t="shared" si="38"/>
        <v>0</v>
      </c>
      <c r="Q463" s="1200"/>
      <c r="R463" s="1200"/>
      <c r="S463" s="1200">
        <f t="shared" si="39"/>
        <v>0</v>
      </c>
      <c r="T463" s="1200"/>
      <c r="U463" s="1200"/>
      <c r="V463" s="1201"/>
    </row>
    <row r="464" spans="1:22">
      <c r="A464" s="1195"/>
      <c r="B464" s="1196"/>
      <c r="C464" s="1196"/>
      <c r="D464" s="1196"/>
      <c r="E464" s="1197" t="str">
        <f t="shared" si="36"/>
        <v/>
      </c>
      <c r="F464" s="1198"/>
      <c r="G464" s="1198"/>
      <c r="H464" s="1198"/>
      <c r="I464" s="1198"/>
      <c r="J464" s="1199"/>
      <c r="K464" s="134"/>
      <c r="L464" s="62" t="str">
        <f t="shared" si="37"/>
        <v/>
      </c>
      <c r="M464" s="14"/>
      <c r="N464" s="89">
        <f t="array" ref="N464">SUM(IF((CsDJ[JEV Number]=TRIM($T439))*(CsDJ[Account Code]=TRIM(K464)),CsDJ[Debit]))</f>
        <v>0</v>
      </c>
      <c r="O464" s="89">
        <f t="array" ref="O464">SUM(IF((CsDJ[JEV Number]=TRIM($T439))*(CsDJ[Account Code]=TRIM(K464)),CsDJ[Credit]))</f>
        <v>0</v>
      </c>
      <c r="P464" s="1200">
        <f t="shared" si="38"/>
        <v>0</v>
      </c>
      <c r="Q464" s="1200"/>
      <c r="R464" s="1200"/>
      <c r="S464" s="1200">
        <f t="shared" si="39"/>
        <v>0</v>
      </c>
      <c r="T464" s="1200"/>
      <c r="U464" s="1200"/>
      <c r="V464" s="1201"/>
    </row>
    <row r="465" spans="1:22">
      <c r="A465" s="1195"/>
      <c r="B465" s="1196"/>
      <c r="C465" s="1196"/>
      <c r="D465" s="1196"/>
      <c r="E465" s="1197" t="str">
        <f t="shared" si="36"/>
        <v/>
      </c>
      <c r="F465" s="1198"/>
      <c r="G465" s="1198"/>
      <c r="H465" s="1198"/>
      <c r="I465" s="1198"/>
      <c r="J465" s="1199"/>
      <c r="K465" s="134"/>
      <c r="L465" s="62" t="str">
        <f t="shared" si="37"/>
        <v/>
      </c>
      <c r="M465" s="14"/>
      <c r="N465" s="89">
        <f t="array" ref="N465">SUM(IF((CsDJ[JEV Number]=TRIM($T439))*(CsDJ[Account Code]=TRIM(K465)),CsDJ[Debit]))</f>
        <v>0</v>
      </c>
      <c r="O465" s="89">
        <f t="array" ref="O465">SUM(IF((CsDJ[JEV Number]=TRIM($T439))*(CsDJ[Account Code]=TRIM(K465)),CsDJ[Credit]))</f>
        <v>0</v>
      </c>
      <c r="P465" s="1200">
        <f t="shared" si="38"/>
        <v>0</v>
      </c>
      <c r="Q465" s="1200"/>
      <c r="R465" s="1200"/>
      <c r="S465" s="1200">
        <f t="shared" si="39"/>
        <v>0</v>
      </c>
      <c r="T465" s="1200"/>
      <c r="U465" s="1200"/>
      <c r="V465" s="1201"/>
    </row>
    <row r="466" spans="1:22">
      <c r="A466" s="1195"/>
      <c r="B466" s="1196"/>
      <c r="C466" s="1196"/>
      <c r="D466" s="1196"/>
      <c r="E466" s="1197" t="str">
        <f t="shared" si="36"/>
        <v/>
      </c>
      <c r="F466" s="1198"/>
      <c r="G466" s="1198"/>
      <c r="H466" s="1198"/>
      <c r="I466" s="1198"/>
      <c r="J466" s="1199"/>
      <c r="K466" s="134"/>
      <c r="L466" s="62" t="str">
        <f t="shared" si="37"/>
        <v/>
      </c>
      <c r="M466" s="14"/>
      <c r="N466" s="89">
        <f t="array" ref="N466">SUM(IF((CsDJ[JEV Number]=TRIM($T439))*(CsDJ[Account Code]=TRIM(K466)),CsDJ[Debit]))</f>
        <v>0</v>
      </c>
      <c r="O466" s="89">
        <f t="array" ref="O466">SUM(IF((CsDJ[JEV Number]=TRIM($T439))*(CsDJ[Account Code]=TRIM(K466)),CsDJ[Credit]))</f>
        <v>0</v>
      </c>
      <c r="P466" s="1200">
        <f t="shared" si="38"/>
        <v>0</v>
      </c>
      <c r="Q466" s="1200"/>
      <c r="R466" s="1200"/>
      <c r="S466" s="1200">
        <f t="shared" si="39"/>
        <v>0</v>
      </c>
      <c r="T466" s="1200"/>
      <c r="U466" s="1200"/>
      <c r="V466" s="1201"/>
    </row>
    <row r="467" spans="1:22">
      <c r="A467" s="1195"/>
      <c r="B467" s="1196"/>
      <c r="C467" s="1196"/>
      <c r="D467" s="1196"/>
      <c r="E467" s="1197" t="str">
        <f t="shared" si="36"/>
        <v/>
      </c>
      <c r="F467" s="1198"/>
      <c r="G467" s="1198"/>
      <c r="H467" s="1198"/>
      <c r="I467" s="1198"/>
      <c r="J467" s="1199"/>
      <c r="K467" s="134"/>
      <c r="L467" s="62" t="str">
        <f t="shared" si="37"/>
        <v/>
      </c>
      <c r="M467" s="14"/>
      <c r="N467" s="89">
        <f t="array" ref="N467">SUM(IF((CsDJ[JEV Number]=TRIM($T439))*(CsDJ[Account Code]=TRIM(K467)),CsDJ[Debit]))</f>
        <v>0</v>
      </c>
      <c r="O467" s="89">
        <f t="array" ref="O467">SUM(IF((CsDJ[JEV Number]=TRIM($T439))*(CsDJ[Account Code]=TRIM(K467)),CsDJ[Credit]))</f>
        <v>0</v>
      </c>
      <c r="P467" s="1200">
        <f t="shared" si="38"/>
        <v>0</v>
      </c>
      <c r="Q467" s="1200"/>
      <c r="R467" s="1200"/>
      <c r="S467" s="1200">
        <f t="shared" si="39"/>
        <v>0</v>
      </c>
      <c r="T467" s="1200"/>
      <c r="U467" s="1200"/>
      <c r="V467" s="1201"/>
    </row>
    <row r="468" spans="1:22">
      <c r="A468" s="1195"/>
      <c r="B468" s="1196"/>
      <c r="C468" s="1196"/>
      <c r="D468" s="1196"/>
      <c r="E468" s="1197" t="str">
        <f t="shared" si="36"/>
        <v/>
      </c>
      <c r="F468" s="1198"/>
      <c r="G468" s="1198"/>
      <c r="H468" s="1198"/>
      <c r="I468" s="1198"/>
      <c r="J468" s="1199"/>
      <c r="K468" s="134"/>
      <c r="L468" s="62" t="str">
        <f t="shared" si="37"/>
        <v/>
      </c>
      <c r="M468" s="14"/>
      <c r="N468" s="89">
        <f t="array" ref="N468">SUM(IF((CsDJ[JEV Number]=TRIM($T439))*(CsDJ[Account Code]=TRIM(K468)),CsDJ[Debit]))</f>
        <v>0</v>
      </c>
      <c r="O468" s="89">
        <f t="array" ref="O468">SUM(IF((CsDJ[JEV Number]=TRIM($T439))*(CsDJ[Account Code]=TRIM(K468)),CsDJ[Credit]))</f>
        <v>0</v>
      </c>
      <c r="P468" s="1200">
        <f t="shared" si="38"/>
        <v>0</v>
      </c>
      <c r="Q468" s="1200"/>
      <c r="R468" s="1200"/>
      <c r="S468" s="1200">
        <f t="shared" si="39"/>
        <v>0</v>
      </c>
      <c r="T468" s="1200"/>
      <c r="U468" s="1200"/>
      <c r="V468" s="1201"/>
    </row>
    <row r="469" spans="1:22">
      <c r="A469" s="1195"/>
      <c r="B469" s="1196"/>
      <c r="C469" s="1196"/>
      <c r="D469" s="1196"/>
      <c r="E469" s="1197" t="str">
        <f t="shared" si="36"/>
        <v/>
      </c>
      <c r="F469" s="1198"/>
      <c r="G469" s="1198"/>
      <c r="H469" s="1198"/>
      <c r="I469" s="1198"/>
      <c r="J469" s="1199"/>
      <c r="K469" s="134"/>
      <c r="L469" s="62" t="str">
        <f t="shared" si="37"/>
        <v/>
      </c>
      <c r="M469" s="14"/>
      <c r="N469" s="89">
        <f t="array" ref="N469">SUM(IF((CsDJ[JEV Number]=TRIM($T439))*(CsDJ[Account Code]=TRIM(K469)),CsDJ[Debit]))</f>
        <v>0</v>
      </c>
      <c r="O469" s="89">
        <f t="array" ref="O469">SUM(IF((CsDJ[JEV Number]=TRIM($T439))*(CsDJ[Account Code]=TRIM(K469)),CsDJ[Credit]))</f>
        <v>0</v>
      </c>
      <c r="P469" s="1200">
        <f t="shared" si="38"/>
        <v>0</v>
      </c>
      <c r="Q469" s="1200"/>
      <c r="R469" s="1200"/>
      <c r="S469" s="1200">
        <f t="shared" si="39"/>
        <v>0</v>
      </c>
      <c r="T469" s="1200"/>
      <c r="U469" s="1200"/>
      <c r="V469" s="1201"/>
    </row>
    <row r="470" spans="1:22">
      <c r="A470" s="1195"/>
      <c r="B470" s="1196"/>
      <c r="C470" s="1196"/>
      <c r="D470" s="1196"/>
      <c r="E470" s="1197" t="str">
        <f t="shared" si="36"/>
        <v/>
      </c>
      <c r="F470" s="1198"/>
      <c r="G470" s="1198"/>
      <c r="H470" s="1198"/>
      <c r="I470" s="1198"/>
      <c r="J470" s="1199"/>
      <c r="K470" s="134"/>
      <c r="L470" s="62" t="str">
        <f t="shared" si="37"/>
        <v/>
      </c>
      <c r="M470" s="14"/>
      <c r="N470" s="89">
        <f t="array" ref="N470">SUM(IF((CsDJ[JEV Number]=TRIM($T439))*(CsDJ[Account Code]=TRIM(K470)),CsDJ[Debit]))</f>
        <v>0</v>
      </c>
      <c r="O470" s="89">
        <f t="array" ref="O470">SUM(IF((CsDJ[JEV Number]=TRIM($T439))*(CsDJ[Account Code]=TRIM(K470)),CsDJ[Credit]))</f>
        <v>0</v>
      </c>
      <c r="P470" s="1200">
        <f t="shared" si="38"/>
        <v>0</v>
      </c>
      <c r="Q470" s="1200"/>
      <c r="R470" s="1200"/>
      <c r="S470" s="1200">
        <f t="shared" si="39"/>
        <v>0</v>
      </c>
      <c r="T470" s="1200"/>
      <c r="U470" s="1200"/>
      <c r="V470" s="1201"/>
    </row>
    <row r="471" spans="1:22">
      <c r="A471" s="1195"/>
      <c r="B471" s="1196"/>
      <c r="C471" s="1196"/>
      <c r="D471" s="1196"/>
      <c r="E471" s="1197" t="str">
        <f t="shared" si="36"/>
        <v/>
      </c>
      <c r="F471" s="1198"/>
      <c r="G471" s="1198"/>
      <c r="H471" s="1198"/>
      <c r="I471" s="1198"/>
      <c r="J471" s="1199"/>
      <c r="K471" s="134"/>
      <c r="L471" s="62" t="str">
        <f t="shared" si="37"/>
        <v/>
      </c>
      <c r="M471" s="14"/>
      <c r="N471" s="89">
        <f t="array" ref="N471">SUM(IF((CsDJ[JEV Number]=TRIM($T439))*(CsDJ[Account Code]=TRIM(K471)),CsDJ[Debit]))</f>
        <v>0</v>
      </c>
      <c r="O471" s="89">
        <f t="array" ref="O471">SUM(IF((CsDJ[JEV Number]=TRIM($T439))*(CsDJ[Account Code]=TRIM(K471)),CsDJ[Credit]))</f>
        <v>0</v>
      </c>
      <c r="P471" s="1200">
        <f t="shared" si="38"/>
        <v>0</v>
      </c>
      <c r="Q471" s="1200"/>
      <c r="R471" s="1200"/>
      <c r="S471" s="1200">
        <f t="shared" si="39"/>
        <v>0</v>
      </c>
      <c r="T471" s="1200"/>
      <c r="U471" s="1200"/>
      <c r="V471" s="1201"/>
    </row>
    <row r="472" spans="1:22">
      <c r="A472" s="1195"/>
      <c r="B472" s="1196"/>
      <c r="C472" s="1196"/>
      <c r="D472" s="1196"/>
      <c r="E472" s="1197" t="str">
        <f t="shared" si="36"/>
        <v/>
      </c>
      <c r="F472" s="1198"/>
      <c r="G472" s="1198"/>
      <c r="H472" s="1198"/>
      <c r="I472" s="1198"/>
      <c r="J472" s="1199"/>
      <c r="K472" s="134"/>
      <c r="L472" s="62" t="str">
        <f t="shared" si="37"/>
        <v/>
      </c>
      <c r="M472" s="14"/>
      <c r="N472" s="89">
        <f t="array" ref="N472">SUM(IF((CsDJ[JEV Number]=TRIM($T439))*(CsDJ[Account Code]=TRIM(K472)),CsDJ[Debit]))</f>
        <v>0</v>
      </c>
      <c r="O472" s="89">
        <f t="array" ref="O472">SUM(IF((CsDJ[JEV Number]=TRIM($T439))*(CsDJ[Account Code]=TRIM(K472)),CsDJ[Credit]))</f>
        <v>0</v>
      </c>
      <c r="P472" s="1200">
        <f t="shared" si="38"/>
        <v>0</v>
      </c>
      <c r="Q472" s="1200"/>
      <c r="R472" s="1200"/>
      <c r="S472" s="1200">
        <f t="shared" si="39"/>
        <v>0</v>
      </c>
      <c r="T472" s="1200"/>
      <c r="U472" s="1200"/>
      <c r="V472" s="1201"/>
    </row>
    <row r="473" spans="1:22">
      <c r="A473" s="1195"/>
      <c r="B473" s="1196"/>
      <c r="C473" s="1196"/>
      <c r="D473" s="1196"/>
      <c r="E473" s="1257" t="s">
        <v>468</v>
      </c>
      <c r="F473" s="1258"/>
      <c r="G473" s="1258"/>
      <c r="H473" s="1258"/>
      <c r="I473" s="1258"/>
      <c r="J473" s="1259"/>
      <c r="K473" s="133"/>
      <c r="L473" s="62" t="str">
        <f t="shared" si="37"/>
        <v/>
      </c>
      <c r="M473" s="14"/>
      <c r="N473" s="89">
        <f t="array" ref="N473">SUM(IF((CsDJ[JEV Number]=TRIM($T439))*(CsDJ[Account Code]=TRIM(K473)),CsDJ[Debit]))</f>
        <v>0</v>
      </c>
      <c r="O473" s="89">
        <f t="array" ref="O473">SUM(IF((CsDJ[JEV Number]=TRIM($T439))*(CsDJ[Account Code]=TRIM(K473)),CsDJ[Credit]))</f>
        <v>0</v>
      </c>
      <c r="P473" s="1200">
        <f t="shared" si="38"/>
        <v>0</v>
      </c>
      <c r="Q473" s="1200"/>
      <c r="R473" s="1200"/>
      <c r="S473" s="1200">
        <f t="shared" si="39"/>
        <v>0</v>
      </c>
      <c r="T473" s="1200"/>
      <c r="U473" s="1200"/>
      <c r="V473" s="1201"/>
    </row>
    <row r="474" spans="1:22">
      <c r="A474" s="1195"/>
      <c r="B474" s="1196"/>
      <c r="C474" s="1196"/>
      <c r="D474" s="1196"/>
      <c r="E474" s="1202" t="s">
        <v>457</v>
      </c>
      <c r="F474" s="1203"/>
      <c r="G474" s="1203"/>
      <c r="H474" s="1203"/>
      <c r="I474" s="1207">
        <f>T440</f>
        <v>0</v>
      </c>
      <c r="J474" s="1208"/>
      <c r="K474" s="133"/>
      <c r="L474" s="62" t="str">
        <f t="shared" si="37"/>
        <v/>
      </c>
      <c r="M474" s="14"/>
      <c r="N474" s="89">
        <f t="array" ref="N474">SUM(IF((CsDJ[JEV Number]=TRIM($T439))*(CsDJ[Account Code]=TRIM(K474)),CsDJ[Debit]))</f>
        <v>0</v>
      </c>
      <c r="O474" s="89">
        <f t="array" ref="O474">SUM(IF((CsDJ[JEV Number]=TRIM($T439))*(CsDJ[Account Code]=TRIM(K474)),CsDJ[Credit]))</f>
        <v>0</v>
      </c>
      <c r="P474" s="1200">
        <f t="shared" si="38"/>
        <v>0</v>
      </c>
      <c r="Q474" s="1200"/>
      <c r="R474" s="1200"/>
      <c r="S474" s="1200">
        <f t="shared" si="39"/>
        <v>0</v>
      </c>
      <c r="T474" s="1200"/>
      <c r="U474" s="1200"/>
      <c r="V474" s="1201"/>
    </row>
    <row r="475" spans="1:22">
      <c r="A475" s="1195"/>
      <c r="B475" s="1196"/>
      <c r="C475" s="1196"/>
      <c r="D475" s="1196"/>
      <c r="E475" s="1202" t="s">
        <v>458</v>
      </c>
      <c r="F475" s="1203"/>
      <c r="G475" s="1203"/>
      <c r="H475" s="1203"/>
      <c r="I475" s="1263">
        <f>IF(T439=0,0,(IF(LOOKUP(T439,CsDJ[JEV Number],CsDJ[Sort Code])="1","MA. VIVIAN C. SALAS",IF(LOOKUP(T439,CsDJ[JEV Number],CsDJ[Sort Code])="2","LUZ R. DE COZAR",IF(LOOKUP(T439,CsDJ[JEV Number],CsDJ[Sort Code])="3","MINEONETTE A. DELA CRUZ",IF(LOOKUP(T439,CsDJ[JEV Number],CsDJ[Sort Code])="4","RESELLA B. LOPEZ"))))))</f>
        <v>0</v>
      </c>
      <c r="J475" s="1264"/>
      <c r="K475" s="133"/>
      <c r="L475" s="62" t="str">
        <f t="shared" si="37"/>
        <v/>
      </c>
      <c r="M475" s="14"/>
      <c r="N475" s="89">
        <f t="array" ref="N475">SUM(IF((CsDJ[JEV Number]=TRIM($T439))*(CsDJ[Account Code]=TRIM(K475)),CsDJ[Debit]))</f>
        <v>0</v>
      </c>
      <c r="O475" s="89">
        <f t="array" ref="O475">SUM(IF((CsDJ[JEV Number]=TRIM($T439))*(CsDJ[Account Code]=TRIM(K475)),CsDJ[Credit]))</f>
        <v>0</v>
      </c>
      <c r="P475" s="1200">
        <f t="shared" si="38"/>
        <v>0</v>
      </c>
      <c r="Q475" s="1200"/>
      <c r="R475" s="1200"/>
      <c r="S475" s="1200">
        <f t="shared" si="39"/>
        <v>0</v>
      </c>
      <c r="T475" s="1200"/>
      <c r="U475" s="1200"/>
      <c r="V475" s="1201"/>
    </row>
    <row r="476" spans="1:22">
      <c r="A476" s="1195"/>
      <c r="B476" s="1196"/>
      <c r="C476" s="1196"/>
      <c r="D476" s="1196"/>
      <c r="E476" s="1202" t="s">
        <v>459</v>
      </c>
      <c r="F476" s="1203"/>
      <c r="G476" s="1203"/>
      <c r="H476" s="1203"/>
      <c r="I476" s="1204">
        <f>IF(I475="Ma. Vivian C. Salas","Regional Office", IF(I475="Luz R. De Cozar","BANE IMO", IF(I475="Mineonette A. Dela Cruz","PAMBAT IMO", IF(I475="Resella B. Lopez","TARZAM IMO",0))))</f>
        <v>0</v>
      </c>
      <c r="J476" s="1205"/>
      <c r="K476" s="133"/>
      <c r="L476" s="62" t="str">
        <f t="shared" si="37"/>
        <v/>
      </c>
      <c r="M476" s="14"/>
      <c r="N476" s="89">
        <f t="array" ref="N476">SUM(IF((CsDJ[JEV Number]=TRIM($T439))*(CsDJ[Account Code]=TRIM(K476)),CsDJ[Debit]))</f>
        <v>0</v>
      </c>
      <c r="O476" s="89">
        <f t="array" ref="O476">SUM(IF((CsDJ[JEV Number]=TRIM($T439))*(CsDJ[Account Code]=TRIM(K476)),CsDJ[Credit]))</f>
        <v>0</v>
      </c>
      <c r="P476" s="1200">
        <f t="shared" si="38"/>
        <v>0</v>
      </c>
      <c r="Q476" s="1200"/>
      <c r="R476" s="1200"/>
      <c r="S476" s="1200">
        <f t="shared" si="39"/>
        <v>0</v>
      </c>
      <c r="T476" s="1200"/>
      <c r="U476" s="1200"/>
      <c r="V476" s="1201"/>
    </row>
    <row r="477" spans="1:22">
      <c r="A477" s="1195"/>
      <c r="B477" s="1196"/>
      <c r="C477" s="1196"/>
      <c r="D477" s="1196"/>
      <c r="E477" s="1202"/>
      <c r="F477" s="1203"/>
      <c r="G477" s="1203"/>
      <c r="H477" s="1203"/>
      <c r="I477" s="1203"/>
      <c r="J477" s="1206"/>
      <c r="K477" s="133"/>
      <c r="L477" s="62" t="str">
        <f t="shared" si="37"/>
        <v/>
      </c>
      <c r="M477" s="14"/>
      <c r="N477" s="89">
        <f t="array" ref="N477">SUM(IF((CsDJ[JEV Number]=TRIM($T439))*(CsDJ[Account Code]=TRIM(K477)),CsDJ[Debit]))</f>
        <v>0</v>
      </c>
      <c r="O477" s="89">
        <f t="array" ref="O477">SUM(IF((CsDJ[JEV Number]=TRIM($T439))*(CsDJ[Account Code]=TRIM(K477)),CsDJ[Credit]))</f>
        <v>0</v>
      </c>
      <c r="P477" s="1200">
        <f t="shared" si="38"/>
        <v>0</v>
      </c>
      <c r="Q477" s="1200"/>
      <c r="R477" s="1200"/>
      <c r="S477" s="1200">
        <f t="shared" si="39"/>
        <v>0</v>
      </c>
      <c r="T477" s="1200"/>
      <c r="U477" s="1200"/>
      <c r="V477" s="1201"/>
    </row>
    <row r="478" spans="1:22" ht="16.5" thickBot="1">
      <c r="A478" s="1188"/>
      <c r="B478" s="1189"/>
      <c r="C478" s="1189"/>
      <c r="D478" s="1189"/>
      <c r="E478" s="1189"/>
      <c r="F478" s="1189"/>
      <c r="G478" s="1189"/>
      <c r="H478" s="1189"/>
      <c r="I478" s="1189"/>
      <c r="J478" s="1189"/>
      <c r="K478" s="1189"/>
      <c r="L478" s="1189"/>
      <c r="M478" s="1190"/>
      <c r="N478" s="88"/>
      <c r="O478" s="88"/>
      <c r="P478" s="1191">
        <f>SUM(P448:R477)</f>
        <v>0</v>
      </c>
      <c r="Q478" s="1191"/>
      <c r="R478" s="1191"/>
      <c r="S478" s="1191">
        <f>SUM(S448:V477)</f>
        <v>0</v>
      </c>
      <c r="T478" s="1191"/>
      <c r="U478" s="1191"/>
      <c r="V478" s="1192"/>
    </row>
    <row r="479" spans="1:22">
      <c r="A479" s="63"/>
      <c r="B479" s="64"/>
      <c r="C479" s="64"/>
      <c r="D479" s="64"/>
      <c r="E479" s="64"/>
      <c r="F479" s="64"/>
      <c r="G479" s="64"/>
      <c r="H479" s="64"/>
      <c r="I479" s="65"/>
      <c r="J479" s="64"/>
      <c r="K479" s="66"/>
      <c r="L479" s="64"/>
      <c r="M479" s="65"/>
      <c r="N479" s="64"/>
      <c r="O479" s="64"/>
      <c r="P479" s="1193"/>
      <c r="Q479" s="1193"/>
      <c r="R479" s="1193"/>
      <c r="S479" s="1193"/>
      <c r="T479" s="1193"/>
      <c r="U479" s="1193"/>
      <c r="V479" s="1194"/>
    </row>
    <row r="480" spans="1:22">
      <c r="A480" s="67" t="s">
        <v>460</v>
      </c>
      <c r="B480"/>
      <c r="C480"/>
      <c r="D480"/>
      <c r="E480"/>
      <c r="F480"/>
      <c r="G480"/>
      <c r="H480"/>
      <c r="I480" s="68" t="s">
        <v>353</v>
      </c>
      <c r="J480" s="69"/>
      <c r="K480" s="69"/>
      <c r="L480"/>
      <c r="M480" s="68" t="s">
        <v>461</v>
      </c>
      <c r="N480" s="69"/>
      <c r="O480" s="69"/>
      <c r="P480" s="70"/>
      <c r="Q480" s="70"/>
      <c r="R480" s="70"/>
      <c r="S480" s="70"/>
      <c r="T480" s="70"/>
      <c r="U480" s="70"/>
      <c r="V480" s="71"/>
    </row>
    <row r="481" spans="1:22">
      <c r="A481" s="37"/>
      <c r="B481"/>
      <c r="C481"/>
      <c r="D481"/>
      <c r="E481"/>
      <c r="F481"/>
      <c r="G481"/>
      <c r="H481"/>
      <c r="I481" s="72"/>
      <c r="J481"/>
      <c r="K481"/>
      <c r="L481"/>
      <c r="M481" s="72"/>
      <c r="N481"/>
      <c r="O481"/>
      <c r="P481"/>
      <c r="Q481"/>
      <c r="R481"/>
      <c r="S481"/>
      <c r="T481"/>
      <c r="U481"/>
      <c r="V481" s="73"/>
    </row>
    <row r="482" spans="1:22">
      <c r="A482" s="74" t="s">
        <v>462</v>
      </c>
      <c r="B482" s="75"/>
      <c r="C482" s="75"/>
      <c r="D482" s="75"/>
      <c r="E482" s="75"/>
      <c r="F482" s="75"/>
      <c r="G482" s="75"/>
      <c r="H482" s="76"/>
      <c r="I482" s="77" t="s">
        <v>380</v>
      </c>
      <c r="J482" s="75"/>
      <c r="K482" s="75"/>
      <c r="L482" s="76"/>
      <c r="M482" s="77" t="s">
        <v>3</v>
      </c>
      <c r="N482" s="75"/>
      <c r="O482" s="75"/>
      <c r="P482" s="75"/>
      <c r="Q482" s="75"/>
      <c r="R482" s="75"/>
      <c r="S482" s="75"/>
      <c r="T482" s="75"/>
      <c r="U482" s="75"/>
      <c r="V482" s="78"/>
    </row>
    <row r="483" spans="1:22">
      <c r="A483" s="79" t="s">
        <v>463</v>
      </c>
      <c r="B483" s="80"/>
      <c r="C483" s="80"/>
      <c r="D483" s="80"/>
      <c r="E483" s="80"/>
      <c r="F483" s="80"/>
      <c r="G483" s="80"/>
      <c r="H483" s="80"/>
      <c r="I483" s="81" t="s">
        <v>381</v>
      </c>
      <c r="J483" s="80"/>
      <c r="K483" s="80"/>
      <c r="L483" s="80"/>
      <c r="M483" s="81" t="s">
        <v>464</v>
      </c>
      <c r="N483" s="80"/>
      <c r="O483" s="80"/>
      <c r="P483" s="82"/>
      <c r="Q483" s="82"/>
      <c r="R483" s="82"/>
      <c r="S483" s="82"/>
      <c r="T483" s="82"/>
      <c r="U483" s="82"/>
      <c r="V483" s="83"/>
    </row>
    <row r="484" spans="1:22" ht="16.5" thickBot="1">
      <c r="A484" s="84" t="s">
        <v>465</v>
      </c>
      <c r="B484" s="43"/>
      <c r="C484" s="43"/>
      <c r="D484" s="43"/>
      <c r="E484" s="43"/>
      <c r="F484" s="43"/>
      <c r="G484" s="43"/>
      <c r="H484" s="43"/>
      <c r="I484" s="85"/>
      <c r="J484" s="43"/>
      <c r="K484" s="43"/>
      <c r="L484" s="43"/>
      <c r="M484" s="85"/>
      <c r="N484" s="43"/>
      <c r="O484" s="43"/>
      <c r="P484" s="43"/>
      <c r="Q484" s="43"/>
      <c r="R484" s="43"/>
      <c r="S484" s="43"/>
      <c r="T484" s="43"/>
      <c r="U484" s="43"/>
      <c r="V484" s="44"/>
    </row>
    <row r="485" spans="1:22" ht="22.5">
      <c r="A485" s="31" t="s">
        <v>441</v>
      </c>
      <c r="B485" s="32"/>
      <c r="C485" s="32"/>
      <c r="D485" s="32"/>
      <c r="E485" s="32"/>
      <c r="F485" s="32"/>
      <c r="G485" s="32"/>
      <c r="H485" s="32"/>
      <c r="I485" s="32"/>
      <c r="J485" s="32"/>
      <c r="K485" s="32"/>
      <c r="L485" s="32"/>
      <c r="M485" s="32"/>
      <c r="N485" s="32"/>
      <c r="O485" s="32"/>
      <c r="P485" s="32"/>
      <c r="Q485" s="33"/>
      <c r="R485" s="1218">
        <f>+P525-S525</f>
        <v>0</v>
      </c>
      <c r="S485" s="1219"/>
      <c r="T485" s="1219"/>
      <c r="U485" s="1219"/>
      <c r="V485" s="1220"/>
    </row>
    <row r="486" spans="1:22">
      <c r="A486" s="34" t="s">
        <v>442</v>
      </c>
      <c r="B486" s="35"/>
      <c r="C486" s="35"/>
      <c r="D486" s="35"/>
      <c r="E486" s="35"/>
      <c r="F486" s="35"/>
      <c r="G486" s="35"/>
      <c r="H486" s="35"/>
      <c r="I486" s="35"/>
      <c r="J486" s="35"/>
      <c r="K486" s="35"/>
      <c r="L486" s="35"/>
      <c r="M486" s="35"/>
      <c r="N486" s="35"/>
      <c r="O486" s="35"/>
      <c r="P486" s="35"/>
      <c r="Q486" s="36"/>
      <c r="R486" s="37" t="s">
        <v>443</v>
      </c>
      <c r="S486"/>
      <c r="T486" s="1221"/>
      <c r="U486" s="1221"/>
      <c r="V486" s="1222"/>
    </row>
    <row r="487" spans="1:22">
      <c r="A487" s="38" t="s">
        <v>444</v>
      </c>
      <c r="B487" s="35"/>
      <c r="C487" s="35"/>
      <c r="D487" s="35"/>
      <c r="E487" s="35"/>
      <c r="F487" s="35"/>
      <c r="G487" s="35"/>
      <c r="H487" s="35"/>
      <c r="I487" s="35"/>
      <c r="J487" s="35"/>
      <c r="K487" s="35"/>
      <c r="L487" s="35"/>
      <c r="M487" s="35"/>
      <c r="N487" s="35"/>
      <c r="O487" s="35"/>
      <c r="P487" s="35"/>
      <c r="Q487" s="36"/>
      <c r="R487" s="37" t="s">
        <v>0</v>
      </c>
      <c r="S487"/>
      <c r="T487" s="1223">
        <f>IF(T486=0,0,(LOOKUP(T486,CsDJ[JEV Number],CsDJ[Date])))</f>
        <v>0</v>
      </c>
      <c r="U487" s="1223"/>
      <c r="V487" s="1224"/>
    </row>
    <row r="488" spans="1:22" ht="16.5" thickBot="1">
      <c r="A488" s="39"/>
      <c r="B488" s="40"/>
      <c r="C488" s="40"/>
      <c r="D488" s="40"/>
      <c r="E488" s="40"/>
      <c r="F488" s="40"/>
      <c r="G488" s="40"/>
      <c r="H488" s="40"/>
      <c r="I488" s="40"/>
      <c r="J488" s="40"/>
      <c r="K488" s="40"/>
      <c r="L488" s="40"/>
      <c r="M488" s="40"/>
      <c r="N488" s="40"/>
      <c r="O488" s="40"/>
      <c r="P488" s="40"/>
      <c r="Q488" s="41"/>
      <c r="R488" s="42"/>
      <c r="S488" s="43"/>
      <c r="T488" s="43"/>
      <c r="U488" s="43"/>
      <c r="V488" s="44"/>
    </row>
    <row r="489" spans="1:22">
      <c r="A489" s="45"/>
      <c r="B489" s="46"/>
      <c r="C489" s="46"/>
      <c r="D489" s="46"/>
      <c r="E489" s="46"/>
      <c r="F489" s="46"/>
      <c r="G489" s="46"/>
      <c r="H489" s="46"/>
      <c r="I489" s="46"/>
      <c r="J489" s="46"/>
      <c r="K489" s="46"/>
      <c r="L489" s="47"/>
      <c r="M489" s="46"/>
      <c r="N489" s="46"/>
      <c r="O489" s="46"/>
      <c r="P489" s="46"/>
      <c r="Q489" s="46"/>
      <c r="R489" s="46"/>
      <c r="S489" s="46"/>
      <c r="T489" s="46"/>
      <c r="U489" s="46"/>
      <c r="V489" s="48"/>
    </row>
    <row r="490" spans="1:22">
      <c r="A490" s="49"/>
      <c r="B490" s="1225"/>
      <c r="C490" s="1225"/>
      <c r="D490" s="50" t="s">
        <v>445</v>
      </c>
      <c r="H490" s="51"/>
      <c r="I490" s="25" t="s">
        <v>447</v>
      </c>
      <c r="J490" s="132" t="s">
        <v>446</v>
      </c>
      <c r="K490" s="52" t="s">
        <v>448</v>
      </c>
      <c r="L490" s="52"/>
      <c r="Q490" s="1225"/>
      <c r="R490" s="1225"/>
      <c r="S490" s="50" t="s">
        <v>449</v>
      </c>
      <c r="T490" s="50"/>
      <c r="U490" s="50"/>
      <c r="V490" s="53"/>
    </row>
    <row r="491" spans="1:22" ht="16.5" thickBot="1">
      <c r="A491" s="54"/>
      <c r="B491" s="55"/>
      <c r="C491" s="55"/>
      <c r="D491" s="55"/>
      <c r="E491" s="55"/>
      <c r="F491" s="55"/>
      <c r="G491" s="55"/>
      <c r="H491" s="55"/>
      <c r="I491" s="55"/>
      <c r="J491" s="55"/>
      <c r="K491" s="55"/>
      <c r="L491" s="56"/>
      <c r="M491" s="55"/>
      <c r="N491" s="55"/>
      <c r="O491" s="55"/>
      <c r="P491" s="55"/>
      <c r="Q491" s="55"/>
      <c r="R491" s="55"/>
      <c r="S491" s="55"/>
      <c r="T491" s="55"/>
      <c r="U491" s="55"/>
      <c r="V491" s="57"/>
    </row>
    <row r="492" spans="1:22">
      <c r="A492" s="1226" t="s">
        <v>397</v>
      </c>
      <c r="B492" s="1227"/>
      <c r="C492" s="1227"/>
      <c r="D492" s="1228"/>
      <c r="E492" s="1235" t="s">
        <v>450</v>
      </c>
      <c r="F492" s="1235"/>
      <c r="G492" s="1235"/>
      <c r="H492" s="1235"/>
      <c r="I492" s="1235"/>
      <c r="J492" s="1235"/>
      <c r="K492" s="1235"/>
      <c r="L492" s="1235"/>
      <c r="M492" s="1235"/>
      <c r="N492" s="1235"/>
      <c r="O492" s="1235"/>
      <c r="P492" s="1235"/>
      <c r="Q492" s="1235"/>
      <c r="R492" s="1235"/>
      <c r="S492" s="1235"/>
      <c r="T492" s="1235"/>
      <c r="U492" s="1235"/>
      <c r="V492" s="1236"/>
    </row>
    <row r="493" spans="1:22">
      <c r="A493" s="1229"/>
      <c r="B493" s="1230"/>
      <c r="C493" s="1230"/>
      <c r="D493" s="1231"/>
      <c r="E493" s="1237" t="s">
        <v>451</v>
      </c>
      <c r="F493" s="1237"/>
      <c r="G493" s="1237"/>
      <c r="H493" s="1237"/>
      <c r="I493" s="1237"/>
      <c r="J493" s="1237"/>
      <c r="K493" s="1239" t="s">
        <v>378</v>
      </c>
      <c r="L493" s="1239"/>
      <c r="M493" s="1237" t="s">
        <v>452</v>
      </c>
      <c r="N493" s="1240" t="s">
        <v>453</v>
      </c>
      <c r="O493" s="1241"/>
      <c r="P493" s="1241"/>
      <c r="Q493" s="1241"/>
      <c r="R493" s="1241"/>
      <c r="S493" s="1241"/>
      <c r="T493" s="1241"/>
      <c r="U493" s="1241"/>
      <c r="V493" s="1242"/>
    </row>
    <row r="494" spans="1:22" ht="16.5" customHeight="1" thickBot="1">
      <c r="A494" s="1232"/>
      <c r="B494" s="1233"/>
      <c r="C494" s="1233"/>
      <c r="D494" s="1234"/>
      <c r="E494" s="1238"/>
      <c r="F494" s="1238"/>
      <c r="G494" s="1238"/>
      <c r="H494" s="1238"/>
      <c r="I494" s="1238"/>
      <c r="J494" s="1238"/>
      <c r="K494" s="58" t="s">
        <v>454</v>
      </c>
      <c r="L494" s="58" t="s">
        <v>455</v>
      </c>
      <c r="M494" s="1238"/>
      <c r="N494" s="87" t="s">
        <v>466</v>
      </c>
      <c r="O494" s="87" t="s">
        <v>467</v>
      </c>
      <c r="P494" s="1243" t="s">
        <v>1</v>
      </c>
      <c r="Q494" s="1244"/>
      <c r="R494" s="1245"/>
      <c r="S494" s="1243" t="s">
        <v>2</v>
      </c>
      <c r="T494" s="1244"/>
      <c r="U494" s="1244"/>
      <c r="V494" s="1246"/>
    </row>
    <row r="495" spans="1:22" ht="19.5">
      <c r="A495" s="1210">
        <f>P525-S525</f>
        <v>0</v>
      </c>
      <c r="B495" s="1211"/>
      <c r="C495" s="1211"/>
      <c r="D495" s="1211"/>
      <c r="E495" s="1212" t="str">
        <f>Account!$G$1</f>
        <v>FUND 501 CARP</v>
      </c>
      <c r="F495" s="1213"/>
      <c r="G495" s="1213"/>
      <c r="H495" s="1213"/>
      <c r="I495" s="1213"/>
      <c r="J495" s="1214"/>
      <c r="K495" s="59"/>
      <c r="L495" s="59"/>
      <c r="M495" s="60"/>
      <c r="N495" s="60"/>
      <c r="O495" s="60"/>
      <c r="P495" s="1215"/>
      <c r="Q495" s="1215"/>
      <c r="R495" s="1215"/>
      <c r="S495" s="1215"/>
      <c r="T495" s="1215"/>
      <c r="U495" s="1215"/>
      <c r="V495" s="1216"/>
    </row>
    <row r="496" spans="1:22">
      <c r="A496" s="1195"/>
      <c r="B496" s="1196"/>
      <c r="C496" s="1196"/>
      <c r="D496" s="1196"/>
      <c r="E496" s="1196"/>
      <c r="F496" s="1196"/>
      <c r="G496" s="1196"/>
      <c r="H496" s="1196"/>
      <c r="I496" s="1196"/>
      <c r="J496" s="1196"/>
      <c r="K496" s="61"/>
      <c r="L496" s="61"/>
      <c r="M496" s="14"/>
      <c r="N496" s="14"/>
      <c r="O496" s="14"/>
      <c r="P496" s="1196"/>
      <c r="Q496" s="1196"/>
      <c r="R496" s="1196"/>
      <c r="S496" s="1196"/>
      <c r="T496" s="1196"/>
      <c r="U496" s="1196"/>
      <c r="V496" s="1217"/>
    </row>
    <row r="497" spans="1:22">
      <c r="A497" s="1195"/>
      <c r="B497" s="1196"/>
      <c r="C497" s="1196"/>
      <c r="D497" s="1196"/>
      <c r="E497" s="1197" t="str">
        <f t="shared" ref="E497:E519" si="40">IF(K497=0,"",(VLOOKUP((TRIM(K497)),Code,2,)))</f>
        <v/>
      </c>
      <c r="F497" s="1198"/>
      <c r="G497" s="1198"/>
      <c r="H497" s="1198"/>
      <c r="I497" s="1198"/>
      <c r="J497" s="1199"/>
      <c r="K497" s="133"/>
      <c r="L497" s="62" t="str">
        <f t="shared" ref="L497:L524" si="41">IF(K497=0,"",VLOOKUP((TRIM(K497)),Code,3,))</f>
        <v/>
      </c>
      <c r="M497" s="14"/>
      <c r="N497" s="89">
        <f t="array" ref="N497">SUM(IF((CsDJ[JEV Number]=TRIM($T486))*(CsDJ[Account Code]=TRIM(K497)),CsDJ[Debit]))</f>
        <v>0</v>
      </c>
      <c r="O497" s="89">
        <f t="array" ref="O497">SUM(IF((CsDJ[JEV Number]=TRIM($T486))*(CsDJ[Account Code]=TRIM(K497)),CsDJ[Credit]))</f>
        <v>0</v>
      </c>
      <c r="P497" s="1200">
        <f>N497</f>
        <v>0</v>
      </c>
      <c r="Q497" s="1200"/>
      <c r="R497" s="1200"/>
      <c r="S497" s="1200">
        <f>O497</f>
        <v>0</v>
      </c>
      <c r="T497" s="1200"/>
      <c r="U497" s="1200"/>
      <c r="V497" s="1201"/>
    </row>
    <row r="498" spans="1:22">
      <c r="A498" s="1195"/>
      <c r="B498" s="1196"/>
      <c r="C498" s="1196"/>
      <c r="D498" s="1196"/>
      <c r="E498" s="1197" t="str">
        <f t="shared" si="40"/>
        <v/>
      </c>
      <c r="F498" s="1198"/>
      <c r="G498" s="1198"/>
      <c r="H498" s="1198"/>
      <c r="I498" s="1198"/>
      <c r="J498" s="1199"/>
      <c r="K498" s="133"/>
      <c r="L498" s="62" t="str">
        <f t="shared" si="41"/>
        <v/>
      </c>
      <c r="M498" s="14"/>
      <c r="N498" s="89">
        <f t="array" ref="N498">SUM(IF((CsDJ[JEV Number]=TRIM($T486))*(CsDJ[Account Code]=TRIM(K498)),CsDJ[Debit]))</f>
        <v>0</v>
      </c>
      <c r="O498" s="89">
        <f t="array" ref="O498">SUM(IF((CsDJ[JEV Number]=TRIM($T486))*(CsDJ[Account Code]=TRIM(K498)),CsDJ[Credit]))</f>
        <v>0</v>
      </c>
      <c r="P498" s="1200">
        <f>N498</f>
        <v>0</v>
      </c>
      <c r="Q498" s="1200"/>
      <c r="R498" s="1200"/>
      <c r="S498" s="1200">
        <f>O498</f>
        <v>0</v>
      </c>
      <c r="T498" s="1200"/>
      <c r="U498" s="1200"/>
      <c r="V498" s="1201"/>
    </row>
    <row r="499" spans="1:22">
      <c r="A499" s="1195"/>
      <c r="B499" s="1196"/>
      <c r="C499" s="1196"/>
      <c r="D499" s="1196"/>
      <c r="E499" s="1197" t="str">
        <f t="shared" si="40"/>
        <v/>
      </c>
      <c r="F499" s="1198"/>
      <c r="G499" s="1198"/>
      <c r="H499" s="1198"/>
      <c r="I499" s="1198"/>
      <c r="J499" s="1199"/>
      <c r="K499" s="133"/>
      <c r="L499" s="62" t="str">
        <f t="shared" si="41"/>
        <v/>
      </c>
      <c r="M499" s="14"/>
      <c r="N499" s="89">
        <f t="array" ref="N499">SUM(IF((CsDJ[JEV Number]=TRIM($T486))*(CsDJ[Account Code]=TRIM(K499)),CsDJ[Debit]))</f>
        <v>0</v>
      </c>
      <c r="O499" s="89">
        <f t="array" ref="O499">SUM(IF((CsDJ[JEV Number]=TRIM($T486))*(CsDJ[Account Code]=TRIM(K499)),CsDJ[Credit]))</f>
        <v>0</v>
      </c>
      <c r="P499" s="1200">
        <f t="shared" ref="P499:P524" si="42">N499</f>
        <v>0</v>
      </c>
      <c r="Q499" s="1200"/>
      <c r="R499" s="1200"/>
      <c r="S499" s="1200">
        <f t="shared" ref="S499:S524" si="43">O499</f>
        <v>0</v>
      </c>
      <c r="T499" s="1200"/>
      <c r="U499" s="1200"/>
      <c r="V499" s="1201"/>
    </row>
    <row r="500" spans="1:22">
      <c r="A500" s="1195"/>
      <c r="B500" s="1196"/>
      <c r="C500" s="1196"/>
      <c r="D500" s="1196"/>
      <c r="E500" s="1197" t="str">
        <f t="shared" si="40"/>
        <v/>
      </c>
      <c r="F500" s="1198"/>
      <c r="G500" s="1198"/>
      <c r="H500" s="1198"/>
      <c r="I500" s="1198"/>
      <c r="J500" s="1199"/>
      <c r="K500" s="133"/>
      <c r="L500" s="62" t="str">
        <f t="shared" si="41"/>
        <v/>
      </c>
      <c r="M500" s="14"/>
      <c r="N500" s="89">
        <f t="array" ref="N500">SUM(IF((CsDJ[JEV Number]=TRIM($T486))*(CsDJ[Account Code]=TRIM(K500)),CsDJ[Debit]))</f>
        <v>0</v>
      </c>
      <c r="O500" s="89">
        <f t="array" ref="O500">SUM(IF((CsDJ[JEV Number]=TRIM($T486))*(CsDJ[Account Code]=TRIM(K500)),CsDJ[Credit]))</f>
        <v>0</v>
      </c>
      <c r="P500" s="1200">
        <f t="shared" si="42"/>
        <v>0</v>
      </c>
      <c r="Q500" s="1200"/>
      <c r="R500" s="1200"/>
      <c r="S500" s="1200">
        <f t="shared" si="43"/>
        <v>0</v>
      </c>
      <c r="T500" s="1200"/>
      <c r="U500" s="1200"/>
      <c r="V500" s="1201"/>
    </row>
    <row r="501" spans="1:22">
      <c r="A501" s="1195"/>
      <c r="B501" s="1196"/>
      <c r="C501" s="1196"/>
      <c r="D501" s="1196"/>
      <c r="E501" s="1197" t="str">
        <f t="shared" si="40"/>
        <v/>
      </c>
      <c r="F501" s="1198"/>
      <c r="G501" s="1198"/>
      <c r="H501" s="1198"/>
      <c r="I501" s="1198"/>
      <c r="J501" s="1199"/>
      <c r="K501" s="133"/>
      <c r="L501" s="62" t="str">
        <f t="shared" si="41"/>
        <v/>
      </c>
      <c r="M501" s="14"/>
      <c r="N501" s="89">
        <f t="array" ref="N501">SUM(IF((CsDJ[JEV Number]=TRIM($T486))*(CsDJ[Account Code]=TRIM(K501)),CsDJ[Debit]))</f>
        <v>0</v>
      </c>
      <c r="O501" s="89">
        <f t="array" ref="O501">SUM(IF((CsDJ[JEV Number]=TRIM($T486))*(CsDJ[Account Code]=TRIM(K501)),CsDJ[Credit]))</f>
        <v>0</v>
      </c>
      <c r="P501" s="1200">
        <f t="shared" si="42"/>
        <v>0</v>
      </c>
      <c r="Q501" s="1200"/>
      <c r="R501" s="1200"/>
      <c r="S501" s="1200">
        <f t="shared" si="43"/>
        <v>0</v>
      </c>
      <c r="T501" s="1200"/>
      <c r="U501" s="1200"/>
      <c r="V501" s="1201"/>
    </row>
    <row r="502" spans="1:22">
      <c r="A502" s="1195"/>
      <c r="B502" s="1196"/>
      <c r="C502" s="1196"/>
      <c r="D502" s="1196"/>
      <c r="E502" s="1197" t="str">
        <f t="shared" si="40"/>
        <v/>
      </c>
      <c r="F502" s="1198"/>
      <c r="G502" s="1198"/>
      <c r="H502" s="1198"/>
      <c r="I502" s="1198"/>
      <c r="J502" s="1199"/>
      <c r="K502" s="133"/>
      <c r="L502" s="62" t="str">
        <f t="shared" si="41"/>
        <v/>
      </c>
      <c r="M502" s="14"/>
      <c r="N502" s="89">
        <f t="array" ref="N502">SUM(IF((CsDJ[JEV Number]=TRIM($T486))*(CsDJ[Account Code]=TRIM(K502)),CsDJ[Debit]))</f>
        <v>0</v>
      </c>
      <c r="O502" s="89">
        <f t="array" ref="O502">SUM(IF((CsDJ[JEV Number]=TRIM($T486))*(CsDJ[Account Code]=TRIM(K502)),CsDJ[Credit]))</f>
        <v>0</v>
      </c>
      <c r="P502" s="1200">
        <f t="shared" si="42"/>
        <v>0</v>
      </c>
      <c r="Q502" s="1200"/>
      <c r="R502" s="1200"/>
      <c r="S502" s="1200">
        <f t="shared" si="43"/>
        <v>0</v>
      </c>
      <c r="T502" s="1200"/>
      <c r="U502" s="1200"/>
      <c r="V502" s="1201"/>
    </row>
    <row r="503" spans="1:22">
      <c r="A503" s="1195"/>
      <c r="B503" s="1196"/>
      <c r="C503" s="1196"/>
      <c r="D503" s="1196"/>
      <c r="E503" s="1197" t="str">
        <f t="shared" si="40"/>
        <v/>
      </c>
      <c r="F503" s="1198"/>
      <c r="G503" s="1198"/>
      <c r="H503" s="1198"/>
      <c r="I503" s="1198"/>
      <c r="J503" s="1199"/>
      <c r="K503" s="133"/>
      <c r="L503" s="62" t="str">
        <f t="shared" si="41"/>
        <v/>
      </c>
      <c r="M503" s="14"/>
      <c r="N503" s="89">
        <f t="array" ref="N503">SUM(IF((CsDJ[JEV Number]=TRIM($T486))*(CsDJ[Account Code]=TRIM(K503)),CsDJ[Debit]))</f>
        <v>0</v>
      </c>
      <c r="O503" s="89">
        <f t="array" ref="O503">SUM(IF((CsDJ[JEV Number]=TRIM($T486))*(CsDJ[Account Code]=TRIM(K503)),CsDJ[Credit]))</f>
        <v>0</v>
      </c>
      <c r="P503" s="1200">
        <f t="shared" si="42"/>
        <v>0</v>
      </c>
      <c r="Q503" s="1200"/>
      <c r="R503" s="1200"/>
      <c r="S503" s="1200">
        <f t="shared" si="43"/>
        <v>0</v>
      </c>
      <c r="T503" s="1200"/>
      <c r="U503" s="1200"/>
      <c r="V503" s="1201"/>
    </row>
    <row r="504" spans="1:22">
      <c r="A504" s="1195"/>
      <c r="B504" s="1196"/>
      <c r="C504" s="1196"/>
      <c r="D504" s="1196"/>
      <c r="E504" s="1197" t="str">
        <f t="shared" si="40"/>
        <v/>
      </c>
      <c r="F504" s="1198"/>
      <c r="G504" s="1198"/>
      <c r="H504" s="1198"/>
      <c r="I504" s="1198"/>
      <c r="J504" s="1199"/>
      <c r="K504" s="133"/>
      <c r="L504" s="62" t="str">
        <f t="shared" si="41"/>
        <v/>
      </c>
      <c r="M504" s="14"/>
      <c r="N504" s="89">
        <f t="array" ref="N504">SUM(IF((CsDJ[JEV Number]=TRIM($T486))*(CsDJ[Account Code]=TRIM(K504)),CsDJ[Debit]))</f>
        <v>0</v>
      </c>
      <c r="O504" s="89">
        <f t="array" ref="O504">SUM(IF((CsDJ[JEV Number]=TRIM($T486))*(CsDJ[Account Code]=TRIM(K504)),CsDJ[Credit]))</f>
        <v>0</v>
      </c>
      <c r="P504" s="1200">
        <f t="shared" si="42"/>
        <v>0</v>
      </c>
      <c r="Q504" s="1200"/>
      <c r="R504" s="1200"/>
      <c r="S504" s="1200">
        <f t="shared" si="43"/>
        <v>0</v>
      </c>
      <c r="T504" s="1200"/>
      <c r="U504" s="1200"/>
      <c r="V504" s="1201"/>
    </row>
    <row r="505" spans="1:22">
      <c r="A505" s="1195"/>
      <c r="B505" s="1196"/>
      <c r="C505" s="1196"/>
      <c r="D505" s="1196"/>
      <c r="E505" s="1197" t="str">
        <f t="shared" si="40"/>
        <v/>
      </c>
      <c r="F505" s="1198"/>
      <c r="G505" s="1198"/>
      <c r="H505" s="1198"/>
      <c r="I505" s="1198"/>
      <c r="J505" s="1199"/>
      <c r="K505" s="134"/>
      <c r="L505" s="62" t="str">
        <f t="shared" si="41"/>
        <v/>
      </c>
      <c r="M505" s="14"/>
      <c r="N505" s="89">
        <f t="array" ref="N505">SUM(IF((CsDJ[JEV Number]=TRIM($T486))*(CsDJ[Account Code]=TRIM(K505)),CsDJ[Debit]))</f>
        <v>0</v>
      </c>
      <c r="O505" s="89">
        <f t="array" ref="O505">SUM(IF((CsDJ[JEV Number]=TRIM($T486))*(CsDJ[Account Code]=TRIM(K505)),CsDJ[Credit]))</f>
        <v>0</v>
      </c>
      <c r="P505" s="1200">
        <f t="shared" si="42"/>
        <v>0</v>
      </c>
      <c r="Q505" s="1200"/>
      <c r="R505" s="1200"/>
      <c r="S505" s="1200">
        <f t="shared" si="43"/>
        <v>0</v>
      </c>
      <c r="T505" s="1200"/>
      <c r="U505" s="1200"/>
      <c r="V505" s="1201"/>
    </row>
    <row r="506" spans="1:22">
      <c r="A506" s="1195"/>
      <c r="B506" s="1196"/>
      <c r="C506" s="1196"/>
      <c r="D506" s="1196"/>
      <c r="E506" s="1197" t="str">
        <f t="shared" si="40"/>
        <v/>
      </c>
      <c r="F506" s="1198"/>
      <c r="G506" s="1198"/>
      <c r="H506" s="1198"/>
      <c r="I506" s="1198"/>
      <c r="J506" s="1199"/>
      <c r="K506" s="134"/>
      <c r="L506" s="62" t="str">
        <f t="shared" si="41"/>
        <v/>
      </c>
      <c r="M506" s="14"/>
      <c r="N506" s="89">
        <f t="array" ref="N506">SUM(IF((CsDJ[JEV Number]=TRIM($T486))*(CsDJ[Account Code]=TRIM(K506)),CsDJ[Debit]))</f>
        <v>0</v>
      </c>
      <c r="O506" s="89">
        <f t="array" ref="O506">SUM(IF((CsDJ[JEV Number]=TRIM($T486))*(CsDJ[Account Code]=TRIM(K506)),CsDJ[Credit]))</f>
        <v>0</v>
      </c>
      <c r="P506" s="1200">
        <f t="shared" si="42"/>
        <v>0</v>
      </c>
      <c r="Q506" s="1200"/>
      <c r="R506" s="1200"/>
      <c r="S506" s="1200">
        <f t="shared" si="43"/>
        <v>0</v>
      </c>
      <c r="T506" s="1200"/>
      <c r="U506" s="1200"/>
      <c r="V506" s="1201"/>
    </row>
    <row r="507" spans="1:22">
      <c r="A507" s="1195"/>
      <c r="B507" s="1196"/>
      <c r="C507" s="1196"/>
      <c r="D507" s="1196"/>
      <c r="E507" s="1197" t="str">
        <f t="shared" si="40"/>
        <v/>
      </c>
      <c r="F507" s="1198"/>
      <c r="G507" s="1198"/>
      <c r="H507" s="1198"/>
      <c r="I507" s="1198"/>
      <c r="J507" s="1199"/>
      <c r="K507" s="134"/>
      <c r="L507" s="62" t="str">
        <f t="shared" si="41"/>
        <v/>
      </c>
      <c r="M507" s="14"/>
      <c r="N507" s="89">
        <f t="array" ref="N507">SUM(IF((CsDJ[JEV Number]=TRIM($T486))*(CsDJ[Account Code]=TRIM(K507)),CsDJ[Debit]))</f>
        <v>0</v>
      </c>
      <c r="O507" s="89">
        <f t="array" ref="O507">SUM(IF((CsDJ[JEV Number]=TRIM($T486))*(CsDJ[Account Code]=TRIM(K507)),CsDJ[Credit]))</f>
        <v>0</v>
      </c>
      <c r="P507" s="1200">
        <f t="shared" si="42"/>
        <v>0</v>
      </c>
      <c r="Q507" s="1200"/>
      <c r="R507" s="1200"/>
      <c r="S507" s="1200">
        <f t="shared" si="43"/>
        <v>0</v>
      </c>
      <c r="T507" s="1200"/>
      <c r="U507" s="1200"/>
      <c r="V507" s="1201"/>
    </row>
    <row r="508" spans="1:22">
      <c r="A508" s="1195"/>
      <c r="B508" s="1196"/>
      <c r="C508" s="1196"/>
      <c r="D508" s="1196"/>
      <c r="E508" s="1197" t="str">
        <f t="shared" si="40"/>
        <v/>
      </c>
      <c r="F508" s="1198"/>
      <c r="G508" s="1198"/>
      <c r="H508" s="1198"/>
      <c r="I508" s="1198"/>
      <c r="J508" s="1199"/>
      <c r="K508" s="134"/>
      <c r="L508" s="62" t="str">
        <f t="shared" si="41"/>
        <v/>
      </c>
      <c r="M508" s="14"/>
      <c r="N508" s="89">
        <f t="array" ref="N508">SUM(IF((CsDJ[JEV Number]=TRIM($T486))*(CsDJ[Account Code]=TRIM(K508)),CsDJ[Debit]))</f>
        <v>0</v>
      </c>
      <c r="O508" s="89">
        <f t="array" ref="O508">SUM(IF((CsDJ[JEV Number]=TRIM($T486))*(CsDJ[Account Code]=TRIM(K508)),CsDJ[Credit]))</f>
        <v>0</v>
      </c>
      <c r="P508" s="1200">
        <f t="shared" si="42"/>
        <v>0</v>
      </c>
      <c r="Q508" s="1200"/>
      <c r="R508" s="1200"/>
      <c r="S508" s="1200">
        <f t="shared" si="43"/>
        <v>0</v>
      </c>
      <c r="T508" s="1200"/>
      <c r="U508" s="1200"/>
      <c r="V508" s="1201"/>
    </row>
    <row r="509" spans="1:22">
      <c r="A509" s="1195"/>
      <c r="B509" s="1196"/>
      <c r="C509" s="1196"/>
      <c r="D509" s="1196"/>
      <c r="E509" s="1197" t="str">
        <f t="shared" si="40"/>
        <v/>
      </c>
      <c r="F509" s="1198"/>
      <c r="G509" s="1198"/>
      <c r="H509" s="1198"/>
      <c r="I509" s="1198"/>
      <c r="J509" s="1199"/>
      <c r="K509" s="134"/>
      <c r="L509" s="62" t="str">
        <f t="shared" si="41"/>
        <v/>
      </c>
      <c r="M509" s="14"/>
      <c r="N509" s="89">
        <f t="array" ref="N509">SUM(IF((CsDJ[JEV Number]=TRIM($T486))*(CsDJ[Account Code]=TRIM(K509)),CsDJ[Debit]))</f>
        <v>0</v>
      </c>
      <c r="O509" s="89">
        <f t="array" ref="O509">SUM(IF((CsDJ[JEV Number]=TRIM($T486))*(CsDJ[Account Code]=TRIM(K509)),CsDJ[Credit]))</f>
        <v>0</v>
      </c>
      <c r="P509" s="1200">
        <f t="shared" si="42"/>
        <v>0</v>
      </c>
      <c r="Q509" s="1200"/>
      <c r="R509" s="1200"/>
      <c r="S509" s="1200">
        <f t="shared" si="43"/>
        <v>0</v>
      </c>
      <c r="T509" s="1200"/>
      <c r="U509" s="1200"/>
      <c r="V509" s="1201"/>
    </row>
    <row r="510" spans="1:22">
      <c r="A510" s="1195"/>
      <c r="B510" s="1196"/>
      <c r="C510" s="1196"/>
      <c r="D510" s="1196"/>
      <c r="E510" s="1197" t="str">
        <f t="shared" si="40"/>
        <v/>
      </c>
      <c r="F510" s="1198"/>
      <c r="G510" s="1198"/>
      <c r="H510" s="1198"/>
      <c r="I510" s="1198"/>
      <c r="J510" s="1199"/>
      <c r="K510" s="134"/>
      <c r="L510" s="62" t="str">
        <f t="shared" si="41"/>
        <v/>
      </c>
      <c r="M510" s="14"/>
      <c r="N510" s="89">
        <f t="array" ref="N510">SUM(IF((CsDJ[JEV Number]=TRIM($T486))*(CsDJ[Account Code]=TRIM(K510)),CsDJ[Debit]))</f>
        <v>0</v>
      </c>
      <c r="O510" s="89">
        <f t="array" ref="O510">SUM(IF((CsDJ[JEV Number]=TRIM($T486))*(CsDJ[Account Code]=TRIM(K510)),CsDJ[Credit]))</f>
        <v>0</v>
      </c>
      <c r="P510" s="1200">
        <f t="shared" si="42"/>
        <v>0</v>
      </c>
      <c r="Q510" s="1200"/>
      <c r="R510" s="1200"/>
      <c r="S510" s="1200">
        <f t="shared" si="43"/>
        <v>0</v>
      </c>
      <c r="T510" s="1200"/>
      <c r="U510" s="1200"/>
      <c r="V510" s="1201"/>
    </row>
    <row r="511" spans="1:22">
      <c r="A511" s="1195"/>
      <c r="B511" s="1196"/>
      <c r="C511" s="1196"/>
      <c r="D511" s="1196"/>
      <c r="E511" s="1197" t="str">
        <f t="shared" si="40"/>
        <v/>
      </c>
      <c r="F511" s="1198"/>
      <c r="G511" s="1198"/>
      <c r="H511" s="1198"/>
      <c r="I511" s="1198"/>
      <c r="J511" s="1199"/>
      <c r="K511" s="134"/>
      <c r="L511" s="62" t="str">
        <f t="shared" si="41"/>
        <v/>
      </c>
      <c r="M511" s="14"/>
      <c r="N511" s="89">
        <f t="array" ref="N511">SUM(IF((CsDJ[JEV Number]=TRIM($T486))*(CsDJ[Account Code]=TRIM(K511)),CsDJ[Debit]))</f>
        <v>0</v>
      </c>
      <c r="O511" s="89">
        <f t="array" ref="O511">SUM(IF((CsDJ[JEV Number]=TRIM($T486))*(CsDJ[Account Code]=TRIM(K511)),CsDJ[Credit]))</f>
        <v>0</v>
      </c>
      <c r="P511" s="1200">
        <f t="shared" si="42"/>
        <v>0</v>
      </c>
      <c r="Q511" s="1200"/>
      <c r="R511" s="1200"/>
      <c r="S511" s="1200">
        <f t="shared" si="43"/>
        <v>0</v>
      </c>
      <c r="T511" s="1200"/>
      <c r="U511" s="1200"/>
      <c r="V511" s="1201"/>
    </row>
    <row r="512" spans="1:22">
      <c r="A512" s="1195"/>
      <c r="B512" s="1196"/>
      <c r="C512" s="1196"/>
      <c r="D512" s="1196"/>
      <c r="E512" s="1197" t="str">
        <f t="shared" si="40"/>
        <v/>
      </c>
      <c r="F512" s="1198"/>
      <c r="G512" s="1198"/>
      <c r="H512" s="1198"/>
      <c r="I512" s="1198"/>
      <c r="J512" s="1199"/>
      <c r="K512" s="134"/>
      <c r="L512" s="62" t="str">
        <f t="shared" si="41"/>
        <v/>
      </c>
      <c r="M512" s="14"/>
      <c r="N512" s="89">
        <f t="array" ref="N512">SUM(IF((CsDJ[JEV Number]=TRIM($T486))*(CsDJ[Account Code]=TRIM(K512)),CsDJ[Debit]))</f>
        <v>0</v>
      </c>
      <c r="O512" s="89">
        <f t="array" ref="O512">SUM(IF((CsDJ[JEV Number]=TRIM($T486))*(CsDJ[Account Code]=TRIM(K512)),CsDJ[Credit]))</f>
        <v>0</v>
      </c>
      <c r="P512" s="1200">
        <f t="shared" si="42"/>
        <v>0</v>
      </c>
      <c r="Q512" s="1200"/>
      <c r="R512" s="1200"/>
      <c r="S512" s="1200">
        <f t="shared" si="43"/>
        <v>0</v>
      </c>
      <c r="T512" s="1200"/>
      <c r="U512" s="1200"/>
      <c r="V512" s="1201"/>
    </row>
    <row r="513" spans="1:22">
      <c r="A513" s="1195"/>
      <c r="B513" s="1196"/>
      <c r="C513" s="1196"/>
      <c r="D513" s="1196"/>
      <c r="E513" s="1197" t="str">
        <f t="shared" si="40"/>
        <v/>
      </c>
      <c r="F513" s="1198"/>
      <c r="G513" s="1198"/>
      <c r="H513" s="1198"/>
      <c r="I513" s="1198"/>
      <c r="J513" s="1199"/>
      <c r="K513" s="134"/>
      <c r="L513" s="62" t="str">
        <f t="shared" si="41"/>
        <v/>
      </c>
      <c r="M513" s="14"/>
      <c r="N513" s="89">
        <f t="array" ref="N513">SUM(IF((CsDJ[JEV Number]=TRIM($T486))*(CsDJ[Account Code]=TRIM(K513)),CsDJ[Debit]))</f>
        <v>0</v>
      </c>
      <c r="O513" s="89">
        <f t="array" ref="O513">SUM(IF((CsDJ[JEV Number]=TRIM($T486))*(CsDJ[Account Code]=TRIM(K513)),CsDJ[Credit]))</f>
        <v>0</v>
      </c>
      <c r="P513" s="1200">
        <f t="shared" si="42"/>
        <v>0</v>
      </c>
      <c r="Q513" s="1200"/>
      <c r="R513" s="1200"/>
      <c r="S513" s="1200">
        <f t="shared" si="43"/>
        <v>0</v>
      </c>
      <c r="T513" s="1200"/>
      <c r="U513" s="1200"/>
      <c r="V513" s="1201"/>
    </row>
    <row r="514" spans="1:22">
      <c r="A514" s="1195"/>
      <c r="B514" s="1196"/>
      <c r="C514" s="1196"/>
      <c r="D514" s="1196"/>
      <c r="E514" s="1197" t="str">
        <f t="shared" si="40"/>
        <v/>
      </c>
      <c r="F514" s="1198"/>
      <c r="G514" s="1198"/>
      <c r="H514" s="1198"/>
      <c r="I514" s="1198"/>
      <c r="J514" s="1199"/>
      <c r="K514" s="134"/>
      <c r="L514" s="62" t="str">
        <f t="shared" si="41"/>
        <v/>
      </c>
      <c r="M514" s="14"/>
      <c r="N514" s="89">
        <f t="array" ref="N514">SUM(IF((CsDJ[JEV Number]=TRIM($T486))*(CsDJ[Account Code]=TRIM(K514)),CsDJ[Debit]))</f>
        <v>0</v>
      </c>
      <c r="O514" s="89">
        <f t="array" ref="O514">SUM(IF((CsDJ[JEV Number]=TRIM($T486))*(CsDJ[Account Code]=TRIM(K514)),CsDJ[Credit]))</f>
        <v>0</v>
      </c>
      <c r="P514" s="1200">
        <f t="shared" si="42"/>
        <v>0</v>
      </c>
      <c r="Q514" s="1200"/>
      <c r="R514" s="1200"/>
      <c r="S514" s="1200">
        <f t="shared" si="43"/>
        <v>0</v>
      </c>
      <c r="T514" s="1200"/>
      <c r="U514" s="1200"/>
      <c r="V514" s="1201"/>
    </row>
    <row r="515" spans="1:22">
      <c r="A515" s="1195"/>
      <c r="B515" s="1196"/>
      <c r="C515" s="1196"/>
      <c r="D515" s="1196"/>
      <c r="E515" s="1197" t="str">
        <f t="shared" si="40"/>
        <v/>
      </c>
      <c r="F515" s="1198"/>
      <c r="G515" s="1198"/>
      <c r="H515" s="1198"/>
      <c r="I515" s="1198"/>
      <c r="J515" s="1199"/>
      <c r="K515" s="134"/>
      <c r="L515" s="62" t="str">
        <f t="shared" si="41"/>
        <v/>
      </c>
      <c r="M515" s="14"/>
      <c r="N515" s="89">
        <f t="array" ref="N515">SUM(IF((CsDJ[JEV Number]=TRIM($T486))*(CsDJ[Account Code]=TRIM(K515)),CsDJ[Debit]))</f>
        <v>0</v>
      </c>
      <c r="O515" s="89">
        <f t="array" ref="O515">SUM(IF((CsDJ[JEV Number]=TRIM($T486))*(CsDJ[Account Code]=TRIM(K515)),CsDJ[Credit]))</f>
        <v>0</v>
      </c>
      <c r="P515" s="1200">
        <f t="shared" si="42"/>
        <v>0</v>
      </c>
      <c r="Q515" s="1200"/>
      <c r="R515" s="1200"/>
      <c r="S515" s="1200">
        <f t="shared" si="43"/>
        <v>0</v>
      </c>
      <c r="T515" s="1200"/>
      <c r="U515" s="1200"/>
      <c r="V515" s="1201"/>
    </row>
    <row r="516" spans="1:22">
      <c r="A516" s="1195"/>
      <c r="B516" s="1196"/>
      <c r="C516" s="1196"/>
      <c r="D516" s="1196"/>
      <c r="E516" s="1197" t="str">
        <f t="shared" si="40"/>
        <v/>
      </c>
      <c r="F516" s="1198"/>
      <c r="G516" s="1198"/>
      <c r="H516" s="1198"/>
      <c r="I516" s="1198"/>
      <c r="J516" s="1199"/>
      <c r="K516" s="134"/>
      <c r="L516" s="62" t="str">
        <f t="shared" si="41"/>
        <v/>
      </c>
      <c r="M516" s="14"/>
      <c r="N516" s="89">
        <f t="array" ref="N516">SUM(IF((CsDJ[JEV Number]=TRIM($T486))*(CsDJ[Account Code]=TRIM(K516)),CsDJ[Debit]))</f>
        <v>0</v>
      </c>
      <c r="O516" s="89">
        <f t="array" ref="O516">SUM(IF((CsDJ[JEV Number]=TRIM($T486))*(CsDJ[Account Code]=TRIM(K516)),CsDJ[Credit]))</f>
        <v>0</v>
      </c>
      <c r="P516" s="1200">
        <f t="shared" si="42"/>
        <v>0</v>
      </c>
      <c r="Q516" s="1200"/>
      <c r="R516" s="1200"/>
      <c r="S516" s="1200">
        <f t="shared" si="43"/>
        <v>0</v>
      </c>
      <c r="T516" s="1200"/>
      <c r="U516" s="1200"/>
      <c r="V516" s="1201"/>
    </row>
    <row r="517" spans="1:22">
      <c r="A517" s="1195"/>
      <c r="B517" s="1196"/>
      <c r="C517" s="1196"/>
      <c r="D517" s="1196"/>
      <c r="E517" s="1197" t="str">
        <f t="shared" si="40"/>
        <v/>
      </c>
      <c r="F517" s="1198"/>
      <c r="G517" s="1198"/>
      <c r="H517" s="1198"/>
      <c r="I517" s="1198"/>
      <c r="J517" s="1199"/>
      <c r="K517" s="134"/>
      <c r="L517" s="62" t="str">
        <f t="shared" si="41"/>
        <v/>
      </c>
      <c r="M517" s="14"/>
      <c r="N517" s="89">
        <f t="array" ref="N517">SUM(IF((CsDJ[JEV Number]=TRIM($T486))*(CsDJ[Account Code]=TRIM(K517)),CsDJ[Debit]))</f>
        <v>0</v>
      </c>
      <c r="O517" s="89">
        <f t="array" ref="O517">SUM(IF((CsDJ[JEV Number]=TRIM($T486))*(CsDJ[Account Code]=TRIM(K517)),CsDJ[Credit]))</f>
        <v>0</v>
      </c>
      <c r="P517" s="1200">
        <f t="shared" si="42"/>
        <v>0</v>
      </c>
      <c r="Q517" s="1200"/>
      <c r="R517" s="1200"/>
      <c r="S517" s="1200">
        <f t="shared" si="43"/>
        <v>0</v>
      </c>
      <c r="T517" s="1200"/>
      <c r="U517" s="1200"/>
      <c r="V517" s="1201"/>
    </row>
    <row r="518" spans="1:22">
      <c r="A518" s="1195"/>
      <c r="B518" s="1196"/>
      <c r="C518" s="1196"/>
      <c r="D518" s="1196"/>
      <c r="E518" s="1197" t="str">
        <f t="shared" si="40"/>
        <v/>
      </c>
      <c r="F518" s="1198"/>
      <c r="G518" s="1198"/>
      <c r="H518" s="1198"/>
      <c r="I518" s="1198"/>
      <c r="J518" s="1199"/>
      <c r="K518" s="134"/>
      <c r="L518" s="62" t="str">
        <f t="shared" si="41"/>
        <v/>
      </c>
      <c r="M518" s="14"/>
      <c r="N518" s="89">
        <f t="array" ref="N518">SUM(IF((CsDJ[JEV Number]=TRIM($T486))*(CsDJ[Account Code]=TRIM(K518)),CsDJ[Debit]))</f>
        <v>0</v>
      </c>
      <c r="O518" s="89">
        <f t="array" ref="O518">SUM(IF((CsDJ[JEV Number]=TRIM($T486))*(CsDJ[Account Code]=TRIM(K518)),CsDJ[Credit]))</f>
        <v>0</v>
      </c>
      <c r="P518" s="1200">
        <f t="shared" si="42"/>
        <v>0</v>
      </c>
      <c r="Q518" s="1200"/>
      <c r="R518" s="1200"/>
      <c r="S518" s="1200">
        <f t="shared" si="43"/>
        <v>0</v>
      </c>
      <c r="T518" s="1200"/>
      <c r="U518" s="1200"/>
      <c r="V518" s="1201"/>
    </row>
    <row r="519" spans="1:22">
      <c r="A519" s="1195"/>
      <c r="B519" s="1196"/>
      <c r="C519" s="1196"/>
      <c r="D519" s="1196"/>
      <c r="E519" s="1197" t="str">
        <f t="shared" si="40"/>
        <v/>
      </c>
      <c r="F519" s="1198"/>
      <c r="G519" s="1198"/>
      <c r="H519" s="1198"/>
      <c r="I519" s="1198"/>
      <c r="J519" s="1199"/>
      <c r="K519" s="134"/>
      <c r="L519" s="62" t="str">
        <f t="shared" si="41"/>
        <v/>
      </c>
      <c r="M519" s="14"/>
      <c r="N519" s="89">
        <f t="array" ref="N519">SUM(IF((CsDJ[JEV Number]=TRIM($T486))*(CsDJ[Account Code]=TRIM(K519)),CsDJ[Debit]))</f>
        <v>0</v>
      </c>
      <c r="O519" s="89">
        <f t="array" ref="O519">SUM(IF((CsDJ[JEV Number]=TRIM($T486))*(CsDJ[Account Code]=TRIM(K519)),CsDJ[Credit]))</f>
        <v>0</v>
      </c>
      <c r="P519" s="1200">
        <f t="shared" si="42"/>
        <v>0</v>
      </c>
      <c r="Q519" s="1200"/>
      <c r="R519" s="1200"/>
      <c r="S519" s="1200">
        <f t="shared" si="43"/>
        <v>0</v>
      </c>
      <c r="T519" s="1200"/>
      <c r="U519" s="1200"/>
      <c r="V519" s="1201"/>
    </row>
    <row r="520" spans="1:22">
      <c r="A520" s="1195"/>
      <c r="B520" s="1196"/>
      <c r="C520" s="1196"/>
      <c r="D520" s="1196"/>
      <c r="E520" s="1257" t="s">
        <v>468</v>
      </c>
      <c r="F520" s="1258"/>
      <c r="G520" s="1258"/>
      <c r="H520" s="1258"/>
      <c r="I520" s="1258"/>
      <c r="J520" s="1259"/>
      <c r="K520" s="133"/>
      <c r="L520" s="62" t="str">
        <f t="shared" si="41"/>
        <v/>
      </c>
      <c r="M520" s="14"/>
      <c r="N520" s="89">
        <f t="array" ref="N520">SUM(IF((CsDJ[JEV Number]=TRIM($T486))*(CsDJ[Account Code]=TRIM(K520)),CsDJ[Debit]))</f>
        <v>0</v>
      </c>
      <c r="O520" s="89">
        <f t="array" ref="O520">SUM(IF((CsDJ[JEV Number]=TRIM($T486))*(CsDJ[Account Code]=TRIM(K520)),CsDJ[Credit]))</f>
        <v>0</v>
      </c>
      <c r="P520" s="1200">
        <f t="shared" si="42"/>
        <v>0</v>
      </c>
      <c r="Q520" s="1200"/>
      <c r="R520" s="1200"/>
      <c r="S520" s="1200">
        <f t="shared" si="43"/>
        <v>0</v>
      </c>
      <c r="T520" s="1200"/>
      <c r="U520" s="1200"/>
      <c r="V520" s="1201"/>
    </row>
    <row r="521" spans="1:22">
      <c r="A521" s="1195"/>
      <c r="B521" s="1196"/>
      <c r="C521" s="1196"/>
      <c r="D521" s="1196"/>
      <c r="E521" s="1202" t="s">
        <v>457</v>
      </c>
      <c r="F521" s="1203"/>
      <c r="G521" s="1203"/>
      <c r="H521" s="1203"/>
      <c r="I521" s="1207">
        <f>T487</f>
        <v>0</v>
      </c>
      <c r="J521" s="1208"/>
      <c r="K521" s="133"/>
      <c r="L521" s="62" t="str">
        <f t="shared" si="41"/>
        <v/>
      </c>
      <c r="M521" s="14"/>
      <c r="N521" s="89">
        <f t="array" ref="N521">SUM(IF((CsDJ[JEV Number]=TRIM($T486))*(CsDJ[Account Code]=TRIM(K521)),CsDJ[Debit]))</f>
        <v>0</v>
      </c>
      <c r="O521" s="89">
        <f t="array" ref="O521">SUM(IF((CsDJ[JEV Number]=TRIM($T486))*(CsDJ[Account Code]=TRIM(K521)),CsDJ[Credit]))</f>
        <v>0</v>
      </c>
      <c r="P521" s="1200">
        <f t="shared" si="42"/>
        <v>0</v>
      </c>
      <c r="Q521" s="1200"/>
      <c r="R521" s="1200"/>
      <c r="S521" s="1200">
        <f t="shared" si="43"/>
        <v>0</v>
      </c>
      <c r="T521" s="1200"/>
      <c r="U521" s="1200"/>
      <c r="V521" s="1201"/>
    </row>
    <row r="522" spans="1:22">
      <c r="A522" s="1195"/>
      <c r="B522" s="1196"/>
      <c r="C522" s="1196"/>
      <c r="D522" s="1196"/>
      <c r="E522" s="1202" t="s">
        <v>458</v>
      </c>
      <c r="F522" s="1203"/>
      <c r="G522" s="1203"/>
      <c r="H522" s="1203"/>
      <c r="I522" s="1263">
        <f>IF(T486=0,0,(IF(LOOKUP(T486,CsDJ[JEV Number],CsDJ[Sort Code])="1","MA. VIVIAN C. SALAS",IF(LOOKUP(T486,CsDJ[JEV Number],CsDJ[Sort Code])="2","LUZ R. DE COZAR",IF(LOOKUP(T486,CsDJ[JEV Number],CsDJ[Sort Code])="3","MINEONETTE A. DELA CRUZ",IF(LOOKUP(T486,CsDJ[JEV Number],CsDJ[Sort Code])="4","RESELLA B. LOPEZ"))))))</f>
        <v>0</v>
      </c>
      <c r="J522" s="1264"/>
      <c r="K522" s="133"/>
      <c r="L522" s="62" t="str">
        <f t="shared" si="41"/>
        <v/>
      </c>
      <c r="M522" s="14"/>
      <c r="N522" s="89">
        <f t="array" ref="N522">SUM(IF((CsDJ[JEV Number]=TRIM($T486))*(CsDJ[Account Code]=TRIM(K522)),CsDJ[Debit]))</f>
        <v>0</v>
      </c>
      <c r="O522" s="89">
        <f t="array" ref="O522">SUM(IF((CsDJ[JEV Number]=TRIM($T486))*(CsDJ[Account Code]=TRIM(K522)),CsDJ[Credit]))</f>
        <v>0</v>
      </c>
      <c r="P522" s="1200">
        <f t="shared" si="42"/>
        <v>0</v>
      </c>
      <c r="Q522" s="1200"/>
      <c r="R522" s="1200"/>
      <c r="S522" s="1200">
        <f t="shared" si="43"/>
        <v>0</v>
      </c>
      <c r="T522" s="1200"/>
      <c r="U522" s="1200"/>
      <c r="V522" s="1201"/>
    </row>
    <row r="523" spans="1:22">
      <c r="A523" s="1195"/>
      <c r="B523" s="1196"/>
      <c r="C523" s="1196"/>
      <c r="D523" s="1196"/>
      <c r="E523" s="1202" t="s">
        <v>459</v>
      </c>
      <c r="F523" s="1203"/>
      <c r="G523" s="1203"/>
      <c r="H523" s="1203"/>
      <c r="I523" s="1204">
        <f>IF(I522="Ma. Vivian C. Salas","Regional Office", IF(I522="Luz R. De Cozar","BANE IMO", IF(I522="Mineonette A. Dela Cruz","PAMBAT IMO", IF(I522="Resella B. Lopez","TARZAM IMO",0))))</f>
        <v>0</v>
      </c>
      <c r="J523" s="1205"/>
      <c r="K523" s="133"/>
      <c r="L523" s="62" t="str">
        <f t="shared" si="41"/>
        <v/>
      </c>
      <c r="M523" s="14"/>
      <c r="N523" s="89">
        <f t="array" ref="N523">SUM(IF((CsDJ[JEV Number]=TRIM($T486))*(CsDJ[Account Code]=TRIM(K523)),CsDJ[Debit]))</f>
        <v>0</v>
      </c>
      <c r="O523" s="89">
        <f t="array" ref="O523">SUM(IF((CsDJ[JEV Number]=TRIM($T486))*(CsDJ[Account Code]=TRIM(K523)),CsDJ[Credit]))</f>
        <v>0</v>
      </c>
      <c r="P523" s="1200">
        <f t="shared" si="42"/>
        <v>0</v>
      </c>
      <c r="Q523" s="1200"/>
      <c r="R523" s="1200"/>
      <c r="S523" s="1200">
        <f t="shared" si="43"/>
        <v>0</v>
      </c>
      <c r="T523" s="1200"/>
      <c r="U523" s="1200"/>
      <c r="V523" s="1201"/>
    </row>
    <row r="524" spans="1:22">
      <c r="A524" s="1195"/>
      <c r="B524" s="1196"/>
      <c r="C524" s="1196"/>
      <c r="D524" s="1196"/>
      <c r="E524" s="1202"/>
      <c r="F524" s="1203"/>
      <c r="G524" s="1203"/>
      <c r="H524" s="1203"/>
      <c r="I524" s="1203"/>
      <c r="J524" s="1206"/>
      <c r="K524" s="133"/>
      <c r="L524" s="62" t="str">
        <f t="shared" si="41"/>
        <v/>
      </c>
      <c r="M524" s="14"/>
      <c r="N524" s="89">
        <f t="array" ref="N524">SUM(IF((CsDJ[JEV Number]=TRIM($T486))*(CsDJ[Account Code]=TRIM(K524)),CsDJ[Debit]))</f>
        <v>0</v>
      </c>
      <c r="O524" s="89">
        <f t="array" ref="O524">SUM(IF((CsDJ[JEV Number]=TRIM($T486))*(CsDJ[Account Code]=TRIM(K524)),CsDJ[Credit]))</f>
        <v>0</v>
      </c>
      <c r="P524" s="1200">
        <f t="shared" si="42"/>
        <v>0</v>
      </c>
      <c r="Q524" s="1200"/>
      <c r="R524" s="1200"/>
      <c r="S524" s="1200">
        <f t="shared" si="43"/>
        <v>0</v>
      </c>
      <c r="T524" s="1200"/>
      <c r="U524" s="1200"/>
      <c r="V524" s="1201"/>
    </row>
    <row r="525" spans="1:22" ht="16.5" thickBot="1">
      <c r="A525" s="1188"/>
      <c r="B525" s="1189"/>
      <c r="C525" s="1189"/>
      <c r="D525" s="1189"/>
      <c r="E525" s="1189"/>
      <c r="F525" s="1189"/>
      <c r="G525" s="1189"/>
      <c r="H525" s="1189"/>
      <c r="I525" s="1189"/>
      <c r="J525" s="1189"/>
      <c r="K525" s="1189"/>
      <c r="L525" s="1189"/>
      <c r="M525" s="1190"/>
      <c r="N525" s="88"/>
      <c r="O525" s="88"/>
      <c r="P525" s="1191">
        <f>SUM(P495:R524)</f>
        <v>0</v>
      </c>
      <c r="Q525" s="1191"/>
      <c r="R525" s="1191"/>
      <c r="S525" s="1191">
        <f>SUM(S495:V524)</f>
        <v>0</v>
      </c>
      <c r="T525" s="1191"/>
      <c r="U525" s="1191"/>
      <c r="V525" s="1192"/>
    </row>
    <row r="526" spans="1:22">
      <c r="A526" s="63"/>
      <c r="B526" s="64"/>
      <c r="C526" s="64"/>
      <c r="D526" s="64"/>
      <c r="E526" s="64"/>
      <c r="F526" s="64"/>
      <c r="G526" s="64"/>
      <c r="H526" s="64"/>
      <c r="I526" s="65"/>
      <c r="J526" s="64"/>
      <c r="K526" s="66"/>
      <c r="L526" s="64"/>
      <c r="M526" s="65"/>
      <c r="N526" s="64"/>
      <c r="O526" s="64"/>
      <c r="P526" s="1193"/>
      <c r="Q526" s="1193"/>
      <c r="R526" s="1193"/>
      <c r="S526" s="1193"/>
      <c r="T526" s="1193"/>
      <c r="U526" s="1193"/>
      <c r="V526" s="1194"/>
    </row>
    <row r="527" spans="1:22">
      <c r="A527" s="67" t="s">
        <v>460</v>
      </c>
      <c r="B527"/>
      <c r="C527"/>
      <c r="D527"/>
      <c r="E527"/>
      <c r="F527"/>
      <c r="G527"/>
      <c r="H527"/>
      <c r="I527" s="68" t="s">
        <v>353</v>
      </c>
      <c r="J527" s="69"/>
      <c r="K527" s="69"/>
      <c r="L527"/>
      <c r="M527" s="68" t="s">
        <v>461</v>
      </c>
      <c r="N527" s="69"/>
      <c r="O527" s="69"/>
      <c r="P527" s="70"/>
      <c r="Q527" s="70"/>
      <c r="R527" s="70"/>
      <c r="S527" s="70"/>
      <c r="T527" s="70"/>
      <c r="U527" s="70"/>
      <c r="V527" s="71"/>
    </row>
    <row r="528" spans="1:22">
      <c r="A528" s="37"/>
      <c r="B528"/>
      <c r="C528"/>
      <c r="D528"/>
      <c r="E528"/>
      <c r="F528"/>
      <c r="G528"/>
      <c r="H528"/>
      <c r="I528" s="72"/>
      <c r="J528"/>
      <c r="K528"/>
      <c r="L528"/>
      <c r="M528" s="72"/>
      <c r="N528"/>
      <c r="O528"/>
      <c r="P528"/>
      <c r="Q528"/>
      <c r="R528"/>
      <c r="S528"/>
      <c r="T528"/>
      <c r="U528"/>
      <c r="V528" s="73"/>
    </row>
    <row r="529" spans="1:22">
      <c r="A529" s="74" t="s">
        <v>462</v>
      </c>
      <c r="B529" s="75"/>
      <c r="C529" s="75"/>
      <c r="D529" s="75"/>
      <c r="E529" s="75"/>
      <c r="F529" s="75"/>
      <c r="G529" s="75"/>
      <c r="H529" s="76"/>
      <c r="I529" s="77" t="s">
        <v>380</v>
      </c>
      <c r="J529" s="75"/>
      <c r="K529" s="75"/>
      <c r="L529" s="76"/>
      <c r="M529" s="77" t="s">
        <v>3</v>
      </c>
      <c r="N529" s="75"/>
      <c r="O529" s="75"/>
      <c r="P529" s="75"/>
      <c r="Q529" s="75"/>
      <c r="R529" s="75"/>
      <c r="S529" s="75"/>
      <c r="T529" s="75"/>
      <c r="U529" s="75"/>
      <c r="V529" s="78"/>
    </row>
    <row r="530" spans="1:22">
      <c r="A530" s="79" t="s">
        <v>463</v>
      </c>
      <c r="B530" s="80"/>
      <c r="C530" s="80"/>
      <c r="D530" s="80"/>
      <c r="E530" s="80"/>
      <c r="F530" s="80"/>
      <c r="G530" s="80"/>
      <c r="H530" s="80"/>
      <c r="I530" s="81" t="s">
        <v>381</v>
      </c>
      <c r="J530" s="80"/>
      <c r="K530" s="80"/>
      <c r="L530" s="80"/>
      <c r="M530" s="81" t="s">
        <v>464</v>
      </c>
      <c r="N530" s="80"/>
      <c r="O530" s="80"/>
      <c r="P530" s="82"/>
      <c r="Q530" s="82"/>
      <c r="R530" s="82"/>
      <c r="S530" s="82"/>
      <c r="T530" s="82"/>
      <c r="U530" s="82"/>
      <c r="V530" s="83"/>
    </row>
    <row r="531" spans="1:22" ht="16.5" thickBot="1">
      <c r="A531" s="84" t="s">
        <v>465</v>
      </c>
      <c r="B531" s="43"/>
      <c r="C531" s="43"/>
      <c r="D531" s="43"/>
      <c r="E531" s="43"/>
      <c r="F531" s="43"/>
      <c r="G531" s="43"/>
      <c r="H531" s="43"/>
      <c r="I531" s="85"/>
      <c r="J531" s="43"/>
      <c r="K531" s="43"/>
      <c r="L531" s="43"/>
      <c r="M531" s="85"/>
      <c r="N531" s="43"/>
      <c r="O531" s="43"/>
      <c r="P531" s="43"/>
      <c r="Q531" s="43"/>
      <c r="R531" s="43"/>
      <c r="S531" s="43"/>
      <c r="T531" s="43"/>
      <c r="U531" s="43"/>
      <c r="V531" s="44"/>
    </row>
    <row r="532" spans="1:22" ht="22.5">
      <c r="A532" s="31" t="s">
        <v>441</v>
      </c>
      <c r="B532" s="32"/>
      <c r="C532" s="32"/>
      <c r="D532" s="32"/>
      <c r="E532" s="32"/>
      <c r="F532" s="32"/>
      <c r="G532" s="32"/>
      <c r="H532" s="32"/>
      <c r="I532" s="32"/>
      <c r="J532" s="32"/>
      <c r="K532" s="32"/>
      <c r="L532" s="32"/>
      <c r="M532" s="32"/>
      <c r="N532" s="32"/>
      <c r="O532" s="32"/>
      <c r="P532" s="32"/>
      <c r="Q532" s="33"/>
      <c r="R532" s="1218">
        <f>+P572-S572</f>
        <v>0</v>
      </c>
      <c r="S532" s="1219"/>
      <c r="T532" s="1219"/>
      <c r="U532" s="1219"/>
      <c r="V532" s="1220"/>
    </row>
    <row r="533" spans="1:22">
      <c r="A533" s="34" t="s">
        <v>442</v>
      </c>
      <c r="B533" s="35"/>
      <c r="C533" s="35"/>
      <c r="D533" s="35"/>
      <c r="E533" s="35"/>
      <c r="F533" s="35"/>
      <c r="G533" s="35"/>
      <c r="H533" s="35"/>
      <c r="I533" s="35"/>
      <c r="J533" s="35"/>
      <c r="K533" s="35"/>
      <c r="L533" s="35"/>
      <c r="M533" s="35"/>
      <c r="N533" s="35"/>
      <c r="O533" s="35"/>
      <c r="P533" s="35"/>
      <c r="Q533" s="36"/>
      <c r="R533" s="37" t="s">
        <v>443</v>
      </c>
      <c r="S533"/>
      <c r="T533" s="1221"/>
      <c r="U533" s="1221"/>
      <c r="V533" s="1222"/>
    </row>
    <row r="534" spans="1:22">
      <c r="A534" s="38" t="s">
        <v>444</v>
      </c>
      <c r="B534" s="35"/>
      <c r="C534" s="35"/>
      <c r="D534" s="35"/>
      <c r="E534" s="35"/>
      <c r="F534" s="35"/>
      <c r="G534" s="35"/>
      <c r="H534" s="35"/>
      <c r="I534" s="35"/>
      <c r="J534" s="35"/>
      <c r="K534" s="35"/>
      <c r="L534" s="35"/>
      <c r="M534" s="35"/>
      <c r="N534" s="35"/>
      <c r="O534" s="35"/>
      <c r="P534" s="35"/>
      <c r="Q534" s="36"/>
      <c r="R534" s="37" t="s">
        <v>0</v>
      </c>
      <c r="S534"/>
      <c r="T534" s="1223">
        <f>IF(T533=0,0,(LOOKUP(T533,CsDJ[JEV Number],CsDJ[Date])))</f>
        <v>0</v>
      </c>
      <c r="U534" s="1223"/>
      <c r="V534" s="1224"/>
    </row>
    <row r="535" spans="1:22" ht="16.5" thickBot="1">
      <c r="A535" s="39"/>
      <c r="B535" s="40"/>
      <c r="C535" s="40"/>
      <c r="D535" s="40"/>
      <c r="E535" s="40"/>
      <c r="F535" s="40"/>
      <c r="G535" s="40"/>
      <c r="H535" s="40"/>
      <c r="I535" s="40"/>
      <c r="J535" s="40"/>
      <c r="K535" s="40"/>
      <c r="L535" s="40"/>
      <c r="M535" s="40"/>
      <c r="N535" s="40"/>
      <c r="O535" s="40"/>
      <c r="P535" s="40"/>
      <c r="Q535" s="41"/>
      <c r="R535" s="42"/>
      <c r="S535" s="43"/>
      <c r="T535" s="43"/>
      <c r="U535" s="43"/>
      <c r="V535" s="44"/>
    </row>
    <row r="536" spans="1:22">
      <c r="A536" s="45"/>
      <c r="B536" s="46"/>
      <c r="C536" s="46"/>
      <c r="D536" s="46"/>
      <c r="E536" s="46"/>
      <c r="F536" s="46"/>
      <c r="G536" s="46"/>
      <c r="H536" s="46"/>
      <c r="I536" s="46"/>
      <c r="J536" s="46"/>
      <c r="K536" s="46"/>
      <c r="L536" s="47"/>
      <c r="M536" s="46"/>
      <c r="N536" s="46"/>
      <c r="O536" s="46"/>
      <c r="P536" s="46"/>
      <c r="Q536" s="46"/>
      <c r="R536" s="46"/>
      <c r="S536" s="46"/>
      <c r="T536" s="46"/>
      <c r="U536" s="46"/>
      <c r="V536" s="48"/>
    </row>
    <row r="537" spans="1:22">
      <c r="A537" s="49"/>
      <c r="B537" s="1225"/>
      <c r="C537" s="1225"/>
      <c r="D537" s="50" t="s">
        <v>445</v>
      </c>
      <c r="H537" s="51"/>
      <c r="I537" s="25" t="s">
        <v>447</v>
      </c>
      <c r="J537" s="132" t="s">
        <v>446</v>
      </c>
      <c r="K537" s="52" t="s">
        <v>448</v>
      </c>
      <c r="L537" s="52"/>
      <c r="Q537" s="1225"/>
      <c r="R537" s="1225"/>
      <c r="S537" s="50" t="s">
        <v>449</v>
      </c>
      <c r="T537" s="50"/>
      <c r="U537" s="50"/>
      <c r="V537" s="53"/>
    </row>
    <row r="538" spans="1:22" ht="16.5" thickBot="1">
      <c r="A538" s="54"/>
      <c r="B538" s="55"/>
      <c r="C538" s="55"/>
      <c r="D538" s="55"/>
      <c r="E538" s="55"/>
      <c r="F538" s="55"/>
      <c r="G538" s="55"/>
      <c r="H538" s="55"/>
      <c r="I538" s="55"/>
      <c r="J538" s="55"/>
      <c r="K538" s="55"/>
      <c r="L538" s="56"/>
      <c r="M538" s="55"/>
      <c r="N538" s="55"/>
      <c r="O538" s="55"/>
      <c r="P538" s="55"/>
      <c r="Q538" s="55"/>
      <c r="R538" s="55"/>
      <c r="S538" s="55"/>
      <c r="T538" s="55"/>
      <c r="U538" s="55"/>
      <c r="V538" s="57"/>
    </row>
    <row r="539" spans="1:22">
      <c r="A539" s="1226" t="s">
        <v>397</v>
      </c>
      <c r="B539" s="1227"/>
      <c r="C539" s="1227"/>
      <c r="D539" s="1228"/>
      <c r="E539" s="1235" t="s">
        <v>450</v>
      </c>
      <c r="F539" s="1235"/>
      <c r="G539" s="1235"/>
      <c r="H539" s="1235"/>
      <c r="I539" s="1235"/>
      <c r="J539" s="1235"/>
      <c r="K539" s="1235"/>
      <c r="L539" s="1235"/>
      <c r="M539" s="1235"/>
      <c r="N539" s="1235"/>
      <c r="O539" s="1235"/>
      <c r="P539" s="1235"/>
      <c r="Q539" s="1235"/>
      <c r="R539" s="1235"/>
      <c r="S539" s="1235"/>
      <c r="T539" s="1235"/>
      <c r="U539" s="1235"/>
      <c r="V539" s="1236"/>
    </row>
    <row r="540" spans="1:22">
      <c r="A540" s="1229"/>
      <c r="B540" s="1230"/>
      <c r="C540" s="1230"/>
      <c r="D540" s="1231"/>
      <c r="E540" s="1237" t="s">
        <v>451</v>
      </c>
      <c r="F540" s="1237"/>
      <c r="G540" s="1237"/>
      <c r="H540" s="1237"/>
      <c r="I540" s="1237"/>
      <c r="J540" s="1237"/>
      <c r="K540" s="1239" t="s">
        <v>378</v>
      </c>
      <c r="L540" s="1239"/>
      <c r="M540" s="1237" t="s">
        <v>452</v>
      </c>
      <c r="N540" s="1240" t="s">
        <v>453</v>
      </c>
      <c r="O540" s="1241"/>
      <c r="P540" s="1241"/>
      <c r="Q540" s="1241"/>
      <c r="R540" s="1241"/>
      <c r="S540" s="1241"/>
      <c r="T540" s="1241"/>
      <c r="U540" s="1241"/>
      <c r="V540" s="1242"/>
    </row>
    <row r="541" spans="1:22" ht="16.5" customHeight="1" thickBot="1">
      <c r="A541" s="1232"/>
      <c r="B541" s="1233"/>
      <c r="C541" s="1233"/>
      <c r="D541" s="1234"/>
      <c r="E541" s="1238"/>
      <c r="F541" s="1238"/>
      <c r="G541" s="1238"/>
      <c r="H541" s="1238"/>
      <c r="I541" s="1238"/>
      <c r="J541" s="1238"/>
      <c r="K541" s="58" t="s">
        <v>454</v>
      </c>
      <c r="L541" s="58" t="s">
        <v>455</v>
      </c>
      <c r="M541" s="1238"/>
      <c r="N541" s="87" t="s">
        <v>466</v>
      </c>
      <c r="O541" s="87" t="s">
        <v>467</v>
      </c>
      <c r="P541" s="1243" t="s">
        <v>1</v>
      </c>
      <c r="Q541" s="1244"/>
      <c r="R541" s="1245"/>
      <c r="S541" s="1243" t="s">
        <v>2</v>
      </c>
      <c r="T541" s="1244"/>
      <c r="U541" s="1244"/>
      <c r="V541" s="1246"/>
    </row>
    <row r="542" spans="1:22" ht="19.5">
      <c r="A542" s="1210">
        <f>P572-S572</f>
        <v>0</v>
      </c>
      <c r="B542" s="1211"/>
      <c r="C542" s="1211"/>
      <c r="D542" s="1211"/>
      <c r="E542" s="1212" t="str">
        <f>Account!$G$1</f>
        <v>FUND 501 CARP</v>
      </c>
      <c r="F542" s="1213"/>
      <c r="G542" s="1213"/>
      <c r="H542" s="1213"/>
      <c r="I542" s="1213"/>
      <c r="J542" s="1214"/>
      <c r="K542" s="59"/>
      <c r="L542" s="59"/>
      <c r="M542" s="60"/>
      <c r="N542" s="60"/>
      <c r="O542" s="60"/>
      <c r="P542" s="1215"/>
      <c r="Q542" s="1215"/>
      <c r="R542" s="1215"/>
      <c r="S542" s="1215"/>
      <c r="T542" s="1215"/>
      <c r="U542" s="1215"/>
      <c r="V542" s="1216"/>
    </row>
    <row r="543" spans="1:22">
      <c r="A543" s="1195"/>
      <c r="B543" s="1196"/>
      <c r="C543" s="1196"/>
      <c r="D543" s="1196"/>
      <c r="E543" s="1196"/>
      <c r="F543" s="1196"/>
      <c r="G543" s="1196"/>
      <c r="H543" s="1196"/>
      <c r="I543" s="1196"/>
      <c r="J543" s="1196"/>
      <c r="K543" s="61"/>
      <c r="L543" s="61"/>
      <c r="M543" s="14"/>
      <c r="N543" s="14"/>
      <c r="O543" s="14"/>
      <c r="P543" s="1196"/>
      <c r="Q543" s="1196"/>
      <c r="R543" s="1196"/>
      <c r="S543" s="1196"/>
      <c r="T543" s="1196"/>
      <c r="U543" s="1196"/>
      <c r="V543" s="1217"/>
    </row>
    <row r="544" spans="1:22">
      <c r="A544" s="1195"/>
      <c r="B544" s="1196"/>
      <c r="C544" s="1196"/>
      <c r="D544" s="1196"/>
      <c r="E544" s="1197" t="str">
        <f t="shared" ref="E544:E566" si="44">IF(K544=0,"",(VLOOKUP((TRIM(K544)),Code,2,)))</f>
        <v/>
      </c>
      <c r="F544" s="1198"/>
      <c r="G544" s="1198"/>
      <c r="H544" s="1198"/>
      <c r="I544" s="1198"/>
      <c r="J544" s="1199"/>
      <c r="K544" s="133"/>
      <c r="L544" s="62" t="str">
        <f t="shared" ref="L544:L571" si="45">IF(K544=0,"",VLOOKUP((TRIM(K544)),Code,3,))</f>
        <v/>
      </c>
      <c r="M544" s="14"/>
      <c r="N544" s="89">
        <f t="array" ref="N544">SUM(IF((CsDJ[JEV Number]=TRIM($T533))*(CsDJ[Account Code]=TRIM(K544)),CsDJ[Debit]))</f>
        <v>0</v>
      </c>
      <c r="O544" s="89">
        <f t="array" ref="O544">SUM(IF((CsDJ[JEV Number]=TRIM($T533))*(CsDJ[Account Code]=TRIM(K544)),CsDJ[Credit]))</f>
        <v>0</v>
      </c>
      <c r="P544" s="1200">
        <f>N544</f>
        <v>0</v>
      </c>
      <c r="Q544" s="1200"/>
      <c r="R544" s="1200"/>
      <c r="S544" s="1200">
        <f>O544</f>
        <v>0</v>
      </c>
      <c r="T544" s="1200"/>
      <c r="U544" s="1200"/>
      <c r="V544" s="1201"/>
    </row>
    <row r="545" spans="1:22">
      <c r="A545" s="1195"/>
      <c r="B545" s="1196"/>
      <c r="C545" s="1196"/>
      <c r="D545" s="1196"/>
      <c r="E545" s="1197" t="str">
        <f t="shared" si="44"/>
        <v/>
      </c>
      <c r="F545" s="1198"/>
      <c r="G545" s="1198"/>
      <c r="H545" s="1198"/>
      <c r="I545" s="1198"/>
      <c r="J545" s="1199"/>
      <c r="K545" s="133"/>
      <c r="L545" s="62" t="str">
        <f t="shared" si="45"/>
        <v/>
      </c>
      <c r="M545" s="14"/>
      <c r="N545" s="89">
        <f t="array" ref="N545">SUM(IF((CsDJ[JEV Number]=TRIM($T533))*(CsDJ[Account Code]=TRIM(K545)),CsDJ[Debit]))</f>
        <v>0</v>
      </c>
      <c r="O545" s="89">
        <f t="array" ref="O545">SUM(IF((CsDJ[JEV Number]=TRIM($T533))*(CsDJ[Account Code]=TRIM(K545)),CsDJ[Credit]))</f>
        <v>0</v>
      </c>
      <c r="P545" s="1200">
        <f>N545</f>
        <v>0</v>
      </c>
      <c r="Q545" s="1200"/>
      <c r="R545" s="1200"/>
      <c r="S545" s="1200">
        <f>O545</f>
        <v>0</v>
      </c>
      <c r="T545" s="1200"/>
      <c r="U545" s="1200"/>
      <c r="V545" s="1201"/>
    </row>
    <row r="546" spans="1:22">
      <c r="A546" s="1195"/>
      <c r="B546" s="1196"/>
      <c r="C546" s="1196"/>
      <c r="D546" s="1196"/>
      <c r="E546" s="1197" t="str">
        <f t="shared" si="44"/>
        <v/>
      </c>
      <c r="F546" s="1198"/>
      <c r="G546" s="1198"/>
      <c r="H546" s="1198"/>
      <c r="I546" s="1198"/>
      <c r="J546" s="1199"/>
      <c r="K546" s="133"/>
      <c r="L546" s="62" t="str">
        <f t="shared" si="45"/>
        <v/>
      </c>
      <c r="M546" s="14"/>
      <c r="N546" s="89">
        <f t="array" ref="N546">SUM(IF((CsDJ[JEV Number]=TRIM($T533))*(CsDJ[Account Code]=TRIM(K546)),CsDJ[Debit]))</f>
        <v>0</v>
      </c>
      <c r="O546" s="89">
        <f t="array" ref="O546">SUM(IF((CsDJ[JEV Number]=TRIM($T533))*(CsDJ[Account Code]=TRIM(K546)),CsDJ[Credit]))</f>
        <v>0</v>
      </c>
      <c r="P546" s="1200">
        <f t="shared" ref="P546:P571" si="46">N546</f>
        <v>0</v>
      </c>
      <c r="Q546" s="1200"/>
      <c r="R546" s="1200"/>
      <c r="S546" s="1200">
        <f t="shared" ref="S546:S571" si="47">O546</f>
        <v>0</v>
      </c>
      <c r="T546" s="1200"/>
      <c r="U546" s="1200"/>
      <c r="V546" s="1201"/>
    </row>
    <row r="547" spans="1:22">
      <c r="A547" s="1195"/>
      <c r="B547" s="1196"/>
      <c r="C547" s="1196"/>
      <c r="D547" s="1196"/>
      <c r="E547" s="1197" t="str">
        <f t="shared" si="44"/>
        <v/>
      </c>
      <c r="F547" s="1198"/>
      <c r="G547" s="1198"/>
      <c r="H547" s="1198"/>
      <c r="I547" s="1198"/>
      <c r="J547" s="1199"/>
      <c r="K547" s="133"/>
      <c r="L547" s="62" t="str">
        <f t="shared" si="45"/>
        <v/>
      </c>
      <c r="M547" s="14"/>
      <c r="N547" s="89">
        <f t="array" ref="N547">SUM(IF((CsDJ[JEV Number]=TRIM($T533))*(CsDJ[Account Code]=TRIM(K547)),CsDJ[Debit]))</f>
        <v>0</v>
      </c>
      <c r="O547" s="89">
        <f t="array" ref="O547">SUM(IF((CsDJ[JEV Number]=TRIM($T533))*(CsDJ[Account Code]=TRIM(K547)),CsDJ[Credit]))</f>
        <v>0</v>
      </c>
      <c r="P547" s="1200">
        <f t="shared" si="46"/>
        <v>0</v>
      </c>
      <c r="Q547" s="1200"/>
      <c r="R547" s="1200"/>
      <c r="S547" s="1200">
        <f t="shared" si="47"/>
        <v>0</v>
      </c>
      <c r="T547" s="1200"/>
      <c r="U547" s="1200"/>
      <c r="V547" s="1201"/>
    </row>
    <row r="548" spans="1:22">
      <c r="A548" s="1195"/>
      <c r="B548" s="1196"/>
      <c r="C548" s="1196"/>
      <c r="D548" s="1196"/>
      <c r="E548" s="1197" t="str">
        <f t="shared" si="44"/>
        <v/>
      </c>
      <c r="F548" s="1198"/>
      <c r="G548" s="1198"/>
      <c r="H548" s="1198"/>
      <c r="I548" s="1198"/>
      <c r="J548" s="1199"/>
      <c r="K548" s="133"/>
      <c r="L548" s="62" t="str">
        <f t="shared" si="45"/>
        <v/>
      </c>
      <c r="M548" s="14"/>
      <c r="N548" s="89">
        <f t="array" ref="N548">SUM(IF((CsDJ[JEV Number]=TRIM($T533))*(CsDJ[Account Code]=TRIM(K548)),CsDJ[Debit]))</f>
        <v>0</v>
      </c>
      <c r="O548" s="89">
        <f t="array" ref="O548">SUM(IF((CsDJ[JEV Number]=TRIM($T533))*(CsDJ[Account Code]=TRIM(K548)),CsDJ[Credit]))</f>
        <v>0</v>
      </c>
      <c r="P548" s="1200">
        <f t="shared" si="46"/>
        <v>0</v>
      </c>
      <c r="Q548" s="1200"/>
      <c r="R548" s="1200"/>
      <c r="S548" s="1200">
        <f t="shared" si="47"/>
        <v>0</v>
      </c>
      <c r="T548" s="1200"/>
      <c r="U548" s="1200"/>
      <c r="V548" s="1201"/>
    </row>
    <row r="549" spans="1:22">
      <c r="A549" s="1195"/>
      <c r="B549" s="1196"/>
      <c r="C549" s="1196"/>
      <c r="D549" s="1196"/>
      <c r="E549" s="1197" t="str">
        <f t="shared" si="44"/>
        <v/>
      </c>
      <c r="F549" s="1198"/>
      <c r="G549" s="1198"/>
      <c r="H549" s="1198"/>
      <c r="I549" s="1198"/>
      <c r="J549" s="1199"/>
      <c r="K549" s="133"/>
      <c r="L549" s="62" t="str">
        <f t="shared" si="45"/>
        <v/>
      </c>
      <c r="M549" s="14"/>
      <c r="N549" s="89">
        <f t="array" ref="N549">SUM(IF((CsDJ[JEV Number]=TRIM($T533))*(CsDJ[Account Code]=TRIM(K549)),CsDJ[Debit]))</f>
        <v>0</v>
      </c>
      <c r="O549" s="89">
        <f t="array" ref="O549">SUM(IF((CsDJ[JEV Number]=TRIM($T533))*(CsDJ[Account Code]=TRIM(K549)),CsDJ[Credit]))</f>
        <v>0</v>
      </c>
      <c r="P549" s="1200">
        <f t="shared" si="46"/>
        <v>0</v>
      </c>
      <c r="Q549" s="1200"/>
      <c r="R549" s="1200"/>
      <c r="S549" s="1200">
        <f t="shared" si="47"/>
        <v>0</v>
      </c>
      <c r="T549" s="1200"/>
      <c r="U549" s="1200"/>
      <c r="V549" s="1201"/>
    </row>
    <row r="550" spans="1:22">
      <c r="A550" s="1195"/>
      <c r="B550" s="1196"/>
      <c r="C550" s="1196"/>
      <c r="D550" s="1196"/>
      <c r="E550" s="1197" t="str">
        <f t="shared" si="44"/>
        <v/>
      </c>
      <c r="F550" s="1198"/>
      <c r="G550" s="1198"/>
      <c r="H550" s="1198"/>
      <c r="I550" s="1198"/>
      <c r="J550" s="1199"/>
      <c r="K550" s="133"/>
      <c r="L550" s="62" t="str">
        <f t="shared" si="45"/>
        <v/>
      </c>
      <c r="M550" s="14"/>
      <c r="N550" s="89">
        <f t="array" ref="N550">SUM(IF((CsDJ[JEV Number]=TRIM($T533))*(CsDJ[Account Code]=TRIM(K550)),CsDJ[Debit]))</f>
        <v>0</v>
      </c>
      <c r="O550" s="89">
        <f t="array" ref="O550">SUM(IF((CsDJ[JEV Number]=TRIM($T533))*(CsDJ[Account Code]=TRIM(K550)),CsDJ[Credit]))</f>
        <v>0</v>
      </c>
      <c r="P550" s="1200">
        <f t="shared" si="46"/>
        <v>0</v>
      </c>
      <c r="Q550" s="1200"/>
      <c r="R550" s="1200"/>
      <c r="S550" s="1200">
        <f t="shared" si="47"/>
        <v>0</v>
      </c>
      <c r="T550" s="1200"/>
      <c r="U550" s="1200"/>
      <c r="V550" s="1201"/>
    </row>
    <row r="551" spans="1:22">
      <c r="A551" s="1195"/>
      <c r="B551" s="1196"/>
      <c r="C551" s="1196"/>
      <c r="D551" s="1196"/>
      <c r="E551" s="1197" t="str">
        <f t="shared" si="44"/>
        <v/>
      </c>
      <c r="F551" s="1198"/>
      <c r="G551" s="1198"/>
      <c r="H551" s="1198"/>
      <c r="I551" s="1198"/>
      <c r="J551" s="1199"/>
      <c r="K551" s="133"/>
      <c r="L551" s="62" t="str">
        <f t="shared" si="45"/>
        <v/>
      </c>
      <c r="M551" s="14"/>
      <c r="N551" s="89">
        <f t="array" ref="N551">SUM(IF((CsDJ[JEV Number]=TRIM($T533))*(CsDJ[Account Code]=TRIM(K551)),CsDJ[Debit]))</f>
        <v>0</v>
      </c>
      <c r="O551" s="89">
        <f t="array" ref="O551">SUM(IF((CsDJ[JEV Number]=TRIM($T533))*(CsDJ[Account Code]=TRIM(K551)),CsDJ[Credit]))</f>
        <v>0</v>
      </c>
      <c r="P551" s="1200">
        <f t="shared" si="46"/>
        <v>0</v>
      </c>
      <c r="Q551" s="1200"/>
      <c r="R551" s="1200"/>
      <c r="S551" s="1200">
        <f t="shared" si="47"/>
        <v>0</v>
      </c>
      <c r="T551" s="1200"/>
      <c r="U551" s="1200"/>
      <c r="V551" s="1201"/>
    </row>
    <row r="552" spans="1:22">
      <c r="A552" s="1195"/>
      <c r="B552" s="1196"/>
      <c r="C552" s="1196"/>
      <c r="D552" s="1196"/>
      <c r="E552" s="1197" t="str">
        <f t="shared" si="44"/>
        <v/>
      </c>
      <c r="F552" s="1198"/>
      <c r="G552" s="1198"/>
      <c r="H552" s="1198"/>
      <c r="I552" s="1198"/>
      <c r="J552" s="1199"/>
      <c r="K552" s="134"/>
      <c r="L552" s="62" t="str">
        <f t="shared" si="45"/>
        <v/>
      </c>
      <c r="M552" s="14"/>
      <c r="N552" s="89">
        <f t="array" ref="N552">SUM(IF((CsDJ[JEV Number]=TRIM($T533))*(CsDJ[Account Code]=TRIM(K552)),CsDJ[Debit]))</f>
        <v>0</v>
      </c>
      <c r="O552" s="89">
        <f t="array" ref="O552">SUM(IF((CsDJ[JEV Number]=TRIM($T533))*(CsDJ[Account Code]=TRIM(K552)),CsDJ[Credit]))</f>
        <v>0</v>
      </c>
      <c r="P552" s="1200">
        <f t="shared" si="46"/>
        <v>0</v>
      </c>
      <c r="Q552" s="1200"/>
      <c r="R552" s="1200"/>
      <c r="S552" s="1200">
        <f t="shared" si="47"/>
        <v>0</v>
      </c>
      <c r="T552" s="1200"/>
      <c r="U552" s="1200"/>
      <c r="V552" s="1201"/>
    </row>
    <row r="553" spans="1:22">
      <c r="A553" s="1195"/>
      <c r="B553" s="1196"/>
      <c r="C553" s="1196"/>
      <c r="D553" s="1196"/>
      <c r="E553" s="1197" t="str">
        <f t="shared" si="44"/>
        <v/>
      </c>
      <c r="F553" s="1198"/>
      <c r="G553" s="1198"/>
      <c r="H553" s="1198"/>
      <c r="I553" s="1198"/>
      <c r="J553" s="1199"/>
      <c r="K553" s="134"/>
      <c r="L553" s="62" t="str">
        <f t="shared" si="45"/>
        <v/>
      </c>
      <c r="M553" s="14"/>
      <c r="N553" s="89">
        <f t="array" ref="N553">SUM(IF((CsDJ[JEV Number]=TRIM($T533))*(CsDJ[Account Code]=TRIM(K553)),CsDJ[Debit]))</f>
        <v>0</v>
      </c>
      <c r="O553" s="89">
        <f t="array" ref="O553">SUM(IF((CsDJ[JEV Number]=TRIM($T533))*(CsDJ[Account Code]=TRIM(K553)),CsDJ[Credit]))</f>
        <v>0</v>
      </c>
      <c r="P553" s="1200">
        <f t="shared" si="46"/>
        <v>0</v>
      </c>
      <c r="Q553" s="1200"/>
      <c r="R553" s="1200"/>
      <c r="S553" s="1200">
        <f t="shared" si="47"/>
        <v>0</v>
      </c>
      <c r="T553" s="1200"/>
      <c r="U553" s="1200"/>
      <c r="V553" s="1201"/>
    </row>
    <row r="554" spans="1:22">
      <c r="A554" s="1195"/>
      <c r="B554" s="1196"/>
      <c r="C554" s="1196"/>
      <c r="D554" s="1196"/>
      <c r="E554" s="1197" t="str">
        <f t="shared" si="44"/>
        <v/>
      </c>
      <c r="F554" s="1198"/>
      <c r="G554" s="1198"/>
      <c r="H554" s="1198"/>
      <c r="I554" s="1198"/>
      <c r="J554" s="1199"/>
      <c r="K554" s="134"/>
      <c r="L554" s="62" t="str">
        <f t="shared" si="45"/>
        <v/>
      </c>
      <c r="M554" s="14"/>
      <c r="N554" s="89">
        <f t="array" ref="N554">SUM(IF((CsDJ[JEV Number]=TRIM($T533))*(CsDJ[Account Code]=TRIM(K554)),CsDJ[Debit]))</f>
        <v>0</v>
      </c>
      <c r="O554" s="89">
        <f t="array" ref="O554">SUM(IF((CsDJ[JEV Number]=TRIM($T533))*(CsDJ[Account Code]=TRIM(K554)),CsDJ[Credit]))</f>
        <v>0</v>
      </c>
      <c r="P554" s="1200">
        <f t="shared" si="46"/>
        <v>0</v>
      </c>
      <c r="Q554" s="1200"/>
      <c r="R554" s="1200"/>
      <c r="S554" s="1200">
        <f t="shared" si="47"/>
        <v>0</v>
      </c>
      <c r="T554" s="1200"/>
      <c r="U554" s="1200"/>
      <c r="V554" s="1201"/>
    </row>
    <row r="555" spans="1:22">
      <c r="A555" s="1195"/>
      <c r="B555" s="1196"/>
      <c r="C555" s="1196"/>
      <c r="D555" s="1196"/>
      <c r="E555" s="1197" t="str">
        <f t="shared" si="44"/>
        <v/>
      </c>
      <c r="F555" s="1198"/>
      <c r="G555" s="1198"/>
      <c r="H555" s="1198"/>
      <c r="I555" s="1198"/>
      <c r="J555" s="1199"/>
      <c r="K555" s="134"/>
      <c r="L555" s="62" t="str">
        <f t="shared" si="45"/>
        <v/>
      </c>
      <c r="M555" s="14"/>
      <c r="N555" s="89">
        <f t="array" ref="N555">SUM(IF((CsDJ[JEV Number]=TRIM($T533))*(CsDJ[Account Code]=TRIM(K555)),CsDJ[Debit]))</f>
        <v>0</v>
      </c>
      <c r="O555" s="89">
        <f t="array" ref="O555">SUM(IF((CsDJ[JEV Number]=TRIM($T533))*(CsDJ[Account Code]=TRIM(K555)),CsDJ[Credit]))</f>
        <v>0</v>
      </c>
      <c r="P555" s="1200">
        <f t="shared" si="46"/>
        <v>0</v>
      </c>
      <c r="Q555" s="1200"/>
      <c r="R555" s="1200"/>
      <c r="S555" s="1200">
        <f t="shared" si="47"/>
        <v>0</v>
      </c>
      <c r="T555" s="1200"/>
      <c r="U555" s="1200"/>
      <c r="V555" s="1201"/>
    </row>
    <row r="556" spans="1:22">
      <c r="A556" s="1195"/>
      <c r="B556" s="1196"/>
      <c r="C556" s="1196"/>
      <c r="D556" s="1196"/>
      <c r="E556" s="1197" t="str">
        <f t="shared" si="44"/>
        <v/>
      </c>
      <c r="F556" s="1198"/>
      <c r="G556" s="1198"/>
      <c r="H556" s="1198"/>
      <c r="I556" s="1198"/>
      <c r="J556" s="1199"/>
      <c r="K556" s="134"/>
      <c r="L556" s="62" t="str">
        <f t="shared" si="45"/>
        <v/>
      </c>
      <c r="M556" s="14"/>
      <c r="N556" s="89">
        <f t="array" ref="N556">SUM(IF((CsDJ[JEV Number]=TRIM($T533))*(CsDJ[Account Code]=TRIM(K556)),CsDJ[Debit]))</f>
        <v>0</v>
      </c>
      <c r="O556" s="89">
        <f t="array" ref="O556">SUM(IF((CsDJ[JEV Number]=TRIM($T533))*(CsDJ[Account Code]=TRIM(K556)),CsDJ[Credit]))</f>
        <v>0</v>
      </c>
      <c r="P556" s="1200">
        <f t="shared" si="46"/>
        <v>0</v>
      </c>
      <c r="Q556" s="1200"/>
      <c r="R556" s="1200"/>
      <c r="S556" s="1200">
        <f t="shared" si="47"/>
        <v>0</v>
      </c>
      <c r="T556" s="1200"/>
      <c r="U556" s="1200"/>
      <c r="V556" s="1201"/>
    </row>
    <row r="557" spans="1:22">
      <c r="A557" s="1195"/>
      <c r="B557" s="1196"/>
      <c r="C557" s="1196"/>
      <c r="D557" s="1196"/>
      <c r="E557" s="1197" t="str">
        <f t="shared" si="44"/>
        <v/>
      </c>
      <c r="F557" s="1198"/>
      <c r="G557" s="1198"/>
      <c r="H557" s="1198"/>
      <c r="I557" s="1198"/>
      <c r="J557" s="1199"/>
      <c r="K557" s="134"/>
      <c r="L557" s="62" t="str">
        <f t="shared" si="45"/>
        <v/>
      </c>
      <c r="M557" s="14"/>
      <c r="N557" s="89">
        <f t="array" ref="N557">SUM(IF((CsDJ[JEV Number]=TRIM($T533))*(CsDJ[Account Code]=TRIM(K557)),CsDJ[Debit]))</f>
        <v>0</v>
      </c>
      <c r="O557" s="89">
        <f t="array" ref="O557">SUM(IF((CsDJ[JEV Number]=TRIM($T533))*(CsDJ[Account Code]=TRIM(K557)),CsDJ[Credit]))</f>
        <v>0</v>
      </c>
      <c r="P557" s="1200">
        <f t="shared" si="46"/>
        <v>0</v>
      </c>
      <c r="Q557" s="1200"/>
      <c r="R557" s="1200"/>
      <c r="S557" s="1200">
        <f t="shared" si="47"/>
        <v>0</v>
      </c>
      <c r="T557" s="1200"/>
      <c r="U557" s="1200"/>
      <c r="V557" s="1201"/>
    </row>
    <row r="558" spans="1:22">
      <c r="A558" s="1195"/>
      <c r="B558" s="1196"/>
      <c r="C558" s="1196"/>
      <c r="D558" s="1196"/>
      <c r="E558" s="1197" t="str">
        <f t="shared" si="44"/>
        <v/>
      </c>
      <c r="F558" s="1198"/>
      <c r="G558" s="1198"/>
      <c r="H558" s="1198"/>
      <c r="I558" s="1198"/>
      <c r="J558" s="1199"/>
      <c r="K558" s="134"/>
      <c r="L558" s="62" t="str">
        <f t="shared" si="45"/>
        <v/>
      </c>
      <c r="M558" s="14"/>
      <c r="N558" s="89">
        <f t="array" ref="N558">SUM(IF((CsDJ[JEV Number]=TRIM($T533))*(CsDJ[Account Code]=TRIM(K558)),CsDJ[Debit]))</f>
        <v>0</v>
      </c>
      <c r="O558" s="89">
        <f t="array" ref="O558">SUM(IF((CsDJ[JEV Number]=TRIM($T533))*(CsDJ[Account Code]=TRIM(K558)),CsDJ[Credit]))</f>
        <v>0</v>
      </c>
      <c r="P558" s="1200">
        <f t="shared" si="46"/>
        <v>0</v>
      </c>
      <c r="Q558" s="1200"/>
      <c r="R558" s="1200"/>
      <c r="S558" s="1200">
        <f t="shared" si="47"/>
        <v>0</v>
      </c>
      <c r="T558" s="1200"/>
      <c r="U558" s="1200"/>
      <c r="V558" s="1201"/>
    </row>
    <row r="559" spans="1:22">
      <c r="A559" s="1195"/>
      <c r="B559" s="1196"/>
      <c r="C559" s="1196"/>
      <c r="D559" s="1196"/>
      <c r="E559" s="1197" t="str">
        <f t="shared" si="44"/>
        <v/>
      </c>
      <c r="F559" s="1198"/>
      <c r="G559" s="1198"/>
      <c r="H559" s="1198"/>
      <c r="I559" s="1198"/>
      <c r="J559" s="1199"/>
      <c r="K559" s="134"/>
      <c r="L559" s="62" t="str">
        <f t="shared" si="45"/>
        <v/>
      </c>
      <c r="M559" s="14"/>
      <c r="N559" s="89">
        <f t="array" ref="N559">SUM(IF((CsDJ[JEV Number]=TRIM($T533))*(CsDJ[Account Code]=TRIM(K559)),CsDJ[Debit]))</f>
        <v>0</v>
      </c>
      <c r="O559" s="89">
        <f t="array" ref="O559">SUM(IF((CsDJ[JEV Number]=TRIM($T533))*(CsDJ[Account Code]=TRIM(K559)),CsDJ[Credit]))</f>
        <v>0</v>
      </c>
      <c r="P559" s="1200">
        <f t="shared" si="46"/>
        <v>0</v>
      </c>
      <c r="Q559" s="1200"/>
      <c r="R559" s="1200"/>
      <c r="S559" s="1200">
        <f t="shared" si="47"/>
        <v>0</v>
      </c>
      <c r="T559" s="1200"/>
      <c r="U559" s="1200"/>
      <c r="V559" s="1201"/>
    </row>
    <row r="560" spans="1:22">
      <c r="A560" s="1195"/>
      <c r="B560" s="1196"/>
      <c r="C560" s="1196"/>
      <c r="D560" s="1196"/>
      <c r="E560" s="1197" t="str">
        <f t="shared" si="44"/>
        <v/>
      </c>
      <c r="F560" s="1198"/>
      <c r="G560" s="1198"/>
      <c r="H560" s="1198"/>
      <c r="I560" s="1198"/>
      <c r="J560" s="1199"/>
      <c r="K560" s="134"/>
      <c r="L560" s="62" t="str">
        <f t="shared" si="45"/>
        <v/>
      </c>
      <c r="M560" s="14"/>
      <c r="N560" s="89">
        <f t="array" ref="N560">SUM(IF((CsDJ[JEV Number]=TRIM($T533))*(CsDJ[Account Code]=TRIM(K560)),CsDJ[Debit]))</f>
        <v>0</v>
      </c>
      <c r="O560" s="89">
        <f t="array" ref="O560">SUM(IF((CsDJ[JEV Number]=TRIM($T533))*(CsDJ[Account Code]=TRIM(K560)),CsDJ[Credit]))</f>
        <v>0</v>
      </c>
      <c r="P560" s="1200">
        <f t="shared" si="46"/>
        <v>0</v>
      </c>
      <c r="Q560" s="1200"/>
      <c r="R560" s="1200"/>
      <c r="S560" s="1200">
        <f t="shared" si="47"/>
        <v>0</v>
      </c>
      <c r="T560" s="1200"/>
      <c r="U560" s="1200"/>
      <c r="V560" s="1201"/>
    </row>
    <row r="561" spans="1:22">
      <c r="A561" s="1195"/>
      <c r="B561" s="1196"/>
      <c r="C561" s="1196"/>
      <c r="D561" s="1196"/>
      <c r="E561" s="1197" t="str">
        <f t="shared" si="44"/>
        <v/>
      </c>
      <c r="F561" s="1198"/>
      <c r="G561" s="1198"/>
      <c r="H561" s="1198"/>
      <c r="I561" s="1198"/>
      <c r="J561" s="1199"/>
      <c r="K561" s="134"/>
      <c r="L561" s="62" t="str">
        <f t="shared" si="45"/>
        <v/>
      </c>
      <c r="M561" s="14"/>
      <c r="N561" s="89">
        <f t="array" ref="N561">SUM(IF((CsDJ[JEV Number]=TRIM($T533))*(CsDJ[Account Code]=TRIM(K561)),CsDJ[Debit]))</f>
        <v>0</v>
      </c>
      <c r="O561" s="89">
        <f t="array" ref="O561">SUM(IF((CsDJ[JEV Number]=TRIM($T533))*(CsDJ[Account Code]=TRIM(K561)),CsDJ[Credit]))</f>
        <v>0</v>
      </c>
      <c r="P561" s="1200">
        <f t="shared" si="46"/>
        <v>0</v>
      </c>
      <c r="Q561" s="1200"/>
      <c r="R561" s="1200"/>
      <c r="S561" s="1200">
        <f t="shared" si="47"/>
        <v>0</v>
      </c>
      <c r="T561" s="1200"/>
      <c r="U561" s="1200"/>
      <c r="V561" s="1201"/>
    </row>
    <row r="562" spans="1:22">
      <c r="A562" s="1195"/>
      <c r="B562" s="1196"/>
      <c r="C562" s="1196"/>
      <c r="D562" s="1196"/>
      <c r="E562" s="1197" t="str">
        <f t="shared" si="44"/>
        <v/>
      </c>
      <c r="F562" s="1198"/>
      <c r="G562" s="1198"/>
      <c r="H562" s="1198"/>
      <c r="I562" s="1198"/>
      <c r="J562" s="1199"/>
      <c r="K562" s="134"/>
      <c r="L562" s="62" t="str">
        <f t="shared" si="45"/>
        <v/>
      </c>
      <c r="M562" s="14"/>
      <c r="N562" s="89">
        <f t="array" ref="N562">SUM(IF((CsDJ[JEV Number]=TRIM($T533))*(CsDJ[Account Code]=TRIM(K562)),CsDJ[Debit]))</f>
        <v>0</v>
      </c>
      <c r="O562" s="89">
        <f t="array" ref="O562">SUM(IF((CsDJ[JEV Number]=TRIM($T533))*(CsDJ[Account Code]=TRIM(K562)),CsDJ[Credit]))</f>
        <v>0</v>
      </c>
      <c r="P562" s="1200">
        <f t="shared" si="46"/>
        <v>0</v>
      </c>
      <c r="Q562" s="1200"/>
      <c r="R562" s="1200"/>
      <c r="S562" s="1200">
        <f t="shared" si="47"/>
        <v>0</v>
      </c>
      <c r="T562" s="1200"/>
      <c r="U562" s="1200"/>
      <c r="V562" s="1201"/>
    </row>
    <row r="563" spans="1:22">
      <c r="A563" s="1195"/>
      <c r="B563" s="1196"/>
      <c r="C563" s="1196"/>
      <c r="D563" s="1196"/>
      <c r="E563" s="1197" t="str">
        <f t="shared" si="44"/>
        <v/>
      </c>
      <c r="F563" s="1198"/>
      <c r="G563" s="1198"/>
      <c r="H563" s="1198"/>
      <c r="I563" s="1198"/>
      <c r="J563" s="1199"/>
      <c r="K563" s="134"/>
      <c r="L563" s="62" t="str">
        <f t="shared" si="45"/>
        <v/>
      </c>
      <c r="M563" s="14"/>
      <c r="N563" s="89">
        <f t="array" ref="N563">SUM(IF((CsDJ[JEV Number]=TRIM($T533))*(CsDJ[Account Code]=TRIM(K563)),CsDJ[Debit]))</f>
        <v>0</v>
      </c>
      <c r="O563" s="89">
        <f t="array" ref="O563">SUM(IF((CsDJ[JEV Number]=TRIM($T533))*(CsDJ[Account Code]=TRIM(K563)),CsDJ[Credit]))</f>
        <v>0</v>
      </c>
      <c r="P563" s="1200">
        <f t="shared" si="46"/>
        <v>0</v>
      </c>
      <c r="Q563" s="1200"/>
      <c r="R563" s="1200"/>
      <c r="S563" s="1200">
        <f t="shared" si="47"/>
        <v>0</v>
      </c>
      <c r="T563" s="1200"/>
      <c r="U563" s="1200"/>
      <c r="V563" s="1201"/>
    </row>
    <row r="564" spans="1:22">
      <c r="A564" s="1195"/>
      <c r="B564" s="1196"/>
      <c r="C564" s="1196"/>
      <c r="D564" s="1196"/>
      <c r="E564" s="1197" t="str">
        <f t="shared" si="44"/>
        <v/>
      </c>
      <c r="F564" s="1198"/>
      <c r="G564" s="1198"/>
      <c r="H564" s="1198"/>
      <c r="I564" s="1198"/>
      <c r="J564" s="1199"/>
      <c r="K564" s="134"/>
      <c r="L564" s="62" t="str">
        <f t="shared" si="45"/>
        <v/>
      </c>
      <c r="M564" s="14"/>
      <c r="N564" s="89">
        <f t="array" ref="N564">SUM(IF((CsDJ[JEV Number]=TRIM($T533))*(CsDJ[Account Code]=TRIM(K564)),CsDJ[Debit]))</f>
        <v>0</v>
      </c>
      <c r="O564" s="89">
        <f t="array" ref="O564">SUM(IF((CsDJ[JEV Number]=TRIM($T533))*(CsDJ[Account Code]=TRIM(K564)),CsDJ[Credit]))</f>
        <v>0</v>
      </c>
      <c r="P564" s="1200">
        <f t="shared" si="46"/>
        <v>0</v>
      </c>
      <c r="Q564" s="1200"/>
      <c r="R564" s="1200"/>
      <c r="S564" s="1200">
        <f t="shared" si="47"/>
        <v>0</v>
      </c>
      <c r="T564" s="1200"/>
      <c r="U564" s="1200"/>
      <c r="V564" s="1201"/>
    </row>
    <row r="565" spans="1:22">
      <c r="A565" s="1195"/>
      <c r="B565" s="1196"/>
      <c r="C565" s="1196"/>
      <c r="D565" s="1196"/>
      <c r="E565" s="1197" t="str">
        <f t="shared" si="44"/>
        <v/>
      </c>
      <c r="F565" s="1198"/>
      <c r="G565" s="1198"/>
      <c r="H565" s="1198"/>
      <c r="I565" s="1198"/>
      <c r="J565" s="1199"/>
      <c r="K565" s="134"/>
      <c r="L565" s="62" t="str">
        <f t="shared" si="45"/>
        <v/>
      </c>
      <c r="M565" s="14"/>
      <c r="N565" s="89">
        <f t="array" ref="N565">SUM(IF((CsDJ[JEV Number]=TRIM($T533))*(CsDJ[Account Code]=TRIM(K565)),CsDJ[Debit]))</f>
        <v>0</v>
      </c>
      <c r="O565" s="89">
        <f t="array" ref="O565">SUM(IF((CsDJ[JEV Number]=TRIM($T533))*(CsDJ[Account Code]=TRIM(K565)),CsDJ[Credit]))</f>
        <v>0</v>
      </c>
      <c r="P565" s="1200">
        <f t="shared" si="46"/>
        <v>0</v>
      </c>
      <c r="Q565" s="1200"/>
      <c r="R565" s="1200"/>
      <c r="S565" s="1200">
        <f t="shared" si="47"/>
        <v>0</v>
      </c>
      <c r="T565" s="1200"/>
      <c r="U565" s="1200"/>
      <c r="V565" s="1201"/>
    </row>
    <row r="566" spans="1:22">
      <c r="A566" s="1195"/>
      <c r="B566" s="1196"/>
      <c r="C566" s="1196"/>
      <c r="D566" s="1196"/>
      <c r="E566" s="1197" t="str">
        <f t="shared" si="44"/>
        <v/>
      </c>
      <c r="F566" s="1198"/>
      <c r="G566" s="1198"/>
      <c r="H566" s="1198"/>
      <c r="I566" s="1198"/>
      <c r="J566" s="1199"/>
      <c r="K566" s="134"/>
      <c r="L566" s="62" t="str">
        <f t="shared" si="45"/>
        <v/>
      </c>
      <c r="M566" s="14"/>
      <c r="N566" s="89">
        <f t="array" ref="N566">SUM(IF((CsDJ[JEV Number]=TRIM($T533))*(CsDJ[Account Code]=TRIM(K566)),CsDJ[Debit]))</f>
        <v>0</v>
      </c>
      <c r="O566" s="89">
        <f t="array" ref="O566">SUM(IF((CsDJ[JEV Number]=TRIM($T533))*(CsDJ[Account Code]=TRIM(K566)),CsDJ[Credit]))</f>
        <v>0</v>
      </c>
      <c r="P566" s="1200">
        <f t="shared" si="46"/>
        <v>0</v>
      </c>
      <c r="Q566" s="1200"/>
      <c r="R566" s="1200"/>
      <c r="S566" s="1200">
        <f t="shared" si="47"/>
        <v>0</v>
      </c>
      <c r="T566" s="1200"/>
      <c r="U566" s="1200"/>
      <c r="V566" s="1201"/>
    </row>
    <row r="567" spans="1:22">
      <c r="A567" s="1195"/>
      <c r="B567" s="1196"/>
      <c r="C567" s="1196"/>
      <c r="D567" s="1196"/>
      <c r="E567" s="1257" t="s">
        <v>468</v>
      </c>
      <c r="F567" s="1258"/>
      <c r="G567" s="1258"/>
      <c r="H567" s="1258"/>
      <c r="I567" s="1258"/>
      <c r="J567" s="1259"/>
      <c r="K567" s="133"/>
      <c r="L567" s="62" t="str">
        <f t="shared" si="45"/>
        <v/>
      </c>
      <c r="M567" s="14"/>
      <c r="N567" s="89">
        <f t="array" ref="N567">SUM(IF((CsDJ[JEV Number]=TRIM($T533))*(CsDJ[Account Code]=TRIM(K567)),CsDJ[Debit]))</f>
        <v>0</v>
      </c>
      <c r="O567" s="89">
        <f t="array" ref="O567">SUM(IF((CsDJ[JEV Number]=TRIM($T533))*(CsDJ[Account Code]=TRIM(K567)),CsDJ[Credit]))</f>
        <v>0</v>
      </c>
      <c r="P567" s="1200">
        <f t="shared" si="46"/>
        <v>0</v>
      </c>
      <c r="Q567" s="1200"/>
      <c r="R567" s="1200"/>
      <c r="S567" s="1200">
        <f t="shared" si="47"/>
        <v>0</v>
      </c>
      <c r="T567" s="1200"/>
      <c r="U567" s="1200"/>
      <c r="V567" s="1201"/>
    </row>
    <row r="568" spans="1:22">
      <c r="A568" s="1195"/>
      <c r="B568" s="1196"/>
      <c r="C568" s="1196"/>
      <c r="D568" s="1196"/>
      <c r="E568" s="1202" t="s">
        <v>457</v>
      </c>
      <c r="F568" s="1203"/>
      <c r="G568" s="1203"/>
      <c r="H568" s="1203"/>
      <c r="I568" s="1207">
        <f>T534</f>
        <v>0</v>
      </c>
      <c r="J568" s="1208"/>
      <c r="K568" s="133"/>
      <c r="L568" s="62" t="str">
        <f t="shared" si="45"/>
        <v/>
      </c>
      <c r="M568" s="14"/>
      <c r="N568" s="89">
        <f t="array" ref="N568">SUM(IF((CsDJ[JEV Number]=TRIM($T533))*(CsDJ[Account Code]=TRIM(K568)),CsDJ[Debit]))</f>
        <v>0</v>
      </c>
      <c r="O568" s="89">
        <f t="array" ref="O568">SUM(IF((CsDJ[JEV Number]=TRIM($T533))*(CsDJ[Account Code]=TRIM(K568)),CsDJ[Credit]))</f>
        <v>0</v>
      </c>
      <c r="P568" s="1200">
        <f t="shared" si="46"/>
        <v>0</v>
      </c>
      <c r="Q568" s="1200"/>
      <c r="R568" s="1200"/>
      <c r="S568" s="1200">
        <f t="shared" si="47"/>
        <v>0</v>
      </c>
      <c r="T568" s="1200"/>
      <c r="U568" s="1200"/>
      <c r="V568" s="1201"/>
    </row>
    <row r="569" spans="1:22">
      <c r="A569" s="1195"/>
      <c r="B569" s="1196"/>
      <c r="C569" s="1196"/>
      <c r="D569" s="1196"/>
      <c r="E569" s="1202" t="s">
        <v>458</v>
      </c>
      <c r="F569" s="1203"/>
      <c r="G569" s="1203"/>
      <c r="H569" s="1203"/>
      <c r="I569" s="1263">
        <f>IF(T533=0,0,(IF(LOOKUP(T533,CsDJ[JEV Number],CsDJ[Sort Code])="1","MA. VIVIAN C. SALAS",IF(LOOKUP(T533,CsDJ[JEV Number],CsDJ[Sort Code])="2","LUZ R. DE COZAR",IF(LOOKUP(T533,CsDJ[JEV Number],CsDJ[Sort Code])="3","MINEONETTE A. DELA CRUZ",IF(LOOKUP(T533,CsDJ[JEV Number],CsDJ[Sort Code])="4","RESELLA B. LOPEZ"))))))</f>
        <v>0</v>
      </c>
      <c r="J569" s="1264"/>
      <c r="K569" s="133"/>
      <c r="L569" s="62" t="str">
        <f t="shared" si="45"/>
        <v/>
      </c>
      <c r="M569" s="14"/>
      <c r="N569" s="89">
        <f t="array" ref="N569">SUM(IF((CsDJ[JEV Number]=TRIM($T533))*(CsDJ[Account Code]=TRIM(K569)),CsDJ[Debit]))</f>
        <v>0</v>
      </c>
      <c r="O569" s="89">
        <f t="array" ref="O569">SUM(IF((CsDJ[JEV Number]=TRIM($T533))*(CsDJ[Account Code]=TRIM(K569)),CsDJ[Credit]))</f>
        <v>0</v>
      </c>
      <c r="P569" s="1200">
        <f t="shared" si="46"/>
        <v>0</v>
      </c>
      <c r="Q569" s="1200"/>
      <c r="R569" s="1200"/>
      <c r="S569" s="1200">
        <f t="shared" si="47"/>
        <v>0</v>
      </c>
      <c r="T569" s="1200"/>
      <c r="U569" s="1200"/>
      <c r="V569" s="1201"/>
    </row>
    <row r="570" spans="1:22">
      <c r="A570" s="1195"/>
      <c r="B570" s="1196"/>
      <c r="C570" s="1196"/>
      <c r="D570" s="1196"/>
      <c r="E570" s="1202" t="s">
        <v>459</v>
      </c>
      <c r="F570" s="1203"/>
      <c r="G570" s="1203"/>
      <c r="H570" s="1203"/>
      <c r="I570" s="1204">
        <f>IF(I569="Ma. Vivian C. Salas","Regional Office", IF(I569="Luz R. De Cozar","BANE IMO", IF(I569="Mineonette A. Dela Cruz","PAMBAT IMO", IF(I569="Resella B. Lopez","TARZAM IMO",0))))</f>
        <v>0</v>
      </c>
      <c r="J570" s="1205"/>
      <c r="K570" s="133"/>
      <c r="L570" s="62" t="str">
        <f t="shared" si="45"/>
        <v/>
      </c>
      <c r="M570" s="14"/>
      <c r="N570" s="89">
        <f t="array" ref="N570">SUM(IF((CsDJ[JEV Number]=TRIM($T533))*(CsDJ[Account Code]=TRIM(K570)),CsDJ[Debit]))</f>
        <v>0</v>
      </c>
      <c r="O570" s="89">
        <f t="array" ref="O570">SUM(IF((CsDJ[JEV Number]=TRIM($T533))*(CsDJ[Account Code]=TRIM(K570)),CsDJ[Credit]))</f>
        <v>0</v>
      </c>
      <c r="P570" s="1200">
        <f t="shared" si="46"/>
        <v>0</v>
      </c>
      <c r="Q570" s="1200"/>
      <c r="R570" s="1200"/>
      <c r="S570" s="1200">
        <f t="shared" si="47"/>
        <v>0</v>
      </c>
      <c r="T570" s="1200"/>
      <c r="U570" s="1200"/>
      <c r="V570" s="1201"/>
    </row>
    <row r="571" spans="1:22">
      <c r="A571" s="1195"/>
      <c r="B571" s="1196"/>
      <c r="C571" s="1196"/>
      <c r="D571" s="1196"/>
      <c r="E571" s="1202"/>
      <c r="F571" s="1203"/>
      <c r="G571" s="1203"/>
      <c r="H571" s="1203"/>
      <c r="I571" s="1203"/>
      <c r="J571" s="1206"/>
      <c r="K571" s="133"/>
      <c r="L571" s="62" t="str">
        <f t="shared" si="45"/>
        <v/>
      </c>
      <c r="M571" s="14"/>
      <c r="N571" s="89">
        <f t="array" ref="N571">SUM(IF((CsDJ[JEV Number]=TRIM($T533))*(CsDJ[Account Code]=TRIM(K571)),CsDJ[Debit]))</f>
        <v>0</v>
      </c>
      <c r="O571" s="89">
        <f t="array" ref="O571">SUM(IF((CsDJ[JEV Number]=TRIM($T533))*(CsDJ[Account Code]=TRIM(K571)),CsDJ[Credit]))</f>
        <v>0</v>
      </c>
      <c r="P571" s="1200">
        <f t="shared" si="46"/>
        <v>0</v>
      </c>
      <c r="Q571" s="1200"/>
      <c r="R571" s="1200"/>
      <c r="S571" s="1200">
        <f t="shared" si="47"/>
        <v>0</v>
      </c>
      <c r="T571" s="1200"/>
      <c r="U571" s="1200"/>
      <c r="V571" s="1201"/>
    </row>
    <row r="572" spans="1:22" ht="16.5" thickBot="1">
      <c r="A572" s="1188"/>
      <c r="B572" s="1189"/>
      <c r="C572" s="1189"/>
      <c r="D572" s="1189"/>
      <c r="E572" s="1189"/>
      <c r="F572" s="1189"/>
      <c r="G572" s="1189"/>
      <c r="H572" s="1189"/>
      <c r="I572" s="1189"/>
      <c r="J572" s="1189"/>
      <c r="K572" s="1189"/>
      <c r="L572" s="1189"/>
      <c r="M572" s="1190"/>
      <c r="N572" s="88"/>
      <c r="O572" s="88"/>
      <c r="P572" s="1191">
        <f>SUM(P542:R571)</f>
        <v>0</v>
      </c>
      <c r="Q572" s="1191"/>
      <c r="R572" s="1191"/>
      <c r="S572" s="1191">
        <f>SUM(S542:V571)</f>
        <v>0</v>
      </c>
      <c r="T572" s="1191"/>
      <c r="U572" s="1191"/>
      <c r="V572" s="1192"/>
    </row>
    <row r="573" spans="1:22">
      <c r="A573" s="63"/>
      <c r="B573" s="64"/>
      <c r="C573" s="64"/>
      <c r="D573" s="64"/>
      <c r="E573" s="64"/>
      <c r="F573" s="64"/>
      <c r="G573" s="64"/>
      <c r="H573" s="64"/>
      <c r="I573" s="65"/>
      <c r="J573" s="64"/>
      <c r="K573" s="66"/>
      <c r="L573" s="64"/>
      <c r="M573" s="65"/>
      <c r="N573" s="64"/>
      <c r="O573" s="64"/>
      <c r="P573" s="1193"/>
      <c r="Q573" s="1193"/>
      <c r="R573" s="1193"/>
      <c r="S573" s="1193"/>
      <c r="T573" s="1193"/>
      <c r="U573" s="1193"/>
      <c r="V573" s="1194"/>
    </row>
    <row r="574" spans="1:22">
      <c r="A574" s="67" t="s">
        <v>460</v>
      </c>
      <c r="B574"/>
      <c r="C574"/>
      <c r="D574"/>
      <c r="E574"/>
      <c r="F574"/>
      <c r="G574"/>
      <c r="H574"/>
      <c r="I574" s="68" t="s">
        <v>353</v>
      </c>
      <c r="J574" s="69"/>
      <c r="K574" s="69"/>
      <c r="L574"/>
      <c r="M574" s="68" t="s">
        <v>461</v>
      </c>
      <c r="N574" s="69"/>
      <c r="O574" s="69"/>
      <c r="P574" s="70"/>
      <c r="Q574" s="70"/>
      <c r="R574" s="70"/>
      <c r="S574" s="70"/>
      <c r="T574" s="70"/>
      <c r="U574" s="70"/>
      <c r="V574" s="71"/>
    </row>
    <row r="575" spans="1:22">
      <c r="A575" s="37"/>
      <c r="B575"/>
      <c r="C575"/>
      <c r="D575"/>
      <c r="E575"/>
      <c r="F575"/>
      <c r="G575"/>
      <c r="H575"/>
      <c r="I575" s="72"/>
      <c r="J575"/>
      <c r="K575"/>
      <c r="L575"/>
      <c r="M575" s="72"/>
      <c r="N575"/>
      <c r="O575"/>
      <c r="P575"/>
      <c r="Q575"/>
      <c r="R575"/>
      <c r="S575"/>
      <c r="T575"/>
      <c r="U575"/>
      <c r="V575" s="73"/>
    </row>
    <row r="576" spans="1:22">
      <c r="A576" s="74" t="s">
        <v>462</v>
      </c>
      <c r="B576" s="75"/>
      <c r="C576" s="75"/>
      <c r="D576" s="75"/>
      <c r="E576" s="75"/>
      <c r="F576" s="75"/>
      <c r="G576" s="75"/>
      <c r="H576" s="76"/>
      <c r="I576" s="77" t="s">
        <v>380</v>
      </c>
      <c r="J576" s="75"/>
      <c r="K576" s="75"/>
      <c r="L576" s="76"/>
      <c r="M576" s="77" t="s">
        <v>3</v>
      </c>
      <c r="N576" s="75"/>
      <c r="O576" s="75"/>
      <c r="P576" s="75"/>
      <c r="Q576" s="75"/>
      <c r="R576" s="75"/>
      <c r="S576" s="75"/>
      <c r="T576" s="75"/>
      <c r="U576" s="75"/>
      <c r="V576" s="78"/>
    </row>
    <row r="577" spans="1:22">
      <c r="A577" s="79" t="s">
        <v>463</v>
      </c>
      <c r="B577" s="80"/>
      <c r="C577" s="80"/>
      <c r="D577" s="80"/>
      <c r="E577" s="80"/>
      <c r="F577" s="80"/>
      <c r="G577" s="80"/>
      <c r="H577" s="80"/>
      <c r="I577" s="81" t="s">
        <v>381</v>
      </c>
      <c r="J577" s="80"/>
      <c r="K577" s="80"/>
      <c r="L577" s="80"/>
      <c r="M577" s="81" t="s">
        <v>464</v>
      </c>
      <c r="N577" s="80"/>
      <c r="O577" s="80"/>
      <c r="P577" s="82"/>
      <c r="Q577" s="82"/>
      <c r="R577" s="82"/>
      <c r="S577" s="82"/>
      <c r="T577" s="82"/>
      <c r="U577" s="82"/>
      <c r="V577" s="83"/>
    </row>
    <row r="578" spans="1:22" ht="16.5" thickBot="1">
      <c r="A578" s="84" t="s">
        <v>465</v>
      </c>
      <c r="B578" s="43"/>
      <c r="C578" s="43"/>
      <c r="D578" s="43"/>
      <c r="E578" s="43"/>
      <c r="F578" s="43"/>
      <c r="G578" s="43"/>
      <c r="H578" s="43"/>
      <c r="I578" s="85"/>
      <c r="J578" s="43"/>
      <c r="K578" s="43"/>
      <c r="L578" s="43"/>
      <c r="M578" s="85"/>
      <c r="N578" s="43"/>
      <c r="O578" s="43"/>
      <c r="P578" s="43"/>
      <c r="Q578" s="43"/>
      <c r="R578" s="43"/>
      <c r="S578" s="43"/>
      <c r="T578" s="43"/>
      <c r="U578" s="43"/>
      <c r="V578" s="44"/>
    </row>
    <row r="579" spans="1:22" ht="22.5">
      <c r="A579" s="31" t="s">
        <v>441</v>
      </c>
      <c r="B579" s="32"/>
      <c r="C579" s="32"/>
      <c r="D579" s="32"/>
      <c r="E579" s="32"/>
      <c r="F579" s="32"/>
      <c r="G579" s="32"/>
      <c r="H579" s="32"/>
      <c r="I579" s="32"/>
      <c r="J579" s="32"/>
      <c r="K579" s="32"/>
      <c r="L579" s="32"/>
      <c r="M579" s="32"/>
      <c r="N579" s="32"/>
      <c r="O579" s="32"/>
      <c r="P579" s="32"/>
      <c r="Q579" s="33"/>
      <c r="R579" s="1218">
        <f>+P619-S619</f>
        <v>0</v>
      </c>
      <c r="S579" s="1219"/>
      <c r="T579" s="1219"/>
      <c r="U579" s="1219"/>
      <c r="V579" s="1220"/>
    </row>
    <row r="580" spans="1:22">
      <c r="A580" s="34" t="s">
        <v>442</v>
      </c>
      <c r="B580" s="35"/>
      <c r="C580" s="35"/>
      <c r="D580" s="35"/>
      <c r="E580" s="35"/>
      <c r="F580" s="35"/>
      <c r="G580" s="35"/>
      <c r="H580" s="35"/>
      <c r="I580" s="35"/>
      <c r="J580" s="35"/>
      <c r="K580" s="35"/>
      <c r="L580" s="35"/>
      <c r="M580" s="35"/>
      <c r="N580" s="35"/>
      <c r="O580" s="35"/>
      <c r="P580" s="35"/>
      <c r="Q580" s="36"/>
      <c r="R580" s="37" t="s">
        <v>443</v>
      </c>
      <c r="S580"/>
      <c r="T580" s="1221"/>
      <c r="U580" s="1221"/>
      <c r="V580" s="1222"/>
    </row>
    <row r="581" spans="1:22">
      <c r="A581" s="38" t="s">
        <v>444</v>
      </c>
      <c r="B581" s="35"/>
      <c r="C581" s="35"/>
      <c r="D581" s="35"/>
      <c r="E581" s="35"/>
      <c r="F581" s="35"/>
      <c r="G581" s="35"/>
      <c r="H581" s="35"/>
      <c r="I581" s="35"/>
      <c r="J581" s="35"/>
      <c r="K581" s="35"/>
      <c r="L581" s="35"/>
      <c r="M581" s="35"/>
      <c r="N581" s="35"/>
      <c r="O581" s="35"/>
      <c r="P581" s="35"/>
      <c r="Q581" s="36"/>
      <c r="R581" s="37" t="s">
        <v>0</v>
      </c>
      <c r="S581"/>
      <c r="T581" s="1223">
        <f>IF(T580=0,0,(LOOKUP(T580,CsDJ[JEV Number],CsDJ[Date])))</f>
        <v>0</v>
      </c>
      <c r="U581" s="1223"/>
      <c r="V581" s="1224"/>
    </row>
    <row r="582" spans="1:22" ht="16.5" thickBot="1">
      <c r="A582" s="39"/>
      <c r="B582" s="40"/>
      <c r="C582" s="40"/>
      <c r="D582" s="40"/>
      <c r="E582" s="40"/>
      <c r="F582" s="40"/>
      <c r="G582" s="40"/>
      <c r="H582" s="40"/>
      <c r="I582" s="40"/>
      <c r="J582" s="40"/>
      <c r="K582" s="40"/>
      <c r="L582" s="40"/>
      <c r="M582" s="40"/>
      <c r="N582" s="40"/>
      <c r="O582" s="40"/>
      <c r="P582" s="40"/>
      <c r="Q582" s="41"/>
      <c r="R582" s="42"/>
      <c r="S582" s="43"/>
      <c r="T582" s="43"/>
      <c r="U582" s="43"/>
      <c r="V582" s="44"/>
    </row>
    <row r="583" spans="1:22">
      <c r="A583" s="45"/>
      <c r="B583" s="46"/>
      <c r="C583" s="46"/>
      <c r="D583" s="46"/>
      <c r="E583" s="46"/>
      <c r="F583" s="46"/>
      <c r="G583" s="46"/>
      <c r="H583" s="46"/>
      <c r="I583" s="46"/>
      <c r="J583" s="46"/>
      <c r="K583" s="46"/>
      <c r="L583" s="47"/>
      <c r="M583" s="46"/>
      <c r="N583" s="46"/>
      <c r="O583" s="46"/>
      <c r="P583" s="46"/>
      <c r="Q583" s="46"/>
      <c r="R583" s="46"/>
      <c r="S583" s="46"/>
      <c r="T583" s="46"/>
      <c r="U583" s="46"/>
      <c r="V583" s="48"/>
    </row>
    <row r="584" spans="1:22">
      <c r="A584" s="49"/>
      <c r="B584" s="1225"/>
      <c r="C584" s="1225"/>
      <c r="D584" s="50" t="s">
        <v>445</v>
      </c>
      <c r="H584" s="51"/>
      <c r="I584" s="25" t="s">
        <v>447</v>
      </c>
      <c r="J584" s="132" t="s">
        <v>446</v>
      </c>
      <c r="K584" s="52" t="s">
        <v>448</v>
      </c>
      <c r="L584" s="52"/>
      <c r="Q584" s="1225"/>
      <c r="R584" s="1225"/>
      <c r="S584" s="50" t="s">
        <v>449</v>
      </c>
      <c r="T584" s="50"/>
      <c r="U584" s="50"/>
      <c r="V584" s="53"/>
    </row>
    <row r="585" spans="1:22" ht="16.5" thickBot="1">
      <c r="A585" s="54"/>
      <c r="B585" s="55"/>
      <c r="C585" s="55"/>
      <c r="D585" s="55"/>
      <c r="E585" s="55"/>
      <c r="F585" s="55"/>
      <c r="G585" s="55"/>
      <c r="H585" s="55"/>
      <c r="I585" s="55"/>
      <c r="J585" s="55"/>
      <c r="K585" s="55"/>
      <c r="L585" s="56"/>
      <c r="M585" s="55"/>
      <c r="N585" s="55"/>
      <c r="O585" s="55"/>
      <c r="P585" s="55"/>
      <c r="Q585" s="55"/>
      <c r="R585" s="55"/>
      <c r="S585" s="55"/>
      <c r="T585" s="55"/>
      <c r="U585" s="55"/>
      <c r="V585" s="57"/>
    </row>
    <row r="586" spans="1:22">
      <c r="A586" s="1226" t="s">
        <v>397</v>
      </c>
      <c r="B586" s="1227"/>
      <c r="C586" s="1227"/>
      <c r="D586" s="1228"/>
      <c r="E586" s="1235" t="s">
        <v>450</v>
      </c>
      <c r="F586" s="1235"/>
      <c r="G586" s="1235"/>
      <c r="H586" s="1235"/>
      <c r="I586" s="1235"/>
      <c r="J586" s="1235"/>
      <c r="K586" s="1235"/>
      <c r="L586" s="1235"/>
      <c r="M586" s="1235"/>
      <c r="N586" s="1235"/>
      <c r="O586" s="1235"/>
      <c r="P586" s="1235"/>
      <c r="Q586" s="1235"/>
      <c r="R586" s="1235"/>
      <c r="S586" s="1235"/>
      <c r="T586" s="1235"/>
      <c r="U586" s="1235"/>
      <c r="V586" s="1236"/>
    </row>
    <row r="587" spans="1:22">
      <c r="A587" s="1229"/>
      <c r="B587" s="1230"/>
      <c r="C587" s="1230"/>
      <c r="D587" s="1231"/>
      <c r="E587" s="1237" t="s">
        <v>451</v>
      </c>
      <c r="F587" s="1237"/>
      <c r="G587" s="1237"/>
      <c r="H587" s="1237"/>
      <c r="I587" s="1237"/>
      <c r="J587" s="1237"/>
      <c r="K587" s="1239" t="s">
        <v>378</v>
      </c>
      <c r="L587" s="1239"/>
      <c r="M587" s="1237" t="s">
        <v>452</v>
      </c>
      <c r="N587" s="1240" t="s">
        <v>453</v>
      </c>
      <c r="O587" s="1241"/>
      <c r="P587" s="1241"/>
      <c r="Q587" s="1241"/>
      <c r="R587" s="1241"/>
      <c r="S587" s="1241"/>
      <c r="T587" s="1241"/>
      <c r="U587" s="1241"/>
      <c r="V587" s="1242"/>
    </row>
    <row r="588" spans="1:22" ht="16.5" customHeight="1" thickBot="1">
      <c r="A588" s="1232"/>
      <c r="B588" s="1233"/>
      <c r="C588" s="1233"/>
      <c r="D588" s="1234"/>
      <c r="E588" s="1238"/>
      <c r="F588" s="1238"/>
      <c r="G588" s="1238"/>
      <c r="H588" s="1238"/>
      <c r="I588" s="1238"/>
      <c r="J588" s="1238"/>
      <c r="K588" s="58" t="s">
        <v>454</v>
      </c>
      <c r="L588" s="58" t="s">
        <v>455</v>
      </c>
      <c r="M588" s="1238"/>
      <c r="N588" s="87" t="s">
        <v>466</v>
      </c>
      <c r="O588" s="87" t="s">
        <v>467</v>
      </c>
      <c r="P588" s="1243" t="s">
        <v>1</v>
      </c>
      <c r="Q588" s="1244"/>
      <c r="R588" s="1245"/>
      <c r="S588" s="1243" t="s">
        <v>2</v>
      </c>
      <c r="T588" s="1244"/>
      <c r="U588" s="1244"/>
      <c r="V588" s="1246"/>
    </row>
    <row r="589" spans="1:22" ht="19.5">
      <c r="A589" s="1210">
        <f>P619-S619</f>
        <v>0</v>
      </c>
      <c r="B589" s="1211"/>
      <c r="C589" s="1211"/>
      <c r="D589" s="1211"/>
      <c r="E589" s="1212" t="str">
        <f>Account!$G$1</f>
        <v>FUND 501 CARP</v>
      </c>
      <c r="F589" s="1213"/>
      <c r="G589" s="1213"/>
      <c r="H589" s="1213"/>
      <c r="I589" s="1213"/>
      <c r="J589" s="1214"/>
      <c r="K589" s="59"/>
      <c r="L589" s="59"/>
      <c r="M589" s="60"/>
      <c r="N589" s="60"/>
      <c r="O589" s="60"/>
      <c r="P589" s="1215"/>
      <c r="Q589" s="1215"/>
      <c r="R589" s="1215"/>
      <c r="S589" s="1215"/>
      <c r="T589" s="1215"/>
      <c r="U589" s="1215"/>
      <c r="V589" s="1216"/>
    </row>
    <row r="590" spans="1:22">
      <c r="A590" s="1195"/>
      <c r="B590" s="1196"/>
      <c r="C590" s="1196"/>
      <c r="D590" s="1196"/>
      <c r="E590" s="1196"/>
      <c r="F590" s="1196"/>
      <c r="G590" s="1196"/>
      <c r="H590" s="1196"/>
      <c r="I590" s="1196"/>
      <c r="J590" s="1196"/>
      <c r="K590" s="61"/>
      <c r="L590" s="61"/>
      <c r="M590" s="14"/>
      <c r="N590" s="14"/>
      <c r="O590" s="14"/>
      <c r="P590" s="1196"/>
      <c r="Q590" s="1196"/>
      <c r="R590" s="1196"/>
      <c r="S590" s="1196"/>
      <c r="T590" s="1196"/>
      <c r="U590" s="1196"/>
      <c r="V590" s="1217"/>
    </row>
    <row r="591" spans="1:22">
      <c r="A591" s="1195"/>
      <c r="B591" s="1196"/>
      <c r="C591" s="1196"/>
      <c r="D591" s="1196"/>
      <c r="E591" s="1197" t="str">
        <f t="shared" ref="E591:E613" si="48">IF(K591=0,"",(VLOOKUP((TRIM(K591)),Code,2,)))</f>
        <v/>
      </c>
      <c r="F591" s="1198"/>
      <c r="G591" s="1198"/>
      <c r="H591" s="1198"/>
      <c r="I591" s="1198"/>
      <c r="J591" s="1199"/>
      <c r="K591" s="133"/>
      <c r="L591" s="62" t="str">
        <f t="shared" ref="L591:L618" si="49">IF(K591=0,"",VLOOKUP((TRIM(K591)),Code,3,))</f>
        <v/>
      </c>
      <c r="M591" s="14"/>
      <c r="N591" s="89">
        <f t="array" ref="N591">SUM(IF((CsDJ[JEV Number]=TRIM($T580))*(CsDJ[Account Code]=TRIM(K591)),CsDJ[Debit]))</f>
        <v>0</v>
      </c>
      <c r="O591" s="89">
        <f t="array" ref="O591">SUM(IF((CsDJ[JEV Number]=TRIM($T580))*(CsDJ[Account Code]=TRIM(K591)),CsDJ[Credit]))</f>
        <v>0</v>
      </c>
      <c r="P591" s="1200">
        <f>N591</f>
        <v>0</v>
      </c>
      <c r="Q591" s="1200"/>
      <c r="R591" s="1200"/>
      <c r="S591" s="1200">
        <f>O591</f>
        <v>0</v>
      </c>
      <c r="T591" s="1200"/>
      <c r="U591" s="1200"/>
      <c r="V591" s="1201"/>
    </row>
    <row r="592" spans="1:22">
      <c r="A592" s="1195"/>
      <c r="B592" s="1196"/>
      <c r="C592" s="1196"/>
      <c r="D592" s="1196"/>
      <c r="E592" s="1197" t="str">
        <f t="shared" si="48"/>
        <v/>
      </c>
      <c r="F592" s="1198"/>
      <c r="G592" s="1198"/>
      <c r="H592" s="1198"/>
      <c r="I592" s="1198"/>
      <c r="J592" s="1199"/>
      <c r="K592" s="133"/>
      <c r="L592" s="62" t="str">
        <f t="shared" si="49"/>
        <v/>
      </c>
      <c r="M592" s="14"/>
      <c r="N592" s="89">
        <f t="array" ref="N592">SUM(IF((CsDJ[JEV Number]=TRIM($T580))*(CsDJ[Account Code]=TRIM(K592)),CsDJ[Debit]))</f>
        <v>0</v>
      </c>
      <c r="O592" s="89">
        <f t="array" ref="O592">SUM(IF((CsDJ[JEV Number]=TRIM($T580))*(CsDJ[Account Code]=TRIM(K592)),CsDJ[Credit]))</f>
        <v>0</v>
      </c>
      <c r="P592" s="1200">
        <f>N592</f>
        <v>0</v>
      </c>
      <c r="Q592" s="1200"/>
      <c r="R592" s="1200"/>
      <c r="S592" s="1200">
        <f>O592</f>
        <v>0</v>
      </c>
      <c r="T592" s="1200"/>
      <c r="U592" s="1200"/>
      <c r="V592" s="1201"/>
    </row>
    <row r="593" spans="1:22">
      <c r="A593" s="1195"/>
      <c r="B593" s="1196"/>
      <c r="C593" s="1196"/>
      <c r="D593" s="1196"/>
      <c r="E593" s="1197" t="str">
        <f t="shared" si="48"/>
        <v/>
      </c>
      <c r="F593" s="1198"/>
      <c r="G593" s="1198"/>
      <c r="H593" s="1198"/>
      <c r="I593" s="1198"/>
      <c r="J593" s="1199"/>
      <c r="K593" s="133"/>
      <c r="L593" s="62" t="str">
        <f t="shared" si="49"/>
        <v/>
      </c>
      <c r="M593" s="14"/>
      <c r="N593" s="89">
        <f t="array" ref="N593">SUM(IF((CsDJ[JEV Number]=TRIM($T580))*(CsDJ[Account Code]=TRIM(K593)),CsDJ[Debit]))</f>
        <v>0</v>
      </c>
      <c r="O593" s="89">
        <f t="array" ref="O593">SUM(IF((CsDJ[JEV Number]=TRIM($T580))*(CsDJ[Account Code]=TRIM(K593)),CsDJ[Credit]))</f>
        <v>0</v>
      </c>
      <c r="P593" s="1200">
        <f t="shared" ref="P593:P618" si="50">N593</f>
        <v>0</v>
      </c>
      <c r="Q593" s="1200"/>
      <c r="R593" s="1200"/>
      <c r="S593" s="1200">
        <f t="shared" ref="S593:S618" si="51">O593</f>
        <v>0</v>
      </c>
      <c r="T593" s="1200"/>
      <c r="U593" s="1200"/>
      <c r="V593" s="1201"/>
    </row>
    <row r="594" spans="1:22">
      <c r="A594" s="1195"/>
      <c r="B594" s="1196"/>
      <c r="C594" s="1196"/>
      <c r="D594" s="1196"/>
      <c r="E594" s="1197" t="str">
        <f t="shared" si="48"/>
        <v/>
      </c>
      <c r="F594" s="1198"/>
      <c r="G594" s="1198"/>
      <c r="H594" s="1198"/>
      <c r="I594" s="1198"/>
      <c r="J594" s="1199"/>
      <c r="K594" s="133"/>
      <c r="L594" s="62" t="str">
        <f t="shared" si="49"/>
        <v/>
      </c>
      <c r="M594" s="14"/>
      <c r="N594" s="89">
        <f t="array" ref="N594">SUM(IF((CsDJ[JEV Number]=TRIM($T580))*(CsDJ[Account Code]=TRIM(K594)),CsDJ[Debit]))</f>
        <v>0</v>
      </c>
      <c r="O594" s="89">
        <f t="array" ref="O594">SUM(IF((CsDJ[JEV Number]=TRIM($T580))*(CsDJ[Account Code]=TRIM(K594)),CsDJ[Credit]))</f>
        <v>0</v>
      </c>
      <c r="P594" s="1200">
        <f t="shared" si="50"/>
        <v>0</v>
      </c>
      <c r="Q594" s="1200"/>
      <c r="R594" s="1200"/>
      <c r="S594" s="1200">
        <f t="shared" si="51"/>
        <v>0</v>
      </c>
      <c r="T594" s="1200"/>
      <c r="U594" s="1200"/>
      <c r="V594" s="1201"/>
    </row>
    <row r="595" spans="1:22">
      <c r="A595" s="1195"/>
      <c r="B595" s="1196"/>
      <c r="C595" s="1196"/>
      <c r="D595" s="1196"/>
      <c r="E595" s="1197" t="str">
        <f t="shared" si="48"/>
        <v/>
      </c>
      <c r="F595" s="1198"/>
      <c r="G595" s="1198"/>
      <c r="H595" s="1198"/>
      <c r="I595" s="1198"/>
      <c r="J595" s="1199"/>
      <c r="K595" s="133"/>
      <c r="L595" s="62" t="str">
        <f t="shared" si="49"/>
        <v/>
      </c>
      <c r="M595" s="14"/>
      <c r="N595" s="89">
        <f t="array" ref="N595">SUM(IF((CsDJ[JEV Number]=TRIM($T580))*(CsDJ[Account Code]=TRIM(K595)),CsDJ[Debit]))</f>
        <v>0</v>
      </c>
      <c r="O595" s="89">
        <f t="array" ref="O595">SUM(IF((CsDJ[JEV Number]=TRIM($T580))*(CsDJ[Account Code]=TRIM(K595)),CsDJ[Credit]))</f>
        <v>0</v>
      </c>
      <c r="P595" s="1200">
        <f t="shared" si="50"/>
        <v>0</v>
      </c>
      <c r="Q595" s="1200"/>
      <c r="R595" s="1200"/>
      <c r="S595" s="1200">
        <f t="shared" si="51"/>
        <v>0</v>
      </c>
      <c r="T595" s="1200"/>
      <c r="U595" s="1200"/>
      <c r="V595" s="1201"/>
    </row>
    <row r="596" spans="1:22">
      <c r="A596" s="1195"/>
      <c r="B596" s="1196"/>
      <c r="C596" s="1196"/>
      <c r="D596" s="1196"/>
      <c r="E596" s="1197" t="str">
        <f t="shared" si="48"/>
        <v/>
      </c>
      <c r="F596" s="1198"/>
      <c r="G596" s="1198"/>
      <c r="H596" s="1198"/>
      <c r="I596" s="1198"/>
      <c r="J596" s="1199"/>
      <c r="K596" s="133"/>
      <c r="L596" s="62" t="str">
        <f t="shared" si="49"/>
        <v/>
      </c>
      <c r="M596" s="14"/>
      <c r="N596" s="89">
        <f t="array" ref="N596">SUM(IF((CsDJ[JEV Number]=TRIM($T580))*(CsDJ[Account Code]=TRIM(K596)),CsDJ[Debit]))</f>
        <v>0</v>
      </c>
      <c r="O596" s="89">
        <f t="array" ref="O596">SUM(IF((CsDJ[JEV Number]=TRIM($T580))*(CsDJ[Account Code]=TRIM(K596)),CsDJ[Credit]))</f>
        <v>0</v>
      </c>
      <c r="P596" s="1200">
        <f t="shared" si="50"/>
        <v>0</v>
      </c>
      <c r="Q596" s="1200"/>
      <c r="R596" s="1200"/>
      <c r="S596" s="1200">
        <f t="shared" si="51"/>
        <v>0</v>
      </c>
      <c r="T596" s="1200"/>
      <c r="U596" s="1200"/>
      <c r="V596" s="1201"/>
    </row>
    <row r="597" spans="1:22">
      <c r="A597" s="1195"/>
      <c r="B597" s="1196"/>
      <c r="C597" s="1196"/>
      <c r="D597" s="1196"/>
      <c r="E597" s="1197" t="str">
        <f t="shared" si="48"/>
        <v/>
      </c>
      <c r="F597" s="1198"/>
      <c r="G597" s="1198"/>
      <c r="H597" s="1198"/>
      <c r="I597" s="1198"/>
      <c r="J597" s="1199"/>
      <c r="K597" s="133"/>
      <c r="L597" s="62" t="str">
        <f t="shared" si="49"/>
        <v/>
      </c>
      <c r="M597" s="14"/>
      <c r="N597" s="89">
        <f t="array" ref="N597">SUM(IF((CsDJ[JEV Number]=TRIM($T580))*(CsDJ[Account Code]=TRIM(K597)),CsDJ[Debit]))</f>
        <v>0</v>
      </c>
      <c r="O597" s="89">
        <f t="array" ref="O597">SUM(IF((CsDJ[JEV Number]=TRIM($T580))*(CsDJ[Account Code]=TRIM(K597)),CsDJ[Credit]))</f>
        <v>0</v>
      </c>
      <c r="P597" s="1200">
        <f t="shared" si="50"/>
        <v>0</v>
      </c>
      <c r="Q597" s="1200"/>
      <c r="R597" s="1200"/>
      <c r="S597" s="1200">
        <f t="shared" si="51"/>
        <v>0</v>
      </c>
      <c r="T597" s="1200"/>
      <c r="U597" s="1200"/>
      <c r="V597" s="1201"/>
    </row>
    <row r="598" spans="1:22">
      <c r="A598" s="1195"/>
      <c r="B598" s="1196"/>
      <c r="C598" s="1196"/>
      <c r="D598" s="1196"/>
      <c r="E598" s="1197" t="str">
        <f t="shared" si="48"/>
        <v/>
      </c>
      <c r="F598" s="1198"/>
      <c r="G598" s="1198"/>
      <c r="H598" s="1198"/>
      <c r="I598" s="1198"/>
      <c r="J598" s="1199"/>
      <c r="K598" s="133"/>
      <c r="L598" s="62" t="str">
        <f t="shared" si="49"/>
        <v/>
      </c>
      <c r="M598" s="14"/>
      <c r="N598" s="89">
        <f t="array" ref="N598">SUM(IF((CsDJ[JEV Number]=TRIM($T580))*(CsDJ[Account Code]=TRIM(K598)),CsDJ[Debit]))</f>
        <v>0</v>
      </c>
      <c r="O598" s="89">
        <f t="array" ref="O598">SUM(IF((CsDJ[JEV Number]=TRIM($T580))*(CsDJ[Account Code]=TRIM(K598)),CsDJ[Credit]))</f>
        <v>0</v>
      </c>
      <c r="P598" s="1200">
        <f t="shared" si="50"/>
        <v>0</v>
      </c>
      <c r="Q598" s="1200"/>
      <c r="R598" s="1200"/>
      <c r="S598" s="1200">
        <f t="shared" si="51"/>
        <v>0</v>
      </c>
      <c r="T598" s="1200"/>
      <c r="U598" s="1200"/>
      <c r="V598" s="1201"/>
    </row>
    <row r="599" spans="1:22">
      <c r="A599" s="1195"/>
      <c r="B599" s="1196"/>
      <c r="C599" s="1196"/>
      <c r="D599" s="1196"/>
      <c r="E599" s="1197" t="str">
        <f t="shared" si="48"/>
        <v/>
      </c>
      <c r="F599" s="1198"/>
      <c r="G599" s="1198"/>
      <c r="H599" s="1198"/>
      <c r="I599" s="1198"/>
      <c r="J599" s="1199"/>
      <c r="K599" s="134"/>
      <c r="L599" s="62" t="str">
        <f t="shared" si="49"/>
        <v/>
      </c>
      <c r="M599" s="14"/>
      <c r="N599" s="89">
        <f t="array" ref="N599">SUM(IF((CsDJ[JEV Number]=TRIM($T580))*(CsDJ[Account Code]=TRIM(K599)),CsDJ[Debit]))</f>
        <v>0</v>
      </c>
      <c r="O599" s="89">
        <f t="array" ref="O599">SUM(IF((CsDJ[JEV Number]=TRIM($T580))*(CsDJ[Account Code]=TRIM(K599)),CsDJ[Credit]))</f>
        <v>0</v>
      </c>
      <c r="P599" s="1200">
        <f t="shared" si="50"/>
        <v>0</v>
      </c>
      <c r="Q599" s="1200"/>
      <c r="R599" s="1200"/>
      <c r="S599" s="1200">
        <f t="shared" si="51"/>
        <v>0</v>
      </c>
      <c r="T599" s="1200"/>
      <c r="U599" s="1200"/>
      <c r="V599" s="1201"/>
    </row>
    <row r="600" spans="1:22">
      <c r="A600" s="1195"/>
      <c r="B600" s="1196"/>
      <c r="C600" s="1196"/>
      <c r="D600" s="1196"/>
      <c r="E600" s="1197" t="str">
        <f t="shared" si="48"/>
        <v/>
      </c>
      <c r="F600" s="1198"/>
      <c r="G600" s="1198"/>
      <c r="H600" s="1198"/>
      <c r="I600" s="1198"/>
      <c r="J600" s="1199"/>
      <c r="K600" s="134"/>
      <c r="L600" s="62" t="str">
        <f t="shared" si="49"/>
        <v/>
      </c>
      <c r="M600" s="14"/>
      <c r="N600" s="89">
        <f t="array" ref="N600">SUM(IF((CsDJ[JEV Number]=TRIM($T580))*(CsDJ[Account Code]=TRIM(K600)),CsDJ[Debit]))</f>
        <v>0</v>
      </c>
      <c r="O600" s="89">
        <f t="array" ref="O600">SUM(IF((CsDJ[JEV Number]=TRIM($T580))*(CsDJ[Account Code]=TRIM(K600)),CsDJ[Credit]))</f>
        <v>0</v>
      </c>
      <c r="P600" s="1200">
        <f t="shared" si="50"/>
        <v>0</v>
      </c>
      <c r="Q600" s="1200"/>
      <c r="R600" s="1200"/>
      <c r="S600" s="1200">
        <f t="shared" si="51"/>
        <v>0</v>
      </c>
      <c r="T600" s="1200"/>
      <c r="U600" s="1200"/>
      <c r="V600" s="1201"/>
    </row>
    <row r="601" spans="1:22">
      <c r="A601" s="1195"/>
      <c r="B601" s="1196"/>
      <c r="C601" s="1196"/>
      <c r="D601" s="1196"/>
      <c r="E601" s="1197" t="str">
        <f t="shared" si="48"/>
        <v/>
      </c>
      <c r="F601" s="1198"/>
      <c r="G601" s="1198"/>
      <c r="H601" s="1198"/>
      <c r="I601" s="1198"/>
      <c r="J601" s="1199"/>
      <c r="K601" s="134"/>
      <c r="L601" s="62" t="str">
        <f t="shared" si="49"/>
        <v/>
      </c>
      <c r="M601" s="14"/>
      <c r="N601" s="89">
        <f t="array" ref="N601">SUM(IF((CsDJ[JEV Number]=TRIM($T580))*(CsDJ[Account Code]=TRIM(K601)),CsDJ[Debit]))</f>
        <v>0</v>
      </c>
      <c r="O601" s="89">
        <f t="array" ref="O601">SUM(IF((CsDJ[JEV Number]=TRIM($T580))*(CsDJ[Account Code]=TRIM(K601)),CsDJ[Credit]))</f>
        <v>0</v>
      </c>
      <c r="P601" s="1200">
        <f t="shared" si="50"/>
        <v>0</v>
      </c>
      <c r="Q601" s="1200"/>
      <c r="R601" s="1200"/>
      <c r="S601" s="1200">
        <f t="shared" si="51"/>
        <v>0</v>
      </c>
      <c r="T601" s="1200"/>
      <c r="U601" s="1200"/>
      <c r="V601" s="1201"/>
    </row>
    <row r="602" spans="1:22">
      <c r="A602" s="1195"/>
      <c r="B602" s="1196"/>
      <c r="C602" s="1196"/>
      <c r="D602" s="1196"/>
      <c r="E602" s="1197" t="str">
        <f t="shared" si="48"/>
        <v/>
      </c>
      <c r="F602" s="1198"/>
      <c r="G602" s="1198"/>
      <c r="H602" s="1198"/>
      <c r="I602" s="1198"/>
      <c r="J602" s="1199"/>
      <c r="K602" s="134"/>
      <c r="L602" s="62" t="str">
        <f t="shared" si="49"/>
        <v/>
      </c>
      <c r="M602" s="14"/>
      <c r="N602" s="89">
        <f t="array" ref="N602">SUM(IF((CsDJ[JEV Number]=TRIM($T580))*(CsDJ[Account Code]=TRIM(K602)),CsDJ[Debit]))</f>
        <v>0</v>
      </c>
      <c r="O602" s="89">
        <f t="array" ref="O602">SUM(IF((CsDJ[JEV Number]=TRIM($T580))*(CsDJ[Account Code]=TRIM(K602)),CsDJ[Credit]))</f>
        <v>0</v>
      </c>
      <c r="P602" s="1200">
        <f t="shared" si="50"/>
        <v>0</v>
      </c>
      <c r="Q602" s="1200"/>
      <c r="R602" s="1200"/>
      <c r="S602" s="1200">
        <f t="shared" si="51"/>
        <v>0</v>
      </c>
      <c r="T602" s="1200"/>
      <c r="U602" s="1200"/>
      <c r="V602" s="1201"/>
    </row>
    <row r="603" spans="1:22">
      <c r="A603" s="1195"/>
      <c r="B603" s="1196"/>
      <c r="C603" s="1196"/>
      <c r="D603" s="1196"/>
      <c r="E603" s="1197" t="str">
        <f t="shared" si="48"/>
        <v/>
      </c>
      <c r="F603" s="1198"/>
      <c r="G603" s="1198"/>
      <c r="H603" s="1198"/>
      <c r="I603" s="1198"/>
      <c r="J603" s="1199"/>
      <c r="K603" s="134"/>
      <c r="L603" s="62" t="str">
        <f t="shared" si="49"/>
        <v/>
      </c>
      <c r="M603" s="14"/>
      <c r="N603" s="89">
        <f t="array" ref="N603">SUM(IF((CsDJ[JEV Number]=TRIM($T580))*(CsDJ[Account Code]=TRIM(K603)),CsDJ[Debit]))</f>
        <v>0</v>
      </c>
      <c r="O603" s="89">
        <f t="array" ref="O603">SUM(IF((CsDJ[JEV Number]=TRIM($T580))*(CsDJ[Account Code]=TRIM(K603)),CsDJ[Credit]))</f>
        <v>0</v>
      </c>
      <c r="P603" s="1200">
        <f t="shared" si="50"/>
        <v>0</v>
      </c>
      <c r="Q603" s="1200"/>
      <c r="R603" s="1200"/>
      <c r="S603" s="1200">
        <f t="shared" si="51"/>
        <v>0</v>
      </c>
      <c r="T603" s="1200"/>
      <c r="U603" s="1200"/>
      <c r="V603" s="1201"/>
    </row>
    <row r="604" spans="1:22">
      <c r="A604" s="1195"/>
      <c r="B604" s="1196"/>
      <c r="C604" s="1196"/>
      <c r="D604" s="1196"/>
      <c r="E604" s="1197" t="str">
        <f t="shared" si="48"/>
        <v/>
      </c>
      <c r="F604" s="1198"/>
      <c r="G604" s="1198"/>
      <c r="H604" s="1198"/>
      <c r="I604" s="1198"/>
      <c r="J604" s="1199"/>
      <c r="K604" s="134"/>
      <c r="L604" s="62" t="str">
        <f t="shared" si="49"/>
        <v/>
      </c>
      <c r="M604" s="14"/>
      <c r="N604" s="89">
        <f t="array" ref="N604">SUM(IF((CsDJ[JEV Number]=TRIM($T580))*(CsDJ[Account Code]=TRIM(K604)),CsDJ[Debit]))</f>
        <v>0</v>
      </c>
      <c r="O604" s="89">
        <f t="array" ref="O604">SUM(IF((CsDJ[JEV Number]=TRIM($T580))*(CsDJ[Account Code]=TRIM(K604)),CsDJ[Credit]))</f>
        <v>0</v>
      </c>
      <c r="P604" s="1200">
        <f t="shared" si="50"/>
        <v>0</v>
      </c>
      <c r="Q604" s="1200"/>
      <c r="R604" s="1200"/>
      <c r="S604" s="1200">
        <f t="shared" si="51"/>
        <v>0</v>
      </c>
      <c r="T604" s="1200"/>
      <c r="U604" s="1200"/>
      <c r="V604" s="1201"/>
    </row>
    <row r="605" spans="1:22">
      <c r="A605" s="1195"/>
      <c r="B605" s="1196"/>
      <c r="C605" s="1196"/>
      <c r="D605" s="1196"/>
      <c r="E605" s="1197" t="str">
        <f t="shared" si="48"/>
        <v/>
      </c>
      <c r="F605" s="1198"/>
      <c r="G605" s="1198"/>
      <c r="H605" s="1198"/>
      <c r="I605" s="1198"/>
      <c r="J605" s="1199"/>
      <c r="K605" s="134"/>
      <c r="L605" s="62" t="str">
        <f t="shared" si="49"/>
        <v/>
      </c>
      <c r="M605" s="14"/>
      <c r="N605" s="89">
        <f t="array" ref="N605">SUM(IF((CsDJ[JEV Number]=TRIM($T580))*(CsDJ[Account Code]=TRIM(K605)),CsDJ[Debit]))</f>
        <v>0</v>
      </c>
      <c r="O605" s="89">
        <f t="array" ref="O605">SUM(IF((CsDJ[JEV Number]=TRIM($T580))*(CsDJ[Account Code]=TRIM(K605)),CsDJ[Credit]))</f>
        <v>0</v>
      </c>
      <c r="P605" s="1200">
        <f t="shared" si="50"/>
        <v>0</v>
      </c>
      <c r="Q605" s="1200"/>
      <c r="R605" s="1200"/>
      <c r="S605" s="1200">
        <f t="shared" si="51"/>
        <v>0</v>
      </c>
      <c r="T605" s="1200"/>
      <c r="U605" s="1200"/>
      <c r="V605" s="1201"/>
    </row>
    <row r="606" spans="1:22">
      <c r="A606" s="1195"/>
      <c r="B606" s="1196"/>
      <c r="C606" s="1196"/>
      <c r="D606" s="1196"/>
      <c r="E606" s="1197" t="str">
        <f t="shared" si="48"/>
        <v/>
      </c>
      <c r="F606" s="1198"/>
      <c r="G606" s="1198"/>
      <c r="H606" s="1198"/>
      <c r="I606" s="1198"/>
      <c r="J606" s="1199"/>
      <c r="K606" s="134"/>
      <c r="L606" s="62" t="str">
        <f t="shared" si="49"/>
        <v/>
      </c>
      <c r="M606" s="14"/>
      <c r="N606" s="89">
        <f t="array" ref="N606">SUM(IF((CsDJ[JEV Number]=TRIM($T580))*(CsDJ[Account Code]=TRIM(K606)),CsDJ[Debit]))</f>
        <v>0</v>
      </c>
      <c r="O606" s="89">
        <f t="array" ref="O606">SUM(IF((CsDJ[JEV Number]=TRIM($T580))*(CsDJ[Account Code]=TRIM(K606)),CsDJ[Credit]))</f>
        <v>0</v>
      </c>
      <c r="P606" s="1200">
        <f t="shared" si="50"/>
        <v>0</v>
      </c>
      <c r="Q606" s="1200"/>
      <c r="R606" s="1200"/>
      <c r="S606" s="1200">
        <f t="shared" si="51"/>
        <v>0</v>
      </c>
      <c r="T606" s="1200"/>
      <c r="U606" s="1200"/>
      <c r="V606" s="1201"/>
    </row>
    <row r="607" spans="1:22">
      <c r="A607" s="1195"/>
      <c r="B607" s="1196"/>
      <c r="C607" s="1196"/>
      <c r="D607" s="1196"/>
      <c r="E607" s="1197" t="str">
        <f t="shared" si="48"/>
        <v/>
      </c>
      <c r="F607" s="1198"/>
      <c r="G607" s="1198"/>
      <c r="H607" s="1198"/>
      <c r="I607" s="1198"/>
      <c r="J607" s="1199"/>
      <c r="K607" s="134"/>
      <c r="L607" s="62" t="str">
        <f t="shared" si="49"/>
        <v/>
      </c>
      <c r="M607" s="14"/>
      <c r="N607" s="89">
        <f t="array" ref="N607">SUM(IF((CsDJ[JEV Number]=TRIM($T580))*(CsDJ[Account Code]=TRIM(K607)),CsDJ[Debit]))</f>
        <v>0</v>
      </c>
      <c r="O607" s="89">
        <f t="array" ref="O607">SUM(IF((CsDJ[JEV Number]=TRIM($T580))*(CsDJ[Account Code]=TRIM(K607)),CsDJ[Credit]))</f>
        <v>0</v>
      </c>
      <c r="P607" s="1200">
        <f t="shared" si="50"/>
        <v>0</v>
      </c>
      <c r="Q607" s="1200"/>
      <c r="R607" s="1200"/>
      <c r="S607" s="1200">
        <f t="shared" si="51"/>
        <v>0</v>
      </c>
      <c r="T607" s="1200"/>
      <c r="U607" s="1200"/>
      <c r="V607" s="1201"/>
    </row>
    <row r="608" spans="1:22">
      <c r="A608" s="1195"/>
      <c r="B608" s="1196"/>
      <c r="C608" s="1196"/>
      <c r="D608" s="1196"/>
      <c r="E608" s="1197" t="str">
        <f t="shared" si="48"/>
        <v/>
      </c>
      <c r="F608" s="1198"/>
      <c r="G608" s="1198"/>
      <c r="H608" s="1198"/>
      <c r="I608" s="1198"/>
      <c r="J608" s="1199"/>
      <c r="K608" s="134"/>
      <c r="L608" s="62" t="str">
        <f t="shared" si="49"/>
        <v/>
      </c>
      <c r="M608" s="14"/>
      <c r="N608" s="89">
        <f t="array" ref="N608">SUM(IF((CsDJ[JEV Number]=TRIM($T580))*(CsDJ[Account Code]=TRIM(K608)),CsDJ[Debit]))</f>
        <v>0</v>
      </c>
      <c r="O608" s="89">
        <f t="array" ref="O608">SUM(IF((CsDJ[JEV Number]=TRIM($T580))*(CsDJ[Account Code]=TRIM(K608)),CsDJ[Credit]))</f>
        <v>0</v>
      </c>
      <c r="P608" s="1200">
        <f t="shared" si="50"/>
        <v>0</v>
      </c>
      <c r="Q608" s="1200"/>
      <c r="R608" s="1200"/>
      <c r="S608" s="1200">
        <f t="shared" si="51"/>
        <v>0</v>
      </c>
      <c r="T608" s="1200"/>
      <c r="U608" s="1200"/>
      <c r="V608" s="1201"/>
    </row>
    <row r="609" spans="1:22">
      <c r="A609" s="1195"/>
      <c r="B609" s="1196"/>
      <c r="C609" s="1196"/>
      <c r="D609" s="1196"/>
      <c r="E609" s="1197" t="str">
        <f t="shared" si="48"/>
        <v/>
      </c>
      <c r="F609" s="1198"/>
      <c r="G609" s="1198"/>
      <c r="H609" s="1198"/>
      <c r="I609" s="1198"/>
      <c r="J609" s="1199"/>
      <c r="K609" s="134"/>
      <c r="L609" s="62" t="str">
        <f t="shared" si="49"/>
        <v/>
      </c>
      <c r="M609" s="14"/>
      <c r="N609" s="89">
        <f t="array" ref="N609">SUM(IF((CsDJ[JEV Number]=TRIM($T580))*(CsDJ[Account Code]=TRIM(K609)),CsDJ[Debit]))</f>
        <v>0</v>
      </c>
      <c r="O609" s="89">
        <f t="array" ref="O609">SUM(IF((CsDJ[JEV Number]=TRIM($T580))*(CsDJ[Account Code]=TRIM(K609)),CsDJ[Credit]))</f>
        <v>0</v>
      </c>
      <c r="P609" s="1200">
        <f t="shared" si="50"/>
        <v>0</v>
      </c>
      <c r="Q609" s="1200"/>
      <c r="R609" s="1200"/>
      <c r="S609" s="1200">
        <f t="shared" si="51"/>
        <v>0</v>
      </c>
      <c r="T609" s="1200"/>
      <c r="U609" s="1200"/>
      <c r="V609" s="1201"/>
    </row>
    <row r="610" spans="1:22">
      <c r="A610" s="1195"/>
      <c r="B610" s="1196"/>
      <c r="C610" s="1196"/>
      <c r="D610" s="1196"/>
      <c r="E610" s="1197" t="str">
        <f t="shared" si="48"/>
        <v/>
      </c>
      <c r="F610" s="1198"/>
      <c r="G610" s="1198"/>
      <c r="H610" s="1198"/>
      <c r="I610" s="1198"/>
      <c r="J610" s="1199"/>
      <c r="K610" s="134"/>
      <c r="L610" s="62" t="str">
        <f t="shared" si="49"/>
        <v/>
      </c>
      <c r="M610" s="14"/>
      <c r="N610" s="89">
        <f t="array" ref="N610">SUM(IF((CsDJ[JEV Number]=TRIM($T580))*(CsDJ[Account Code]=TRIM(K610)),CsDJ[Debit]))</f>
        <v>0</v>
      </c>
      <c r="O610" s="89">
        <f t="array" ref="O610">SUM(IF((CsDJ[JEV Number]=TRIM($T580))*(CsDJ[Account Code]=TRIM(K610)),CsDJ[Credit]))</f>
        <v>0</v>
      </c>
      <c r="P610" s="1200">
        <f t="shared" si="50"/>
        <v>0</v>
      </c>
      <c r="Q610" s="1200"/>
      <c r="R610" s="1200"/>
      <c r="S610" s="1200">
        <f t="shared" si="51"/>
        <v>0</v>
      </c>
      <c r="T610" s="1200"/>
      <c r="U610" s="1200"/>
      <c r="V610" s="1201"/>
    </row>
    <row r="611" spans="1:22">
      <c r="A611" s="1195"/>
      <c r="B611" s="1196"/>
      <c r="C611" s="1196"/>
      <c r="D611" s="1196"/>
      <c r="E611" s="1197" t="str">
        <f t="shared" si="48"/>
        <v/>
      </c>
      <c r="F611" s="1198"/>
      <c r="G611" s="1198"/>
      <c r="H611" s="1198"/>
      <c r="I611" s="1198"/>
      <c r="J611" s="1199"/>
      <c r="K611" s="134"/>
      <c r="L611" s="62" t="str">
        <f t="shared" si="49"/>
        <v/>
      </c>
      <c r="M611" s="14"/>
      <c r="N611" s="89">
        <f t="array" ref="N611">SUM(IF((CsDJ[JEV Number]=TRIM($T580))*(CsDJ[Account Code]=TRIM(K611)),CsDJ[Debit]))</f>
        <v>0</v>
      </c>
      <c r="O611" s="89">
        <f t="array" ref="O611">SUM(IF((CsDJ[JEV Number]=TRIM($T580))*(CsDJ[Account Code]=TRIM(K611)),CsDJ[Credit]))</f>
        <v>0</v>
      </c>
      <c r="P611" s="1200">
        <f t="shared" si="50"/>
        <v>0</v>
      </c>
      <c r="Q611" s="1200"/>
      <c r="R611" s="1200"/>
      <c r="S611" s="1200">
        <f t="shared" si="51"/>
        <v>0</v>
      </c>
      <c r="T611" s="1200"/>
      <c r="U611" s="1200"/>
      <c r="V611" s="1201"/>
    </row>
    <row r="612" spans="1:22">
      <c r="A612" s="1195"/>
      <c r="B612" s="1196"/>
      <c r="C612" s="1196"/>
      <c r="D612" s="1196"/>
      <c r="E612" s="1197" t="str">
        <f t="shared" si="48"/>
        <v/>
      </c>
      <c r="F612" s="1198"/>
      <c r="G612" s="1198"/>
      <c r="H612" s="1198"/>
      <c r="I612" s="1198"/>
      <c r="J612" s="1199"/>
      <c r="K612" s="134"/>
      <c r="L612" s="62" t="str">
        <f t="shared" si="49"/>
        <v/>
      </c>
      <c r="M612" s="14"/>
      <c r="N612" s="89">
        <f t="array" ref="N612">SUM(IF((CsDJ[JEV Number]=TRIM($T580))*(CsDJ[Account Code]=TRIM(K612)),CsDJ[Debit]))</f>
        <v>0</v>
      </c>
      <c r="O612" s="89">
        <f t="array" ref="O612">SUM(IF((CsDJ[JEV Number]=TRIM($T580))*(CsDJ[Account Code]=TRIM(K612)),CsDJ[Credit]))</f>
        <v>0</v>
      </c>
      <c r="P612" s="1200">
        <f t="shared" si="50"/>
        <v>0</v>
      </c>
      <c r="Q612" s="1200"/>
      <c r="R612" s="1200"/>
      <c r="S612" s="1200">
        <f t="shared" si="51"/>
        <v>0</v>
      </c>
      <c r="T612" s="1200"/>
      <c r="U612" s="1200"/>
      <c r="V612" s="1201"/>
    </row>
    <row r="613" spans="1:22">
      <c r="A613" s="1195"/>
      <c r="B613" s="1196"/>
      <c r="C613" s="1196"/>
      <c r="D613" s="1196"/>
      <c r="E613" s="1197" t="str">
        <f t="shared" si="48"/>
        <v/>
      </c>
      <c r="F613" s="1198"/>
      <c r="G613" s="1198"/>
      <c r="H613" s="1198"/>
      <c r="I613" s="1198"/>
      <c r="J613" s="1199"/>
      <c r="K613" s="134"/>
      <c r="L613" s="62" t="str">
        <f t="shared" si="49"/>
        <v/>
      </c>
      <c r="M613" s="14"/>
      <c r="N613" s="89">
        <f t="array" ref="N613">SUM(IF((CsDJ[JEV Number]=TRIM($T580))*(CsDJ[Account Code]=TRIM(K613)),CsDJ[Debit]))</f>
        <v>0</v>
      </c>
      <c r="O613" s="89">
        <f t="array" ref="O613">SUM(IF((CsDJ[JEV Number]=TRIM($T580))*(CsDJ[Account Code]=TRIM(K613)),CsDJ[Credit]))</f>
        <v>0</v>
      </c>
      <c r="P613" s="1200">
        <f t="shared" si="50"/>
        <v>0</v>
      </c>
      <c r="Q613" s="1200"/>
      <c r="R613" s="1200"/>
      <c r="S613" s="1200">
        <f t="shared" si="51"/>
        <v>0</v>
      </c>
      <c r="T613" s="1200"/>
      <c r="U613" s="1200"/>
      <c r="V613" s="1201"/>
    </row>
    <row r="614" spans="1:22">
      <c r="A614" s="1195"/>
      <c r="B614" s="1196"/>
      <c r="C614" s="1196"/>
      <c r="D614" s="1196"/>
      <c r="E614" s="1257" t="s">
        <v>468</v>
      </c>
      <c r="F614" s="1258"/>
      <c r="G614" s="1258"/>
      <c r="H614" s="1258"/>
      <c r="I614" s="1258"/>
      <c r="J614" s="1259"/>
      <c r="K614" s="133"/>
      <c r="L614" s="62" t="str">
        <f t="shared" si="49"/>
        <v/>
      </c>
      <c r="M614" s="14"/>
      <c r="N614" s="89">
        <f t="array" ref="N614">SUM(IF((CsDJ[JEV Number]=TRIM($T580))*(CsDJ[Account Code]=TRIM(K614)),CsDJ[Debit]))</f>
        <v>0</v>
      </c>
      <c r="O614" s="89">
        <f t="array" ref="O614">SUM(IF((CsDJ[JEV Number]=TRIM($T580))*(CsDJ[Account Code]=TRIM(K614)),CsDJ[Credit]))</f>
        <v>0</v>
      </c>
      <c r="P614" s="1200">
        <f t="shared" si="50"/>
        <v>0</v>
      </c>
      <c r="Q614" s="1200"/>
      <c r="R614" s="1200"/>
      <c r="S614" s="1200">
        <f t="shared" si="51"/>
        <v>0</v>
      </c>
      <c r="T614" s="1200"/>
      <c r="U614" s="1200"/>
      <c r="V614" s="1201"/>
    </row>
    <row r="615" spans="1:22">
      <c r="A615" s="1195"/>
      <c r="B615" s="1196"/>
      <c r="C615" s="1196"/>
      <c r="D615" s="1196"/>
      <c r="E615" s="1202" t="s">
        <v>457</v>
      </c>
      <c r="F615" s="1203"/>
      <c r="G615" s="1203"/>
      <c r="H615" s="1203"/>
      <c r="I615" s="1207">
        <f>T581</f>
        <v>0</v>
      </c>
      <c r="J615" s="1208"/>
      <c r="K615" s="133"/>
      <c r="L615" s="62" t="str">
        <f t="shared" si="49"/>
        <v/>
      </c>
      <c r="M615" s="14"/>
      <c r="N615" s="89">
        <f t="array" ref="N615">SUM(IF((CsDJ[JEV Number]=TRIM($T580))*(CsDJ[Account Code]=TRIM(K615)),CsDJ[Debit]))</f>
        <v>0</v>
      </c>
      <c r="O615" s="89">
        <f t="array" ref="O615">SUM(IF((CsDJ[JEV Number]=TRIM($T580))*(CsDJ[Account Code]=TRIM(K615)),CsDJ[Credit]))</f>
        <v>0</v>
      </c>
      <c r="P615" s="1200">
        <f t="shared" si="50"/>
        <v>0</v>
      </c>
      <c r="Q615" s="1200"/>
      <c r="R615" s="1200"/>
      <c r="S615" s="1200">
        <f t="shared" si="51"/>
        <v>0</v>
      </c>
      <c r="T615" s="1200"/>
      <c r="U615" s="1200"/>
      <c r="V615" s="1201"/>
    </row>
    <row r="616" spans="1:22">
      <c r="A616" s="1195"/>
      <c r="B616" s="1196"/>
      <c r="C616" s="1196"/>
      <c r="D616" s="1196"/>
      <c r="E616" s="1202" t="s">
        <v>458</v>
      </c>
      <c r="F616" s="1203"/>
      <c r="G616" s="1203"/>
      <c r="H616" s="1203"/>
      <c r="I616" s="1263">
        <f>IF(T580=0,0,(IF(LOOKUP(T580,CsDJ[JEV Number],CsDJ[Sort Code])="1","MA. VIVIAN C. SALAS",IF(LOOKUP(T580,CsDJ[JEV Number],CsDJ[Sort Code])="2","LUZ R. DE COZAR",IF(LOOKUP(T580,CsDJ[JEV Number],CsDJ[Sort Code])="3","MINEONETTE A. DELA CRUZ",IF(LOOKUP(T580,CsDJ[JEV Number],CsDJ[Sort Code])="4","RESELLA B. LOPEZ"))))))</f>
        <v>0</v>
      </c>
      <c r="J616" s="1264"/>
      <c r="K616" s="133"/>
      <c r="L616" s="62" t="str">
        <f t="shared" si="49"/>
        <v/>
      </c>
      <c r="M616" s="14"/>
      <c r="N616" s="89">
        <f t="array" ref="N616">SUM(IF((CsDJ[JEV Number]=TRIM($T580))*(CsDJ[Account Code]=TRIM(K616)),CsDJ[Debit]))</f>
        <v>0</v>
      </c>
      <c r="O616" s="89">
        <f t="array" ref="O616">SUM(IF((CsDJ[JEV Number]=TRIM($T580))*(CsDJ[Account Code]=TRIM(K616)),CsDJ[Credit]))</f>
        <v>0</v>
      </c>
      <c r="P616" s="1200">
        <f t="shared" si="50"/>
        <v>0</v>
      </c>
      <c r="Q616" s="1200"/>
      <c r="R616" s="1200"/>
      <c r="S616" s="1200">
        <f t="shared" si="51"/>
        <v>0</v>
      </c>
      <c r="T616" s="1200"/>
      <c r="U616" s="1200"/>
      <c r="V616" s="1201"/>
    </row>
    <row r="617" spans="1:22">
      <c r="A617" s="1195"/>
      <c r="B617" s="1196"/>
      <c r="C617" s="1196"/>
      <c r="D617" s="1196"/>
      <c r="E617" s="1202" t="s">
        <v>459</v>
      </c>
      <c r="F617" s="1203"/>
      <c r="G617" s="1203"/>
      <c r="H617" s="1203"/>
      <c r="I617" s="1204">
        <f>IF(I616="Ma. Vivian C. Salas","Regional Office", IF(I616="Luz R. De Cozar","BANE IMO", IF(I616="Mineonette A. Dela Cruz","PAMBAT IMO", IF(I616="Resella B. Lopez","TARZAM IMO",0))))</f>
        <v>0</v>
      </c>
      <c r="J617" s="1205"/>
      <c r="K617" s="133"/>
      <c r="L617" s="62" t="str">
        <f t="shared" si="49"/>
        <v/>
      </c>
      <c r="M617" s="14"/>
      <c r="N617" s="89">
        <f t="array" ref="N617">SUM(IF((CsDJ[JEV Number]=TRIM($T580))*(CsDJ[Account Code]=TRIM(K617)),CsDJ[Debit]))</f>
        <v>0</v>
      </c>
      <c r="O617" s="89">
        <f t="array" ref="O617">SUM(IF((CsDJ[JEV Number]=TRIM($T580))*(CsDJ[Account Code]=TRIM(K617)),CsDJ[Credit]))</f>
        <v>0</v>
      </c>
      <c r="P617" s="1200">
        <f t="shared" si="50"/>
        <v>0</v>
      </c>
      <c r="Q617" s="1200"/>
      <c r="R617" s="1200"/>
      <c r="S617" s="1200">
        <f t="shared" si="51"/>
        <v>0</v>
      </c>
      <c r="T617" s="1200"/>
      <c r="U617" s="1200"/>
      <c r="V617" s="1201"/>
    </row>
    <row r="618" spans="1:22">
      <c r="A618" s="1195"/>
      <c r="B618" s="1196"/>
      <c r="C618" s="1196"/>
      <c r="D618" s="1196"/>
      <c r="E618" s="1202"/>
      <c r="F618" s="1203"/>
      <c r="G618" s="1203"/>
      <c r="H618" s="1203"/>
      <c r="I618" s="1203"/>
      <c r="J618" s="1206"/>
      <c r="K618" s="133"/>
      <c r="L618" s="62" t="str">
        <f t="shared" si="49"/>
        <v/>
      </c>
      <c r="M618" s="14"/>
      <c r="N618" s="89">
        <f t="array" ref="N618">SUM(IF((CsDJ[JEV Number]=TRIM($T580))*(CsDJ[Account Code]=TRIM(K618)),CsDJ[Debit]))</f>
        <v>0</v>
      </c>
      <c r="O618" s="89">
        <f t="array" ref="O618">SUM(IF((CsDJ[JEV Number]=TRIM($T580))*(CsDJ[Account Code]=TRIM(K618)),CsDJ[Credit]))</f>
        <v>0</v>
      </c>
      <c r="P618" s="1200">
        <f t="shared" si="50"/>
        <v>0</v>
      </c>
      <c r="Q618" s="1200"/>
      <c r="R618" s="1200"/>
      <c r="S618" s="1200">
        <f t="shared" si="51"/>
        <v>0</v>
      </c>
      <c r="T618" s="1200"/>
      <c r="U618" s="1200"/>
      <c r="V618" s="1201"/>
    </row>
    <row r="619" spans="1:22" ht="16.5" thickBot="1">
      <c r="A619" s="1188"/>
      <c r="B619" s="1189"/>
      <c r="C619" s="1189"/>
      <c r="D619" s="1189"/>
      <c r="E619" s="1189"/>
      <c r="F619" s="1189"/>
      <c r="G619" s="1189"/>
      <c r="H619" s="1189"/>
      <c r="I619" s="1189"/>
      <c r="J619" s="1189"/>
      <c r="K619" s="1189"/>
      <c r="L619" s="1189"/>
      <c r="M619" s="1190"/>
      <c r="N619" s="88"/>
      <c r="O619" s="88"/>
      <c r="P619" s="1191">
        <f>SUM(P589:R618)</f>
        <v>0</v>
      </c>
      <c r="Q619" s="1191"/>
      <c r="R619" s="1191"/>
      <c r="S619" s="1191">
        <f>SUM(S589:V618)</f>
        <v>0</v>
      </c>
      <c r="T619" s="1191"/>
      <c r="U619" s="1191"/>
      <c r="V619" s="1192"/>
    </row>
    <row r="620" spans="1:22">
      <c r="A620" s="63"/>
      <c r="B620" s="64"/>
      <c r="C620" s="64"/>
      <c r="D620" s="64"/>
      <c r="E620" s="64"/>
      <c r="F620" s="64"/>
      <c r="G620" s="64"/>
      <c r="H620" s="64"/>
      <c r="I620" s="65"/>
      <c r="J620" s="64"/>
      <c r="K620" s="66"/>
      <c r="L620" s="64"/>
      <c r="M620" s="65"/>
      <c r="N620" s="64"/>
      <c r="O620" s="64"/>
      <c r="P620" s="1193"/>
      <c r="Q620" s="1193"/>
      <c r="R620" s="1193"/>
      <c r="S620" s="1193"/>
      <c r="T620" s="1193"/>
      <c r="U620" s="1193"/>
      <c r="V620" s="1194"/>
    </row>
    <row r="621" spans="1:22">
      <c r="A621" s="67" t="s">
        <v>460</v>
      </c>
      <c r="B621"/>
      <c r="C621"/>
      <c r="D621"/>
      <c r="E621"/>
      <c r="F621"/>
      <c r="G621"/>
      <c r="H621"/>
      <c r="I621" s="68" t="s">
        <v>353</v>
      </c>
      <c r="J621" s="69"/>
      <c r="K621" s="69"/>
      <c r="L621"/>
      <c r="M621" s="68" t="s">
        <v>461</v>
      </c>
      <c r="N621" s="69"/>
      <c r="O621" s="69"/>
      <c r="P621" s="70"/>
      <c r="Q621" s="70"/>
      <c r="R621" s="70"/>
      <c r="S621" s="70"/>
      <c r="T621" s="70"/>
      <c r="U621" s="70"/>
      <c r="V621" s="71"/>
    </row>
    <row r="622" spans="1:22">
      <c r="A622" s="37"/>
      <c r="B622"/>
      <c r="C622"/>
      <c r="D622"/>
      <c r="E622"/>
      <c r="F622"/>
      <c r="G622"/>
      <c r="H622"/>
      <c r="I622" s="72"/>
      <c r="J622"/>
      <c r="K622"/>
      <c r="L622"/>
      <c r="M622" s="72"/>
      <c r="N622"/>
      <c r="O622"/>
      <c r="P622"/>
      <c r="Q622"/>
      <c r="R622"/>
      <c r="S622"/>
      <c r="T622"/>
      <c r="U622"/>
      <c r="V622" s="73"/>
    </row>
    <row r="623" spans="1:22">
      <c r="A623" s="74" t="s">
        <v>462</v>
      </c>
      <c r="B623" s="75"/>
      <c r="C623" s="75"/>
      <c r="D623" s="75"/>
      <c r="E623" s="75"/>
      <c r="F623" s="75"/>
      <c r="G623" s="75"/>
      <c r="H623" s="76"/>
      <c r="I623" s="77" t="s">
        <v>380</v>
      </c>
      <c r="J623" s="75"/>
      <c r="K623" s="75"/>
      <c r="L623" s="76"/>
      <c r="M623" s="77" t="s">
        <v>3</v>
      </c>
      <c r="N623" s="75"/>
      <c r="O623" s="75"/>
      <c r="P623" s="75"/>
      <c r="Q623" s="75"/>
      <c r="R623" s="75"/>
      <c r="S623" s="75"/>
      <c r="T623" s="75"/>
      <c r="U623" s="75"/>
      <c r="V623" s="78"/>
    </row>
    <row r="624" spans="1:22">
      <c r="A624" s="79" t="s">
        <v>463</v>
      </c>
      <c r="B624" s="80"/>
      <c r="C624" s="80"/>
      <c r="D624" s="80"/>
      <c r="E624" s="80"/>
      <c r="F624" s="80"/>
      <c r="G624" s="80"/>
      <c r="H624" s="80"/>
      <c r="I624" s="81" t="s">
        <v>381</v>
      </c>
      <c r="J624" s="80"/>
      <c r="K624" s="80"/>
      <c r="L624" s="80"/>
      <c r="M624" s="81" t="s">
        <v>464</v>
      </c>
      <c r="N624" s="80"/>
      <c r="O624" s="80"/>
      <c r="P624" s="82"/>
      <c r="Q624" s="82"/>
      <c r="R624" s="82"/>
      <c r="S624" s="82"/>
      <c r="T624" s="82"/>
      <c r="U624" s="82"/>
      <c r="V624" s="83"/>
    </row>
    <row r="625" spans="1:22" ht="16.5" thickBot="1">
      <c r="A625" s="84" t="s">
        <v>465</v>
      </c>
      <c r="B625" s="43"/>
      <c r="C625" s="43"/>
      <c r="D625" s="43"/>
      <c r="E625" s="43"/>
      <c r="F625" s="43"/>
      <c r="G625" s="43"/>
      <c r="H625" s="43"/>
      <c r="I625" s="85"/>
      <c r="J625" s="43"/>
      <c r="K625" s="43"/>
      <c r="L625" s="43"/>
      <c r="M625" s="85"/>
      <c r="N625" s="43"/>
      <c r="O625" s="43"/>
      <c r="P625" s="43"/>
      <c r="Q625" s="43"/>
      <c r="R625" s="43"/>
      <c r="S625" s="43"/>
      <c r="T625" s="43"/>
      <c r="U625" s="43"/>
      <c r="V625" s="44"/>
    </row>
    <row r="626" spans="1:22" ht="22.5">
      <c r="A626" s="31" t="s">
        <v>441</v>
      </c>
      <c r="B626" s="32"/>
      <c r="C626" s="32"/>
      <c r="D626" s="32"/>
      <c r="E626" s="32"/>
      <c r="F626" s="32"/>
      <c r="G626" s="32"/>
      <c r="H626" s="32"/>
      <c r="I626" s="32"/>
      <c r="J626" s="32"/>
      <c r="K626" s="32"/>
      <c r="L626" s="32"/>
      <c r="M626" s="32"/>
      <c r="N626" s="32"/>
      <c r="O626" s="32"/>
      <c r="P626" s="32"/>
      <c r="Q626" s="33"/>
      <c r="R626" s="1218">
        <f>+P666-S666</f>
        <v>0</v>
      </c>
      <c r="S626" s="1219"/>
      <c r="T626" s="1219"/>
      <c r="U626" s="1219"/>
      <c r="V626" s="1220"/>
    </row>
    <row r="627" spans="1:22">
      <c r="A627" s="34" t="s">
        <v>442</v>
      </c>
      <c r="B627" s="35"/>
      <c r="C627" s="35"/>
      <c r="D627" s="35"/>
      <c r="E627" s="35"/>
      <c r="F627" s="35"/>
      <c r="G627" s="35"/>
      <c r="H627" s="35"/>
      <c r="I627" s="35"/>
      <c r="J627" s="35"/>
      <c r="K627" s="35"/>
      <c r="L627" s="35"/>
      <c r="M627" s="35"/>
      <c r="N627" s="35"/>
      <c r="O627" s="35"/>
      <c r="P627" s="35"/>
      <c r="Q627" s="36"/>
      <c r="R627" s="37" t="s">
        <v>443</v>
      </c>
      <c r="S627"/>
      <c r="T627" s="1221"/>
      <c r="U627" s="1221"/>
      <c r="V627" s="1222"/>
    </row>
    <row r="628" spans="1:22">
      <c r="A628" s="38" t="s">
        <v>444</v>
      </c>
      <c r="B628" s="35"/>
      <c r="C628" s="35"/>
      <c r="D628" s="35"/>
      <c r="E628" s="35"/>
      <c r="F628" s="35"/>
      <c r="G628" s="35"/>
      <c r="H628" s="35"/>
      <c r="I628" s="35"/>
      <c r="J628" s="35"/>
      <c r="K628" s="35"/>
      <c r="L628" s="35"/>
      <c r="M628" s="35"/>
      <c r="N628" s="35"/>
      <c r="O628" s="35"/>
      <c r="P628" s="35"/>
      <c r="Q628" s="36"/>
      <c r="R628" s="37" t="s">
        <v>0</v>
      </c>
      <c r="S628"/>
      <c r="T628" s="1223">
        <f>IF(T627=0,0,(LOOKUP(T627,CsDJ[JEV Number],CsDJ[Date])))</f>
        <v>0</v>
      </c>
      <c r="U628" s="1223"/>
      <c r="V628" s="1224"/>
    </row>
    <row r="629" spans="1:22" ht="16.5" thickBot="1">
      <c r="A629" s="39"/>
      <c r="B629" s="40"/>
      <c r="C629" s="40"/>
      <c r="D629" s="40"/>
      <c r="E629" s="40"/>
      <c r="F629" s="40"/>
      <c r="G629" s="40"/>
      <c r="H629" s="40"/>
      <c r="I629" s="40"/>
      <c r="J629" s="40"/>
      <c r="K629" s="40"/>
      <c r="L629" s="40"/>
      <c r="M629" s="40"/>
      <c r="N629" s="40"/>
      <c r="O629" s="40"/>
      <c r="P629" s="40"/>
      <c r="Q629" s="41"/>
      <c r="R629" s="42"/>
      <c r="S629" s="43"/>
      <c r="T629" s="43"/>
      <c r="U629" s="43"/>
      <c r="V629" s="44"/>
    </row>
    <row r="630" spans="1:22">
      <c r="A630" s="45"/>
      <c r="B630" s="46"/>
      <c r="C630" s="46"/>
      <c r="D630" s="46"/>
      <c r="E630" s="46"/>
      <c r="F630" s="46"/>
      <c r="G630" s="46"/>
      <c r="H630" s="46"/>
      <c r="I630" s="46"/>
      <c r="J630" s="46"/>
      <c r="K630" s="46"/>
      <c r="L630" s="47"/>
      <c r="M630" s="46"/>
      <c r="N630" s="46"/>
      <c r="O630" s="46"/>
      <c r="P630" s="46"/>
      <c r="Q630" s="46"/>
      <c r="R630" s="46"/>
      <c r="S630" s="46"/>
      <c r="T630" s="46"/>
      <c r="U630" s="46"/>
      <c r="V630" s="48"/>
    </row>
    <row r="631" spans="1:22">
      <c r="A631" s="49"/>
      <c r="B631" s="1225"/>
      <c r="C631" s="1225"/>
      <c r="D631" s="50" t="s">
        <v>445</v>
      </c>
      <c r="H631" s="51"/>
      <c r="I631" s="25" t="s">
        <v>447</v>
      </c>
      <c r="J631" s="132" t="s">
        <v>446</v>
      </c>
      <c r="K631" s="52" t="s">
        <v>448</v>
      </c>
      <c r="L631" s="52"/>
      <c r="Q631" s="1225"/>
      <c r="R631" s="1225"/>
      <c r="S631" s="50" t="s">
        <v>449</v>
      </c>
      <c r="T631" s="50"/>
      <c r="U631" s="50"/>
      <c r="V631" s="53"/>
    </row>
    <row r="632" spans="1:22" ht="16.5" thickBot="1">
      <c r="A632" s="54"/>
      <c r="B632" s="55"/>
      <c r="C632" s="55"/>
      <c r="D632" s="55"/>
      <c r="E632" s="55"/>
      <c r="F632" s="55"/>
      <c r="G632" s="55"/>
      <c r="H632" s="55"/>
      <c r="I632" s="55"/>
      <c r="J632" s="55"/>
      <c r="K632" s="55"/>
      <c r="L632" s="56"/>
      <c r="M632" s="55"/>
      <c r="N632" s="55"/>
      <c r="O632" s="55"/>
      <c r="P632" s="55"/>
      <c r="Q632" s="55"/>
      <c r="R632" s="55"/>
      <c r="S632" s="55"/>
      <c r="T632" s="55"/>
      <c r="U632" s="55"/>
      <c r="V632" s="57"/>
    </row>
    <row r="633" spans="1:22">
      <c r="A633" s="1226" t="s">
        <v>397</v>
      </c>
      <c r="B633" s="1227"/>
      <c r="C633" s="1227"/>
      <c r="D633" s="1228"/>
      <c r="E633" s="1235" t="s">
        <v>450</v>
      </c>
      <c r="F633" s="1235"/>
      <c r="G633" s="1235"/>
      <c r="H633" s="1235"/>
      <c r="I633" s="1235"/>
      <c r="J633" s="1235"/>
      <c r="K633" s="1235"/>
      <c r="L633" s="1235"/>
      <c r="M633" s="1235"/>
      <c r="N633" s="1235"/>
      <c r="O633" s="1235"/>
      <c r="P633" s="1235"/>
      <c r="Q633" s="1235"/>
      <c r="R633" s="1235"/>
      <c r="S633" s="1235"/>
      <c r="T633" s="1235"/>
      <c r="U633" s="1235"/>
      <c r="V633" s="1236"/>
    </row>
    <row r="634" spans="1:22">
      <c r="A634" s="1229"/>
      <c r="B634" s="1230"/>
      <c r="C634" s="1230"/>
      <c r="D634" s="1231"/>
      <c r="E634" s="1237" t="s">
        <v>451</v>
      </c>
      <c r="F634" s="1237"/>
      <c r="G634" s="1237"/>
      <c r="H634" s="1237"/>
      <c r="I634" s="1237"/>
      <c r="J634" s="1237"/>
      <c r="K634" s="1239" t="s">
        <v>378</v>
      </c>
      <c r="L634" s="1239"/>
      <c r="M634" s="1237" t="s">
        <v>452</v>
      </c>
      <c r="N634" s="1240" t="s">
        <v>453</v>
      </c>
      <c r="O634" s="1241"/>
      <c r="P634" s="1241"/>
      <c r="Q634" s="1241"/>
      <c r="R634" s="1241"/>
      <c r="S634" s="1241"/>
      <c r="T634" s="1241"/>
      <c r="U634" s="1241"/>
      <c r="V634" s="1242"/>
    </row>
    <row r="635" spans="1:22" ht="16.5" customHeight="1" thickBot="1">
      <c r="A635" s="1232"/>
      <c r="B635" s="1233"/>
      <c r="C635" s="1233"/>
      <c r="D635" s="1234"/>
      <c r="E635" s="1238"/>
      <c r="F635" s="1238"/>
      <c r="G635" s="1238"/>
      <c r="H635" s="1238"/>
      <c r="I635" s="1238"/>
      <c r="J635" s="1238"/>
      <c r="K635" s="58" t="s">
        <v>454</v>
      </c>
      <c r="L635" s="58" t="s">
        <v>455</v>
      </c>
      <c r="M635" s="1238"/>
      <c r="N635" s="87" t="s">
        <v>466</v>
      </c>
      <c r="O635" s="87" t="s">
        <v>467</v>
      </c>
      <c r="P635" s="1243" t="s">
        <v>1</v>
      </c>
      <c r="Q635" s="1244"/>
      <c r="R635" s="1245"/>
      <c r="S635" s="1243" t="s">
        <v>2</v>
      </c>
      <c r="T635" s="1244"/>
      <c r="U635" s="1244"/>
      <c r="V635" s="1246"/>
    </row>
    <row r="636" spans="1:22" ht="19.5">
      <c r="A636" s="1210">
        <f>P666-S666</f>
        <v>0</v>
      </c>
      <c r="B636" s="1211"/>
      <c r="C636" s="1211"/>
      <c r="D636" s="1211"/>
      <c r="E636" s="1212" t="str">
        <f>Account!$G$1</f>
        <v>FUND 501 CARP</v>
      </c>
      <c r="F636" s="1213"/>
      <c r="G636" s="1213"/>
      <c r="H636" s="1213"/>
      <c r="I636" s="1213"/>
      <c r="J636" s="1214"/>
      <c r="K636" s="59"/>
      <c r="L636" s="59"/>
      <c r="M636" s="60"/>
      <c r="N636" s="60"/>
      <c r="O636" s="60"/>
      <c r="P636" s="1215"/>
      <c r="Q636" s="1215"/>
      <c r="R636" s="1215"/>
      <c r="S636" s="1215"/>
      <c r="T636" s="1215"/>
      <c r="U636" s="1215"/>
      <c r="V636" s="1216"/>
    </row>
    <row r="637" spans="1:22">
      <c r="A637" s="1195"/>
      <c r="B637" s="1196"/>
      <c r="C637" s="1196"/>
      <c r="D637" s="1196"/>
      <c r="E637" s="1196"/>
      <c r="F637" s="1196"/>
      <c r="G637" s="1196"/>
      <c r="H637" s="1196"/>
      <c r="I637" s="1196"/>
      <c r="J637" s="1196"/>
      <c r="K637" s="61"/>
      <c r="L637" s="61"/>
      <c r="M637" s="14"/>
      <c r="N637" s="14"/>
      <c r="O637" s="14"/>
      <c r="P637" s="1196"/>
      <c r="Q637" s="1196"/>
      <c r="R637" s="1196"/>
      <c r="S637" s="1196"/>
      <c r="T637" s="1196"/>
      <c r="U637" s="1196"/>
      <c r="V637" s="1217"/>
    </row>
    <row r="638" spans="1:22">
      <c r="A638" s="1195"/>
      <c r="B638" s="1196"/>
      <c r="C638" s="1196"/>
      <c r="D638" s="1196"/>
      <c r="E638" s="1197" t="str">
        <f t="shared" ref="E638:E660" si="52">IF(K638=0,"",(VLOOKUP((TRIM(K638)),Code,2,)))</f>
        <v/>
      </c>
      <c r="F638" s="1198"/>
      <c r="G638" s="1198"/>
      <c r="H638" s="1198"/>
      <c r="I638" s="1198"/>
      <c r="J638" s="1199"/>
      <c r="K638" s="133"/>
      <c r="L638" s="62" t="str">
        <f t="shared" ref="L638:L665" si="53">IF(K638=0,"",VLOOKUP((TRIM(K638)),Code,3,))</f>
        <v/>
      </c>
      <c r="M638" s="14"/>
      <c r="N638" s="89">
        <f t="array" ref="N638">SUM(IF((CsDJ[JEV Number]=TRIM($T627))*(CsDJ[Account Code]=TRIM(K638)),CsDJ[Debit]))</f>
        <v>0</v>
      </c>
      <c r="O638" s="89">
        <f t="array" ref="O638">SUM(IF((CsDJ[JEV Number]=TRIM($T627))*(CsDJ[Account Code]=TRIM(K638)),CsDJ[Credit]))</f>
        <v>0</v>
      </c>
      <c r="P638" s="1200">
        <f>N638</f>
        <v>0</v>
      </c>
      <c r="Q638" s="1200"/>
      <c r="R638" s="1200"/>
      <c r="S638" s="1200">
        <f>O638</f>
        <v>0</v>
      </c>
      <c r="T638" s="1200"/>
      <c r="U638" s="1200"/>
      <c r="V638" s="1201"/>
    </row>
    <row r="639" spans="1:22">
      <c r="A639" s="1195"/>
      <c r="B639" s="1196"/>
      <c r="C639" s="1196"/>
      <c r="D639" s="1196"/>
      <c r="E639" s="1197" t="str">
        <f t="shared" si="52"/>
        <v/>
      </c>
      <c r="F639" s="1198"/>
      <c r="G639" s="1198"/>
      <c r="H639" s="1198"/>
      <c r="I639" s="1198"/>
      <c r="J639" s="1199"/>
      <c r="K639" s="133"/>
      <c r="L639" s="62" t="str">
        <f t="shared" si="53"/>
        <v/>
      </c>
      <c r="M639" s="14"/>
      <c r="N639" s="89">
        <f t="array" ref="N639">SUM(IF((CsDJ[JEV Number]=TRIM($T627))*(CsDJ[Account Code]=TRIM(K639)),CsDJ[Debit]))</f>
        <v>0</v>
      </c>
      <c r="O639" s="89">
        <f t="array" ref="O639">SUM(IF((CsDJ[JEV Number]=TRIM($T627))*(CsDJ[Account Code]=TRIM(K639)),CsDJ[Credit]))</f>
        <v>0</v>
      </c>
      <c r="P639" s="1200">
        <f>N639</f>
        <v>0</v>
      </c>
      <c r="Q639" s="1200"/>
      <c r="R639" s="1200"/>
      <c r="S639" s="1200">
        <f>O639</f>
        <v>0</v>
      </c>
      <c r="T639" s="1200"/>
      <c r="U639" s="1200"/>
      <c r="V639" s="1201"/>
    </row>
    <row r="640" spans="1:22">
      <c r="A640" s="1195"/>
      <c r="B640" s="1196"/>
      <c r="C640" s="1196"/>
      <c r="D640" s="1196"/>
      <c r="E640" s="1197" t="str">
        <f t="shared" si="52"/>
        <v/>
      </c>
      <c r="F640" s="1198"/>
      <c r="G640" s="1198"/>
      <c r="H640" s="1198"/>
      <c r="I640" s="1198"/>
      <c r="J640" s="1199"/>
      <c r="K640" s="133"/>
      <c r="L640" s="62" t="str">
        <f t="shared" si="53"/>
        <v/>
      </c>
      <c r="M640" s="14"/>
      <c r="N640" s="89">
        <f t="array" ref="N640">SUM(IF((CsDJ[JEV Number]=TRIM($T627))*(CsDJ[Account Code]=TRIM(K640)),CsDJ[Debit]))</f>
        <v>0</v>
      </c>
      <c r="O640" s="89">
        <f t="array" ref="O640">SUM(IF((CsDJ[JEV Number]=TRIM($T627))*(CsDJ[Account Code]=TRIM(K640)),CsDJ[Credit]))</f>
        <v>0</v>
      </c>
      <c r="P640" s="1200">
        <f t="shared" ref="P640:P665" si="54">N640</f>
        <v>0</v>
      </c>
      <c r="Q640" s="1200"/>
      <c r="R640" s="1200"/>
      <c r="S640" s="1200">
        <f t="shared" ref="S640:S665" si="55">O640</f>
        <v>0</v>
      </c>
      <c r="T640" s="1200"/>
      <c r="U640" s="1200"/>
      <c r="V640" s="1201"/>
    </row>
    <row r="641" spans="1:22">
      <c r="A641" s="1195"/>
      <c r="B641" s="1196"/>
      <c r="C641" s="1196"/>
      <c r="D641" s="1196"/>
      <c r="E641" s="1197" t="str">
        <f t="shared" si="52"/>
        <v/>
      </c>
      <c r="F641" s="1198"/>
      <c r="G641" s="1198"/>
      <c r="H641" s="1198"/>
      <c r="I641" s="1198"/>
      <c r="J641" s="1199"/>
      <c r="K641" s="133"/>
      <c r="L641" s="62" t="str">
        <f t="shared" si="53"/>
        <v/>
      </c>
      <c r="M641" s="14"/>
      <c r="N641" s="89">
        <f t="array" ref="N641">SUM(IF((CsDJ[JEV Number]=TRIM($T627))*(CsDJ[Account Code]=TRIM(K641)),CsDJ[Debit]))</f>
        <v>0</v>
      </c>
      <c r="O641" s="89">
        <f t="array" ref="O641">SUM(IF((CsDJ[JEV Number]=TRIM($T627))*(CsDJ[Account Code]=TRIM(K641)),CsDJ[Credit]))</f>
        <v>0</v>
      </c>
      <c r="P641" s="1200">
        <f t="shared" si="54"/>
        <v>0</v>
      </c>
      <c r="Q641" s="1200"/>
      <c r="R641" s="1200"/>
      <c r="S641" s="1200">
        <f t="shared" si="55"/>
        <v>0</v>
      </c>
      <c r="T641" s="1200"/>
      <c r="U641" s="1200"/>
      <c r="V641" s="1201"/>
    </row>
    <row r="642" spans="1:22">
      <c r="A642" s="1195"/>
      <c r="B642" s="1196"/>
      <c r="C642" s="1196"/>
      <c r="D642" s="1196"/>
      <c r="E642" s="1197" t="str">
        <f t="shared" si="52"/>
        <v/>
      </c>
      <c r="F642" s="1198"/>
      <c r="G642" s="1198"/>
      <c r="H642" s="1198"/>
      <c r="I642" s="1198"/>
      <c r="J642" s="1199"/>
      <c r="K642" s="133"/>
      <c r="L642" s="62" t="str">
        <f t="shared" si="53"/>
        <v/>
      </c>
      <c r="M642" s="14"/>
      <c r="N642" s="89">
        <f t="array" ref="N642">SUM(IF((CsDJ[JEV Number]=TRIM($T627))*(CsDJ[Account Code]=TRIM(K642)),CsDJ[Debit]))</f>
        <v>0</v>
      </c>
      <c r="O642" s="89">
        <f t="array" ref="O642">SUM(IF((CsDJ[JEV Number]=TRIM($T627))*(CsDJ[Account Code]=TRIM(K642)),CsDJ[Credit]))</f>
        <v>0</v>
      </c>
      <c r="P642" s="1200">
        <f t="shared" si="54"/>
        <v>0</v>
      </c>
      <c r="Q642" s="1200"/>
      <c r="R642" s="1200"/>
      <c r="S642" s="1200">
        <f t="shared" si="55"/>
        <v>0</v>
      </c>
      <c r="T642" s="1200"/>
      <c r="U642" s="1200"/>
      <c r="V642" s="1201"/>
    </row>
    <row r="643" spans="1:22">
      <c r="A643" s="1195"/>
      <c r="B643" s="1196"/>
      <c r="C643" s="1196"/>
      <c r="D643" s="1196"/>
      <c r="E643" s="1197" t="str">
        <f t="shared" si="52"/>
        <v/>
      </c>
      <c r="F643" s="1198"/>
      <c r="G643" s="1198"/>
      <c r="H643" s="1198"/>
      <c r="I643" s="1198"/>
      <c r="J643" s="1199"/>
      <c r="K643" s="133"/>
      <c r="L643" s="62" t="str">
        <f t="shared" si="53"/>
        <v/>
      </c>
      <c r="M643" s="14"/>
      <c r="N643" s="89">
        <f t="array" ref="N643">SUM(IF((CsDJ[JEV Number]=TRIM($T627))*(CsDJ[Account Code]=TRIM(K643)),CsDJ[Debit]))</f>
        <v>0</v>
      </c>
      <c r="O643" s="89">
        <f t="array" ref="O643">SUM(IF((CsDJ[JEV Number]=TRIM($T627))*(CsDJ[Account Code]=TRIM(K643)),CsDJ[Credit]))</f>
        <v>0</v>
      </c>
      <c r="P643" s="1200">
        <f t="shared" si="54"/>
        <v>0</v>
      </c>
      <c r="Q643" s="1200"/>
      <c r="R643" s="1200"/>
      <c r="S643" s="1200">
        <f t="shared" si="55"/>
        <v>0</v>
      </c>
      <c r="T643" s="1200"/>
      <c r="U643" s="1200"/>
      <c r="V643" s="1201"/>
    </row>
    <row r="644" spans="1:22">
      <c r="A644" s="1195"/>
      <c r="B644" s="1196"/>
      <c r="C644" s="1196"/>
      <c r="D644" s="1196"/>
      <c r="E644" s="1197" t="str">
        <f t="shared" si="52"/>
        <v/>
      </c>
      <c r="F644" s="1198"/>
      <c r="G644" s="1198"/>
      <c r="H644" s="1198"/>
      <c r="I644" s="1198"/>
      <c r="J644" s="1199"/>
      <c r="K644" s="133"/>
      <c r="L644" s="62" t="str">
        <f t="shared" si="53"/>
        <v/>
      </c>
      <c r="M644" s="14"/>
      <c r="N644" s="89">
        <f t="array" ref="N644">SUM(IF((CsDJ[JEV Number]=TRIM($T627))*(CsDJ[Account Code]=TRIM(K644)),CsDJ[Debit]))</f>
        <v>0</v>
      </c>
      <c r="O644" s="89">
        <f t="array" ref="O644">SUM(IF((CsDJ[JEV Number]=TRIM($T627))*(CsDJ[Account Code]=TRIM(K644)),CsDJ[Credit]))</f>
        <v>0</v>
      </c>
      <c r="P644" s="1200">
        <f t="shared" si="54"/>
        <v>0</v>
      </c>
      <c r="Q644" s="1200"/>
      <c r="R644" s="1200"/>
      <c r="S644" s="1200">
        <f t="shared" si="55"/>
        <v>0</v>
      </c>
      <c r="T644" s="1200"/>
      <c r="U644" s="1200"/>
      <c r="V644" s="1201"/>
    </row>
    <row r="645" spans="1:22">
      <c r="A645" s="1195"/>
      <c r="B645" s="1196"/>
      <c r="C645" s="1196"/>
      <c r="D645" s="1196"/>
      <c r="E645" s="1197" t="str">
        <f t="shared" si="52"/>
        <v/>
      </c>
      <c r="F645" s="1198"/>
      <c r="G645" s="1198"/>
      <c r="H645" s="1198"/>
      <c r="I645" s="1198"/>
      <c r="J645" s="1199"/>
      <c r="K645" s="133"/>
      <c r="L645" s="62" t="str">
        <f t="shared" si="53"/>
        <v/>
      </c>
      <c r="M645" s="14"/>
      <c r="N645" s="89">
        <f t="array" ref="N645">SUM(IF((CsDJ[JEV Number]=TRIM($T627))*(CsDJ[Account Code]=TRIM(K645)),CsDJ[Debit]))</f>
        <v>0</v>
      </c>
      <c r="O645" s="89">
        <f t="array" ref="O645">SUM(IF((CsDJ[JEV Number]=TRIM($T627))*(CsDJ[Account Code]=TRIM(K645)),CsDJ[Credit]))</f>
        <v>0</v>
      </c>
      <c r="P645" s="1200">
        <f t="shared" si="54"/>
        <v>0</v>
      </c>
      <c r="Q645" s="1200"/>
      <c r="R645" s="1200"/>
      <c r="S645" s="1200">
        <f t="shared" si="55"/>
        <v>0</v>
      </c>
      <c r="T645" s="1200"/>
      <c r="U645" s="1200"/>
      <c r="V645" s="1201"/>
    </row>
    <row r="646" spans="1:22">
      <c r="A646" s="1195"/>
      <c r="B646" s="1196"/>
      <c r="C646" s="1196"/>
      <c r="D646" s="1196"/>
      <c r="E646" s="1197" t="str">
        <f t="shared" si="52"/>
        <v/>
      </c>
      <c r="F646" s="1198"/>
      <c r="G646" s="1198"/>
      <c r="H646" s="1198"/>
      <c r="I646" s="1198"/>
      <c r="J646" s="1199"/>
      <c r="K646" s="134"/>
      <c r="L646" s="62" t="str">
        <f t="shared" si="53"/>
        <v/>
      </c>
      <c r="M646" s="14"/>
      <c r="N646" s="89">
        <f t="array" ref="N646">SUM(IF((CsDJ[JEV Number]=TRIM($T627))*(CsDJ[Account Code]=TRIM(K646)),CsDJ[Debit]))</f>
        <v>0</v>
      </c>
      <c r="O646" s="89">
        <f t="array" ref="O646">SUM(IF((CsDJ[JEV Number]=TRIM($T627))*(CsDJ[Account Code]=TRIM(K646)),CsDJ[Credit]))</f>
        <v>0</v>
      </c>
      <c r="P646" s="1200">
        <f t="shared" si="54"/>
        <v>0</v>
      </c>
      <c r="Q646" s="1200"/>
      <c r="R646" s="1200"/>
      <c r="S646" s="1200">
        <f t="shared" si="55"/>
        <v>0</v>
      </c>
      <c r="T646" s="1200"/>
      <c r="U646" s="1200"/>
      <c r="V646" s="1201"/>
    </row>
    <row r="647" spans="1:22">
      <c r="A647" s="1195"/>
      <c r="B647" s="1196"/>
      <c r="C647" s="1196"/>
      <c r="D647" s="1196"/>
      <c r="E647" s="1197" t="str">
        <f t="shared" si="52"/>
        <v/>
      </c>
      <c r="F647" s="1198"/>
      <c r="G647" s="1198"/>
      <c r="H647" s="1198"/>
      <c r="I647" s="1198"/>
      <c r="J647" s="1199"/>
      <c r="K647" s="134"/>
      <c r="L647" s="62" t="str">
        <f t="shared" si="53"/>
        <v/>
      </c>
      <c r="M647" s="14"/>
      <c r="N647" s="89">
        <f t="array" ref="N647">SUM(IF((CsDJ[JEV Number]=TRIM($T627))*(CsDJ[Account Code]=TRIM(K647)),CsDJ[Debit]))</f>
        <v>0</v>
      </c>
      <c r="O647" s="89">
        <f t="array" ref="O647">SUM(IF((CsDJ[JEV Number]=TRIM($T627))*(CsDJ[Account Code]=TRIM(K647)),CsDJ[Credit]))</f>
        <v>0</v>
      </c>
      <c r="P647" s="1200">
        <f t="shared" si="54"/>
        <v>0</v>
      </c>
      <c r="Q647" s="1200"/>
      <c r="R647" s="1200"/>
      <c r="S647" s="1200">
        <f t="shared" si="55"/>
        <v>0</v>
      </c>
      <c r="T647" s="1200"/>
      <c r="U647" s="1200"/>
      <c r="V647" s="1201"/>
    </row>
    <row r="648" spans="1:22">
      <c r="A648" s="1195"/>
      <c r="B648" s="1196"/>
      <c r="C648" s="1196"/>
      <c r="D648" s="1196"/>
      <c r="E648" s="1197" t="str">
        <f t="shared" si="52"/>
        <v/>
      </c>
      <c r="F648" s="1198"/>
      <c r="G648" s="1198"/>
      <c r="H648" s="1198"/>
      <c r="I648" s="1198"/>
      <c r="J648" s="1199"/>
      <c r="K648" s="134"/>
      <c r="L648" s="62" t="str">
        <f t="shared" si="53"/>
        <v/>
      </c>
      <c r="M648" s="14"/>
      <c r="N648" s="89">
        <f t="array" ref="N648">SUM(IF((CsDJ[JEV Number]=TRIM($T627))*(CsDJ[Account Code]=TRIM(K648)),CsDJ[Debit]))</f>
        <v>0</v>
      </c>
      <c r="O648" s="89">
        <f t="array" ref="O648">SUM(IF((CsDJ[JEV Number]=TRIM($T627))*(CsDJ[Account Code]=TRIM(K648)),CsDJ[Credit]))</f>
        <v>0</v>
      </c>
      <c r="P648" s="1200">
        <f t="shared" si="54"/>
        <v>0</v>
      </c>
      <c r="Q648" s="1200"/>
      <c r="R648" s="1200"/>
      <c r="S648" s="1200">
        <f t="shared" si="55"/>
        <v>0</v>
      </c>
      <c r="T648" s="1200"/>
      <c r="U648" s="1200"/>
      <c r="V648" s="1201"/>
    </row>
    <row r="649" spans="1:22">
      <c r="A649" s="1195"/>
      <c r="B649" s="1196"/>
      <c r="C649" s="1196"/>
      <c r="D649" s="1196"/>
      <c r="E649" s="1197" t="str">
        <f t="shared" si="52"/>
        <v/>
      </c>
      <c r="F649" s="1198"/>
      <c r="G649" s="1198"/>
      <c r="H649" s="1198"/>
      <c r="I649" s="1198"/>
      <c r="J649" s="1199"/>
      <c r="K649" s="134"/>
      <c r="L649" s="62" t="str">
        <f t="shared" si="53"/>
        <v/>
      </c>
      <c r="M649" s="14"/>
      <c r="N649" s="89">
        <f t="array" ref="N649">SUM(IF((CsDJ[JEV Number]=TRIM($T627))*(CsDJ[Account Code]=TRIM(K649)),CsDJ[Debit]))</f>
        <v>0</v>
      </c>
      <c r="O649" s="89">
        <f t="array" ref="O649">SUM(IF((CsDJ[JEV Number]=TRIM($T627))*(CsDJ[Account Code]=TRIM(K649)),CsDJ[Credit]))</f>
        <v>0</v>
      </c>
      <c r="P649" s="1200">
        <f t="shared" si="54"/>
        <v>0</v>
      </c>
      <c r="Q649" s="1200"/>
      <c r="R649" s="1200"/>
      <c r="S649" s="1200">
        <f t="shared" si="55"/>
        <v>0</v>
      </c>
      <c r="T649" s="1200"/>
      <c r="U649" s="1200"/>
      <c r="V649" s="1201"/>
    </row>
    <row r="650" spans="1:22">
      <c r="A650" s="1195"/>
      <c r="B650" s="1196"/>
      <c r="C650" s="1196"/>
      <c r="D650" s="1196"/>
      <c r="E650" s="1197" t="str">
        <f t="shared" si="52"/>
        <v/>
      </c>
      <c r="F650" s="1198"/>
      <c r="G650" s="1198"/>
      <c r="H650" s="1198"/>
      <c r="I650" s="1198"/>
      <c r="J650" s="1199"/>
      <c r="K650" s="134"/>
      <c r="L650" s="62" t="str">
        <f t="shared" si="53"/>
        <v/>
      </c>
      <c r="M650" s="14"/>
      <c r="N650" s="89">
        <f t="array" ref="N650">SUM(IF((CsDJ[JEV Number]=TRIM($T627))*(CsDJ[Account Code]=TRIM(K650)),CsDJ[Debit]))</f>
        <v>0</v>
      </c>
      <c r="O650" s="89">
        <f t="array" ref="O650">SUM(IF((CsDJ[JEV Number]=TRIM($T627))*(CsDJ[Account Code]=TRIM(K650)),CsDJ[Credit]))</f>
        <v>0</v>
      </c>
      <c r="P650" s="1200">
        <f t="shared" si="54"/>
        <v>0</v>
      </c>
      <c r="Q650" s="1200"/>
      <c r="R650" s="1200"/>
      <c r="S650" s="1200">
        <f t="shared" si="55"/>
        <v>0</v>
      </c>
      <c r="T650" s="1200"/>
      <c r="U650" s="1200"/>
      <c r="V650" s="1201"/>
    </row>
    <row r="651" spans="1:22">
      <c r="A651" s="1195"/>
      <c r="B651" s="1196"/>
      <c r="C651" s="1196"/>
      <c r="D651" s="1196"/>
      <c r="E651" s="1197" t="str">
        <f t="shared" si="52"/>
        <v/>
      </c>
      <c r="F651" s="1198"/>
      <c r="G651" s="1198"/>
      <c r="H651" s="1198"/>
      <c r="I651" s="1198"/>
      <c r="J651" s="1199"/>
      <c r="K651" s="134"/>
      <c r="L651" s="62" t="str">
        <f t="shared" si="53"/>
        <v/>
      </c>
      <c r="M651" s="14"/>
      <c r="N651" s="89">
        <f t="array" ref="N651">SUM(IF((CsDJ[JEV Number]=TRIM($T627))*(CsDJ[Account Code]=TRIM(K651)),CsDJ[Debit]))</f>
        <v>0</v>
      </c>
      <c r="O651" s="89">
        <f t="array" ref="O651">SUM(IF((CsDJ[JEV Number]=TRIM($T627))*(CsDJ[Account Code]=TRIM(K651)),CsDJ[Credit]))</f>
        <v>0</v>
      </c>
      <c r="P651" s="1200">
        <f t="shared" si="54"/>
        <v>0</v>
      </c>
      <c r="Q651" s="1200"/>
      <c r="R651" s="1200"/>
      <c r="S651" s="1200">
        <f t="shared" si="55"/>
        <v>0</v>
      </c>
      <c r="T651" s="1200"/>
      <c r="U651" s="1200"/>
      <c r="V651" s="1201"/>
    </row>
    <row r="652" spans="1:22">
      <c r="A652" s="1195"/>
      <c r="B652" s="1196"/>
      <c r="C652" s="1196"/>
      <c r="D652" s="1196"/>
      <c r="E652" s="1197" t="str">
        <f t="shared" si="52"/>
        <v/>
      </c>
      <c r="F652" s="1198"/>
      <c r="G652" s="1198"/>
      <c r="H652" s="1198"/>
      <c r="I652" s="1198"/>
      <c r="J652" s="1199"/>
      <c r="K652" s="134"/>
      <c r="L652" s="62" t="str">
        <f t="shared" si="53"/>
        <v/>
      </c>
      <c r="M652" s="14"/>
      <c r="N652" s="89">
        <f t="array" ref="N652">SUM(IF((CsDJ[JEV Number]=TRIM($T627))*(CsDJ[Account Code]=TRIM(K652)),CsDJ[Debit]))</f>
        <v>0</v>
      </c>
      <c r="O652" s="89">
        <f t="array" ref="O652">SUM(IF((CsDJ[JEV Number]=TRIM($T627))*(CsDJ[Account Code]=TRIM(K652)),CsDJ[Credit]))</f>
        <v>0</v>
      </c>
      <c r="P652" s="1200">
        <f t="shared" si="54"/>
        <v>0</v>
      </c>
      <c r="Q652" s="1200"/>
      <c r="R652" s="1200"/>
      <c r="S652" s="1200">
        <f t="shared" si="55"/>
        <v>0</v>
      </c>
      <c r="T652" s="1200"/>
      <c r="U652" s="1200"/>
      <c r="V652" s="1201"/>
    </row>
    <row r="653" spans="1:22">
      <c r="A653" s="1195"/>
      <c r="B653" s="1196"/>
      <c r="C653" s="1196"/>
      <c r="D653" s="1196"/>
      <c r="E653" s="1197" t="str">
        <f t="shared" si="52"/>
        <v/>
      </c>
      <c r="F653" s="1198"/>
      <c r="G653" s="1198"/>
      <c r="H653" s="1198"/>
      <c r="I653" s="1198"/>
      <c r="J653" s="1199"/>
      <c r="K653" s="134"/>
      <c r="L653" s="62" t="str">
        <f t="shared" si="53"/>
        <v/>
      </c>
      <c r="M653" s="14"/>
      <c r="N653" s="89">
        <f t="array" ref="N653">SUM(IF((CsDJ[JEV Number]=TRIM($T627))*(CsDJ[Account Code]=TRIM(K653)),CsDJ[Debit]))</f>
        <v>0</v>
      </c>
      <c r="O653" s="89">
        <f t="array" ref="O653">SUM(IF((CsDJ[JEV Number]=TRIM($T627))*(CsDJ[Account Code]=TRIM(K653)),CsDJ[Credit]))</f>
        <v>0</v>
      </c>
      <c r="P653" s="1200">
        <f t="shared" si="54"/>
        <v>0</v>
      </c>
      <c r="Q653" s="1200"/>
      <c r="R653" s="1200"/>
      <c r="S653" s="1200">
        <f t="shared" si="55"/>
        <v>0</v>
      </c>
      <c r="T653" s="1200"/>
      <c r="U653" s="1200"/>
      <c r="V653" s="1201"/>
    </row>
    <row r="654" spans="1:22">
      <c r="A654" s="1195"/>
      <c r="B654" s="1196"/>
      <c r="C654" s="1196"/>
      <c r="D654" s="1196"/>
      <c r="E654" s="1197" t="str">
        <f t="shared" si="52"/>
        <v/>
      </c>
      <c r="F654" s="1198"/>
      <c r="G654" s="1198"/>
      <c r="H654" s="1198"/>
      <c r="I654" s="1198"/>
      <c r="J654" s="1199"/>
      <c r="K654" s="134"/>
      <c r="L654" s="62" t="str">
        <f t="shared" si="53"/>
        <v/>
      </c>
      <c r="M654" s="14"/>
      <c r="N654" s="89">
        <f t="array" ref="N654">SUM(IF((CsDJ[JEV Number]=TRIM($T627))*(CsDJ[Account Code]=TRIM(K654)),CsDJ[Debit]))</f>
        <v>0</v>
      </c>
      <c r="O654" s="89">
        <f t="array" ref="O654">SUM(IF((CsDJ[JEV Number]=TRIM($T627))*(CsDJ[Account Code]=TRIM(K654)),CsDJ[Credit]))</f>
        <v>0</v>
      </c>
      <c r="P654" s="1200">
        <f t="shared" si="54"/>
        <v>0</v>
      </c>
      <c r="Q654" s="1200"/>
      <c r="R654" s="1200"/>
      <c r="S654" s="1200">
        <f t="shared" si="55"/>
        <v>0</v>
      </c>
      <c r="T654" s="1200"/>
      <c r="U654" s="1200"/>
      <c r="V654" s="1201"/>
    </row>
    <row r="655" spans="1:22">
      <c r="A655" s="1195"/>
      <c r="B655" s="1196"/>
      <c r="C655" s="1196"/>
      <c r="D655" s="1196"/>
      <c r="E655" s="1197" t="str">
        <f t="shared" si="52"/>
        <v/>
      </c>
      <c r="F655" s="1198"/>
      <c r="G655" s="1198"/>
      <c r="H655" s="1198"/>
      <c r="I655" s="1198"/>
      <c r="J655" s="1199"/>
      <c r="K655" s="134"/>
      <c r="L655" s="62" t="str">
        <f t="shared" si="53"/>
        <v/>
      </c>
      <c r="M655" s="14"/>
      <c r="N655" s="89">
        <f t="array" ref="N655">SUM(IF((CsDJ[JEV Number]=TRIM($T627))*(CsDJ[Account Code]=TRIM(K655)),CsDJ[Debit]))</f>
        <v>0</v>
      </c>
      <c r="O655" s="89">
        <f t="array" ref="O655">SUM(IF((CsDJ[JEV Number]=TRIM($T627))*(CsDJ[Account Code]=TRIM(K655)),CsDJ[Credit]))</f>
        <v>0</v>
      </c>
      <c r="P655" s="1200">
        <f t="shared" si="54"/>
        <v>0</v>
      </c>
      <c r="Q655" s="1200"/>
      <c r="R655" s="1200"/>
      <c r="S655" s="1200">
        <f t="shared" si="55"/>
        <v>0</v>
      </c>
      <c r="T655" s="1200"/>
      <c r="U655" s="1200"/>
      <c r="V655" s="1201"/>
    </row>
    <row r="656" spans="1:22">
      <c r="A656" s="1195"/>
      <c r="B656" s="1196"/>
      <c r="C656" s="1196"/>
      <c r="D656" s="1196"/>
      <c r="E656" s="1197" t="str">
        <f t="shared" si="52"/>
        <v/>
      </c>
      <c r="F656" s="1198"/>
      <c r="G656" s="1198"/>
      <c r="H656" s="1198"/>
      <c r="I656" s="1198"/>
      <c r="J656" s="1199"/>
      <c r="K656" s="134"/>
      <c r="L656" s="62" t="str">
        <f t="shared" si="53"/>
        <v/>
      </c>
      <c r="M656" s="14"/>
      <c r="N656" s="89">
        <f t="array" ref="N656">SUM(IF((CsDJ[JEV Number]=TRIM($T627))*(CsDJ[Account Code]=TRIM(K656)),CsDJ[Debit]))</f>
        <v>0</v>
      </c>
      <c r="O656" s="89">
        <f t="array" ref="O656">SUM(IF((CsDJ[JEV Number]=TRIM($T627))*(CsDJ[Account Code]=TRIM(K656)),CsDJ[Credit]))</f>
        <v>0</v>
      </c>
      <c r="P656" s="1200">
        <f t="shared" si="54"/>
        <v>0</v>
      </c>
      <c r="Q656" s="1200"/>
      <c r="R656" s="1200"/>
      <c r="S656" s="1200">
        <f t="shared" si="55"/>
        <v>0</v>
      </c>
      <c r="T656" s="1200"/>
      <c r="U656" s="1200"/>
      <c r="V656" s="1201"/>
    </row>
    <row r="657" spans="1:22">
      <c r="A657" s="1195"/>
      <c r="B657" s="1196"/>
      <c r="C657" s="1196"/>
      <c r="D657" s="1196"/>
      <c r="E657" s="1197" t="str">
        <f t="shared" si="52"/>
        <v/>
      </c>
      <c r="F657" s="1198"/>
      <c r="G657" s="1198"/>
      <c r="H657" s="1198"/>
      <c r="I657" s="1198"/>
      <c r="J657" s="1199"/>
      <c r="K657" s="134"/>
      <c r="L657" s="62" t="str">
        <f t="shared" si="53"/>
        <v/>
      </c>
      <c r="M657" s="14"/>
      <c r="N657" s="89">
        <f t="array" ref="N657">SUM(IF((CsDJ[JEV Number]=TRIM($T627))*(CsDJ[Account Code]=TRIM(K657)),CsDJ[Debit]))</f>
        <v>0</v>
      </c>
      <c r="O657" s="89">
        <f t="array" ref="O657">SUM(IF((CsDJ[JEV Number]=TRIM($T627))*(CsDJ[Account Code]=TRIM(K657)),CsDJ[Credit]))</f>
        <v>0</v>
      </c>
      <c r="P657" s="1200">
        <f t="shared" si="54"/>
        <v>0</v>
      </c>
      <c r="Q657" s="1200"/>
      <c r="R657" s="1200"/>
      <c r="S657" s="1200">
        <f t="shared" si="55"/>
        <v>0</v>
      </c>
      <c r="T657" s="1200"/>
      <c r="U657" s="1200"/>
      <c r="V657" s="1201"/>
    </row>
    <row r="658" spans="1:22">
      <c r="A658" s="1195"/>
      <c r="B658" s="1196"/>
      <c r="C658" s="1196"/>
      <c r="D658" s="1196"/>
      <c r="E658" s="1197" t="str">
        <f t="shared" si="52"/>
        <v/>
      </c>
      <c r="F658" s="1198"/>
      <c r="G658" s="1198"/>
      <c r="H658" s="1198"/>
      <c r="I658" s="1198"/>
      <c r="J658" s="1199"/>
      <c r="K658" s="134"/>
      <c r="L658" s="62" t="str">
        <f t="shared" si="53"/>
        <v/>
      </c>
      <c r="M658" s="14"/>
      <c r="N658" s="89">
        <f t="array" ref="N658">SUM(IF((CsDJ[JEV Number]=TRIM($T627))*(CsDJ[Account Code]=TRIM(K658)),CsDJ[Debit]))</f>
        <v>0</v>
      </c>
      <c r="O658" s="89">
        <f t="array" ref="O658">SUM(IF((CsDJ[JEV Number]=TRIM($T627))*(CsDJ[Account Code]=TRIM(K658)),CsDJ[Credit]))</f>
        <v>0</v>
      </c>
      <c r="P658" s="1200">
        <f t="shared" si="54"/>
        <v>0</v>
      </c>
      <c r="Q658" s="1200"/>
      <c r="R658" s="1200"/>
      <c r="S658" s="1200">
        <f t="shared" si="55"/>
        <v>0</v>
      </c>
      <c r="T658" s="1200"/>
      <c r="U658" s="1200"/>
      <c r="V658" s="1201"/>
    </row>
    <row r="659" spans="1:22">
      <c r="A659" s="1195"/>
      <c r="B659" s="1196"/>
      <c r="C659" s="1196"/>
      <c r="D659" s="1196"/>
      <c r="E659" s="1197" t="str">
        <f t="shared" si="52"/>
        <v/>
      </c>
      <c r="F659" s="1198"/>
      <c r="G659" s="1198"/>
      <c r="H659" s="1198"/>
      <c r="I659" s="1198"/>
      <c r="J659" s="1199"/>
      <c r="K659" s="134"/>
      <c r="L659" s="62" t="str">
        <f t="shared" si="53"/>
        <v/>
      </c>
      <c r="M659" s="14"/>
      <c r="N659" s="89">
        <f t="array" ref="N659">SUM(IF((CsDJ[JEV Number]=TRIM($T627))*(CsDJ[Account Code]=TRIM(K659)),CsDJ[Debit]))</f>
        <v>0</v>
      </c>
      <c r="O659" s="89">
        <f t="array" ref="O659">SUM(IF((CsDJ[JEV Number]=TRIM($T627))*(CsDJ[Account Code]=TRIM(K659)),CsDJ[Credit]))</f>
        <v>0</v>
      </c>
      <c r="P659" s="1200">
        <f t="shared" si="54"/>
        <v>0</v>
      </c>
      <c r="Q659" s="1200"/>
      <c r="R659" s="1200"/>
      <c r="S659" s="1200">
        <f t="shared" si="55"/>
        <v>0</v>
      </c>
      <c r="T659" s="1200"/>
      <c r="U659" s="1200"/>
      <c r="V659" s="1201"/>
    </row>
    <row r="660" spans="1:22">
      <c r="A660" s="1195"/>
      <c r="B660" s="1196"/>
      <c r="C660" s="1196"/>
      <c r="D660" s="1196"/>
      <c r="E660" s="1197" t="str">
        <f t="shared" si="52"/>
        <v/>
      </c>
      <c r="F660" s="1198"/>
      <c r="G660" s="1198"/>
      <c r="H660" s="1198"/>
      <c r="I660" s="1198"/>
      <c r="J660" s="1199"/>
      <c r="K660" s="134"/>
      <c r="L660" s="62" t="str">
        <f t="shared" si="53"/>
        <v/>
      </c>
      <c r="M660" s="14"/>
      <c r="N660" s="89">
        <f t="array" ref="N660">SUM(IF((CsDJ[JEV Number]=TRIM($T627))*(CsDJ[Account Code]=TRIM(K660)),CsDJ[Debit]))</f>
        <v>0</v>
      </c>
      <c r="O660" s="89">
        <f t="array" ref="O660">SUM(IF((CsDJ[JEV Number]=TRIM($T627))*(CsDJ[Account Code]=TRIM(K660)),CsDJ[Credit]))</f>
        <v>0</v>
      </c>
      <c r="P660" s="1200">
        <f t="shared" si="54"/>
        <v>0</v>
      </c>
      <c r="Q660" s="1200"/>
      <c r="R660" s="1200"/>
      <c r="S660" s="1200">
        <f t="shared" si="55"/>
        <v>0</v>
      </c>
      <c r="T660" s="1200"/>
      <c r="U660" s="1200"/>
      <c r="V660" s="1201"/>
    </row>
    <row r="661" spans="1:22">
      <c r="A661" s="1195"/>
      <c r="B661" s="1196"/>
      <c r="C661" s="1196"/>
      <c r="D661" s="1196"/>
      <c r="E661" s="1257" t="s">
        <v>468</v>
      </c>
      <c r="F661" s="1258"/>
      <c r="G661" s="1258"/>
      <c r="H661" s="1258"/>
      <c r="I661" s="1258"/>
      <c r="J661" s="1259"/>
      <c r="K661" s="133"/>
      <c r="L661" s="62" t="str">
        <f t="shared" si="53"/>
        <v/>
      </c>
      <c r="M661" s="14"/>
      <c r="N661" s="89">
        <f t="array" ref="N661">SUM(IF((CsDJ[JEV Number]=TRIM($T627))*(CsDJ[Account Code]=TRIM(K661)),CsDJ[Debit]))</f>
        <v>0</v>
      </c>
      <c r="O661" s="89">
        <f t="array" ref="O661">SUM(IF((CsDJ[JEV Number]=TRIM($T627))*(CsDJ[Account Code]=TRIM(K661)),CsDJ[Credit]))</f>
        <v>0</v>
      </c>
      <c r="P661" s="1200">
        <f t="shared" si="54"/>
        <v>0</v>
      </c>
      <c r="Q661" s="1200"/>
      <c r="R661" s="1200"/>
      <c r="S661" s="1200">
        <f t="shared" si="55"/>
        <v>0</v>
      </c>
      <c r="T661" s="1200"/>
      <c r="U661" s="1200"/>
      <c r="V661" s="1201"/>
    </row>
    <row r="662" spans="1:22">
      <c r="A662" s="1195"/>
      <c r="B662" s="1196"/>
      <c r="C662" s="1196"/>
      <c r="D662" s="1196"/>
      <c r="E662" s="1202" t="s">
        <v>457</v>
      </c>
      <c r="F662" s="1203"/>
      <c r="G662" s="1203"/>
      <c r="H662" s="1203"/>
      <c r="I662" s="1207">
        <f>T628</f>
        <v>0</v>
      </c>
      <c r="J662" s="1208"/>
      <c r="K662" s="133"/>
      <c r="L662" s="62" t="str">
        <f t="shared" si="53"/>
        <v/>
      </c>
      <c r="M662" s="14"/>
      <c r="N662" s="89">
        <f t="array" ref="N662">SUM(IF((CsDJ[JEV Number]=TRIM($T627))*(CsDJ[Account Code]=TRIM(K662)),CsDJ[Debit]))</f>
        <v>0</v>
      </c>
      <c r="O662" s="89">
        <f t="array" ref="O662">SUM(IF((CsDJ[JEV Number]=TRIM($T627))*(CsDJ[Account Code]=TRIM(K662)),CsDJ[Credit]))</f>
        <v>0</v>
      </c>
      <c r="P662" s="1200">
        <f t="shared" si="54"/>
        <v>0</v>
      </c>
      <c r="Q662" s="1200"/>
      <c r="R662" s="1200"/>
      <c r="S662" s="1200">
        <f t="shared" si="55"/>
        <v>0</v>
      </c>
      <c r="T662" s="1200"/>
      <c r="U662" s="1200"/>
      <c r="V662" s="1201"/>
    </row>
    <row r="663" spans="1:22">
      <c r="A663" s="1195"/>
      <c r="B663" s="1196"/>
      <c r="C663" s="1196"/>
      <c r="D663" s="1196"/>
      <c r="E663" s="1202" t="s">
        <v>458</v>
      </c>
      <c r="F663" s="1203"/>
      <c r="G663" s="1203"/>
      <c r="H663" s="1203"/>
      <c r="I663" s="1263">
        <f>IF(T627=0,0,(IF(LOOKUP(T627,CsDJ[JEV Number],CsDJ[Sort Code])="1","MA. VIVIAN C. SALAS",IF(LOOKUP(T627,CsDJ[JEV Number],CsDJ[Sort Code])="2","LUZ R. DE COZAR",IF(LOOKUP(T627,CsDJ[JEV Number],CsDJ[Sort Code])="3","MINEONETTE A. DELA CRUZ",IF(LOOKUP(T627,CsDJ[JEV Number],CsDJ[Sort Code])="4","RESELLA B. LOPEZ"))))))</f>
        <v>0</v>
      </c>
      <c r="J663" s="1264"/>
      <c r="K663" s="133"/>
      <c r="L663" s="62" t="str">
        <f t="shared" si="53"/>
        <v/>
      </c>
      <c r="M663" s="14"/>
      <c r="N663" s="89">
        <f t="array" ref="N663">SUM(IF((CsDJ[JEV Number]=TRIM($T627))*(CsDJ[Account Code]=TRIM(K663)),CsDJ[Debit]))</f>
        <v>0</v>
      </c>
      <c r="O663" s="89">
        <f t="array" ref="O663">SUM(IF((CsDJ[JEV Number]=TRIM($T627))*(CsDJ[Account Code]=TRIM(K663)),CsDJ[Credit]))</f>
        <v>0</v>
      </c>
      <c r="P663" s="1200">
        <f t="shared" si="54"/>
        <v>0</v>
      </c>
      <c r="Q663" s="1200"/>
      <c r="R663" s="1200"/>
      <c r="S663" s="1200">
        <f t="shared" si="55"/>
        <v>0</v>
      </c>
      <c r="T663" s="1200"/>
      <c r="U663" s="1200"/>
      <c r="V663" s="1201"/>
    </row>
    <row r="664" spans="1:22">
      <c r="A664" s="1195"/>
      <c r="B664" s="1196"/>
      <c r="C664" s="1196"/>
      <c r="D664" s="1196"/>
      <c r="E664" s="1202" t="s">
        <v>459</v>
      </c>
      <c r="F664" s="1203"/>
      <c r="G664" s="1203"/>
      <c r="H664" s="1203"/>
      <c r="I664" s="1204">
        <f>IF(I663="Ma. Vivian C. Salas","Regional Office", IF(I663="Luz R. De Cozar","BANE IMO", IF(I663="Mineonette A. Dela Cruz","PAMBAT IMO", IF(I663="Resella B. Lopez","TARZAM IMO",0))))</f>
        <v>0</v>
      </c>
      <c r="J664" s="1205"/>
      <c r="K664" s="133"/>
      <c r="L664" s="62" t="str">
        <f t="shared" si="53"/>
        <v/>
      </c>
      <c r="M664" s="14"/>
      <c r="N664" s="89">
        <f t="array" ref="N664">SUM(IF((CsDJ[JEV Number]=TRIM($T627))*(CsDJ[Account Code]=TRIM(K664)),CsDJ[Debit]))</f>
        <v>0</v>
      </c>
      <c r="O664" s="89">
        <f t="array" ref="O664">SUM(IF((CsDJ[JEV Number]=TRIM($T627))*(CsDJ[Account Code]=TRIM(K664)),CsDJ[Credit]))</f>
        <v>0</v>
      </c>
      <c r="P664" s="1200">
        <f t="shared" si="54"/>
        <v>0</v>
      </c>
      <c r="Q664" s="1200"/>
      <c r="R664" s="1200"/>
      <c r="S664" s="1200">
        <f t="shared" si="55"/>
        <v>0</v>
      </c>
      <c r="T664" s="1200"/>
      <c r="U664" s="1200"/>
      <c r="V664" s="1201"/>
    </row>
    <row r="665" spans="1:22">
      <c r="A665" s="1195"/>
      <c r="B665" s="1196"/>
      <c r="C665" s="1196"/>
      <c r="D665" s="1196"/>
      <c r="E665" s="1202"/>
      <c r="F665" s="1203"/>
      <c r="G665" s="1203"/>
      <c r="H665" s="1203"/>
      <c r="I665" s="1203"/>
      <c r="J665" s="1206"/>
      <c r="K665" s="133"/>
      <c r="L665" s="62" t="str">
        <f t="shared" si="53"/>
        <v/>
      </c>
      <c r="M665" s="14"/>
      <c r="N665" s="89">
        <f t="array" ref="N665">SUM(IF((CsDJ[JEV Number]=TRIM($T627))*(CsDJ[Account Code]=TRIM(K665)),CsDJ[Debit]))</f>
        <v>0</v>
      </c>
      <c r="O665" s="89">
        <f t="array" ref="O665">SUM(IF((CsDJ[JEV Number]=TRIM($T627))*(CsDJ[Account Code]=TRIM(K665)),CsDJ[Credit]))</f>
        <v>0</v>
      </c>
      <c r="P665" s="1200">
        <f t="shared" si="54"/>
        <v>0</v>
      </c>
      <c r="Q665" s="1200"/>
      <c r="R665" s="1200"/>
      <c r="S665" s="1200">
        <f t="shared" si="55"/>
        <v>0</v>
      </c>
      <c r="T665" s="1200"/>
      <c r="U665" s="1200"/>
      <c r="V665" s="1201"/>
    </row>
    <row r="666" spans="1:22" ht="16.5" thickBot="1">
      <c r="A666" s="1188"/>
      <c r="B666" s="1189"/>
      <c r="C666" s="1189"/>
      <c r="D666" s="1189"/>
      <c r="E666" s="1189"/>
      <c r="F666" s="1189"/>
      <c r="G666" s="1189"/>
      <c r="H666" s="1189"/>
      <c r="I666" s="1189"/>
      <c r="J666" s="1189"/>
      <c r="K666" s="1189"/>
      <c r="L666" s="1189"/>
      <c r="M666" s="1190"/>
      <c r="N666" s="88"/>
      <c r="O666" s="88"/>
      <c r="P666" s="1191">
        <f>SUM(P636:R665)</f>
        <v>0</v>
      </c>
      <c r="Q666" s="1191"/>
      <c r="R666" s="1191"/>
      <c r="S666" s="1191">
        <f>SUM(S636:V665)</f>
        <v>0</v>
      </c>
      <c r="T666" s="1191"/>
      <c r="U666" s="1191"/>
      <c r="V666" s="1192"/>
    </row>
    <row r="667" spans="1:22">
      <c r="A667" s="63"/>
      <c r="B667" s="64"/>
      <c r="C667" s="64"/>
      <c r="D667" s="64"/>
      <c r="E667" s="64"/>
      <c r="F667" s="64"/>
      <c r="G667" s="64"/>
      <c r="H667" s="64"/>
      <c r="I667" s="65"/>
      <c r="J667" s="64"/>
      <c r="K667" s="66"/>
      <c r="L667" s="64"/>
      <c r="M667" s="65"/>
      <c r="N667" s="64"/>
      <c r="O667" s="64"/>
      <c r="P667" s="1193"/>
      <c r="Q667" s="1193"/>
      <c r="R667" s="1193"/>
      <c r="S667" s="1193"/>
      <c r="T667" s="1193"/>
      <c r="U667" s="1193"/>
      <c r="V667" s="1194"/>
    </row>
    <row r="668" spans="1:22">
      <c r="A668" s="67" t="s">
        <v>460</v>
      </c>
      <c r="B668"/>
      <c r="C668"/>
      <c r="D668"/>
      <c r="E668"/>
      <c r="F668"/>
      <c r="G668"/>
      <c r="H668"/>
      <c r="I668" s="68" t="s">
        <v>353</v>
      </c>
      <c r="J668" s="69"/>
      <c r="K668" s="69"/>
      <c r="L668"/>
      <c r="M668" s="68" t="s">
        <v>461</v>
      </c>
      <c r="N668" s="69"/>
      <c r="O668" s="69"/>
      <c r="P668" s="70"/>
      <c r="Q668" s="70"/>
      <c r="R668" s="70"/>
      <c r="S668" s="70"/>
      <c r="T668" s="70"/>
      <c r="U668" s="70"/>
      <c r="V668" s="71"/>
    </row>
    <row r="669" spans="1:22">
      <c r="A669" s="37"/>
      <c r="B669"/>
      <c r="C669"/>
      <c r="D669"/>
      <c r="E669"/>
      <c r="F669"/>
      <c r="G669"/>
      <c r="H669"/>
      <c r="I669" s="72"/>
      <c r="J669"/>
      <c r="K669"/>
      <c r="L669"/>
      <c r="M669" s="72"/>
      <c r="N669"/>
      <c r="O669"/>
      <c r="P669"/>
      <c r="Q669"/>
      <c r="R669"/>
      <c r="S669"/>
      <c r="T669"/>
      <c r="U669"/>
      <c r="V669" s="73"/>
    </row>
    <row r="670" spans="1:22">
      <c r="A670" s="74" t="s">
        <v>462</v>
      </c>
      <c r="B670" s="75"/>
      <c r="C670" s="75"/>
      <c r="D670" s="75"/>
      <c r="E670" s="75"/>
      <c r="F670" s="75"/>
      <c r="G670" s="75"/>
      <c r="H670" s="76"/>
      <c r="I670" s="77" t="s">
        <v>380</v>
      </c>
      <c r="J670" s="75"/>
      <c r="K670" s="75"/>
      <c r="L670" s="76"/>
      <c r="M670" s="77" t="s">
        <v>3</v>
      </c>
      <c r="N670" s="75"/>
      <c r="O670" s="75"/>
      <c r="P670" s="75"/>
      <c r="Q670" s="75"/>
      <c r="R670" s="75"/>
      <c r="S670" s="75"/>
      <c r="T670" s="75"/>
      <c r="U670" s="75"/>
      <c r="V670" s="78"/>
    </row>
    <row r="671" spans="1:22">
      <c r="A671" s="79" t="s">
        <v>463</v>
      </c>
      <c r="B671" s="80"/>
      <c r="C671" s="80"/>
      <c r="D671" s="80"/>
      <c r="E671" s="80"/>
      <c r="F671" s="80"/>
      <c r="G671" s="80"/>
      <c r="H671" s="80"/>
      <c r="I671" s="81" t="s">
        <v>381</v>
      </c>
      <c r="J671" s="80"/>
      <c r="K671" s="80"/>
      <c r="L671" s="80"/>
      <c r="M671" s="81" t="s">
        <v>464</v>
      </c>
      <c r="N671" s="80"/>
      <c r="O671" s="80"/>
      <c r="P671" s="82"/>
      <c r="Q671" s="82"/>
      <c r="R671" s="82"/>
      <c r="S671" s="82"/>
      <c r="T671" s="82"/>
      <c r="U671" s="82"/>
      <c r="V671" s="83"/>
    </row>
    <row r="672" spans="1:22" ht="16.5" thickBot="1">
      <c r="A672" s="84" t="s">
        <v>465</v>
      </c>
      <c r="B672" s="43"/>
      <c r="C672" s="43"/>
      <c r="D672" s="43"/>
      <c r="E672" s="43"/>
      <c r="F672" s="43"/>
      <c r="G672" s="43"/>
      <c r="H672" s="43"/>
      <c r="I672" s="85"/>
      <c r="J672" s="43"/>
      <c r="K672" s="43"/>
      <c r="L672" s="43"/>
      <c r="M672" s="85"/>
      <c r="N672" s="43"/>
      <c r="O672" s="43"/>
      <c r="P672" s="43"/>
      <c r="Q672" s="43"/>
      <c r="R672" s="43"/>
      <c r="S672" s="43"/>
      <c r="T672" s="43"/>
      <c r="U672" s="43"/>
      <c r="V672" s="44"/>
    </row>
    <row r="673" spans="1:22" ht="22.5">
      <c r="A673" s="31" t="s">
        <v>441</v>
      </c>
      <c r="B673" s="32"/>
      <c r="C673" s="32"/>
      <c r="D673" s="32"/>
      <c r="E673" s="32"/>
      <c r="F673" s="32"/>
      <c r="G673" s="32"/>
      <c r="H673" s="32"/>
      <c r="I673" s="32"/>
      <c r="J673" s="32"/>
      <c r="K673" s="32"/>
      <c r="L673" s="32"/>
      <c r="M673" s="32"/>
      <c r="N673" s="32"/>
      <c r="O673" s="32"/>
      <c r="P673" s="32"/>
      <c r="Q673" s="33"/>
      <c r="R673" s="1218">
        <f>+P713-S713</f>
        <v>0</v>
      </c>
      <c r="S673" s="1219"/>
      <c r="T673" s="1219"/>
      <c r="U673" s="1219"/>
      <c r="V673" s="1220"/>
    </row>
    <row r="674" spans="1:22">
      <c r="A674" s="34" t="s">
        <v>442</v>
      </c>
      <c r="B674" s="35"/>
      <c r="C674" s="35"/>
      <c r="D674" s="35"/>
      <c r="E674" s="35"/>
      <c r="F674" s="35"/>
      <c r="G674" s="35"/>
      <c r="H674" s="35"/>
      <c r="I674" s="35"/>
      <c r="J674" s="35"/>
      <c r="K674" s="35"/>
      <c r="L674" s="35"/>
      <c r="M674" s="35"/>
      <c r="N674" s="35"/>
      <c r="O674" s="35"/>
      <c r="P674" s="35"/>
      <c r="Q674" s="36"/>
      <c r="R674" s="37" t="s">
        <v>443</v>
      </c>
      <c r="S674"/>
      <c r="T674" s="1221"/>
      <c r="U674" s="1221"/>
      <c r="V674" s="1222"/>
    </row>
    <row r="675" spans="1:22">
      <c r="A675" s="38" t="s">
        <v>444</v>
      </c>
      <c r="B675" s="35"/>
      <c r="C675" s="35"/>
      <c r="D675" s="35"/>
      <c r="E675" s="35"/>
      <c r="F675" s="35"/>
      <c r="G675" s="35"/>
      <c r="H675" s="35"/>
      <c r="I675" s="35"/>
      <c r="J675" s="35"/>
      <c r="K675" s="35"/>
      <c r="L675" s="35"/>
      <c r="M675" s="35"/>
      <c r="N675" s="35"/>
      <c r="O675" s="35"/>
      <c r="P675" s="35"/>
      <c r="Q675" s="36"/>
      <c r="R675" s="37" t="s">
        <v>0</v>
      </c>
      <c r="S675"/>
      <c r="T675" s="1223">
        <f>IF(T674=0,0,(LOOKUP(T674,CsDJ[JEV Number],CsDJ[Date])))</f>
        <v>0</v>
      </c>
      <c r="U675" s="1223"/>
      <c r="V675" s="1224"/>
    </row>
    <row r="676" spans="1:22" ht="16.5" thickBot="1">
      <c r="A676" s="39"/>
      <c r="B676" s="40"/>
      <c r="C676" s="40"/>
      <c r="D676" s="40"/>
      <c r="E676" s="40"/>
      <c r="F676" s="40"/>
      <c r="G676" s="40"/>
      <c r="H676" s="40"/>
      <c r="I676" s="40"/>
      <c r="J676" s="40"/>
      <c r="K676" s="40"/>
      <c r="L676" s="40"/>
      <c r="M676" s="40"/>
      <c r="N676" s="40"/>
      <c r="O676" s="40"/>
      <c r="P676" s="40"/>
      <c r="Q676" s="41"/>
      <c r="R676" s="42"/>
      <c r="S676" s="43"/>
      <c r="T676" s="43"/>
      <c r="U676" s="43"/>
      <c r="V676" s="44"/>
    </row>
    <row r="677" spans="1:22">
      <c r="A677" s="45"/>
      <c r="B677" s="46"/>
      <c r="C677" s="46"/>
      <c r="D677" s="46"/>
      <c r="E677" s="46"/>
      <c r="F677" s="46"/>
      <c r="G677" s="46"/>
      <c r="H677" s="46"/>
      <c r="I677" s="46"/>
      <c r="J677" s="46"/>
      <c r="K677" s="46"/>
      <c r="L677" s="47"/>
      <c r="M677" s="46"/>
      <c r="N677" s="46"/>
      <c r="O677" s="46"/>
      <c r="P677" s="46"/>
      <c r="Q677" s="46"/>
      <c r="R677" s="46"/>
      <c r="S677" s="46"/>
      <c r="T677" s="46"/>
      <c r="U677" s="46"/>
      <c r="V677" s="48"/>
    </row>
    <row r="678" spans="1:22">
      <c r="A678" s="49"/>
      <c r="B678" s="1225"/>
      <c r="C678" s="1225"/>
      <c r="D678" s="50" t="s">
        <v>445</v>
      </c>
      <c r="H678" s="51"/>
      <c r="I678" s="25" t="s">
        <v>447</v>
      </c>
      <c r="J678" s="132" t="s">
        <v>446</v>
      </c>
      <c r="K678" s="52" t="s">
        <v>448</v>
      </c>
      <c r="L678" s="52"/>
      <c r="Q678" s="1225"/>
      <c r="R678" s="1225"/>
      <c r="S678" s="50" t="s">
        <v>449</v>
      </c>
      <c r="T678" s="50"/>
      <c r="U678" s="50"/>
      <c r="V678" s="53"/>
    </row>
    <row r="679" spans="1:22" ht="16.5" thickBot="1">
      <c r="A679" s="54"/>
      <c r="B679" s="55"/>
      <c r="C679" s="55"/>
      <c r="D679" s="55"/>
      <c r="E679" s="55"/>
      <c r="F679" s="55"/>
      <c r="G679" s="55"/>
      <c r="H679" s="55"/>
      <c r="I679" s="55"/>
      <c r="J679" s="55"/>
      <c r="K679" s="55"/>
      <c r="L679" s="56"/>
      <c r="M679" s="55"/>
      <c r="N679" s="55"/>
      <c r="O679" s="55"/>
      <c r="P679" s="55"/>
      <c r="Q679" s="55"/>
      <c r="R679" s="55"/>
      <c r="S679" s="55"/>
      <c r="T679" s="55"/>
      <c r="U679" s="55"/>
      <c r="V679" s="57"/>
    </row>
    <row r="680" spans="1:22">
      <c r="A680" s="1226" t="s">
        <v>397</v>
      </c>
      <c r="B680" s="1227"/>
      <c r="C680" s="1227"/>
      <c r="D680" s="1228"/>
      <c r="E680" s="1235" t="s">
        <v>450</v>
      </c>
      <c r="F680" s="1235"/>
      <c r="G680" s="1235"/>
      <c r="H680" s="1235"/>
      <c r="I680" s="1235"/>
      <c r="J680" s="1235"/>
      <c r="K680" s="1235"/>
      <c r="L680" s="1235"/>
      <c r="M680" s="1235"/>
      <c r="N680" s="1235"/>
      <c r="O680" s="1235"/>
      <c r="P680" s="1235"/>
      <c r="Q680" s="1235"/>
      <c r="R680" s="1235"/>
      <c r="S680" s="1235"/>
      <c r="T680" s="1235"/>
      <c r="U680" s="1235"/>
      <c r="V680" s="1236"/>
    </row>
    <row r="681" spans="1:22">
      <c r="A681" s="1229"/>
      <c r="B681" s="1230"/>
      <c r="C681" s="1230"/>
      <c r="D681" s="1231"/>
      <c r="E681" s="1237" t="s">
        <v>451</v>
      </c>
      <c r="F681" s="1237"/>
      <c r="G681" s="1237"/>
      <c r="H681" s="1237"/>
      <c r="I681" s="1237"/>
      <c r="J681" s="1237"/>
      <c r="K681" s="1239" t="s">
        <v>378</v>
      </c>
      <c r="L681" s="1239"/>
      <c r="M681" s="1237" t="s">
        <v>452</v>
      </c>
      <c r="N681" s="1240" t="s">
        <v>453</v>
      </c>
      <c r="O681" s="1241"/>
      <c r="P681" s="1241"/>
      <c r="Q681" s="1241"/>
      <c r="R681" s="1241"/>
      <c r="S681" s="1241"/>
      <c r="T681" s="1241"/>
      <c r="U681" s="1241"/>
      <c r="V681" s="1242"/>
    </row>
    <row r="682" spans="1:22" ht="16.5" customHeight="1" thickBot="1">
      <c r="A682" s="1232"/>
      <c r="B682" s="1233"/>
      <c r="C682" s="1233"/>
      <c r="D682" s="1234"/>
      <c r="E682" s="1238"/>
      <c r="F682" s="1238"/>
      <c r="G682" s="1238"/>
      <c r="H682" s="1238"/>
      <c r="I682" s="1238"/>
      <c r="J682" s="1238"/>
      <c r="K682" s="58" t="s">
        <v>454</v>
      </c>
      <c r="L682" s="58" t="s">
        <v>455</v>
      </c>
      <c r="M682" s="1238"/>
      <c r="N682" s="87" t="s">
        <v>466</v>
      </c>
      <c r="O682" s="87" t="s">
        <v>467</v>
      </c>
      <c r="P682" s="1243" t="s">
        <v>1</v>
      </c>
      <c r="Q682" s="1244"/>
      <c r="R682" s="1245"/>
      <c r="S682" s="1243" t="s">
        <v>2</v>
      </c>
      <c r="T682" s="1244"/>
      <c r="U682" s="1244"/>
      <c r="V682" s="1246"/>
    </row>
    <row r="683" spans="1:22" ht="19.5">
      <c r="A683" s="1210">
        <f>P713-S713</f>
        <v>0</v>
      </c>
      <c r="B683" s="1211"/>
      <c r="C683" s="1211"/>
      <c r="D683" s="1211"/>
      <c r="E683" s="1212" t="str">
        <f>Account!$G$1</f>
        <v>FUND 501 CARP</v>
      </c>
      <c r="F683" s="1213"/>
      <c r="G683" s="1213"/>
      <c r="H683" s="1213"/>
      <c r="I683" s="1213"/>
      <c r="J683" s="1214"/>
      <c r="K683" s="59"/>
      <c r="L683" s="59"/>
      <c r="M683" s="60"/>
      <c r="N683" s="60"/>
      <c r="O683" s="60"/>
      <c r="P683" s="1215"/>
      <c r="Q683" s="1215"/>
      <c r="R683" s="1215"/>
      <c r="S683" s="1215"/>
      <c r="T683" s="1215"/>
      <c r="U683" s="1215"/>
      <c r="V683" s="1216"/>
    </row>
    <row r="684" spans="1:22">
      <c r="A684" s="1195"/>
      <c r="B684" s="1196"/>
      <c r="C684" s="1196"/>
      <c r="D684" s="1196"/>
      <c r="E684" s="1196"/>
      <c r="F684" s="1196"/>
      <c r="G684" s="1196"/>
      <c r="H684" s="1196"/>
      <c r="I684" s="1196"/>
      <c r="J684" s="1196"/>
      <c r="K684" s="61"/>
      <c r="L684" s="61"/>
      <c r="M684" s="14"/>
      <c r="N684" s="14"/>
      <c r="O684" s="14"/>
      <c r="P684" s="1196"/>
      <c r="Q684" s="1196"/>
      <c r="R684" s="1196"/>
      <c r="S684" s="1196"/>
      <c r="T684" s="1196"/>
      <c r="U684" s="1196"/>
      <c r="V684" s="1217"/>
    </row>
    <row r="685" spans="1:22">
      <c r="A685" s="1195"/>
      <c r="B685" s="1196"/>
      <c r="C685" s="1196"/>
      <c r="D685" s="1196"/>
      <c r="E685" s="1197" t="str">
        <f t="shared" ref="E685:E707" si="56">IF(K685=0,"",(VLOOKUP((TRIM(K685)),Code,2,)))</f>
        <v/>
      </c>
      <c r="F685" s="1198"/>
      <c r="G685" s="1198"/>
      <c r="H685" s="1198"/>
      <c r="I685" s="1198"/>
      <c r="J685" s="1199"/>
      <c r="K685" s="133"/>
      <c r="L685" s="62" t="str">
        <f t="shared" ref="L685:L712" si="57">IF(K685=0,"",VLOOKUP((TRIM(K685)),Code,3,))</f>
        <v/>
      </c>
      <c r="M685" s="14"/>
      <c r="N685" s="89">
        <f t="array" ref="N685">SUM(IF((CsDJ[JEV Number]=TRIM($T674))*(CsDJ[Account Code]=TRIM(K685)),CsDJ[Debit]))</f>
        <v>0</v>
      </c>
      <c r="O685" s="89">
        <f t="array" ref="O685">SUM(IF((CsDJ[JEV Number]=TRIM($T674))*(CsDJ[Account Code]=TRIM(K685)),CsDJ[Credit]))</f>
        <v>0</v>
      </c>
      <c r="P685" s="1200">
        <f>N685</f>
        <v>0</v>
      </c>
      <c r="Q685" s="1200"/>
      <c r="R685" s="1200"/>
      <c r="S685" s="1200">
        <f>O685</f>
        <v>0</v>
      </c>
      <c r="T685" s="1200"/>
      <c r="U685" s="1200"/>
      <c r="V685" s="1201"/>
    </row>
    <row r="686" spans="1:22">
      <c r="A686" s="1195"/>
      <c r="B686" s="1196"/>
      <c r="C686" s="1196"/>
      <c r="D686" s="1196"/>
      <c r="E686" s="1197" t="str">
        <f t="shared" si="56"/>
        <v/>
      </c>
      <c r="F686" s="1198"/>
      <c r="G686" s="1198"/>
      <c r="H686" s="1198"/>
      <c r="I686" s="1198"/>
      <c r="J686" s="1199"/>
      <c r="K686" s="133"/>
      <c r="L686" s="62" t="str">
        <f t="shared" si="57"/>
        <v/>
      </c>
      <c r="M686" s="14"/>
      <c r="N686" s="89">
        <f t="array" ref="N686">SUM(IF((CsDJ[JEV Number]=TRIM($T674))*(CsDJ[Account Code]=TRIM(K686)),CsDJ[Debit]))</f>
        <v>0</v>
      </c>
      <c r="O686" s="89">
        <f t="array" ref="O686">SUM(IF((CsDJ[JEV Number]=TRIM($T674))*(CsDJ[Account Code]=TRIM(K686)),CsDJ[Credit]))</f>
        <v>0</v>
      </c>
      <c r="P686" s="1200">
        <f>N686</f>
        <v>0</v>
      </c>
      <c r="Q686" s="1200"/>
      <c r="R686" s="1200"/>
      <c r="S686" s="1200">
        <f>O686</f>
        <v>0</v>
      </c>
      <c r="T686" s="1200"/>
      <c r="U686" s="1200"/>
      <c r="V686" s="1201"/>
    </row>
    <row r="687" spans="1:22">
      <c r="A687" s="1195"/>
      <c r="B687" s="1196"/>
      <c r="C687" s="1196"/>
      <c r="D687" s="1196"/>
      <c r="E687" s="1197" t="str">
        <f t="shared" si="56"/>
        <v/>
      </c>
      <c r="F687" s="1198"/>
      <c r="G687" s="1198"/>
      <c r="H687" s="1198"/>
      <c r="I687" s="1198"/>
      <c r="J687" s="1199"/>
      <c r="K687" s="133"/>
      <c r="L687" s="62" t="str">
        <f t="shared" si="57"/>
        <v/>
      </c>
      <c r="M687" s="14"/>
      <c r="N687" s="89">
        <f t="array" ref="N687">SUM(IF((CsDJ[JEV Number]=TRIM($T674))*(CsDJ[Account Code]=TRIM(K687)),CsDJ[Debit]))</f>
        <v>0</v>
      </c>
      <c r="O687" s="89">
        <f t="array" ref="O687">SUM(IF((CsDJ[JEV Number]=TRIM($T674))*(CsDJ[Account Code]=TRIM(K687)),CsDJ[Credit]))</f>
        <v>0</v>
      </c>
      <c r="P687" s="1200">
        <f t="shared" ref="P687:P712" si="58">N687</f>
        <v>0</v>
      </c>
      <c r="Q687" s="1200"/>
      <c r="R687" s="1200"/>
      <c r="S687" s="1200">
        <f t="shared" ref="S687:S712" si="59">O687</f>
        <v>0</v>
      </c>
      <c r="T687" s="1200"/>
      <c r="U687" s="1200"/>
      <c r="V687" s="1201"/>
    </row>
    <row r="688" spans="1:22">
      <c r="A688" s="1195"/>
      <c r="B688" s="1196"/>
      <c r="C688" s="1196"/>
      <c r="D688" s="1196"/>
      <c r="E688" s="1197" t="str">
        <f t="shared" si="56"/>
        <v/>
      </c>
      <c r="F688" s="1198"/>
      <c r="G688" s="1198"/>
      <c r="H688" s="1198"/>
      <c r="I688" s="1198"/>
      <c r="J688" s="1199"/>
      <c r="K688" s="133"/>
      <c r="L688" s="62" t="str">
        <f t="shared" si="57"/>
        <v/>
      </c>
      <c r="M688" s="14"/>
      <c r="N688" s="89">
        <f t="array" ref="N688">SUM(IF((CsDJ[JEV Number]=TRIM($T674))*(CsDJ[Account Code]=TRIM(K688)),CsDJ[Debit]))</f>
        <v>0</v>
      </c>
      <c r="O688" s="89">
        <f t="array" ref="O688">SUM(IF((CsDJ[JEV Number]=TRIM($T674))*(CsDJ[Account Code]=TRIM(K688)),CsDJ[Credit]))</f>
        <v>0</v>
      </c>
      <c r="P688" s="1200">
        <f t="shared" si="58"/>
        <v>0</v>
      </c>
      <c r="Q688" s="1200"/>
      <c r="R688" s="1200"/>
      <c r="S688" s="1200">
        <f t="shared" si="59"/>
        <v>0</v>
      </c>
      <c r="T688" s="1200"/>
      <c r="U688" s="1200"/>
      <c r="V688" s="1201"/>
    </row>
    <row r="689" spans="1:22">
      <c r="A689" s="1195"/>
      <c r="B689" s="1196"/>
      <c r="C689" s="1196"/>
      <c r="D689" s="1196"/>
      <c r="E689" s="1197" t="str">
        <f t="shared" si="56"/>
        <v/>
      </c>
      <c r="F689" s="1198"/>
      <c r="G689" s="1198"/>
      <c r="H689" s="1198"/>
      <c r="I689" s="1198"/>
      <c r="J689" s="1199"/>
      <c r="K689" s="133"/>
      <c r="L689" s="62" t="str">
        <f t="shared" si="57"/>
        <v/>
      </c>
      <c r="M689" s="14"/>
      <c r="N689" s="89">
        <f t="array" ref="N689">SUM(IF((CsDJ[JEV Number]=TRIM($T674))*(CsDJ[Account Code]=TRIM(K689)),CsDJ[Debit]))</f>
        <v>0</v>
      </c>
      <c r="O689" s="89">
        <f t="array" ref="O689">SUM(IF((CsDJ[JEV Number]=TRIM($T674))*(CsDJ[Account Code]=TRIM(K689)),CsDJ[Credit]))</f>
        <v>0</v>
      </c>
      <c r="P689" s="1200">
        <f t="shared" si="58"/>
        <v>0</v>
      </c>
      <c r="Q689" s="1200"/>
      <c r="R689" s="1200"/>
      <c r="S689" s="1200">
        <f t="shared" si="59"/>
        <v>0</v>
      </c>
      <c r="T689" s="1200"/>
      <c r="U689" s="1200"/>
      <c r="V689" s="1201"/>
    </row>
    <row r="690" spans="1:22">
      <c r="A690" s="1195"/>
      <c r="B690" s="1196"/>
      <c r="C690" s="1196"/>
      <c r="D690" s="1196"/>
      <c r="E690" s="1197" t="str">
        <f t="shared" si="56"/>
        <v/>
      </c>
      <c r="F690" s="1198"/>
      <c r="G690" s="1198"/>
      <c r="H690" s="1198"/>
      <c r="I690" s="1198"/>
      <c r="J690" s="1199"/>
      <c r="K690" s="133"/>
      <c r="L690" s="62" t="str">
        <f t="shared" si="57"/>
        <v/>
      </c>
      <c r="M690" s="14"/>
      <c r="N690" s="89">
        <f t="array" ref="N690">SUM(IF((CsDJ[JEV Number]=TRIM($T674))*(CsDJ[Account Code]=TRIM(K690)),CsDJ[Debit]))</f>
        <v>0</v>
      </c>
      <c r="O690" s="89">
        <f t="array" ref="O690">SUM(IF((CsDJ[JEV Number]=TRIM($T674))*(CsDJ[Account Code]=TRIM(K690)),CsDJ[Credit]))</f>
        <v>0</v>
      </c>
      <c r="P690" s="1200">
        <f t="shared" si="58"/>
        <v>0</v>
      </c>
      <c r="Q690" s="1200"/>
      <c r="R690" s="1200"/>
      <c r="S690" s="1200">
        <f t="shared" si="59"/>
        <v>0</v>
      </c>
      <c r="T690" s="1200"/>
      <c r="U690" s="1200"/>
      <c r="V690" s="1201"/>
    </row>
    <row r="691" spans="1:22">
      <c r="A691" s="1195"/>
      <c r="B691" s="1196"/>
      <c r="C691" s="1196"/>
      <c r="D691" s="1196"/>
      <c r="E691" s="1197" t="str">
        <f t="shared" si="56"/>
        <v/>
      </c>
      <c r="F691" s="1198"/>
      <c r="G691" s="1198"/>
      <c r="H691" s="1198"/>
      <c r="I691" s="1198"/>
      <c r="J691" s="1199"/>
      <c r="K691" s="133"/>
      <c r="L691" s="62" t="str">
        <f t="shared" si="57"/>
        <v/>
      </c>
      <c r="M691" s="14"/>
      <c r="N691" s="89">
        <f t="array" ref="N691">SUM(IF((CsDJ[JEV Number]=TRIM($T674))*(CsDJ[Account Code]=TRIM(K691)),CsDJ[Debit]))</f>
        <v>0</v>
      </c>
      <c r="O691" s="89">
        <f t="array" ref="O691">SUM(IF((CsDJ[JEV Number]=TRIM($T674))*(CsDJ[Account Code]=TRIM(K691)),CsDJ[Credit]))</f>
        <v>0</v>
      </c>
      <c r="P691" s="1200">
        <f t="shared" si="58"/>
        <v>0</v>
      </c>
      <c r="Q691" s="1200"/>
      <c r="R691" s="1200"/>
      <c r="S691" s="1200">
        <f t="shared" si="59"/>
        <v>0</v>
      </c>
      <c r="T691" s="1200"/>
      <c r="U691" s="1200"/>
      <c r="V691" s="1201"/>
    </row>
    <row r="692" spans="1:22">
      <c r="A692" s="1195"/>
      <c r="B692" s="1196"/>
      <c r="C692" s="1196"/>
      <c r="D692" s="1196"/>
      <c r="E692" s="1197" t="str">
        <f t="shared" si="56"/>
        <v/>
      </c>
      <c r="F692" s="1198"/>
      <c r="G692" s="1198"/>
      <c r="H692" s="1198"/>
      <c r="I692" s="1198"/>
      <c r="J692" s="1199"/>
      <c r="K692" s="133"/>
      <c r="L692" s="62" t="str">
        <f t="shared" si="57"/>
        <v/>
      </c>
      <c r="M692" s="14"/>
      <c r="N692" s="89">
        <f t="array" ref="N692">SUM(IF((CsDJ[JEV Number]=TRIM($T674))*(CsDJ[Account Code]=TRIM(K692)),CsDJ[Debit]))</f>
        <v>0</v>
      </c>
      <c r="O692" s="89">
        <f t="array" ref="O692">SUM(IF((CsDJ[JEV Number]=TRIM($T674))*(CsDJ[Account Code]=TRIM(K692)),CsDJ[Credit]))</f>
        <v>0</v>
      </c>
      <c r="P692" s="1200">
        <f t="shared" si="58"/>
        <v>0</v>
      </c>
      <c r="Q692" s="1200"/>
      <c r="R692" s="1200"/>
      <c r="S692" s="1200">
        <f t="shared" si="59"/>
        <v>0</v>
      </c>
      <c r="T692" s="1200"/>
      <c r="U692" s="1200"/>
      <c r="V692" s="1201"/>
    </row>
    <row r="693" spans="1:22">
      <c r="A693" s="1195"/>
      <c r="B693" s="1196"/>
      <c r="C693" s="1196"/>
      <c r="D693" s="1196"/>
      <c r="E693" s="1197" t="str">
        <f t="shared" si="56"/>
        <v/>
      </c>
      <c r="F693" s="1198"/>
      <c r="G693" s="1198"/>
      <c r="H693" s="1198"/>
      <c r="I693" s="1198"/>
      <c r="J693" s="1199"/>
      <c r="K693" s="134"/>
      <c r="L693" s="62" t="str">
        <f t="shared" si="57"/>
        <v/>
      </c>
      <c r="M693" s="14"/>
      <c r="N693" s="89">
        <f t="array" ref="N693">SUM(IF((CsDJ[JEV Number]=TRIM($T674))*(CsDJ[Account Code]=TRIM(K693)),CsDJ[Debit]))</f>
        <v>0</v>
      </c>
      <c r="O693" s="89">
        <f t="array" ref="O693">SUM(IF((CsDJ[JEV Number]=TRIM($T674))*(CsDJ[Account Code]=TRIM(K693)),CsDJ[Credit]))</f>
        <v>0</v>
      </c>
      <c r="P693" s="1200">
        <f t="shared" si="58"/>
        <v>0</v>
      </c>
      <c r="Q693" s="1200"/>
      <c r="R693" s="1200"/>
      <c r="S693" s="1200">
        <f t="shared" si="59"/>
        <v>0</v>
      </c>
      <c r="T693" s="1200"/>
      <c r="U693" s="1200"/>
      <c r="V693" s="1201"/>
    </row>
    <row r="694" spans="1:22">
      <c r="A694" s="1195"/>
      <c r="B694" s="1196"/>
      <c r="C694" s="1196"/>
      <c r="D694" s="1196"/>
      <c r="E694" s="1197" t="str">
        <f t="shared" si="56"/>
        <v/>
      </c>
      <c r="F694" s="1198"/>
      <c r="G694" s="1198"/>
      <c r="H694" s="1198"/>
      <c r="I694" s="1198"/>
      <c r="J694" s="1199"/>
      <c r="K694" s="134"/>
      <c r="L694" s="62" t="str">
        <f t="shared" si="57"/>
        <v/>
      </c>
      <c r="M694" s="14"/>
      <c r="N694" s="89">
        <f t="array" ref="N694">SUM(IF((CsDJ[JEV Number]=TRIM($T674))*(CsDJ[Account Code]=TRIM(K694)),CsDJ[Debit]))</f>
        <v>0</v>
      </c>
      <c r="O694" s="89">
        <f t="array" ref="O694">SUM(IF((CsDJ[JEV Number]=TRIM($T674))*(CsDJ[Account Code]=TRIM(K694)),CsDJ[Credit]))</f>
        <v>0</v>
      </c>
      <c r="P694" s="1200">
        <f t="shared" si="58"/>
        <v>0</v>
      </c>
      <c r="Q694" s="1200"/>
      <c r="R694" s="1200"/>
      <c r="S694" s="1200">
        <f t="shared" si="59"/>
        <v>0</v>
      </c>
      <c r="T694" s="1200"/>
      <c r="U694" s="1200"/>
      <c r="V694" s="1201"/>
    </row>
    <row r="695" spans="1:22">
      <c r="A695" s="1195"/>
      <c r="B695" s="1196"/>
      <c r="C695" s="1196"/>
      <c r="D695" s="1196"/>
      <c r="E695" s="1197" t="str">
        <f t="shared" si="56"/>
        <v/>
      </c>
      <c r="F695" s="1198"/>
      <c r="G695" s="1198"/>
      <c r="H695" s="1198"/>
      <c r="I695" s="1198"/>
      <c r="J695" s="1199"/>
      <c r="K695" s="134"/>
      <c r="L695" s="62" t="str">
        <f t="shared" si="57"/>
        <v/>
      </c>
      <c r="M695" s="14"/>
      <c r="N695" s="89">
        <f t="array" ref="N695">SUM(IF((CsDJ[JEV Number]=TRIM($T674))*(CsDJ[Account Code]=TRIM(K695)),CsDJ[Debit]))</f>
        <v>0</v>
      </c>
      <c r="O695" s="89">
        <f t="array" ref="O695">SUM(IF((CsDJ[JEV Number]=TRIM($T674))*(CsDJ[Account Code]=TRIM(K695)),CsDJ[Credit]))</f>
        <v>0</v>
      </c>
      <c r="P695" s="1200">
        <f t="shared" si="58"/>
        <v>0</v>
      </c>
      <c r="Q695" s="1200"/>
      <c r="R695" s="1200"/>
      <c r="S695" s="1200">
        <f t="shared" si="59"/>
        <v>0</v>
      </c>
      <c r="T695" s="1200"/>
      <c r="U695" s="1200"/>
      <c r="V695" s="1201"/>
    </row>
    <row r="696" spans="1:22">
      <c r="A696" s="1195"/>
      <c r="B696" s="1196"/>
      <c r="C696" s="1196"/>
      <c r="D696" s="1196"/>
      <c r="E696" s="1197" t="str">
        <f t="shared" si="56"/>
        <v/>
      </c>
      <c r="F696" s="1198"/>
      <c r="G696" s="1198"/>
      <c r="H696" s="1198"/>
      <c r="I696" s="1198"/>
      <c r="J696" s="1199"/>
      <c r="K696" s="134"/>
      <c r="L696" s="62" t="str">
        <f t="shared" si="57"/>
        <v/>
      </c>
      <c r="M696" s="14"/>
      <c r="N696" s="89">
        <f t="array" ref="N696">SUM(IF((CsDJ[JEV Number]=TRIM($T674))*(CsDJ[Account Code]=TRIM(K696)),CsDJ[Debit]))</f>
        <v>0</v>
      </c>
      <c r="O696" s="89">
        <f t="array" ref="O696">SUM(IF((CsDJ[JEV Number]=TRIM($T674))*(CsDJ[Account Code]=TRIM(K696)),CsDJ[Credit]))</f>
        <v>0</v>
      </c>
      <c r="P696" s="1200">
        <f t="shared" si="58"/>
        <v>0</v>
      </c>
      <c r="Q696" s="1200"/>
      <c r="R696" s="1200"/>
      <c r="S696" s="1200">
        <f t="shared" si="59"/>
        <v>0</v>
      </c>
      <c r="T696" s="1200"/>
      <c r="U696" s="1200"/>
      <c r="V696" s="1201"/>
    </row>
    <row r="697" spans="1:22">
      <c r="A697" s="1195"/>
      <c r="B697" s="1196"/>
      <c r="C697" s="1196"/>
      <c r="D697" s="1196"/>
      <c r="E697" s="1197" t="str">
        <f t="shared" si="56"/>
        <v/>
      </c>
      <c r="F697" s="1198"/>
      <c r="G697" s="1198"/>
      <c r="H697" s="1198"/>
      <c r="I697" s="1198"/>
      <c r="J697" s="1199"/>
      <c r="K697" s="134"/>
      <c r="L697" s="62" t="str">
        <f t="shared" si="57"/>
        <v/>
      </c>
      <c r="M697" s="14"/>
      <c r="N697" s="89">
        <f t="array" ref="N697">SUM(IF((CsDJ[JEV Number]=TRIM($T674))*(CsDJ[Account Code]=TRIM(K697)),CsDJ[Debit]))</f>
        <v>0</v>
      </c>
      <c r="O697" s="89">
        <f t="array" ref="O697">SUM(IF((CsDJ[JEV Number]=TRIM($T674))*(CsDJ[Account Code]=TRIM(K697)),CsDJ[Credit]))</f>
        <v>0</v>
      </c>
      <c r="P697" s="1200">
        <f t="shared" si="58"/>
        <v>0</v>
      </c>
      <c r="Q697" s="1200"/>
      <c r="R697" s="1200"/>
      <c r="S697" s="1200">
        <f t="shared" si="59"/>
        <v>0</v>
      </c>
      <c r="T697" s="1200"/>
      <c r="U697" s="1200"/>
      <c r="V697" s="1201"/>
    </row>
    <row r="698" spans="1:22">
      <c r="A698" s="1195"/>
      <c r="B698" s="1196"/>
      <c r="C698" s="1196"/>
      <c r="D698" s="1196"/>
      <c r="E698" s="1197" t="str">
        <f t="shared" si="56"/>
        <v/>
      </c>
      <c r="F698" s="1198"/>
      <c r="G698" s="1198"/>
      <c r="H698" s="1198"/>
      <c r="I698" s="1198"/>
      <c r="J698" s="1199"/>
      <c r="K698" s="134"/>
      <c r="L698" s="62" t="str">
        <f t="shared" si="57"/>
        <v/>
      </c>
      <c r="M698" s="14"/>
      <c r="N698" s="89">
        <f t="array" ref="N698">SUM(IF((CsDJ[JEV Number]=TRIM($T674))*(CsDJ[Account Code]=TRIM(K698)),CsDJ[Debit]))</f>
        <v>0</v>
      </c>
      <c r="O698" s="89">
        <f t="array" ref="O698">SUM(IF((CsDJ[JEV Number]=TRIM($T674))*(CsDJ[Account Code]=TRIM(K698)),CsDJ[Credit]))</f>
        <v>0</v>
      </c>
      <c r="P698" s="1200">
        <f t="shared" si="58"/>
        <v>0</v>
      </c>
      <c r="Q698" s="1200"/>
      <c r="R698" s="1200"/>
      <c r="S698" s="1200">
        <f t="shared" si="59"/>
        <v>0</v>
      </c>
      <c r="T698" s="1200"/>
      <c r="U698" s="1200"/>
      <c r="V698" s="1201"/>
    </row>
    <row r="699" spans="1:22">
      <c r="A699" s="1195"/>
      <c r="B699" s="1196"/>
      <c r="C699" s="1196"/>
      <c r="D699" s="1196"/>
      <c r="E699" s="1197" t="str">
        <f t="shared" si="56"/>
        <v/>
      </c>
      <c r="F699" s="1198"/>
      <c r="G699" s="1198"/>
      <c r="H699" s="1198"/>
      <c r="I699" s="1198"/>
      <c r="J699" s="1199"/>
      <c r="K699" s="134"/>
      <c r="L699" s="62" t="str">
        <f t="shared" si="57"/>
        <v/>
      </c>
      <c r="M699" s="14"/>
      <c r="N699" s="89">
        <f t="array" ref="N699">SUM(IF((CsDJ[JEV Number]=TRIM($T674))*(CsDJ[Account Code]=TRIM(K699)),CsDJ[Debit]))</f>
        <v>0</v>
      </c>
      <c r="O699" s="89">
        <f t="array" ref="O699">SUM(IF((CsDJ[JEV Number]=TRIM($T674))*(CsDJ[Account Code]=TRIM(K699)),CsDJ[Credit]))</f>
        <v>0</v>
      </c>
      <c r="P699" s="1200">
        <f t="shared" si="58"/>
        <v>0</v>
      </c>
      <c r="Q699" s="1200"/>
      <c r="R699" s="1200"/>
      <c r="S699" s="1200">
        <f t="shared" si="59"/>
        <v>0</v>
      </c>
      <c r="T699" s="1200"/>
      <c r="U699" s="1200"/>
      <c r="V699" s="1201"/>
    </row>
    <row r="700" spans="1:22">
      <c r="A700" s="1195"/>
      <c r="B700" s="1196"/>
      <c r="C700" s="1196"/>
      <c r="D700" s="1196"/>
      <c r="E700" s="1197" t="str">
        <f t="shared" si="56"/>
        <v/>
      </c>
      <c r="F700" s="1198"/>
      <c r="G700" s="1198"/>
      <c r="H700" s="1198"/>
      <c r="I700" s="1198"/>
      <c r="J700" s="1199"/>
      <c r="K700" s="134"/>
      <c r="L700" s="62" t="str">
        <f t="shared" si="57"/>
        <v/>
      </c>
      <c r="M700" s="14"/>
      <c r="N700" s="89">
        <f t="array" ref="N700">SUM(IF((CsDJ[JEV Number]=TRIM($T674))*(CsDJ[Account Code]=TRIM(K700)),CsDJ[Debit]))</f>
        <v>0</v>
      </c>
      <c r="O700" s="89">
        <f t="array" ref="O700">SUM(IF((CsDJ[JEV Number]=TRIM($T674))*(CsDJ[Account Code]=TRIM(K700)),CsDJ[Credit]))</f>
        <v>0</v>
      </c>
      <c r="P700" s="1200">
        <f t="shared" si="58"/>
        <v>0</v>
      </c>
      <c r="Q700" s="1200"/>
      <c r="R700" s="1200"/>
      <c r="S700" s="1200">
        <f t="shared" si="59"/>
        <v>0</v>
      </c>
      <c r="T700" s="1200"/>
      <c r="U700" s="1200"/>
      <c r="V700" s="1201"/>
    </row>
    <row r="701" spans="1:22">
      <c r="A701" s="1195"/>
      <c r="B701" s="1196"/>
      <c r="C701" s="1196"/>
      <c r="D701" s="1196"/>
      <c r="E701" s="1197" t="str">
        <f t="shared" si="56"/>
        <v/>
      </c>
      <c r="F701" s="1198"/>
      <c r="G701" s="1198"/>
      <c r="H701" s="1198"/>
      <c r="I701" s="1198"/>
      <c r="J701" s="1199"/>
      <c r="K701" s="134"/>
      <c r="L701" s="62" t="str">
        <f t="shared" si="57"/>
        <v/>
      </c>
      <c r="M701" s="14"/>
      <c r="N701" s="89">
        <f t="array" ref="N701">SUM(IF((CsDJ[JEV Number]=TRIM($T674))*(CsDJ[Account Code]=TRIM(K701)),CsDJ[Debit]))</f>
        <v>0</v>
      </c>
      <c r="O701" s="89">
        <f t="array" ref="O701">SUM(IF((CsDJ[JEV Number]=TRIM($T674))*(CsDJ[Account Code]=TRIM(K701)),CsDJ[Credit]))</f>
        <v>0</v>
      </c>
      <c r="P701" s="1200">
        <f t="shared" si="58"/>
        <v>0</v>
      </c>
      <c r="Q701" s="1200"/>
      <c r="R701" s="1200"/>
      <c r="S701" s="1200">
        <f t="shared" si="59"/>
        <v>0</v>
      </c>
      <c r="T701" s="1200"/>
      <c r="U701" s="1200"/>
      <c r="V701" s="1201"/>
    </row>
    <row r="702" spans="1:22">
      <c r="A702" s="1195"/>
      <c r="B702" s="1196"/>
      <c r="C702" s="1196"/>
      <c r="D702" s="1196"/>
      <c r="E702" s="1197" t="str">
        <f t="shared" si="56"/>
        <v/>
      </c>
      <c r="F702" s="1198"/>
      <c r="G702" s="1198"/>
      <c r="H702" s="1198"/>
      <c r="I702" s="1198"/>
      <c r="J702" s="1199"/>
      <c r="K702" s="134"/>
      <c r="L702" s="62" t="str">
        <f t="shared" si="57"/>
        <v/>
      </c>
      <c r="M702" s="14"/>
      <c r="N702" s="89">
        <f t="array" ref="N702">SUM(IF((CsDJ[JEV Number]=TRIM($T674))*(CsDJ[Account Code]=TRIM(K702)),CsDJ[Debit]))</f>
        <v>0</v>
      </c>
      <c r="O702" s="89">
        <f t="array" ref="O702">SUM(IF((CsDJ[JEV Number]=TRIM($T674))*(CsDJ[Account Code]=TRIM(K702)),CsDJ[Credit]))</f>
        <v>0</v>
      </c>
      <c r="P702" s="1200">
        <f t="shared" si="58"/>
        <v>0</v>
      </c>
      <c r="Q702" s="1200"/>
      <c r="R702" s="1200"/>
      <c r="S702" s="1200">
        <f t="shared" si="59"/>
        <v>0</v>
      </c>
      <c r="T702" s="1200"/>
      <c r="U702" s="1200"/>
      <c r="V702" s="1201"/>
    </row>
    <row r="703" spans="1:22">
      <c r="A703" s="1195"/>
      <c r="B703" s="1196"/>
      <c r="C703" s="1196"/>
      <c r="D703" s="1196"/>
      <c r="E703" s="1197" t="str">
        <f t="shared" si="56"/>
        <v/>
      </c>
      <c r="F703" s="1198"/>
      <c r="G703" s="1198"/>
      <c r="H703" s="1198"/>
      <c r="I703" s="1198"/>
      <c r="J703" s="1199"/>
      <c r="K703" s="134"/>
      <c r="L703" s="62" t="str">
        <f t="shared" si="57"/>
        <v/>
      </c>
      <c r="M703" s="14"/>
      <c r="N703" s="89">
        <f t="array" ref="N703">SUM(IF((CsDJ[JEV Number]=TRIM($T674))*(CsDJ[Account Code]=TRIM(K703)),CsDJ[Debit]))</f>
        <v>0</v>
      </c>
      <c r="O703" s="89">
        <f t="array" ref="O703">SUM(IF((CsDJ[JEV Number]=TRIM($T674))*(CsDJ[Account Code]=TRIM(K703)),CsDJ[Credit]))</f>
        <v>0</v>
      </c>
      <c r="P703" s="1200">
        <f t="shared" si="58"/>
        <v>0</v>
      </c>
      <c r="Q703" s="1200"/>
      <c r="R703" s="1200"/>
      <c r="S703" s="1200">
        <f t="shared" si="59"/>
        <v>0</v>
      </c>
      <c r="T703" s="1200"/>
      <c r="U703" s="1200"/>
      <c r="V703" s="1201"/>
    </row>
    <row r="704" spans="1:22">
      <c r="A704" s="1195"/>
      <c r="B704" s="1196"/>
      <c r="C704" s="1196"/>
      <c r="D704" s="1196"/>
      <c r="E704" s="1197" t="str">
        <f t="shared" si="56"/>
        <v/>
      </c>
      <c r="F704" s="1198"/>
      <c r="G704" s="1198"/>
      <c r="H704" s="1198"/>
      <c r="I704" s="1198"/>
      <c r="J704" s="1199"/>
      <c r="K704" s="134"/>
      <c r="L704" s="62" t="str">
        <f t="shared" si="57"/>
        <v/>
      </c>
      <c r="M704" s="14"/>
      <c r="N704" s="89">
        <f t="array" ref="N704">SUM(IF((CsDJ[JEV Number]=TRIM($T674))*(CsDJ[Account Code]=TRIM(K704)),CsDJ[Debit]))</f>
        <v>0</v>
      </c>
      <c r="O704" s="89">
        <f t="array" ref="O704">SUM(IF((CsDJ[JEV Number]=TRIM($T674))*(CsDJ[Account Code]=TRIM(K704)),CsDJ[Credit]))</f>
        <v>0</v>
      </c>
      <c r="P704" s="1200">
        <f t="shared" si="58"/>
        <v>0</v>
      </c>
      <c r="Q704" s="1200"/>
      <c r="R704" s="1200"/>
      <c r="S704" s="1200">
        <f t="shared" si="59"/>
        <v>0</v>
      </c>
      <c r="T704" s="1200"/>
      <c r="U704" s="1200"/>
      <c r="V704" s="1201"/>
    </row>
    <row r="705" spans="1:22">
      <c r="A705" s="1195"/>
      <c r="B705" s="1196"/>
      <c r="C705" s="1196"/>
      <c r="D705" s="1196"/>
      <c r="E705" s="1197" t="str">
        <f t="shared" si="56"/>
        <v/>
      </c>
      <c r="F705" s="1198"/>
      <c r="G705" s="1198"/>
      <c r="H705" s="1198"/>
      <c r="I705" s="1198"/>
      <c r="J705" s="1199"/>
      <c r="K705" s="134"/>
      <c r="L705" s="62" t="str">
        <f t="shared" si="57"/>
        <v/>
      </c>
      <c r="M705" s="14"/>
      <c r="N705" s="89">
        <f t="array" ref="N705">SUM(IF((CsDJ[JEV Number]=TRIM($T674))*(CsDJ[Account Code]=TRIM(K705)),CsDJ[Debit]))</f>
        <v>0</v>
      </c>
      <c r="O705" s="89">
        <f t="array" ref="O705">SUM(IF((CsDJ[JEV Number]=TRIM($T674))*(CsDJ[Account Code]=TRIM(K705)),CsDJ[Credit]))</f>
        <v>0</v>
      </c>
      <c r="P705" s="1200">
        <f t="shared" si="58"/>
        <v>0</v>
      </c>
      <c r="Q705" s="1200"/>
      <c r="R705" s="1200"/>
      <c r="S705" s="1200">
        <f t="shared" si="59"/>
        <v>0</v>
      </c>
      <c r="T705" s="1200"/>
      <c r="U705" s="1200"/>
      <c r="V705" s="1201"/>
    </row>
    <row r="706" spans="1:22">
      <c r="A706" s="1195"/>
      <c r="B706" s="1196"/>
      <c r="C706" s="1196"/>
      <c r="D706" s="1196"/>
      <c r="E706" s="1197" t="str">
        <f t="shared" si="56"/>
        <v/>
      </c>
      <c r="F706" s="1198"/>
      <c r="G706" s="1198"/>
      <c r="H706" s="1198"/>
      <c r="I706" s="1198"/>
      <c r="J706" s="1199"/>
      <c r="K706" s="134"/>
      <c r="L706" s="62" t="str">
        <f t="shared" si="57"/>
        <v/>
      </c>
      <c r="M706" s="14"/>
      <c r="N706" s="89">
        <f t="array" ref="N706">SUM(IF((CsDJ[JEV Number]=TRIM($T674))*(CsDJ[Account Code]=TRIM(K706)),CsDJ[Debit]))</f>
        <v>0</v>
      </c>
      <c r="O706" s="89">
        <f t="array" ref="O706">SUM(IF((CsDJ[JEV Number]=TRIM($T674))*(CsDJ[Account Code]=TRIM(K706)),CsDJ[Credit]))</f>
        <v>0</v>
      </c>
      <c r="P706" s="1200">
        <f t="shared" si="58"/>
        <v>0</v>
      </c>
      <c r="Q706" s="1200"/>
      <c r="R706" s="1200"/>
      <c r="S706" s="1200">
        <f t="shared" si="59"/>
        <v>0</v>
      </c>
      <c r="T706" s="1200"/>
      <c r="U706" s="1200"/>
      <c r="V706" s="1201"/>
    </row>
    <row r="707" spans="1:22">
      <c r="A707" s="1195"/>
      <c r="B707" s="1196"/>
      <c r="C707" s="1196"/>
      <c r="D707" s="1196"/>
      <c r="E707" s="1197" t="str">
        <f t="shared" si="56"/>
        <v/>
      </c>
      <c r="F707" s="1198"/>
      <c r="G707" s="1198"/>
      <c r="H707" s="1198"/>
      <c r="I707" s="1198"/>
      <c r="J707" s="1199"/>
      <c r="K707" s="134"/>
      <c r="L707" s="62" t="str">
        <f t="shared" si="57"/>
        <v/>
      </c>
      <c r="M707" s="14"/>
      <c r="N707" s="89">
        <f t="array" ref="N707">SUM(IF((CsDJ[JEV Number]=TRIM($T674))*(CsDJ[Account Code]=TRIM(K707)),CsDJ[Debit]))</f>
        <v>0</v>
      </c>
      <c r="O707" s="89">
        <f t="array" ref="O707">SUM(IF((CsDJ[JEV Number]=TRIM($T674))*(CsDJ[Account Code]=TRIM(K707)),CsDJ[Credit]))</f>
        <v>0</v>
      </c>
      <c r="P707" s="1200">
        <f t="shared" si="58"/>
        <v>0</v>
      </c>
      <c r="Q707" s="1200"/>
      <c r="R707" s="1200"/>
      <c r="S707" s="1200">
        <f t="shared" si="59"/>
        <v>0</v>
      </c>
      <c r="T707" s="1200"/>
      <c r="U707" s="1200"/>
      <c r="V707" s="1201"/>
    </row>
    <row r="708" spans="1:22">
      <c r="A708" s="1195"/>
      <c r="B708" s="1196"/>
      <c r="C708" s="1196"/>
      <c r="D708" s="1196"/>
      <c r="E708" s="1257" t="s">
        <v>468</v>
      </c>
      <c r="F708" s="1258"/>
      <c r="G708" s="1258"/>
      <c r="H708" s="1258"/>
      <c r="I708" s="1258"/>
      <c r="J708" s="1259"/>
      <c r="K708" s="133"/>
      <c r="L708" s="62" t="str">
        <f t="shared" si="57"/>
        <v/>
      </c>
      <c r="M708" s="14"/>
      <c r="N708" s="89">
        <f t="array" ref="N708">SUM(IF((CsDJ[JEV Number]=TRIM($T674))*(CsDJ[Account Code]=TRIM(K708)),CsDJ[Debit]))</f>
        <v>0</v>
      </c>
      <c r="O708" s="89">
        <f t="array" ref="O708">SUM(IF((CsDJ[JEV Number]=TRIM($T674))*(CsDJ[Account Code]=TRIM(K708)),CsDJ[Credit]))</f>
        <v>0</v>
      </c>
      <c r="P708" s="1200">
        <f t="shared" si="58"/>
        <v>0</v>
      </c>
      <c r="Q708" s="1200"/>
      <c r="R708" s="1200"/>
      <c r="S708" s="1200">
        <f t="shared" si="59"/>
        <v>0</v>
      </c>
      <c r="T708" s="1200"/>
      <c r="U708" s="1200"/>
      <c r="V708" s="1201"/>
    </row>
    <row r="709" spans="1:22">
      <c r="A709" s="1195"/>
      <c r="B709" s="1196"/>
      <c r="C709" s="1196"/>
      <c r="D709" s="1196"/>
      <c r="E709" s="1202" t="s">
        <v>457</v>
      </c>
      <c r="F709" s="1203"/>
      <c r="G709" s="1203"/>
      <c r="H709" s="1203"/>
      <c r="I709" s="1207">
        <f>T675</f>
        <v>0</v>
      </c>
      <c r="J709" s="1208"/>
      <c r="K709" s="133"/>
      <c r="L709" s="62" t="str">
        <f t="shared" si="57"/>
        <v/>
      </c>
      <c r="M709" s="14"/>
      <c r="N709" s="89">
        <f t="array" ref="N709">SUM(IF((CsDJ[JEV Number]=TRIM($T674))*(CsDJ[Account Code]=TRIM(K709)),CsDJ[Debit]))</f>
        <v>0</v>
      </c>
      <c r="O709" s="89">
        <f t="array" ref="O709">SUM(IF((CsDJ[JEV Number]=TRIM($T674))*(CsDJ[Account Code]=TRIM(K709)),CsDJ[Credit]))</f>
        <v>0</v>
      </c>
      <c r="P709" s="1200">
        <f t="shared" si="58"/>
        <v>0</v>
      </c>
      <c r="Q709" s="1200"/>
      <c r="R709" s="1200"/>
      <c r="S709" s="1200">
        <f t="shared" si="59"/>
        <v>0</v>
      </c>
      <c r="T709" s="1200"/>
      <c r="U709" s="1200"/>
      <c r="V709" s="1201"/>
    </row>
    <row r="710" spans="1:22">
      <c r="A710" s="1195"/>
      <c r="B710" s="1196"/>
      <c r="C710" s="1196"/>
      <c r="D710" s="1196"/>
      <c r="E710" s="1202" t="s">
        <v>458</v>
      </c>
      <c r="F710" s="1203"/>
      <c r="G710" s="1203"/>
      <c r="H710" s="1203"/>
      <c r="I710" s="1263">
        <f>IF(T674=0,0,(IF(LOOKUP(T674,CsDJ[JEV Number],CsDJ[Sort Code])="1","MA. VIVIAN C. SALAS",IF(LOOKUP(T674,CsDJ[JEV Number],CsDJ[Sort Code])="2","LUZ R. DE COZAR",IF(LOOKUP(T674,CsDJ[JEV Number],CsDJ[Sort Code])="3","MINEONETTE A. DELA CRUZ",IF(LOOKUP(T674,CsDJ[JEV Number],CsDJ[Sort Code])="4","RESELLA B. LOPEZ"))))))</f>
        <v>0</v>
      </c>
      <c r="J710" s="1264"/>
      <c r="K710" s="133"/>
      <c r="L710" s="62" t="str">
        <f t="shared" si="57"/>
        <v/>
      </c>
      <c r="M710" s="14"/>
      <c r="N710" s="89">
        <f t="array" ref="N710">SUM(IF((CsDJ[JEV Number]=TRIM($T674))*(CsDJ[Account Code]=TRIM(K710)),CsDJ[Debit]))</f>
        <v>0</v>
      </c>
      <c r="O710" s="89">
        <f t="array" ref="O710">SUM(IF((CsDJ[JEV Number]=TRIM($T674))*(CsDJ[Account Code]=TRIM(K710)),CsDJ[Credit]))</f>
        <v>0</v>
      </c>
      <c r="P710" s="1200">
        <f t="shared" si="58"/>
        <v>0</v>
      </c>
      <c r="Q710" s="1200"/>
      <c r="R710" s="1200"/>
      <c r="S710" s="1200">
        <f t="shared" si="59"/>
        <v>0</v>
      </c>
      <c r="T710" s="1200"/>
      <c r="U710" s="1200"/>
      <c r="V710" s="1201"/>
    </row>
    <row r="711" spans="1:22">
      <c r="A711" s="1195"/>
      <c r="B711" s="1196"/>
      <c r="C711" s="1196"/>
      <c r="D711" s="1196"/>
      <c r="E711" s="1202" t="s">
        <v>459</v>
      </c>
      <c r="F711" s="1203"/>
      <c r="G711" s="1203"/>
      <c r="H711" s="1203"/>
      <c r="I711" s="1204">
        <f>IF(I710="Ma. Vivian C. Salas","Regional Office", IF(I710="Luz R. De Cozar","BANE IMO", IF(I710="Mineonette A. Dela Cruz","PAMBAT IMO", IF(I710="Resella B. Lopez","TARZAM IMO",0))))</f>
        <v>0</v>
      </c>
      <c r="J711" s="1205"/>
      <c r="K711" s="133"/>
      <c r="L711" s="62" t="str">
        <f t="shared" si="57"/>
        <v/>
      </c>
      <c r="M711" s="14"/>
      <c r="N711" s="89">
        <f t="array" ref="N711">SUM(IF((CsDJ[JEV Number]=TRIM($T674))*(CsDJ[Account Code]=TRIM(K711)),CsDJ[Debit]))</f>
        <v>0</v>
      </c>
      <c r="O711" s="89">
        <f t="array" ref="O711">SUM(IF((CsDJ[JEV Number]=TRIM($T674))*(CsDJ[Account Code]=TRIM(K711)),CsDJ[Credit]))</f>
        <v>0</v>
      </c>
      <c r="P711" s="1200">
        <f t="shared" si="58"/>
        <v>0</v>
      </c>
      <c r="Q711" s="1200"/>
      <c r="R711" s="1200"/>
      <c r="S711" s="1200">
        <f t="shared" si="59"/>
        <v>0</v>
      </c>
      <c r="T711" s="1200"/>
      <c r="U711" s="1200"/>
      <c r="V711" s="1201"/>
    </row>
    <row r="712" spans="1:22">
      <c r="A712" s="1195"/>
      <c r="B712" s="1196"/>
      <c r="C712" s="1196"/>
      <c r="D712" s="1196"/>
      <c r="E712" s="1202"/>
      <c r="F712" s="1203"/>
      <c r="G712" s="1203"/>
      <c r="H712" s="1203"/>
      <c r="I712" s="1203"/>
      <c r="J712" s="1206"/>
      <c r="K712" s="133"/>
      <c r="L712" s="62" t="str">
        <f t="shared" si="57"/>
        <v/>
      </c>
      <c r="M712" s="14"/>
      <c r="N712" s="89">
        <f t="array" ref="N712">SUM(IF((CsDJ[JEV Number]=TRIM($T674))*(CsDJ[Account Code]=TRIM(K712)),CsDJ[Debit]))</f>
        <v>0</v>
      </c>
      <c r="O712" s="89">
        <f t="array" ref="O712">SUM(IF((CsDJ[JEV Number]=TRIM($T674))*(CsDJ[Account Code]=TRIM(K712)),CsDJ[Credit]))</f>
        <v>0</v>
      </c>
      <c r="P712" s="1200">
        <f t="shared" si="58"/>
        <v>0</v>
      </c>
      <c r="Q712" s="1200"/>
      <c r="R712" s="1200"/>
      <c r="S712" s="1200">
        <f t="shared" si="59"/>
        <v>0</v>
      </c>
      <c r="T712" s="1200"/>
      <c r="U712" s="1200"/>
      <c r="V712" s="1201"/>
    </row>
    <row r="713" spans="1:22" ht="16.5" thickBot="1">
      <c r="A713" s="1188"/>
      <c r="B713" s="1189"/>
      <c r="C713" s="1189"/>
      <c r="D713" s="1189"/>
      <c r="E713" s="1189"/>
      <c r="F713" s="1189"/>
      <c r="G713" s="1189"/>
      <c r="H713" s="1189"/>
      <c r="I713" s="1189"/>
      <c r="J713" s="1189"/>
      <c r="K713" s="1189"/>
      <c r="L713" s="1189"/>
      <c r="M713" s="1190"/>
      <c r="N713" s="88"/>
      <c r="O713" s="88"/>
      <c r="P713" s="1191">
        <f>SUM(P683:R712)</f>
        <v>0</v>
      </c>
      <c r="Q713" s="1191"/>
      <c r="R713" s="1191"/>
      <c r="S713" s="1191">
        <f>SUM(S683:V712)</f>
        <v>0</v>
      </c>
      <c r="T713" s="1191"/>
      <c r="U713" s="1191"/>
      <c r="V713" s="1192"/>
    </row>
    <row r="714" spans="1:22">
      <c r="A714" s="63"/>
      <c r="B714" s="64"/>
      <c r="C714" s="64"/>
      <c r="D714" s="64"/>
      <c r="E714" s="64"/>
      <c r="F714" s="64"/>
      <c r="G714" s="64"/>
      <c r="H714" s="64"/>
      <c r="I714" s="65"/>
      <c r="J714" s="64"/>
      <c r="K714" s="66"/>
      <c r="L714" s="64"/>
      <c r="M714" s="65"/>
      <c r="N714" s="64"/>
      <c r="O714" s="64"/>
      <c r="P714" s="1193"/>
      <c r="Q714" s="1193"/>
      <c r="R714" s="1193"/>
      <c r="S714" s="1193"/>
      <c r="T714" s="1193"/>
      <c r="U714" s="1193"/>
      <c r="V714" s="1194"/>
    </row>
    <row r="715" spans="1:22">
      <c r="A715" s="67" t="s">
        <v>460</v>
      </c>
      <c r="B715"/>
      <c r="C715"/>
      <c r="D715"/>
      <c r="E715"/>
      <c r="F715"/>
      <c r="G715"/>
      <c r="H715"/>
      <c r="I715" s="68" t="s">
        <v>353</v>
      </c>
      <c r="J715" s="69"/>
      <c r="K715" s="69"/>
      <c r="L715"/>
      <c r="M715" s="68" t="s">
        <v>461</v>
      </c>
      <c r="N715" s="69"/>
      <c r="O715" s="69"/>
      <c r="P715" s="70"/>
      <c r="Q715" s="70"/>
      <c r="R715" s="70"/>
      <c r="S715" s="70"/>
      <c r="T715" s="70"/>
      <c r="U715" s="70"/>
      <c r="V715" s="71"/>
    </row>
    <row r="716" spans="1:22">
      <c r="A716" s="37"/>
      <c r="B716"/>
      <c r="C716"/>
      <c r="D716"/>
      <c r="E716"/>
      <c r="F716"/>
      <c r="G716"/>
      <c r="H716"/>
      <c r="I716" s="72"/>
      <c r="J716"/>
      <c r="K716"/>
      <c r="L716"/>
      <c r="M716" s="72"/>
      <c r="N716"/>
      <c r="O716"/>
      <c r="P716"/>
      <c r="Q716"/>
      <c r="R716"/>
      <c r="S716"/>
      <c r="T716"/>
      <c r="U716"/>
      <c r="V716" s="73"/>
    </row>
    <row r="717" spans="1:22">
      <c r="A717" s="74" t="s">
        <v>462</v>
      </c>
      <c r="B717" s="75"/>
      <c r="C717" s="75"/>
      <c r="D717" s="75"/>
      <c r="E717" s="75"/>
      <c r="F717" s="75"/>
      <c r="G717" s="75"/>
      <c r="H717" s="76"/>
      <c r="I717" s="77" t="s">
        <v>380</v>
      </c>
      <c r="J717" s="75"/>
      <c r="K717" s="75"/>
      <c r="L717" s="76"/>
      <c r="M717" s="77" t="s">
        <v>3</v>
      </c>
      <c r="N717" s="75"/>
      <c r="O717" s="75"/>
      <c r="P717" s="75"/>
      <c r="Q717" s="75"/>
      <c r="R717" s="75"/>
      <c r="S717" s="75"/>
      <c r="T717" s="75"/>
      <c r="U717" s="75"/>
      <c r="V717" s="78"/>
    </row>
    <row r="718" spans="1:22">
      <c r="A718" s="79" t="s">
        <v>463</v>
      </c>
      <c r="B718" s="80"/>
      <c r="C718" s="80"/>
      <c r="D718" s="80"/>
      <c r="E718" s="80"/>
      <c r="F718" s="80"/>
      <c r="G718" s="80"/>
      <c r="H718" s="80"/>
      <c r="I718" s="81" t="s">
        <v>381</v>
      </c>
      <c r="J718" s="80"/>
      <c r="K718" s="80"/>
      <c r="L718" s="80"/>
      <c r="M718" s="81" t="s">
        <v>464</v>
      </c>
      <c r="N718" s="80"/>
      <c r="O718" s="80"/>
      <c r="P718" s="82"/>
      <c r="Q718" s="82"/>
      <c r="R718" s="82"/>
      <c r="S718" s="82"/>
      <c r="T718" s="82"/>
      <c r="U718" s="82"/>
      <c r="V718" s="83"/>
    </row>
    <row r="719" spans="1:22" ht="16.5" thickBot="1">
      <c r="A719" s="84" t="s">
        <v>465</v>
      </c>
      <c r="B719" s="43"/>
      <c r="C719" s="43"/>
      <c r="D719" s="43"/>
      <c r="E719" s="43"/>
      <c r="F719" s="43"/>
      <c r="G719" s="43"/>
      <c r="H719" s="43"/>
      <c r="I719" s="85"/>
      <c r="J719" s="43"/>
      <c r="K719" s="43"/>
      <c r="L719" s="43"/>
      <c r="M719" s="85"/>
      <c r="N719" s="43"/>
      <c r="O719" s="43"/>
      <c r="P719" s="43"/>
      <c r="Q719" s="43"/>
      <c r="R719" s="43"/>
      <c r="S719" s="43"/>
      <c r="T719" s="43"/>
      <c r="U719" s="43"/>
      <c r="V719" s="44"/>
    </row>
    <row r="720" spans="1:22" ht="22.5">
      <c r="A720" s="31" t="s">
        <v>441</v>
      </c>
      <c r="B720" s="32"/>
      <c r="C720" s="32"/>
      <c r="D720" s="32"/>
      <c r="E720" s="32"/>
      <c r="F720" s="32"/>
      <c r="G720" s="32"/>
      <c r="H720" s="32"/>
      <c r="I720" s="32"/>
      <c r="J720" s="32"/>
      <c r="K720" s="32"/>
      <c r="L720" s="32"/>
      <c r="M720" s="32"/>
      <c r="N720" s="32"/>
      <c r="O720" s="32"/>
      <c r="P720" s="32"/>
      <c r="Q720" s="33"/>
      <c r="R720" s="1218">
        <f>+P760-S760</f>
        <v>0</v>
      </c>
      <c r="S720" s="1219"/>
      <c r="T720" s="1219"/>
      <c r="U720" s="1219"/>
      <c r="V720" s="1220"/>
    </row>
    <row r="721" spans="1:22">
      <c r="A721" s="34" t="s">
        <v>442</v>
      </c>
      <c r="B721" s="35"/>
      <c r="C721" s="35"/>
      <c r="D721" s="35"/>
      <c r="E721" s="35"/>
      <c r="F721" s="35"/>
      <c r="G721" s="35"/>
      <c r="H721" s="35"/>
      <c r="I721" s="35"/>
      <c r="J721" s="35"/>
      <c r="K721" s="35"/>
      <c r="L721" s="35"/>
      <c r="M721" s="35"/>
      <c r="N721" s="35"/>
      <c r="O721" s="35"/>
      <c r="P721" s="35"/>
      <c r="Q721" s="36"/>
      <c r="R721" s="37" t="s">
        <v>443</v>
      </c>
      <c r="S721"/>
      <c r="T721" s="1221"/>
      <c r="U721" s="1221"/>
      <c r="V721" s="1222"/>
    </row>
    <row r="722" spans="1:22">
      <c r="A722" s="38" t="s">
        <v>444</v>
      </c>
      <c r="B722" s="35"/>
      <c r="C722" s="35"/>
      <c r="D722" s="35"/>
      <c r="E722" s="35"/>
      <c r="F722" s="35"/>
      <c r="G722" s="35"/>
      <c r="H722" s="35"/>
      <c r="I722" s="35"/>
      <c r="J722" s="35"/>
      <c r="K722" s="35"/>
      <c r="L722" s="35"/>
      <c r="M722" s="35"/>
      <c r="N722" s="35"/>
      <c r="O722" s="35"/>
      <c r="P722" s="35"/>
      <c r="Q722" s="36"/>
      <c r="R722" s="37" t="s">
        <v>0</v>
      </c>
      <c r="S722"/>
      <c r="T722" s="1223">
        <f>IF(T721=0,0,(LOOKUP(T721,CsDJ[JEV Number],CsDJ[Date])))</f>
        <v>0</v>
      </c>
      <c r="U722" s="1223"/>
      <c r="V722" s="1224"/>
    </row>
    <row r="723" spans="1:22" ht="16.5" thickBot="1">
      <c r="A723" s="39"/>
      <c r="B723" s="40"/>
      <c r="C723" s="40"/>
      <c r="D723" s="40"/>
      <c r="E723" s="40"/>
      <c r="F723" s="40"/>
      <c r="G723" s="40"/>
      <c r="H723" s="40"/>
      <c r="I723" s="40"/>
      <c r="J723" s="40"/>
      <c r="K723" s="40"/>
      <c r="L723" s="40"/>
      <c r="M723" s="40"/>
      <c r="N723" s="40"/>
      <c r="O723" s="40"/>
      <c r="P723" s="40"/>
      <c r="Q723" s="41"/>
      <c r="R723" s="42"/>
      <c r="S723" s="43"/>
      <c r="T723" s="43"/>
      <c r="U723" s="43"/>
      <c r="V723" s="44"/>
    </row>
    <row r="724" spans="1:22">
      <c r="A724" s="45"/>
      <c r="B724" s="46"/>
      <c r="C724" s="46"/>
      <c r="D724" s="46"/>
      <c r="E724" s="46"/>
      <c r="F724" s="46"/>
      <c r="G724" s="46"/>
      <c r="H724" s="46"/>
      <c r="I724" s="46"/>
      <c r="J724" s="46"/>
      <c r="K724" s="46"/>
      <c r="L724" s="47"/>
      <c r="M724" s="46"/>
      <c r="N724" s="46"/>
      <c r="O724" s="46"/>
      <c r="P724" s="46"/>
      <c r="Q724" s="46"/>
      <c r="R724" s="46"/>
      <c r="S724" s="46"/>
      <c r="T724" s="46"/>
      <c r="U724" s="46"/>
      <c r="V724" s="48"/>
    </row>
    <row r="725" spans="1:22">
      <c r="A725" s="49"/>
      <c r="B725" s="1225"/>
      <c r="C725" s="1225"/>
      <c r="D725" s="50" t="s">
        <v>445</v>
      </c>
      <c r="H725" s="51"/>
      <c r="I725" s="25" t="s">
        <v>447</v>
      </c>
      <c r="J725" s="132" t="s">
        <v>446</v>
      </c>
      <c r="K725" s="52" t="s">
        <v>448</v>
      </c>
      <c r="L725" s="52"/>
      <c r="Q725" s="1225"/>
      <c r="R725" s="1225"/>
      <c r="S725" s="50" t="s">
        <v>449</v>
      </c>
      <c r="T725" s="50"/>
      <c r="U725" s="50"/>
      <c r="V725" s="53"/>
    </row>
    <row r="726" spans="1:22" ht="16.5" thickBot="1">
      <c r="A726" s="54"/>
      <c r="B726" s="55"/>
      <c r="C726" s="55"/>
      <c r="D726" s="55"/>
      <c r="E726" s="55"/>
      <c r="F726" s="55"/>
      <c r="G726" s="55"/>
      <c r="H726" s="55"/>
      <c r="I726" s="55"/>
      <c r="J726" s="55"/>
      <c r="K726" s="55"/>
      <c r="L726" s="56"/>
      <c r="M726" s="55"/>
      <c r="N726" s="55"/>
      <c r="O726" s="55"/>
      <c r="P726" s="55"/>
      <c r="Q726" s="55"/>
      <c r="R726" s="55"/>
      <c r="S726" s="55"/>
      <c r="T726" s="55"/>
      <c r="U726" s="55"/>
      <c r="V726" s="57"/>
    </row>
    <row r="727" spans="1:22">
      <c r="A727" s="1226" t="s">
        <v>397</v>
      </c>
      <c r="B727" s="1227"/>
      <c r="C727" s="1227"/>
      <c r="D727" s="1228"/>
      <c r="E727" s="1235" t="s">
        <v>450</v>
      </c>
      <c r="F727" s="1235"/>
      <c r="G727" s="1235"/>
      <c r="H727" s="1235"/>
      <c r="I727" s="1235"/>
      <c r="J727" s="1235"/>
      <c r="K727" s="1235"/>
      <c r="L727" s="1235"/>
      <c r="M727" s="1235"/>
      <c r="N727" s="1235"/>
      <c r="O727" s="1235"/>
      <c r="P727" s="1235"/>
      <c r="Q727" s="1235"/>
      <c r="R727" s="1235"/>
      <c r="S727" s="1235"/>
      <c r="T727" s="1235"/>
      <c r="U727" s="1235"/>
      <c r="V727" s="1236"/>
    </row>
    <row r="728" spans="1:22">
      <c r="A728" s="1229"/>
      <c r="B728" s="1230"/>
      <c r="C728" s="1230"/>
      <c r="D728" s="1231"/>
      <c r="E728" s="1237" t="s">
        <v>451</v>
      </c>
      <c r="F728" s="1237"/>
      <c r="G728" s="1237"/>
      <c r="H728" s="1237"/>
      <c r="I728" s="1237"/>
      <c r="J728" s="1237"/>
      <c r="K728" s="1239" t="s">
        <v>378</v>
      </c>
      <c r="L728" s="1239"/>
      <c r="M728" s="1237" t="s">
        <v>452</v>
      </c>
      <c r="N728" s="1240" t="s">
        <v>453</v>
      </c>
      <c r="O728" s="1241"/>
      <c r="P728" s="1241"/>
      <c r="Q728" s="1241"/>
      <c r="R728" s="1241"/>
      <c r="S728" s="1241"/>
      <c r="T728" s="1241"/>
      <c r="U728" s="1241"/>
      <c r="V728" s="1242"/>
    </row>
    <row r="729" spans="1:22" ht="16.5" customHeight="1" thickBot="1">
      <c r="A729" s="1232"/>
      <c r="B729" s="1233"/>
      <c r="C729" s="1233"/>
      <c r="D729" s="1234"/>
      <c r="E729" s="1238"/>
      <c r="F729" s="1238"/>
      <c r="G729" s="1238"/>
      <c r="H729" s="1238"/>
      <c r="I729" s="1238"/>
      <c r="J729" s="1238"/>
      <c r="K729" s="58" t="s">
        <v>454</v>
      </c>
      <c r="L729" s="58" t="s">
        <v>455</v>
      </c>
      <c r="M729" s="1238"/>
      <c r="N729" s="87" t="s">
        <v>466</v>
      </c>
      <c r="O729" s="87" t="s">
        <v>467</v>
      </c>
      <c r="P729" s="1243" t="s">
        <v>1</v>
      </c>
      <c r="Q729" s="1244"/>
      <c r="R729" s="1245"/>
      <c r="S729" s="1243" t="s">
        <v>2</v>
      </c>
      <c r="T729" s="1244"/>
      <c r="U729" s="1244"/>
      <c r="V729" s="1246"/>
    </row>
    <row r="730" spans="1:22" ht="19.5">
      <c r="A730" s="1210">
        <f>P760-S760</f>
        <v>0</v>
      </c>
      <c r="B730" s="1211"/>
      <c r="C730" s="1211"/>
      <c r="D730" s="1211"/>
      <c r="E730" s="1212" t="str">
        <f>Account!$G$1</f>
        <v>FUND 501 CARP</v>
      </c>
      <c r="F730" s="1213"/>
      <c r="G730" s="1213"/>
      <c r="H730" s="1213"/>
      <c r="I730" s="1213"/>
      <c r="J730" s="1214"/>
      <c r="K730" s="59"/>
      <c r="L730" s="59"/>
      <c r="M730" s="60"/>
      <c r="N730" s="60"/>
      <c r="O730" s="60"/>
      <c r="P730" s="1215"/>
      <c r="Q730" s="1215"/>
      <c r="R730" s="1215"/>
      <c r="S730" s="1215"/>
      <c r="T730" s="1215"/>
      <c r="U730" s="1215"/>
      <c r="V730" s="1216"/>
    </row>
    <row r="731" spans="1:22">
      <c r="A731" s="1195"/>
      <c r="B731" s="1196"/>
      <c r="C731" s="1196"/>
      <c r="D731" s="1196"/>
      <c r="E731" s="1196"/>
      <c r="F731" s="1196"/>
      <c r="G731" s="1196"/>
      <c r="H731" s="1196"/>
      <c r="I731" s="1196"/>
      <c r="J731" s="1196"/>
      <c r="K731" s="61"/>
      <c r="L731" s="61"/>
      <c r="M731" s="14"/>
      <c r="N731" s="14"/>
      <c r="O731" s="14"/>
      <c r="P731" s="1196"/>
      <c r="Q731" s="1196"/>
      <c r="R731" s="1196"/>
      <c r="S731" s="1196"/>
      <c r="T731" s="1196"/>
      <c r="U731" s="1196"/>
      <c r="V731" s="1217"/>
    </row>
    <row r="732" spans="1:22">
      <c r="A732" s="1195"/>
      <c r="B732" s="1196"/>
      <c r="C732" s="1196"/>
      <c r="D732" s="1196"/>
      <c r="E732" s="1197" t="str">
        <f t="shared" ref="E732:E754" si="60">IF(K732=0,"",(VLOOKUP((TRIM(K732)),Code,2,)))</f>
        <v/>
      </c>
      <c r="F732" s="1198"/>
      <c r="G732" s="1198"/>
      <c r="H732" s="1198"/>
      <c r="I732" s="1198"/>
      <c r="J732" s="1199"/>
      <c r="K732" s="133"/>
      <c r="L732" s="62" t="str">
        <f t="shared" ref="L732:L759" si="61">IF(K732=0,"",VLOOKUP((TRIM(K732)),Code,3,))</f>
        <v/>
      </c>
      <c r="M732" s="14"/>
      <c r="N732" s="89">
        <f t="array" ref="N732">SUM(IF((CsDJ[JEV Number]=TRIM($T721))*(CsDJ[Account Code]=TRIM(K732)),CsDJ[Debit]))</f>
        <v>0</v>
      </c>
      <c r="O732" s="89">
        <f t="array" ref="O732">SUM(IF((CsDJ[JEV Number]=TRIM($T721))*(CsDJ[Account Code]=TRIM(K732)),CsDJ[Credit]))</f>
        <v>0</v>
      </c>
      <c r="P732" s="1200">
        <f>N732</f>
        <v>0</v>
      </c>
      <c r="Q732" s="1200"/>
      <c r="R732" s="1200"/>
      <c r="S732" s="1200">
        <f>O732</f>
        <v>0</v>
      </c>
      <c r="T732" s="1200"/>
      <c r="U732" s="1200"/>
      <c r="V732" s="1201"/>
    </row>
    <row r="733" spans="1:22">
      <c r="A733" s="1195"/>
      <c r="B733" s="1196"/>
      <c r="C733" s="1196"/>
      <c r="D733" s="1196"/>
      <c r="E733" s="1197" t="str">
        <f t="shared" si="60"/>
        <v/>
      </c>
      <c r="F733" s="1198"/>
      <c r="G733" s="1198"/>
      <c r="H733" s="1198"/>
      <c r="I733" s="1198"/>
      <c r="J733" s="1199"/>
      <c r="K733" s="133"/>
      <c r="L733" s="62" t="str">
        <f t="shared" si="61"/>
        <v/>
      </c>
      <c r="M733" s="14"/>
      <c r="N733" s="89">
        <f t="array" ref="N733">SUM(IF((CsDJ[JEV Number]=TRIM($T721))*(CsDJ[Account Code]=TRIM(K733)),CsDJ[Debit]))</f>
        <v>0</v>
      </c>
      <c r="O733" s="89">
        <f t="array" ref="O733">SUM(IF((CsDJ[JEV Number]=TRIM($T721))*(CsDJ[Account Code]=TRIM(K733)),CsDJ[Credit]))</f>
        <v>0</v>
      </c>
      <c r="P733" s="1200">
        <f>N733</f>
        <v>0</v>
      </c>
      <c r="Q733" s="1200"/>
      <c r="R733" s="1200"/>
      <c r="S733" s="1200">
        <f>O733</f>
        <v>0</v>
      </c>
      <c r="T733" s="1200"/>
      <c r="U733" s="1200"/>
      <c r="V733" s="1201"/>
    </row>
    <row r="734" spans="1:22">
      <c r="A734" s="1195"/>
      <c r="B734" s="1196"/>
      <c r="C734" s="1196"/>
      <c r="D734" s="1196"/>
      <c r="E734" s="1197" t="str">
        <f t="shared" si="60"/>
        <v/>
      </c>
      <c r="F734" s="1198"/>
      <c r="G734" s="1198"/>
      <c r="H734" s="1198"/>
      <c r="I734" s="1198"/>
      <c r="J734" s="1199"/>
      <c r="K734" s="133"/>
      <c r="L734" s="62" t="str">
        <f t="shared" si="61"/>
        <v/>
      </c>
      <c r="M734" s="14"/>
      <c r="N734" s="89">
        <f t="array" ref="N734">SUM(IF((CsDJ[JEV Number]=TRIM($T721))*(CsDJ[Account Code]=TRIM(K734)),CsDJ[Debit]))</f>
        <v>0</v>
      </c>
      <c r="O734" s="89">
        <f t="array" ref="O734">SUM(IF((CsDJ[JEV Number]=TRIM($T721))*(CsDJ[Account Code]=TRIM(K734)),CsDJ[Credit]))</f>
        <v>0</v>
      </c>
      <c r="P734" s="1200">
        <f t="shared" ref="P734:P759" si="62">N734</f>
        <v>0</v>
      </c>
      <c r="Q734" s="1200"/>
      <c r="R734" s="1200"/>
      <c r="S734" s="1200">
        <f t="shared" ref="S734:S759" si="63">O734</f>
        <v>0</v>
      </c>
      <c r="T734" s="1200"/>
      <c r="U734" s="1200"/>
      <c r="V734" s="1201"/>
    </row>
    <row r="735" spans="1:22">
      <c r="A735" s="1195"/>
      <c r="B735" s="1196"/>
      <c r="C735" s="1196"/>
      <c r="D735" s="1196"/>
      <c r="E735" s="1197" t="str">
        <f t="shared" si="60"/>
        <v/>
      </c>
      <c r="F735" s="1198"/>
      <c r="G735" s="1198"/>
      <c r="H735" s="1198"/>
      <c r="I735" s="1198"/>
      <c r="J735" s="1199"/>
      <c r="K735" s="133"/>
      <c r="L735" s="62" t="str">
        <f t="shared" si="61"/>
        <v/>
      </c>
      <c r="M735" s="14"/>
      <c r="N735" s="89">
        <f t="array" ref="N735">SUM(IF((CsDJ[JEV Number]=TRIM($T721))*(CsDJ[Account Code]=TRIM(K735)),CsDJ[Debit]))</f>
        <v>0</v>
      </c>
      <c r="O735" s="89">
        <f t="array" ref="O735">SUM(IF((CsDJ[JEV Number]=TRIM($T721))*(CsDJ[Account Code]=TRIM(K735)),CsDJ[Credit]))</f>
        <v>0</v>
      </c>
      <c r="P735" s="1200">
        <f t="shared" si="62"/>
        <v>0</v>
      </c>
      <c r="Q735" s="1200"/>
      <c r="R735" s="1200"/>
      <c r="S735" s="1200">
        <f t="shared" si="63"/>
        <v>0</v>
      </c>
      <c r="T735" s="1200"/>
      <c r="U735" s="1200"/>
      <c r="V735" s="1201"/>
    </row>
    <row r="736" spans="1:22">
      <c r="A736" s="1195"/>
      <c r="B736" s="1196"/>
      <c r="C736" s="1196"/>
      <c r="D736" s="1196"/>
      <c r="E736" s="1197" t="str">
        <f t="shared" si="60"/>
        <v/>
      </c>
      <c r="F736" s="1198"/>
      <c r="G736" s="1198"/>
      <c r="H736" s="1198"/>
      <c r="I736" s="1198"/>
      <c r="J736" s="1199"/>
      <c r="K736" s="133"/>
      <c r="L736" s="62" t="str">
        <f t="shared" si="61"/>
        <v/>
      </c>
      <c r="M736" s="14"/>
      <c r="N736" s="89">
        <f t="array" ref="N736">SUM(IF((CsDJ[JEV Number]=TRIM($T721))*(CsDJ[Account Code]=TRIM(K736)),CsDJ[Debit]))</f>
        <v>0</v>
      </c>
      <c r="O736" s="89">
        <f t="array" ref="O736">SUM(IF((CsDJ[JEV Number]=TRIM($T721))*(CsDJ[Account Code]=TRIM(K736)),CsDJ[Credit]))</f>
        <v>0</v>
      </c>
      <c r="P736" s="1200">
        <f t="shared" si="62"/>
        <v>0</v>
      </c>
      <c r="Q736" s="1200"/>
      <c r="R736" s="1200"/>
      <c r="S736" s="1200">
        <f t="shared" si="63"/>
        <v>0</v>
      </c>
      <c r="T736" s="1200"/>
      <c r="U736" s="1200"/>
      <c r="V736" s="1201"/>
    </row>
    <row r="737" spans="1:22">
      <c r="A737" s="1195"/>
      <c r="B737" s="1196"/>
      <c r="C737" s="1196"/>
      <c r="D737" s="1196"/>
      <c r="E737" s="1197" t="str">
        <f t="shared" si="60"/>
        <v/>
      </c>
      <c r="F737" s="1198"/>
      <c r="G737" s="1198"/>
      <c r="H737" s="1198"/>
      <c r="I737" s="1198"/>
      <c r="J737" s="1199"/>
      <c r="K737" s="133"/>
      <c r="L737" s="62" t="str">
        <f t="shared" si="61"/>
        <v/>
      </c>
      <c r="M737" s="14"/>
      <c r="N737" s="89">
        <f t="array" ref="N737">SUM(IF((CsDJ[JEV Number]=TRIM($T721))*(CsDJ[Account Code]=TRIM(K737)),CsDJ[Debit]))</f>
        <v>0</v>
      </c>
      <c r="O737" s="89">
        <f t="array" ref="O737">SUM(IF((CsDJ[JEV Number]=TRIM($T721))*(CsDJ[Account Code]=TRIM(K737)),CsDJ[Credit]))</f>
        <v>0</v>
      </c>
      <c r="P737" s="1200">
        <f t="shared" si="62"/>
        <v>0</v>
      </c>
      <c r="Q737" s="1200"/>
      <c r="R737" s="1200"/>
      <c r="S737" s="1200">
        <f t="shared" si="63"/>
        <v>0</v>
      </c>
      <c r="T737" s="1200"/>
      <c r="U737" s="1200"/>
      <c r="V737" s="1201"/>
    </row>
    <row r="738" spans="1:22">
      <c r="A738" s="1195"/>
      <c r="B738" s="1196"/>
      <c r="C738" s="1196"/>
      <c r="D738" s="1196"/>
      <c r="E738" s="1197" t="str">
        <f t="shared" si="60"/>
        <v/>
      </c>
      <c r="F738" s="1198"/>
      <c r="G738" s="1198"/>
      <c r="H738" s="1198"/>
      <c r="I738" s="1198"/>
      <c r="J738" s="1199"/>
      <c r="K738" s="133"/>
      <c r="L738" s="62" t="str">
        <f t="shared" si="61"/>
        <v/>
      </c>
      <c r="M738" s="14"/>
      <c r="N738" s="89">
        <f t="array" ref="N738">SUM(IF((CsDJ[JEV Number]=TRIM($T721))*(CsDJ[Account Code]=TRIM(K738)),CsDJ[Debit]))</f>
        <v>0</v>
      </c>
      <c r="O738" s="89">
        <f t="array" ref="O738">SUM(IF((CsDJ[JEV Number]=TRIM($T721))*(CsDJ[Account Code]=TRIM(K738)),CsDJ[Credit]))</f>
        <v>0</v>
      </c>
      <c r="P738" s="1200">
        <f t="shared" si="62"/>
        <v>0</v>
      </c>
      <c r="Q738" s="1200"/>
      <c r="R738" s="1200"/>
      <c r="S738" s="1200">
        <f t="shared" si="63"/>
        <v>0</v>
      </c>
      <c r="T738" s="1200"/>
      <c r="U738" s="1200"/>
      <c r="V738" s="1201"/>
    </row>
    <row r="739" spans="1:22">
      <c r="A739" s="1195"/>
      <c r="B739" s="1196"/>
      <c r="C739" s="1196"/>
      <c r="D739" s="1196"/>
      <c r="E739" s="1197" t="str">
        <f t="shared" si="60"/>
        <v/>
      </c>
      <c r="F739" s="1198"/>
      <c r="G739" s="1198"/>
      <c r="H739" s="1198"/>
      <c r="I739" s="1198"/>
      <c r="J739" s="1199"/>
      <c r="K739" s="133"/>
      <c r="L739" s="62" t="str">
        <f t="shared" si="61"/>
        <v/>
      </c>
      <c r="M739" s="14"/>
      <c r="N739" s="89">
        <f t="array" ref="N739">SUM(IF((CsDJ[JEV Number]=TRIM($T721))*(CsDJ[Account Code]=TRIM(K739)),CsDJ[Debit]))</f>
        <v>0</v>
      </c>
      <c r="O739" s="89">
        <f t="array" ref="O739">SUM(IF((CsDJ[JEV Number]=TRIM($T721))*(CsDJ[Account Code]=TRIM(K739)),CsDJ[Credit]))</f>
        <v>0</v>
      </c>
      <c r="P739" s="1200">
        <f t="shared" si="62"/>
        <v>0</v>
      </c>
      <c r="Q739" s="1200"/>
      <c r="R739" s="1200"/>
      <c r="S739" s="1200">
        <f t="shared" si="63"/>
        <v>0</v>
      </c>
      <c r="T739" s="1200"/>
      <c r="U739" s="1200"/>
      <c r="V739" s="1201"/>
    </row>
    <row r="740" spans="1:22">
      <c r="A740" s="1195"/>
      <c r="B740" s="1196"/>
      <c r="C740" s="1196"/>
      <c r="D740" s="1196"/>
      <c r="E740" s="1197" t="str">
        <f t="shared" si="60"/>
        <v/>
      </c>
      <c r="F740" s="1198"/>
      <c r="G740" s="1198"/>
      <c r="H740" s="1198"/>
      <c r="I740" s="1198"/>
      <c r="J740" s="1199"/>
      <c r="K740" s="134"/>
      <c r="L740" s="62" t="str">
        <f t="shared" si="61"/>
        <v/>
      </c>
      <c r="M740" s="14"/>
      <c r="N740" s="89">
        <f t="array" ref="N740">SUM(IF((CsDJ[JEV Number]=TRIM($T721))*(CsDJ[Account Code]=TRIM(K740)),CsDJ[Debit]))</f>
        <v>0</v>
      </c>
      <c r="O740" s="89">
        <f t="array" ref="O740">SUM(IF((CsDJ[JEV Number]=TRIM($T721))*(CsDJ[Account Code]=TRIM(K740)),CsDJ[Credit]))</f>
        <v>0</v>
      </c>
      <c r="P740" s="1200">
        <f t="shared" si="62"/>
        <v>0</v>
      </c>
      <c r="Q740" s="1200"/>
      <c r="R740" s="1200"/>
      <c r="S740" s="1200">
        <f t="shared" si="63"/>
        <v>0</v>
      </c>
      <c r="T740" s="1200"/>
      <c r="U740" s="1200"/>
      <c r="V740" s="1201"/>
    </row>
    <row r="741" spans="1:22">
      <c r="A741" s="1195"/>
      <c r="B741" s="1196"/>
      <c r="C741" s="1196"/>
      <c r="D741" s="1196"/>
      <c r="E741" s="1197" t="str">
        <f t="shared" si="60"/>
        <v/>
      </c>
      <c r="F741" s="1198"/>
      <c r="G741" s="1198"/>
      <c r="H741" s="1198"/>
      <c r="I741" s="1198"/>
      <c r="J741" s="1199"/>
      <c r="K741" s="134"/>
      <c r="L741" s="62" t="str">
        <f t="shared" si="61"/>
        <v/>
      </c>
      <c r="M741" s="14"/>
      <c r="N741" s="89">
        <f t="array" ref="N741">SUM(IF((CsDJ[JEV Number]=TRIM($T721))*(CsDJ[Account Code]=TRIM(K741)),CsDJ[Debit]))</f>
        <v>0</v>
      </c>
      <c r="O741" s="89">
        <f t="array" ref="O741">SUM(IF((CsDJ[JEV Number]=TRIM($T721))*(CsDJ[Account Code]=TRIM(K741)),CsDJ[Credit]))</f>
        <v>0</v>
      </c>
      <c r="P741" s="1200">
        <f t="shared" si="62"/>
        <v>0</v>
      </c>
      <c r="Q741" s="1200"/>
      <c r="R741" s="1200"/>
      <c r="S741" s="1200">
        <f t="shared" si="63"/>
        <v>0</v>
      </c>
      <c r="T741" s="1200"/>
      <c r="U741" s="1200"/>
      <c r="V741" s="1201"/>
    </row>
    <row r="742" spans="1:22">
      <c r="A742" s="1195"/>
      <c r="B742" s="1196"/>
      <c r="C742" s="1196"/>
      <c r="D742" s="1196"/>
      <c r="E742" s="1197" t="str">
        <f t="shared" si="60"/>
        <v/>
      </c>
      <c r="F742" s="1198"/>
      <c r="G742" s="1198"/>
      <c r="H742" s="1198"/>
      <c r="I742" s="1198"/>
      <c r="J742" s="1199"/>
      <c r="K742" s="134"/>
      <c r="L742" s="62" t="str">
        <f t="shared" si="61"/>
        <v/>
      </c>
      <c r="M742" s="14"/>
      <c r="N742" s="89">
        <f t="array" ref="N742">SUM(IF((CsDJ[JEV Number]=TRIM($T721))*(CsDJ[Account Code]=TRIM(K742)),CsDJ[Debit]))</f>
        <v>0</v>
      </c>
      <c r="O742" s="89">
        <f t="array" ref="O742">SUM(IF((CsDJ[JEV Number]=TRIM($T721))*(CsDJ[Account Code]=TRIM(K742)),CsDJ[Credit]))</f>
        <v>0</v>
      </c>
      <c r="P742" s="1200">
        <f t="shared" si="62"/>
        <v>0</v>
      </c>
      <c r="Q742" s="1200"/>
      <c r="R742" s="1200"/>
      <c r="S742" s="1200">
        <f t="shared" si="63"/>
        <v>0</v>
      </c>
      <c r="T742" s="1200"/>
      <c r="U742" s="1200"/>
      <c r="V742" s="1201"/>
    </row>
    <row r="743" spans="1:22">
      <c r="A743" s="1195"/>
      <c r="B743" s="1196"/>
      <c r="C743" s="1196"/>
      <c r="D743" s="1196"/>
      <c r="E743" s="1197" t="str">
        <f t="shared" si="60"/>
        <v/>
      </c>
      <c r="F743" s="1198"/>
      <c r="G743" s="1198"/>
      <c r="H743" s="1198"/>
      <c r="I743" s="1198"/>
      <c r="J743" s="1199"/>
      <c r="K743" s="134"/>
      <c r="L743" s="62" t="str">
        <f t="shared" si="61"/>
        <v/>
      </c>
      <c r="M743" s="14"/>
      <c r="N743" s="89">
        <f t="array" ref="N743">SUM(IF((CsDJ[JEV Number]=TRIM($T721))*(CsDJ[Account Code]=TRIM(K743)),CsDJ[Debit]))</f>
        <v>0</v>
      </c>
      <c r="O743" s="89">
        <f t="array" ref="O743">SUM(IF((CsDJ[JEV Number]=TRIM($T721))*(CsDJ[Account Code]=TRIM(K743)),CsDJ[Credit]))</f>
        <v>0</v>
      </c>
      <c r="P743" s="1200">
        <f t="shared" si="62"/>
        <v>0</v>
      </c>
      <c r="Q743" s="1200"/>
      <c r="R743" s="1200"/>
      <c r="S743" s="1200">
        <f t="shared" si="63"/>
        <v>0</v>
      </c>
      <c r="T743" s="1200"/>
      <c r="U743" s="1200"/>
      <c r="V743" s="1201"/>
    </row>
    <row r="744" spans="1:22">
      <c r="A744" s="1195"/>
      <c r="B744" s="1196"/>
      <c r="C744" s="1196"/>
      <c r="D744" s="1196"/>
      <c r="E744" s="1197" t="str">
        <f t="shared" si="60"/>
        <v/>
      </c>
      <c r="F744" s="1198"/>
      <c r="G744" s="1198"/>
      <c r="H744" s="1198"/>
      <c r="I744" s="1198"/>
      <c r="J744" s="1199"/>
      <c r="K744" s="134"/>
      <c r="L744" s="62" t="str">
        <f t="shared" si="61"/>
        <v/>
      </c>
      <c r="M744" s="14"/>
      <c r="N744" s="89">
        <f t="array" ref="N744">SUM(IF((CsDJ[JEV Number]=TRIM($T721))*(CsDJ[Account Code]=TRIM(K744)),CsDJ[Debit]))</f>
        <v>0</v>
      </c>
      <c r="O744" s="89">
        <f t="array" ref="O744">SUM(IF((CsDJ[JEV Number]=TRIM($T721))*(CsDJ[Account Code]=TRIM(K744)),CsDJ[Credit]))</f>
        <v>0</v>
      </c>
      <c r="P744" s="1200">
        <f t="shared" si="62"/>
        <v>0</v>
      </c>
      <c r="Q744" s="1200"/>
      <c r="R744" s="1200"/>
      <c r="S744" s="1200">
        <f t="shared" si="63"/>
        <v>0</v>
      </c>
      <c r="T744" s="1200"/>
      <c r="U744" s="1200"/>
      <c r="V744" s="1201"/>
    </row>
    <row r="745" spans="1:22">
      <c r="A745" s="1195"/>
      <c r="B745" s="1196"/>
      <c r="C745" s="1196"/>
      <c r="D745" s="1196"/>
      <c r="E745" s="1197" t="str">
        <f t="shared" si="60"/>
        <v/>
      </c>
      <c r="F745" s="1198"/>
      <c r="G745" s="1198"/>
      <c r="H745" s="1198"/>
      <c r="I745" s="1198"/>
      <c r="J745" s="1199"/>
      <c r="K745" s="134"/>
      <c r="L745" s="62" t="str">
        <f t="shared" si="61"/>
        <v/>
      </c>
      <c r="M745" s="14"/>
      <c r="N745" s="89">
        <f t="array" ref="N745">SUM(IF((CsDJ[JEV Number]=TRIM($T721))*(CsDJ[Account Code]=TRIM(K745)),CsDJ[Debit]))</f>
        <v>0</v>
      </c>
      <c r="O745" s="89">
        <f t="array" ref="O745">SUM(IF((CsDJ[JEV Number]=TRIM($T721))*(CsDJ[Account Code]=TRIM(K745)),CsDJ[Credit]))</f>
        <v>0</v>
      </c>
      <c r="P745" s="1200">
        <f t="shared" si="62"/>
        <v>0</v>
      </c>
      <c r="Q745" s="1200"/>
      <c r="R745" s="1200"/>
      <c r="S745" s="1200">
        <f t="shared" si="63"/>
        <v>0</v>
      </c>
      <c r="T745" s="1200"/>
      <c r="U745" s="1200"/>
      <c r="V745" s="1201"/>
    </row>
    <row r="746" spans="1:22">
      <c r="A746" s="1195"/>
      <c r="B746" s="1196"/>
      <c r="C746" s="1196"/>
      <c r="D746" s="1196"/>
      <c r="E746" s="1197" t="str">
        <f t="shared" si="60"/>
        <v/>
      </c>
      <c r="F746" s="1198"/>
      <c r="G746" s="1198"/>
      <c r="H746" s="1198"/>
      <c r="I746" s="1198"/>
      <c r="J746" s="1199"/>
      <c r="K746" s="134"/>
      <c r="L746" s="62" t="str">
        <f t="shared" si="61"/>
        <v/>
      </c>
      <c r="M746" s="14"/>
      <c r="N746" s="89">
        <f t="array" ref="N746">SUM(IF((CsDJ[JEV Number]=TRIM($T721))*(CsDJ[Account Code]=TRIM(K746)),CsDJ[Debit]))</f>
        <v>0</v>
      </c>
      <c r="O746" s="89">
        <f t="array" ref="O746">SUM(IF((CsDJ[JEV Number]=TRIM($T721))*(CsDJ[Account Code]=TRIM(K746)),CsDJ[Credit]))</f>
        <v>0</v>
      </c>
      <c r="P746" s="1200">
        <f t="shared" si="62"/>
        <v>0</v>
      </c>
      <c r="Q746" s="1200"/>
      <c r="R746" s="1200"/>
      <c r="S746" s="1200">
        <f t="shared" si="63"/>
        <v>0</v>
      </c>
      <c r="T746" s="1200"/>
      <c r="U746" s="1200"/>
      <c r="V746" s="1201"/>
    </row>
    <row r="747" spans="1:22">
      <c r="A747" s="1195"/>
      <c r="B747" s="1196"/>
      <c r="C747" s="1196"/>
      <c r="D747" s="1196"/>
      <c r="E747" s="1197" t="str">
        <f t="shared" si="60"/>
        <v/>
      </c>
      <c r="F747" s="1198"/>
      <c r="G747" s="1198"/>
      <c r="H747" s="1198"/>
      <c r="I747" s="1198"/>
      <c r="J747" s="1199"/>
      <c r="K747" s="134"/>
      <c r="L747" s="62" t="str">
        <f t="shared" si="61"/>
        <v/>
      </c>
      <c r="M747" s="14"/>
      <c r="N747" s="89">
        <f t="array" ref="N747">SUM(IF((CsDJ[JEV Number]=TRIM($T721))*(CsDJ[Account Code]=TRIM(K747)),CsDJ[Debit]))</f>
        <v>0</v>
      </c>
      <c r="O747" s="89">
        <f t="array" ref="O747">SUM(IF((CsDJ[JEV Number]=TRIM($T721))*(CsDJ[Account Code]=TRIM(K747)),CsDJ[Credit]))</f>
        <v>0</v>
      </c>
      <c r="P747" s="1200">
        <f t="shared" si="62"/>
        <v>0</v>
      </c>
      <c r="Q747" s="1200"/>
      <c r="R747" s="1200"/>
      <c r="S747" s="1200">
        <f t="shared" si="63"/>
        <v>0</v>
      </c>
      <c r="T747" s="1200"/>
      <c r="U747" s="1200"/>
      <c r="V747" s="1201"/>
    </row>
    <row r="748" spans="1:22">
      <c r="A748" s="1195"/>
      <c r="B748" s="1196"/>
      <c r="C748" s="1196"/>
      <c r="D748" s="1196"/>
      <c r="E748" s="1197" t="str">
        <f t="shared" si="60"/>
        <v/>
      </c>
      <c r="F748" s="1198"/>
      <c r="G748" s="1198"/>
      <c r="H748" s="1198"/>
      <c r="I748" s="1198"/>
      <c r="J748" s="1199"/>
      <c r="K748" s="134"/>
      <c r="L748" s="62" t="str">
        <f t="shared" si="61"/>
        <v/>
      </c>
      <c r="M748" s="14"/>
      <c r="N748" s="89">
        <f t="array" ref="N748">SUM(IF((CsDJ[JEV Number]=TRIM($T721))*(CsDJ[Account Code]=TRIM(K748)),CsDJ[Debit]))</f>
        <v>0</v>
      </c>
      <c r="O748" s="89">
        <f t="array" ref="O748">SUM(IF((CsDJ[JEV Number]=TRIM($T721))*(CsDJ[Account Code]=TRIM(K748)),CsDJ[Credit]))</f>
        <v>0</v>
      </c>
      <c r="P748" s="1200">
        <f t="shared" si="62"/>
        <v>0</v>
      </c>
      <c r="Q748" s="1200"/>
      <c r="R748" s="1200"/>
      <c r="S748" s="1200">
        <f t="shared" si="63"/>
        <v>0</v>
      </c>
      <c r="T748" s="1200"/>
      <c r="U748" s="1200"/>
      <c r="V748" s="1201"/>
    </row>
    <row r="749" spans="1:22">
      <c r="A749" s="1195"/>
      <c r="B749" s="1196"/>
      <c r="C749" s="1196"/>
      <c r="D749" s="1196"/>
      <c r="E749" s="1197" t="str">
        <f t="shared" si="60"/>
        <v/>
      </c>
      <c r="F749" s="1198"/>
      <c r="G749" s="1198"/>
      <c r="H749" s="1198"/>
      <c r="I749" s="1198"/>
      <c r="J749" s="1199"/>
      <c r="K749" s="134"/>
      <c r="L749" s="62" t="str">
        <f t="shared" si="61"/>
        <v/>
      </c>
      <c r="M749" s="14"/>
      <c r="N749" s="89">
        <f t="array" ref="N749">SUM(IF((CsDJ[JEV Number]=TRIM($T721))*(CsDJ[Account Code]=TRIM(K749)),CsDJ[Debit]))</f>
        <v>0</v>
      </c>
      <c r="O749" s="89">
        <f t="array" ref="O749">SUM(IF((CsDJ[JEV Number]=TRIM($T721))*(CsDJ[Account Code]=TRIM(K749)),CsDJ[Credit]))</f>
        <v>0</v>
      </c>
      <c r="P749" s="1200">
        <f t="shared" si="62"/>
        <v>0</v>
      </c>
      <c r="Q749" s="1200"/>
      <c r="R749" s="1200"/>
      <c r="S749" s="1200">
        <f t="shared" si="63"/>
        <v>0</v>
      </c>
      <c r="T749" s="1200"/>
      <c r="U749" s="1200"/>
      <c r="V749" s="1201"/>
    </row>
    <row r="750" spans="1:22">
      <c r="A750" s="1195"/>
      <c r="B750" s="1196"/>
      <c r="C750" s="1196"/>
      <c r="D750" s="1196"/>
      <c r="E750" s="1197" t="str">
        <f t="shared" si="60"/>
        <v/>
      </c>
      <c r="F750" s="1198"/>
      <c r="G750" s="1198"/>
      <c r="H750" s="1198"/>
      <c r="I750" s="1198"/>
      <c r="J750" s="1199"/>
      <c r="K750" s="134"/>
      <c r="L750" s="62" t="str">
        <f t="shared" si="61"/>
        <v/>
      </c>
      <c r="M750" s="14"/>
      <c r="N750" s="89">
        <f t="array" ref="N750">SUM(IF((CsDJ[JEV Number]=TRIM($T721))*(CsDJ[Account Code]=TRIM(K750)),CsDJ[Debit]))</f>
        <v>0</v>
      </c>
      <c r="O750" s="89">
        <f t="array" ref="O750">SUM(IF((CsDJ[JEV Number]=TRIM($T721))*(CsDJ[Account Code]=TRIM(K750)),CsDJ[Credit]))</f>
        <v>0</v>
      </c>
      <c r="P750" s="1200">
        <f t="shared" si="62"/>
        <v>0</v>
      </c>
      <c r="Q750" s="1200"/>
      <c r="R750" s="1200"/>
      <c r="S750" s="1200">
        <f t="shared" si="63"/>
        <v>0</v>
      </c>
      <c r="T750" s="1200"/>
      <c r="U750" s="1200"/>
      <c r="V750" s="1201"/>
    </row>
    <row r="751" spans="1:22">
      <c r="A751" s="1195"/>
      <c r="B751" s="1196"/>
      <c r="C751" s="1196"/>
      <c r="D751" s="1196"/>
      <c r="E751" s="1197" t="str">
        <f t="shared" si="60"/>
        <v/>
      </c>
      <c r="F751" s="1198"/>
      <c r="G751" s="1198"/>
      <c r="H751" s="1198"/>
      <c r="I751" s="1198"/>
      <c r="J751" s="1199"/>
      <c r="K751" s="134"/>
      <c r="L751" s="62" t="str">
        <f t="shared" si="61"/>
        <v/>
      </c>
      <c r="M751" s="14"/>
      <c r="N751" s="89">
        <f t="array" ref="N751">SUM(IF((CsDJ[JEV Number]=TRIM($T721))*(CsDJ[Account Code]=TRIM(K751)),CsDJ[Debit]))</f>
        <v>0</v>
      </c>
      <c r="O751" s="89">
        <f t="array" ref="O751">SUM(IF((CsDJ[JEV Number]=TRIM($T721))*(CsDJ[Account Code]=TRIM(K751)),CsDJ[Credit]))</f>
        <v>0</v>
      </c>
      <c r="P751" s="1200">
        <f t="shared" si="62"/>
        <v>0</v>
      </c>
      <c r="Q751" s="1200"/>
      <c r="R751" s="1200"/>
      <c r="S751" s="1200">
        <f t="shared" si="63"/>
        <v>0</v>
      </c>
      <c r="T751" s="1200"/>
      <c r="U751" s="1200"/>
      <c r="V751" s="1201"/>
    </row>
    <row r="752" spans="1:22">
      <c r="A752" s="1195"/>
      <c r="B752" s="1196"/>
      <c r="C752" s="1196"/>
      <c r="D752" s="1196"/>
      <c r="E752" s="1197" t="str">
        <f t="shared" si="60"/>
        <v/>
      </c>
      <c r="F752" s="1198"/>
      <c r="G752" s="1198"/>
      <c r="H752" s="1198"/>
      <c r="I752" s="1198"/>
      <c r="J752" s="1199"/>
      <c r="K752" s="134"/>
      <c r="L752" s="62" t="str">
        <f t="shared" si="61"/>
        <v/>
      </c>
      <c r="M752" s="14"/>
      <c r="N752" s="89">
        <f t="array" ref="N752">SUM(IF((CsDJ[JEV Number]=TRIM($T721))*(CsDJ[Account Code]=TRIM(K752)),CsDJ[Debit]))</f>
        <v>0</v>
      </c>
      <c r="O752" s="89">
        <f t="array" ref="O752">SUM(IF((CsDJ[JEV Number]=TRIM($T721))*(CsDJ[Account Code]=TRIM(K752)),CsDJ[Credit]))</f>
        <v>0</v>
      </c>
      <c r="P752" s="1200">
        <f t="shared" si="62"/>
        <v>0</v>
      </c>
      <c r="Q752" s="1200"/>
      <c r="R752" s="1200"/>
      <c r="S752" s="1200">
        <f t="shared" si="63"/>
        <v>0</v>
      </c>
      <c r="T752" s="1200"/>
      <c r="U752" s="1200"/>
      <c r="V752" s="1201"/>
    </row>
    <row r="753" spans="1:22">
      <c r="A753" s="1195"/>
      <c r="B753" s="1196"/>
      <c r="C753" s="1196"/>
      <c r="D753" s="1196"/>
      <c r="E753" s="1197" t="str">
        <f t="shared" si="60"/>
        <v/>
      </c>
      <c r="F753" s="1198"/>
      <c r="G753" s="1198"/>
      <c r="H753" s="1198"/>
      <c r="I753" s="1198"/>
      <c r="J753" s="1199"/>
      <c r="K753" s="134"/>
      <c r="L753" s="62" t="str">
        <f t="shared" si="61"/>
        <v/>
      </c>
      <c r="M753" s="14"/>
      <c r="N753" s="89">
        <f t="array" ref="N753">SUM(IF((CsDJ[JEV Number]=TRIM($T721))*(CsDJ[Account Code]=TRIM(K753)),CsDJ[Debit]))</f>
        <v>0</v>
      </c>
      <c r="O753" s="89">
        <f t="array" ref="O753">SUM(IF((CsDJ[JEV Number]=TRIM($T721))*(CsDJ[Account Code]=TRIM(K753)),CsDJ[Credit]))</f>
        <v>0</v>
      </c>
      <c r="P753" s="1200">
        <f t="shared" si="62"/>
        <v>0</v>
      </c>
      <c r="Q753" s="1200"/>
      <c r="R753" s="1200"/>
      <c r="S753" s="1200">
        <f t="shared" si="63"/>
        <v>0</v>
      </c>
      <c r="T753" s="1200"/>
      <c r="U753" s="1200"/>
      <c r="V753" s="1201"/>
    </row>
    <row r="754" spans="1:22">
      <c r="A754" s="1195"/>
      <c r="B754" s="1196"/>
      <c r="C754" s="1196"/>
      <c r="D754" s="1196"/>
      <c r="E754" s="1197" t="str">
        <f t="shared" si="60"/>
        <v/>
      </c>
      <c r="F754" s="1198"/>
      <c r="G754" s="1198"/>
      <c r="H754" s="1198"/>
      <c r="I754" s="1198"/>
      <c r="J754" s="1199"/>
      <c r="K754" s="134"/>
      <c r="L754" s="62" t="str">
        <f t="shared" si="61"/>
        <v/>
      </c>
      <c r="M754" s="14"/>
      <c r="N754" s="89">
        <f t="array" ref="N754">SUM(IF((CsDJ[JEV Number]=TRIM($T721))*(CsDJ[Account Code]=TRIM(K754)),CsDJ[Debit]))</f>
        <v>0</v>
      </c>
      <c r="O754" s="89">
        <f t="array" ref="O754">SUM(IF((CsDJ[JEV Number]=TRIM($T721))*(CsDJ[Account Code]=TRIM(K754)),CsDJ[Credit]))</f>
        <v>0</v>
      </c>
      <c r="P754" s="1200">
        <f t="shared" si="62"/>
        <v>0</v>
      </c>
      <c r="Q754" s="1200"/>
      <c r="R754" s="1200"/>
      <c r="S754" s="1200">
        <f t="shared" si="63"/>
        <v>0</v>
      </c>
      <c r="T754" s="1200"/>
      <c r="U754" s="1200"/>
      <c r="V754" s="1201"/>
    </row>
    <row r="755" spans="1:22">
      <c r="A755" s="1195"/>
      <c r="B755" s="1196"/>
      <c r="C755" s="1196"/>
      <c r="D755" s="1196"/>
      <c r="E755" s="1257" t="s">
        <v>468</v>
      </c>
      <c r="F755" s="1258"/>
      <c r="G755" s="1258"/>
      <c r="H755" s="1258"/>
      <c r="I755" s="1258"/>
      <c r="J755" s="1259"/>
      <c r="K755" s="133"/>
      <c r="L755" s="62" t="str">
        <f t="shared" si="61"/>
        <v/>
      </c>
      <c r="M755" s="14"/>
      <c r="N755" s="89">
        <f t="array" ref="N755">SUM(IF((CsDJ[JEV Number]=TRIM($T721))*(CsDJ[Account Code]=TRIM(K755)),CsDJ[Debit]))</f>
        <v>0</v>
      </c>
      <c r="O755" s="89">
        <f t="array" ref="O755">SUM(IF((CsDJ[JEV Number]=TRIM($T721))*(CsDJ[Account Code]=TRIM(K755)),CsDJ[Credit]))</f>
        <v>0</v>
      </c>
      <c r="P755" s="1200">
        <f t="shared" si="62"/>
        <v>0</v>
      </c>
      <c r="Q755" s="1200"/>
      <c r="R755" s="1200"/>
      <c r="S755" s="1200">
        <f t="shared" si="63"/>
        <v>0</v>
      </c>
      <c r="T755" s="1200"/>
      <c r="U755" s="1200"/>
      <c r="V755" s="1201"/>
    </row>
    <row r="756" spans="1:22">
      <c r="A756" s="1195"/>
      <c r="B756" s="1196"/>
      <c r="C756" s="1196"/>
      <c r="D756" s="1196"/>
      <c r="E756" s="1202" t="s">
        <v>457</v>
      </c>
      <c r="F756" s="1203"/>
      <c r="G756" s="1203"/>
      <c r="H756" s="1203"/>
      <c r="I756" s="1207">
        <f>T722</f>
        <v>0</v>
      </c>
      <c r="J756" s="1208"/>
      <c r="K756" s="133"/>
      <c r="L756" s="62" t="str">
        <f t="shared" si="61"/>
        <v/>
      </c>
      <c r="M756" s="14"/>
      <c r="N756" s="89">
        <f t="array" ref="N756">SUM(IF((CsDJ[JEV Number]=TRIM($T721))*(CsDJ[Account Code]=TRIM(K756)),CsDJ[Debit]))</f>
        <v>0</v>
      </c>
      <c r="O756" s="89">
        <f t="array" ref="O756">SUM(IF((CsDJ[JEV Number]=TRIM($T721))*(CsDJ[Account Code]=TRIM(K756)),CsDJ[Credit]))</f>
        <v>0</v>
      </c>
      <c r="P756" s="1200">
        <f t="shared" si="62"/>
        <v>0</v>
      </c>
      <c r="Q756" s="1200"/>
      <c r="R756" s="1200"/>
      <c r="S756" s="1200">
        <f t="shared" si="63"/>
        <v>0</v>
      </c>
      <c r="T756" s="1200"/>
      <c r="U756" s="1200"/>
      <c r="V756" s="1201"/>
    </row>
    <row r="757" spans="1:22">
      <c r="A757" s="1195"/>
      <c r="B757" s="1196"/>
      <c r="C757" s="1196"/>
      <c r="D757" s="1196"/>
      <c r="E757" s="1202" t="s">
        <v>458</v>
      </c>
      <c r="F757" s="1203"/>
      <c r="G757" s="1203"/>
      <c r="H757" s="1203"/>
      <c r="I757" s="1263">
        <f>IF(T721=0,0,(IF(LOOKUP(T721,CsDJ[JEV Number],CsDJ[Sort Code])="1","MA. VIVIAN C. SALAS",IF(LOOKUP(T721,CsDJ[JEV Number],CsDJ[Sort Code])="2","LUZ R. DE COZAR",IF(LOOKUP(T721,CsDJ[JEV Number],CsDJ[Sort Code])="3","MINEONETTE A. DELA CRUZ",IF(LOOKUP(T721,CsDJ[JEV Number],CsDJ[Sort Code])="4","RESELLA B. LOPEZ"))))))</f>
        <v>0</v>
      </c>
      <c r="J757" s="1264"/>
      <c r="K757" s="133"/>
      <c r="L757" s="62" t="str">
        <f t="shared" si="61"/>
        <v/>
      </c>
      <c r="M757" s="14"/>
      <c r="N757" s="89">
        <f t="array" ref="N757">SUM(IF((CsDJ[JEV Number]=TRIM($T721))*(CsDJ[Account Code]=TRIM(K757)),CsDJ[Debit]))</f>
        <v>0</v>
      </c>
      <c r="O757" s="89">
        <f t="array" ref="O757">SUM(IF((CsDJ[JEV Number]=TRIM($T721))*(CsDJ[Account Code]=TRIM(K757)),CsDJ[Credit]))</f>
        <v>0</v>
      </c>
      <c r="P757" s="1200">
        <f t="shared" si="62"/>
        <v>0</v>
      </c>
      <c r="Q757" s="1200"/>
      <c r="R757" s="1200"/>
      <c r="S757" s="1200">
        <f t="shared" si="63"/>
        <v>0</v>
      </c>
      <c r="T757" s="1200"/>
      <c r="U757" s="1200"/>
      <c r="V757" s="1201"/>
    </row>
    <row r="758" spans="1:22">
      <c r="A758" s="1195"/>
      <c r="B758" s="1196"/>
      <c r="C758" s="1196"/>
      <c r="D758" s="1196"/>
      <c r="E758" s="1202" t="s">
        <v>459</v>
      </c>
      <c r="F758" s="1203"/>
      <c r="G758" s="1203"/>
      <c r="H758" s="1203"/>
      <c r="I758" s="1204">
        <f>IF(I757="Ma. Vivian C. Salas","Regional Office", IF(I757="Luz R. De Cozar","BANE IMO", IF(I757="Mineonette A. Dela Cruz","PAMBAT IMO", IF(I757="Resella B. Lopez","TARZAM IMO",0))))</f>
        <v>0</v>
      </c>
      <c r="J758" s="1205"/>
      <c r="K758" s="133"/>
      <c r="L758" s="62" t="str">
        <f t="shared" si="61"/>
        <v/>
      </c>
      <c r="M758" s="14"/>
      <c r="N758" s="89">
        <f t="array" ref="N758">SUM(IF((CsDJ[JEV Number]=TRIM($T721))*(CsDJ[Account Code]=TRIM(K758)),CsDJ[Debit]))</f>
        <v>0</v>
      </c>
      <c r="O758" s="89">
        <f t="array" ref="O758">SUM(IF((CsDJ[JEV Number]=TRIM($T721))*(CsDJ[Account Code]=TRIM(K758)),CsDJ[Credit]))</f>
        <v>0</v>
      </c>
      <c r="P758" s="1200">
        <f t="shared" si="62"/>
        <v>0</v>
      </c>
      <c r="Q758" s="1200"/>
      <c r="R758" s="1200"/>
      <c r="S758" s="1200">
        <f t="shared" si="63"/>
        <v>0</v>
      </c>
      <c r="T758" s="1200"/>
      <c r="U758" s="1200"/>
      <c r="V758" s="1201"/>
    </row>
    <row r="759" spans="1:22">
      <c r="A759" s="1195"/>
      <c r="B759" s="1196"/>
      <c r="C759" s="1196"/>
      <c r="D759" s="1196"/>
      <c r="E759" s="1202"/>
      <c r="F759" s="1203"/>
      <c r="G759" s="1203"/>
      <c r="H759" s="1203"/>
      <c r="I759" s="1203"/>
      <c r="J759" s="1206"/>
      <c r="K759" s="133"/>
      <c r="L759" s="62" t="str">
        <f t="shared" si="61"/>
        <v/>
      </c>
      <c r="M759" s="14"/>
      <c r="N759" s="89">
        <f t="array" ref="N759">SUM(IF((CsDJ[JEV Number]=TRIM($T721))*(CsDJ[Account Code]=TRIM(K759)),CsDJ[Debit]))</f>
        <v>0</v>
      </c>
      <c r="O759" s="89">
        <f t="array" ref="O759">SUM(IF((CsDJ[JEV Number]=TRIM($T721))*(CsDJ[Account Code]=TRIM(K759)),CsDJ[Credit]))</f>
        <v>0</v>
      </c>
      <c r="P759" s="1200">
        <f t="shared" si="62"/>
        <v>0</v>
      </c>
      <c r="Q759" s="1200"/>
      <c r="R759" s="1200"/>
      <c r="S759" s="1200">
        <f t="shared" si="63"/>
        <v>0</v>
      </c>
      <c r="T759" s="1200"/>
      <c r="U759" s="1200"/>
      <c r="V759" s="1201"/>
    </row>
    <row r="760" spans="1:22" ht="16.5" thickBot="1">
      <c r="A760" s="1188"/>
      <c r="B760" s="1189"/>
      <c r="C760" s="1189"/>
      <c r="D760" s="1189"/>
      <c r="E760" s="1189"/>
      <c r="F760" s="1189"/>
      <c r="G760" s="1189"/>
      <c r="H760" s="1189"/>
      <c r="I760" s="1189"/>
      <c r="J760" s="1189"/>
      <c r="K760" s="1189"/>
      <c r="L760" s="1189"/>
      <c r="M760" s="1190"/>
      <c r="N760" s="88"/>
      <c r="O760" s="88"/>
      <c r="P760" s="1191">
        <f>SUM(P730:R759)</f>
        <v>0</v>
      </c>
      <c r="Q760" s="1191"/>
      <c r="R760" s="1191"/>
      <c r="S760" s="1191">
        <f>SUM(S730:V759)</f>
        <v>0</v>
      </c>
      <c r="T760" s="1191"/>
      <c r="U760" s="1191"/>
      <c r="V760" s="1192"/>
    </row>
    <row r="761" spans="1:22">
      <c r="A761" s="63"/>
      <c r="B761" s="64"/>
      <c r="C761" s="64"/>
      <c r="D761" s="64"/>
      <c r="E761" s="64"/>
      <c r="F761" s="64"/>
      <c r="G761" s="64"/>
      <c r="H761" s="64"/>
      <c r="I761" s="65"/>
      <c r="J761" s="64"/>
      <c r="K761" s="66"/>
      <c r="L761" s="64"/>
      <c r="M761" s="65"/>
      <c r="N761" s="64"/>
      <c r="O761" s="64"/>
      <c r="P761" s="1193"/>
      <c r="Q761" s="1193"/>
      <c r="R761" s="1193"/>
      <c r="S761" s="1193"/>
      <c r="T761" s="1193"/>
      <c r="U761" s="1193"/>
      <c r="V761" s="1194"/>
    </row>
    <row r="762" spans="1:22">
      <c r="A762" s="67" t="s">
        <v>460</v>
      </c>
      <c r="B762"/>
      <c r="C762"/>
      <c r="D762"/>
      <c r="E762"/>
      <c r="F762"/>
      <c r="G762"/>
      <c r="H762"/>
      <c r="I762" s="68" t="s">
        <v>353</v>
      </c>
      <c r="J762" s="69"/>
      <c r="K762" s="69"/>
      <c r="L762"/>
      <c r="M762" s="68" t="s">
        <v>461</v>
      </c>
      <c r="N762" s="69"/>
      <c r="O762" s="69"/>
      <c r="P762" s="70"/>
      <c r="Q762" s="70"/>
      <c r="R762" s="70"/>
      <c r="S762" s="70"/>
      <c r="T762" s="70"/>
      <c r="U762" s="70"/>
      <c r="V762" s="71"/>
    </row>
    <row r="763" spans="1:22">
      <c r="A763" s="37"/>
      <c r="B763"/>
      <c r="C763"/>
      <c r="D763"/>
      <c r="E763"/>
      <c r="F763"/>
      <c r="G763"/>
      <c r="H763"/>
      <c r="I763" s="72"/>
      <c r="J763"/>
      <c r="K763"/>
      <c r="L763"/>
      <c r="M763" s="72"/>
      <c r="N763"/>
      <c r="O763"/>
      <c r="P763"/>
      <c r="Q763"/>
      <c r="R763"/>
      <c r="S763"/>
      <c r="T763"/>
      <c r="U763"/>
      <c r="V763" s="73"/>
    </row>
    <row r="764" spans="1:22">
      <c r="A764" s="74" t="s">
        <v>462</v>
      </c>
      <c r="B764" s="75"/>
      <c r="C764" s="75"/>
      <c r="D764" s="75"/>
      <c r="E764" s="75"/>
      <c r="F764" s="75"/>
      <c r="G764" s="75"/>
      <c r="H764" s="76"/>
      <c r="I764" s="77" t="s">
        <v>380</v>
      </c>
      <c r="J764" s="75"/>
      <c r="K764" s="75"/>
      <c r="L764" s="76"/>
      <c r="M764" s="77" t="s">
        <v>3</v>
      </c>
      <c r="N764" s="75"/>
      <c r="O764" s="75"/>
      <c r="P764" s="75"/>
      <c r="Q764" s="75"/>
      <c r="R764" s="75"/>
      <c r="S764" s="75"/>
      <c r="T764" s="75"/>
      <c r="U764" s="75"/>
      <c r="V764" s="78"/>
    </row>
    <row r="765" spans="1:22">
      <c r="A765" s="79" t="s">
        <v>463</v>
      </c>
      <c r="B765" s="80"/>
      <c r="C765" s="80"/>
      <c r="D765" s="80"/>
      <c r="E765" s="80"/>
      <c r="F765" s="80"/>
      <c r="G765" s="80"/>
      <c r="H765" s="80"/>
      <c r="I765" s="81" t="s">
        <v>381</v>
      </c>
      <c r="J765" s="80"/>
      <c r="K765" s="80"/>
      <c r="L765" s="80"/>
      <c r="M765" s="81" t="s">
        <v>464</v>
      </c>
      <c r="N765" s="80"/>
      <c r="O765" s="80"/>
      <c r="P765" s="82"/>
      <c r="Q765" s="82"/>
      <c r="R765" s="82"/>
      <c r="S765" s="82"/>
      <c r="T765" s="82"/>
      <c r="U765" s="82"/>
      <c r="V765" s="83"/>
    </row>
    <row r="766" spans="1:22" ht="16.5" thickBot="1">
      <c r="A766" s="84" t="s">
        <v>465</v>
      </c>
      <c r="B766" s="43"/>
      <c r="C766" s="43"/>
      <c r="D766" s="43"/>
      <c r="E766" s="43"/>
      <c r="F766" s="43"/>
      <c r="G766" s="43"/>
      <c r="H766" s="43"/>
      <c r="I766" s="85"/>
      <c r="J766" s="43"/>
      <c r="K766" s="43"/>
      <c r="L766" s="43"/>
      <c r="M766" s="85"/>
      <c r="N766" s="43"/>
      <c r="O766" s="43"/>
      <c r="P766" s="43"/>
      <c r="Q766" s="43"/>
      <c r="R766" s="43"/>
      <c r="S766" s="43"/>
      <c r="T766" s="43"/>
      <c r="U766" s="43"/>
      <c r="V766" s="44"/>
    </row>
    <row r="767" spans="1:22" ht="22.5">
      <c r="A767" s="31" t="s">
        <v>441</v>
      </c>
      <c r="B767" s="32"/>
      <c r="C767" s="32"/>
      <c r="D767" s="32"/>
      <c r="E767" s="32"/>
      <c r="F767" s="32"/>
      <c r="G767" s="32"/>
      <c r="H767" s="32"/>
      <c r="I767" s="32"/>
      <c r="J767" s="32"/>
      <c r="K767" s="32"/>
      <c r="L767" s="32"/>
      <c r="M767" s="32"/>
      <c r="N767" s="32"/>
      <c r="O767" s="32"/>
      <c r="P767" s="32"/>
      <c r="Q767" s="33"/>
      <c r="R767" s="1218">
        <f>+P807-S807</f>
        <v>0</v>
      </c>
      <c r="S767" s="1219"/>
      <c r="T767" s="1219"/>
      <c r="U767" s="1219"/>
      <c r="V767" s="1220"/>
    </row>
    <row r="768" spans="1:22">
      <c r="A768" s="34" t="s">
        <v>442</v>
      </c>
      <c r="B768" s="35"/>
      <c r="C768" s="35"/>
      <c r="D768" s="35"/>
      <c r="E768" s="35"/>
      <c r="F768" s="35"/>
      <c r="G768" s="35"/>
      <c r="H768" s="35"/>
      <c r="I768" s="35"/>
      <c r="J768" s="35"/>
      <c r="K768" s="35"/>
      <c r="L768" s="35"/>
      <c r="M768" s="35"/>
      <c r="N768" s="35"/>
      <c r="O768" s="35"/>
      <c r="P768" s="35"/>
      <c r="Q768" s="36"/>
      <c r="R768" s="37" t="s">
        <v>443</v>
      </c>
      <c r="S768"/>
      <c r="T768" s="1221"/>
      <c r="U768" s="1221"/>
      <c r="V768" s="1222"/>
    </row>
    <row r="769" spans="1:22">
      <c r="A769" s="38" t="s">
        <v>444</v>
      </c>
      <c r="B769" s="35"/>
      <c r="C769" s="35"/>
      <c r="D769" s="35"/>
      <c r="E769" s="35"/>
      <c r="F769" s="35"/>
      <c r="G769" s="35"/>
      <c r="H769" s="35"/>
      <c r="I769" s="35"/>
      <c r="J769" s="35"/>
      <c r="K769" s="35"/>
      <c r="L769" s="35"/>
      <c r="M769" s="35"/>
      <c r="N769" s="35"/>
      <c r="O769" s="35"/>
      <c r="P769" s="35"/>
      <c r="Q769" s="36"/>
      <c r="R769" s="37" t="s">
        <v>0</v>
      </c>
      <c r="S769"/>
      <c r="T769" s="1223">
        <f>IF(T768=0,0,(LOOKUP(T768,CsDJ[JEV Number],CsDJ[Date])))</f>
        <v>0</v>
      </c>
      <c r="U769" s="1223"/>
      <c r="V769" s="1224"/>
    </row>
    <row r="770" spans="1:22" ht="16.5" thickBot="1">
      <c r="A770" s="39"/>
      <c r="B770" s="40"/>
      <c r="C770" s="40"/>
      <c r="D770" s="40"/>
      <c r="E770" s="40"/>
      <c r="F770" s="40"/>
      <c r="G770" s="40"/>
      <c r="H770" s="40"/>
      <c r="I770" s="40"/>
      <c r="J770" s="40"/>
      <c r="K770" s="40"/>
      <c r="L770" s="40"/>
      <c r="M770" s="40"/>
      <c r="N770" s="40"/>
      <c r="O770" s="40"/>
      <c r="P770" s="40"/>
      <c r="Q770" s="41"/>
      <c r="R770" s="42"/>
      <c r="S770" s="43"/>
      <c r="T770" s="43"/>
      <c r="U770" s="43"/>
      <c r="V770" s="44"/>
    </row>
    <row r="771" spans="1:22">
      <c r="A771" s="45"/>
      <c r="B771" s="46"/>
      <c r="C771" s="46"/>
      <c r="D771" s="46"/>
      <c r="E771" s="46"/>
      <c r="F771" s="46"/>
      <c r="G771" s="46"/>
      <c r="H771" s="46"/>
      <c r="I771" s="46"/>
      <c r="J771" s="46"/>
      <c r="K771" s="46"/>
      <c r="L771" s="47"/>
      <c r="M771" s="46"/>
      <c r="N771" s="46"/>
      <c r="O771" s="46"/>
      <c r="P771" s="46"/>
      <c r="Q771" s="46"/>
      <c r="R771" s="46"/>
      <c r="S771" s="46"/>
      <c r="T771" s="46"/>
      <c r="U771" s="46"/>
      <c r="V771" s="48"/>
    </row>
    <row r="772" spans="1:22">
      <c r="A772" s="49"/>
      <c r="B772" s="1225"/>
      <c r="C772" s="1225"/>
      <c r="D772" s="50" t="s">
        <v>445</v>
      </c>
      <c r="H772" s="51"/>
      <c r="I772" s="25" t="s">
        <v>447</v>
      </c>
      <c r="J772" s="132" t="s">
        <v>446</v>
      </c>
      <c r="K772" s="52" t="s">
        <v>448</v>
      </c>
      <c r="L772" s="52"/>
      <c r="Q772" s="1225"/>
      <c r="R772" s="1225"/>
      <c r="S772" s="50" t="s">
        <v>449</v>
      </c>
      <c r="T772" s="50"/>
      <c r="U772" s="50"/>
      <c r="V772" s="53"/>
    </row>
    <row r="773" spans="1:22" ht="16.5" thickBot="1">
      <c r="A773" s="54"/>
      <c r="B773" s="55"/>
      <c r="C773" s="55"/>
      <c r="D773" s="55"/>
      <c r="E773" s="55"/>
      <c r="F773" s="55"/>
      <c r="G773" s="55"/>
      <c r="H773" s="55"/>
      <c r="I773" s="55"/>
      <c r="J773" s="55"/>
      <c r="K773" s="55"/>
      <c r="L773" s="56"/>
      <c r="M773" s="55"/>
      <c r="N773" s="55"/>
      <c r="O773" s="55"/>
      <c r="P773" s="55"/>
      <c r="Q773" s="55"/>
      <c r="R773" s="55"/>
      <c r="S773" s="55"/>
      <c r="T773" s="55"/>
      <c r="U773" s="55"/>
      <c r="V773" s="57"/>
    </row>
    <row r="774" spans="1:22">
      <c r="A774" s="1226" t="s">
        <v>397</v>
      </c>
      <c r="B774" s="1227"/>
      <c r="C774" s="1227"/>
      <c r="D774" s="1228"/>
      <c r="E774" s="1235" t="s">
        <v>450</v>
      </c>
      <c r="F774" s="1235"/>
      <c r="G774" s="1235"/>
      <c r="H774" s="1235"/>
      <c r="I774" s="1235"/>
      <c r="J774" s="1235"/>
      <c r="K774" s="1235"/>
      <c r="L774" s="1235"/>
      <c r="M774" s="1235"/>
      <c r="N774" s="1235"/>
      <c r="O774" s="1235"/>
      <c r="P774" s="1235"/>
      <c r="Q774" s="1235"/>
      <c r="R774" s="1235"/>
      <c r="S774" s="1235"/>
      <c r="T774" s="1235"/>
      <c r="U774" s="1235"/>
      <c r="V774" s="1236"/>
    </row>
    <row r="775" spans="1:22">
      <c r="A775" s="1229"/>
      <c r="B775" s="1230"/>
      <c r="C775" s="1230"/>
      <c r="D775" s="1231"/>
      <c r="E775" s="1237" t="s">
        <v>451</v>
      </c>
      <c r="F775" s="1237"/>
      <c r="G775" s="1237"/>
      <c r="H775" s="1237"/>
      <c r="I775" s="1237"/>
      <c r="J775" s="1237"/>
      <c r="K775" s="1239" t="s">
        <v>378</v>
      </c>
      <c r="L775" s="1239"/>
      <c r="M775" s="1237" t="s">
        <v>452</v>
      </c>
      <c r="N775" s="1240" t="s">
        <v>453</v>
      </c>
      <c r="O775" s="1241"/>
      <c r="P775" s="1241"/>
      <c r="Q775" s="1241"/>
      <c r="R775" s="1241"/>
      <c r="S775" s="1241"/>
      <c r="T775" s="1241"/>
      <c r="U775" s="1241"/>
      <c r="V775" s="1242"/>
    </row>
    <row r="776" spans="1:22" ht="16.5" customHeight="1" thickBot="1">
      <c r="A776" s="1232"/>
      <c r="B776" s="1233"/>
      <c r="C776" s="1233"/>
      <c r="D776" s="1234"/>
      <c r="E776" s="1238"/>
      <c r="F776" s="1238"/>
      <c r="G776" s="1238"/>
      <c r="H776" s="1238"/>
      <c r="I776" s="1238"/>
      <c r="J776" s="1238"/>
      <c r="K776" s="58" t="s">
        <v>454</v>
      </c>
      <c r="L776" s="58" t="s">
        <v>455</v>
      </c>
      <c r="M776" s="1238"/>
      <c r="N776" s="87" t="s">
        <v>466</v>
      </c>
      <c r="O776" s="87" t="s">
        <v>467</v>
      </c>
      <c r="P776" s="1243" t="s">
        <v>1</v>
      </c>
      <c r="Q776" s="1244"/>
      <c r="R776" s="1245"/>
      <c r="S776" s="1243" t="s">
        <v>2</v>
      </c>
      <c r="T776" s="1244"/>
      <c r="U776" s="1244"/>
      <c r="V776" s="1246"/>
    </row>
    <row r="777" spans="1:22" ht="19.5">
      <c r="A777" s="1210">
        <f>P807-S807</f>
        <v>0</v>
      </c>
      <c r="B777" s="1211"/>
      <c r="C777" s="1211"/>
      <c r="D777" s="1211"/>
      <c r="E777" s="1212" t="str">
        <f>Account!$G$1</f>
        <v>FUND 501 CARP</v>
      </c>
      <c r="F777" s="1213"/>
      <c r="G777" s="1213"/>
      <c r="H777" s="1213"/>
      <c r="I777" s="1213"/>
      <c r="J777" s="1214"/>
      <c r="K777" s="59"/>
      <c r="L777" s="59"/>
      <c r="M777" s="60"/>
      <c r="N777" s="60"/>
      <c r="O777" s="60"/>
      <c r="P777" s="1215"/>
      <c r="Q777" s="1215"/>
      <c r="R777" s="1215"/>
      <c r="S777" s="1215"/>
      <c r="T777" s="1215"/>
      <c r="U777" s="1215"/>
      <c r="V777" s="1216"/>
    </row>
    <row r="778" spans="1:22">
      <c r="A778" s="1195"/>
      <c r="B778" s="1196"/>
      <c r="C778" s="1196"/>
      <c r="D778" s="1196"/>
      <c r="E778" s="1196"/>
      <c r="F778" s="1196"/>
      <c r="G778" s="1196"/>
      <c r="H778" s="1196"/>
      <c r="I778" s="1196"/>
      <c r="J778" s="1196"/>
      <c r="K778" s="61"/>
      <c r="L778" s="61"/>
      <c r="M778" s="14"/>
      <c r="N778" s="14"/>
      <c r="O778" s="14"/>
      <c r="P778" s="1196"/>
      <c r="Q778" s="1196"/>
      <c r="R778" s="1196"/>
      <c r="S778" s="1196"/>
      <c r="T778" s="1196"/>
      <c r="U778" s="1196"/>
      <c r="V778" s="1217"/>
    </row>
    <row r="779" spans="1:22">
      <c r="A779" s="1195"/>
      <c r="B779" s="1196"/>
      <c r="C779" s="1196"/>
      <c r="D779" s="1196"/>
      <c r="E779" s="1197" t="str">
        <f t="shared" ref="E779:E801" si="64">IF(K779=0,"",(VLOOKUP((TRIM(K779)),Code,2,)))</f>
        <v/>
      </c>
      <c r="F779" s="1198"/>
      <c r="G779" s="1198"/>
      <c r="H779" s="1198"/>
      <c r="I779" s="1198"/>
      <c r="J779" s="1199"/>
      <c r="K779" s="133"/>
      <c r="L779" s="62" t="str">
        <f t="shared" ref="L779:L806" si="65">IF(K779=0,"",VLOOKUP((TRIM(K779)),Code,3,))</f>
        <v/>
      </c>
      <c r="M779" s="14"/>
      <c r="N779" s="89">
        <f t="array" ref="N779">SUM(IF((CsDJ[JEV Number]=TRIM($T768))*(CsDJ[Account Code]=TRIM(K779)),CsDJ[Debit]))</f>
        <v>0</v>
      </c>
      <c r="O779" s="89">
        <f t="array" ref="O779">SUM(IF((CsDJ[JEV Number]=TRIM($T768))*(CsDJ[Account Code]=TRIM(K779)),CsDJ[Credit]))</f>
        <v>0</v>
      </c>
      <c r="P779" s="1200">
        <f>N779</f>
        <v>0</v>
      </c>
      <c r="Q779" s="1200"/>
      <c r="R779" s="1200"/>
      <c r="S779" s="1200">
        <f>O779</f>
        <v>0</v>
      </c>
      <c r="T779" s="1200"/>
      <c r="U779" s="1200"/>
      <c r="V779" s="1201"/>
    </row>
    <row r="780" spans="1:22">
      <c r="A780" s="1195"/>
      <c r="B780" s="1196"/>
      <c r="C780" s="1196"/>
      <c r="D780" s="1196"/>
      <c r="E780" s="1197" t="str">
        <f t="shared" si="64"/>
        <v/>
      </c>
      <c r="F780" s="1198"/>
      <c r="G780" s="1198"/>
      <c r="H780" s="1198"/>
      <c r="I780" s="1198"/>
      <c r="J780" s="1199"/>
      <c r="K780" s="133"/>
      <c r="L780" s="62" t="str">
        <f t="shared" si="65"/>
        <v/>
      </c>
      <c r="M780" s="14"/>
      <c r="N780" s="89">
        <f t="array" ref="N780">SUM(IF((CsDJ[JEV Number]=TRIM($T768))*(CsDJ[Account Code]=TRIM(K780)),CsDJ[Debit]))</f>
        <v>0</v>
      </c>
      <c r="O780" s="89">
        <f t="array" ref="O780">SUM(IF((CsDJ[JEV Number]=TRIM($T768))*(CsDJ[Account Code]=TRIM(K780)),CsDJ[Credit]))</f>
        <v>0</v>
      </c>
      <c r="P780" s="1200">
        <f>N780</f>
        <v>0</v>
      </c>
      <c r="Q780" s="1200"/>
      <c r="R780" s="1200"/>
      <c r="S780" s="1200">
        <f>O780</f>
        <v>0</v>
      </c>
      <c r="T780" s="1200"/>
      <c r="U780" s="1200"/>
      <c r="V780" s="1201"/>
    </row>
    <row r="781" spans="1:22">
      <c r="A781" s="1195"/>
      <c r="B781" s="1196"/>
      <c r="C781" s="1196"/>
      <c r="D781" s="1196"/>
      <c r="E781" s="1197" t="str">
        <f t="shared" si="64"/>
        <v/>
      </c>
      <c r="F781" s="1198"/>
      <c r="G781" s="1198"/>
      <c r="H781" s="1198"/>
      <c r="I781" s="1198"/>
      <c r="J781" s="1199"/>
      <c r="K781" s="133"/>
      <c r="L781" s="62" t="str">
        <f t="shared" si="65"/>
        <v/>
      </c>
      <c r="M781" s="14"/>
      <c r="N781" s="89">
        <f t="array" ref="N781">SUM(IF((CsDJ[JEV Number]=TRIM($T768))*(CsDJ[Account Code]=TRIM(K781)),CsDJ[Debit]))</f>
        <v>0</v>
      </c>
      <c r="O781" s="89">
        <f t="array" ref="O781">SUM(IF((CsDJ[JEV Number]=TRIM($T768))*(CsDJ[Account Code]=TRIM(K781)),CsDJ[Credit]))</f>
        <v>0</v>
      </c>
      <c r="P781" s="1200">
        <f t="shared" ref="P781:P806" si="66">N781</f>
        <v>0</v>
      </c>
      <c r="Q781" s="1200"/>
      <c r="R781" s="1200"/>
      <c r="S781" s="1200">
        <f t="shared" ref="S781:S806" si="67">O781</f>
        <v>0</v>
      </c>
      <c r="T781" s="1200"/>
      <c r="U781" s="1200"/>
      <c r="V781" s="1201"/>
    </row>
    <row r="782" spans="1:22">
      <c r="A782" s="1195"/>
      <c r="B782" s="1196"/>
      <c r="C782" s="1196"/>
      <c r="D782" s="1196"/>
      <c r="E782" s="1197" t="str">
        <f t="shared" si="64"/>
        <v/>
      </c>
      <c r="F782" s="1198"/>
      <c r="G782" s="1198"/>
      <c r="H782" s="1198"/>
      <c r="I782" s="1198"/>
      <c r="J782" s="1199"/>
      <c r="K782" s="133"/>
      <c r="L782" s="62" t="str">
        <f t="shared" si="65"/>
        <v/>
      </c>
      <c r="M782" s="14"/>
      <c r="N782" s="89">
        <f t="array" ref="N782">SUM(IF((CsDJ[JEV Number]=TRIM($T768))*(CsDJ[Account Code]=TRIM(K782)),CsDJ[Debit]))</f>
        <v>0</v>
      </c>
      <c r="O782" s="89">
        <f t="array" ref="O782">SUM(IF((CsDJ[JEV Number]=TRIM($T768))*(CsDJ[Account Code]=TRIM(K782)),CsDJ[Credit]))</f>
        <v>0</v>
      </c>
      <c r="P782" s="1200">
        <f t="shared" si="66"/>
        <v>0</v>
      </c>
      <c r="Q782" s="1200"/>
      <c r="R782" s="1200"/>
      <c r="S782" s="1200">
        <f t="shared" si="67"/>
        <v>0</v>
      </c>
      <c r="T782" s="1200"/>
      <c r="U782" s="1200"/>
      <c r="V782" s="1201"/>
    </row>
    <row r="783" spans="1:22">
      <c r="A783" s="1195"/>
      <c r="B783" s="1196"/>
      <c r="C783" s="1196"/>
      <c r="D783" s="1196"/>
      <c r="E783" s="1197" t="str">
        <f t="shared" si="64"/>
        <v/>
      </c>
      <c r="F783" s="1198"/>
      <c r="G783" s="1198"/>
      <c r="H783" s="1198"/>
      <c r="I783" s="1198"/>
      <c r="J783" s="1199"/>
      <c r="K783" s="133"/>
      <c r="L783" s="62" t="str">
        <f t="shared" si="65"/>
        <v/>
      </c>
      <c r="M783" s="14"/>
      <c r="N783" s="89">
        <f t="array" ref="N783">SUM(IF((CsDJ[JEV Number]=TRIM($T768))*(CsDJ[Account Code]=TRIM(K783)),CsDJ[Debit]))</f>
        <v>0</v>
      </c>
      <c r="O783" s="89">
        <f t="array" ref="O783">SUM(IF((CsDJ[JEV Number]=TRIM($T768))*(CsDJ[Account Code]=TRIM(K783)),CsDJ[Credit]))</f>
        <v>0</v>
      </c>
      <c r="P783" s="1200">
        <f t="shared" si="66"/>
        <v>0</v>
      </c>
      <c r="Q783" s="1200"/>
      <c r="R783" s="1200"/>
      <c r="S783" s="1200">
        <f t="shared" si="67"/>
        <v>0</v>
      </c>
      <c r="T783" s="1200"/>
      <c r="U783" s="1200"/>
      <c r="V783" s="1201"/>
    </row>
    <row r="784" spans="1:22">
      <c r="A784" s="1195"/>
      <c r="B784" s="1196"/>
      <c r="C784" s="1196"/>
      <c r="D784" s="1196"/>
      <c r="E784" s="1197" t="str">
        <f t="shared" si="64"/>
        <v/>
      </c>
      <c r="F784" s="1198"/>
      <c r="G784" s="1198"/>
      <c r="H784" s="1198"/>
      <c r="I784" s="1198"/>
      <c r="J784" s="1199"/>
      <c r="K784" s="133"/>
      <c r="L784" s="62" t="str">
        <f t="shared" si="65"/>
        <v/>
      </c>
      <c r="M784" s="14"/>
      <c r="N784" s="89">
        <f t="array" ref="N784">SUM(IF((CsDJ[JEV Number]=TRIM($T768))*(CsDJ[Account Code]=TRIM(K784)),CsDJ[Debit]))</f>
        <v>0</v>
      </c>
      <c r="O784" s="89">
        <f t="array" ref="O784">SUM(IF((CsDJ[JEV Number]=TRIM($T768))*(CsDJ[Account Code]=TRIM(K784)),CsDJ[Credit]))</f>
        <v>0</v>
      </c>
      <c r="P784" s="1200">
        <f t="shared" si="66"/>
        <v>0</v>
      </c>
      <c r="Q784" s="1200"/>
      <c r="R784" s="1200"/>
      <c r="S784" s="1200">
        <f t="shared" si="67"/>
        <v>0</v>
      </c>
      <c r="T784" s="1200"/>
      <c r="U784" s="1200"/>
      <c r="V784" s="1201"/>
    </row>
    <row r="785" spans="1:22">
      <c r="A785" s="1195"/>
      <c r="B785" s="1196"/>
      <c r="C785" s="1196"/>
      <c r="D785" s="1196"/>
      <c r="E785" s="1197" t="str">
        <f t="shared" si="64"/>
        <v/>
      </c>
      <c r="F785" s="1198"/>
      <c r="G785" s="1198"/>
      <c r="H785" s="1198"/>
      <c r="I785" s="1198"/>
      <c r="J785" s="1199"/>
      <c r="K785" s="133"/>
      <c r="L785" s="62" t="str">
        <f t="shared" si="65"/>
        <v/>
      </c>
      <c r="M785" s="14"/>
      <c r="N785" s="89">
        <f t="array" ref="N785">SUM(IF((CsDJ[JEV Number]=TRIM($T768))*(CsDJ[Account Code]=TRIM(K785)),CsDJ[Debit]))</f>
        <v>0</v>
      </c>
      <c r="O785" s="89">
        <f t="array" ref="O785">SUM(IF((CsDJ[JEV Number]=TRIM($T768))*(CsDJ[Account Code]=TRIM(K785)),CsDJ[Credit]))</f>
        <v>0</v>
      </c>
      <c r="P785" s="1200">
        <f t="shared" si="66"/>
        <v>0</v>
      </c>
      <c r="Q785" s="1200"/>
      <c r="R785" s="1200"/>
      <c r="S785" s="1200">
        <f t="shared" si="67"/>
        <v>0</v>
      </c>
      <c r="T785" s="1200"/>
      <c r="U785" s="1200"/>
      <c r="V785" s="1201"/>
    </row>
    <row r="786" spans="1:22">
      <c r="A786" s="1195"/>
      <c r="B786" s="1196"/>
      <c r="C786" s="1196"/>
      <c r="D786" s="1196"/>
      <c r="E786" s="1197" t="str">
        <f t="shared" si="64"/>
        <v/>
      </c>
      <c r="F786" s="1198"/>
      <c r="G786" s="1198"/>
      <c r="H786" s="1198"/>
      <c r="I786" s="1198"/>
      <c r="J786" s="1199"/>
      <c r="K786" s="133"/>
      <c r="L786" s="62" t="str">
        <f t="shared" si="65"/>
        <v/>
      </c>
      <c r="M786" s="14"/>
      <c r="N786" s="89">
        <f t="array" ref="N786">SUM(IF((CsDJ[JEV Number]=TRIM($T768))*(CsDJ[Account Code]=TRIM(K786)),CsDJ[Debit]))</f>
        <v>0</v>
      </c>
      <c r="O786" s="89">
        <f t="array" ref="O786">SUM(IF((CsDJ[JEV Number]=TRIM($T768))*(CsDJ[Account Code]=TRIM(K786)),CsDJ[Credit]))</f>
        <v>0</v>
      </c>
      <c r="P786" s="1200">
        <f t="shared" si="66"/>
        <v>0</v>
      </c>
      <c r="Q786" s="1200"/>
      <c r="R786" s="1200"/>
      <c r="S786" s="1200">
        <f t="shared" si="67"/>
        <v>0</v>
      </c>
      <c r="T786" s="1200"/>
      <c r="U786" s="1200"/>
      <c r="V786" s="1201"/>
    </row>
    <row r="787" spans="1:22">
      <c r="A787" s="1195"/>
      <c r="B787" s="1196"/>
      <c r="C787" s="1196"/>
      <c r="D787" s="1196"/>
      <c r="E787" s="1197" t="str">
        <f t="shared" si="64"/>
        <v/>
      </c>
      <c r="F787" s="1198"/>
      <c r="G787" s="1198"/>
      <c r="H787" s="1198"/>
      <c r="I787" s="1198"/>
      <c r="J787" s="1199"/>
      <c r="K787" s="134"/>
      <c r="L787" s="62" t="str">
        <f t="shared" si="65"/>
        <v/>
      </c>
      <c r="M787" s="14"/>
      <c r="N787" s="89">
        <f t="array" ref="N787">SUM(IF((CsDJ[JEV Number]=TRIM($T768))*(CsDJ[Account Code]=TRIM(K787)),CsDJ[Debit]))</f>
        <v>0</v>
      </c>
      <c r="O787" s="89">
        <f t="array" ref="O787">SUM(IF((CsDJ[JEV Number]=TRIM($T768))*(CsDJ[Account Code]=TRIM(K787)),CsDJ[Credit]))</f>
        <v>0</v>
      </c>
      <c r="P787" s="1200">
        <f t="shared" si="66"/>
        <v>0</v>
      </c>
      <c r="Q787" s="1200"/>
      <c r="R787" s="1200"/>
      <c r="S787" s="1200">
        <f t="shared" si="67"/>
        <v>0</v>
      </c>
      <c r="T787" s="1200"/>
      <c r="U787" s="1200"/>
      <c r="V787" s="1201"/>
    </row>
    <row r="788" spans="1:22">
      <c r="A788" s="1195"/>
      <c r="B788" s="1196"/>
      <c r="C788" s="1196"/>
      <c r="D788" s="1196"/>
      <c r="E788" s="1197" t="str">
        <f t="shared" si="64"/>
        <v/>
      </c>
      <c r="F788" s="1198"/>
      <c r="G788" s="1198"/>
      <c r="H788" s="1198"/>
      <c r="I788" s="1198"/>
      <c r="J788" s="1199"/>
      <c r="K788" s="134"/>
      <c r="L788" s="62" t="str">
        <f t="shared" si="65"/>
        <v/>
      </c>
      <c r="M788" s="14"/>
      <c r="N788" s="89">
        <f t="array" ref="N788">SUM(IF((CsDJ[JEV Number]=TRIM($T768))*(CsDJ[Account Code]=TRIM(K788)),CsDJ[Debit]))</f>
        <v>0</v>
      </c>
      <c r="O788" s="89">
        <f t="array" ref="O788">SUM(IF((CsDJ[JEV Number]=TRIM($T768))*(CsDJ[Account Code]=TRIM(K788)),CsDJ[Credit]))</f>
        <v>0</v>
      </c>
      <c r="P788" s="1200">
        <f t="shared" si="66"/>
        <v>0</v>
      </c>
      <c r="Q788" s="1200"/>
      <c r="R788" s="1200"/>
      <c r="S788" s="1200">
        <f t="shared" si="67"/>
        <v>0</v>
      </c>
      <c r="T788" s="1200"/>
      <c r="U788" s="1200"/>
      <c r="V788" s="1201"/>
    </row>
    <row r="789" spans="1:22">
      <c r="A789" s="1195"/>
      <c r="B789" s="1196"/>
      <c r="C789" s="1196"/>
      <c r="D789" s="1196"/>
      <c r="E789" s="1197" t="str">
        <f t="shared" si="64"/>
        <v/>
      </c>
      <c r="F789" s="1198"/>
      <c r="G789" s="1198"/>
      <c r="H789" s="1198"/>
      <c r="I789" s="1198"/>
      <c r="J789" s="1199"/>
      <c r="K789" s="134"/>
      <c r="L789" s="62" t="str">
        <f t="shared" si="65"/>
        <v/>
      </c>
      <c r="M789" s="14"/>
      <c r="N789" s="89">
        <f t="array" ref="N789">SUM(IF((CsDJ[JEV Number]=TRIM($T768))*(CsDJ[Account Code]=TRIM(K789)),CsDJ[Debit]))</f>
        <v>0</v>
      </c>
      <c r="O789" s="89">
        <f t="array" ref="O789">SUM(IF((CsDJ[JEV Number]=TRIM($T768))*(CsDJ[Account Code]=TRIM(K789)),CsDJ[Credit]))</f>
        <v>0</v>
      </c>
      <c r="P789" s="1200">
        <f t="shared" si="66"/>
        <v>0</v>
      </c>
      <c r="Q789" s="1200"/>
      <c r="R789" s="1200"/>
      <c r="S789" s="1200">
        <f t="shared" si="67"/>
        <v>0</v>
      </c>
      <c r="T789" s="1200"/>
      <c r="U789" s="1200"/>
      <c r="V789" s="1201"/>
    </row>
    <row r="790" spans="1:22">
      <c r="A790" s="1195"/>
      <c r="B790" s="1196"/>
      <c r="C790" s="1196"/>
      <c r="D790" s="1196"/>
      <c r="E790" s="1197" t="str">
        <f t="shared" si="64"/>
        <v/>
      </c>
      <c r="F790" s="1198"/>
      <c r="G790" s="1198"/>
      <c r="H790" s="1198"/>
      <c r="I790" s="1198"/>
      <c r="J790" s="1199"/>
      <c r="K790" s="134"/>
      <c r="L790" s="62" t="str">
        <f t="shared" si="65"/>
        <v/>
      </c>
      <c r="M790" s="14"/>
      <c r="N790" s="89">
        <f t="array" ref="N790">SUM(IF((CsDJ[JEV Number]=TRIM($T768))*(CsDJ[Account Code]=TRIM(K790)),CsDJ[Debit]))</f>
        <v>0</v>
      </c>
      <c r="O790" s="89">
        <f t="array" ref="O790">SUM(IF((CsDJ[JEV Number]=TRIM($T768))*(CsDJ[Account Code]=TRIM(K790)),CsDJ[Credit]))</f>
        <v>0</v>
      </c>
      <c r="P790" s="1200">
        <f t="shared" si="66"/>
        <v>0</v>
      </c>
      <c r="Q790" s="1200"/>
      <c r="R790" s="1200"/>
      <c r="S790" s="1200">
        <f t="shared" si="67"/>
        <v>0</v>
      </c>
      <c r="T790" s="1200"/>
      <c r="U790" s="1200"/>
      <c r="V790" s="1201"/>
    </row>
    <row r="791" spans="1:22">
      <c r="A791" s="1195"/>
      <c r="B791" s="1196"/>
      <c r="C791" s="1196"/>
      <c r="D791" s="1196"/>
      <c r="E791" s="1197" t="str">
        <f t="shared" si="64"/>
        <v/>
      </c>
      <c r="F791" s="1198"/>
      <c r="G791" s="1198"/>
      <c r="H791" s="1198"/>
      <c r="I791" s="1198"/>
      <c r="J791" s="1199"/>
      <c r="K791" s="134"/>
      <c r="L791" s="62" t="str">
        <f t="shared" si="65"/>
        <v/>
      </c>
      <c r="M791" s="14"/>
      <c r="N791" s="89">
        <f t="array" ref="N791">SUM(IF((CsDJ[JEV Number]=TRIM($T768))*(CsDJ[Account Code]=TRIM(K791)),CsDJ[Debit]))</f>
        <v>0</v>
      </c>
      <c r="O791" s="89">
        <f t="array" ref="O791">SUM(IF((CsDJ[JEV Number]=TRIM($T768))*(CsDJ[Account Code]=TRIM(K791)),CsDJ[Credit]))</f>
        <v>0</v>
      </c>
      <c r="P791" s="1200">
        <f t="shared" si="66"/>
        <v>0</v>
      </c>
      <c r="Q791" s="1200"/>
      <c r="R791" s="1200"/>
      <c r="S791" s="1200">
        <f t="shared" si="67"/>
        <v>0</v>
      </c>
      <c r="T791" s="1200"/>
      <c r="U791" s="1200"/>
      <c r="V791" s="1201"/>
    </row>
    <row r="792" spans="1:22">
      <c r="A792" s="1195"/>
      <c r="B792" s="1196"/>
      <c r="C792" s="1196"/>
      <c r="D792" s="1196"/>
      <c r="E792" s="1197" t="str">
        <f t="shared" si="64"/>
        <v/>
      </c>
      <c r="F792" s="1198"/>
      <c r="G792" s="1198"/>
      <c r="H792" s="1198"/>
      <c r="I792" s="1198"/>
      <c r="J792" s="1199"/>
      <c r="K792" s="134"/>
      <c r="L792" s="62" t="str">
        <f t="shared" si="65"/>
        <v/>
      </c>
      <c r="M792" s="14"/>
      <c r="N792" s="89">
        <f t="array" ref="N792">SUM(IF((CsDJ[JEV Number]=TRIM($T768))*(CsDJ[Account Code]=TRIM(K792)),CsDJ[Debit]))</f>
        <v>0</v>
      </c>
      <c r="O792" s="89">
        <f t="array" ref="O792">SUM(IF((CsDJ[JEV Number]=TRIM($T768))*(CsDJ[Account Code]=TRIM(K792)),CsDJ[Credit]))</f>
        <v>0</v>
      </c>
      <c r="P792" s="1200">
        <f t="shared" si="66"/>
        <v>0</v>
      </c>
      <c r="Q792" s="1200"/>
      <c r="R792" s="1200"/>
      <c r="S792" s="1200">
        <f t="shared" si="67"/>
        <v>0</v>
      </c>
      <c r="T792" s="1200"/>
      <c r="U792" s="1200"/>
      <c r="V792" s="1201"/>
    </row>
    <row r="793" spans="1:22">
      <c r="A793" s="1195"/>
      <c r="B793" s="1196"/>
      <c r="C793" s="1196"/>
      <c r="D793" s="1196"/>
      <c r="E793" s="1197" t="str">
        <f t="shared" si="64"/>
        <v/>
      </c>
      <c r="F793" s="1198"/>
      <c r="G793" s="1198"/>
      <c r="H793" s="1198"/>
      <c r="I793" s="1198"/>
      <c r="J793" s="1199"/>
      <c r="K793" s="134"/>
      <c r="L793" s="62" t="str">
        <f t="shared" si="65"/>
        <v/>
      </c>
      <c r="M793" s="14"/>
      <c r="N793" s="89">
        <f t="array" ref="N793">SUM(IF((CsDJ[JEV Number]=TRIM($T768))*(CsDJ[Account Code]=TRIM(K793)),CsDJ[Debit]))</f>
        <v>0</v>
      </c>
      <c r="O793" s="89">
        <f t="array" ref="O793">SUM(IF((CsDJ[JEV Number]=TRIM($T768))*(CsDJ[Account Code]=TRIM(K793)),CsDJ[Credit]))</f>
        <v>0</v>
      </c>
      <c r="P793" s="1200">
        <f t="shared" si="66"/>
        <v>0</v>
      </c>
      <c r="Q793" s="1200"/>
      <c r="R793" s="1200"/>
      <c r="S793" s="1200">
        <f t="shared" si="67"/>
        <v>0</v>
      </c>
      <c r="T793" s="1200"/>
      <c r="U793" s="1200"/>
      <c r="V793" s="1201"/>
    </row>
    <row r="794" spans="1:22">
      <c r="A794" s="1195"/>
      <c r="B794" s="1196"/>
      <c r="C794" s="1196"/>
      <c r="D794" s="1196"/>
      <c r="E794" s="1197" t="str">
        <f t="shared" si="64"/>
        <v/>
      </c>
      <c r="F794" s="1198"/>
      <c r="G794" s="1198"/>
      <c r="H794" s="1198"/>
      <c r="I794" s="1198"/>
      <c r="J794" s="1199"/>
      <c r="K794" s="134"/>
      <c r="L794" s="62" t="str">
        <f t="shared" si="65"/>
        <v/>
      </c>
      <c r="M794" s="14"/>
      <c r="N794" s="89">
        <f t="array" ref="N794">SUM(IF((CsDJ[JEV Number]=TRIM($T768))*(CsDJ[Account Code]=TRIM(K794)),CsDJ[Debit]))</f>
        <v>0</v>
      </c>
      <c r="O794" s="89">
        <f t="array" ref="O794">SUM(IF((CsDJ[JEV Number]=TRIM($T768))*(CsDJ[Account Code]=TRIM(K794)),CsDJ[Credit]))</f>
        <v>0</v>
      </c>
      <c r="P794" s="1200">
        <f t="shared" si="66"/>
        <v>0</v>
      </c>
      <c r="Q794" s="1200"/>
      <c r="R794" s="1200"/>
      <c r="S794" s="1200">
        <f t="shared" si="67"/>
        <v>0</v>
      </c>
      <c r="T794" s="1200"/>
      <c r="U794" s="1200"/>
      <c r="V794" s="1201"/>
    </row>
    <row r="795" spans="1:22">
      <c r="A795" s="1195"/>
      <c r="B795" s="1196"/>
      <c r="C795" s="1196"/>
      <c r="D795" s="1196"/>
      <c r="E795" s="1197" t="str">
        <f t="shared" si="64"/>
        <v/>
      </c>
      <c r="F795" s="1198"/>
      <c r="G795" s="1198"/>
      <c r="H795" s="1198"/>
      <c r="I795" s="1198"/>
      <c r="J795" s="1199"/>
      <c r="K795" s="134"/>
      <c r="L795" s="62" t="str">
        <f t="shared" si="65"/>
        <v/>
      </c>
      <c r="M795" s="14"/>
      <c r="N795" s="89">
        <f t="array" ref="N795">SUM(IF((CsDJ[JEV Number]=TRIM($T768))*(CsDJ[Account Code]=TRIM(K795)),CsDJ[Debit]))</f>
        <v>0</v>
      </c>
      <c r="O795" s="89">
        <f t="array" ref="O795">SUM(IF((CsDJ[JEV Number]=TRIM($T768))*(CsDJ[Account Code]=TRIM(K795)),CsDJ[Credit]))</f>
        <v>0</v>
      </c>
      <c r="P795" s="1200">
        <f t="shared" si="66"/>
        <v>0</v>
      </c>
      <c r="Q795" s="1200"/>
      <c r="R795" s="1200"/>
      <c r="S795" s="1200">
        <f t="shared" si="67"/>
        <v>0</v>
      </c>
      <c r="T795" s="1200"/>
      <c r="U795" s="1200"/>
      <c r="V795" s="1201"/>
    </row>
    <row r="796" spans="1:22">
      <c r="A796" s="1195"/>
      <c r="B796" s="1196"/>
      <c r="C796" s="1196"/>
      <c r="D796" s="1196"/>
      <c r="E796" s="1197" t="str">
        <f t="shared" si="64"/>
        <v/>
      </c>
      <c r="F796" s="1198"/>
      <c r="G796" s="1198"/>
      <c r="H796" s="1198"/>
      <c r="I796" s="1198"/>
      <c r="J796" s="1199"/>
      <c r="K796" s="134"/>
      <c r="L796" s="62" t="str">
        <f t="shared" si="65"/>
        <v/>
      </c>
      <c r="M796" s="14"/>
      <c r="N796" s="89">
        <f t="array" ref="N796">SUM(IF((CsDJ[JEV Number]=TRIM($T768))*(CsDJ[Account Code]=TRIM(K796)),CsDJ[Debit]))</f>
        <v>0</v>
      </c>
      <c r="O796" s="89">
        <f t="array" ref="O796">SUM(IF((CsDJ[JEV Number]=TRIM($T768))*(CsDJ[Account Code]=TRIM(K796)),CsDJ[Credit]))</f>
        <v>0</v>
      </c>
      <c r="P796" s="1200">
        <f t="shared" si="66"/>
        <v>0</v>
      </c>
      <c r="Q796" s="1200"/>
      <c r="R796" s="1200"/>
      <c r="S796" s="1200">
        <f t="shared" si="67"/>
        <v>0</v>
      </c>
      <c r="T796" s="1200"/>
      <c r="U796" s="1200"/>
      <c r="V796" s="1201"/>
    </row>
    <row r="797" spans="1:22">
      <c r="A797" s="1195"/>
      <c r="B797" s="1196"/>
      <c r="C797" s="1196"/>
      <c r="D797" s="1196"/>
      <c r="E797" s="1197" t="str">
        <f t="shared" si="64"/>
        <v/>
      </c>
      <c r="F797" s="1198"/>
      <c r="G797" s="1198"/>
      <c r="H797" s="1198"/>
      <c r="I797" s="1198"/>
      <c r="J797" s="1199"/>
      <c r="K797" s="134"/>
      <c r="L797" s="62" t="str">
        <f t="shared" si="65"/>
        <v/>
      </c>
      <c r="M797" s="14"/>
      <c r="N797" s="89">
        <f t="array" ref="N797">SUM(IF((CsDJ[JEV Number]=TRIM($T768))*(CsDJ[Account Code]=TRIM(K797)),CsDJ[Debit]))</f>
        <v>0</v>
      </c>
      <c r="O797" s="89">
        <f t="array" ref="O797">SUM(IF((CsDJ[JEV Number]=TRIM($T768))*(CsDJ[Account Code]=TRIM(K797)),CsDJ[Credit]))</f>
        <v>0</v>
      </c>
      <c r="P797" s="1200">
        <f t="shared" si="66"/>
        <v>0</v>
      </c>
      <c r="Q797" s="1200"/>
      <c r="R797" s="1200"/>
      <c r="S797" s="1200">
        <f t="shared" si="67"/>
        <v>0</v>
      </c>
      <c r="T797" s="1200"/>
      <c r="U797" s="1200"/>
      <c r="V797" s="1201"/>
    </row>
    <row r="798" spans="1:22">
      <c r="A798" s="1195"/>
      <c r="B798" s="1196"/>
      <c r="C798" s="1196"/>
      <c r="D798" s="1196"/>
      <c r="E798" s="1197" t="str">
        <f t="shared" si="64"/>
        <v/>
      </c>
      <c r="F798" s="1198"/>
      <c r="G798" s="1198"/>
      <c r="H798" s="1198"/>
      <c r="I798" s="1198"/>
      <c r="J798" s="1199"/>
      <c r="K798" s="134"/>
      <c r="L798" s="62" t="str">
        <f t="shared" si="65"/>
        <v/>
      </c>
      <c r="M798" s="14"/>
      <c r="N798" s="89">
        <f t="array" ref="N798">SUM(IF((CsDJ[JEV Number]=TRIM($T768))*(CsDJ[Account Code]=TRIM(K798)),CsDJ[Debit]))</f>
        <v>0</v>
      </c>
      <c r="O798" s="89">
        <f t="array" ref="O798">SUM(IF((CsDJ[JEV Number]=TRIM($T768))*(CsDJ[Account Code]=TRIM(K798)),CsDJ[Credit]))</f>
        <v>0</v>
      </c>
      <c r="P798" s="1200">
        <f t="shared" si="66"/>
        <v>0</v>
      </c>
      <c r="Q798" s="1200"/>
      <c r="R798" s="1200"/>
      <c r="S798" s="1200">
        <f t="shared" si="67"/>
        <v>0</v>
      </c>
      <c r="T798" s="1200"/>
      <c r="U798" s="1200"/>
      <c r="V798" s="1201"/>
    </row>
    <row r="799" spans="1:22">
      <c r="A799" s="1195"/>
      <c r="B799" s="1196"/>
      <c r="C799" s="1196"/>
      <c r="D799" s="1196"/>
      <c r="E799" s="1197" t="str">
        <f t="shared" si="64"/>
        <v/>
      </c>
      <c r="F799" s="1198"/>
      <c r="G799" s="1198"/>
      <c r="H799" s="1198"/>
      <c r="I799" s="1198"/>
      <c r="J799" s="1199"/>
      <c r="K799" s="134"/>
      <c r="L799" s="62" t="str">
        <f t="shared" si="65"/>
        <v/>
      </c>
      <c r="M799" s="14"/>
      <c r="N799" s="89">
        <f t="array" ref="N799">SUM(IF((CsDJ[JEV Number]=TRIM($T768))*(CsDJ[Account Code]=TRIM(K799)),CsDJ[Debit]))</f>
        <v>0</v>
      </c>
      <c r="O799" s="89">
        <f t="array" ref="O799">SUM(IF((CsDJ[JEV Number]=TRIM($T768))*(CsDJ[Account Code]=TRIM(K799)),CsDJ[Credit]))</f>
        <v>0</v>
      </c>
      <c r="P799" s="1200">
        <f t="shared" si="66"/>
        <v>0</v>
      </c>
      <c r="Q799" s="1200"/>
      <c r="R799" s="1200"/>
      <c r="S799" s="1200">
        <f t="shared" si="67"/>
        <v>0</v>
      </c>
      <c r="T799" s="1200"/>
      <c r="U799" s="1200"/>
      <c r="V799" s="1201"/>
    </row>
    <row r="800" spans="1:22">
      <c r="A800" s="1195"/>
      <c r="B800" s="1196"/>
      <c r="C800" s="1196"/>
      <c r="D800" s="1196"/>
      <c r="E800" s="1197" t="str">
        <f t="shared" si="64"/>
        <v/>
      </c>
      <c r="F800" s="1198"/>
      <c r="G800" s="1198"/>
      <c r="H800" s="1198"/>
      <c r="I800" s="1198"/>
      <c r="J800" s="1199"/>
      <c r="K800" s="134"/>
      <c r="L800" s="62" t="str">
        <f t="shared" si="65"/>
        <v/>
      </c>
      <c r="M800" s="14"/>
      <c r="N800" s="89">
        <f t="array" ref="N800">SUM(IF((CsDJ[JEV Number]=TRIM($T768))*(CsDJ[Account Code]=TRIM(K800)),CsDJ[Debit]))</f>
        <v>0</v>
      </c>
      <c r="O800" s="89">
        <f t="array" ref="O800">SUM(IF((CsDJ[JEV Number]=TRIM($T768))*(CsDJ[Account Code]=TRIM(K800)),CsDJ[Credit]))</f>
        <v>0</v>
      </c>
      <c r="P800" s="1200">
        <f t="shared" si="66"/>
        <v>0</v>
      </c>
      <c r="Q800" s="1200"/>
      <c r="R800" s="1200"/>
      <c r="S800" s="1200">
        <f t="shared" si="67"/>
        <v>0</v>
      </c>
      <c r="T800" s="1200"/>
      <c r="U800" s="1200"/>
      <c r="V800" s="1201"/>
    </row>
    <row r="801" spans="1:22">
      <c r="A801" s="1195"/>
      <c r="B801" s="1196"/>
      <c r="C801" s="1196"/>
      <c r="D801" s="1196"/>
      <c r="E801" s="1197" t="str">
        <f t="shared" si="64"/>
        <v/>
      </c>
      <c r="F801" s="1198"/>
      <c r="G801" s="1198"/>
      <c r="H801" s="1198"/>
      <c r="I801" s="1198"/>
      <c r="J801" s="1199"/>
      <c r="K801" s="134"/>
      <c r="L801" s="62" t="str">
        <f t="shared" si="65"/>
        <v/>
      </c>
      <c r="M801" s="14"/>
      <c r="N801" s="89">
        <f t="array" ref="N801">SUM(IF((CsDJ[JEV Number]=TRIM($T768))*(CsDJ[Account Code]=TRIM(K801)),CsDJ[Debit]))</f>
        <v>0</v>
      </c>
      <c r="O801" s="89">
        <f t="array" ref="O801">SUM(IF((CsDJ[JEV Number]=TRIM($T768))*(CsDJ[Account Code]=TRIM(K801)),CsDJ[Credit]))</f>
        <v>0</v>
      </c>
      <c r="P801" s="1200">
        <f t="shared" si="66"/>
        <v>0</v>
      </c>
      <c r="Q801" s="1200"/>
      <c r="R801" s="1200"/>
      <c r="S801" s="1200">
        <f t="shared" si="67"/>
        <v>0</v>
      </c>
      <c r="T801" s="1200"/>
      <c r="U801" s="1200"/>
      <c r="V801" s="1201"/>
    </row>
    <row r="802" spans="1:22">
      <c r="A802" s="1195"/>
      <c r="B802" s="1196"/>
      <c r="C802" s="1196"/>
      <c r="D802" s="1196"/>
      <c r="E802" s="1257" t="s">
        <v>468</v>
      </c>
      <c r="F802" s="1258"/>
      <c r="G802" s="1258"/>
      <c r="H802" s="1258"/>
      <c r="I802" s="1258"/>
      <c r="J802" s="1259"/>
      <c r="K802" s="133"/>
      <c r="L802" s="62" t="str">
        <f t="shared" si="65"/>
        <v/>
      </c>
      <c r="M802" s="14"/>
      <c r="N802" s="89">
        <f t="array" ref="N802">SUM(IF((CsDJ[JEV Number]=TRIM($T768))*(CsDJ[Account Code]=TRIM(K802)),CsDJ[Debit]))</f>
        <v>0</v>
      </c>
      <c r="O802" s="89">
        <f t="array" ref="O802">SUM(IF((CsDJ[JEV Number]=TRIM($T768))*(CsDJ[Account Code]=TRIM(K802)),CsDJ[Credit]))</f>
        <v>0</v>
      </c>
      <c r="P802" s="1200">
        <f t="shared" si="66"/>
        <v>0</v>
      </c>
      <c r="Q802" s="1200"/>
      <c r="R802" s="1200"/>
      <c r="S802" s="1200">
        <f t="shared" si="67"/>
        <v>0</v>
      </c>
      <c r="T802" s="1200"/>
      <c r="U802" s="1200"/>
      <c r="V802" s="1201"/>
    </row>
    <row r="803" spans="1:22">
      <c r="A803" s="1195"/>
      <c r="B803" s="1196"/>
      <c r="C803" s="1196"/>
      <c r="D803" s="1196"/>
      <c r="E803" s="1202" t="s">
        <v>457</v>
      </c>
      <c r="F803" s="1203"/>
      <c r="G803" s="1203"/>
      <c r="H803" s="1203"/>
      <c r="I803" s="1207">
        <f>T769</f>
        <v>0</v>
      </c>
      <c r="J803" s="1208"/>
      <c r="K803" s="133"/>
      <c r="L803" s="62" t="str">
        <f t="shared" si="65"/>
        <v/>
      </c>
      <c r="M803" s="14"/>
      <c r="N803" s="89">
        <f t="array" ref="N803">SUM(IF((CsDJ[JEV Number]=TRIM($T768))*(CsDJ[Account Code]=TRIM(K803)),CsDJ[Debit]))</f>
        <v>0</v>
      </c>
      <c r="O803" s="89">
        <f t="array" ref="O803">SUM(IF((CsDJ[JEV Number]=TRIM($T768))*(CsDJ[Account Code]=TRIM(K803)),CsDJ[Credit]))</f>
        <v>0</v>
      </c>
      <c r="P803" s="1200">
        <f t="shared" si="66"/>
        <v>0</v>
      </c>
      <c r="Q803" s="1200"/>
      <c r="R803" s="1200"/>
      <c r="S803" s="1200">
        <f t="shared" si="67"/>
        <v>0</v>
      </c>
      <c r="T803" s="1200"/>
      <c r="U803" s="1200"/>
      <c r="V803" s="1201"/>
    </row>
    <row r="804" spans="1:22">
      <c r="A804" s="1195"/>
      <c r="B804" s="1196"/>
      <c r="C804" s="1196"/>
      <c r="D804" s="1196"/>
      <c r="E804" s="1202" t="s">
        <v>458</v>
      </c>
      <c r="F804" s="1203"/>
      <c r="G804" s="1203"/>
      <c r="H804" s="1203"/>
      <c r="I804" s="1263">
        <f>IF(T768=0,0,(IF(LOOKUP(T768,CsDJ[JEV Number],CsDJ[Sort Code])="1","MA. VIVIAN C. SALAS",IF(LOOKUP(T768,CsDJ[JEV Number],CsDJ[Sort Code])="2","LUZ R. DE COZAR",IF(LOOKUP(T768,CsDJ[JEV Number],CsDJ[Sort Code])="3","MINEONETTE A. DELA CRUZ",IF(LOOKUP(T768,CsDJ[JEV Number],CsDJ[Sort Code])="4","RESELLA B. LOPEZ"))))))</f>
        <v>0</v>
      </c>
      <c r="J804" s="1264"/>
      <c r="K804" s="133"/>
      <c r="L804" s="62" t="str">
        <f t="shared" si="65"/>
        <v/>
      </c>
      <c r="M804" s="14"/>
      <c r="N804" s="89">
        <f t="array" ref="N804">SUM(IF((CsDJ[JEV Number]=TRIM($T768))*(CsDJ[Account Code]=TRIM(K804)),CsDJ[Debit]))</f>
        <v>0</v>
      </c>
      <c r="O804" s="89">
        <f t="array" ref="O804">SUM(IF((CsDJ[JEV Number]=TRIM($T768))*(CsDJ[Account Code]=TRIM(K804)),CsDJ[Credit]))</f>
        <v>0</v>
      </c>
      <c r="P804" s="1200">
        <f t="shared" si="66"/>
        <v>0</v>
      </c>
      <c r="Q804" s="1200"/>
      <c r="R804" s="1200"/>
      <c r="S804" s="1200">
        <f t="shared" si="67"/>
        <v>0</v>
      </c>
      <c r="T804" s="1200"/>
      <c r="U804" s="1200"/>
      <c r="V804" s="1201"/>
    </row>
    <row r="805" spans="1:22">
      <c r="A805" s="1195"/>
      <c r="B805" s="1196"/>
      <c r="C805" s="1196"/>
      <c r="D805" s="1196"/>
      <c r="E805" s="1202" t="s">
        <v>459</v>
      </c>
      <c r="F805" s="1203"/>
      <c r="G805" s="1203"/>
      <c r="H805" s="1203"/>
      <c r="I805" s="1204">
        <f>IF(I804="Ma. Vivian C. Salas","Regional Office", IF(I804="Luz R. De Cozar","BANE IMO", IF(I804="Mineonette A. Dela Cruz","PAMBAT IMO", IF(I804="Resella B. Lopez","TARZAM IMO",0))))</f>
        <v>0</v>
      </c>
      <c r="J805" s="1205"/>
      <c r="K805" s="133"/>
      <c r="L805" s="62" t="str">
        <f t="shared" si="65"/>
        <v/>
      </c>
      <c r="M805" s="14"/>
      <c r="N805" s="89">
        <f t="array" ref="N805">SUM(IF((CsDJ[JEV Number]=TRIM($T768))*(CsDJ[Account Code]=TRIM(K805)),CsDJ[Debit]))</f>
        <v>0</v>
      </c>
      <c r="O805" s="89">
        <f t="array" ref="O805">SUM(IF((CsDJ[JEV Number]=TRIM($T768))*(CsDJ[Account Code]=TRIM(K805)),CsDJ[Credit]))</f>
        <v>0</v>
      </c>
      <c r="P805" s="1200">
        <f t="shared" si="66"/>
        <v>0</v>
      </c>
      <c r="Q805" s="1200"/>
      <c r="R805" s="1200"/>
      <c r="S805" s="1200">
        <f t="shared" si="67"/>
        <v>0</v>
      </c>
      <c r="T805" s="1200"/>
      <c r="U805" s="1200"/>
      <c r="V805" s="1201"/>
    </row>
    <row r="806" spans="1:22">
      <c r="A806" s="1195"/>
      <c r="B806" s="1196"/>
      <c r="C806" s="1196"/>
      <c r="D806" s="1196"/>
      <c r="E806" s="1202"/>
      <c r="F806" s="1203"/>
      <c r="G806" s="1203"/>
      <c r="H806" s="1203"/>
      <c r="I806" s="1203"/>
      <c r="J806" s="1206"/>
      <c r="K806" s="133"/>
      <c r="L806" s="62" t="str">
        <f t="shared" si="65"/>
        <v/>
      </c>
      <c r="M806" s="14"/>
      <c r="N806" s="89">
        <f t="array" ref="N806">SUM(IF((CsDJ[JEV Number]=TRIM($T768))*(CsDJ[Account Code]=TRIM(K806)),CsDJ[Debit]))</f>
        <v>0</v>
      </c>
      <c r="O806" s="89">
        <f t="array" ref="O806">SUM(IF((CsDJ[JEV Number]=TRIM($T768))*(CsDJ[Account Code]=TRIM(K806)),CsDJ[Credit]))</f>
        <v>0</v>
      </c>
      <c r="P806" s="1200">
        <f t="shared" si="66"/>
        <v>0</v>
      </c>
      <c r="Q806" s="1200"/>
      <c r="R806" s="1200"/>
      <c r="S806" s="1200">
        <f t="shared" si="67"/>
        <v>0</v>
      </c>
      <c r="T806" s="1200"/>
      <c r="U806" s="1200"/>
      <c r="V806" s="1201"/>
    </row>
    <row r="807" spans="1:22" ht="16.5" thickBot="1">
      <c r="A807" s="1188"/>
      <c r="B807" s="1189"/>
      <c r="C807" s="1189"/>
      <c r="D807" s="1189"/>
      <c r="E807" s="1189"/>
      <c r="F807" s="1189"/>
      <c r="G807" s="1189"/>
      <c r="H807" s="1189"/>
      <c r="I807" s="1189"/>
      <c r="J807" s="1189"/>
      <c r="K807" s="1189"/>
      <c r="L807" s="1189"/>
      <c r="M807" s="1190"/>
      <c r="N807" s="88"/>
      <c r="O807" s="88"/>
      <c r="P807" s="1191">
        <f>SUM(P777:R806)</f>
        <v>0</v>
      </c>
      <c r="Q807" s="1191"/>
      <c r="R807" s="1191"/>
      <c r="S807" s="1191">
        <f>SUM(S777:V806)</f>
        <v>0</v>
      </c>
      <c r="T807" s="1191"/>
      <c r="U807" s="1191"/>
      <c r="V807" s="1192"/>
    </row>
    <row r="808" spans="1:22">
      <c r="A808" s="63"/>
      <c r="B808" s="64"/>
      <c r="C808" s="64"/>
      <c r="D808" s="64"/>
      <c r="E808" s="64"/>
      <c r="F808" s="64"/>
      <c r="G808" s="64"/>
      <c r="H808" s="64"/>
      <c r="I808" s="65"/>
      <c r="J808" s="64"/>
      <c r="K808" s="66"/>
      <c r="L808" s="64"/>
      <c r="M808" s="65"/>
      <c r="N808" s="64"/>
      <c r="O808" s="64"/>
      <c r="P808" s="1193"/>
      <c r="Q808" s="1193"/>
      <c r="R808" s="1193"/>
      <c r="S808" s="1193"/>
      <c r="T808" s="1193"/>
      <c r="U808" s="1193"/>
      <c r="V808" s="1194"/>
    </row>
    <row r="809" spans="1:22">
      <c r="A809" s="67" t="s">
        <v>460</v>
      </c>
      <c r="B809"/>
      <c r="C809"/>
      <c r="D809"/>
      <c r="E809"/>
      <c r="F809"/>
      <c r="G809"/>
      <c r="H809"/>
      <c r="I809" s="68" t="s">
        <v>353</v>
      </c>
      <c r="J809" s="69"/>
      <c r="K809" s="69"/>
      <c r="L809"/>
      <c r="M809" s="68" t="s">
        <v>461</v>
      </c>
      <c r="N809" s="69"/>
      <c r="O809" s="69"/>
      <c r="P809" s="70"/>
      <c r="Q809" s="70"/>
      <c r="R809" s="70"/>
      <c r="S809" s="70"/>
      <c r="T809" s="70"/>
      <c r="U809" s="70"/>
      <c r="V809" s="71"/>
    </row>
    <row r="810" spans="1:22">
      <c r="A810" s="37"/>
      <c r="B810"/>
      <c r="C810"/>
      <c r="D810"/>
      <c r="E810"/>
      <c r="F810"/>
      <c r="G810"/>
      <c r="H810"/>
      <c r="I810" s="72"/>
      <c r="J810"/>
      <c r="K810"/>
      <c r="L810"/>
      <c r="M810" s="72"/>
      <c r="N810"/>
      <c r="O810"/>
      <c r="P810"/>
      <c r="Q810"/>
      <c r="R810"/>
      <c r="S810"/>
      <c r="T810"/>
      <c r="U810"/>
      <c r="V810" s="73"/>
    </row>
    <row r="811" spans="1:22">
      <c r="A811" s="74" t="s">
        <v>462</v>
      </c>
      <c r="B811" s="75"/>
      <c r="C811" s="75"/>
      <c r="D811" s="75"/>
      <c r="E811" s="75"/>
      <c r="F811" s="75"/>
      <c r="G811" s="75"/>
      <c r="H811" s="76"/>
      <c r="I811" s="77" t="s">
        <v>380</v>
      </c>
      <c r="J811" s="75"/>
      <c r="K811" s="75"/>
      <c r="L811" s="76"/>
      <c r="M811" s="77" t="s">
        <v>3</v>
      </c>
      <c r="N811" s="75"/>
      <c r="O811" s="75"/>
      <c r="P811" s="75"/>
      <c r="Q811" s="75"/>
      <c r="R811" s="75"/>
      <c r="S811" s="75"/>
      <c r="T811" s="75"/>
      <c r="U811" s="75"/>
      <c r="V811" s="78"/>
    </row>
    <row r="812" spans="1:22">
      <c r="A812" s="79" t="s">
        <v>463</v>
      </c>
      <c r="B812" s="80"/>
      <c r="C812" s="80"/>
      <c r="D812" s="80"/>
      <c r="E812" s="80"/>
      <c r="F812" s="80"/>
      <c r="G812" s="80"/>
      <c r="H812" s="80"/>
      <c r="I812" s="81" t="s">
        <v>381</v>
      </c>
      <c r="J812" s="80"/>
      <c r="K812" s="80"/>
      <c r="L812" s="80"/>
      <c r="M812" s="81" t="s">
        <v>464</v>
      </c>
      <c r="N812" s="80"/>
      <c r="O812" s="80"/>
      <c r="P812" s="82"/>
      <c r="Q812" s="82"/>
      <c r="R812" s="82"/>
      <c r="S812" s="82"/>
      <c r="T812" s="82"/>
      <c r="U812" s="82"/>
      <c r="V812" s="83"/>
    </row>
    <row r="813" spans="1:22" ht="16.5" thickBot="1">
      <c r="A813" s="84" t="s">
        <v>465</v>
      </c>
      <c r="B813" s="43"/>
      <c r="C813" s="43"/>
      <c r="D813" s="43"/>
      <c r="E813" s="43"/>
      <c r="F813" s="43"/>
      <c r="G813" s="43"/>
      <c r="H813" s="43"/>
      <c r="I813" s="85"/>
      <c r="J813" s="43"/>
      <c r="K813" s="43"/>
      <c r="L813" s="43"/>
      <c r="M813" s="85"/>
      <c r="N813" s="43"/>
      <c r="O813" s="43"/>
      <c r="P813" s="43"/>
      <c r="Q813" s="43"/>
      <c r="R813" s="43"/>
      <c r="S813" s="43"/>
      <c r="T813" s="43"/>
      <c r="U813" s="43"/>
      <c r="V813" s="44"/>
    </row>
    <row r="814" spans="1:22" ht="22.5">
      <c r="A814" s="31" t="s">
        <v>441</v>
      </c>
      <c r="B814" s="32"/>
      <c r="C814" s="32"/>
      <c r="D814" s="32"/>
      <c r="E814" s="32"/>
      <c r="F814" s="32"/>
      <c r="G814" s="32"/>
      <c r="H814" s="32"/>
      <c r="I814" s="32"/>
      <c r="J814" s="32"/>
      <c r="K814" s="32"/>
      <c r="L814" s="32"/>
      <c r="M814" s="32"/>
      <c r="N814" s="32"/>
      <c r="O814" s="32"/>
      <c r="P814" s="32"/>
      <c r="Q814" s="33"/>
      <c r="R814" s="1218">
        <f>+P854-S854</f>
        <v>0</v>
      </c>
      <c r="S814" s="1219"/>
      <c r="T814" s="1219"/>
      <c r="U814" s="1219"/>
      <c r="V814" s="1220"/>
    </row>
    <row r="815" spans="1:22">
      <c r="A815" s="34" t="s">
        <v>442</v>
      </c>
      <c r="B815" s="35"/>
      <c r="C815" s="35"/>
      <c r="D815" s="35"/>
      <c r="E815" s="35"/>
      <c r="F815" s="35"/>
      <c r="G815" s="35"/>
      <c r="H815" s="35"/>
      <c r="I815" s="35"/>
      <c r="J815" s="35"/>
      <c r="K815" s="35"/>
      <c r="L815" s="35"/>
      <c r="M815" s="35"/>
      <c r="N815" s="35"/>
      <c r="O815" s="35"/>
      <c r="P815" s="35"/>
      <c r="Q815" s="36"/>
      <c r="R815" s="37" t="s">
        <v>443</v>
      </c>
      <c r="S815"/>
      <c r="T815" s="1221"/>
      <c r="U815" s="1221"/>
      <c r="V815" s="1222"/>
    </row>
    <row r="816" spans="1:22">
      <c r="A816" s="38" t="s">
        <v>444</v>
      </c>
      <c r="B816" s="35"/>
      <c r="C816" s="35"/>
      <c r="D816" s="35"/>
      <c r="E816" s="35"/>
      <c r="F816" s="35"/>
      <c r="G816" s="35"/>
      <c r="H816" s="35"/>
      <c r="I816" s="35"/>
      <c r="J816" s="35"/>
      <c r="K816" s="35"/>
      <c r="L816" s="35"/>
      <c r="M816" s="35"/>
      <c r="N816" s="35"/>
      <c r="O816" s="35"/>
      <c r="P816" s="35"/>
      <c r="Q816" s="36"/>
      <c r="R816" s="37" t="s">
        <v>0</v>
      </c>
      <c r="S816"/>
      <c r="T816" s="1223">
        <f>IF(T815=0,0,(LOOKUP(T815,CsDJ[JEV Number],CsDJ[Date])))</f>
        <v>0</v>
      </c>
      <c r="U816" s="1223"/>
      <c r="V816" s="1224"/>
    </row>
    <row r="817" spans="1:22" ht="16.5" thickBot="1">
      <c r="A817" s="39"/>
      <c r="B817" s="40"/>
      <c r="C817" s="40"/>
      <c r="D817" s="40"/>
      <c r="E817" s="40"/>
      <c r="F817" s="40"/>
      <c r="G817" s="40"/>
      <c r="H817" s="40"/>
      <c r="I817" s="40"/>
      <c r="J817" s="40"/>
      <c r="K817" s="40"/>
      <c r="L817" s="40"/>
      <c r="M817" s="40"/>
      <c r="N817" s="40"/>
      <c r="O817" s="40"/>
      <c r="P817" s="40"/>
      <c r="Q817" s="41"/>
      <c r="R817" s="42"/>
      <c r="S817" s="43"/>
      <c r="T817" s="43"/>
      <c r="U817" s="43"/>
      <c r="V817" s="44"/>
    </row>
    <row r="818" spans="1:22">
      <c r="A818" s="45"/>
      <c r="B818" s="46"/>
      <c r="C818" s="46"/>
      <c r="D818" s="46"/>
      <c r="E818" s="46"/>
      <c r="F818" s="46"/>
      <c r="G818" s="46"/>
      <c r="H818" s="46"/>
      <c r="I818" s="46"/>
      <c r="J818" s="46"/>
      <c r="K818" s="46"/>
      <c r="L818" s="47"/>
      <c r="M818" s="46"/>
      <c r="N818" s="46"/>
      <c r="O818" s="46"/>
      <c r="P818" s="46"/>
      <c r="Q818" s="46"/>
      <c r="R818" s="46"/>
      <c r="S818" s="46"/>
      <c r="T818" s="46"/>
      <c r="U818" s="46"/>
      <c r="V818" s="48"/>
    </row>
    <row r="819" spans="1:22">
      <c r="A819" s="49"/>
      <c r="B819" s="1225"/>
      <c r="C819" s="1225"/>
      <c r="D819" s="50" t="s">
        <v>445</v>
      </c>
      <c r="H819" s="51"/>
      <c r="I819" s="25" t="s">
        <v>447</v>
      </c>
      <c r="J819" s="132" t="s">
        <v>446</v>
      </c>
      <c r="K819" s="52" t="s">
        <v>448</v>
      </c>
      <c r="L819" s="52"/>
      <c r="Q819" s="1225"/>
      <c r="R819" s="1225"/>
      <c r="S819" s="50" t="s">
        <v>449</v>
      </c>
      <c r="T819" s="50"/>
      <c r="U819" s="50"/>
      <c r="V819" s="53"/>
    </row>
    <row r="820" spans="1:22" ht="16.5" thickBot="1">
      <c r="A820" s="54"/>
      <c r="B820" s="55"/>
      <c r="C820" s="55"/>
      <c r="D820" s="55"/>
      <c r="E820" s="55"/>
      <c r="F820" s="55"/>
      <c r="G820" s="55"/>
      <c r="H820" s="55"/>
      <c r="I820" s="55"/>
      <c r="J820" s="55"/>
      <c r="K820" s="55"/>
      <c r="L820" s="56"/>
      <c r="M820" s="55"/>
      <c r="N820" s="55"/>
      <c r="O820" s="55"/>
      <c r="P820" s="55"/>
      <c r="Q820" s="55"/>
      <c r="R820" s="55"/>
      <c r="S820" s="55"/>
      <c r="T820" s="55"/>
      <c r="U820" s="55"/>
      <c r="V820" s="57"/>
    </row>
    <row r="821" spans="1:22">
      <c r="A821" s="1226" t="s">
        <v>397</v>
      </c>
      <c r="B821" s="1227"/>
      <c r="C821" s="1227"/>
      <c r="D821" s="1228"/>
      <c r="E821" s="1235" t="s">
        <v>450</v>
      </c>
      <c r="F821" s="1235"/>
      <c r="G821" s="1235"/>
      <c r="H821" s="1235"/>
      <c r="I821" s="1235"/>
      <c r="J821" s="1235"/>
      <c r="K821" s="1235"/>
      <c r="L821" s="1235"/>
      <c r="M821" s="1235"/>
      <c r="N821" s="1235"/>
      <c r="O821" s="1235"/>
      <c r="P821" s="1235"/>
      <c r="Q821" s="1235"/>
      <c r="R821" s="1235"/>
      <c r="S821" s="1235"/>
      <c r="T821" s="1235"/>
      <c r="U821" s="1235"/>
      <c r="V821" s="1236"/>
    </row>
    <row r="822" spans="1:22">
      <c r="A822" s="1229"/>
      <c r="B822" s="1230"/>
      <c r="C822" s="1230"/>
      <c r="D822" s="1231"/>
      <c r="E822" s="1237" t="s">
        <v>451</v>
      </c>
      <c r="F822" s="1237"/>
      <c r="G822" s="1237"/>
      <c r="H822" s="1237"/>
      <c r="I822" s="1237"/>
      <c r="J822" s="1237"/>
      <c r="K822" s="1239" t="s">
        <v>378</v>
      </c>
      <c r="L822" s="1239"/>
      <c r="M822" s="1237" t="s">
        <v>452</v>
      </c>
      <c r="N822" s="1240" t="s">
        <v>453</v>
      </c>
      <c r="O822" s="1241"/>
      <c r="P822" s="1241"/>
      <c r="Q822" s="1241"/>
      <c r="R822" s="1241"/>
      <c r="S822" s="1241"/>
      <c r="T822" s="1241"/>
      <c r="U822" s="1241"/>
      <c r="V822" s="1242"/>
    </row>
    <row r="823" spans="1:22" ht="16.5" customHeight="1" thickBot="1">
      <c r="A823" s="1232"/>
      <c r="B823" s="1233"/>
      <c r="C823" s="1233"/>
      <c r="D823" s="1234"/>
      <c r="E823" s="1238"/>
      <c r="F823" s="1238"/>
      <c r="G823" s="1238"/>
      <c r="H823" s="1238"/>
      <c r="I823" s="1238"/>
      <c r="J823" s="1238"/>
      <c r="K823" s="58" t="s">
        <v>454</v>
      </c>
      <c r="L823" s="58" t="s">
        <v>455</v>
      </c>
      <c r="M823" s="1238"/>
      <c r="N823" s="87" t="s">
        <v>466</v>
      </c>
      <c r="O823" s="87" t="s">
        <v>467</v>
      </c>
      <c r="P823" s="1243" t="s">
        <v>1</v>
      </c>
      <c r="Q823" s="1244"/>
      <c r="R823" s="1245"/>
      <c r="S823" s="1243" t="s">
        <v>2</v>
      </c>
      <c r="T823" s="1244"/>
      <c r="U823" s="1244"/>
      <c r="V823" s="1246"/>
    </row>
    <row r="824" spans="1:22" ht="19.5">
      <c r="A824" s="1210">
        <f>P854-S854</f>
        <v>0</v>
      </c>
      <c r="B824" s="1211"/>
      <c r="C824" s="1211"/>
      <c r="D824" s="1211"/>
      <c r="E824" s="1212" t="str">
        <f>Account!$G$1</f>
        <v>FUND 501 CARP</v>
      </c>
      <c r="F824" s="1213"/>
      <c r="G824" s="1213"/>
      <c r="H824" s="1213"/>
      <c r="I824" s="1213"/>
      <c r="J824" s="1214"/>
      <c r="K824" s="59"/>
      <c r="L824" s="59"/>
      <c r="M824" s="60"/>
      <c r="N824" s="60"/>
      <c r="O824" s="60"/>
      <c r="P824" s="1215"/>
      <c r="Q824" s="1215"/>
      <c r="R824" s="1215"/>
      <c r="S824" s="1215"/>
      <c r="T824" s="1215"/>
      <c r="U824" s="1215"/>
      <c r="V824" s="1216"/>
    </row>
    <row r="825" spans="1:22">
      <c r="A825" s="1195"/>
      <c r="B825" s="1196"/>
      <c r="C825" s="1196"/>
      <c r="D825" s="1196"/>
      <c r="E825" s="1196"/>
      <c r="F825" s="1196"/>
      <c r="G825" s="1196"/>
      <c r="H825" s="1196"/>
      <c r="I825" s="1196"/>
      <c r="J825" s="1196"/>
      <c r="K825" s="61"/>
      <c r="L825" s="61"/>
      <c r="M825" s="14"/>
      <c r="N825" s="14"/>
      <c r="O825" s="14"/>
      <c r="P825" s="1196"/>
      <c r="Q825" s="1196"/>
      <c r="R825" s="1196"/>
      <c r="S825" s="1196"/>
      <c r="T825" s="1196"/>
      <c r="U825" s="1196"/>
      <c r="V825" s="1217"/>
    </row>
    <row r="826" spans="1:22">
      <c r="A826" s="1195"/>
      <c r="B826" s="1196"/>
      <c r="C826" s="1196"/>
      <c r="D826" s="1196"/>
      <c r="E826" s="1197" t="str">
        <f t="shared" ref="E826:E848" si="68">IF(K826=0,"",(VLOOKUP((TRIM(K826)),Code,2,)))</f>
        <v/>
      </c>
      <c r="F826" s="1198"/>
      <c r="G826" s="1198"/>
      <c r="H826" s="1198"/>
      <c r="I826" s="1198"/>
      <c r="J826" s="1199"/>
      <c r="K826" s="133"/>
      <c r="L826" s="62" t="str">
        <f t="shared" ref="L826:L853" si="69">IF(K826=0,"",VLOOKUP((TRIM(K826)),Code,3,))</f>
        <v/>
      </c>
      <c r="M826" s="14"/>
      <c r="N826" s="89">
        <f t="array" ref="N826">SUM(IF((CsDJ[JEV Number]=TRIM($T815))*(CsDJ[Account Code]=TRIM(K826)),CsDJ[Debit]))</f>
        <v>0</v>
      </c>
      <c r="O826" s="89">
        <f t="array" ref="O826">SUM(IF((CsDJ[JEV Number]=TRIM($T815))*(CsDJ[Account Code]=TRIM(K826)),CsDJ[Credit]))</f>
        <v>0</v>
      </c>
      <c r="P826" s="1200">
        <f>N826</f>
        <v>0</v>
      </c>
      <c r="Q826" s="1200"/>
      <c r="R826" s="1200"/>
      <c r="S826" s="1200">
        <f>O826</f>
        <v>0</v>
      </c>
      <c r="T826" s="1200"/>
      <c r="U826" s="1200"/>
      <c r="V826" s="1201"/>
    </row>
    <row r="827" spans="1:22">
      <c r="A827" s="1195"/>
      <c r="B827" s="1196"/>
      <c r="C827" s="1196"/>
      <c r="D827" s="1196"/>
      <c r="E827" s="1197" t="str">
        <f t="shared" si="68"/>
        <v/>
      </c>
      <c r="F827" s="1198"/>
      <c r="G827" s="1198"/>
      <c r="H827" s="1198"/>
      <c r="I827" s="1198"/>
      <c r="J827" s="1199"/>
      <c r="K827" s="133"/>
      <c r="L827" s="62" t="str">
        <f t="shared" si="69"/>
        <v/>
      </c>
      <c r="M827" s="14"/>
      <c r="N827" s="89">
        <f t="array" ref="N827">SUM(IF((CsDJ[JEV Number]=TRIM($T815))*(CsDJ[Account Code]=TRIM(K827)),CsDJ[Debit]))</f>
        <v>0</v>
      </c>
      <c r="O827" s="89">
        <f t="array" ref="O827">SUM(IF((CsDJ[JEV Number]=TRIM($T815))*(CsDJ[Account Code]=TRIM(K827)),CsDJ[Credit]))</f>
        <v>0</v>
      </c>
      <c r="P827" s="1200">
        <f>N827</f>
        <v>0</v>
      </c>
      <c r="Q827" s="1200"/>
      <c r="R827" s="1200"/>
      <c r="S827" s="1200">
        <f>O827</f>
        <v>0</v>
      </c>
      <c r="T827" s="1200"/>
      <c r="U827" s="1200"/>
      <c r="V827" s="1201"/>
    </row>
    <row r="828" spans="1:22">
      <c r="A828" s="1195"/>
      <c r="B828" s="1196"/>
      <c r="C828" s="1196"/>
      <c r="D828" s="1196"/>
      <c r="E828" s="1197" t="str">
        <f t="shared" si="68"/>
        <v/>
      </c>
      <c r="F828" s="1198"/>
      <c r="G828" s="1198"/>
      <c r="H828" s="1198"/>
      <c r="I828" s="1198"/>
      <c r="J828" s="1199"/>
      <c r="K828" s="133"/>
      <c r="L828" s="62" t="str">
        <f t="shared" si="69"/>
        <v/>
      </c>
      <c r="M828" s="14"/>
      <c r="N828" s="89">
        <f t="array" ref="N828">SUM(IF((CsDJ[JEV Number]=TRIM($T815))*(CsDJ[Account Code]=TRIM(K828)),CsDJ[Debit]))</f>
        <v>0</v>
      </c>
      <c r="O828" s="89">
        <f t="array" ref="O828">SUM(IF((CsDJ[JEV Number]=TRIM($T815))*(CsDJ[Account Code]=TRIM(K828)),CsDJ[Credit]))</f>
        <v>0</v>
      </c>
      <c r="P828" s="1200">
        <f t="shared" ref="P828:P853" si="70">N828</f>
        <v>0</v>
      </c>
      <c r="Q828" s="1200"/>
      <c r="R828" s="1200"/>
      <c r="S828" s="1200">
        <f t="shared" ref="S828:S853" si="71">O828</f>
        <v>0</v>
      </c>
      <c r="T828" s="1200"/>
      <c r="U828" s="1200"/>
      <c r="V828" s="1201"/>
    </row>
    <row r="829" spans="1:22">
      <c r="A829" s="1195"/>
      <c r="B829" s="1196"/>
      <c r="C829" s="1196"/>
      <c r="D829" s="1196"/>
      <c r="E829" s="1197" t="str">
        <f t="shared" si="68"/>
        <v/>
      </c>
      <c r="F829" s="1198"/>
      <c r="G829" s="1198"/>
      <c r="H829" s="1198"/>
      <c r="I829" s="1198"/>
      <c r="J829" s="1199"/>
      <c r="K829" s="133"/>
      <c r="L829" s="62" t="str">
        <f t="shared" si="69"/>
        <v/>
      </c>
      <c r="M829" s="14"/>
      <c r="N829" s="89">
        <f t="array" ref="N829">SUM(IF((CsDJ[JEV Number]=TRIM($T815))*(CsDJ[Account Code]=TRIM(K829)),CsDJ[Debit]))</f>
        <v>0</v>
      </c>
      <c r="O829" s="89">
        <f t="array" ref="O829">SUM(IF((CsDJ[JEV Number]=TRIM($T815))*(CsDJ[Account Code]=TRIM(K829)),CsDJ[Credit]))</f>
        <v>0</v>
      </c>
      <c r="P829" s="1200">
        <f t="shared" si="70"/>
        <v>0</v>
      </c>
      <c r="Q829" s="1200"/>
      <c r="R829" s="1200"/>
      <c r="S829" s="1200">
        <f t="shared" si="71"/>
        <v>0</v>
      </c>
      <c r="T829" s="1200"/>
      <c r="U829" s="1200"/>
      <c r="V829" s="1201"/>
    </row>
    <row r="830" spans="1:22">
      <c r="A830" s="1195"/>
      <c r="B830" s="1196"/>
      <c r="C830" s="1196"/>
      <c r="D830" s="1196"/>
      <c r="E830" s="1197" t="str">
        <f t="shared" si="68"/>
        <v/>
      </c>
      <c r="F830" s="1198"/>
      <c r="G830" s="1198"/>
      <c r="H830" s="1198"/>
      <c r="I830" s="1198"/>
      <c r="J830" s="1199"/>
      <c r="K830" s="133"/>
      <c r="L830" s="62" t="str">
        <f t="shared" si="69"/>
        <v/>
      </c>
      <c r="M830" s="14"/>
      <c r="N830" s="89">
        <f t="array" ref="N830">SUM(IF((CsDJ[JEV Number]=TRIM($T815))*(CsDJ[Account Code]=TRIM(K830)),CsDJ[Debit]))</f>
        <v>0</v>
      </c>
      <c r="O830" s="89">
        <f t="array" ref="O830">SUM(IF((CsDJ[JEV Number]=TRIM($T815))*(CsDJ[Account Code]=TRIM(K830)),CsDJ[Credit]))</f>
        <v>0</v>
      </c>
      <c r="P830" s="1200">
        <f t="shared" si="70"/>
        <v>0</v>
      </c>
      <c r="Q830" s="1200"/>
      <c r="R830" s="1200"/>
      <c r="S830" s="1200">
        <f t="shared" si="71"/>
        <v>0</v>
      </c>
      <c r="T830" s="1200"/>
      <c r="U830" s="1200"/>
      <c r="V830" s="1201"/>
    </row>
    <row r="831" spans="1:22">
      <c r="A831" s="1195"/>
      <c r="B831" s="1196"/>
      <c r="C831" s="1196"/>
      <c r="D831" s="1196"/>
      <c r="E831" s="1197" t="str">
        <f t="shared" si="68"/>
        <v/>
      </c>
      <c r="F831" s="1198"/>
      <c r="G831" s="1198"/>
      <c r="H831" s="1198"/>
      <c r="I831" s="1198"/>
      <c r="J831" s="1199"/>
      <c r="K831" s="133"/>
      <c r="L831" s="62" t="str">
        <f t="shared" si="69"/>
        <v/>
      </c>
      <c r="M831" s="14"/>
      <c r="N831" s="89">
        <f t="array" ref="N831">SUM(IF((CsDJ[JEV Number]=TRIM($T815))*(CsDJ[Account Code]=TRIM(K831)),CsDJ[Debit]))</f>
        <v>0</v>
      </c>
      <c r="O831" s="89">
        <f t="array" ref="O831">SUM(IF((CsDJ[JEV Number]=TRIM($T815))*(CsDJ[Account Code]=TRIM(K831)),CsDJ[Credit]))</f>
        <v>0</v>
      </c>
      <c r="P831" s="1200">
        <f t="shared" si="70"/>
        <v>0</v>
      </c>
      <c r="Q831" s="1200"/>
      <c r="R831" s="1200"/>
      <c r="S831" s="1200">
        <f t="shared" si="71"/>
        <v>0</v>
      </c>
      <c r="T831" s="1200"/>
      <c r="U831" s="1200"/>
      <c r="V831" s="1201"/>
    </row>
    <row r="832" spans="1:22">
      <c r="A832" s="1195"/>
      <c r="B832" s="1196"/>
      <c r="C832" s="1196"/>
      <c r="D832" s="1196"/>
      <c r="E832" s="1197" t="str">
        <f t="shared" si="68"/>
        <v/>
      </c>
      <c r="F832" s="1198"/>
      <c r="G832" s="1198"/>
      <c r="H832" s="1198"/>
      <c r="I832" s="1198"/>
      <c r="J832" s="1199"/>
      <c r="K832" s="133"/>
      <c r="L832" s="62" t="str">
        <f t="shared" si="69"/>
        <v/>
      </c>
      <c r="M832" s="14"/>
      <c r="N832" s="89">
        <f t="array" ref="N832">SUM(IF((CsDJ[JEV Number]=TRIM($T815))*(CsDJ[Account Code]=TRIM(K832)),CsDJ[Debit]))</f>
        <v>0</v>
      </c>
      <c r="O832" s="89">
        <f t="array" ref="O832">SUM(IF((CsDJ[JEV Number]=TRIM($T815))*(CsDJ[Account Code]=TRIM(K832)),CsDJ[Credit]))</f>
        <v>0</v>
      </c>
      <c r="P832" s="1200">
        <f t="shared" si="70"/>
        <v>0</v>
      </c>
      <c r="Q832" s="1200"/>
      <c r="R832" s="1200"/>
      <c r="S832" s="1200">
        <f t="shared" si="71"/>
        <v>0</v>
      </c>
      <c r="T832" s="1200"/>
      <c r="U832" s="1200"/>
      <c r="V832" s="1201"/>
    </row>
    <row r="833" spans="1:22">
      <c r="A833" s="1195"/>
      <c r="B833" s="1196"/>
      <c r="C833" s="1196"/>
      <c r="D833" s="1196"/>
      <c r="E833" s="1197" t="str">
        <f t="shared" si="68"/>
        <v/>
      </c>
      <c r="F833" s="1198"/>
      <c r="G833" s="1198"/>
      <c r="H833" s="1198"/>
      <c r="I833" s="1198"/>
      <c r="J833" s="1199"/>
      <c r="K833" s="133"/>
      <c r="L833" s="62" t="str">
        <f t="shared" si="69"/>
        <v/>
      </c>
      <c r="M833" s="14"/>
      <c r="N833" s="89">
        <f t="array" ref="N833">SUM(IF((CsDJ[JEV Number]=TRIM($T815))*(CsDJ[Account Code]=TRIM(K833)),CsDJ[Debit]))</f>
        <v>0</v>
      </c>
      <c r="O833" s="89">
        <f t="array" ref="O833">SUM(IF((CsDJ[JEV Number]=TRIM($T815))*(CsDJ[Account Code]=TRIM(K833)),CsDJ[Credit]))</f>
        <v>0</v>
      </c>
      <c r="P833" s="1200">
        <f t="shared" si="70"/>
        <v>0</v>
      </c>
      <c r="Q833" s="1200"/>
      <c r="R833" s="1200"/>
      <c r="S833" s="1200">
        <f t="shared" si="71"/>
        <v>0</v>
      </c>
      <c r="T833" s="1200"/>
      <c r="U833" s="1200"/>
      <c r="V833" s="1201"/>
    </row>
    <row r="834" spans="1:22">
      <c r="A834" s="1195"/>
      <c r="B834" s="1196"/>
      <c r="C834" s="1196"/>
      <c r="D834" s="1196"/>
      <c r="E834" s="1197" t="str">
        <f t="shared" si="68"/>
        <v/>
      </c>
      <c r="F834" s="1198"/>
      <c r="G834" s="1198"/>
      <c r="H834" s="1198"/>
      <c r="I834" s="1198"/>
      <c r="J834" s="1199"/>
      <c r="K834" s="134"/>
      <c r="L834" s="62" t="str">
        <f t="shared" si="69"/>
        <v/>
      </c>
      <c r="M834" s="14"/>
      <c r="N834" s="89">
        <f t="array" ref="N834">SUM(IF((CsDJ[JEV Number]=TRIM($T815))*(CsDJ[Account Code]=TRIM(K834)),CsDJ[Debit]))</f>
        <v>0</v>
      </c>
      <c r="O834" s="89">
        <f t="array" ref="O834">SUM(IF((CsDJ[JEV Number]=TRIM($T815))*(CsDJ[Account Code]=TRIM(K834)),CsDJ[Credit]))</f>
        <v>0</v>
      </c>
      <c r="P834" s="1200">
        <f t="shared" si="70"/>
        <v>0</v>
      </c>
      <c r="Q834" s="1200"/>
      <c r="R834" s="1200"/>
      <c r="S834" s="1200">
        <f t="shared" si="71"/>
        <v>0</v>
      </c>
      <c r="T834" s="1200"/>
      <c r="U834" s="1200"/>
      <c r="V834" s="1201"/>
    </row>
    <row r="835" spans="1:22">
      <c r="A835" s="1195"/>
      <c r="B835" s="1196"/>
      <c r="C835" s="1196"/>
      <c r="D835" s="1196"/>
      <c r="E835" s="1197" t="str">
        <f t="shared" si="68"/>
        <v/>
      </c>
      <c r="F835" s="1198"/>
      <c r="G835" s="1198"/>
      <c r="H835" s="1198"/>
      <c r="I835" s="1198"/>
      <c r="J835" s="1199"/>
      <c r="K835" s="134"/>
      <c r="L835" s="62" t="str">
        <f t="shared" si="69"/>
        <v/>
      </c>
      <c r="M835" s="14"/>
      <c r="N835" s="89">
        <f t="array" ref="N835">SUM(IF((CsDJ[JEV Number]=TRIM($T815))*(CsDJ[Account Code]=TRIM(K835)),CsDJ[Debit]))</f>
        <v>0</v>
      </c>
      <c r="O835" s="89">
        <f t="array" ref="O835">SUM(IF((CsDJ[JEV Number]=TRIM($T815))*(CsDJ[Account Code]=TRIM(K835)),CsDJ[Credit]))</f>
        <v>0</v>
      </c>
      <c r="P835" s="1200">
        <f t="shared" si="70"/>
        <v>0</v>
      </c>
      <c r="Q835" s="1200"/>
      <c r="R835" s="1200"/>
      <c r="S835" s="1200">
        <f t="shared" si="71"/>
        <v>0</v>
      </c>
      <c r="T835" s="1200"/>
      <c r="U835" s="1200"/>
      <c r="V835" s="1201"/>
    </row>
    <row r="836" spans="1:22">
      <c r="A836" s="1195"/>
      <c r="B836" s="1196"/>
      <c r="C836" s="1196"/>
      <c r="D836" s="1196"/>
      <c r="E836" s="1197" t="str">
        <f t="shared" si="68"/>
        <v/>
      </c>
      <c r="F836" s="1198"/>
      <c r="G836" s="1198"/>
      <c r="H836" s="1198"/>
      <c r="I836" s="1198"/>
      <c r="J836" s="1199"/>
      <c r="K836" s="134"/>
      <c r="L836" s="62" t="str">
        <f t="shared" si="69"/>
        <v/>
      </c>
      <c r="M836" s="14"/>
      <c r="N836" s="89">
        <f t="array" ref="N836">SUM(IF((CsDJ[JEV Number]=TRIM($T815))*(CsDJ[Account Code]=TRIM(K836)),CsDJ[Debit]))</f>
        <v>0</v>
      </c>
      <c r="O836" s="89">
        <f t="array" ref="O836">SUM(IF((CsDJ[JEV Number]=TRIM($T815))*(CsDJ[Account Code]=TRIM(K836)),CsDJ[Credit]))</f>
        <v>0</v>
      </c>
      <c r="P836" s="1200">
        <f t="shared" si="70"/>
        <v>0</v>
      </c>
      <c r="Q836" s="1200"/>
      <c r="R836" s="1200"/>
      <c r="S836" s="1200">
        <f t="shared" si="71"/>
        <v>0</v>
      </c>
      <c r="T836" s="1200"/>
      <c r="U836" s="1200"/>
      <c r="V836" s="1201"/>
    </row>
    <row r="837" spans="1:22">
      <c r="A837" s="1195"/>
      <c r="B837" s="1196"/>
      <c r="C837" s="1196"/>
      <c r="D837" s="1196"/>
      <c r="E837" s="1197" t="str">
        <f t="shared" si="68"/>
        <v/>
      </c>
      <c r="F837" s="1198"/>
      <c r="G837" s="1198"/>
      <c r="H837" s="1198"/>
      <c r="I837" s="1198"/>
      <c r="J837" s="1199"/>
      <c r="K837" s="134"/>
      <c r="L837" s="62" t="str">
        <f t="shared" si="69"/>
        <v/>
      </c>
      <c r="M837" s="14"/>
      <c r="N837" s="89">
        <f t="array" ref="N837">SUM(IF((CsDJ[JEV Number]=TRIM($T815))*(CsDJ[Account Code]=TRIM(K837)),CsDJ[Debit]))</f>
        <v>0</v>
      </c>
      <c r="O837" s="89">
        <f t="array" ref="O837">SUM(IF((CsDJ[JEV Number]=TRIM($T815))*(CsDJ[Account Code]=TRIM(K837)),CsDJ[Credit]))</f>
        <v>0</v>
      </c>
      <c r="P837" s="1200">
        <f t="shared" si="70"/>
        <v>0</v>
      </c>
      <c r="Q837" s="1200"/>
      <c r="R837" s="1200"/>
      <c r="S837" s="1200">
        <f t="shared" si="71"/>
        <v>0</v>
      </c>
      <c r="T837" s="1200"/>
      <c r="U837" s="1200"/>
      <c r="V837" s="1201"/>
    </row>
    <row r="838" spans="1:22">
      <c r="A838" s="1195"/>
      <c r="B838" s="1196"/>
      <c r="C838" s="1196"/>
      <c r="D838" s="1196"/>
      <c r="E838" s="1197" t="str">
        <f t="shared" si="68"/>
        <v/>
      </c>
      <c r="F838" s="1198"/>
      <c r="G838" s="1198"/>
      <c r="H838" s="1198"/>
      <c r="I838" s="1198"/>
      <c r="J838" s="1199"/>
      <c r="K838" s="134"/>
      <c r="L838" s="62" t="str">
        <f t="shared" si="69"/>
        <v/>
      </c>
      <c r="M838" s="14"/>
      <c r="N838" s="89">
        <f t="array" ref="N838">SUM(IF((CsDJ[JEV Number]=TRIM($T815))*(CsDJ[Account Code]=TRIM(K838)),CsDJ[Debit]))</f>
        <v>0</v>
      </c>
      <c r="O838" s="89">
        <f t="array" ref="O838">SUM(IF((CsDJ[JEV Number]=TRIM($T815))*(CsDJ[Account Code]=TRIM(K838)),CsDJ[Credit]))</f>
        <v>0</v>
      </c>
      <c r="P838" s="1200">
        <f t="shared" si="70"/>
        <v>0</v>
      </c>
      <c r="Q838" s="1200"/>
      <c r="R838" s="1200"/>
      <c r="S838" s="1200">
        <f t="shared" si="71"/>
        <v>0</v>
      </c>
      <c r="T838" s="1200"/>
      <c r="U838" s="1200"/>
      <c r="V838" s="1201"/>
    </row>
    <row r="839" spans="1:22">
      <c r="A839" s="1195"/>
      <c r="B839" s="1196"/>
      <c r="C839" s="1196"/>
      <c r="D839" s="1196"/>
      <c r="E839" s="1197" t="str">
        <f t="shared" si="68"/>
        <v/>
      </c>
      <c r="F839" s="1198"/>
      <c r="G839" s="1198"/>
      <c r="H839" s="1198"/>
      <c r="I839" s="1198"/>
      <c r="J839" s="1199"/>
      <c r="K839" s="134"/>
      <c r="L839" s="62" t="str">
        <f t="shared" si="69"/>
        <v/>
      </c>
      <c r="M839" s="14"/>
      <c r="N839" s="89">
        <f t="array" ref="N839">SUM(IF((CsDJ[JEV Number]=TRIM($T815))*(CsDJ[Account Code]=TRIM(K839)),CsDJ[Debit]))</f>
        <v>0</v>
      </c>
      <c r="O839" s="89">
        <f t="array" ref="O839">SUM(IF((CsDJ[JEV Number]=TRIM($T815))*(CsDJ[Account Code]=TRIM(K839)),CsDJ[Credit]))</f>
        <v>0</v>
      </c>
      <c r="P839" s="1200">
        <f t="shared" si="70"/>
        <v>0</v>
      </c>
      <c r="Q839" s="1200"/>
      <c r="R839" s="1200"/>
      <c r="S839" s="1200">
        <f t="shared" si="71"/>
        <v>0</v>
      </c>
      <c r="T839" s="1200"/>
      <c r="U839" s="1200"/>
      <c r="V839" s="1201"/>
    </row>
    <row r="840" spans="1:22">
      <c r="A840" s="1195"/>
      <c r="B840" s="1196"/>
      <c r="C840" s="1196"/>
      <c r="D840" s="1196"/>
      <c r="E840" s="1197" t="str">
        <f t="shared" si="68"/>
        <v/>
      </c>
      <c r="F840" s="1198"/>
      <c r="G840" s="1198"/>
      <c r="H840" s="1198"/>
      <c r="I840" s="1198"/>
      <c r="J840" s="1199"/>
      <c r="K840" s="134"/>
      <c r="L840" s="62" t="str">
        <f t="shared" si="69"/>
        <v/>
      </c>
      <c r="M840" s="14"/>
      <c r="N840" s="89">
        <f t="array" ref="N840">SUM(IF((CsDJ[JEV Number]=TRIM($T815))*(CsDJ[Account Code]=TRIM(K840)),CsDJ[Debit]))</f>
        <v>0</v>
      </c>
      <c r="O840" s="89">
        <f t="array" ref="O840">SUM(IF((CsDJ[JEV Number]=TRIM($T815))*(CsDJ[Account Code]=TRIM(K840)),CsDJ[Credit]))</f>
        <v>0</v>
      </c>
      <c r="P840" s="1200">
        <f t="shared" si="70"/>
        <v>0</v>
      </c>
      <c r="Q840" s="1200"/>
      <c r="R840" s="1200"/>
      <c r="S840" s="1200">
        <f t="shared" si="71"/>
        <v>0</v>
      </c>
      <c r="T840" s="1200"/>
      <c r="U840" s="1200"/>
      <c r="V840" s="1201"/>
    </row>
    <row r="841" spans="1:22">
      <c r="A841" s="1195"/>
      <c r="B841" s="1196"/>
      <c r="C841" s="1196"/>
      <c r="D841" s="1196"/>
      <c r="E841" s="1197" t="str">
        <f t="shared" si="68"/>
        <v/>
      </c>
      <c r="F841" s="1198"/>
      <c r="G841" s="1198"/>
      <c r="H841" s="1198"/>
      <c r="I841" s="1198"/>
      <c r="J841" s="1199"/>
      <c r="K841" s="134"/>
      <c r="L841" s="62" t="str">
        <f t="shared" si="69"/>
        <v/>
      </c>
      <c r="M841" s="14"/>
      <c r="N841" s="89">
        <f t="array" ref="N841">SUM(IF((CsDJ[JEV Number]=TRIM($T815))*(CsDJ[Account Code]=TRIM(K841)),CsDJ[Debit]))</f>
        <v>0</v>
      </c>
      <c r="O841" s="89">
        <f t="array" ref="O841">SUM(IF((CsDJ[JEV Number]=TRIM($T815))*(CsDJ[Account Code]=TRIM(K841)),CsDJ[Credit]))</f>
        <v>0</v>
      </c>
      <c r="P841" s="1200">
        <f t="shared" si="70"/>
        <v>0</v>
      </c>
      <c r="Q841" s="1200"/>
      <c r="R841" s="1200"/>
      <c r="S841" s="1200">
        <f t="shared" si="71"/>
        <v>0</v>
      </c>
      <c r="T841" s="1200"/>
      <c r="U841" s="1200"/>
      <c r="V841" s="1201"/>
    </row>
    <row r="842" spans="1:22">
      <c r="A842" s="1195"/>
      <c r="B842" s="1196"/>
      <c r="C842" s="1196"/>
      <c r="D842" s="1196"/>
      <c r="E842" s="1197" t="str">
        <f t="shared" si="68"/>
        <v/>
      </c>
      <c r="F842" s="1198"/>
      <c r="G842" s="1198"/>
      <c r="H842" s="1198"/>
      <c r="I842" s="1198"/>
      <c r="J842" s="1199"/>
      <c r="K842" s="134"/>
      <c r="L842" s="62" t="str">
        <f t="shared" si="69"/>
        <v/>
      </c>
      <c r="M842" s="14"/>
      <c r="N842" s="89">
        <f t="array" ref="N842">SUM(IF((CsDJ[JEV Number]=TRIM($T815))*(CsDJ[Account Code]=TRIM(K842)),CsDJ[Debit]))</f>
        <v>0</v>
      </c>
      <c r="O842" s="89">
        <f t="array" ref="O842">SUM(IF((CsDJ[JEV Number]=TRIM($T815))*(CsDJ[Account Code]=TRIM(K842)),CsDJ[Credit]))</f>
        <v>0</v>
      </c>
      <c r="P842" s="1200">
        <f t="shared" si="70"/>
        <v>0</v>
      </c>
      <c r="Q842" s="1200"/>
      <c r="R842" s="1200"/>
      <c r="S842" s="1200">
        <f t="shared" si="71"/>
        <v>0</v>
      </c>
      <c r="T842" s="1200"/>
      <c r="U842" s="1200"/>
      <c r="V842" s="1201"/>
    </row>
    <row r="843" spans="1:22">
      <c r="A843" s="1195"/>
      <c r="B843" s="1196"/>
      <c r="C843" s="1196"/>
      <c r="D843" s="1196"/>
      <c r="E843" s="1197" t="str">
        <f t="shared" si="68"/>
        <v/>
      </c>
      <c r="F843" s="1198"/>
      <c r="G843" s="1198"/>
      <c r="H843" s="1198"/>
      <c r="I843" s="1198"/>
      <c r="J843" s="1199"/>
      <c r="K843" s="134"/>
      <c r="L843" s="62" t="str">
        <f t="shared" si="69"/>
        <v/>
      </c>
      <c r="M843" s="14"/>
      <c r="N843" s="89">
        <f t="array" ref="N843">SUM(IF((CsDJ[JEV Number]=TRIM($T815))*(CsDJ[Account Code]=TRIM(K843)),CsDJ[Debit]))</f>
        <v>0</v>
      </c>
      <c r="O843" s="89">
        <f t="array" ref="O843">SUM(IF((CsDJ[JEV Number]=TRIM($T815))*(CsDJ[Account Code]=TRIM(K843)),CsDJ[Credit]))</f>
        <v>0</v>
      </c>
      <c r="P843" s="1200">
        <f t="shared" si="70"/>
        <v>0</v>
      </c>
      <c r="Q843" s="1200"/>
      <c r="R843" s="1200"/>
      <c r="S843" s="1200">
        <f t="shared" si="71"/>
        <v>0</v>
      </c>
      <c r="T843" s="1200"/>
      <c r="U843" s="1200"/>
      <c r="V843" s="1201"/>
    </row>
    <row r="844" spans="1:22">
      <c r="A844" s="1195"/>
      <c r="B844" s="1196"/>
      <c r="C844" s="1196"/>
      <c r="D844" s="1196"/>
      <c r="E844" s="1197" t="str">
        <f t="shared" si="68"/>
        <v/>
      </c>
      <c r="F844" s="1198"/>
      <c r="G844" s="1198"/>
      <c r="H844" s="1198"/>
      <c r="I844" s="1198"/>
      <c r="J844" s="1199"/>
      <c r="K844" s="134"/>
      <c r="L844" s="62" t="str">
        <f t="shared" si="69"/>
        <v/>
      </c>
      <c r="M844" s="14"/>
      <c r="N844" s="89">
        <f t="array" ref="N844">SUM(IF((CsDJ[JEV Number]=TRIM($T815))*(CsDJ[Account Code]=TRIM(K844)),CsDJ[Debit]))</f>
        <v>0</v>
      </c>
      <c r="O844" s="89">
        <f t="array" ref="O844">SUM(IF((CsDJ[JEV Number]=TRIM($T815))*(CsDJ[Account Code]=TRIM(K844)),CsDJ[Credit]))</f>
        <v>0</v>
      </c>
      <c r="P844" s="1200">
        <f t="shared" si="70"/>
        <v>0</v>
      </c>
      <c r="Q844" s="1200"/>
      <c r="R844" s="1200"/>
      <c r="S844" s="1200">
        <f t="shared" si="71"/>
        <v>0</v>
      </c>
      <c r="T844" s="1200"/>
      <c r="U844" s="1200"/>
      <c r="V844" s="1201"/>
    </row>
    <row r="845" spans="1:22">
      <c r="A845" s="1195"/>
      <c r="B845" s="1196"/>
      <c r="C845" s="1196"/>
      <c r="D845" s="1196"/>
      <c r="E845" s="1197" t="str">
        <f t="shared" si="68"/>
        <v/>
      </c>
      <c r="F845" s="1198"/>
      <c r="G845" s="1198"/>
      <c r="H845" s="1198"/>
      <c r="I845" s="1198"/>
      <c r="J845" s="1199"/>
      <c r="K845" s="134"/>
      <c r="L845" s="62" t="str">
        <f t="shared" si="69"/>
        <v/>
      </c>
      <c r="M845" s="14"/>
      <c r="N845" s="89">
        <f t="array" ref="N845">SUM(IF((CsDJ[JEV Number]=TRIM($T815))*(CsDJ[Account Code]=TRIM(K845)),CsDJ[Debit]))</f>
        <v>0</v>
      </c>
      <c r="O845" s="89">
        <f t="array" ref="O845">SUM(IF((CsDJ[JEV Number]=TRIM($T815))*(CsDJ[Account Code]=TRIM(K845)),CsDJ[Credit]))</f>
        <v>0</v>
      </c>
      <c r="P845" s="1200">
        <f t="shared" si="70"/>
        <v>0</v>
      </c>
      <c r="Q845" s="1200"/>
      <c r="R845" s="1200"/>
      <c r="S845" s="1200">
        <f t="shared" si="71"/>
        <v>0</v>
      </c>
      <c r="T845" s="1200"/>
      <c r="U845" s="1200"/>
      <c r="V845" s="1201"/>
    </row>
    <row r="846" spans="1:22">
      <c r="A846" s="1195"/>
      <c r="B846" s="1196"/>
      <c r="C846" s="1196"/>
      <c r="D846" s="1196"/>
      <c r="E846" s="1197" t="str">
        <f t="shared" si="68"/>
        <v/>
      </c>
      <c r="F846" s="1198"/>
      <c r="G846" s="1198"/>
      <c r="H846" s="1198"/>
      <c r="I846" s="1198"/>
      <c r="J846" s="1199"/>
      <c r="K846" s="134"/>
      <c r="L846" s="62" t="str">
        <f t="shared" si="69"/>
        <v/>
      </c>
      <c r="M846" s="14"/>
      <c r="N846" s="89">
        <f t="array" ref="N846">SUM(IF((CsDJ[JEV Number]=TRIM($T815))*(CsDJ[Account Code]=TRIM(K846)),CsDJ[Debit]))</f>
        <v>0</v>
      </c>
      <c r="O846" s="89">
        <f t="array" ref="O846">SUM(IF((CsDJ[JEV Number]=TRIM($T815))*(CsDJ[Account Code]=TRIM(K846)),CsDJ[Credit]))</f>
        <v>0</v>
      </c>
      <c r="P846" s="1200">
        <f t="shared" si="70"/>
        <v>0</v>
      </c>
      <c r="Q846" s="1200"/>
      <c r="R846" s="1200"/>
      <c r="S846" s="1200">
        <f t="shared" si="71"/>
        <v>0</v>
      </c>
      <c r="T846" s="1200"/>
      <c r="U846" s="1200"/>
      <c r="V846" s="1201"/>
    </row>
    <row r="847" spans="1:22">
      <c r="A847" s="1195"/>
      <c r="B847" s="1196"/>
      <c r="C847" s="1196"/>
      <c r="D847" s="1196"/>
      <c r="E847" s="1197" t="str">
        <f t="shared" si="68"/>
        <v/>
      </c>
      <c r="F847" s="1198"/>
      <c r="G847" s="1198"/>
      <c r="H847" s="1198"/>
      <c r="I847" s="1198"/>
      <c r="J847" s="1199"/>
      <c r="K847" s="134"/>
      <c r="L847" s="62" t="str">
        <f t="shared" si="69"/>
        <v/>
      </c>
      <c r="M847" s="14"/>
      <c r="N847" s="89">
        <f t="array" ref="N847">SUM(IF((CsDJ[JEV Number]=TRIM($T815))*(CsDJ[Account Code]=TRIM(K847)),CsDJ[Debit]))</f>
        <v>0</v>
      </c>
      <c r="O847" s="89">
        <f t="array" ref="O847">SUM(IF((CsDJ[JEV Number]=TRIM($T815))*(CsDJ[Account Code]=TRIM(K847)),CsDJ[Credit]))</f>
        <v>0</v>
      </c>
      <c r="P847" s="1200">
        <f t="shared" si="70"/>
        <v>0</v>
      </c>
      <c r="Q847" s="1200"/>
      <c r="R847" s="1200"/>
      <c r="S847" s="1200">
        <f t="shared" si="71"/>
        <v>0</v>
      </c>
      <c r="T847" s="1200"/>
      <c r="U847" s="1200"/>
      <c r="V847" s="1201"/>
    </row>
    <row r="848" spans="1:22">
      <c r="A848" s="1195"/>
      <c r="B848" s="1196"/>
      <c r="C848" s="1196"/>
      <c r="D848" s="1196"/>
      <c r="E848" s="1197" t="str">
        <f t="shared" si="68"/>
        <v/>
      </c>
      <c r="F848" s="1198"/>
      <c r="G848" s="1198"/>
      <c r="H848" s="1198"/>
      <c r="I848" s="1198"/>
      <c r="J848" s="1199"/>
      <c r="K848" s="134"/>
      <c r="L848" s="62" t="str">
        <f t="shared" si="69"/>
        <v/>
      </c>
      <c r="M848" s="14"/>
      <c r="N848" s="89">
        <f t="array" ref="N848">SUM(IF((CsDJ[JEV Number]=TRIM($T815))*(CsDJ[Account Code]=TRIM(K848)),CsDJ[Debit]))</f>
        <v>0</v>
      </c>
      <c r="O848" s="89">
        <f t="array" ref="O848">SUM(IF((CsDJ[JEV Number]=TRIM($T815))*(CsDJ[Account Code]=TRIM(K848)),CsDJ[Credit]))</f>
        <v>0</v>
      </c>
      <c r="P848" s="1200">
        <f t="shared" si="70"/>
        <v>0</v>
      </c>
      <c r="Q848" s="1200"/>
      <c r="R848" s="1200"/>
      <c r="S848" s="1200">
        <f t="shared" si="71"/>
        <v>0</v>
      </c>
      <c r="T848" s="1200"/>
      <c r="U848" s="1200"/>
      <c r="V848" s="1201"/>
    </row>
    <row r="849" spans="1:22">
      <c r="A849" s="1195"/>
      <c r="B849" s="1196"/>
      <c r="C849" s="1196"/>
      <c r="D849" s="1196"/>
      <c r="E849" s="1257" t="s">
        <v>468</v>
      </c>
      <c r="F849" s="1258"/>
      <c r="G849" s="1258"/>
      <c r="H849" s="1258"/>
      <c r="I849" s="1258"/>
      <c r="J849" s="1259"/>
      <c r="K849" s="133"/>
      <c r="L849" s="62" t="str">
        <f t="shared" si="69"/>
        <v/>
      </c>
      <c r="M849" s="14"/>
      <c r="N849" s="89">
        <f t="array" ref="N849">SUM(IF((CsDJ[JEV Number]=TRIM($T815))*(CsDJ[Account Code]=TRIM(K849)),CsDJ[Debit]))</f>
        <v>0</v>
      </c>
      <c r="O849" s="89">
        <f t="array" ref="O849">SUM(IF((CsDJ[JEV Number]=TRIM($T815))*(CsDJ[Account Code]=TRIM(K849)),CsDJ[Credit]))</f>
        <v>0</v>
      </c>
      <c r="P849" s="1200">
        <f t="shared" si="70"/>
        <v>0</v>
      </c>
      <c r="Q849" s="1200"/>
      <c r="R849" s="1200"/>
      <c r="S849" s="1200">
        <f t="shared" si="71"/>
        <v>0</v>
      </c>
      <c r="T849" s="1200"/>
      <c r="U849" s="1200"/>
      <c r="V849" s="1201"/>
    </row>
    <row r="850" spans="1:22">
      <c r="A850" s="1195"/>
      <c r="B850" s="1196"/>
      <c r="C850" s="1196"/>
      <c r="D850" s="1196"/>
      <c r="E850" s="1202" t="s">
        <v>457</v>
      </c>
      <c r="F850" s="1203"/>
      <c r="G850" s="1203"/>
      <c r="H850" s="1203"/>
      <c r="I850" s="1207">
        <f>T816</f>
        <v>0</v>
      </c>
      <c r="J850" s="1208"/>
      <c r="K850" s="133"/>
      <c r="L850" s="62" t="str">
        <f t="shared" si="69"/>
        <v/>
      </c>
      <c r="M850" s="14"/>
      <c r="N850" s="89">
        <f t="array" ref="N850">SUM(IF((CsDJ[JEV Number]=TRIM($T815))*(CsDJ[Account Code]=TRIM(K850)),CsDJ[Debit]))</f>
        <v>0</v>
      </c>
      <c r="O850" s="89">
        <f t="array" ref="O850">SUM(IF((CsDJ[JEV Number]=TRIM($T815))*(CsDJ[Account Code]=TRIM(K850)),CsDJ[Credit]))</f>
        <v>0</v>
      </c>
      <c r="P850" s="1200">
        <f t="shared" si="70"/>
        <v>0</v>
      </c>
      <c r="Q850" s="1200"/>
      <c r="R850" s="1200"/>
      <c r="S850" s="1200">
        <f t="shared" si="71"/>
        <v>0</v>
      </c>
      <c r="T850" s="1200"/>
      <c r="U850" s="1200"/>
      <c r="V850" s="1201"/>
    </row>
    <row r="851" spans="1:22">
      <c r="A851" s="1195"/>
      <c r="B851" s="1196"/>
      <c r="C851" s="1196"/>
      <c r="D851" s="1196"/>
      <c r="E851" s="1202" t="s">
        <v>458</v>
      </c>
      <c r="F851" s="1203"/>
      <c r="G851" s="1203"/>
      <c r="H851" s="1203"/>
      <c r="I851" s="1263">
        <f>IF(T815=0,0,(IF(LOOKUP(T815,CsDJ[JEV Number],CsDJ[Sort Code])="1","MA. VIVIAN C. SALAS",IF(LOOKUP(T815,CsDJ[JEV Number],CsDJ[Sort Code])="2","LUZ R. DE COZAR",IF(LOOKUP(T815,CsDJ[JEV Number],CsDJ[Sort Code])="3","MINEONETTE A. DELA CRUZ",IF(LOOKUP(T815,CsDJ[JEV Number],CsDJ[Sort Code])="4","RESELLA B. LOPEZ"))))))</f>
        <v>0</v>
      </c>
      <c r="J851" s="1264"/>
      <c r="K851" s="133"/>
      <c r="L851" s="62" t="str">
        <f t="shared" si="69"/>
        <v/>
      </c>
      <c r="M851" s="14"/>
      <c r="N851" s="89">
        <f t="array" ref="N851">SUM(IF((CsDJ[JEV Number]=TRIM($T815))*(CsDJ[Account Code]=TRIM(K851)),CsDJ[Debit]))</f>
        <v>0</v>
      </c>
      <c r="O851" s="89">
        <f t="array" ref="O851">SUM(IF((CsDJ[JEV Number]=TRIM($T815))*(CsDJ[Account Code]=TRIM(K851)),CsDJ[Credit]))</f>
        <v>0</v>
      </c>
      <c r="P851" s="1200">
        <f t="shared" si="70"/>
        <v>0</v>
      </c>
      <c r="Q851" s="1200"/>
      <c r="R851" s="1200"/>
      <c r="S851" s="1200">
        <f t="shared" si="71"/>
        <v>0</v>
      </c>
      <c r="T851" s="1200"/>
      <c r="U851" s="1200"/>
      <c r="V851" s="1201"/>
    </row>
    <row r="852" spans="1:22">
      <c r="A852" s="1195"/>
      <c r="B852" s="1196"/>
      <c r="C852" s="1196"/>
      <c r="D852" s="1196"/>
      <c r="E852" s="1202" t="s">
        <v>459</v>
      </c>
      <c r="F852" s="1203"/>
      <c r="G852" s="1203"/>
      <c r="H852" s="1203"/>
      <c r="I852" s="1204">
        <f>IF(I851="Ma. Vivian C. Salas","Regional Office", IF(I851="Luz R. De Cozar","BANE IMO", IF(I851="Mineonette A. Dela Cruz","PAMBAT IMO", IF(I851="Resella B. Lopez","TARZAM IMO",0))))</f>
        <v>0</v>
      </c>
      <c r="J852" s="1205"/>
      <c r="K852" s="133"/>
      <c r="L852" s="62" t="str">
        <f t="shared" si="69"/>
        <v/>
      </c>
      <c r="M852" s="14"/>
      <c r="N852" s="89">
        <f t="array" ref="N852">SUM(IF((CsDJ[JEV Number]=TRIM($T815))*(CsDJ[Account Code]=TRIM(K852)),CsDJ[Debit]))</f>
        <v>0</v>
      </c>
      <c r="O852" s="89">
        <f t="array" ref="O852">SUM(IF((CsDJ[JEV Number]=TRIM($T815))*(CsDJ[Account Code]=TRIM(K852)),CsDJ[Credit]))</f>
        <v>0</v>
      </c>
      <c r="P852" s="1200">
        <f t="shared" si="70"/>
        <v>0</v>
      </c>
      <c r="Q852" s="1200"/>
      <c r="R852" s="1200"/>
      <c r="S852" s="1200">
        <f t="shared" si="71"/>
        <v>0</v>
      </c>
      <c r="T852" s="1200"/>
      <c r="U852" s="1200"/>
      <c r="V852" s="1201"/>
    </row>
    <row r="853" spans="1:22">
      <c r="A853" s="1195"/>
      <c r="B853" s="1196"/>
      <c r="C853" s="1196"/>
      <c r="D853" s="1196"/>
      <c r="E853" s="1202"/>
      <c r="F853" s="1203"/>
      <c r="G853" s="1203"/>
      <c r="H853" s="1203"/>
      <c r="I853" s="1203"/>
      <c r="J853" s="1206"/>
      <c r="K853" s="133"/>
      <c r="L853" s="62" t="str">
        <f t="shared" si="69"/>
        <v/>
      </c>
      <c r="M853" s="14"/>
      <c r="N853" s="89">
        <f t="array" ref="N853">SUM(IF((CsDJ[JEV Number]=TRIM($T815))*(CsDJ[Account Code]=TRIM(K853)),CsDJ[Debit]))</f>
        <v>0</v>
      </c>
      <c r="O853" s="89">
        <f t="array" ref="O853">SUM(IF((CsDJ[JEV Number]=TRIM($T815))*(CsDJ[Account Code]=TRIM(K853)),CsDJ[Credit]))</f>
        <v>0</v>
      </c>
      <c r="P853" s="1200">
        <f t="shared" si="70"/>
        <v>0</v>
      </c>
      <c r="Q853" s="1200"/>
      <c r="R853" s="1200"/>
      <c r="S853" s="1200">
        <f t="shared" si="71"/>
        <v>0</v>
      </c>
      <c r="T853" s="1200"/>
      <c r="U853" s="1200"/>
      <c r="V853" s="1201"/>
    </row>
    <row r="854" spans="1:22" ht="16.5" thickBot="1">
      <c r="A854" s="1188"/>
      <c r="B854" s="1189"/>
      <c r="C854" s="1189"/>
      <c r="D854" s="1189"/>
      <c r="E854" s="1189"/>
      <c r="F854" s="1189"/>
      <c r="G854" s="1189"/>
      <c r="H854" s="1189"/>
      <c r="I854" s="1189"/>
      <c r="J854" s="1189"/>
      <c r="K854" s="1189"/>
      <c r="L854" s="1189"/>
      <c r="M854" s="1190"/>
      <c r="N854" s="88"/>
      <c r="O854" s="88"/>
      <c r="P854" s="1191">
        <f>SUM(P824:R853)</f>
        <v>0</v>
      </c>
      <c r="Q854" s="1191"/>
      <c r="R854" s="1191"/>
      <c r="S854" s="1191">
        <f>SUM(S824:V853)</f>
        <v>0</v>
      </c>
      <c r="T854" s="1191"/>
      <c r="U854" s="1191"/>
      <c r="V854" s="1192"/>
    </row>
    <row r="855" spans="1:22">
      <c r="A855" s="63"/>
      <c r="B855" s="64"/>
      <c r="C855" s="64"/>
      <c r="D855" s="64"/>
      <c r="E855" s="64"/>
      <c r="F855" s="64"/>
      <c r="G855" s="64"/>
      <c r="H855" s="64"/>
      <c r="I855" s="65"/>
      <c r="J855" s="64"/>
      <c r="K855" s="66"/>
      <c r="L855" s="64"/>
      <c r="M855" s="65"/>
      <c r="N855" s="64"/>
      <c r="O855" s="64"/>
      <c r="P855" s="1193"/>
      <c r="Q855" s="1193"/>
      <c r="R855" s="1193"/>
      <c r="S855" s="1193"/>
      <c r="T855" s="1193"/>
      <c r="U855" s="1193"/>
      <c r="V855" s="1194"/>
    </row>
    <row r="856" spans="1:22">
      <c r="A856" s="67" t="s">
        <v>460</v>
      </c>
      <c r="B856"/>
      <c r="C856"/>
      <c r="D856"/>
      <c r="E856"/>
      <c r="F856"/>
      <c r="G856"/>
      <c r="H856"/>
      <c r="I856" s="68" t="s">
        <v>353</v>
      </c>
      <c r="J856" s="69"/>
      <c r="K856" s="69"/>
      <c r="L856"/>
      <c r="M856" s="68" t="s">
        <v>461</v>
      </c>
      <c r="N856" s="69"/>
      <c r="O856" s="69"/>
      <c r="P856" s="70"/>
      <c r="Q856" s="70"/>
      <c r="R856" s="70"/>
      <c r="S856" s="70"/>
      <c r="T856" s="70"/>
      <c r="U856" s="70"/>
      <c r="V856" s="71"/>
    </row>
    <row r="857" spans="1:22">
      <c r="A857" s="37"/>
      <c r="B857"/>
      <c r="C857"/>
      <c r="D857"/>
      <c r="E857"/>
      <c r="F857"/>
      <c r="G857"/>
      <c r="H857"/>
      <c r="I857" s="72"/>
      <c r="J857"/>
      <c r="K857"/>
      <c r="L857"/>
      <c r="M857" s="72"/>
      <c r="N857"/>
      <c r="O857"/>
      <c r="P857"/>
      <c r="Q857"/>
      <c r="R857"/>
      <c r="S857"/>
      <c r="T857"/>
      <c r="U857"/>
      <c r="V857" s="73"/>
    </row>
    <row r="858" spans="1:22">
      <c r="A858" s="74" t="s">
        <v>462</v>
      </c>
      <c r="B858" s="75"/>
      <c r="C858" s="75"/>
      <c r="D858" s="75"/>
      <c r="E858" s="75"/>
      <c r="F858" s="75"/>
      <c r="G858" s="75"/>
      <c r="H858" s="76"/>
      <c r="I858" s="77" t="s">
        <v>380</v>
      </c>
      <c r="J858" s="75"/>
      <c r="K858" s="75"/>
      <c r="L858" s="76"/>
      <c r="M858" s="77" t="s">
        <v>3</v>
      </c>
      <c r="N858" s="75"/>
      <c r="O858" s="75"/>
      <c r="P858" s="75"/>
      <c r="Q858" s="75"/>
      <c r="R858" s="75"/>
      <c r="S858" s="75"/>
      <c r="T858" s="75"/>
      <c r="U858" s="75"/>
      <c r="V858" s="78"/>
    </row>
    <row r="859" spans="1:22">
      <c r="A859" s="79" t="s">
        <v>463</v>
      </c>
      <c r="B859" s="80"/>
      <c r="C859" s="80"/>
      <c r="D859" s="80"/>
      <c r="E859" s="80"/>
      <c r="F859" s="80"/>
      <c r="G859" s="80"/>
      <c r="H859" s="80"/>
      <c r="I859" s="81" t="s">
        <v>381</v>
      </c>
      <c r="J859" s="80"/>
      <c r="K859" s="80"/>
      <c r="L859" s="80"/>
      <c r="M859" s="81" t="s">
        <v>464</v>
      </c>
      <c r="N859" s="80"/>
      <c r="O859" s="80"/>
      <c r="P859" s="82"/>
      <c r="Q859" s="82"/>
      <c r="R859" s="82"/>
      <c r="S859" s="82"/>
      <c r="T859" s="82"/>
      <c r="U859" s="82"/>
      <c r="V859" s="83"/>
    </row>
    <row r="860" spans="1:22" ht="16.5" thickBot="1">
      <c r="A860" s="84" t="s">
        <v>465</v>
      </c>
      <c r="B860" s="43"/>
      <c r="C860" s="43"/>
      <c r="D860" s="43"/>
      <c r="E860" s="43"/>
      <c r="F860" s="43"/>
      <c r="G860" s="43"/>
      <c r="H860" s="43"/>
      <c r="I860" s="85"/>
      <c r="J860" s="43"/>
      <c r="K860" s="43"/>
      <c r="L860" s="43"/>
      <c r="M860" s="85"/>
      <c r="N860" s="43"/>
      <c r="O860" s="43"/>
      <c r="P860" s="43"/>
      <c r="Q860" s="43"/>
      <c r="R860" s="43"/>
      <c r="S860" s="43"/>
      <c r="T860" s="43"/>
      <c r="U860" s="43"/>
      <c r="V860" s="44"/>
    </row>
    <row r="861" spans="1:22" ht="22.5">
      <c r="A861" s="31" t="s">
        <v>441</v>
      </c>
      <c r="B861" s="32"/>
      <c r="C861" s="32"/>
      <c r="D861" s="32"/>
      <c r="E861" s="32"/>
      <c r="F861" s="32"/>
      <c r="G861" s="32"/>
      <c r="H861" s="32"/>
      <c r="I861" s="32"/>
      <c r="J861" s="32"/>
      <c r="K861" s="32"/>
      <c r="L861" s="32"/>
      <c r="M861" s="32"/>
      <c r="N861" s="32"/>
      <c r="O861" s="32"/>
      <c r="P861" s="32"/>
      <c r="Q861" s="33"/>
      <c r="R861" s="1218">
        <f>+P901-S901</f>
        <v>0</v>
      </c>
      <c r="S861" s="1219"/>
      <c r="T861" s="1219"/>
      <c r="U861" s="1219"/>
      <c r="V861" s="1220"/>
    </row>
    <row r="862" spans="1:22">
      <c r="A862" s="34" t="s">
        <v>442</v>
      </c>
      <c r="B862" s="35"/>
      <c r="C862" s="35"/>
      <c r="D862" s="35"/>
      <c r="E862" s="35"/>
      <c r="F862" s="35"/>
      <c r="G862" s="35"/>
      <c r="H862" s="35"/>
      <c r="I862" s="35"/>
      <c r="J862" s="35"/>
      <c r="K862" s="35"/>
      <c r="L862" s="35"/>
      <c r="M862" s="35"/>
      <c r="N862" s="35"/>
      <c r="O862" s="35"/>
      <c r="P862" s="35"/>
      <c r="Q862" s="36"/>
      <c r="R862" s="37" t="s">
        <v>443</v>
      </c>
      <c r="S862"/>
      <c r="T862" s="1221"/>
      <c r="U862" s="1221"/>
      <c r="V862" s="1222"/>
    </row>
    <row r="863" spans="1:22">
      <c r="A863" s="38" t="s">
        <v>444</v>
      </c>
      <c r="B863" s="35"/>
      <c r="C863" s="35"/>
      <c r="D863" s="35"/>
      <c r="E863" s="35"/>
      <c r="F863" s="35"/>
      <c r="G863" s="35"/>
      <c r="H863" s="35"/>
      <c r="I863" s="35"/>
      <c r="J863" s="35"/>
      <c r="K863" s="35"/>
      <c r="L863" s="35"/>
      <c r="M863" s="35"/>
      <c r="N863" s="35"/>
      <c r="O863" s="35"/>
      <c r="P863" s="35"/>
      <c r="Q863" s="36"/>
      <c r="R863" s="37" t="s">
        <v>0</v>
      </c>
      <c r="S863"/>
      <c r="T863" s="1223">
        <f>IF(T862=0,0,(LOOKUP(T862,CsDJ[JEV Number],CsDJ[Date])))</f>
        <v>0</v>
      </c>
      <c r="U863" s="1223"/>
      <c r="V863" s="1224"/>
    </row>
    <row r="864" spans="1:22" ht="16.5" thickBot="1">
      <c r="A864" s="39"/>
      <c r="B864" s="40"/>
      <c r="C864" s="40"/>
      <c r="D864" s="40"/>
      <c r="E864" s="40"/>
      <c r="F864" s="40"/>
      <c r="G864" s="40"/>
      <c r="H864" s="40"/>
      <c r="I864" s="40"/>
      <c r="J864" s="40"/>
      <c r="K864" s="40"/>
      <c r="L864" s="40"/>
      <c r="M864" s="40"/>
      <c r="N864" s="40"/>
      <c r="O864" s="40"/>
      <c r="P864" s="40"/>
      <c r="Q864" s="41"/>
      <c r="R864" s="42"/>
      <c r="S864" s="43"/>
      <c r="T864" s="43"/>
      <c r="U864" s="43"/>
      <c r="V864" s="44"/>
    </row>
    <row r="865" spans="1:22">
      <c r="A865" s="45"/>
      <c r="B865" s="46"/>
      <c r="C865" s="46"/>
      <c r="D865" s="46"/>
      <c r="E865" s="46"/>
      <c r="F865" s="46"/>
      <c r="G865" s="46"/>
      <c r="H865" s="46"/>
      <c r="I865" s="46"/>
      <c r="J865" s="46"/>
      <c r="K865" s="46"/>
      <c r="L865" s="47"/>
      <c r="M865" s="46"/>
      <c r="N865" s="46"/>
      <c r="O865" s="46"/>
      <c r="P865" s="46"/>
      <c r="Q865" s="46"/>
      <c r="R865" s="46"/>
      <c r="S865" s="46"/>
      <c r="T865" s="46"/>
      <c r="U865" s="46"/>
      <c r="V865" s="48"/>
    </row>
    <row r="866" spans="1:22">
      <c r="A866" s="49"/>
      <c r="B866" s="1225"/>
      <c r="C866" s="1225"/>
      <c r="D866" s="50" t="s">
        <v>445</v>
      </c>
      <c r="H866" s="51"/>
      <c r="I866" s="25" t="s">
        <v>447</v>
      </c>
      <c r="J866" s="132" t="s">
        <v>446</v>
      </c>
      <c r="K866" s="52" t="s">
        <v>448</v>
      </c>
      <c r="L866" s="52"/>
      <c r="Q866" s="1225"/>
      <c r="R866" s="1225"/>
      <c r="S866" s="50" t="s">
        <v>449</v>
      </c>
      <c r="T866" s="50"/>
      <c r="U866" s="50"/>
      <c r="V866" s="53"/>
    </row>
    <row r="867" spans="1:22" ht="16.5" thickBot="1">
      <c r="A867" s="54"/>
      <c r="B867" s="55"/>
      <c r="C867" s="55"/>
      <c r="D867" s="55"/>
      <c r="E867" s="55"/>
      <c r="F867" s="55"/>
      <c r="G867" s="55"/>
      <c r="H867" s="55"/>
      <c r="I867" s="55"/>
      <c r="J867" s="55"/>
      <c r="K867" s="55"/>
      <c r="L867" s="56"/>
      <c r="M867" s="55"/>
      <c r="N867" s="55"/>
      <c r="O867" s="55"/>
      <c r="P867" s="55"/>
      <c r="Q867" s="55"/>
      <c r="R867" s="55"/>
      <c r="S867" s="55"/>
      <c r="T867" s="55"/>
      <c r="U867" s="55"/>
      <c r="V867" s="57"/>
    </row>
    <row r="868" spans="1:22">
      <c r="A868" s="1226" t="s">
        <v>397</v>
      </c>
      <c r="B868" s="1227"/>
      <c r="C868" s="1227"/>
      <c r="D868" s="1228"/>
      <c r="E868" s="1235" t="s">
        <v>450</v>
      </c>
      <c r="F868" s="1235"/>
      <c r="G868" s="1235"/>
      <c r="H868" s="1235"/>
      <c r="I868" s="1235"/>
      <c r="J868" s="1235"/>
      <c r="K868" s="1235"/>
      <c r="L868" s="1235"/>
      <c r="M868" s="1235"/>
      <c r="N868" s="1235"/>
      <c r="O868" s="1235"/>
      <c r="P868" s="1235"/>
      <c r="Q868" s="1235"/>
      <c r="R868" s="1235"/>
      <c r="S868" s="1235"/>
      <c r="T868" s="1235"/>
      <c r="U868" s="1235"/>
      <c r="V868" s="1236"/>
    </row>
    <row r="869" spans="1:22">
      <c r="A869" s="1229"/>
      <c r="B869" s="1230"/>
      <c r="C869" s="1230"/>
      <c r="D869" s="1231"/>
      <c r="E869" s="1237" t="s">
        <v>451</v>
      </c>
      <c r="F869" s="1237"/>
      <c r="G869" s="1237"/>
      <c r="H869" s="1237"/>
      <c r="I869" s="1237"/>
      <c r="J869" s="1237"/>
      <c r="K869" s="1239" t="s">
        <v>378</v>
      </c>
      <c r="L869" s="1239"/>
      <c r="M869" s="1237" t="s">
        <v>452</v>
      </c>
      <c r="N869" s="1240" t="s">
        <v>453</v>
      </c>
      <c r="O869" s="1241"/>
      <c r="P869" s="1241"/>
      <c r="Q869" s="1241"/>
      <c r="R869" s="1241"/>
      <c r="S869" s="1241"/>
      <c r="T869" s="1241"/>
      <c r="U869" s="1241"/>
      <c r="V869" s="1242"/>
    </row>
    <row r="870" spans="1:22" ht="16.5" customHeight="1" thickBot="1">
      <c r="A870" s="1232"/>
      <c r="B870" s="1233"/>
      <c r="C870" s="1233"/>
      <c r="D870" s="1234"/>
      <c r="E870" s="1238"/>
      <c r="F870" s="1238"/>
      <c r="G870" s="1238"/>
      <c r="H870" s="1238"/>
      <c r="I870" s="1238"/>
      <c r="J870" s="1238"/>
      <c r="K870" s="58" t="s">
        <v>454</v>
      </c>
      <c r="L870" s="58" t="s">
        <v>455</v>
      </c>
      <c r="M870" s="1238"/>
      <c r="N870" s="87" t="s">
        <v>466</v>
      </c>
      <c r="O870" s="87" t="s">
        <v>467</v>
      </c>
      <c r="P870" s="1243" t="s">
        <v>1</v>
      </c>
      <c r="Q870" s="1244"/>
      <c r="R870" s="1245"/>
      <c r="S870" s="1243" t="s">
        <v>2</v>
      </c>
      <c r="T870" s="1244"/>
      <c r="U870" s="1244"/>
      <c r="V870" s="1246"/>
    </row>
    <row r="871" spans="1:22" ht="19.5">
      <c r="A871" s="1210">
        <f>P901-S901</f>
        <v>0</v>
      </c>
      <c r="B871" s="1211"/>
      <c r="C871" s="1211"/>
      <c r="D871" s="1211"/>
      <c r="E871" s="1212" t="str">
        <f>Account!$G$1</f>
        <v>FUND 501 CARP</v>
      </c>
      <c r="F871" s="1213"/>
      <c r="G871" s="1213"/>
      <c r="H871" s="1213"/>
      <c r="I871" s="1213"/>
      <c r="J871" s="1214"/>
      <c r="K871" s="59"/>
      <c r="L871" s="59"/>
      <c r="M871" s="60"/>
      <c r="N871" s="60"/>
      <c r="O871" s="60"/>
      <c r="P871" s="1215"/>
      <c r="Q871" s="1215"/>
      <c r="R871" s="1215"/>
      <c r="S871" s="1215"/>
      <c r="T871" s="1215"/>
      <c r="U871" s="1215"/>
      <c r="V871" s="1216"/>
    </row>
    <row r="872" spans="1:22">
      <c r="A872" s="1195"/>
      <c r="B872" s="1196"/>
      <c r="C872" s="1196"/>
      <c r="D872" s="1196"/>
      <c r="E872" s="1196"/>
      <c r="F872" s="1196"/>
      <c r="G872" s="1196"/>
      <c r="H872" s="1196"/>
      <c r="I872" s="1196"/>
      <c r="J872" s="1196"/>
      <c r="K872" s="61"/>
      <c r="L872" s="61"/>
      <c r="M872" s="14"/>
      <c r="N872" s="14"/>
      <c r="O872" s="14"/>
      <c r="P872" s="1196"/>
      <c r="Q872" s="1196"/>
      <c r="R872" s="1196"/>
      <c r="S872" s="1196"/>
      <c r="T872" s="1196"/>
      <c r="U872" s="1196"/>
      <c r="V872" s="1217"/>
    </row>
    <row r="873" spans="1:22">
      <c r="A873" s="1195"/>
      <c r="B873" s="1196"/>
      <c r="C873" s="1196"/>
      <c r="D873" s="1196"/>
      <c r="E873" s="1197" t="str">
        <f t="shared" ref="E873:E895" si="72">IF(K873=0,"",(VLOOKUP((TRIM(K873)),Code,2,)))</f>
        <v/>
      </c>
      <c r="F873" s="1198"/>
      <c r="G873" s="1198"/>
      <c r="H873" s="1198"/>
      <c r="I873" s="1198"/>
      <c r="J873" s="1199"/>
      <c r="K873" s="133"/>
      <c r="L873" s="62" t="str">
        <f t="shared" ref="L873:L900" si="73">IF(K873=0,"",VLOOKUP((TRIM(K873)),Code,3,))</f>
        <v/>
      </c>
      <c r="M873" s="14"/>
      <c r="N873" s="89">
        <f t="array" ref="N873">SUM(IF((CsDJ[JEV Number]=TRIM($T862))*(CsDJ[Account Code]=TRIM(K873)),CsDJ[Debit]))</f>
        <v>0</v>
      </c>
      <c r="O873" s="89">
        <f t="array" ref="O873">SUM(IF((CsDJ[JEV Number]=TRIM($T862))*(CsDJ[Account Code]=TRIM(K873)),CsDJ[Credit]))</f>
        <v>0</v>
      </c>
      <c r="P873" s="1200">
        <f>N873</f>
        <v>0</v>
      </c>
      <c r="Q873" s="1200"/>
      <c r="R873" s="1200"/>
      <c r="S873" s="1200">
        <f>O873</f>
        <v>0</v>
      </c>
      <c r="T873" s="1200"/>
      <c r="U873" s="1200"/>
      <c r="V873" s="1201"/>
    </row>
    <row r="874" spans="1:22">
      <c r="A874" s="1195"/>
      <c r="B874" s="1196"/>
      <c r="C874" s="1196"/>
      <c r="D874" s="1196"/>
      <c r="E874" s="1197" t="str">
        <f t="shared" si="72"/>
        <v/>
      </c>
      <c r="F874" s="1198"/>
      <c r="G874" s="1198"/>
      <c r="H874" s="1198"/>
      <c r="I874" s="1198"/>
      <c r="J874" s="1199"/>
      <c r="K874" s="133"/>
      <c r="L874" s="62" t="str">
        <f t="shared" si="73"/>
        <v/>
      </c>
      <c r="M874" s="14"/>
      <c r="N874" s="89">
        <f t="array" ref="N874">SUM(IF((CsDJ[JEV Number]=TRIM($T862))*(CsDJ[Account Code]=TRIM(K874)),CsDJ[Debit]))</f>
        <v>0</v>
      </c>
      <c r="O874" s="89">
        <f t="array" ref="O874">SUM(IF((CsDJ[JEV Number]=TRIM($T862))*(CsDJ[Account Code]=TRIM(K874)),CsDJ[Credit]))</f>
        <v>0</v>
      </c>
      <c r="P874" s="1200">
        <f>N874</f>
        <v>0</v>
      </c>
      <c r="Q874" s="1200"/>
      <c r="R874" s="1200"/>
      <c r="S874" s="1200">
        <f>O874</f>
        <v>0</v>
      </c>
      <c r="T874" s="1200"/>
      <c r="U874" s="1200"/>
      <c r="V874" s="1201"/>
    </row>
    <row r="875" spans="1:22">
      <c r="A875" s="1195"/>
      <c r="B875" s="1196"/>
      <c r="C875" s="1196"/>
      <c r="D875" s="1196"/>
      <c r="E875" s="1197" t="str">
        <f t="shared" si="72"/>
        <v/>
      </c>
      <c r="F875" s="1198"/>
      <c r="G875" s="1198"/>
      <c r="H875" s="1198"/>
      <c r="I875" s="1198"/>
      <c r="J875" s="1199"/>
      <c r="K875" s="133"/>
      <c r="L875" s="62" t="str">
        <f t="shared" si="73"/>
        <v/>
      </c>
      <c r="M875" s="14"/>
      <c r="N875" s="89">
        <f t="array" ref="N875">SUM(IF((CsDJ[JEV Number]=TRIM($T862))*(CsDJ[Account Code]=TRIM(K875)),CsDJ[Debit]))</f>
        <v>0</v>
      </c>
      <c r="O875" s="89">
        <f t="array" ref="O875">SUM(IF((CsDJ[JEV Number]=TRIM($T862))*(CsDJ[Account Code]=TRIM(K875)),CsDJ[Credit]))</f>
        <v>0</v>
      </c>
      <c r="P875" s="1200">
        <f t="shared" ref="P875:P900" si="74">N875</f>
        <v>0</v>
      </c>
      <c r="Q875" s="1200"/>
      <c r="R875" s="1200"/>
      <c r="S875" s="1200">
        <f t="shared" ref="S875:S900" si="75">O875</f>
        <v>0</v>
      </c>
      <c r="T875" s="1200"/>
      <c r="U875" s="1200"/>
      <c r="V875" s="1201"/>
    </row>
    <row r="876" spans="1:22">
      <c r="A876" s="1195"/>
      <c r="B876" s="1196"/>
      <c r="C876" s="1196"/>
      <c r="D876" s="1196"/>
      <c r="E876" s="1197" t="str">
        <f t="shared" si="72"/>
        <v/>
      </c>
      <c r="F876" s="1198"/>
      <c r="G876" s="1198"/>
      <c r="H876" s="1198"/>
      <c r="I876" s="1198"/>
      <c r="J876" s="1199"/>
      <c r="K876" s="133"/>
      <c r="L876" s="62" t="str">
        <f t="shared" si="73"/>
        <v/>
      </c>
      <c r="M876" s="14"/>
      <c r="N876" s="89">
        <f t="array" ref="N876">SUM(IF((CsDJ[JEV Number]=TRIM($T862))*(CsDJ[Account Code]=TRIM(K876)),CsDJ[Debit]))</f>
        <v>0</v>
      </c>
      <c r="O876" s="89">
        <f t="array" ref="O876">SUM(IF((CsDJ[JEV Number]=TRIM($T862))*(CsDJ[Account Code]=TRIM(K876)),CsDJ[Credit]))</f>
        <v>0</v>
      </c>
      <c r="P876" s="1200">
        <f t="shared" si="74"/>
        <v>0</v>
      </c>
      <c r="Q876" s="1200"/>
      <c r="R876" s="1200"/>
      <c r="S876" s="1200">
        <f t="shared" si="75"/>
        <v>0</v>
      </c>
      <c r="T876" s="1200"/>
      <c r="U876" s="1200"/>
      <c r="V876" s="1201"/>
    </row>
    <row r="877" spans="1:22">
      <c r="A877" s="1195"/>
      <c r="B877" s="1196"/>
      <c r="C877" s="1196"/>
      <c r="D877" s="1196"/>
      <c r="E877" s="1197" t="str">
        <f t="shared" si="72"/>
        <v/>
      </c>
      <c r="F877" s="1198"/>
      <c r="G877" s="1198"/>
      <c r="H877" s="1198"/>
      <c r="I877" s="1198"/>
      <c r="J877" s="1199"/>
      <c r="K877" s="133"/>
      <c r="L877" s="62" t="str">
        <f t="shared" si="73"/>
        <v/>
      </c>
      <c r="M877" s="14"/>
      <c r="N877" s="89">
        <f t="array" ref="N877">SUM(IF((CsDJ[JEV Number]=TRIM($T862))*(CsDJ[Account Code]=TRIM(K877)),CsDJ[Debit]))</f>
        <v>0</v>
      </c>
      <c r="O877" s="89">
        <f t="array" ref="O877">SUM(IF((CsDJ[JEV Number]=TRIM($T862))*(CsDJ[Account Code]=TRIM(K877)),CsDJ[Credit]))</f>
        <v>0</v>
      </c>
      <c r="P877" s="1200">
        <f t="shared" si="74"/>
        <v>0</v>
      </c>
      <c r="Q877" s="1200"/>
      <c r="R877" s="1200"/>
      <c r="S877" s="1200">
        <f t="shared" si="75"/>
        <v>0</v>
      </c>
      <c r="T877" s="1200"/>
      <c r="U877" s="1200"/>
      <c r="V877" s="1201"/>
    </row>
    <row r="878" spans="1:22">
      <c r="A878" s="1195"/>
      <c r="B878" s="1196"/>
      <c r="C878" s="1196"/>
      <c r="D878" s="1196"/>
      <c r="E878" s="1197" t="str">
        <f t="shared" si="72"/>
        <v/>
      </c>
      <c r="F878" s="1198"/>
      <c r="G878" s="1198"/>
      <c r="H878" s="1198"/>
      <c r="I878" s="1198"/>
      <c r="J878" s="1199"/>
      <c r="K878" s="133"/>
      <c r="L878" s="62" t="str">
        <f t="shared" si="73"/>
        <v/>
      </c>
      <c r="M878" s="14"/>
      <c r="N878" s="89">
        <f t="array" ref="N878">SUM(IF((CsDJ[JEV Number]=TRIM($T862))*(CsDJ[Account Code]=TRIM(K878)),CsDJ[Debit]))</f>
        <v>0</v>
      </c>
      <c r="O878" s="89">
        <f t="array" ref="O878">SUM(IF((CsDJ[JEV Number]=TRIM($T862))*(CsDJ[Account Code]=TRIM(K878)),CsDJ[Credit]))</f>
        <v>0</v>
      </c>
      <c r="P878" s="1200">
        <f t="shared" si="74"/>
        <v>0</v>
      </c>
      <c r="Q878" s="1200"/>
      <c r="R878" s="1200"/>
      <c r="S878" s="1200">
        <f t="shared" si="75"/>
        <v>0</v>
      </c>
      <c r="T878" s="1200"/>
      <c r="U878" s="1200"/>
      <c r="V878" s="1201"/>
    </row>
    <row r="879" spans="1:22">
      <c r="A879" s="1195"/>
      <c r="B879" s="1196"/>
      <c r="C879" s="1196"/>
      <c r="D879" s="1196"/>
      <c r="E879" s="1197" t="str">
        <f t="shared" si="72"/>
        <v/>
      </c>
      <c r="F879" s="1198"/>
      <c r="G879" s="1198"/>
      <c r="H879" s="1198"/>
      <c r="I879" s="1198"/>
      <c r="J879" s="1199"/>
      <c r="K879" s="133"/>
      <c r="L879" s="62" t="str">
        <f t="shared" si="73"/>
        <v/>
      </c>
      <c r="M879" s="14"/>
      <c r="N879" s="89">
        <f t="array" ref="N879">SUM(IF((CsDJ[JEV Number]=TRIM($T862))*(CsDJ[Account Code]=TRIM(K879)),CsDJ[Debit]))</f>
        <v>0</v>
      </c>
      <c r="O879" s="89">
        <f t="array" ref="O879">SUM(IF((CsDJ[JEV Number]=TRIM($T862))*(CsDJ[Account Code]=TRIM(K879)),CsDJ[Credit]))</f>
        <v>0</v>
      </c>
      <c r="P879" s="1200">
        <f t="shared" si="74"/>
        <v>0</v>
      </c>
      <c r="Q879" s="1200"/>
      <c r="R879" s="1200"/>
      <c r="S879" s="1200">
        <f t="shared" si="75"/>
        <v>0</v>
      </c>
      <c r="T879" s="1200"/>
      <c r="U879" s="1200"/>
      <c r="V879" s="1201"/>
    </row>
    <row r="880" spans="1:22">
      <c r="A880" s="1195"/>
      <c r="B880" s="1196"/>
      <c r="C880" s="1196"/>
      <c r="D880" s="1196"/>
      <c r="E880" s="1197" t="str">
        <f t="shared" si="72"/>
        <v/>
      </c>
      <c r="F880" s="1198"/>
      <c r="G880" s="1198"/>
      <c r="H880" s="1198"/>
      <c r="I880" s="1198"/>
      <c r="J880" s="1199"/>
      <c r="K880" s="133"/>
      <c r="L880" s="62" t="str">
        <f t="shared" si="73"/>
        <v/>
      </c>
      <c r="M880" s="14"/>
      <c r="N880" s="89">
        <f t="array" ref="N880">SUM(IF((CsDJ[JEV Number]=TRIM($T862))*(CsDJ[Account Code]=TRIM(K880)),CsDJ[Debit]))</f>
        <v>0</v>
      </c>
      <c r="O880" s="89">
        <f t="array" ref="O880">SUM(IF((CsDJ[JEV Number]=TRIM($T862))*(CsDJ[Account Code]=TRIM(K880)),CsDJ[Credit]))</f>
        <v>0</v>
      </c>
      <c r="P880" s="1200">
        <f t="shared" si="74"/>
        <v>0</v>
      </c>
      <c r="Q880" s="1200"/>
      <c r="R880" s="1200"/>
      <c r="S880" s="1200">
        <f t="shared" si="75"/>
        <v>0</v>
      </c>
      <c r="T880" s="1200"/>
      <c r="U880" s="1200"/>
      <c r="V880" s="1201"/>
    </row>
    <row r="881" spans="1:22">
      <c r="A881" s="1195"/>
      <c r="B881" s="1196"/>
      <c r="C881" s="1196"/>
      <c r="D881" s="1196"/>
      <c r="E881" s="1197" t="str">
        <f t="shared" si="72"/>
        <v/>
      </c>
      <c r="F881" s="1198"/>
      <c r="G881" s="1198"/>
      <c r="H881" s="1198"/>
      <c r="I881" s="1198"/>
      <c r="J881" s="1199"/>
      <c r="K881" s="134"/>
      <c r="L881" s="62" t="str">
        <f t="shared" si="73"/>
        <v/>
      </c>
      <c r="M881" s="14"/>
      <c r="N881" s="89">
        <f t="array" ref="N881">SUM(IF((CsDJ[JEV Number]=TRIM($T862))*(CsDJ[Account Code]=TRIM(K881)),CsDJ[Debit]))</f>
        <v>0</v>
      </c>
      <c r="O881" s="89">
        <f t="array" ref="O881">SUM(IF((CsDJ[JEV Number]=TRIM($T862))*(CsDJ[Account Code]=TRIM(K881)),CsDJ[Credit]))</f>
        <v>0</v>
      </c>
      <c r="P881" s="1200">
        <f t="shared" si="74"/>
        <v>0</v>
      </c>
      <c r="Q881" s="1200"/>
      <c r="R881" s="1200"/>
      <c r="S881" s="1200">
        <f t="shared" si="75"/>
        <v>0</v>
      </c>
      <c r="T881" s="1200"/>
      <c r="U881" s="1200"/>
      <c r="V881" s="1201"/>
    </row>
    <row r="882" spans="1:22">
      <c r="A882" s="1195"/>
      <c r="B882" s="1196"/>
      <c r="C882" s="1196"/>
      <c r="D882" s="1196"/>
      <c r="E882" s="1197" t="str">
        <f t="shared" si="72"/>
        <v/>
      </c>
      <c r="F882" s="1198"/>
      <c r="G882" s="1198"/>
      <c r="H882" s="1198"/>
      <c r="I882" s="1198"/>
      <c r="J882" s="1199"/>
      <c r="K882" s="134"/>
      <c r="L882" s="62" t="str">
        <f t="shared" si="73"/>
        <v/>
      </c>
      <c r="M882" s="14"/>
      <c r="N882" s="89">
        <f t="array" ref="N882">SUM(IF((CsDJ[JEV Number]=TRIM($T862))*(CsDJ[Account Code]=TRIM(K882)),CsDJ[Debit]))</f>
        <v>0</v>
      </c>
      <c r="O882" s="89">
        <f t="array" ref="O882">SUM(IF((CsDJ[JEV Number]=TRIM($T862))*(CsDJ[Account Code]=TRIM(K882)),CsDJ[Credit]))</f>
        <v>0</v>
      </c>
      <c r="P882" s="1200">
        <f t="shared" si="74"/>
        <v>0</v>
      </c>
      <c r="Q882" s="1200"/>
      <c r="R882" s="1200"/>
      <c r="S882" s="1200">
        <f t="shared" si="75"/>
        <v>0</v>
      </c>
      <c r="T882" s="1200"/>
      <c r="U882" s="1200"/>
      <c r="V882" s="1201"/>
    </row>
    <row r="883" spans="1:22">
      <c r="A883" s="1195"/>
      <c r="B883" s="1196"/>
      <c r="C883" s="1196"/>
      <c r="D883" s="1196"/>
      <c r="E883" s="1197" t="str">
        <f t="shared" si="72"/>
        <v/>
      </c>
      <c r="F883" s="1198"/>
      <c r="G883" s="1198"/>
      <c r="H883" s="1198"/>
      <c r="I883" s="1198"/>
      <c r="J883" s="1199"/>
      <c r="K883" s="134"/>
      <c r="L883" s="62" t="str">
        <f t="shared" si="73"/>
        <v/>
      </c>
      <c r="M883" s="14"/>
      <c r="N883" s="89">
        <f t="array" ref="N883">SUM(IF((CsDJ[JEV Number]=TRIM($T862))*(CsDJ[Account Code]=TRIM(K883)),CsDJ[Debit]))</f>
        <v>0</v>
      </c>
      <c r="O883" s="89">
        <f t="array" ref="O883">SUM(IF((CsDJ[JEV Number]=TRIM($T862))*(CsDJ[Account Code]=TRIM(K883)),CsDJ[Credit]))</f>
        <v>0</v>
      </c>
      <c r="P883" s="1200">
        <f t="shared" si="74"/>
        <v>0</v>
      </c>
      <c r="Q883" s="1200"/>
      <c r="R883" s="1200"/>
      <c r="S883" s="1200">
        <f t="shared" si="75"/>
        <v>0</v>
      </c>
      <c r="T883" s="1200"/>
      <c r="U883" s="1200"/>
      <c r="V883" s="1201"/>
    </row>
    <row r="884" spans="1:22">
      <c r="A884" s="1195"/>
      <c r="B884" s="1196"/>
      <c r="C884" s="1196"/>
      <c r="D884" s="1196"/>
      <c r="E884" s="1197" t="str">
        <f t="shared" si="72"/>
        <v/>
      </c>
      <c r="F884" s="1198"/>
      <c r="G884" s="1198"/>
      <c r="H884" s="1198"/>
      <c r="I884" s="1198"/>
      <c r="J884" s="1199"/>
      <c r="K884" s="134"/>
      <c r="L884" s="62" t="str">
        <f t="shared" si="73"/>
        <v/>
      </c>
      <c r="M884" s="14"/>
      <c r="N884" s="89">
        <f t="array" ref="N884">SUM(IF((CsDJ[JEV Number]=TRIM($T862))*(CsDJ[Account Code]=TRIM(K884)),CsDJ[Debit]))</f>
        <v>0</v>
      </c>
      <c r="O884" s="89">
        <f t="array" ref="O884">SUM(IF((CsDJ[JEV Number]=TRIM($T862))*(CsDJ[Account Code]=TRIM(K884)),CsDJ[Credit]))</f>
        <v>0</v>
      </c>
      <c r="P884" s="1200">
        <f t="shared" si="74"/>
        <v>0</v>
      </c>
      <c r="Q884" s="1200"/>
      <c r="R884" s="1200"/>
      <c r="S884" s="1200">
        <f t="shared" si="75"/>
        <v>0</v>
      </c>
      <c r="T884" s="1200"/>
      <c r="U884" s="1200"/>
      <c r="V884" s="1201"/>
    </row>
    <row r="885" spans="1:22">
      <c r="A885" s="1195"/>
      <c r="B885" s="1196"/>
      <c r="C885" s="1196"/>
      <c r="D885" s="1196"/>
      <c r="E885" s="1197" t="str">
        <f t="shared" si="72"/>
        <v/>
      </c>
      <c r="F885" s="1198"/>
      <c r="G885" s="1198"/>
      <c r="H885" s="1198"/>
      <c r="I885" s="1198"/>
      <c r="J885" s="1199"/>
      <c r="K885" s="134"/>
      <c r="L885" s="62" t="str">
        <f t="shared" si="73"/>
        <v/>
      </c>
      <c r="M885" s="14"/>
      <c r="N885" s="89">
        <f t="array" ref="N885">SUM(IF((CsDJ[JEV Number]=TRIM($T862))*(CsDJ[Account Code]=TRIM(K885)),CsDJ[Debit]))</f>
        <v>0</v>
      </c>
      <c r="O885" s="89">
        <f t="array" ref="O885">SUM(IF((CsDJ[JEV Number]=TRIM($T862))*(CsDJ[Account Code]=TRIM(K885)),CsDJ[Credit]))</f>
        <v>0</v>
      </c>
      <c r="P885" s="1200">
        <f t="shared" si="74"/>
        <v>0</v>
      </c>
      <c r="Q885" s="1200"/>
      <c r="R885" s="1200"/>
      <c r="S885" s="1200">
        <f t="shared" si="75"/>
        <v>0</v>
      </c>
      <c r="T885" s="1200"/>
      <c r="U885" s="1200"/>
      <c r="V885" s="1201"/>
    </row>
    <row r="886" spans="1:22">
      <c r="A886" s="1195"/>
      <c r="B886" s="1196"/>
      <c r="C886" s="1196"/>
      <c r="D886" s="1196"/>
      <c r="E886" s="1197" t="str">
        <f t="shared" si="72"/>
        <v/>
      </c>
      <c r="F886" s="1198"/>
      <c r="G886" s="1198"/>
      <c r="H886" s="1198"/>
      <c r="I886" s="1198"/>
      <c r="J886" s="1199"/>
      <c r="K886" s="134"/>
      <c r="L886" s="62" t="str">
        <f t="shared" si="73"/>
        <v/>
      </c>
      <c r="M886" s="14"/>
      <c r="N886" s="89">
        <f t="array" ref="N886">SUM(IF((CsDJ[JEV Number]=TRIM($T862))*(CsDJ[Account Code]=TRIM(K886)),CsDJ[Debit]))</f>
        <v>0</v>
      </c>
      <c r="O886" s="89">
        <f t="array" ref="O886">SUM(IF((CsDJ[JEV Number]=TRIM($T862))*(CsDJ[Account Code]=TRIM(K886)),CsDJ[Credit]))</f>
        <v>0</v>
      </c>
      <c r="P886" s="1200">
        <f t="shared" si="74"/>
        <v>0</v>
      </c>
      <c r="Q886" s="1200"/>
      <c r="R886" s="1200"/>
      <c r="S886" s="1200">
        <f t="shared" si="75"/>
        <v>0</v>
      </c>
      <c r="T886" s="1200"/>
      <c r="U886" s="1200"/>
      <c r="V886" s="1201"/>
    </row>
    <row r="887" spans="1:22">
      <c r="A887" s="1195"/>
      <c r="B887" s="1196"/>
      <c r="C887" s="1196"/>
      <c r="D887" s="1196"/>
      <c r="E887" s="1197" t="str">
        <f t="shared" si="72"/>
        <v/>
      </c>
      <c r="F887" s="1198"/>
      <c r="G887" s="1198"/>
      <c r="H887" s="1198"/>
      <c r="I887" s="1198"/>
      <c r="J887" s="1199"/>
      <c r="K887" s="134"/>
      <c r="L887" s="62" t="str">
        <f t="shared" si="73"/>
        <v/>
      </c>
      <c r="M887" s="14"/>
      <c r="N887" s="89">
        <f t="array" ref="N887">SUM(IF((CsDJ[JEV Number]=TRIM($T862))*(CsDJ[Account Code]=TRIM(K887)),CsDJ[Debit]))</f>
        <v>0</v>
      </c>
      <c r="O887" s="89">
        <f t="array" ref="O887">SUM(IF((CsDJ[JEV Number]=TRIM($T862))*(CsDJ[Account Code]=TRIM(K887)),CsDJ[Credit]))</f>
        <v>0</v>
      </c>
      <c r="P887" s="1200">
        <f t="shared" si="74"/>
        <v>0</v>
      </c>
      <c r="Q887" s="1200"/>
      <c r="R887" s="1200"/>
      <c r="S887" s="1200">
        <f t="shared" si="75"/>
        <v>0</v>
      </c>
      <c r="T887" s="1200"/>
      <c r="U887" s="1200"/>
      <c r="V887" s="1201"/>
    </row>
    <row r="888" spans="1:22">
      <c r="A888" s="1195"/>
      <c r="B888" s="1196"/>
      <c r="C888" s="1196"/>
      <c r="D888" s="1196"/>
      <c r="E888" s="1197" t="str">
        <f t="shared" si="72"/>
        <v/>
      </c>
      <c r="F888" s="1198"/>
      <c r="G888" s="1198"/>
      <c r="H888" s="1198"/>
      <c r="I888" s="1198"/>
      <c r="J888" s="1199"/>
      <c r="K888" s="134"/>
      <c r="L888" s="62" t="str">
        <f t="shared" si="73"/>
        <v/>
      </c>
      <c r="M888" s="14"/>
      <c r="N888" s="89">
        <f t="array" ref="N888">SUM(IF((CsDJ[JEV Number]=TRIM($T862))*(CsDJ[Account Code]=TRIM(K888)),CsDJ[Debit]))</f>
        <v>0</v>
      </c>
      <c r="O888" s="89">
        <f t="array" ref="O888">SUM(IF((CsDJ[JEV Number]=TRIM($T862))*(CsDJ[Account Code]=TRIM(K888)),CsDJ[Credit]))</f>
        <v>0</v>
      </c>
      <c r="P888" s="1200">
        <f t="shared" si="74"/>
        <v>0</v>
      </c>
      <c r="Q888" s="1200"/>
      <c r="R888" s="1200"/>
      <c r="S888" s="1200">
        <f t="shared" si="75"/>
        <v>0</v>
      </c>
      <c r="T888" s="1200"/>
      <c r="U888" s="1200"/>
      <c r="V888" s="1201"/>
    </row>
    <row r="889" spans="1:22">
      <c r="A889" s="1195"/>
      <c r="B889" s="1196"/>
      <c r="C889" s="1196"/>
      <c r="D889" s="1196"/>
      <c r="E889" s="1197" t="str">
        <f t="shared" si="72"/>
        <v/>
      </c>
      <c r="F889" s="1198"/>
      <c r="G889" s="1198"/>
      <c r="H889" s="1198"/>
      <c r="I889" s="1198"/>
      <c r="J889" s="1199"/>
      <c r="K889" s="134"/>
      <c r="L889" s="62" t="str">
        <f t="shared" si="73"/>
        <v/>
      </c>
      <c r="M889" s="14"/>
      <c r="N889" s="89">
        <f t="array" ref="N889">SUM(IF((CsDJ[JEV Number]=TRIM($T862))*(CsDJ[Account Code]=TRIM(K889)),CsDJ[Debit]))</f>
        <v>0</v>
      </c>
      <c r="O889" s="89">
        <f t="array" ref="O889">SUM(IF((CsDJ[JEV Number]=TRIM($T862))*(CsDJ[Account Code]=TRIM(K889)),CsDJ[Credit]))</f>
        <v>0</v>
      </c>
      <c r="P889" s="1200">
        <f t="shared" si="74"/>
        <v>0</v>
      </c>
      <c r="Q889" s="1200"/>
      <c r="R889" s="1200"/>
      <c r="S889" s="1200">
        <f t="shared" si="75"/>
        <v>0</v>
      </c>
      <c r="T889" s="1200"/>
      <c r="U889" s="1200"/>
      <c r="V889" s="1201"/>
    </row>
    <row r="890" spans="1:22">
      <c r="A890" s="1195"/>
      <c r="B890" s="1196"/>
      <c r="C890" s="1196"/>
      <c r="D890" s="1196"/>
      <c r="E890" s="1197" t="str">
        <f t="shared" si="72"/>
        <v/>
      </c>
      <c r="F890" s="1198"/>
      <c r="G890" s="1198"/>
      <c r="H890" s="1198"/>
      <c r="I890" s="1198"/>
      <c r="J890" s="1199"/>
      <c r="K890" s="134"/>
      <c r="L890" s="62" t="str">
        <f t="shared" si="73"/>
        <v/>
      </c>
      <c r="M890" s="14"/>
      <c r="N890" s="89">
        <f t="array" ref="N890">SUM(IF((CsDJ[JEV Number]=TRIM($T862))*(CsDJ[Account Code]=TRIM(K890)),CsDJ[Debit]))</f>
        <v>0</v>
      </c>
      <c r="O890" s="89">
        <f t="array" ref="O890">SUM(IF((CsDJ[JEV Number]=TRIM($T862))*(CsDJ[Account Code]=TRIM(K890)),CsDJ[Credit]))</f>
        <v>0</v>
      </c>
      <c r="P890" s="1200">
        <f t="shared" si="74"/>
        <v>0</v>
      </c>
      <c r="Q890" s="1200"/>
      <c r="R890" s="1200"/>
      <c r="S890" s="1200">
        <f t="shared" si="75"/>
        <v>0</v>
      </c>
      <c r="T890" s="1200"/>
      <c r="U890" s="1200"/>
      <c r="V890" s="1201"/>
    </row>
    <row r="891" spans="1:22">
      <c r="A891" s="1195"/>
      <c r="B891" s="1196"/>
      <c r="C891" s="1196"/>
      <c r="D891" s="1196"/>
      <c r="E891" s="1197" t="str">
        <f t="shared" si="72"/>
        <v/>
      </c>
      <c r="F891" s="1198"/>
      <c r="G891" s="1198"/>
      <c r="H891" s="1198"/>
      <c r="I891" s="1198"/>
      <c r="J891" s="1199"/>
      <c r="K891" s="134"/>
      <c r="L891" s="62" t="str">
        <f t="shared" si="73"/>
        <v/>
      </c>
      <c r="M891" s="14"/>
      <c r="N891" s="89">
        <f t="array" ref="N891">SUM(IF((CsDJ[JEV Number]=TRIM($T862))*(CsDJ[Account Code]=TRIM(K891)),CsDJ[Debit]))</f>
        <v>0</v>
      </c>
      <c r="O891" s="89">
        <f t="array" ref="O891">SUM(IF((CsDJ[JEV Number]=TRIM($T862))*(CsDJ[Account Code]=TRIM(K891)),CsDJ[Credit]))</f>
        <v>0</v>
      </c>
      <c r="P891" s="1200">
        <f t="shared" si="74"/>
        <v>0</v>
      </c>
      <c r="Q891" s="1200"/>
      <c r="R891" s="1200"/>
      <c r="S891" s="1200">
        <f t="shared" si="75"/>
        <v>0</v>
      </c>
      <c r="T891" s="1200"/>
      <c r="U891" s="1200"/>
      <c r="V891" s="1201"/>
    </row>
    <row r="892" spans="1:22">
      <c r="A892" s="1195"/>
      <c r="B892" s="1196"/>
      <c r="C892" s="1196"/>
      <c r="D892" s="1196"/>
      <c r="E892" s="1197" t="str">
        <f t="shared" si="72"/>
        <v/>
      </c>
      <c r="F892" s="1198"/>
      <c r="G892" s="1198"/>
      <c r="H892" s="1198"/>
      <c r="I892" s="1198"/>
      <c r="J892" s="1199"/>
      <c r="K892" s="134"/>
      <c r="L892" s="62" t="str">
        <f t="shared" si="73"/>
        <v/>
      </c>
      <c r="M892" s="14"/>
      <c r="N892" s="89">
        <f t="array" ref="N892">SUM(IF((CsDJ[JEV Number]=TRIM($T862))*(CsDJ[Account Code]=TRIM(K892)),CsDJ[Debit]))</f>
        <v>0</v>
      </c>
      <c r="O892" s="89">
        <f t="array" ref="O892">SUM(IF((CsDJ[JEV Number]=TRIM($T862))*(CsDJ[Account Code]=TRIM(K892)),CsDJ[Credit]))</f>
        <v>0</v>
      </c>
      <c r="P892" s="1200">
        <f t="shared" si="74"/>
        <v>0</v>
      </c>
      <c r="Q892" s="1200"/>
      <c r="R892" s="1200"/>
      <c r="S892" s="1200">
        <f t="shared" si="75"/>
        <v>0</v>
      </c>
      <c r="T892" s="1200"/>
      <c r="U892" s="1200"/>
      <c r="V892" s="1201"/>
    </row>
    <row r="893" spans="1:22">
      <c r="A893" s="1195"/>
      <c r="B893" s="1196"/>
      <c r="C893" s="1196"/>
      <c r="D893" s="1196"/>
      <c r="E893" s="1197" t="str">
        <f t="shared" si="72"/>
        <v/>
      </c>
      <c r="F893" s="1198"/>
      <c r="G893" s="1198"/>
      <c r="H893" s="1198"/>
      <c r="I893" s="1198"/>
      <c r="J893" s="1199"/>
      <c r="K893" s="134"/>
      <c r="L893" s="62" t="str">
        <f t="shared" si="73"/>
        <v/>
      </c>
      <c r="M893" s="14"/>
      <c r="N893" s="89">
        <f t="array" ref="N893">SUM(IF((CsDJ[JEV Number]=TRIM($T862))*(CsDJ[Account Code]=TRIM(K893)),CsDJ[Debit]))</f>
        <v>0</v>
      </c>
      <c r="O893" s="89">
        <f t="array" ref="O893">SUM(IF((CsDJ[JEV Number]=TRIM($T862))*(CsDJ[Account Code]=TRIM(K893)),CsDJ[Credit]))</f>
        <v>0</v>
      </c>
      <c r="P893" s="1200">
        <f t="shared" si="74"/>
        <v>0</v>
      </c>
      <c r="Q893" s="1200"/>
      <c r="R893" s="1200"/>
      <c r="S893" s="1200">
        <f t="shared" si="75"/>
        <v>0</v>
      </c>
      <c r="T893" s="1200"/>
      <c r="U893" s="1200"/>
      <c r="V893" s="1201"/>
    </row>
    <row r="894" spans="1:22">
      <c r="A894" s="1195"/>
      <c r="B894" s="1196"/>
      <c r="C894" s="1196"/>
      <c r="D894" s="1196"/>
      <c r="E894" s="1197" t="str">
        <f t="shared" si="72"/>
        <v/>
      </c>
      <c r="F894" s="1198"/>
      <c r="G894" s="1198"/>
      <c r="H894" s="1198"/>
      <c r="I894" s="1198"/>
      <c r="J894" s="1199"/>
      <c r="K894" s="134"/>
      <c r="L894" s="62" t="str">
        <f t="shared" si="73"/>
        <v/>
      </c>
      <c r="M894" s="14"/>
      <c r="N894" s="89">
        <f t="array" ref="N894">SUM(IF((CsDJ[JEV Number]=TRIM($T862))*(CsDJ[Account Code]=TRIM(K894)),CsDJ[Debit]))</f>
        <v>0</v>
      </c>
      <c r="O894" s="89">
        <f t="array" ref="O894">SUM(IF((CsDJ[JEV Number]=TRIM($T862))*(CsDJ[Account Code]=TRIM(K894)),CsDJ[Credit]))</f>
        <v>0</v>
      </c>
      <c r="P894" s="1200">
        <f t="shared" si="74"/>
        <v>0</v>
      </c>
      <c r="Q894" s="1200"/>
      <c r="R894" s="1200"/>
      <c r="S894" s="1200">
        <f t="shared" si="75"/>
        <v>0</v>
      </c>
      <c r="T894" s="1200"/>
      <c r="U894" s="1200"/>
      <c r="V894" s="1201"/>
    </row>
    <row r="895" spans="1:22">
      <c r="A895" s="1195"/>
      <c r="B895" s="1196"/>
      <c r="C895" s="1196"/>
      <c r="D895" s="1196"/>
      <c r="E895" s="1197" t="str">
        <f t="shared" si="72"/>
        <v/>
      </c>
      <c r="F895" s="1198"/>
      <c r="G895" s="1198"/>
      <c r="H895" s="1198"/>
      <c r="I895" s="1198"/>
      <c r="J895" s="1199"/>
      <c r="K895" s="134"/>
      <c r="L895" s="62" t="str">
        <f t="shared" si="73"/>
        <v/>
      </c>
      <c r="M895" s="14"/>
      <c r="N895" s="89">
        <f t="array" ref="N895">SUM(IF((CsDJ[JEV Number]=TRIM($T862))*(CsDJ[Account Code]=TRIM(K895)),CsDJ[Debit]))</f>
        <v>0</v>
      </c>
      <c r="O895" s="89">
        <f t="array" ref="O895">SUM(IF((CsDJ[JEV Number]=TRIM($T862))*(CsDJ[Account Code]=TRIM(K895)),CsDJ[Credit]))</f>
        <v>0</v>
      </c>
      <c r="P895" s="1200">
        <f t="shared" si="74"/>
        <v>0</v>
      </c>
      <c r="Q895" s="1200"/>
      <c r="R895" s="1200"/>
      <c r="S895" s="1200">
        <f t="shared" si="75"/>
        <v>0</v>
      </c>
      <c r="T895" s="1200"/>
      <c r="U895" s="1200"/>
      <c r="V895" s="1201"/>
    </row>
    <row r="896" spans="1:22">
      <c r="A896" s="1195"/>
      <c r="B896" s="1196"/>
      <c r="C896" s="1196"/>
      <c r="D896" s="1196"/>
      <c r="E896" s="1257" t="s">
        <v>468</v>
      </c>
      <c r="F896" s="1258"/>
      <c r="G896" s="1258"/>
      <c r="H896" s="1258"/>
      <c r="I896" s="1258"/>
      <c r="J896" s="1259"/>
      <c r="K896" s="133"/>
      <c r="L896" s="62" t="str">
        <f t="shared" si="73"/>
        <v/>
      </c>
      <c r="M896" s="14"/>
      <c r="N896" s="89">
        <f t="array" ref="N896">SUM(IF((CsDJ[JEV Number]=TRIM($T862))*(CsDJ[Account Code]=TRIM(K896)),CsDJ[Debit]))</f>
        <v>0</v>
      </c>
      <c r="O896" s="89">
        <f t="array" ref="O896">SUM(IF((CsDJ[JEV Number]=TRIM($T862))*(CsDJ[Account Code]=TRIM(K896)),CsDJ[Credit]))</f>
        <v>0</v>
      </c>
      <c r="P896" s="1200">
        <f t="shared" si="74"/>
        <v>0</v>
      </c>
      <c r="Q896" s="1200"/>
      <c r="R896" s="1200"/>
      <c r="S896" s="1200">
        <f t="shared" si="75"/>
        <v>0</v>
      </c>
      <c r="T896" s="1200"/>
      <c r="U896" s="1200"/>
      <c r="V896" s="1201"/>
    </row>
    <row r="897" spans="1:22">
      <c r="A897" s="1195"/>
      <c r="B897" s="1196"/>
      <c r="C897" s="1196"/>
      <c r="D897" s="1196"/>
      <c r="E897" s="1202" t="s">
        <v>457</v>
      </c>
      <c r="F897" s="1203"/>
      <c r="G897" s="1203"/>
      <c r="H897" s="1203"/>
      <c r="I897" s="1207">
        <f>T863</f>
        <v>0</v>
      </c>
      <c r="J897" s="1208"/>
      <c r="K897" s="133"/>
      <c r="L897" s="62" t="str">
        <f t="shared" si="73"/>
        <v/>
      </c>
      <c r="M897" s="14"/>
      <c r="N897" s="89">
        <f t="array" ref="N897">SUM(IF((CsDJ[JEV Number]=TRIM($T862))*(CsDJ[Account Code]=TRIM(K897)),CsDJ[Debit]))</f>
        <v>0</v>
      </c>
      <c r="O897" s="89">
        <f t="array" ref="O897">SUM(IF((CsDJ[JEV Number]=TRIM($T862))*(CsDJ[Account Code]=TRIM(K897)),CsDJ[Credit]))</f>
        <v>0</v>
      </c>
      <c r="P897" s="1200">
        <f t="shared" si="74"/>
        <v>0</v>
      </c>
      <c r="Q897" s="1200"/>
      <c r="R897" s="1200"/>
      <c r="S897" s="1200">
        <f t="shared" si="75"/>
        <v>0</v>
      </c>
      <c r="T897" s="1200"/>
      <c r="U897" s="1200"/>
      <c r="V897" s="1201"/>
    </row>
    <row r="898" spans="1:22">
      <c r="A898" s="1195"/>
      <c r="B898" s="1196"/>
      <c r="C898" s="1196"/>
      <c r="D898" s="1196"/>
      <c r="E898" s="1202" t="s">
        <v>458</v>
      </c>
      <c r="F898" s="1203"/>
      <c r="G898" s="1203"/>
      <c r="H898" s="1203"/>
      <c r="I898" s="1263">
        <f>IF(T862=0,0,(IF(LOOKUP(T862,CsDJ[JEV Number],CsDJ[Sort Code])="1","MA. VIVIAN C. SALAS",IF(LOOKUP(T862,CsDJ[JEV Number],CsDJ[Sort Code])="2","LUZ R. DE COZAR",IF(LOOKUP(T862,CsDJ[JEV Number],CsDJ[Sort Code])="3","MINEONETTE A. DELA CRUZ",IF(LOOKUP(T862,CsDJ[JEV Number],CsDJ[Sort Code])="4","RESELLA B. LOPEZ"))))))</f>
        <v>0</v>
      </c>
      <c r="J898" s="1264"/>
      <c r="K898" s="133"/>
      <c r="L898" s="62" t="str">
        <f t="shared" si="73"/>
        <v/>
      </c>
      <c r="M898" s="14"/>
      <c r="N898" s="89">
        <f t="array" ref="N898">SUM(IF((CsDJ[JEV Number]=TRIM($T862))*(CsDJ[Account Code]=TRIM(K898)),CsDJ[Debit]))</f>
        <v>0</v>
      </c>
      <c r="O898" s="89">
        <f t="array" ref="O898">SUM(IF((CsDJ[JEV Number]=TRIM($T862))*(CsDJ[Account Code]=TRIM(K898)),CsDJ[Credit]))</f>
        <v>0</v>
      </c>
      <c r="P898" s="1200">
        <f t="shared" si="74"/>
        <v>0</v>
      </c>
      <c r="Q898" s="1200"/>
      <c r="R898" s="1200"/>
      <c r="S898" s="1200">
        <f t="shared" si="75"/>
        <v>0</v>
      </c>
      <c r="T898" s="1200"/>
      <c r="U898" s="1200"/>
      <c r="V898" s="1201"/>
    </row>
    <row r="899" spans="1:22">
      <c r="A899" s="1195"/>
      <c r="B899" s="1196"/>
      <c r="C899" s="1196"/>
      <c r="D899" s="1196"/>
      <c r="E899" s="1202" t="s">
        <v>459</v>
      </c>
      <c r="F899" s="1203"/>
      <c r="G899" s="1203"/>
      <c r="H899" s="1203"/>
      <c r="I899" s="1204">
        <f>IF(I898="Ma. Vivian C. Salas","Regional Office", IF(I898="Luz R. De Cozar","BANE IMO", IF(I898="Mineonette A. Dela Cruz","PAMBAT IMO", IF(I898="Resella B. Lopez","TARZAM IMO",0))))</f>
        <v>0</v>
      </c>
      <c r="J899" s="1205"/>
      <c r="K899" s="133"/>
      <c r="L899" s="62" t="str">
        <f t="shared" si="73"/>
        <v/>
      </c>
      <c r="M899" s="14"/>
      <c r="N899" s="89">
        <f t="array" ref="N899">SUM(IF((CsDJ[JEV Number]=TRIM($T862))*(CsDJ[Account Code]=TRIM(K899)),CsDJ[Debit]))</f>
        <v>0</v>
      </c>
      <c r="O899" s="89">
        <f t="array" ref="O899">SUM(IF((CsDJ[JEV Number]=TRIM($T862))*(CsDJ[Account Code]=TRIM(K899)),CsDJ[Credit]))</f>
        <v>0</v>
      </c>
      <c r="P899" s="1200">
        <f t="shared" si="74"/>
        <v>0</v>
      </c>
      <c r="Q899" s="1200"/>
      <c r="R899" s="1200"/>
      <c r="S899" s="1200">
        <f t="shared" si="75"/>
        <v>0</v>
      </c>
      <c r="T899" s="1200"/>
      <c r="U899" s="1200"/>
      <c r="V899" s="1201"/>
    </row>
    <row r="900" spans="1:22">
      <c r="A900" s="1195"/>
      <c r="B900" s="1196"/>
      <c r="C900" s="1196"/>
      <c r="D900" s="1196"/>
      <c r="E900" s="1202"/>
      <c r="F900" s="1203"/>
      <c r="G900" s="1203"/>
      <c r="H900" s="1203"/>
      <c r="I900" s="1203"/>
      <c r="J900" s="1206"/>
      <c r="K900" s="133"/>
      <c r="L900" s="62" t="str">
        <f t="shared" si="73"/>
        <v/>
      </c>
      <c r="M900" s="14"/>
      <c r="N900" s="89">
        <f t="array" ref="N900">SUM(IF((CsDJ[JEV Number]=TRIM($T862))*(CsDJ[Account Code]=TRIM(K900)),CsDJ[Debit]))</f>
        <v>0</v>
      </c>
      <c r="O900" s="89">
        <f t="array" ref="O900">SUM(IF((CsDJ[JEV Number]=TRIM($T862))*(CsDJ[Account Code]=TRIM(K900)),CsDJ[Credit]))</f>
        <v>0</v>
      </c>
      <c r="P900" s="1200">
        <f t="shared" si="74"/>
        <v>0</v>
      </c>
      <c r="Q900" s="1200"/>
      <c r="R900" s="1200"/>
      <c r="S900" s="1200">
        <f t="shared" si="75"/>
        <v>0</v>
      </c>
      <c r="T900" s="1200"/>
      <c r="U900" s="1200"/>
      <c r="V900" s="1201"/>
    </row>
    <row r="901" spans="1:22" ht="16.5" thickBot="1">
      <c r="A901" s="1188"/>
      <c r="B901" s="1189"/>
      <c r="C901" s="1189"/>
      <c r="D901" s="1189"/>
      <c r="E901" s="1189"/>
      <c r="F901" s="1189"/>
      <c r="G901" s="1189"/>
      <c r="H901" s="1189"/>
      <c r="I901" s="1189"/>
      <c r="J901" s="1189"/>
      <c r="K901" s="1189"/>
      <c r="L901" s="1189"/>
      <c r="M901" s="1190"/>
      <c r="N901" s="88"/>
      <c r="O901" s="88"/>
      <c r="P901" s="1191">
        <f>SUM(P871:R900)</f>
        <v>0</v>
      </c>
      <c r="Q901" s="1191"/>
      <c r="R901" s="1191"/>
      <c r="S901" s="1191">
        <f>SUM(S871:V900)</f>
        <v>0</v>
      </c>
      <c r="T901" s="1191"/>
      <c r="U901" s="1191"/>
      <c r="V901" s="1192"/>
    </row>
    <row r="902" spans="1:22">
      <c r="A902" s="63"/>
      <c r="B902" s="64"/>
      <c r="C902" s="64"/>
      <c r="D902" s="64"/>
      <c r="E902" s="64"/>
      <c r="F902" s="64"/>
      <c r="G902" s="64"/>
      <c r="H902" s="64"/>
      <c r="I902" s="65"/>
      <c r="J902" s="64"/>
      <c r="K902" s="66"/>
      <c r="L902" s="64"/>
      <c r="M902" s="65"/>
      <c r="N902" s="64"/>
      <c r="O902" s="64"/>
      <c r="P902" s="1193"/>
      <c r="Q902" s="1193"/>
      <c r="R902" s="1193"/>
      <c r="S902" s="1193"/>
      <c r="T902" s="1193"/>
      <c r="U902" s="1193"/>
      <c r="V902" s="1194"/>
    </row>
    <row r="903" spans="1:22">
      <c r="A903" s="67" t="s">
        <v>460</v>
      </c>
      <c r="B903"/>
      <c r="C903"/>
      <c r="D903"/>
      <c r="E903"/>
      <c r="F903"/>
      <c r="G903"/>
      <c r="H903"/>
      <c r="I903" s="68" t="s">
        <v>353</v>
      </c>
      <c r="J903" s="69"/>
      <c r="K903" s="69"/>
      <c r="L903"/>
      <c r="M903" s="68" t="s">
        <v>461</v>
      </c>
      <c r="N903" s="69"/>
      <c r="O903" s="69"/>
      <c r="P903" s="70"/>
      <c r="Q903" s="70"/>
      <c r="R903" s="70"/>
      <c r="S903" s="70"/>
      <c r="T903" s="70"/>
      <c r="U903" s="70"/>
      <c r="V903" s="71"/>
    </row>
    <row r="904" spans="1:22">
      <c r="A904" s="37"/>
      <c r="B904"/>
      <c r="C904"/>
      <c r="D904"/>
      <c r="E904"/>
      <c r="F904"/>
      <c r="G904"/>
      <c r="H904"/>
      <c r="I904" s="72"/>
      <c r="J904"/>
      <c r="K904"/>
      <c r="L904"/>
      <c r="M904" s="72"/>
      <c r="N904"/>
      <c r="O904"/>
      <c r="P904"/>
      <c r="Q904"/>
      <c r="R904"/>
      <c r="S904"/>
      <c r="T904"/>
      <c r="U904"/>
      <c r="V904" s="73"/>
    </row>
    <row r="905" spans="1:22">
      <c r="A905" s="74" t="s">
        <v>462</v>
      </c>
      <c r="B905" s="75"/>
      <c r="C905" s="75"/>
      <c r="D905" s="75"/>
      <c r="E905" s="75"/>
      <c r="F905" s="75"/>
      <c r="G905" s="75"/>
      <c r="H905" s="76"/>
      <c r="I905" s="77" t="s">
        <v>380</v>
      </c>
      <c r="J905" s="75"/>
      <c r="K905" s="75"/>
      <c r="L905" s="76"/>
      <c r="M905" s="77" t="s">
        <v>3</v>
      </c>
      <c r="N905" s="75"/>
      <c r="O905" s="75"/>
      <c r="P905" s="75"/>
      <c r="Q905" s="75"/>
      <c r="R905" s="75"/>
      <c r="S905" s="75"/>
      <c r="T905" s="75"/>
      <c r="U905" s="75"/>
      <c r="V905" s="78"/>
    </row>
    <row r="906" spans="1:22">
      <c r="A906" s="79" t="s">
        <v>463</v>
      </c>
      <c r="B906" s="80"/>
      <c r="C906" s="80"/>
      <c r="D906" s="80"/>
      <c r="E906" s="80"/>
      <c r="F906" s="80"/>
      <c r="G906" s="80"/>
      <c r="H906" s="80"/>
      <c r="I906" s="81" t="s">
        <v>381</v>
      </c>
      <c r="J906" s="80"/>
      <c r="K906" s="80"/>
      <c r="L906" s="80"/>
      <c r="M906" s="81" t="s">
        <v>464</v>
      </c>
      <c r="N906" s="80"/>
      <c r="O906" s="80"/>
      <c r="P906" s="82"/>
      <c r="Q906" s="82"/>
      <c r="R906" s="82"/>
      <c r="S906" s="82"/>
      <c r="T906" s="82"/>
      <c r="U906" s="82"/>
      <c r="V906" s="83"/>
    </row>
    <row r="907" spans="1:22" ht="16.5" thickBot="1">
      <c r="A907" s="84" t="s">
        <v>465</v>
      </c>
      <c r="B907" s="43"/>
      <c r="C907" s="43"/>
      <c r="D907" s="43"/>
      <c r="E907" s="43"/>
      <c r="F907" s="43"/>
      <c r="G907" s="43"/>
      <c r="H907" s="43"/>
      <c r="I907" s="85"/>
      <c r="J907" s="43"/>
      <c r="K907" s="43"/>
      <c r="L907" s="43"/>
      <c r="M907" s="85"/>
      <c r="N907" s="43"/>
      <c r="O907" s="43"/>
      <c r="P907" s="43"/>
      <c r="Q907" s="43"/>
      <c r="R907" s="43"/>
      <c r="S907" s="43"/>
      <c r="T907" s="43"/>
      <c r="U907" s="43"/>
      <c r="V907" s="44"/>
    </row>
    <row r="908" spans="1:22" ht="22.5">
      <c r="A908" s="31" t="s">
        <v>441</v>
      </c>
      <c r="B908" s="32"/>
      <c r="C908" s="32"/>
      <c r="D908" s="32"/>
      <c r="E908" s="32"/>
      <c r="F908" s="32"/>
      <c r="G908" s="32"/>
      <c r="H908" s="32"/>
      <c r="I908" s="32"/>
      <c r="J908" s="32"/>
      <c r="K908" s="32"/>
      <c r="L908" s="32"/>
      <c r="M908" s="32"/>
      <c r="N908" s="32"/>
      <c r="O908" s="32"/>
      <c r="P908" s="32"/>
      <c r="Q908" s="33"/>
      <c r="R908" s="1218">
        <f>+P948-S948</f>
        <v>0</v>
      </c>
      <c r="S908" s="1219"/>
      <c r="T908" s="1219"/>
      <c r="U908" s="1219"/>
      <c r="V908" s="1220"/>
    </row>
    <row r="909" spans="1:22">
      <c r="A909" s="34" t="s">
        <v>442</v>
      </c>
      <c r="B909" s="35"/>
      <c r="C909" s="35"/>
      <c r="D909" s="35"/>
      <c r="E909" s="35"/>
      <c r="F909" s="35"/>
      <c r="G909" s="35"/>
      <c r="H909" s="35"/>
      <c r="I909" s="35"/>
      <c r="J909" s="35"/>
      <c r="K909" s="35"/>
      <c r="L909" s="35"/>
      <c r="M909" s="35"/>
      <c r="N909" s="35"/>
      <c r="O909" s="35"/>
      <c r="P909" s="35"/>
      <c r="Q909" s="36"/>
      <c r="R909" s="37" t="s">
        <v>443</v>
      </c>
      <c r="S909"/>
      <c r="T909" s="1221"/>
      <c r="U909" s="1221"/>
      <c r="V909" s="1222"/>
    </row>
    <row r="910" spans="1:22">
      <c r="A910" s="38" t="s">
        <v>444</v>
      </c>
      <c r="B910" s="35"/>
      <c r="C910" s="35"/>
      <c r="D910" s="35"/>
      <c r="E910" s="35"/>
      <c r="F910" s="35"/>
      <c r="G910" s="35"/>
      <c r="H910" s="35"/>
      <c r="I910" s="35"/>
      <c r="J910" s="35"/>
      <c r="K910" s="35"/>
      <c r="L910" s="35"/>
      <c r="M910" s="35"/>
      <c r="N910" s="35"/>
      <c r="O910" s="35"/>
      <c r="P910" s="35"/>
      <c r="Q910" s="36"/>
      <c r="R910" s="37" t="s">
        <v>0</v>
      </c>
      <c r="S910"/>
      <c r="T910" s="1223">
        <f>IF(T909=0,0,(LOOKUP(T909,CsDJ[JEV Number],CsDJ[Date])))</f>
        <v>0</v>
      </c>
      <c r="U910" s="1223"/>
      <c r="V910" s="1224"/>
    </row>
    <row r="911" spans="1:22" ht="16.5" thickBot="1">
      <c r="A911" s="39"/>
      <c r="B911" s="40"/>
      <c r="C911" s="40"/>
      <c r="D911" s="40"/>
      <c r="E911" s="40"/>
      <c r="F911" s="40"/>
      <c r="G911" s="40"/>
      <c r="H911" s="40"/>
      <c r="I911" s="40"/>
      <c r="J911" s="40"/>
      <c r="K911" s="40"/>
      <c r="L911" s="40"/>
      <c r="M911" s="40"/>
      <c r="N911" s="40"/>
      <c r="O911" s="40"/>
      <c r="P911" s="40"/>
      <c r="Q911" s="41"/>
      <c r="R911" s="42"/>
      <c r="S911" s="43"/>
      <c r="T911" s="43"/>
      <c r="U911" s="43"/>
      <c r="V911" s="44"/>
    </row>
    <row r="912" spans="1:22">
      <c r="A912" s="45"/>
      <c r="B912" s="46"/>
      <c r="C912" s="46"/>
      <c r="D912" s="46"/>
      <c r="E912" s="46"/>
      <c r="F912" s="46"/>
      <c r="G912" s="46"/>
      <c r="H912" s="46"/>
      <c r="I912" s="46"/>
      <c r="J912" s="46"/>
      <c r="K912" s="46"/>
      <c r="L912" s="47"/>
      <c r="M912" s="46"/>
      <c r="N912" s="46"/>
      <c r="O912" s="46"/>
      <c r="P912" s="46"/>
      <c r="Q912" s="46"/>
      <c r="R912" s="46"/>
      <c r="S912" s="46"/>
      <c r="T912" s="46"/>
      <c r="U912" s="46"/>
      <c r="V912" s="48"/>
    </row>
    <row r="913" spans="1:22">
      <c r="A913" s="49"/>
      <c r="B913" s="1225"/>
      <c r="C913" s="1225"/>
      <c r="D913" s="50" t="s">
        <v>445</v>
      </c>
      <c r="H913" s="51"/>
      <c r="I913" s="25" t="s">
        <v>447</v>
      </c>
      <c r="J913" s="132" t="s">
        <v>446</v>
      </c>
      <c r="K913" s="52" t="s">
        <v>448</v>
      </c>
      <c r="L913" s="52"/>
      <c r="Q913" s="1225"/>
      <c r="R913" s="1225"/>
      <c r="S913" s="50" t="s">
        <v>449</v>
      </c>
      <c r="T913" s="50"/>
      <c r="U913" s="50"/>
      <c r="V913" s="53"/>
    </row>
    <row r="914" spans="1:22" ht="16.5" thickBot="1">
      <c r="A914" s="54"/>
      <c r="B914" s="55"/>
      <c r="C914" s="55"/>
      <c r="D914" s="55"/>
      <c r="E914" s="55"/>
      <c r="F914" s="55"/>
      <c r="G914" s="55"/>
      <c r="H914" s="55"/>
      <c r="I914" s="55"/>
      <c r="J914" s="55"/>
      <c r="K914" s="55"/>
      <c r="L914" s="56"/>
      <c r="M914" s="55"/>
      <c r="N914" s="55"/>
      <c r="O914" s="55"/>
      <c r="P914" s="55"/>
      <c r="Q914" s="55"/>
      <c r="R914" s="55"/>
      <c r="S914" s="55"/>
      <c r="T914" s="55"/>
      <c r="U914" s="55"/>
      <c r="V914" s="57"/>
    </row>
    <row r="915" spans="1:22">
      <c r="A915" s="1226" t="s">
        <v>397</v>
      </c>
      <c r="B915" s="1227"/>
      <c r="C915" s="1227"/>
      <c r="D915" s="1228"/>
      <c r="E915" s="1235" t="s">
        <v>450</v>
      </c>
      <c r="F915" s="1235"/>
      <c r="G915" s="1235"/>
      <c r="H915" s="1235"/>
      <c r="I915" s="1235"/>
      <c r="J915" s="1235"/>
      <c r="K915" s="1235"/>
      <c r="L915" s="1235"/>
      <c r="M915" s="1235"/>
      <c r="N915" s="1235"/>
      <c r="O915" s="1235"/>
      <c r="P915" s="1235"/>
      <c r="Q915" s="1235"/>
      <c r="R915" s="1235"/>
      <c r="S915" s="1235"/>
      <c r="T915" s="1235"/>
      <c r="U915" s="1235"/>
      <c r="V915" s="1236"/>
    </row>
    <row r="916" spans="1:22">
      <c r="A916" s="1229"/>
      <c r="B916" s="1230"/>
      <c r="C916" s="1230"/>
      <c r="D916" s="1231"/>
      <c r="E916" s="1237" t="s">
        <v>451</v>
      </c>
      <c r="F916" s="1237"/>
      <c r="G916" s="1237"/>
      <c r="H916" s="1237"/>
      <c r="I916" s="1237"/>
      <c r="J916" s="1237"/>
      <c r="K916" s="1239" t="s">
        <v>378</v>
      </c>
      <c r="L916" s="1239"/>
      <c r="M916" s="1237" t="s">
        <v>452</v>
      </c>
      <c r="N916" s="1240" t="s">
        <v>453</v>
      </c>
      <c r="O916" s="1241"/>
      <c r="P916" s="1241"/>
      <c r="Q916" s="1241"/>
      <c r="R916" s="1241"/>
      <c r="S916" s="1241"/>
      <c r="T916" s="1241"/>
      <c r="U916" s="1241"/>
      <c r="V916" s="1242"/>
    </row>
    <row r="917" spans="1:22" ht="16.5" customHeight="1" thickBot="1">
      <c r="A917" s="1232"/>
      <c r="B917" s="1233"/>
      <c r="C917" s="1233"/>
      <c r="D917" s="1234"/>
      <c r="E917" s="1238"/>
      <c r="F917" s="1238"/>
      <c r="G917" s="1238"/>
      <c r="H917" s="1238"/>
      <c r="I917" s="1238"/>
      <c r="J917" s="1238"/>
      <c r="K917" s="58" t="s">
        <v>454</v>
      </c>
      <c r="L917" s="58" t="s">
        <v>455</v>
      </c>
      <c r="M917" s="1238"/>
      <c r="N917" s="87" t="s">
        <v>466</v>
      </c>
      <c r="O917" s="87" t="s">
        <v>467</v>
      </c>
      <c r="P917" s="1243" t="s">
        <v>1</v>
      </c>
      <c r="Q917" s="1244"/>
      <c r="R917" s="1245"/>
      <c r="S917" s="1243" t="s">
        <v>2</v>
      </c>
      <c r="T917" s="1244"/>
      <c r="U917" s="1244"/>
      <c r="V917" s="1246"/>
    </row>
    <row r="918" spans="1:22" ht="19.5">
      <c r="A918" s="1210">
        <f>P948-S948</f>
        <v>0</v>
      </c>
      <c r="B918" s="1211"/>
      <c r="C918" s="1211"/>
      <c r="D918" s="1211"/>
      <c r="E918" s="1212" t="str">
        <f>Account!$G$1</f>
        <v>FUND 501 CARP</v>
      </c>
      <c r="F918" s="1213"/>
      <c r="G918" s="1213"/>
      <c r="H918" s="1213"/>
      <c r="I918" s="1213"/>
      <c r="J918" s="1214"/>
      <c r="K918" s="59"/>
      <c r="L918" s="59"/>
      <c r="M918" s="60"/>
      <c r="N918" s="60"/>
      <c r="O918" s="60"/>
      <c r="P918" s="1215"/>
      <c r="Q918" s="1215"/>
      <c r="R918" s="1215"/>
      <c r="S918" s="1215"/>
      <c r="T918" s="1215"/>
      <c r="U918" s="1215"/>
      <c r="V918" s="1216"/>
    </row>
    <row r="919" spans="1:22">
      <c r="A919" s="1195"/>
      <c r="B919" s="1196"/>
      <c r="C919" s="1196"/>
      <c r="D919" s="1196"/>
      <c r="E919" s="1196"/>
      <c r="F919" s="1196"/>
      <c r="G919" s="1196"/>
      <c r="H919" s="1196"/>
      <c r="I919" s="1196"/>
      <c r="J919" s="1196"/>
      <c r="K919" s="61"/>
      <c r="L919" s="61"/>
      <c r="M919" s="14"/>
      <c r="N919" s="14"/>
      <c r="O919" s="14"/>
      <c r="P919" s="1196"/>
      <c r="Q919" s="1196"/>
      <c r="R919" s="1196"/>
      <c r="S919" s="1196"/>
      <c r="T919" s="1196"/>
      <c r="U919" s="1196"/>
      <c r="V919" s="1217"/>
    </row>
    <row r="920" spans="1:22">
      <c r="A920" s="1195"/>
      <c r="B920" s="1196"/>
      <c r="C920" s="1196"/>
      <c r="D920" s="1196"/>
      <c r="E920" s="1197" t="str">
        <f t="shared" ref="E920:E942" si="76">IF(K920=0,"",(VLOOKUP((TRIM(K920)),Code,2,)))</f>
        <v/>
      </c>
      <c r="F920" s="1198"/>
      <c r="G920" s="1198"/>
      <c r="H920" s="1198"/>
      <c r="I920" s="1198"/>
      <c r="J920" s="1199"/>
      <c r="K920" s="133"/>
      <c r="L920" s="62" t="str">
        <f t="shared" ref="L920:L947" si="77">IF(K920=0,"",VLOOKUP((TRIM(K920)),Code,3,))</f>
        <v/>
      </c>
      <c r="M920" s="14"/>
      <c r="N920" s="89">
        <f t="array" ref="N920">SUM(IF((CsDJ[JEV Number]=TRIM($T909))*(CsDJ[Account Code]=TRIM(K920)),CsDJ[Debit]))</f>
        <v>0</v>
      </c>
      <c r="O920" s="89">
        <f t="array" ref="O920">SUM(IF((CsDJ[JEV Number]=TRIM($T909))*(CsDJ[Account Code]=TRIM(K920)),CsDJ[Credit]))</f>
        <v>0</v>
      </c>
      <c r="P920" s="1200">
        <f>N920</f>
        <v>0</v>
      </c>
      <c r="Q920" s="1200"/>
      <c r="R920" s="1200"/>
      <c r="S920" s="1200">
        <f>O920</f>
        <v>0</v>
      </c>
      <c r="T920" s="1200"/>
      <c r="U920" s="1200"/>
      <c r="V920" s="1201"/>
    </row>
    <row r="921" spans="1:22">
      <c r="A921" s="1195"/>
      <c r="B921" s="1196"/>
      <c r="C921" s="1196"/>
      <c r="D921" s="1196"/>
      <c r="E921" s="1197" t="str">
        <f t="shared" si="76"/>
        <v/>
      </c>
      <c r="F921" s="1198"/>
      <c r="G921" s="1198"/>
      <c r="H921" s="1198"/>
      <c r="I921" s="1198"/>
      <c r="J921" s="1199"/>
      <c r="K921" s="133"/>
      <c r="L921" s="62" t="str">
        <f t="shared" si="77"/>
        <v/>
      </c>
      <c r="M921" s="14"/>
      <c r="N921" s="89">
        <f t="array" ref="N921">SUM(IF((CsDJ[JEV Number]=TRIM($T909))*(CsDJ[Account Code]=TRIM(K921)),CsDJ[Debit]))</f>
        <v>0</v>
      </c>
      <c r="O921" s="89">
        <f t="array" ref="O921">SUM(IF((CsDJ[JEV Number]=TRIM($T909))*(CsDJ[Account Code]=TRIM(K921)),CsDJ[Credit]))</f>
        <v>0</v>
      </c>
      <c r="P921" s="1200">
        <f>N921</f>
        <v>0</v>
      </c>
      <c r="Q921" s="1200"/>
      <c r="R921" s="1200"/>
      <c r="S921" s="1200">
        <f>O921</f>
        <v>0</v>
      </c>
      <c r="T921" s="1200"/>
      <c r="U921" s="1200"/>
      <c r="V921" s="1201"/>
    </row>
    <row r="922" spans="1:22">
      <c r="A922" s="1195"/>
      <c r="B922" s="1196"/>
      <c r="C922" s="1196"/>
      <c r="D922" s="1196"/>
      <c r="E922" s="1197" t="str">
        <f t="shared" si="76"/>
        <v/>
      </c>
      <c r="F922" s="1198"/>
      <c r="G922" s="1198"/>
      <c r="H922" s="1198"/>
      <c r="I922" s="1198"/>
      <c r="J922" s="1199"/>
      <c r="K922" s="133"/>
      <c r="L922" s="62" t="str">
        <f t="shared" si="77"/>
        <v/>
      </c>
      <c r="M922" s="14"/>
      <c r="N922" s="89">
        <f t="array" ref="N922">SUM(IF((CsDJ[JEV Number]=TRIM($T909))*(CsDJ[Account Code]=TRIM(K922)),CsDJ[Debit]))</f>
        <v>0</v>
      </c>
      <c r="O922" s="89">
        <f t="array" ref="O922">SUM(IF((CsDJ[JEV Number]=TRIM($T909))*(CsDJ[Account Code]=TRIM(K922)),CsDJ[Credit]))</f>
        <v>0</v>
      </c>
      <c r="P922" s="1200">
        <f t="shared" ref="P922:P947" si="78">N922</f>
        <v>0</v>
      </c>
      <c r="Q922" s="1200"/>
      <c r="R922" s="1200"/>
      <c r="S922" s="1200">
        <f t="shared" ref="S922:S947" si="79">O922</f>
        <v>0</v>
      </c>
      <c r="T922" s="1200"/>
      <c r="U922" s="1200"/>
      <c r="V922" s="1201"/>
    </row>
    <row r="923" spans="1:22">
      <c r="A923" s="1195"/>
      <c r="B923" s="1196"/>
      <c r="C923" s="1196"/>
      <c r="D923" s="1196"/>
      <c r="E923" s="1197" t="str">
        <f t="shared" si="76"/>
        <v/>
      </c>
      <c r="F923" s="1198"/>
      <c r="G923" s="1198"/>
      <c r="H923" s="1198"/>
      <c r="I923" s="1198"/>
      <c r="J923" s="1199"/>
      <c r="K923" s="133"/>
      <c r="L923" s="62" t="str">
        <f t="shared" si="77"/>
        <v/>
      </c>
      <c r="M923" s="14"/>
      <c r="N923" s="89">
        <f t="array" ref="N923">SUM(IF((CsDJ[JEV Number]=TRIM($T909))*(CsDJ[Account Code]=TRIM(K923)),CsDJ[Debit]))</f>
        <v>0</v>
      </c>
      <c r="O923" s="89">
        <f t="array" ref="O923">SUM(IF((CsDJ[JEV Number]=TRIM($T909))*(CsDJ[Account Code]=TRIM(K923)),CsDJ[Credit]))</f>
        <v>0</v>
      </c>
      <c r="P923" s="1200">
        <f t="shared" si="78"/>
        <v>0</v>
      </c>
      <c r="Q923" s="1200"/>
      <c r="R923" s="1200"/>
      <c r="S923" s="1200">
        <f t="shared" si="79"/>
        <v>0</v>
      </c>
      <c r="T923" s="1200"/>
      <c r="U923" s="1200"/>
      <c r="V923" s="1201"/>
    </row>
    <row r="924" spans="1:22">
      <c r="A924" s="1195"/>
      <c r="B924" s="1196"/>
      <c r="C924" s="1196"/>
      <c r="D924" s="1196"/>
      <c r="E924" s="1197" t="str">
        <f t="shared" si="76"/>
        <v/>
      </c>
      <c r="F924" s="1198"/>
      <c r="G924" s="1198"/>
      <c r="H924" s="1198"/>
      <c r="I924" s="1198"/>
      <c r="J924" s="1199"/>
      <c r="K924" s="133"/>
      <c r="L924" s="62" t="str">
        <f t="shared" si="77"/>
        <v/>
      </c>
      <c r="M924" s="14"/>
      <c r="N924" s="89">
        <f t="array" ref="N924">SUM(IF((CsDJ[JEV Number]=TRIM($T909))*(CsDJ[Account Code]=TRIM(K924)),CsDJ[Debit]))</f>
        <v>0</v>
      </c>
      <c r="O924" s="89">
        <f t="array" ref="O924">SUM(IF((CsDJ[JEV Number]=TRIM($T909))*(CsDJ[Account Code]=TRIM(K924)),CsDJ[Credit]))</f>
        <v>0</v>
      </c>
      <c r="P924" s="1200">
        <f t="shared" si="78"/>
        <v>0</v>
      </c>
      <c r="Q924" s="1200"/>
      <c r="R924" s="1200"/>
      <c r="S924" s="1200">
        <f t="shared" si="79"/>
        <v>0</v>
      </c>
      <c r="T924" s="1200"/>
      <c r="U924" s="1200"/>
      <c r="V924" s="1201"/>
    </row>
    <row r="925" spans="1:22">
      <c r="A925" s="1195"/>
      <c r="B925" s="1196"/>
      <c r="C925" s="1196"/>
      <c r="D925" s="1196"/>
      <c r="E925" s="1197" t="str">
        <f t="shared" si="76"/>
        <v/>
      </c>
      <c r="F925" s="1198"/>
      <c r="G925" s="1198"/>
      <c r="H925" s="1198"/>
      <c r="I925" s="1198"/>
      <c r="J925" s="1199"/>
      <c r="K925" s="133"/>
      <c r="L925" s="62" t="str">
        <f t="shared" si="77"/>
        <v/>
      </c>
      <c r="M925" s="14"/>
      <c r="N925" s="89">
        <f t="array" ref="N925">SUM(IF((CsDJ[JEV Number]=TRIM($T909))*(CsDJ[Account Code]=TRIM(K925)),CsDJ[Debit]))</f>
        <v>0</v>
      </c>
      <c r="O925" s="89">
        <f t="array" ref="O925">SUM(IF((CsDJ[JEV Number]=TRIM($T909))*(CsDJ[Account Code]=TRIM(K925)),CsDJ[Credit]))</f>
        <v>0</v>
      </c>
      <c r="P925" s="1200">
        <f t="shared" si="78"/>
        <v>0</v>
      </c>
      <c r="Q925" s="1200"/>
      <c r="R925" s="1200"/>
      <c r="S925" s="1200">
        <f t="shared" si="79"/>
        <v>0</v>
      </c>
      <c r="T925" s="1200"/>
      <c r="U925" s="1200"/>
      <c r="V925" s="1201"/>
    </row>
    <row r="926" spans="1:22">
      <c r="A926" s="1195"/>
      <c r="B926" s="1196"/>
      <c r="C926" s="1196"/>
      <c r="D926" s="1196"/>
      <c r="E926" s="1197" t="str">
        <f t="shared" si="76"/>
        <v/>
      </c>
      <c r="F926" s="1198"/>
      <c r="G926" s="1198"/>
      <c r="H926" s="1198"/>
      <c r="I926" s="1198"/>
      <c r="J926" s="1199"/>
      <c r="K926" s="133"/>
      <c r="L926" s="62" t="str">
        <f t="shared" si="77"/>
        <v/>
      </c>
      <c r="M926" s="14"/>
      <c r="N926" s="89">
        <f t="array" ref="N926">SUM(IF((CsDJ[JEV Number]=TRIM($T909))*(CsDJ[Account Code]=TRIM(K926)),CsDJ[Debit]))</f>
        <v>0</v>
      </c>
      <c r="O926" s="89">
        <f t="array" ref="O926">SUM(IF((CsDJ[JEV Number]=TRIM($T909))*(CsDJ[Account Code]=TRIM(K926)),CsDJ[Credit]))</f>
        <v>0</v>
      </c>
      <c r="P926" s="1200">
        <f t="shared" si="78"/>
        <v>0</v>
      </c>
      <c r="Q926" s="1200"/>
      <c r="R926" s="1200"/>
      <c r="S926" s="1200">
        <f t="shared" si="79"/>
        <v>0</v>
      </c>
      <c r="T926" s="1200"/>
      <c r="U926" s="1200"/>
      <c r="V926" s="1201"/>
    </row>
    <row r="927" spans="1:22">
      <c r="A927" s="1195"/>
      <c r="B927" s="1196"/>
      <c r="C927" s="1196"/>
      <c r="D927" s="1196"/>
      <c r="E927" s="1197" t="str">
        <f t="shared" si="76"/>
        <v/>
      </c>
      <c r="F927" s="1198"/>
      <c r="G927" s="1198"/>
      <c r="H927" s="1198"/>
      <c r="I927" s="1198"/>
      <c r="J927" s="1199"/>
      <c r="K927" s="133"/>
      <c r="L927" s="62" t="str">
        <f t="shared" si="77"/>
        <v/>
      </c>
      <c r="M927" s="14"/>
      <c r="N927" s="89">
        <f t="array" ref="N927">SUM(IF((CsDJ[JEV Number]=TRIM($T909))*(CsDJ[Account Code]=TRIM(K927)),CsDJ[Debit]))</f>
        <v>0</v>
      </c>
      <c r="O927" s="89">
        <f t="array" ref="O927">SUM(IF((CsDJ[JEV Number]=TRIM($T909))*(CsDJ[Account Code]=TRIM(K927)),CsDJ[Credit]))</f>
        <v>0</v>
      </c>
      <c r="P927" s="1200">
        <f t="shared" si="78"/>
        <v>0</v>
      </c>
      <c r="Q927" s="1200"/>
      <c r="R927" s="1200"/>
      <c r="S927" s="1200">
        <f t="shared" si="79"/>
        <v>0</v>
      </c>
      <c r="T927" s="1200"/>
      <c r="U927" s="1200"/>
      <c r="V927" s="1201"/>
    </row>
    <row r="928" spans="1:22">
      <c r="A928" s="1195"/>
      <c r="B928" s="1196"/>
      <c r="C928" s="1196"/>
      <c r="D928" s="1196"/>
      <c r="E928" s="1197" t="str">
        <f t="shared" si="76"/>
        <v/>
      </c>
      <c r="F928" s="1198"/>
      <c r="G928" s="1198"/>
      <c r="H928" s="1198"/>
      <c r="I928" s="1198"/>
      <c r="J928" s="1199"/>
      <c r="K928" s="134"/>
      <c r="L928" s="62" t="str">
        <f t="shared" si="77"/>
        <v/>
      </c>
      <c r="M928" s="14"/>
      <c r="N928" s="89">
        <f t="array" ref="N928">SUM(IF((CsDJ[JEV Number]=TRIM($T909))*(CsDJ[Account Code]=TRIM(K928)),CsDJ[Debit]))</f>
        <v>0</v>
      </c>
      <c r="O928" s="89">
        <f t="array" ref="O928">SUM(IF((CsDJ[JEV Number]=TRIM($T909))*(CsDJ[Account Code]=TRIM(K928)),CsDJ[Credit]))</f>
        <v>0</v>
      </c>
      <c r="P928" s="1200">
        <f t="shared" si="78"/>
        <v>0</v>
      </c>
      <c r="Q928" s="1200"/>
      <c r="R928" s="1200"/>
      <c r="S928" s="1200">
        <f t="shared" si="79"/>
        <v>0</v>
      </c>
      <c r="T928" s="1200"/>
      <c r="U928" s="1200"/>
      <c r="V928" s="1201"/>
    </row>
    <row r="929" spans="1:22">
      <c r="A929" s="1195"/>
      <c r="B929" s="1196"/>
      <c r="C929" s="1196"/>
      <c r="D929" s="1196"/>
      <c r="E929" s="1197" t="str">
        <f t="shared" si="76"/>
        <v/>
      </c>
      <c r="F929" s="1198"/>
      <c r="G929" s="1198"/>
      <c r="H929" s="1198"/>
      <c r="I929" s="1198"/>
      <c r="J929" s="1199"/>
      <c r="K929" s="134"/>
      <c r="L929" s="62" t="str">
        <f t="shared" si="77"/>
        <v/>
      </c>
      <c r="M929" s="14"/>
      <c r="N929" s="89">
        <f t="array" ref="N929">SUM(IF((CsDJ[JEV Number]=TRIM($T909))*(CsDJ[Account Code]=TRIM(K929)),CsDJ[Debit]))</f>
        <v>0</v>
      </c>
      <c r="O929" s="89">
        <f t="array" ref="O929">SUM(IF((CsDJ[JEV Number]=TRIM($T909))*(CsDJ[Account Code]=TRIM(K929)),CsDJ[Credit]))</f>
        <v>0</v>
      </c>
      <c r="P929" s="1200">
        <f t="shared" si="78"/>
        <v>0</v>
      </c>
      <c r="Q929" s="1200"/>
      <c r="R929" s="1200"/>
      <c r="S929" s="1200">
        <f t="shared" si="79"/>
        <v>0</v>
      </c>
      <c r="T929" s="1200"/>
      <c r="U929" s="1200"/>
      <c r="V929" s="1201"/>
    </row>
    <row r="930" spans="1:22">
      <c r="A930" s="1195"/>
      <c r="B930" s="1196"/>
      <c r="C930" s="1196"/>
      <c r="D930" s="1196"/>
      <c r="E930" s="1197" t="str">
        <f t="shared" si="76"/>
        <v/>
      </c>
      <c r="F930" s="1198"/>
      <c r="G930" s="1198"/>
      <c r="H930" s="1198"/>
      <c r="I930" s="1198"/>
      <c r="J930" s="1199"/>
      <c r="K930" s="134"/>
      <c r="L930" s="62" t="str">
        <f t="shared" si="77"/>
        <v/>
      </c>
      <c r="M930" s="14"/>
      <c r="N930" s="89">
        <f t="array" ref="N930">SUM(IF((CsDJ[JEV Number]=TRIM($T909))*(CsDJ[Account Code]=TRIM(K930)),CsDJ[Debit]))</f>
        <v>0</v>
      </c>
      <c r="O930" s="89">
        <f t="array" ref="O930">SUM(IF((CsDJ[JEV Number]=TRIM($T909))*(CsDJ[Account Code]=TRIM(K930)),CsDJ[Credit]))</f>
        <v>0</v>
      </c>
      <c r="P930" s="1200">
        <f t="shared" si="78"/>
        <v>0</v>
      </c>
      <c r="Q930" s="1200"/>
      <c r="R930" s="1200"/>
      <c r="S930" s="1200">
        <f t="shared" si="79"/>
        <v>0</v>
      </c>
      <c r="T930" s="1200"/>
      <c r="U930" s="1200"/>
      <c r="V930" s="1201"/>
    </row>
    <row r="931" spans="1:22">
      <c r="A931" s="1195"/>
      <c r="B931" s="1196"/>
      <c r="C931" s="1196"/>
      <c r="D931" s="1196"/>
      <c r="E931" s="1197" t="str">
        <f t="shared" si="76"/>
        <v/>
      </c>
      <c r="F931" s="1198"/>
      <c r="G931" s="1198"/>
      <c r="H931" s="1198"/>
      <c r="I931" s="1198"/>
      <c r="J931" s="1199"/>
      <c r="K931" s="134"/>
      <c r="L931" s="62" t="str">
        <f t="shared" si="77"/>
        <v/>
      </c>
      <c r="M931" s="14"/>
      <c r="N931" s="89">
        <f t="array" ref="N931">SUM(IF((CsDJ[JEV Number]=TRIM($T909))*(CsDJ[Account Code]=TRIM(K931)),CsDJ[Debit]))</f>
        <v>0</v>
      </c>
      <c r="O931" s="89">
        <f t="array" ref="O931">SUM(IF((CsDJ[JEV Number]=TRIM($T909))*(CsDJ[Account Code]=TRIM(K931)),CsDJ[Credit]))</f>
        <v>0</v>
      </c>
      <c r="P931" s="1200">
        <f t="shared" si="78"/>
        <v>0</v>
      </c>
      <c r="Q931" s="1200"/>
      <c r="R931" s="1200"/>
      <c r="S931" s="1200">
        <f t="shared" si="79"/>
        <v>0</v>
      </c>
      <c r="T931" s="1200"/>
      <c r="U931" s="1200"/>
      <c r="V931" s="1201"/>
    </row>
    <row r="932" spans="1:22">
      <c r="A932" s="1195"/>
      <c r="B932" s="1196"/>
      <c r="C932" s="1196"/>
      <c r="D932" s="1196"/>
      <c r="E932" s="1197" t="str">
        <f t="shared" si="76"/>
        <v/>
      </c>
      <c r="F932" s="1198"/>
      <c r="G932" s="1198"/>
      <c r="H932" s="1198"/>
      <c r="I932" s="1198"/>
      <c r="J932" s="1199"/>
      <c r="K932" s="134"/>
      <c r="L932" s="62" t="str">
        <f t="shared" si="77"/>
        <v/>
      </c>
      <c r="M932" s="14"/>
      <c r="N932" s="89">
        <f t="array" ref="N932">SUM(IF((CsDJ[JEV Number]=TRIM($T909))*(CsDJ[Account Code]=TRIM(K932)),CsDJ[Debit]))</f>
        <v>0</v>
      </c>
      <c r="O932" s="89">
        <f t="array" ref="O932">SUM(IF((CsDJ[JEV Number]=TRIM($T909))*(CsDJ[Account Code]=TRIM(K932)),CsDJ[Credit]))</f>
        <v>0</v>
      </c>
      <c r="P932" s="1200">
        <f t="shared" si="78"/>
        <v>0</v>
      </c>
      <c r="Q932" s="1200"/>
      <c r="R932" s="1200"/>
      <c r="S932" s="1200">
        <f t="shared" si="79"/>
        <v>0</v>
      </c>
      <c r="T932" s="1200"/>
      <c r="U932" s="1200"/>
      <c r="V932" s="1201"/>
    </row>
    <row r="933" spans="1:22">
      <c r="A933" s="1195"/>
      <c r="B933" s="1196"/>
      <c r="C933" s="1196"/>
      <c r="D933" s="1196"/>
      <c r="E933" s="1197" t="str">
        <f t="shared" si="76"/>
        <v/>
      </c>
      <c r="F933" s="1198"/>
      <c r="G933" s="1198"/>
      <c r="H933" s="1198"/>
      <c r="I933" s="1198"/>
      <c r="J933" s="1199"/>
      <c r="K933" s="134"/>
      <c r="L933" s="62" t="str">
        <f t="shared" si="77"/>
        <v/>
      </c>
      <c r="M933" s="14"/>
      <c r="N933" s="89">
        <f t="array" ref="N933">SUM(IF((CsDJ[JEV Number]=TRIM($T909))*(CsDJ[Account Code]=TRIM(K933)),CsDJ[Debit]))</f>
        <v>0</v>
      </c>
      <c r="O933" s="89">
        <f t="array" ref="O933">SUM(IF((CsDJ[JEV Number]=TRIM($T909))*(CsDJ[Account Code]=TRIM(K933)),CsDJ[Credit]))</f>
        <v>0</v>
      </c>
      <c r="P933" s="1200">
        <f t="shared" si="78"/>
        <v>0</v>
      </c>
      <c r="Q933" s="1200"/>
      <c r="R933" s="1200"/>
      <c r="S933" s="1200">
        <f t="shared" si="79"/>
        <v>0</v>
      </c>
      <c r="T933" s="1200"/>
      <c r="U933" s="1200"/>
      <c r="V933" s="1201"/>
    </row>
    <row r="934" spans="1:22">
      <c r="A934" s="1195"/>
      <c r="B934" s="1196"/>
      <c r="C934" s="1196"/>
      <c r="D934" s="1196"/>
      <c r="E934" s="1197" t="str">
        <f t="shared" si="76"/>
        <v/>
      </c>
      <c r="F934" s="1198"/>
      <c r="G934" s="1198"/>
      <c r="H934" s="1198"/>
      <c r="I934" s="1198"/>
      <c r="J934" s="1199"/>
      <c r="K934" s="134"/>
      <c r="L934" s="62" t="str">
        <f t="shared" si="77"/>
        <v/>
      </c>
      <c r="M934" s="14"/>
      <c r="N934" s="89">
        <f t="array" ref="N934">SUM(IF((CsDJ[JEV Number]=TRIM($T909))*(CsDJ[Account Code]=TRIM(K934)),CsDJ[Debit]))</f>
        <v>0</v>
      </c>
      <c r="O934" s="89">
        <f t="array" ref="O934">SUM(IF((CsDJ[JEV Number]=TRIM($T909))*(CsDJ[Account Code]=TRIM(K934)),CsDJ[Credit]))</f>
        <v>0</v>
      </c>
      <c r="P934" s="1200">
        <f t="shared" si="78"/>
        <v>0</v>
      </c>
      <c r="Q934" s="1200"/>
      <c r="R934" s="1200"/>
      <c r="S934" s="1200">
        <f t="shared" si="79"/>
        <v>0</v>
      </c>
      <c r="T934" s="1200"/>
      <c r="U934" s="1200"/>
      <c r="V934" s="1201"/>
    </row>
    <row r="935" spans="1:22">
      <c r="A935" s="1195"/>
      <c r="B935" s="1196"/>
      <c r="C935" s="1196"/>
      <c r="D935" s="1196"/>
      <c r="E935" s="1197" t="str">
        <f t="shared" si="76"/>
        <v/>
      </c>
      <c r="F935" s="1198"/>
      <c r="G935" s="1198"/>
      <c r="H935" s="1198"/>
      <c r="I935" s="1198"/>
      <c r="J935" s="1199"/>
      <c r="K935" s="134"/>
      <c r="L935" s="62" t="str">
        <f t="shared" si="77"/>
        <v/>
      </c>
      <c r="M935" s="14"/>
      <c r="N935" s="89">
        <f t="array" ref="N935">SUM(IF((CsDJ[JEV Number]=TRIM($T909))*(CsDJ[Account Code]=TRIM(K935)),CsDJ[Debit]))</f>
        <v>0</v>
      </c>
      <c r="O935" s="89">
        <f t="array" ref="O935">SUM(IF((CsDJ[JEV Number]=TRIM($T909))*(CsDJ[Account Code]=TRIM(K935)),CsDJ[Credit]))</f>
        <v>0</v>
      </c>
      <c r="P935" s="1200">
        <f t="shared" si="78"/>
        <v>0</v>
      </c>
      <c r="Q935" s="1200"/>
      <c r="R935" s="1200"/>
      <c r="S935" s="1200">
        <f t="shared" si="79"/>
        <v>0</v>
      </c>
      <c r="T935" s="1200"/>
      <c r="U935" s="1200"/>
      <c r="V935" s="1201"/>
    </row>
    <row r="936" spans="1:22">
      <c r="A936" s="1195"/>
      <c r="B936" s="1196"/>
      <c r="C936" s="1196"/>
      <c r="D936" s="1196"/>
      <c r="E936" s="1197" t="str">
        <f t="shared" si="76"/>
        <v/>
      </c>
      <c r="F936" s="1198"/>
      <c r="G936" s="1198"/>
      <c r="H936" s="1198"/>
      <c r="I936" s="1198"/>
      <c r="J936" s="1199"/>
      <c r="K936" s="134"/>
      <c r="L936" s="62" t="str">
        <f t="shared" si="77"/>
        <v/>
      </c>
      <c r="M936" s="14"/>
      <c r="N936" s="89">
        <f t="array" ref="N936">SUM(IF((CsDJ[JEV Number]=TRIM($T909))*(CsDJ[Account Code]=TRIM(K936)),CsDJ[Debit]))</f>
        <v>0</v>
      </c>
      <c r="O936" s="89">
        <f t="array" ref="O936">SUM(IF((CsDJ[JEV Number]=TRIM($T909))*(CsDJ[Account Code]=TRIM(K936)),CsDJ[Credit]))</f>
        <v>0</v>
      </c>
      <c r="P936" s="1200">
        <f t="shared" si="78"/>
        <v>0</v>
      </c>
      <c r="Q936" s="1200"/>
      <c r="R936" s="1200"/>
      <c r="S936" s="1200">
        <f t="shared" si="79"/>
        <v>0</v>
      </c>
      <c r="T936" s="1200"/>
      <c r="U936" s="1200"/>
      <c r="V936" s="1201"/>
    </row>
    <row r="937" spans="1:22">
      <c r="A937" s="1195"/>
      <c r="B937" s="1196"/>
      <c r="C937" s="1196"/>
      <c r="D937" s="1196"/>
      <c r="E937" s="1197" t="str">
        <f t="shared" si="76"/>
        <v/>
      </c>
      <c r="F937" s="1198"/>
      <c r="G937" s="1198"/>
      <c r="H937" s="1198"/>
      <c r="I937" s="1198"/>
      <c r="J937" s="1199"/>
      <c r="K937" s="134"/>
      <c r="L937" s="62" t="str">
        <f t="shared" si="77"/>
        <v/>
      </c>
      <c r="M937" s="14"/>
      <c r="N937" s="89">
        <f t="array" ref="N937">SUM(IF((CsDJ[JEV Number]=TRIM($T909))*(CsDJ[Account Code]=TRIM(K937)),CsDJ[Debit]))</f>
        <v>0</v>
      </c>
      <c r="O937" s="89">
        <f t="array" ref="O937">SUM(IF((CsDJ[JEV Number]=TRIM($T909))*(CsDJ[Account Code]=TRIM(K937)),CsDJ[Credit]))</f>
        <v>0</v>
      </c>
      <c r="P937" s="1200">
        <f t="shared" si="78"/>
        <v>0</v>
      </c>
      <c r="Q937" s="1200"/>
      <c r="R937" s="1200"/>
      <c r="S937" s="1200">
        <f t="shared" si="79"/>
        <v>0</v>
      </c>
      <c r="T937" s="1200"/>
      <c r="U937" s="1200"/>
      <c r="V937" s="1201"/>
    </row>
    <row r="938" spans="1:22">
      <c r="A938" s="1195"/>
      <c r="B938" s="1196"/>
      <c r="C938" s="1196"/>
      <c r="D938" s="1196"/>
      <c r="E938" s="1197" t="str">
        <f t="shared" si="76"/>
        <v/>
      </c>
      <c r="F938" s="1198"/>
      <c r="G938" s="1198"/>
      <c r="H938" s="1198"/>
      <c r="I938" s="1198"/>
      <c r="J938" s="1199"/>
      <c r="K938" s="134"/>
      <c r="L938" s="62" t="str">
        <f t="shared" si="77"/>
        <v/>
      </c>
      <c r="M938" s="14"/>
      <c r="N938" s="89">
        <f t="array" ref="N938">SUM(IF((CsDJ[JEV Number]=TRIM($T909))*(CsDJ[Account Code]=TRIM(K938)),CsDJ[Debit]))</f>
        <v>0</v>
      </c>
      <c r="O938" s="89">
        <f t="array" ref="O938">SUM(IF((CsDJ[JEV Number]=TRIM($T909))*(CsDJ[Account Code]=TRIM(K938)),CsDJ[Credit]))</f>
        <v>0</v>
      </c>
      <c r="P938" s="1200">
        <f t="shared" si="78"/>
        <v>0</v>
      </c>
      <c r="Q938" s="1200"/>
      <c r="R938" s="1200"/>
      <c r="S938" s="1200">
        <f t="shared" si="79"/>
        <v>0</v>
      </c>
      <c r="T938" s="1200"/>
      <c r="U938" s="1200"/>
      <c r="V938" s="1201"/>
    </row>
    <row r="939" spans="1:22">
      <c r="A939" s="1195"/>
      <c r="B939" s="1196"/>
      <c r="C939" s="1196"/>
      <c r="D939" s="1196"/>
      <c r="E939" s="1197" t="str">
        <f t="shared" si="76"/>
        <v/>
      </c>
      <c r="F939" s="1198"/>
      <c r="G939" s="1198"/>
      <c r="H939" s="1198"/>
      <c r="I939" s="1198"/>
      <c r="J939" s="1199"/>
      <c r="K939" s="134"/>
      <c r="L939" s="62" t="str">
        <f t="shared" si="77"/>
        <v/>
      </c>
      <c r="M939" s="14"/>
      <c r="N939" s="89">
        <f t="array" ref="N939">SUM(IF((CsDJ[JEV Number]=TRIM($T909))*(CsDJ[Account Code]=TRIM(K939)),CsDJ[Debit]))</f>
        <v>0</v>
      </c>
      <c r="O939" s="89">
        <f t="array" ref="O939">SUM(IF((CsDJ[JEV Number]=TRIM($T909))*(CsDJ[Account Code]=TRIM(K939)),CsDJ[Credit]))</f>
        <v>0</v>
      </c>
      <c r="P939" s="1200">
        <f t="shared" si="78"/>
        <v>0</v>
      </c>
      <c r="Q939" s="1200"/>
      <c r="R939" s="1200"/>
      <c r="S939" s="1200">
        <f t="shared" si="79"/>
        <v>0</v>
      </c>
      <c r="T939" s="1200"/>
      <c r="U939" s="1200"/>
      <c r="V939" s="1201"/>
    </row>
    <row r="940" spans="1:22">
      <c r="A940" s="1195"/>
      <c r="B940" s="1196"/>
      <c r="C940" s="1196"/>
      <c r="D940" s="1196"/>
      <c r="E940" s="1197" t="str">
        <f t="shared" si="76"/>
        <v/>
      </c>
      <c r="F940" s="1198"/>
      <c r="G940" s="1198"/>
      <c r="H940" s="1198"/>
      <c r="I940" s="1198"/>
      <c r="J940" s="1199"/>
      <c r="K940" s="134"/>
      <c r="L940" s="62" t="str">
        <f t="shared" si="77"/>
        <v/>
      </c>
      <c r="M940" s="14"/>
      <c r="N940" s="89">
        <f t="array" ref="N940">SUM(IF((CsDJ[JEV Number]=TRIM($T909))*(CsDJ[Account Code]=TRIM(K940)),CsDJ[Debit]))</f>
        <v>0</v>
      </c>
      <c r="O940" s="89">
        <f t="array" ref="O940">SUM(IF((CsDJ[JEV Number]=TRIM($T909))*(CsDJ[Account Code]=TRIM(K940)),CsDJ[Credit]))</f>
        <v>0</v>
      </c>
      <c r="P940" s="1200">
        <f t="shared" si="78"/>
        <v>0</v>
      </c>
      <c r="Q940" s="1200"/>
      <c r="R940" s="1200"/>
      <c r="S940" s="1200">
        <f t="shared" si="79"/>
        <v>0</v>
      </c>
      <c r="T940" s="1200"/>
      <c r="U940" s="1200"/>
      <c r="V940" s="1201"/>
    </row>
    <row r="941" spans="1:22">
      <c r="A941" s="1195"/>
      <c r="B941" s="1196"/>
      <c r="C941" s="1196"/>
      <c r="D941" s="1196"/>
      <c r="E941" s="1197" t="str">
        <f t="shared" si="76"/>
        <v/>
      </c>
      <c r="F941" s="1198"/>
      <c r="G941" s="1198"/>
      <c r="H941" s="1198"/>
      <c r="I941" s="1198"/>
      <c r="J941" s="1199"/>
      <c r="K941" s="134"/>
      <c r="L941" s="62" t="str">
        <f t="shared" si="77"/>
        <v/>
      </c>
      <c r="M941" s="14"/>
      <c r="N941" s="89">
        <f t="array" ref="N941">SUM(IF((CsDJ[JEV Number]=TRIM($T909))*(CsDJ[Account Code]=TRIM(K941)),CsDJ[Debit]))</f>
        <v>0</v>
      </c>
      <c r="O941" s="89">
        <f t="array" ref="O941">SUM(IF((CsDJ[JEV Number]=TRIM($T909))*(CsDJ[Account Code]=TRIM(K941)),CsDJ[Credit]))</f>
        <v>0</v>
      </c>
      <c r="P941" s="1200">
        <f t="shared" si="78"/>
        <v>0</v>
      </c>
      <c r="Q941" s="1200"/>
      <c r="R941" s="1200"/>
      <c r="S941" s="1200">
        <f t="shared" si="79"/>
        <v>0</v>
      </c>
      <c r="T941" s="1200"/>
      <c r="U941" s="1200"/>
      <c r="V941" s="1201"/>
    </row>
    <row r="942" spans="1:22">
      <c r="A942" s="1195"/>
      <c r="B942" s="1196"/>
      <c r="C942" s="1196"/>
      <c r="D942" s="1196"/>
      <c r="E942" s="1197" t="str">
        <f t="shared" si="76"/>
        <v/>
      </c>
      <c r="F942" s="1198"/>
      <c r="G942" s="1198"/>
      <c r="H942" s="1198"/>
      <c r="I942" s="1198"/>
      <c r="J942" s="1199"/>
      <c r="K942" s="134"/>
      <c r="L942" s="62" t="str">
        <f t="shared" si="77"/>
        <v/>
      </c>
      <c r="M942" s="14"/>
      <c r="N942" s="89">
        <f t="array" ref="N942">SUM(IF((CsDJ[JEV Number]=TRIM($T909))*(CsDJ[Account Code]=TRIM(K942)),CsDJ[Debit]))</f>
        <v>0</v>
      </c>
      <c r="O942" s="89">
        <f t="array" ref="O942">SUM(IF((CsDJ[JEV Number]=TRIM($T909))*(CsDJ[Account Code]=TRIM(K942)),CsDJ[Credit]))</f>
        <v>0</v>
      </c>
      <c r="P942" s="1200">
        <f t="shared" si="78"/>
        <v>0</v>
      </c>
      <c r="Q942" s="1200"/>
      <c r="R942" s="1200"/>
      <c r="S942" s="1200">
        <f t="shared" si="79"/>
        <v>0</v>
      </c>
      <c r="T942" s="1200"/>
      <c r="U942" s="1200"/>
      <c r="V942" s="1201"/>
    </row>
    <row r="943" spans="1:22">
      <c r="A943" s="1195"/>
      <c r="B943" s="1196"/>
      <c r="C943" s="1196"/>
      <c r="D943" s="1196"/>
      <c r="E943" s="1257" t="s">
        <v>468</v>
      </c>
      <c r="F943" s="1258"/>
      <c r="G943" s="1258"/>
      <c r="H943" s="1258"/>
      <c r="I943" s="1258"/>
      <c r="J943" s="1259"/>
      <c r="K943" s="133"/>
      <c r="L943" s="62" t="str">
        <f t="shared" si="77"/>
        <v/>
      </c>
      <c r="M943" s="14"/>
      <c r="N943" s="89">
        <f t="array" ref="N943">SUM(IF((CsDJ[JEV Number]=TRIM($T909))*(CsDJ[Account Code]=TRIM(K943)),CsDJ[Debit]))</f>
        <v>0</v>
      </c>
      <c r="O943" s="89">
        <f t="array" ref="O943">SUM(IF((CsDJ[JEV Number]=TRIM($T909))*(CsDJ[Account Code]=TRIM(K943)),CsDJ[Credit]))</f>
        <v>0</v>
      </c>
      <c r="P943" s="1200">
        <f t="shared" si="78"/>
        <v>0</v>
      </c>
      <c r="Q943" s="1200"/>
      <c r="R943" s="1200"/>
      <c r="S943" s="1200">
        <f t="shared" si="79"/>
        <v>0</v>
      </c>
      <c r="T943" s="1200"/>
      <c r="U943" s="1200"/>
      <c r="V943" s="1201"/>
    </row>
    <row r="944" spans="1:22">
      <c r="A944" s="1195"/>
      <c r="B944" s="1196"/>
      <c r="C944" s="1196"/>
      <c r="D944" s="1196"/>
      <c r="E944" s="1202" t="s">
        <v>457</v>
      </c>
      <c r="F944" s="1203"/>
      <c r="G944" s="1203"/>
      <c r="H944" s="1203"/>
      <c r="I944" s="1207">
        <f>T910</f>
        <v>0</v>
      </c>
      <c r="J944" s="1208"/>
      <c r="K944" s="133"/>
      <c r="L944" s="62" t="str">
        <f t="shared" si="77"/>
        <v/>
      </c>
      <c r="M944" s="14"/>
      <c r="N944" s="89">
        <f t="array" ref="N944">SUM(IF((CsDJ[JEV Number]=TRIM($T909))*(CsDJ[Account Code]=TRIM(K944)),CsDJ[Debit]))</f>
        <v>0</v>
      </c>
      <c r="O944" s="89">
        <f t="array" ref="O944">SUM(IF((CsDJ[JEV Number]=TRIM($T909))*(CsDJ[Account Code]=TRIM(K944)),CsDJ[Credit]))</f>
        <v>0</v>
      </c>
      <c r="P944" s="1200">
        <f t="shared" si="78"/>
        <v>0</v>
      </c>
      <c r="Q944" s="1200"/>
      <c r="R944" s="1200"/>
      <c r="S944" s="1200">
        <f t="shared" si="79"/>
        <v>0</v>
      </c>
      <c r="T944" s="1200"/>
      <c r="U944" s="1200"/>
      <c r="V944" s="1201"/>
    </row>
    <row r="945" spans="1:22">
      <c r="A945" s="1195"/>
      <c r="B945" s="1196"/>
      <c r="C945" s="1196"/>
      <c r="D945" s="1196"/>
      <c r="E945" s="1202" t="s">
        <v>458</v>
      </c>
      <c r="F945" s="1203"/>
      <c r="G945" s="1203"/>
      <c r="H945" s="1203"/>
      <c r="I945" s="1263">
        <f>IF(T909=0,0,(IF(LOOKUP(T909,CsDJ[JEV Number],CsDJ[Sort Code])="1","MA. VIVIAN C. SALAS",IF(LOOKUP(T909,CsDJ[JEV Number],CsDJ[Sort Code])="2","LUZ R. DE COZAR",IF(LOOKUP(T909,CsDJ[JEV Number],CsDJ[Sort Code])="3","MINEONETTE A. DELA CRUZ",IF(LOOKUP(T909,CsDJ[JEV Number],CsDJ[Sort Code])="4","RESELLA B. LOPEZ"))))))</f>
        <v>0</v>
      </c>
      <c r="J945" s="1264"/>
      <c r="K945" s="133"/>
      <c r="L945" s="62" t="str">
        <f t="shared" si="77"/>
        <v/>
      </c>
      <c r="M945" s="14"/>
      <c r="N945" s="89">
        <f t="array" ref="N945">SUM(IF((CsDJ[JEV Number]=TRIM($T909))*(CsDJ[Account Code]=TRIM(K945)),CsDJ[Debit]))</f>
        <v>0</v>
      </c>
      <c r="O945" s="89">
        <f t="array" ref="O945">SUM(IF((CsDJ[JEV Number]=TRIM($T909))*(CsDJ[Account Code]=TRIM(K945)),CsDJ[Credit]))</f>
        <v>0</v>
      </c>
      <c r="P945" s="1200">
        <f t="shared" si="78"/>
        <v>0</v>
      </c>
      <c r="Q945" s="1200"/>
      <c r="R945" s="1200"/>
      <c r="S945" s="1200">
        <f t="shared" si="79"/>
        <v>0</v>
      </c>
      <c r="T945" s="1200"/>
      <c r="U945" s="1200"/>
      <c r="V945" s="1201"/>
    </row>
    <row r="946" spans="1:22">
      <c r="A946" s="1195"/>
      <c r="B946" s="1196"/>
      <c r="C946" s="1196"/>
      <c r="D946" s="1196"/>
      <c r="E946" s="1202" t="s">
        <v>459</v>
      </c>
      <c r="F946" s="1203"/>
      <c r="G946" s="1203"/>
      <c r="H946" s="1203"/>
      <c r="I946" s="1204">
        <f>IF(I945="Ma. Vivian C. Salas","Regional Office", IF(I945="Luz R. De Cozar","BANE IMO", IF(I945="Mineonette A. Dela Cruz","PAMBAT IMO", IF(I945="Resella B. Lopez","TARZAM IMO",0))))</f>
        <v>0</v>
      </c>
      <c r="J946" s="1205"/>
      <c r="K946" s="133"/>
      <c r="L946" s="62" t="str">
        <f t="shared" si="77"/>
        <v/>
      </c>
      <c r="M946" s="14"/>
      <c r="N946" s="89">
        <f t="array" ref="N946">SUM(IF((CsDJ[JEV Number]=TRIM($T909))*(CsDJ[Account Code]=TRIM(K946)),CsDJ[Debit]))</f>
        <v>0</v>
      </c>
      <c r="O946" s="89">
        <f t="array" ref="O946">SUM(IF((CsDJ[JEV Number]=TRIM($T909))*(CsDJ[Account Code]=TRIM(K946)),CsDJ[Credit]))</f>
        <v>0</v>
      </c>
      <c r="P946" s="1200">
        <f t="shared" si="78"/>
        <v>0</v>
      </c>
      <c r="Q946" s="1200"/>
      <c r="R946" s="1200"/>
      <c r="S946" s="1200">
        <f t="shared" si="79"/>
        <v>0</v>
      </c>
      <c r="T946" s="1200"/>
      <c r="U946" s="1200"/>
      <c r="V946" s="1201"/>
    </row>
    <row r="947" spans="1:22">
      <c r="A947" s="1195"/>
      <c r="B947" s="1196"/>
      <c r="C947" s="1196"/>
      <c r="D947" s="1196"/>
      <c r="E947" s="1202"/>
      <c r="F947" s="1203"/>
      <c r="G947" s="1203"/>
      <c r="H947" s="1203"/>
      <c r="I947" s="1203"/>
      <c r="J947" s="1206"/>
      <c r="K947" s="133"/>
      <c r="L947" s="62" t="str">
        <f t="shared" si="77"/>
        <v/>
      </c>
      <c r="M947" s="14"/>
      <c r="N947" s="89">
        <f t="array" ref="N947">SUM(IF((CsDJ[JEV Number]=TRIM($T909))*(CsDJ[Account Code]=TRIM(K947)),CsDJ[Debit]))</f>
        <v>0</v>
      </c>
      <c r="O947" s="89">
        <f t="array" ref="O947">SUM(IF((CsDJ[JEV Number]=TRIM($T909))*(CsDJ[Account Code]=TRIM(K947)),CsDJ[Credit]))</f>
        <v>0</v>
      </c>
      <c r="P947" s="1200">
        <f t="shared" si="78"/>
        <v>0</v>
      </c>
      <c r="Q947" s="1200"/>
      <c r="R947" s="1200"/>
      <c r="S947" s="1200">
        <f t="shared" si="79"/>
        <v>0</v>
      </c>
      <c r="T947" s="1200"/>
      <c r="U947" s="1200"/>
      <c r="V947" s="1201"/>
    </row>
    <row r="948" spans="1:22" ht="16.5" thickBot="1">
      <c r="A948" s="1188"/>
      <c r="B948" s="1189"/>
      <c r="C948" s="1189"/>
      <c r="D948" s="1189"/>
      <c r="E948" s="1189"/>
      <c r="F948" s="1189"/>
      <c r="G948" s="1189"/>
      <c r="H948" s="1189"/>
      <c r="I948" s="1189"/>
      <c r="J948" s="1189"/>
      <c r="K948" s="1189"/>
      <c r="L948" s="1189"/>
      <c r="M948" s="1190"/>
      <c r="N948" s="88"/>
      <c r="O948" s="88"/>
      <c r="P948" s="1191">
        <f>SUM(P918:R947)</f>
        <v>0</v>
      </c>
      <c r="Q948" s="1191"/>
      <c r="R948" s="1191"/>
      <c r="S948" s="1191">
        <f>SUM(S918:V947)</f>
        <v>0</v>
      </c>
      <c r="T948" s="1191"/>
      <c r="U948" s="1191"/>
      <c r="V948" s="1192"/>
    </row>
    <row r="949" spans="1:22">
      <c r="A949" s="63"/>
      <c r="B949" s="64"/>
      <c r="C949" s="64"/>
      <c r="D949" s="64"/>
      <c r="E949" s="64"/>
      <c r="F949" s="64"/>
      <c r="G949" s="64"/>
      <c r="H949" s="64"/>
      <c r="I949" s="65"/>
      <c r="J949" s="64"/>
      <c r="K949" s="66"/>
      <c r="L949" s="64"/>
      <c r="M949" s="65"/>
      <c r="N949" s="64"/>
      <c r="O949" s="64"/>
      <c r="P949" s="1193"/>
      <c r="Q949" s="1193"/>
      <c r="R949" s="1193"/>
      <c r="S949" s="1193"/>
      <c r="T949" s="1193"/>
      <c r="U949" s="1193"/>
      <c r="V949" s="1194"/>
    </row>
    <row r="950" spans="1:22">
      <c r="A950" s="67" t="s">
        <v>460</v>
      </c>
      <c r="B950"/>
      <c r="C950"/>
      <c r="D950"/>
      <c r="E950"/>
      <c r="F950"/>
      <c r="G950"/>
      <c r="H950"/>
      <c r="I950" s="68" t="s">
        <v>353</v>
      </c>
      <c r="J950" s="69"/>
      <c r="K950" s="69"/>
      <c r="L950"/>
      <c r="M950" s="68" t="s">
        <v>461</v>
      </c>
      <c r="N950" s="69"/>
      <c r="O950" s="69"/>
      <c r="P950" s="70"/>
      <c r="Q950" s="70"/>
      <c r="R950" s="70"/>
      <c r="S950" s="70"/>
      <c r="T950" s="70"/>
      <c r="U950" s="70"/>
      <c r="V950" s="71"/>
    </row>
    <row r="951" spans="1:22">
      <c r="A951" s="37"/>
      <c r="B951"/>
      <c r="C951"/>
      <c r="D951"/>
      <c r="E951"/>
      <c r="F951"/>
      <c r="G951"/>
      <c r="H951"/>
      <c r="I951" s="72"/>
      <c r="J951"/>
      <c r="K951"/>
      <c r="L951"/>
      <c r="M951" s="72"/>
      <c r="N951"/>
      <c r="O951"/>
      <c r="P951"/>
      <c r="Q951"/>
      <c r="R951"/>
      <c r="S951"/>
      <c r="T951"/>
      <c r="U951"/>
      <c r="V951" s="73"/>
    </row>
    <row r="952" spans="1:22">
      <c r="A952" s="74" t="s">
        <v>462</v>
      </c>
      <c r="B952" s="75"/>
      <c r="C952" s="75"/>
      <c r="D952" s="75"/>
      <c r="E952" s="75"/>
      <c r="F952" s="75"/>
      <c r="G952" s="75"/>
      <c r="H952" s="76"/>
      <c r="I952" s="77" t="s">
        <v>380</v>
      </c>
      <c r="J952" s="75"/>
      <c r="K952" s="75"/>
      <c r="L952" s="76"/>
      <c r="M952" s="77" t="s">
        <v>3</v>
      </c>
      <c r="N952" s="75"/>
      <c r="O952" s="75"/>
      <c r="P952" s="75"/>
      <c r="Q952" s="75"/>
      <c r="R952" s="75"/>
      <c r="S952" s="75"/>
      <c r="T952" s="75"/>
      <c r="U952" s="75"/>
      <c r="V952" s="78"/>
    </row>
    <row r="953" spans="1:22">
      <c r="A953" s="79" t="s">
        <v>463</v>
      </c>
      <c r="B953" s="80"/>
      <c r="C953" s="80"/>
      <c r="D953" s="80"/>
      <c r="E953" s="80"/>
      <c r="F953" s="80"/>
      <c r="G953" s="80"/>
      <c r="H953" s="80"/>
      <c r="I953" s="81" t="s">
        <v>381</v>
      </c>
      <c r="J953" s="80"/>
      <c r="K953" s="80"/>
      <c r="L953" s="80"/>
      <c r="M953" s="81" t="s">
        <v>464</v>
      </c>
      <c r="N953" s="80"/>
      <c r="O953" s="80"/>
      <c r="P953" s="82"/>
      <c r="Q953" s="82"/>
      <c r="R953" s="82"/>
      <c r="S953" s="82"/>
      <c r="T953" s="82"/>
      <c r="U953" s="82"/>
      <c r="V953" s="83"/>
    </row>
    <row r="954" spans="1:22" ht="16.5" thickBot="1">
      <c r="A954" s="84" t="s">
        <v>465</v>
      </c>
      <c r="B954" s="43"/>
      <c r="C954" s="43"/>
      <c r="D954" s="43"/>
      <c r="E954" s="43"/>
      <c r="F954" s="43"/>
      <c r="G954" s="43"/>
      <c r="H954" s="43"/>
      <c r="I954" s="85"/>
      <c r="J954" s="43"/>
      <c r="K954" s="43"/>
      <c r="L954" s="43"/>
      <c r="M954" s="85"/>
      <c r="N954" s="43"/>
      <c r="O954" s="43"/>
      <c r="P954" s="43"/>
      <c r="Q954" s="43"/>
      <c r="R954" s="43"/>
      <c r="S954" s="43"/>
      <c r="T954" s="43"/>
      <c r="U954" s="43"/>
      <c r="V954" s="44"/>
    </row>
    <row r="955" spans="1:22" ht="22.5">
      <c r="A955" s="31" t="s">
        <v>441</v>
      </c>
      <c r="B955" s="32"/>
      <c r="C955" s="32"/>
      <c r="D955" s="32"/>
      <c r="E955" s="32"/>
      <c r="F955" s="32"/>
      <c r="G955" s="32"/>
      <c r="H955" s="32"/>
      <c r="I955" s="32"/>
      <c r="J955" s="32"/>
      <c r="K955" s="32"/>
      <c r="L955" s="32"/>
      <c r="M955" s="32"/>
      <c r="N955" s="32"/>
      <c r="O955" s="32"/>
      <c r="P955" s="32"/>
      <c r="Q955" s="33"/>
      <c r="R955" s="1218">
        <f>+P995-S995</f>
        <v>0</v>
      </c>
      <c r="S955" s="1219"/>
      <c r="T955" s="1219"/>
      <c r="U955" s="1219"/>
      <c r="V955" s="1220"/>
    </row>
    <row r="956" spans="1:22">
      <c r="A956" s="34" t="s">
        <v>442</v>
      </c>
      <c r="B956" s="35"/>
      <c r="C956" s="35"/>
      <c r="D956" s="35"/>
      <c r="E956" s="35"/>
      <c r="F956" s="35"/>
      <c r="G956" s="35"/>
      <c r="H956" s="35"/>
      <c r="I956" s="35"/>
      <c r="J956" s="35"/>
      <c r="K956" s="35"/>
      <c r="L956" s="35"/>
      <c r="M956" s="35"/>
      <c r="N956" s="35"/>
      <c r="O956" s="35"/>
      <c r="P956" s="35"/>
      <c r="Q956" s="36"/>
      <c r="R956" s="37" t="s">
        <v>443</v>
      </c>
      <c r="S956"/>
      <c r="T956" s="1221"/>
      <c r="U956" s="1221"/>
      <c r="V956" s="1222"/>
    </row>
    <row r="957" spans="1:22">
      <c r="A957" s="38" t="s">
        <v>444</v>
      </c>
      <c r="B957" s="35"/>
      <c r="C957" s="35"/>
      <c r="D957" s="35"/>
      <c r="E957" s="35"/>
      <c r="F957" s="35"/>
      <c r="G957" s="35"/>
      <c r="H957" s="35"/>
      <c r="I957" s="35"/>
      <c r="J957" s="35"/>
      <c r="K957" s="35"/>
      <c r="L957" s="35"/>
      <c r="M957" s="35"/>
      <c r="N957" s="35"/>
      <c r="O957" s="35"/>
      <c r="P957" s="35"/>
      <c r="Q957" s="36"/>
      <c r="R957" s="37" t="s">
        <v>0</v>
      </c>
      <c r="S957"/>
      <c r="T957" s="1223">
        <f>IF(T956=0,0,(LOOKUP(T956,CsDJ[JEV Number],CsDJ[Date])))</f>
        <v>0</v>
      </c>
      <c r="U957" s="1223"/>
      <c r="V957" s="1224"/>
    </row>
    <row r="958" spans="1:22" ht="16.5" thickBot="1">
      <c r="A958" s="39"/>
      <c r="B958" s="40"/>
      <c r="C958" s="40"/>
      <c r="D958" s="40"/>
      <c r="E958" s="40"/>
      <c r="F958" s="40"/>
      <c r="G958" s="40"/>
      <c r="H958" s="40"/>
      <c r="I958" s="40"/>
      <c r="J958" s="40"/>
      <c r="K958" s="40"/>
      <c r="L958" s="40"/>
      <c r="M958" s="40"/>
      <c r="N958" s="40"/>
      <c r="O958" s="40"/>
      <c r="P958" s="40"/>
      <c r="Q958" s="41"/>
      <c r="R958" s="42"/>
      <c r="S958" s="43"/>
      <c r="T958" s="43"/>
      <c r="U958" s="43"/>
      <c r="V958" s="44"/>
    </row>
    <row r="959" spans="1:22">
      <c r="A959" s="45"/>
      <c r="B959" s="46"/>
      <c r="C959" s="46"/>
      <c r="D959" s="46"/>
      <c r="E959" s="46"/>
      <c r="F959" s="46"/>
      <c r="G959" s="46"/>
      <c r="H959" s="46"/>
      <c r="I959" s="46"/>
      <c r="J959" s="46"/>
      <c r="K959" s="46"/>
      <c r="L959" s="47"/>
      <c r="M959" s="46"/>
      <c r="N959" s="46"/>
      <c r="O959" s="46"/>
      <c r="P959" s="46"/>
      <c r="Q959" s="46"/>
      <c r="R959" s="46"/>
      <c r="S959" s="46"/>
      <c r="T959" s="46"/>
      <c r="U959" s="46"/>
      <c r="V959" s="48"/>
    </row>
    <row r="960" spans="1:22">
      <c r="A960" s="49"/>
      <c r="B960" s="1225"/>
      <c r="C960" s="1225"/>
      <c r="D960" s="50" t="s">
        <v>445</v>
      </c>
      <c r="H960" s="51"/>
      <c r="I960" s="25" t="s">
        <v>447</v>
      </c>
      <c r="J960" s="132" t="s">
        <v>446</v>
      </c>
      <c r="K960" s="52" t="s">
        <v>448</v>
      </c>
      <c r="L960" s="52"/>
      <c r="Q960" s="1225"/>
      <c r="R960" s="1225"/>
      <c r="S960" s="50" t="s">
        <v>449</v>
      </c>
      <c r="T960" s="50"/>
      <c r="U960" s="50"/>
      <c r="V960" s="53"/>
    </row>
    <row r="961" spans="1:22" ht="16.5" thickBot="1">
      <c r="A961" s="54"/>
      <c r="B961" s="55"/>
      <c r="C961" s="55"/>
      <c r="D961" s="55"/>
      <c r="E961" s="55"/>
      <c r="F961" s="55"/>
      <c r="G961" s="55"/>
      <c r="H961" s="55"/>
      <c r="I961" s="55"/>
      <c r="J961" s="55"/>
      <c r="K961" s="55"/>
      <c r="L961" s="56"/>
      <c r="M961" s="55"/>
      <c r="N961" s="55"/>
      <c r="O961" s="55"/>
      <c r="P961" s="55"/>
      <c r="Q961" s="55"/>
      <c r="R961" s="55"/>
      <c r="S961" s="55"/>
      <c r="T961" s="55"/>
      <c r="U961" s="55"/>
      <c r="V961" s="57"/>
    </row>
    <row r="962" spans="1:22">
      <c r="A962" s="1226" t="s">
        <v>397</v>
      </c>
      <c r="B962" s="1227"/>
      <c r="C962" s="1227"/>
      <c r="D962" s="1228"/>
      <c r="E962" s="1235" t="s">
        <v>450</v>
      </c>
      <c r="F962" s="1235"/>
      <c r="G962" s="1235"/>
      <c r="H962" s="1235"/>
      <c r="I962" s="1235"/>
      <c r="J962" s="1235"/>
      <c r="K962" s="1235"/>
      <c r="L962" s="1235"/>
      <c r="M962" s="1235"/>
      <c r="N962" s="1235"/>
      <c r="O962" s="1235"/>
      <c r="P962" s="1235"/>
      <c r="Q962" s="1235"/>
      <c r="R962" s="1235"/>
      <c r="S962" s="1235"/>
      <c r="T962" s="1235"/>
      <c r="U962" s="1235"/>
      <c r="V962" s="1236"/>
    </row>
    <row r="963" spans="1:22">
      <c r="A963" s="1229"/>
      <c r="B963" s="1230"/>
      <c r="C963" s="1230"/>
      <c r="D963" s="1231"/>
      <c r="E963" s="1237" t="s">
        <v>451</v>
      </c>
      <c r="F963" s="1237"/>
      <c r="G963" s="1237"/>
      <c r="H963" s="1237"/>
      <c r="I963" s="1237"/>
      <c r="J963" s="1237"/>
      <c r="K963" s="1239" t="s">
        <v>378</v>
      </c>
      <c r="L963" s="1239"/>
      <c r="M963" s="1237" t="s">
        <v>452</v>
      </c>
      <c r="N963" s="1240" t="s">
        <v>453</v>
      </c>
      <c r="O963" s="1241"/>
      <c r="P963" s="1241"/>
      <c r="Q963" s="1241"/>
      <c r="R963" s="1241"/>
      <c r="S963" s="1241"/>
      <c r="T963" s="1241"/>
      <c r="U963" s="1241"/>
      <c r="V963" s="1242"/>
    </row>
    <row r="964" spans="1:22" ht="16.5" customHeight="1" thickBot="1">
      <c r="A964" s="1232"/>
      <c r="B964" s="1233"/>
      <c r="C964" s="1233"/>
      <c r="D964" s="1234"/>
      <c r="E964" s="1238"/>
      <c r="F964" s="1238"/>
      <c r="G964" s="1238"/>
      <c r="H964" s="1238"/>
      <c r="I964" s="1238"/>
      <c r="J964" s="1238"/>
      <c r="K964" s="58" t="s">
        <v>454</v>
      </c>
      <c r="L964" s="58" t="s">
        <v>455</v>
      </c>
      <c r="M964" s="1238"/>
      <c r="N964" s="87" t="s">
        <v>466</v>
      </c>
      <c r="O964" s="87" t="s">
        <v>467</v>
      </c>
      <c r="P964" s="1243" t="s">
        <v>1</v>
      </c>
      <c r="Q964" s="1244"/>
      <c r="R964" s="1245"/>
      <c r="S964" s="1243" t="s">
        <v>2</v>
      </c>
      <c r="T964" s="1244"/>
      <c r="U964" s="1244"/>
      <c r="V964" s="1246"/>
    </row>
    <row r="965" spans="1:22" ht="19.5">
      <c r="A965" s="1210">
        <f>P995-S995</f>
        <v>0</v>
      </c>
      <c r="B965" s="1211"/>
      <c r="C965" s="1211"/>
      <c r="D965" s="1211"/>
      <c r="E965" s="1212" t="str">
        <f>Account!$G$1</f>
        <v>FUND 501 CARP</v>
      </c>
      <c r="F965" s="1213"/>
      <c r="G965" s="1213"/>
      <c r="H965" s="1213"/>
      <c r="I965" s="1213"/>
      <c r="J965" s="1214"/>
      <c r="K965" s="59"/>
      <c r="L965" s="59"/>
      <c r="M965" s="60"/>
      <c r="N965" s="60"/>
      <c r="O965" s="60"/>
      <c r="P965" s="1215"/>
      <c r="Q965" s="1215"/>
      <c r="R965" s="1215"/>
      <c r="S965" s="1215"/>
      <c r="T965" s="1215"/>
      <c r="U965" s="1215"/>
      <c r="V965" s="1216"/>
    </row>
    <row r="966" spans="1:22">
      <c r="A966" s="1195"/>
      <c r="B966" s="1196"/>
      <c r="C966" s="1196"/>
      <c r="D966" s="1196"/>
      <c r="E966" s="1196"/>
      <c r="F966" s="1196"/>
      <c r="G966" s="1196"/>
      <c r="H966" s="1196"/>
      <c r="I966" s="1196"/>
      <c r="J966" s="1196"/>
      <c r="K966" s="61"/>
      <c r="L966" s="61"/>
      <c r="M966" s="14"/>
      <c r="N966" s="14"/>
      <c r="O966" s="14"/>
      <c r="P966" s="1196"/>
      <c r="Q966" s="1196"/>
      <c r="R966" s="1196"/>
      <c r="S966" s="1196"/>
      <c r="T966" s="1196"/>
      <c r="U966" s="1196"/>
      <c r="V966" s="1217"/>
    </row>
    <row r="967" spans="1:22">
      <c r="A967" s="1195"/>
      <c r="B967" s="1196"/>
      <c r="C967" s="1196"/>
      <c r="D967" s="1196"/>
      <c r="E967" s="1197" t="str">
        <f t="shared" ref="E967:E989" si="80">IF(K967=0,"",(VLOOKUP((TRIM(K967)),Code,2,)))</f>
        <v/>
      </c>
      <c r="F967" s="1198"/>
      <c r="G967" s="1198"/>
      <c r="H967" s="1198"/>
      <c r="I967" s="1198"/>
      <c r="J967" s="1199"/>
      <c r="K967" s="133"/>
      <c r="L967" s="62" t="str">
        <f t="shared" ref="L967:L994" si="81">IF(K967=0,"",VLOOKUP((TRIM(K967)),Code,3,))</f>
        <v/>
      </c>
      <c r="M967" s="14"/>
      <c r="N967" s="89">
        <f t="array" ref="N967">SUM(IF((CsDJ[JEV Number]=TRIM($T956))*(CsDJ[Account Code]=TRIM(K967)),CsDJ[Debit]))</f>
        <v>0</v>
      </c>
      <c r="O967" s="89">
        <f t="array" ref="O967">SUM(IF((CsDJ[JEV Number]=TRIM($T956))*(CsDJ[Account Code]=TRIM(K967)),CsDJ[Credit]))</f>
        <v>0</v>
      </c>
      <c r="P967" s="1200">
        <f>N967</f>
        <v>0</v>
      </c>
      <c r="Q967" s="1200"/>
      <c r="R967" s="1200"/>
      <c r="S967" s="1200">
        <f>O967</f>
        <v>0</v>
      </c>
      <c r="T967" s="1200"/>
      <c r="U967" s="1200"/>
      <c r="V967" s="1201"/>
    </row>
    <row r="968" spans="1:22">
      <c r="A968" s="1195"/>
      <c r="B968" s="1196"/>
      <c r="C968" s="1196"/>
      <c r="D968" s="1196"/>
      <c r="E968" s="1197" t="str">
        <f t="shared" si="80"/>
        <v/>
      </c>
      <c r="F968" s="1198"/>
      <c r="G968" s="1198"/>
      <c r="H968" s="1198"/>
      <c r="I968" s="1198"/>
      <c r="J968" s="1199"/>
      <c r="K968" s="133"/>
      <c r="L968" s="62" t="str">
        <f t="shared" si="81"/>
        <v/>
      </c>
      <c r="M968" s="14"/>
      <c r="N968" s="89">
        <f t="array" ref="N968">SUM(IF((CsDJ[JEV Number]=TRIM($T956))*(CsDJ[Account Code]=TRIM(K968)),CsDJ[Debit]))</f>
        <v>0</v>
      </c>
      <c r="O968" s="89">
        <f t="array" ref="O968">SUM(IF((CsDJ[JEV Number]=TRIM($T956))*(CsDJ[Account Code]=TRIM(K968)),CsDJ[Credit]))</f>
        <v>0</v>
      </c>
      <c r="P968" s="1200">
        <f>N968</f>
        <v>0</v>
      </c>
      <c r="Q968" s="1200"/>
      <c r="R968" s="1200"/>
      <c r="S968" s="1200">
        <f>O968</f>
        <v>0</v>
      </c>
      <c r="T968" s="1200"/>
      <c r="U968" s="1200"/>
      <c r="V968" s="1201"/>
    </row>
    <row r="969" spans="1:22">
      <c r="A969" s="1195"/>
      <c r="B969" s="1196"/>
      <c r="C969" s="1196"/>
      <c r="D969" s="1196"/>
      <c r="E969" s="1197" t="str">
        <f t="shared" si="80"/>
        <v/>
      </c>
      <c r="F969" s="1198"/>
      <c r="G969" s="1198"/>
      <c r="H969" s="1198"/>
      <c r="I969" s="1198"/>
      <c r="J969" s="1199"/>
      <c r="K969" s="133"/>
      <c r="L969" s="62" t="str">
        <f t="shared" si="81"/>
        <v/>
      </c>
      <c r="M969" s="14"/>
      <c r="N969" s="89">
        <f t="array" ref="N969">SUM(IF((CsDJ[JEV Number]=TRIM($T956))*(CsDJ[Account Code]=TRIM(K969)),CsDJ[Debit]))</f>
        <v>0</v>
      </c>
      <c r="O969" s="89">
        <f t="array" ref="O969">SUM(IF((CsDJ[JEV Number]=TRIM($T956))*(CsDJ[Account Code]=TRIM(K969)),CsDJ[Credit]))</f>
        <v>0</v>
      </c>
      <c r="P969" s="1200">
        <f t="shared" ref="P969:P994" si="82">N969</f>
        <v>0</v>
      </c>
      <c r="Q969" s="1200"/>
      <c r="R969" s="1200"/>
      <c r="S969" s="1200">
        <f t="shared" ref="S969:S994" si="83">O969</f>
        <v>0</v>
      </c>
      <c r="T969" s="1200"/>
      <c r="U969" s="1200"/>
      <c r="V969" s="1201"/>
    </row>
    <row r="970" spans="1:22">
      <c r="A970" s="1195"/>
      <c r="B970" s="1196"/>
      <c r="C970" s="1196"/>
      <c r="D970" s="1196"/>
      <c r="E970" s="1197" t="str">
        <f t="shared" si="80"/>
        <v/>
      </c>
      <c r="F970" s="1198"/>
      <c r="G970" s="1198"/>
      <c r="H970" s="1198"/>
      <c r="I970" s="1198"/>
      <c r="J970" s="1199"/>
      <c r="K970" s="133"/>
      <c r="L970" s="62" t="str">
        <f t="shared" si="81"/>
        <v/>
      </c>
      <c r="M970" s="14"/>
      <c r="N970" s="89">
        <f t="array" ref="N970">SUM(IF((CsDJ[JEV Number]=TRIM($T956))*(CsDJ[Account Code]=TRIM(K970)),CsDJ[Debit]))</f>
        <v>0</v>
      </c>
      <c r="O970" s="89">
        <f t="array" ref="O970">SUM(IF((CsDJ[JEV Number]=TRIM($T956))*(CsDJ[Account Code]=TRIM(K970)),CsDJ[Credit]))</f>
        <v>0</v>
      </c>
      <c r="P970" s="1200">
        <f t="shared" si="82"/>
        <v>0</v>
      </c>
      <c r="Q970" s="1200"/>
      <c r="R970" s="1200"/>
      <c r="S970" s="1200">
        <f t="shared" si="83"/>
        <v>0</v>
      </c>
      <c r="T970" s="1200"/>
      <c r="U970" s="1200"/>
      <c r="V970" s="1201"/>
    </row>
    <row r="971" spans="1:22">
      <c r="A971" s="1195"/>
      <c r="B971" s="1196"/>
      <c r="C971" s="1196"/>
      <c r="D971" s="1196"/>
      <c r="E971" s="1197" t="str">
        <f t="shared" si="80"/>
        <v/>
      </c>
      <c r="F971" s="1198"/>
      <c r="G971" s="1198"/>
      <c r="H971" s="1198"/>
      <c r="I971" s="1198"/>
      <c r="J971" s="1199"/>
      <c r="K971" s="133"/>
      <c r="L971" s="62" t="str">
        <f t="shared" si="81"/>
        <v/>
      </c>
      <c r="M971" s="14"/>
      <c r="N971" s="89">
        <f t="array" ref="N971">SUM(IF((CsDJ[JEV Number]=TRIM($T956))*(CsDJ[Account Code]=TRIM(K971)),CsDJ[Debit]))</f>
        <v>0</v>
      </c>
      <c r="O971" s="89">
        <f t="array" ref="O971">SUM(IF((CsDJ[JEV Number]=TRIM($T956))*(CsDJ[Account Code]=TRIM(K971)),CsDJ[Credit]))</f>
        <v>0</v>
      </c>
      <c r="P971" s="1200">
        <f t="shared" si="82"/>
        <v>0</v>
      </c>
      <c r="Q971" s="1200"/>
      <c r="R971" s="1200"/>
      <c r="S971" s="1200">
        <f t="shared" si="83"/>
        <v>0</v>
      </c>
      <c r="T971" s="1200"/>
      <c r="U971" s="1200"/>
      <c r="V971" s="1201"/>
    </row>
    <row r="972" spans="1:22">
      <c r="A972" s="1195"/>
      <c r="B972" s="1196"/>
      <c r="C972" s="1196"/>
      <c r="D972" s="1196"/>
      <c r="E972" s="1197" t="str">
        <f t="shared" si="80"/>
        <v/>
      </c>
      <c r="F972" s="1198"/>
      <c r="G972" s="1198"/>
      <c r="H972" s="1198"/>
      <c r="I972" s="1198"/>
      <c r="J972" s="1199"/>
      <c r="K972" s="133"/>
      <c r="L972" s="62" t="str">
        <f t="shared" si="81"/>
        <v/>
      </c>
      <c r="M972" s="14"/>
      <c r="N972" s="89">
        <f t="array" ref="N972">SUM(IF((CsDJ[JEV Number]=TRIM($T956))*(CsDJ[Account Code]=TRIM(K972)),CsDJ[Debit]))</f>
        <v>0</v>
      </c>
      <c r="O972" s="89">
        <f t="array" ref="O972">SUM(IF((CsDJ[JEV Number]=TRIM($T956))*(CsDJ[Account Code]=TRIM(K972)),CsDJ[Credit]))</f>
        <v>0</v>
      </c>
      <c r="P972" s="1200">
        <f t="shared" si="82"/>
        <v>0</v>
      </c>
      <c r="Q972" s="1200"/>
      <c r="R972" s="1200"/>
      <c r="S972" s="1200">
        <f t="shared" si="83"/>
        <v>0</v>
      </c>
      <c r="T972" s="1200"/>
      <c r="U972" s="1200"/>
      <c r="V972" s="1201"/>
    </row>
    <row r="973" spans="1:22">
      <c r="A973" s="1195"/>
      <c r="B973" s="1196"/>
      <c r="C973" s="1196"/>
      <c r="D973" s="1196"/>
      <c r="E973" s="1197" t="str">
        <f t="shared" si="80"/>
        <v/>
      </c>
      <c r="F973" s="1198"/>
      <c r="G973" s="1198"/>
      <c r="H973" s="1198"/>
      <c r="I973" s="1198"/>
      <c r="J973" s="1199"/>
      <c r="K973" s="133"/>
      <c r="L973" s="62" t="str">
        <f t="shared" si="81"/>
        <v/>
      </c>
      <c r="M973" s="14"/>
      <c r="N973" s="89">
        <f t="array" ref="N973">SUM(IF((CsDJ[JEV Number]=TRIM($T956))*(CsDJ[Account Code]=TRIM(K973)),CsDJ[Debit]))</f>
        <v>0</v>
      </c>
      <c r="O973" s="89">
        <f t="array" ref="O973">SUM(IF((CsDJ[JEV Number]=TRIM($T956))*(CsDJ[Account Code]=TRIM(K973)),CsDJ[Credit]))</f>
        <v>0</v>
      </c>
      <c r="P973" s="1200">
        <f t="shared" si="82"/>
        <v>0</v>
      </c>
      <c r="Q973" s="1200"/>
      <c r="R973" s="1200"/>
      <c r="S973" s="1200">
        <f t="shared" si="83"/>
        <v>0</v>
      </c>
      <c r="T973" s="1200"/>
      <c r="U973" s="1200"/>
      <c r="V973" s="1201"/>
    </row>
    <row r="974" spans="1:22">
      <c r="A974" s="1195"/>
      <c r="B974" s="1196"/>
      <c r="C974" s="1196"/>
      <c r="D974" s="1196"/>
      <c r="E974" s="1197" t="str">
        <f t="shared" si="80"/>
        <v/>
      </c>
      <c r="F974" s="1198"/>
      <c r="G974" s="1198"/>
      <c r="H974" s="1198"/>
      <c r="I974" s="1198"/>
      <c r="J974" s="1199"/>
      <c r="K974" s="133"/>
      <c r="L974" s="62" t="str">
        <f t="shared" si="81"/>
        <v/>
      </c>
      <c r="M974" s="14"/>
      <c r="N974" s="89">
        <f t="array" ref="N974">SUM(IF((CsDJ[JEV Number]=TRIM($T956))*(CsDJ[Account Code]=TRIM(K974)),CsDJ[Debit]))</f>
        <v>0</v>
      </c>
      <c r="O974" s="89">
        <f t="array" ref="O974">SUM(IF((CsDJ[JEV Number]=TRIM($T956))*(CsDJ[Account Code]=TRIM(K974)),CsDJ[Credit]))</f>
        <v>0</v>
      </c>
      <c r="P974" s="1200">
        <f t="shared" si="82"/>
        <v>0</v>
      </c>
      <c r="Q974" s="1200"/>
      <c r="R974" s="1200"/>
      <c r="S974" s="1200">
        <f t="shared" si="83"/>
        <v>0</v>
      </c>
      <c r="T974" s="1200"/>
      <c r="U974" s="1200"/>
      <c r="V974" s="1201"/>
    </row>
    <row r="975" spans="1:22">
      <c r="A975" s="1195"/>
      <c r="B975" s="1196"/>
      <c r="C975" s="1196"/>
      <c r="D975" s="1196"/>
      <c r="E975" s="1197" t="str">
        <f t="shared" si="80"/>
        <v/>
      </c>
      <c r="F975" s="1198"/>
      <c r="G975" s="1198"/>
      <c r="H975" s="1198"/>
      <c r="I975" s="1198"/>
      <c r="J975" s="1199"/>
      <c r="K975" s="134"/>
      <c r="L975" s="62" t="str">
        <f t="shared" si="81"/>
        <v/>
      </c>
      <c r="M975" s="14"/>
      <c r="N975" s="89">
        <f t="array" ref="N975">SUM(IF((CsDJ[JEV Number]=TRIM($T956))*(CsDJ[Account Code]=TRIM(K975)),CsDJ[Debit]))</f>
        <v>0</v>
      </c>
      <c r="O975" s="89">
        <f t="array" ref="O975">SUM(IF((CsDJ[JEV Number]=TRIM($T956))*(CsDJ[Account Code]=TRIM(K975)),CsDJ[Credit]))</f>
        <v>0</v>
      </c>
      <c r="P975" s="1200">
        <f t="shared" si="82"/>
        <v>0</v>
      </c>
      <c r="Q975" s="1200"/>
      <c r="R975" s="1200"/>
      <c r="S975" s="1200">
        <f t="shared" si="83"/>
        <v>0</v>
      </c>
      <c r="T975" s="1200"/>
      <c r="U975" s="1200"/>
      <c r="V975" s="1201"/>
    </row>
    <row r="976" spans="1:22">
      <c r="A976" s="1195"/>
      <c r="B976" s="1196"/>
      <c r="C976" s="1196"/>
      <c r="D976" s="1196"/>
      <c r="E976" s="1197" t="str">
        <f t="shared" si="80"/>
        <v/>
      </c>
      <c r="F976" s="1198"/>
      <c r="G976" s="1198"/>
      <c r="H976" s="1198"/>
      <c r="I976" s="1198"/>
      <c r="J976" s="1199"/>
      <c r="K976" s="134"/>
      <c r="L976" s="62" t="str">
        <f t="shared" si="81"/>
        <v/>
      </c>
      <c r="M976" s="14"/>
      <c r="N976" s="89">
        <f t="array" ref="N976">SUM(IF((CsDJ[JEV Number]=TRIM($T956))*(CsDJ[Account Code]=TRIM(K976)),CsDJ[Debit]))</f>
        <v>0</v>
      </c>
      <c r="O976" s="89">
        <f t="array" ref="O976">SUM(IF((CsDJ[JEV Number]=TRIM($T956))*(CsDJ[Account Code]=TRIM(K976)),CsDJ[Credit]))</f>
        <v>0</v>
      </c>
      <c r="P976" s="1200">
        <f t="shared" si="82"/>
        <v>0</v>
      </c>
      <c r="Q976" s="1200"/>
      <c r="R976" s="1200"/>
      <c r="S976" s="1200">
        <f t="shared" si="83"/>
        <v>0</v>
      </c>
      <c r="T976" s="1200"/>
      <c r="U976" s="1200"/>
      <c r="V976" s="1201"/>
    </row>
    <row r="977" spans="1:22">
      <c r="A977" s="1195"/>
      <c r="B977" s="1196"/>
      <c r="C977" s="1196"/>
      <c r="D977" s="1196"/>
      <c r="E977" s="1197" t="str">
        <f t="shared" si="80"/>
        <v/>
      </c>
      <c r="F977" s="1198"/>
      <c r="G977" s="1198"/>
      <c r="H977" s="1198"/>
      <c r="I977" s="1198"/>
      <c r="J977" s="1199"/>
      <c r="K977" s="134"/>
      <c r="L977" s="62" t="str">
        <f t="shared" si="81"/>
        <v/>
      </c>
      <c r="M977" s="14"/>
      <c r="N977" s="89">
        <f t="array" ref="N977">SUM(IF((CsDJ[JEV Number]=TRIM($T956))*(CsDJ[Account Code]=TRIM(K977)),CsDJ[Debit]))</f>
        <v>0</v>
      </c>
      <c r="O977" s="89">
        <f t="array" ref="O977">SUM(IF((CsDJ[JEV Number]=TRIM($T956))*(CsDJ[Account Code]=TRIM(K977)),CsDJ[Credit]))</f>
        <v>0</v>
      </c>
      <c r="P977" s="1200">
        <f t="shared" si="82"/>
        <v>0</v>
      </c>
      <c r="Q977" s="1200"/>
      <c r="R977" s="1200"/>
      <c r="S977" s="1200">
        <f t="shared" si="83"/>
        <v>0</v>
      </c>
      <c r="T977" s="1200"/>
      <c r="U977" s="1200"/>
      <c r="V977" s="1201"/>
    </row>
    <row r="978" spans="1:22">
      <c r="A978" s="1195"/>
      <c r="B978" s="1196"/>
      <c r="C978" s="1196"/>
      <c r="D978" s="1196"/>
      <c r="E978" s="1197" t="str">
        <f t="shared" si="80"/>
        <v/>
      </c>
      <c r="F978" s="1198"/>
      <c r="G978" s="1198"/>
      <c r="H978" s="1198"/>
      <c r="I978" s="1198"/>
      <c r="J978" s="1199"/>
      <c r="K978" s="134"/>
      <c r="L978" s="62" t="str">
        <f t="shared" si="81"/>
        <v/>
      </c>
      <c r="M978" s="14"/>
      <c r="N978" s="89">
        <f t="array" ref="N978">SUM(IF((CsDJ[JEV Number]=TRIM($T956))*(CsDJ[Account Code]=TRIM(K978)),CsDJ[Debit]))</f>
        <v>0</v>
      </c>
      <c r="O978" s="89">
        <f t="array" ref="O978">SUM(IF((CsDJ[JEV Number]=TRIM($T956))*(CsDJ[Account Code]=TRIM(K978)),CsDJ[Credit]))</f>
        <v>0</v>
      </c>
      <c r="P978" s="1200">
        <f t="shared" si="82"/>
        <v>0</v>
      </c>
      <c r="Q978" s="1200"/>
      <c r="R978" s="1200"/>
      <c r="S978" s="1200">
        <f t="shared" si="83"/>
        <v>0</v>
      </c>
      <c r="T978" s="1200"/>
      <c r="U978" s="1200"/>
      <c r="V978" s="1201"/>
    </row>
    <row r="979" spans="1:22">
      <c r="A979" s="1195"/>
      <c r="B979" s="1196"/>
      <c r="C979" s="1196"/>
      <c r="D979" s="1196"/>
      <c r="E979" s="1197" t="str">
        <f t="shared" si="80"/>
        <v/>
      </c>
      <c r="F979" s="1198"/>
      <c r="G979" s="1198"/>
      <c r="H979" s="1198"/>
      <c r="I979" s="1198"/>
      <c r="J979" s="1199"/>
      <c r="K979" s="134"/>
      <c r="L979" s="62" t="str">
        <f t="shared" si="81"/>
        <v/>
      </c>
      <c r="M979" s="14"/>
      <c r="N979" s="89">
        <f t="array" ref="N979">SUM(IF((CsDJ[JEV Number]=TRIM($T956))*(CsDJ[Account Code]=TRIM(K979)),CsDJ[Debit]))</f>
        <v>0</v>
      </c>
      <c r="O979" s="89">
        <f t="array" ref="O979">SUM(IF((CsDJ[JEV Number]=TRIM($T956))*(CsDJ[Account Code]=TRIM(K979)),CsDJ[Credit]))</f>
        <v>0</v>
      </c>
      <c r="P979" s="1200">
        <f t="shared" si="82"/>
        <v>0</v>
      </c>
      <c r="Q979" s="1200"/>
      <c r="R979" s="1200"/>
      <c r="S979" s="1200">
        <f t="shared" si="83"/>
        <v>0</v>
      </c>
      <c r="T979" s="1200"/>
      <c r="U979" s="1200"/>
      <c r="V979" s="1201"/>
    </row>
    <row r="980" spans="1:22">
      <c r="A980" s="1195"/>
      <c r="B980" s="1196"/>
      <c r="C980" s="1196"/>
      <c r="D980" s="1196"/>
      <c r="E980" s="1197" t="str">
        <f t="shared" si="80"/>
        <v/>
      </c>
      <c r="F980" s="1198"/>
      <c r="G980" s="1198"/>
      <c r="H980" s="1198"/>
      <c r="I980" s="1198"/>
      <c r="J980" s="1199"/>
      <c r="K980" s="134"/>
      <c r="L980" s="62" t="str">
        <f t="shared" si="81"/>
        <v/>
      </c>
      <c r="M980" s="14"/>
      <c r="N980" s="89">
        <f t="array" ref="N980">SUM(IF((CsDJ[JEV Number]=TRIM($T956))*(CsDJ[Account Code]=TRIM(K980)),CsDJ[Debit]))</f>
        <v>0</v>
      </c>
      <c r="O980" s="89">
        <f t="array" ref="O980">SUM(IF((CsDJ[JEV Number]=TRIM($T956))*(CsDJ[Account Code]=TRIM(K980)),CsDJ[Credit]))</f>
        <v>0</v>
      </c>
      <c r="P980" s="1200">
        <f t="shared" si="82"/>
        <v>0</v>
      </c>
      <c r="Q980" s="1200"/>
      <c r="R980" s="1200"/>
      <c r="S980" s="1200">
        <f t="shared" si="83"/>
        <v>0</v>
      </c>
      <c r="T980" s="1200"/>
      <c r="U980" s="1200"/>
      <c r="V980" s="1201"/>
    </row>
    <row r="981" spans="1:22">
      <c r="A981" s="1195"/>
      <c r="B981" s="1196"/>
      <c r="C981" s="1196"/>
      <c r="D981" s="1196"/>
      <c r="E981" s="1197" t="str">
        <f t="shared" si="80"/>
        <v/>
      </c>
      <c r="F981" s="1198"/>
      <c r="G981" s="1198"/>
      <c r="H981" s="1198"/>
      <c r="I981" s="1198"/>
      <c r="J981" s="1199"/>
      <c r="K981" s="134"/>
      <c r="L981" s="62" t="str">
        <f t="shared" si="81"/>
        <v/>
      </c>
      <c r="M981" s="14"/>
      <c r="N981" s="89">
        <f t="array" ref="N981">SUM(IF((CsDJ[JEV Number]=TRIM($T956))*(CsDJ[Account Code]=TRIM(K981)),CsDJ[Debit]))</f>
        <v>0</v>
      </c>
      <c r="O981" s="89">
        <f t="array" ref="O981">SUM(IF((CsDJ[JEV Number]=TRIM($T956))*(CsDJ[Account Code]=TRIM(K981)),CsDJ[Credit]))</f>
        <v>0</v>
      </c>
      <c r="P981" s="1200">
        <f t="shared" si="82"/>
        <v>0</v>
      </c>
      <c r="Q981" s="1200"/>
      <c r="R981" s="1200"/>
      <c r="S981" s="1200">
        <f t="shared" si="83"/>
        <v>0</v>
      </c>
      <c r="T981" s="1200"/>
      <c r="U981" s="1200"/>
      <c r="V981" s="1201"/>
    </row>
    <row r="982" spans="1:22">
      <c r="A982" s="1195"/>
      <c r="B982" s="1196"/>
      <c r="C982" s="1196"/>
      <c r="D982" s="1196"/>
      <c r="E982" s="1197" t="str">
        <f t="shared" si="80"/>
        <v/>
      </c>
      <c r="F982" s="1198"/>
      <c r="G982" s="1198"/>
      <c r="H982" s="1198"/>
      <c r="I982" s="1198"/>
      <c r="J982" s="1199"/>
      <c r="K982" s="134"/>
      <c r="L982" s="62" t="str">
        <f t="shared" si="81"/>
        <v/>
      </c>
      <c r="M982" s="14"/>
      <c r="N982" s="89">
        <f t="array" ref="N982">SUM(IF((CsDJ[JEV Number]=TRIM($T956))*(CsDJ[Account Code]=TRIM(K982)),CsDJ[Debit]))</f>
        <v>0</v>
      </c>
      <c r="O982" s="89">
        <f t="array" ref="O982">SUM(IF((CsDJ[JEV Number]=TRIM($T956))*(CsDJ[Account Code]=TRIM(K982)),CsDJ[Credit]))</f>
        <v>0</v>
      </c>
      <c r="P982" s="1200">
        <f t="shared" si="82"/>
        <v>0</v>
      </c>
      <c r="Q982" s="1200"/>
      <c r="R982" s="1200"/>
      <c r="S982" s="1200">
        <f t="shared" si="83"/>
        <v>0</v>
      </c>
      <c r="T982" s="1200"/>
      <c r="U982" s="1200"/>
      <c r="V982" s="1201"/>
    </row>
    <row r="983" spans="1:22">
      <c r="A983" s="1195"/>
      <c r="B983" s="1196"/>
      <c r="C983" s="1196"/>
      <c r="D983" s="1196"/>
      <c r="E983" s="1197" t="str">
        <f t="shared" si="80"/>
        <v/>
      </c>
      <c r="F983" s="1198"/>
      <c r="G983" s="1198"/>
      <c r="H983" s="1198"/>
      <c r="I983" s="1198"/>
      <c r="J983" s="1199"/>
      <c r="K983" s="134"/>
      <c r="L983" s="62" t="str">
        <f t="shared" si="81"/>
        <v/>
      </c>
      <c r="M983" s="14"/>
      <c r="N983" s="89">
        <f t="array" ref="N983">SUM(IF((CsDJ[JEV Number]=TRIM($T956))*(CsDJ[Account Code]=TRIM(K983)),CsDJ[Debit]))</f>
        <v>0</v>
      </c>
      <c r="O983" s="89">
        <f t="array" ref="O983">SUM(IF((CsDJ[JEV Number]=TRIM($T956))*(CsDJ[Account Code]=TRIM(K983)),CsDJ[Credit]))</f>
        <v>0</v>
      </c>
      <c r="P983" s="1200">
        <f t="shared" si="82"/>
        <v>0</v>
      </c>
      <c r="Q983" s="1200"/>
      <c r="R983" s="1200"/>
      <c r="S983" s="1200">
        <f t="shared" si="83"/>
        <v>0</v>
      </c>
      <c r="T983" s="1200"/>
      <c r="U983" s="1200"/>
      <c r="V983" s="1201"/>
    </row>
    <row r="984" spans="1:22">
      <c r="A984" s="1195"/>
      <c r="B984" s="1196"/>
      <c r="C984" s="1196"/>
      <c r="D984" s="1196"/>
      <c r="E984" s="1197" t="str">
        <f t="shared" si="80"/>
        <v/>
      </c>
      <c r="F984" s="1198"/>
      <c r="G984" s="1198"/>
      <c r="H984" s="1198"/>
      <c r="I984" s="1198"/>
      <c r="J984" s="1199"/>
      <c r="K984" s="134"/>
      <c r="L984" s="62" t="str">
        <f t="shared" si="81"/>
        <v/>
      </c>
      <c r="M984" s="14"/>
      <c r="N984" s="89">
        <f t="array" ref="N984">SUM(IF((CsDJ[JEV Number]=TRIM($T956))*(CsDJ[Account Code]=TRIM(K984)),CsDJ[Debit]))</f>
        <v>0</v>
      </c>
      <c r="O984" s="89">
        <f t="array" ref="O984">SUM(IF((CsDJ[JEV Number]=TRIM($T956))*(CsDJ[Account Code]=TRIM(K984)),CsDJ[Credit]))</f>
        <v>0</v>
      </c>
      <c r="P984" s="1200">
        <f t="shared" si="82"/>
        <v>0</v>
      </c>
      <c r="Q984" s="1200"/>
      <c r="R984" s="1200"/>
      <c r="S984" s="1200">
        <f t="shared" si="83"/>
        <v>0</v>
      </c>
      <c r="T984" s="1200"/>
      <c r="U984" s="1200"/>
      <c r="V984" s="1201"/>
    </row>
    <row r="985" spans="1:22">
      <c r="A985" s="1195"/>
      <c r="B985" s="1196"/>
      <c r="C985" s="1196"/>
      <c r="D985" s="1196"/>
      <c r="E985" s="1197" t="str">
        <f t="shared" si="80"/>
        <v/>
      </c>
      <c r="F985" s="1198"/>
      <c r="G985" s="1198"/>
      <c r="H985" s="1198"/>
      <c r="I985" s="1198"/>
      <c r="J985" s="1199"/>
      <c r="K985" s="134"/>
      <c r="L985" s="62" t="str">
        <f t="shared" si="81"/>
        <v/>
      </c>
      <c r="M985" s="14"/>
      <c r="N985" s="89">
        <f t="array" ref="N985">SUM(IF((CsDJ[JEV Number]=TRIM($T956))*(CsDJ[Account Code]=TRIM(K985)),CsDJ[Debit]))</f>
        <v>0</v>
      </c>
      <c r="O985" s="89">
        <f t="array" ref="O985">SUM(IF((CsDJ[JEV Number]=TRIM($T956))*(CsDJ[Account Code]=TRIM(K985)),CsDJ[Credit]))</f>
        <v>0</v>
      </c>
      <c r="P985" s="1200">
        <f t="shared" si="82"/>
        <v>0</v>
      </c>
      <c r="Q985" s="1200"/>
      <c r="R985" s="1200"/>
      <c r="S985" s="1200">
        <f t="shared" si="83"/>
        <v>0</v>
      </c>
      <c r="T985" s="1200"/>
      <c r="U985" s="1200"/>
      <c r="V985" s="1201"/>
    </row>
    <row r="986" spans="1:22">
      <c r="A986" s="1195"/>
      <c r="B986" s="1196"/>
      <c r="C986" s="1196"/>
      <c r="D986" s="1196"/>
      <c r="E986" s="1197" t="str">
        <f t="shared" si="80"/>
        <v/>
      </c>
      <c r="F986" s="1198"/>
      <c r="G986" s="1198"/>
      <c r="H986" s="1198"/>
      <c r="I986" s="1198"/>
      <c r="J986" s="1199"/>
      <c r="K986" s="134"/>
      <c r="L986" s="62" t="str">
        <f t="shared" si="81"/>
        <v/>
      </c>
      <c r="M986" s="14"/>
      <c r="N986" s="89">
        <f t="array" ref="N986">SUM(IF((CsDJ[JEV Number]=TRIM($T956))*(CsDJ[Account Code]=TRIM(K986)),CsDJ[Debit]))</f>
        <v>0</v>
      </c>
      <c r="O986" s="89">
        <f t="array" ref="O986">SUM(IF((CsDJ[JEV Number]=TRIM($T956))*(CsDJ[Account Code]=TRIM(K986)),CsDJ[Credit]))</f>
        <v>0</v>
      </c>
      <c r="P986" s="1200">
        <f t="shared" si="82"/>
        <v>0</v>
      </c>
      <c r="Q986" s="1200"/>
      <c r="R986" s="1200"/>
      <c r="S986" s="1200">
        <f t="shared" si="83"/>
        <v>0</v>
      </c>
      <c r="T986" s="1200"/>
      <c r="U986" s="1200"/>
      <c r="V986" s="1201"/>
    </row>
    <row r="987" spans="1:22">
      <c r="A987" s="1195"/>
      <c r="B987" s="1196"/>
      <c r="C987" s="1196"/>
      <c r="D987" s="1196"/>
      <c r="E987" s="1197" t="str">
        <f t="shared" si="80"/>
        <v/>
      </c>
      <c r="F987" s="1198"/>
      <c r="G987" s="1198"/>
      <c r="H987" s="1198"/>
      <c r="I987" s="1198"/>
      <c r="J987" s="1199"/>
      <c r="K987" s="134"/>
      <c r="L987" s="62" t="str">
        <f t="shared" si="81"/>
        <v/>
      </c>
      <c r="M987" s="14"/>
      <c r="N987" s="89">
        <f t="array" ref="N987">SUM(IF((CsDJ[JEV Number]=TRIM($T956))*(CsDJ[Account Code]=TRIM(K987)),CsDJ[Debit]))</f>
        <v>0</v>
      </c>
      <c r="O987" s="89">
        <f t="array" ref="O987">SUM(IF((CsDJ[JEV Number]=TRIM($T956))*(CsDJ[Account Code]=TRIM(K987)),CsDJ[Credit]))</f>
        <v>0</v>
      </c>
      <c r="P987" s="1200">
        <f t="shared" si="82"/>
        <v>0</v>
      </c>
      <c r="Q987" s="1200"/>
      <c r="R987" s="1200"/>
      <c r="S987" s="1200">
        <f t="shared" si="83"/>
        <v>0</v>
      </c>
      <c r="T987" s="1200"/>
      <c r="U987" s="1200"/>
      <c r="V987" s="1201"/>
    </row>
    <row r="988" spans="1:22">
      <c r="A988" s="1195"/>
      <c r="B988" s="1196"/>
      <c r="C988" s="1196"/>
      <c r="D988" s="1196"/>
      <c r="E988" s="1197" t="str">
        <f t="shared" si="80"/>
        <v/>
      </c>
      <c r="F988" s="1198"/>
      <c r="G988" s="1198"/>
      <c r="H988" s="1198"/>
      <c r="I988" s="1198"/>
      <c r="J988" s="1199"/>
      <c r="K988" s="134"/>
      <c r="L988" s="62" t="str">
        <f t="shared" si="81"/>
        <v/>
      </c>
      <c r="M988" s="14"/>
      <c r="N988" s="89">
        <f t="array" ref="N988">SUM(IF((CsDJ[JEV Number]=TRIM($T956))*(CsDJ[Account Code]=TRIM(K988)),CsDJ[Debit]))</f>
        <v>0</v>
      </c>
      <c r="O988" s="89">
        <f t="array" ref="O988">SUM(IF((CsDJ[JEV Number]=TRIM($T956))*(CsDJ[Account Code]=TRIM(K988)),CsDJ[Credit]))</f>
        <v>0</v>
      </c>
      <c r="P988" s="1200">
        <f t="shared" si="82"/>
        <v>0</v>
      </c>
      <c r="Q988" s="1200"/>
      <c r="R988" s="1200"/>
      <c r="S988" s="1200">
        <f t="shared" si="83"/>
        <v>0</v>
      </c>
      <c r="T988" s="1200"/>
      <c r="U988" s="1200"/>
      <c r="V988" s="1201"/>
    </row>
    <row r="989" spans="1:22">
      <c r="A989" s="1195"/>
      <c r="B989" s="1196"/>
      <c r="C989" s="1196"/>
      <c r="D989" s="1196"/>
      <c r="E989" s="1197" t="str">
        <f t="shared" si="80"/>
        <v/>
      </c>
      <c r="F989" s="1198"/>
      <c r="G989" s="1198"/>
      <c r="H989" s="1198"/>
      <c r="I989" s="1198"/>
      <c r="J989" s="1199"/>
      <c r="K989" s="134"/>
      <c r="L989" s="62" t="str">
        <f t="shared" si="81"/>
        <v/>
      </c>
      <c r="M989" s="14"/>
      <c r="N989" s="89">
        <f t="array" ref="N989">SUM(IF((CsDJ[JEV Number]=TRIM($T956))*(CsDJ[Account Code]=TRIM(K989)),CsDJ[Debit]))</f>
        <v>0</v>
      </c>
      <c r="O989" s="89">
        <f t="array" ref="O989">SUM(IF((CsDJ[JEV Number]=TRIM($T956))*(CsDJ[Account Code]=TRIM(K989)),CsDJ[Credit]))</f>
        <v>0</v>
      </c>
      <c r="P989" s="1200">
        <f t="shared" si="82"/>
        <v>0</v>
      </c>
      <c r="Q989" s="1200"/>
      <c r="R989" s="1200"/>
      <c r="S989" s="1200">
        <f t="shared" si="83"/>
        <v>0</v>
      </c>
      <c r="T989" s="1200"/>
      <c r="U989" s="1200"/>
      <c r="V989" s="1201"/>
    </row>
    <row r="990" spans="1:22">
      <c r="A990" s="1195"/>
      <c r="B990" s="1196"/>
      <c r="C990" s="1196"/>
      <c r="D990" s="1196"/>
      <c r="E990" s="1257" t="s">
        <v>468</v>
      </c>
      <c r="F990" s="1258"/>
      <c r="G990" s="1258"/>
      <c r="H990" s="1258"/>
      <c r="I990" s="1258"/>
      <c r="J990" s="1259"/>
      <c r="K990" s="133"/>
      <c r="L990" s="62" t="str">
        <f t="shared" si="81"/>
        <v/>
      </c>
      <c r="M990" s="14"/>
      <c r="N990" s="89">
        <f t="array" ref="N990">SUM(IF((CsDJ[JEV Number]=TRIM($T956))*(CsDJ[Account Code]=TRIM(K990)),CsDJ[Debit]))</f>
        <v>0</v>
      </c>
      <c r="O990" s="89">
        <f t="array" ref="O990">SUM(IF((CsDJ[JEV Number]=TRIM($T956))*(CsDJ[Account Code]=TRIM(K990)),CsDJ[Credit]))</f>
        <v>0</v>
      </c>
      <c r="P990" s="1200">
        <f t="shared" si="82"/>
        <v>0</v>
      </c>
      <c r="Q990" s="1200"/>
      <c r="R990" s="1200"/>
      <c r="S990" s="1200">
        <f t="shared" si="83"/>
        <v>0</v>
      </c>
      <c r="T990" s="1200"/>
      <c r="U990" s="1200"/>
      <c r="V990" s="1201"/>
    </row>
    <row r="991" spans="1:22">
      <c r="A991" s="1195"/>
      <c r="B991" s="1196"/>
      <c r="C991" s="1196"/>
      <c r="D991" s="1196"/>
      <c r="E991" s="1202" t="s">
        <v>457</v>
      </c>
      <c r="F991" s="1203"/>
      <c r="G991" s="1203"/>
      <c r="H991" s="1203"/>
      <c r="I991" s="1207">
        <f>T957</f>
        <v>0</v>
      </c>
      <c r="J991" s="1208"/>
      <c r="K991" s="133"/>
      <c r="L991" s="62" t="str">
        <f t="shared" si="81"/>
        <v/>
      </c>
      <c r="M991" s="14"/>
      <c r="N991" s="89">
        <f t="array" ref="N991">SUM(IF((CsDJ[JEV Number]=TRIM($T956))*(CsDJ[Account Code]=TRIM(K991)),CsDJ[Debit]))</f>
        <v>0</v>
      </c>
      <c r="O991" s="89">
        <f t="array" ref="O991">SUM(IF((CsDJ[JEV Number]=TRIM($T956))*(CsDJ[Account Code]=TRIM(K991)),CsDJ[Credit]))</f>
        <v>0</v>
      </c>
      <c r="P991" s="1200">
        <f t="shared" si="82"/>
        <v>0</v>
      </c>
      <c r="Q991" s="1200"/>
      <c r="R991" s="1200"/>
      <c r="S991" s="1200">
        <f t="shared" si="83"/>
        <v>0</v>
      </c>
      <c r="T991" s="1200"/>
      <c r="U991" s="1200"/>
      <c r="V991" s="1201"/>
    </row>
    <row r="992" spans="1:22">
      <c r="A992" s="1195"/>
      <c r="B992" s="1196"/>
      <c r="C992" s="1196"/>
      <c r="D992" s="1196"/>
      <c r="E992" s="1202" t="s">
        <v>458</v>
      </c>
      <c r="F992" s="1203"/>
      <c r="G992" s="1203"/>
      <c r="H992" s="1203"/>
      <c r="I992" s="1263">
        <f>IF(T956=0,0,(IF(LOOKUP(T956,CsDJ[JEV Number],CsDJ[Sort Code])="1","MA. VIVIAN C. SALAS",IF(LOOKUP(T956,CsDJ[JEV Number],CsDJ[Sort Code])="2","LUZ R. DE COZAR",IF(LOOKUP(T956,CsDJ[JEV Number],CsDJ[Sort Code])="3","MINEONETTE A. DELA CRUZ",IF(LOOKUP(T956,CsDJ[JEV Number],CsDJ[Sort Code])="4","RESELLA B. LOPEZ"))))))</f>
        <v>0</v>
      </c>
      <c r="J992" s="1264"/>
      <c r="K992" s="133"/>
      <c r="L992" s="62" t="str">
        <f t="shared" si="81"/>
        <v/>
      </c>
      <c r="M992" s="14"/>
      <c r="N992" s="89">
        <f t="array" ref="N992">SUM(IF((CsDJ[JEV Number]=TRIM($T956))*(CsDJ[Account Code]=TRIM(K992)),CsDJ[Debit]))</f>
        <v>0</v>
      </c>
      <c r="O992" s="89">
        <f t="array" ref="O992">SUM(IF((CsDJ[JEV Number]=TRIM($T956))*(CsDJ[Account Code]=TRIM(K992)),CsDJ[Credit]))</f>
        <v>0</v>
      </c>
      <c r="P992" s="1200">
        <f t="shared" si="82"/>
        <v>0</v>
      </c>
      <c r="Q992" s="1200"/>
      <c r="R992" s="1200"/>
      <c r="S992" s="1200">
        <f t="shared" si="83"/>
        <v>0</v>
      </c>
      <c r="T992" s="1200"/>
      <c r="U992" s="1200"/>
      <c r="V992" s="1201"/>
    </row>
    <row r="993" spans="1:22">
      <c r="A993" s="1195"/>
      <c r="B993" s="1196"/>
      <c r="C993" s="1196"/>
      <c r="D993" s="1196"/>
      <c r="E993" s="1202" t="s">
        <v>459</v>
      </c>
      <c r="F993" s="1203"/>
      <c r="G993" s="1203"/>
      <c r="H993" s="1203"/>
      <c r="I993" s="1204">
        <f>IF(I992="Ma. Vivian C. Salas","Regional Office", IF(I992="Luz R. De Cozar","BANE IMO", IF(I992="Mineonette A. Dela Cruz","PAMBAT IMO", IF(I992="Resella B. Lopez","TARZAM IMO",0))))</f>
        <v>0</v>
      </c>
      <c r="J993" s="1205"/>
      <c r="K993" s="133"/>
      <c r="L993" s="62" t="str">
        <f t="shared" si="81"/>
        <v/>
      </c>
      <c r="M993" s="14"/>
      <c r="N993" s="89">
        <f t="array" ref="N993">SUM(IF((CsDJ[JEV Number]=TRIM($T956))*(CsDJ[Account Code]=TRIM(K993)),CsDJ[Debit]))</f>
        <v>0</v>
      </c>
      <c r="O993" s="89">
        <f t="array" ref="O993">SUM(IF((CsDJ[JEV Number]=TRIM($T956))*(CsDJ[Account Code]=TRIM(K993)),CsDJ[Credit]))</f>
        <v>0</v>
      </c>
      <c r="P993" s="1200">
        <f t="shared" si="82"/>
        <v>0</v>
      </c>
      <c r="Q993" s="1200"/>
      <c r="R993" s="1200"/>
      <c r="S993" s="1200">
        <f t="shared" si="83"/>
        <v>0</v>
      </c>
      <c r="T993" s="1200"/>
      <c r="U993" s="1200"/>
      <c r="V993" s="1201"/>
    </row>
    <row r="994" spans="1:22">
      <c r="A994" s="1195"/>
      <c r="B994" s="1196"/>
      <c r="C994" s="1196"/>
      <c r="D994" s="1196"/>
      <c r="E994" s="1202"/>
      <c r="F994" s="1203"/>
      <c r="G994" s="1203"/>
      <c r="H994" s="1203"/>
      <c r="I994" s="1203"/>
      <c r="J994" s="1206"/>
      <c r="K994" s="133"/>
      <c r="L994" s="62" t="str">
        <f t="shared" si="81"/>
        <v/>
      </c>
      <c r="M994" s="14"/>
      <c r="N994" s="89">
        <f t="array" ref="N994">SUM(IF((CsDJ[JEV Number]=TRIM($T956))*(CsDJ[Account Code]=TRIM(K994)),CsDJ[Debit]))</f>
        <v>0</v>
      </c>
      <c r="O994" s="89">
        <f t="array" ref="O994">SUM(IF((CsDJ[JEV Number]=TRIM($T956))*(CsDJ[Account Code]=TRIM(K994)),CsDJ[Credit]))</f>
        <v>0</v>
      </c>
      <c r="P994" s="1200">
        <f t="shared" si="82"/>
        <v>0</v>
      </c>
      <c r="Q994" s="1200"/>
      <c r="R994" s="1200"/>
      <c r="S994" s="1200">
        <f t="shared" si="83"/>
        <v>0</v>
      </c>
      <c r="T994" s="1200"/>
      <c r="U994" s="1200"/>
      <c r="V994" s="1201"/>
    </row>
    <row r="995" spans="1:22" ht="16.5" thickBot="1">
      <c r="A995" s="1188"/>
      <c r="B995" s="1189"/>
      <c r="C995" s="1189"/>
      <c r="D995" s="1189"/>
      <c r="E995" s="1189"/>
      <c r="F995" s="1189"/>
      <c r="G995" s="1189"/>
      <c r="H995" s="1189"/>
      <c r="I995" s="1189"/>
      <c r="J995" s="1189"/>
      <c r="K995" s="1189"/>
      <c r="L995" s="1189"/>
      <c r="M995" s="1190"/>
      <c r="N995" s="88"/>
      <c r="O995" s="88"/>
      <c r="P995" s="1191">
        <f>SUM(P965:R994)</f>
        <v>0</v>
      </c>
      <c r="Q995" s="1191"/>
      <c r="R995" s="1191"/>
      <c r="S995" s="1191">
        <f>SUM(S965:V994)</f>
        <v>0</v>
      </c>
      <c r="T995" s="1191"/>
      <c r="U995" s="1191"/>
      <c r="V995" s="1192"/>
    </row>
    <row r="996" spans="1:22">
      <c r="A996" s="63"/>
      <c r="B996" s="64"/>
      <c r="C996" s="64"/>
      <c r="D996" s="64"/>
      <c r="E996" s="64"/>
      <c r="F996" s="64"/>
      <c r="G996" s="64"/>
      <c r="H996" s="64"/>
      <c r="I996" s="65"/>
      <c r="J996" s="64"/>
      <c r="K996" s="66"/>
      <c r="L996" s="64"/>
      <c r="M996" s="65"/>
      <c r="N996" s="64"/>
      <c r="O996" s="64"/>
      <c r="P996" s="1193"/>
      <c r="Q996" s="1193"/>
      <c r="R996" s="1193"/>
      <c r="S996" s="1193"/>
      <c r="T996" s="1193"/>
      <c r="U996" s="1193"/>
      <c r="V996" s="1194"/>
    </row>
    <row r="997" spans="1:22">
      <c r="A997" s="67" t="s">
        <v>460</v>
      </c>
      <c r="B997"/>
      <c r="C997"/>
      <c r="D997"/>
      <c r="E997"/>
      <c r="F997"/>
      <c r="G997"/>
      <c r="H997"/>
      <c r="I997" s="68" t="s">
        <v>353</v>
      </c>
      <c r="J997" s="69"/>
      <c r="K997" s="69"/>
      <c r="L997"/>
      <c r="M997" s="68" t="s">
        <v>461</v>
      </c>
      <c r="N997" s="69"/>
      <c r="O997" s="69"/>
      <c r="P997" s="70"/>
      <c r="Q997" s="70"/>
      <c r="R997" s="70"/>
      <c r="S997" s="70"/>
      <c r="T997" s="70"/>
      <c r="U997" s="70"/>
      <c r="V997" s="71"/>
    </row>
    <row r="998" spans="1:22">
      <c r="A998" s="37"/>
      <c r="B998"/>
      <c r="C998"/>
      <c r="D998"/>
      <c r="E998"/>
      <c r="F998"/>
      <c r="G998"/>
      <c r="H998"/>
      <c r="I998" s="72"/>
      <c r="J998"/>
      <c r="K998"/>
      <c r="L998"/>
      <c r="M998" s="72"/>
      <c r="N998"/>
      <c r="O998"/>
      <c r="P998"/>
      <c r="Q998"/>
      <c r="R998"/>
      <c r="S998"/>
      <c r="T998"/>
      <c r="U998"/>
      <c r="V998" s="73"/>
    </row>
    <row r="999" spans="1:22">
      <c r="A999" s="74" t="s">
        <v>462</v>
      </c>
      <c r="B999" s="75"/>
      <c r="C999" s="75"/>
      <c r="D999" s="75"/>
      <c r="E999" s="75"/>
      <c r="F999" s="75"/>
      <c r="G999" s="75"/>
      <c r="H999" s="76"/>
      <c r="I999" s="77" t="s">
        <v>380</v>
      </c>
      <c r="J999" s="75"/>
      <c r="K999" s="75"/>
      <c r="L999" s="76"/>
      <c r="M999" s="77" t="s">
        <v>3</v>
      </c>
      <c r="N999" s="75"/>
      <c r="O999" s="75"/>
      <c r="P999" s="75"/>
      <c r="Q999" s="75"/>
      <c r="R999" s="75"/>
      <c r="S999" s="75"/>
      <c r="T999" s="75"/>
      <c r="U999" s="75"/>
      <c r="V999" s="78"/>
    </row>
    <row r="1000" spans="1:22">
      <c r="A1000" s="79" t="s">
        <v>463</v>
      </c>
      <c r="B1000" s="80"/>
      <c r="C1000" s="80"/>
      <c r="D1000" s="80"/>
      <c r="E1000" s="80"/>
      <c r="F1000" s="80"/>
      <c r="G1000" s="80"/>
      <c r="H1000" s="80"/>
      <c r="I1000" s="81" t="s">
        <v>381</v>
      </c>
      <c r="J1000" s="80"/>
      <c r="K1000" s="80"/>
      <c r="L1000" s="80"/>
      <c r="M1000" s="81" t="s">
        <v>464</v>
      </c>
      <c r="N1000" s="80"/>
      <c r="O1000" s="80"/>
      <c r="P1000" s="82"/>
      <c r="Q1000" s="82"/>
      <c r="R1000" s="82"/>
      <c r="S1000" s="82"/>
      <c r="T1000" s="82"/>
      <c r="U1000" s="82"/>
      <c r="V1000" s="83"/>
    </row>
    <row r="1001" spans="1:22" ht="16.5" thickBot="1">
      <c r="A1001" s="84" t="s">
        <v>465</v>
      </c>
      <c r="B1001" s="43"/>
      <c r="C1001" s="43"/>
      <c r="D1001" s="43"/>
      <c r="E1001" s="43"/>
      <c r="F1001" s="43"/>
      <c r="G1001" s="43"/>
      <c r="H1001" s="43"/>
      <c r="I1001" s="85"/>
      <c r="J1001" s="43"/>
      <c r="K1001" s="43"/>
      <c r="L1001" s="43"/>
      <c r="M1001" s="85"/>
      <c r="N1001" s="43"/>
      <c r="O1001" s="43"/>
      <c r="P1001" s="43"/>
      <c r="Q1001" s="43"/>
      <c r="R1001" s="43"/>
      <c r="S1001" s="43"/>
      <c r="T1001" s="43"/>
      <c r="U1001" s="43"/>
      <c r="V1001" s="44"/>
    </row>
    <row r="1002" spans="1:22" ht="22.5">
      <c r="A1002" s="31" t="s">
        <v>441</v>
      </c>
      <c r="B1002" s="32"/>
      <c r="C1002" s="32"/>
      <c r="D1002" s="32"/>
      <c r="E1002" s="32"/>
      <c r="F1002" s="32"/>
      <c r="G1002" s="32"/>
      <c r="H1002" s="32"/>
      <c r="I1002" s="32"/>
      <c r="J1002" s="32"/>
      <c r="K1002" s="32"/>
      <c r="L1002" s="32"/>
      <c r="M1002" s="32"/>
      <c r="N1002" s="32"/>
      <c r="O1002" s="32"/>
      <c r="P1002" s="32"/>
      <c r="Q1002" s="33"/>
      <c r="R1002" s="1218">
        <f>+P1042-S1042</f>
        <v>0</v>
      </c>
      <c r="S1002" s="1219"/>
      <c r="T1002" s="1219"/>
      <c r="U1002" s="1219"/>
      <c r="V1002" s="1220"/>
    </row>
    <row r="1003" spans="1:22">
      <c r="A1003" s="34" t="s">
        <v>442</v>
      </c>
      <c r="B1003" s="35"/>
      <c r="C1003" s="35"/>
      <c r="D1003" s="35"/>
      <c r="E1003" s="35"/>
      <c r="F1003" s="35"/>
      <c r="G1003" s="35"/>
      <c r="H1003" s="35"/>
      <c r="I1003" s="35"/>
      <c r="J1003" s="35"/>
      <c r="K1003" s="35"/>
      <c r="L1003" s="35"/>
      <c r="M1003" s="35"/>
      <c r="N1003" s="35"/>
      <c r="O1003" s="35"/>
      <c r="P1003" s="35"/>
      <c r="Q1003" s="36"/>
      <c r="R1003" s="37" t="s">
        <v>443</v>
      </c>
      <c r="S1003"/>
      <c r="T1003" s="1221"/>
      <c r="U1003" s="1221"/>
      <c r="V1003" s="1222"/>
    </row>
    <row r="1004" spans="1:22">
      <c r="A1004" s="38" t="s">
        <v>444</v>
      </c>
      <c r="B1004" s="35"/>
      <c r="C1004" s="35"/>
      <c r="D1004" s="35"/>
      <c r="E1004" s="35"/>
      <c r="F1004" s="35"/>
      <c r="G1004" s="35"/>
      <c r="H1004" s="35"/>
      <c r="I1004" s="35"/>
      <c r="J1004" s="35"/>
      <c r="K1004" s="35"/>
      <c r="L1004" s="35"/>
      <c r="M1004" s="35"/>
      <c r="N1004" s="35"/>
      <c r="O1004" s="35"/>
      <c r="P1004" s="35"/>
      <c r="Q1004" s="36"/>
      <c r="R1004" s="37" t="s">
        <v>0</v>
      </c>
      <c r="S1004"/>
      <c r="T1004" s="1223">
        <f>IF(T1003=0,0,(LOOKUP(T1003,CsDJ[JEV Number],CsDJ[Date])))</f>
        <v>0</v>
      </c>
      <c r="U1004" s="1223"/>
      <c r="V1004" s="1224"/>
    </row>
    <row r="1005" spans="1:22" ht="16.5" thickBot="1">
      <c r="A1005" s="39"/>
      <c r="B1005" s="40"/>
      <c r="C1005" s="40"/>
      <c r="D1005" s="40"/>
      <c r="E1005" s="40"/>
      <c r="F1005" s="40"/>
      <c r="G1005" s="40"/>
      <c r="H1005" s="40"/>
      <c r="I1005" s="40"/>
      <c r="J1005" s="40"/>
      <c r="K1005" s="40"/>
      <c r="L1005" s="40"/>
      <c r="M1005" s="40"/>
      <c r="N1005" s="40"/>
      <c r="O1005" s="40"/>
      <c r="P1005" s="40"/>
      <c r="Q1005" s="41"/>
      <c r="R1005" s="42"/>
      <c r="S1005" s="43"/>
      <c r="T1005" s="43"/>
      <c r="U1005" s="43"/>
      <c r="V1005" s="44"/>
    </row>
    <row r="1006" spans="1:22">
      <c r="A1006" s="45"/>
      <c r="B1006" s="46"/>
      <c r="C1006" s="46"/>
      <c r="D1006" s="46"/>
      <c r="E1006" s="46"/>
      <c r="F1006" s="46"/>
      <c r="G1006" s="46"/>
      <c r="H1006" s="46"/>
      <c r="I1006" s="46"/>
      <c r="J1006" s="46"/>
      <c r="K1006" s="46"/>
      <c r="L1006" s="47"/>
      <c r="M1006" s="46"/>
      <c r="N1006" s="46"/>
      <c r="O1006" s="46"/>
      <c r="P1006" s="46"/>
      <c r="Q1006" s="46"/>
      <c r="R1006" s="46"/>
      <c r="S1006" s="46"/>
      <c r="T1006" s="46"/>
      <c r="U1006" s="46"/>
      <c r="V1006" s="48"/>
    </row>
    <row r="1007" spans="1:22">
      <c r="A1007" s="49"/>
      <c r="B1007" s="1225"/>
      <c r="C1007" s="1225"/>
      <c r="D1007" s="50" t="s">
        <v>445</v>
      </c>
      <c r="H1007" s="51"/>
      <c r="I1007" s="25" t="s">
        <v>447</v>
      </c>
      <c r="J1007" s="132" t="s">
        <v>446</v>
      </c>
      <c r="K1007" s="52" t="s">
        <v>448</v>
      </c>
      <c r="L1007" s="52"/>
      <c r="Q1007" s="1225"/>
      <c r="R1007" s="1225"/>
      <c r="S1007" s="50" t="s">
        <v>449</v>
      </c>
      <c r="T1007" s="50"/>
      <c r="U1007" s="50"/>
      <c r="V1007" s="53"/>
    </row>
    <row r="1008" spans="1:22" ht="16.5" thickBot="1">
      <c r="A1008" s="54"/>
      <c r="B1008" s="55"/>
      <c r="C1008" s="55"/>
      <c r="D1008" s="55"/>
      <c r="E1008" s="55"/>
      <c r="F1008" s="55"/>
      <c r="G1008" s="55"/>
      <c r="H1008" s="55"/>
      <c r="I1008" s="55"/>
      <c r="J1008" s="55"/>
      <c r="K1008" s="55"/>
      <c r="L1008" s="56"/>
      <c r="M1008" s="55"/>
      <c r="N1008" s="55"/>
      <c r="O1008" s="55"/>
      <c r="P1008" s="55"/>
      <c r="Q1008" s="55"/>
      <c r="R1008" s="55"/>
      <c r="S1008" s="55"/>
      <c r="T1008" s="55"/>
      <c r="U1008" s="55"/>
      <c r="V1008" s="57"/>
    </row>
    <row r="1009" spans="1:22">
      <c r="A1009" s="1226" t="s">
        <v>397</v>
      </c>
      <c r="B1009" s="1227"/>
      <c r="C1009" s="1227"/>
      <c r="D1009" s="1228"/>
      <c r="E1009" s="1235" t="s">
        <v>450</v>
      </c>
      <c r="F1009" s="1235"/>
      <c r="G1009" s="1235"/>
      <c r="H1009" s="1235"/>
      <c r="I1009" s="1235"/>
      <c r="J1009" s="1235"/>
      <c r="K1009" s="1235"/>
      <c r="L1009" s="1235"/>
      <c r="M1009" s="1235"/>
      <c r="N1009" s="1235"/>
      <c r="O1009" s="1235"/>
      <c r="P1009" s="1235"/>
      <c r="Q1009" s="1235"/>
      <c r="R1009" s="1235"/>
      <c r="S1009" s="1235"/>
      <c r="T1009" s="1235"/>
      <c r="U1009" s="1235"/>
      <c r="V1009" s="1236"/>
    </row>
    <row r="1010" spans="1:22">
      <c r="A1010" s="1229"/>
      <c r="B1010" s="1230"/>
      <c r="C1010" s="1230"/>
      <c r="D1010" s="1231"/>
      <c r="E1010" s="1237" t="s">
        <v>451</v>
      </c>
      <c r="F1010" s="1237"/>
      <c r="G1010" s="1237"/>
      <c r="H1010" s="1237"/>
      <c r="I1010" s="1237"/>
      <c r="J1010" s="1237"/>
      <c r="K1010" s="1239" t="s">
        <v>378</v>
      </c>
      <c r="L1010" s="1239"/>
      <c r="M1010" s="1237" t="s">
        <v>452</v>
      </c>
      <c r="N1010" s="1240" t="s">
        <v>453</v>
      </c>
      <c r="O1010" s="1241"/>
      <c r="P1010" s="1241"/>
      <c r="Q1010" s="1241"/>
      <c r="R1010" s="1241"/>
      <c r="S1010" s="1241"/>
      <c r="T1010" s="1241"/>
      <c r="U1010" s="1241"/>
      <c r="V1010" s="1242"/>
    </row>
    <row r="1011" spans="1:22" ht="16.5" customHeight="1" thickBot="1">
      <c r="A1011" s="1232"/>
      <c r="B1011" s="1233"/>
      <c r="C1011" s="1233"/>
      <c r="D1011" s="1234"/>
      <c r="E1011" s="1238"/>
      <c r="F1011" s="1238"/>
      <c r="G1011" s="1238"/>
      <c r="H1011" s="1238"/>
      <c r="I1011" s="1238"/>
      <c r="J1011" s="1238"/>
      <c r="K1011" s="58" t="s">
        <v>454</v>
      </c>
      <c r="L1011" s="58" t="s">
        <v>455</v>
      </c>
      <c r="M1011" s="1238"/>
      <c r="N1011" s="87" t="s">
        <v>466</v>
      </c>
      <c r="O1011" s="87" t="s">
        <v>467</v>
      </c>
      <c r="P1011" s="1243" t="s">
        <v>1</v>
      </c>
      <c r="Q1011" s="1244"/>
      <c r="R1011" s="1245"/>
      <c r="S1011" s="1243" t="s">
        <v>2</v>
      </c>
      <c r="T1011" s="1244"/>
      <c r="U1011" s="1244"/>
      <c r="V1011" s="1246"/>
    </row>
    <row r="1012" spans="1:22" ht="19.5">
      <c r="A1012" s="1210">
        <f>P1042-S1042</f>
        <v>0</v>
      </c>
      <c r="B1012" s="1211"/>
      <c r="C1012" s="1211"/>
      <c r="D1012" s="1211"/>
      <c r="E1012" s="1212" t="str">
        <f>Account!$G$1</f>
        <v>FUND 501 CARP</v>
      </c>
      <c r="F1012" s="1213"/>
      <c r="G1012" s="1213"/>
      <c r="H1012" s="1213"/>
      <c r="I1012" s="1213"/>
      <c r="J1012" s="1214"/>
      <c r="K1012" s="59"/>
      <c r="L1012" s="59"/>
      <c r="M1012" s="60"/>
      <c r="N1012" s="60"/>
      <c r="O1012" s="60"/>
      <c r="P1012" s="1215"/>
      <c r="Q1012" s="1215"/>
      <c r="R1012" s="1215"/>
      <c r="S1012" s="1215"/>
      <c r="T1012" s="1215"/>
      <c r="U1012" s="1215"/>
      <c r="V1012" s="1216"/>
    </row>
    <row r="1013" spans="1:22">
      <c r="A1013" s="1195"/>
      <c r="B1013" s="1196"/>
      <c r="C1013" s="1196"/>
      <c r="D1013" s="1196"/>
      <c r="E1013" s="1196"/>
      <c r="F1013" s="1196"/>
      <c r="G1013" s="1196"/>
      <c r="H1013" s="1196"/>
      <c r="I1013" s="1196"/>
      <c r="J1013" s="1196"/>
      <c r="K1013" s="61"/>
      <c r="L1013" s="61"/>
      <c r="M1013" s="14"/>
      <c r="N1013" s="14"/>
      <c r="O1013" s="14"/>
      <c r="P1013" s="1196"/>
      <c r="Q1013" s="1196"/>
      <c r="R1013" s="1196"/>
      <c r="S1013" s="1196"/>
      <c r="T1013" s="1196"/>
      <c r="U1013" s="1196"/>
      <c r="V1013" s="1217"/>
    </row>
    <row r="1014" spans="1:22">
      <c r="A1014" s="1195"/>
      <c r="B1014" s="1196"/>
      <c r="C1014" s="1196"/>
      <c r="D1014" s="1196"/>
      <c r="E1014" s="1197" t="str">
        <f t="shared" ref="E1014:E1036" si="84">IF(K1014=0,"",(VLOOKUP((TRIM(K1014)),Code,2,)))</f>
        <v/>
      </c>
      <c r="F1014" s="1198"/>
      <c r="G1014" s="1198"/>
      <c r="H1014" s="1198"/>
      <c r="I1014" s="1198"/>
      <c r="J1014" s="1199"/>
      <c r="K1014" s="133"/>
      <c r="L1014" s="62" t="str">
        <f t="shared" ref="L1014:L1041" si="85">IF(K1014=0,"",VLOOKUP((TRIM(K1014)),Code,3,))</f>
        <v/>
      </c>
      <c r="M1014" s="14"/>
      <c r="N1014" s="89">
        <f t="array" ref="N1014">SUM(IF((CsDJ[JEV Number]=TRIM($T1003))*(CsDJ[Account Code]=TRIM(K1014)),CsDJ[Debit]))</f>
        <v>0</v>
      </c>
      <c r="O1014" s="89">
        <f t="array" ref="O1014">SUM(IF((CsDJ[JEV Number]=TRIM($T1003))*(CsDJ[Account Code]=TRIM(K1014)),CsDJ[Credit]))</f>
        <v>0</v>
      </c>
      <c r="P1014" s="1200">
        <f>N1014</f>
        <v>0</v>
      </c>
      <c r="Q1014" s="1200"/>
      <c r="R1014" s="1200"/>
      <c r="S1014" s="1200">
        <f>O1014</f>
        <v>0</v>
      </c>
      <c r="T1014" s="1200"/>
      <c r="U1014" s="1200"/>
      <c r="V1014" s="1201"/>
    </row>
    <row r="1015" spans="1:22">
      <c r="A1015" s="1195"/>
      <c r="B1015" s="1196"/>
      <c r="C1015" s="1196"/>
      <c r="D1015" s="1196"/>
      <c r="E1015" s="1197" t="str">
        <f t="shared" si="84"/>
        <v/>
      </c>
      <c r="F1015" s="1198"/>
      <c r="G1015" s="1198"/>
      <c r="H1015" s="1198"/>
      <c r="I1015" s="1198"/>
      <c r="J1015" s="1199"/>
      <c r="K1015" s="133"/>
      <c r="L1015" s="62" t="str">
        <f t="shared" si="85"/>
        <v/>
      </c>
      <c r="M1015" s="14"/>
      <c r="N1015" s="89">
        <f t="array" ref="N1015">SUM(IF((CsDJ[JEV Number]=TRIM($T1003))*(CsDJ[Account Code]=TRIM(K1015)),CsDJ[Debit]))</f>
        <v>0</v>
      </c>
      <c r="O1015" s="89">
        <f t="array" ref="O1015">SUM(IF((CsDJ[JEV Number]=TRIM($T1003))*(CsDJ[Account Code]=TRIM(K1015)),CsDJ[Credit]))</f>
        <v>0</v>
      </c>
      <c r="P1015" s="1200">
        <f>N1015</f>
        <v>0</v>
      </c>
      <c r="Q1015" s="1200"/>
      <c r="R1015" s="1200"/>
      <c r="S1015" s="1200">
        <f>O1015</f>
        <v>0</v>
      </c>
      <c r="T1015" s="1200"/>
      <c r="U1015" s="1200"/>
      <c r="V1015" s="1201"/>
    </row>
    <row r="1016" spans="1:22">
      <c r="A1016" s="1195"/>
      <c r="B1016" s="1196"/>
      <c r="C1016" s="1196"/>
      <c r="D1016" s="1196"/>
      <c r="E1016" s="1197" t="str">
        <f t="shared" si="84"/>
        <v/>
      </c>
      <c r="F1016" s="1198"/>
      <c r="G1016" s="1198"/>
      <c r="H1016" s="1198"/>
      <c r="I1016" s="1198"/>
      <c r="J1016" s="1199"/>
      <c r="K1016" s="133"/>
      <c r="L1016" s="62" t="str">
        <f t="shared" si="85"/>
        <v/>
      </c>
      <c r="M1016" s="14"/>
      <c r="N1016" s="89">
        <f t="array" ref="N1016">SUM(IF((CsDJ[JEV Number]=TRIM($T1003))*(CsDJ[Account Code]=TRIM(K1016)),CsDJ[Debit]))</f>
        <v>0</v>
      </c>
      <c r="O1016" s="89">
        <f t="array" ref="O1016">SUM(IF((CsDJ[JEV Number]=TRIM($T1003))*(CsDJ[Account Code]=TRIM(K1016)),CsDJ[Credit]))</f>
        <v>0</v>
      </c>
      <c r="P1016" s="1200">
        <f t="shared" ref="P1016:P1041" si="86">N1016</f>
        <v>0</v>
      </c>
      <c r="Q1016" s="1200"/>
      <c r="R1016" s="1200"/>
      <c r="S1016" s="1200">
        <f t="shared" ref="S1016:S1041" si="87">O1016</f>
        <v>0</v>
      </c>
      <c r="T1016" s="1200"/>
      <c r="U1016" s="1200"/>
      <c r="V1016" s="1201"/>
    </row>
    <row r="1017" spans="1:22">
      <c r="A1017" s="1195"/>
      <c r="B1017" s="1196"/>
      <c r="C1017" s="1196"/>
      <c r="D1017" s="1196"/>
      <c r="E1017" s="1197" t="str">
        <f t="shared" si="84"/>
        <v/>
      </c>
      <c r="F1017" s="1198"/>
      <c r="G1017" s="1198"/>
      <c r="H1017" s="1198"/>
      <c r="I1017" s="1198"/>
      <c r="J1017" s="1199"/>
      <c r="K1017" s="133"/>
      <c r="L1017" s="62" t="str">
        <f t="shared" si="85"/>
        <v/>
      </c>
      <c r="M1017" s="14"/>
      <c r="N1017" s="89">
        <f t="array" ref="N1017">SUM(IF((CsDJ[JEV Number]=TRIM($T1003))*(CsDJ[Account Code]=TRIM(K1017)),CsDJ[Debit]))</f>
        <v>0</v>
      </c>
      <c r="O1017" s="89">
        <f t="array" ref="O1017">SUM(IF((CsDJ[JEV Number]=TRIM($T1003))*(CsDJ[Account Code]=TRIM(K1017)),CsDJ[Credit]))</f>
        <v>0</v>
      </c>
      <c r="P1017" s="1200">
        <f t="shared" si="86"/>
        <v>0</v>
      </c>
      <c r="Q1017" s="1200"/>
      <c r="R1017" s="1200"/>
      <c r="S1017" s="1200">
        <f t="shared" si="87"/>
        <v>0</v>
      </c>
      <c r="T1017" s="1200"/>
      <c r="U1017" s="1200"/>
      <c r="V1017" s="1201"/>
    </row>
    <row r="1018" spans="1:22">
      <c r="A1018" s="1195"/>
      <c r="B1018" s="1196"/>
      <c r="C1018" s="1196"/>
      <c r="D1018" s="1196"/>
      <c r="E1018" s="1197" t="str">
        <f t="shared" si="84"/>
        <v/>
      </c>
      <c r="F1018" s="1198"/>
      <c r="G1018" s="1198"/>
      <c r="H1018" s="1198"/>
      <c r="I1018" s="1198"/>
      <c r="J1018" s="1199"/>
      <c r="K1018" s="133"/>
      <c r="L1018" s="62" t="str">
        <f t="shared" si="85"/>
        <v/>
      </c>
      <c r="M1018" s="14"/>
      <c r="N1018" s="89">
        <f t="array" ref="N1018">SUM(IF((CsDJ[JEV Number]=TRIM($T1003))*(CsDJ[Account Code]=TRIM(K1018)),CsDJ[Debit]))</f>
        <v>0</v>
      </c>
      <c r="O1018" s="89">
        <f t="array" ref="O1018">SUM(IF((CsDJ[JEV Number]=TRIM($T1003))*(CsDJ[Account Code]=TRIM(K1018)),CsDJ[Credit]))</f>
        <v>0</v>
      </c>
      <c r="P1018" s="1200">
        <f t="shared" si="86"/>
        <v>0</v>
      </c>
      <c r="Q1018" s="1200"/>
      <c r="R1018" s="1200"/>
      <c r="S1018" s="1200">
        <f t="shared" si="87"/>
        <v>0</v>
      </c>
      <c r="T1018" s="1200"/>
      <c r="U1018" s="1200"/>
      <c r="V1018" s="1201"/>
    </row>
    <row r="1019" spans="1:22">
      <c r="A1019" s="1195"/>
      <c r="B1019" s="1196"/>
      <c r="C1019" s="1196"/>
      <c r="D1019" s="1196"/>
      <c r="E1019" s="1197" t="str">
        <f t="shared" si="84"/>
        <v/>
      </c>
      <c r="F1019" s="1198"/>
      <c r="G1019" s="1198"/>
      <c r="H1019" s="1198"/>
      <c r="I1019" s="1198"/>
      <c r="J1019" s="1199"/>
      <c r="K1019" s="133"/>
      <c r="L1019" s="62" t="str">
        <f t="shared" si="85"/>
        <v/>
      </c>
      <c r="M1019" s="14"/>
      <c r="N1019" s="89">
        <f t="array" ref="N1019">SUM(IF((CsDJ[JEV Number]=TRIM($T1003))*(CsDJ[Account Code]=TRIM(K1019)),CsDJ[Debit]))</f>
        <v>0</v>
      </c>
      <c r="O1019" s="89">
        <f t="array" ref="O1019">SUM(IF((CsDJ[JEV Number]=TRIM($T1003))*(CsDJ[Account Code]=TRIM(K1019)),CsDJ[Credit]))</f>
        <v>0</v>
      </c>
      <c r="P1019" s="1200">
        <f t="shared" si="86"/>
        <v>0</v>
      </c>
      <c r="Q1019" s="1200"/>
      <c r="R1019" s="1200"/>
      <c r="S1019" s="1200">
        <f t="shared" si="87"/>
        <v>0</v>
      </c>
      <c r="T1019" s="1200"/>
      <c r="U1019" s="1200"/>
      <c r="V1019" s="1201"/>
    </row>
    <row r="1020" spans="1:22">
      <c r="A1020" s="1195"/>
      <c r="B1020" s="1196"/>
      <c r="C1020" s="1196"/>
      <c r="D1020" s="1196"/>
      <c r="E1020" s="1197" t="str">
        <f t="shared" si="84"/>
        <v/>
      </c>
      <c r="F1020" s="1198"/>
      <c r="G1020" s="1198"/>
      <c r="H1020" s="1198"/>
      <c r="I1020" s="1198"/>
      <c r="J1020" s="1199"/>
      <c r="K1020" s="133"/>
      <c r="L1020" s="62" t="str">
        <f t="shared" si="85"/>
        <v/>
      </c>
      <c r="M1020" s="14"/>
      <c r="N1020" s="89">
        <f t="array" ref="N1020">SUM(IF((CsDJ[JEV Number]=TRIM($T1003))*(CsDJ[Account Code]=TRIM(K1020)),CsDJ[Debit]))</f>
        <v>0</v>
      </c>
      <c r="O1020" s="89">
        <f t="array" ref="O1020">SUM(IF((CsDJ[JEV Number]=TRIM($T1003))*(CsDJ[Account Code]=TRIM(K1020)),CsDJ[Credit]))</f>
        <v>0</v>
      </c>
      <c r="P1020" s="1200">
        <f t="shared" si="86"/>
        <v>0</v>
      </c>
      <c r="Q1020" s="1200"/>
      <c r="R1020" s="1200"/>
      <c r="S1020" s="1200">
        <f t="shared" si="87"/>
        <v>0</v>
      </c>
      <c r="T1020" s="1200"/>
      <c r="U1020" s="1200"/>
      <c r="V1020" s="1201"/>
    </row>
    <row r="1021" spans="1:22">
      <c r="A1021" s="1195"/>
      <c r="B1021" s="1196"/>
      <c r="C1021" s="1196"/>
      <c r="D1021" s="1196"/>
      <c r="E1021" s="1197" t="str">
        <f t="shared" si="84"/>
        <v/>
      </c>
      <c r="F1021" s="1198"/>
      <c r="G1021" s="1198"/>
      <c r="H1021" s="1198"/>
      <c r="I1021" s="1198"/>
      <c r="J1021" s="1199"/>
      <c r="K1021" s="133"/>
      <c r="L1021" s="62" t="str">
        <f t="shared" si="85"/>
        <v/>
      </c>
      <c r="M1021" s="14"/>
      <c r="N1021" s="89">
        <f t="array" ref="N1021">SUM(IF((CsDJ[JEV Number]=TRIM($T1003))*(CsDJ[Account Code]=TRIM(K1021)),CsDJ[Debit]))</f>
        <v>0</v>
      </c>
      <c r="O1021" s="89">
        <f t="array" ref="O1021">SUM(IF((CsDJ[JEV Number]=TRIM($T1003))*(CsDJ[Account Code]=TRIM(K1021)),CsDJ[Credit]))</f>
        <v>0</v>
      </c>
      <c r="P1021" s="1200">
        <f t="shared" si="86"/>
        <v>0</v>
      </c>
      <c r="Q1021" s="1200"/>
      <c r="R1021" s="1200"/>
      <c r="S1021" s="1200">
        <f t="shared" si="87"/>
        <v>0</v>
      </c>
      <c r="T1021" s="1200"/>
      <c r="U1021" s="1200"/>
      <c r="V1021" s="1201"/>
    </row>
    <row r="1022" spans="1:22">
      <c r="A1022" s="1195"/>
      <c r="B1022" s="1196"/>
      <c r="C1022" s="1196"/>
      <c r="D1022" s="1196"/>
      <c r="E1022" s="1197" t="str">
        <f t="shared" si="84"/>
        <v/>
      </c>
      <c r="F1022" s="1198"/>
      <c r="G1022" s="1198"/>
      <c r="H1022" s="1198"/>
      <c r="I1022" s="1198"/>
      <c r="J1022" s="1199"/>
      <c r="K1022" s="134"/>
      <c r="L1022" s="62" t="str">
        <f t="shared" si="85"/>
        <v/>
      </c>
      <c r="M1022" s="14"/>
      <c r="N1022" s="89">
        <f t="array" ref="N1022">SUM(IF((CsDJ[JEV Number]=TRIM($T1003))*(CsDJ[Account Code]=TRIM(K1022)),CsDJ[Debit]))</f>
        <v>0</v>
      </c>
      <c r="O1022" s="89">
        <f t="array" ref="O1022">SUM(IF((CsDJ[JEV Number]=TRIM($T1003))*(CsDJ[Account Code]=TRIM(K1022)),CsDJ[Credit]))</f>
        <v>0</v>
      </c>
      <c r="P1022" s="1200">
        <f t="shared" si="86"/>
        <v>0</v>
      </c>
      <c r="Q1022" s="1200"/>
      <c r="R1022" s="1200"/>
      <c r="S1022" s="1200">
        <f t="shared" si="87"/>
        <v>0</v>
      </c>
      <c r="T1022" s="1200"/>
      <c r="U1022" s="1200"/>
      <c r="V1022" s="1201"/>
    </row>
    <row r="1023" spans="1:22">
      <c r="A1023" s="1195"/>
      <c r="B1023" s="1196"/>
      <c r="C1023" s="1196"/>
      <c r="D1023" s="1196"/>
      <c r="E1023" s="1197" t="str">
        <f t="shared" si="84"/>
        <v/>
      </c>
      <c r="F1023" s="1198"/>
      <c r="G1023" s="1198"/>
      <c r="H1023" s="1198"/>
      <c r="I1023" s="1198"/>
      <c r="J1023" s="1199"/>
      <c r="K1023" s="134"/>
      <c r="L1023" s="62" t="str">
        <f t="shared" si="85"/>
        <v/>
      </c>
      <c r="M1023" s="14"/>
      <c r="N1023" s="89">
        <f t="array" ref="N1023">SUM(IF((CsDJ[JEV Number]=TRIM($T1003))*(CsDJ[Account Code]=TRIM(K1023)),CsDJ[Debit]))</f>
        <v>0</v>
      </c>
      <c r="O1023" s="89">
        <f t="array" ref="O1023">SUM(IF((CsDJ[JEV Number]=TRIM($T1003))*(CsDJ[Account Code]=TRIM(K1023)),CsDJ[Credit]))</f>
        <v>0</v>
      </c>
      <c r="P1023" s="1200">
        <f t="shared" si="86"/>
        <v>0</v>
      </c>
      <c r="Q1023" s="1200"/>
      <c r="R1023" s="1200"/>
      <c r="S1023" s="1200">
        <f t="shared" si="87"/>
        <v>0</v>
      </c>
      <c r="T1023" s="1200"/>
      <c r="U1023" s="1200"/>
      <c r="V1023" s="1201"/>
    </row>
    <row r="1024" spans="1:22">
      <c r="A1024" s="1195"/>
      <c r="B1024" s="1196"/>
      <c r="C1024" s="1196"/>
      <c r="D1024" s="1196"/>
      <c r="E1024" s="1197" t="str">
        <f t="shared" si="84"/>
        <v/>
      </c>
      <c r="F1024" s="1198"/>
      <c r="G1024" s="1198"/>
      <c r="H1024" s="1198"/>
      <c r="I1024" s="1198"/>
      <c r="J1024" s="1199"/>
      <c r="K1024" s="134"/>
      <c r="L1024" s="62" t="str">
        <f t="shared" si="85"/>
        <v/>
      </c>
      <c r="M1024" s="14"/>
      <c r="N1024" s="89">
        <f t="array" ref="N1024">SUM(IF((CsDJ[JEV Number]=TRIM($T1003))*(CsDJ[Account Code]=TRIM(K1024)),CsDJ[Debit]))</f>
        <v>0</v>
      </c>
      <c r="O1024" s="89">
        <f t="array" ref="O1024">SUM(IF((CsDJ[JEV Number]=TRIM($T1003))*(CsDJ[Account Code]=TRIM(K1024)),CsDJ[Credit]))</f>
        <v>0</v>
      </c>
      <c r="P1024" s="1200">
        <f t="shared" si="86"/>
        <v>0</v>
      </c>
      <c r="Q1024" s="1200"/>
      <c r="R1024" s="1200"/>
      <c r="S1024" s="1200">
        <f t="shared" si="87"/>
        <v>0</v>
      </c>
      <c r="T1024" s="1200"/>
      <c r="U1024" s="1200"/>
      <c r="V1024" s="1201"/>
    </row>
    <row r="1025" spans="1:22">
      <c r="A1025" s="1195"/>
      <c r="B1025" s="1196"/>
      <c r="C1025" s="1196"/>
      <c r="D1025" s="1196"/>
      <c r="E1025" s="1197" t="str">
        <f t="shared" si="84"/>
        <v/>
      </c>
      <c r="F1025" s="1198"/>
      <c r="G1025" s="1198"/>
      <c r="H1025" s="1198"/>
      <c r="I1025" s="1198"/>
      <c r="J1025" s="1199"/>
      <c r="K1025" s="134"/>
      <c r="L1025" s="62" t="str">
        <f t="shared" si="85"/>
        <v/>
      </c>
      <c r="M1025" s="14"/>
      <c r="N1025" s="89">
        <f t="array" ref="N1025">SUM(IF((CsDJ[JEV Number]=TRIM($T1003))*(CsDJ[Account Code]=TRIM(K1025)),CsDJ[Debit]))</f>
        <v>0</v>
      </c>
      <c r="O1025" s="89">
        <f t="array" ref="O1025">SUM(IF((CsDJ[JEV Number]=TRIM($T1003))*(CsDJ[Account Code]=TRIM(K1025)),CsDJ[Credit]))</f>
        <v>0</v>
      </c>
      <c r="P1025" s="1200">
        <f t="shared" si="86"/>
        <v>0</v>
      </c>
      <c r="Q1025" s="1200"/>
      <c r="R1025" s="1200"/>
      <c r="S1025" s="1200">
        <f t="shared" si="87"/>
        <v>0</v>
      </c>
      <c r="T1025" s="1200"/>
      <c r="U1025" s="1200"/>
      <c r="V1025" s="1201"/>
    </row>
    <row r="1026" spans="1:22">
      <c r="A1026" s="1195"/>
      <c r="B1026" s="1196"/>
      <c r="C1026" s="1196"/>
      <c r="D1026" s="1196"/>
      <c r="E1026" s="1197" t="str">
        <f t="shared" si="84"/>
        <v/>
      </c>
      <c r="F1026" s="1198"/>
      <c r="G1026" s="1198"/>
      <c r="H1026" s="1198"/>
      <c r="I1026" s="1198"/>
      <c r="J1026" s="1199"/>
      <c r="K1026" s="134"/>
      <c r="L1026" s="62" t="str">
        <f t="shared" si="85"/>
        <v/>
      </c>
      <c r="M1026" s="14"/>
      <c r="N1026" s="89">
        <f t="array" ref="N1026">SUM(IF((CsDJ[JEV Number]=TRIM($T1003))*(CsDJ[Account Code]=TRIM(K1026)),CsDJ[Debit]))</f>
        <v>0</v>
      </c>
      <c r="O1026" s="89">
        <f t="array" ref="O1026">SUM(IF((CsDJ[JEV Number]=TRIM($T1003))*(CsDJ[Account Code]=TRIM(K1026)),CsDJ[Credit]))</f>
        <v>0</v>
      </c>
      <c r="P1026" s="1200">
        <f t="shared" si="86"/>
        <v>0</v>
      </c>
      <c r="Q1026" s="1200"/>
      <c r="R1026" s="1200"/>
      <c r="S1026" s="1200">
        <f t="shared" si="87"/>
        <v>0</v>
      </c>
      <c r="T1026" s="1200"/>
      <c r="U1026" s="1200"/>
      <c r="V1026" s="1201"/>
    </row>
    <row r="1027" spans="1:22">
      <c r="A1027" s="1195"/>
      <c r="B1027" s="1196"/>
      <c r="C1027" s="1196"/>
      <c r="D1027" s="1196"/>
      <c r="E1027" s="1197" t="str">
        <f t="shared" si="84"/>
        <v/>
      </c>
      <c r="F1027" s="1198"/>
      <c r="G1027" s="1198"/>
      <c r="H1027" s="1198"/>
      <c r="I1027" s="1198"/>
      <c r="J1027" s="1199"/>
      <c r="K1027" s="134"/>
      <c r="L1027" s="62" t="str">
        <f t="shared" si="85"/>
        <v/>
      </c>
      <c r="M1027" s="14"/>
      <c r="N1027" s="89">
        <f t="array" ref="N1027">SUM(IF((CsDJ[JEV Number]=TRIM($T1003))*(CsDJ[Account Code]=TRIM(K1027)),CsDJ[Debit]))</f>
        <v>0</v>
      </c>
      <c r="O1027" s="89">
        <f t="array" ref="O1027">SUM(IF((CsDJ[JEV Number]=TRIM($T1003))*(CsDJ[Account Code]=TRIM(K1027)),CsDJ[Credit]))</f>
        <v>0</v>
      </c>
      <c r="P1027" s="1200">
        <f t="shared" si="86"/>
        <v>0</v>
      </c>
      <c r="Q1027" s="1200"/>
      <c r="R1027" s="1200"/>
      <c r="S1027" s="1200">
        <f t="shared" si="87"/>
        <v>0</v>
      </c>
      <c r="T1027" s="1200"/>
      <c r="U1027" s="1200"/>
      <c r="V1027" s="1201"/>
    </row>
    <row r="1028" spans="1:22">
      <c r="A1028" s="1195"/>
      <c r="B1028" s="1196"/>
      <c r="C1028" s="1196"/>
      <c r="D1028" s="1196"/>
      <c r="E1028" s="1197" t="str">
        <f t="shared" si="84"/>
        <v/>
      </c>
      <c r="F1028" s="1198"/>
      <c r="G1028" s="1198"/>
      <c r="H1028" s="1198"/>
      <c r="I1028" s="1198"/>
      <c r="J1028" s="1199"/>
      <c r="K1028" s="134"/>
      <c r="L1028" s="62" t="str">
        <f t="shared" si="85"/>
        <v/>
      </c>
      <c r="M1028" s="14"/>
      <c r="N1028" s="89">
        <f t="array" ref="N1028">SUM(IF((CsDJ[JEV Number]=TRIM($T1003))*(CsDJ[Account Code]=TRIM(K1028)),CsDJ[Debit]))</f>
        <v>0</v>
      </c>
      <c r="O1028" s="89">
        <f t="array" ref="O1028">SUM(IF((CsDJ[JEV Number]=TRIM($T1003))*(CsDJ[Account Code]=TRIM(K1028)),CsDJ[Credit]))</f>
        <v>0</v>
      </c>
      <c r="P1028" s="1200">
        <f t="shared" si="86"/>
        <v>0</v>
      </c>
      <c r="Q1028" s="1200"/>
      <c r="R1028" s="1200"/>
      <c r="S1028" s="1200">
        <f t="shared" si="87"/>
        <v>0</v>
      </c>
      <c r="T1028" s="1200"/>
      <c r="U1028" s="1200"/>
      <c r="V1028" s="1201"/>
    </row>
    <row r="1029" spans="1:22">
      <c r="A1029" s="1195"/>
      <c r="B1029" s="1196"/>
      <c r="C1029" s="1196"/>
      <c r="D1029" s="1196"/>
      <c r="E1029" s="1197" t="str">
        <f t="shared" si="84"/>
        <v/>
      </c>
      <c r="F1029" s="1198"/>
      <c r="G1029" s="1198"/>
      <c r="H1029" s="1198"/>
      <c r="I1029" s="1198"/>
      <c r="J1029" s="1199"/>
      <c r="K1029" s="134"/>
      <c r="L1029" s="62" t="str">
        <f t="shared" si="85"/>
        <v/>
      </c>
      <c r="M1029" s="14"/>
      <c r="N1029" s="89">
        <f t="array" ref="N1029">SUM(IF((CsDJ[JEV Number]=TRIM($T1003))*(CsDJ[Account Code]=TRIM(K1029)),CsDJ[Debit]))</f>
        <v>0</v>
      </c>
      <c r="O1029" s="89">
        <f t="array" ref="O1029">SUM(IF((CsDJ[JEV Number]=TRIM($T1003))*(CsDJ[Account Code]=TRIM(K1029)),CsDJ[Credit]))</f>
        <v>0</v>
      </c>
      <c r="P1029" s="1200">
        <f t="shared" si="86"/>
        <v>0</v>
      </c>
      <c r="Q1029" s="1200"/>
      <c r="R1029" s="1200"/>
      <c r="S1029" s="1200">
        <f t="shared" si="87"/>
        <v>0</v>
      </c>
      <c r="T1029" s="1200"/>
      <c r="U1029" s="1200"/>
      <c r="V1029" s="1201"/>
    </row>
    <row r="1030" spans="1:22">
      <c r="A1030" s="1195"/>
      <c r="B1030" s="1196"/>
      <c r="C1030" s="1196"/>
      <c r="D1030" s="1196"/>
      <c r="E1030" s="1197" t="str">
        <f t="shared" si="84"/>
        <v/>
      </c>
      <c r="F1030" s="1198"/>
      <c r="G1030" s="1198"/>
      <c r="H1030" s="1198"/>
      <c r="I1030" s="1198"/>
      <c r="J1030" s="1199"/>
      <c r="K1030" s="134"/>
      <c r="L1030" s="62" t="str">
        <f t="shared" si="85"/>
        <v/>
      </c>
      <c r="M1030" s="14"/>
      <c r="N1030" s="89">
        <f t="array" ref="N1030">SUM(IF((CsDJ[JEV Number]=TRIM($T1003))*(CsDJ[Account Code]=TRIM(K1030)),CsDJ[Debit]))</f>
        <v>0</v>
      </c>
      <c r="O1030" s="89">
        <f t="array" ref="O1030">SUM(IF((CsDJ[JEV Number]=TRIM($T1003))*(CsDJ[Account Code]=TRIM(K1030)),CsDJ[Credit]))</f>
        <v>0</v>
      </c>
      <c r="P1030" s="1200">
        <f t="shared" si="86"/>
        <v>0</v>
      </c>
      <c r="Q1030" s="1200"/>
      <c r="R1030" s="1200"/>
      <c r="S1030" s="1200">
        <f t="shared" si="87"/>
        <v>0</v>
      </c>
      <c r="T1030" s="1200"/>
      <c r="U1030" s="1200"/>
      <c r="V1030" s="1201"/>
    </row>
    <row r="1031" spans="1:22">
      <c r="A1031" s="1195"/>
      <c r="B1031" s="1196"/>
      <c r="C1031" s="1196"/>
      <c r="D1031" s="1196"/>
      <c r="E1031" s="1197" t="str">
        <f t="shared" si="84"/>
        <v/>
      </c>
      <c r="F1031" s="1198"/>
      <c r="G1031" s="1198"/>
      <c r="H1031" s="1198"/>
      <c r="I1031" s="1198"/>
      <c r="J1031" s="1199"/>
      <c r="K1031" s="134"/>
      <c r="L1031" s="62" t="str">
        <f t="shared" si="85"/>
        <v/>
      </c>
      <c r="M1031" s="14"/>
      <c r="N1031" s="89">
        <f t="array" ref="N1031">SUM(IF((CsDJ[JEV Number]=TRIM($T1003))*(CsDJ[Account Code]=TRIM(K1031)),CsDJ[Debit]))</f>
        <v>0</v>
      </c>
      <c r="O1031" s="89">
        <f t="array" ref="O1031">SUM(IF((CsDJ[JEV Number]=TRIM($T1003))*(CsDJ[Account Code]=TRIM(K1031)),CsDJ[Credit]))</f>
        <v>0</v>
      </c>
      <c r="P1031" s="1200">
        <f t="shared" si="86"/>
        <v>0</v>
      </c>
      <c r="Q1031" s="1200"/>
      <c r="R1031" s="1200"/>
      <c r="S1031" s="1200">
        <f t="shared" si="87"/>
        <v>0</v>
      </c>
      <c r="T1031" s="1200"/>
      <c r="U1031" s="1200"/>
      <c r="V1031" s="1201"/>
    </row>
    <row r="1032" spans="1:22">
      <c r="A1032" s="1195"/>
      <c r="B1032" s="1196"/>
      <c r="C1032" s="1196"/>
      <c r="D1032" s="1196"/>
      <c r="E1032" s="1197" t="str">
        <f t="shared" si="84"/>
        <v/>
      </c>
      <c r="F1032" s="1198"/>
      <c r="G1032" s="1198"/>
      <c r="H1032" s="1198"/>
      <c r="I1032" s="1198"/>
      <c r="J1032" s="1199"/>
      <c r="K1032" s="134"/>
      <c r="L1032" s="62" t="str">
        <f t="shared" si="85"/>
        <v/>
      </c>
      <c r="M1032" s="14"/>
      <c r="N1032" s="89">
        <f t="array" ref="N1032">SUM(IF((CsDJ[JEV Number]=TRIM($T1003))*(CsDJ[Account Code]=TRIM(K1032)),CsDJ[Debit]))</f>
        <v>0</v>
      </c>
      <c r="O1032" s="89">
        <f t="array" ref="O1032">SUM(IF((CsDJ[JEV Number]=TRIM($T1003))*(CsDJ[Account Code]=TRIM(K1032)),CsDJ[Credit]))</f>
        <v>0</v>
      </c>
      <c r="P1032" s="1200">
        <f t="shared" si="86"/>
        <v>0</v>
      </c>
      <c r="Q1032" s="1200"/>
      <c r="R1032" s="1200"/>
      <c r="S1032" s="1200">
        <f t="shared" si="87"/>
        <v>0</v>
      </c>
      <c r="T1032" s="1200"/>
      <c r="U1032" s="1200"/>
      <c r="V1032" s="1201"/>
    </row>
    <row r="1033" spans="1:22">
      <c r="A1033" s="1195"/>
      <c r="B1033" s="1196"/>
      <c r="C1033" s="1196"/>
      <c r="D1033" s="1196"/>
      <c r="E1033" s="1197" t="str">
        <f t="shared" si="84"/>
        <v/>
      </c>
      <c r="F1033" s="1198"/>
      <c r="G1033" s="1198"/>
      <c r="H1033" s="1198"/>
      <c r="I1033" s="1198"/>
      <c r="J1033" s="1199"/>
      <c r="K1033" s="134"/>
      <c r="L1033" s="62" t="str">
        <f t="shared" si="85"/>
        <v/>
      </c>
      <c r="M1033" s="14"/>
      <c r="N1033" s="89">
        <f t="array" ref="N1033">SUM(IF((CsDJ[JEV Number]=TRIM($T1003))*(CsDJ[Account Code]=TRIM(K1033)),CsDJ[Debit]))</f>
        <v>0</v>
      </c>
      <c r="O1033" s="89">
        <f t="array" ref="O1033">SUM(IF((CsDJ[JEV Number]=TRIM($T1003))*(CsDJ[Account Code]=TRIM(K1033)),CsDJ[Credit]))</f>
        <v>0</v>
      </c>
      <c r="P1033" s="1200">
        <f t="shared" si="86"/>
        <v>0</v>
      </c>
      <c r="Q1033" s="1200"/>
      <c r="R1033" s="1200"/>
      <c r="S1033" s="1200">
        <f t="shared" si="87"/>
        <v>0</v>
      </c>
      <c r="T1033" s="1200"/>
      <c r="U1033" s="1200"/>
      <c r="V1033" s="1201"/>
    </row>
    <row r="1034" spans="1:22">
      <c r="A1034" s="1195"/>
      <c r="B1034" s="1196"/>
      <c r="C1034" s="1196"/>
      <c r="D1034" s="1196"/>
      <c r="E1034" s="1197" t="str">
        <f t="shared" si="84"/>
        <v/>
      </c>
      <c r="F1034" s="1198"/>
      <c r="G1034" s="1198"/>
      <c r="H1034" s="1198"/>
      <c r="I1034" s="1198"/>
      <c r="J1034" s="1199"/>
      <c r="K1034" s="134"/>
      <c r="L1034" s="62" t="str">
        <f t="shared" si="85"/>
        <v/>
      </c>
      <c r="M1034" s="14"/>
      <c r="N1034" s="89">
        <f t="array" ref="N1034">SUM(IF((CsDJ[JEV Number]=TRIM($T1003))*(CsDJ[Account Code]=TRIM(K1034)),CsDJ[Debit]))</f>
        <v>0</v>
      </c>
      <c r="O1034" s="89">
        <f t="array" ref="O1034">SUM(IF((CsDJ[JEV Number]=TRIM($T1003))*(CsDJ[Account Code]=TRIM(K1034)),CsDJ[Credit]))</f>
        <v>0</v>
      </c>
      <c r="P1034" s="1200">
        <f t="shared" si="86"/>
        <v>0</v>
      </c>
      <c r="Q1034" s="1200"/>
      <c r="R1034" s="1200"/>
      <c r="S1034" s="1200">
        <f t="shared" si="87"/>
        <v>0</v>
      </c>
      <c r="T1034" s="1200"/>
      <c r="U1034" s="1200"/>
      <c r="V1034" s="1201"/>
    </row>
    <row r="1035" spans="1:22">
      <c r="A1035" s="1195"/>
      <c r="B1035" s="1196"/>
      <c r="C1035" s="1196"/>
      <c r="D1035" s="1196"/>
      <c r="E1035" s="1197" t="str">
        <f t="shared" si="84"/>
        <v/>
      </c>
      <c r="F1035" s="1198"/>
      <c r="G1035" s="1198"/>
      <c r="H1035" s="1198"/>
      <c r="I1035" s="1198"/>
      <c r="J1035" s="1199"/>
      <c r="K1035" s="134"/>
      <c r="L1035" s="62" t="str">
        <f t="shared" si="85"/>
        <v/>
      </c>
      <c r="M1035" s="14"/>
      <c r="N1035" s="89">
        <f t="array" ref="N1035">SUM(IF((CsDJ[JEV Number]=TRIM($T1003))*(CsDJ[Account Code]=TRIM(K1035)),CsDJ[Debit]))</f>
        <v>0</v>
      </c>
      <c r="O1035" s="89">
        <f t="array" ref="O1035">SUM(IF((CsDJ[JEV Number]=TRIM($T1003))*(CsDJ[Account Code]=TRIM(K1035)),CsDJ[Credit]))</f>
        <v>0</v>
      </c>
      <c r="P1035" s="1200">
        <f t="shared" si="86"/>
        <v>0</v>
      </c>
      <c r="Q1035" s="1200"/>
      <c r="R1035" s="1200"/>
      <c r="S1035" s="1200">
        <f t="shared" si="87"/>
        <v>0</v>
      </c>
      <c r="T1035" s="1200"/>
      <c r="U1035" s="1200"/>
      <c r="V1035" s="1201"/>
    </row>
    <row r="1036" spans="1:22">
      <c r="A1036" s="1195"/>
      <c r="B1036" s="1196"/>
      <c r="C1036" s="1196"/>
      <c r="D1036" s="1196"/>
      <c r="E1036" s="1197" t="str">
        <f t="shared" si="84"/>
        <v/>
      </c>
      <c r="F1036" s="1198"/>
      <c r="G1036" s="1198"/>
      <c r="H1036" s="1198"/>
      <c r="I1036" s="1198"/>
      <c r="J1036" s="1199"/>
      <c r="K1036" s="134"/>
      <c r="L1036" s="62" t="str">
        <f t="shared" si="85"/>
        <v/>
      </c>
      <c r="M1036" s="14"/>
      <c r="N1036" s="89">
        <f t="array" ref="N1036">SUM(IF((CsDJ[JEV Number]=TRIM($T1003))*(CsDJ[Account Code]=TRIM(K1036)),CsDJ[Debit]))</f>
        <v>0</v>
      </c>
      <c r="O1036" s="89">
        <f t="array" ref="O1036">SUM(IF((CsDJ[JEV Number]=TRIM($T1003))*(CsDJ[Account Code]=TRIM(K1036)),CsDJ[Credit]))</f>
        <v>0</v>
      </c>
      <c r="P1036" s="1200">
        <f t="shared" si="86"/>
        <v>0</v>
      </c>
      <c r="Q1036" s="1200"/>
      <c r="R1036" s="1200"/>
      <c r="S1036" s="1200">
        <f t="shared" si="87"/>
        <v>0</v>
      </c>
      <c r="T1036" s="1200"/>
      <c r="U1036" s="1200"/>
      <c r="V1036" s="1201"/>
    </row>
    <row r="1037" spans="1:22">
      <c r="A1037" s="1195"/>
      <c r="B1037" s="1196"/>
      <c r="C1037" s="1196"/>
      <c r="D1037" s="1196"/>
      <c r="E1037" s="1257" t="s">
        <v>468</v>
      </c>
      <c r="F1037" s="1258"/>
      <c r="G1037" s="1258"/>
      <c r="H1037" s="1258"/>
      <c r="I1037" s="1258"/>
      <c r="J1037" s="1259"/>
      <c r="K1037" s="133"/>
      <c r="L1037" s="62" t="str">
        <f t="shared" si="85"/>
        <v/>
      </c>
      <c r="M1037" s="14"/>
      <c r="N1037" s="89">
        <f t="array" ref="N1037">SUM(IF((CsDJ[JEV Number]=TRIM($T1003))*(CsDJ[Account Code]=TRIM(K1037)),CsDJ[Debit]))</f>
        <v>0</v>
      </c>
      <c r="O1037" s="89">
        <f t="array" ref="O1037">SUM(IF((CsDJ[JEV Number]=TRIM($T1003))*(CsDJ[Account Code]=TRIM(K1037)),CsDJ[Credit]))</f>
        <v>0</v>
      </c>
      <c r="P1037" s="1200">
        <f t="shared" si="86"/>
        <v>0</v>
      </c>
      <c r="Q1037" s="1200"/>
      <c r="R1037" s="1200"/>
      <c r="S1037" s="1200">
        <f t="shared" si="87"/>
        <v>0</v>
      </c>
      <c r="T1037" s="1200"/>
      <c r="U1037" s="1200"/>
      <c r="V1037" s="1201"/>
    </row>
    <row r="1038" spans="1:22">
      <c r="A1038" s="1195"/>
      <c r="B1038" s="1196"/>
      <c r="C1038" s="1196"/>
      <c r="D1038" s="1196"/>
      <c r="E1038" s="1202" t="s">
        <v>457</v>
      </c>
      <c r="F1038" s="1203"/>
      <c r="G1038" s="1203"/>
      <c r="H1038" s="1203"/>
      <c r="I1038" s="1207">
        <f>T1004</f>
        <v>0</v>
      </c>
      <c r="J1038" s="1208"/>
      <c r="K1038" s="133"/>
      <c r="L1038" s="62" t="str">
        <f t="shared" si="85"/>
        <v/>
      </c>
      <c r="M1038" s="14"/>
      <c r="N1038" s="89">
        <f t="array" ref="N1038">SUM(IF((CsDJ[JEV Number]=TRIM($T1003))*(CsDJ[Account Code]=TRIM(K1038)),CsDJ[Debit]))</f>
        <v>0</v>
      </c>
      <c r="O1038" s="89">
        <f t="array" ref="O1038">SUM(IF((CsDJ[JEV Number]=TRIM($T1003))*(CsDJ[Account Code]=TRIM(K1038)),CsDJ[Credit]))</f>
        <v>0</v>
      </c>
      <c r="P1038" s="1200">
        <f t="shared" si="86"/>
        <v>0</v>
      </c>
      <c r="Q1038" s="1200"/>
      <c r="R1038" s="1200"/>
      <c r="S1038" s="1200">
        <f t="shared" si="87"/>
        <v>0</v>
      </c>
      <c r="T1038" s="1200"/>
      <c r="U1038" s="1200"/>
      <c r="V1038" s="1201"/>
    </row>
    <row r="1039" spans="1:22">
      <c r="A1039" s="1195"/>
      <c r="B1039" s="1196"/>
      <c r="C1039" s="1196"/>
      <c r="D1039" s="1196"/>
      <c r="E1039" s="1202" t="s">
        <v>458</v>
      </c>
      <c r="F1039" s="1203"/>
      <c r="G1039" s="1203"/>
      <c r="H1039" s="1203"/>
      <c r="I1039" s="1263">
        <f>IF(T1003=0,0,(IF(LOOKUP(T1003,CsDJ[JEV Number],CsDJ[Sort Code])="1","MA. VIVIAN C. SALAS",IF(LOOKUP(T1003,CsDJ[JEV Number],CsDJ[Sort Code])="2","LUZ R. DE COZAR",IF(LOOKUP(T1003,CsDJ[JEV Number],CsDJ[Sort Code])="3","MINEONETTE A. DELA CRUZ",IF(LOOKUP(T1003,CsDJ[JEV Number],CsDJ[Sort Code])="4","RESELLA B. LOPEZ"))))))</f>
        <v>0</v>
      </c>
      <c r="J1039" s="1264"/>
      <c r="K1039" s="133"/>
      <c r="L1039" s="62" t="str">
        <f t="shared" si="85"/>
        <v/>
      </c>
      <c r="M1039" s="14"/>
      <c r="N1039" s="89">
        <f t="array" ref="N1039">SUM(IF((CsDJ[JEV Number]=TRIM($T1003))*(CsDJ[Account Code]=TRIM(K1039)),CsDJ[Debit]))</f>
        <v>0</v>
      </c>
      <c r="O1039" s="89">
        <f t="array" ref="O1039">SUM(IF((CsDJ[JEV Number]=TRIM($T1003))*(CsDJ[Account Code]=TRIM(K1039)),CsDJ[Credit]))</f>
        <v>0</v>
      </c>
      <c r="P1039" s="1200">
        <f t="shared" si="86"/>
        <v>0</v>
      </c>
      <c r="Q1039" s="1200"/>
      <c r="R1039" s="1200"/>
      <c r="S1039" s="1200">
        <f t="shared" si="87"/>
        <v>0</v>
      </c>
      <c r="T1039" s="1200"/>
      <c r="U1039" s="1200"/>
      <c r="V1039" s="1201"/>
    </row>
    <row r="1040" spans="1:22">
      <c r="A1040" s="1195"/>
      <c r="B1040" s="1196"/>
      <c r="C1040" s="1196"/>
      <c r="D1040" s="1196"/>
      <c r="E1040" s="1202" t="s">
        <v>459</v>
      </c>
      <c r="F1040" s="1203"/>
      <c r="G1040" s="1203"/>
      <c r="H1040" s="1203"/>
      <c r="I1040" s="1204">
        <f>IF(I1039="Ma. Vivian C. Salas","Regional Office", IF(I1039="Luz R. De Cozar","BANE IMO", IF(I1039="Mineonette A. Dela Cruz","PAMBAT IMO", IF(I1039="Resella B. Lopez","TARZAM IMO",0))))</f>
        <v>0</v>
      </c>
      <c r="J1040" s="1205"/>
      <c r="K1040" s="133"/>
      <c r="L1040" s="62" t="str">
        <f t="shared" si="85"/>
        <v/>
      </c>
      <c r="M1040" s="14"/>
      <c r="N1040" s="89">
        <f t="array" ref="N1040">SUM(IF((CsDJ[JEV Number]=TRIM($T1003))*(CsDJ[Account Code]=TRIM(K1040)),CsDJ[Debit]))</f>
        <v>0</v>
      </c>
      <c r="O1040" s="89">
        <f t="array" ref="O1040">SUM(IF((CsDJ[JEV Number]=TRIM($T1003))*(CsDJ[Account Code]=TRIM(K1040)),CsDJ[Credit]))</f>
        <v>0</v>
      </c>
      <c r="P1040" s="1200">
        <f t="shared" si="86"/>
        <v>0</v>
      </c>
      <c r="Q1040" s="1200"/>
      <c r="R1040" s="1200"/>
      <c r="S1040" s="1200">
        <f t="shared" si="87"/>
        <v>0</v>
      </c>
      <c r="T1040" s="1200"/>
      <c r="U1040" s="1200"/>
      <c r="V1040" s="1201"/>
    </row>
    <row r="1041" spans="1:22">
      <c r="A1041" s="1195"/>
      <c r="B1041" s="1196"/>
      <c r="C1041" s="1196"/>
      <c r="D1041" s="1196"/>
      <c r="E1041" s="1202"/>
      <c r="F1041" s="1203"/>
      <c r="G1041" s="1203"/>
      <c r="H1041" s="1203"/>
      <c r="I1041" s="1203"/>
      <c r="J1041" s="1206"/>
      <c r="K1041" s="133"/>
      <c r="L1041" s="62" t="str">
        <f t="shared" si="85"/>
        <v/>
      </c>
      <c r="M1041" s="14"/>
      <c r="N1041" s="89">
        <f t="array" ref="N1041">SUM(IF((CsDJ[JEV Number]=TRIM($T1003))*(CsDJ[Account Code]=TRIM(K1041)),CsDJ[Debit]))</f>
        <v>0</v>
      </c>
      <c r="O1041" s="89">
        <f t="array" ref="O1041">SUM(IF((CsDJ[JEV Number]=TRIM($T1003))*(CsDJ[Account Code]=TRIM(K1041)),CsDJ[Credit]))</f>
        <v>0</v>
      </c>
      <c r="P1041" s="1200">
        <f t="shared" si="86"/>
        <v>0</v>
      </c>
      <c r="Q1041" s="1200"/>
      <c r="R1041" s="1200"/>
      <c r="S1041" s="1200">
        <f t="shared" si="87"/>
        <v>0</v>
      </c>
      <c r="T1041" s="1200"/>
      <c r="U1041" s="1200"/>
      <c r="V1041" s="1201"/>
    </row>
    <row r="1042" spans="1:22" ht="16.5" thickBot="1">
      <c r="A1042" s="1188"/>
      <c r="B1042" s="1189"/>
      <c r="C1042" s="1189"/>
      <c r="D1042" s="1189"/>
      <c r="E1042" s="1189"/>
      <c r="F1042" s="1189"/>
      <c r="G1042" s="1189"/>
      <c r="H1042" s="1189"/>
      <c r="I1042" s="1189"/>
      <c r="J1042" s="1189"/>
      <c r="K1042" s="1189"/>
      <c r="L1042" s="1189"/>
      <c r="M1042" s="1190"/>
      <c r="N1042" s="88"/>
      <c r="O1042" s="88"/>
      <c r="P1042" s="1191">
        <f>SUM(P1012:R1041)</f>
        <v>0</v>
      </c>
      <c r="Q1042" s="1191"/>
      <c r="R1042" s="1191"/>
      <c r="S1042" s="1191">
        <f>SUM(S1012:V1041)</f>
        <v>0</v>
      </c>
      <c r="T1042" s="1191"/>
      <c r="U1042" s="1191"/>
      <c r="V1042" s="1192"/>
    </row>
    <row r="1043" spans="1:22">
      <c r="A1043" s="63"/>
      <c r="B1043" s="64"/>
      <c r="C1043" s="64"/>
      <c r="D1043" s="64"/>
      <c r="E1043" s="64"/>
      <c r="F1043" s="64"/>
      <c r="G1043" s="64"/>
      <c r="H1043" s="64"/>
      <c r="I1043" s="65"/>
      <c r="J1043" s="64"/>
      <c r="K1043" s="66"/>
      <c r="L1043" s="64"/>
      <c r="M1043" s="65"/>
      <c r="N1043" s="64"/>
      <c r="O1043" s="64"/>
      <c r="P1043" s="1193"/>
      <c r="Q1043" s="1193"/>
      <c r="R1043" s="1193"/>
      <c r="S1043" s="1193"/>
      <c r="T1043" s="1193"/>
      <c r="U1043" s="1193"/>
      <c r="V1043" s="1194"/>
    </row>
    <row r="1044" spans="1:22">
      <c r="A1044" s="67" t="s">
        <v>460</v>
      </c>
      <c r="B1044"/>
      <c r="C1044"/>
      <c r="D1044"/>
      <c r="E1044"/>
      <c r="F1044"/>
      <c r="G1044"/>
      <c r="H1044"/>
      <c r="I1044" s="68" t="s">
        <v>353</v>
      </c>
      <c r="J1044" s="69"/>
      <c r="K1044" s="69"/>
      <c r="L1044"/>
      <c r="M1044" s="68" t="s">
        <v>461</v>
      </c>
      <c r="N1044" s="69"/>
      <c r="O1044" s="69"/>
      <c r="P1044" s="70"/>
      <c r="Q1044" s="70"/>
      <c r="R1044" s="70"/>
      <c r="S1044" s="70"/>
      <c r="T1044" s="70"/>
      <c r="U1044" s="70"/>
      <c r="V1044" s="71"/>
    </row>
    <row r="1045" spans="1:22">
      <c r="A1045" s="37"/>
      <c r="B1045"/>
      <c r="C1045"/>
      <c r="D1045"/>
      <c r="E1045"/>
      <c r="F1045"/>
      <c r="G1045"/>
      <c r="H1045"/>
      <c r="I1045" s="72"/>
      <c r="J1045"/>
      <c r="K1045"/>
      <c r="L1045"/>
      <c r="M1045" s="72"/>
      <c r="N1045"/>
      <c r="O1045"/>
      <c r="P1045"/>
      <c r="Q1045"/>
      <c r="R1045"/>
      <c r="S1045"/>
      <c r="T1045"/>
      <c r="U1045"/>
      <c r="V1045" s="73"/>
    </row>
    <row r="1046" spans="1:22">
      <c r="A1046" s="74" t="s">
        <v>462</v>
      </c>
      <c r="B1046" s="75"/>
      <c r="C1046" s="75"/>
      <c r="D1046" s="75"/>
      <c r="E1046" s="75"/>
      <c r="F1046" s="75"/>
      <c r="G1046" s="75"/>
      <c r="H1046" s="76"/>
      <c r="I1046" s="77" t="s">
        <v>380</v>
      </c>
      <c r="J1046" s="75"/>
      <c r="K1046" s="75"/>
      <c r="L1046" s="76"/>
      <c r="M1046" s="77" t="s">
        <v>3</v>
      </c>
      <c r="N1046" s="75"/>
      <c r="O1046" s="75"/>
      <c r="P1046" s="75"/>
      <c r="Q1046" s="75"/>
      <c r="R1046" s="75"/>
      <c r="S1046" s="75"/>
      <c r="T1046" s="75"/>
      <c r="U1046" s="75"/>
      <c r="V1046" s="78"/>
    </row>
    <row r="1047" spans="1:22">
      <c r="A1047" s="79" t="s">
        <v>463</v>
      </c>
      <c r="B1047" s="80"/>
      <c r="C1047" s="80"/>
      <c r="D1047" s="80"/>
      <c r="E1047" s="80"/>
      <c r="F1047" s="80"/>
      <c r="G1047" s="80"/>
      <c r="H1047" s="80"/>
      <c r="I1047" s="81" t="s">
        <v>381</v>
      </c>
      <c r="J1047" s="80"/>
      <c r="K1047" s="80"/>
      <c r="L1047" s="80"/>
      <c r="M1047" s="81" t="s">
        <v>464</v>
      </c>
      <c r="N1047" s="80"/>
      <c r="O1047" s="80"/>
      <c r="P1047" s="82"/>
      <c r="Q1047" s="82"/>
      <c r="R1047" s="82"/>
      <c r="S1047" s="82"/>
      <c r="T1047" s="82"/>
      <c r="U1047" s="82"/>
      <c r="V1047" s="83"/>
    </row>
    <row r="1048" spans="1:22" ht="16.5" thickBot="1">
      <c r="A1048" s="84" t="s">
        <v>465</v>
      </c>
      <c r="B1048" s="43"/>
      <c r="C1048" s="43"/>
      <c r="D1048" s="43"/>
      <c r="E1048" s="43"/>
      <c r="F1048" s="43"/>
      <c r="G1048" s="43"/>
      <c r="H1048" s="43"/>
      <c r="I1048" s="85"/>
      <c r="J1048" s="43"/>
      <c r="K1048" s="43"/>
      <c r="L1048" s="43"/>
      <c r="M1048" s="85"/>
      <c r="N1048" s="43"/>
      <c r="O1048" s="43"/>
      <c r="P1048" s="43"/>
      <c r="Q1048" s="43"/>
      <c r="R1048" s="43"/>
      <c r="S1048" s="43"/>
      <c r="T1048" s="43"/>
      <c r="U1048" s="43"/>
      <c r="V1048" s="44"/>
    </row>
    <row r="1049" spans="1:22" ht="22.5">
      <c r="A1049" s="31" t="s">
        <v>441</v>
      </c>
      <c r="B1049" s="32"/>
      <c r="C1049" s="32"/>
      <c r="D1049" s="32"/>
      <c r="E1049" s="32"/>
      <c r="F1049" s="32"/>
      <c r="G1049" s="32"/>
      <c r="H1049" s="32"/>
      <c r="I1049" s="32"/>
      <c r="J1049" s="32"/>
      <c r="K1049" s="32"/>
      <c r="L1049" s="32"/>
      <c r="M1049" s="32"/>
      <c r="N1049" s="32"/>
      <c r="O1049" s="32"/>
      <c r="P1049" s="32"/>
      <c r="Q1049" s="33"/>
      <c r="R1049" s="1218">
        <f>+P1089-S1089</f>
        <v>0</v>
      </c>
      <c r="S1049" s="1219"/>
      <c r="T1049" s="1219"/>
      <c r="U1049" s="1219"/>
      <c r="V1049" s="1220"/>
    </row>
    <row r="1050" spans="1:22">
      <c r="A1050" s="34" t="s">
        <v>442</v>
      </c>
      <c r="B1050" s="35"/>
      <c r="C1050" s="35"/>
      <c r="D1050" s="35"/>
      <c r="E1050" s="35"/>
      <c r="F1050" s="35"/>
      <c r="G1050" s="35"/>
      <c r="H1050" s="35"/>
      <c r="I1050" s="35"/>
      <c r="J1050" s="35"/>
      <c r="K1050" s="35"/>
      <c r="L1050" s="35"/>
      <c r="M1050" s="35"/>
      <c r="N1050" s="35"/>
      <c r="O1050" s="35"/>
      <c r="P1050" s="35"/>
      <c r="Q1050" s="36"/>
      <c r="R1050" s="37" t="s">
        <v>443</v>
      </c>
      <c r="S1050"/>
      <c r="T1050" s="1221"/>
      <c r="U1050" s="1221"/>
      <c r="V1050" s="1222"/>
    </row>
    <row r="1051" spans="1:22">
      <c r="A1051" s="38" t="s">
        <v>444</v>
      </c>
      <c r="B1051" s="35"/>
      <c r="C1051" s="35"/>
      <c r="D1051" s="35"/>
      <c r="E1051" s="35"/>
      <c r="F1051" s="35"/>
      <c r="G1051" s="35"/>
      <c r="H1051" s="35"/>
      <c r="I1051" s="35"/>
      <c r="J1051" s="35"/>
      <c r="K1051" s="35"/>
      <c r="L1051" s="35"/>
      <c r="M1051" s="35"/>
      <c r="N1051" s="35"/>
      <c r="O1051" s="35"/>
      <c r="P1051" s="35"/>
      <c r="Q1051" s="36"/>
      <c r="R1051" s="37" t="s">
        <v>0</v>
      </c>
      <c r="S1051"/>
      <c r="T1051" s="1223">
        <f>IF(T1050=0,0,(LOOKUP(T1050,CsDJ[JEV Number],CsDJ[Date])))</f>
        <v>0</v>
      </c>
      <c r="U1051" s="1223"/>
      <c r="V1051" s="1224"/>
    </row>
    <row r="1052" spans="1:22" ht="16.5" thickBot="1">
      <c r="A1052" s="39"/>
      <c r="B1052" s="40"/>
      <c r="C1052" s="40"/>
      <c r="D1052" s="40"/>
      <c r="E1052" s="40"/>
      <c r="F1052" s="40"/>
      <c r="G1052" s="40"/>
      <c r="H1052" s="40"/>
      <c r="I1052" s="40"/>
      <c r="J1052" s="40"/>
      <c r="K1052" s="40"/>
      <c r="L1052" s="40"/>
      <c r="M1052" s="40"/>
      <c r="N1052" s="40"/>
      <c r="O1052" s="40"/>
      <c r="P1052" s="40"/>
      <c r="Q1052" s="41"/>
      <c r="R1052" s="42"/>
      <c r="S1052" s="43"/>
      <c r="T1052" s="43"/>
      <c r="U1052" s="43"/>
      <c r="V1052" s="44"/>
    </row>
    <row r="1053" spans="1:22">
      <c r="A1053" s="45"/>
      <c r="B1053" s="46"/>
      <c r="C1053" s="46"/>
      <c r="D1053" s="46"/>
      <c r="E1053" s="46"/>
      <c r="F1053" s="46"/>
      <c r="G1053" s="46"/>
      <c r="H1053" s="46"/>
      <c r="I1053" s="46"/>
      <c r="J1053" s="46"/>
      <c r="K1053" s="46"/>
      <c r="L1053" s="47"/>
      <c r="M1053" s="46"/>
      <c r="N1053" s="46"/>
      <c r="O1053" s="46"/>
      <c r="P1053" s="46"/>
      <c r="Q1053" s="46"/>
      <c r="R1053" s="46"/>
      <c r="S1053" s="46"/>
      <c r="T1053" s="46"/>
      <c r="U1053" s="46"/>
      <c r="V1053" s="48"/>
    </row>
    <row r="1054" spans="1:22">
      <c r="A1054" s="49"/>
      <c r="B1054" s="1225"/>
      <c r="C1054" s="1225"/>
      <c r="D1054" s="50" t="s">
        <v>445</v>
      </c>
      <c r="H1054" s="51"/>
      <c r="I1054" s="25" t="s">
        <v>447</v>
      </c>
      <c r="J1054" s="132" t="s">
        <v>446</v>
      </c>
      <c r="K1054" s="52" t="s">
        <v>448</v>
      </c>
      <c r="L1054" s="52"/>
      <c r="Q1054" s="1225"/>
      <c r="R1054" s="1225"/>
      <c r="S1054" s="50" t="s">
        <v>449</v>
      </c>
      <c r="T1054" s="50"/>
      <c r="U1054" s="50"/>
      <c r="V1054" s="53"/>
    </row>
    <row r="1055" spans="1:22" ht="16.5" thickBot="1">
      <c r="A1055" s="54"/>
      <c r="B1055" s="55"/>
      <c r="C1055" s="55"/>
      <c r="D1055" s="55"/>
      <c r="E1055" s="55"/>
      <c r="F1055" s="55"/>
      <c r="G1055" s="55"/>
      <c r="H1055" s="55"/>
      <c r="I1055" s="55"/>
      <c r="J1055" s="55"/>
      <c r="K1055" s="55"/>
      <c r="L1055" s="56"/>
      <c r="M1055" s="55"/>
      <c r="N1055" s="55"/>
      <c r="O1055" s="55"/>
      <c r="P1055" s="55"/>
      <c r="Q1055" s="55"/>
      <c r="R1055" s="55"/>
      <c r="S1055" s="55"/>
      <c r="T1055" s="55"/>
      <c r="U1055" s="55"/>
      <c r="V1055" s="57"/>
    </row>
    <row r="1056" spans="1:22">
      <c r="A1056" s="1226" t="s">
        <v>397</v>
      </c>
      <c r="B1056" s="1227"/>
      <c r="C1056" s="1227"/>
      <c r="D1056" s="1228"/>
      <c r="E1056" s="1235" t="s">
        <v>450</v>
      </c>
      <c r="F1056" s="1235"/>
      <c r="G1056" s="1235"/>
      <c r="H1056" s="1235"/>
      <c r="I1056" s="1235"/>
      <c r="J1056" s="1235"/>
      <c r="K1056" s="1235"/>
      <c r="L1056" s="1235"/>
      <c r="M1056" s="1235"/>
      <c r="N1056" s="1235"/>
      <c r="O1056" s="1235"/>
      <c r="P1056" s="1235"/>
      <c r="Q1056" s="1235"/>
      <c r="R1056" s="1235"/>
      <c r="S1056" s="1235"/>
      <c r="T1056" s="1235"/>
      <c r="U1056" s="1235"/>
      <c r="V1056" s="1236"/>
    </row>
    <row r="1057" spans="1:22">
      <c r="A1057" s="1229"/>
      <c r="B1057" s="1230"/>
      <c r="C1057" s="1230"/>
      <c r="D1057" s="1231"/>
      <c r="E1057" s="1237" t="s">
        <v>451</v>
      </c>
      <c r="F1057" s="1237"/>
      <c r="G1057" s="1237"/>
      <c r="H1057" s="1237"/>
      <c r="I1057" s="1237"/>
      <c r="J1057" s="1237"/>
      <c r="K1057" s="1239" t="s">
        <v>378</v>
      </c>
      <c r="L1057" s="1239"/>
      <c r="M1057" s="1237" t="s">
        <v>452</v>
      </c>
      <c r="N1057" s="1240" t="s">
        <v>453</v>
      </c>
      <c r="O1057" s="1241"/>
      <c r="P1057" s="1241"/>
      <c r="Q1057" s="1241"/>
      <c r="R1057" s="1241"/>
      <c r="S1057" s="1241"/>
      <c r="T1057" s="1241"/>
      <c r="U1057" s="1241"/>
      <c r="V1057" s="1242"/>
    </row>
    <row r="1058" spans="1:22" ht="16.5" customHeight="1" thickBot="1">
      <c r="A1058" s="1232"/>
      <c r="B1058" s="1233"/>
      <c r="C1058" s="1233"/>
      <c r="D1058" s="1234"/>
      <c r="E1058" s="1238"/>
      <c r="F1058" s="1238"/>
      <c r="G1058" s="1238"/>
      <c r="H1058" s="1238"/>
      <c r="I1058" s="1238"/>
      <c r="J1058" s="1238"/>
      <c r="K1058" s="58" t="s">
        <v>454</v>
      </c>
      <c r="L1058" s="58" t="s">
        <v>455</v>
      </c>
      <c r="M1058" s="1238"/>
      <c r="N1058" s="87" t="s">
        <v>466</v>
      </c>
      <c r="O1058" s="87" t="s">
        <v>467</v>
      </c>
      <c r="P1058" s="1243" t="s">
        <v>1</v>
      </c>
      <c r="Q1058" s="1244"/>
      <c r="R1058" s="1245"/>
      <c r="S1058" s="1243" t="s">
        <v>2</v>
      </c>
      <c r="T1058" s="1244"/>
      <c r="U1058" s="1244"/>
      <c r="V1058" s="1246"/>
    </row>
    <row r="1059" spans="1:22" ht="19.5">
      <c r="A1059" s="1210">
        <f>P1089-S1089</f>
        <v>0</v>
      </c>
      <c r="B1059" s="1211"/>
      <c r="C1059" s="1211"/>
      <c r="D1059" s="1211"/>
      <c r="E1059" s="1212" t="str">
        <f>Account!$G$1</f>
        <v>FUND 501 CARP</v>
      </c>
      <c r="F1059" s="1213"/>
      <c r="G1059" s="1213"/>
      <c r="H1059" s="1213"/>
      <c r="I1059" s="1213"/>
      <c r="J1059" s="1214"/>
      <c r="K1059" s="59"/>
      <c r="L1059" s="59"/>
      <c r="M1059" s="60"/>
      <c r="N1059" s="60"/>
      <c r="O1059" s="60"/>
      <c r="P1059" s="1215"/>
      <c r="Q1059" s="1215"/>
      <c r="R1059" s="1215"/>
      <c r="S1059" s="1215"/>
      <c r="T1059" s="1215"/>
      <c r="U1059" s="1215"/>
      <c r="V1059" s="1216"/>
    </row>
    <row r="1060" spans="1:22">
      <c r="A1060" s="1195"/>
      <c r="B1060" s="1196"/>
      <c r="C1060" s="1196"/>
      <c r="D1060" s="1196"/>
      <c r="E1060" s="1196"/>
      <c r="F1060" s="1196"/>
      <c r="G1060" s="1196"/>
      <c r="H1060" s="1196"/>
      <c r="I1060" s="1196"/>
      <c r="J1060" s="1196"/>
      <c r="K1060" s="61"/>
      <c r="L1060" s="61"/>
      <c r="M1060" s="14"/>
      <c r="N1060" s="14"/>
      <c r="O1060" s="14"/>
      <c r="P1060" s="1196"/>
      <c r="Q1060" s="1196"/>
      <c r="R1060" s="1196"/>
      <c r="S1060" s="1196"/>
      <c r="T1060" s="1196"/>
      <c r="U1060" s="1196"/>
      <c r="V1060" s="1217"/>
    </row>
    <row r="1061" spans="1:22">
      <c r="A1061" s="1195"/>
      <c r="B1061" s="1196"/>
      <c r="C1061" s="1196"/>
      <c r="D1061" s="1196"/>
      <c r="E1061" s="1197" t="str">
        <f t="shared" ref="E1061:E1083" si="88">IF(K1061=0,"",(VLOOKUP((TRIM(K1061)),Code,2,)))</f>
        <v/>
      </c>
      <c r="F1061" s="1198"/>
      <c r="G1061" s="1198"/>
      <c r="H1061" s="1198"/>
      <c r="I1061" s="1198"/>
      <c r="J1061" s="1199"/>
      <c r="K1061" s="133"/>
      <c r="L1061" s="62" t="str">
        <f t="shared" ref="L1061:L1088" si="89">IF(K1061=0,"",VLOOKUP((TRIM(K1061)),Code,3,))</f>
        <v/>
      </c>
      <c r="M1061" s="14"/>
      <c r="N1061" s="89">
        <f t="array" ref="N1061">SUM(IF((CsDJ[JEV Number]=TRIM($T1050))*(CsDJ[Account Code]=TRIM(K1061)),CsDJ[Debit]))</f>
        <v>0</v>
      </c>
      <c r="O1061" s="89">
        <f t="array" ref="O1061">SUM(IF((CsDJ[JEV Number]=TRIM($T1050))*(CsDJ[Account Code]=TRIM(K1061)),CsDJ[Credit]))</f>
        <v>0</v>
      </c>
      <c r="P1061" s="1200">
        <f>N1061</f>
        <v>0</v>
      </c>
      <c r="Q1061" s="1200"/>
      <c r="R1061" s="1200"/>
      <c r="S1061" s="1200">
        <f>O1061</f>
        <v>0</v>
      </c>
      <c r="T1061" s="1200"/>
      <c r="U1061" s="1200"/>
      <c r="V1061" s="1201"/>
    </row>
    <row r="1062" spans="1:22">
      <c r="A1062" s="1195"/>
      <c r="B1062" s="1196"/>
      <c r="C1062" s="1196"/>
      <c r="D1062" s="1196"/>
      <c r="E1062" s="1197" t="str">
        <f t="shared" si="88"/>
        <v/>
      </c>
      <c r="F1062" s="1198"/>
      <c r="G1062" s="1198"/>
      <c r="H1062" s="1198"/>
      <c r="I1062" s="1198"/>
      <c r="J1062" s="1199"/>
      <c r="K1062" s="133"/>
      <c r="L1062" s="62" t="str">
        <f t="shared" si="89"/>
        <v/>
      </c>
      <c r="M1062" s="14"/>
      <c r="N1062" s="89">
        <f t="array" ref="N1062">SUM(IF((CsDJ[JEV Number]=TRIM($T1050))*(CsDJ[Account Code]=TRIM(K1062)),CsDJ[Debit]))</f>
        <v>0</v>
      </c>
      <c r="O1062" s="89">
        <f t="array" ref="O1062">SUM(IF((CsDJ[JEV Number]=TRIM($T1050))*(CsDJ[Account Code]=TRIM(K1062)),CsDJ[Credit]))</f>
        <v>0</v>
      </c>
      <c r="P1062" s="1200">
        <f>N1062</f>
        <v>0</v>
      </c>
      <c r="Q1062" s="1200"/>
      <c r="R1062" s="1200"/>
      <c r="S1062" s="1200">
        <f>O1062</f>
        <v>0</v>
      </c>
      <c r="T1062" s="1200"/>
      <c r="U1062" s="1200"/>
      <c r="V1062" s="1201"/>
    </row>
    <row r="1063" spans="1:22">
      <c r="A1063" s="1195"/>
      <c r="B1063" s="1196"/>
      <c r="C1063" s="1196"/>
      <c r="D1063" s="1196"/>
      <c r="E1063" s="1197" t="str">
        <f t="shared" si="88"/>
        <v/>
      </c>
      <c r="F1063" s="1198"/>
      <c r="G1063" s="1198"/>
      <c r="H1063" s="1198"/>
      <c r="I1063" s="1198"/>
      <c r="J1063" s="1199"/>
      <c r="K1063" s="133"/>
      <c r="L1063" s="62" t="str">
        <f t="shared" si="89"/>
        <v/>
      </c>
      <c r="M1063" s="14"/>
      <c r="N1063" s="89">
        <f t="array" ref="N1063">SUM(IF((CsDJ[JEV Number]=TRIM($T1050))*(CsDJ[Account Code]=TRIM(K1063)),CsDJ[Debit]))</f>
        <v>0</v>
      </c>
      <c r="O1063" s="89">
        <f t="array" ref="O1063">SUM(IF((CsDJ[JEV Number]=TRIM($T1050))*(CsDJ[Account Code]=TRIM(K1063)),CsDJ[Credit]))</f>
        <v>0</v>
      </c>
      <c r="P1063" s="1200">
        <f t="shared" ref="P1063:P1088" si="90">N1063</f>
        <v>0</v>
      </c>
      <c r="Q1063" s="1200"/>
      <c r="R1063" s="1200"/>
      <c r="S1063" s="1200">
        <f t="shared" ref="S1063:S1088" si="91">O1063</f>
        <v>0</v>
      </c>
      <c r="T1063" s="1200"/>
      <c r="U1063" s="1200"/>
      <c r="V1063" s="1201"/>
    </row>
    <row r="1064" spans="1:22">
      <c r="A1064" s="1195"/>
      <c r="B1064" s="1196"/>
      <c r="C1064" s="1196"/>
      <c r="D1064" s="1196"/>
      <c r="E1064" s="1197" t="str">
        <f t="shared" si="88"/>
        <v/>
      </c>
      <c r="F1064" s="1198"/>
      <c r="G1064" s="1198"/>
      <c r="H1064" s="1198"/>
      <c r="I1064" s="1198"/>
      <c r="J1064" s="1199"/>
      <c r="K1064" s="133"/>
      <c r="L1064" s="62" t="str">
        <f t="shared" si="89"/>
        <v/>
      </c>
      <c r="M1064" s="14"/>
      <c r="N1064" s="89">
        <f t="array" ref="N1064">SUM(IF((CsDJ[JEV Number]=TRIM($T1050))*(CsDJ[Account Code]=TRIM(K1064)),CsDJ[Debit]))</f>
        <v>0</v>
      </c>
      <c r="O1064" s="89">
        <f t="array" ref="O1064">SUM(IF((CsDJ[JEV Number]=TRIM($T1050))*(CsDJ[Account Code]=TRIM(K1064)),CsDJ[Credit]))</f>
        <v>0</v>
      </c>
      <c r="P1064" s="1200">
        <f t="shared" si="90"/>
        <v>0</v>
      </c>
      <c r="Q1064" s="1200"/>
      <c r="R1064" s="1200"/>
      <c r="S1064" s="1200">
        <f t="shared" si="91"/>
        <v>0</v>
      </c>
      <c r="T1064" s="1200"/>
      <c r="U1064" s="1200"/>
      <c r="V1064" s="1201"/>
    </row>
    <row r="1065" spans="1:22">
      <c r="A1065" s="1195"/>
      <c r="B1065" s="1196"/>
      <c r="C1065" s="1196"/>
      <c r="D1065" s="1196"/>
      <c r="E1065" s="1197" t="str">
        <f t="shared" si="88"/>
        <v/>
      </c>
      <c r="F1065" s="1198"/>
      <c r="G1065" s="1198"/>
      <c r="H1065" s="1198"/>
      <c r="I1065" s="1198"/>
      <c r="J1065" s="1199"/>
      <c r="K1065" s="133"/>
      <c r="L1065" s="62" t="str">
        <f t="shared" si="89"/>
        <v/>
      </c>
      <c r="M1065" s="14"/>
      <c r="N1065" s="89">
        <f t="array" ref="N1065">SUM(IF((CsDJ[JEV Number]=TRIM($T1050))*(CsDJ[Account Code]=TRIM(K1065)),CsDJ[Debit]))</f>
        <v>0</v>
      </c>
      <c r="O1065" s="89">
        <f t="array" ref="O1065">SUM(IF((CsDJ[JEV Number]=TRIM($T1050))*(CsDJ[Account Code]=TRIM(K1065)),CsDJ[Credit]))</f>
        <v>0</v>
      </c>
      <c r="P1065" s="1200">
        <f t="shared" si="90"/>
        <v>0</v>
      </c>
      <c r="Q1065" s="1200"/>
      <c r="R1065" s="1200"/>
      <c r="S1065" s="1200">
        <f t="shared" si="91"/>
        <v>0</v>
      </c>
      <c r="T1065" s="1200"/>
      <c r="U1065" s="1200"/>
      <c r="V1065" s="1201"/>
    </row>
    <row r="1066" spans="1:22">
      <c r="A1066" s="1195"/>
      <c r="B1066" s="1196"/>
      <c r="C1066" s="1196"/>
      <c r="D1066" s="1196"/>
      <c r="E1066" s="1197" t="str">
        <f t="shared" si="88"/>
        <v/>
      </c>
      <c r="F1066" s="1198"/>
      <c r="G1066" s="1198"/>
      <c r="H1066" s="1198"/>
      <c r="I1066" s="1198"/>
      <c r="J1066" s="1199"/>
      <c r="K1066" s="133"/>
      <c r="L1066" s="62" t="str">
        <f t="shared" si="89"/>
        <v/>
      </c>
      <c r="M1066" s="14"/>
      <c r="N1066" s="89">
        <f t="array" ref="N1066">SUM(IF((CsDJ[JEV Number]=TRIM($T1050))*(CsDJ[Account Code]=TRIM(K1066)),CsDJ[Debit]))</f>
        <v>0</v>
      </c>
      <c r="O1066" s="89">
        <f t="array" ref="O1066">SUM(IF((CsDJ[JEV Number]=TRIM($T1050))*(CsDJ[Account Code]=TRIM(K1066)),CsDJ[Credit]))</f>
        <v>0</v>
      </c>
      <c r="P1066" s="1200">
        <f t="shared" si="90"/>
        <v>0</v>
      </c>
      <c r="Q1066" s="1200"/>
      <c r="R1066" s="1200"/>
      <c r="S1066" s="1200">
        <f t="shared" si="91"/>
        <v>0</v>
      </c>
      <c r="T1066" s="1200"/>
      <c r="U1066" s="1200"/>
      <c r="V1066" s="1201"/>
    </row>
    <row r="1067" spans="1:22">
      <c r="A1067" s="1195"/>
      <c r="B1067" s="1196"/>
      <c r="C1067" s="1196"/>
      <c r="D1067" s="1196"/>
      <c r="E1067" s="1197" t="str">
        <f t="shared" si="88"/>
        <v/>
      </c>
      <c r="F1067" s="1198"/>
      <c r="G1067" s="1198"/>
      <c r="H1067" s="1198"/>
      <c r="I1067" s="1198"/>
      <c r="J1067" s="1199"/>
      <c r="K1067" s="133"/>
      <c r="L1067" s="62" t="str">
        <f t="shared" si="89"/>
        <v/>
      </c>
      <c r="M1067" s="14"/>
      <c r="N1067" s="89">
        <f t="array" ref="N1067">SUM(IF((CsDJ[JEV Number]=TRIM($T1050))*(CsDJ[Account Code]=TRIM(K1067)),CsDJ[Debit]))</f>
        <v>0</v>
      </c>
      <c r="O1067" s="89">
        <f t="array" ref="O1067">SUM(IF((CsDJ[JEV Number]=TRIM($T1050))*(CsDJ[Account Code]=TRIM(K1067)),CsDJ[Credit]))</f>
        <v>0</v>
      </c>
      <c r="P1067" s="1200">
        <f t="shared" si="90"/>
        <v>0</v>
      </c>
      <c r="Q1067" s="1200"/>
      <c r="R1067" s="1200"/>
      <c r="S1067" s="1200">
        <f t="shared" si="91"/>
        <v>0</v>
      </c>
      <c r="T1067" s="1200"/>
      <c r="U1067" s="1200"/>
      <c r="V1067" s="1201"/>
    </row>
    <row r="1068" spans="1:22">
      <c r="A1068" s="1195"/>
      <c r="B1068" s="1196"/>
      <c r="C1068" s="1196"/>
      <c r="D1068" s="1196"/>
      <c r="E1068" s="1197" t="str">
        <f t="shared" si="88"/>
        <v/>
      </c>
      <c r="F1068" s="1198"/>
      <c r="G1068" s="1198"/>
      <c r="H1068" s="1198"/>
      <c r="I1068" s="1198"/>
      <c r="J1068" s="1199"/>
      <c r="K1068" s="133"/>
      <c r="L1068" s="62" t="str">
        <f t="shared" si="89"/>
        <v/>
      </c>
      <c r="M1068" s="14"/>
      <c r="N1068" s="89">
        <f t="array" ref="N1068">SUM(IF((CsDJ[JEV Number]=TRIM($T1050))*(CsDJ[Account Code]=TRIM(K1068)),CsDJ[Debit]))</f>
        <v>0</v>
      </c>
      <c r="O1068" s="89">
        <f t="array" ref="O1068">SUM(IF((CsDJ[JEV Number]=TRIM($T1050))*(CsDJ[Account Code]=TRIM(K1068)),CsDJ[Credit]))</f>
        <v>0</v>
      </c>
      <c r="P1068" s="1200">
        <f t="shared" si="90"/>
        <v>0</v>
      </c>
      <c r="Q1068" s="1200"/>
      <c r="R1068" s="1200"/>
      <c r="S1068" s="1200">
        <f t="shared" si="91"/>
        <v>0</v>
      </c>
      <c r="T1068" s="1200"/>
      <c r="U1068" s="1200"/>
      <c r="V1068" s="1201"/>
    </row>
    <row r="1069" spans="1:22">
      <c r="A1069" s="1195"/>
      <c r="B1069" s="1196"/>
      <c r="C1069" s="1196"/>
      <c r="D1069" s="1196"/>
      <c r="E1069" s="1197" t="str">
        <f t="shared" si="88"/>
        <v/>
      </c>
      <c r="F1069" s="1198"/>
      <c r="G1069" s="1198"/>
      <c r="H1069" s="1198"/>
      <c r="I1069" s="1198"/>
      <c r="J1069" s="1199"/>
      <c r="K1069" s="134"/>
      <c r="L1069" s="62" t="str">
        <f t="shared" si="89"/>
        <v/>
      </c>
      <c r="M1069" s="14"/>
      <c r="N1069" s="89">
        <f t="array" ref="N1069">SUM(IF((CsDJ[JEV Number]=TRIM($T1050))*(CsDJ[Account Code]=TRIM(K1069)),CsDJ[Debit]))</f>
        <v>0</v>
      </c>
      <c r="O1069" s="89">
        <f t="array" ref="O1069">SUM(IF((CsDJ[JEV Number]=TRIM($T1050))*(CsDJ[Account Code]=TRIM(K1069)),CsDJ[Credit]))</f>
        <v>0</v>
      </c>
      <c r="P1069" s="1200">
        <f t="shared" si="90"/>
        <v>0</v>
      </c>
      <c r="Q1069" s="1200"/>
      <c r="R1069" s="1200"/>
      <c r="S1069" s="1200">
        <f t="shared" si="91"/>
        <v>0</v>
      </c>
      <c r="T1069" s="1200"/>
      <c r="U1069" s="1200"/>
      <c r="V1069" s="1201"/>
    </row>
    <row r="1070" spans="1:22">
      <c r="A1070" s="1195"/>
      <c r="B1070" s="1196"/>
      <c r="C1070" s="1196"/>
      <c r="D1070" s="1196"/>
      <c r="E1070" s="1197" t="str">
        <f t="shared" si="88"/>
        <v/>
      </c>
      <c r="F1070" s="1198"/>
      <c r="G1070" s="1198"/>
      <c r="H1070" s="1198"/>
      <c r="I1070" s="1198"/>
      <c r="J1070" s="1199"/>
      <c r="K1070" s="134"/>
      <c r="L1070" s="62" t="str">
        <f t="shared" si="89"/>
        <v/>
      </c>
      <c r="M1070" s="14"/>
      <c r="N1070" s="89">
        <f t="array" ref="N1070">SUM(IF((CsDJ[JEV Number]=TRIM($T1050))*(CsDJ[Account Code]=TRIM(K1070)),CsDJ[Debit]))</f>
        <v>0</v>
      </c>
      <c r="O1070" s="89">
        <f t="array" ref="O1070">SUM(IF((CsDJ[JEV Number]=TRIM($T1050))*(CsDJ[Account Code]=TRIM(K1070)),CsDJ[Credit]))</f>
        <v>0</v>
      </c>
      <c r="P1070" s="1200">
        <f t="shared" si="90"/>
        <v>0</v>
      </c>
      <c r="Q1070" s="1200"/>
      <c r="R1070" s="1200"/>
      <c r="S1070" s="1200">
        <f t="shared" si="91"/>
        <v>0</v>
      </c>
      <c r="T1070" s="1200"/>
      <c r="U1070" s="1200"/>
      <c r="V1070" s="1201"/>
    </row>
    <row r="1071" spans="1:22">
      <c r="A1071" s="1195"/>
      <c r="B1071" s="1196"/>
      <c r="C1071" s="1196"/>
      <c r="D1071" s="1196"/>
      <c r="E1071" s="1197" t="str">
        <f t="shared" si="88"/>
        <v/>
      </c>
      <c r="F1071" s="1198"/>
      <c r="G1071" s="1198"/>
      <c r="H1071" s="1198"/>
      <c r="I1071" s="1198"/>
      <c r="J1071" s="1199"/>
      <c r="K1071" s="134"/>
      <c r="L1071" s="62" t="str">
        <f t="shared" si="89"/>
        <v/>
      </c>
      <c r="M1071" s="14"/>
      <c r="N1071" s="89">
        <f t="array" ref="N1071">SUM(IF((CsDJ[JEV Number]=TRIM($T1050))*(CsDJ[Account Code]=TRIM(K1071)),CsDJ[Debit]))</f>
        <v>0</v>
      </c>
      <c r="O1071" s="89">
        <f t="array" ref="O1071">SUM(IF((CsDJ[JEV Number]=TRIM($T1050))*(CsDJ[Account Code]=TRIM(K1071)),CsDJ[Credit]))</f>
        <v>0</v>
      </c>
      <c r="P1071" s="1200">
        <f t="shared" si="90"/>
        <v>0</v>
      </c>
      <c r="Q1071" s="1200"/>
      <c r="R1071" s="1200"/>
      <c r="S1071" s="1200">
        <f t="shared" si="91"/>
        <v>0</v>
      </c>
      <c r="T1071" s="1200"/>
      <c r="U1071" s="1200"/>
      <c r="V1071" s="1201"/>
    </row>
    <row r="1072" spans="1:22">
      <c r="A1072" s="1195"/>
      <c r="B1072" s="1196"/>
      <c r="C1072" s="1196"/>
      <c r="D1072" s="1196"/>
      <c r="E1072" s="1197" t="str">
        <f t="shared" si="88"/>
        <v/>
      </c>
      <c r="F1072" s="1198"/>
      <c r="G1072" s="1198"/>
      <c r="H1072" s="1198"/>
      <c r="I1072" s="1198"/>
      <c r="J1072" s="1199"/>
      <c r="K1072" s="134"/>
      <c r="L1072" s="62" t="str">
        <f t="shared" si="89"/>
        <v/>
      </c>
      <c r="M1072" s="14"/>
      <c r="N1072" s="89">
        <f t="array" ref="N1072">SUM(IF((CsDJ[JEV Number]=TRIM($T1050))*(CsDJ[Account Code]=TRIM(K1072)),CsDJ[Debit]))</f>
        <v>0</v>
      </c>
      <c r="O1072" s="89">
        <f t="array" ref="O1072">SUM(IF((CsDJ[JEV Number]=TRIM($T1050))*(CsDJ[Account Code]=TRIM(K1072)),CsDJ[Credit]))</f>
        <v>0</v>
      </c>
      <c r="P1072" s="1200">
        <f t="shared" si="90"/>
        <v>0</v>
      </c>
      <c r="Q1072" s="1200"/>
      <c r="R1072" s="1200"/>
      <c r="S1072" s="1200">
        <f t="shared" si="91"/>
        <v>0</v>
      </c>
      <c r="T1072" s="1200"/>
      <c r="U1072" s="1200"/>
      <c r="V1072" s="1201"/>
    </row>
    <row r="1073" spans="1:22">
      <c r="A1073" s="1195"/>
      <c r="B1073" s="1196"/>
      <c r="C1073" s="1196"/>
      <c r="D1073" s="1196"/>
      <c r="E1073" s="1197" t="str">
        <f t="shared" si="88"/>
        <v/>
      </c>
      <c r="F1073" s="1198"/>
      <c r="G1073" s="1198"/>
      <c r="H1073" s="1198"/>
      <c r="I1073" s="1198"/>
      <c r="J1073" s="1199"/>
      <c r="K1073" s="134"/>
      <c r="L1073" s="62" t="str">
        <f t="shared" si="89"/>
        <v/>
      </c>
      <c r="M1073" s="14"/>
      <c r="N1073" s="89">
        <f t="array" ref="N1073">SUM(IF((CsDJ[JEV Number]=TRIM($T1050))*(CsDJ[Account Code]=TRIM(K1073)),CsDJ[Debit]))</f>
        <v>0</v>
      </c>
      <c r="O1073" s="89">
        <f t="array" ref="O1073">SUM(IF((CsDJ[JEV Number]=TRIM($T1050))*(CsDJ[Account Code]=TRIM(K1073)),CsDJ[Credit]))</f>
        <v>0</v>
      </c>
      <c r="P1073" s="1200">
        <f t="shared" si="90"/>
        <v>0</v>
      </c>
      <c r="Q1073" s="1200"/>
      <c r="R1073" s="1200"/>
      <c r="S1073" s="1200">
        <f t="shared" si="91"/>
        <v>0</v>
      </c>
      <c r="T1073" s="1200"/>
      <c r="U1073" s="1200"/>
      <c r="V1073" s="1201"/>
    </row>
    <row r="1074" spans="1:22">
      <c r="A1074" s="1195"/>
      <c r="B1074" s="1196"/>
      <c r="C1074" s="1196"/>
      <c r="D1074" s="1196"/>
      <c r="E1074" s="1197" t="str">
        <f t="shared" si="88"/>
        <v/>
      </c>
      <c r="F1074" s="1198"/>
      <c r="G1074" s="1198"/>
      <c r="H1074" s="1198"/>
      <c r="I1074" s="1198"/>
      <c r="J1074" s="1199"/>
      <c r="K1074" s="134"/>
      <c r="L1074" s="62" t="str">
        <f t="shared" si="89"/>
        <v/>
      </c>
      <c r="M1074" s="14"/>
      <c r="N1074" s="89">
        <f t="array" ref="N1074">SUM(IF((CsDJ[JEV Number]=TRIM($T1050))*(CsDJ[Account Code]=TRIM(K1074)),CsDJ[Debit]))</f>
        <v>0</v>
      </c>
      <c r="O1074" s="89">
        <f t="array" ref="O1074">SUM(IF((CsDJ[JEV Number]=TRIM($T1050))*(CsDJ[Account Code]=TRIM(K1074)),CsDJ[Credit]))</f>
        <v>0</v>
      </c>
      <c r="P1074" s="1200">
        <f t="shared" si="90"/>
        <v>0</v>
      </c>
      <c r="Q1074" s="1200"/>
      <c r="R1074" s="1200"/>
      <c r="S1074" s="1200">
        <f t="shared" si="91"/>
        <v>0</v>
      </c>
      <c r="T1074" s="1200"/>
      <c r="U1074" s="1200"/>
      <c r="V1074" s="1201"/>
    </row>
    <row r="1075" spans="1:22">
      <c r="A1075" s="1195"/>
      <c r="B1075" s="1196"/>
      <c r="C1075" s="1196"/>
      <c r="D1075" s="1196"/>
      <c r="E1075" s="1197" t="str">
        <f t="shared" si="88"/>
        <v/>
      </c>
      <c r="F1075" s="1198"/>
      <c r="G1075" s="1198"/>
      <c r="H1075" s="1198"/>
      <c r="I1075" s="1198"/>
      <c r="J1075" s="1199"/>
      <c r="K1075" s="134"/>
      <c r="L1075" s="62" t="str">
        <f t="shared" si="89"/>
        <v/>
      </c>
      <c r="M1075" s="14"/>
      <c r="N1075" s="89">
        <f t="array" ref="N1075">SUM(IF((CsDJ[JEV Number]=TRIM($T1050))*(CsDJ[Account Code]=TRIM(K1075)),CsDJ[Debit]))</f>
        <v>0</v>
      </c>
      <c r="O1075" s="89">
        <f t="array" ref="O1075">SUM(IF((CsDJ[JEV Number]=TRIM($T1050))*(CsDJ[Account Code]=TRIM(K1075)),CsDJ[Credit]))</f>
        <v>0</v>
      </c>
      <c r="P1075" s="1200">
        <f t="shared" si="90"/>
        <v>0</v>
      </c>
      <c r="Q1075" s="1200"/>
      <c r="R1075" s="1200"/>
      <c r="S1075" s="1200">
        <f t="shared" si="91"/>
        <v>0</v>
      </c>
      <c r="T1075" s="1200"/>
      <c r="U1075" s="1200"/>
      <c r="V1075" s="1201"/>
    </row>
    <row r="1076" spans="1:22">
      <c r="A1076" s="1195"/>
      <c r="B1076" s="1196"/>
      <c r="C1076" s="1196"/>
      <c r="D1076" s="1196"/>
      <c r="E1076" s="1197" t="str">
        <f t="shared" si="88"/>
        <v/>
      </c>
      <c r="F1076" s="1198"/>
      <c r="G1076" s="1198"/>
      <c r="H1076" s="1198"/>
      <c r="I1076" s="1198"/>
      <c r="J1076" s="1199"/>
      <c r="K1076" s="134"/>
      <c r="L1076" s="62" t="str">
        <f t="shared" si="89"/>
        <v/>
      </c>
      <c r="M1076" s="14"/>
      <c r="N1076" s="89">
        <f t="array" ref="N1076">SUM(IF((CsDJ[JEV Number]=TRIM($T1050))*(CsDJ[Account Code]=TRIM(K1076)),CsDJ[Debit]))</f>
        <v>0</v>
      </c>
      <c r="O1076" s="89">
        <f t="array" ref="O1076">SUM(IF((CsDJ[JEV Number]=TRIM($T1050))*(CsDJ[Account Code]=TRIM(K1076)),CsDJ[Credit]))</f>
        <v>0</v>
      </c>
      <c r="P1076" s="1200">
        <f t="shared" si="90"/>
        <v>0</v>
      </c>
      <c r="Q1076" s="1200"/>
      <c r="R1076" s="1200"/>
      <c r="S1076" s="1200">
        <f t="shared" si="91"/>
        <v>0</v>
      </c>
      <c r="T1076" s="1200"/>
      <c r="U1076" s="1200"/>
      <c r="V1076" s="1201"/>
    </row>
    <row r="1077" spans="1:22">
      <c r="A1077" s="1195"/>
      <c r="B1077" s="1196"/>
      <c r="C1077" s="1196"/>
      <c r="D1077" s="1196"/>
      <c r="E1077" s="1197" t="str">
        <f t="shared" si="88"/>
        <v/>
      </c>
      <c r="F1077" s="1198"/>
      <c r="G1077" s="1198"/>
      <c r="H1077" s="1198"/>
      <c r="I1077" s="1198"/>
      <c r="J1077" s="1199"/>
      <c r="K1077" s="134"/>
      <c r="L1077" s="62" t="str">
        <f t="shared" si="89"/>
        <v/>
      </c>
      <c r="M1077" s="14"/>
      <c r="N1077" s="89">
        <f t="array" ref="N1077">SUM(IF((CsDJ[JEV Number]=TRIM($T1050))*(CsDJ[Account Code]=TRIM(K1077)),CsDJ[Debit]))</f>
        <v>0</v>
      </c>
      <c r="O1077" s="89">
        <f t="array" ref="O1077">SUM(IF((CsDJ[JEV Number]=TRIM($T1050))*(CsDJ[Account Code]=TRIM(K1077)),CsDJ[Credit]))</f>
        <v>0</v>
      </c>
      <c r="P1077" s="1200">
        <f t="shared" si="90"/>
        <v>0</v>
      </c>
      <c r="Q1077" s="1200"/>
      <c r="R1077" s="1200"/>
      <c r="S1077" s="1200">
        <f t="shared" si="91"/>
        <v>0</v>
      </c>
      <c r="T1077" s="1200"/>
      <c r="U1077" s="1200"/>
      <c r="V1077" s="1201"/>
    </row>
    <row r="1078" spans="1:22">
      <c r="A1078" s="1195"/>
      <c r="B1078" s="1196"/>
      <c r="C1078" s="1196"/>
      <c r="D1078" s="1196"/>
      <c r="E1078" s="1197" t="str">
        <f t="shared" si="88"/>
        <v/>
      </c>
      <c r="F1078" s="1198"/>
      <c r="G1078" s="1198"/>
      <c r="H1078" s="1198"/>
      <c r="I1078" s="1198"/>
      <c r="J1078" s="1199"/>
      <c r="K1078" s="134"/>
      <c r="L1078" s="62" t="str">
        <f t="shared" si="89"/>
        <v/>
      </c>
      <c r="M1078" s="14"/>
      <c r="N1078" s="89">
        <f t="array" ref="N1078">SUM(IF((CsDJ[JEV Number]=TRIM($T1050))*(CsDJ[Account Code]=TRIM(K1078)),CsDJ[Debit]))</f>
        <v>0</v>
      </c>
      <c r="O1078" s="89">
        <f t="array" ref="O1078">SUM(IF((CsDJ[JEV Number]=TRIM($T1050))*(CsDJ[Account Code]=TRIM(K1078)),CsDJ[Credit]))</f>
        <v>0</v>
      </c>
      <c r="P1078" s="1200">
        <f t="shared" si="90"/>
        <v>0</v>
      </c>
      <c r="Q1078" s="1200"/>
      <c r="R1078" s="1200"/>
      <c r="S1078" s="1200">
        <f t="shared" si="91"/>
        <v>0</v>
      </c>
      <c r="T1078" s="1200"/>
      <c r="U1078" s="1200"/>
      <c r="V1078" s="1201"/>
    </row>
    <row r="1079" spans="1:22">
      <c r="A1079" s="1195"/>
      <c r="B1079" s="1196"/>
      <c r="C1079" s="1196"/>
      <c r="D1079" s="1196"/>
      <c r="E1079" s="1197" t="str">
        <f t="shared" si="88"/>
        <v/>
      </c>
      <c r="F1079" s="1198"/>
      <c r="G1079" s="1198"/>
      <c r="H1079" s="1198"/>
      <c r="I1079" s="1198"/>
      <c r="J1079" s="1199"/>
      <c r="K1079" s="134"/>
      <c r="L1079" s="62" t="str">
        <f t="shared" si="89"/>
        <v/>
      </c>
      <c r="M1079" s="14"/>
      <c r="N1079" s="89">
        <f t="array" ref="N1079">SUM(IF((CsDJ[JEV Number]=TRIM($T1050))*(CsDJ[Account Code]=TRIM(K1079)),CsDJ[Debit]))</f>
        <v>0</v>
      </c>
      <c r="O1079" s="89">
        <f t="array" ref="O1079">SUM(IF((CsDJ[JEV Number]=TRIM($T1050))*(CsDJ[Account Code]=TRIM(K1079)),CsDJ[Credit]))</f>
        <v>0</v>
      </c>
      <c r="P1079" s="1200">
        <f t="shared" si="90"/>
        <v>0</v>
      </c>
      <c r="Q1079" s="1200"/>
      <c r="R1079" s="1200"/>
      <c r="S1079" s="1200">
        <f t="shared" si="91"/>
        <v>0</v>
      </c>
      <c r="T1079" s="1200"/>
      <c r="U1079" s="1200"/>
      <c r="V1079" s="1201"/>
    </row>
    <row r="1080" spans="1:22">
      <c r="A1080" s="1195"/>
      <c r="B1080" s="1196"/>
      <c r="C1080" s="1196"/>
      <c r="D1080" s="1196"/>
      <c r="E1080" s="1197" t="str">
        <f t="shared" si="88"/>
        <v/>
      </c>
      <c r="F1080" s="1198"/>
      <c r="G1080" s="1198"/>
      <c r="H1080" s="1198"/>
      <c r="I1080" s="1198"/>
      <c r="J1080" s="1199"/>
      <c r="K1080" s="134"/>
      <c r="L1080" s="62" t="str">
        <f t="shared" si="89"/>
        <v/>
      </c>
      <c r="M1080" s="14"/>
      <c r="N1080" s="89">
        <f t="array" ref="N1080">SUM(IF((CsDJ[JEV Number]=TRIM($T1050))*(CsDJ[Account Code]=TRIM(K1080)),CsDJ[Debit]))</f>
        <v>0</v>
      </c>
      <c r="O1080" s="89">
        <f t="array" ref="O1080">SUM(IF((CsDJ[JEV Number]=TRIM($T1050))*(CsDJ[Account Code]=TRIM(K1080)),CsDJ[Credit]))</f>
        <v>0</v>
      </c>
      <c r="P1080" s="1200">
        <f t="shared" si="90"/>
        <v>0</v>
      </c>
      <c r="Q1080" s="1200"/>
      <c r="R1080" s="1200"/>
      <c r="S1080" s="1200">
        <f t="shared" si="91"/>
        <v>0</v>
      </c>
      <c r="T1080" s="1200"/>
      <c r="U1080" s="1200"/>
      <c r="V1080" s="1201"/>
    </row>
    <row r="1081" spans="1:22">
      <c r="A1081" s="1195"/>
      <c r="B1081" s="1196"/>
      <c r="C1081" s="1196"/>
      <c r="D1081" s="1196"/>
      <c r="E1081" s="1197" t="str">
        <f t="shared" si="88"/>
        <v/>
      </c>
      <c r="F1081" s="1198"/>
      <c r="G1081" s="1198"/>
      <c r="H1081" s="1198"/>
      <c r="I1081" s="1198"/>
      <c r="J1081" s="1199"/>
      <c r="K1081" s="134"/>
      <c r="L1081" s="62" t="str">
        <f t="shared" si="89"/>
        <v/>
      </c>
      <c r="M1081" s="14"/>
      <c r="N1081" s="89">
        <f t="array" ref="N1081">SUM(IF((CsDJ[JEV Number]=TRIM($T1050))*(CsDJ[Account Code]=TRIM(K1081)),CsDJ[Debit]))</f>
        <v>0</v>
      </c>
      <c r="O1081" s="89">
        <f t="array" ref="O1081">SUM(IF((CsDJ[JEV Number]=TRIM($T1050))*(CsDJ[Account Code]=TRIM(K1081)),CsDJ[Credit]))</f>
        <v>0</v>
      </c>
      <c r="P1081" s="1200">
        <f t="shared" si="90"/>
        <v>0</v>
      </c>
      <c r="Q1081" s="1200"/>
      <c r="R1081" s="1200"/>
      <c r="S1081" s="1200">
        <f t="shared" si="91"/>
        <v>0</v>
      </c>
      <c r="T1081" s="1200"/>
      <c r="U1081" s="1200"/>
      <c r="V1081" s="1201"/>
    </row>
    <row r="1082" spans="1:22">
      <c r="A1082" s="1195"/>
      <c r="B1082" s="1196"/>
      <c r="C1082" s="1196"/>
      <c r="D1082" s="1196"/>
      <c r="E1082" s="1197" t="str">
        <f t="shared" si="88"/>
        <v/>
      </c>
      <c r="F1082" s="1198"/>
      <c r="G1082" s="1198"/>
      <c r="H1082" s="1198"/>
      <c r="I1082" s="1198"/>
      <c r="J1082" s="1199"/>
      <c r="K1082" s="134"/>
      <c r="L1082" s="62" t="str">
        <f t="shared" si="89"/>
        <v/>
      </c>
      <c r="M1082" s="14"/>
      <c r="N1082" s="89">
        <f t="array" ref="N1082">SUM(IF((CsDJ[JEV Number]=TRIM($T1050))*(CsDJ[Account Code]=TRIM(K1082)),CsDJ[Debit]))</f>
        <v>0</v>
      </c>
      <c r="O1082" s="89">
        <f t="array" ref="O1082">SUM(IF((CsDJ[JEV Number]=TRIM($T1050))*(CsDJ[Account Code]=TRIM(K1082)),CsDJ[Credit]))</f>
        <v>0</v>
      </c>
      <c r="P1082" s="1200">
        <f t="shared" si="90"/>
        <v>0</v>
      </c>
      <c r="Q1082" s="1200"/>
      <c r="R1082" s="1200"/>
      <c r="S1082" s="1200">
        <f t="shared" si="91"/>
        <v>0</v>
      </c>
      <c r="T1082" s="1200"/>
      <c r="U1082" s="1200"/>
      <c r="V1082" s="1201"/>
    </row>
    <row r="1083" spans="1:22">
      <c r="A1083" s="1195"/>
      <c r="B1083" s="1196"/>
      <c r="C1083" s="1196"/>
      <c r="D1083" s="1196"/>
      <c r="E1083" s="1197" t="str">
        <f t="shared" si="88"/>
        <v/>
      </c>
      <c r="F1083" s="1198"/>
      <c r="G1083" s="1198"/>
      <c r="H1083" s="1198"/>
      <c r="I1083" s="1198"/>
      <c r="J1083" s="1199"/>
      <c r="K1083" s="134"/>
      <c r="L1083" s="62" t="str">
        <f t="shared" si="89"/>
        <v/>
      </c>
      <c r="M1083" s="14"/>
      <c r="N1083" s="89">
        <f t="array" ref="N1083">SUM(IF((CsDJ[JEV Number]=TRIM($T1050))*(CsDJ[Account Code]=TRIM(K1083)),CsDJ[Debit]))</f>
        <v>0</v>
      </c>
      <c r="O1083" s="89">
        <f t="array" ref="O1083">SUM(IF((CsDJ[JEV Number]=TRIM($T1050))*(CsDJ[Account Code]=TRIM(K1083)),CsDJ[Credit]))</f>
        <v>0</v>
      </c>
      <c r="P1083" s="1200">
        <f t="shared" si="90"/>
        <v>0</v>
      </c>
      <c r="Q1083" s="1200"/>
      <c r="R1083" s="1200"/>
      <c r="S1083" s="1200">
        <f t="shared" si="91"/>
        <v>0</v>
      </c>
      <c r="T1083" s="1200"/>
      <c r="U1083" s="1200"/>
      <c r="V1083" s="1201"/>
    </row>
    <row r="1084" spans="1:22">
      <c r="A1084" s="1195"/>
      <c r="B1084" s="1196"/>
      <c r="C1084" s="1196"/>
      <c r="D1084" s="1196"/>
      <c r="E1084" s="1257" t="s">
        <v>468</v>
      </c>
      <c r="F1084" s="1258"/>
      <c r="G1084" s="1258"/>
      <c r="H1084" s="1258"/>
      <c r="I1084" s="1258"/>
      <c r="J1084" s="1259"/>
      <c r="K1084" s="133"/>
      <c r="L1084" s="62" t="str">
        <f t="shared" si="89"/>
        <v/>
      </c>
      <c r="M1084" s="14"/>
      <c r="N1084" s="89">
        <f t="array" ref="N1084">SUM(IF((CsDJ[JEV Number]=TRIM($T1050))*(CsDJ[Account Code]=TRIM(K1084)),CsDJ[Debit]))</f>
        <v>0</v>
      </c>
      <c r="O1084" s="89">
        <f t="array" ref="O1084">SUM(IF((CsDJ[JEV Number]=TRIM($T1050))*(CsDJ[Account Code]=TRIM(K1084)),CsDJ[Credit]))</f>
        <v>0</v>
      </c>
      <c r="P1084" s="1200">
        <f t="shared" si="90"/>
        <v>0</v>
      </c>
      <c r="Q1084" s="1200"/>
      <c r="R1084" s="1200"/>
      <c r="S1084" s="1200">
        <f t="shared" si="91"/>
        <v>0</v>
      </c>
      <c r="T1084" s="1200"/>
      <c r="U1084" s="1200"/>
      <c r="V1084" s="1201"/>
    </row>
    <row r="1085" spans="1:22">
      <c r="A1085" s="1195"/>
      <c r="B1085" s="1196"/>
      <c r="C1085" s="1196"/>
      <c r="D1085" s="1196"/>
      <c r="E1085" s="1202" t="s">
        <v>457</v>
      </c>
      <c r="F1085" s="1203"/>
      <c r="G1085" s="1203"/>
      <c r="H1085" s="1203"/>
      <c r="I1085" s="1207">
        <f>T1051</f>
        <v>0</v>
      </c>
      <c r="J1085" s="1208"/>
      <c r="K1085" s="133"/>
      <c r="L1085" s="62" t="str">
        <f t="shared" si="89"/>
        <v/>
      </c>
      <c r="M1085" s="14"/>
      <c r="N1085" s="89">
        <f t="array" ref="N1085">SUM(IF((CsDJ[JEV Number]=TRIM($T1050))*(CsDJ[Account Code]=TRIM(K1085)),CsDJ[Debit]))</f>
        <v>0</v>
      </c>
      <c r="O1085" s="89">
        <f t="array" ref="O1085">SUM(IF((CsDJ[JEV Number]=TRIM($T1050))*(CsDJ[Account Code]=TRIM(K1085)),CsDJ[Credit]))</f>
        <v>0</v>
      </c>
      <c r="P1085" s="1200">
        <f t="shared" si="90"/>
        <v>0</v>
      </c>
      <c r="Q1085" s="1200"/>
      <c r="R1085" s="1200"/>
      <c r="S1085" s="1200">
        <f t="shared" si="91"/>
        <v>0</v>
      </c>
      <c r="T1085" s="1200"/>
      <c r="U1085" s="1200"/>
      <c r="V1085" s="1201"/>
    </row>
    <row r="1086" spans="1:22">
      <c r="A1086" s="1195"/>
      <c r="B1086" s="1196"/>
      <c r="C1086" s="1196"/>
      <c r="D1086" s="1196"/>
      <c r="E1086" s="1202" t="s">
        <v>458</v>
      </c>
      <c r="F1086" s="1203"/>
      <c r="G1086" s="1203"/>
      <c r="H1086" s="1203"/>
      <c r="I1086" s="1263">
        <f>IF(T1050=0,0,(IF(LOOKUP(T1050,CsDJ[JEV Number],CsDJ[Sort Code])="1","MA. VIVIAN C. SALAS",IF(LOOKUP(T1050,CsDJ[JEV Number],CsDJ[Sort Code])="2","LUZ R. DE COZAR",IF(LOOKUP(T1050,CsDJ[JEV Number],CsDJ[Sort Code])="3","MINEONETTE A. DELA CRUZ",IF(LOOKUP(T1050,CsDJ[JEV Number],CsDJ[Sort Code])="4","RESELLA B. LOPEZ"))))))</f>
        <v>0</v>
      </c>
      <c r="J1086" s="1264"/>
      <c r="K1086" s="133"/>
      <c r="L1086" s="62" t="str">
        <f t="shared" si="89"/>
        <v/>
      </c>
      <c r="M1086" s="14"/>
      <c r="N1086" s="89">
        <f t="array" ref="N1086">SUM(IF((CsDJ[JEV Number]=TRIM($T1050))*(CsDJ[Account Code]=TRIM(K1086)),CsDJ[Debit]))</f>
        <v>0</v>
      </c>
      <c r="O1086" s="89">
        <f t="array" ref="O1086">SUM(IF((CsDJ[JEV Number]=TRIM($T1050))*(CsDJ[Account Code]=TRIM(K1086)),CsDJ[Credit]))</f>
        <v>0</v>
      </c>
      <c r="P1086" s="1200">
        <f t="shared" si="90"/>
        <v>0</v>
      </c>
      <c r="Q1086" s="1200"/>
      <c r="R1086" s="1200"/>
      <c r="S1086" s="1200">
        <f t="shared" si="91"/>
        <v>0</v>
      </c>
      <c r="T1086" s="1200"/>
      <c r="U1086" s="1200"/>
      <c r="V1086" s="1201"/>
    </row>
    <row r="1087" spans="1:22">
      <c r="A1087" s="1195"/>
      <c r="B1087" s="1196"/>
      <c r="C1087" s="1196"/>
      <c r="D1087" s="1196"/>
      <c r="E1087" s="1202" t="s">
        <v>459</v>
      </c>
      <c r="F1087" s="1203"/>
      <c r="G1087" s="1203"/>
      <c r="H1087" s="1203"/>
      <c r="I1087" s="1204">
        <f>IF(I1086="Ma. Vivian C. Salas","Regional Office", IF(I1086="Luz R. De Cozar","BANE IMO", IF(I1086="Mineonette A. Dela Cruz","PAMBAT IMO", IF(I1086="Resella B. Lopez","TARZAM IMO",0))))</f>
        <v>0</v>
      </c>
      <c r="J1087" s="1205"/>
      <c r="K1087" s="133"/>
      <c r="L1087" s="62" t="str">
        <f t="shared" si="89"/>
        <v/>
      </c>
      <c r="M1087" s="14"/>
      <c r="N1087" s="89">
        <f t="array" ref="N1087">SUM(IF((CsDJ[JEV Number]=TRIM($T1050))*(CsDJ[Account Code]=TRIM(K1087)),CsDJ[Debit]))</f>
        <v>0</v>
      </c>
      <c r="O1087" s="89">
        <f t="array" ref="O1087">SUM(IF((CsDJ[JEV Number]=TRIM($T1050))*(CsDJ[Account Code]=TRIM(K1087)),CsDJ[Credit]))</f>
        <v>0</v>
      </c>
      <c r="P1087" s="1200">
        <f t="shared" si="90"/>
        <v>0</v>
      </c>
      <c r="Q1087" s="1200"/>
      <c r="R1087" s="1200"/>
      <c r="S1087" s="1200">
        <f t="shared" si="91"/>
        <v>0</v>
      </c>
      <c r="T1087" s="1200"/>
      <c r="U1087" s="1200"/>
      <c r="V1087" s="1201"/>
    </row>
    <row r="1088" spans="1:22">
      <c r="A1088" s="1195"/>
      <c r="B1088" s="1196"/>
      <c r="C1088" s="1196"/>
      <c r="D1088" s="1196"/>
      <c r="E1088" s="1202"/>
      <c r="F1088" s="1203"/>
      <c r="G1088" s="1203"/>
      <c r="H1088" s="1203"/>
      <c r="I1088" s="1203"/>
      <c r="J1088" s="1206"/>
      <c r="K1088" s="133"/>
      <c r="L1088" s="62" t="str">
        <f t="shared" si="89"/>
        <v/>
      </c>
      <c r="M1088" s="14"/>
      <c r="N1088" s="89">
        <f t="array" ref="N1088">SUM(IF((CsDJ[JEV Number]=TRIM($T1050))*(CsDJ[Account Code]=TRIM(K1088)),CsDJ[Debit]))</f>
        <v>0</v>
      </c>
      <c r="O1088" s="89">
        <f t="array" ref="O1088">SUM(IF((CsDJ[JEV Number]=TRIM($T1050))*(CsDJ[Account Code]=TRIM(K1088)),CsDJ[Credit]))</f>
        <v>0</v>
      </c>
      <c r="P1088" s="1200">
        <f t="shared" si="90"/>
        <v>0</v>
      </c>
      <c r="Q1088" s="1200"/>
      <c r="R1088" s="1200"/>
      <c r="S1088" s="1200">
        <f t="shared" si="91"/>
        <v>0</v>
      </c>
      <c r="T1088" s="1200"/>
      <c r="U1088" s="1200"/>
      <c r="V1088" s="1201"/>
    </row>
    <row r="1089" spans="1:22" ht="16.5" thickBot="1">
      <c r="A1089" s="1188"/>
      <c r="B1089" s="1189"/>
      <c r="C1089" s="1189"/>
      <c r="D1089" s="1189"/>
      <c r="E1089" s="1189"/>
      <c r="F1089" s="1189"/>
      <c r="G1089" s="1189"/>
      <c r="H1089" s="1189"/>
      <c r="I1089" s="1189"/>
      <c r="J1089" s="1189"/>
      <c r="K1089" s="1189"/>
      <c r="L1089" s="1189"/>
      <c r="M1089" s="1190"/>
      <c r="N1089" s="88"/>
      <c r="O1089" s="88"/>
      <c r="P1089" s="1191">
        <f>SUM(P1059:R1088)</f>
        <v>0</v>
      </c>
      <c r="Q1089" s="1191"/>
      <c r="R1089" s="1191"/>
      <c r="S1089" s="1191">
        <f>SUM(S1059:V1088)</f>
        <v>0</v>
      </c>
      <c r="T1089" s="1191"/>
      <c r="U1089" s="1191"/>
      <c r="V1089" s="1192"/>
    </row>
    <row r="1090" spans="1:22">
      <c r="A1090" s="63"/>
      <c r="B1090" s="64"/>
      <c r="C1090" s="64"/>
      <c r="D1090" s="64"/>
      <c r="E1090" s="64"/>
      <c r="F1090" s="64"/>
      <c r="G1090" s="64"/>
      <c r="H1090" s="64"/>
      <c r="I1090" s="65"/>
      <c r="J1090" s="64"/>
      <c r="K1090" s="66"/>
      <c r="L1090" s="64"/>
      <c r="M1090" s="65"/>
      <c r="N1090" s="64"/>
      <c r="O1090" s="64"/>
      <c r="P1090" s="1193"/>
      <c r="Q1090" s="1193"/>
      <c r="R1090" s="1193"/>
      <c r="S1090" s="1193"/>
      <c r="T1090" s="1193"/>
      <c r="U1090" s="1193"/>
      <c r="V1090" s="1194"/>
    </row>
    <row r="1091" spans="1:22">
      <c r="A1091" s="67" t="s">
        <v>460</v>
      </c>
      <c r="B1091"/>
      <c r="C1091"/>
      <c r="D1091"/>
      <c r="E1091"/>
      <c r="F1091"/>
      <c r="G1091"/>
      <c r="H1091"/>
      <c r="I1091" s="68" t="s">
        <v>353</v>
      </c>
      <c r="J1091" s="69"/>
      <c r="K1091" s="69"/>
      <c r="L1091"/>
      <c r="M1091" s="68" t="s">
        <v>461</v>
      </c>
      <c r="N1091" s="69"/>
      <c r="O1091" s="69"/>
      <c r="P1091" s="70"/>
      <c r="Q1091" s="70"/>
      <c r="R1091" s="70"/>
      <c r="S1091" s="70"/>
      <c r="T1091" s="70"/>
      <c r="U1091" s="70"/>
      <c r="V1091" s="71"/>
    </row>
    <row r="1092" spans="1:22">
      <c r="A1092" s="37"/>
      <c r="B1092"/>
      <c r="C1092"/>
      <c r="D1092"/>
      <c r="E1092"/>
      <c r="F1092"/>
      <c r="G1092"/>
      <c r="H1092"/>
      <c r="I1092" s="72"/>
      <c r="J1092"/>
      <c r="K1092"/>
      <c r="L1092"/>
      <c r="M1092" s="72"/>
      <c r="N1092"/>
      <c r="O1092"/>
      <c r="P1092"/>
      <c r="Q1092"/>
      <c r="R1092"/>
      <c r="S1092"/>
      <c r="T1092"/>
      <c r="U1092"/>
      <c r="V1092" s="73"/>
    </row>
    <row r="1093" spans="1:22">
      <c r="A1093" s="74" t="s">
        <v>462</v>
      </c>
      <c r="B1093" s="75"/>
      <c r="C1093" s="75"/>
      <c r="D1093" s="75"/>
      <c r="E1093" s="75"/>
      <c r="F1093" s="75"/>
      <c r="G1093" s="75"/>
      <c r="H1093" s="76"/>
      <c r="I1093" s="77" t="s">
        <v>380</v>
      </c>
      <c r="J1093" s="75"/>
      <c r="K1093" s="75"/>
      <c r="L1093" s="76"/>
      <c r="M1093" s="77" t="s">
        <v>3</v>
      </c>
      <c r="N1093" s="75"/>
      <c r="O1093" s="75"/>
      <c r="P1093" s="75"/>
      <c r="Q1093" s="75"/>
      <c r="R1093" s="75"/>
      <c r="S1093" s="75"/>
      <c r="T1093" s="75"/>
      <c r="U1093" s="75"/>
      <c r="V1093" s="78"/>
    </row>
    <row r="1094" spans="1:22">
      <c r="A1094" s="79" t="s">
        <v>463</v>
      </c>
      <c r="B1094" s="80"/>
      <c r="C1094" s="80"/>
      <c r="D1094" s="80"/>
      <c r="E1094" s="80"/>
      <c r="F1094" s="80"/>
      <c r="G1094" s="80"/>
      <c r="H1094" s="80"/>
      <c r="I1094" s="81" t="s">
        <v>381</v>
      </c>
      <c r="J1094" s="80"/>
      <c r="K1094" s="80"/>
      <c r="L1094" s="80"/>
      <c r="M1094" s="81" t="s">
        <v>464</v>
      </c>
      <c r="N1094" s="80"/>
      <c r="O1094" s="80"/>
      <c r="P1094" s="82"/>
      <c r="Q1094" s="82"/>
      <c r="R1094" s="82"/>
      <c r="S1094" s="82"/>
      <c r="T1094" s="82"/>
      <c r="U1094" s="82"/>
      <c r="V1094" s="83"/>
    </row>
    <row r="1095" spans="1:22" ht="16.5" thickBot="1">
      <c r="A1095" s="84" t="s">
        <v>465</v>
      </c>
      <c r="B1095" s="43"/>
      <c r="C1095" s="43"/>
      <c r="D1095" s="43"/>
      <c r="E1095" s="43"/>
      <c r="F1095" s="43"/>
      <c r="G1095" s="43"/>
      <c r="H1095" s="43"/>
      <c r="I1095" s="85"/>
      <c r="J1095" s="43"/>
      <c r="K1095" s="43"/>
      <c r="L1095" s="43"/>
      <c r="M1095" s="85"/>
      <c r="N1095" s="43"/>
      <c r="O1095" s="43"/>
      <c r="P1095" s="43"/>
      <c r="Q1095" s="43"/>
      <c r="R1095" s="43"/>
      <c r="S1095" s="43"/>
      <c r="T1095" s="43"/>
      <c r="U1095" s="43"/>
      <c r="V1095" s="44"/>
    </row>
    <row r="1096" spans="1:22" ht="22.5">
      <c r="A1096" s="31" t="s">
        <v>441</v>
      </c>
      <c r="B1096" s="32"/>
      <c r="C1096" s="32"/>
      <c r="D1096" s="32"/>
      <c r="E1096" s="32"/>
      <c r="F1096" s="32"/>
      <c r="G1096" s="32"/>
      <c r="H1096" s="32"/>
      <c r="I1096" s="32"/>
      <c r="J1096" s="32"/>
      <c r="K1096" s="32"/>
      <c r="L1096" s="32"/>
      <c r="M1096" s="32"/>
      <c r="N1096" s="32"/>
      <c r="O1096" s="32"/>
      <c r="P1096" s="32"/>
      <c r="Q1096" s="33"/>
      <c r="R1096" s="1218">
        <f>+P1136-S1136</f>
        <v>0</v>
      </c>
      <c r="S1096" s="1219"/>
      <c r="T1096" s="1219"/>
      <c r="U1096" s="1219"/>
      <c r="V1096" s="1220"/>
    </row>
    <row r="1097" spans="1:22">
      <c r="A1097" s="34" t="s">
        <v>442</v>
      </c>
      <c r="B1097" s="35"/>
      <c r="C1097" s="35"/>
      <c r="D1097" s="35"/>
      <c r="E1097" s="35"/>
      <c r="F1097" s="35"/>
      <c r="G1097" s="35"/>
      <c r="H1097" s="35"/>
      <c r="I1097" s="35"/>
      <c r="J1097" s="35"/>
      <c r="K1097" s="35"/>
      <c r="L1097" s="35"/>
      <c r="M1097" s="35"/>
      <c r="N1097" s="35"/>
      <c r="O1097" s="35"/>
      <c r="P1097" s="35"/>
      <c r="Q1097" s="36"/>
      <c r="R1097" s="37" t="s">
        <v>443</v>
      </c>
      <c r="S1097"/>
      <c r="T1097" s="1221"/>
      <c r="U1097" s="1221"/>
      <c r="V1097" s="1222"/>
    </row>
    <row r="1098" spans="1:22">
      <c r="A1098" s="38" t="s">
        <v>444</v>
      </c>
      <c r="B1098" s="35"/>
      <c r="C1098" s="35"/>
      <c r="D1098" s="35"/>
      <c r="E1098" s="35"/>
      <c r="F1098" s="35"/>
      <c r="G1098" s="35"/>
      <c r="H1098" s="35"/>
      <c r="I1098" s="35"/>
      <c r="J1098" s="35"/>
      <c r="K1098" s="35"/>
      <c r="L1098" s="35"/>
      <c r="M1098" s="35"/>
      <c r="N1098" s="35"/>
      <c r="O1098" s="35"/>
      <c r="P1098" s="35"/>
      <c r="Q1098" s="36"/>
      <c r="R1098" s="37" t="s">
        <v>0</v>
      </c>
      <c r="S1098"/>
      <c r="T1098" s="1223">
        <f>IF(T1097=0,0,(LOOKUP(T1097,CsDJ[JEV Number],CsDJ[Date])))</f>
        <v>0</v>
      </c>
      <c r="U1098" s="1223"/>
      <c r="V1098" s="1224"/>
    </row>
    <row r="1099" spans="1:22" ht="16.5" thickBot="1">
      <c r="A1099" s="39"/>
      <c r="B1099" s="40"/>
      <c r="C1099" s="40"/>
      <c r="D1099" s="40"/>
      <c r="E1099" s="40"/>
      <c r="F1099" s="40"/>
      <c r="G1099" s="40"/>
      <c r="H1099" s="40"/>
      <c r="I1099" s="40"/>
      <c r="J1099" s="40"/>
      <c r="K1099" s="40"/>
      <c r="L1099" s="40"/>
      <c r="M1099" s="40"/>
      <c r="N1099" s="40"/>
      <c r="O1099" s="40"/>
      <c r="P1099" s="40"/>
      <c r="Q1099" s="41"/>
      <c r="R1099" s="42"/>
      <c r="S1099" s="43"/>
      <c r="T1099" s="43"/>
      <c r="U1099" s="43"/>
      <c r="V1099" s="44"/>
    </row>
    <row r="1100" spans="1:22">
      <c r="A1100" s="45"/>
      <c r="B1100" s="46"/>
      <c r="C1100" s="46"/>
      <c r="D1100" s="46"/>
      <c r="E1100" s="46"/>
      <c r="F1100" s="46"/>
      <c r="G1100" s="46"/>
      <c r="H1100" s="46"/>
      <c r="I1100" s="46"/>
      <c r="J1100" s="46"/>
      <c r="K1100" s="46"/>
      <c r="L1100" s="47"/>
      <c r="M1100" s="46"/>
      <c r="N1100" s="46"/>
      <c r="O1100" s="46"/>
      <c r="P1100" s="46"/>
      <c r="Q1100" s="46"/>
      <c r="R1100" s="46"/>
      <c r="S1100" s="46"/>
      <c r="T1100" s="46"/>
      <c r="U1100" s="46"/>
      <c r="V1100" s="48"/>
    </row>
    <row r="1101" spans="1:22">
      <c r="A1101" s="49"/>
      <c r="B1101" s="1225"/>
      <c r="C1101" s="1225"/>
      <c r="D1101" s="50" t="s">
        <v>445</v>
      </c>
      <c r="H1101" s="51"/>
      <c r="I1101" s="25" t="s">
        <v>447</v>
      </c>
      <c r="J1101" s="132" t="s">
        <v>446</v>
      </c>
      <c r="K1101" s="52" t="s">
        <v>448</v>
      </c>
      <c r="L1101" s="52"/>
      <c r="Q1101" s="1225"/>
      <c r="R1101" s="1225"/>
      <c r="S1101" s="50" t="s">
        <v>449</v>
      </c>
      <c r="T1101" s="50"/>
      <c r="U1101" s="50"/>
      <c r="V1101" s="53"/>
    </row>
    <row r="1102" spans="1:22" ht="16.5" thickBot="1">
      <c r="A1102" s="54"/>
      <c r="B1102" s="55"/>
      <c r="C1102" s="55"/>
      <c r="D1102" s="55"/>
      <c r="E1102" s="55"/>
      <c r="F1102" s="55"/>
      <c r="G1102" s="55"/>
      <c r="H1102" s="55"/>
      <c r="I1102" s="55"/>
      <c r="J1102" s="55"/>
      <c r="K1102" s="55"/>
      <c r="L1102" s="56"/>
      <c r="M1102" s="55"/>
      <c r="N1102" s="55"/>
      <c r="O1102" s="55"/>
      <c r="P1102" s="55"/>
      <c r="Q1102" s="55"/>
      <c r="R1102" s="55"/>
      <c r="S1102" s="55"/>
      <c r="T1102" s="55"/>
      <c r="U1102" s="55"/>
      <c r="V1102" s="57"/>
    </row>
    <row r="1103" spans="1:22">
      <c r="A1103" s="1226" t="s">
        <v>397</v>
      </c>
      <c r="B1103" s="1227"/>
      <c r="C1103" s="1227"/>
      <c r="D1103" s="1228"/>
      <c r="E1103" s="1235" t="s">
        <v>450</v>
      </c>
      <c r="F1103" s="1235"/>
      <c r="G1103" s="1235"/>
      <c r="H1103" s="1235"/>
      <c r="I1103" s="1235"/>
      <c r="J1103" s="1235"/>
      <c r="K1103" s="1235"/>
      <c r="L1103" s="1235"/>
      <c r="M1103" s="1235"/>
      <c r="N1103" s="1235"/>
      <c r="O1103" s="1235"/>
      <c r="P1103" s="1235"/>
      <c r="Q1103" s="1235"/>
      <c r="R1103" s="1235"/>
      <c r="S1103" s="1235"/>
      <c r="T1103" s="1235"/>
      <c r="U1103" s="1235"/>
      <c r="V1103" s="1236"/>
    </row>
    <row r="1104" spans="1:22">
      <c r="A1104" s="1229"/>
      <c r="B1104" s="1230"/>
      <c r="C1104" s="1230"/>
      <c r="D1104" s="1231"/>
      <c r="E1104" s="1237" t="s">
        <v>451</v>
      </c>
      <c r="F1104" s="1237"/>
      <c r="G1104" s="1237"/>
      <c r="H1104" s="1237"/>
      <c r="I1104" s="1237"/>
      <c r="J1104" s="1237"/>
      <c r="K1104" s="1239" t="s">
        <v>378</v>
      </c>
      <c r="L1104" s="1239"/>
      <c r="M1104" s="1237" t="s">
        <v>452</v>
      </c>
      <c r="N1104" s="1240" t="s">
        <v>453</v>
      </c>
      <c r="O1104" s="1241"/>
      <c r="P1104" s="1241"/>
      <c r="Q1104" s="1241"/>
      <c r="R1104" s="1241"/>
      <c r="S1104" s="1241"/>
      <c r="T1104" s="1241"/>
      <c r="U1104" s="1241"/>
      <c r="V1104" s="1242"/>
    </row>
    <row r="1105" spans="1:22" ht="16.5" customHeight="1" thickBot="1">
      <c r="A1105" s="1232"/>
      <c r="B1105" s="1233"/>
      <c r="C1105" s="1233"/>
      <c r="D1105" s="1234"/>
      <c r="E1105" s="1238"/>
      <c r="F1105" s="1238"/>
      <c r="G1105" s="1238"/>
      <c r="H1105" s="1238"/>
      <c r="I1105" s="1238"/>
      <c r="J1105" s="1238"/>
      <c r="K1105" s="58" t="s">
        <v>454</v>
      </c>
      <c r="L1105" s="58" t="s">
        <v>455</v>
      </c>
      <c r="M1105" s="1238"/>
      <c r="N1105" s="87" t="s">
        <v>466</v>
      </c>
      <c r="O1105" s="87" t="s">
        <v>467</v>
      </c>
      <c r="P1105" s="1243" t="s">
        <v>1</v>
      </c>
      <c r="Q1105" s="1244"/>
      <c r="R1105" s="1245"/>
      <c r="S1105" s="1243" t="s">
        <v>2</v>
      </c>
      <c r="T1105" s="1244"/>
      <c r="U1105" s="1244"/>
      <c r="V1105" s="1246"/>
    </row>
    <row r="1106" spans="1:22" ht="19.5">
      <c r="A1106" s="1210">
        <f>P1136-S1136</f>
        <v>0</v>
      </c>
      <c r="B1106" s="1211"/>
      <c r="C1106" s="1211"/>
      <c r="D1106" s="1211"/>
      <c r="E1106" s="1212" t="str">
        <f>Account!$G$1</f>
        <v>FUND 501 CARP</v>
      </c>
      <c r="F1106" s="1213"/>
      <c r="G1106" s="1213"/>
      <c r="H1106" s="1213"/>
      <c r="I1106" s="1213"/>
      <c r="J1106" s="1214"/>
      <c r="K1106" s="59"/>
      <c r="L1106" s="59"/>
      <c r="M1106" s="60"/>
      <c r="N1106" s="60"/>
      <c r="O1106" s="60"/>
      <c r="P1106" s="1215"/>
      <c r="Q1106" s="1215"/>
      <c r="R1106" s="1215"/>
      <c r="S1106" s="1215"/>
      <c r="T1106" s="1215"/>
      <c r="U1106" s="1215"/>
      <c r="V1106" s="1216"/>
    </row>
    <row r="1107" spans="1:22">
      <c r="A1107" s="1195"/>
      <c r="B1107" s="1196"/>
      <c r="C1107" s="1196"/>
      <c r="D1107" s="1196"/>
      <c r="E1107" s="1196"/>
      <c r="F1107" s="1196"/>
      <c r="G1107" s="1196"/>
      <c r="H1107" s="1196"/>
      <c r="I1107" s="1196"/>
      <c r="J1107" s="1196"/>
      <c r="K1107" s="61"/>
      <c r="L1107" s="61"/>
      <c r="M1107" s="14"/>
      <c r="N1107" s="14"/>
      <c r="O1107" s="14"/>
      <c r="P1107" s="1196"/>
      <c r="Q1107" s="1196"/>
      <c r="R1107" s="1196"/>
      <c r="S1107" s="1196"/>
      <c r="T1107" s="1196"/>
      <c r="U1107" s="1196"/>
      <c r="V1107" s="1217"/>
    </row>
    <row r="1108" spans="1:22">
      <c r="A1108" s="1195"/>
      <c r="B1108" s="1196"/>
      <c r="C1108" s="1196"/>
      <c r="D1108" s="1196"/>
      <c r="E1108" s="1197" t="str">
        <f t="shared" ref="E1108:E1130" si="92">IF(K1108=0,"",(VLOOKUP((TRIM(K1108)),Code,2,)))</f>
        <v/>
      </c>
      <c r="F1108" s="1198"/>
      <c r="G1108" s="1198"/>
      <c r="H1108" s="1198"/>
      <c r="I1108" s="1198"/>
      <c r="J1108" s="1199"/>
      <c r="K1108" s="133"/>
      <c r="L1108" s="62" t="str">
        <f t="shared" ref="L1108:L1135" si="93">IF(K1108=0,"",VLOOKUP((TRIM(K1108)),Code,3,))</f>
        <v/>
      </c>
      <c r="M1108" s="14"/>
      <c r="N1108" s="89">
        <f t="array" ref="N1108">SUM(IF((CsDJ[JEV Number]=TRIM($T1097))*(CsDJ[Account Code]=TRIM(K1108)),CsDJ[Debit]))</f>
        <v>0</v>
      </c>
      <c r="O1108" s="89">
        <f t="array" ref="O1108">SUM(IF((CsDJ[JEV Number]=TRIM($T1097))*(CsDJ[Account Code]=TRIM(K1108)),CsDJ[Credit]))</f>
        <v>0</v>
      </c>
      <c r="P1108" s="1200">
        <f>N1108</f>
        <v>0</v>
      </c>
      <c r="Q1108" s="1200"/>
      <c r="R1108" s="1200"/>
      <c r="S1108" s="1200">
        <f>O1108</f>
        <v>0</v>
      </c>
      <c r="T1108" s="1200"/>
      <c r="U1108" s="1200"/>
      <c r="V1108" s="1201"/>
    </row>
    <row r="1109" spans="1:22">
      <c r="A1109" s="1195"/>
      <c r="B1109" s="1196"/>
      <c r="C1109" s="1196"/>
      <c r="D1109" s="1196"/>
      <c r="E1109" s="1197" t="str">
        <f t="shared" si="92"/>
        <v/>
      </c>
      <c r="F1109" s="1198"/>
      <c r="G1109" s="1198"/>
      <c r="H1109" s="1198"/>
      <c r="I1109" s="1198"/>
      <c r="J1109" s="1199"/>
      <c r="K1109" s="133"/>
      <c r="L1109" s="62" t="str">
        <f t="shared" si="93"/>
        <v/>
      </c>
      <c r="M1109" s="14"/>
      <c r="N1109" s="89">
        <f t="array" ref="N1109">SUM(IF((CsDJ[JEV Number]=TRIM($T1097))*(CsDJ[Account Code]=TRIM(K1109)),CsDJ[Debit]))</f>
        <v>0</v>
      </c>
      <c r="O1109" s="89">
        <f t="array" ref="O1109">SUM(IF((CsDJ[JEV Number]=TRIM($T1097))*(CsDJ[Account Code]=TRIM(K1109)),CsDJ[Credit]))</f>
        <v>0</v>
      </c>
      <c r="P1109" s="1200">
        <f>N1109</f>
        <v>0</v>
      </c>
      <c r="Q1109" s="1200"/>
      <c r="R1109" s="1200"/>
      <c r="S1109" s="1200">
        <f>O1109</f>
        <v>0</v>
      </c>
      <c r="T1109" s="1200"/>
      <c r="U1109" s="1200"/>
      <c r="V1109" s="1201"/>
    </row>
    <row r="1110" spans="1:22">
      <c r="A1110" s="1195"/>
      <c r="B1110" s="1196"/>
      <c r="C1110" s="1196"/>
      <c r="D1110" s="1196"/>
      <c r="E1110" s="1197" t="str">
        <f t="shared" si="92"/>
        <v/>
      </c>
      <c r="F1110" s="1198"/>
      <c r="G1110" s="1198"/>
      <c r="H1110" s="1198"/>
      <c r="I1110" s="1198"/>
      <c r="J1110" s="1199"/>
      <c r="K1110" s="133"/>
      <c r="L1110" s="62" t="str">
        <f t="shared" si="93"/>
        <v/>
      </c>
      <c r="M1110" s="14"/>
      <c r="N1110" s="89">
        <f t="array" ref="N1110">SUM(IF((CsDJ[JEV Number]=TRIM($T1097))*(CsDJ[Account Code]=TRIM(K1110)),CsDJ[Debit]))</f>
        <v>0</v>
      </c>
      <c r="O1110" s="89">
        <f t="array" ref="O1110">SUM(IF((CsDJ[JEV Number]=TRIM($T1097))*(CsDJ[Account Code]=TRIM(K1110)),CsDJ[Credit]))</f>
        <v>0</v>
      </c>
      <c r="P1110" s="1200">
        <f t="shared" ref="P1110:P1135" si="94">N1110</f>
        <v>0</v>
      </c>
      <c r="Q1110" s="1200"/>
      <c r="R1110" s="1200"/>
      <c r="S1110" s="1200">
        <f t="shared" ref="S1110:S1135" si="95">O1110</f>
        <v>0</v>
      </c>
      <c r="T1110" s="1200"/>
      <c r="U1110" s="1200"/>
      <c r="V1110" s="1201"/>
    </row>
    <row r="1111" spans="1:22">
      <c r="A1111" s="1195"/>
      <c r="B1111" s="1196"/>
      <c r="C1111" s="1196"/>
      <c r="D1111" s="1196"/>
      <c r="E1111" s="1197" t="str">
        <f t="shared" si="92"/>
        <v/>
      </c>
      <c r="F1111" s="1198"/>
      <c r="G1111" s="1198"/>
      <c r="H1111" s="1198"/>
      <c r="I1111" s="1198"/>
      <c r="J1111" s="1199"/>
      <c r="K1111" s="133"/>
      <c r="L1111" s="62" t="str">
        <f t="shared" si="93"/>
        <v/>
      </c>
      <c r="M1111" s="14"/>
      <c r="N1111" s="89">
        <f t="array" ref="N1111">SUM(IF((CsDJ[JEV Number]=TRIM($T1097))*(CsDJ[Account Code]=TRIM(K1111)),CsDJ[Debit]))</f>
        <v>0</v>
      </c>
      <c r="O1111" s="89">
        <f t="array" ref="O1111">SUM(IF((CsDJ[JEV Number]=TRIM($T1097))*(CsDJ[Account Code]=TRIM(K1111)),CsDJ[Credit]))</f>
        <v>0</v>
      </c>
      <c r="P1111" s="1200">
        <f t="shared" si="94"/>
        <v>0</v>
      </c>
      <c r="Q1111" s="1200"/>
      <c r="R1111" s="1200"/>
      <c r="S1111" s="1200">
        <f t="shared" si="95"/>
        <v>0</v>
      </c>
      <c r="T1111" s="1200"/>
      <c r="U1111" s="1200"/>
      <c r="V1111" s="1201"/>
    </row>
    <row r="1112" spans="1:22">
      <c r="A1112" s="1195"/>
      <c r="B1112" s="1196"/>
      <c r="C1112" s="1196"/>
      <c r="D1112" s="1196"/>
      <c r="E1112" s="1197" t="str">
        <f t="shared" si="92"/>
        <v/>
      </c>
      <c r="F1112" s="1198"/>
      <c r="G1112" s="1198"/>
      <c r="H1112" s="1198"/>
      <c r="I1112" s="1198"/>
      <c r="J1112" s="1199"/>
      <c r="K1112" s="133"/>
      <c r="L1112" s="62" t="str">
        <f t="shared" si="93"/>
        <v/>
      </c>
      <c r="M1112" s="14"/>
      <c r="N1112" s="89">
        <f t="array" ref="N1112">SUM(IF((CsDJ[JEV Number]=TRIM($T1097))*(CsDJ[Account Code]=TRIM(K1112)),CsDJ[Debit]))</f>
        <v>0</v>
      </c>
      <c r="O1112" s="89">
        <f t="array" ref="O1112">SUM(IF((CsDJ[JEV Number]=TRIM($T1097))*(CsDJ[Account Code]=TRIM(K1112)),CsDJ[Credit]))</f>
        <v>0</v>
      </c>
      <c r="P1112" s="1200">
        <f t="shared" si="94"/>
        <v>0</v>
      </c>
      <c r="Q1112" s="1200"/>
      <c r="R1112" s="1200"/>
      <c r="S1112" s="1200">
        <f t="shared" si="95"/>
        <v>0</v>
      </c>
      <c r="T1112" s="1200"/>
      <c r="U1112" s="1200"/>
      <c r="V1112" s="1201"/>
    </row>
    <row r="1113" spans="1:22">
      <c r="A1113" s="1195"/>
      <c r="B1113" s="1196"/>
      <c r="C1113" s="1196"/>
      <c r="D1113" s="1196"/>
      <c r="E1113" s="1197" t="str">
        <f t="shared" si="92"/>
        <v/>
      </c>
      <c r="F1113" s="1198"/>
      <c r="G1113" s="1198"/>
      <c r="H1113" s="1198"/>
      <c r="I1113" s="1198"/>
      <c r="J1113" s="1199"/>
      <c r="K1113" s="133"/>
      <c r="L1113" s="62" t="str">
        <f t="shared" si="93"/>
        <v/>
      </c>
      <c r="M1113" s="14"/>
      <c r="N1113" s="89">
        <f t="array" ref="N1113">SUM(IF((CsDJ[JEV Number]=TRIM($T1097))*(CsDJ[Account Code]=TRIM(K1113)),CsDJ[Debit]))</f>
        <v>0</v>
      </c>
      <c r="O1113" s="89">
        <f t="array" ref="O1113">SUM(IF((CsDJ[JEV Number]=TRIM($T1097))*(CsDJ[Account Code]=TRIM(K1113)),CsDJ[Credit]))</f>
        <v>0</v>
      </c>
      <c r="P1113" s="1200">
        <f t="shared" si="94"/>
        <v>0</v>
      </c>
      <c r="Q1113" s="1200"/>
      <c r="R1113" s="1200"/>
      <c r="S1113" s="1200">
        <f t="shared" si="95"/>
        <v>0</v>
      </c>
      <c r="T1113" s="1200"/>
      <c r="U1113" s="1200"/>
      <c r="V1113" s="1201"/>
    </row>
    <row r="1114" spans="1:22">
      <c r="A1114" s="1195"/>
      <c r="B1114" s="1196"/>
      <c r="C1114" s="1196"/>
      <c r="D1114" s="1196"/>
      <c r="E1114" s="1197" t="str">
        <f t="shared" si="92"/>
        <v/>
      </c>
      <c r="F1114" s="1198"/>
      <c r="G1114" s="1198"/>
      <c r="H1114" s="1198"/>
      <c r="I1114" s="1198"/>
      <c r="J1114" s="1199"/>
      <c r="K1114" s="133"/>
      <c r="L1114" s="62" t="str">
        <f t="shared" si="93"/>
        <v/>
      </c>
      <c r="M1114" s="14"/>
      <c r="N1114" s="89">
        <f t="array" ref="N1114">SUM(IF((CsDJ[JEV Number]=TRIM($T1097))*(CsDJ[Account Code]=TRIM(K1114)),CsDJ[Debit]))</f>
        <v>0</v>
      </c>
      <c r="O1114" s="89">
        <f t="array" ref="O1114">SUM(IF((CsDJ[JEV Number]=TRIM($T1097))*(CsDJ[Account Code]=TRIM(K1114)),CsDJ[Credit]))</f>
        <v>0</v>
      </c>
      <c r="P1114" s="1200">
        <f t="shared" si="94"/>
        <v>0</v>
      </c>
      <c r="Q1114" s="1200"/>
      <c r="R1114" s="1200"/>
      <c r="S1114" s="1200">
        <f t="shared" si="95"/>
        <v>0</v>
      </c>
      <c r="T1114" s="1200"/>
      <c r="U1114" s="1200"/>
      <c r="V1114" s="1201"/>
    </row>
    <row r="1115" spans="1:22">
      <c r="A1115" s="1195"/>
      <c r="B1115" s="1196"/>
      <c r="C1115" s="1196"/>
      <c r="D1115" s="1196"/>
      <c r="E1115" s="1197" t="str">
        <f t="shared" si="92"/>
        <v/>
      </c>
      <c r="F1115" s="1198"/>
      <c r="G1115" s="1198"/>
      <c r="H1115" s="1198"/>
      <c r="I1115" s="1198"/>
      <c r="J1115" s="1199"/>
      <c r="K1115" s="133"/>
      <c r="L1115" s="62" t="str">
        <f t="shared" si="93"/>
        <v/>
      </c>
      <c r="M1115" s="14"/>
      <c r="N1115" s="89">
        <f t="array" ref="N1115">SUM(IF((CsDJ[JEV Number]=TRIM($T1097))*(CsDJ[Account Code]=TRIM(K1115)),CsDJ[Debit]))</f>
        <v>0</v>
      </c>
      <c r="O1115" s="89">
        <f t="array" ref="O1115">SUM(IF((CsDJ[JEV Number]=TRIM($T1097))*(CsDJ[Account Code]=TRIM(K1115)),CsDJ[Credit]))</f>
        <v>0</v>
      </c>
      <c r="P1115" s="1200">
        <f t="shared" si="94"/>
        <v>0</v>
      </c>
      <c r="Q1115" s="1200"/>
      <c r="R1115" s="1200"/>
      <c r="S1115" s="1200">
        <f t="shared" si="95"/>
        <v>0</v>
      </c>
      <c r="T1115" s="1200"/>
      <c r="U1115" s="1200"/>
      <c r="V1115" s="1201"/>
    </row>
    <row r="1116" spans="1:22">
      <c r="A1116" s="1195"/>
      <c r="B1116" s="1196"/>
      <c r="C1116" s="1196"/>
      <c r="D1116" s="1196"/>
      <c r="E1116" s="1197" t="str">
        <f t="shared" si="92"/>
        <v/>
      </c>
      <c r="F1116" s="1198"/>
      <c r="G1116" s="1198"/>
      <c r="H1116" s="1198"/>
      <c r="I1116" s="1198"/>
      <c r="J1116" s="1199"/>
      <c r="K1116" s="134"/>
      <c r="L1116" s="62" t="str">
        <f t="shared" si="93"/>
        <v/>
      </c>
      <c r="M1116" s="14"/>
      <c r="N1116" s="89">
        <f t="array" ref="N1116">SUM(IF((CsDJ[JEV Number]=TRIM($T1097))*(CsDJ[Account Code]=TRIM(K1116)),CsDJ[Debit]))</f>
        <v>0</v>
      </c>
      <c r="O1116" s="89">
        <f t="array" ref="O1116">SUM(IF((CsDJ[JEV Number]=TRIM($T1097))*(CsDJ[Account Code]=TRIM(K1116)),CsDJ[Credit]))</f>
        <v>0</v>
      </c>
      <c r="P1116" s="1200">
        <f t="shared" si="94"/>
        <v>0</v>
      </c>
      <c r="Q1116" s="1200"/>
      <c r="R1116" s="1200"/>
      <c r="S1116" s="1200">
        <f t="shared" si="95"/>
        <v>0</v>
      </c>
      <c r="T1116" s="1200"/>
      <c r="U1116" s="1200"/>
      <c r="V1116" s="1201"/>
    </row>
    <row r="1117" spans="1:22">
      <c r="A1117" s="1195"/>
      <c r="B1117" s="1196"/>
      <c r="C1117" s="1196"/>
      <c r="D1117" s="1196"/>
      <c r="E1117" s="1197" t="str">
        <f t="shared" si="92"/>
        <v/>
      </c>
      <c r="F1117" s="1198"/>
      <c r="G1117" s="1198"/>
      <c r="H1117" s="1198"/>
      <c r="I1117" s="1198"/>
      <c r="J1117" s="1199"/>
      <c r="K1117" s="134"/>
      <c r="L1117" s="62" t="str">
        <f t="shared" si="93"/>
        <v/>
      </c>
      <c r="M1117" s="14"/>
      <c r="N1117" s="89">
        <f t="array" ref="N1117">SUM(IF((CsDJ[JEV Number]=TRIM($T1097))*(CsDJ[Account Code]=TRIM(K1117)),CsDJ[Debit]))</f>
        <v>0</v>
      </c>
      <c r="O1117" s="89">
        <f t="array" ref="O1117">SUM(IF((CsDJ[JEV Number]=TRIM($T1097))*(CsDJ[Account Code]=TRIM(K1117)),CsDJ[Credit]))</f>
        <v>0</v>
      </c>
      <c r="P1117" s="1200">
        <f t="shared" si="94"/>
        <v>0</v>
      </c>
      <c r="Q1117" s="1200"/>
      <c r="R1117" s="1200"/>
      <c r="S1117" s="1200">
        <f t="shared" si="95"/>
        <v>0</v>
      </c>
      <c r="T1117" s="1200"/>
      <c r="U1117" s="1200"/>
      <c r="V1117" s="1201"/>
    </row>
    <row r="1118" spans="1:22">
      <c r="A1118" s="1195"/>
      <c r="B1118" s="1196"/>
      <c r="C1118" s="1196"/>
      <c r="D1118" s="1196"/>
      <c r="E1118" s="1197" t="str">
        <f t="shared" si="92"/>
        <v/>
      </c>
      <c r="F1118" s="1198"/>
      <c r="G1118" s="1198"/>
      <c r="H1118" s="1198"/>
      <c r="I1118" s="1198"/>
      <c r="J1118" s="1199"/>
      <c r="K1118" s="134"/>
      <c r="L1118" s="62" t="str">
        <f t="shared" si="93"/>
        <v/>
      </c>
      <c r="M1118" s="14"/>
      <c r="N1118" s="89">
        <f t="array" ref="N1118">SUM(IF((CsDJ[JEV Number]=TRIM($T1097))*(CsDJ[Account Code]=TRIM(K1118)),CsDJ[Debit]))</f>
        <v>0</v>
      </c>
      <c r="O1118" s="89">
        <f t="array" ref="O1118">SUM(IF((CsDJ[JEV Number]=TRIM($T1097))*(CsDJ[Account Code]=TRIM(K1118)),CsDJ[Credit]))</f>
        <v>0</v>
      </c>
      <c r="P1118" s="1200">
        <f t="shared" si="94"/>
        <v>0</v>
      </c>
      <c r="Q1118" s="1200"/>
      <c r="R1118" s="1200"/>
      <c r="S1118" s="1200">
        <f t="shared" si="95"/>
        <v>0</v>
      </c>
      <c r="T1118" s="1200"/>
      <c r="U1118" s="1200"/>
      <c r="V1118" s="1201"/>
    </row>
    <row r="1119" spans="1:22">
      <c r="A1119" s="1195"/>
      <c r="B1119" s="1196"/>
      <c r="C1119" s="1196"/>
      <c r="D1119" s="1196"/>
      <c r="E1119" s="1197" t="str">
        <f t="shared" si="92"/>
        <v/>
      </c>
      <c r="F1119" s="1198"/>
      <c r="G1119" s="1198"/>
      <c r="H1119" s="1198"/>
      <c r="I1119" s="1198"/>
      <c r="J1119" s="1199"/>
      <c r="K1119" s="134"/>
      <c r="L1119" s="62" t="str">
        <f t="shared" si="93"/>
        <v/>
      </c>
      <c r="M1119" s="14"/>
      <c r="N1119" s="89">
        <f t="array" ref="N1119">SUM(IF((CsDJ[JEV Number]=TRIM($T1097))*(CsDJ[Account Code]=TRIM(K1119)),CsDJ[Debit]))</f>
        <v>0</v>
      </c>
      <c r="O1119" s="89">
        <f t="array" ref="O1119">SUM(IF((CsDJ[JEV Number]=TRIM($T1097))*(CsDJ[Account Code]=TRIM(K1119)),CsDJ[Credit]))</f>
        <v>0</v>
      </c>
      <c r="P1119" s="1200">
        <f t="shared" si="94"/>
        <v>0</v>
      </c>
      <c r="Q1119" s="1200"/>
      <c r="R1119" s="1200"/>
      <c r="S1119" s="1200">
        <f t="shared" si="95"/>
        <v>0</v>
      </c>
      <c r="T1119" s="1200"/>
      <c r="U1119" s="1200"/>
      <c r="V1119" s="1201"/>
    </row>
    <row r="1120" spans="1:22">
      <c r="A1120" s="1195"/>
      <c r="B1120" s="1196"/>
      <c r="C1120" s="1196"/>
      <c r="D1120" s="1196"/>
      <c r="E1120" s="1197" t="str">
        <f t="shared" si="92"/>
        <v/>
      </c>
      <c r="F1120" s="1198"/>
      <c r="G1120" s="1198"/>
      <c r="H1120" s="1198"/>
      <c r="I1120" s="1198"/>
      <c r="J1120" s="1199"/>
      <c r="K1120" s="134"/>
      <c r="L1120" s="62" t="str">
        <f t="shared" si="93"/>
        <v/>
      </c>
      <c r="M1120" s="14"/>
      <c r="N1120" s="89">
        <f t="array" ref="N1120">SUM(IF((CsDJ[JEV Number]=TRIM($T1097))*(CsDJ[Account Code]=TRIM(K1120)),CsDJ[Debit]))</f>
        <v>0</v>
      </c>
      <c r="O1120" s="89">
        <f t="array" ref="O1120">SUM(IF((CsDJ[JEV Number]=TRIM($T1097))*(CsDJ[Account Code]=TRIM(K1120)),CsDJ[Credit]))</f>
        <v>0</v>
      </c>
      <c r="P1120" s="1200">
        <f t="shared" si="94"/>
        <v>0</v>
      </c>
      <c r="Q1120" s="1200"/>
      <c r="R1120" s="1200"/>
      <c r="S1120" s="1200">
        <f t="shared" si="95"/>
        <v>0</v>
      </c>
      <c r="T1120" s="1200"/>
      <c r="U1120" s="1200"/>
      <c r="V1120" s="1201"/>
    </row>
    <row r="1121" spans="1:22">
      <c r="A1121" s="1195"/>
      <c r="B1121" s="1196"/>
      <c r="C1121" s="1196"/>
      <c r="D1121" s="1196"/>
      <c r="E1121" s="1197" t="str">
        <f t="shared" si="92"/>
        <v/>
      </c>
      <c r="F1121" s="1198"/>
      <c r="G1121" s="1198"/>
      <c r="H1121" s="1198"/>
      <c r="I1121" s="1198"/>
      <c r="J1121" s="1199"/>
      <c r="K1121" s="134"/>
      <c r="L1121" s="62" t="str">
        <f t="shared" si="93"/>
        <v/>
      </c>
      <c r="M1121" s="14"/>
      <c r="N1121" s="89">
        <f t="array" ref="N1121">SUM(IF((CsDJ[JEV Number]=TRIM($T1097))*(CsDJ[Account Code]=TRIM(K1121)),CsDJ[Debit]))</f>
        <v>0</v>
      </c>
      <c r="O1121" s="89">
        <f t="array" ref="O1121">SUM(IF((CsDJ[JEV Number]=TRIM($T1097))*(CsDJ[Account Code]=TRIM(K1121)),CsDJ[Credit]))</f>
        <v>0</v>
      </c>
      <c r="P1121" s="1200">
        <f t="shared" si="94"/>
        <v>0</v>
      </c>
      <c r="Q1121" s="1200"/>
      <c r="R1121" s="1200"/>
      <c r="S1121" s="1200">
        <f t="shared" si="95"/>
        <v>0</v>
      </c>
      <c r="T1121" s="1200"/>
      <c r="U1121" s="1200"/>
      <c r="V1121" s="1201"/>
    </row>
    <row r="1122" spans="1:22">
      <c r="A1122" s="1195"/>
      <c r="B1122" s="1196"/>
      <c r="C1122" s="1196"/>
      <c r="D1122" s="1196"/>
      <c r="E1122" s="1197" t="str">
        <f t="shared" si="92"/>
        <v/>
      </c>
      <c r="F1122" s="1198"/>
      <c r="G1122" s="1198"/>
      <c r="H1122" s="1198"/>
      <c r="I1122" s="1198"/>
      <c r="J1122" s="1199"/>
      <c r="K1122" s="134"/>
      <c r="L1122" s="62" t="str">
        <f t="shared" si="93"/>
        <v/>
      </c>
      <c r="M1122" s="14"/>
      <c r="N1122" s="89">
        <f t="array" ref="N1122">SUM(IF((CsDJ[JEV Number]=TRIM($T1097))*(CsDJ[Account Code]=TRIM(K1122)),CsDJ[Debit]))</f>
        <v>0</v>
      </c>
      <c r="O1122" s="89">
        <f t="array" ref="O1122">SUM(IF((CsDJ[JEV Number]=TRIM($T1097))*(CsDJ[Account Code]=TRIM(K1122)),CsDJ[Credit]))</f>
        <v>0</v>
      </c>
      <c r="P1122" s="1200">
        <f t="shared" si="94"/>
        <v>0</v>
      </c>
      <c r="Q1122" s="1200"/>
      <c r="R1122" s="1200"/>
      <c r="S1122" s="1200">
        <f t="shared" si="95"/>
        <v>0</v>
      </c>
      <c r="T1122" s="1200"/>
      <c r="U1122" s="1200"/>
      <c r="V1122" s="1201"/>
    </row>
    <row r="1123" spans="1:22">
      <c r="A1123" s="1195"/>
      <c r="B1123" s="1196"/>
      <c r="C1123" s="1196"/>
      <c r="D1123" s="1196"/>
      <c r="E1123" s="1197" t="str">
        <f t="shared" si="92"/>
        <v/>
      </c>
      <c r="F1123" s="1198"/>
      <c r="G1123" s="1198"/>
      <c r="H1123" s="1198"/>
      <c r="I1123" s="1198"/>
      <c r="J1123" s="1199"/>
      <c r="K1123" s="134"/>
      <c r="L1123" s="62" t="str">
        <f t="shared" si="93"/>
        <v/>
      </c>
      <c r="M1123" s="14"/>
      <c r="N1123" s="89">
        <f t="array" ref="N1123">SUM(IF((CsDJ[JEV Number]=TRIM($T1097))*(CsDJ[Account Code]=TRIM(K1123)),CsDJ[Debit]))</f>
        <v>0</v>
      </c>
      <c r="O1123" s="89">
        <f t="array" ref="O1123">SUM(IF((CsDJ[JEV Number]=TRIM($T1097))*(CsDJ[Account Code]=TRIM(K1123)),CsDJ[Credit]))</f>
        <v>0</v>
      </c>
      <c r="P1123" s="1200">
        <f t="shared" si="94"/>
        <v>0</v>
      </c>
      <c r="Q1123" s="1200"/>
      <c r="R1123" s="1200"/>
      <c r="S1123" s="1200">
        <f t="shared" si="95"/>
        <v>0</v>
      </c>
      <c r="T1123" s="1200"/>
      <c r="U1123" s="1200"/>
      <c r="V1123" s="1201"/>
    </row>
    <row r="1124" spans="1:22">
      <c r="A1124" s="1195"/>
      <c r="B1124" s="1196"/>
      <c r="C1124" s="1196"/>
      <c r="D1124" s="1196"/>
      <c r="E1124" s="1197" t="str">
        <f t="shared" si="92"/>
        <v/>
      </c>
      <c r="F1124" s="1198"/>
      <c r="G1124" s="1198"/>
      <c r="H1124" s="1198"/>
      <c r="I1124" s="1198"/>
      <c r="J1124" s="1199"/>
      <c r="K1124" s="134"/>
      <c r="L1124" s="62" t="str">
        <f t="shared" si="93"/>
        <v/>
      </c>
      <c r="M1124" s="14"/>
      <c r="N1124" s="89">
        <f t="array" ref="N1124">SUM(IF((CsDJ[JEV Number]=TRIM($T1097))*(CsDJ[Account Code]=TRIM(K1124)),CsDJ[Debit]))</f>
        <v>0</v>
      </c>
      <c r="O1124" s="89">
        <f t="array" ref="O1124">SUM(IF((CsDJ[JEV Number]=TRIM($T1097))*(CsDJ[Account Code]=TRIM(K1124)),CsDJ[Credit]))</f>
        <v>0</v>
      </c>
      <c r="P1124" s="1200">
        <f t="shared" si="94"/>
        <v>0</v>
      </c>
      <c r="Q1124" s="1200"/>
      <c r="R1124" s="1200"/>
      <c r="S1124" s="1200">
        <f t="shared" si="95"/>
        <v>0</v>
      </c>
      <c r="T1124" s="1200"/>
      <c r="U1124" s="1200"/>
      <c r="V1124" s="1201"/>
    </row>
    <row r="1125" spans="1:22">
      <c r="A1125" s="1195"/>
      <c r="B1125" s="1196"/>
      <c r="C1125" s="1196"/>
      <c r="D1125" s="1196"/>
      <c r="E1125" s="1197" t="str">
        <f t="shared" si="92"/>
        <v/>
      </c>
      <c r="F1125" s="1198"/>
      <c r="G1125" s="1198"/>
      <c r="H1125" s="1198"/>
      <c r="I1125" s="1198"/>
      <c r="J1125" s="1199"/>
      <c r="K1125" s="134"/>
      <c r="L1125" s="62" t="str">
        <f t="shared" si="93"/>
        <v/>
      </c>
      <c r="M1125" s="14"/>
      <c r="N1125" s="89">
        <f t="array" ref="N1125">SUM(IF((CsDJ[JEV Number]=TRIM($T1097))*(CsDJ[Account Code]=TRIM(K1125)),CsDJ[Debit]))</f>
        <v>0</v>
      </c>
      <c r="O1125" s="89">
        <f t="array" ref="O1125">SUM(IF((CsDJ[JEV Number]=TRIM($T1097))*(CsDJ[Account Code]=TRIM(K1125)),CsDJ[Credit]))</f>
        <v>0</v>
      </c>
      <c r="P1125" s="1200">
        <f t="shared" si="94"/>
        <v>0</v>
      </c>
      <c r="Q1125" s="1200"/>
      <c r="R1125" s="1200"/>
      <c r="S1125" s="1200">
        <f t="shared" si="95"/>
        <v>0</v>
      </c>
      <c r="T1125" s="1200"/>
      <c r="U1125" s="1200"/>
      <c r="V1125" s="1201"/>
    </row>
    <row r="1126" spans="1:22">
      <c r="A1126" s="1195"/>
      <c r="B1126" s="1196"/>
      <c r="C1126" s="1196"/>
      <c r="D1126" s="1196"/>
      <c r="E1126" s="1197" t="str">
        <f t="shared" si="92"/>
        <v/>
      </c>
      <c r="F1126" s="1198"/>
      <c r="G1126" s="1198"/>
      <c r="H1126" s="1198"/>
      <c r="I1126" s="1198"/>
      <c r="J1126" s="1199"/>
      <c r="K1126" s="134"/>
      <c r="L1126" s="62" t="str">
        <f t="shared" si="93"/>
        <v/>
      </c>
      <c r="M1126" s="14"/>
      <c r="N1126" s="89">
        <f t="array" ref="N1126">SUM(IF((CsDJ[JEV Number]=TRIM($T1097))*(CsDJ[Account Code]=TRIM(K1126)),CsDJ[Debit]))</f>
        <v>0</v>
      </c>
      <c r="O1126" s="89">
        <f t="array" ref="O1126">SUM(IF((CsDJ[JEV Number]=TRIM($T1097))*(CsDJ[Account Code]=TRIM(K1126)),CsDJ[Credit]))</f>
        <v>0</v>
      </c>
      <c r="P1126" s="1200">
        <f t="shared" si="94"/>
        <v>0</v>
      </c>
      <c r="Q1126" s="1200"/>
      <c r="R1126" s="1200"/>
      <c r="S1126" s="1200">
        <f t="shared" si="95"/>
        <v>0</v>
      </c>
      <c r="T1126" s="1200"/>
      <c r="U1126" s="1200"/>
      <c r="V1126" s="1201"/>
    </row>
    <row r="1127" spans="1:22">
      <c r="A1127" s="1195"/>
      <c r="B1127" s="1196"/>
      <c r="C1127" s="1196"/>
      <c r="D1127" s="1196"/>
      <c r="E1127" s="1197" t="str">
        <f t="shared" si="92"/>
        <v/>
      </c>
      <c r="F1127" s="1198"/>
      <c r="G1127" s="1198"/>
      <c r="H1127" s="1198"/>
      <c r="I1127" s="1198"/>
      <c r="J1127" s="1199"/>
      <c r="K1127" s="134"/>
      <c r="L1127" s="62" t="str">
        <f t="shared" si="93"/>
        <v/>
      </c>
      <c r="M1127" s="14"/>
      <c r="N1127" s="89">
        <f t="array" ref="N1127">SUM(IF((CsDJ[JEV Number]=TRIM($T1097))*(CsDJ[Account Code]=TRIM(K1127)),CsDJ[Debit]))</f>
        <v>0</v>
      </c>
      <c r="O1127" s="89">
        <f t="array" ref="O1127">SUM(IF((CsDJ[JEV Number]=TRIM($T1097))*(CsDJ[Account Code]=TRIM(K1127)),CsDJ[Credit]))</f>
        <v>0</v>
      </c>
      <c r="P1127" s="1200">
        <f t="shared" si="94"/>
        <v>0</v>
      </c>
      <c r="Q1127" s="1200"/>
      <c r="R1127" s="1200"/>
      <c r="S1127" s="1200">
        <f t="shared" si="95"/>
        <v>0</v>
      </c>
      <c r="T1127" s="1200"/>
      <c r="U1127" s="1200"/>
      <c r="V1127" s="1201"/>
    </row>
    <row r="1128" spans="1:22">
      <c r="A1128" s="1195"/>
      <c r="B1128" s="1196"/>
      <c r="C1128" s="1196"/>
      <c r="D1128" s="1196"/>
      <c r="E1128" s="1197" t="str">
        <f t="shared" si="92"/>
        <v/>
      </c>
      <c r="F1128" s="1198"/>
      <c r="G1128" s="1198"/>
      <c r="H1128" s="1198"/>
      <c r="I1128" s="1198"/>
      <c r="J1128" s="1199"/>
      <c r="K1128" s="134"/>
      <c r="L1128" s="62" t="str">
        <f t="shared" si="93"/>
        <v/>
      </c>
      <c r="M1128" s="14"/>
      <c r="N1128" s="89">
        <f t="array" ref="N1128">SUM(IF((CsDJ[JEV Number]=TRIM($T1097))*(CsDJ[Account Code]=TRIM(K1128)),CsDJ[Debit]))</f>
        <v>0</v>
      </c>
      <c r="O1128" s="89">
        <f t="array" ref="O1128">SUM(IF((CsDJ[JEV Number]=TRIM($T1097))*(CsDJ[Account Code]=TRIM(K1128)),CsDJ[Credit]))</f>
        <v>0</v>
      </c>
      <c r="P1128" s="1200">
        <f t="shared" si="94"/>
        <v>0</v>
      </c>
      <c r="Q1128" s="1200"/>
      <c r="R1128" s="1200"/>
      <c r="S1128" s="1200">
        <f t="shared" si="95"/>
        <v>0</v>
      </c>
      <c r="T1128" s="1200"/>
      <c r="U1128" s="1200"/>
      <c r="V1128" s="1201"/>
    </row>
    <row r="1129" spans="1:22">
      <c r="A1129" s="1195"/>
      <c r="B1129" s="1196"/>
      <c r="C1129" s="1196"/>
      <c r="D1129" s="1196"/>
      <c r="E1129" s="1197" t="str">
        <f t="shared" si="92"/>
        <v/>
      </c>
      <c r="F1129" s="1198"/>
      <c r="G1129" s="1198"/>
      <c r="H1129" s="1198"/>
      <c r="I1129" s="1198"/>
      <c r="J1129" s="1199"/>
      <c r="K1129" s="134"/>
      <c r="L1129" s="62" t="str">
        <f t="shared" si="93"/>
        <v/>
      </c>
      <c r="M1129" s="14"/>
      <c r="N1129" s="89">
        <f t="array" ref="N1129">SUM(IF((CsDJ[JEV Number]=TRIM($T1097))*(CsDJ[Account Code]=TRIM(K1129)),CsDJ[Debit]))</f>
        <v>0</v>
      </c>
      <c r="O1129" s="89">
        <f t="array" ref="O1129">SUM(IF((CsDJ[JEV Number]=TRIM($T1097))*(CsDJ[Account Code]=TRIM(K1129)),CsDJ[Credit]))</f>
        <v>0</v>
      </c>
      <c r="P1129" s="1200">
        <f t="shared" si="94"/>
        <v>0</v>
      </c>
      <c r="Q1129" s="1200"/>
      <c r="R1129" s="1200"/>
      <c r="S1129" s="1200">
        <f t="shared" si="95"/>
        <v>0</v>
      </c>
      <c r="T1129" s="1200"/>
      <c r="U1129" s="1200"/>
      <c r="V1129" s="1201"/>
    </row>
    <row r="1130" spans="1:22">
      <c r="A1130" s="1195"/>
      <c r="B1130" s="1196"/>
      <c r="C1130" s="1196"/>
      <c r="D1130" s="1196"/>
      <c r="E1130" s="1197" t="str">
        <f t="shared" si="92"/>
        <v/>
      </c>
      <c r="F1130" s="1198"/>
      <c r="G1130" s="1198"/>
      <c r="H1130" s="1198"/>
      <c r="I1130" s="1198"/>
      <c r="J1130" s="1199"/>
      <c r="K1130" s="134"/>
      <c r="L1130" s="62" t="str">
        <f t="shared" si="93"/>
        <v/>
      </c>
      <c r="M1130" s="14"/>
      <c r="N1130" s="89">
        <f t="array" ref="N1130">SUM(IF((CsDJ[JEV Number]=TRIM($T1097))*(CsDJ[Account Code]=TRIM(K1130)),CsDJ[Debit]))</f>
        <v>0</v>
      </c>
      <c r="O1130" s="89">
        <f t="array" ref="O1130">SUM(IF((CsDJ[JEV Number]=TRIM($T1097))*(CsDJ[Account Code]=TRIM(K1130)),CsDJ[Credit]))</f>
        <v>0</v>
      </c>
      <c r="P1130" s="1200">
        <f t="shared" si="94"/>
        <v>0</v>
      </c>
      <c r="Q1130" s="1200"/>
      <c r="R1130" s="1200"/>
      <c r="S1130" s="1200">
        <f t="shared" si="95"/>
        <v>0</v>
      </c>
      <c r="T1130" s="1200"/>
      <c r="U1130" s="1200"/>
      <c r="V1130" s="1201"/>
    </row>
    <row r="1131" spans="1:22">
      <c r="A1131" s="1195"/>
      <c r="B1131" s="1196"/>
      <c r="C1131" s="1196"/>
      <c r="D1131" s="1196"/>
      <c r="E1131" s="1257" t="s">
        <v>468</v>
      </c>
      <c r="F1131" s="1258"/>
      <c r="G1131" s="1258"/>
      <c r="H1131" s="1258"/>
      <c r="I1131" s="1258"/>
      <c r="J1131" s="1259"/>
      <c r="K1131" s="133"/>
      <c r="L1131" s="62" t="str">
        <f t="shared" si="93"/>
        <v/>
      </c>
      <c r="M1131" s="14"/>
      <c r="N1131" s="89">
        <f t="array" ref="N1131">SUM(IF((CsDJ[JEV Number]=TRIM($T1097))*(CsDJ[Account Code]=TRIM(K1131)),CsDJ[Debit]))</f>
        <v>0</v>
      </c>
      <c r="O1131" s="89">
        <f t="array" ref="O1131">SUM(IF((CsDJ[JEV Number]=TRIM($T1097))*(CsDJ[Account Code]=TRIM(K1131)),CsDJ[Credit]))</f>
        <v>0</v>
      </c>
      <c r="P1131" s="1200">
        <f t="shared" si="94"/>
        <v>0</v>
      </c>
      <c r="Q1131" s="1200"/>
      <c r="R1131" s="1200"/>
      <c r="S1131" s="1200">
        <f t="shared" si="95"/>
        <v>0</v>
      </c>
      <c r="T1131" s="1200"/>
      <c r="U1131" s="1200"/>
      <c r="V1131" s="1201"/>
    </row>
    <row r="1132" spans="1:22">
      <c r="A1132" s="1195"/>
      <c r="B1132" s="1196"/>
      <c r="C1132" s="1196"/>
      <c r="D1132" s="1196"/>
      <c r="E1132" s="1202" t="s">
        <v>457</v>
      </c>
      <c r="F1132" s="1203"/>
      <c r="G1132" s="1203"/>
      <c r="H1132" s="1203"/>
      <c r="I1132" s="1207">
        <f>T1098</f>
        <v>0</v>
      </c>
      <c r="J1132" s="1208"/>
      <c r="K1132" s="133"/>
      <c r="L1132" s="62" t="str">
        <f t="shared" si="93"/>
        <v/>
      </c>
      <c r="M1132" s="14"/>
      <c r="N1132" s="89">
        <f t="array" ref="N1132">SUM(IF((CsDJ[JEV Number]=TRIM($T1097))*(CsDJ[Account Code]=TRIM(K1132)),CsDJ[Debit]))</f>
        <v>0</v>
      </c>
      <c r="O1132" s="89">
        <f t="array" ref="O1132">SUM(IF((CsDJ[JEV Number]=TRIM($T1097))*(CsDJ[Account Code]=TRIM(K1132)),CsDJ[Credit]))</f>
        <v>0</v>
      </c>
      <c r="P1132" s="1200">
        <f t="shared" si="94"/>
        <v>0</v>
      </c>
      <c r="Q1132" s="1200"/>
      <c r="R1132" s="1200"/>
      <c r="S1132" s="1200">
        <f t="shared" si="95"/>
        <v>0</v>
      </c>
      <c r="T1132" s="1200"/>
      <c r="U1132" s="1200"/>
      <c r="V1132" s="1201"/>
    </row>
    <row r="1133" spans="1:22">
      <c r="A1133" s="1195"/>
      <c r="B1133" s="1196"/>
      <c r="C1133" s="1196"/>
      <c r="D1133" s="1196"/>
      <c r="E1133" s="1202" t="s">
        <v>458</v>
      </c>
      <c r="F1133" s="1203"/>
      <c r="G1133" s="1203"/>
      <c r="H1133" s="1203"/>
      <c r="I1133" s="1263">
        <f>IF(T1097=0,0,(IF(LOOKUP(T1097,CsDJ[JEV Number],CsDJ[Sort Code])="1","MA. VIVIAN C. SALAS",IF(LOOKUP(T1097,CsDJ[JEV Number],CsDJ[Sort Code])="2","LUZ R. DE COZAR",IF(LOOKUP(T1097,CsDJ[JEV Number],CsDJ[Sort Code])="3","MINEONETTE A. DELA CRUZ",IF(LOOKUP(T1097,CsDJ[JEV Number],CsDJ[Sort Code])="4","RESELLA B. LOPEZ"))))))</f>
        <v>0</v>
      </c>
      <c r="J1133" s="1264"/>
      <c r="K1133" s="133"/>
      <c r="L1133" s="62" t="str">
        <f t="shared" si="93"/>
        <v/>
      </c>
      <c r="M1133" s="14"/>
      <c r="N1133" s="89">
        <f t="array" ref="N1133">SUM(IF((CsDJ[JEV Number]=TRIM($T1097))*(CsDJ[Account Code]=TRIM(K1133)),CsDJ[Debit]))</f>
        <v>0</v>
      </c>
      <c r="O1133" s="89">
        <f t="array" ref="O1133">SUM(IF((CsDJ[JEV Number]=TRIM($T1097))*(CsDJ[Account Code]=TRIM(K1133)),CsDJ[Credit]))</f>
        <v>0</v>
      </c>
      <c r="P1133" s="1200">
        <f t="shared" si="94"/>
        <v>0</v>
      </c>
      <c r="Q1133" s="1200"/>
      <c r="R1133" s="1200"/>
      <c r="S1133" s="1200">
        <f t="shared" si="95"/>
        <v>0</v>
      </c>
      <c r="T1133" s="1200"/>
      <c r="U1133" s="1200"/>
      <c r="V1133" s="1201"/>
    </row>
    <row r="1134" spans="1:22">
      <c r="A1134" s="1195"/>
      <c r="B1134" s="1196"/>
      <c r="C1134" s="1196"/>
      <c r="D1134" s="1196"/>
      <c r="E1134" s="1202" t="s">
        <v>459</v>
      </c>
      <c r="F1134" s="1203"/>
      <c r="G1134" s="1203"/>
      <c r="H1134" s="1203"/>
      <c r="I1134" s="1204">
        <f>IF(I1133="Ma. Vivian C. Salas","Regional Office", IF(I1133="Luz R. De Cozar","BANE IMO", IF(I1133="Mineonette A. Dela Cruz","PAMBAT IMO", IF(I1133="Resella B. Lopez","TARZAM IMO",0))))</f>
        <v>0</v>
      </c>
      <c r="J1134" s="1205"/>
      <c r="K1134" s="133"/>
      <c r="L1134" s="62" t="str">
        <f t="shared" si="93"/>
        <v/>
      </c>
      <c r="M1134" s="14"/>
      <c r="N1134" s="89">
        <f t="array" ref="N1134">SUM(IF((CsDJ[JEV Number]=TRIM($T1097))*(CsDJ[Account Code]=TRIM(K1134)),CsDJ[Debit]))</f>
        <v>0</v>
      </c>
      <c r="O1134" s="89">
        <f t="array" ref="O1134">SUM(IF((CsDJ[JEV Number]=TRIM($T1097))*(CsDJ[Account Code]=TRIM(K1134)),CsDJ[Credit]))</f>
        <v>0</v>
      </c>
      <c r="P1134" s="1200">
        <f t="shared" si="94"/>
        <v>0</v>
      </c>
      <c r="Q1134" s="1200"/>
      <c r="R1134" s="1200"/>
      <c r="S1134" s="1200">
        <f t="shared" si="95"/>
        <v>0</v>
      </c>
      <c r="T1134" s="1200"/>
      <c r="U1134" s="1200"/>
      <c r="V1134" s="1201"/>
    </row>
    <row r="1135" spans="1:22">
      <c r="A1135" s="1195"/>
      <c r="B1135" s="1196"/>
      <c r="C1135" s="1196"/>
      <c r="D1135" s="1196"/>
      <c r="E1135" s="1202"/>
      <c r="F1135" s="1203"/>
      <c r="G1135" s="1203"/>
      <c r="H1135" s="1203"/>
      <c r="I1135" s="1203"/>
      <c r="J1135" s="1206"/>
      <c r="K1135" s="133"/>
      <c r="L1135" s="62" t="str">
        <f t="shared" si="93"/>
        <v/>
      </c>
      <c r="M1135" s="14"/>
      <c r="N1135" s="89">
        <f t="array" ref="N1135">SUM(IF((CsDJ[JEV Number]=TRIM($T1097))*(CsDJ[Account Code]=TRIM(K1135)),CsDJ[Debit]))</f>
        <v>0</v>
      </c>
      <c r="O1135" s="89">
        <f t="array" ref="O1135">SUM(IF((CsDJ[JEV Number]=TRIM($T1097))*(CsDJ[Account Code]=TRIM(K1135)),CsDJ[Credit]))</f>
        <v>0</v>
      </c>
      <c r="P1135" s="1200">
        <f t="shared" si="94"/>
        <v>0</v>
      </c>
      <c r="Q1135" s="1200"/>
      <c r="R1135" s="1200"/>
      <c r="S1135" s="1200">
        <f t="shared" si="95"/>
        <v>0</v>
      </c>
      <c r="T1135" s="1200"/>
      <c r="U1135" s="1200"/>
      <c r="V1135" s="1201"/>
    </row>
    <row r="1136" spans="1:22" ht="16.5" thickBot="1">
      <c r="A1136" s="1188"/>
      <c r="B1136" s="1189"/>
      <c r="C1136" s="1189"/>
      <c r="D1136" s="1189"/>
      <c r="E1136" s="1189"/>
      <c r="F1136" s="1189"/>
      <c r="G1136" s="1189"/>
      <c r="H1136" s="1189"/>
      <c r="I1136" s="1189"/>
      <c r="J1136" s="1189"/>
      <c r="K1136" s="1189"/>
      <c r="L1136" s="1189"/>
      <c r="M1136" s="1190"/>
      <c r="N1136" s="88"/>
      <c r="O1136" s="88"/>
      <c r="P1136" s="1191">
        <f>SUM(P1106:R1135)</f>
        <v>0</v>
      </c>
      <c r="Q1136" s="1191"/>
      <c r="R1136" s="1191"/>
      <c r="S1136" s="1191">
        <f>SUM(S1106:V1135)</f>
        <v>0</v>
      </c>
      <c r="T1136" s="1191"/>
      <c r="U1136" s="1191"/>
      <c r="V1136" s="1192"/>
    </row>
    <row r="1137" spans="1:22">
      <c r="A1137" s="63"/>
      <c r="B1137" s="64"/>
      <c r="C1137" s="64"/>
      <c r="D1137" s="64"/>
      <c r="E1137" s="64"/>
      <c r="F1137" s="64"/>
      <c r="G1137" s="64"/>
      <c r="H1137" s="64"/>
      <c r="I1137" s="65"/>
      <c r="J1137" s="64"/>
      <c r="K1137" s="66"/>
      <c r="L1137" s="64"/>
      <c r="M1137" s="65"/>
      <c r="N1137" s="64"/>
      <c r="O1137" s="64"/>
      <c r="P1137" s="1193"/>
      <c r="Q1137" s="1193"/>
      <c r="R1137" s="1193"/>
      <c r="S1137" s="1193"/>
      <c r="T1137" s="1193"/>
      <c r="U1137" s="1193"/>
      <c r="V1137" s="1194"/>
    </row>
    <row r="1138" spans="1:22">
      <c r="A1138" s="67" t="s">
        <v>460</v>
      </c>
      <c r="B1138"/>
      <c r="C1138"/>
      <c r="D1138"/>
      <c r="E1138"/>
      <c r="F1138"/>
      <c r="G1138"/>
      <c r="H1138"/>
      <c r="I1138" s="68" t="s">
        <v>353</v>
      </c>
      <c r="J1138" s="69"/>
      <c r="K1138" s="69"/>
      <c r="L1138"/>
      <c r="M1138" s="68" t="s">
        <v>461</v>
      </c>
      <c r="N1138" s="69"/>
      <c r="O1138" s="69"/>
      <c r="P1138" s="70"/>
      <c r="Q1138" s="70"/>
      <c r="R1138" s="70"/>
      <c r="S1138" s="70"/>
      <c r="T1138" s="70"/>
      <c r="U1138" s="70"/>
      <c r="V1138" s="71"/>
    </row>
    <row r="1139" spans="1:22">
      <c r="A1139" s="37"/>
      <c r="B1139"/>
      <c r="C1139"/>
      <c r="D1139"/>
      <c r="E1139"/>
      <c r="F1139"/>
      <c r="G1139"/>
      <c r="H1139"/>
      <c r="I1139" s="72"/>
      <c r="J1139"/>
      <c r="K1139"/>
      <c r="L1139"/>
      <c r="M1139" s="72"/>
      <c r="N1139"/>
      <c r="O1139"/>
      <c r="P1139"/>
      <c r="Q1139"/>
      <c r="R1139"/>
      <c r="S1139"/>
      <c r="T1139"/>
      <c r="U1139"/>
      <c r="V1139" s="73"/>
    </row>
    <row r="1140" spans="1:22">
      <c r="A1140" s="74" t="s">
        <v>462</v>
      </c>
      <c r="B1140" s="75"/>
      <c r="C1140" s="75"/>
      <c r="D1140" s="75"/>
      <c r="E1140" s="75"/>
      <c r="F1140" s="75"/>
      <c r="G1140" s="75"/>
      <c r="H1140" s="76"/>
      <c r="I1140" s="77" t="s">
        <v>380</v>
      </c>
      <c r="J1140" s="75"/>
      <c r="K1140" s="75"/>
      <c r="L1140" s="76"/>
      <c r="M1140" s="77" t="s">
        <v>3</v>
      </c>
      <c r="N1140" s="75"/>
      <c r="O1140" s="75"/>
      <c r="P1140" s="75"/>
      <c r="Q1140" s="75"/>
      <c r="R1140" s="75"/>
      <c r="S1140" s="75"/>
      <c r="T1140" s="75"/>
      <c r="U1140" s="75"/>
      <c r="V1140" s="78"/>
    </row>
    <row r="1141" spans="1:22">
      <c r="A1141" s="79" t="s">
        <v>463</v>
      </c>
      <c r="B1141" s="80"/>
      <c r="C1141" s="80"/>
      <c r="D1141" s="80"/>
      <c r="E1141" s="80"/>
      <c r="F1141" s="80"/>
      <c r="G1141" s="80"/>
      <c r="H1141" s="80"/>
      <c r="I1141" s="81" t="s">
        <v>381</v>
      </c>
      <c r="J1141" s="80"/>
      <c r="K1141" s="80"/>
      <c r="L1141" s="80"/>
      <c r="M1141" s="81" t="s">
        <v>464</v>
      </c>
      <c r="N1141" s="80"/>
      <c r="O1141" s="80"/>
      <c r="P1141" s="82"/>
      <c r="Q1141" s="82"/>
      <c r="R1141" s="82"/>
      <c r="S1141" s="82"/>
      <c r="T1141" s="82"/>
      <c r="U1141" s="82"/>
      <c r="V1141" s="83"/>
    </row>
    <row r="1142" spans="1:22" ht="16.5" thickBot="1">
      <c r="A1142" s="84" t="s">
        <v>465</v>
      </c>
      <c r="B1142" s="43"/>
      <c r="C1142" s="43"/>
      <c r="D1142" s="43"/>
      <c r="E1142" s="43"/>
      <c r="F1142" s="43"/>
      <c r="G1142" s="43"/>
      <c r="H1142" s="43"/>
      <c r="I1142" s="85"/>
      <c r="J1142" s="43"/>
      <c r="K1142" s="43"/>
      <c r="L1142" s="43"/>
      <c r="M1142" s="85"/>
      <c r="N1142" s="43"/>
      <c r="O1142" s="43"/>
      <c r="P1142" s="43"/>
      <c r="Q1142" s="43"/>
      <c r="R1142" s="43"/>
      <c r="S1142" s="43"/>
      <c r="T1142" s="43"/>
      <c r="U1142" s="43"/>
      <c r="V1142" s="44"/>
    </row>
    <row r="1143" spans="1:22" ht="22.5">
      <c r="A1143" s="31" t="s">
        <v>441</v>
      </c>
      <c r="B1143" s="32"/>
      <c r="C1143" s="32"/>
      <c r="D1143" s="32"/>
      <c r="E1143" s="32"/>
      <c r="F1143" s="32"/>
      <c r="G1143" s="32"/>
      <c r="H1143" s="32"/>
      <c r="I1143" s="32"/>
      <c r="J1143" s="32"/>
      <c r="K1143" s="32"/>
      <c r="L1143" s="32"/>
      <c r="M1143" s="32"/>
      <c r="N1143" s="32"/>
      <c r="O1143" s="32"/>
      <c r="P1143" s="32"/>
      <c r="Q1143" s="33"/>
      <c r="R1143" s="1218">
        <f>+P1183-S1183</f>
        <v>0</v>
      </c>
      <c r="S1143" s="1219"/>
      <c r="T1143" s="1219"/>
      <c r="U1143" s="1219"/>
      <c r="V1143" s="1220"/>
    </row>
    <row r="1144" spans="1:22">
      <c r="A1144" s="34" t="s">
        <v>442</v>
      </c>
      <c r="B1144" s="35"/>
      <c r="C1144" s="35"/>
      <c r="D1144" s="35"/>
      <c r="E1144" s="35"/>
      <c r="F1144" s="35"/>
      <c r="G1144" s="35"/>
      <c r="H1144" s="35"/>
      <c r="I1144" s="35"/>
      <c r="J1144" s="35"/>
      <c r="K1144" s="35"/>
      <c r="L1144" s="35"/>
      <c r="M1144" s="35"/>
      <c r="N1144" s="35"/>
      <c r="O1144" s="35"/>
      <c r="P1144" s="35"/>
      <c r="Q1144" s="36"/>
      <c r="R1144" s="37" t="s">
        <v>443</v>
      </c>
      <c r="S1144"/>
      <c r="T1144" s="1221"/>
      <c r="U1144" s="1221"/>
      <c r="V1144" s="1222"/>
    </row>
    <row r="1145" spans="1:22">
      <c r="A1145" s="38" t="s">
        <v>444</v>
      </c>
      <c r="B1145" s="35"/>
      <c r="C1145" s="35"/>
      <c r="D1145" s="35"/>
      <c r="E1145" s="35"/>
      <c r="F1145" s="35"/>
      <c r="G1145" s="35"/>
      <c r="H1145" s="35"/>
      <c r="I1145" s="35"/>
      <c r="J1145" s="35"/>
      <c r="K1145" s="35"/>
      <c r="L1145" s="35"/>
      <c r="M1145" s="35"/>
      <c r="N1145" s="35"/>
      <c r="O1145" s="35"/>
      <c r="P1145" s="35"/>
      <c r="Q1145" s="36"/>
      <c r="R1145" s="37" t="s">
        <v>0</v>
      </c>
      <c r="S1145"/>
      <c r="T1145" s="1223">
        <f>IF(T1144=0,0,(LOOKUP(T1144,CsDJ[JEV Number],CsDJ[Date])))</f>
        <v>0</v>
      </c>
      <c r="U1145" s="1223"/>
      <c r="V1145" s="1224"/>
    </row>
    <row r="1146" spans="1:22" ht="16.5" thickBot="1">
      <c r="A1146" s="39"/>
      <c r="B1146" s="40"/>
      <c r="C1146" s="40"/>
      <c r="D1146" s="40"/>
      <c r="E1146" s="40"/>
      <c r="F1146" s="40"/>
      <c r="G1146" s="40"/>
      <c r="H1146" s="40"/>
      <c r="I1146" s="40"/>
      <c r="J1146" s="40"/>
      <c r="K1146" s="40"/>
      <c r="L1146" s="40"/>
      <c r="M1146" s="40"/>
      <c r="N1146" s="40"/>
      <c r="O1146" s="40"/>
      <c r="P1146" s="40"/>
      <c r="Q1146" s="41"/>
      <c r="R1146" s="42"/>
      <c r="S1146" s="43"/>
      <c r="T1146" s="43"/>
      <c r="U1146" s="43"/>
      <c r="V1146" s="44"/>
    </row>
    <row r="1147" spans="1:22">
      <c r="A1147" s="45"/>
      <c r="B1147" s="46"/>
      <c r="C1147" s="46"/>
      <c r="D1147" s="46"/>
      <c r="E1147" s="46"/>
      <c r="F1147" s="46"/>
      <c r="G1147" s="46"/>
      <c r="H1147" s="46"/>
      <c r="I1147" s="46"/>
      <c r="J1147" s="46"/>
      <c r="K1147" s="46"/>
      <c r="L1147" s="47"/>
      <c r="M1147" s="46"/>
      <c r="N1147" s="46"/>
      <c r="O1147" s="46"/>
      <c r="P1147" s="46"/>
      <c r="Q1147" s="46"/>
      <c r="R1147" s="46"/>
      <c r="S1147" s="46"/>
      <c r="T1147" s="46"/>
      <c r="U1147" s="46"/>
      <c r="V1147" s="48"/>
    </row>
    <row r="1148" spans="1:22">
      <c r="A1148" s="49"/>
      <c r="B1148" s="1225"/>
      <c r="C1148" s="1225"/>
      <c r="D1148" s="50" t="s">
        <v>445</v>
      </c>
      <c r="H1148" s="51"/>
      <c r="I1148" s="25" t="s">
        <v>447</v>
      </c>
      <c r="J1148" s="132" t="s">
        <v>446</v>
      </c>
      <c r="K1148" s="52" t="s">
        <v>448</v>
      </c>
      <c r="L1148" s="52"/>
      <c r="Q1148" s="1225"/>
      <c r="R1148" s="1225"/>
      <c r="S1148" s="50" t="s">
        <v>449</v>
      </c>
      <c r="T1148" s="50"/>
      <c r="U1148" s="50"/>
      <c r="V1148" s="53"/>
    </row>
    <row r="1149" spans="1:22" ht="16.5" thickBot="1">
      <c r="A1149" s="54"/>
      <c r="B1149" s="55"/>
      <c r="C1149" s="55"/>
      <c r="D1149" s="55"/>
      <c r="E1149" s="55"/>
      <c r="F1149" s="55"/>
      <c r="G1149" s="55"/>
      <c r="H1149" s="55"/>
      <c r="I1149" s="55"/>
      <c r="J1149" s="55"/>
      <c r="K1149" s="55"/>
      <c r="L1149" s="56"/>
      <c r="M1149" s="55"/>
      <c r="N1149" s="55"/>
      <c r="O1149" s="55"/>
      <c r="P1149" s="55"/>
      <c r="Q1149" s="55"/>
      <c r="R1149" s="55"/>
      <c r="S1149" s="55"/>
      <c r="T1149" s="55"/>
      <c r="U1149" s="55"/>
      <c r="V1149" s="57"/>
    </row>
    <row r="1150" spans="1:22">
      <c r="A1150" s="1226" t="s">
        <v>397</v>
      </c>
      <c r="B1150" s="1227"/>
      <c r="C1150" s="1227"/>
      <c r="D1150" s="1228"/>
      <c r="E1150" s="1235" t="s">
        <v>450</v>
      </c>
      <c r="F1150" s="1235"/>
      <c r="G1150" s="1235"/>
      <c r="H1150" s="1235"/>
      <c r="I1150" s="1235"/>
      <c r="J1150" s="1235"/>
      <c r="K1150" s="1235"/>
      <c r="L1150" s="1235"/>
      <c r="M1150" s="1235"/>
      <c r="N1150" s="1235"/>
      <c r="O1150" s="1235"/>
      <c r="P1150" s="1235"/>
      <c r="Q1150" s="1235"/>
      <c r="R1150" s="1235"/>
      <c r="S1150" s="1235"/>
      <c r="T1150" s="1235"/>
      <c r="U1150" s="1235"/>
      <c r="V1150" s="1236"/>
    </row>
    <row r="1151" spans="1:22">
      <c r="A1151" s="1229"/>
      <c r="B1151" s="1230"/>
      <c r="C1151" s="1230"/>
      <c r="D1151" s="1231"/>
      <c r="E1151" s="1237" t="s">
        <v>451</v>
      </c>
      <c r="F1151" s="1237"/>
      <c r="G1151" s="1237"/>
      <c r="H1151" s="1237"/>
      <c r="I1151" s="1237"/>
      <c r="J1151" s="1237"/>
      <c r="K1151" s="1239" t="s">
        <v>378</v>
      </c>
      <c r="L1151" s="1239"/>
      <c r="M1151" s="1237" t="s">
        <v>452</v>
      </c>
      <c r="N1151" s="1240" t="s">
        <v>453</v>
      </c>
      <c r="O1151" s="1241"/>
      <c r="P1151" s="1241"/>
      <c r="Q1151" s="1241"/>
      <c r="R1151" s="1241"/>
      <c r="S1151" s="1241"/>
      <c r="T1151" s="1241"/>
      <c r="U1151" s="1241"/>
      <c r="V1151" s="1242"/>
    </row>
    <row r="1152" spans="1:22" ht="16.5" customHeight="1" thickBot="1">
      <c r="A1152" s="1232"/>
      <c r="B1152" s="1233"/>
      <c r="C1152" s="1233"/>
      <c r="D1152" s="1234"/>
      <c r="E1152" s="1238"/>
      <c r="F1152" s="1238"/>
      <c r="G1152" s="1238"/>
      <c r="H1152" s="1238"/>
      <c r="I1152" s="1238"/>
      <c r="J1152" s="1238"/>
      <c r="K1152" s="58" t="s">
        <v>454</v>
      </c>
      <c r="L1152" s="58" t="s">
        <v>455</v>
      </c>
      <c r="M1152" s="1238"/>
      <c r="N1152" s="87" t="s">
        <v>466</v>
      </c>
      <c r="O1152" s="87" t="s">
        <v>467</v>
      </c>
      <c r="P1152" s="1243" t="s">
        <v>1</v>
      </c>
      <c r="Q1152" s="1244"/>
      <c r="R1152" s="1245"/>
      <c r="S1152" s="1243" t="s">
        <v>2</v>
      </c>
      <c r="T1152" s="1244"/>
      <c r="U1152" s="1244"/>
      <c r="V1152" s="1246"/>
    </row>
    <row r="1153" spans="1:22" ht="19.5">
      <c r="A1153" s="1210">
        <f>P1183-S1183</f>
        <v>0</v>
      </c>
      <c r="B1153" s="1211"/>
      <c r="C1153" s="1211"/>
      <c r="D1153" s="1211"/>
      <c r="E1153" s="1212" t="str">
        <f>Account!$G$1</f>
        <v>FUND 501 CARP</v>
      </c>
      <c r="F1153" s="1213"/>
      <c r="G1153" s="1213"/>
      <c r="H1153" s="1213"/>
      <c r="I1153" s="1213"/>
      <c r="J1153" s="1214"/>
      <c r="K1153" s="59"/>
      <c r="L1153" s="59"/>
      <c r="M1153" s="60"/>
      <c r="N1153" s="60"/>
      <c r="O1153" s="60"/>
      <c r="P1153" s="1215"/>
      <c r="Q1153" s="1215"/>
      <c r="R1153" s="1215"/>
      <c r="S1153" s="1215"/>
      <c r="T1153" s="1215"/>
      <c r="U1153" s="1215"/>
      <c r="V1153" s="1216"/>
    </row>
    <row r="1154" spans="1:22">
      <c r="A1154" s="1195"/>
      <c r="B1154" s="1196"/>
      <c r="C1154" s="1196"/>
      <c r="D1154" s="1196"/>
      <c r="E1154" s="1196"/>
      <c r="F1154" s="1196"/>
      <c r="G1154" s="1196"/>
      <c r="H1154" s="1196"/>
      <c r="I1154" s="1196"/>
      <c r="J1154" s="1196"/>
      <c r="K1154" s="61"/>
      <c r="L1154" s="61"/>
      <c r="M1154" s="14"/>
      <c r="N1154" s="14"/>
      <c r="O1154" s="14"/>
      <c r="P1154" s="1196"/>
      <c r="Q1154" s="1196"/>
      <c r="R1154" s="1196"/>
      <c r="S1154" s="1196"/>
      <c r="T1154" s="1196"/>
      <c r="U1154" s="1196"/>
      <c r="V1154" s="1217"/>
    </row>
    <row r="1155" spans="1:22">
      <c r="A1155" s="1195"/>
      <c r="B1155" s="1196"/>
      <c r="C1155" s="1196"/>
      <c r="D1155" s="1196"/>
      <c r="E1155" s="1197" t="str">
        <f t="shared" ref="E1155:E1177" si="96">IF(K1155=0,"",(VLOOKUP((TRIM(K1155)),Code,2,)))</f>
        <v/>
      </c>
      <c r="F1155" s="1198"/>
      <c r="G1155" s="1198"/>
      <c r="H1155" s="1198"/>
      <c r="I1155" s="1198"/>
      <c r="J1155" s="1199"/>
      <c r="K1155" s="133"/>
      <c r="L1155" s="62" t="str">
        <f t="shared" ref="L1155:L1182" si="97">IF(K1155=0,"",VLOOKUP((TRIM(K1155)),Code,3,))</f>
        <v/>
      </c>
      <c r="M1155" s="14"/>
      <c r="N1155" s="89">
        <f t="array" ref="N1155">SUM(IF((CsDJ[JEV Number]=TRIM($T1144))*(CsDJ[Account Code]=TRIM(K1155)),CsDJ[Debit]))</f>
        <v>0</v>
      </c>
      <c r="O1155" s="89">
        <f t="array" ref="O1155">SUM(IF((CsDJ[JEV Number]=TRIM($T1144))*(CsDJ[Account Code]=TRIM(K1155)),CsDJ[Credit]))</f>
        <v>0</v>
      </c>
      <c r="P1155" s="1200">
        <f>N1155</f>
        <v>0</v>
      </c>
      <c r="Q1155" s="1200"/>
      <c r="R1155" s="1200"/>
      <c r="S1155" s="1200">
        <f>O1155</f>
        <v>0</v>
      </c>
      <c r="T1155" s="1200"/>
      <c r="U1155" s="1200"/>
      <c r="V1155" s="1201"/>
    </row>
    <row r="1156" spans="1:22">
      <c r="A1156" s="1195"/>
      <c r="B1156" s="1196"/>
      <c r="C1156" s="1196"/>
      <c r="D1156" s="1196"/>
      <c r="E1156" s="1197" t="str">
        <f t="shared" si="96"/>
        <v/>
      </c>
      <c r="F1156" s="1198"/>
      <c r="G1156" s="1198"/>
      <c r="H1156" s="1198"/>
      <c r="I1156" s="1198"/>
      <c r="J1156" s="1199"/>
      <c r="K1156" s="133"/>
      <c r="L1156" s="62" t="str">
        <f t="shared" si="97"/>
        <v/>
      </c>
      <c r="M1156" s="14"/>
      <c r="N1156" s="89">
        <f t="array" ref="N1156">SUM(IF((CsDJ[JEV Number]=TRIM($T1144))*(CsDJ[Account Code]=TRIM(K1156)),CsDJ[Debit]))</f>
        <v>0</v>
      </c>
      <c r="O1156" s="89">
        <f t="array" ref="O1156">SUM(IF((CsDJ[JEV Number]=TRIM($T1144))*(CsDJ[Account Code]=TRIM(K1156)),CsDJ[Credit]))</f>
        <v>0</v>
      </c>
      <c r="P1156" s="1200">
        <f>N1156</f>
        <v>0</v>
      </c>
      <c r="Q1156" s="1200"/>
      <c r="R1156" s="1200"/>
      <c r="S1156" s="1200">
        <f>O1156</f>
        <v>0</v>
      </c>
      <c r="T1156" s="1200"/>
      <c r="U1156" s="1200"/>
      <c r="V1156" s="1201"/>
    </row>
    <row r="1157" spans="1:22">
      <c r="A1157" s="1195"/>
      <c r="B1157" s="1196"/>
      <c r="C1157" s="1196"/>
      <c r="D1157" s="1196"/>
      <c r="E1157" s="1197" t="str">
        <f t="shared" si="96"/>
        <v/>
      </c>
      <c r="F1157" s="1198"/>
      <c r="G1157" s="1198"/>
      <c r="H1157" s="1198"/>
      <c r="I1157" s="1198"/>
      <c r="J1157" s="1199"/>
      <c r="K1157" s="133"/>
      <c r="L1157" s="62" t="str">
        <f t="shared" si="97"/>
        <v/>
      </c>
      <c r="M1157" s="14"/>
      <c r="N1157" s="89">
        <f t="array" ref="N1157">SUM(IF((CsDJ[JEV Number]=TRIM($T1144))*(CsDJ[Account Code]=TRIM(K1157)),CsDJ[Debit]))</f>
        <v>0</v>
      </c>
      <c r="O1157" s="89">
        <f t="array" ref="O1157">SUM(IF((CsDJ[JEV Number]=TRIM($T1144))*(CsDJ[Account Code]=TRIM(K1157)),CsDJ[Credit]))</f>
        <v>0</v>
      </c>
      <c r="P1157" s="1200">
        <f t="shared" ref="P1157:P1182" si="98">N1157</f>
        <v>0</v>
      </c>
      <c r="Q1157" s="1200"/>
      <c r="R1157" s="1200"/>
      <c r="S1157" s="1200">
        <f t="shared" ref="S1157:S1182" si="99">O1157</f>
        <v>0</v>
      </c>
      <c r="T1157" s="1200"/>
      <c r="U1157" s="1200"/>
      <c r="V1157" s="1201"/>
    </row>
    <row r="1158" spans="1:22">
      <c r="A1158" s="1195"/>
      <c r="B1158" s="1196"/>
      <c r="C1158" s="1196"/>
      <c r="D1158" s="1196"/>
      <c r="E1158" s="1197" t="str">
        <f t="shared" si="96"/>
        <v/>
      </c>
      <c r="F1158" s="1198"/>
      <c r="G1158" s="1198"/>
      <c r="H1158" s="1198"/>
      <c r="I1158" s="1198"/>
      <c r="J1158" s="1199"/>
      <c r="K1158" s="133"/>
      <c r="L1158" s="62" t="str">
        <f t="shared" si="97"/>
        <v/>
      </c>
      <c r="M1158" s="14"/>
      <c r="N1158" s="89">
        <f t="array" ref="N1158">SUM(IF((CsDJ[JEV Number]=TRIM($T1144))*(CsDJ[Account Code]=TRIM(K1158)),CsDJ[Debit]))</f>
        <v>0</v>
      </c>
      <c r="O1158" s="89">
        <f t="array" ref="O1158">SUM(IF((CsDJ[JEV Number]=TRIM($T1144))*(CsDJ[Account Code]=TRIM(K1158)),CsDJ[Credit]))</f>
        <v>0</v>
      </c>
      <c r="P1158" s="1200">
        <f t="shared" si="98"/>
        <v>0</v>
      </c>
      <c r="Q1158" s="1200"/>
      <c r="R1158" s="1200"/>
      <c r="S1158" s="1200">
        <f t="shared" si="99"/>
        <v>0</v>
      </c>
      <c r="T1158" s="1200"/>
      <c r="U1158" s="1200"/>
      <c r="V1158" s="1201"/>
    </row>
    <row r="1159" spans="1:22">
      <c r="A1159" s="1195"/>
      <c r="B1159" s="1196"/>
      <c r="C1159" s="1196"/>
      <c r="D1159" s="1196"/>
      <c r="E1159" s="1197" t="str">
        <f t="shared" si="96"/>
        <v/>
      </c>
      <c r="F1159" s="1198"/>
      <c r="G1159" s="1198"/>
      <c r="H1159" s="1198"/>
      <c r="I1159" s="1198"/>
      <c r="J1159" s="1199"/>
      <c r="K1159" s="133"/>
      <c r="L1159" s="62" t="str">
        <f t="shared" si="97"/>
        <v/>
      </c>
      <c r="M1159" s="14"/>
      <c r="N1159" s="89">
        <f t="array" ref="N1159">SUM(IF((CsDJ[JEV Number]=TRIM($T1144))*(CsDJ[Account Code]=TRIM(K1159)),CsDJ[Debit]))</f>
        <v>0</v>
      </c>
      <c r="O1159" s="89">
        <f t="array" ref="O1159">SUM(IF((CsDJ[JEV Number]=TRIM($T1144))*(CsDJ[Account Code]=TRIM(K1159)),CsDJ[Credit]))</f>
        <v>0</v>
      </c>
      <c r="P1159" s="1200">
        <f t="shared" si="98"/>
        <v>0</v>
      </c>
      <c r="Q1159" s="1200"/>
      <c r="R1159" s="1200"/>
      <c r="S1159" s="1200">
        <f t="shared" si="99"/>
        <v>0</v>
      </c>
      <c r="T1159" s="1200"/>
      <c r="U1159" s="1200"/>
      <c r="V1159" s="1201"/>
    </row>
    <row r="1160" spans="1:22">
      <c r="A1160" s="1195"/>
      <c r="B1160" s="1196"/>
      <c r="C1160" s="1196"/>
      <c r="D1160" s="1196"/>
      <c r="E1160" s="1197" t="str">
        <f t="shared" si="96"/>
        <v/>
      </c>
      <c r="F1160" s="1198"/>
      <c r="G1160" s="1198"/>
      <c r="H1160" s="1198"/>
      <c r="I1160" s="1198"/>
      <c r="J1160" s="1199"/>
      <c r="K1160" s="133"/>
      <c r="L1160" s="62" t="str">
        <f t="shared" si="97"/>
        <v/>
      </c>
      <c r="M1160" s="14"/>
      <c r="N1160" s="89">
        <f t="array" ref="N1160">SUM(IF((CsDJ[JEV Number]=TRIM($T1144))*(CsDJ[Account Code]=TRIM(K1160)),CsDJ[Debit]))</f>
        <v>0</v>
      </c>
      <c r="O1160" s="89">
        <f t="array" ref="O1160">SUM(IF((CsDJ[JEV Number]=TRIM($T1144))*(CsDJ[Account Code]=TRIM(K1160)),CsDJ[Credit]))</f>
        <v>0</v>
      </c>
      <c r="P1160" s="1200">
        <f t="shared" si="98"/>
        <v>0</v>
      </c>
      <c r="Q1160" s="1200"/>
      <c r="R1160" s="1200"/>
      <c r="S1160" s="1200">
        <f t="shared" si="99"/>
        <v>0</v>
      </c>
      <c r="T1160" s="1200"/>
      <c r="U1160" s="1200"/>
      <c r="V1160" s="1201"/>
    </row>
    <row r="1161" spans="1:22">
      <c r="A1161" s="1195"/>
      <c r="B1161" s="1196"/>
      <c r="C1161" s="1196"/>
      <c r="D1161" s="1196"/>
      <c r="E1161" s="1197" t="str">
        <f t="shared" si="96"/>
        <v/>
      </c>
      <c r="F1161" s="1198"/>
      <c r="G1161" s="1198"/>
      <c r="H1161" s="1198"/>
      <c r="I1161" s="1198"/>
      <c r="J1161" s="1199"/>
      <c r="K1161" s="133"/>
      <c r="L1161" s="62" t="str">
        <f t="shared" si="97"/>
        <v/>
      </c>
      <c r="M1161" s="14"/>
      <c r="N1161" s="89">
        <f t="array" ref="N1161">SUM(IF((CsDJ[JEV Number]=TRIM($T1144))*(CsDJ[Account Code]=TRIM(K1161)),CsDJ[Debit]))</f>
        <v>0</v>
      </c>
      <c r="O1161" s="89">
        <f t="array" ref="O1161">SUM(IF((CsDJ[JEV Number]=TRIM($T1144))*(CsDJ[Account Code]=TRIM(K1161)),CsDJ[Credit]))</f>
        <v>0</v>
      </c>
      <c r="P1161" s="1200">
        <f t="shared" si="98"/>
        <v>0</v>
      </c>
      <c r="Q1161" s="1200"/>
      <c r="R1161" s="1200"/>
      <c r="S1161" s="1200">
        <f t="shared" si="99"/>
        <v>0</v>
      </c>
      <c r="T1161" s="1200"/>
      <c r="U1161" s="1200"/>
      <c r="V1161" s="1201"/>
    </row>
    <row r="1162" spans="1:22">
      <c r="A1162" s="1195"/>
      <c r="B1162" s="1196"/>
      <c r="C1162" s="1196"/>
      <c r="D1162" s="1196"/>
      <c r="E1162" s="1197" t="str">
        <f t="shared" si="96"/>
        <v/>
      </c>
      <c r="F1162" s="1198"/>
      <c r="G1162" s="1198"/>
      <c r="H1162" s="1198"/>
      <c r="I1162" s="1198"/>
      <c r="J1162" s="1199"/>
      <c r="K1162" s="133"/>
      <c r="L1162" s="62" t="str">
        <f t="shared" si="97"/>
        <v/>
      </c>
      <c r="M1162" s="14"/>
      <c r="N1162" s="89">
        <f t="array" ref="N1162">SUM(IF((CsDJ[JEV Number]=TRIM($T1144))*(CsDJ[Account Code]=TRIM(K1162)),CsDJ[Debit]))</f>
        <v>0</v>
      </c>
      <c r="O1162" s="89">
        <f t="array" ref="O1162">SUM(IF((CsDJ[JEV Number]=TRIM($T1144))*(CsDJ[Account Code]=TRIM(K1162)),CsDJ[Credit]))</f>
        <v>0</v>
      </c>
      <c r="P1162" s="1200">
        <f t="shared" si="98"/>
        <v>0</v>
      </c>
      <c r="Q1162" s="1200"/>
      <c r="R1162" s="1200"/>
      <c r="S1162" s="1200">
        <f t="shared" si="99"/>
        <v>0</v>
      </c>
      <c r="T1162" s="1200"/>
      <c r="U1162" s="1200"/>
      <c r="V1162" s="1201"/>
    </row>
    <row r="1163" spans="1:22">
      <c r="A1163" s="1195"/>
      <c r="B1163" s="1196"/>
      <c r="C1163" s="1196"/>
      <c r="D1163" s="1196"/>
      <c r="E1163" s="1197" t="str">
        <f t="shared" si="96"/>
        <v/>
      </c>
      <c r="F1163" s="1198"/>
      <c r="G1163" s="1198"/>
      <c r="H1163" s="1198"/>
      <c r="I1163" s="1198"/>
      <c r="J1163" s="1199"/>
      <c r="K1163" s="134"/>
      <c r="L1163" s="62" t="str">
        <f t="shared" si="97"/>
        <v/>
      </c>
      <c r="M1163" s="14"/>
      <c r="N1163" s="89">
        <f t="array" ref="N1163">SUM(IF((CsDJ[JEV Number]=TRIM($T1144))*(CsDJ[Account Code]=TRIM(K1163)),CsDJ[Debit]))</f>
        <v>0</v>
      </c>
      <c r="O1163" s="89">
        <f t="array" ref="O1163">SUM(IF((CsDJ[JEV Number]=TRIM($T1144))*(CsDJ[Account Code]=TRIM(K1163)),CsDJ[Credit]))</f>
        <v>0</v>
      </c>
      <c r="P1163" s="1200">
        <f t="shared" si="98"/>
        <v>0</v>
      </c>
      <c r="Q1163" s="1200"/>
      <c r="R1163" s="1200"/>
      <c r="S1163" s="1200">
        <f t="shared" si="99"/>
        <v>0</v>
      </c>
      <c r="T1163" s="1200"/>
      <c r="U1163" s="1200"/>
      <c r="V1163" s="1201"/>
    </row>
    <row r="1164" spans="1:22">
      <c r="A1164" s="1195"/>
      <c r="B1164" s="1196"/>
      <c r="C1164" s="1196"/>
      <c r="D1164" s="1196"/>
      <c r="E1164" s="1197" t="str">
        <f t="shared" si="96"/>
        <v/>
      </c>
      <c r="F1164" s="1198"/>
      <c r="G1164" s="1198"/>
      <c r="H1164" s="1198"/>
      <c r="I1164" s="1198"/>
      <c r="J1164" s="1199"/>
      <c r="K1164" s="134"/>
      <c r="L1164" s="62" t="str">
        <f t="shared" si="97"/>
        <v/>
      </c>
      <c r="M1164" s="14"/>
      <c r="N1164" s="89">
        <f t="array" ref="N1164">SUM(IF((CsDJ[JEV Number]=TRIM($T1144))*(CsDJ[Account Code]=TRIM(K1164)),CsDJ[Debit]))</f>
        <v>0</v>
      </c>
      <c r="O1164" s="89">
        <f t="array" ref="O1164">SUM(IF((CsDJ[JEV Number]=TRIM($T1144))*(CsDJ[Account Code]=TRIM(K1164)),CsDJ[Credit]))</f>
        <v>0</v>
      </c>
      <c r="P1164" s="1200">
        <f t="shared" si="98"/>
        <v>0</v>
      </c>
      <c r="Q1164" s="1200"/>
      <c r="R1164" s="1200"/>
      <c r="S1164" s="1200">
        <f t="shared" si="99"/>
        <v>0</v>
      </c>
      <c r="T1164" s="1200"/>
      <c r="U1164" s="1200"/>
      <c r="V1164" s="1201"/>
    </row>
    <row r="1165" spans="1:22">
      <c r="A1165" s="1195"/>
      <c r="B1165" s="1196"/>
      <c r="C1165" s="1196"/>
      <c r="D1165" s="1196"/>
      <c r="E1165" s="1197" t="str">
        <f t="shared" si="96"/>
        <v/>
      </c>
      <c r="F1165" s="1198"/>
      <c r="G1165" s="1198"/>
      <c r="H1165" s="1198"/>
      <c r="I1165" s="1198"/>
      <c r="J1165" s="1199"/>
      <c r="K1165" s="134"/>
      <c r="L1165" s="62" t="str">
        <f t="shared" si="97"/>
        <v/>
      </c>
      <c r="M1165" s="14"/>
      <c r="N1165" s="89">
        <f t="array" ref="N1165">SUM(IF((CsDJ[JEV Number]=TRIM($T1144))*(CsDJ[Account Code]=TRIM(K1165)),CsDJ[Debit]))</f>
        <v>0</v>
      </c>
      <c r="O1165" s="89">
        <f t="array" ref="O1165">SUM(IF((CsDJ[JEV Number]=TRIM($T1144))*(CsDJ[Account Code]=TRIM(K1165)),CsDJ[Credit]))</f>
        <v>0</v>
      </c>
      <c r="P1165" s="1200">
        <f t="shared" si="98"/>
        <v>0</v>
      </c>
      <c r="Q1165" s="1200"/>
      <c r="R1165" s="1200"/>
      <c r="S1165" s="1200">
        <f t="shared" si="99"/>
        <v>0</v>
      </c>
      <c r="T1165" s="1200"/>
      <c r="U1165" s="1200"/>
      <c r="V1165" s="1201"/>
    </row>
    <row r="1166" spans="1:22">
      <c r="A1166" s="1195"/>
      <c r="B1166" s="1196"/>
      <c r="C1166" s="1196"/>
      <c r="D1166" s="1196"/>
      <c r="E1166" s="1197" t="str">
        <f t="shared" si="96"/>
        <v/>
      </c>
      <c r="F1166" s="1198"/>
      <c r="G1166" s="1198"/>
      <c r="H1166" s="1198"/>
      <c r="I1166" s="1198"/>
      <c r="J1166" s="1199"/>
      <c r="K1166" s="134"/>
      <c r="L1166" s="62" t="str">
        <f t="shared" si="97"/>
        <v/>
      </c>
      <c r="M1166" s="14"/>
      <c r="N1166" s="89">
        <f t="array" ref="N1166">SUM(IF((CsDJ[JEV Number]=TRIM($T1144))*(CsDJ[Account Code]=TRIM(K1166)),CsDJ[Debit]))</f>
        <v>0</v>
      </c>
      <c r="O1166" s="89">
        <f t="array" ref="O1166">SUM(IF((CsDJ[JEV Number]=TRIM($T1144))*(CsDJ[Account Code]=TRIM(K1166)),CsDJ[Credit]))</f>
        <v>0</v>
      </c>
      <c r="P1166" s="1200">
        <f t="shared" si="98"/>
        <v>0</v>
      </c>
      <c r="Q1166" s="1200"/>
      <c r="R1166" s="1200"/>
      <c r="S1166" s="1200">
        <f t="shared" si="99"/>
        <v>0</v>
      </c>
      <c r="T1166" s="1200"/>
      <c r="U1166" s="1200"/>
      <c r="V1166" s="1201"/>
    </row>
    <row r="1167" spans="1:22">
      <c r="A1167" s="1195"/>
      <c r="B1167" s="1196"/>
      <c r="C1167" s="1196"/>
      <c r="D1167" s="1196"/>
      <c r="E1167" s="1197" t="str">
        <f t="shared" si="96"/>
        <v/>
      </c>
      <c r="F1167" s="1198"/>
      <c r="G1167" s="1198"/>
      <c r="H1167" s="1198"/>
      <c r="I1167" s="1198"/>
      <c r="J1167" s="1199"/>
      <c r="K1167" s="134"/>
      <c r="L1167" s="62" t="str">
        <f t="shared" si="97"/>
        <v/>
      </c>
      <c r="M1167" s="14"/>
      <c r="N1167" s="89">
        <f t="array" ref="N1167">SUM(IF((CsDJ[JEV Number]=TRIM($T1144))*(CsDJ[Account Code]=TRIM(K1167)),CsDJ[Debit]))</f>
        <v>0</v>
      </c>
      <c r="O1167" s="89">
        <f t="array" ref="O1167">SUM(IF((CsDJ[JEV Number]=TRIM($T1144))*(CsDJ[Account Code]=TRIM(K1167)),CsDJ[Credit]))</f>
        <v>0</v>
      </c>
      <c r="P1167" s="1200">
        <f t="shared" si="98"/>
        <v>0</v>
      </c>
      <c r="Q1167" s="1200"/>
      <c r="R1167" s="1200"/>
      <c r="S1167" s="1200">
        <f t="shared" si="99"/>
        <v>0</v>
      </c>
      <c r="T1167" s="1200"/>
      <c r="U1167" s="1200"/>
      <c r="V1167" s="1201"/>
    </row>
    <row r="1168" spans="1:22">
      <c r="A1168" s="1195"/>
      <c r="B1168" s="1196"/>
      <c r="C1168" s="1196"/>
      <c r="D1168" s="1196"/>
      <c r="E1168" s="1197" t="str">
        <f t="shared" si="96"/>
        <v/>
      </c>
      <c r="F1168" s="1198"/>
      <c r="G1168" s="1198"/>
      <c r="H1168" s="1198"/>
      <c r="I1168" s="1198"/>
      <c r="J1168" s="1199"/>
      <c r="K1168" s="134"/>
      <c r="L1168" s="62" t="str">
        <f t="shared" si="97"/>
        <v/>
      </c>
      <c r="M1168" s="14"/>
      <c r="N1168" s="89">
        <f t="array" ref="N1168">SUM(IF((CsDJ[JEV Number]=TRIM($T1144))*(CsDJ[Account Code]=TRIM(K1168)),CsDJ[Debit]))</f>
        <v>0</v>
      </c>
      <c r="O1168" s="89">
        <f t="array" ref="O1168">SUM(IF((CsDJ[JEV Number]=TRIM($T1144))*(CsDJ[Account Code]=TRIM(K1168)),CsDJ[Credit]))</f>
        <v>0</v>
      </c>
      <c r="P1168" s="1200">
        <f t="shared" si="98"/>
        <v>0</v>
      </c>
      <c r="Q1168" s="1200"/>
      <c r="R1168" s="1200"/>
      <c r="S1168" s="1200">
        <f t="shared" si="99"/>
        <v>0</v>
      </c>
      <c r="T1168" s="1200"/>
      <c r="U1168" s="1200"/>
      <c r="V1168" s="1201"/>
    </row>
    <row r="1169" spans="1:22">
      <c r="A1169" s="1195"/>
      <c r="B1169" s="1196"/>
      <c r="C1169" s="1196"/>
      <c r="D1169" s="1196"/>
      <c r="E1169" s="1197" t="str">
        <f t="shared" si="96"/>
        <v/>
      </c>
      <c r="F1169" s="1198"/>
      <c r="G1169" s="1198"/>
      <c r="H1169" s="1198"/>
      <c r="I1169" s="1198"/>
      <c r="J1169" s="1199"/>
      <c r="K1169" s="134"/>
      <c r="L1169" s="62" t="str">
        <f t="shared" si="97"/>
        <v/>
      </c>
      <c r="M1169" s="14"/>
      <c r="N1169" s="89">
        <f t="array" ref="N1169">SUM(IF((CsDJ[JEV Number]=TRIM($T1144))*(CsDJ[Account Code]=TRIM(K1169)),CsDJ[Debit]))</f>
        <v>0</v>
      </c>
      <c r="O1169" s="89">
        <f t="array" ref="O1169">SUM(IF((CsDJ[JEV Number]=TRIM($T1144))*(CsDJ[Account Code]=TRIM(K1169)),CsDJ[Credit]))</f>
        <v>0</v>
      </c>
      <c r="P1169" s="1200">
        <f t="shared" si="98"/>
        <v>0</v>
      </c>
      <c r="Q1169" s="1200"/>
      <c r="R1169" s="1200"/>
      <c r="S1169" s="1200">
        <f t="shared" si="99"/>
        <v>0</v>
      </c>
      <c r="T1169" s="1200"/>
      <c r="U1169" s="1200"/>
      <c r="V1169" s="1201"/>
    </row>
    <row r="1170" spans="1:22">
      <c r="A1170" s="1195"/>
      <c r="B1170" s="1196"/>
      <c r="C1170" s="1196"/>
      <c r="D1170" s="1196"/>
      <c r="E1170" s="1197" t="str">
        <f t="shared" si="96"/>
        <v/>
      </c>
      <c r="F1170" s="1198"/>
      <c r="G1170" s="1198"/>
      <c r="H1170" s="1198"/>
      <c r="I1170" s="1198"/>
      <c r="J1170" s="1199"/>
      <c r="K1170" s="134"/>
      <c r="L1170" s="62" t="str">
        <f t="shared" si="97"/>
        <v/>
      </c>
      <c r="M1170" s="14"/>
      <c r="N1170" s="89">
        <f t="array" ref="N1170">SUM(IF((CsDJ[JEV Number]=TRIM($T1144))*(CsDJ[Account Code]=TRIM(K1170)),CsDJ[Debit]))</f>
        <v>0</v>
      </c>
      <c r="O1170" s="89">
        <f t="array" ref="O1170">SUM(IF((CsDJ[JEV Number]=TRIM($T1144))*(CsDJ[Account Code]=TRIM(K1170)),CsDJ[Credit]))</f>
        <v>0</v>
      </c>
      <c r="P1170" s="1200">
        <f t="shared" si="98"/>
        <v>0</v>
      </c>
      <c r="Q1170" s="1200"/>
      <c r="R1170" s="1200"/>
      <c r="S1170" s="1200">
        <f t="shared" si="99"/>
        <v>0</v>
      </c>
      <c r="T1170" s="1200"/>
      <c r="U1170" s="1200"/>
      <c r="V1170" s="1201"/>
    </row>
    <row r="1171" spans="1:22">
      <c r="A1171" s="1195"/>
      <c r="B1171" s="1196"/>
      <c r="C1171" s="1196"/>
      <c r="D1171" s="1196"/>
      <c r="E1171" s="1197" t="str">
        <f t="shared" si="96"/>
        <v/>
      </c>
      <c r="F1171" s="1198"/>
      <c r="G1171" s="1198"/>
      <c r="H1171" s="1198"/>
      <c r="I1171" s="1198"/>
      <c r="J1171" s="1199"/>
      <c r="K1171" s="134"/>
      <c r="L1171" s="62" t="str">
        <f t="shared" si="97"/>
        <v/>
      </c>
      <c r="M1171" s="14"/>
      <c r="N1171" s="89">
        <f t="array" ref="N1171">SUM(IF((CsDJ[JEV Number]=TRIM($T1144))*(CsDJ[Account Code]=TRIM(K1171)),CsDJ[Debit]))</f>
        <v>0</v>
      </c>
      <c r="O1171" s="89">
        <f t="array" ref="O1171">SUM(IF((CsDJ[JEV Number]=TRIM($T1144))*(CsDJ[Account Code]=TRIM(K1171)),CsDJ[Credit]))</f>
        <v>0</v>
      </c>
      <c r="P1171" s="1200">
        <f t="shared" si="98"/>
        <v>0</v>
      </c>
      <c r="Q1171" s="1200"/>
      <c r="R1171" s="1200"/>
      <c r="S1171" s="1200">
        <f t="shared" si="99"/>
        <v>0</v>
      </c>
      <c r="T1171" s="1200"/>
      <c r="U1171" s="1200"/>
      <c r="V1171" s="1201"/>
    </row>
    <row r="1172" spans="1:22">
      <c r="A1172" s="1195"/>
      <c r="B1172" s="1196"/>
      <c r="C1172" s="1196"/>
      <c r="D1172" s="1196"/>
      <c r="E1172" s="1197" t="str">
        <f t="shared" si="96"/>
        <v/>
      </c>
      <c r="F1172" s="1198"/>
      <c r="G1172" s="1198"/>
      <c r="H1172" s="1198"/>
      <c r="I1172" s="1198"/>
      <c r="J1172" s="1199"/>
      <c r="K1172" s="134"/>
      <c r="L1172" s="62" t="str">
        <f t="shared" si="97"/>
        <v/>
      </c>
      <c r="M1172" s="14"/>
      <c r="N1172" s="89">
        <f t="array" ref="N1172">SUM(IF((CsDJ[JEV Number]=TRIM($T1144))*(CsDJ[Account Code]=TRIM(K1172)),CsDJ[Debit]))</f>
        <v>0</v>
      </c>
      <c r="O1172" s="89">
        <f t="array" ref="O1172">SUM(IF((CsDJ[JEV Number]=TRIM($T1144))*(CsDJ[Account Code]=TRIM(K1172)),CsDJ[Credit]))</f>
        <v>0</v>
      </c>
      <c r="P1172" s="1200">
        <f t="shared" si="98"/>
        <v>0</v>
      </c>
      <c r="Q1172" s="1200"/>
      <c r="R1172" s="1200"/>
      <c r="S1172" s="1200">
        <f t="shared" si="99"/>
        <v>0</v>
      </c>
      <c r="T1172" s="1200"/>
      <c r="U1172" s="1200"/>
      <c r="V1172" s="1201"/>
    </row>
    <row r="1173" spans="1:22">
      <c r="A1173" s="1195"/>
      <c r="B1173" s="1196"/>
      <c r="C1173" s="1196"/>
      <c r="D1173" s="1196"/>
      <c r="E1173" s="1197" t="str">
        <f t="shared" si="96"/>
        <v/>
      </c>
      <c r="F1173" s="1198"/>
      <c r="G1173" s="1198"/>
      <c r="H1173" s="1198"/>
      <c r="I1173" s="1198"/>
      <c r="J1173" s="1199"/>
      <c r="K1173" s="134"/>
      <c r="L1173" s="62" t="str">
        <f t="shared" si="97"/>
        <v/>
      </c>
      <c r="M1173" s="14"/>
      <c r="N1173" s="89">
        <f t="array" ref="N1173">SUM(IF((CsDJ[JEV Number]=TRIM($T1144))*(CsDJ[Account Code]=TRIM(K1173)),CsDJ[Debit]))</f>
        <v>0</v>
      </c>
      <c r="O1173" s="89">
        <f t="array" ref="O1173">SUM(IF((CsDJ[JEV Number]=TRIM($T1144))*(CsDJ[Account Code]=TRIM(K1173)),CsDJ[Credit]))</f>
        <v>0</v>
      </c>
      <c r="P1173" s="1200">
        <f t="shared" si="98"/>
        <v>0</v>
      </c>
      <c r="Q1173" s="1200"/>
      <c r="R1173" s="1200"/>
      <c r="S1173" s="1200">
        <f t="shared" si="99"/>
        <v>0</v>
      </c>
      <c r="T1173" s="1200"/>
      <c r="U1173" s="1200"/>
      <c r="V1173" s="1201"/>
    </row>
    <row r="1174" spans="1:22">
      <c r="A1174" s="1195"/>
      <c r="B1174" s="1196"/>
      <c r="C1174" s="1196"/>
      <c r="D1174" s="1196"/>
      <c r="E1174" s="1197" t="str">
        <f t="shared" si="96"/>
        <v/>
      </c>
      <c r="F1174" s="1198"/>
      <c r="G1174" s="1198"/>
      <c r="H1174" s="1198"/>
      <c r="I1174" s="1198"/>
      <c r="J1174" s="1199"/>
      <c r="K1174" s="134"/>
      <c r="L1174" s="62" t="str">
        <f t="shared" si="97"/>
        <v/>
      </c>
      <c r="M1174" s="14"/>
      <c r="N1174" s="89">
        <f t="array" ref="N1174">SUM(IF((CsDJ[JEV Number]=TRIM($T1144))*(CsDJ[Account Code]=TRIM(K1174)),CsDJ[Debit]))</f>
        <v>0</v>
      </c>
      <c r="O1174" s="89">
        <f t="array" ref="O1174">SUM(IF((CsDJ[JEV Number]=TRIM($T1144))*(CsDJ[Account Code]=TRIM(K1174)),CsDJ[Credit]))</f>
        <v>0</v>
      </c>
      <c r="P1174" s="1200">
        <f t="shared" si="98"/>
        <v>0</v>
      </c>
      <c r="Q1174" s="1200"/>
      <c r="R1174" s="1200"/>
      <c r="S1174" s="1200">
        <f t="shared" si="99"/>
        <v>0</v>
      </c>
      <c r="T1174" s="1200"/>
      <c r="U1174" s="1200"/>
      <c r="V1174" s="1201"/>
    </row>
    <row r="1175" spans="1:22">
      <c r="A1175" s="1195"/>
      <c r="B1175" s="1196"/>
      <c r="C1175" s="1196"/>
      <c r="D1175" s="1196"/>
      <c r="E1175" s="1197" t="str">
        <f t="shared" si="96"/>
        <v/>
      </c>
      <c r="F1175" s="1198"/>
      <c r="G1175" s="1198"/>
      <c r="H1175" s="1198"/>
      <c r="I1175" s="1198"/>
      <c r="J1175" s="1199"/>
      <c r="K1175" s="134"/>
      <c r="L1175" s="62" t="str">
        <f t="shared" si="97"/>
        <v/>
      </c>
      <c r="M1175" s="14"/>
      <c r="N1175" s="89">
        <f t="array" ref="N1175">SUM(IF((CsDJ[JEV Number]=TRIM($T1144))*(CsDJ[Account Code]=TRIM(K1175)),CsDJ[Debit]))</f>
        <v>0</v>
      </c>
      <c r="O1175" s="89">
        <f t="array" ref="O1175">SUM(IF((CsDJ[JEV Number]=TRIM($T1144))*(CsDJ[Account Code]=TRIM(K1175)),CsDJ[Credit]))</f>
        <v>0</v>
      </c>
      <c r="P1175" s="1200">
        <f t="shared" si="98"/>
        <v>0</v>
      </c>
      <c r="Q1175" s="1200"/>
      <c r="R1175" s="1200"/>
      <c r="S1175" s="1200">
        <f t="shared" si="99"/>
        <v>0</v>
      </c>
      <c r="T1175" s="1200"/>
      <c r="U1175" s="1200"/>
      <c r="V1175" s="1201"/>
    </row>
    <row r="1176" spans="1:22">
      <c r="A1176" s="1195"/>
      <c r="B1176" s="1196"/>
      <c r="C1176" s="1196"/>
      <c r="D1176" s="1196"/>
      <c r="E1176" s="1197" t="str">
        <f t="shared" si="96"/>
        <v/>
      </c>
      <c r="F1176" s="1198"/>
      <c r="G1176" s="1198"/>
      <c r="H1176" s="1198"/>
      <c r="I1176" s="1198"/>
      <c r="J1176" s="1199"/>
      <c r="K1176" s="134"/>
      <c r="L1176" s="62" t="str">
        <f t="shared" si="97"/>
        <v/>
      </c>
      <c r="M1176" s="14"/>
      <c r="N1176" s="89">
        <f t="array" ref="N1176">SUM(IF((CsDJ[JEV Number]=TRIM($T1144))*(CsDJ[Account Code]=TRIM(K1176)),CsDJ[Debit]))</f>
        <v>0</v>
      </c>
      <c r="O1176" s="89">
        <f t="array" ref="O1176">SUM(IF((CsDJ[JEV Number]=TRIM($T1144))*(CsDJ[Account Code]=TRIM(K1176)),CsDJ[Credit]))</f>
        <v>0</v>
      </c>
      <c r="P1176" s="1200">
        <f t="shared" si="98"/>
        <v>0</v>
      </c>
      <c r="Q1176" s="1200"/>
      <c r="R1176" s="1200"/>
      <c r="S1176" s="1200">
        <f t="shared" si="99"/>
        <v>0</v>
      </c>
      <c r="T1176" s="1200"/>
      <c r="U1176" s="1200"/>
      <c r="V1176" s="1201"/>
    </row>
    <row r="1177" spans="1:22">
      <c r="A1177" s="1195"/>
      <c r="B1177" s="1196"/>
      <c r="C1177" s="1196"/>
      <c r="D1177" s="1196"/>
      <c r="E1177" s="1197" t="str">
        <f t="shared" si="96"/>
        <v/>
      </c>
      <c r="F1177" s="1198"/>
      <c r="G1177" s="1198"/>
      <c r="H1177" s="1198"/>
      <c r="I1177" s="1198"/>
      <c r="J1177" s="1199"/>
      <c r="K1177" s="134"/>
      <c r="L1177" s="62" t="str">
        <f t="shared" si="97"/>
        <v/>
      </c>
      <c r="M1177" s="14"/>
      <c r="N1177" s="89">
        <f t="array" ref="N1177">SUM(IF((CsDJ[JEV Number]=TRIM($T1144))*(CsDJ[Account Code]=TRIM(K1177)),CsDJ[Debit]))</f>
        <v>0</v>
      </c>
      <c r="O1177" s="89">
        <f t="array" ref="O1177">SUM(IF((CsDJ[JEV Number]=TRIM($T1144))*(CsDJ[Account Code]=TRIM(K1177)),CsDJ[Credit]))</f>
        <v>0</v>
      </c>
      <c r="P1177" s="1200">
        <f t="shared" si="98"/>
        <v>0</v>
      </c>
      <c r="Q1177" s="1200"/>
      <c r="R1177" s="1200"/>
      <c r="S1177" s="1200">
        <f t="shared" si="99"/>
        <v>0</v>
      </c>
      <c r="T1177" s="1200"/>
      <c r="U1177" s="1200"/>
      <c r="V1177" s="1201"/>
    </row>
    <row r="1178" spans="1:22">
      <c r="A1178" s="1195"/>
      <c r="B1178" s="1196"/>
      <c r="C1178" s="1196"/>
      <c r="D1178" s="1196"/>
      <c r="E1178" s="1257" t="s">
        <v>468</v>
      </c>
      <c r="F1178" s="1258"/>
      <c r="G1178" s="1258"/>
      <c r="H1178" s="1258"/>
      <c r="I1178" s="1258"/>
      <c r="J1178" s="1259"/>
      <c r="K1178" s="133"/>
      <c r="L1178" s="62" t="str">
        <f t="shared" si="97"/>
        <v/>
      </c>
      <c r="M1178" s="14"/>
      <c r="N1178" s="89">
        <f t="array" ref="N1178">SUM(IF((CsDJ[JEV Number]=TRIM($T1144))*(CsDJ[Account Code]=TRIM(K1178)),CsDJ[Debit]))</f>
        <v>0</v>
      </c>
      <c r="O1178" s="89">
        <f t="array" ref="O1178">SUM(IF((CsDJ[JEV Number]=TRIM($T1144))*(CsDJ[Account Code]=TRIM(K1178)),CsDJ[Credit]))</f>
        <v>0</v>
      </c>
      <c r="P1178" s="1200">
        <f t="shared" si="98"/>
        <v>0</v>
      </c>
      <c r="Q1178" s="1200"/>
      <c r="R1178" s="1200"/>
      <c r="S1178" s="1200">
        <f t="shared" si="99"/>
        <v>0</v>
      </c>
      <c r="T1178" s="1200"/>
      <c r="U1178" s="1200"/>
      <c r="V1178" s="1201"/>
    </row>
    <row r="1179" spans="1:22">
      <c r="A1179" s="1195"/>
      <c r="B1179" s="1196"/>
      <c r="C1179" s="1196"/>
      <c r="D1179" s="1196"/>
      <c r="E1179" s="1202" t="s">
        <v>457</v>
      </c>
      <c r="F1179" s="1203"/>
      <c r="G1179" s="1203"/>
      <c r="H1179" s="1203"/>
      <c r="I1179" s="1207">
        <f>T1145</f>
        <v>0</v>
      </c>
      <c r="J1179" s="1208"/>
      <c r="K1179" s="133"/>
      <c r="L1179" s="62" t="str">
        <f t="shared" si="97"/>
        <v/>
      </c>
      <c r="M1179" s="14"/>
      <c r="N1179" s="89">
        <f t="array" ref="N1179">SUM(IF((CsDJ[JEV Number]=TRIM($T1144))*(CsDJ[Account Code]=TRIM(K1179)),CsDJ[Debit]))</f>
        <v>0</v>
      </c>
      <c r="O1179" s="89">
        <f t="array" ref="O1179">SUM(IF((CsDJ[JEV Number]=TRIM($T1144))*(CsDJ[Account Code]=TRIM(K1179)),CsDJ[Credit]))</f>
        <v>0</v>
      </c>
      <c r="P1179" s="1200">
        <f t="shared" si="98"/>
        <v>0</v>
      </c>
      <c r="Q1179" s="1200"/>
      <c r="R1179" s="1200"/>
      <c r="S1179" s="1200">
        <f t="shared" si="99"/>
        <v>0</v>
      </c>
      <c r="T1179" s="1200"/>
      <c r="U1179" s="1200"/>
      <c r="V1179" s="1201"/>
    </row>
    <row r="1180" spans="1:22">
      <c r="A1180" s="1195"/>
      <c r="B1180" s="1196"/>
      <c r="C1180" s="1196"/>
      <c r="D1180" s="1196"/>
      <c r="E1180" s="1202" t="s">
        <v>458</v>
      </c>
      <c r="F1180" s="1203"/>
      <c r="G1180" s="1203"/>
      <c r="H1180" s="1203"/>
      <c r="I1180" s="1263">
        <f>IF(T1144=0,0,(IF(LOOKUP(T1144,CsDJ[JEV Number],CsDJ[Sort Code])="1","MA. VIVIAN C. SALAS",IF(LOOKUP(T1144,CsDJ[JEV Number],CsDJ[Sort Code])="2","LUZ R. DE COZAR",IF(LOOKUP(T1144,CsDJ[JEV Number],CsDJ[Sort Code])="3","MINEONETTE A. DELA CRUZ",IF(LOOKUP(T1144,CsDJ[JEV Number],CsDJ[Sort Code])="4","RESELLA B. LOPEZ"))))))</f>
        <v>0</v>
      </c>
      <c r="J1180" s="1264"/>
      <c r="K1180" s="133"/>
      <c r="L1180" s="62" t="str">
        <f t="shared" si="97"/>
        <v/>
      </c>
      <c r="M1180" s="14"/>
      <c r="N1180" s="89">
        <f t="array" ref="N1180">SUM(IF((CsDJ[JEV Number]=TRIM($T1144))*(CsDJ[Account Code]=TRIM(K1180)),CsDJ[Debit]))</f>
        <v>0</v>
      </c>
      <c r="O1180" s="89">
        <f t="array" ref="O1180">SUM(IF((CsDJ[JEV Number]=TRIM($T1144))*(CsDJ[Account Code]=TRIM(K1180)),CsDJ[Credit]))</f>
        <v>0</v>
      </c>
      <c r="P1180" s="1200">
        <f t="shared" si="98"/>
        <v>0</v>
      </c>
      <c r="Q1180" s="1200"/>
      <c r="R1180" s="1200"/>
      <c r="S1180" s="1200">
        <f t="shared" si="99"/>
        <v>0</v>
      </c>
      <c r="T1180" s="1200"/>
      <c r="U1180" s="1200"/>
      <c r="V1180" s="1201"/>
    </row>
    <row r="1181" spans="1:22">
      <c r="A1181" s="1195"/>
      <c r="B1181" s="1196"/>
      <c r="C1181" s="1196"/>
      <c r="D1181" s="1196"/>
      <c r="E1181" s="1202" t="s">
        <v>459</v>
      </c>
      <c r="F1181" s="1203"/>
      <c r="G1181" s="1203"/>
      <c r="H1181" s="1203"/>
      <c r="I1181" s="1204">
        <f>IF(I1180="Ma. Vivian C. Salas","Regional Office", IF(I1180="Luz R. De Cozar","BANE IMO", IF(I1180="Mineonette A. Dela Cruz","PAMBAT IMO", IF(I1180="Resella B. Lopez","TARZAM IMO",0))))</f>
        <v>0</v>
      </c>
      <c r="J1181" s="1205"/>
      <c r="K1181" s="133"/>
      <c r="L1181" s="62" t="str">
        <f t="shared" si="97"/>
        <v/>
      </c>
      <c r="M1181" s="14"/>
      <c r="N1181" s="89">
        <f t="array" ref="N1181">SUM(IF((CsDJ[JEV Number]=TRIM($T1144))*(CsDJ[Account Code]=TRIM(K1181)),CsDJ[Debit]))</f>
        <v>0</v>
      </c>
      <c r="O1181" s="89">
        <f t="array" ref="O1181">SUM(IF((CsDJ[JEV Number]=TRIM($T1144))*(CsDJ[Account Code]=TRIM(K1181)),CsDJ[Credit]))</f>
        <v>0</v>
      </c>
      <c r="P1181" s="1200">
        <f t="shared" si="98"/>
        <v>0</v>
      </c>
      <c r="Q1181" s="1200"/>
      <c r="R1181" s="1200"/>
      <c r="S1181" s="1200">
        <f t="shared" si="99"/>
        <v>0</v>
      </c>
      <c r="T1181" s="1200"/>
      <c r="U1181" s="1200"/>
      <c r="V1181" s="1201"/>
    </row>
    <row r="1182" spans="1:22">
      <c r="A1182" s="1195"/>
      <c r="B1182" s="1196"/>
      <c r="C1182" s="1196"/>
      <c r="D1182" s="1196"/>
      <c r="E1182" s="1202"/>
      <c r="F1182" s="1203"/>
      <c r="G1182" s="1203"/>
      <c r="H1182" s="1203"/>
      <c r="I1182" s="1203"/>
      <c r="J1182" s="1206"/>
      <c r="K1182" s="133"/>
      <c r="L1182" s="62" t="str">
        <f t="shared" si="97"/>
        <v/>
      </c>
      <c r="M1182" s="14"/>
      <c r="N1182" s="89">
        <f t="array" ref="N1182">SUM(IF((CsDJ[JEV Number]=TRIM($T1144))*(CsDJ[Account Code]=TRIM(K1182)),CsDJ[Debit]))</f>
        <v>0</v>
      </c>
      <c r="O1182" s="89">
        <f t="array" ref="O1182">SUM(IF((CsDJ[JEV Number]=TRIM($T1144))*(CsDJ[Account Code]=TRIM(K1182)),CsDJ[Credit]))</f>
        <v>0</v>
      </c>
      <c r="P1182" s="1200">
        <f t="shared" si="98"/>
        <v>0</v>
      </c>
      <c r="Q1182" s="1200"/>
      <c r="R1182" s="1200"/>
      <c r="S1182" s="1200">
        <f t="shared" si="99"/>
        <v>0</v>
      </c>
      <c r="T1182" s="1200"/>
      <c r="U1182" s="1200"/>
      <c r="V1182" s="1201"/>
    </row>
    <row r="1183" spans="1:22" ht="16.5" thickBot="1">
      <c r="A1183" s="1188"/>
      <c r="B1183" s="1189"/>
      <c r="C1183" s="1189"/>
      <c r="D1183" s="1189"/>
      <c r="E1183" s="1189"/>
      <c r="F1183" s="1189"/>
      <c r="G1183" s="1189"/>
      <c r="H1183" s="1189"/>
      <c r="I1183" s="1189"/>
      <c r="J1183" s="1189"/>
      <c r="K1183" s="1189"/>
      <c r="L1183" s="1189"/>
      <c r="M1183" s="1190"/>
      <c r="N1183" s="88"/>
      <c r="O1183" s="88"/>
      <c r="P1183" s="1191">
        <f>SUM(P1153:R1182)</f>
        <v>0</v>
      </c>
      <c r="Q1183" s="1191"/>
      <c r="R1183" s="1191"/>
      <c r="S1183" s="1191">
        <f>SUM(S1153:V1182)</f>
        <v>0</v>
      </c>
      <c r="T1183" s="1191"/>
      <c r="U1183" s="1191"/>
      <c r="V1183" s="1192"/>
    </row>
    <row r="1184" spans="1:22">
      <c r="A1184" s="63"/>
      <c r="B1184" s="64"/>
      <c r="C1184" s="64"/>
      <c r="D1184" s="64"/>
      <c r="E1184" s="64"/>
      <c r="F1184" s="64"/>
      <c r="G1184" s="64"/>
      <c r="H1184" s="64"/>
      <c r="I1184" s="65"/>
      <c r="J1184" s="64"/>
      <c r="K1184" s="66"/>
      <c r="L1184" s="64"/>
      <c r="M1184" s="65"/>
      <c r="N1184" s="64"/>
      <c r="O1184" s="64"/>
      <c r="P1184" s="1193"/>
      <c r="Q1184" s="1193"/>
      <c r="R1184" s="1193"/>
      <c r="S1184" s="1193"/>
      <c r="T1184" s="1193"/>
      <c r="U1184" s="1193"/>
      <c r="V1184" s="1194"/>
    </row>
    <row r="1185" spans="1:22">
      <c r="A1185" s="67" t="s">
        <v>460</v>
      </c>
      <c r="B1185"/>
      <c r="C1185"/>
      <c r="D1185"/>
      <c r="E1185"/>
      <c r="F1185"/>
      <c r="G1185"/>
      <c r="H1185"/>
      <c r="I1185" s="68" t="s">
        <v>353</v>
      </c>
      <c r="J1185" s="69"/>
      <c r="K1185" s="69"/>
      <c r="L1185"/>
      <c r="M1185" s="68" t="s">
        <v>461</v>
      </c>
      <c r="N1185" s="69"/>
      <c r="O1185" s="69"/>
      <c r="P1185" s="70"/>
      <c r="Q1185" s="70"/>
      <c r="R1185" s="70"/>
      <c r="S1185" s="70"/>
      <c r="T1185" s="70"/>
      <c r="U1185" s="70"/>
      <c r="V1185" s="71"/>
    </row>
    <row r="1186" spans="1:22">
      <c r="A1186" s="37"/>
      <c r="B1186"/>
      <c r="C1186"/>
      <c r="D1186"/>
      <c r="E1186"/>
      <c r="F1186"/>
      <c r="G1186"/>
      <c r="H1186"/>
      <c r="I1186" s="72"/>
      <c r="J1186"/>
      <c r="K1186"/>
      <c r="L1186"/>
      <c r="M1186" s="72"/>
      <c r="N1186"/>
      <c r="O1186"/>
      <c r="P1186"/>
      <c r="Q1186"/>
      <c r="R1186"/>
      <c r="S1186"/>
      <c r="T1186"/>
      <c r="U1186"/>
      <c r="V1186" s="73"/>
    </row>
    <row r="1187" spans="1:22">
      <c r="A1187" s="74" t="s">
        <v>462</v>
      </c>
      <c r="B1187" s="75"/>
      <c r="C1187" s="75"/>
      <c r="D1187" s="75"/>
      <c r="E1187" s="75"/>
      <c r="F1187" s="75"/>
      <c r="G1187" s="75"/>
      <c r="H1187" s="76"/>
      <c r="I1187" s="77" t="s">
        <v>380</v>
      </c>
      <c r="J1187" s="75"/>
      <c r="K1187" s="75"/>
      <c r="L1187" s="76"/>
      <c r="M1187" s="77" t="s">
        <v>3</v>
      </c>
      <c r="N1187" s="75"/>
      <c r="O1187" s="75"/>
      <c r="P1187" s="75"/>
      <c r="Q1187" s="75"/>
      <c r="R1187" s="75"/>
      <c r="S1187" s="75"/>
      <c r="T1187" s="75"/>
      <c r="U1187" s="75"/>
      <c r="V1187" s="78"/>
    </row>
    <row r="1188" spans="1:22">
      <c r="A1188" s="79" t="s">
        <v>463</v>
      </c>
      <c r="B1188" s="80"/>
      <c r="C1188" s="80"/>
      <c r="D1188" s="80"/>
      <c r="E1188" s="80"/>
      <c r="F1188" s="80"/>
      <c r="G1188" s="80"/>
      <c r="H1188" s="80"/>
      <c r="I1188" s="81" t="s">
        <v>381</v>
      </c>
      <c r="J1188" s="80"/>
      <c r="K1188" s="80"/>
      <c r="L1188" s="80"/>
      <c r="M1188" s="81" t="s">
        <v>464</v>
      </c>
      <c r="N1188" s="80"/>
      <c r="O1188" s="80"/>
      <c r="P1188" s="82"/>
      <c r="Q1188" s="82"/>
      <c r="R1188" s="82"/>
      <c r="S1188" s="82"/>
      <c r="T1188" s="82"/>
      <c r="U1188" s="82"/>
      <c r="V1188" s="83"/>
    </row>
    <row r="1189" spans="1:22" ht="16.5" thickBot="1">
      <c r="A1189" s="84" t="s">
        <v>465</v>
      </c>
      <c r="B1189" s="43"/>
      <c r="C1189" s="43"/>
      <c r="D1189" s="43"/>
      <c r="E1189" s="43"/>
      <c r="F1189" s="43"/>
      <c r="G1189" s="43"/>
      <c r="H1189" s="43"/>
      <c r="I1189" s="85"/>
      <c r="J1189" s="43"/>
      <c r="K1189" s="43"/>
      <c r="L1189" s="43"/>
      <c r="M1189" s="85"/>
      <c r="N1189" s="43"/>
      <c r="O1189" s="43"/>
      <c r="P1189" s="43"/>
      <c r="Q1189" s="43"/>
      <c r="R1189" s="43"/>
      <c r="S1189" s="43"/>
      <c r="T1189" s="43"/>
      <c r="U1189" s="43"/>
      <c r="V1189" s="44"/>
    </row>
  </sheetData>
  <sheetProtection sheet="1" objects="1" scenarios="1"/>
  <mergeCells count="3581">
    <mergeCell ref="A45:D45"/>
    <mergeCell ref="E45:J45"/>
    <mergeCell ref="P45:R45"/>
    <mergeCell ref="S45:V45"/>
    <mergeCell ref="A46:D46"/>
    <mergeCell ref="E46:J46"/>
    <mergeCell ref="P46:R46"/>
    <mergeCell ref="S46:V46"/>
    <mergeCell ref="A47:D47"/>
    <mergeCell ref="E47:J47"/>
    <mergeCell ref="P47:R47"/>
    <mergeCell ref="S47:V47"/>
    <mergeCell ref="A48:D48"/>
    <mergeCell ref="E48:J48"/>
    <mergeCell ref="P48:R48"/>
    <mergeCell ref="S48:V48"/>
    <mergeCell ref="A40:D40"/>
    <mergeCell ref="E40:J40"/>
    <mergeCell ref="P40:R40"/>
    <mergeCell ref="S40:V40"/>
    <mergeCell ref="A41:D41"/>
    <mergeCell ref="E41:J41"/>
    <mergeCell ref="P41:R41"/>
    <mergeCell ref="S41:V41"/>
    <mergeCell ref="A42:D42"/>
    <mergeCell ref="E42:J42"/>
    <mergeCell ref="P42:R42"/>
    <mergeCell ref="S42:V42"/>
    <mergeCell ref="A43:D43"/>
    <mergeCell ref="E43:J43"/>
    <mergeCell ref="P43:R43"/>
    <mergeCell ref="S43:V43"/>
    <mergeCell ref="A44:D44"/>
    <mergeCell ref="E44:J44"/>
    <mergeCell ref="P44:R44"/>
    <mergeCell ref="S44:V44"/>
    <mergeCell ref="A35:D35"/>
    <mergeCell ref="E35:J35"/>
    <mergeCell ref="P35:R35"/>
    <mergeCell ref="S35:V35"/>
    <mergeCell ref="A36:D36"/>
    <mergeCell ref="E36:J36"/>
    <mergeCell ref="P36:R36"/>
    <mergeCell ref="S36:V36"/>
    <mergeCell ref="A37:D37"/>
    <mergeCell ref="E37:J37"/>
    <mergeCell ref="P37:R37"/>
    <mergeCell ref="S37:V37"/>
    <mergeCell ref="A38:D38"/>
    <mergeCell ref="E38:J38"/>
    <mergeCell ref="P38:R38"/>
    <mergeCell ref="S38:V38"/>
    <mergeCell ref="A39:D39"/>
    <mergeCell ref="E39:J39"/>
    <mergeCell ref="P39:R39"/>
    <mergeCell ref="S39:V39"/>
    <mergeCell ref="P1184:R1184"/>
    <mergeCell ref="S1184:V1184"/>
    <mergeCell ref="A1181:D1181"/>
    <mergeCell ref="E1181:H1181"/>
    <mergeCell ref="I1181:J1181"/>
    <mergeCell ref="P1181:R1181"/>
    <mergeCell ref="S1181:V1181"/>
    <mergeCell ref="A1182:D1182"/>
    <mergeCell ref="E1182:J1182"/>
    <mergeCell ref="P1182:R1182"/>
    <mergeCell ref="S1182:V1182"/>
    <mergeCell ref="A1179:D1179"/>
    <mergeCell ref="E1179:H1179"/>
    <mergeCell ref="I1179:J1179"/>
    <mergeCell ref="P1179:R1179"/>
    <mergeCell ref="S1179:V1179"/>
    <mergeCell ref="A1180:D1180"/>
    <mergeCell ref="E1180:H1180"/>
    <mergeCell ref="I1180:J1180"/>
    <mergeCell ref="P1180:R1180"/>
    <mergeCell ref="S1180:V1180"/>
    <mergeCell ref="A1177:D1177"/>
    <mergeCell ref="E1177:J1177"/>
    <mergeCell ref="P1177:R1177"/>
    <mergeCell ref="S1177:V1177"/>
    <mergeCell ref="A1178:D1178"/>
    <mergeCell ref="E1178:J1178"/>
    <mergeCell ref="P1178:R1178"/>
    <mergeCell ref="S1178:V1178"/>
    <mergeCell ref="A1175:D1175"/>
    <mergeCell ref="E1175:J1175"/>
    <mergeCell ref="P1175:R1175"/>
    <mergeCell ref="S1175:V1175"/>
    <mergeCell ref="A1176:D1176"/>
    <mergeCell ref="E1176:J1176"/>
    <mergeCell ref="P1176:R1176"/>
    <mergeCell ref="S1176:V1176"/>
    <mergeCell ref="A1183:M1183"/>
    <mergeCell ref="P1183:R1183"/>
    <mergeCell ref="S1183:V1183"/>
    <mergeCell ref="A1170:D1170"/>
    <mergeCell ref="E1170:J1170"/>
    <mergeCell ref="P1170:R1170"/>
    <mergeCell ref="S1170:V1170"/>
    <mergeCell ref="A1167:D1167"/>
    <mergeCell ref="E1167:J1167"/>
    <mergeCell ref="P1167:R1167"/>
    <mergeCell ref="S1167:V1167"/>
    <mergeCell ref="A1168:D1168"/>
    <mergeCell ref="E1168:J1168"/>
    <mergeCell ref="P1168:R1168"/>
    <mergeCell ref="S1168:V1168"/>
    <mergeCell ref="A1173:D1173"/>
    <mergeCell ref="E1173:J1173"/>
    <mergeCell ref="P1173:R1173"/>
    <mergeCell ref="S1173:V1173"/>
    <mergeCell ref="A1174:D1174"/>
    <mergeCell ref="E1174:J1174"/>
    <mergeCell ref="P1174:R1174"/>
    <mergeCell ref="S1174:V1174"/>
    <mergeCell ref="A1171:D1171"/>
    <mergeCell ref="E1171:J1171"/>
    <mergeCell ref="P1171:R1171"/>
    <mergeCell ref="S1171:V1171"/>
    <mergeCell ref="A1172:D1172"/>
    <mergeCell ref="E1172:J1172"/>
    <mergeCell ref="P1172:R1172"/>
    <mergeCell ref="S1172:V1172"/>
    <mergeCell ref="A1165:D1165"/>
    <mergeCell ref="E1165:J1165"/>
    <mergeCell ref="P1165:R1165"/>
    <mergeCell ref="S1165:V1165"/>
    <mergeCell ref="A1166:D1166"/>
    <mergeCell ref="E1166:J1166"/>
    <mergeCell ref="P1166:R1166"/>
    <mergeCell ref="S1166:V1166"/>
    <mergeCell ref="A1163:D1163"/>
    <mergeCell ref="E1163:J1163"/>
    <mergeCell ref="P1163:R1163"/>
    <mergeCell ref="S1163:V1163"/>
    <mergeCell ref="A1164:D1164"/>
    <mergeCell ref="E1164:J1164"/>
    <mergeCell ref="P1164:R1164"/>
    <mergeCell ref="S1164:V1164"/>
    <mergeCell ref="A1169:D1169"/>
    <mergeCell ref="E1169:J1169"/>
    <mergeCell ref="P1169:R1169"/>
    <mergeCell ref="S1169:V1169"/>
    <mergeCell ref="A1158:D1158"/>
    <mergeCell ref="E1158:J1158"/>
    <mergeCell ref="P1158:R1158"/>
    <mergeCell ref="S1158:V1158"/>
    <mergeCell ref="A1155:D1155"/>
    <mergeCell ref="E1155:J1155"/>
    <mergeCell ref="P1155:R1155"/>
    <mergeCell ref="S1155:V1155"/>
    <mergeCell ref="A1156:D1156"/>
    <mergeCell ref="E1156:J1156"/>
    <mergeCell ref="P1156:R1156"/>
    <mergeCell ref="S1156:V1156"/>
    <mergeCell ref="A1161:D1161"/>
    <mergeCell ref="E1161:J1161"/>
    <mergeCell ref="P1161:R1161"/>
    <mergeCell ref="S1161:V1161"/>
    <mergeCell ref="A1162:D1162"/>
    <mergeCell ref="E1162:J1162"/>
    <mergeCell ref="P1162:R1162"/>
    <mergeCell ref="S1162:V1162"/>
    <mergeCell ref="A1159:D1159"/>
    <mergeCell ref="E1159:J1159"/>
    <mergeCell ref="P1159:R1159"/>
    <mergeCell ref="S1159:V1159"/>
    <mergeCell ref="A1160:D1160"/>
    <mergeCell ref="E1160:J1160"/>
    <mergeCell ref="P1160:R1160"/>
    <mergeCell ref="S1160:V1160"/>
    <mergeCell ref="A1153:D1153"/>
    <mergeCell ref="E1153:J1153"/>
    <mergeCell ref="P1153:R1153"/>
    <mergeCell ref="S1153:V1153"/>
    <mergeCell ref="A1154:D1154"/>
    <mergeCell ref="E1154:J1154"/>
    <mergeCell ref="P1154:R1154"/>
    <mergeCell ref="S1154:V1154"/>
    <mergeCell ref="A1150:D1152"/>
    <mergeCell ref="E1150:V1150"/>
    <mergeCell ref="E1151:J1152"/>
    <mergeCell ref="K1151:L1151"/>
    <mergeCell ref="M1151:M1152"/>
    <mergeCell ref="N1151:V1151"/>
    <mergeCell ref="P1152:R1152"/>
    <mergeCell ref="S1152:V1152"/>
    <mergeCell ref="A1157:D1157"/>
    <mergeCell ref="E1157:J1157"/>
    <mergeCell ref="P1157:R1157"/>
    <mergeCell ref="S1157:V1157"/>
    <mergeCell ref="A1136:M1136"/>
    <mergeCell ref="P1136:R1136"/>
    <mergeCell ref="S1136:V1136"/>
    <mergeCell ref="P1137:R1137"/>
    <mergeCell ref="S1137:V1137"/>
    <mergeCell ref="R1143:V1143"/>
    <mergeCell ref="T1144:V1144"/>
    <mergeCell ref="T1145:V1145"/>
    <mergeCell ref="B1148:C1148"/>
    <mergeCell ref="Q1148:R1148"/>
    <mergeCell ref="A1134:D1134"/>
    <mergeCell ref="E1134:H1134"/>
    <mergeCell ref="I1134:J1134"/>
    <mergeCell ref="P1134:R1134"/>
    <mergeCell ref="S1134:V1134"/>
    <mergeCell ref="A1135:D1135"/>
    <mergeCell ref="E1135:J1135"/>
    <mergeCell ref="P1135:R1135"/>
    <mergeCell ref="S1135:V1135"/>
    <mergeCell ref="A1132:D1132"/>
    <mergeCell ref="E1132:H1132"/>
    <mergeCell ref="I1132:J1132"/>
    <mergeCell ref="P1132:R1132"/>
    <mergeCell ref="S1132:V1132"/>
    <mergeCell ref="A1133:D1133"/>
    <mergeCell ref="E1133:H1133"/>
    <mergeCell ref="I1133:J1133"/>
    <mergeCell ref="P1133:R1133"/>
    <mergeCell ref="S1133:V1133"/>
    <mergeCell ref="A1130:D1130"/>
    <mergeCell ref="E1130:J1130"/>
    <mergeCell ref="P1130:R1130"/>
    <mergeCell ref="S1130:V1130"/>
    <mergeCell ref="A1131:D1131"/>
    <mergeCell ref="E1131:J1131"/>
    <mergeCell ref="P1131:R1131"/>
    <mergeCell ref="S1131:V1131"/>
    <mergeCell ref="A1125:D1125"/>
    <mergeCell ref="E1125:J1125"/>
    <mergeCell ref="P1125:R1125"/>
    <mergeCell ref="S1125:V1125"/>
    <mergeCell ref="A1122:D1122"/>
    <mergeCell ref="E1122:J1122"/>
    <mergeCell ref="P1122:R1122"/>
    <mergeCell ref="S1122:V1122"/>
    <mergeCell ref="A1123:D1123"/>
    <mergeCell ref="E1123:J1123"/>
    <mergeCell ref="P1123:R1123"/>
    <mergeCell ref="S1123:V1123"/>
    <mergeCell ref="A1128:D1128"/>
    <mergeCell ref="E1128:J1128"/>
    <mergeCell ref="P1128:R1128"/>
    <mergeCell ref="S1128:V1128"/>
    <mergeCell ref="A1129:D1129"/>
    <mergeCell ref="E1129:J1129"/>
    <mergeCell ref="P1129:R1129"/>
    <mergeCell ref="S1129:V1129"/>
    <mergeCell ref="A1126:D1126"/>
    <mergeCell ref="E1126:J1126"/>
    <mergeCell ref="P1126:R1126"/>
    <mergeCell ref="S1126:V1126"/>
    <mergeCell ref="A1127:D1127"/>
    <mergeCell ref="E1127:J1127"/>
    <mergeCell ref="P1127:R1127"/>
    <mergeCell ref="S1127:V1127"/>
    <mergeCell ref="A1120:D1120"/>
    <mergeCell ref="E1120:J1120"/>
    <mergeCell ref="P1120:R1120"/>
    <mergeCell ref="S1120:V1120"/>
    <mergeCell ref="A1121:D1121"/>
    <mergeCell ref="E1121:J1121"/>
    <mergeCell ref="P1121:R1121"/>
    <mergeCell ref="S1121:V1121"/>
    <mergeCell ref="A1118:D1118"/>
    <mergeCell ref="E1118:J1118"/>
    <mergeCell ref="P1118:R1118"/>
    <mergeCell ref="S1118:V1118"/>
    <mergeCell ref="A1119:D1119"/>
    <mergeCell ref="E1119:J1119"/>
    <mergeCell ref="P1119:R1119"/>
    <mergeCell ref="S1119:V1119"/>
    <mergeCell ref="A1124:D1124"/>
    <mergeCell ref="E1124:J1124"/>
    <mergeCell ref="P1124:R1124"/>
    <mergeCell ref="S1124:V1124"/>
    <mergeCell ref="A1113:D1113"/>
    <mergeCell ref="E1113:J1113"/>
    <mergeCell ref="P1113:R1113"/>
    <mergeCell ref="S1113:V1113"/>
    <mergeCell ref="A1110:D1110"/>
    <mergeCell ref="E1110:J1110"/>
    <mergeCell ref="P1110:R1110"/>
    <mergeCell ref="S1110:V1110"/>
    <mergeCell ref="A1111:D1111"/>
    <mergeCell ref="E1111:J1111"/>
    <mergeCell ref="P1111:R1111"/>
    <mergeCell ref="S1111:V1111"/>
    <mergeCell ref="A1116:D1116"/>
    <mergeCell ref="E1116:J1116"/>
    <mergeCell ref="P1116:R1116"/>
    <mergeCell ref="S1116:V1116"/>
    <mergeCell ref="A1117:D1117"/>
    <mergeCell ref="E1117:J1117"/>
    <mergeCell ref="P1117:R1117"/>
    <mergeCell ref="S1117:V1117"/>
    <mergeCell ref="A1114:D1114"/>
    <mergeCell ref="E1114:J1114"/>
    <mergeCell ref="P1114:R1114"/>
    <mergeCell ref="S1114:V1114"/>
    <mergeCell ref="A1115:D1115"/>
    <mergeCell ref="E1115:J1115"/>
    <mergeCell ref="P1115:R1115"/>
    <mergeCell ref="S1115:V1115"/>
    <mergeCell ref="A1108:D1108"/>
    <mergeCell ref="E1108:J1108"/>
    <mergeCell ref="P1108:R1108"/>
    <mergeCell ref="S1108:V1108"/>
    <mergeCell ref="A1109:D1109"/>
    <mergeCell ref="E1109:J1109"/>
    <mergeCell ref="P1109:R1109"/>
    <mergeCell ref="S1109:V1109"/>
    <mergeCell ref="A1106:D1106"/>
    <mergeCell ref="E1106:J1106"/>
    <mergeCell ref="P1106:R1106"/>
    <mergeCell ref="S1106:V1106"/>
    <mergeCell ref="A1107:D1107"/>
    <mergeCell ref="E1107:J1107"/>
    <mergeCell ref="P1107:R1107"/>
    <mergeCell ref="S1107:V1107"/>
    <mergeCell ref="A1112:D1112"/>
    <mergeCell ref="E1112:J1112"/>
    <mergeCell ref="P1112:R1112"/>
    <mergeCell ref="S1112:V1112"/>
    <mergeCell ref="A1088:D1088"/>
    <mergeCell ref="E1088:J1088"/>
    <mergeCell ref="P1088:R1088"/>
    <mergeCell ref="S1088:V1088"/>
    <mergeCell ref="A1085:D1085"/>
    <mergeCell ref="E1085:H1085"/>
    <mergeCell ref="I1085:J1085"/>
    <mergeCell ref="P1085:R1085"/>
    <mergeCell ref="S1085:V1085"/>
    <mergeCell ref="A1086:D1086"/>
    <mergeCell ref="E1086:H1086"/>
    <mergeCell ref="I1086:J1086"/>
    <mergeCell ref="P1086:R1086"/>
    <mergeCell ref="S1086:V1086"/>
    <mergeCell ref="A1103:D1105"/>
    <mergeCell ref="E1103:V1103"/>
    <mergeCell ref="E1104:J1105"/>
    <mergeCell ref="K1104:L1104"/>
    <mergeCell ref="M1104:M1105"/>
    <mergeCell ref="N1104:V1104"/>
    <mergeCell ref="P1105:R1105"/>
    <mergeCell ref="S1105:V1105"/>
    <mergeCell ref="A1089:M1089"/>
    <mergeCell ref="P1089:R1089"/>
    <mergeCell ref="S1089:V1089"/>
    <mergeCell ref="P1090:R1090"/>
    <mergeCell ref="S1090:V1090"/>
    <mergeCell ref="R1096:V1096"/>
    <mergeCell ref="T1097:V1097"/>
    <mergeCell ref="T1098:V1098"/>
    <mergeCell ref="B1101:C1101"/>
    <mergeCell ref="Q1101:R1101"/>
    <mergeCell ref="A1083:D1083"/>
    <mergeCell ref="E1083:J1083"/>
    <mergeCell ref="P1083:R1083"/>
    <mergeCell ref="S1083:V1083"/>
    <mergeCell ref="A1084:D1084"/>
    <mergeCell ref="E1084:J1084"/>
    <mergeCell ref="P1084:R1084"/>
    <mergeCell ref="S1084:V1084"/>
    <mergeCell ref="A1081:D1081"/>
    <mergeCell ref="E1081:J1081"/>
    <mergeCell ref="P1081:R1081"/>
    <mergeCell ref="S1081:V1081"/>
    <mergeCell ref="A1082:D1082"/>
    <mergeCell ref="E1082:J1082"/>
    <mergeCell ref="P1082:R1082"/>
    <mergeCell ref="S1082:V1082"/>
    <mergeCell ref="A1087:D1087"/>
    <mergeCell ref="E1087:H1087"/>
    <mergeCell ref="I1087:J1087"/>
    <mergeCell ref="P1087:R1087"/>
    <mergeCell ref="S1087:V1087"/>
    <mergeCell ref="A1076:D1076"/>
    <mergeCell ref="E1076:J1076"/>
    <mergeCell ref="P1076:R1076"/>
    <mergeCell ref="S1076:V1076"/>
    <mergeCell ref="A1073:D1073"/>
    <mergeCell ref="E1073:J1073"/>
    <mergeCell ref="P1073:R1073"/>
    <mergeCell ref="S1073:V1073"/>
    <mergeCell ref="A1074:D1074"/>
    <mergeCell ref="E1074:J1074"/>
    <mergeCell ref="P1074:R1074"/>
    <mergeCell ref="S1074:V1074"/>
    <mergeCell ref="A1079:D1079"/>
    <mergeCell ref="E1079:J1079"/>
    <mergeCell ref="P1079:R1079"/>
    <mergeCell ref="S1079:V1079"/>
    <mergeCell ref="A1080:D1080"/>
    <mergeCell ref="E1080:J1080"/>
    <mergeCell ref="P1080:R1080"/>
    <mergeCell ref="S1080:V1080"/>
    <mergeCell ref="A1077:D1077"/>
    <mergeCell ref="E1077:J1077"/>
    <mergeCell ref="P1077:R1077"/>
    <mergeCell ref="S1077:V1077"/>
    <mergeCell ref="A1078:D1078"/>
    <mergeCell ref="E1078:J1078"/>
    <mergeCell ref="P1078:R1078"/>
    <mergeCell ref="S1078:V1078"/>
    <mergeCell ref="A1071:D1071"/>
    <mergeCell ref="E1071:J1071"/>
    <mergeCell ref="P1071:R1071"/>
    <mergeCell ref="S1071:V1071"/>
    <mergeCell ref="A1072:D1072"/>
    <mergeCell ref="E1072:J1072"/>
    <mergeCell ref="P1072:R1072"/>
    <mergeCell ref="S1072:V1072"/>
    <mergeCell ref="A1069:D1069"/>
    <mergeCell ref="E1069:J1069"/>
    <mergeCell ref="P1069:R1069"/>
    <mergeCell ref="S1069:V1069"/>
    <mergeCell ref="A1070:D1070"/>
    <mergeCell ref="E1070:J1070"/>
    <mergeCell ref="P1070:R1070"/>
    <mergeCell ref="S1070:V1070"/>
    <mergeCell ref="A1075:D1075"/>
    <mergeCell ref="E1075:J1075"/>
    <mergeCell ref="P1075:R1075"/>
    <mergeCell ref="S1075:V1075"/>
    <mergeCell ref="A1064:D1064"/>
    <mergeCell ref="E1064:J1064"/>
    <mergeCell ref="P1064:R1064"/>
    <mergeCell ref="S1064:V1064"/>
    <mergeCell ref="A1061:D1061"/>
    <mergeCell ref="E1061:J1061"/>
    <mergeCell ref="P1061:R1061"/>
    <mergeCell ref="S1061:V1061"/>
    <mergeCell ref="A1062:D1062"/>
    <mergeCell ref="E1062:J1062"/>
    <mergeCell ref="P1062:R1062"/>
    <mergeCell ref="S1062:V1062"/>
    <mergeCell ref="A1067:D1067"/>
    <mergeCell ref="E1067:J1067"/>
    <mergeCell ref="P1067:R1067"/>
    <mergeCell ref="S1067:V1067"/>
    <mergeCell ref="A1068:D1068"/>
    <mergeCell ref="E1068:J1068"/>
    <mergeCell ref="P1068:R1068"/>
    <mergeCell ref="S1068:V1068"/>
    <mergeCell ref="A1065:D1065"/>
    <mergeCell ref="E1065:J1065"/>
    <mergeCell ref="P1065:R1065"/>
    <mergeCell ref="S1065:V1065"/>
    <mergeCell ref="A1066:D1066"/>
    <mergeCell ref="E1066:J1066"/>
    <mergeCell ref="P1066:R1066"/>
    <mergeCell ref="S1066:V1066"/>
    <mergeCell ref="A1059:D1059"/>
    <mergeCell ref="E1059:J1059"/>
    <mergeCell ref="P1059:R1059"/>
    <mergeCell ref="S1059:V1059"/>
    <mergeCell ref="A1060:D1060"/>
    <mergeCell ref="E1060:J1060"/>
    <mergeCell ref="P1060:R1060"/>
    <mergeCell ref="S1060:V1060"/>
    <mergeCell ref="A1056:D1058"/>
    <mergeCell ref="E1056:V1056"/>
    <mergeCell ref="E1057:J1058"/>
    <mergeCell ref="K1057:L1057"/>
    <mergeCell ref="M1057:M1058"/>
    <mergeCell ref="N1057:V1057"/>
    <mergeCell ref="P1058:R1058"/>
    <mergeCell ref="S1058:V1058"/>
    <mergeCell ref="A1063:D1063"/>
    <mergeCell ref="E1063:J1063"/>
    <mergeCell ref="P1063:R1063"/>
    <mergeCell ref="S1063:V1063"/>
    <mergeCell ref="A1042:M1042"/>
    <mergeCell ref="P1042:R1042"/>
    <mergeCell ref="S1042:V1042"/>
    <mergeCell ref="P1043:R1043"/>
    <mergeCell ref="S1043:V1043"/>
    <mergeCell ref="R1049:V1049"/>
    <mergeCell ref="T1050:V1050"/>
    <mergeCell ref="T1051:V1051"/>
    <mergeCell ref="B1054:C1054"/>
    <mergeCell ref="Q1054:R1054"/>
    <mergeCell ref="A1040:D1040"/>
    <mergeCell ref="E1040:H1040"/>
    <mergeCell ref="I1040:J1040"/>
    <mergeCell ref="P1040:R1040"/>
    <mergeCell ref="S1040:V1040"/>
    <mergeCell ref="A1041:D1041"/>
    <mergeCell ref="E1041:J1041"/>
    <mergeCell ref="P1041:R1041"/>
    <mergeCell ref="S1041:V1041"/>
    <mergeCell ref="A1038:D1038"/>
    <mergeCell ref="E1038:H1038"/>
    <mergeCell ref="I1038:J1038"/>
    <mergeCell ref="P1038:R1038"/>
    <mergeCell ref="S1038:V1038"/>
    <mergeCell ref="A1039:D1039"/>
    <mergeCell ref="E1039:H1039"/>
    <mergeCell ref="I1039:J1039"/>
    <mergeCell ref="P1039:R1039"/>
    <mergeCell ref="S1039:V1039"/>
    <mergeCell ref="A1036:D1036"/>
    <mergeCell ref="E1036:J1036"/>
    <mergeCell ref="P1036:R1036"/>
    <mergeCell ref="S1036:V1036"/>
    <mergeCell ref="A1037:D1037"/>
    <mergeCell ref="E1037:J1037"/>
    <mergeCell ref="P1037:R1037"/>
    <mergeCell ref="S1037:V1037"/>
    <mergeCell ref="A1031:D1031"/>
    <mergeCell ref="E1031:J1031"/>
    <mergeCell ref="P1031:R1031"/>
    <mergeCell ref="S1031:V1031"/>
    <mergeCell ref="A1028:D1028"/>
    <mergeCell ref="E1028:J1028"/>
    <mergeCell ref="P1028:R1028"/>
    <mergeCell ref="S1028:V1028"/>
    <mergeCell ref="A1029:D1029"/>
    <mergeCell ref="E1029:J1029"/>
    <mergeCell ref="P1029:R1029"/>
    <mergeCell ref="S1029:V1029"/>
    <mergeCell ref="A1034:D1034"/>
    <mergeCell ref="E1034:J1034"/>
    <mergeCell ref="P1034:R1034"/>
    <mergeCell ref="S1034:V1034"/>
    <mergeCell ref="A1035:D1035"/>
    <mergeCell ref="E1035:J1035"/>
    <mergeCell ref="P1035:R1035"/>
    <mergeCell ref="S1035:V1035"/>
    <mergeCell ref="A1032:D1032"/>
    <mergeCell ref="E1032:J1032"/>
    <mergeCell ref="P1032:R1032"/>
    <mergeCell ref="S1032:V1032"/>
    <mergeCell ref="A1033:D1033"/>
    <mergeCell ref="E1033:J1033"/>
    <mergeCell ref="P1033:R1033"/>
    <mergeCell ref="S1033:V1033"/>
    <mergeCell ref="A1026:D1026"/>
    <mergeCell ref="E1026:J1026"/>
    <mergeCell ref="P1026:R1026"/>
    <mergeCell ref="S1026:V1026"/>
    <mergeCell ref="A1027:D1027"/>
    <mergeCell ref="E1027:J1027"/>
    <mergeCell ref="P1027:R1027"/>
    <mergeCell ref="S1027:V1027"/>
    <mergeCell ref="A1024:D1024"/>
    <mergeCell ref="E1024:J1024"/>
    <mergeCell ref="P1024:R1024"/>
    <mergeCell ref="S1024:V1024"/>
    <mergeCell ref="A1025:D1025"/>
    <mergeCell ref="E1025:J1025"/>
    <mergeCell ref="P1025:R1025"/>
    <mergeCell ref="S1025:V1025"/>
    <mergeCell ref="A1030:D1030"/>
    <mergeCell ref="E1030:J1030"/>
    <mergeCell ref="P1030:R1030"/>
    <mergeCell ref="S1030:V1030"/>
    <mergeCell ref="A1019:D1019"/>
    <mergeCell ref="E1019:J1019"/>
    <mergeCell ref="P1019:R1019"/>
    <mergeCell ref="S1019:V1019"/>
    <mergeCell ref="A1016:D1016"/>
    <mergeCell ref="E1016:J1016"/>
    <mergeCell ref="P1016:R1016"/>
    <mergeCell ref="S1016:V1016"/>
    <mergeCell ref="A1017:D1017"/>
    <mergeCell ref="E1017:J1017"/>
    <mergeCell ref="P1017:R1017"/>
    <mergeCell ref="S1017:V1017"/>
    <mergeCell ref="A1022:D1022"/>
    <mergeCell ref="E1022:J1022"/>
    <mergeCell ref="P1022:R1022"/>
    <mergeCell ref="S1022:V1022"/>
    <mergeCell ref="A1023:D1023"/>
    <mergeCell ref="E1023:J1023"/>
    <mergeCell ref="P1023:R1023"/>
    <mergeCell ref="S1023:V1023"/>
    <mergeCell ref="A1020:D1020"/>
    <mergeCell ref="E1020:J1020"/>
    <mergeCell ref="P1020:R1020"/>
    <mergeCell ref="S1020:V1020"/>
    <mergeCell ref="A1021:D1021"/>
    <mergeCell ref="E1021:J1021"/>
    <mergeCell ref="P1021:R1021"/>
    <mergeCell ref="S1021:V1021"/>
    <mergeCell ref="A1014:D1014"/>
    <mergeCell ref="E1014:J1014"/>
    <mergeCell ref="P1014:R1014"/>
    <mergeCell ref="S1014:V1014"/>
    <mergeCell ref="A1015:D1015"/>
    <mergeCell ref="E1015:J1015"/>
    <mergeCell ref="P1015:R1015"/>
    <mergeCell ref="S1015:V1015"/>
    <mergeCell ref="A1012:D1012"/>
    <mergeCell ref="E1012:J1012"/>
    <mergeCell ref="P1012:R1012"/>
    <mergeCell ref="S1012:V1012"/>
    <mergeCell ref="A1013:D1013"/>
    <mergeCell ref="E1013:J1013"/>
    <mergeCell ref="P1013:R1013"/>
    <mergeCell ref="S1013:V1013"/>
    <mergeCell ref="A1018:D1018"/>
    <mergeCell ref="E1018:J1018"/>
    <mergeCell ref="P1018:R1018"/>
    <mergeCell ref="S1018:V1018"/>
    <mergeCell ref="A994:D994"/>
    <mergeCell ref="E994:J994"/>
    <mergeCell ref="P994:R994"/>
    <mergeCell ref="S994:V994"/>
    <mergeCell ref="A991:D991"/>
    <mergeCell ref="E991:H991"/>
    <mergeCell ref="I991:J991"/>
    <mergeCell ref="P991:R991"/>
    <mergeCell ref="S991:V991"/>
    <mergeCell ref="A992:D992"/>
    <mergeCell ref="E992:H992"/>
    <mergeCell ref="I992:J992"/>
    <mergeCell ref="P992:R992"/>
    <mergeCell ref="S992:V992"/>
    <mergeCell ref="A1009:D1011"/>
    <mergeCell ref="E1009:V1009"/>
    <mergeCell ref="E1010:J1011"/>
    <mergeCell ref="K1010:L1010"/>
    <mergeCell ref="M1010:M1011"/>
    <mergeCell ref="N1010:V1010"/>
    <mergeCell ref="P1011:R1011"/>
    <mergeCell ref="S1011:V1011"/>
    <mergeCell ref="A995:M995"/>
    <mergeCell ref="P995:R995"/>
    <mergeCell ref="S995:V995"/>
    <mergeCell ref="P996:R996"/>
    <mergeCell ref="S996:V996"/>
    <mergeCell ref="R1002:V1002"/>
    <mergeCell ref="T1003:V1003"/>
    <mergeCell ref="T1004:V1004"/>
    <mergeCell ref="B1007:C1007"/>
    <mergeCell ref="Q1007:R1007"/>
    <mergeCell ref="A989:D989"/>
    <mergeCell ref="E989:J989"/>
    <mergeCell ref="P989:R989"/>
    <mergeCell ref="S989:V989"/>
    <mergeCell ref="A990:D990"/>
    <mergeCell ref="E990:J990"/>
    <mergeCell ref="P990:R990"/>
    <mergeCell ref="S990:V990"/>
    <mergeCell ref="A987:D987"/>
    <mergeCell ref="E987:J987"/>
    <mergeCell ref="P987:R987"/>
    <mergeCell ref="S987:V987"/>
    <mergeCell ref="A988:D988"/>
    <mergeCell ref="E988:J988"/>
    <mergeCell ref="P988:R988"/>
    <mergeCell ref="S988:V988"/>
    <mergeCell ref="A993:D993"/>
    <mergeCell ref="E993:H993"/>
    <mergeCell ref="I993:J993"/>
    <mergeCell ref="P993:R993"/>
    <mergeCell ref="S993:V993"/>
    <mergeCell ref="A982:D982"/>
    <mergeCell ref="E982:J982"/>
    <mergeCell ref="P982:R982"/>
    <mergeCell ref="S982:V982"/>
    <mergeCell ref="A979:D979"/>
    <mergeCell ref="E979:J979"/>
    <mergeCell ref="P979:R979"/>
    <mergeCell ref="S979:V979"/>
    <mergeCell ref="A980:D980"/>
    <mergeCell ref="E980:J980"/>
    <mergeCell ref="P980:R980"/>
    <mergeCell ref="S980:V980"/>
    <mergeCell ref="A985:D985"/>
    <mergeCell ref="E985:J985"/>
    <mergeCell ref="P985:R985"/>
    <mergeCell ref="S985:V985"/>
    <mergeCell ref="A986:D986"/>
    <mergeCell ref="E986:J986"/>
    <mergeCell ref="P986:R986"/>
    <mergeCell ref="S986:V986"/>
    <mergeCell ref="A983:D983"/>
    <mergeCell ref="E983:J983"/>
    <mergeCell ref="P983:R983"/>
    <mergeCell ref="S983:V983"/>
    <mergeCell ref="A984:D984"/>
    <mergeCell ref="E984:J984"/>
    <mergeCell ref="P984:R984"/>
    <mergeCell ref="S984:V984"/>
    <mergeCell ref="A977:D977"/>
    <mergeCell ref="E977:J977"/>
    <mergeCell ref="P977:R977"/>
    <mergeCell ref="S977:V977"/>
    <mergeCell ref="A978:D978"/>
    <mergeCell ref="E978:J978"/>
    <mergeCell ref="P978:R978"/>
    <mergeCell ref="S978:V978"/>
    <mergeCell ref="A975:D975"/>
    <mergeCell ref="E975:J975"/>
    <mergeCell ref="P975:R975"/>
    <mergeCell ref="S975:V975"/>
    <mergeCell ref="A976:D976"/>
    <mergeCell ref="E976:J976"/>
    <mergeCell ref="P976:R976"/>
    <mergeCell ref="S976:V976"/>
    <mergeCell ref="A981:D981"/>
    <mergeCell ref="E981:J981"/>
    <mergeCell ref="P981:R981"/>
    <mergeCell ref="S981:V981"/>
    <mergeCell ref="A970:D970"/>
    <mergeCell ref="E970:J970"/>
    <mergeCell ref="P970:R970"/>
    <mergeCell ref="S970:V970"/>
    <mergeCell ref="A967:D967"/>
    <mergeCell ref="E967:J967"/>
    <mergeCell ref="P967:R967"/>
    <mergeCell ref="S967:V967"/>
    <mergeCell ref="A968:D968"/>
    <mergeCell ref="E968:J968"/>
    <mergeCell ref="P968:R968"/>
    <mergeCell ref="S968:V968"/>
    <mergeCell ref="A973:D973"/>
    <mergeCell ref="E973:J973"/>
    <mergeCell ref="P973:R973"/>
    <mergeCell ref="S973:V973"/>
    <mergeCell ref="A974:D974"/>
    <mergeCell ref="E974:J974"/>
    <mergeCell ref="P974:R974"/>
    <mergeCell ref="S974:V974"/>
    <mergeCell ref="A971:D971"/>
    <mergeCell ref="E971:J971"/>
    <mergeCell ref="P971:R971"/>
    <mergeCell ref="S971:V971"/>
    <mergeCell ref="A972:D972"/>
    <mergeCell ref="E972:J972"/>
    <mergeCell ref="P972:R972"/>
    <mergeCell ref="S972:V972"/>
    <mergeCell ref="A965:D965"/>
    <mergeCell ref="E965:J965"/>
    <mergeCell ref="P965:R965"/>
    <mergeCell ref="S965:V965"/>
    <mergeCell ref="A966:D966"/>
    <mergeCell ref="E966:J966"/>
    <mergeCell ref="P966:R966"/>
    <mergeCell ref="S966:V966"/>
    <mergeCell ref="A962:D964"/>
    <mergeCell ref="E962:V962"/>
    <mergeCell ref="E963:J964"/>
    <mergeCell ref="K963:L963"/>
    <mergeCell ref="M963:M964"/>
    <mergeCell ref="N963:V963"/>
    <mergeCell ref="P964:R964"/>
    <mergeCell ref="S964:V964"/>
    <mergeCell ref="A969:D969"/>
    <mergeCell ref="E969:J969"/>
    <mergeCell ref="P969:R969"/>
    <mergeCell ref="S969:V969"/>
    <mergeCell ref="A948:M948"/>
    <mergeCell ref="P948:R948"/>
    <mergeCell ref="S948:V948"/>
    <mergeCell ref="P949:R949"/>
    <mergeCell ref="S949:V949"/>
    <mergeCell ref="R955:V955"/>
    <mergeCell ref="T956:V956"/>
    <mergeCell ref="T957:V957"/>
    <mergeCell ref="B960:C960"/>
    <mergeCell ref="Q960:R960"/>
    <mergeCell ref="A946:D946"/>
    <mergeCell ref="E946:H946"/>
    <mergeCell ref="I946:J946"/>
    <mergeCell ref="P946:R946"/>
    <mergeCell ref="S946:V946"/>
    <mergeCell ref="A947:D947"/>
    <mergeCell ref="E947:J947"/>
    <mergeCell ref="P947:R947"/>
    <mergeCell ref="S947:V947"/>
    <mergeCell ref="A944:D944"/>
    <mergeCell ref="E944:H944"/>
    <mergeCell ref="I944:J944"/>
    <mergeCell ref="P944:R944"/>
    <mergeCell ref="S944:V944"/>
    <mergeCell ref="A945:D945"/>
    <mergeCell ref="E945:H945"/>
    <mergeCell ref="I945:J945"/>
    <mergeCell ref="P945:R945"/>
    <mergeCell ref="S945:V945"/>
    <mergeCell ref="A942:D942"/>
    <mergeCell ref="E942:J942"/>
    <mergeCell ref="P942:R942"/>
    <mergeCell ref="S942:V942"/>
    <mergeCell ref="A943:D943"/>
    <mergeCell ref="E943:J943"/>
    <mergeCell ref="P943:R943"/>
    <mergeCell ref="S943:V943"/>
    <mergeCell ref="A937:D937"/>
    <mergeCell ref="E937:J937"/>
    <mergeCell ref="P937:R937"/>
    <mergeCell ref="S937:V937"/>
    <mergeCell ref="A934:D934"/>
    <mergeCell ref="E934:J934"/>
    <mergeCell ref="P934:R934"/>
    <mergeCell ref="S934:V934"/>
    <mergeCell ref="A935:D935"/>
    <mergeCell ref="E935:J935"/>
    <mergeCell ref="P935:R935"/>
    <mergeCell ref="S935:V935"/>
    <mergeCell ref="A940:D940"/>
    <mergeCell ref="E940:J940"/>
    <mergeCell ref="P940:R940"/>
    <mergeCell ref="S940:V940"/>
    <mergeCell ref="A941:D941"/>
    <mergeCell ref="E941:J941"/>
    <mergeCell ref="P941:R941"/>
    <mergeCell ref="S941:V941"/>
    <mergeCell ref="A938:D938"/>
    <mergeCell ref="E938:J938"/>
    <mergeCell ref="P938:R938"/>
    <mergeCell ref="S938:V938"/>
    <mergeCell ref="A939:D939"/>
    <mergeCell ref="E939:J939"/>
    <mergeCell ref="P939:R939"/>
    <mergeCell ref="S939:V939"/>
    <mergeCell ref="A932:D932"/>
    <mergeCell ref="E932:J932"/>
    <mergeCell ref="P932:R932"/>
    <mergeCell ref="S932:V932"/>
    <mergeCell ref="A933:D933"/>
    <mergeCell ref="E933:J933"/>
    <mergeCell ref="P933:R933"/>
    <mergeCell ref="S933:V933"/>
    <mergeCell ref="A930:D930"/>
    <mergeCell ref="E930:J930"/>
    <mergeCell ref="P930:R930"/>
    <mergeCell ref="S930:V930"/>
    <mergeCell ref="A931:D931"/>
    <mergeCell ref="E931:J931"/>
    <mergeCell ref="P931:R931"/>
    <mergeCell ref="S931:V931"/>
    <mergeCell ref="A936:D936"/>
    <mergeCell ref="E936:J936"/>
    <mergeCell ref="P936:R936"/>
    <mergeCell ref="S936:V936"/>
    <mergeCell ref="A925:D925"/>
    <mergeCell ref="E925:J925"/>
    <mergeCell ref="P925:R925"/>
    <mergeCell ref="S925:V925"/>
    <mergeCell ref="A922:D922"/>
    <mergeCell ref="E922:J922"/>
    <mergeCell ref="P922:R922"/>
    <mergeCell ref="S922:V922"/>
    <mergeCell ref="A923:D923"/>
    <mergeCell ref="E923:J923"/>
    <mergeCell ref="P923:R923"/>
    <mergeCell ref="S923:V923"/>
    <mergeCell ref="A928:D928"/>
    <mergeCell ref="E928:J928"/>
    <mergeCell ref="P928:R928"/>
    <mergeCell ref="S928:V928"/>
    <mergeCell ref="A929:D929"/>
    <mergeCell ref="E929:J929"/>
    <mergeCell ref="P929:R929"/>
    <mergeCell ref="S929:V929"/>
    <mergeCell ref="A926:D926"/>
    <mergeCell ref="E926:J926"/>
    <mergeCell ref="P926:R926"/>
    <mergeCell ref="S926:V926"/>
    <mergeCell ref="A927:D927"/>
    <mergeCell ref="E927:J927"/>
    <mergeCell ref="P927:R927"/>
    <mergeCell ref="S927:V927"/>
    <mergeCell ref="A920:D920"/>
    <mergeCell ref="E920:J920"/>
    <mergeCell ref="P920:R920"/>
    <mergeCell ref="S920:V920"/>
    <mergeCell ref="A921:D921"/>
    <mergeCell ref="E921:J921"/>
    <mergeCell ref="P921:R921"/>
    <mergeCell ref="S921:V921"/>
    <mergeCell ref="A918:D918"/>
    <mergeCell ref="E918:J918"/>
    <mergeCell ref="P918:R918"/>
    <mergeCell ref="S918:V918"/>
    <mergeCell ref="A919:D919"/>
    <mergeCell ref="E919:J919"/>
    <mergeCell ref="P919:R919"/>
    <mergeCell ref="S919:V919"/>
    <mergeCell ref="A924:D924"/>
    <mergeCell ref="E924:J924"/>
    <mergeCell ref="P924:R924"/>
    <mergeCell ref="S924:V924"/>
    <mergeCell ref="A900:D900"/>
    <mergeCell ref="E900:J900"/>
    <mergeCell ref="P900:R900"/>
    <mergeCell ref="S900:V900"/>
    <mergeCell ref="A897:D897"/>
    <mergeCell ref="E897:H897"/>
    <mergeCell ref="I897:J897"/>
    <mergeCell ref="P897:R897"/>
    <mergeCell ref="S897:V897"/>
    <mergeCell ref="A898:D898"/>
    <mergeCell ref="E898:H898"/>
    <mergeCell ref="I898:J898"/>
    <mergeCell ref="P898:R898"/>
    <mergeCell ref="S898:V898"/>
    <mergeCell ref="A915:D917"/>
    <mergeCell ref="E915:V915"/>
    <mergeCell ref="E916:J917"/>
    <mergeCell ref="K916:L916"/>
    <mergeCell ref="M916:M917"/>
    <mergeCell ref="N916:V916"/>
    <mergeCell ref="P917:R917"/>
    <mergeCell ref="S917:V917"/>
    <mergeCell ref="A901:M901"/>
    <mergeCell ref="P901:R901"/>
    <mergeCell ref="S901:V901"/>
    <mergeCell ref="P902:R902"/>
    <mergeCell ref="S902:V902"/>
    <mergeCell ref="R908:V908"/>
    <mergeCell ref="T909:V909"/>
    <mergeCell ref="T910:V910"/>
    <mergeCell ref="B913:C913"/>
    <mergeCell ref="Q913:R913"/>
    <mergeCell ref="A895:D895"/>
    <mergeCell ref="E895:J895"/>
    <mergeCell ref="P895:R895"/>
    <mergeCell ref="S895:V895"/>
    <mergeCell ref="A896:D896"/>
    <mergeCell ref="E896:J896"/>
    <mergeCell ref="P896:R896"/>
    <mergeCell ref="S896:V896"/>
    <mergeCell ref="A893:D893"/>
    <mergeCell ref="E893:J893"/>
    <mergeCell ref="P893:R893"/>
    <mergeCell ref="S893:V893"/>
    <mergeCell ref="A894:D894"/>
    <mergeCell ref="E894:J894"/>
    <mergeCell ref="P894:R894"/>
    <mergeCell ref="S894:V894"/>
    <mergeCell ref="A899:D899"/>
    <mergeCell ref="E899:H899"/>
    <mergeCell ref="I899:J899"/>
    <mergeCell ref="P899:R899"/>
    <mergeCell ref="S899:V899"/>
    <mergeCell ref="A888:D888"/>
    <mergeCell ref="E888:J888"/>
    <mergeCell ref="P888:R888"/>
    <mergeCell ref="S888:V888"/>
    <mergeCell ref="A885:D885"/>
    <mergeCell ref="E885:J885"/>
    <mergeCell ref="P885:R885"/>
    <mergeCell ref="S885:V885"/>
    <mergeCell ref="A886:D886"/>
    <mergeCell ref="E886:J886"/>
    <mergeCell ref="P886:R886"/>
    <mergeCell ref="S886:V886"/>
    <mergeCell ref="A891:D891"/>
    <mergeCell ref="E891:J891"/>
    <mergeCell ref="P891:R891"/>
    <mergeCell ref="S891:V891"/>
    <mergeCell ref="A892:D892"/>
    <mergeCell ref="E892:J892"/>
    <mergeCell ref="P892:R892"/>
    <mergeCell ref="S892:V892"/>
    <mergeCell ref="A889:D889"/>
    <mergeCell ref="E889:J889"/>
    <mergeCell ref="P889:R889"/>
    <mergeCell ref="S889:V889"/>
    <mergeCell ref="A890:D890"/>
    <mergeCell ref="E890:J890"/>
    <mergeCell ref="P890:R890"/>
    <mergeCell ref="S890:V890"/>
    <mergeCell ref="A883:D883"/>
    <mergeCell ref="E883:J883"/>
    <mergeCell ref="P883:R883"/>
    <mergeCell ref="S883:V883"/>
    <mergeCell ref="A884:D884"/>
    <mergeCell ref="E884:J884"/>
    <mergeCell ref="P884:R884"/>
    <mergeCell ref="S884:V884"/>
    <mergeCell ref="A881:D881"/>
    <mergeCell ref="E881:J881"/>
    <mergeCell ref="P881:R881"/>
    <mergeCell ref="S881:V881"/>
    <mergeCell ref="A882:D882"/>
    <mergeCell ref="E882:J882"/>
    <mergeCell ref="P882:R882"/>
    <mergeCell ref="S882:V882"/>
    <mergeCell ref="A887:D887"/>
    <mergeCell ref="E887:J887"/>
    <mergeCell ref="P887:R887"/>
    <mergeCell ref="S887:V887"/>
    <mergeCell ref="A876:D876"/>
    <mergeCell ref="E876:J876"/>
    <mergeCell ref="P876:R876"/>
    <mergeCell ref="S876:V876"/>
    <mergeCell ref="A873:D873"/>
    <mergeCell ref="E873:J873"/>
    <mergeCell ref="P873:R873"/>
    <mergeCell ref="S873:V873"/>
    <mergeCell ref="A874:D874"/>
    <mergeCell ref="E874:J874"/>
    <mergeCell ref="P874:R874"/>
    <mergeCell ref="S874:V874"/>
    <mergeCell ref="A879:D879"/>
    <mergeCell ref="E879:J879"/>
    <mergeCell ref="P879:R879"/>
    <mergeCell ref="S879:V879"/>
    <mergeCell ref="A880:D880"/>
    <mergeCell ref="E880:J880"/>
    <mergeCell ref="P880:R880"/>
    <mergeCell ref="S880:V880"/>
    <mergeCell ref="A877:D877"/>
    <mergeCell ref="E877:J877"/>
    <mergeCell ref="P877:R877"/>
    <mergeCell ref="S877:V877"/>
    <mergeCell ref="A878:D878"/>
    <mergeCell ref="E878:J878"/>
    <mergeCell ref="P878:R878"/>
    <mergeCell ref="S878:V878"/>
    <mergeCell ref="A871:D871"/>
    <mergeCell ref="E871:J871"/>
    <mergeCell ref="P871:R871"/>
    <mergeCell ref="S871:V871"/>
    <mergeCell ref="A872:D872"/>
    <mergeCell ref="E872:J872"/>
    <mergeCell ref="P872:R872"/>
    <mergeCell ref="S872:V872"/>
    <mergeCell ref="A868:D870"/>
    <mergeCell ref="E868:V868"/>
    <mergeCell ref="E869:J870"/>
    <mergeCell ref="K869:L869"/>
    <mergeCell ref="M869:M870"/>
    <mergeCell ref="N869:V869"/>
    <mergeCell ref="P870:R870"/>
    <mergeCell ref="S870:V870"/>
    <mergeCell ref="A875:D875"/>
    <mergeCell ref="E875:J875"/>
    <mergeCell ref="P875:R875"/>
    <mergeCell ref="S875:V875"/>
    <mergeCell ref="A854:M854"/>
    <mergeCell ref="P854:R854"/>
    <mergeCell ref="S854:V854"/>
    <mergeCell ref="P855:R855"/>
    <mergeCell ref="S855:V855"/>
    <mergeCell ref="R861:V861"/>
    <mergeCell ref="T862:V862"/>
    <mergeCell ref="T863:V863"/>
    <mergeCell ref="B866:C866"/>
    <mergeCell ref="Q866:R866"/>
    <mergeCell ref="A852:D852"/>
    <mergeCell ref="E852:H852"/>
    <mergeCell ref="I852:J852"/>
    <mergeCell ref="P852:R852"/>
    <mergeCell ref="S852:V852"/>
    <mergeCell ref="A853:D853"/>
    <mergeCell ref="E853:J853"/>
    <mergeCell ref="P853:R853"/>
    <mergeCell ref="S853:V853"/>
    <mergeCell ref="A850:D850"/>
    <mergeCell ref="E850:H850"/>
    <mergeCell ref="I850:J850"/>
    <mergeCell ref="P850:R850"/>
    <mergeCell ref="S850:V850"/>
    <mergeCell ref="A851:D851"/>
    <mergeCell ref="E851:H851"/>
    <mergeCell ref="I851:J851"/>
    <mergeCell ref="P851:R851"/>
    <mergeCell ref="S851:V851"/>
    <mergeCell ref="A848:D848"/>
    <mergeCell ref="E848:J848"/>
    <mergeCell ref="P848:R848"/>
    <mergeCell ref="S848:V848"/>
    <mergeCell ref="A849:D849"/>
    <mergeCell ref="E849:J849"/>
    <mergeCell ref="P849:R849"/>
    <mergeCell ref="S849:V849"/>
    <mergeCell ref="A843:D843"/>
    <mergeCell ref="E843:J843"/>
    <mergeCell ref="P843:R843"/>
    <mergeCell ref="S843:V843"/>
    <mergeCell ref="A840:D840"/>
    <mergeCell ref="E840:J840"/>
    <mergeCell ref="P840:R840"/>
    <mergeCell ref="S840:V840"/>
    <mergeCell ref="A841:D841"/>
    <mergeCell ref="E841:J841"/>
    <mergeCell ref="P841:R841"/>
    <mergeCell ref="S841:V841"/>
    <mergeCell ref="A846:D846"/>
    <mergeCell ref="E846:J846"/>
    <mergeCell ref="P846:R846"/>
    <mergeCell ref="S846:V846"/>
    <mergeCell ref="A847:D847"/>
    <mergeCell ref="E847:J847"/>
    <mergeCell ref="P847:R847"/>
    <mergeCell ref="S847:V847"/>
    <mergeCell ref="A844:D844"/>
    <mergeCell ref="E844:J844"/>
    <mergeCell ref="P844:R844"/>
    <mergeCell ref="S844:V844"/>
    <mergeCell ref="A845:D845"/>
    <mergeCell ref="E845:J845"/>
    <mergeCell ref="P845:R845"/>
    <mergeCell ref="S845:V845"/>
    <mergeCell ref="A838:D838"/>
    <mergeCell ref="E838:J838"/>
    <mergeCell ref="P838:R838"/>
    <mergeCell ref="S838:V838"/>
    <mergeCell ref="A839:D839"/>
    <mergeCell ref="E839:J839"/>
    <mergeCell ref="P839:R839"/>
    <mergeCell ref="S839:V839"/>
    <mergeCell ref="A836:D836"/>
    <mergeCell ref="E836:J836"/>
    <mergeCell ref="P836:R836"/>
    <mergeCell ref="S836:V836"/>
    <mergeCell ref="A837:D837"/>
    <mergeCell ref="E837:J837"/>
    <mergeCell ref="P837:R837"/>
    <mergeCell ref="S837:V837"/>
    <mergeCell ref="A842:D842"/>
    <mergeCell ref="E842:J842"/>
    <mergeCell ref="P842:R842"/>
    <mergeCell ref="S842:V842"/>
    <mergeCell ref="A831:D831"/>
    <mergeCell ref="E831:J831"/>
    <mergeCell ref="P831:R831"/>
    <mergeCell ref="S831:V831"/>
    <mergeCell ref="A828:D828"/>
    <mergeCell ref="E828:J828"/>
    <mergeCell ref="P828:R828"/>
    <mergeCell ref="S828:V828"/>
    <mergeCell ref="A829:D829"/>
    <mergeCell ref="E829:J829"/>
    <mergeCell ref="P829:R829"/>
    <mergeCell ref="S829:V829"/>
    <mergeCell ref="A834:D834"/>
    <mergeCell ref="E834:J834"/>
    <mergeCell ref="P834:R834"/>
    <mergeCell ref="S834:V834"/>
    <mergeCell ref="A835:D835"/>
    <mergeCell ref="E835:J835"/>
    <mergeCell ref="P835:R835"/>
    <mergeCell ref="S835:V835"/>
    <mergeCell ref="A832:D832"/>
    <mergeCell ref="E832:J832"/>
    <mergeCell ref="P832:R832"/>
    <mergeCell ref="S832:V832"/>
    <mergeCell ref="A833:D833"/>
    <mergeCell ref="E833:J833"/>
    <mergeCell ref="P833:R833"/>
    <mergeCell ref="S833:V833"/>
    <mergeCell ref="A826:D826"/>
    <mergeCell ref="E826:J826"/>
    <mergeCell ref="P826:R826"/>
    <mergeCell ref="S826:V826"/>
    <mergeCell ref="A827:D827"/>
    <mergeCell ref="E827:J827"/>
    <mergeCell ref="P827:R827"/>
    <mergeCell ref="S827:V827"/>
    <mergeCell ref="A824:D824"/>
    <mergeCell ref="E824:J824"/>
    <mergeCell ref="P824:R824"/>
    <mergeCell ref="S824:V824"/>
    <mergeCell ref="A825:D825"/>
    <mergeCell ref="E825:J825"/>
    <mergeCell ref="P825:R825"/>
    <mergeCell ref="S825:V825"/>
    <mergeCell ref="A830:D830"/>
    <mergeCell ref="E830:J830"/>
    <mergeCell ref="P830:R830"/>
    <mergeCell ref="S830:V830"/>
    <mergeCell ref="A806:D806"/>
    <mergeCell ref="E806:J806"/>
    <mergeCell ref="P806:R806"/>
    <mergeCell ref="S806:V806"/>
    <mergeCell ref="A803:D803"/>
    <mergeCell ref="E803:H803"/>
    <mergeCell ref="I803:J803"/>
    <mergeCell ref="P803:R803"/>
    <mergeCell ref="S803:V803"/>
    <mergeCell ref="A804:D804"/>
    <mergeCell ref="E804:H804"/>
    <mergeCell ref="I804:J804"/>
    <mergeCell ref="P804:R804"/>
    <mergeCell ref="S804:V804"/>
    <mergeCell ref="A821:D823"/>
    <mergeCell ref="E821:V821"/>
    <mergeCell ref="E822:J823"/>
    <mergeCell ref="K822:L822"/>
    <mergeCell ref="M822:M823"/>
    <mergeCell ref="N822:V822"/>
    <mergeCell ref="P823:R823"/>
    <mergeCell ref="S823:V823"/>
    <mergeCell ref="A807:M807"/>
    <mergeCell ref="P807:R807"/>
    <mergeCell ref="S807:V807"/>
    <mergeCell ref="P808:R808"/>
    <mergeCell ref="S808:V808"/>
    <mergeCell ref="R814:V814"/>
    <mergeCell ref="T815:V815"/>
    <mergeCell ref="T816:V816"/>
    <mergeCell ref="B819:C819"/>
    <mergeCell ref="Q819:R819"/>
    <mergeCell ref="A801:D801"/>
    <mergeCell ref="E801:J801"/>
    <mergeCell ref="P801:R801"/>
    <mergeCell ref="S801:V801"/>
    <mergeCell ref="A802:D802"/>
    <mergeCell ref="E802:J802"/>
    <mergeCell ref="P802:R802"/>
    <mergeCell ref="S802:V802"/>
    <mergeCell ref="A799:D799"/>
    <mergeCell ref="E799:J799"/>
    <mergeCell ref="P799:R799"/>
    <mergeCell ref="S799:V799"/>
    <mergeCell ref="A800:D800"/>
    <mergeCell ref="E800:J800"/>
    <mergeCell ref="P800:R800"/>
    <mergeCell ref="S800:V800"/>
    <mergeCell ref="A805:D805"/>
    <mergeCell ref="E805:H805"/>
    <mergeCell ref="I805:J805"/>
    <mergeCell ref="P805:R805"/>
    <mergeCell ref="S805:V805"/>
    <mergeCell ref="A794:D794"/>
    <mergeCell ref="E794:J794"/>
    <mergeCell ref="P794:R794"/>
    <mergeCell ref="S794:V794"/>
    <mergeCell ref="A791:D791"/>
    <mergeCell ref="E791:J791"/>
    <mergeCell ref="P791:R791"/>
    <mergeCell ref="S791:V791"/>
    <mergeCell ref="A792:D792"/>
    <mergeCell ref="E792:J792"/>
    <mergeCell ref="P792:R792"/>
    <mergeCell ref="S792:V792"/>
    <mergeCell ref="A797:D797"/>
    <mergeCell ref="E797:J797"/>
    <mergeCell ref="P797:R797"/>
    <mergeCell ref="S797:V797"/>
    <mergeCell ref="A798:D798"/>
    <mergeCell ref="E798:J798"/>
    <mergeCell ref="P798:R798"/>
    <mergeCell ref="S798:V798"/>
    <mergeCell ref="A795:D795"/>
    <mergeCell ref="E795:J795"/>
    <mergeCell ref="P795:R795"/>
    <mergeCell ref="S795:V795"/>
    <mergeCell ref="A796:D796"/>
    <mergeCell ref="E796:J796"/>
    <mergeCell ref="P796:R796"/>
    <mergeCell ref="S796:V796"/>
    <mergeCell ref="A789:D789"/>
    <mergeCell ref="E789:J789"/>
    <mergeCell ref="P789:R789"/>
    <mergeCell ref="S789:V789"/>
    <mergeCell ref="A790:D790"/>
    <mergeCell ref="E790:J790"/>
    <mergeCell ref="P790:R790"/>
    <mergeCell ref="S790:V790"/>
    <mergeCell ref="A787:D787"/>
    <mergeCell ref="E787:J787"/>
    <mergeCell ref="P787:R787"/>
    <mergeCell ref="S787:V787"/>
    <mergeCell ref="A788:D788"/>
    <mergeCell ref="E788:J788"/>
    <mergeCell ref="P788:R788"/>
    <mergeCell ref="S788:V788"/>
    <mergeCell ref="A793:D793"/>
    <mergeCell ref="E793:J793"/>
    <mergeCell ref="P793:R793"/>
    <mergeCell ref="S793:V793"/>
    <mergeCell ref="A782:D782"/>
    <mergeCell ref="E782:J782"/>
    <mergeCell ref="P782:R782"/>
    <mergeCell ref="S782:V782"/>
    <mergeCell ref="A779:D779"/>
    <mergeCell ref="E779:J779"/>
    <mergeCell ref="P779:R779"/>
    <mergeCell ref="S779:V779"/>
    <mergeCell ref="A780:D780"/>
    <mergeCell ref="E780:J780"/>
    <mergeCell ref="P780:R780"/>
    <mergeCell ref="S780:V780"/>
    <mergeCell ref="A785:D785"/>
    <mergeCell ref="E785:J785"/>
    <mergeCell ref="P785:R785"/>
    <mergeCell ref="S785:V785"/>
    <mergeCell ref="A786:D786"/>
    <mergeCell ref="E786:J786"/>
    <mergeCell ref="P786:R786"/>
    <mergeCell ref="S786:V786"/>
    <mergeCell ref="A783:D783"/>
    <mergeCell ref="E783:J783"/>
    <mergeCell ref="P783:R783"/>
    <mergeCell ref="S783:V783"/>
    <mergeCell ref="A784:D784"/>
    <mergeCell ref="E784:J784"/>
    <mergeCell ref="P784:R784"/>
    <mergeCell ref="S784:V784"/>
    <mergeCell ref="A777:D777"/>
    <mergeCell ref="E777:J777"/>
    <mergeCell ref="P777:R777"/>
    <mergeCell ref="S777:V777"/>
    <mergeCell ref="A778:D778"/>
    <mergeCell ref="E778:J778"/>
    <mergeCell ref="P778:R778"/>
    <mergeCell ref="S778:V778"/>
    <mergeCell ref="A774:D776"/>
    <mergeCell ref="E774:V774"/>
    <mergeCell ref="E775:J776"/>
    <mergeCell ref="K775:L775"/>
    <mergeCell ref="M775:M776"/>
    <mergeCell ref="N775:V775"/>
    <mergeCell ref="P776:R776"/>
    <mergeCell ref="S776:V776"/>
    <mergeCell ref="A781:D781"/>
    <mergeCell ref="E781:J781"/>
    <mergeCell ref="P781:R781"/>
    <mergeCell ref="S781:V781"/>
    <mergeCell ref="A760:M760"/>
    <mergeCell ref="P760:R760"/>
    <mergeCell ref="S760:V760"/>
    <mergeCell ref="P761:R761"/>
    <mergeCell ref="S761:V761"/>
    <mergeCell ref="R767:V767"/>
    <mergeCell ref="T768:V768"/>
    <mergeCell ref="T769:V769"/>
    <mergeCell ref="B772:C772"/>
    <mergeCell ref="Q772:R772"/>
    <mergeCell ref="A758:D758"/>
    <mergeCell ref="E758:H758"/>
    <mergeCell ref="I758:J758"/>
    <mergeCell ref="P758:R758"/>
    <mergeCell ref="S758:V758"/>
    <mergeCell ref="A759:D759"/>
    <mergeCell ref="E759:J759"/>
    <mergeCell ref="P759:R759"/>
    <mergeCell ref="S759:V759"/>
    <mergeCell ref="A756:D756"/>
    <mergeCell ref="E756:H756"/>
    <mergeCell ref="I756:J756"/>
    <mergeCell ref="P756:R756"/>
    <mergeCell ref="S756:V756"/>
    <mergeCell ref="A757:D757"/>
    <mergeCell ref="E757:H757"/>
    <mergeCell ref="I757:J757"/>
    <mergeCell ref="P757:R757"/>
    <mergeCell ref="S757:V757"/>
    <mergeCell ref="A754:D754"/>
    <mergeCell ref="E754:J754"/>
    <mergeCell ref="P754:R754"/>
    <mergeCell ref="S754:V754"/>
    <mergeCell ref="A755:D755"/>
    <mergeCell ref="E755:J755"/>
    <mergeCell ref="P755:R755"/>
    <mergeCell ref="S755:V755"/>
    <mergeCell ref="A749:D749"/>
    <mergeCell ref="E749:J749"/>
    <mergeCell ref="P749:R749"/>
    <mergeCell ref="S749:V749"/>
    <mergeCell ref="A746:D746"/>
    <mergeCell ref="E746:J746"/>
    <mergeCell ref="P746:R746"/>
    <mergeCell ref="S746:V746"/>
    <mergeCell ref="A747:D747"/>
    <mergeCell ref="E747:J747"/>
    <mergeCell ref="P747:R747"/>
    <mergeCell ref="S747:V747"/>
    <mergeCell ref="A752:D752"/>
    <mergeCell ref="E752:J752"/>
    <mergeCell ref="P752:R752"/>
    <mergeCell ref="S752:V752"/>
    <mergeCell ref="A753:D753"/>
    <mergeCell ref="E753:J753"/>
    <mergeCell ref="P753:R753"/>
    <mergeCell ref="S753:V753"/>
    <mergeCell ref="A750:D750"/>
    <mergeCell ref="E750:J750"/>
    <mergeCell ref="P750:R750"/>
    <mergeCell ref="S750:V750"/>
    <mergeCell ref="A751:D751"/>
    <mergeCell ref="E751:J751"/>
    <mergeCell ref="P751:R751"/>
    <mergeCell ref="S751:V751"/>
    <mergeCell ref="A744:D744"/>
    <mergeCell ref="E744:J744"/>
    <mergeCell ref="P744:R744"/>
    <mergeCell ref="S744:V744"/>
    <mergeCell ref="A745:D745"/>
    <mergeCell ref="E745:J745"/>
    <mergeCell ref="P745:R745"/>
    <mergeCell ref="S745:V745"/>
    <mergeCell ref="A742:D742"/>
    <mergeCell ref="E742:J742"/>
    <mergeCell ref="P742:R742"/>
    <mergeCell ref="S742:V742"/>
    <mergeCell ref="A743:D743"/>
    <mergeCell ref="E743:J743"/>
    <mergeCell ref="P743:R743"/>
    <mergeCell ref="S743:V743"/>
    <mergeCell ref="A748:D748"/>
    <mergeCell ref="E748:J748"/>
    <mergeCell ref="P748:R748"/>
    <mergeCell ref="S748:V748"/>
    <mergeCell ref="A737:D737"/>
    <mergeCell ref="E737:J737"/>
    <mergeCell ref="P737:R737"/>
    <mergeCell ref="S737:V737"/>
    <mergeCell ref="A734:D734"/>
    <mergeCell ref="E734:J734"/>
    <mergeCell ref="P734:R734"/>
    <mergeCell ref="S734:V734"/>
    <mergeCell ref="A735:D735"/>
    <mergeCell ref="E735:J735"/>
    <mergeCell ref="P735:R735"/>
    <mergeCell ref="S735:V735"/>
    <mergeCell ref="A740:D740"/>
    <mergeCell ref="E740:J740"/>
    <mergeCell ref="P740:R740"/>
    <mergeCell ref="S740:V740"/>
    <mergeCell ref="A741:D741"/>
    <mergeCell ref="E741:J741"/>
    <mergeCell ref="P741:R741"/>
    <mergeCell ref="S741:V741"/>
    <mergeCell ref="A738:D738"/>
    <mergeCell ref="E738:J738"/>
    <mergeCell ref="P738:R738"/>
    <mergeCell ref="S738:V738"/>
    <mergeCell ref="A739:D739"/>
    <mergeCell ref="E739:J739"/>
    <mergeCell ref="P739:R739"/>
    <mergeCell ref="S739:V739"/>
    <mergeCell ref="A732:D732"/>
    <mergeCell ref="E732:J732"/>
    <mergeCell ref="P732:R732"/>
    <mergeCell ref="S732:V732"/>
    <mergeCell ref="A733:D733"/>
    <mergeCell ref="E733:J733"/>
    <mergeCell ref="P733:R733"/>
    <mergeCell ref="S733:V733"/>
    <mergeCell ref="A730:D730"/>
    <mergeCell ref="E730:J730"/>
    <mergeCell ref="P730:R730"/>
    <mergeCell ref="S730:V730"/>
    <mergeCell ref="A731:D731"/>
    <mergeCell ref="E731:J731"/>
    <mergeCell ref="P731:R731"/>
    <mergeCell ref="S731:V731"/>
    <mergeCell ref="A736:D736"/>
    <mergeCell ref="E736:J736"/>
    <mergeCell ref="P736:R736"/>
    <mergeCell ref="S736:V736"/>
    <mergeCell ref="A712:D712"/>
    <mergeCell ref="E712:J712"/>
    <mergeCell ref="P712:R712"/>
    <mergeCell ref="S712:V712"/>
    <mergeCell ref="A709:D709"/>
    <mergeCell ref="E709:H709"/>
    <mergeCell ref="I709:J709"/>
    <mergeCell ref="P709:R709"/>
    <mergeCell ref="S709:V709"/>
    <mergeCell ref="A710:D710"/>
    <mergeCell ref="E710:H710"/>
    <mergeCell ref="I710:J710"/>
    <mergeCell ref="P710:R710"/>
    <mergeCell ref="S710:V710"/>
    <mergeCell ref="A727:D729"/>
    <mergeCell ref="E727:V727"/>
    <mergeCell ref="E728:J729"/>
    <mergeCell ref="K728:L728"/>
    <mergeCell ref="M728:M729"/>
    <mergeCell ref="N728:V728"/>
    <mergeCell ref="P729:R729"/>
    <mergeCell ref="S729:V729"/>
    <mergeCell ref="A713:M713"/>
    <mergeCell ref="P713:R713"/>
    <mergeCell ref="S713:V713"/>
    <mergeCell ref="P714:R714"/>
    <mergeCell ref="S714:V714"/>
    <mergeCell ref="R720:V720"/>
    <mergeCell ref="T721:V721"/>
    <mergeCell ref="T722:V722"/>
    <mergeCell ref="B725:C725"/>
    <mergeCell ref="Q725:R725"/>
    <mergeCell ref="A707:D707"/>
    <mergeCell ref="E707:J707"/>
    <mergeCell ref="P707:R707"/>
    <mergeCell ref="S707:V707"/>
    <mergeCell ref="A708:D708"/>
    <mergeCell ref="E708:J708"/>
    <mergeCell ref="P708:R708"/>
    <mergeCell ref="S708:V708"/>
    <mergeCell ref="A705:D705"/>
    <mergeCell ref="E705:J705"/>
    <mergeCell ref="P705:R705"/>
    <mergeCell ref="S705:V705"/>
    <mergeCell ref="A706:D706"/>
    <mergeCell ref="E706:J706"/>
    <mergeCell ref="P706:R706"/>
    <mergeCell ref="S706:V706"/>
    <mergeCell ref="A711:D711"/>
    <mergeCell ref="E711:H711"/>
    <mergeCell ref="I711:J711"/>
    <mergeCell ref="P711:R711"/>
    <mergeCell ref="S711:V711"/>
    <mergeCell ref="A700:D700"/>
    <mergeCell ref="E700:J700"/>
    <mergeCell ref="P700:R700"/>
    <mergeCell ref="S700:V700"/>
    <mergeCell ref="A697:D697"/>
    <mergeCell ref="E697:J697"/>
    <mergeCell ref="P697:R697"/>
    <mergeCell ref="S697:V697"/>
    <mergeCell ref="A698:D698"/>
    <mergeCell ref="E698:J698"/>
    <mergeCell ref="P698:R698"/>
    <mergeCell ref="S698:V698"/>
    <mergeCell ref="A703:D703"/>
    <mergeCell ref="E703:J703"/>
    <mergeCell ref="P703:R703"/>
    <mergeCell ref="S703:V703"/>
    <mergeCell ref="A704:D704"/>
    <mergeCell ref="E704:J704"/>
    <mergeCell ref="P704:R704"/>
    <mergeCell ref="S704:V704"/>
    <mergeCell ref="A701:D701"/>
    <mergeCell ref="E701:J701"/>
    <mergeCell ref="P701:R701"/>
    <mergeCell ref="S701:V701"/>
    <mergeCell ref="A702:D702"/>
    <mergeCell ref="E702:J702"/>
    <mergeCell ref="P702:R702"/>
    <mergeCell ref="S702:V702"/>
    <mergeCell ref="A695:D695"/>
    <mergeCell ref="E695:J695"/>
    <mergeCell ref="P695:R695"/>
    <mergeCell ref="S695:V695"/>
    <mergeCell ref="A696:D696"/>
    <mergeCell ref="E696:J696"/>
    <mergeCell ref="P696:R696"/>
    <mergeCell ref="S696:V696"/>
    <mergeCell ref="A693:D693"/>
    <mergeCell ref="E693:J693"/>
    <mergeCell ref="P693:R693"/>
    <mergeCell ref="S693:V693"/>
    <mergeCell ref="A694:D694"/>
    <mergeCell ref="E694:J694"/>
    <mergeCell ref="P694:R694"/>
    <mergeCell ref="S694:V694"/>
    <mergeCell ref="A699:D699"/>
    <mergeCell ref="E699:J699"/>
    <mergeCell ref="P699:R699"/>
    <mergeCell ref="S699:V699"/>
    <mergeCell ref="A688:D688"/>
    <mergeCell ref="E688:J688"/>
    <mergeCell ref="P688:R688"/>
    <mergeCell ref="S688:V688"/>
    <mergeCell ref="A685:D685"/>
    <mergeCell ref="E685:J685"/>
    <mergeCell ref="P685:R685"/>
    <mergeCell ref="S685:V685"/>
    <mergeCell ref="A686:D686"/>
    <mergeCell ref="E686:J686"/>
    <mergeCell ref="P686:R686"/>
    <mergeCell ref="S686:V686"/>
    <mergeCell ref="A691:D691"/>
    <mergeCell ref="E691:J691"/>
    <mergeCell ref="P691:R691"/>
    <mergeCell ref="S691:V691"/>
    <mergeCell ref="A692:D692"/>
    <mergeCell ref="E692:J692"/>
    <mergeCell ref="P692:R692"/>
    <mergeCell ref="S692:V692"/>
    <mergeCell ref="A689:D689"/>
    <mergeCell ref="E689:J689"/>
    <mergeCell ref="P689:R689"/>
    <mergeCell ref="S689:V689"/>
    <mergeCell ref="A690:D690"/>
    <mergeCell ref="E690:J690"/>
    <mergeCell ref="P690:R690"/>
    <mergeCell ref="S690:V690"/>
    <mergeCell ref="A683:D683"/>
    <mergeCell ref="E683:J683"/>
    <mergeCell ref="P683:R683"/>
    <mergeCell ref="S683:V683"/>
    <mergeCell ref="A684:D684"/>
    <mergeCell ref="E684:J684"/>
    <mergeCell ref="P684:R684"/>
    <mergeCell ref="S684:V684"/>
    <mergeCell ref="A680:D682"/>
    <mergeCell ref="E680:V680"/>
    <mergeCell ref="E681:J682"/>
    <mergeCell ref="K681:L681"/>
    <mergeCell ref="M681:M682"/>
    <mergeCell ref="N681:V681"/>
    <mergeCell ref="P682:R682"/>
    <mergeCell ref="S682:V682"/>
    <mergeCell ref="A687:D687"/>
    <mergeCell ref="E687:J687"/>
    <mergeCell ref="P687:R687"/>
    <mergeCell ref="S687:V687"/>
    <mergeCell ref="A666:M666"/>
    <mergeCell ref="P666:R666"/>
    <mergeCell ref="S666:V666"/>
    <mergeCell ref="P667:R667"/>
    <mergeCell ref="S667:V667"/>
    <mergeCell ref="R673:V673"/>
    <mergeCell ref="T674:V674"/>
    <mergeCell ref="T675:V675"/>
    <mergeCell ref="B678:C678"/>
    <mergeCell ref="Q678:R678"/>
    <mergeCell ref="A664:D664"/>
    <mergeCell ref="E664:H664"/>
    <mergeCell ref="I664:J664"/>
    <mergeCell ref="P664:R664"/>
    <mergeCell ref="S664:V664"/>
    <mergeCell ref="A665:D665"/>
    <mergeCell ref="E665:J665"/>
    <mergeCell ref="P665:R665"/>
    <mergeCell ref="S665:V665"/>
    <mergeCell ref="A662:D662"/>
    <mergeCell ref="E662:H662"/>
    <mergeCell ref="I662:J662"/>
    <mergeCell ref="P662:R662"/>
    <mergeCell ref="S662:V662"/>
    <mergeCell ref="A663:D663"/>
    <mergeCell ref="E663:H663"/>
    <mergeCell ref="I663:J663"/>
    <mergeCell ref="P663:R663"/>
    <mergeCell ref="S663:V663"/>
    <mergeCell ref="A660:D660"/>
    <mergeCell ref="E660:J660"/>
    <mergeCell ref="P660:R660"/>
    <mergeCell ref="S660:V660"/>
    <mergeCell ref="A661:D661"/>
    <mergeCell ref="E661:J661"/>
    <mergeCell ref="P661:R661"/>
    <mergeCell ref="S661:V661"/>
    <mergeCell ref="A655:D655"/>
    <mergeCell ref="E655:J655"/>
    <mergeCell ref="P655:R655"/>
    <mergeCell ref="S655:V655"/>
    <mergeCell ref="A652:D652"/>
    <mergeCell ref="E652:J652"/>
    <mergeCell ref="P652:R652"/>
    <mergeCell ref="S652:V652"/>
    <mergeCell ref="A653:D653"/>
    <mergeCell ref="E653:J653"/>
    <mergeCell ref="P653:R653"/>
    <mergeCell ref="S653:V653"/>
    <mergeCell ref="A658:D658"/>
    <mergeCell ref="E658:J658"/>
    <mergeCell ref="P658:R658"/>
    <mergeCell ref="S658:V658"/>
    <mergeCell ref="A659:D659"/>
    <mergeCell ref="E659:J659"/>
    <mergeCell ref="P659:R659"/>
    <mergeCell ref="S659:V659"/>
    <mergeCell ref="A656:D656"/>
    <mergeCell ref="E656:J656"/>
    <mergeCell ref="P656:R656"/>
    <mergeCell ref="S656:V656"/>
    <mergeCell ref="A657:D657"/>
    <mergeCell ref="E657:J657"/>
    <mergeCell ref="P657:R657"/>
    <mergeCell ref="S657:V657"/>
    <mergeCell ref="A650:D650"/>
    <mergeCell ref="E650:J650"/>
    <mergeCell ref="P650:R650"/>
    <mergeCell ref="S650:V650"/>
    <mergeCell ref="A651:D651"/>
    <mergeCell ref="E651:J651"/>
    <mergeCell ref="P651:R651"/>
    <mergeCell ref="S651:V651"/>
    <mergeCell ref="A648:D648"/>
    <mergeCell ref="E648:J648"/>
    <mergeCell ref="P648:R648"/>
    <mergeCell ref="S648:V648"/>
    <mergeCell ref="A649:D649"/>
    <mergeCell ref="E649:J649"/>
    <mergeCell ref="P649:R649"/>
    <mergeCell ref="S649:V649"/>
    <mergeCell ref="A654:D654"/>
    <mergeCell ref="E654:J654"/>
    <mergeCell ref="P654:R654"/>
    <mergeCell ref="S654:V654"/>
    <mergeCell ref="A643:D643"/>
    <mergeCell ref="E643:J643"/>
    <mergeCell ref="P643:R643"/>
    <mergeCell ref="S643:V643"/>
    <mergeCell ref="A640:D640"/>
    <mergeCell ref="E640:J640"/>
    <mergeCell ref="P640:R640"/>
    <mergeCell ref="S640:V640"/>
    <mergeCell ref="A641:D641"/>
    <mergeCell ref="E641:J641"/>
    <mergeCell ref="P641:R641"/>
    <mergeCell ref="S641:V641"/>
    <mergeCell ref="A646:D646"/>
    <mergeCell ref="E646:J646"/>
    <mergeCell ref="P646:R646"/>
    <mergeCell ref="S646:V646"/>
    <mergeCell ref="A647:D647"/>
    <mergeCell ref="E647:J647"/>
    <mergeCell ref="P647:R647"/>
    <mergeCell ref="S647:V647"/>
    <mergeCell ref="A644:D644"/>
    <mergeCell ref="E644:J644"/>
    <mergeCell ref="P644:R644"/>
    <mergeCell ref="S644:V644"/>
    <mergeCell ref="A645:D645"/>
    <mergeCell ref="E645:J645"/>
    <mergeCell ref="P645:R645"/>
    <mergeCell ref="S645:V645"/>
    <mergeCell ref="A638:D638"/>
    <mergeCell ref="E638:J638"/>
    <mergeCell ref="P638:R638"/>
    <mergeCell ref="S638:V638"/>
    <mergeCell ref="A639:D639"/>
    <mergeCell ref="E639:J639"/>
    <mergeCell ref="P639:R639"/>
    <mergeCell ref="S639:V639"/>
    <mergeCell ref="A636:D636"/>
    <mergeCell ref="E636:J636"/>
    <mergeCell ref="P636:R636"/>
    <mergeCell ref="S636:V636"/>
    <mergeCell ref="A637:D637"/>
    <mergeCell ref="E637:J637"/>
    <mergeCell ref="P637:R637"/>
    <mergeCell ref="S637:V637"/>
    <mergeCell ref="A642:D642"/>
    <mergeCell ref="E642:J642"/>
    <mergeCell ref="P642:R642"/>
    <mergeCell ref="S642:V642"/>
    <mergeCell ref="A618:D618"/>
    <mergeCell ref="E618:J618"/>
    <mergeCell ref="P618:R618"/>
    <mergeCell ref="S618:V618"/>
    <mergeCell ref="A615:D615"/>
    <mergeCell ref="E615:H615"/>
    <mergeCell ref="I615:J615"/>
    <mergeCell ref="P615:R615"/>
    <mergeCell ref="S615:V615"/>
    <mergeCell ref="A616:D616"/>
    <mergeCell ref="E616:H616"/>
    <mergeCell ref="I616:J616"/>
    <mergeCell ref="P616:R616"/>
    <mergeCell ref="S616:V616"/>
    <mergeCell ref="A633:D635"/>
    <mergeCell ref="E633:V633"/>
    <mergeCell ref="E634:J635"/>
    <mergeCell ref="K634:L634"/>
    <mergeCell ref="M634:M635"/>
    <mergeCell ref="N634:V634"/>
    <mergeCell ref="P635:R635"/>
    <mergeCell ref="S635:V635"/>
    <mergeCell ref="A619:M619"/>
    <mergeCell ref="P619:R619"/>
    <mergeCell ref="S619:V619"/>
    <mergeCell ref="P620:R620"/>
    <mergeCell ref="S620:V620"/>
    <mergeCell ref="R626:V626"/>
    <mergeCell ref="T627:V627"/>
    <mergeCell ref="T628:V628"/>
    <mergeCell ref="B631:C631"/>
    <mergeCell ref="Q631:R631"/>
    <mergeCell ref="A613:D613"/>
    <mergeCell ref="E613:J613"/>
    <mergeCell ref="P613:R613"/>
    <mergeCell ref="S613:V613"/>
    <mergeCell ref="A614:D614"/>
    <mergeCell ref="E614:J614"/>
    <mergeCell ref="P614:R614"/>
    <mergeCell ref="S614:V614"/>
    <mergeCell ref="A611:D611"/>
    <mergeCell ref="E611:J611"/>
    <mergeCell ref="P611:R611"/>
    <mergeCell ref="S611:V611"/>
    <mergeCell ref="A612:D612"/>
    <mergeCell ref="E612:J612"/>
    <mergeCell ref="P612:R612"/>
    <mergeCell ref="S612:V612"/>
    <mergeCell ref="A617:D617"/>
    <mergeCell ref="E617:H617"/>
    <mergeCell ref="I617:J617"/>
    <mergeCell ref="P617:R617"/>
    <mergeCell ref="S617:V617"/>
    <mergeCell ref="A606:D606"/>
    <mergeCell ref="E606:J606"/>
    <mergeCell ref="P606:R606"/>
    <mergeCell ref="S606:V606"/>
    <mergeCell ref="A603:D603"/>
    <mergeCell ref="E603:J603"/>
    <mergeCell ref="P603:R603"/>
    <mergeCell ref="S603:V603"/>
    <mergeCell ref="A604:D604"/>
    <mergeCell ref="E604:J604"/>
    <mergeCell ref="P604:R604"/>
    <mergeCell ref="S604:V604"/>
    <mergeCell ref="A609:D609"/>
    <mergeCell ref="E609:J609"/>
    <mergeCell ref="P609:R609"/>
    <mergeCell ref="S609:V609"/>
    <mergeCell ref="A610:D610"/>
    <mergeCell ref="E610:J610"/>
    <mergeCell ref="P610:R610"/>
    <mergeCell ref="S610:V610"/>
    <mergeCell ref="A607:D607"/>
    <mergeCell ref="E607:J607"/>
    <mergeCell ref="P607:R607"/>
    <mergeCell ref="S607:V607"/>
    <mergeCell ref="A608:D608"/>
    <mergeCell ref="E608:J608"/>
    <mergeCell ref="P608:R608"/>
    <mergeCell ref="S608:V608"/>
    <mergeCell ref="A601:D601"/>
    <mergeCell ref="E601:J601"/>
    <mergeCell ref="P601:R601"/>
    <mergeCell ref="S601:V601"/>
    <mergeCell ref="A602:D602"/>
    <mergeCell ref="E602:J602"/>
    <mergeCell ref="P602:R602"/>
    <mergeCell ref="S602:V602"/>
    <mergeCell ref="A599:D599"/>
    <mergeCell ref="E599:J599"/>
    <mergeCell ref="P599:R599"/>
    <mergeCell ref="S599:V599"/>
    <mergeCell ref="A600:D600"/>
    <mergeCell ref="E600:J600"/>
    <mergeCell ref="P600:R600"/>
    <mergeCell ref="S600:V600"/>
    <mergeCell ref="A605:D605"/>
    <mergeCell ref="E605:J605"/>
    <mergeCell ref="P605:R605"/>
    <mergeCell ref="S605:V605"/>
    <mergeCell ref="A594:D594"/>
    <mergeCell ref="E594:J594"/>
    <mergeCell ref="P594:R594"/>
    <mergeCell ref="S594:V594"/>
    <mergeCell ref="A591:D591"/>
    <mergeCell ref="E591:J591"/>
    <mergeCell ref="P591:R591"/>
    <mergeCell ref="S591:V591"/>
    <mergeCell ref="A592:D592"/>
    <mergeCell ref="E592:J592"/>
    <mergeCell ref="P592:R592"/>
    <mergeCell ref="S592:V592"/>
    <mergeCell ref="A597:D597"/>
    <mergeCell ref="E597:J597"/>
    <mergeCell ref="P597:R597"/>
    <mergeCell ref="S597:V597"/>
    <mergeCell ref="A598:D598"/>
    <mergeCell ref="E598:J598"/>
    <mergeCell ref="P598:R598"/>
    <mergeCell ref="S598:V598"/>
    <mergeCell ref="A595:D595"/>
    <mergeCell ref="E595:J595"/>
    <mergeCell ref="P595:R595"/>
    <mergeCell ref="S595:V595"/>
    <mergeCell ref="A596:D596"/>
    <mergeCell ref="E596:J596"/>
    <mergeCell ref="P596:R596"/>
    <mergeCell ref="S596:V596"/>
    <mergeCell ref="A589:D589"/>
    <mergeCell ref="E589:J589"/>
    <mergeCell ref="P589:R589"/>
    <mergeCell ref="S589:V589"/>
    <mergeCell ref="A590:D590"/>
    <mergeCell ref="E590:J590"/>
    <mergeCell ref="P590:R590"/>
    <mergeCell ref="S590:V590"/>
    <mergeCell ref="A586:D588"/>
    <mergeCell ref="E586:V586"/>
    <mergeCell ref="E587:J588"/>
    <mergeCell ref="K587:L587"/>
    <mergeCell ref="M587:M588"/>
    <mergeCell ref="N587:V587"/>
    <mergeCell ref="P588:R588"/>
    <mergeCell ref="S588:V588"/>
    <mergeCell ref="A593:D593"/>
    <mergeCell ref="E593:J593"/>
    <mergeCell ref="P593:R593"/>
    <mergeCell ref="S593:V593"/>
    <mergeCell ref="A572:M572"/>
    <mergeCell ref="P572:R572"/>
    <mergeCell ref="S572:V572"/>
    <mergeCell ref="P573:R573"/>
    <mergeCell ref="S573:V573"/>
    <mergeCell ref="R579:V579"/>
    <mergeCell ref="T580:V580"/>
    <mergeCell ref="T581:V581"/>
    <mergeCell ref="B584:C584"/>
    <mergeCell ref="Q584:R584"/>
    <mergeCell ref="A570:D570"/>
    <mergeCell ref="E570:H570"/>
    <mergeCell ref="I570:J570"/>
    <mergeCell ref="P570:R570"/>
    <mergeCell ref="S570:V570"/>
    <mergeCell ref="A571:D571"/>
    <mergeCell ref="E571:J571"/>
    <mergeCell ref="P571:R571"/>
    <mergeCell ref="S571:V571"/>
    <mergeCell ref="A568:D568"/>
    <mergeCell ref="E568:H568"/>
    <mergeCell ref="I568:J568"/>
    <mergeCell ref="P568:R568"/>
    <mergeCell ref="S568:V568"/>
    <mergeCell ref="A569:D569"/>
    <mergeCell ref="E569:H569"/>
    <mergeCell ref="I569:J569"/>
    <mergeCell ref="P569:R569"/>
    <mergeCell ref="S569:V569"/>
    <mergeCell ref="A566:D566"/>
    <mergeCell ref="E566:J566"/>
    <mergeCell ref="P566:R566"/>
    <mergeCell ref="S566:V566"/>
    <mergeCell ref="A567:D567"/>
    <mergeCell ref="E567:J567"/>
    <mergeCell ref="P567:R567"/>
    <mergeCell ref="S567:V567"/>
    <mergeCell ref="A561:D561"/>
    <mergeCell ref="E561:J561"/>
    <mergeCell ref="P561:R561"/>
    <mergeCell ref="S561:V561"/>
    <mergeCell ref="A558:D558"/>
    <mergeCell ref="E558:J558"/>
    <mergeCell ref="P558:R558"/>
    <mergeCell ref="S558:V558"/>
    <mergeCell ref="A559:D559"/>
    <mergeCell ref="E559:J559"/>
    <mergeCell ref="P559:R559"/>
    <mergeCell ref="S559:V559"/>
    <mergeCell ref="A564:D564"/>
    <mergeCell ref="E564:J564"/>
    <mergeCell ref="P564:R564"/>
    <mergeCell ref="S564:V564"/>
    <mergeCell ref="A565:D565"/>
    <mergeCell ref="E565:J565"/>
    <mergeCell ref="P565:R565"/>
    <mergeCell ref="S565:V565"/>
    <mergeCell ref="A562:D562"/>
    <mergeCell ref="E562:J562"/>
    <mergeCell ref="P562:R562"/>
    <mergeCell ref="S562:V562"/>
    <mergeCell ref="A563:D563"/>
    <mergeCell ref="E563:J563"/>
    <mergeCell ref="P563:R563"/>
    <mergeCell ref="S563:V563"/>
    <mergeCell ref="A556:D556"/>
    <mergeCell ref="E556:J556"/>
    <mergeCell ref="P556:R556"/>
    <mergeCell ref="S556:V556"/>
    <mergeCell ref="A557:D557"/>
    <mergeCell ref="E557:J557"/>
    <mergeCell ref="P557:R557"/>
    <mergeCell ref="S557:V557"/>
    <mergeCell ref="A554:D554"/>
    <mergeCell ref="E554:J554"/>
    <mergeCell ref="P554:R554"/>
    <mergeCell ref="S554:V554"/>
    <mergeCell ref="A555:D555"/>
    <mergeCell ref="E555:J555"/>
    <mergeCell ref="P555:R555"/>
    <mergeCell ref="S555:V555"/>
    <mergeCell ref="A560:D560"/>
    <mergeCell ref="E560:J560"/>
    <mergeCell ref="P560:R560"/>
    <mergeCell ref="S560:V560"/>
    <mergeCell ref="A549:D549"/>
    <mergeCell ref="E549:J549"/>
    <mergeCell ref="P549:R549"/>
    <mergeCell ref="S549:V549"/>
    <mergeCell ref="A546:D546"/>
    <mergeCell ref="E546:J546"/>
    <mergeCell ref="P546:R546"/>
    <mergeCell ref="S546:V546"/>
    <mergeCell ref="A547:D547"/>
    <mergeCell ref="E547:J547"/>
    <mergeCell ref="P547:R547"/>
    <mergeCell ref="S547:V547"/>
    <mergeCell ref="A552:D552"/>
    <mergeCell ref="E552:J552"/>
    <mergeCell ref="P552:R552"/>
    <mergeCell ref="S552:V552"/>
    <mergeCell ref="A553:D553"/>
    <mergeCell ref="E553:J553"/>
    <mergeCell ref="P553:R553"/>
    <mergeCell ref="S553:V553"/>
    <mergeCell ref="A550:D550"/>
    <mergeCell ref="E550:J550"/>
    <mergeCell ref="P550:R550"/>
    <mergeCell ref="S550:V550"/>
    <mergeCell ref="A551:D551"/>
    <mergeCell ref="E551:J551"/>
    <mergeCell ref="P551:R551"/>
    <mergeCell ref="S551:V551"/>
    <mergeCell ref="A544:D544"/>
    <mergeCell ref="E544:J544"/>
    <mergeCell ref="P544:R544"/>
    <mergeCell ref="S544:V544"/>
    <mergeCell ref="A545:D545"/>
    <mergeCell ref="E545:J545"/>
    <mergeCell ref="P545:R545"/>
    <mergeCell ref="S545:V545"/>
    <mergeCell ref="A542:D542"/>
    <mergeCell ref="E542:J542"/>
    <mergeCell ref="P542:R542"/>
    <mergeCell ref="S542:V542"/>
    <mergeCell ref="A543:D543"/>
    <mergeCell ref="E543:J543"/>
    <mergeCell ref="P543:R543"/>
    <mergeCell ref="S543:V543"/>
    <mergeCell ref="A548:D548"/>
    <mergeCell ref="E548:J548"/>
    <mergeCell ref="P548:R548"/>
    <mergeCell ref="S548:V548"/>
    <mergeCell ref="A524:D524"/>
    <mergeCell ref="E524:J524"/>
    <mergeCell ref="P524:R524"/>
    <mergeCell ref="S524:V524"/>
    <mergeCell ref="A521:D521"/>
    <mergeCell ref="E521:H521"/>
    <mergeCell ref="I521:J521"/>
    <mergeCell ref="P521:R521"/>
    <mergeCell ref="S521:V521"/>
    <mergeCell ref="A522:D522"/>
    <mergeCell ref="E522:H522"/>
    <mergeCell ref="I522:J522"/>
    <mergeCell ref="P522:R522"/>
    <mergeCell ref="S522:V522"/>
    <mergeCell ref="A539:D541"/>
    <mergeCell ref="E539:V539"/>
    <mergeCell ref="E540:J541"/>
    <mergeCell ref="K540:L540"/>
    <mergeCell ref="M540:M541"/>
    <mergeCell ref="N540:V540"/>
    <mergeCell ref="P541:R541"/>
    <mergeCell ref="S541:V541"/>
    <mergeCell ref="A525:M525"/>
    <mergeCell ref="P525:R525"/>
    <mergeCell ref="S525:V525"/>
    <mergeCell ref="P526:R526"/>
    <mergeCell ref="S526:V526"/>
    <mergeCell ref="R532:V532"/>
    <mergeCell ref="T533:V533"/>
    <mergeCell ref="T534:V534"/>
    <mergeCell ref="B537:C537"/>
    <mergeCell ref="Q537:R537"/>
    <mergeCell ref="A519:D519"/>
    <mergeCell ref="E519:J519"/>
    <mergeCell ref="P519:R519"/>
    <mergeCell ref="S519:V519"/>
    <mergeCell ref="A520:D520"/>
    <mergeCell ref="E520:J520"/>
    <mergeCell ref="P520:R520"/>
    <mergeCell ref="S520:V520"/>
    <mergeCell ref="A517:D517"/>
    <mergeCell ref="E517:J517"/>
    <mergeCell ref="P517:R517"/>
    <mergeCell ref="S517:V517"/>
    <mergeCell ref="A518:D518"/>
    <mergeCell ref="E518:J518"/>
    <mergeCell ref="P518:R518"/>
    <mergeCell ref="S518:V518"/>
    <mergeCell ref="A523:D523"/>
    <mergeCell ref="E523:H523"/>
    <mergeCell ref="I523:J523"/>
    <mergeCell ref="P523:R523"/>
    <mergeCell ref="S523:V523"/>
    <mergeCell ref="A512:D512"/>
    <mergeCell ref="E512:J512"/>
    <mergeCell ref="P512:R512"/>
    <mergeCell ref="S512:V512"/>
    <mergeCell ref="A509:D509"/>
    <mergeCell ref="E509:J509"/>
    <mergeCell ref="P509:R509"/>
    <mergeCell ref="S509:V509"/>
    <mergeCell ref="A510:D510"/>
    <mergeCell ref="E510:J510"/>
    <mergeCell ref="P510:R510"/>
    <mergeCell ref="S510:V510"/>
    <mergeCell ref="A515:D515"/>
    <mergeCell ref="E515:J515"/>
    <mergeCell ref="P515:R515"/>
    <mergeCell ref="S515:V515"/>
    <mergeCell ref="A516:D516"/>
    <mergeCell ref="E516:J516"/>
    <mergeCell ref="P516:R516"/>
    <mergeCell ref="S516:V516"/>
    <mergeCell ref="A513:D513"/>
    <mergeCell ref="E513:J513"/>
    <mergeCell ref="P513:R513"/>
    <mergeCell ref="S513:V513"/>
    <mergeCell ref="A514:D514"/>
    <mergeCell ref="E514:J514"/>
    <mergeCell ref="P514:R514"/>
    <mergeCell ref="S514:V514"/>
    <mergeCell ref="A507:D507"/>
    <mergeCell ref="E507:J507"/>
    <mergeCell ref="P507:R507"/>
    <mergeCell ref="S507:V507"/>
    <mergeCell ref="A508:D508"/>
    <mergeCell ref="E508:J508"/>
    <mergeCell ref="P508:R508"/>
    <mergeCell ref="S508:V508"/>
    <mergeCell ref="A505:D505"/>
    <mergeCell ref="E505:J505"/>
    <mergeCell ref="P505:R505"/>
    <mergeCell ref="S505:V505"/>
    <mergeCell ref="A506:D506"/>
    <mergeCell ref="E506:J506"/>
    <mergeCell ref="P506:R506"/>
    <mergeCell ref="S506:V506"/>
    <mergeCell ref="A511:D511"/>
    <mergeCell ref="E511:J511"/>
    <mergeCell ref="P511:R511"/>
    <mergeCell ref="S511:V511"/>
    <mergeCell ref="A500:D500"/>
    <mergeCell ref="E500:J500"/>
    <mergeCell ref="P500:R500"/>
    <mergeCell ref="S500:V500"/>
    <mergeCell ref="A497:D497"/>
    <mergeCell ref="E497:J497"/>
    <mergeCell ref="P497:R497"/>
    <mergeCell ref="S497:V497"/>
    <mergeCell ref="A498:D498"/>
    <mergeCell ref="E498:J498"/>
    <mergeCell ref="P498:R498"/>
    <mergeCell ref="S498:V498"/>
    <mergeCell ref="A503:D503"/>
    <mergeCell ref="E503:J503"/>
    <mergeCell ref="P503:R503"/>
    <mergeCell ref="S503:V503"/>
    <mergeCell ref="A504:D504"/>
    <mergeCell ref="E504:J504"/>
    <mergeCell ref="P504:R504"/>
    <mergeCell ref="S504:V504"/>
    <mergeCell ref="A501:D501"/>
    <mergeCell ref="E501:J501"/>
    <mergeCell ref="P501:R501"/>
    <mergeCell ref="S501:V501"/>
    <mergeCell ref="A502:D502"/>
    <mergeCell ref="E502:J502"/>
    <mergeCell ref="P502:R502"/>
    <mergeCell ref="S502:V502"/>
    <mergeCell ref="A495:D495"/>
    <mergeCell ref="E495:J495"/>
    <mergeCell ref="P495:R495"/>
    <mergeCell ref="S495:V495"/>
    <mergeCell ref="A496:D496"/>
    <mergeCell ref="E496:J496"/>
    <mergeCell ref="P496:R496"/>
    <mergeCell ref="S496:V496"/>
    <mergeCell ref="A492:D494"/>
    <mergeCell ref="E492:V492"/>
    <mergeCell ref="E493:J494"/>
    <mergeCell ref="K493:L493"/>
    <mergeCell ref="M493:M494"/>
    <mergeCell ref="N493:V493"/>
    <mergeCell ref="P494:R494"/>
    <mergeCell ref="S494:V494"/>
    <mergeCell ref="A499:D499"/>
    <mergeCell ref="E499:J499"/>
    <mergeCell ref="P499:R499"/>
    <mergeCell ref="S499:V499"/>
    <mergeCell ref="A478:M478"/>
    <mergeCell ref="P478:R478"/>
    <mergeCell ref="S478:V478"/>
    <mergeCell ref="P479:R479"/>
    <mergeCell ref="S479:V479"/>
    <mergeCell ref="R485:V485"/>
    <mergeCell ref="T486:V486"/>
    <mergeCell ref="T487:V487"/>
    <mergeCell ref="B490:C490"/>
    <mergeCell ref="Q490:R490"/>
    <mergeCell ref="A476:D476"/>
    <mergeCell ref="E476:H476"/>
    <mergeCell ref="I476:J476"/>
    <mergeCell ref="P476:R476"/>
    <mergeCell ref="S476:V476"/>
    <mergeCell ref="A477:D477"/>
    <mergeCell ref="E477:J477"/>
    <mergeCell ref="P477:R477"/>
    <mergeCell ref="S477:V477"/>
    <mergeCell ref="A474:D474"/>
    <mergeCell ref="E474:H474"/>
    <mergeCell ref="I474:J474"/>
    <mergeCell ref="P474:R474"/>
    <mergeCell ref="S474:V474"/>
    <mergeCell ref="A475:D475"/>
    <mergeCell ref="E475:H475"/>
    <mergeCell ref="I475:J475"/>
    <mergeCell ref="P475:R475"/>
    <mergeCell ref="S475:V475"/>
    <mergeCell ref="A472:D472"/>
    <mergeCell ref="E472:J472"/>
    <mergeCell ref="P472:R472"/>
    <mergeCell ref="S472:V472"/>
    <mergeCell ref="A473:D473"/>
    <mergeCell ref="E473:J473"/>
    <mergeCell ref="P473:R473"/>
    <mergeCell ref="S473:V473"/>
    <mergeCell ref="A467:D467"/>
    <mergeCell ref="E467:J467"/>
    <mergeCell ref="P467:R467"/>
    <mergeCell ref="S467:V467"/>
    <mergeCell ref="A464:D464"/>
    <mergeCell ref="E464:J464"/>
    <mergeCell ref="P464:R464"/>
    <mergeCell ref="S464:V464"/>
    <mergeCell ref="A465:D465"/>
    <mergeCell ref="E465:J465"/>
    <mergeCell ref="P465:R465"/>
    <mergeCell ref="S465:V465"/>
    <mergeCell ref="A470:D470"/>
    <mergeCell ref="E470:J470"/>
    <mergeCell ref="P470:R470"/>
    <mergeCell ref="S470:V470"/>
    <mergeCell ref="A471:D471"/>
    <mergeCell ref="E471:J471"/>
    <mergeCell ref="P471:R471"/>
    <mergeCell ref="S471:V471"/>
    <mergeCell ref="A468:D468"/>
    <mergeCell ref="E468:J468"/>
    <mergeCell ref="P468:R468"/>
    <mergeCell ref="S468:V468"/>
    <mergeCell ref="A469:D469"/>
    <mergeCell ref="E469:J469"/>
    <mergeCell ref="P469:R469"/>
    <mergeCell ref="S469:V469"/>
    <mergeCell ref="A462:D462"/>
    <mergeCell ref="E462:J462"/>
    <mergeCell ref="P462:R462"/>
    <mergeCell ref="S462:V462"/>
    <mergeCell ref="A463:D463"/>
    <mergeCell ref="E463:J463"/>
    <mergeCell ref="P463:R463"/>
    <mergeCell ref="S463:V463"/>
    <mergeCell ref="A460:D460"/>
    <mergeCell ref="E460:J460"/>
    <mergeCell ref="P460:R460"/>
    <mergeCell ref="S460:V460"/>
    <mergeCell ref="A461:D461"/>
    <mergeCell ref="E461:J461"/>
    <mergeCell ref="P461:R461"/>
    <mergeCell ref="S461:V461"/>
    <mergeCell ref="A466:D466"/>
    <mergeCell ref="E466:J466"/>
    <mergeCell ref="P466:R466"/>
    <mergeCell ref="S466:V466"/>
    <mergeCell ref="A455:D455"/>
    <mergeCell ref="E455:J455"/>
    <mergeCell ref="P455:R455"/>
    <mergeCell ref="S455:V455"/>
    <mergeCell ref="A452:D452"/>
    <mergeCell ref="E452:J452"/>
    <mergeCell ref="P452:R452"/>
    <mergeCell ref="S452:V452"/>
    <mergeCell ref="A453:D453"/>
    <mergeCell ref="E453:J453"/>
    <mergeCell ref="P453:R453"/>
    <mergeCell ref="S453:V453"/>
    <mergeCell ref="A458:D458"/>
    <mergeCell ref="E458:J458"/>
    <mergeCell ref="P458:R458"/>
    <mergeCell ref="S458:V458"/>
    <mergeCell ref="A459:D459"/>
    <mergeCell ref="E459:J459"/>
    <mergeCell ref="P459:R459"/>
    <mergeCell ref="S459:V459"/>
    <mergeCell ref="A456:D456"/>
    <mergeCell ref="E456:J456"/>
    <mergeCell ref="P456:R456"/>
    <mergeCell ref="S456:V456"/>
    <mergeCell ref="A457:D457"/>
    <mergeCell ref="E457:J457"/>
    <mergeCell ref="P457:R457"/>
    <mergeCell ref="S457:V457"/>
    <mergeCell ref="A450:D450"/>
    <mergeCell ref="E450:J450"/>
    <mergeCell ref="P450:R450"/>
    <mergeCell ref="S450:V450"/>
    <mergeCell ref="A451:D451"/>
    <mergeCell ref="E451:J451"/>
    <mergeCell ref="P451:R451"/>
    <mergeCell ref="S451:V451"/>
    <mergeCell ref="A448:D448"/>
    <mergeCell ref="E448:J448"/>
    <mergeCell ref="P448:R448"/>
    <mergeCell ref="S448:V448"/>
    <mergeCell ref="A449:D449"/>
    <mergeCell ref="E449:J449"/>
    <mergeCell ref="P449:R449"/>
    <mergeCell ref="S449:V449"/>
    <mergeCell ref="A454:D454"/>
    <mergeCell ref="E454:J454"/>
    <mergeCell ref="P454:R454"/>
    <mergeCell ref="S454:V454"/>
    <mergeCell ref="A430:D430"/>
    <mergeCell ref="E430:J430"/>
    <mergeCell ref="P430:R430"/>
    <mergeCell ref="S430:V430"/>
    <mergeCell ref="A427:D427"/>
    <mergeCell ref="E427:H427"/>
    <mergeCell ref="I427:J427"/>
    <mergeCell ref="P427:R427"/>
    <mergeCell ref="S427:V427"/>
    <mergeCell ref="A428:D428"/>
    <mergeCell ref="E428:H428"/>
    <mergeCell ref="I428:J428"/>
    <mergeCell ref="P428:R428"/>
    <mergeCell ref="S428:V428"/>
    <mergeCell ref="A445:D447"/>
    <mergeCell ref="E445:V445"/>
    <mergeCell ref="E446:J447"/>
    <mergeCell ref="K446:L446"/>
    <mergeCell ref="M446:M447"/>
    <mergeCell ref="N446:V446"/>
    <mergeCell ref="P447:R447"/>
    <mergeCell ref="S447:V447"/>
    <mergeCell ref="A431:M431"/>
    <mergeCell ref="P431:R431"/>
    <mergeCell ref="S431:V431"/>
    <mergeCell ref="P432:R432"/>
    <mergeCell ref="S432:V432"/>
    <mergeCell ref="R438:V438"/>
    <mergeCell ref="T439:V439"/>
    <mergeCell ref="T440:V440"/>
    <mergeCell ref="B443:C443"/>
    <mergeCell ref="Q443:R443"/>
    <mergeCell ref="A425:D425"/>
    <mergeCell ref="E425:J425"/>
    <mergeCell ref="P425:R425"/>
    <mergeCell ref="S425:V425"/>
    <mergeCell ref="A426:D426"/>
    <mergeCell ref="E426:J426"/>
    <mergeCell ref="P426:R426"/>
    <mergeCell ref="S426:V426"/>
    <mergeCell ref="A423:D423"/>
    <mergeCell ref="E423:J423"/>
    <mergeCell ref="P423:R423"/>
    <mergeCell ref="S423:V423"/>
    <mergeCell ref="A424:D424"/>
    <mergeCell ref="E424:J424"/>
    <mergeCell ref="P424:R424"/>
    <mergeCell ref="S424:V424"/>
    <mergeCell ref="A429:D429"/>
    <mergeCell ref="E429:H429"/>
    <mergeCell ref="I429:J429"/>
    <mergeCell ref="P429:R429"/>
    <mergeCell ref="S429:V429"/>
    <mergeCell ref="A418:D418"/>
    <mergeCell ref="E418:J418"/>
    <mergeCell ref="P418:R418"/>
    <mergeCell ref="S418:V418"/>
    <mergeCell ref="A415:D415"/>
    <mergeCell ref="E415:J415"/>
    <mergeCell ref="P415:R415"/>
    <mergeCell ref="S415:V415"/>
    <mergeCell ref="A416:D416"/>
    <mergeCell ref="E416:J416"/>
    <mergeCell ref="P416:R416"/>
    <mergeCell ref="S416:V416"/>
    <mergeCell ref="A421:D421"/>
    <mergeCell ref="E421:J421"/>
    <mergeCell ref="P421:R421"/>
    <mergeCell ref="S421:V421"/>
    <mergeCell ref="A422:D422"/>
    <mergeCell ref="E422:J422"/>
    <mergeCell ref="P422:R422"/>
    <mergeCell ref="S422:V422"/>
    <mergeCell ref="A419:D419"/>
    <mergeCell ref="E419:J419"/>
    <mergeCell ref="P419:R419"/>
    <mergeCell ref="S419:V419"/>
    <mergeCell ref="A420:D420"/>
    <mergeCell ref="E420:J420"/>
    <mergeCell ref="P420:R420"/>
    <mergeCell ref="S420:V420"/>
    <mergeCell ref="A413:D413"/>
    <mergeCell ref="E413:J413"/>
    <mergeCell ref="P413:R413"/>
    <mergeCell ref="S413:V413"/>
    <mergeCell ref="A414:D414"/>
    <mergeCell ref="E414:J414"/>
    <mergeCell ref="P414:R414"/>
    <mergeCell ref="S414:V414"/>
    <mergeCell ref="A411:D411"/>
    <mergeCell ref="E411:J411"/>
    <mergeCell ref="P411:R411"/>
    <mergeCell ref="S411:V411"/>
    <mergeCell ref="A412:D412"/>
    <mergeCell ref="E412:J412"/>
    <mergeCell ref="P412:R412"/>
    <mergeCell ref="S412:V412"/>
    <mergeCell ref="A417:D417"/>
    <mergeCell ref="E417:J417"/>
    <mergeCell ref="P417:R417"/>
    <mergeCell ref="S417:V417"/>
    <mergeCell ref="A406:D406"/>
    <mergeCell ref="E406:J406"/>
    <mergeCell ref="P406:R406"/>
    <mergeCell ref="S406:V406"/>
    <mergeCell ref="A403:D403"/>
    <mergeCell ref="E403:J403"/>
    <mergeCell ref="P403:R403"/>
    <mergeCell ref="S403:V403"/>
    <mergeCell ref="A404:D404"/>
    <mergeCell ref="E404:J404"/>
    <mergeCell ref="P404:R404"/>
    <mergeCell ref="S404:V404"/>
    <mergeCell ref="A409:D409"/>
    <mergeCell ref="E409:J409"/>
    <mergeCell ref="P409:R409"/>
    <mergeCell ref="S409:V409"/>
    <mergeCell ref="A410:D410"/>
    <mergeCell ref="E410:J410"/>
    <mergeCell ref="P410:R410"/>
    <mergeCell ref="S410:V410"/>
    <mergeCell ref="A407:D407"/>
    <mergeCell ref="E407:J407"/>
    <mergeCell ref="P407:R407"/>
    <mergeCell ref="S407:V407"/>
    <mergeCell ref="A408:D408"/>
    <mergeCell ref="E408:J408"/>
    <mergeCell ref="P408:R408"/>
    <mergeCell ref="S408:V408"/>
    <mergeCell ref="A401:D401"/>
    <mergeCell ref="E401:J401"/>
    <mergeCell ref="P401:R401"/>
    <mergeCell ref="S401:V401"/>
    <mergeCell ref="A402:D402"/>
    <mergeCell ref="E402:J402"/>
    <mergeCell ref="P402:R402"/>
    <mergeCell ref="S402:V402"/>
    <mergeCell ref="A398:D400"/>
    <mergeCell ref="E398:V398"/>
    <mergeCell ref="E399:J400"/>
    <mergeCell ref="K399:L399"/>
    <mergeCell ref="M399:M400"/>
    <mergeCell ref="N399:V399"/>
    <mergeCell ref="P400:R400"/>
    <mergeCell ref="S400:V400"/>
    <mergeCell ref="A405:D405"/>
    <mergeCell ref="E405:J405"/>
    <mergeCell ref="P405:R405"/>
    <mergeCell ref="S405:V405"/>
    <mergeCell ref="A384:M384"/>
    <mergeCell ref="P384:R384"/>
    <mergeCell ref="S384:V384"/>
    <mergeCell ref="P385:R385"/>
    <mergeCell ref="S385:V385"/>
    <mergeCell ref="R391:V391"/>
    <mergeCell ref="T392:V392"/>
    <mergeCell ref="T393:V393"/>
    <mergeCell ref="B396:C396"/>
    <mergeCell ref="Q396:R396"/>
    <mergeCell ref="A382:D382"/>
    <mergeCell ref="E382:H382"/>
    <mergeCell ref="I382:J382"/>
    <mergeCell ref="P382:R382"/>
    <mergeCell ref="S382:V382"/>
    <mergeCell ref="A383:D383"/>
    <mergeCell ref="E383:J383"/>
    <mergeCell ref="P383:R383"/>
    <mergeCell ref="S383:V383"/>
    <mergeCell ref="A380:D380"/>
    <mergeCell ref="E380:H380"/>
    <mergeCell ref="I380:J380"/>
    <mergeCell ref="P380:R380"/>
    <mergeCell ref="S380:V380"/>
    <mergeCell ref="A381:D381"/>
    <mergeCell ref="E381:H381"/>
    <mergeCell ref="I381:J381"/>
    <mergeCell ref="P381:R381"/>
    <mergeCell ref="S381:V381"/>
    <mergeCell ref="A378:D378"/>
    <mergeCell ref="E378:J378"/>
    <mergeCell ref="P378:R378"/>
    <mergeCell ref="S378:V378"/>
    <mergeCell ref="A379:D379"/>
    <mergeCell ref="E379:J379"/>
    <mergeCell ref="P379:R379"/>
    <mergeCell ref="S379:V379"/>
    <mergeCell ref="A373:D373"/>
    <mergeCell ref="E373:J373"/>
    <mergeCell ref="P373:R373"/>
    <mergeCell ref="S373:V373"/>
    <mergeCell ref="A370:D370"/>
    <mergeCell ref="E370:J370"/>
    <mergeCell ref="P370:R370"/>
    <mergeCell ref="S370:V370"/>
    <mergeCell ref="A371:D371"/>
    <mergeCell ref="E371:J371"/>
    <mergeCell ref="P371:R371"/>
    <mergeCell ref="S371:V371"/>
    <mergeCell ref="A376:D376"/>
    <mergeCell ref="E376:J376"/>
    <mergeCell ref="P376:R376"/>
    <mergeCell ref="S376:V376"/>
    <mergeCell ref="A377:D377"/>
    <mergeCell ref="E377:J377"/>
    <mergeCell ref="P377:R377"/>
    <mergeCell ref="S377:V377"/>
    <mergeCell ref="A374:D374"/>
    <mergeCell ref="E374:J374"/>
    <mergeCell ref="P374:R374"/>
    <mergeCell ref="S374:V374"/>
    <mergeCell ref="A375:D375"/>
    <mergeCell ref="E375:J375"/>
    <mergeCell ref="P375:R375"/>
    <mergeCell ref="S375:V375"/>
    <mergeCell ref="A368:D368"/>
    <mergeCell ref="E368:J368"/>
    <mergeCell ref="P368:R368"/>
    <mergeCell ref="S368:V368"/>
    <mergeCell ref="A369:D369"/>
    <mergeCell ref="E369:J369"/>
    <mergeCell ref="P369:R369"/>
    <mergeCell ref="S369:V369"/>
    <mergeCell ref="A366:D366"/>
    <mergeCell ref="E366:J366"/>
    <mergeCell ref="P366:R366"/>
    <mergeCell ref="S366:V366"/>
    <mergeCell ref="A367:D367"/>
    <mergeCell ref="E367:J367"/>
    <mergeCell ref="P367:R367"/>
    <mergeCell ref="S367:V367"/>
    <mergeCell ref="A372:D372"/>
    <mergeCell ref="E372:J372"/>
    <mergeCell ref="P372:R372"/>
    <mergeCell ref="S372:V372"/>
    <mergeCell ref="A361:D361"/>
    <mergeCell ref="E361:J361"/>
    <mergeCell ref="P361:R361"/>
    <mergeCell ref="S361:V361"/>
    <mergeCell ref="A358:D358"/>
    <mergeCell ref="E358:J358"/>
    <mergeCell ref="P358:R358"/>
    <mergeCell ref="S358:V358"/>
    <mergeCell ref="A359:D359"/>
    <mergeCell ref="E359:J359"/>
    <mergeCell ref="P359:R359"/>
    <mergeCell ref="S359:V359"/>
    <mergeCell ref="A364:D364"/>
    <mergeCell ref="E364:J364"/>
    <mergeCell ref="P364:R364"/>
    <mergeCell ref="S364:V364"/>
    <mergeCell ref="A365:D365"/>
    <mergeCell ref="E365:J365"/>
    <mergeCell ref="P365:R365"/>
    <mergeCell ref="S365:V365"/>
    <mergeCell ref="A362:D362"/>
    <mergeCell ref="E362:J362"/>
    <mergeCell ref="P362:R362"/>
    <mergeCell ref="S362:V362"/>
    <mergeCell ref="A363:D363"/>
    <mergeCell ref="E363:J363"/>
    <mergeCell ref="P363:R363"/>
    <mergeCell ref="S363:V363"/>
    <mergeCell ref="A356:D356"/>
    <mergeCell ref="E356:J356"/>
    <mergeCell ref="P356:R356"/>
    <mergeCell ref="S356:V356"/>
    <mergeCell ref="A357:D357"/>
    <mergeCell ref="E357:J357"/>
    <mergeCell ref="P357:R357"/>
    <mergeCell ref="S357:V357"/>
    <mergeCell ref="A354:D354"/>
    <mergeCell ref="E354:J354"/>
    <mergeCell ref="P354:R354"/>
    <mergeCell ref="S354:V354"/>
    <mergeCell ref="A355:D355"/>
    <mergeCell ref="E355:J355"/>
    <mergeCell ref="P355:R355"/>
    <mergeCell ref="S355:V355"/>
    <mergeCell ref="A360:D360"/>
    <mergeCell ref="E360:J360"/>
    <mergeCell ref="P360:R360"/>
    <mergeCell ref="S360:V360"/>
    <mergeCell ref="A336:D336"/>
    <mergeCell ref="E336:J336"/>
    <mergeCell ref="P336:R336"/>
    <mergeCell ref="S336:V336"/>
    <mergeCell ref="A333:D333"/>
    <mergeCell ref="E333:H333"/>
    <mergeCell ref="I333:J333"/>
    <mergeCell ref="P333:R333"/>
    <mergeCell ref="S333:V333"/>
    <mergeCell ref="A334:D334"/>
    <mergeCell ref="E334:H334"/>
    <mergeCell ref="I334:J334"/>
    <mergeCell ref="P334:R334"/>
    <mergeCell ref="S334:V334"/>
    <mergeCell ref="A351:D353"/>
    <mergeCell ref="E351:V351"/>
    <mergeCell ref="E352:J353"/>
    <mergeCell ref="K352:L352"/>
    <mergeCell ref="M352:M353"/>
    <mergeCell ref="N352:V352"/>
    <mergeCell ref="P353:R353"/>
    <mergeCell ref="S353:V353"/>
    <mergeCell ref="A337:M337"/>
    <mergeCell ref="P337:R337"/>
    <mergeCell ref="S337:V337"/>
    <mergeCell ref="P338:R338"/>
    <mergeCell ref="S338:V338"/>
    <mergeCell ref="R344:V344"/>
    <mergeCell ref="T345:V345"/>
    <mergeCell ref="T346:V346"/>
    <mergeCell ref="B349:C349"/>
    <mergeCell ref="Q349:R349"/>
    <mergeCell ref="A331:D331"/>
    <mergeCell ref="E331:J331"/>
    <mergeCell ref="P331:R331"/>
    <mergeCell ref="S331:V331"/>
    <mergeCell ref="A332:D332"/>
    <mergeCell ref="E332:J332"/>
    <mergeCell ref="P332:R332"/>
    <mergeCell ref="S332:V332"/>
    <mergeCell ref="A329:D329"/>
    <mergeCell ref="E329:J329"/>
    <mergeCell ref="P329:R329"/>
    <mergeCell ref="S329:V329"/>
    <mergeCell ref="A330:D330"/>
    <mergeCell ref="E330:J330"/>
    <mergeCell ref="P330:R330"/>
    <mergeCell ref="S330:V330"/>
    <mergeCell ref="A335:D335"/>
    <mergeCell ref="E335:H335"/>
    <mergeCell ref="I335:J335"/>
    <mergeCell ref="P335:R335"/>
    <mergeCell ref="S335:V335"/>
    <mergeCell ref="A324:D324"/>
    <mergeCell ref="E324:J324"/>
    <mergeCell ref="P324:R324"/>
    <mergeCell ref="S324:V324"/>
    <mergeCell ref="A321:D321"/>
    <mergeCell ref="E321:J321"/>
    <mergeCell ref="P321:R321"/>
    <mergeCell ref="S321:V321"/>
    <mergeCell ref="A322:D322"/>
    <mergeCell ref="E322:J322"/>
    <mergeCell ref="P322:R322"/>
    <mergeCell ref="S322:V322"/>
    <mergeCell ref="A327:D327"/>
    <mergeCell ref="E327:J327"/>
    <mergeCell ref="P327:R327"/>
    <mergeCell ref="S327:V327"/>
    <mergeCell ref="A328:D328"/>
    <mergeCell ref="E328:J328"/>
    <mergeCell ref="P328:R328"/>
    <mergeCell ref="S328:V328"/>
    <mergeCell ref="A325:D325"/>
    <mergeCell ref="E325:J325"/>
    <mergeCell ref="P325:R325"/>
    <mergeCell ref="S325:V325"/>
    <mergeCell ref="A326:D326"/>
    <mergeCell ref="E326:J326"/>
    <mergeCell ref="P326:R326"/>
    <mergeCell ref="S326:V326"/>
    <mergeCell ref="A319:D319"/>
    <mergeCell ref="E319:J319"/>
    <mergeCell ref="P319:R319"/>
    <mergeCell ref="S319:V319"/>
    <mergeCell ref="A320:D320"/>
    <mergeCell ref="E320:J320"/>
    <mergeCell ref="P320:R320"/>
    <mergeCell ref="S320:V320"/>
    <mergeCell ref="A317:D317"/>
    <mergeCell ref="E317:J317"/>
    <mergeCell ref="P317:R317"/>
    <mergeCell ref="S317:V317"/>
    <mergeCell ref="A318:D318"/>
    <mergeCell ref="E318:J318"/>
    <mergeCell ref="P318:R318"/>
    <mergeCell ref="S318:V318"/>
    <mergeCell ref="A323:D323"/>
    <mergeCell ref="E323:J323"/>
    <mergeCell ref="P323:R323"/>
    <mergeCell ref="S323:V323"/>
    <mergeCell ref="A312:D312"/>
    <mergeCell ref="E312:J312"/>
    <mergeCell ref="P312:R312"/>
    <mergeCell ref="S312:V312"/>
    <mergeCell ref="A309:D309"/>
    <mergeCell ref="E309:J309"/>
    <mergeCell ref="P309:R309"/>
    <mergeCell ref="S309:V309"/>
    <mergeCell ref="A310:D310"/>
    <mergeCell ref="E310:J310"/>
    <mergeCell ref="P310:R310"/>
    <mergeCell ref="S310:V310"/>
    <mergeCell ref="A315:D315"/>
    <mergeCell ref="E315:J315"/>
    <mergeCell ref="P315:R315"/>
    <mergeCell ref="S315:V315"/>
    <mergeCell ref="A316:D316"/>
    <mergeCell ref="E316:J316"/>
    <mergeCell ref="P316:R316"/>
    <mergeCell ref="S316:V316"/>
    <mergeCell ref="A313:D313"/>
    <mergeCell ref="E313:J313"/>
    <mergeCell ref="P313:R313"/>
    <mergeCell ref="S313:V313"/>
    <mergeCell ref="A314:D314"/>
    <mergeCell ref="E314:J314"/>
    <mergeCell ref="P314:R314"/>
    <mergeCell ref="S314:V314"/>
    <mergeCell ref="A307:D307"/>
    <mergeCell ref="E307:J307"/>
    <mergeCell ref="P307:R307"/>
    <mergeCell ref="S307:V307"/>
    <mergeCell ref="A308:D308"/>
    <mergeCell ref="E308:J308"/>
    <mergeCell ref="P308:R308"/>
    <mergeCell ref="S308:V308"/>
    <mergeCell ref="A304:D306"/>
    <mergeCell ref="E304:V304"/>
    <mergeCell ref="E305:J306"/>
    <mergeCell ref="K305:L305"/>
    <mergeCell ref="M305:M306"/>
    <mergeCell ref="N305:V305"/>
    <mergeCell ref="P306:R306"/>
    <mergeCell ref="S306:V306"/>
    <mergeCell ref="A311:D311"/>
    <mergeCell ref="E311:J311"/>
    <mergeCell ref="P311:R311"/>
    <mergeCell ref="S311:V311"/>
    <mergeCell ref="A290:M290"/>
    <mergeCell ref="P290:R290"/>
    <mergeCell ref="S290:V290"/>
    <mergeCell ref="P291:R291"/>
    <mergeCell ref="S291:V291"/>
    <mergeCell ref="R297:V297"/>
    <mergeCell ref="T298:V298"/>
    <mergeCell ref="T299:V299"/>
    <mergeCell ref="B302:C302"/>
    <mergeCell ref="Q302:R302"/>
    <mergeCell ref="A288:D288"/>
    <mergeCell ref="E288:H288"/>
    <mergeCell ref="I288:J288"/>
    <mergeCell ref="P288:R288"/>
    <mergeCell ref="S288:V288"/>
    <mergeCell ref="A289:D289"/>
    <mergeCell ref="E289:J289"/>
    <mergeCell ref="P289:R289"/>
    <mergeCell ref="S289:V289"/>
    <mergeCell ref="A286:D286"/>
    <mergeCell ref="E286:H286"/>
    <mergeCell ref="I286:J286"/>
    <mergeCell ref="P286:R286"/>
    <mergeCell ref="S286:V286"/>
    <mergeCell ref="A287:D287"/>
    <mergeCell ref="E287:H287"/>
    <mergeCell ref="I287:J287"/>
    <mergeCell ref="P287:R287"/>
    <mergeCell ref="S287:V287"/>
    <mergeCell ref="A284:D284"/>
    <mergeCell ref="E284:J284"/>
    <mergeCell ref="P284:R284"/>
    <mergeCell ref="S284:V284"/>
    <mergeCell ref="A285:D285"/>
    <mergeCell ref="E285:J285"/>
    <mergeCell ref="P285:R285"/>
    <mergeCell ref="S285:V285"/>
    <mergeCell ref="A279:D279"/>
    <mergeCell ref="E279:J279"/>
    <mergeCell ref="P279:R279"/>
    <mergeCell ref="S279:V279"/>
    <mergeCell ref="A276:D276"/>
    <mergeCell ref="E276:J276"/>
    <mergeCell ref="P276:R276"/>
    <mergeCell ref="S276:V276"/>
    <mergeCell ref="A277:D277"/>
    <mergeCell ref="E277:J277"/>
    <mergeCell ref="P277:R277"/>
    <mergeCell ref="S277:V277"/>
    <mergeCell ref="A282:D282"/>
    <mergeCell ref="E282:J282"/>
    <mergeCell ref="P282:R282"/>
    <mergeCell ref="S282:V282"/>
    <mergeCell ref="A283:D283"/>
    <mergeCell ref="E283:J283"/>
    <mergeCell ref="P283:R283"/>
    <mergeCell ref="S283:V283"/>
    <mergeCell ref="A280:D280"/>
    <mergeCell ref="E280:J280"/>
    <mergeCell ref="P280:R280"/>
    <mergeCell ref="S280:V280"/>
    <mergeCell ref="A281:D281"/>
    <mergeCell ref="E281:J281"/>
    <mergeCell ref="P281:R281"/>
    <mergeCell ref="S281:V281"/>
    <mergeCell ref="A274:D274"/>
    <mergeCell ref="E274:J274"/>
    <mergeCell ref="P274:R274"/>
    <mergeCell ref="S274:V274"/>
    <mergeCell ref="A275:D275"/>
    <mergeCell ref="E275:J275"/>
    <mergeCell ref="P275:R275"/>
    <mergeCell ref="S275:V275"/>
    <mergeCell ref="A272:D272"/>
    <mergeCell ref="E272:J272"/>
    <mergeCell ref="P272:R272"/>
    <mergeCell ref="S272:V272"/>
    <mergeCell ref="A273:D273"/>
    <mergeCell ref="E273:J273"/>
    <mergeCell ref="P273:R273"/>
    <mergeCell ref="S273:V273"/>
    <mergeCell ref="A278:D278"/>
    <mergeCell ref="E278:J278"/>
    <mergeCell ref="P278:R278"/>
    <mergeCell ref="S278:V278"/>
    <mergeCell ref="A267:D267"/>
    <mergeCell ref="E267:J267"/>
    <mergeCell ref="P267:R267"/>
    <mergeCell ref="S267:V267"/>
    <mergeCell ref="A264:D264"/>
    <mergeCell ref="E264:J264"/>
    <mergeCell ref="P264:R264"/>
    <mergeCell ref="S264:V264"/>
    <mergeCell ref="A265:D265"/>
    <mergeCell ref="E265:J265"/>
    <mergeCell ref="P265:R265"/>
    <mergeCell ref="S265:V265"/>
    <mergeCell ref="A270:D270"/>
    <mergeCell ref="E270:J270"/>
    <mergeCell ref="P270:R270"/>
    <mergeCell ref="S270:V270"/>
    <mergeCell ref="A271:D271"/>
    <mergeCell ref="E271:J271"/>
    <mergeCell ref="P271:R271"/>
    <mergeCell ref="S271:V271"/>
    <mergeCell ref="A268:D268"/>
    <mergeCell ref="E268:J268"/>
    <mergeCell ref="P268:R268"/>
    <mergeCell ref="S268:V268"/>
    <mergeCell ref="A269:D269"/>
    <mergeCell ref="E269:J269"/>
    <mergeCell ref="P269:R269"/>
    <mergeCell ref="S269:V269"/>
    <mergeCell ref="A262:D262"/>
    <mergeCell ref="E262:J262"/>
    <mergeCell ref="P262:R262"/>
    <mergeCell ref="S262:V262"/>
    <mergeCell ref="A263:D263"/>
    <mergeCell ref="E263:J263"/>
    <mergeCell ref="P263:R263"/>
    <mergeCell ref="S263:V263"/>
    <mergeCell ref="A260:D260"/>
    <mergeCell ref="E260:J260"/>
    <mergeCell ref="P260:R260"/>
    <mergeCell ref="S260:V260"/>
    <mergeCell ref="A261:D261"/>
    <mergeCell ref="E261:J261"/>
    <mergeCell ref="P261:R261"/>
    <mergeCell ref="S261:V261"/>
    <mergeCell ref="A266:D266"/>
    <mergeCell ref="E266:J266"/>
    <mergeCell ref="P266:R266"/>
    <mergeCell ref="S266:V266"/>
    <mergeCell ref="A242:D242"/>
    <mergeCell ref="E242:J242"/>
    <mergeCell ref="P242:R242"/>
    <mergeCell ref="S242:V242"/>
    <mergeCell ref="A239:D239"/>
    <mergeCell ref="E239:H239"/>
    <mergeCell ref="I239:J239"/>
    <mergeCell ref="P239:R239"/>
    <mergeCell ref="S239:V239"/>
    <mergeCell ref="A240:D240"/>
    <mergeCell ref="E240:H240"/>
    <mergeCell ref="I240:J240"/>
    <mergeCell ref="P240:R240"/>
    <mergeCell ref="S240:V240"/>
    <mergeCell ref="A257:D259"/>
    <mergeCell ref="E257:V257"/>
    <mergeCell ref="E258:J259"/>
    <mergeCell ref="K258:L258"/>
    <mergeCell ref="M258:M259"/>
    <mergeCell ref="N258:V258"/>
    <mergeCell ref="P259:R259"/>
    <mergeCell ref="S259:V259"/>
    <mergeCell ref="A243:M243"/>
    <mergeCell ref="P243:R243"/>
    <mergeCell ref="S243:V243"/>
    <mergeCell ref="P244:R244"/>
    <mergeCell ref="S244:V244"/>
    <mergeCell ref="R250:V250"/>
    <mergeCell ref="T251:V251"/>
    <mergeCell ref="T252:V252"/>
    <mergeCell ref="B255:C255"/>
    <mergeCell ref="Q255:R255"/>
    <mergeCell ref="A237:D237"/>
    <mergeCell ref="E237:J237"/>
    <mergeCell ref="P237:R237"/>
    <mergeCell ref="S237:V237"/>
    <mergeCell ref="A238:D238"/>
    <mergeCell ref="E238:J238"/>
    <mergeCell ref="P238:R238"/>
    <mergeCell ref="S238:V238"/>
    <mergeCell ref="A235:D235"/>
    <mergeCell ref="E235:J235"/>
    <mergeCell ref="P235:R235"/>
    <mergeCell ref="S235:V235"/>
    <mergeCell ref="A236:D236"/>
    <mergeCell ref="E236:J236"/>
    <mergeCell ref="P236:R236"/>
    <mergeCell ref="S236:V236"/>
    <mergeCell ref="A241:D241"/>
    <mergeCell ref="E241:H241"/>
    <mergeCell ref="I241:J241"/>
    <mergeCell ref="P241:R241"/>
    <mergeCell ref="S241:V241"/>
    <mergeCell ref="A230:D230"/>
    <mergeCell ref="E230:J230"/>
    <mergeCell ref="P230:R230"/>
    <mergeCell ref="S230:V230"/>
    <mergeCell ref="A227:D227"/>
    <mergeCell ref="E227:J227"/>
    <mergeCell ref="P227:R227"/>
    <mergeCell ref="S227:V227"/>
    <mergeCell ref="A228:D228"/>
    <mergeCell ref="E228:J228"/>
    <mergeCell ref="P228:R228"/>
    <mergeCell ref="S228:V228"/>
    <mergeCell ref="A233:D233"/>
    <mergeCell ref="E233:J233"/>
    <mergeCell ref="P233:R233"/>
    <mergeCell ref="S233:V233"/>
    <mergeCell ref="A234:D234"/>
    <mergeCell ref="E234:J234"/>
    <mergeCell ref="P234:R234"/>
    <mergeCell ref="S234:V234"/>
    <mergeCell ref="A231:D231"/>
    <mergeCell ref="E231:J231"/>
    <mergeCell ref="P231:R231"/>
    <mergeCell ref="S231:V231"/>
    <mergeCell ref="A232:D232"/>
    <mergeCell ref="E232:J232"/>
    <mergeCell ref="P232:R232"/>
    <mergeCell ref="S232:V232"/>
    <mergeCell ref="A225:D225"/>
    <mergeCell ref="E225:J225"/>
    <mergeCell ref="P225:R225"/>
    <mergeCell ref="S225:V225"/>
    <mergeCell ref="A226:D226"/>
    <mergeCell ref="E226:J226"/>
    <mergeCell ref="P226:R226"/>
    <mergeCell ref="S226:V226"/>
    <mergeCell ref="A223:D223"/>
    <mergeCell ref="E223:J223"/>
    <mergeCell ref="P223:R223"/>
    <mergeCell ref="S223:V223"/>
    <mergeCell ref="A224:D224"/>
    <mergeCell ref="E224:J224"/>
    <mergeCell ref="P224:R224"/>
    <mergeCell ref="S224:V224"/>
    <mergeCell ref="A229:D229"/>
    <mergeCell ref="E229:J229"/>
    <mergeCell ref="P229:R229"/>
    <mergeCell ref="S229:V229"/>
    <mergeCell ref="A218:D218"/>
    <mergeCell ref="E218:J218"/>
    <mergeCell ref="P218:R218"/>
    <mergeCell ref="S218:V218"/>
    <mergeCell ref="A215:D215"/>
    <mergeCell ref="E215:J215"/>
    <mergeCell ref="P215:R215"/>
    <mergeCell ref="S215:V215"/>
    <mergeCell ref="A216:D216"/>
    <mergeCell ref="E216:J216"/>
    <mergeCell ref="P216:R216"/>
    <mergeCell ref="S216:V216"/>
    <mergeCell ref="A221:D221"/>
    <mergeCell ref="E221:J221"/>
    <mergeCell ref="P221:R221"/>
    <mergeCell ref="S221:V221"/>
    <mergeCell ref="A222:D222"/>
    <mergeCell ref="E222:J222"/>
    <mergeCell ref="P222:R222"/>
    <mergeCell ref="S222:V222"/>
    <mergeCell ref="A219:D219"/>
    <mergeCell ref="E219:J219"/>
    <mergeCell ref="P219:R219"/>
    <mergeCell ref="S219:V219"/>
    <mergeCell ref="A220:D220"/>
    <mergeCell ref="E220:J220"/>
    <mergeCell ref="P220:R220"/>
    <mergeCell ref="S220:V220"/>
    <mergeCell ref="A213:D213"/>
    <mergeCell ref="E213:J213"/>
    <mergeCell ref="P213:R213"/>
    <mergeCell ref="S213:V213"/>
    <mergeCell ref="A214:D214"/>
    <mergeCell ref="E214:J214"/>
    <mergeCell ref="P214:R214"/>
    <mergeCell ref="S214:V214"/>
    <mergeCell ref="A210:D212"/>
    <mergeCell ref="E210:V210"/>
    <mergeCell ref="E211:J212"/>
    <mergeCell ref="K211:L211"/>
    <mergeCell ref="M211:M212"/>
    <mergeCell ref="N211:V211"/>
    <mergeCell ref="P212:R212"/>
    <mergeCell ref="S212:V212"/>
    <mergeCell ref="A217:D217"/>
    <mergeCell ref="E217:J217"/>
    <mergeCell ref="P217:R217"/>
    <mergeCell ref="S217:V217"/>
    <mergeCell ref="A196:M196"/>
    <mergeCell ref="P196:R196"/>
    <mergeCell ref="S196:V196"/>
    <mergeCell ref="P197:R197"/>
    <mergeCell ref="S197:V197"/>
    <mergeCell ref="R203:V203"/>
    <mergeCell ref="T204:V204"/>
    <mergeCell ref="T205:V205"/>
    <mergeCell ref="B208:C208"/>
    <mergeCell ref="Q208:R208"/>
    <mergeCell ref="A194:D194"/>
    <mergeCell ref="E194:H194"/>
    <mergeCell ref="I194:J194"/>
    <mergeCell ref="P194:R194"/>
    <mergeCell ref="S194:V194"/>
    <mergeCell ref="A195:D195"/>
    <mergeCell ref="E195:J195"/>
    <mergeCell ref="P195:R195"/>
    <mergeCell ref="S195:V195"/>
    <mergeCell ref="A192:D192"/>
    <mergeCell ref="E192:H192"/>
    <mergeCell ref="I192:J192"/>
    <mergeCell ref="P192:R192"/>
    <mergeCell ref="S192:V192"/>
    <mergeCell ref="A193:D193"/>
    <mergeCell ref="E193:H193"/>
    <mergeCell ref="I193:J193"/>
    <mergeCell ref="P193:R193"/>
    <mergeCell ref="S193:V193"/>
    <mergeCell ref="A190:D190"/>
    <mergeCell ref="E190:J190"/>
    <mergeCell ref="P190:R190"/>
    <mergeCell ref="S190:V190"/>
    <mergeCell ref="A191:D191"/>
    <mergeCell ref="E191:J191"/>
    <mergeCell ref="P191:R191"/>
    <mergeCell ref="S191:V191"/>
    <mergeCell ref="A185:D185"/>
    <mergeCell ref="E185:J185"/>
    <mergeCell ref="P185:R185"/>
    <mergeCell ref="S185:V185"/>
    <mergeCell ref="A182:D182"/>
    <mergeCell ref="E182:J182"/>
    <mergeCell ref="P182:R182"/>
    <mergeCell ref="S182:V182"/>
    <mergeCell ref="A183:D183"/>
    <mergeCell ref="E183:J183"/>
    <mergeCell ref="P183:R183"/>
    <mergeCell ref="S183:V183"/>
    <mergeCell ref="A188:D188"/>
    <mergeCell ref="E188:J188"/>
    <mergeCell ref="P188:R188"/>
    <mergeCell ref="S188:V188"/>
    <mergeCell ref="A189:D189"/>
    <mergeCell ref="E189:J189"/>
    <mergeCell ref="P189:R189"/>
    <mergeCell ref="S189:V189"/>
    <mergeCell ref="A186:D186"/>
    <mergeCell ref="E186:J186"/>
    <mergeCell ref="P186:R186"/>
    <mergeCell ref="S186:V186"/>
    <mergeCell ref="A187:D187"/>
    <mergeCell ref="E187:J187"/>
    <mergeCell ref="P187:R187"/>
    <mergeCell ref="S187:V187"/>
    <mergeCell ref="A180:D180"/>
    <mergeCell ref="E180:J180"/>
    <mergeCell ref="P180:R180"/>
    <mergeCell ref="S180:V180"/>
    <mergeCell ref="A181:D181"/>
    <mergeCell ref="E181:J181"/>
    <mergeCell ref="P181:R181"/>
    <mergeCell ref="S181:V181"/>
    <mergeCell ref="A178:D178"/>
    <mergeCell ref="E178:J178"/>
    <mergeCell ref="P178:R178"/>
    <mergeCell ref="S178:V178"/>
    <mergeCell ref="A179:D179"/>
    <mergeCell ref="E179:J179"/>
    <mergeCell ref="P179:R179"/>
    <mergeCell ref="S179:V179"/>
    <mergeCell ref="A184:D184"/>
    <mergeCell ref="E184:J184"/>
    <mergeCell ref="P184:R184"/>
    <mergeCell ref="S184:V184"/>
    <mergeCell ref="A173:D173"/>
    <mergeCell ref="E173:J173"/>
    <mergeCell ref="P173:R173"/>
    <mergeCell ref="S173:V173"/>
    <mergeCell ref="A170:D170"/>
    <mergeCell ref="E170:J170"/>
    <mergeCell ref="P170:R170"/>
    <mergeCell ref="S170:V170"/>
    <mergeCell ref="A171:D171"/>
    <mergeCell ref="E171:J171"/>
    <mergeCell ref="P171:R171"/>
    <mergeCell ref="S171:V171"/>
    <mergeCell ref="A176:D176"/>
    <mergeCell ref="E176:J176"/>
    <mergeCell ref="P176:R176"/>
    <mergeCell ref="S176:V176"/>
    <mergeCell ref="A177:D177"/>
    <mergeCell ref="E177:J177"/>
    <mergeCell ref="P177:R177"/>
    <mergeCell ref="S177:V177"/>
    <mergeCell ref="A174:D174"/>
    <mergeCell ref="E174:J174"/>
    <mergeCell ref="P174:R174"/>
    <mergeCell ref="S174:V174"/>
    <mergeCell ref="A175:D175"/>
    <mergeCell ref="E175:J175"/>
    <mergeCell ref="P175:R175"/>
    <mergeCell ref="S175:V175"/>
    <mergeCell ref="A168:D168"/>
    <mergeCell ref="E168:J168"/>
    <mergeCell ref="P168:R168"/>
    <mergeCell ref="S168:V168"/>
    <mergeCell ref="A169:D169"/>
    <mergeCell ref="E169:J169"/>
    <mergeCell ref="P169:R169"/>
    <mergeCell ref="S169:V169"/>
    <mergeCell ref="A166:D166"/>
    <mergeCell ref="E166:J166"/>
    <mergeCell ref="P166:R166"/>
    <mergeCell ref="S166:V166"/>
    <mergeCell ref="A167:D167"/>
    <mergeCell ref="E167:J167"/>
    <mergeCell ref="P167:R167"/>
    <mergeCell ref="S167:V167"/>
    <mergeCell ref="A172:D172"/>
    <mergeCell ref="E172:J172"/>
    <mergeCell ref="P172:R172"/>
    <mergeCell ref="S172:V172"/>
    <mergeCell ref="A148:D148"/>
    <mergeCell ref="E148:J148"/>
    <mergeCell ref="P148:R148"/>
    <mergeCell ref="S148:V148"/>
    <mergeCell ref="A145:D145"/>
    <mergeCell ref="E145:H145"/>
    <mergeCell ref="I145:J145"/>
    <mergeCell ref="P145:R145"/>
    <mergeCell ref="S145:V145"/>
    <mergeCell ref="A146:D146"/>
    <mergeCell ref="E146:H146"/>
    <mergeCell ref="I146:J146"/>
    <mergeCell ref="P146:R146"/>
    <mergeCell ref="S146:V146"/>
    <mergeCell ref="A163:D165"/>
    <mergeCell ref="E163:V163"/>
    <mergeCell ref="E164:J165"/>
    <mergeCell ref="K164:L164"/>
    <mergeCell ref="M164:M165"/>
    <mergeCell ref="N164:V164"/>
    <mergeCell ref="P165:R165"/>
    <mergeCell ref="S165:V165"/>
    <mergeCell ref="A149:M149"/>
    <mergeCell ref="P149:R149"/>
    <mergeCell ref="S149:V149"/>
    <mergeCell ref="P150:R150"/>
    <mergeCell ref="S150:V150"/>
    <mergeCell ref="R156:V156"/>
    <mergeCell ref="T157:V157"/>
    <mergeCell ref="T158:V158"/>
    <mergeCell ref="B161:C161"/>
    <mergeCell ref="Q161:R161"/>
    <mergeCell ref="A143:D143"/>
    <mergeCell ref="E143:J143"/>
    <mergeCell ref="P143:R143"/>
    <mergeCell ref="S143:V143"/>
    <mergeCell ref="A144:D144"/>
    <mergeCell ref="E144:J144"/>
    <mergeCell ref="P144:R144"/>
    <mergeCell ref="S144:V144"/>
    <mergeCell ref="A141:D141"/>
    <mergeCell ref="E141:J141"/>
    <mergeCell ref="P141:R141"/>
    <mergeCell ref="S141:V141"/>
    <mergeCell ref="A142:D142"/>
    <mergeCell ref="E142:J142"/>
    <mergeCell ref="P142:R142"/>
    <mergeCell ref="S142:V142"/>
    <mergeCell ref="A147:D147"/>
    <mergeCell ref="E147:H147"/>
    <mergeCell ref="I147:J147"/>
    <mergeCell ref="P147:R147"/>
    <mergeCell ref="S147:V147"/>
    <mergeCell ref="A136:D136"/>
    <mergeCell ref="E136:J136"/>
    <mergeCell ref="P136:R136"/>
    <mergeCell ref="S136:V136"/>
    <mergeCell ref="A133:D133"/>
    <mergeCell ref="E133:J133"/>
    <mergeCell ref="P133:R133"/>
    <mergeCell ref="S133:V133"/>
    <mergeCell ref="A134:D134"/>
    <mergeCell ref="E134:J134"/>
    <mergeCell ref="P134:R134"/>
    <mergeCell ref="S134:V134"/>
    <mergeCell ref="A139:D139"/>
    <mergeCell ref="E139:J139"/>
    <mergeCell ref="P139:R139"/>
    <mergeCell ref="S139:V139"/>
    <mergeCell ref="A140:D140"/>
    <mergeCell ref="E140:J140"/>
    <mergeCell ref="P140:R140"/>
    <mergeCell ref="S140:V140"/>
    <mergeCell ref="A137:D137"/>
    <mergeCell ref="E137:J137"/>
    <mergeCell ref="P137:R137"/>
    <mergeCell ref="S137:V137"/>
    <mergeCell ref="A138:D138"/>
    <mergeCell ref="E138:J138"/>
    <mergeCell ref="P138:R138"/>
    <mergeCell ref="S138:V138"/>
    <mergeCell ref="A131:D131"/>
    <mergeCell ref="E131:J131"/>
    <mergeCell ref="P131:R131"/>
    <mergeCell ref="S131:V131"/>
    <mergeCell ref="A132:D132"/>
    <mergeCell ref="E132:J132"/>
    <mergeCell ref="P132:R132"/>
    <mergeCell ref="S132:V132"/>
    <mergeCell ref="A129:D129"/>
    <mergeCell ref="E129:J129"/>
    <mergeCell ref="P129:R129"/>
    <mergeCell ref="S129:V129"/>
    <mergeCell ref="A130:D130"/>
    <mergeCell ref="E130:J130"/>
    <mergeCell ref="P130:R130"/>
    <mergeCell ref="S130:V130"/>
    <mergeCell ref="A135:D135"/>
    <mergeCell ref="E135:J135"/>
    <mergeCell ref="P135:R135"/>
    <mergeCell ref="S135:V135"/>
    <mergeCell ref="A124:D124"/>
    <mergeCell ref="E124:J124"/>
    <mergeCell ref="P124:R124"/>
    <mergeCell ref="S124:V124"/>
    <mergeCell ref="A121:D121"/>
    <mergeCell ref="E121:J121"/>
    <mergeCell ref="P121:R121"/>
    <mergeCell ref="S121:V121"/>
    <mergeCell ref="A122:D122"/>
    <mergeCell ref="E122:J122"/>
    <mergeCell ref="P122:R122"/>
    <mergeCell ref="S122:V122"/>
    <mergeCell ref="A127:D127"/>
    <mergeCell ref="E127:J127"/>
    <mergeCell ref="P127:R127"/>
    <mergeCell ref="S127:V127"/>
    <mergeCell ref="A128:D128"/>
    <mergeCell ref="E128:J128"/>
    <mergeCell ref="P128:R128"/>
    <mergeCell ref="S128:V128"/>
    <mergeCell ref="A125:D125"/>
    <mergeCell ref="E125:J125"/>
    <mergeCell ref="P125:R125"/>
    <mergeCell ref="S125:V125"/>
    <mergeCell ref="A126:D126"/>
    <mergeCell ref="E126:J126"/>
    <mergeCell ref="P126:R126"/>
    <mergeCell ref="S126:V126"/>
    <mergeCell ref="A119:D119"/>
    <mergeCell ref="E119:J119"/>
    <mergeCell ref="P119:R119"/>
    <mergeCell ref="S119:V119"/>
    <mergeCell ref="A120:D120"/>
    <mergeCell ref="E120:J120"/>
    <mergeCell ref="P120:R120"/>
    <mergeCell ref="S120:V120"/>
    <mergeCell ref="A116:D118"/>
    <mergeCell ref="E116:V116"/>
    <mergeCell ref="E117:J118"/>
    <mergeCell ref="K117:L117"/>
    <mergeCell ref="M117:M118"/>
    <mergeCell ref="N117:V117"/>
    <mergeCell ref="P118:R118"/>
    <mergeCell ref="S118:V118"/>
    <mergeCell ref="A123:D123"/>
    <mergeCell ref="E123:J123"/>
    <mergeCell ref="P123:R123"/>
    <mergeCell ref="S123:V123"/>
    <mergeCell ref="A102:M102"/>
    <mergeCell ref="P102:R102"/>
    <mergeCell ref="S102:V102"/>
    <mergeCell ref="P103:R103"/>
    <mergeCell ref="S103:V103"/>
    <mergeCell ref="R109:V109"/>
    <mergeCell ref="T110:V110"/>
    <mergeCell ref="T111:V111"/>
    <mergeCell ref="B114:C114"/>
    <mergeCell ref="Q114:R114"/>
    <mergeCell ref="A100:D100"/>
    <mergeCell ref="E100:H100"/>
    <mergeCell ref="I100:J100"/>
    <mergeCell ref="P100:R100"/>
    <mergeCell ref="S100:V100"/>
    <mergeCell ref="A101:D101"/>
    <mergeCell ref="E101:J101"/>
    <mergeCell ref="P101:R101"/>
    <mergeCell ref="S101:V101"/>
    <mergeCell ref="A98:D98"/>
    <mergeCell ref="E98:H98"/>
    <mergeCell ref="I98:J98"/>
    <mergeCell ref="P98:R98"/>
    <mergeCell ref="S98:V98"/>
    <mergeCell ref="A99:D99"/>
    <mergeCell ref="E99:H99"/>
    <mergeCell ref="I99:J99"/>
    <mergeCell ref="P99:R99"/>
    <mergeCell ref="S99:V99"/>
    <mergeCell ref="A96:D96"/>
    <mergeCell ref="E96:J96"/>
    <mergeCell ref="P96:R96"/>
    <mergeCell ref="S96:V96"/>
    <mergeCell ref="A97:D97"/>
    <mergeCell ref="E97:J97"/>
    <mergeCell ref="P97:R97"/>
    <mergeCell ref="S97:V97"/>
    <mergeCell ref="A91:D91"/>
    <mergeCell ref="E91:J91"/>
    <mergeCell ref="P91:R91"/>
    <mergeCell ref="S91:V91"/>
    <mergeCell ref="A88:D88"/>
    <mergeCell ref="E88:J88"/>
    <mergeCell ref="P88:R88"/>
    <mergeCell ref="S88:V88"/>
    <mergeCell ref="A89:D89"/>
    <mergeCell ref="E89:J89"/>
    <mergeCell ref="P89:R89"/>
    <mergeCell ref="S89:V89"/>
    <mergeCell ref="A94:D94"/>
    <mergeCell ref="E94:J94"/>
    <mergeCell ref="P94:R94"/>
    <mergeCell ref="S94:V94"/>
    <mergeCell ref="A95:D95"/>
    <mergeCell ref="E95:J95"/>
    <mergeCell ref="P95:R95"/>
    <mergeCell ref="S95:V95"/>
    <mergeCell ref="A92:D92"/>
    <mergeCell ref="E92:J92"/>
    <mergeCell ref="P92:R92"/>
    <mergeCell ref="S92:V92"/>
    <mergeCell ref="A93:D93"/>
    <mergeCell ref="E93:J93"/>
    <mergeCell ref="P93:R93"/>
    <mergeCell ref="S93:V93"/>
    <mergeCell ref="A86:D86"/>
    <mergeCell ref="E86:J86"/>
    <mergeCell ref="P86:R86"/>
    <mergeCell ref="S86:V86"/>
    <mergeCell ref="A87:D87"/>
    <mergeCell ref="E87:J87"/>
    <mergeCell ref="P87:R87"/>
    <mergeCell ref="S87:V87"/>
    <mergeCell ref="A84:D84"/>
    <mergeCell ref="E84:J84"/>
    <mergeCell ref="P84:R84"/>
    <mergeCell ref="S84:V84"/>
    <mergeCell ref="A85:D85"/>
    <mergeCell ref="E85:J85"/>
    <mergeCell ref="P85:R85"/>
    <mergeCell ref="S85:V85"/>
    <mergeCell ref="A90:D90"/>
    <mergeCell ref="E90:J90"/>
    <mergeCell ref="P90:R90"/>
    <mergeCell ref="S90:V90"/>
    <mergeCell ref="A79:D79"/>
    <mergeCell ref="E79:J79"/>
    <mergeCell ref="P79:R79"/>
    <mergeCell ref="S79:V79"/>
    <mergeCell ref="A76:D76"/>
    <mergeCell ref="E76:J76"/>
    <mergeCell ref="P76:R76"/>
    <mergeCell ref="S76:V76"/>
    <mergeCell ref="A77:D77"/>
    <mergeCell ref="E77:J77"/>
    <mergeCell ref="P77:R77"/>
    <mergeCell ref="S77:V77"/>
    <mergeCell ref="A82:D82"/>
    <mergeCell ref="E82:J82"/>
    <mergeCell ref="P82:R82"/>
    <mergeCell ref="S82:V82"/>
    <mergeCell ref="A83:D83"/>
    <mergeCell ref="E83:J83"/>
    <mergeCell ref="P83:R83"/>
    <mergeCell ref="S83:V83"/>
    <mergeCell ref="A80:D80"/>
    <mergeCell ref="E80:J80"/>
    <mergeCell ref="P80:R80"/>
    <mergeCell ref="S80:V80"/>
    <mergeCell ref="A81:D81"/>
    <mergeCell ref="E81:J81"/>
    <mergeCell ref="P81:R81"/>
    <mergeCell ref="S81:V81"/>
    <mergeCell ref="A74:D74"/>
    <mergeCell ref="E74:J74"/>
    <mergeCell ref="P74:R74"/>
    <mergeCell ref="S74:V74"/>
    <mergeCell ref="A75:D75"/>
    <mergeCell ref="E75:J75"/>
    <mergeCell ref="P75:R75"/>
    <mergeCell ref="S75:V75"/>
    <mergeCell ref="A72:D72"/>
    <mergeCell ref="E72:J72"/>
    <mergeCell ref="P72:R72"/>
    <mergeCell ref="S72:V72"/>
    <mergeCell ref="A73:D73"/>
    <mergeCell ref="E73:J73"/>
    <mergeCell ref="P73:R73"/>
    <mergeCell ref="S73:V73"/>
    <mergeCell ref="A78:D78"/>
    <mergeCell ref="E78:J78"/>
    <mergeCell ref="P78:R78"/>
    <mergeCell ref="S78:V78"/>
    <mergeCell ref="B67:C67"/>
    <mergeCell ref="Q67:R67"/>
    <mergeCell ref="A69:D71"/>
    <mergeCell ref="E69:V69"/>
    <mergeCell ref="E70:J71"/>
    <mergeCell ref="K70:L70"/>
    <mergeCell ref="M70:M71"/>
    <mergeCell ref="N70:V70"/>
    <mergeCell ref="P71:R71"/>
    <mergeCell ref="S71:V71"/>
    <mergeCell ref="S18:V18"/>
    <mergeCell ref="A19:D19"/>
    <mergeCell ref="E19:J19"/>
    <mergeCell ref="P19:R19"/>
    <mergeCell ref="S19:V19"/>
    <mergeCell ref="A20:D20"/>
    <mergeCell ref="E20:J20"/>
    <mergeCell ref="P20:R20"/>
    <mergeCell ref="S20:V20"/>
    <mergeCell ref="P56:R56"/>
    <mergeCell ref="S56:V56"/>
    <mergeCell ref="A54:D54"/>
    <mergeCell ref="E54:J54"/>
    <mergeCell ref="P54:R54"/>
    <mergeCell ref="A55:M55"/>
    <mergeCell ref="P55:R55"/>
    <mergeCell ref="S55:V55"/>
    <mergeCell ref="A53:D53"/>
    <mergeCell ref="E53:H53"/>
    <mergeCell ref="I53:J53"/>
    <mergeCell ref="P53:R53"/>
    <mergeCell ref="S53:V53"/>
    <mergeCell ref="S51:V51"/>
    <mergeCell ref="A52:D52"/>
    <mergeCell ref="E52:H52"/>
    <mergeCell ref="I52:J52"/>
    <mergeCell ref="P52:R52"/>
    <mergeCell ref="S52:V52"/>
    <mergeCell ref="R62:V62"/>
    <mergeCell ref="T63:V63"/>
    <mergeCell ref="T64:V64"/>
    <mergeCell ref="A50:D50"/>
    <mergeCell ref="E50:J50"/>
    <mergeCell ref="P50:R50"/>
    <mergeCell ref="S50:V50"/>
    <mergeCell ref="A51:D51"/>
    <mergeCell ref="E51:H51"/>
    <mergeCell ref="I51:J51"/>
    <mergeCell ref="P51:R51"/>
    <mergeCell ref="A34:D34"/>
    <mergeCell ref="E34:J34"/>
    <mergeCell ref="P34:R34"/>
    <mergeCell ref="S34:V34"/>
    <mergeCell ref="A49:D49"/>
    <mergeCell ref="E49:J49"/>
    <mergeCell ref="P49:R49"/>
    <mergeCell ref="S49:V49"/>
    <mergeCell ref="S54:V54"/>
    <mergeCell ref="A29:D29"/>
    <mergeCell ref="E29:J29"/>
    <mergeCell ref="P29:R29"/>
    <mergeCell ref="S29:V29"/>
    <mergeCell ref="A26:D26"/>
    <mergeCell ref="E26:J26"/>
    <mergeCell ref="P26:R26"/>
    <mergeCell ref="S26:V26"/>
    <mergeCell ref="A27:D27"/>
    <mergeCell ref="E27:J27"/>
    <mergeCell ref="P27:R27"/>
    <mergeCell ref="S27:V27"/>
    <mergeCell ref="A32:D32"/>
    <mergeCell ref="E32:J32"/>
    <mergeCell ref="P32:R32"/>
    <mergeCell ref="S32:V32"/>
    <mergeCell ref="A33:D33"/>
    <mergeCell ref="E33:J33"/>
    <mergeCell ref="P33:R33"/>
    <mergeCell ref="S33:V33"/>
    <mergeCell ref="A30:D30"/>
    <mergeCell ref="E30:J30"/>
    <mergeCell ref="P30:R30"/>
    <mergeCell ref="S30:V30"/>
    <mergeCell ref="A31:D31"/>
    <mergeCell ref="E31:J31"/>
    <mergeCell ref="P31:R31"/>
    <mergeCell ref="S31:V31"/>
    <mergeCell ref="A24:D24"/>
    <mergeCell ref="E24:J24"/>
    <mergeCell ref="P24:R24"/>
    <mergeCell ref="S24:V24"/>
    <mergeCell ref="A25:D25"/>
    <mergeCell ref="E25:J25"/>
    <mergeCell ref="P25:R25"/>
    <mergeCell ref="S25:V25"/>
    <mergeCell ref="A22:D22"/>
    <mergeCell ref="E22:J22"/>
    <mergeCell ref="P22:R22"/>
    <mergeCell ref="S22:V22"/>
    <mergeCell ref="A23:D23"/>
    <mergeCell ref="E23:J23"/>
    <mergeCell ref="P23:R23"/>
    <mergeCell ref="S23:V23"/>
    <mergeCell ref="A28:D28"/>
    <mergeCell ref="E28:J28"/>
    <mergeCell ref="P28:R28"/>
    <mergeCell ref="S28:V28"/>
    <mergeCell ref="A14:D14"/>
    <mergeCell ref="E14:J14"/>
    <mergeCell ref="P14:R14"/>
    <mergeCell ref="S14:V14"/>
    <mergeCell ref="A11:D11"/>
    <mergeCell ref="E11:J11"/>
    <mergeCell ref="P11:R11"/>
    <mergeCell ref="S11:V11"/>
    <mergeCell ref="A12:D12"/>
    <mergeCell ref="E12:J12"/>
    <mergeCell ref="P12:R12"/>
    <mergeCell ref="S12:V12"/>
    <mergeCell ref="A15:D15"/>
    <mergeCell ref="E15:J15"/>
    <mergeCell ref="P15:R15"/>
    <mergeCell ref="S15:V15"/>
    <mergeCell ref="A21:D21"/>
    <mergeCell ref="E21:J21"/>
    <mergeCell ref="P21:R21"/>
    <mergeCell ref="S21:V21"/>
    <mergeCell ref="A16:D16"/>
    <mergeCell ref="E16:J16"/>
    <mergeCell ref="P16:R16"/>
    <mergeCell ref="S16:V16"/>
    <mergeCell ref="A17:D17"/>
    <mergeCell ref="E17:J17"/>
    <mergeCell ref="P17:R17"/>
    <mergeCell ref="S17:V17"/>
    <mergeCell ref="A18:D18"/>
    <mergeCell ref="E18:J18"/>
    <mergeCell ref="P18:R18"/>
    <mergeCell ref="R1:V1"/>
    <mergeCell ref="T2:V2"/>
    <mergeCell ref="T3:V3"/>
    <mergeCell ref="B6:C6"/>
    <mergeCell ref="Q6:R6"/>
    <mergeCell ref="A8:D10"/>
    <mergeCell ref="E8:V8"/>
    <mergeCell ref="E9:J10"/>
    <mergeCell ref="K9:L9"/>
    <mergeCell ref="M9:M10"/>
    <mergeCell ref="N9:V9"/>
    <mergeCell ref="P10:R10"/>
    <mergeCell ref="S10:V10"/>
    <mergeCell ref="A13:D13"/>
    <mergeCell ref="E13:J13"/>
    <mergeCell ref="P13:R13"/>
    <mergeCell ref="S13:V13"/>
  </mergeCells>
  <printOptions horizontalCentered="1"/>
  <pageMargins left="0.25" right="0.25" top="0.75" bottom="1.5" header="0.3" footer="0.3"/>
  <pageSetup paperSize="14" scale="75" orientation="portrait" horizontalDpi="300" verticalDpi="300" r:id="rId1"/>
  <rowBreaks count="24" manualBreakCount="24">
    <brk id="61" max="16383" man="1"/>
    <brk id="108" max="16383" man="1"/>
    <brk id="155" max="16383" man="1"/>
    <brk id="202" max="16383" man="1"/>
    <brk id="249" max="16383" man="1"/>
    <brk id="296" max="16383" man="1"/>
    <brk id="343" max="16383" man="1"/>
    <brk id="390" max="16383" man="1"/>
    <brk id="437" max="16383" man="1"/>
    <brk id="484" max="16383" man="1"/>
    <brk id="531" max="16383" man="1"/>
    <brk id="578" max="16383" man="1"/>
    <brk id="625" max="16383" man="1"/>
    <brk id="672" max="16383" man="1"/>
    <brk id="719" max="16383" man="1"/>
    <brk id="766" max="16383" man="1"/>
    <brk id="813" max="16383" man="1"/>
    <brk id="860" max="16383" man="1"/>
    <brk id="907" max="16383" man="1"/>
    <brk id="954" max="16383" man="1"/>
    <brk id="1001" max="16383" man="1"/>
    <brk id="1048" max="16383" man="1"/>
    <brk id="1095" max="16383" man="1"/>
    <brk id="1142"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8000"/>
  </sheetPr>
  <dimension ref="A1:P416"/>
  <sheetViews>
    <sheetView showZeros="0" tabSelected="1" view="pageBreakPreview" topLeftCell="A32" zoomScale="115" zoomScaleNormal="85" zoomScaleSheetLayoutView="115" workbookViewId="0">
      <selection activeCell="A38" sqref="A38:L38"/>
    </sheetView>
  </sheetViews>
  <sheetFormatPr defaultColWidth="9" defaultRowHeight="15.75"/>
  <cols>
    <col min="1" max="1" width="9.875" style="538" bestFit="1" customWidth="1"/>
    <col min="2" max="2" width="8" style="24" customWidth="1"/>
    <col min="3" max="3" width="5.875" style="24" customWidth="1"/>
    <col min="4" max="5" width="6" style="24" customWidth="1"/>
    <col min="6" max="6" width="5.5" style="24" customWidth="1"/>
    <col min="7" max="7" width="34" style="709" customWidth="1"/>
    <col min="8" max="8" width="30.25" style="25" customWidth="1"/>
    <col min="9" max="9" width="10.875" style="186" customWidth="1"/>
    <col min="10" max="10" width="13.5" style="9" customWidth="1"/>
    <col min="11" max="11" width="14.25" style="9" customWidth="1"/>
    <col min="12" max="12" width="17.375" style="25" customWidth="1"/>
    <col min="13" max="15" width="9" style="25"/>
    <col min="16" max="16" width="9.625" style="25" bestFit="1" customWidth="1"/>
    <col min="17" max="17" width="10.875" style="25" bestFit="1" customWidth="1"/>
    <col min="18" max="19" width="9.125" style="25" bestFit="1" customWidth="1"/>
    <col min="20" max="20" width="9.625" style="25" bestFit="1" customWidth="1"/>
    <col min="21" max="21" width="9.625" style="25" customWidth="1"/>
    <col min="22" max="22" width="11.5" style="25" customWidth="1"/>
    <col min="23" max="16384" width="9" style="25"/>
  </cols>
  <sheetData>
    <row r="1" spans="1:12" s="755" customFormat="1" ht="27.75">
      <c r="A1" s="749" t="s">
        <v>355</v>
      </c>
      <c r="B1" s="750"/>
      <c r="C1" s="750"/>
      <c r="D1" s="750"/>
      <c r="E1" s="750"/>
      <c r="F1" s="750"/>
      <c r="G1" s="751"/>
      <c r="H1" s="752"/>
      <c r="I1" s="753"/>
      <c r="J1" s="754"/>
      <c r="K1" s="754"/>
    </row>
    <row r="2" spans="1:12" s="755" customFormat="1" ht="15" customHeight="1">
      <c r="A2" s="749"/>
      <c r="B2" s="750"/>
      <c r="C2" s="750"/>
      <c r="D2" s="750"/>
      <c r="E2" s="750"/>
      <c r="F2" s="750"/>
      <c r="G2" s="751"/>
      <c r="H2" s="752"/>
      <c r="I2" s="753"/>
      <c r="J2" s="754"/>
      <c r="K2" s="754"/>
    </row>
    <row r="3" spans="1:12" ht="19.5">
      <c r="A3" s="539" t="s">
        <v>1634</v>
      </c>
      <c r="B3" s="101"/>
      <c r="C3" s="101"/>
      <c r="D3" s="101"/>
      <c r="E3" s="101"/>
      <c r="F3" s="101"/>
      <c r="G3" s="708"/>
      <c r="H3" s="102"/>
      <c r="I3" s="183"/>
      <c r="J3" s="103"/>
      <c r="K3" s="103"/>
    </row>
    <row r="5" spans="1:12" ht="16.5">
      <c r="A5" s="540" t="s">
        <v>1538</v>
      </c>
      <c r="B5" s="101"/>
      <c r="C5" s="101"/>
      <c r="D5" s="101"/>
      <c r="E5" s="101"/>
      <c r="F5" s="101"/>
      <c r="G5" s="708"/>
      <c r="H5" s="102"/>
      <c r="I5" s="183"/>
      <c r="J5" s="103"/>
      <c r="K5" s="103"/>
    </row>
    <row r="6" spans="1:12" ht="16.5">
      <c r="A6" s="540" t="str">
        <f>Account!$G$1</f>
        <v>FUND 501 CARP</v>
      </c>
      <c r="B6" s="101"/>
      <c r="C6" s="101"/>
      <c r="D6" s="101"/>
      <c r="E6" s="101"/>
      <c r="F6" s="101"/>
      <c r="G6" s="708"/>
      <c r="H6" s="102"/>
      <c r="I6" s="183"/>
      <c r="J6" s="103"/>
      <c r="K6" s="103"/>
    </row>
    <row r="7" spans="1:12" ht="16.5">
      <c r="A7" s="793">
        <f>Account!$G$2</f>
        <v>45291</v>
      </c>
      <c r="B7" s="101"/>
      <c r="C7" s="101"/>
      <c r="D7" s="101"/>
      <c r="E7" s="101"/>
      <c r="F7" s="101"/>
      <c r="G7" s="708"/>
      <c r="H7" s="102"/>
      <c r="I7" s="183"/>
      <c r="J7" s="103"/>
      <c r="K7" s="103"/>
    </row>
    <row r="9" spans="1:12" ht="31.5">
      <c r="A9" s="535" t="s">
        <v>0</v>
      </c>
      <c r="B9" s="153" t="s">
        <v>722</v>
      </c>
      <c r="C9" s="153" t="s">
        <v>718</v>
      </c>
      <c r="D9" s="153" t="s">
        <v>740</v>
      </c>
      <c r="E9" s="153" t="s">
        <v>723</v>
      </c>
      <c r="F9" s="153" t="s">
        <v>728</v>
      </c>
      <c r="G9" s="153" t="s">
        <v>440</v>
      </c>
      <c r="H9" s="156" t="s">
        <v>369</v>
      </c>
      <c r="I9" s="184" t="s">
        <v>370</v>
      </c>
      <c r="J9" s="157" t="s">
        <v>1</v>
      </c>
      <c r="K9" s="157" t="s">
        <v>2</v>
      </c>
      <c r="L9" s="155" t="s">
        <v>724</v>
      </c>
    </row>
    <row r="10" spans="1:12" ht="102">
      <c r="A10" s="1032">
        <v>44957</v>
      </c>
      <c r="B10" s="145" t="s">
        <v>2153</v>
      </c>
      <c r="C10" s="137" t="s">
        <v>494</v>
      </c>
      <c r="D10" s="495"/>
      <c r="E10" s="494"/>
      <c r="F10" s="495"/>
      <c r="G10" s="143" t="s">
        <v>2154</v>
      </c>
      <c r="H10" s="1033" t="str">
        <f>IF(I10=0,"",(INDEX([1]!AccountCodes[ACCOUNT NAME],MATCH(I10,[1]!AccountCodes[NGAS CODE],0))))</f>
        <v>Accounts Payable</v>
      </c>
      <c r="I10" s="1034" t="s">
        <v>106</v>
      </c>
      <c r="J10" s="497">
        <v>218147.33</v>
      </c>
      <c r="K10" s="497"/>
      <c r="L10" s="158">
        <f>J10-K10</f>
        <v>218147.33</v>
      </c>
    </row>
    <row r="11" spans="1:12" ht="102">
      <c r="A11" s="1032">
        <v>44957</v>
      </c>
      <c r="B11" s="145" t="s">
        <v>2153</v>
      </c>
      <c r="C11" s="137" t="s">
        <v>485</v>
      </c>
      <c r="D11" s="495"/>
      <c r="E11" s="494"/>
      <c r="F11" s="495"/>
      <c r="G11" s="143" t="s">
        <v>2154</v>
      </c>
      <c r="H11" s="1033" t="str">
        <f>IF(I11=0,"",(INDEX([1]!AccountCodes[ACCOUNT NAME],MATCH(I11,[1]!AccountCodes[NGAS CODE],0))))</f>
        <v>Accounts Payable</v>
      </c>
      <c r="I11" s="1034" t="s">
        <v>106</v>
      </c>
      <c r="J11" s="497">
        <v>213369.97</v>
      </c>
      <c r="K11" s="497"/>
      <c r="L11" s="158">
        <f>L10+J11-K11</f>
        <v>431517.3</v>
      </c>
    </row>
    <row r="12" spans="1:12" ht="102">
      <c r="A12" s="1032">
        <v>44957</v>
      </c>
      <c r="B12" s="145" t="s">
        <v>2153</v>
      </c>
      <c r="C12" s="137" t="s">
        <v>486</v>
      </c>
      <c r="D12" s="495"/>
      <c r="E12" s="494"/>
      <c r="F12" s="495"/>
      <c r="G12" s="143" t="s">
        <v>2154</v>
      </c>
      <c r="H12" s="1033" t="str">
        <f>IF(I12=0,"",(INDEX([1]!AccountCodes[ACCOUNT NAME],MATCH(I12,[1]!AccountCodes[NGAS CODE],0))))</f>
        <v>Accounts Payable</v>
      </c>
      <c r="I12" s="1034" t="s">
        <v>106</v>
      </c>
      <c r="J12" s="497">
        <v>95959.9</v>
      </c>
      <c r="K12" s="497"/>
      <c r="L12" s="158">
        <f t="shared" ref="L12:L39" si="0">L11+J12-K12</f>
        <v>527477.19999999995</v>
      </c>
    </row>
    <row r="13" spans="1:12" ht="102">
      <c r="A13" s="1032">
        <v>44957</v>
      </c>
      <c r="B13" s="145" t="s">
        <v>2153</v>
      </c>
      <c r="C13" s="137" t="s">
        <v>762</v>
      </c>
      <c r="D13" s="495"/>
      <c r="E13" s="494"/>
      <c r="F13" s="495"/>
      <c r="G13" s="143" t="s">
        <v>2154</v>
      </c>
      <c r="H13" s="1033" t="str">
        <f>IF(I13=0,"",(INDEX([1]!AccountCodes[ACCOUNT NAME],MATCH(I13,[1]!AccountCodes[NGAS CODE],0))))</f>
        <v>Accounts Payable</v>
      </c>
      <c r="I13" s="1034" t="s">
        <v>106</v>
      </c>
      <c r="J13" s="497">
        <v>83261.649999999994</v>
      </c>
      <c r="K13" s="497"/>
      <c r="L13" s="158">
        <f t="shared" si="0"/>
        <v>610738.85</v>
      </c>
    </row>
    <row r="14" spans="1:12" ht="102">
      <c r="A14" s="1032">
        <v>44957</v>
      </c>
      <c r="B14" s="145" t="s">
        <v>2153</v>
      </c>
      <c r="C14" s="137" t="s">
        <v>494</v>
      </c>
      <c r="D14" s="495"/>
      <c r="E14" s="494"/>
      <c r="F14" s="495"/>
      <c r="G14" s="143" t="s">
        <v>2154</v>
      </c>
      <c r="H14" s="1033" t="str">
        <f>IF(I14=0,"",(INDEX([1]!AccountCodes[ACCOUNT NAME],MATCH(I14,[1]!AccountCodes[NGAS CODE],0))))</f>
        <v>Cash in Bank-Local Currency, Current Account - RO</v>
      </c>
      <c r="I14" s="1034" t="s">
        <v>1556</v>
      </c>
      <c r="J14" s="497"/>
      <c r="K14" s="497">
        <v>218147.33</v>
      </c>
      <c r="L14" s="158">
        <f t="shared" si="0"/>
        <v>392591.52</v>
      </c>
    </row>
    <row r="15" spans="1:12" ht="102">
      <c r="A15" s="1032">
        <v>44957</v>
      </c>
      <c r="B15" s="145" t="s">
        <v>2153</v>
      </c>
      <c r="C15" s="137" t="s">
        <v>485</v>
      </c>
      <c r="D15" s="495"/>
      <c r="E15" s="494"/>
      <c r="F15" s="495"/>
      <c r="G15" s="143" t="s">
        <v>2154</v>
      </c>
      <c r="H15" s="1033" t="str">
        <f>IF(I15=0,"",(INDEX([1]!AccountCodes[ACCOUNT NAME],MATCH(I15,[1]!AccountCodes[NGAS CODE],0))))</f>
        <v>Cash in Bank-Local Currency, Current Account - FO</v>
      </c>
      <c r="I15" s="1034" t="s">
        <v>1564</v>
      </c>
      <c r="J15" s="497"/>
      <c r="K15" s="497">
        <v>213369.97</v>
      </c>
      <c r="L15" s="158">
        <f t="shared" si="0"/>
        <v>179221.55</v>
      </c>
    </row>
    <row r="16" spans="1:12" ht="102">
      <c r="A16" s="1032">
        <v>44957</v>
      </c>
      <c r="B16" s="145" t="s">
        <v>2153</v>
      </c>
      <c r="C16" s="137" t="s">
        <v>486</v>
      </c>
      <c r="D16" s="495"/>
      <c r="E16" s="494"/>
      <c r="F16" s="495"/>
      <c r="G16" s="143" t="s">
        <v>2154</v>
      </c>
      <c r="H16" s="1033" t="str">
        <f>IF(I16=0,"",(INDEX([1]!AccountCodes[ACCOUNT NAME],MATCH(I16,[1]!AccountCodes[NGAS CODE],0))))</f>
        <v>Cash in Bank-Local Currency, Current Account - FO</v>
      </c>
      <c r="I16" s="1034" t="s">
        <v>1564</v>
      </c>
      <c r="J16" s="497"/>
      <c r="K16" s="497">
        <v>95959.9</v>
      </c>
      <c r="L16" s="158">
        <f t="shared" si="0"/>
        <v>83261.649999999994</v>
      </c>
    </row>
    <row r="17" spans="1:12" ht="102">
      <c r="A17" s="1032">
        <v>44957</v>
      </c>
      <c r="B17" s="145" t="s">
        <v>2153</v>
      </c>
      <c r="C17" s="137" t="s">
        <v>762</v>
      </c>
      <c r="D17" s="495"/>
      <c r="E17" s="494"/>
      <c r="F17" s="495"/>
      <c r="G17" s="143" t="s">
        <v>2154</v>
      </c>
      <c r="H17" s="1033" t="str">
        <f>IF(I17=0,"",(INDEX([1]!AccountCodes[ACCOUNT NAME],MATCH(I17,[1]!AccountCodes[NGAS CODE],0))))</f>
        <v>Cash in Bank-Local Currency, Current Account - FO</v>
      </c>
      <c r="I17" s="1034" t="s">
        <v>1564</v>
      </c>
      <c r="J17" s="497"/>
      <c r="K17" s="497">
        <v>83261.649999999994</v>
      </c>
      <c r="L17" s="158">
        <f t="shared" si="0"/>
        <v>0</v>
      </c>
    </row>
    <row r="18" spans="1:12" ht="51">
      <c r="A18" s="1032">
        <v>44957</v>
      </c>
      <c r="B18" s="145" t="s">
        <v>2197</v>
      </c>
      <c r="C18" s="495" t="s">
        <v>494</v>
      </c>
      <c r="D18" s="495"/>
      <c r="E18" s="494"/>
      <c r="F18" s="495"/>
      <c r="G18" s="1035" t="s">
        <v>2198</v>
      </c>
      <c r="H18" s="1033" t="str">
        <f>IF(I18=0,"",(INDEX([1]!AccountCodes[ACCOUNT NAME],MATCH(I18,[1]!AccountCodes[NGAS CODE],0))))</f>
        <v>Cash in Bank-Local Currency, Current Account - RO</v>
      </c>
      <c r="I18" s="1056" t="s">
        <v>1556</v>
      </c>
      <c r="J18" s="497">
        <v>325000</v>
      </c>
      <c r="K18" s="497"/>
      <c r="L18" s="158">
        <f>L17+J18-K18</f>
        <v>325000</v>
      </c>
    </row>
    <row r="19" spans="1:12" ht="51">
      <c r="A19" s="1032">
        <v>44957</v>
      </c>
      <c r="B19" s="145" t="s">
        <v>2197</v>
      </c>
      <c r="C19" s="495" t="s">
        <v>494</v>
      </c>
      <c r="D19" s="495"/>
      <c r="E19" s="494"/>
      <c r="F19" s="495"/>
      <c r="G19" s="1035" t="s">
        <v>2198</v>
      </c>
      <c r="H19" s="1033" t="str">
        <f>IF(I19=0,"",(INDEX([1]!AccountCodes[ACCOUNT NAME],MATCH(I19,[1]!AccountCodes[NGAS CODE],0))))</f>
        <v>Subsidy from Central Office</v>
      </c>
      <c r="I19" s="1056" t="s">
        <v>152</v>
      </c>
      <c r="J19" s="497"/>
      <c r="K19" s="497">
        <v>325000</v>
      </c>
      <c r="L19" s="158">
        <f t="shared" si="0"/>
        <v>0</v>
      </c>
    </row>
    <row r="20" spans="1:12" ht="25.5">
      <c r="A20" s="1032">
        <v>44957</v>
      </c>
      <c r="B20" s="145" t="s">
        <v>2199</v>
      </c>
      <c r="C20" s="137" t="s">
        <v>494</v>
      </c>
      <c r="D20" s="495"/>
      <c r="E20" s="494"/>
      <c r="F20" s="495"/>
      <c r="G20" s="143" t="s">
        <v>2200</v>
      </c>
      <c r="H20" s="1033" t="str">
        <f>IF(I20=0,"",(INDEX([1]!AccountCodes[ACCOUNT NAME],MATCH(I20,[1]!AccountCodes[NGAS CODE],0))))</f>
        <v>Office Supplies Expenses</v>
      </c>
      <c r="I20" s="1034" t="s">
        <v>225</v>
      </c>
      <c r="J20" s="497">
        <v>37375</v>
      </c>
      <c r="K20" s="497"/>
      <c r="L20" s="158">
        <f t="shared" si="0"/>
        <v>37375</v>
      </c>
    </row>
    <row r="21" spans="1:12" ht="25.5">
      <c r="A21" s="1032">
        <v>44957</v>
      </c>
      <c r="B21" s="145" t="s">
        <v>2199</v>
      </c>
      <c r="C21" s="137" t="s">
        <v>494</v>
      </c>
      <c r="D21" s="495"/>
      <c r="E21" s="494"/>
      <c r="F21" s="495"/>
      <c r="G21" s="143" t="s">
        <v>2200</v>
      </c>
      <c r="H21" s="1033" t="str">
        <f>IF(I21=0,"",(INDEX([1]!AccountCodes[ACCOUNT NAME],MATCH(I21,[1]!AccountCodes[NGAS CODE],0))))</f>
        <v>Office Supplies Inventory</v>
      </c>
      <c r="I21" s="1034" t="s">
        <v>30</v>
      </c>
      <c r="J21" s="497"/>
      <c r="K21" s="497">
        <v>37375</v>
      </c>
      <c r="L21" s="158">
        <f t="shared" si="0"/>
        <v>0</v>
      </c>
    </row>
    <row r="22" spans="1:12" ht="38.25">
      <c r="A22" s="1032">
        <v>44957</v>
      </c>
      <c r="B22" s="145" t="s">
        <v>2201</v>
      </c>
      <c r="C22" s="137" t="s">
        <v>494</v>
      </c>
      <c r="D22" s="495"/>
      <c r="E22" s="494"/>
      <c r="F22" s="495"/>
      <c r="G22" s="143" t="s">
        <v>2202</v>
      </c>
      <c r="H22" s="1033" t="str">
        <f>IF(I22=0,"",(INDEX([1]!AccountCodes[ACCOUNT NAME],MATCH(I22,[1]!AccountCodes[NGAS CODE],0))))</f>
        <v>Semi-Expendable Machinery and Equipment Expenses</v>
      </c>
      <c r="I22" s="1034" t="s">
        <v>1265</v>
      </c>
      <c r="J22" s="497">
        <v>2699</v>
      </c>
      <c r="K22" s="497"/>
      <c r="L22" s="158">
        <f t="shared" si="0"/>
        <v>2699</v>
      </c>
    </row>
    <row r="23" spans="1:12" ht="38.25">
      <c r="A23" s="1032">
        <v>44957</v>
      </c>
      <c r="B23" s="145" t="s">
        <v>2201</v>
      </c>
      <c r="C23" s="137" t="s">
        <v>494</v>
      </c>
      <c r="D23" s="495"/>
      <c r="E23" s="494"/>
      <c r="F23" s="495"/>
      <c r="G23" s="143" t="s">
        <v>2202</v>
      </c>
      <c r="H23" s="1033" t="str">
        <f>IF(I23=0,"",(INDEX([1]!AccountCodes[ACCOUNT NAME],MATCH(I23,[1]!AccountCodes[NGAS CODE],0))))</f>
        <v>Semi-Expendable Furniture, Fixtures and Books Expenses</v>
      </c>
      <c r="I23" s="1034" t="s">
        <v>1266</v>
      </c>
      <c r="J23" s="497">
        <v>18990</v>
      </c>
      <c r="K23" s="497"/>
      <c r="L23" s="158">
        <f t="shared" si="0"/>
        <v>21689</v>
      </c>
    </row>
    <row r="24" spans="1:12" ht="38.25">
      <c r="A24" s="1032">
        <v>44957</v>
      </c>
      <c r="B24" s="145" t="s">
        <v>2201</v>
      </c>
      <c r="C24" s="137" t="s">
        <v>494</v>
      </c>
      <c r="D24" s="495"/>
      <c r="E24" s="494"/>
      <c r="F24" s="495"/>
      <c r="G24" s="143" t="s">
        <v>2202</v>
      </c>
      <c r="H24" s="1033" t="str">
        <f>IF(I24=0,"",(INDEX([1]!AccountCodes[ACCOUNT NAME],MATCH(I24,[1]!AccountCodes[NGAS CODE],0))))</f>
        <v>Semi-Expendable Communications Equipment</v>
      </c>
      <c r="I24" s="1034" t="s">
        <v>1250</v>
      </c>
      <c r="J24" s="497"/>
      <c r="K24" s="497">
        <v>2699</v>
      </c>
      <c r="L24" s="158">
        <f t="shared" si="0"/>
        <v>18990</v>
      </c>
    </row>
    <row r="25" spans="1:12" ht="38.25">
      <c r="A25" s="1032">
        <v>44957</v>
      </c>
      <c r="B25" s="145" t="s">
        <v>2201</v>
      </c>
      <c r="C25" s="137" t="s">
        <v>494</v>
      </c>
      <c r="D25" s="495"/>
      <c r="E25" s="494"/>
      <c r="F25" s="495"/>
      <c r="G25" s="143" t="s">
        <v>2202</v>
      </c>
      <c r="H25" s="1033" t="str">
        <f>IF(I25=0,"",(INDEX([1]!AccountCodes[ACCOUNT NAME],MATCH(I25,[1]!AccountCodes[NGAS CODE],0))))</f>
        <v>Semi-Expendable Furniture and Fixtures</v>
      </c>
      <c r="I25" s="1034" t="s">
        <v>1438</v>
      </c>
      <c r="J25" s="497"/>
      <c r="K25" s="497">
        <v>18990</v>
      </c>
      <c r="L25" s="158">
        <f t="shared" si="0"/>
        <v>0</v>
      </c>
    </row>
    <row r="26" spans="1:12" ht="25.5">
      <c r="A26" s="1032">
        <v>44957</v>
      </c>
      <c r="B26" s="145" t="s">
        <v>2203</v>
      </c>
      <c r="C26" s="137" t="s">
        <v>485</v>
      </c>
      <c r="D26" s="495"/>
      <c r="E26" s="494"/>
      <c r="F26" s="495"/>
      <c r="G26" s="143" t="s">
        <v>2204</v>
      </c>
      <c r="H26" s="1033" t="str">
        <f>IF(I26=0,"",(INDEX([1]!AccountCodes[ACCOUNT NAME],MATCH(I26,[1]!AccountCodes[NGAS CODE],0))))</f>
        <v>Other Supplies and Materials Expenses</v>
      </c>
      <c r="I26" s="1034" t="s">
        <v>231</v>
      </c>
      <c r="J26" s="497">
        <v>15600</v>
      </c>
      <c r="K26" s="497"/>
      <c r="L26" s="158">
        <f t="shared" si="0"/>
        <v>15600</v>
      </c>
    </row>
    <row r="27" spans="1:12" ht="25.5">
      <c r="A27" s="1032">
        <v>44957</v>
      </c>
      <c r="B27" s="145" t="s">
        <v>2203</v>
      </c>
      <c r="C27" s="137" t="s">
        <v>485</v>
      </c>
      <c r="D27" s="137" t="s">
        <v>485</v>
      </c>
      <c r="E27" s="494"/>
      <c r="F27" s="495"/>
      <c r="G27" s="143" t="s">
        <v>2204</v>
      </c>
      <c r="H27" s="1033" t="str">
        <f>IF(I27=0,"",(INDEX([1]!AccountCodes[ACCOUNT NAME],MATCH(I27,[1]!AccountCodes[NGAS CODE],0))))</f>
        <v>Other Supplies and Materials Inventory</v>
      </c>
      <c r="I27" s="1034" t="s">
        <v>32</v>
      </c>
      <c r="J27" s="497"/>
      <c r="K27" s="497">
        <v>15600</v>
      </c>
      <c r="L27" s="158">
        <f t="shared" si="0"/>
        <v>0</v>
      </c>
    </row>
    <row r="28" spans="1:12" ht="25.5">
      <c r="A28" s="1032">
        <v>44957</v>
      </c>
      <c r="B28" s="145" t="s">
        <v>2205</v>
      </c>
      <c r="C28" s="137" t="s">
        <v>485</v>
      </c>
      <c r="D28" s="137" t="s">
        <v>485</v>
      </c>
      <c r="E28" s="494"/>
      <c r="F28" s="495"/>
      <c r="G28" s="143" t="s">
        <v>2206</v>
      </c>
      <c r="H28" s="1033" t="str">
        <f>IF(I28=0,"",(INDEX([1]!AccountCodes[ACCOUNT NAME],MATCH(I28,[1]!AccountCodes[NGAS CODE],0))))</f>
        <v>Depreciation-Machinery and Equipment - Office Equipment</v>
      </c>
      <c r="I28" s="1034" t="s">
        <v>278</v>
      </c>
      <c r="J28" s="497">
        <v>1487.54</v>
      </c>
      <c r="K28" s="497"/>
      <c r="L28" s="158">
        <f t="shared" si="0"/>
        <v>1487.54</v>
      </c>
    </row>
    <row r="29" spans="1:12" ht="25.5">
      <c r="A29" s="1032">
        <v>44957</v>
      </c>
      <c r="B29" s="145" t="s">
        <v>2205</v>
      </c>
      <c r="C29" s="137" t="s">
        <v>485</v>
      </c>
      <c r="D29" s="137" t="s">
        <v>485</v>
      </c>
      <c r="E29" s="494"/>
      <c r="F29" s="495"/>
      <c r="G29" s="143" t="s">
        <v>2206</v>
      </c>
      <c r="H29" s="1033" t="str">
        <f>IF(I29=0,"",(INDEX([1]!AccountCodes[ACCOUNT NAME],MATCH(I29,[1]!AccountCodes[NGAS CODE],0))))</f>
        <v>Accumulated Depreciation-Office Equipment</v>
      </c>
      <c r="I29" s="1034" t="s">
        <v>88</v>
      </c>
      <c r="J29" s="497"/>
      <c r="K29" s="497">
        <v>1487.54</v>
      </c>
      <c r="L29" s="158">
        <f t="shared" si="0"/>
        <v>0</v>
      </c>
    </row>
    <row r="30" spans="1:12" ht="25.5">
      <c r="A30" s="1032">
        <v>44957</v>
      </c>
      <c r="B30" s="145" t="s">
        <v>2207</v>
      </c>
      <c r="C30" s="137" t="s">
        <v>485</v>
      </c>
      <c r="D30" s="137" t="s">
        <v>485</v>
      </c>
      <c r="E30" s="494"/>
      <c r="F30" s="495"/>
      <c r="G30" s="143" t="s">
        <v>2208</v>
      </c>
      <c r="H30" s="1033" t="str">
        <f>IF(I30=0,"",(INDEX([1]!AccountCodes[ACCOUNT NAME],MATCH(I30,[1]!AccountCodes[NGAS CODE],0))))</f>
        <v>Depreciation-Machinery and Equipment - ICT Equipment</v>
      </c>
      <c r="I30" s="1034" t="s">
        <v>280</v>
      </c>
      <c r="J30" s="497">
        <v>8619.66</v>
      </c>
      <c r="K30" s="497"/>
      <c r="L30" s="158">
        <f t="shared" si="0"/>
        <v>8619.66</v>
      </c>
    </row>
    <row r="31" spans="1:12" ht="25.5">
      <c r="A31" s="1032">
        <v>44957</v>
      </c>
      <c r="B31" s="145" t="s">
        <v>2207</v>
      </c>
      <c r="C31" s="137" t="s">
        <v>485</v>
      </c>
      <c r="D31" s="137" t="s">
        <v>485</v>
      </c>
      <c r="E31" s="494"/>
      <c r="F31" s="495"/>
      <c r="G31" s="143" t="s">
        <v>2208</v>
      </c>
      <c r="H31" s="1033" t="str">
        <f>IF(I31=0,"",(INDEX([1]!AccountCodes[ACCOUNT NAME],MATCH(I31,[1]!AccountCodes[NGAS CODE],0))))</f>
        <v>Accumulated Depreciation-Information and Communications Technology Equipment</v>
      </c>
      <c r="I31" s="1034" t="s">
        <v>90</v>
      </c>
      <c r="J31" s="497"/>
      <c r="K31" s="497">
        <v>8619.66</v>
      </c>
      <c r="L31" s="158">
        <f t="shared" si="0"/>
        <v>0</v>
      </c>
    </row>
    <row r="32" spans="1:12" ht="38.25">
      <c r="A32" s="1032">
        <v>44957</v>
      </c>
      <c r="B32" s="145" t="s">
        <v>2209</v>
      </c>
      <c r="C32" s="137" t="s">
        <v>486</v>
      </c>
      <c r="D32" s="495"/>
      <c r="E32" s="494"/>
      <c r="F32" s="495"/>
      <c r="G32" s="143" t="s">
        <v>2210</v>
      </c>
      <c r="H32" s="1033" t="str">
        <f>IF(I32=0,"",(INDEX([1]!AccountCodes[ACCOUNT NAME],MATCH(I32,[1]!AccountCodes[NGAS CODE],0))))</f>
        <v>Information and Communications Technology Equipment</v>
      </c>
      <c r="I32" s="1034" t="s">
        <v>44</v>
      </c>
      <c r="J32" s="497">
        <v>60160</v>
      </c>
      <c r="K32" s="497"/>
      <c r="L32" s="158">
        <f t="shared" si="0"/>
        <v>60160</v>
      </c>
    </row>
    <row r="33" spans="1:12" ht="38.25">
      <c r="A33" s="1032">
        <v>44957</v>
      </c>
      <c r="B33" s="145" t="s">
        <v>2209</v>
      </c>
      <c r="C33" s="137" t="s">
        <v>494</v>
      </c>
      <c r="D33" s="495"/>
      <c r="E33" s="494"/>
      <c r="F33" s="495"/>
      <c r="G33" s="143" t="s">
        <v>2210</v>
      </c>
      <c r="H33" s="1033" t="str">
        <f>IF(I33=0,"",(INDEX([1]!AccountCodes[ACCOUNT NAME],MATCH(I33,[1]!AccountCodes[NGAS CODE],0))))</f>
        <v>Accumulated Surplus/(Deficit) (Government Equity)</v>
      </c>
      <c r="I33" s="1034" t="s">
        <v>122</v>
      </c>
      <c r="J33" s="497"/>
      <c r="K33" s="497">
        <v>60160</v>
      </c>
      <c r="L33" s="158">
        <f t="shared" si="0"/>
        <v>0</v>
      </c>
    </row>
    <row r="34" spans="1:12" ht="25.5">
      <c r="A34" s="1032">
        <v>44957</v>
      </c>
      <c r="B34" s="145" t="s">
        <v>2155</v>
      </c>
      <c r="C34" s="1036" t="s">
        <v>762</v>
      </c>
      <c r="D34" s="495"/>
      <c r="E34" s="494"/>
      <c r="F34" s="495"/>
      <c r="G34" s="1037" t="s">
        <v>2156</v>
      </c>
      <c r="H34" s="1033" t="str">
        <f>IF(I34=0,"",(INDEX([1]!AccountCodes[ACCOUNT NAME],MATCH(I34,[1]!AccountCodes[NGAS CODE],0))))</f>
        <v>Depreciation-Infrastructure Assets - Other Infrastructure Assets (Irrigation Canals &amp; Laterals)</v>
      </c>
      <c r="I34" s="1038" t="s">
        <v>1452</v>
      </c>
      <c r="J34" s="1039">
        <v>196138.44</v>
      </c>
      <c r="K34" s="1039"/>
      <c r="L34" s="158">
        <f t="shared" si="0"/>
        <v>196138.44</v>
      </c>
    </row>
    <row r="35" spans="1:12" ht="25.5">
      <c r="A35" s="1032">
        <v>44957</v>
      </c>
      <c r="B35" s="145" t="s">
        <v>2155</v>
      </c>
      <c r="C35" s="1036" t="s">
        <v>486</v>
      </c>
      <c r="D35" s="495"/>
      <c r="E35" s="494"/>
      <c r="F35" s="495"/>
      <c r="G35" s="1037" t="s">
        <v>2156</v>
      </c>
      <c r="H35" s="1033" t="str">
        <f>IF(I35=0,"",(INDEX([1]!AccountCodes[ACCOUNT NAME],MATCH(I35,[1]!AccountCodes[NGAS CODE],0))))</f>
        <v>Depreciation-Infrastructure Assets - Other Infrastructure Assets (Irrigation Canals &amp; Laterals)</v>
      </c>
      <c r="I35" s="1038" t="s">
        <v>1452</v>
      </c>
      <c r="J35" s="1039">
        <v>94336.92</v>
      </c>
      <c r="K35" s="1039"/>
      <c r="L35" s="158">
        <f t="shared" si="0"/>
        <v>290475.36</v>
      </c>
    </row>
    <row r="36" spans="1:12" ht="25.5">
      <c r="A36" s="1032">
        <v>44957</v>
      </c>
      <c r="B36" s="145" t="s">
        <v>2155</v>
      </c>
      <c r="C36" s="1036" t="s">
        <v>485</v>
      </c>
      <c r="D36" s="495"/>
      <c r="E36" s="494"/>
      <c r="F36" s="495"/>
      <c r="G36" s="1037" t="s">
        <v>2156</v>
      </c>
      <c r="H36" s="1033" t="str">
        <f>IF(I36=0,"",(INDEX([1]!AccountCodes[ACCOUNT NAME],MATCH(I36,[1]!AccountCodes[NGAS CODE],0))))</f>
        <v>Depreciation-Infrastructure Assets - Other Infrastructure Assets (Irrigation Canals &amp; Laterals)</v>
      </c>
      <c r="I36" s="1038" t="s">
        <v>1452</v>
      </c>
      <c r="J36" s="1039">
        <v>153949.34</v>
      </c>
      <c r="K36" s="1039"/>
      <c r="L36" s="158">
        <f t="shared" si="0"/>
        <v>444424.7</v>
      </c>
    </row>
    <row r="37" spans="1:12" ht="25.5">
      <c r="A37" s="1032">
        <v>44957</v>
      </c>
      <c r="B37" s="145" t="s">
        <v>2155</v>
      </c>
      <c r="C37" s="1036" t="s">
        <v>484</v>
      </c>
      <c r="D37" s="495"/>
      <c r="E37" s="494"/>
      <c r="F37" s="495"/>
      <c r="G37" s="1037" t="s">
        <v>2156</v>
      </c>
      <c r="H37" s="1033" t="str">
        <f>IF(I37=0,"",(INDEX([1]!AccountCodes[ACCOUNT NAME],MATCH(I37,[1]!AccountCodes[NGAS CODE],0))))</f>
        <v>Depreciation-Infrastructure Assets - Other Infrastructure Assets (Irrigation Canals &amp; Laterals)</v>
      </c>
      <c r="I37" s="1038" t="s">
        <v>1452</v>
      </c>
      <c r="J37" s="1039">
        <v>119599.57</v>
      </c>
      <c r="K37" s="1039"/>
      <c r="L37" s="158">
        <f t="shared" si="0"/>
        <v>564024.27</v>
      </c>
    </row>
    <row r="38" spans="1:12" ht="25.5">
      <c r="A38" s="1032">
        <v>44957</v>
      </c>
      <c r="B38" s="145" t="s">
        <v>2155</v>
      </c>
      <c r="C38" s="1036" t="s">
        <v>762</v>
      </c>
      <c r="D38" s="495"/>
      <c r="E38" s="494"/>
      <c r="F38" s="495"/>
      <c r="G38" s="1037" t="s">
        <v>2156</v>
      </c>
      <c r="H38" s="1033" t="str">
        <f>IF(I38=0,"",(INDEX([1]!AccountCodes[ACCOUNT NAME],MATCH(I38,[1]!AccountCodes[NGAS CODE],0))))</f>
        <v>Accumulated Depreciation-Water Supply Systems</v>
      </c>
      <c r="I38" s="1038" t="s">
        <v>1261</v>
      </c>
      <c r="J38" s="1039"/>
      <c r="K38" s="1039">
        <v>196138.44</v>
      </c>
      <c r="L38" s="158">
        <f t="shared" si="0"/>
        <v>367885.83</v>
      </c>
    </row>
    <row r="39" spans="1:12" ht="25.5">
      <c r="A39" s="1032">
        <v>44957</v>
      </c>
      <c r="B39" s="145" t="s">
        <v>2155</v>
      </c>
      <c r="C39" s="1036" t="s">
        <v>486</v>
      </c>
      <c r="D39" s="495"/>
      <c r="E39" s="494"/>
      <c r="F39" s="495"/>
      <c r="G39" s="1037" t="s">
        <v>2156</v>
      </c>
      <c r="H39" s="1033" t="str">
        <f>IF(I39=0,"",(INDEX([1]!AccountCodes[ACCOUNT NAME],MATCH(I39,[1]!AccountCodes[NGAS CODE],0))))</f>
        <v>Accumulated Depreciation-Water Supply Systems</v>
      </c>
      <c r="I39" s="1038" t="s">
        <v>1261</v>
      </c>
      <c r="J39" s="1039"/>
      <c r="K39" s="1039">
        <v>94336.92</v>
      </c>
      <c r="L39" s="158">
        <f t="shared" si="0"/>
        <v>273548.90999999997</v>
      </c>
    </row>
    <row r="40" spans="1:12" ht="25.5">
      <c r="A40" s="1032">
        <v>44957</v>
      </c>
      <c r="B40" s="145" t="s">
        <v>2155</v>
      </c>
      <c r="C40" s="1036" t="s">
        <v>485</v>
      </c>
      <c r="D40" s="495"/>
      <c r="E40" s="494"/>
      <c r="F40" s="495"/>
      <c r="G40" s="1037" t="s">
        <v>2156</v>
      </c>
      <c r="H40" s="1033" t="str">
        <f>IF(I40=0,"",(INDEX([1]!AccountCodes[ACCOUNT NAME],MATCH(I40,[1]!AccountCodes[NGAS CODE],0))))</f>
        <v>Accumulated Depreciation-Water Supply Systems</v>
      </c>
      <c r="I40" s="1038" t="s">
        <v>1261</v>
      </c>
      <c r="J40" s="1039"/>
      <c r="K40" s="1039">
        <v>153949.34</v>
      </c>
      <c r="L40" s="158">
        <f>L39+J40-K40</f>
        <v>119599.57</v>
      </c>
    </row>
    <row r="41" spans="1:12" ht="25.5">
      <c r="A41" s="1032">
        <v>44957</v>
      </c>
      <c r="B41" s="145" t="s">
        <v>2155</v>
      </c>
      <c r="C41" s="1036" t="s">
        <v>484</v>
      </c>
      <c r="D41" s="495"/>
      <c r="E41" s="494"/>
      <c r="F41" s="495"/>
      <c r="G41" s="1037" t="s">
        <v>2156</v>
      </c>
      <c r="H41" s="1033" t="str">
        <f>IF(I41=0,"",(INDEX([1]!AccountCodes[ACCOUNT NAME],MATCH(I41,[1]!AccountCodes[NGAS CODE],0))))</f>
        <v>Accumulated Depreciation-Water Supply Systems</v>
      </c>
      <c r="I41" s="1038" t="s">
        <v>1261</v>
      </c>
      <c r="J41" s="1039"/>
      <c r="K41" s="1039">
        <v>119599.57</v>
      </c>
      <c r="L41" s="158">
        <f t="shared" ref="L41:L54" si="1">L40+J41-K41</f>
        <v>0</v>
      </c>
    </row>
    <row r="42" spans="1:12" ht="25.5">
      <c r="A42" s="1032">
        <v>44957</v>
      </c>
      <c r="B42" s="145" t="s">
        <v>2211</v>
      </c>
      <c r="C42" s="1036" t="s">
        <v>484</v>
      </c>
      <c r="D42" s="1036"/>
      <c r="E42" s="1040"/>
      <c r="F42" s="1036"/>
      <c r="G42" s="143" t="s">
        <v>2212</v>
      </c>
      <c r="H42" s="1041" t="str">
        <f>IF(I42=0,"",(INDEX([1]!AccountCodes[ACCOUNT NAME],MATCH(I42,[1]!AccountCodes[NGAS CODE],0))))</f>
        <v>Depreciation-Machinery and Equipment - ICT Equipment</v>
      </c>
      <c r="I42" s="185" t="s">
        <v>280</v>
      </c>
      <c r="J42" s="144">
        <v>3482.39</v>
      </c>
      <c r="K42" s="144"/>
      <c r="L42" s="158">
        <f t="shared" si="1"/>
        <v>3482.39</v>
      </c>
    </row>
    <row r="43" spans="1:12" ht="25.5">
      <c r="A43" s="1032">
        <v>44957</v>
      </c>
      <c r="B43" s="145" t="s">
        <v>2211</v>
      </c>
      <c r="C43" s="1036" t="s">
        <v>484</v>
      </c>
      <c r="D43" s="1036"/>
      <c r="E43" s="1040"/>
      <c r="F43" s="1036"/>
      <c r="G43" s="143" t="s">
        <v>2212</v>
      </c>
      <c r="H43" s="1041" t="str">
        <f>IF(I43=0,"",(INDEX([1]!AccountCodes[ACCOUNT NAME],MATCH(I43,[1]!AccountCodes[NGAS CODE],0))))</f>
        <v>Accumulated Depreciation-Information and Communications Technology Equipment</v>
      </c>
      <c r="I43" s="185" t="s">
        <v>90</v>
      </c>
      <c r="J43" s="144"/>
      <c r="K43" s="144">
        <v>3482.39</v>
      </c>
      <c r="L43" s="158">
        <f t="shared" si="1"/>
        <v>0</v>
      </c>
    </row>
    <row r="44" spans="1:12" ht="25.5">
      <c r="A44" s="1032">
        <v>44957</v>
      </c>
      <c r="B44" s="145" t="s">
        <v>2213</v>
      </c>
      <c r="C44" s="1036" t="s">
        <v>494</v>
      </c>
      <c r="D44" s="1036"/>
      <c r="E44" s="1040"/>
      <c r="F44" s="1036"/>
      <c r="G44" s="143" t="s">
        <v>2214</v>
      </c>
      <c r="H44" s="1041" t="str">
        <f>IF(I44=0,"",(INDEX([1]!AccountCodes[ACCOUNT NAME],MATCH(I44,[1]!AccountCodes[NGAS CODE],0))))</f>
        <v>Depreciation-Machinery and Equipment - ICT Equipment</v>
      </c>
      <c r="I44" s="1042" t="s">
        <v>280</v>
      </c>
      <c r="J44" s="1039">
        <v>2134.34</v>
      </c>
      <c r="K44" s="1039"/>
      <c r="L44" s="158">
        <f t="shared" si="1"/>
        <v>2134.34</v>
      </c>
    </row>
    <row r="45" spans="1:12" ht="24.75" customHeight="1">
      <c r="A45" s="1032">
        <v>44957</v>
      </c>
      <c r="B45" s="145" t="s">
        <v>2213</v>
      </c>
      <c r="C45" s="1036" t="s">
        <v>494</v>
      </c>
      <c r="D45" s="1036"/>
      <c r="E45" s="1040"/>
      <c r="F45" s="1036"/>
      <c r="G45" s="143" t="s">
        <v>2214</v>
      </c>
      <c r="H45" s="1041" t="str">
        <f>IF(I45=0,"",(INDEX([1]!AccountCodes[ACCOUNT NAME],MATCH(I45,[1]!AccountCodes[NGAS CODE],0))))</f>
        <v>Accumulated Depreciation-Information and Communications Technology Equipment</v>
      </c>
      <c r="I45" s="1042" t="s">
        <v>90</v>
      </c>
      <c r="J45" s="1039"/>
      <c r="K45" s="1039">
        <v>2134.34</v>
      </c>
      <c r="L45" s="158">
        <f t="shared" si="1"/>
        <v>0</v>
      </c>
    </row>
    <row r="46" spans="1:12" ht="67.5" customHeight="1">
      <c r="A46" s="1032">
        <v>44985</v>
      </c>
      <c r="B46" s="1043" t="s">
        <v>2215</v>
      </c>
      <c r="C46" s="1036" t="s">
        <v>494</v>
      </c>
      <c r="D46" s="1036"/>
      <c r="E46" s="1040"/>
      <c r="F46" s="1036"/>
      <c r="G46" s="1035" t="s">
        <v>2216</v>
      </c>
      <c r="H46" s="1041" t="str">
        <f>IF(I46=0,"",(INDEX([1]!AccountCodes[ACCOUNT NAME],MATCH(I46,[1]!AccountCodes[NGAS CODE],0))))</f>
        <v>Cash in Bank-Local Currency, Current Account - RO</v>
      </c>
      <c r="I46" s="1044" t="s">
        <v>1478</v>
      </c>
      <c r="J46" s="1039">
        <v>1747500</v>
      </c>
      <c r="K46" s="1039"/>
      <c r="L46" s="158">
        <f t="shared" si="1"/>
        <v>1747500</v>
      </c>
    </row>
    <row r="47" spans="1:12" ht="63" customHeight="1">
      <c r="A47" s="1032">
        <v>44985</v>
      </c>
      <c r="B47" s="1043" t="s">
        <v>2215</v>
      </c>
      <c r="C47" s="1036" t="s">
        <v>494</v>
      </c>
      <c r="D47" s="1036"/>
      <c r="E47" s="1040"/>
      <c r="F47" s="1036"/>
      <c r="G47" s="1035" t="s">
        <v>2216</v>
      </c>
      <c r="H47" s="1045" t="str">
        <f>IF(I47=0,"",(INDEX([1]!AccountCodes[ACCOUNT NAME],MATCH(I47,[1]!AccountCodes[NGAS CODE],0))))</f>
        <v>Subsidy from Central Office</v>
      </c>
      <c r="I47" s="1046" t="s">
        <v>152</v>
      </c>
      <c r="J47" s="1047"/>
      <c r="K47" s="1047">
        <v>1747500</v>
      </c>
      <c r="L47" s="158">
        <f t="shared" si="1"/>
        <v>0</v>
      </c>
    </row>
    <row r="48" spans="1:12" ht="25.5">
      <c r="A48" s="1032">
        <v>44985</v>
      </c>
      <c r="B48" s="1043" t="s">
        <v>2217</v>
      </c>
      <c r="C48" s="1036" t="s">
        <v>494</v>
      </c>
      <c r="D48" s="1036"/>
      <c r="E48" s="1040"/>
      <c r="F48" s="1036"/>
      <c r="G48" s="1048" t="s">
        <v>2218</v>
      </c>
      <c r="H48" s="1045" t="str">
        <f>IF(I48=0,"",(INDEX([1]!AccountCodes[ACCOUNT NAME],MATCH(I48,[1]!AccountCodes[NGAS CODE],0))))</f>
        <v>Semi-Expendable Books</v>
      </c>
      <c r="I48" s="1046" t="s">
        <v>1439</v>
      </c>
      <c r="J48" s="1047">
        <v>16000</v>
      </c>
      <c r="K48" s="1047"/>
      <c r="L48" s="158">
        <f t="shared" si="1"/>
        <v>16000</v>
      </c>
    </row>
    <row r="49" spans="1:12" ht="25.5">
      <c r="A49" s="1032">
        <v>44985</v>
      </c>
      <c r="B49" s="1043" t="s">
        <v>2217</v>
      </c>
      <c r="C49" s="1036" t="s">
        <v>494</v>
      </c>
      <c r="D49" s="1036"/>
      <c r="E49" s="1040"/>
      <c r="F49" s="1036"/>
      <c r="G49" s="1048" t="s">
        <v>2218</v>
      </c>
      <c r="H49" s="1045" t="str">
        <f>IF(I49=0,"",(INDEX([1]!AccountCodes[ACCOUNT NAME],MATCH(I49,[1]!AccountCodes[NGAS CODE],0))))</f>
        <v>Accumulated Surplus/(Deficit) (Government Equity)</v>
      </c>
      <c r="I49" s="1046" t="s">
        <v>122</v>
      </c>
      <c r="J49" s="1047"/>
      <c r="K49" s="1047">
        <v>16000</v>
      </c>
      <c r="L49" s="158">
        <f t="shared" si="1"/>
        <v>0</v>
      </c>
    </row>
    <row r="50" spans="1:12" ht="38.1" customHeight="1">
      <c r="A50" s="1032">
        <v>44985</v>
      </c>
      <c r="B50" s="1043" t="s">
        <v>2219</v>
      </c>
      <c r="C50" s="1036" t="s">
        <v>484</v>
      </c>
      <c r="D50" s="1036"/>
      <c r="E50" s="1040"/>
      <c r="F50" s="1036"/>
      <c r="G50" s="143" t="s">
        <v>2220</v>
      </c>
      <c r="H50" s="1045" t="str">
        <f>IF(I50=0,"",(INDEX([1]!AccountCodes[ACCOUNT NAME],MATCH(I50,[1]!AccountCodes[NGAS CODE],0))))</f>
        <v>Traveling Expenses-Local</v>
      </c>
      <c r="I50" s="939" t="s">
        <v>223</v>
      </c>
      <c r="J50" s="497">
        <v>16317</v>
      </c>
      <c r="K50" s="497"/>
      <c r="L50" s="158">
        <f t="shared" si="1"/>
        <v>16317</v>
      </c>
    </row>
    <row r="51" spans="1:12" ht="38.1" customHeight="1">
      <c r="A51" s="1032">
        <v>44985</v>
      </c>
      <c r="B51" s="1043" t="s">
        <v>2219</v>
      </c>
      <c r="C51" s="1036" t="s">
        <v>484</v>
      </c>
      <c r="D51" s="1036"/>
      <c r="E51" s="1040"/>
      <c r="F51" s="1036"/>
      <c r="G51" s="143" t="s">
        <v>2220</v>
      </c>
      <c r="H51" s="1045" t="str">
        <f>IF(I51=0,"",(INDEX([1]!AccountCodes[ACCOUNT NAME],MATCH(I51,[1]!AccountCodes[NGAS CODE],0))))</f>
        <v>Advances to Officers and Employees</v>
      </c>
      <c r="I51" s="939" t="s">
        <v>27</v>
      </c>
      <c r="J51" s="497"/>
      <c r="K51" s="497">
        <v>16317</v>
      </c>
      <c r="L51" s="158">
        <f t="shared" si="1"/>
        <v>0</v>
      </c>
    </row>
    <row r="52" spans="1:12" ht="38.1" customHeight="1">
      <c r="A52" s="1032">
        <v>44985</v>
      </c>
      <c r="B52" s="1043" t="s">
        <v>2221</v>
      </c>
      <c r="C52" s="1036" t="s">
        <v>484</v>
      </c>
      <c r="D52" s="1036"/>
      <c r="E52" s="1040"/>
      <c r="F52" s="1036"/>
      <c r="G52" s="1057" t="s">
        <v>2222</v>
      </c>
      <c r="H52" s="1045" t="str">
        <f>IF(I52=0,"",(INDEX([1]!AccountCodes[ACCOUNT NAME],MATCH(I52,[1]!AccountCodes[NGAS CODE],0))))</f>
        <v>Depreciation-Machinery and Equipment - ICT Equipment</v>
      </c>
      <c r="I52" s="185" t="s">
        <v>280</v>
      </c>
      <c r="J52" s="144">
        <v>3482.39</v>
      </c>
      <c r="K52" s="144"/>
      <c r="L52" s="158">
        <f t="shared" si="1"/>
        <v>3482.39</v>
      </c>
    </row>
    <row r="53" spans="1:12" ht="38.1" customHeight="1">
      <c r="A53" s="1032">
        <v>44985</v>
      </c>
      <c r="B53" s="1043" t="s">
        <v>2221</v>
      </c>
      <c r="C53" s="1036" t="s">
        <v>484</v>
      </c>
      <c r="D53" s="1036"/>
      <c r="E53" s="1040"/>
      <c r="F53" s="1036"/>
      <c r="G53" s="1057" t="s">
        <v>2222</v>
      </c>
      <c r="H53" s="1045" t="str">
        <f>IF(I53=0,"",(INDEX([1]!AccountCodes[ACCOUNT NAME],MATCH(I53,[1]!AccountCodes[NGAS CODE],0))))</f>
        <v>Accumulated Depreciation-Information and Communications Technology Equipment</v>
      </c>
      <c r="I53" s="185" t="s">
        <v>90</v>
      </c>
      <c r="J53" s="144"/>
      <c r="K53" s="144">
        <v>3482.39</v>
      </c>
      <c r="L53" s="158">
        <f t="shared" si="1"/>
        <v>0</v>
      </c>
    </row>
    <row r="54" spans="1:12" ht="38.1" customHeight="1">
      <c r="A54" s="1032">
        <v>44985</v>
      </c>
      <c r="B54" s="1043" t="s">
        <v>2223</v>
      </c>
      <c r="C54" s="1036" t="s">
        <v>485</v>
      </c>
      <c r="D54" s="1036"/>
      <c r="E54" s="1040"/>
      <c r="F54" s="1036"/>
      <c r="G54" s="1057" t="s">
        <v>2224</v>
      </c>
      <c r="H54" s="1045" t="str">
        <f>IF(I54=0,"",(INDEX([1]!AccountCodes[ACCOUNT NAME],MATCH(I54,[1]!AccountCodes[NGAS CODE],0))))</f>
        <v>Depreciation-Machinery and Equipment - Office Equipment</v>
      </c>
      <c r="I54" s="1046" t="s">
        <v>278</v>
      </c>
      <c r="J54" s="1047">
        <v>1487.54</v>
      </c>
      <c r="K54" s="1047"/>
      <c r="L54" s="158">
        <f t="shared" si="1"/>
        <v>1487.54</v>
      </c>
    </row>
    <row r="55" spans="1:12" ht="38.1" customHeight="1">
      <c r="A55" s="1032">
        <v>44985</v>
      </c>
      <c r="B55" s="1043" t="s">
        <v>2223</v>
      </c>
      <c r="C55" s="1036" t="s">
        <v>485</v>
      </c>
      <c r="D55" s="1036"/>
      <c r="E55" s="1040"/>
      <c r="F55" s="1036"/>
      <c r="G55" s="1057" t="s">
        <v>2224</v>
      </c>
      <c r="H55" s="1045" t="str">
        <f>IF(I55=0,"",(INDEX([1]!AccountCodes[ACCOUNT NAME],MATCH(I55,[1]!AccountCodes[NGAS CODE],0))))</f>
        <v>Accumulated Depreciation-Office Equipment</v>
      </c>
      <c r="I55" s="1046" t="s">
        <v>88</v>
      </c>
      <c r="J55" s="1047"/>
      <c r="K55" s="1047">
        <v>1487.54</v>
      </c>
      <c r="L55" s="158">
        <f>L54+J55-K55</f>
        <v>0</v>
      </c>
    </row>
    <row r="56" spans="1:12" ht="38.1" customHeight="1">
      <c r="A56" s="1032">
        <v>44985</v>
      </c>
      <c r="B56" s="1043" t="s">
        <v>2225</v>
      </c>
      <c r="C56" s="1036" t="s">
        <v>485</v>
      </c>
      <c r="D56" s="1036"/>
      <c r="E56" s="1040"/>
      <c r="F56" s="1036"/>
      <c r="G56" s="1057" t="s">
        <v>2226</v>
      </c>
      <c r="H56" s="1045" t="str">
        <f>IF(I56=0,"",(INDEX([1]!AccountCodes[ACCOUNT NAME],MATCH(I56,[1]!AccountCodes[NGAS CODE],0))))</f>
        <v>Depreciation-Machinery and Equipment - ICT Equipment</v>
      </c>
      <c r="I56" s="1046" t="s">
        <v>280</v>
      </c>
      <c r="J56" s="1047">
        <v>8619.66</v>
      </c>
      <c r="K56" s="1047"/>
      <c r="L56" s="158">
        <f t="shared" ref="L56:L119" si="2">L55+J56-K56</f>
        <v>8619.66</v>
      </c>
    </row>
    <row r="57" spans="1:12" ht="38.1" customHeight="1">
      <c r="A57" s="1032">
        <v>44985</v>
      </c>
      <c r="B57" s="1043" t="s">
        <v>2225</v>
      </c>
      <c r="C57" s="1036" t="s">
        <v>485</v>
      </c>
      <c r="D57" s="1036"/>
      <c r="E57" s="1040"/>
      <c r="F57" s="1036"/>
      <c r="G57" s="1057" t="s">
        <v>2226</v>
      </c>
      <c r="H57" s="1045" t="str">
        <f>IF(I57=0,"",(INDEX([1]!AccountCodes[ACCOUNT NAME],MATCH(I57,[1]!AccountCodes[NGAS CODE],0))))</f>
        <v>Accumulated Depreciation-Information and Communications Technology Equipment</v>
      </c>
      <c r="I57" s="1046" t="s">
        <v>90</v>
      </c>
      <c r="J57" s="1047"/>
      <c r="K57" s="1047">
        <v>8619.66</v>
      </c>
      <c r="L57" s="158">
        <f t="shared" si="2"/>
        <v>0</v>
      </c>
    </row>
    <row r="58" spans="1:12" ht="38.1" customHeight="1">
      <c r="A58" s="1032">
        <v>44985</v>
      </c>
      <c r="B58" s="1043" t="s">
        <v>2157</v>
      </c>
      <c r="C58" s="1036" t="s">
        <v>762</v>
      </c>
      <c r="D58" s="1036"/>
      <c r="E58" s="1040"/>
      <c r="F58" s="1036"/>
      <c r="G58" s="1048" t="s">
        <v>2158</v>
      </c>
      <c r="H58" s="1045" t="str">
        <f>IF(I58=0,"",(INDEX([1]!AccountCodes[ACCOUNT NAME],MATCH(I58,[1]!AccountCodes[NGAS CODE],0))))</f>
        <v>Due to Pag-IBIG - Pag-IBIG Premium</v>
      </c>
      <c r="I58" s="1046" t="s">
        <v>1444</v>
      </c>
      <c r="J58" s="1047">
        <v>2200</v>
      </c>
      <c r="K58" s="1047"/>
      <c r="L58" s="158">
        <f t="shared" si="2"/>
        <v>2200</v>
      </c>
    </row>
    <row r="59" spans="1:12" ht="38.1" customHeight="1">
      <c r="A59" s="1032">
        <v>44985</v>
      </c>
      <c r="B59" s="1043" t="s">
        <v>2157</v>
      </c>
      <c r="C59" s="1036" t="s">
        <v>762</v>
      </c>
      <c r="D59" s="1036"/>
      <c r="E59" s="1040"/>
      <c r="F59" s="1036"/>
      <c r="G59" s="1048" t="s">
        <v>2158</v>
      </c>
      <c r="H59" s="1045" t="str">
        <f>IF(I59=0,"",(INDEX([1]!AccountCodes[ACCOUNT NAME],MATCH(I59,[1]!AccountCodes[NGAS CODE],0))))</f>
        <v>Due to Pag-IBIG - Pag-IBIG Multi-Purpose Loan</v>
      </c>
      <c r="I59" s="1046" t="s">
        <v>1445</v>
      </c>
      <c r="J59" s="1047">
        <v>1989.56</v>
      </c>
      <c r="K59" s="1047"/>
      <c r="L59" s="158">
        <f t="shared" si="2"/>
        <v>4189.5600000000004</v>
      </c>
    </row>
    <row r="60" spans="1:12" ht="38.1" customHeight="1">
      <c r="A60" s="1032">
        <v>44985</v>
      </c>
      <c r="B60" s="1043" t="s">
        <v>2157</v>
      </c>
      <c r="C60" s="1036" t="s">
        <v>762</v>
      </c>
      <c r="D60" s="1036"/>
      <c r="E60" s="1040"/>
      <c r="F60" s="1036"/>
      <c r="G60" s="1048" t="s">
        <v>2158</v>
      </c>
      <c r="H60" s="1041" t="str">
        <f>IF(I60=0,"",(INDEX([1]!AccountCodes[ACCOUNT NAME],MATCH(I60,[1]!AccountCodes[NGAS CODE],0))))</f>
        <v>Due to PhilHealth</v>
      </c>
      <c r="I60" s="1046" t="s">
        <v>112</v>
      </c>
      <c r="J60" s="1047">
        <v>3830.51</v>
      </c>
      <c r="K60" s="1047"/>
      <c r="L60" s="158">
        <f t="shared" si="2"/>
        <v>8020.07</v>
      </c>
    </row>
    <row r="61" spans="1:12" ht="38.1" customHeight="1">
      <c r="A61" s="1032">
        <v>44985</v>
      </c>
      <c r="B61" s="1043" t="s">
        <v>2157</v>
      </c>
      <c r="C61" s="1036" t="s">
        <v>762</v>
      </c>
      <c r="D61" s="1036"/>
      <c r="E61" s="1040"/>
      <c r="F61" s="1036"/>
      <c r="G61" s="1048" t="s">
        <v>2158</v>
      </c>
      <c r="H61" s="1041" t="str">
        <f>IF(I61=0,"",(INDEX([1]!AccountCodes[ACCOUNT NAME],MATCH(I61,[1]!AccountCodes[NGAS CODE],0))))</f>
        <v>Other Payables</v>
      </c>
      <c r="I61" s="1046" t="s">
        <v>117</v>
      </c>
      <c r="J61" s="1047">
        <v>7191.66</v>
      </c>
      <c r="K61" s="1047"/>
      <c r="L61" s="158">
        <f t="shared" si="2"/>
        <v>15211.73</v>
      </c>
    </row>
    <row r="62" spans="1:12" ht="38.1" customHeight="1">
      <c r="A62" s="1032">
        <v>44985</v>
      </c>
      <c r="B62" s="1043" t="s">
        <v>2157</v>
      </c>
      <c r="C62" s="1036" t="s">
        <v>762</v>
      </c>
      <c r="D62" s="1036"/>
      <c r="E62" s="1040"/>
      <c r="F62" s="1036"/>
      <c r="G62" s="1048" t="s">
        <v>2158</v>
      </c>
      <c r="H62" s="1041" t="str">
        <f>IF(I62=0,"",(INDEX([1]!AccountCodes[ACCOUNT NAME],MATCH(I62,[1]!AccountCodes[NGAS CODE],0))))</f>
        <v>Due to Other Funds</v>
      </c>
      <c r="I62" s="1046" t="s">
        <v>114</v>
      </c>
      <c r="J62" s="1047"/>
      <c r="K62" s="1047">
        <v>15211.73</v>
      </c>
      <c r="L62" s="158">
        <f t="shared" si="2"/>
        <v>0</v>
      </c>
    </row>
    <row r="63" spans="1:12" ht="38.1" customHeight="1">
      <c r="A63" s="1032">
        <v>44985</v>
      </c>
      <c r="B63" s="1043" t="s">
        <v>2227</v>
      </c>
      <c r="C63" s="1036" t="s">
        <v>494</v>
      </c>
      <c r="D63" s="1036"/>
      <c r="E63" s="1040"/>
      <c r="F63" s="1036"/>
      <c r="G63" s="1048" t="s">
        <v>2228</v>
      </c>
      <c r="H63" s="1041" t="str">
        <f>IF(I63=0,"",(INDEX([1]!AccountCodes[ACCOUNT NAME],MATCH(I63,[1]!AccountCodes[NGAS CODE],0))))</f>
        <v>Depreciation-Machinery and Equipment - ICT Equipment</v>
      </c>
      <c r="I63" s="1046" t="s">
        <v>280</v>
      </c>
      <c r="J63" s="1047">
        <v>2998.83</v>
      </c>
      <c r="K63" s="1047"/>
      <c r="L63" s="158">
        <f t="shared" si="2"/>
        <v>2998.83</v>
      </c>
    </row>
    <row r="64" spans="1:12" ht="38.1" customHeight="1">
      <c r="A64" s="1032">
        <v>44985</v>
      </c>
      <c r="B64" s="1043" t="s">
        <v>2227</v>
      </c>
      <c r="C64" s="1036" t="s">
        <v>494</v>
      </c>
      <c r="D64" s="1036"/>
      <c r="E64" s="1040"/>
      <c r="F64" s="1036"/>
      <c r="G64" s="1048" t="s">
        <v>2228</v>
      </c>
      <c r="H64" s="1041" t="str">
        <f>IF(I64=0,"",(INDEX([1]!AccountCodes[ACCOUNT NAME],MATCH(I64,[1]!AccountCodes[NGAS CODE],0))))</f>
        <v>Accumulated Depreciation-Information and Communications Technology Equipment</v>
      </c>
      <c r="I64" s="1049" t="s">
        <v>90</v>
      </c>
      <c r="J64" s="1047"/>
      <c r="K64" s="1047">
        <v>2998.83</v>
      </c>
      <c r="L64" s="158">
        <f t="shared" si="2"/>
        <v>0</v>
      </c>
    </row>
    <row r="65" spans="1:12" ht="38.1" customHeight="1">
      <c r="A65" s="1032">
        <v>44985</v>
      </c>
      <c r="B65" s="1043" t="s">
        <v>2159</v>
      </c>
      <c r="C65" s="1036" t="s">
        <v>762</v>
      </c>
      <c r="D65" s="1036"/>
      <c r="E65" s="1040"/>
      <c r="F65" s="1036"/>
      <c r="G65" s="1048" t="s">
        <v>2160</v>
      </c>
      <c r="H65" s="1041" t="str">
        <f>IF(I65=0,"",(INDEX([1]!AccountCodes[ACCOUNT NAME],MATCH(I65,[1]!AccountCodes[NGAS CODE],0))))</f>
        <v>Depreciation-Machinery and Equipment - Office Equipment</v>
      </c>
      <c r="I65" s="1046" t="s">
        <v>278</v>
      </c>
      <c r="J65" s="1047">
        <v>10717.28</v>
      </c>
      <c r="K65" s="1047"/>
      <c r="L65" s="158">
        <f t="shared" si="2"/>
        <v>10717.28</v>
      </c>
    </row>
    <row r="66" spans="1:12" ht="38.1" customHeight="1">
      <c r="A66" s="1032">
        <v>44985</v>
      </c>
      <c r="B66" s="1043" t="s">
        <v>2159</v>
      </c>
      <c r="C66" s="1036" t="s">
        <v>762</v>
      </c>
      <c r="D66" s="1036"/>
      <c r="E66" s="1040"/>
      <c r="F66" s="1036"/>
      <c r="G66" s="1048" t="s">
        <v>2160</v>
      </c>
      <c r="H66" s="1041" t="str">
        <f>IF(I66=0,"",(INDEX([1]!AccountCodes[ACCOUNT NAME],MATCH(I66,[1]!AccountCodes[NGAS CODE],0))))</f>
        <v>Depreciation-Machinery and Equipment - ICT Equipment</v>
      </c>
      <c r="I66" s="1049" t="s">
        <v>280</v>
      </c>
      <c r="J66" s="1047">
        <v>18807.22</v>
      </c>
      <c r="K66" s="1047"/>
      <c r="L66" s="158">
        <f t="shared" si="2"/>
        <v>29524.5</v>
      </c>
    </row>
    <row r="67" spans="1:12" ht="38.1" customHeight="1">
      <c r="A67" s="1032">
        <v>44985</v>
      </c>
      <c r="B67" s="1043" t="s">
        <v>2159</v>
      </c>
      <c r="C67" s="1036" t="s">
        <v>762</v>
      </c>
      <c r="D67" s="1036"/>
      <c r="E67" s="1040"/>
      <c r="F67" s="1036"/>
      <c r="G67" s="1048" t="s">
        <v>2160</v>
      </c>
      <c r="H67" s="1041" t="str">
        <f>IF(I67=0,"",(INDEX([1]!AccountCodes[ACCOUNT NAME],MATCH(I67,[1]!AccountCodes[NGAS CODE],0))))</f>
        <v>Accumulated Depreciation-Office Equipment</v>
      </c>
      <c r="I67" s="1044" t="s">
        <v>88</v>
      </c>
      <c r="J67" s="1039"/>
      <c r="K67" s="1047">
        <v>10717.28</v>
      </c>
      <c r="L67" s="158">
        <f t="shared" si="2"/>
        <v>18807.22</v>
      </c>
    </row>
    <row r="68" spans="1:12" ht="38.1" customHeight="1">
      <c r="A68" s="1032">
        <v>44985</v>
      </c>
      <c r="B68" s="1043" t="s">
        <v>2159</v>
      </c>
      <c r="C68" s="1036" t="s">
        <v>762</v>
      </c>
      <c r="D68" s="1036"/>
      <c r="E68" s="1040"/>
      <c r="F68" s="1036"/>
      <c r="G68" s="1048" t="s">
        <v>2160</v>
      </c>
      <c r="H68" s="1041" t="str">
        <f>IF(I68=0,"",(INDEX([1]!AccountCodes[ACCOUNT NAME],MATCH(I68,[1]!AccountCodes[NGAS CODE],0))))</f>
        <v>Accumulated Depreciation-Information and Communications Technology Equipment</v>
      </c>
      <c r="I68" s="1049" t="s">
        <v>90</v>
      </c>
      <c r="J68" s="1047"/>
      <c r="K68" s="1047">
        <v>18807.22</v>
      </c>
      <c r="L68" s="158">
        <f t="shared" si="2"/>
        <v>0</v>
      </c>
    </row>
    <row r="69" spans="1:12" ht="35.25" customHeight="1">
      <c r="A69" s="1032">
        <v>44985</v>
      </c>
      <c r="B69" s="1043" t="s">
        <v>2161</v>
      </c>
      <c r="C69" s="1036" t="s">
        <v>762</v>
      </c>
      <c r="D69" s="1036"/>
      <c r="E69" s="1040"/>
      <c r="F69" s="1036"/>
      <c r="G69" s="1037" t="s">
        <v>2162</v>
      </c>
      <c r="H69" s="1041" t="str">
        <f>IF(I69=0,"",(INDEX([1]!AccountCodes[ACCOUNT NAME],MATCH(I69,[1]!AccountCodes[NGAS CODE],0))))</f>
        <v>Depreciation-Infrastructure Assets - Other Infrastructure Assets (Irrigation Canals &amp; Laterals)</v>
      </c>
      <c r="I69" s="1038" t="s">
        <v>1452</v>
      </c>
      <c r="J69" s="1039">
        <v>196138.44</v>
      </c>
      <c r="K69" s="1039"/>
      <c r="L69" s="158">
        <f t="shared" si="2"/>
        <v>196138.44</v>
      </c>
    </row>
    <row r="70" spans="1:12" ht="32.25" customHeight="1">
      <c r="A70" s="1032">
        <v>44985</v>
      </c>
      <c r="B70" s="1043" t="s">
        <v>2161</v>
      </c>
      <c r="C70" s="1036" t="s">
        <v>486</v>
      </c>
      <c r="D70" s="1036"/>
      <c r="E70" s="1040"/>
      <c r="F70" s="1036"/>
      <c r="G70" s="1037" t="s">
        <v>2162</v>
      </c>
      <c r="H70" s="1041" t="str">
        <f>IF(I70=0,"",(INDEX([1]!AccountCodes[ACCOUNT NAME],MATCH(I70,[1]!AccountCodes[NGAS CODE],0))))</f>
        <v>Depreciation-Infrastructure Assets - Other Infrastructure Assets (Irrigation Canals &amp; Laterals)</v>
      </c>
      <c r="I70" s="1038" t="s">
        <v>1452</v>
      </c>
      <c r="J70" s="1039">
        <v>134107.56</v>
      </c>
      <c r="K70" s="1039"/>
      <c r="L70" s="158">
        <f t="shared" si="2"/>
        <v>330246</v>
      </c>
    </row>
    <row r="71" spans="1:12" ht="20.100000000000001" customHeight="1">
      <c r="A71" s="1032">
        <v>44985</v>
      </c>
      <c r="B71" s="1043" t="s">
        <v>2161</v>
      </c>
      <c r="C71" s="1036" t="s">
        <v>485</v>
      </c>
      <c r="D71" s="1036"/>
      <c r="E71" s="1040"/>
      <c r="F71" s="1036"/>
      <c r="G71" s="1037" t="s">
        <v>2162</v>
      </c>
      <c r="H71" s="1041" t="str">
        <f>IF(I71=0,"",(INDEX([1]!AccountCodes[ACCOUNT NAME],MATCH(I71,[1]!AccountCodes[NGAS CODE],0))))</f>
        <v>Depreciation-Infrastructure Assets - Other Infrastructure Assets (Irrigation Canals &amp; Laterals)</v>
      </c>
      <c r="I71" s="1038" t="s">
        <v>1452</v>
      </c>
      <c r="J71" s="1039">
        <v>153949.34</v>
      </c>
      <c r="K71" s="1039"/>
      <c r="L71" s="158">
        <f t="shared" si="2"/>
        <v>484195.34</v>
      </c>
    </row>
    <row r="72" spans="1:12" ht="40.5" customHeight="1">
      <c r="A72" s="1032">
        <v>44985</v>
      </c>
      <c r="B72" s="1043" t="s">
        <v>2161</v>
      </c>
      <c r="C72" s="1036" t="s">
        <v>484</v>
      </c>
      <c r="D72" s="1036"/>
      <c r="E72" s="1040"/>
      <c r="F72" s="1036"/>
      <c r="G72" s="1037" t="s">
        <v>2162</v>
      </c>
      <c r="H72" s="1041" t="str">
        <f>IF(I72=0,"",(INDEX([1]!AccountCodes[ACCOUNT NAME],MATCH(I72,[1]!AccountCodes[NGAS CODE],0))))</f>
        <v>Depreciation-Infrastructure Assets - Other Infrastructure Assets (Irrigation Canals &amp; Laterals)</v>
      </c>
      <c r="I72" s="1038" t="s">
        <v>1452</v>
      </c>
      <c r="J72" s="1039">
        <v>119599.57</v>
      </c>
      <c r="K72" s="1039"/>
      <c r="L72" s="158">
        <f t="shared" si="2"/>
        <v>603794.91</v>
      </c>
    </row>
    <row r="73" spans="1:12" ht="20.100000000000001" customHeight="1">
      <c r="A73" s="1032">
        <v>44985</v>
      </c>
      <c r="B73" s="1043" t="s">
        <v>2161</v>
      </c>
      <c r="C73" s="1036" t="s">
        <v>762</v>
      </c>
      <c r="D73" s="1036"/>
      <c r="E73" s="1040"/>
      <c r="F73" s="1036"/>
      <c r="G73" s="1037" t="s">
        <v>2162</v>
      </c>
      <c r="H73" s="1041" t="str">
        <f>IF(I73=0,"",(INDEX([1]!AccountCodes[ACCOUNT NAME],MATCH(I73,[1]!AccountCodes[NGAS CODE],0))))</f>
        <v>Accumulated Depreciation-Water Supply Systems</v>
      </c>
      <c r="I73" s="1038" t="s">
        <v>1261</v>
      </c>
      <c r="J73" s="1039"/>
      <c r="K73" s="1039">
        <v>196138.44</v>
      </c>
      <c r="L73" s="158">
        <f t="shared" si="2"/>
        <v>407656.47</v>
      </c>
    </row>
    <row r="74" spans="1:12" ht="20.100000000000001" customHeight="1">
      <c r="A74" s="1032">
        <v>44985</v>
      </c>
      <c r="B74" s="1043" t="s">
        <v>2161</v>
      </c>
      <c r="C74" s="1036" t="s">
        <v>486</v>
      </c>
      <c r="D74" s="1036"/>
      <c r="E74" s="1040"/>
      <c r="F74" s="1036"/>
      <c r="G74" s="1037" t="s">
        <v>2162</v>
      </c>
      <c r="H74" s="1041" t="str">
        <f>IF(I74=0,"",(INDEX([1]!AccountCodes[ACCOUNT NAME],MATCH(I74,[1]!AccountCodes[NGAS CODE],0))))</f>
        <v>Accumulated Depreciation-Water Supply Systems</v>
      </c>
      <c r="I74" s="1038" t="s">
        <v>1261</v>
      </c>
      <c r="J74" s="1039"/>
      <c r="K74" s="1039">
        <v>134107.56</v>
      </c>
      <c r="L74" s="158">
        <f t="shared" si="2"/>
        <v>273548.90999999997</v>
      </c>
    </row>
    <row r="75" spans="1:12" ht="32.25" customHeight="1">
      <c r="A75" s="1032">
        <v>44985</v>
      </c>
      <c r="B75" s="1043" t="s">
        <v>2161</v>
      </c>
      <c r="C75" s="1036" t="s">
        <v>485</v>
      </c>
      <c r="D75" s="1036"/>
      <c r="E75" s="1040"/>
      <c r="F75" s="1036"/>
      <c r="G75" s="1037" t="s">
        <v>2162</v>
      </c>
      <c r="H75" s="1041" t="str">
        <f>IF(I75=0,"",(INDEX([1]!AccountCodes[ACCOUNT NAME],MATCH(I75,[1]!AccountCodes[NGAS CODE],0))))</f>
        <v>Accumulated Depreciation-Water Supply Systems</v>
      </c>
      <c r="I75" s="1038" t="s">
        <v>1261</v>
      </c>
      <c r="J75" s="1039"/>
      <c r="K75" s="1039">
        <v>153949.34</v>
      </c>
      <c r="L75" s="158">
        <f t="shared" si="2"/>
        <v>119599.57</v>
      </c>
    </row>
    <row r="76" spans="1:12" ht="32.25" customHeight="1">
      <c r="A76" s="1032">
        <v>44985</v>
      </c>
      <c r="B76" s="1043" t="s">
        <v>2161</v>
      </c>
      <c r="C76" s="1036" t="s">
        <v>484</v>
      </c>
      <c r="D76" s="1036"/>
      <c r="E76" s="1040"/>
      <c r="F76" s="1036"/>
      <c r="G76" s="1037" t="s">
        <v>2162</v>
      </c>
      <c r="H76" s="1041" t="str">
        <f>IF(I76=0,"",(INDEX([1]!AccountCodes[ACCOUNT NAME],MATCH(I76,[1]!AccountCodes[NGAS CODE],0))))</f>
        <v>Accumulated Depreciation-Water Supply Systems</v>
      </c>
      <c r="I76" s="1038" t="s">
        <v>1261</v>
      </c>
      <c r="J76" s="1039"/>
      <c r="K76" s="1039">
        <v>119599.57</v>
      </c>
      <c r="L76" s="158">
        <f t="shared" si="2"/>
        <v>0</v>
      </c>
    </row>
    <row r="77" spans="1:12" ht="38.1" customHeight="1">
      <c r="A77" s="1032">
        <v>44985</v>
      </c>
      <c r="B77" s="1043" t="s">
        <v>2229</v>
      </c>
      <c r="C77" s="1036" t="s">
        <v>486</v>
      </c>
      <c r="D77" s="1036"/>
      <c r="E77" s="1040"/>
      <c r="F77" s="1036"/>
      <c r="G77" s="1048" t="s">
        <v>2230</v>
      </c>
      <c r="H77" s="1041" t="str">
        <f>IF(I77=0,"",(INDEX([1]!AccountCodes[ACCOUNT NAME],MATCH(I77,[1]!AccountCodes[NGAS CODE],0))))</f>
        <v>Other Supplies and Materials Expenses</v>
      </c>
      <c r="I77" s="185" t="s">
        <v>231</v>
      </c>
      <c r="J77" s="144">
        <v>1605</v>
      </c>
      <c r="K77" s="144"/>
      <c r="L77" s="158">
        <f t="shared" si="2"/>
        <v>1605</v>
      </c>
    </row>
    <row r="78" spans="1:12" ht="38.1" customHeight="1">
      <c r="A78" s="1032">
        <v>44985</v>
      </c>
      <c r="B78" s="1043" t="s">
        <v>2229</v>
      </c>
      <c r="C78" s="1036" t="s">
        <v>486</v>
      </c>
      <c r="D78" s="1036"/>
      <c r="E78" s="1040"/>
      <c r="F78" s="1036"/>
      <c r="G78" s="1048" t="s">
        <v>2230</v>
      </c>
      <c r="H78" s="1041" t="str">
        <f>IF(I78=0,"",(INDEX([1]!AccountCodes[ACCOUNT NAME],MATCH(I78,[1]!AccountCodes[NGAS CODE],0))))</f>
        <v>Other Supplies and Materials Inventory</v>
      </c>
      <c r="I78" s="185" t="s">
        <v>32</v>
      </c>
      <c r="J78" s="144"/>
      <c r="K78" s="144">
        <v>1605</v>
      </c>
      <c r="L78" s="158">
        <f t="shared" si="2"/>
        <v>0</v>
      </c>
    </row>
    <row r="79" spans="1:12" ht="30" customHeight="1">
      <c r="A79" s="1032">
        <v>45016</v>
      </c>
      <c r="B79" s="1043" t="s">
        <v>2164</v>
      </c>
      <c r="C79" s="1036" t="s">
        <v>494</v>
      </c>
      <c r="D79" s="1036"/>
      <c r="E79" s="1040"/>
      <c r="F79" s="1036"/>
      <c r="G79" s="1035" t="s">
        <v>2163</v>
      </c>
      <c r="H79" s="1041" t="str">
        <f>IF(I79=0,"",(INDEX([1]!AccountCodes[ACCOUNT NAME],MATCH(I79,[1]!AccountCodes[NGAS CODE],0))))</f>
        <v>Cash in Bank-Local Currency, Current Account - RO</v>
      </c>
      <c r="I79" s="1042" t="s">
        <v>1556</v>
      </c>
      <c r="J79" s="1039">
        <v>1375899.3</v>
      </c>
      <c r="K79" s="1039"/>
      <c r="L79" s="158">
        <f t="shared" si="2"/>
        <v>1375899.3</v>
      </c>
    </row>
    <row r="80" spans="1:12" ht="30" customHeight="1">
      <c r="A80" s="1032">
        <v>45016</v>
      </c>
      <c r="B80" s="1043" t="s">
        <v>2164</v>
      </c>
      <c r="C80" s="1036" t="s">
        <v>494</v>
      </c>
      <c r="D80" s="1036"/>
      <c r="E80" s="1040"/>
      <c r="F80" s="1036"/>
      <c r="G80" s="1035" t="s">
        <v>2163</v>
      </c>
      <c r="H80" s="1041" t="str">
        <f>IF(I80=0,"",(INDEX([1]!AccountCodes[ACCOUNT NAME],MATCH(I80,[1]!AccountCodes[NGAS CODE],0))))</f>
        <v>Subsidy from Central Office</v>
      </c>
      <c r="I80" s="1044" t="s">
        <v>152</v>
      </c>
      <c r="J80" s="1039"/>
      <c r="K80" s="1039">
        <v>1375899.3</v>
      </c>
      <c r="L80" s="158">
        <f t="shared" si="2"/>
        <v>0</v>
      </c>
    </row>
    <row r="81" spans="1:12" ht="20.100000000000001" customHeight="1">
      <c r="A81" s="1032">
        <v>45016</v>
      </c>
      <c r="B81" s="1043" t="s">
        <v>2165</v>
      </c>
      <c r="C81" s="1036" t="s">
        <v>494</v>
      </c>
      <c r="D81" s="1036"/>
      <c r="E81" s="1040"/>
      <c r="F81" s="1036"/>
      <c r="G81" s="1048" t="s">
        <v>2166</v>
      </c>
      <c r="H81" s="1041" t="str">
        <f>IF(I81=0,"",(INDEX([1]!AccountCodes[ACCOUNT NAME],MATCH(I81,[1]!AccountCodes[NGAS CODE],0))))</f>
        <v>Cash in Bank-Local Currency, Current Account - RO</v>
      </c>
      <c r="I81" s="1038" t="s">
        <v>1556</v>
      </c>
      <c r="J81" s="1039">
        <v>124.17</v>
      </c>
      <c r="K81" s="1039"/>
      <c r="L81" s="158">
        <f t="shared" si="2"/>
        <v>124.17</v>
      </c>
    </row>
    <row r="82" spans="1:12" ht="20.100000000000001" customHeight="1">
      <c r="A82" s="1032">
        <v>45016</v>
      </c>
      <c r="B82" s="1043" t="s">
        <v>2165</v>
      </c>
      <c r="C82" s="1036" t="s">
        <v>494</v>
      </c>
      <c r="D82" s="1036"/>
      <c r="E82" s="1040"/>
      <c r="F82" s="1036"/>
      <c r="G82" s="1048" t="s">
        <v>2166</v>
      </c>
      <c r="H82" s="1041" t="str">
        <f>IF(I82=0,"",(INDEX([1]!AccountCodes[ACCOUNT NAME],MATCH(I82,[1]!AccountCodes[NGAS CODE],0))))</f>
        <v>Due to the Treasurer of the Philippines</v>
      </c>
      <c r="I82" s="1038" t="s">
        <v>1496</v>
      </c>
      <c r="J82" s="1039"/>
      <c r="K82" s="1039">
        <v>124.17</v>
      </c>
      <c r="L82" s="158">
        <f t="shared" si="2"/>
        <v>0</v>
      </c>
    </row>
    <row r="83" spans="1:12" ht="30" customHeight="1">
      <c r="A83" s="1032">
        <v>45016</v>
      </c>
      <c r="B83" s="1043" t="s">
        <v>2167</v>
      </c>
      <c r="C83" s="1036" t="s">
        <v>494</v>
      </c>
      <c r="D83" s="1036"/>
      <c r="E83" s="1040"/>
      <c r="F83" s="1036"/>
      <c r="G83" s="1048" t="s">
        <v>2168</v>
      </c>
      <c r="H83" s="1041" t="str">
        <f>IF(I83=0,"",(INDEX([1]!AccountCodes[ACCOUNT NAME],MATCH(I83,[1]!AccountCodes[NGAS CODE],0))))</f>
        <v>Semi-Expendable Machinery and Equipment Expenses</v>
      </c>
      <c r="I83" s="1038" t="s">
        <v>1265</v>
      </c>
      <c r="J83" s="1039">
        <v>17624</v>
      </c>
      <c r="K83" s="1039"/>
      <c r="L83" s="158">
        <f t="shared" si="2"/>
        <v>17624</v>
      </c>
    </row>
    <row r="84" spans="1:12" ht="30" customHeight="1">
      <c r="A84" s="1032">
        <v>45016</v>
      </c>
      <c r="B84" s="1043" t="s">
        <v>2167</v>
      </c>
      <c r="C84" s="1036" t="s">
        <v>494</v>
      </c>
      <c r="D84" s="1036"/>
      <c r="E84" s="1040"/>
      <c r="F84" s="1036"/>
      <c r="G84" s="1048" t="s">
        <v>2168</v>
      </c>
      <c r="H84" s="1041" t="str">
        <f>IF(I84=0,"",(INDEX([1]!AccountCodes[ACCOUNT NAME],MATCH(I84,[1]!AccountCodes[NGAS CODE],0))))</f>
        <v>Semi-Expendable Office Equipment</v>
      </c>
      <c r="I84" s="1038" t="s">
        <v>1245</v>
      </c>
      <c r="J84" s="1039"/>
      <c r="K84" s="1039">
        <v>5525</v>
      </c>
      <c r="L84" s="158">
        <f t="shared" si="2"/>
        <v>12099</v>
      </c>
    </row>
    <row r="85" spans="1:12" ht="30" customHeight="1">
      <c r="A85" s="1032">
        <v>45016</v>
      </c>
      <c r="B85" s="1043" t="s">
        <v>2167</v>
      </c>
      <c r="C85" s="1036" t="s">
        <v>494</v>
      </c>
      <c r="D85" s="1036"/>
      <c r="E85" s="1040"/>
      <c r="F85" s="1036"/>
      <c r="G85" s="1048" t="s">
        <v>2168</v>
      </c>
      <c r="H85" s="1041" t="str">
        <f>IF(I85=0,"",(INDEX([1]!AccountCodes[ACCOUNT NAME],MATCH(I85,[1]!AccountCodes[NGAS CODE],0))))</f>
        <v>Semi-Expendable Information and Communications Technology Equipment</v>
      </c>
      <c r="I85" s="1038" t="s">
        <v>1246</v>
      </c>
      <c r="J85" s="1039"/>
      <c r="K85" s="1039">
        <v>9400</v>
      </c>
      <c r="L85" s="158">
        <f t="shared" si="2"/>
        <v>2699</v>
      </c>
    </row>
    <row r="86" spans="1:12" ht="30" customHeight="1">
      <c r="A86" s="1032">
        <v>45016</v>
      </c>
      <c r="B86" s="1043" t="s">
        <v>2167</v>
      </c>
      <c r="C86" s="1036" t="s">
        <v>494</v>
      </c>
      <c r="D86" s="1036"/>
      <c r="E86" s="1040"/>
      <c r="F86" s="1036"/>
      <c r="G86" s="1048" t="s">
        <v>2168</v>
      </c>
      <c r="H86" s="1050" t="str">
        <f>IF(I86=0,"",(INDEX([1]!AccountCodes[ACCOUNT NAME],MATCH(I86,[1]!AccountCodes[NGAS CODE],0))))</f>
        <v>Semi-Expendable Communications Equipment</v>
      </c>
      <c r="I86" s="1038" t="s">
        <v>1250</v>
      </c>
      <c r="J86" s="1039"/>
      <c r="K86" s="1039">
        <v>2699</v>
      </c>
      <c r="L86" s="158">
        <f t="shared" si="2"/>
        <v>0</v>
      </c>
    </row>
    <row r="87" spans="1:12" ht="20.100000000000001" customHeight="1">
      <c r="A87" s="1032">
        <v>45016</v>
      </c>
      <c r="B87" s="1043" t="s">
        <v>2169</v>
      </c>
      <c r="C87" s="1036" t="s">
        <v>494</v>
      </c>
      <c r="D87" s="1036"/>
      <c r="E87" s="1040"/>
      <c r="F87" s="1036"/>
      <c r="G87" s="1048" t="s">
        <v>2170</v>
      </c>
      <c r="H87" s="1050" t="str">
        <f>IF(I87=0,"",(INDEX([1]!AccountCodes[ACCOUNT NAME],MATCH(I87,[1]!AccountCodes[NGAS CODE],0))))</f>
        <v>Depreciation-Machinery and Equipment - ICT Equipment</v>
      </c>
      <c r="I87" s="1044" t="s">
        <v>280</v>
      </c>
      <c r="J87" s="1039">
        <v>2998.83</v>
      </c>
      <c r="K87" s="1039"/>
      <c r="L87" s="158">
        <f t="shared" si="2"/>
        <v>2998.83</v>
      </c>
    </row>
    <row r="88" spans="1:12" ht="20.100000000000001" customHeight="1">
      <c r="A88" s="1032">
        <v>45016</v>
      </c>
      <c r="B88" s="1043" t="s">
        <v>2169</v>
      </c>
      <c r="C88" s="1036" t="s">
        <v>494</v>
      </c>
      <c r="D88" s="1036"/>
      <c r="E88" s="1040"/>
      <c r="F88" s="1036"/>
      <c r="G88" s="1048" t="s">
        <v>2170</v>
      </c>
      <c r="H88" s="1050" t="str">
        <f>IF(I88=0,"",(INDEX([1]!AccountCodes[ACCOUNT NAME],MATCH(I88,[1]!AccountCodes[NGAS CODE],0))))</f>
        <v>Accumulated Depreciation-Information and Communications Technology Equipment</v>
      </c>
      <c r="I88" s="1049" t="s">
        <v>90</v>
      </c>
      <c r="J88" s="1039"/>
      <c r="K88" s="1039">
        <v>2998.83</v>
      </c>
      <c r="L88" s="158">
        <f t="shared" si="2"/>
        <v>0</v>
      </c>
    </row>
    <row r="89" spans="1:12" ht="60" customHeight="1">
      <c r="A89" s="1032">
        <v>45016</v>
      </c>
      <c r="B89" s="1043" t="s">
        <v>2171</v>
      </c>
      <c r="C89" s="1036" t="s">
        <v>484</v>
      </c>
      <c r="D89" s="1036"/>
      <c r="E89" s="1040"/>
      <c r="F89" s="1036"/>
      <c r="G89" s="143" t="s">
        <v>2172</v>
      </c>
      <c r="H89" s="1041" t="str">
        <f>IF(I89=0,"",(INDEX([1]!AccountCodes[ACCOUNT NAME],MATCH(I89,[1]!AccountCodes[NGAS CODE],0))))</f>
        <v>Training Expenses</v>
      </c>
      <c r="I89" s="1038" t="s">
        <v>224</v>
      </c>
      <c r="J89" s="1039">
        <v>95200</v>
      </c>
      <c r="K89" s="1039"/>
      <c r="L89" s="158">
        <f t="shared" si="2"/>
        <v>95200</v>
      </c>
    </row>
    <row r="90" spans="1:12" ht="60" customHeight="1">
      <c r="A90" s="1032">
        <v>45016</v>
      </c>
      <c r="B90" s="1043" t="s">
        <v>2171</v>
      </c>
      <c r="C90" s="1036" t="s">
        <v>484</v>
      </c>
      <c r="D90" s="1036"/>
      <c r="E90" s="1040"/>
      <c r="F90" s="1036"/>
      <c r="G90" s="143" t="s">
        <v>2172</v>
      </c>
      <c r="H90" s="1041" t="str">
        <f>IF(I90=0,"",(INDEX([1]!AccountCodes[ACCOUNT NAME],MATCH(I90,[1]!AccountCodes[NGAS CODE],0))))</f>
        <v>Advances to Officers and Employees</v>
      </c>
      <c r="I90" s="1038" t="s">
        <v>27</v>
      </c>
      <c r="J90" s="1039"/>
      <c r="K90" s="1039">
        <v>95200</v>
      </c>
      <c r="L90" s="158">
        <f t="shared" si="2"/>
        <v>0</v>
      </c>
    </row>
    <row r="91" spans="1:12" ht="30" customHeight="1">
      <c r="A91" s="1032">
        <v>45016</v>
      </c>
      <c r="B91" s="1043" t="s">
        <v>2173</v>
      </c>
      <c r="C91" s="1036" t="s">
        <v>484</v>
      </c>
      <c r="D91" s="1036"/>
      <c r="E91" s="1040"/>
      <c r="F91" s="1036"/>
      <c r="G91" s="143" t="s">
        <v>2174</v>
      </c>
      <c r="H91" s="1041" t="str">
        <f>IF(I91=0,"",(INDEX([1]!AccountCodes[ACCOUNT NAME],MATCH(I91,[1]!AccountCodes[NGAS CODE],0))))</f>
        <v>Depreciation-Machinery and Equipment - ICT Equipment</v>
      </c>
      <c r="I91" s="1038" t="s">
        <v>280</v>
      </c>
      <c r="J91" s="1039">
        <v>3482.39</v>
      </c>
      <c r="K91" s="1039"/>
      <c r="L91" s="158">
        <f t="shared" si="2"/>
        <v>3482.39</v>
      </c>
    </row>
    <row r="92" spans="1:12" ht="30" customHeight="1">
      <c r="A92" s="1032">
        <v>45016</v>
      </c>
      <c r="B92" s="1043" t="s">
        <v>2173</v>
      </c>
      <c r="C92" s="1036" t="s">
        <v>484</v>
      </c>
      <c r="D92" s="1036"/>
      <c r="E92" s="1040"/>
      <c r="F92" s="1036"/>
      <c r="G92" s="143" t="s">
        <v>2174</v>
      </c>
      <c r="H92" s="1041" t="str">
        <f>IF(I92=0,"",(INDEX([1]!AccountCodes[ACCOUNT NAME],MATCH(I92,[1]!AccountCodes[NGAS CODE],0))))</f>
        <v>Accumulated Depreciation-Information and Communications Technology Equipment</v>
      </c>
      <c r="I92" s="1038" t="s">
        <v>90</v>
      </c>
      <c r="J92" s="1039"/>
      <c r="K92" s="1039">
        <v>3482.39</v>
      </c>
      <c r="L92" s="158">
        <f t="shared" si="2"/>
        <v>0</v>
      </c>
    </row>
    <row r="93" spans="1:12" ht="30" customHeight="1">
      <c r="A93" s="1032">
        <v>45016</v>
      </c>
      <c r="B93" s="1043" t="s">
        <v>2175</v>
      </c>
      <c r="C93" s="1036" t="s">
        <v>484</v>
      </c>
      <c r="D93" s="1036"/>
      <c r="E93" s="1040"/>
      <c r="F93" s="1036"/>
      <c r="G93" s="143" t="s">
        <v>2176</v>
      </c>
      <c r="H93" s="1041" t="str">
        <f>IF(I93=0,"",(INDEX([1]!AccountCodes[ACCOUNT NAME],MATCH(I93,[1]!AccountCodes[NGAS CODE],0))))</f>
        <v>Depreciation-Infrastructure Assets - Other Infrastructure Assets (Irrigation Canals &amp; Laterals)</v>
      </c>
      <c r="I93" s="1038" t="s">
        <v>1452</v>
      </c>
      <c r="J93" s="1039">
        <v>119599.57</v>
      </c>
      <c r="K93" s="1039"/>
      <c r="L93" s="158">
        <f t="shared" si="2"/>
        <v>119599.57</v>
      </c>
    </row>
    <row r="94" spans="1:12" ht="30" customHeight="1">
      <c r="A94" s="1032">
        <v>45016</v>
      </c>
      <c r="B94" s="1043" t="s">
        <v>2175</v>
      </c>
      <c r="C94" s="1036" t="s">
        <v>484</v>
      </c>
      <c r="D94" s="1036"/>
      <c r="E94" s="1040"/>
      <c r="F94" s="1036"/>
      <c r="G94" s="143" t="s">
        <v>2176</v>
      </c>
      <c r="H94" s="1041" t="str">
        <f>IF(I94=0,"",(INDEX([1]!AccountCodes[ACCOUNT NAME],MATCH(I94,[1]!AccountCodes[NGAS CODE],0))))</f>
        <v>Accumulated Depreciation-Water Supply Systems</v>
      </c>
      <c r="I94" s="1038" t="s">
        <v>1261</v>
      </c>
      <c r="J94" s="1039"/>
      <c r="K94" s="1039">
        <v>119599.57</v>
      </c>
      <c r="L94" s="158">
        <f t="shared" si="2"/>
        <v>0</v>
      </c>
    </row>
    <row r="95" spans="1:12" ht="30" customHeight="1">
      <c r="A95" s="1032">
        <v>45016</v>
      </c>
      <c r="B95" s="1043" t="s">
        <v>2177</v>
      </c>
      <c r="C95" s="1036" t="s">
        <v>485</v>
      </c>
      <c r="D95" s="1036"/>
      <c r="E95" s="1040"/>
      <c r="F95" s="1036"/>
      <c r="G95" s="143" t="s">
        <v>2178</v>
      </c>
      <c r="H95" s="1041" t="str">
        <f>IF(I95=0,"",(INDEX([1]!AccountCodes[ACCOUNT NAME],MATCH(I95,[1]!AccountCodes[NGAS CODE],0))))</f>
        <v>Depreciation-Machinery and Equipment - Office Equipment</v>
      </c>
      <c r="I95" s="1044" t="s">
        <v>278</v>
      </c>
      <c r="J95" s="1039">
        <v>1487.54</v>
      </c>
      <c r="K95" s="1039"/>
      <c r="L95" s="158">
        <f t="shared" si="2"/>
        <v>1487.54</v>
      </c>
    </row>
    <row r="96" spans="1:12" ht="30" customHeight="1">
      <c r="A96" s="1032">
        <v>45016</v>
      </c>
      <c r="B96" s="1043" t="s">
        <v>2177</v>
      </c>
      <c r="C96" s="1036" t="s">
        <v>485</v>
      </c>
      <c r="D96" s="1036"/>
      <c r="E96" s="1040"/>
      <c r="F96" s="1036"/>
      <c r="G96" s="143" t="s">
        <v>2178</v>
      </c>
      <c r="H96" s="1041" t="str">
        <f>IF(I96=0,"",(INDEX([1]!AccountCodes[ACCOUNT NAME],MATCH(I96,[1]!AccountCodes[NGAS CODE],0))))</f>
        <v>Accumulated Depreciation-Office Equipment</v>
      </c>
      <c r="I96" s="1044" t="s">
        <v>88</v>
      </c>
      <c r="J96" s="1039"/>
      <c r="K96" s="1039">
        <v>1487.54</v>
      </c>
      <c r="L96" s="158">
        <f t="shared" si="2"/>
        <v>0</v>
      </c>
    </row>
    <row r="97" spans="1:12" ht="30" customHeight="1">
      <c r="A97" s="1032">
        <v>45016</v>
      </c>
      <c r="B97" s="1043" t="s">
        <v>2179</v>
      </c>
      <c r="C97" s="1036" t="s">
        <v>485</v>
      </c>
      <c r="D97" s="1036"/>
      <c r="E97" s="1040"/>
      <c r="F97" s="1036"/>
      <c r="G97" s="143" t="s">
        <v>2180</v>
      </c>
      <c r="H97" s="1041" t="str">
        <f>IF(I97=0,"",(INDEX([1]!AccountCodes[ACCOUNT NAME],MATCH(I97,[1]!AccountCodes[NGAS CODE],0))))</f>
        <v>Depreciation-Machinery and Equipment - ICT Equipment</v>
      </c>
      <c r="I97" s="1044" t="s">
        <v>280</v>
      </c>
      <c r="J97" s="1039">
        <v>8619.66</v>
      </c>
      <c r="K97" s="1039"/>
      <c r="L97" s="158">
        <f t="shared" si="2"/>
        <v>8619.66</v>
      </c>
    </row>
    <row r="98" spans="1:12" ht="30" customHeight="1">
      <c r="A98" s="1032">
        <v>45016</v>
      </c>
      <c r="B98" s="1043" t="s">
        <v>2179</v>
      </c>
      <c r="C98" s="1036" t="s">
        <v>485</v>
      </c>
      <c r="D98" s="1036"/>
      <c r="E98" s="1040"/>
      <c r="F98" s="1036"/>
      <c r="G98" s="143" t="s">
        <v>2180</v>
      </c>
      <c r="H98" s="1041" t="str">
        <f>IF(I98=0,"",(INDEX([1]!AccountCodes[ACCOUNT NAME],MATCH(I98,[1]!AccountCodes[NGAS CODE],0))))</f>
        <v>Accumulated Depreciation-Information and Communications Technology Equipment</v>
      </c>
      <c r="I98" s="1044" t="s">
        <v>90</v>
      </c>
      <c r="J98" s="1039"/>
      <c r="K98" s="1039">
        <v>8619.66</v>
      </c>
      <c r="L98" s="158">
        <f t="shared" si="2"/>
        <v>0</v>
      </c>
    </row>
    <row r="99" spans="1:12" ht="20.100000000000001" customHeight="1">
      <c r="A99" s="1032">
        <v>45016</v>
      </c>
      <c r="B99" s="1043" t="s">
        <v>2181</v>
      </c>
      <c r="C99" s="1036" t="s">
        <v>485</v>
      </c>
      <c r="D99" s="1036"/>
      <c r="E99" s="1040"/>
      <c r="F99" s="1036"/>
      <c r="G99" s="1048" t="s">
        <v>2182</v>
      </c>
      <c r="H99" s="1041" t="str">
        <f>IF(I99=0,"",(INDEX([1]!AccountCodes[ACCOUNT NAME],MATCH(I99,[1]!AccountCodes[NGAS CODE],0))))</f>
        <v>Cash in Bank-Local Currency, Current Account - FO</v>
      </c>
      <c r="I99" s="1038" t="s">
        <v>1479</v>
      </c>
      <c r="J99" s="1039">
        <v>304.7</v>
      </c>
      <c r="K99" s="1039"/>
      <c r="L99" s="158">
        <f t="shared" si="2"/>
        <v>304.7</v>
      </c>
    </row>
    <row r="100" spans="1:12" ht="20.100000000000001" customHeight="1">
      <c r="A100" s="1032">
        <v>45016</v>
      </c>
      <c r="B100" s="1043" t="s">
        <v>2181</v>
      </c>
      <c r="C100" s="1036" t="s">
        <v>485</v>
      </c>
      <c r="D100" s="1036"/>
      <c r="E100" s="1040"/>
      <c r="F100" s="1036"/>
      <c r="G100" s="1048" t="s">
        <v>2182</v>
      </c>
      <c r="H100" s="1041" t="str">
        <f>IF(I100=0,"",(INDEX([1]!AccountCodes[ACCOUNT NAME],MATCH(I100,[1]!AccountCodes[NGAS CODE],0))))</f>
        <v>Due to the Treasurer of the Philippines</v>
      </c>
      <c r="I100" s="1038" t="s">
        <v>1496</v>
      </c>
      <c r="J100" s="1039"/>
      <c r="K100" s="1039">
        <v>304.7</v>
      </c>
      <c r="L100" s="158">
        <f t="shared" si="2"/>
        <v>0</v>
      </c>
    </row>
    <row r="101" spans="1:12" ht="20.100000000000001" customHeight="1">
      <c r="A101" s="1032">
        <v>45016</v>
      </c>
      <c r="B101" s="1043" t="s">
        <v>2183</v>
      </c>
      <c r="C101" s="1036" t="s">
        <v>486</v>
      </c>
      <c r="D101" s="1036"/>
      <c r="E101" s="1040"/>
      <c r="F101" s="1036"/>
      <c r="G101" s="1048" t="s">
        <v>2184</v>
      </c>
      <c r="H101" s="1041" t="str">
        <f>IF(I101=0,"",(INDEX([1]!AccountCodes[ACCOUNT NAME],MATCH(I101,[1]!AccountCodes[NGAS CODE],0))))</f>
        <v>Cash in Bank-Local Currency, Current Account - FO</v>
      </c>
      <c r="I101" s="1044" t="s">
        <v>1564</v>
      </c>
      <c r="J101" s="1039">
        <v>242.26</v>
      </c>
      <c r="K101" s="1039"/>
      <c r="L101" s="158">
        <f t="shared" si="2"/>
        <v>242.26</v>
      </c>
    </row>
    <row r="102" spans="1:12" ht="17.25" customHeight="1">
      <c r="A102" s="1032">
        <v>45016</v>
      </c>
      <c r="B102" s="1043" t="s">
        <v>2183</v>
      </c>
      <c r="C102" s="1036" t="s">
        <v>486</v>
      </c>
      <c r="D102" s="1036"/>
      <c r="E102" s="1040"/>
      <c r="F102" s="1036"/>
      <c r="G102" s="1048" t="s">
        <v>2184</v>
      </c>
      <c r="H102" s="1041" t="s">
        <v>1594</v>
      </c>
      <c r="I102" s="1044" t="s">
        <v>1496</v>
      </c>
      <c r="J102" s="1039"/>
      <c r="K102" s="1039">
        <v>242.26</v>
      </c>
      <c r="L102" s="158">
        <f t="shared" si="2"/>
        <v>0</v>
      </c>
    </row>
    <row r="103" spans="1:12" ht="20.100000000000001" customHeight="1">
      <c r="A103" s="1032">
        <v>45016</v>
      </c>
      <c r="B103" s="1043" t="s">
        <v>2185</v>
      </c>
      <c r="C103" s="1036" t="s">
        <v>762</v>
      </c>
      <c r="D103" s="1036"/>
      <c r="E103" s="1040"/>
      <c r="F103" s="1036"/>
      <c r="G103" s="1048" t="s">
        <v>2186</v>
      </c>
      <c r="H103" s="1041" t="str">
        <f>IF(I103=0,"",(INDEX([1]!AccountCodes[ACCOUNT NAME],MATCH(I103,[1]!AccountCodes[NGAS CODE],0))))</f>
        <v>Cash in Bank-Local Currency, Current Account - FO</v>
      </c>
      <c r="I103" s="1044" t="s">
        <v>1564</v>
      </c>
      <c r="J103" s="1039">
        <v>811.54</v>
      </c>
      <c r="K103" s="1039"/>
      <c r="L103" s="158">
        <f>L102+J103-K103</f>
        <v>811.54</v>
      </c>
    </row>
    <row r="104" spans="1:12" ht="20.100000000000001" customHeight="1">
      <c r="A104" s="1032">
        <v>45016</v>
      </c>
      <c r="B104" s="1043" t="s">
        <v>2185</v>
      </c>
      <c r="C104" s="1036" t="s">
        <v>762</v>
      </c>
      <c r="D104" s="1036"/>
      <c r="E104" s="1040"/>
      <c r="F104" s="1036"/>
      <c r="G104" s="1048" t="s">
        <v>2186</v>
      </c>
      <c r="H104" s="1041" t="str">
        <f>IF(I104=0,"",(INDEX([1]!AccountCodes[ACCOUNT NAME],MATCH(I104,[1]!AccountCodes[NGAS CODE],0))))</f>
        <v>Due to the Treasurer of the Philippines</v>
      </c>
      <c r="I104" s="1044" t="s">
        <v>1496</v>
      </c>
      <c r="J104" s="1039"/>
      <c r="K104" s="1039">
        <v>811.54</v>
      </c>
      <c r="L104" s="158">
        <f t="shared" si="2"/>
        <v>0</v>
      </c>
    </row>
    <row r="105" spans="1:12" ht="30" customHeight="1">
      <c r="A105" s="1032">
        <v>45016</v>
      </c>
      <c r="B105" s="1043" t="s">
        <v>2187</v>
      </c>
      <c r="C105" s="1036" t="s">
        <v>762</v>
      </c>
      <c r="D105" s="1036"/>
      <c r="E105" s="1040"/>
      <c r="F105" s="1036"/>
      <c r="G105" s="143" t="s">
        <v>2188</v>
      </c>
      <c r="H105" s="1041" t="str">
        <f>IF(I105=0,"",(INDEX([1]!AccountCodes[ACCOUNT NAME],MATCH(I105,[1]!AccountCodes[NGAS CODE],0))))</f>
        <v>Depreciation-Machinery and Equipment - ICT Equipment</v>
      </c>
      <c r="I105" s="1051" t="s">
        <v>280</v>
      </c>
      <c r="J105" s="1052">
        <v>9403.61</v>
      </c>
      <c r="K105" s="1052"/>
      <c r="L105" s="158">
        <f t="shared" si="2"/>
        <v>9403.61</v>
      </c>
    </row>
    <row r="106" spans="1:12" ht="30" customHeight="1">
      <c r="A106" s="1032">
        <v>45016</v>
      </c>
      <c r="B106" s="1043" t="s">
        <v>2187</v>
      </c>
      <c r="C106" s="1036" t="s">
        <v>762</v>
      </c>
      <c r="D106" s="1036"/>
      <c r="E106" s="1040"/>
      <c r="F106" s="1036"/>
      <c r="G106" s="143" t="s">
        <v>2188</v>
      </c>
      <c r="H106" s="1041" t="str">
        <f>IF(I106=0,"",(INDEX([1]!AccountCodes[ACCOUNT NAME],MATCH(I106,[1]!AccountCodes[NGAS CODE],0))))</f>
        <v>Depreciation-Machinery and Equipment - Office Equipment</v>
      </c>
      <c r="I106" s="1051" t="s">
        <v>278</v>
      </c>
      <c r="J106" s="1052">
        <v>5358.64</v>
      </c>
      <c r="K106" s="1052"/>
      <c r="L106" s="158">
        <f t="shared" si="2"/>
        <v>14762.25</v>
      </c>
    </row>
    <row r="107" spans="1:12" ht="30" customHeight="1">
      <c r="A107" s="1032">
        <v>45016</v>
      </c>
      <c r="B107" s="1043" t="s">
        <v>2187</v>
      </c>
      <c r="C107" s="1036" t="s">
        <v>762</v>
      </c>
      <c r="D107" s="1036"/>
      <c r="E107" s="1040"/>
      <c r="F107" s="1036"/>
      <c r="G107" s="143" t="s">
        <v>2188</v>
      </c>
      <c r="H107" s="1041" t="str">
        <f>IF(I107=0,"",(INDEX([1]!AccountCodes[ACCOUNT NAME],MATCH(I107,[1]!AccountCodes[NGAS CODE],0))))</f>
        <v>Accumulated Depreciation-Information and Communications Technology Equipment</v>
      </c>
      <c r="I107" s="1051" t="s">
        <v>90</v>
      </c>
      <c r="J107" s="1052"/>
      <c r="K107" s="1052">
        <v>9403.61</v>
      </c>
      <c r="L107" s="158">
        <f t="shared" si="2"/>
        <v>5358.64</v>
      </c>
    </row>
    <row r="108" spans="1:12" ht="30" customHeight="1">
      <c r="A108" s="1032">
        <v>45016</v>
      </c>
      <c r="B108" s="1043" t="s">
        <v>2187</v>
      </c>
      <c r="C108" s="1036" t="s">
        <v>762</v>
      </c>
      <c r="D108" s="1036"/>
      <c r="E108" s="1040"/>
      <c r="F108" s="1036"/>
      <c r="G108" s="143" t="s">
        <v>2188</v>
      </c>
      <c r="H108" s="1041" t="str">
        <f>IF(I108=0,"",(INDEX([1]!AccountCodes[ACCOUNT NAME],MATCH(I108,[1]!AccountCodes[NGAS CODE],0))))</f>
        <v>Accumulated Depreciation-Office Equipment</v>
      </c>
      <c r="I108" s="1051" t="s">
        <v>88</v>
      </c>
      <c r="J108" s="1052"/>
      <c r="K108" s="1052">
        <v>5358.64</v>
      </c>
      <c r="L108" s="158">
        <f t="shared" si="2"/>
        <v>0</v>
      </c>
    </row>
    <row r="109" spans="1:12" ht="30" customHeight="1">
      <c r="A109" s="1032">
        <v>45016</v>
      </c>
      <c r="B109" s="1043" t="s">
        <v>2189</v>
      </c>
      <c r="C109" s="1036" t="s">
        <v>486</v>
      </c>
      <c r="D109" s="1036"/>
      <c r="E109" s="1040"/>
      <c r="F109" s="1036"/>
      <c r="G109" s="143" t="s">
        <v>2190</v>
      </c>
      <c r="H109" s="1041" t="str">
        <f>IF(I109=0,"",(INDEX([1]!AccountCodes[ACCOUNT NAME],MATCH(I109,[1]!AccountCodes[NGAS CODE],0))))</f>
        <v>Depreciation-Machinery and Equipment - ICT Equipment</v>
      </c>
      <c r="I109" s="133" t="s">
        <v>280</v>
      </c>
      <c r="J109" s="497">
        <v>12213.18</v>
      </c>
      <c r="K109" s="497"/>
      <c r="L109" s="158">
        <f>L108+J109-K109</f>
        <v>12213.18</v>
      </c>
    </row>
    <row r="110" spans="1:12" ht="30" customHeight="1">
      <c r="A110" s="1032">
        <v>45016</v>
      </c>
      <c r="B110" s="1043" t="s">
        <v>2189</v>
      </c>
      <c r="C110" s="1036" t="s">
        <v>486</v>
      </c>
      <c r="D110" s="1036"/>
      <c r="E110" s="1040"/>
      <c r="F110" s="1036"/>
      <c r="G110" s="143" t="s">
        <v>2190</v>
      </c>
      <c r="H110" s="1041" t="str">
        <f>IF(I110=0,"",(INDEX([1]!AccountCodes[ACCOUNT NAME],MATCH(I110,[1]!AccountCodes[NGAS CODE],0))))</f>
        <v>Accumulated Depreciation-Information and Communications Technology Equipment</v>
      </c>
      <c r="I110" s="185" t="s">
        <v>90</v>
      </c>
      <c r="J110" s="497"/>
      <c r="K110" s="1053">
        <v>12213.18</v>
      </c>
      <c r="L110" s="158">
        <f>L109+J110-K110</f>
        <v>0</v>
      </c>
    </row>
    <row r="111" spans="1:12" ht="20.100000000000001" customHeight="1">
      <c r="A111" s="1032">
        <v>45016</v>
      </c>
      <c r="B111" s="1043" t="s">
        <v>2191</v>
      </c>
      <c r="C111" s="1036" t="s">
        <v>486</v>
      </c>
      <c r="D111" s="1036"/>
      <c r="E111" s="1040"/>
      <c r="F111" s="1036"/>
      <c r="G111" s="1037" t="s">
        <v>2192</v>
      </c>
      <c r="H111" s="1041" t="str">
        <f>IF(I111=0,"",(INDEX([1]!AccountCodes[ACCOUNT NAME],MATCH(I111,[1]!AccountCodes[NGAS CODE],0))))</f>
        <v>Depreciation-Infrastructure Assets - Other Infrastructure Assets (Irrigation Canals &amp; Laterals)</v>
      </c>
      <c r="I111" s="1054" t="s">
        <v>1452</v>
      </c>
      <c r="J111" s="509">
        <v>114222.24</v>
      </c>
      <c r="K111" s="509"/>
      <c r="L111" s="158">
        <f t="shared" si="2"/>
        <v>114222.24</v>
      </c>
    </row>
    <row r="112" spans="1:12" ht="20.100000000000001" customHeight="1">
      <c r="A112" s="1032">
        <v>45016</v>
      </c>
      <c r="B112" s="1043" t="s">
        <v>2191</v>
      </c>
      <c r="C112" s="1036" t="s">
        <v>486</v>
      </c>
      <c r="D112" s="1036"/>
      <c r="E112" s="1040"/>
      <c r="F112" s="1036"/>
      <c r="G112" s="1037" t="s">
        <v>2192</v>
      </c>
      <c r="H112" s="1041" t="str">
        <f>IF(I112=0,"",(INDEX([1]!AccountCodes[ACCOUNT NAME],MATCH(I112,[1]!AccountCodes[NGAS CODE],0))))</f>
        <v>Accumulated Depreciation-Water Supply Systems</v>
      </c>
      <c r="I112" s="185" t="s">
        <v>1261</v>
      </c>
      <c r="J112" s="144"/>
      <c r="K112" s="497">
        <v>114222.24</v>
      </c>
      <c r="L112" s="158">
        <f t="shared" si="2"/>
        <v>0</v>
      </c>
    </row>
    <row r="113" spans="1:12" ht="20.100000000000001" customHeight="1">
      <c r="A113" s="1032">
        <v>45016</v>
      </c>
      <c r="B113" s="1043" t="s">
        <v>2193</v>
      </c>
      <c r="C113" s="1036" t="s">
        <v>485</v>
      </c>
      <c r="D113" s="1036"/>
      <c r="E113" s="1040"/>
      <c r="F113" s="1036"/>
      <c r="G113" s="1037" t="s">
        <v>2194</v>
      </c>
      <c r="H113" s="1041" t="str">
        <f>IF(I113=0,"",(INDEX([1]!AccountCodes[ACCOUNT NAME],MATCH(I113,[1]!AccountCodes[NGAS CODE],0))))</f>
        <v>Depreciation-Infrastructure Assets - Other Infrastructure Assets (Irrigation Canals &amp; Laterals)</v>
      </c>
      <c r="I113" s="1054" t="s">
        <v>1452</v>
      </c>
      <c r="J113" s="1039">
        <v>198470.26</v>
      </c>
      <c r="K113" s="1039"/>
      <c r="L113" s="158">
        <f t="shared" si="2"/>
        <v>198470.26</v>
      </c>
    </row>
    <row r="114" spans="1:12" ht="20.100000000000001" customHeight="1">
      <c r="A114" s="1032">
        <v>45016</v>
      </c>
      <c r="B114" s="1043" t="s">
        <v>2193</v>
      </c>
      <c r="C114" s="1036" t="s">
        <v>485</v>
      </c>
      <c r="D114" s="1036"/>
      <c r="E114" s="1040"/>
      <c r="F114" s="1036"/>
      <c r="G114" s="1037" t="s">
        <v>2194</v>
      </c>
      <c r="H114" s="1041" t="str">
        <f>IF(I114=0,"",(INDEX([1]!AccountCodes[ACCOUNT NAME],MATCH(I114,[1]!AccountCodes[NGAS CODE],0))))</f>
        <v>Accumulated Depreciation-Water Supply Systems</v>
      </c>
      <c r="I114" s="185" t="s">
        <v>1261</v>
      </c>
      <c r="J114" s="1039"/>
      <c r="K114" s="1039">
        <v>198470.26</v>
      </c>
      <c r="L114" s="158">
        <f t="shared" si="2"/>
        <v>0</v>
      </c>
    </row>
    <row r="115" spans="1:12" ht="20.100000000000001" customHeight="1">
      <c r="A115" s="1032">
        <v>45016</v>
      </c>
      <c r="B115" s="1043" t="s">
        <v>2195</v>
      </c>
      <c r="C115" s="1036" t="s">
        <v>762</v>
      </c>
      <c r="D115" s="1036"/>
      <c r="E115" s="1040"/>
      <c r="F115" s="1036"/>
      <c r="G115" s="1037" t="s">
        <v>2196</v>
      </c>
      <c r="H115" s="1041" t="str">
        <f>IF(I115=0,"",(INDEX([1]!AccountCodes[ACCOUNT NAME],MATCH(I115,[1]!AccountCodes[NGAS CODE],0))))</f>
        <v>Depreciation-Infrastructure Assets - Other Infrastructure Assets (Irrigation Canals &amp; Laterals)</v>
      </c>
      <c r="I115" s="1054" t="s">
        <v>1452</v>
      </c>
      <c r="J115" s="1039">
        <v>285316.36</v>
      </c>
      <c r="K115" s="1039"/>
      <c r="L115" s="158">
        <f t="shared" si="2"/>
        <v>285316.36</v>
      </c>
    </row>
    <row r="116" spans="1:12" ht="20.100000000000001" customHeight="1">
      <c r="A116" s="1032">
        <v>45016</v>
      </c>
      <c r="B116" s="1043" t="s">
        <v>2195</v>
      </c>
      <c r="C116" s="1036" t="s">
        <v>762</v>
      </c>
      <c r="D116" s="1036"/>
      <c r="E116" s="1040"/>
      <c r="F116" s="1036"/>
      <c r="G116" s="1037" t="s">
        <v>2196</v>
      </c>
      <c r="H116" s="1041" t="str">
        <f>IF(I116=0,"",(INDEX([1]!AccountCodes[ACCOUNT NAME],MATCH(I116,[1]!AccountCodes[NGAS CODE],0))))</f>
        <v>Accumulated Depreciation-Water Supply Systems</v>
      </c>
      <c r="I116" s="185" t="s">
        <v>1261</v>
      </c>
      <c r="J116" s="1039"/>
      <c r="K116" s="1039">
        <v>285316.36</v>
      </c>
      <c r="L116" s="158">
        <f t="shared" si="2"/>
        <v>0</v>
      </c>
    </row>
    <row r="117" spans="1:12" ht="57" customHeight="1">
      <c r="A117" s="1032">
        <v>45046</v>
      </c>
      <c r="B117" s="1043" t="s">
        <v>2231</v>
      </c>
      <c r="C117" s="1036" t="s">
        <v>494</v>
      </c>
      <c r="D117" s="1036"/>
      <c r="E117" s="1040"/>
      <c r="F117" s="1036"/>
      <c r="G117" s="1035" t="s">
        <v>2232</v>
      </c>
      <c r="H117" s="1041" t="str">
        <f>IF(I117=0,"",(INDEX([1]!AccountCodes[ACCOUNT NAME],MATCH(I117,[1]!AccountCodes[NGAS CODE],0))))</f>
        <v>Cash in Bank-Local Currency, Current Account - RO</v>
      </c>
      <c r="I117" s="1058" t="s">
        <v>1556</v>
      </c>
      <c r="J117" s="1039">
        <v>10097920.359999999</v>
      </c>
      <c r="K117" s="1039"/>
      <c r="L117" s="158">
        <f t="shared" si="2"/>
        <v>10097920.359999999</v>
      </c>
    </row>
    <row r="118" spans="1:12" ht="57" customHeight="1">
      <c r="A118" s="1032">
        <v>45046</v>
      </c>
      <c r="B118" s="1043" t="s">
        <v>2231</v>
      </c>
      <c r="C118" s="1036" t="s">
        <v>494</v>
      </c>
      <c r="D118" s="1036"/>
      <c r="E118" s="1040"/>
      <c r="F118" s="1036"/>
      <c r="G118" s="1035" t="s">
        <v>2232</v>
      </c>
      <c r="H118" s="1041" t="str">
        <f>IF(I118=0,"",(INDEX([1]!AccountCodes[ACCOUNT NAME],MATCH(I118,[1]!AccountCodes[NGAS CODE],0))))</f>
        <v>Subsidy from Central Office</v>
      </c>
      <c r="I118" s="1042" t="s">
        <v>152</v>
      </c>
      <c r="J118" s="1039"/>
      <c r="K118" s="1039">
        <v>10097920.359999999</v>
      </c>
      <c r="L118" s="158">
        <f t="shared" si="2"/>
        <v>0</v>
      </c>
    </row>
    <row r="119" spans="1:12" ht="27.95" customHeight="1">
      <c r="A119" s="1032">
        <v>45046</v>
      </c>
      <c r="B119" s="1043" t="s">
        <v>2233</v>
      </c>
      <c r="C119" s="1036" t="s">
        <v>494</v>
      </c>
      <c r="D119" s="1036"/>
      <c r="E119" s="1040"/>
      <c r="F119" s="1036"/>
      <c r="G119" s="1048" t="s">
        <v>2234</v>
      </c>
      <c r="H119" s="1041" t="str">
        <f>IF(I119=0,"",(INDEX([1]!AccountCodes[ACCOUNT NAME],MATCH(I119,[1]!AccountCodes[NGAS CODE],0))))</f>
        <v>Office Supplies Expenses</v>
      </c>
      <c r="I119" s="1042" t="s">
        <v>225</v>
      </c>
      <c r="J119" s="1039">
        <v>8212.5</v>
      </c>
      <c r="K119" s="1039"/>
      <c r="L119" s="158">
        <f t="shared" si="2"/>
        <v>8212.5</v>
      </c>
    </row>
    <row r="120" spans="1:12" ht="27.95" customHeight="1">
      <c r="A120" s="1032">
        <v>45046</v>
      </c>
      <c r="B120" s="1043" t="s">
        <v>2233</v>
      </c>
      <c r="C120" s="1036" t="s">
        <v>494</v>
      </c>
      <c r="D120" s="1036"/>
      <c r="E120" s="1040"/>
      <c r="F120" s="1036"/>
      <c r="G120" s="1048" t="s">
        <v>2235</v>
      </c>
      <c r="H120" s="1041" t="str">
        <f>IF(I120=0,"",(INDEX([1]!AccountCodes[ACCOUNT NAME],MATCH(I120,[1]!AccountCodes[NGAS CODE],0))))</f>
        <v>Office Supplies Inventory</v>
      </c>
      <c r="I120" s="1042" t="s">
        <v>30</v>
      </c>
      <c r="J120" s="1039"/>
      <c r="K120" s="1039">
        <v>8212.5</v>
      </c>
      <c r="L120" s="158">
        <f t="shared" ref="L120:L183" si="3">L119+J120-K120</f>
        <v>0</v>
      </c>
    </row>
    <row r="121" spans="1:12" ht="32.25" customHeight="1">
      <c r="A121" s="1032">
        <v>45046</v>
      </c>
      <c r="B121" s="1043" t="s">
        <v>2236</v>
      </c>
      <c r="C121" s="1036" t="s">
        <v>494</v>
      </c>
      <c r="D121" s="1036"/>
      <c r="E121" s="1040"/>
      <c r="F121" s="1036"/>
      <c r="G121" s="1048" t="s">
        <v>2237</v>
      </c>
      <c r="H121" s="1041" t="str">
        <f>IF(I121=0,"",(INDEX([1]!AccountCodes[ACCOUNT NAME],MATCH(I121,[1]!AccountCodes[NGAS CODE],0))))</f>
        <v>Other Supplies and Materials Expenses</v>
      </c>
      <c r="I121" s="1042" t="s">
        <v>231</v>
      </c>
      <c r="J121" s="1039">
        <v>1539.5</v>
      </c>
      <c r="K121" s="1039"/>
      <c r="L121" s="158">
        <f t="shared" si="3"/>
        <v>1539.5</v>
      </c>
    </row>
    <row r="122" spans="1:12" ht="36.75" customHeight="1">
      <c r="A122" s="1032">
        <v>45046</v>
      </c>
      <c r="B122" s="1043" t="s">
        <v>2236</v>
      </c>
      <c r="C122" s="1036" t="s">
        <v>494</v>
      </c>
      <c r="D122" s="1036"/>
      <c r="E122" s="1040"/>
      <c r="F122" s="1036"/>
      <c r="G122" s="1048" t="s">
        <v>2238</v>
      </c>
      <c r="H122" s="1041" t="str">
        <f>IF(I122=0,"",(INDEX([1]!AccountCodes[ACCOUNT NAME],MATCH(I122,[1]!AccountCodes[NGAS CODE],0))))</f>
        <v>Other Supplies and Materials Inventory</v>
      </c>
      <c r="I122" s="1042" t="s">
        <v>32</v>
      </c>
      <c r="J122" s="1039"/>
      <c r="K122" s="1039">
        <v>1539.5</v>
      </c>
      <c r="L122" s="158">
        <f t="shared" si="3"/>
        <v>0</v>
      </c>
    </row>
    <row r="123" spans="1:12" ht="25.5">
      <c r="A123" s="1032">
        <v>45046</v>
      </c>
      <c r="B123" s="1043" t="s">
        <v>2239</v>
      </c>
      <c r="C123" s="1036" t="s">
        <v>494</v>
      </c>
      <c r="D123" s="1036"/>
      <c r="E123" s="1040"/>
      <c r="F123" s="1036"/>
      <c r="G123" s="1048" t="s">
        <v>2240</v>
      </c>
      <c r="H123" s="1041" t="str">
        <f>IF(I123=0,"",(INDEX([1]!AccountCodes[ACCOUNT NAME],MATCH(I123,[1]!AccountCodes[NGAS CODE],0))))</f>
        <v>Depreciation-Machinery and Equipment - ICT Equipment</v>
      </c>
      <c r="I123" s="1044" t="s">
        <v>280</v>
      </c>
      <c r="J123" s="1039">
        <v>2998.83</v>
      </c>
      <c r="K123" s="1039"/>
      <c r="L123" s="158">
        <f t="shared" si="3"/>
        <v>2998.83</v>
      </c>
    </row>
    <row r="124" spans="1:12" ht="25.5">
      <c r="A124" s="1032">
        <v>45046</v>
      </c>
      <c r="B124" s="1043" t="s">
        <v>2239</v>
      </c>
      <c r="C124" s="1036" t="s">
        <v>494</v>
      </c>
      <c r="D124" s="1036"/>
      <c r="E124" s="1040"/>
      <c r="F124" s="1036"/>
      <c r="G124" s="1048" t="s">
        <v>2240</v>
      </c>
      <c r="H124" s="1041" t="str">
        <f>IF(I124=0,"",(INDEX([1]!AccountCodes[ACCOUNT NAME],MATCH(I124,[1]!AccountCodes[NGAS CODE],0))))</f>
        <v>Accumulated Depreciation-Information and Communications Technology Equipment</v>
      </c>
      <c r="I124" s="1049" t="s">
        <v>90</v>
      </c>
      <c r="J124" s="1039"/>
      <c r="K124" s="1039">
        <v>2998.83</v>
      </c>
      <c r="L124" s="158">
        <f t="shared" si="3"/>
        <v>0</v>
      </c>
    </row>
    <row r="125" spans="1:12" ht="25.5">
      <c r="A125" s="1032">
        <v>45046</v>
      </c>
      <c r="B125" s="1043" t="s">
        <v>2241</v>
      </c>
      <c r="C125" s="1036" t="s">
        <v>484</v>
      </c>
      <c r="D125" s="1036"/>
      <c r="E125" s="1040"/>
      <c r="F125" s="1036"/>
      <c r="G125" s="143" t="s">
        <v>2242</v>
      </c>
      <c r="H125" s="1041" t="str">
        <f>IF(I125=0,"",(INDEX([1]!AccountCodes[ACCOUNT NAME],MATCH(I125,[1]!AccountCodes[NGAS CODE],0))))</f>
        <v>Depreciation-Machinery and Equipment - ICT Equipment</v>
      </c>
      <c r="I125" s="1042" t="s">
        <v>280</v>
      </c>
      <c r="J125" s="1039">
        <v>3482.39</v>
      </c>
      <c r="K125" s="1039"/>
      <c r="L125" s="158">
        <f t="shared" si="3"/>
        <v>3482.39</v>
      </c>
    </row>
    <row r="126" spans="1:12" ht="30" customHeight="1">
      <c r="A126" s="1032">
        <v>45046</v>
      </c>
      <c r="B126" s="1043" t="s">
        <v>2241</v>
      </c>
      <c r="C126" s="1036" t="s">
        <v>484</v>
      </c>
      <c r="D126" s="1036"/>
      <c r="E126" s="1040"/>
      <c r="F126" s="1036"/>
      <c r="G126" s="143" t="s">
        <v>2242</v>
      </c>
      <c r="H126" s="1041" t="str">
        <f>IF(I126=0,"",(INDEX([1]!AccountCodes[ACCOUNT NAME],MATCH(I126,[1]!AccountCodes[NGAS CODE],0))))</f>
        <v>Accumulated Depreciation-Information and Communications Technology Equipment</v>
      </c>
      <c r="I126" s="1042" t="s">
        <v>90</v>
      </c>
      <c r="J126" s="1039"/>
      <c r="K126" s="1039">
        <v>3482.39</v>
      </c>
      <c r="L126" s="158">
        <f t="shared" si="3"/>
        <v>0</v>
      </c>
    </row>
    <row r="127" spans="1:12" ht="30" customHeight="1">
      <c r="A127" s="1032">
        <v>45046</v>
      </c>
      <c r="B127" s="1043" t="s">
        <v>2243</v>
      </c>
      <c r="C127" s="1036" t="s">
        <v>484</v>
      </c>
      <c r="D127" s="1036"/>
      <c r="E127" s="1040"/>
      <c r="F127" s="1036"/>
      <c r="G127" s="1037" t="s">
        <v>2244</v>
      </c>
      <c r="H127" s="1041" t="str">
        <f>IF(I127=0,"",(INDEX([1]!AccountCodes[ACCOUNT NAME],MATCH(I127,[1]!AccountCodes[NGAS CODE],0))))</f>
        <v>Depreciation-Infrastructure Assets - Other Infrastructure Assets (Irrigation Canals &amp; Laterals)</v>
      </c>
      <c r="I127" s="1042" t="s">
        <v>1452</v>
      </c>
      <c r="J127" s="1039">
        <v>119599.57</v>
      </c>
      <c r="K127" s="1039"/>
      <c r="L127" s="158">
        <f t="shared" si="3"/>
        <v>119599.57</v>
      </c>
    </row>
    <row r="128" spans="1:12" ht="30" customHeight="1">
      <c r="A128" s="1032">
        <v>45046</v>
      </c>
      <c r="B128" s="1043" t="s">
        <v>2243</v>
      </c>
      <c r="C128" s="1036" t="s">
        <v>484</v>
      </c>
      <c r="D128" s="1036"/>
      <c r="E128" s="1040"/>
      <c r="F128" s="1036"/>
      <c r="G128" s="1037" t="s">
        <v>2244</v>
      </c>
      <c r="H128" s="1041" t="str">
        <f>IF(I128=0,"",(INDEX([1]!AccountCodes[ACCOUNT NAME],MATCH(I128,[1]!AccountCodes[NGAS CODE],0))))</f>
        <v>Accumulated Depreciation-Water Supply Systems</v>
      </c>
      <c r="I128" s="1042" t="s">
        <v>1261</v>
      </c>
      <c r="J128" s="1039"/>
      <c r="K128" s="1039">
        <v>119599.57</v>
      </c>
      <c r="L128" s="158">
        <f t="shared" si="3"/>
        <v>0</v>
      </c>
    </row>
    <row r="129" spans="1:12" ht="30" customHeight="1">
      <c r="A129" s="1032">
        <v>45046</v>
      </c>
      <c r="B129" s="1043" t="s">
        <v>2245</v>
      </c>
      <c r="C129" s="1036" t="s">
        <v>484</v>
      </c>
      <c r="D129" s="1036"/>
      <c r="E129" s="1040"/>
      <c r="F129" s="1036"/>
      <c r="G129" s="1048" t="s">
        <v>2246</v>
      </c>
      <c r="H129" s="1041" t="str">
        <f>IF(I129=0,"",(INDEX([1]!AccountCodes[ACCOUNT NAME],MATCH(I129,[1]!AccountCodes[NGAS CODE],0))))</f>
        <v>Due from Officers and Employees</v>
      </c>
      <c r="I129" s="1042" t="s">
        <v>20</v>
      </c>
      <c r="J129" s="1039">
        <v>47.59</v>
      </c>
      <c r="K129" s="1039"/>
      <c r="L129" s="158">
        <f t="shared" si="3"/>
        <v>47.59</v>
      </c>
    </row>
    <row r="130" spans="1:12" ht="51">
      <c r="A130" s="1032">
        <v>45046</v>
      </c>
      <c r="B130" s="1043" t="s">
        <v>2245</v>
      </c>
      <c r="C130" s="1036" t="s">
        <v>484</v>
      </c>
      <c r="D130" s="1036"/>
      <c r="E130" s="1040"/>
      <c r="F130" s="1036"/>
      <c r="G130" s="1048" t="s">
        <v>2246</v>
      </c>
      <c r="H130" s="1041" t="str">
        <f>IF(I130=0,"",(INDEX([1]!AccountCodes[ACCOUNT NAME],MATCH(I130,[1]!AccountCodes[NGAS CODE],0))))</f>
        <v>Due to PhilHealth</v>
      </c>
      <c r="I130" s="1042" t="s">
        <v>112</v>
      </c>
      <c r="J130" s="1039"/>
      <c r="K130" s="1039">
        <v>47.59</v>
      </c>
      <c r="L130" s="158">
        <f t="shared" si="3"/>
        <v>0</v>
      </c>
    </row>
    <row r="131" spans="1:12" ht="33" customHeight="1">
      <c r="A131" s="1032">
        <v>45046</v>
      </c>
      <c r="B131" s="1043" t="s">
        <v>2247</v>
      </c>
      <c r="C131" s="1036" t="s">
        <v>485</v>
      </c>
      <c r="D131" s="1036"/>
      <c r="E131" s="1040"/>
      <c r="F131" s="1036"/>
      <c r="G131" s="1048" t="s">
        <v>2248</v>
      </c>
      <c r="H131" s="1041" t="str">
        <f>IF(I131=0,"",(INDEX([1]!AccountCodes[ACCOUNT NAME],MATCH(I131,[1]!AccountCodes[NGAS CODE],0))))</f>
        <v>Depreciation-Machinery and Equipment - ICT Equipment</v>
      </c>
      <c r="I131" s="1038" t="s">
        <v>280</v>
      </c>
      <c r="J131" s="1039">
        <v>8619.66</v>
      </c>
      <c r="K131" s="1039"/>
      <c r="L131" s="158">
        <f t="shared" si="3"/>
        <v>8619.66</v>
      </c>
    </row>
    <row r="132" spans="1:12" ht="25.5">
      <c r="A132" s="1032">
        <v>45046</v>
      </c>
      <c r="B132" s="1043" t="s">
        <v>2247</v>
      </c>
      <c r="C132" s="1036" t="s">
        <v>485</v>
      </c>
      <c r="D132" s="1036"/>
      <c r="E132" s="1040"/>
      <c r="F132" s="1036"/>
      <c r="G132" s="1048" t="s">
        <v>2248</v>
      </c>
      <c r="H132" s="1041" t="str">
        <f>IF(I132=0,"",(INDEX([1]!AccountCodes[ACCOUNT NAME],MATCH(I132,[1]!AccountCodes[NGAS CODE],0))))</f>
        <v>Accumulated Depreciation-Information and Communications Technology Equipment</v>
      </c>
      <c r="I132" s="1038" t="s">
        <v>90</v>
      </c>
      <c r="J132" s="1039"/>
      <c r="K132" s="1039">
        <v>8619.66</v>
      </c>
      <c r="L132" s="158">
        <f t="shared" si="3"/>
        <v>0</v>
      </c>
    </row>
    <row r="133" spans="1:12" ht="25.5">
      <c r="A133" s="1032">
        <v>45046</v>
      </c>
      <c r="B133" s="1043" t="s">
        <v>2249</v>
      </c>
      <c r="C133" s="1036" t="s">
        <v>485</v>
      </c>
      <c r="D133" s="1036"/>
      <c r="E133" s="1040"/>
      <c r="F133" s="1036"/>
      <c r="G133" s="143" t="s">
        <v>2250</v>
      </c>
      <c r="H133" s="1041" t="str">
        <f>IF(I133=0,"",(INDEX([1]!AccountCodes[ACCOUNT NAME],MATCH(I133,[1]!AccountCodes[NGAS CODE],0))))</f>
        <v>Depreciation-Machinery and Equipment - Office Equipment</v>
      </c>
      <c r="I133" s="1044" t="s">
        <v>278</v>
      </c>
      <c r="J133" s="1039">
        <v>1487.54</v>
      </c>
      <c r="K133" s="1039"/>
      <c r="L133" s="158">
        <f t="shared" si="3"/>
        <v>1487.54</v>
      </c>
    </row>
    <row r="134" spans="1:12" ht="25.5">
      <c r="A134" s="1032">
        <v>45046</v>
      </c>
      <c r="B134" s="1043" t="s">
        <v>2249</v>
      </c>
      <c r="C134" s="1036" t="s">
        <v>485</v>
      </c>
      <c r="D134" s="1036"/>
      <c r="E134" s="1040"/>
      <c r="F134" s="1036"/>
      <c r="G134" s="143" t="s">
        <v>2250</v>
      </c>
      <c r="H134" s="1041" t="str">
        <f>IF(I134=0,"",(INDEX([1]!AccountCodes[ACCOUNT NAME],MATCH(I134,[1]!AccountCodes[NGAS CODE],0))))</f>
        <v>Accumulated Depreciation-Office Equipment</v>
      </c>
      <c r="I134" s="1044" t="s">
        <v>88</v>
      </c>
      <c r="J134" s="1039"/>
      <c r="K134" s="1039">
        <v>1487.54</v>
      </c>
      <c r="L134" s="158">
        <f t="shared" si="3"/>
        <v>0</v>
      </c>
    </row>
    <row r="135" spans="1:12" ht="15.75" customHeight="1">
      <c r="A135" s="1032">
        <v>45046</v>
      </c>
      <c r="B135" s="1043" t="s">
        <v>2251</v>
      </c>
      <c r="C135" s="1036" t="s">
        <v>485</v>
      </c>
      <c r="D135" s="1036"/>
      <c r="E135" s="1040"/>
      <c r="F135" s="1036"/>
      <c r="G135" s="1048" t="s">
        <v>2252</v>
      </c>
      <c r="H135" s="1041" t="str">
        <f>IF(I135=0,"",(INDEX([1]!AccountCodes[ACCOUNT NAME],MATCH(I135,[1]!AccountCodes[NGAS CODE],0))))</f>
        <v>Depreciation-Infrastructure Assets - Other Infrastructure Assets (Irrigation Canals &amp; Laterals)</v>
      </c>
      <c r="I135" s="1038" t="s">
        <v>1452</v>
      </c>
      <c r="J135" s="1039">
        <v>144278.17000000001</v>
      </c>
      <c r="K135" s="1039"/>
      <c r="L135" s="158">
        <f t="shared" si="3"/>
        <v>144278.17000000001</v>
      </c>
    </row>
    <row r="136" spans="1:12" ht="25.5">
      <c r="A136" s="1032">
        <v>45046</v>
      </c>
      <c r="B136" s="1043" t="s">
        <v>2251</v>
      </c>
      <c r="C136" s="1036" t="s">
        <v>485</v>
      </c>
      <c r="D136" s="1036"/>
      <c r="E136" s="1040"/>
      <c r="F136" s="1036"/>
      <c r="G136" s="1048" t="s">
        <v>2252</v>
      </c>
      <c r="H136" s="1041" t="str">
        <f>IF(I136=0,"",(INDEX([1]!AccountCodes[ACCOUNT NAME],MATCH(I136,[1]!AccountCodes[NGAS CODE],0))))</f>
        <v>Accumulated Depreciation-Water Supply Systems</v>
      </c>
      <c r="I136" s="1059" t="s">
        <v>1261</v>
      </c>
      <c r="J136" s="1047"/>
      <c r="K136" s="1047">
        <v>144278.17000000001</v>
      </c>
      <c r="L136" s="158">
        <f t="shared" si="3"/>
        <v>0</v>
      </c>
    </row>
    <row r="137" spans="1:12" ht="38.25">
      <c r="A137" s="1032">
        <v>45046</v>
      </c>
      <c r="B137" s="1043" t="s">
        <v>2253</v>
      </c>
      <c r="C137" s="1036" t="s">
        <v>486</v>
      </c>
      <c r="D137" s="1036"/>
      <c r="E137" s="1040"/>
      <c r="F137" s="1036"/>
      <c r="G137" s="143" t="s">
        <v>2254</v>
      </c>
      <c r="H137" s="1041" t="str">
        <f>IF(I137=0,"",(INDEX([1]!AccountCodes[ACCOUNT NAME],MATCH(I137,[1]!AccountCodes[NGAS CODE],0))))</f>
        <v>Depreciation-Machinery and Equipment - ICT Equipment</v>
      </c>
      <c r="I137" s="1059" t="s">
        <v>280</v>
      </c>
      <c r="J137" s="1047">
        <v>4071.06</v>
      </c>
      <c r="K137" s="1047"/>
      <c r="L137" s="158">
        <f t="shared" si="3"/>
        <v>4071.06</v>
      </c>
    </row>
    <row r="138" spans="1:12" ht="38.25">
      <c r="A138" s="1032">
        <v>45046</v>
      </c>
      <c r="B138" s="1043" t="s">
        <v>2253</v>
      </c>
      <c r="C138" s="1036" t="s">
        <v>486</v>
      </c>
      <c r="D138" s="1036"/>
      <c r="E138" s="1040"/>
      <c r="F138" s="1036"/>
      <c r="G138" s="143" t="s">
        <v>2254</v>
      </c>
      <c r="H138" s="1041" t="str">
        <f>IF(I138=0,"",(INDEX([1]!AccountCodes[ACCOUNT NAME],MATCH(I138,[1]!AccountCodes[NGAS CODE],0))))</f>
        <v>Accumulated Depreciation-Information and Communications Technology Equipment</v>
      </c>
      <c r="I138" s="1038" t="s">
        <v>90</v>
      </c>
      <c r="J138" s="1060"/>
      <c r="K138" s="1039">
        <v>4071.06</v>
      </c>
      <c r="L138" s="158">
        <f t="shared" si="3"/>
        <v>0</v>
      </c>
    </row>
    <row r="139" spans="1:12" ht="25.5">
      <c r="A139" s="1032">
        <v>45046</v>
      </c>
      <c r="B139" s="1043" t="s">
        <v>2255</v>
      </c>
      <c r="C139" s="1036" t="s">
        <v>486</v>
      </c>
      <c r="D139" s="1036"/>
      <c r="E139" s="1040"/>
      <c r="F139" s="1036"/>
      <c r="G139" s="1037" t="s">
        <v>2256</v>
      </c>
      <c r="H139" s="1041" t="str">
        <f>IF(I139=0,"",(INDEX([1]!AccountCodes[ACCOUNT NAME],MATCH(I139,[1]!AccountCodes[NGAS CODE],0))))</f>
        <v>Depreciation-Infrastructure Assets - Other Infrastructure Assets (Irrigation Canals &amp; Laterals)</v>
      </c>
      <c r="I139" s="1038" t="s">
        <v>1452</v>
      </c>
      <c r="J139" s="1039">
        <v>114222.24</v>
      </c>
      <c r="K139" s="1060"/>
      <c r="L139" s="158">
        <f t="shared" si="3"/>
        <v>114222.24</v>
      </c>
    </row>
    <row r="140" spans="1:12" ht="25.5">
      <c r="A140" s="1032">
        <v>45046</v>
      </c>
      <c r="B140" s="1043" t="s">
        <v>2255</v>
      </c>
      <c r="C140" s="1036" t="s">
        <v>486</v>
      </c>
      <c r="D140" s="1036"/>
      <c r="E140" s="1040"/>
      <c r="F140" s="1036"/>
      <c r="G140" s="1037" t="s">
        <v>2256</v>
      </c>
      <c r="H140" s="1041" t="str">
        <f>IF(I140=0,"",(INDEX([1]!AccountCodes[ACCOUNT NAME],MATCH(I140,[1]!AccountCodes[NGAS CODE],0))))</f>
        <v>Accumulated Depreciation-Water Supply Systems</v>
      </c>
      <c r="I140" s="1044" t="s">
        <v>1261</v>
      </c>
      <c r="J140" s="1060"/>
      <c r="K140" s="1039">
        <v>114222.24</v>
      </c>
      <c r="L140" s="158">
        <f t="shared" si="3"/>
        <v>0</v>
      </c>
    </row>
    <row r="141" spans="1:12" ht="25.5">
      <c r="A141" s="1032">
        <v>45046</v>
      </c>
      <c r="B141" s="1043" t="s">
        <v>2257</v>
      </c>
      <c r="C141" s="1036" t="s">
        <v>762</v>
      </c>
      <c r="D141" s="1036"/>
      <c r="E141" s="1040"/>
      <c r="F141" s="1036"/>
      <c r="G141" s="1048" t="s">
        <v>2258</v>
      </c>
      <c r="H141" s="1041" t="str">
        <f>IF(I141=0,"",(INDEX([1]!AccountCodes[ACCOUNT NAME],MATCH(I141,[1]!AccountCodes[NGAS CODE],0))))</f>
        <v>Semi-Expendable Machinery and Equipment Expenses</v>
      </c>
      <c r="I141" s="1042" t="s">
        <v>1265</v>
      </c>
      <c r="J141" s="1039">
        <v>9230</v>
      </c>
      <c r="K141" s="1039"/>
      <c r="L141" s="158">
        <f t="shared" si="3"/>
        <v>9230</v>
      </c>
    </row>
    <row r="142" spans="1:12" ht="25.5">
      <c r="A142" s="1032">
        <v>45046</v>
      </c>
      <c r="B142" s="1043" t="s">
        <v>2257</v>
      </c>
      <c r="C142" s="1036" t="s">
        <v>762</v>
      </c>
      <c r="D142" s="1036"/>
      <c r="E142" s="1040"/>
      <c r="F142" s="1036"/>
      <c r="G142" s="1048" t="s">
        <v>2258</v>
      </c>
      <c r="H142" s="1041" t="str">
        <f>IF(I142=0,"",(INDEX([1]!AccountCodes[ACCOUNT NAME],MATCH(I142,[1]!AccountCodes[NGAS CODE],0))))</f>
        <v>Semi-Expendable Information and Communications Technology Equipment</v>
      </c>
      <c r="I142" s="1042" t="s">
        <v>1246</v>
      </c>
      <c r="J142" s="1039"/>
      <c r="K142" s="1039">
        <v>9230</v>
      </c>
      <c r="L142" s="158">
        <f t="shared" si="3"/>
        <v>0</v>
      </c>
    </row>
    <row r="143" spans="1:12" ht="25.5">
      <c r="A143" s="1032">
        <v>45046</v>
      </c>
      <c r="B143" s="1043" t="s">
        <v>2259</v>
      </c>
      <c r="C143" s="1036" t="s">
        <v>762</v>
      </c>
      <c r="D143" s="1036"/>
      <c r="E143" s="1040"/>
      <c r="F143" s="1036"/>
      <c r="G143" s="1048" t="s">
        <v>2260</v>
      </c>
      <c r="H143" s="1041" t="str">
        <f>IF(I143=0,"",(INDEX([1]!AccountCodes[ACCOUNT NAME],MATCH(I143,[1]!AccountCodes[NGAS CODE],0))))</f>
        <v>Office Supplies Expenses</v>
      </c>
      <c r="I143" s="1042" t="s">
        <v>225</v>
      </c>
      <c r="J143" s="1039">
        <v>133938.29999999999</v>
      </c>
      <c r="K143" s="1039"/>
      <c r="L143" s="158">
        <f t="shared" si="3"/>
        <v>133938.29999999999</v>
      </c>
    </row>
    <row r="144" spans="1:12" ht="25.5">
      <c r="A144" s="1032">
        <v>45046</v>
      </c>
      <c r="B144" s="1043" t="s">
        <v>2259</v>
      </c>
      <c r="C144" s="1036" t="s">
        <v>762</v>
      </c>
      <c r="D144" s="1036"/>
      <c r="E144" s="1040"/>
      <c r="F144" s="1036"/>
      <c r="G144" s="1048" t="s">
        <v>2260</v>
      </c>
      <c r="H144" s="1041" t="str">
        <f>IF(I144=0,"",(INDEX([1]!AccountCodes[ACCOUNT NAME],MATCH(I144,[1]!AccountCodes[NGAS CODE],0))))</f>
        <v>Office Supplies Inventory</v>
      </c>
      <c r="I144" s="1038" t="s">
        <v>30</v>
      </c>
      <c r="J144" s="1039"/>
      <c r="K144" s="1039">
        <v>133938.29999999999</v>
      </c>
      <c r="L144" s="158">
        <f t="shared" si="3"/>
        <v>0</v>
      </c>
    </row>
    <row r="145" spans="1:12" ht="25.5">
      <c r="A145" s="1032">
        <v>45046</v>
      </c>
      <c r="B145" s="1043" t="s">
        <v>2261</v>
      </c>
      <c r="C145" s="1036" t="s">
        <v>762</v>
      </c>
      <c r="D145" s="1036"/>
      <c r="E145" s="1040"/>
      <c r="F145" s="1036"/>
      <c r="G145" s="1048" t="s">
        <v>2252</v>
      </c>
      <c r="H145" s="1041" t="str">
        <f>IF(I145=0,"",(INDEX([1]!AccountCodes[ACCOUNT NAME],MATCH(I145,[1]!AccountCodes[NGAS CODE],0))))</f>
        <v>Depreciation-Infrastructure Assets - Other Infrastructure Assets (Irrigation Canals &amp; Laterals)</v>
      </c>
      <c r="I145" s="1038" t="s">
        <v>1452</v>
      </c>
      <c r="J145" s="1039">
        <v>285316.36</v>
      </c>
      <c r="K145" s="1039"/>
      <c r="L145" s="158">
        <f t="shared" si="3"/>
        <v>285316.36</v>
      </c>
    </row>
    <row r="146" spans="1:12" ht="25.5">
      <c r="A146" s="1032">
        <v>45046</v>
      </c>
      <c r="B146" s="1043" t="s">
        <v>2261</v>
      </c>
      <c r="C146" s="1036" t="s">
        <v>762</v>
      </c>
      <c r="D146" s="1036"/>
      <c r="E146" s="1040"/>
      <c r="F146" s="1036"/>
      <c r="G146" s="1048" t="s">
        <v>2252</v>
      </c>
      <c r="H146" s="1041" t="str">
        <f>IF(I146=0,"",(INDEX([1]!AccountCodes[ACCOUNT NAME],MATCH(I146,[1]!AccountCodes[NGAS CODE],0))))</f>
        <v>Accumulated Depreciation-Water Supply Systems</v>
      </c>
      <c r="I146" s="1038" t="s">
        <v>1261</v>
      </c>
      <c r="J146" s="1039"/>
      <c r="K146" s="1039">
        <v>285316.36</v>
      </c>
      <c r="L146" s="158">
        <f t="shared" si="3"/>
        <v>0</v>
      </c>
    </row>
    <row r="147" spans="1:12" ht="25.5">
      <c r="A147" s="1032">
        <v>45046</v>
      </c>
      <c r="B147" s="1043" t="s">
        <v>2262</v>
      </c>
      <c r="C147" s="1036" t="s">
        <v>762</v>
      </c>
      <c r="D147" s="1036"/>
      <c r="E147" s="1040"/>
      <c r="F147" s="1036"/>
      <c r="G147" s="143" t="s">
        <v>2263</v>
      </c>
      <c r="H147" s="1041" t="str">
        <f>IF(I147=0,"",(INDEX([1]!AccountCodes[ACCOUNT NAME],MATCH(I147,[1]!AccountCodes[NGAS CODE],0))))</f>
        <v>Depreciation-Machinery and Equipment - ICT Equipment</v>
      </c>
      <c r="I147" s="1051" t="s">
        <v>280</v>
      </c>
      <c r="J147" s="1052">
        <v>9403.61</v>
      </c>
      <c r="K147" s="1052"/>
      <c r="L147" s="158">
        <f t="shared" si="3"/>
        <v>9403.61</v>
      </c>
    </row>
    <row r="148" spans="1:12" ht="25.5">
      <c r="A148" s="1032">
        <v>45046</v>
      </c>
      <c r="B148" s="1043" t="s">
        <v>2262</v>
      </c>
      <c r="C148" s="1036" t="s">
        <v>762</v>
      </c>
      <c r="D148" s="1036"/>
      <c r="E148" s="1040"/>
      <c r="F148" s="1036"/>
      <c r="G148" s="143" t="s">
        <v>2263</v>
      </c>
      <c r="H148" s="1041" t="str">
        <f>IF(I148=0,"",(INDEX([1]!AccountCodes[ACCOUNT NAME],MATCH(I148,[1]!AccountCodes[NGAS CODE],0))))</f>
        <v>Depreciation-Machinery and Equipment - Office Equipment</v>
      </c>
      <c r="I148" s="1051" t="s">
        <v>278</v>
      </c>
      <c r="J148" s="1052">
        <v>5358.64</v>
      </c>
      <c r="K148" s="1052"/>
      <c r="L148" s="158">
        <f t="shared" si="3"/>
        <v>14762.25</v>
      </c>
    </row>
    <row r="149" spans="1:12" ht="25.5">
      <c r="A149" s="1032">
        <v>45046</v>
      </c>
      <c r="B149" s="1043" t="s">
        <v>2262</v>
      </c>
      <c r="C149" s="1036" t="s">
        <v>762</v>
      </c>
      <c r="D149" s="1036"/>
      <c r="E149" s="1040"/>
      <c r="F149" s="1036"/>
      <c r="G149" s="143" t="s">
        <v>2263</v>
      </c>
      <c r="H149" s="1041" t="str">
        <f>IF(I149=0,"",(INDEX([1]!AccountCodes[ACCOUNT NAME],MATCH(I149,[1]!AccountCodes[NGAS CODE],0))))</f>
        <v>Accumulated Depreciation-Information and Communications Technology Equipment</v>
      </c>
      <c r="I149" s="1051" t="s">
        <v>90</v>
      </c>
      <c r="J149" s="1052"/>
      <c r="K149" s="1052">
        <v>9403.61</v>
      </c>
      <c r="L149" s="158">
        <f t="shared" si="3"/>
        <v>5358.64</v>
      </c>
    </row>
    <row r="150" spans="1:12" ht="25.5">
      <c r="A150" s="1032">
        <v>45046</v>
      </c>
      <c r="B150" s="1043" t="s">
        <v>2262</v>
      </c>
      <c r="C150" s="1036" t="s">
        <v>762</v>
      </c>
      <c r="D150" s="1036"/>
      <c r="E150" s="1040"/>
      <c r="F150" s="1036"/>
      <c r="G150" s="143" t="s">
        <v>2263</v>
      </c>
      <c r="H150" s="1041" t="str">
        <f>IF(I150=0,"",(INDEX([1]!AccountCodes[ACCOUNT NAME],MATCH(I150,[1]!AccountCodes[NGAS CODE],0))))</f>
        <v>Accumulated Depreciation-Office Equipment</v>
      </c>
      <c r="I150" s="1051" t="s">
        <v>88</v>
      </c>
      <c r="J150" s="1052"/>
      <c r="K150" s="1052">
        <v>5358.64</v>
      </c>
      <c r="L150" s="158">
        <f t="shared" si="3"/>
        <v>0</v>
      </c>
    </row>
    <row r="151" spans="1:12" ht="25.5">
      <c r="A151" s="1032">
        <v>45046</v>
      </c>
      <c r="B151" s="1043" t="s">
        <v>2264</v>
      </c>
      <c r="C151" s="1036" t="s">
        <v>762</v>
      </c>
      <c r="D151" s="1036"/>
      <c r="E151" s="1040"/>
      <c r="F151" s="1036"/>
      <c r="G151" s="1061" t="s">
        <v>2265</v>
      </c>
      <c r="H151" s="1041" t="str">
        <f>IF(I151=0,"",(INDEX([1]!AccountCodes[ACCOUNT NAME],MATCH(I151,[1]!AccountCodes[NGAS CODE],0))))</f>
        <v>Due to BIR - 5%</v>
      </c>
      <c r="I151" s="1038" t="s">
        <v>1548</v>
      </c>
      <c r="J151" s="1039">
        <v>131.25</v>
      </c>
      <c r="K151" s="1039"/>
      <c r="L151" s="158">
        <f t="shared" si="3"/>
        <v>131.25</v>
      </c>
    </row>
    <row r="152" spans="1:12" ht="25.5">
      <c r="A152" s="1032">
        <v>45046</v>
      </c>
      <c r="B152" s="1043" t="s">
        <v>2264</v>
      </c>
      <c r="C152" s="1036" t="s">
        <v>762</v>
      </c>
      <c r="D152" s="1036"/>
      <c r="E152" s="1040"/>
      <c r="F152" s="1036"/>
      <c r="G152" s="1061" t="s">
        <v>2265</v>
      </c>
      <c r="H152" s="1041" t="str">
        <f>IF(I152=0,"",(INDEX([1]!AccountCodes[ACCOUNT NAME],MATCH(I152,[1]!AccountCodes[NGAS CODE],0))))</f>
        <v>Due to BIR - 2%</v>
      </c>
      <c r="I152" s="1038" t="s">
        <v>1550</v>
      </c>
      <c r="J152" s="1047"/>
      <c r="K152" s="1060">
        <v>131.25</v>
      </c>
      <c r="L152" s="158">
        <f t="shared" si="3"/>
        <v>0</v>
      </c>
    </row>
    <row r="153" spans="1:12" ht="63.75">
      <c r="A153" s="1032">
        <v>45077</v>
      </c>
      <c r="B153" s="1043" t="s">
        <v>2266</v>
      </c>
      <c r="C153" s="1036" t="s">
        <v>494</v>
      </c>
      <c r="D153" s="1036"/>
      <c r="E153" s="1040"/>
      <c r="F153" s="1036"/>
      <c r="G153" s="1035" t="s">
        <v>2267</v>
      </c>
      <c r="H153" s="1041" t="str">
        <f>IF(I153=0,"",(INDEX([1]!AccountCodes[ACCOUNT NAME],MATCH(I153,[1]!AccountCodes[NGAS CODE],0))))</f>
        <v>Cash in Bank-Local Currency, Current Account - RO</v>
      </c>
      <c r="I153" s="1038" t="s">
        <v>1556</v>
      </c>
      <c r="J153" s="1039">
        <v>10354138.199999999</v>
      </c>
      <c r="K153" s="1039"/>
      <c r="L153" s="158">
        <f t="shared" si="3"/>
        <v>10354138.199999999</v>
      </c>
    </row>
    <row r="154" spans="1:12" ht="63.75">
      <c r="A154" s="1032">
        <v>45077</v>
      </c>
      <c r="B154" s="1043" t="s">
        <v>2266</v>
      </c>
      <c r="C154" s="1036" t="s">
        <v>494</v>
      </c>
      <c r="D154" s="1036"/>
      <c r="E154" s="1040"/>
      <c r="F154" s="1036"/>
      <c r="G154" s="1035" t="s">
        <v>2267</v>
      </c>
      <c r="H154" s="1041" t="str">
        <f>IF(I154=0,"",(INDEX([1]!AccountCodes[ACCOUNT NAME],MATCH(I154,[1]!AccountCodes[NGAS CODE],0))))</f>
        <v>Subsidy from Central Office</v>
      </c>
      <c r="I154" s="1038" t="s">
        <v>152</v>
      </c>
      <c r="J154" s="1039"/>
      <c r="K154" s="1039">
        <v>10354138.199999999</v>
      </c>
      <c r="L154" s="158">
        <f t="shared" si="3"/>
        <v>0</v>
      </c>
    </row>
    <row r="155" spans="1:12" ht="25.5">
      <c r="A155" s="1032">
        <v>45077</v>
      </c>
      <c r="B155" s="1043" t="s">
        <v>2268</v>
      </c>
      <c r="C155" s="1036" t="s">
        <v>494</v>
      </c>
      <c r="D155" s="1036"/>
      <c r="E155" s="1040"/>
      <c r="F155" s="1036"/>
      <c r="G155" s="1048" t="s">
        <v>2269</v>
      </c>
      <c r="H155" s="1041" t="str">
        <f>IF(I155=0,"",(INDEX([1]!AccountCodes[ACCOUNT NAME],MATCH(I155,[1]!AccountCodes[NGAS CODE],0))))</f>
        <v>Depreciation-Machinery and Equipment - ICT Equipment</v>
      </c>
      <c r="I155" s="1044" t="s">
        <v>280</v>
      </c>
      <c r="J155" s="1039">
        <v>2998.83</v>
      </c>
      <c r="K155" s="1039"/>
      <c r="L155" s="158">
        <f t="shared" si="3"/>
        <v>2998.83</v>
      </c>
    </row>
    <row r="156" spans="1:12" ht="25.5">
      <c r="A156" s="1032">
        <v>45077</v>
      </c>
      <c r="B156" s="1043" t="s">
        <v>2268</v>
      </c>
      <c r="C156" s="1036" t="s">
        <v>494</v>
      </c>
      <c r="D156" s="1036"/>
      <c r="E156" s="1040"/>
      <c r="F156" s="1036"/>
      <c r="G156" s="1048" t="s">
        <v>2270</v>
      </c>
      <c r="H156" s="1041" t="str">
        <f>IF(I156=0,"",(INDEX([1]!AccountCodes[ACCOUNT NAME],MATCH(I156,[1]!AccountCodes[NGAS CODE],0))))</f>
        <v>Accumulated Depreciation-Information and Communications Technology Equipment</v>
      </c>
      <c r="I156" s="1049" t="s">
        <v>90</v>
      </c>
      <c r="J156" s="1039"/>
      <c r="K156" s="1039">
        <v>2998.83</v>
      </c>
      <c r="L156" s="158">
        <f t="shared" si="3"/>
        <v>0</v>
      </c>
    </row>
    <row r="157" spans="1:12" ht="51">
      <c r="A157" s="1032">
        <v>45077</v>
      </c>
      <c r="B157" s="1043" t="s">
        <v>2271</v>
      </c>
      <c r="C157" s="1036" t="s">
        <v>484</v>
      </c>
      <c r="D157" s="1036"/>
      <c r="E157" s="1040"/>
      <c r="F157" s="1036"/>
      <c r="G157" s="1048" t="s">
        <v>2246</v>
      </c>
      <c r="H157" s="1041" t="str">
        <f>IF(I157=0,"",(INDEX([1]!AccountCodes[ACCOUNT NAME],MATCH(I157,[1]!AccountCodes[NGAS CODE],0))))</f>
        <v>Due from Officers and Employees</v>
      </c>
      <c r="I157" s="1038" t="s">
        <v>20</v>
      </c>
      <c r="J157" s="1039">
        <v>26.29</v>
      </c>
      <c r="K157" s="1039"/>
      <c r="L157" s="158">
        <f t="shared" si="3"/>
        <v>26.29</v>
      </c>
    </row>
    <row r="158" spans="1:12" ht="51">
      <c r="A158" s="1032">
        <v>45077</v>
      </c>
      <c r="B158" s="1043" t="s">
        <v>2271</v>
      </c>
      <c r="C158" s="1036" t="s">
        <v>484</v>
      </c>
      <c r="D158" s="1036"/>
      <c r="E158" s="1040"/>
      <c r="F158" s="1036"/>
      <c r="G158" s="1048" t="s">
        <v>2246</v>
      </c>
      <c r="H158" s="1041" t="str">
        <f>IF(I158=0,"",(INDEX([1]!AccountCodes[ACCOUNT NAME],MATCH(I158,[1]!AccountCodes[NGAS CODE],0))))</f>
        <v>Due to PhilHealth</v>
      </c>
      <c r="I158" s="1038" t="s">
        <v>112</v>
      </c>
      <c r="J158" s="1039"/>
      <c r="K158" s="1039">
        <v>26.29</v>
      </c>
      <c r="L158" s="158">
        <f t="shared" si="3"/>
        <v>0</v>
      </c>
    </row>
    <row r="159" spans="1:12" ht="25.5">
      <c r="A159" s="1032">
        <v>45077</v>
      </c>
      <c r="B159" s="1043" t="s">
        <v>2272</v>
      </c>
      <c r="C159" s="1036" t="s">
        <v>484</v>
      </c>
      <c r="D159" s="1036"/>
      <c r="E159" s="1040"/>
      <c r="F159" s="1036"/>
      <c r="G159" s="1048" t="s">
        <v>2273</v>
      </c>
      <c r="H159" s="1041" t="str">
        <f>IF(I159=0,"",(INDEX([1]!AccountCodes[ACCOUNT NAME],MATCH(I159,[1]!AccountCodes[NGAS CODE],0))))</f>
        <v>Depreciation-Machinery and Equipment - ICT Equipment</v>
      </c>
      <c r="I159" s="1038" t="s">
        <v>280</v>
      </c>
      <c r="J159" s="1062">
        <v>3482.39</v>
      </c>
      <c r="K159" s="1039"/>
      <c r="L159" s="158">
        <f t="shared" si="3"/>
        <v>3482.39</v>
      </c>
    </row>
    <row r="160" spans="1:12" ht="25.5">
      <c r="A160" s="1032">
        <v>45077</v>
      </c>
      <c r="B160" s="1043" t="s">
        <v>2272</v>
      </c>
      <c r="C160" s="1036" t="s">
        <v>484</v>
      </c>
      <c r="D160" s="1036"/>
      <c r="E160" s="1040"/>
      <c r="F160" s="1036"/>
      <c r="G160" s="1048" t="s">
        <v>2273</v>
      </c>
      <c r="H160" s="1041" t="str">
        <f>IF(I160=0,"",(INDEX([1]!AccountCodes[ACCOUNT NAME],MATCH(I160,[1]!AccountCodes[NGAS CODE],0))))</f>
        <v>Accumulated Depreciation-Information and Communications Technology Equipment</v>
      </c>
      <c r="I160" s="1038" t="s">
        <v>90</v>
      </c>
      <c r="J160" s="1039"/>
      <c r="K160" s="1039">
        <v>3482.39</v>
      </c>
      <c r="L160" s="158">
        <f t="shared" si="3"/>
        <v>0</v>
      </c>
    </row>
    <row r="161" spans="1:12" ht="76.5">
      <c r="A161" s="1032">
        <v>45077</v>
      </c>
      <c r="B161" s="1043" t="s">
        <v>2274</v>
      </c>
      <c r="C161" s="1036" t="s">
        <v>484</v>
      </c>
      <c r="D161" s="1036"/>
      <c r="E161" s="1040"/>
      <c r="F161" s="1036"/>
      <c r="G161" s="1063" t="s">
        <v>2275</v>
      </c>
      <c r="H161" s="1041" t="str">
        <f>IF(I161=0,"",(INDEX([1]!AccountCodes[ACCOUNT NAME],MATCH(I161,[1]!AccountCodes[NGAS CODE],0))))</f>
        <v>Traveling Expenses-Local</v>
      </c>
      <c r="I161" s="1038" t="s">
        <v>223</v>
      </c>
      <c r="J161" s="1039">
        <v>9693</v>
      </c>
      <c r="K161" s="1039"/>
      <c r="L161" s="158">
        <f t="shared" si="3"/>
        <v>9693</v>
      </c>
    </row>
    <row r="162" spans="1:12" ht="76.5">
      <c r="A162" s="1032">
        <v>45077</v>
      </c>
      <c r="B162" s="1043" t="s">
        <v>2274</v>
      </c>
      <c r="C162" s="1036" t="s">
        <v>484</v>
      </c>
      <c r="D162" s="1036"/>
      <c r="E162" s="1040"/>
      <c r="F162" s="1036"/>
      <c r="G162" s="1063" t="s">
        <v>2275</v>
      </c>
      <c r="H162" s="1041" t="str">
        <f>IF(I162=0,"",(INDEX([1]!AccountCodes[ACCOUNT NAME],MATCH(I162,[1]!AccountCodes[NGAS CODE],0))))</f>
        <v>Advances to Officers and Employees</v>
      </c>
      <c r="I162" s="1038" t="s">
        <v>27</v>
      </c>
      <c r="J162" s="1039"/>
      <c r="K162" s="1039">
        <v>9693</v>
      </c>
      <c r="L162" s="158">
        <f t="shared" si="3"/>
        <v>0</v>
      </c>
    </row>
    <row r="163" spans="1:12" ht="25.5">
      <c r="A163" s="1032">
        <v>45077</v>
      </c>
      <c r="B163" s="1043" t="s">
        <v>2276</v>
      </c>
      <c r="C163" s="1036" t="s">
        <v>485</v>
      </c>
      <c r="D163" s="1036"/>
      <c r="E163" s="1040"/>
      <c r="F163" s="1036"/>
      <c r="G163" s="1048" t="s">
        <v>2273</v>
      </c>
      <c r="H163" s="1041" t="str">
        <f>IF(I163=0,"",(INDEX([1]!AccountCodes[ACCOUNT NAME],MATCH(I163,[1]!AccountCodes[NGAS CODE],0))))</f>
        <v>Depreciation-Machinery and Equipment - ICT Equipment</v>
      </c>
      <c r="I163" s="1059" t="s">
        <v>280</v>
      </c>
      <c r="J163" s="1047">
        <v>8619.66</v>
      </c>
      <c r="K163" s="1047"/>
      <c r="L163" s="158">
        <f>L160+J163-K163</f>
        <v>8619.66</v>
      </c>
    </row>
    <row r="164" spans="1:12" ht="25.5">
      <c r="A164" s="1032">
        <v>45077</v>
      </c>
      <c r="B164" s="1043" t="s">
        <v>2276</v>
      </c>
      <c r="C164" s="1036" t="s">
        <v>485</v>
      </c>
      <c r="D164" s="1036"/>
      <c r="E164" s="1040"/>
      <c r="F164" s="1036"/>
      <c r="G164" s="1048" t="s">
        <v>2273</v>
      </c>
      <c r="H164" s="1041" t="str">
        <f>IF(I164=0,"",(INDEX([1]!AccountCodes[ACCOUNT NAME],MATCH(I164,[1]!AccountCodes[NGAS CODE],0))))</f>
        <v>Accumulated Depreciation-Information and Communications Technology Equipment</v>
      </c>
      <c r="I164" s="1059" t="s">
        <v>90</v>
      </c>
      <c r="J164" s="1047"/>
      <c r="K164" s="1047">
        <v>8619.66</v>
      </c>
      <c r="L164" s="158">
        <f t="shared" si="3"/>
        <v>0</v>
      </c>
    </row>
    <row r="165" spans="1:12" ht="25.5">
      <c r="A165" s="1032">
        <v>45077</v>
      </c>
      <c r="B165" s="1043" t="s">
        <v>2277</v>
      </c>
      <c r="C165" s="1036" t="s">
        <v>485</v>
      </c>
      <c r="D165" s="1036"/>
      <c r="E165" s="1040"/>
      <c r="F165" s="1036"/>
      <c r="G165" s="1048" t="s">
        <v>2278</v>
      </c>
      <c r="H165" s="1041" t="str">
        <f>IF(I165=0,"",(INDEX([1]!AccountCodes[ACCOUNT NAME],MATCH(I165,[1]!AccountCodes[NGAS CODE],0))))</f>
        <v>Depreciation-Machinery and Equipment - Office Equipment</v>
      </c>
      <c r="I165" s="1059" t="s">
        <v>278</v>
      </c>
      <c r="J165" s="1039">
        <v>1487.54</v>
      </c>
      <c r="K165" s="1047"/>
      <c r="L165" s="158">
        <f t="shared" si="3"/>
        <v>1487.54</v>
      </c>
    </row>
    <row r="166" spans="1:12" ht="25.5">
      <c r="A166" s="1032">
        <v>45077</v>
      </c>
      <c r="B166" s="1043" t="s">
        <v>2277</v>
      </c>
      <c r="C166" s="1036" t="s">
        <v>485</v>
      </c>
      <c r="D166" s="1036"/>
      <c r="E166" s="1040"/>
      <c r="F166" s="1036"/>
      <c r="G166" s="1048" t="s">
        <v>2278</v>
      </c>
      <c r="H166" s="1041" t="str">
        <f>IF(I166=0,"",(INDEX([1]!AccountCodes[ACCOUNT NAME],MATCH(I166,[1]!AccountCodes[NGAS CODE],0))))</f>
        <v>Accumulated Depreciation-Office Equipment</v>
      </c>
      <c r="I166" s="1059" t="s">
        <v>88</v>
      </c>
      <c r="J166" s="1039"/>
      <c r="K166" s="1047">
        <v>1487.54</v>
      </c>
      <c r="L166" s="158">
        <f t="shared" si="3"/>
        <v>0</v>
      </c>
    </row>
    <row r="167" spans="1:12" ht="40.9" customHeight="1">
      <c r="A167" s="1032">
        <v>45077</v>
      </c>
      <c r="B167" s="1043" t="s">
        <v>2279</v>
      </c>
      <c r="C167" s="1036" t="s">
        <v>485</v>
      </c>
      <c r="D167" s="1036"/>
      <c r="E167" s="1040"/>
      <c r="F167" s="1036"/>
      <c r="G167" s="1037" t="s">
        <v>2280</v>
      </c>
      <c r="H167" s="1041" t="str">
        <f>IF(I167=0,"",(INDEX([1]!AccountCodes[ACCOUNT NAME],MATCH(I167,[1]!AccountCodes[NGAS CODE],0))))</f>
        <v>Depreciation-Infrastructure Assets - Other Infrastructure Assets (Irrigation Canals &amp; Laterals)</v>
      </c>
      <c r="I167" s="1059" t="s">
        <v>1452</v>
      </c>
      <c r="J167" s="1047">
        <v>198470.26</v>
      </c>
      <c r="K167" s="1047"/>
      <c r="L167" s="158">
        <f t="shared" si="3"/>
        <v>198470.26</v>
      </c>
    </row>
    <row r="168" spans="1:12" ht="25.5">
      <c r="A168" s="1032">
        <v>45077</v>
      </c>
      <c r="B168" s="1043" t="s">
        <v>2279</v>
      </c>
      <c r="C168" s="1036" t="s">
        <v>485</v>
      </c>
      <c r="D168" s="1036"/>
      <c r="E168" s="1040"/>
      <c r="F168" s="1036"/>
      <c r="G168" s="1037" t="s">
        <v>2280</v>
      </c>
      <c r="H168" s="1041" t="str">
        <f>IF(I168=0,"",(INDEX([1]!AccountCodes[ACCOUNT NAME],MATCH(I168,[1]!AccountCodes[NGAS CODE],0))))</f>
        <v>Accumulated Depreciation-Water Supply Systems</v>
      </c>
      <c r="I168" s="1059" t="s">
        <v>1261</v>
      </c>
      <c r="J168" s="1047"/>
      <c r="K168" s="1047">
        <v>198470.26</v>
      </c>
      <c r="L168" s="158">
        <f t="shared" si="3"/>
        <v>0</v>
      </c>
    </row>
    <row r="169" spans="1:12" ht="25.5">
      <c r="A169" s="1032">
        <v>45077</v>
      </c>
      <c r="B169" s="1043" t="s">
        <v>2281</v>
      </c>
      <c r="C169" s="1036" t="s">
        <v>762</v>
      </c>
      <c r="D169" s="1036"/>
      <c r="E169" s="1040"/>
      <c r="F169" s="1036"/>
      <c r="G169" s="1048" t="s">
        <v>2282</v>
      </c>
      <c r="H169" s="1041" t="str">
        <f>IF(I169=0,"",(INDEX([1]!AccountCodes[ACCOUNT NAME],MATCH(I169,[1]!AccountCodes[NGAS CODE],0))))</f>
        <v>Depreciation-Machinery and Equipment - ICT Equipment</v>
      </c>
      <c r="I169" s="1059" t="s">
        <v>280</v>
      </c>
      <c r="J169" s="1047">
        <v>9403.61</v>
      </c>
      <c r="K169" s="1039"/>
      <c r="L169" s="158">
        <f t="shared" si="3"/>
        <v>9403.61</v>
      </c>
    </row>
    <row r="170" spans="1:12" ht="25.5">
      <c r="A170" s="1032">
        <v>45077</v>
      </c>
      <c r="B170" s="1043" t="s">
        <v>2281</v>
      </c>
      <c r="C170" s="1036" t="s">
        <v>762</v>
      </c>
      <c r="D170" s="1036"/>
      <c r="E170" s="1040"/>
      <c r="F170" s="1036"/>
      <c r="G170" s="1048" t="s">
        <v>2282</v>
      </c>
      <c r="H170" s="1041" t="str">
        <f>IF(I170=0,"",(INDEX([1]!AccountCodes[ACCOUNT NAME],MATCH(I170,[1]!AccountCodes[NGAS CODE],0))))</f>
        <v>Depreciation-Machinery and Equipment - Office Equipment</v>
      </c>
      <c r="I170" s="1059" t="s">
        <v>278</v>
      </c>
      <c r="J170" s="1047">
        <v>5358.64</v>
      </c>
      <c r="K170" s="1039"/>
      <c r="L170" s="158">
        <f t="shared" si="3"/>
        <v>14762.25</v>
      </c>
    </row>
    <row r="171" spans="1:12" ht="25.5">
      <c r="A171" s="1032">
        <v>45077</v>
      </c>
      <c r="B171" s="1043" t="s">
        <v>2281</v>
      </c>
      <c r="C171" s="1036" t="s">
        <v>762</v>
      </c>
      <c r="D171" s="1036"/>
      <c r="E171" s="1040"/>
      <c r="F171" s="1036"/>
      <c r="G171" s="1048" t="s">
        <v>2282</v>
      </c>
      <c r="H171" s="1041" t="str">
        <f>IF(I171=0,"",(INDEX([1]!AccountCodes[ACCOUNT NAME],MATCH(I171,[1]!AccountCodes[NGAS CODE],0))))</f>
        <v>Accumulated Depreciation-Information and Communications Technology Equipment</v>
      </c>
      <c r="I171" s="1051" t="s">
        <v>90</v>
      </c>
      <c r="J171" s="1064"/>
      <c r="K171" s="1047">
        <v>9403.61</v>
      </c>
      <c r="L171" s="158">
        <f t="shared" si="3"/>
        <v>5358.64</v>
      </c>
    </row>
    <row r="172" spans="1:12" ht="25.5">
      <c r="A172" s="1032">
        <v>45077</v>
      </c>
      <c r="B172" s="1043" t="s">
        <v>2281</v>
      </c>
      <c r="C172" s="1036" t="s">
        <v>762</v>
      </c>
      <c r="D172" s="1036"/>
      <c r="E172" s="1040"/>
      <c r="F172" s="1036"/>
      <c r="G172" s="1048" t="s">
        <v>2282</v>
      </c>
      <c r="H172" s="1041" t="str">
        <f>IF(I172=0,"",(INDEX([1]!AccountCodes[ACCOUNT NAME],MATCH(I172,[1]!AccountCodes[NGAS CODE],0))))</f>
        <v>Accumulated Depreciation-Office Equipment</v>
      </c>
      <c r="I172" s="1051" t="s">
        <v>88</v>
      </c>
      <c r="J172" s="1064"/>
      <c r="K172" s="1047">
        <v>5358.64</v>
      </c>
      <c r="L172" s="158">
        <f t="shared" si="3"/>
        <v>0</v>
      </c>
    </row>
    <row r="173" spans="1:12" ht="25.5">
      <c r="A173" s="1032">
        <v>45077</v>
      </c>
      <c r="B173" s="1043" t="s">
        <v>2283</v>
      </c>
      <c r="C173" s="1036" t="s">
        <v>762</v>
      </c>
      <c r="D173" s="1036"/>
      <c r="E173" s="1040"/>
      <c r="F173" s="1036"/>
      <c r="G173" s="1037" t="s">
        <v>2284</v>
      </c>
      <c r="H173" s="1041" t="str">
        <f>IF(I173=0,"",(INDEX([1]!AccountCodes[ACCOUNT NAME],MATCH(I173,[1]!AccountCodes[NGAS CODE],0))))</f>
        <v>Depreciation-Infrastructure Assets - Other Infrastructure Assets (Irrigation Canals &amp; Laterals)</v>
      </c>
      <c r="I173" s="1042" t="s">
        <v>1452</v>
      </c>
      <c r="J173" s="1039">
        <v>285316.36</v>
      </c>
      <c r="K173" s="1039"/>
      <c r="L173" s="158">
        <f t="shared" si="3"/>
        <v>285316.36</v>
      </c>
    </row>
    <row r="174" spans="1:12" ht="25.5">
      <c r="A174" s="1032">
        <v>45077</v>
      </c>
      <c r="B174" s="1043" t="s">
        <v>2283</v>
      </c>
      <c r="C174" s="1036" t="s">
        <v>762</v>
      </c>
      <c r="D174" s="1036"/>
      <c r="E174" s="1040"/>
      <c r="F174" s="1036"/>
      <c r="G174" s="1037" t="s">
        <v>2284</v>
      </c>
      <c r="H174" s="1041" t="str">
        <f>IF(I174=0,"",(INDEX([1]!AccountCodes[ACCOUNT NAME],MATCH(I174,[1]!AccountCodes[NGAS CODE],0))))</f>
        <v>Accumulated Depreciation-Water Supply Systems</v>
      </c>
      <c r="I174" s="1042" t="s">
        <v>1261</v>
      </c>
      <c r="J174" s="1039"/>
      <c r="K174" s="1039">
        <v>285316.36</v>
      </c>
      <c r="L174" s="158">
        <f t="shared" si="3"/>
        <v>0</v>
      </c>
    </row>
    <row r="175" spans="1:12" ht="45">
      <c r="A175" s="1032">
        <v>45077</v>
      </c>
      <c r="B175" s="1043" t="s">
        <v>2285</v>
      </c>
      <c r="C175" s="1036" t="s">
        <v>494</v>
      </c>
      <c r="D175" s="1036"/>
      <c r="E175" s="1040"/>
      <c r="F175" s="1036"/>
      <c r="G175" s="1065" t="s">
        <v>2286</v>
      </c>
      <c r="H175" s="1041" t="str">
        <f>IF(I175=0,"",(INDEX([1]!AccountCodes[ACCOUNT NAME],MATCH(I175,[1]!AccountCodes[NGAS CODE],0))))</f>
        <v>Semi-Expendable Machinery and Equipment Expenses</v>
      </c>
      <c r="I175" s="1042" t="s">
        <v>1265</v>
      </c>
      <c r="J175" s="1039">
        <v>16404</v>
      </c>
      <c r="K175" s="1039"/>
      <c r="L175" s="158">
        <f t="shared" si="3"/>
        <v>16404</v>
      </c>
    </row>
    <row r="176" spans="1:12" ht="45">
      <c r="A176" s="1032">
        <v>45077</v>
      </c>
      <c r="B176" s="1043" t="s">
        <v>2285</v>
      </c>
      <c r="C176" s="1036" t="s">
        <v>494</v>
      </c>
      <c r="D176" s="1036"/>
      <c r="E176" s="1040"/>
      <c r="F176" s="1036"/>
      <c r="G176" s="1065" t="s">
        <v>2286</v>
      </c>
      <c r="H176" s="1041" t="str">
        <f>IF(I176=0,"",(INDEX([1]!AccountCodes[ACCOUNT NAME],MATCH(I176,[1]!AccountCodes[NGAS CODE],0))))</f>
        <v>Semi-Expendable Furniture, Fixtures and Books Expenses</v>
      </c>
      <c r="I176" s="1042" t="s">
        <v>1266</v>
      </c>
      <c r="J176" s="1039">
        <v>4000</v>
      </c>
      <c r="K176" s="1039"/>
      <c r="L176" s="158">
        <f t="shared" si="3"/>
        <v>20404</v>
      </c>
    </row>
    <row r="177" spans="1:12" ht="45">
      <c r="A177" s="1032">
        <v>45077</v>
      </c>
      <c r="B177" s="1043" t="s">
        <v>2285</v>
      </c>
      <c r="C177" s="1036" t="s">
        <v>494</v>
      </c>
      <c r="D177" s="1036"/>
      <c r="E177" s="1040"/>
      <c r="F177" s="1036"/>
      <c r="G177" s="1065" t="s">
        <v>2286</v>
      </c>
      <c r="H177" s="1041" t="str">
        <f>IF(I177=0,"",(INDEX([1]!AccountCodes[ACCOUNT NAME],MATCH(I177,[1]!AccountCodes[NGAS CODE],0))))</f>
        <v>Semi-Expendable Office Equipment</v>
      </c>
      <c r="I177" s="1042" t="s">
        <v>1245</v>
      </c>
      <c r="J177" s="1039"/>
      <c r="K177" s="1039">
        <v>16404</v>
      </c>
      <c r="L177" s="158">
        <f t="shared" si="3"/>
        <v>4000</v>
      </c>
    </row>
    <row r="178" spans="1:12" ht="45">
      <c r="A178" s="1032">
        <v>45077</v>
      </c>
      <c r="B178" s="1043" t="s">
        <v>2285</v>
      </c>
      <c r="C178" s="1036" t="s">
        <v>494</v>
      </c>
      <c r="D178" s="1036"/>
      <c r="E178" s="1040"/>
      <c r="F178" s="1036"/>
      <c r="G178" s="1065" t="s">
        <v>2286</v>
      </c>
      <c r="H178" s="1041" t="str">
        <f>IF(I178=0,"",(INDEX([1]!AccountCodes[ACCOUNT NAME],MATCH(I178,[1]!AccountCodes[NGAS CODE],0))))</f>
        <v>Semi-Expendable Books</v>
      </c>
      <c r="I178" s="1042" t="s">
        <v>1439</v>
      </c>
      <c r="J178" s="1039"/>
      <c r="K178" s="1039">
        <v>4000</v>
      </c>
      <c r="L178" s="158">
        <f t="shared" si="3"/>
        <v>0</v>
      </c>
    </row>
    <row r="179" spans="1:12" ht="63.75">
      <c r="A179" s="1032">
        <v>45077</v>
      </c>
      <c r="B179" s="1043" t="s">
        <v>2287</v>
      </c>
      <c r="C179" s="1036" t="s">
        <v>484</v>
      </c>
      <c r="D179" s="1036"/>
      <c r="E179" s="1040"/>
      <c r="F179" s="1036"/>
      <c r="G179" s="1037" t="s">
        <v>2288</v>
      </c>
      <c r="H179" s="1041" t="str">
        <f>IF(I179=0,"",(INDEX([1]!AccountCodes[ACCOUNT NAME],MATCH(I179,[1]!AccountCodes[NGAS CODE],0))))</f>
        <v>Depreciation-Infrastructure Assets - Other Infrastructure Assets (Irrigation Canals &amp; Laterals)</v>
      </c>
      <c r="I179" s="1042" t="s">
        <v>1452</v>
      </c>
      <c r="J179" s="1039">
        <v>386789.05</v>
      </c>
      <c r="K179" s="1039"/>
      <c r="L179" s="158">
        <f t="shared" si="3"/>
        <v>386789.05</v>
      </c>
    </row>
    <row r="180" spans="1:12" ht="63.75">
      <c r="A180" s="1032">
        <v>45077</v>
      </c>
      <c r="B180" s="1043" t="s">
        <v>2287</v>
      </c>
      <c r="C180" s="1036" t="s">
        <v>484</v>
      </c>
      <c r="D180" s="1036"/>
      <c r="E180" s="1040"/>
      <c r="F180" s="1036"/>
      <c r="G180" s="1037" t="s">
        <v>2288</v>
      </c>
      <c r="H180" s="1041" t="str">
        <f>IF(I180=0,"",(INDEX([1]!AccountCodes[ACCOUNT NAME],MATCH(I180,[1]!AccountCodes[NGAS CODE],0))))</f>
        <v>Accumulated Surplus/(Deficit) (Government Equity)</v>
      </c>
      <c r="I180" s="1042" t="s">
        <v>122</v>
      </c>
      <c r="J180" s="1039">
        <v>571126.93999999994</v>
      </c>
      <c r="K180" s="1039"/>
      <c r="L180" s="158">
        <f t="shared" si="3"/>
        <v>957915.99</v>
      </c>
    </row>
    <row r="181" spans="1:12" ht="63.75">
      <c r="A181" s="1032">
        <v>45077</v>
      </c>
      <c r="B181" s="1043" t="s">
        <v>2287</v>
      </c>
      <c r="C181" s="1036" t="s">
        <v>484</v>
      </c>
      <c r="D181" s="1036"/>
      <c r="E181" s="1040"/>
      <c r="F181" s="1036"/>
      <c r="G181" s="1037" t="s">
        <v>2288</v>
      </c>
      <c r="H181" s="1041" t="str">
        <f>IF(I181=0,"",(INDEX([1]!AccountCodes[ACCOUNT NAME],MATCH(I181,[1]!AccountCodes[NGAS CODE],0))))</f>
        <v>Accumulated Depreciation-Water Supply Systems</v>
      </c>
      <c r="I181" s="1042" t="s">
        <v>1261</v>
      </c>
      <c r="J181" s="1039"/>
      <c r="K181" s="1039">
        <v>957915.99</v>
      </c>
      <c r="L181" s="158">
        <f t="shared" si="3"/>
        <v>0</v>
      </c>
    </row>
    <row r="182" spans="1:12" ht="25.5">
      <c r="A182" s="1032">
        <v>45077</v>
      </c>
      <c r="B182" s="1043" t="s">
        <v>2289</v>
      </c>
      <c r="C182" s="1036" t="s">
        <v>486</v>
      </c>
      <c r="D182" s="1036"/>
      <c r="E182" s="1040"/>
      <c r="F182" s="1036"/>
      <c r="G182" s="1048" t="s">
        <v>2290</v>
      </c>
      <c r="H182" s="1041" t="str">
        <f>IF(I182=0,"",(INDEX([1]!AccountCodes[ACCOUNT NAME],MATCH(I182,[1]!AccountCodes[NGAS CODE],0))))</f>
        <v>Depreciation-Machinery and Equipment - ICT Equipment</v>
      </c>
      <c r="I182" s="1058" t="s">
        <v>280</v>
      </c>
      <c r="J182" s="1039">
        <v>4071.06</v>
      </c>
      <c r="K182" s="1039"/>
      <c r="L182" s="158">
        <f t="shared" si="3"/>
        <v>4071.06</v>
      </c>
    </row>
    <row r="183" spans="1:12" ht="25.5">
      <c r="A183" s="1032">
        <v>45077</v>
      </c>
      <c r="B183" s="1043" t="s">
        <v>2289</v>
      </c>
      <c r="C183" s="1036" t="s">
        <v>486</v>
      </c>
      <c r="D183" s="1036"/>
      <c r="E183" s="1040"/>
      <c r="F183" s="1036"/>
      <c r="G183" s="1048" t="s">
        <v>2290</v>
      </c>
      <c r="H183" s="1041" t="str">
        <f>IF(I183=0,"",(INDEX([1]!AccountCodes[ACCOUNT NAME],MATCH(I183,[1]!AccountCodes[NGAS CODE],0))))</f>
        <v>Accumulated Depreciation-Information and Communications Technology Equipment</v>
      </c>
      <c r="I183" s="1042" t="s">
        <v>90</v>
      </c>
      <c r="J183" s="1039"/>
      <c r="K183" s="1039">
        <v>4071.06</v>
      </c>
      <c r="L183" s="158">
        <f t="shared" si="3"/>
        <v>0</v>
      </c>
    </row>
    <row r="184" spans="1:12" ht="25.5">
      <c r="A184" s="1032">
        <v>45077</v>
      </c>
      <c r="B184" s="1043" t="s">
        <v>2291</v>
      </c>
      <c r="C184" s="1036" t="s">
        <v>486</v>
      </c>
      <c r="D184" s="1036"/>
      <c r="E184" s="1040"/>
      <c r="F184" s="1036"/>
      <c r="G184" s="1037" t="s">
        <v>2292</v>
      </c>
      <c r="H184" s="1041" t="str">
        <f>IF(I184=0,"",(INDEX([1]!AccountCodes[ACCOUNT NAME],MATCH(I184,[1]!AccountCodes[NGAS CODE],0))))</f>
        <v>Depreciation-Infrastructure Assets - Other Infrastructure Assets (Irrigation Canals &amp; Laterals)</v>
      </c>
      <c r="I184" s="1038" t="s">
        <v>1452</v>
      </c>
      <c r="J184" s="1039">
        <v>114222.24</v>
      </c>
      <c r="K184" s="1039"/>
      <c r="L184" s="158">
        <f t="shared" ref="L184:L229" si="4">L183+J184-K184</f>
        <v>114222.24</v>
      </c>
    </row>
    <row r="185" spans="1:12" ht="25.5">
      <c r="A185" s="1032">
        <v>45077</v>
      </c>
      <c r="B185" s="1043" t="s">
        <v>2291</v>
      </c>
      <c r="C185" s="1036" t="s">
        <v>486</v>
      </c>
      <c r="D185" s="1036"/>
      <c r="E185" s="1040"/>
      <c r="F185" s="1036"/>
      <c r="G185" s="1037" t="s">
        <v>2292</v>
      </c>
      <c r="H185" s="1041" t="str">
        <f>IF(I185=0,"",(INDEX([1]!AccountCodes[ACCOUNT NAME],MATCH(I185,[1]!AccountCodes[NGAS CODE],0))))</f>
        <v>Accumulated Depreciation-Water Supply Systems</v>
      </c>
      <c r="I185" s="1038" t="s">
        <v>1261</v>
      </c>
      <c r="J185" s="1039"/>
      <c r="K185" s="1039">
        <v>114222.24</v>
      </c>
      <c r="L185" s="158">
        <f t="shared" si="4"/>
        <v>0</v>
      </c>
    </row>
    <row r="186" spans="1:12" ht="60" customHeight="1">
      <c r="A186" s="1032">
        <v>45107</v>
      </c>
      <c r="B186" s="1043" t="s">
        <v>2293</v>
      </c>
      <c r="C186" s="1036" t="s">
        <v>494</v>
      </c>
      <c r="D186" s="1036"/>
      <c r="E186" s="1040"/>
      <c r="F186" s="1036"/>
      <c r="G186" s="1048" t="s">
        <v>2294</v>
      </c>
      <c r="H186" s="1041" t="str">
        <f>IF(I186=0,"",(INDEX([1]!AccountCodes[ACCOUNT NAME],MATCH(I186,[1]!AccountCodes[NGAS CODE],0))))</f>
        <v>Cash in Bank-Local Currency, Current Account - RO</v>
      </c>
      <c r="I186" s="1038" t="s">
        <v>1556</v>
      </c>
      <c r="J186" s="1039">
        <v>10102258.199999999</v>
      </c>
      <c r="K186" s="1039"/>
      <c r="L186" s="158">
        <f t="shared" si="4"/>
        <v>10102258.199999999</v>
      </c>
    </row>
    <row r="187" spans="1:12" ht="60" customHeight="1">
      <c r="A187" s="1032">
        <v>45107</v>
      </c>
      <c r="B187" s="1043" t="s">
        <v>2293</v>
      </c>
      <c r="C187" s="1036" t="s">
        <v>494</v>
      </c>
      <c r="D187" s="1036"/>
      <c r="E187" s="1040"/>
      <c r="F187" s="1036"/>
      <c r="G187" s="1048" t="s">
        <v>2294</v>
      </c>
      <c r="H187" s="1041" t="str">
        <f>IF(I187=0,"",(INDEX([1]!AccountCodes[ACCOUNT NAME],MATCH(I187,[1]!AccountCodes[NGAS CODE],0))))</f>
        <v>Subsidy from Central Office</v>
      </c>
      <c r="I187" s="1038" t="s">
        <v>152</v>
      </c>
      <c r="J187" s="1039"/>
      <c r="K187" s="1039">
        <v>10102258.199999999</v>
      </c>
      <c r="L187" s="158">
        <f t="shared" si="4"/>
        <v>0</v>
      </c>
    </row>
    <row r="188" spans="1:12" ht="20.100000000000001" customHeight="1">
      <c r="A188" s="1032">
        <v>45107</v>
      </c>
      <c r="B188" s="1043" t="s">
        <v>2295</v>
      </c>
      <c r="C188" s="1036" t="s">
        <v>494</v>
      </c>
      <c r="D188" s="1036"/>
      <c r="E188" s="1040"/>
      <c r="F188" s="1036"/>
      <c r="G188" s="1048" t="s">
        <v>2296</v>
      </c>
      <c r="H188" s="1041" t="str">
        <f>IF(I188=0,"",(INDEX([1]!AccountCodes[ACCOUNT NAME],MATCH(I188,[1]!AccountCodes[NGAS CODE],0))))</f>
        <v>Cash in Bank-Local Currency, Current Account - RO</v>
      </c>
      <c r="I188" s="1038" t="s">
        <v>1556</v>
      </c>
      <c r="J188" s="1039">
        <v>154.46</v>
      </c>
      <c r="K188" s="1039"/>
      <c r="L188" s="158">
        <f t="shared" si="4"/>
        <v>154.46</v>
      </c>
    </row>
    <row r="189" spans="1:12" ht="20.100000000000001" customHeight="1">
      <c r="A189" s="1032">
        <v>45107</v>
      </c>
      <c r="B189" s="1043" t="s">
        <v>2295</v>
      </c>
      <c r="C189" s="1036" t="s">
        <v>494</v>
      </c>
      <c r="D189" s="1036"/>
      <c r="E189" s="1040"/>
      <c r="F189" s="1036"/>
      <c r="G189" s="1048" t="s">
        <v>2296</v>
      </c>
      <c r="H189" s="1041" t="str">
        <f>IF(I189=0,"",(INDEX([1]!AccountCodes[ACCOUNT NAME],MATCH(I189,[1]!AccountCodes[NGAS CODE],0))))</f>
        <v>Due to the Treasurer of the Philippines</v>
      </c>
      <c r="I189" s="1038" t="s">
        <v>1496</v>
      </c>
      <c r="J189" s="1039"/>
      <c r="K189" s="1039">
        <v>154.46</v>
      </c>
      <c r="L189" s="158">
        <f t="shared" si="4"/>
        <v>0</v>
      </c>
    </row>
    <row r="190" spans="1:12" ht="30" customHeight="1">
      <c r="A190" s="1032">
        <v>45107</v>
      </c>
      <c r="B190" s="1043" t="s">
        <v>2297</v>
      </c>
      <c r="C190" s="1036" t="s">
        <v>494</v>
      </c>
      <c r="D190" s="1036"/>
      <c r="E190" s="1040"/>
      <c r="F190" s="1036"/>
      <c r="G190" s="1061" t="s">
        <v>2298</v>
      </c>
      <c r="H190" s="1041" t="str">
        <f>IF(I190=0,"",(INDEX([1]!AccountCodes[ACCOUNT NAME],MATCH(I190,[1]!AccountCodes[NGAS CODE],0))))</f>
        <v>Semi-Expendable Furniture, Fixtures and Books Expenses</v>
      </c>
      <c r="I190" s="1042" t="s">
        <v>1266</v>
      </c>
      <c r="J190" s="1039">
        <v>12000</v>
      </c>
      <c r="K190" s="1039"/>
      <c r="L190" s="158">
        <f t="shared" si="4"/>
        <v>12000</v>
      </c>
    </row>
    <row r="191" spans="1:12" ht="30" customHeight="1">
      <c r="A191" s="1032">
        <v>45107</v>
      </c>
      <c r="B191" s="1043" t="s">
        <v>2297</v>
      </c>
      <c r="C191" s="1036" t="s">
        <v>494</v>
      </c>
      <c r="D191" s="1036"/>
      <c r="E191" s="1040"/>
      <c r="F191" s="1036"/>
      <c r="G191" s="1061" t="s">
        <v>2298</v>
      </c>
      <c r="H191" s="1041" t="str">
        <f>IF(I191=0,"",(INDEX([1]!AccountCodes[ACCOUNT NAME],MATCH(I191,[1]!AccountCodes[NGAS CODE],0))))</f>
        <v>Semi-Expendable Books</v>
      </c>
      <c r="I191" s="1042" t="s">
        <v>1439</v>
      </c>
      <c r="J191" s="1039"/>
      <c r="K191" s="1039">
        <v>12000</v>
      </c>
      <c r="L191" s="158">
        <f t="shared" si="4"/>
        <v>0</v>
      </c>
    </row>
    <row r="192" spans="1:12" ht="30" customHeight="1">
      <c r="A192" s="1032">
        <v>45107</v>
      </c>
      <c r="B192" s="1043" t="s">
        <v>2299</v>
      </c>
      <c r="C192" s="1036" t="s">
        <v>494</v>
      </c>
      <c r="D192" s="1036"/>
      <c r="E192" s="1040"/>
      <c r="F192" s="1036"/>
      <c r="G192" s="1048" t="s">
        <v>2300</v>
      </c>
      <c r="H192" s="1041" t="str">
        <f>IF(I192=0,"",(INDEX([1]!AccountCodes[ACCOUNT NAME],MATCH(I192,[1]!AccountCodes[NGAS CODE],0))))</f>
        <v>Office Supplies Expenses</v>
      </c>
      <c r="I192" s="1042" t="s">
        <v>225</v>
      </c>
      <c r="J192" s="1039">
        <v>1940</v>
      </c>
      <c r="K192" s="1039"/>
      <c r="L192" s="158">
        <f t="shared" si="4"/>
        <v>1940</v>
      </c>
    </row>
    <row r="193" spans="1:12" ht="30" customHeight="1">
      <c r="A193" s="1032">
        <v>45107</v>
      </c>
      <c r="B193" s="1043" t="s">
        <v>2299</v>
      </c>
      <c r="C193" s="1036" t="s">
        <v>494</v>
      </c>
      <c r="D193" s="1036"/>
      <c r="E193" s="1040"/>
      <c r="F193" s="1036"/>
      <c r="G193" s="1048" t="s">
        <v>2300</v>
      </c>
      <c r="H193" s="1041" t="str">
        <f>IF(I193=0,"",(INDEX([1]!AccountCodes[ACCOUNT NAME],MATCH(I193,[1]!AccountCodes[NGAS CODE],0))))</f>
        <v>Office Supplies Inventory</v>
      </c>
      <c r="I193" s="1042" t="s">
        <v>30</v>
      </c>
      <c r="J193" s="1039"/>
      <c r="K193" s="1039">
        <v>1940</v>
      </c>
      <c r="L193" s="158">
        <f t="shared" si="4"/>
        <v>0</v>
      </c>
    </row>
    <row r="194" spans="1:12" ht="20.100000000000001" customHeight="1">
      <c r="A194" s="1032">
        <v>45107</v>
      </c>
      <c r="B194" s="1043" t="s">
        <v>2301</v>
      </c>
      <c r="C194" s="1036" t="s">
        <v>494</v>
      </c>
      <c r="D194" s="1036"/>
      <c r="E194" s="1040"/>
      <c r="F194" s="1036"/>
      <c r="G194" s="1048" t="s">
        <v>2302</v>
      </c>
      <c r="H194" s="1041" t="str">
        <f>IF(I194=0,"",(INDEX([1]!AccountCodes[ACCOUNT NAME],MATCH(I194,[1]!AccountCodes[NGAS CODE],0))))</f>
        <v>Depreciation-Machinery and Equipment - ICT Equipment</v>
      </c>
      <c r="I194" s="1044" t="s">
        <v>280</v>
      </c>
      <c r="J194" s="1039">
        <v>2998.83</v>
      </c>
      <c r="K194" s="1039"/>
      <c r="L194" s="158">
        <f t="shared" si="4"/>
        <v>2998.83</v>
      </c>
    </row>
    <row r="195" spans="1:12" ht="20.100000000000001" customHeight="1">
      <c r="A195" s="1032">
        <v>45107</v>
      </c>
      <c r="B195" s="1043" t="s">
        <v>2301</v>
      </c>
      <c r="C195" s="1036" t="s">
        <v>494</v>
      </c>
      <c r="D195" s="1036"/>
      <c r="E195" s="1040"/>
      <c r="F195" s="1036"/>
      <c r="G195" s="1048" t="s">
        <v>2303</v>
      </c>
      <c r="H195" s="1041" t="str">
        <f>IF(I195=0,"",(INDEX([1]!AccountCodes[ACCOUNT NAME],MATCH(I195,[1]!AccountCodes[NGAS CODE],0))))</f>
        <v>Accumulated Depreciation-Information and Communications Technology Equipment</v>
      </c>
      <c r="I195" s="1049" t="s">
        <v>90</v>
      </c>
      <c r="J195" s="1039"/>
      <c r="K195" s="1039">
        <v>2998.83</v>
      </c>
      <c r="L195" s="158">
        <f t="shared" si="4"/>
        <v>0</v>
      </c>
    </row>
    <row r="196" spans="1:12" ht="30" customHeight="1">
      <c r="A196" s="1032">
        <v>45107</v>
      </c>
      <c r="B196" s="1043" t="s">
        <v>2304</v>
      </c>
      <c r="C196" s="1036" t="s">
        <v>484</v>
      </c>
      <c r="D196" s="1036"/>
      <c r="E196" s="1040"/>
      <c r="F196" s="1036"/>
      <c r="G196" s="143" t="s">
        <v>2305</v>
      </c>
      <c r="H196" s="1041" t="str">
        <f>IF(I196=0,"",(INDEX([1]!AccountCodes[ACCOUNT NAME],MATCH(I196,[1]!AccountCodes[NGAS CODE],0))))</f>
        <v>Depreciation-Infrastructure Assets - Other Infrastructure Assets (Irrigation Canals &amp; Laterals)</v>
      </c>
      <c r="I196" s="185" t="s">
        <v>1452</v>
      </c>
      <c r="J196" s="497">
        <v>163633.84</v>
      </c>
      <c r="K196" s="497"/>
      <c r="L196" s="158">
        <f t="shared" si="4"/>
        <v>163633.84</v>
      </c>
    </row>
    <row r="197" spans="1:12" ht="30" customHeight="1">
      <c r="A197" s="1032">
        <v>45107</v>
      </c>
      <c r="B197" s="1043" t="s">
        <v>2304</v>
      </c>
      <c r="C197" s="1036" t="s">
        <v>484</v>
      </c>
      <c r="D197" s="1036"/>
      <c r="E197" s="1040"/>
      <c r="F197" s="1036"/>
      <c r="G197" s="143" t="s">
        <v>2305</v>
      </c>
      <c r="H197" s="1041" t="str">
        <f>IF(I197=0,"",(INDEX([1]!AccountCodes[ACCOUNT NAME],MATCH(I197,[1]!AccountCodes[NGAS CODE],0))))</f>
        <v>Accumulated Depreciation-Water Supply Systems</v>
      </c>
      <c r="I197" s="185" t="s">
        <v>1261</v>
      </c>
      <c r="J197" s="497"/>
      <c r="K197" s="497">
        <v>163633.84</v>
      </c>
      <c r="L197" s="158">
        <f t="shared" si="4"/>
        <v>0</v>
      </c>
    </row>
    <row r="198" spans="1:12" ht="30" customHeight="1">
      <c r="A198" s="1032">
        <v>45107</v>
      </c>
      <c r="B198" s="1043" t="s">
        <v>2306</v>
      </c>
      <c r="C198" s="1036" t="s">
        <v>484</v>
      </c>
      <c r="D198" s="1036"/>
      <c r="E198" s="1040"/>
      <c r="F198" s="1036"/>
      <c r="G198" s="143" t="s">
        <v>2307</v>
      </c>
      <c r="H198" s="1041" t="str">
        <f>IF(I198=0,"",(INDEX([1]!AccountCodes[ACCOUNT NAME],MATCH(I198,[1]!AccountCodes[NGAS CODE],0))))</f>
        <v>Depreciation-Machinery and Equipment - ICT Equipment</v>
      </c>
      <c r="I198" s="185" t="s">
        <v>280</v>
      </c>
      <c r="J198" s="497">
        <v>3482.39</v>
      </c>
      <c r="K198" s="497"/>
      <c r="L198" s="158">
        <f t="shared" si="4"/>
        <v>3482.39</v>
      </c>
    </row>
    <row r="199" spans="1:12" ht="30" customHeight="1">
      <c r="A199" s="1032">
        <v>45107</v>
      </c>
      <c r="B199" s="1043" t="s">
        <v>2306</v>
      </c>
      <c r="C199" s="1036" t="s">
        <v>484</v>
      </c>
      <c r="D199" s="1036"/>
      <c r="E199" s="1040"/>
      <c r="F199" s="1036"/>
      <c r="G199" s="143" t="s">
        <v>2307</v>
      </c>
      <c r="H199" s="1041" t="str">
        <f>IF(I199=0,"",(INDEX([1]!AccountCodes[ACCOUNT NAME],MATCH(I199,[1]!AccountCodes[NGAS CODE],0))))</f>
        <v>Accumulated Depreciation-Information and Communications Technology Equipment</v>
      </c>
      <c r="I199" s="185" t="s">
        <v>90</v>
      </c>
      <c r="J199" s="497"/>
      <c r="K199" s="497">
        <v>3482.39</v>
      </c>
      <c r="L199" s="158">
        <f t="shared" si="4"/>
        <v>0</v>
      </c>
    </row>
    <row r="200" spans="1:12" ht="30" customHeight="1">
      <c r="A200" s="1032">
        <v>45107</v>
      </c>
      <c r="B200" s="1043" t="s">
        <v>2308</v>
      </c>
      <c r="C200" s="1036" t="s">
        <v>485</v>
      </c>
      <c r="D200" s="1036"/>
      <c r="E200" s="1040"/>
      <c r="F200" s="1036"/>
      <c r="G200" s="1048" t="s">
        <v>2309</v>
      </c>
      <c r="H200" s="1041" t="str">
        <f>IF(I200=0,"",(INDEX([1]!AccountCodes[ACCOUNT NAME],MATCH(I200,[1]!AccountCodes[NGAS CODE],0))))</f>
        <v>Depreciation-Machinery and Equipment - ICT Equipment</v>
      </c>
      <c r="I200" s="1059" t="s">
        <v>280</v>
      </c>
      <c r="J200" s="1039">
        <v>11770.5</v>
      </c>
      <c r="K200" s="1039"/>
      <c r="L200" s="158">
        <f t="shared" si="4"/>
        <v>11770.5</v>
      </c>
    </row>
    <row r="201" spans="1:12" ht="30" customHeight="1">
      <c r="A201" s="1032">
        <v>45107</v>
      </c>
      <c r="B201" s="1043" t="s">
        <v>2308</v>
      </c>
      <c r="C201" s="1036" t="s">
        <v>485</v>
      </c>
      <c r="D201" s="1036"/>
      <c r="E201" s="1040"/>
      <c r="F201" s="1036"/>
      <c r="G201" s="1048" t="s">
        <v>2309</v>
      </c>
      <c r="H201" s="1041" t="str">
        <f>IF(I201=0,"",(INDEX([1]!AccountCodes[ACCOUNT NAME],MATCH(I201,[1]!AccountCodes[NGAS CODE],0))))</f>
        <v>Accumulated Depreciation-Information and Communications Technology Equipment</v>
      </c>
      <c r="I201" s="1059" t="s">
        <v>90</v>
      </c>
      <c r="J201" s="1039"/>
      <c r="K201" s="1039">
        <v>11770.5</v>
      </c>
      <c r="L201" s="158">
        <f t="shared" si="4"/>
        <v>0</v>
      </c>
    </row>
    <row r="202" spans="1:12" ht="30" customHeight="1">
      <c r="A202" s="1032">
        <v>45107</v>
      </c>
      <c r="B202" s="1043" t="s">
        <v>2310</v>
      </c>
      <c r="C202" s="1036" t="s">
        <v>485</v>
      </c>
      <c r="D202" s="1036"/>
      <c r="E202" s="1040"/>
      <c r="F202" s="1036"/>
      <c r="G202" s="1048" t="s">
        <v>2311</v>
      </c>
      <c r="H202" s="1041" t="str">
        <f>IF(I202=0,"",(INDEX([1]!AccountCodes[ACCOUNT NAME],MATCH(I202,[1]!AccountCodes[NGAS CODE],0))))</f>
        <v>Depreciation-Machinery and Equipment - Office Equipment</v>
      </c>
      <c r="I202" s="1059" t="s">
        <v>278</v>
      </c>
      <c r="J202" s="1039">
        <v>1487.54</v>
      </c>
      <c r="K202" s="1039"/>
      <c r="L202" s="158">
        <f t="shared" si="4"/>
        <v>1487.54</v>
      </c>
    </row>
    <row r="203" spans="1:12" ht="30" customHeight="1">
      <c r="A203" s="1032">
        <v>45107</v>
      </c>
      <c r="B203" s="1043" t="s">
        <v>2310</v>
      </c>
      <c r="C203" s="1036" t="s">
        <v>485</v>
      </c>
      <c r="D203" s="1036"/>
      <c r="E203" s="1040"/>
      <c r="F203" s="1036"/>
      <c r="G203" s="1048" t="s">
        <v>2311</v>
      </c>
      <c r="H203" s="1041" t="str">
        <f>IF(I203=0,"",(INDEX([1]!AccountCodes[ACCOUNT NAME],MATCH(I203,[1]!AccountCodes[NGAS CODE],0))))</f>
        <v>Accumulated Depreciation-Office Equipment</v>
      </c>
      <c r="I203" s="1059" t="s">
        <v>88</v>
      </c>
      <c r="J203" s="1039"/>
      <c r="K203" s="1039">
        <v>1487.54</v>
      </c>
      <c r="L203" s="158">
        <f t="shared" si="4"/>
        <v>0</v>
      </c>
    </row>
    <row r="204" spans="1:12" ht="20.100000000000001" customHeight="1">
      <c r="A204" s="1032">
        <v>45107</v>
      </c>
      <c r="B204" s="1043" t="s">
        <v>2312</v>
      </c>
      <c r="C204" s="1036" t="s">
        <v>485</v>
      </c>
      <c r="D204" s="1036"/>
      <c r="E204" s="1040"/>
      <c r="F204" s="1036"/>
      <c r="G204" s="1037" t="s">
        <v>2313</v>
      </c>
      <c r="H204" s="1041" t="str">
        <f>IF(I204=0,"",(INDEX([1]!AccountCodes[ACCOUNT NAME],MATCH(I204,[1]!AccountCodes[NGAS CODE],0))))</f>
        <v>Depreciation-Infrastructure Assets - Other Infrastructure Assets (Irrigation Canals &amp; Laterals)</v>
      </c>
      <c r="I204" s="1042" t="s">
        <v>1452</v>
      </c>
      <c r="J204" s="1039">
        <v>198470.26</v>
      </c>
      <c r="K204" s="1039"/>
      <c r="L204" s="158">
        <f t="shared" si="4"/>
        <v>198470.26</v>
      </c>
    </row>
    <row r="205" spans="1:12" ht="20.100000000000001" customHeight="1">
      <c r="A205" s="1032">
        <v>45107</v>
      </c>
      <c r="B205" s="1043" t="s">
        <v>2312</v>
      </c>
      <c r="C205" s="1036" t="s">
        <v>485</v>
      </c>
      <c r="D205" s="1036"/>
      <c r="E205" s="1040"/>
      <c r="F205" s="1036"/>
      <c r="G205" s="1037" t="s">
        <v>2313</v>
      </c>
      <c r="H205" s="1041" t="str">
        <f>IF(I205=0,"",(INDEX([1]!AccountCodes[ACCOUNT NAME],MATCH(I205,[1]!AccountCodes[NGAS CODE],0))))</f>
        <v>Accumulated Depreciation-Water Supply Systems</v>
      </c>
      <c r="I205" s="1042" t="s">
        <v>1261</v>
      </c>
      <c r="J205" s="1039"/>
      <c r="K205" s="1039">
        <v>198470.26</v>
      </c>
      <c r="L205" s="158">
        <f t="shared" si="4"/>
        <v>0</v>
      </c>
    </row>
    <row r="206" spans="1:12" ht="20.100000000000001" customHeight="1">
      <c r="A206" s="1032">
        <v>45107</v>
      </c>
      <c r="B206" s="1043" t="s">
        <v>2314</v>
      </c>
      <c r="C206" s="1036" t="s">
        <v>485</v>
      </c>
      <c r="D206" s="1036"/>
      <c r="E206" s="1040"/>
      <c r="F206" s="1036"/>
      <c r="G206" s="1048" t="s">
        <v>2315</v>
      </c>
      <c r="H206" s="1041" t="str">
        <f>IF(I206=0,"",(INDEX([1]!AccountCodes[ACCOUNT NAME],MATCH(I206,[1]!AccountCodes[NGAS CODE],0))))</f>
        <v>Cash in Bank-Local Currency, Current Account - FO</v>
      </c>
      <c r="I206" s="1038" t="s">
        <v>1479</v>
      </c>
      <c r="J206" s="1039">
        <v>90.8</v>
      </c>
      <c r="K206" s="1039"/>
      <c r="L206" s="158">
        <f t="shared" si="4"/>
        <v>90.8</v>
      </c>
    </row>
    <row r="207" spans="1:12" ht="20.100000000000001" customHeight="1">
      <c r="A207" s="1032">
        <v>45107</v>
      </c>
      <c r="B207" s="1043" t="s">
        <v>2314</v>
      </c>
      <c r="C207" s="1036" t="s">
        <v>485</v>
      </c>
      <c r="D207" s="1036"/>
      <c r="E207" s="1040"/>
      <c r="F207" s="1036"/>
      <c r="G207" s="1048" t="s">
        <v>2315</v>
      </c>
      <c r="H207" s="1041" t="str">
        <f>IF(I207=0,"",(INDEX([1]!AccountCodes[ACCOUNT NAME],MATCH(I207,[1]!AccountCodes[NGAS CODE],0))))</f>
        <v>Due to the Treasurer of the Philippines</v>
      </c>
      <c r="I207" s="1038" t="s">
        <v>1496</v>
      </c>
      <c r="J207" s="1039"/>
      <c r="K207" s="1039">
        <v>90.8</v>
      </c>
      <c r="L207" s="158">
        <f t="shared" si="4"/>
        <v>0</v>
      </c>
    </row>
    <row r="208" spans="1:12" ht="30" customHeight="1">
      <c r="A208" s="1032">
        <v>45107</v>
      </c>
      <c r="B208" s="1043" t="s">
        <v>2316</v>
      </c>
      <c r="C208" s="1036" t="s">
        <v>485</v>
      </c>
      <c r="D208" s="1036"/>
      <c r="E208" s="1040"/>
      <c r="F208" s="1036"/>
      <c r="G208" s="1048" t="s">
        <v>2317</v>
      </c>
      <c r="H208" s="1041" t="str">
        <f>IF(I208=0,"",(INDEX([1]!AccountCodes[ACCOUNT NAME],MATCH(I208,[1]!AccountCodes[NGAS CODE],0))))</f>
        <v>Other Supplies and Materials Expenses</v>
      </c>
      <c r="I208" s="1042" t="s">
        <v>231</v>
      </c>
      <c r="J208" s="1039">
        <v>6500</v>
      </c>
      <c r="K208" s="1039"/>
      <c r="L208" s="158">
        <f t="shared" si="4"/>
        <v>6500</v>
      </c>
    </row>
    <row r="209" spans="1:12" ht="30" customHeight="1">
      <c r="A209" s="1032">
        <v>45107</v>
      </c>
      <c r="B209" s="1043" t="s">
        <v>2316</v>
      </c>
      <c r="C209" s="1036" t="s">
        <v>485</v>
      </c>
      <c r="D209" s="1036"/>
      <c r="E209" s="1040"/>
      <c r="F209" s="1036"/>
      <c r="G209" s="1048" t="s">
        <v>2317</v>
      </c>
      <c r="H209" s="1041" t="str">
        <f>IF(I209=0,"",(INDEX([1]!AccountCodes[ACCOUNT NAME],MATCH(I209,[1]!AccountCodes[NGAS CODE],0))))</f>
        <v>Other Supplies and Materials Inventory</v>
      </c>
      <c r="I209" s="1042" t="s">
        <v>32</v>
      </c>
      <c r="J209" s="1039"/>
      <c r="K209" s="1039">
        <v>6500</v>
      </c>
      <c r="L209" s="158">
        <f t="shared" si="4"/>
        <v>0</v>
      </c>
    </row>
    <row r="210" spans="1:12" ht="30" customHeight="1">
      <c r="A210" s="1032">
        <v>45107</v>
      </c>
      <c r="B210" s="1043" t="s">
        <v>2318</v>
      </c>
      <c r="C210" s="1036" t="s">
        <v>485</v>
      </c>
      <c r="D210" s="1036"/>
      <c r="E210" s="1040"/>
      <c r="F210" s="1036"/>
      <c r="G210" s="1048" t="s">
        <v>2319</v>
      </c>
      <c r="H210" s="1041" t="str">
        <f>IF(I210=0,"",(INDEX([1]!AccountCodes[ACCOUNT NAME],MATCH(I210,[1]!AccountCodes[NGAS CODE],0))))</f>
        <v>Semi-Expendable Machinery and Equipment Expenses</v>
      </c>
      <c r="I210" s="1042" t="s">
        <v>1265</v>
      </c>
      <c r="J210" s="1039">
        <v>19470</v>
      </c>
      <c r="K210" s="1039"/>
      <c r="L210" s="158">
        <f t="shared" si="4"/>
        <v>19470</v>
      </c>
    </row>
    <row r="211" spans="1:12" ht="30" customHeight="1">
      <c r="A211" s="1032">
        <v>45107</v>
      </c>
      <c r="B211" s="1043" t="s">
        <v>2318</v>
      </c>
      <c r="C211" s="1036" t="s">
        <v>485</v>
      </c>
      <c r="D211" s="1036"/>
      <c r="E211" s="1040"/>
      <c r="F211" s="1036"/>
      <c r="G211" s="1048" t="s">
        <v>2319</v>
      </c>
      <c r="H211" s="1041" t="str">
        <f>IF(I211=0,"",(INDEX([1]!AccountCodes[ACCOUNT NAME],MATCH(I211,[1]!AccountCodes[NGAS CODE],0))))</f>
        <v>Semi-Expendable Furniture, Fixtures and Books Expenses</v>
      </c>
      <c r="I211" s="1042" t="s">
        <v>1266</v>
      </c>
      <c r="J211" s="1039">
        <v>32398</v>
      </c>
      <c r="K211" s="1039"/>
      <c r="L211" s="158">
        <f t="shared" si="4"/>
        <v>51868</v>
      </c>
    </row>
    <row r="212" spans="1:12" ht="30" customHeight="1">
      <c r="A212" s="1032">
        <v>45107</v>
      </c>
      <c r="B212" s="1043" t="s">
        <v>2318</v>
      </c>
      <c r="C212" s="1036" t="s">
        <v>485</v>
      </c>
      <c r="D212" s="1036"/>
      <c r="E212" s="1040"/>
      <c r="F212" s="1036"/>
      <c r="G212" s="1048" t="s">
        <v>2319</v>
      </c>
      <c r="H212" s="1041" t="str">
        <f>IF(I212=0,"",(INDEX([1]!AccountCodes[ACCOUNT NAME],MATCH(I212,[1]!AccountCodes[NGAS CODE],0))))</f>
        <v>Semi-Expendable Office Equipment</v>
      </c>
      <c r="I212" s="1058" t="s">
        <v>1245</v>
      </c>
      <c r="J212" s="1039"/>
      <c r="K212" s="1039">
        <v>1970</v>
      </c>
      <c r="L212" s="158">
        <f t="shared" si="4"/>
        <v>49898</v>
      </c>
    </row>
    <row r="213" spans="1:12" ht="30" customHeight="1">
      <c r="A213" s="1032">
        <v>45107</v>
      </c>
      <c r="B213" s="1043" t="s">
        <v>2318</v>
      </c>
      <c r="C213" s="1036" t="s">
        <v>485</v>
      </c>
      <c r="D213" s="1036"/>
      <c r="E213" s="1040"/>
      <c r="F213" s="1036"/>
      <c r="G213" s="1048" t="s">
        <v>2319</v>
      </c>
      <c r="H213" s="1041" t="str">
        <f>IF(I213=0,"",(INDEX([1]!AccountCodes[ACCOUNT NAME],MATCH(I213,[1]!AccountCodes[NGAS CODE],0))))</f>
        <v>Semi-Expendable Information and Communications Technology Equipment</v>
      </c>
      <c r="I213" s="1042" t="s">
        <v>1246</v>
      </c>
      <c r="J213" s="1039"/>
      <c r="K213" s="1039">
        <v>17500</v>
      </c>
      <c r="L213" s="158">
        <f t="shared" si="4"/>
        <v>32398</v>
      </c>
    </row>
    <row r="214" spans="1:12" ht="30" customHeight="1">
      <c r="A214" s="1032">
        <v>45107</v>
      </c>
      <c r="B214" s="1043" t="s">
        <v>2318</v>
      </c>
      <c r="C214" s="1036" t="s">
        <v>485</v>
      </c>
      <c r="D214" s="1036"/>
      <c r="E214" s="1040"/>
      <c r="F214" s="1036"/>
      <c r="G214" s="1048" t="s">
        <v>2319</v>
      </c>
      <c r="H214" s="1041" t="str">
        <f>IF(I214=0,"",(INDEX([1]!AccountCodes[ACCOUNT NAME],MATCH(I214,[1]!AccountCodes[NGAS CODE],0))))</f>
        <v>Semi-Expendable Furniture and Fixtures</v>
      </c>
      <c r="I214" s="1042" t="s">
        <v>1438</v>
      </c>
      <c r="J214" s="1039"/>
      <c r="K214" s="1039">
        <v>32398</v>
      </c>
      <c r="L214" s="158">
        <f t="shared" si="4"/>
        <v>0</v>
      </c>
    </row>
    <row r="215" spans="1:12" ht="25.5">
      <c r="A215" s="1032">
        <v>45107</v>
      </c>
      <c r="B215" s="1043" t="s">
        <v>2320</v>
      </c>
      <c r="C215" s="1036" t="s">
        <v>486</v>
      </c>
      <c r="D215" s="1036"/>
      <c r="E215" s="1040"/>
      <c r="F215" s="1036"/>
      <c r="G215" s="1048" t="s">
        <v>2321</v>
      </c>
      <c r="H215" s="1041" t="str">
        <f>IF(I215=0,"",(INDEX([1]!AccountCodes[ACCOUNT NAME],MATCH(I215,[1]!AccountCodes[NGAS CODE],0))))</f>
        <v>Cash in Bank-Local Currency, Current Account - FO</v>
      </c>
      <c r="I215" s="1042" t="s">
        <v>1564</v>
      </c>
      <c r="J215" s="1039">
        <v>576.07000000000005</v>
      </c>
      <c r="K215" s="1039"/>
      <c r="L215" s="158">
        <f t="shared" si="4"/>
        <v>576.07000000000005</v>
      </c>
    </row>
    <row r="216" spans="1:12" ht="25.5">
      <c r="A216" s="1032">
        <v>45107</v>
      </c>
      <c r="B216" s="1043" t="s">
        <v>2320</v>
      </c>
      <c r="C216" s="1036" t="s">
        <v>486</v>
      </c>
      <c r="D216" s="1036"/>
      <c r="E216" s="1040"/>
      <c r="F216" s="1036"/>
      <c r="G216" s="1048" t="s">
        <v>2321</v>
      </c>
      <c r="H216" s="1041" t="str">
        <f>IF(I216=0,"",(INDEX([1]!AccountCodes[ACCOUNT NAME],MATCH(I216,[1]!AccountCodes[NGAS CODE],0))))</f>
        <v>Due to the Treasurer of the Philippines</v>
      </c>
      <c r="I216" s="1042" t="s">
        <v>1496</v>
      </c>
      <c r="J216" s="1039"/>
      <c r="K216" s="1039">
        <v>576.07000000000005</v>
      </c>
      <c r="L216" s="158">
        <f t="shared" si="4"/>
        <v>0</v>
      </c>
    </row>
    <row r="217" spans="1:12" ht="20.100000000000001" customHeight="1">
      <c r="A217" s="1032">
        <v>45107</v>
      </c>
      <c r="B217" s="1043" t="s">
        <v>2322</v>
      </c>
      <c r="C217" s="1036" t="s">
        <v>762</v>
      </c>
      <c r="D217" s="1036"/>
      <c r="E217" s="1040"/>
      <c r="F217" s="1036"/>
      <c r="G217" s="1048" t="s">
        <v>2323</v>
      </c>
      <c r="H217" s="1041" t="str">
        <f>IF(I217=0,"",(INDEX([1]!AccountCodes[ACCOUNT NAME],MATCH(I217,[1]!AccountCodes[NGAS CODE],0))))</f>
        <v>Cash in Bank-Local Currency, Current Account - FO</v>
      </c>
      <c r="I217" s="1042" t="s">
        <v>1564</v>
      </c>
      <c r="J217" s="1039">
        <v>582.79999999999995</v>
      </c>
      <c r="K217" s="1039"/>
      <c r="L217" s="158">
        <f t="shared" si="4"/>
        <v>582.79999999999995</v>
      </c>
    </row>
    <row r="218" spans="1:12" ht="20.100000000000001" customHeight="1">
      <c r="A218" s="1032">
        <v>45107</v>
      </c>
      <c r="B218" s="1043" t="s">
        <v>2322</v>
      </c>
      <c r="C218" s="1036" t="s">
        <v>762</v>
      </c>
      <c r="D218" s="1036"/>
      <c r="E218" s="1040"/>
      <c r="F218" s="1036"/>
      <c r="G218" s="1048" t="s">
        <v>2323</v>
      </c>
      <c r="H218" s="1041" t="str">
        <f>IF(I218=0,"",(INDEX([1]!AccountCodes[ACCOUNT NAME],MATCH(I218,[1]!AccountCodes[NGAS CODE],0))))</f>
        <v>Due to the Treasurer of the Philippines</v>
      </c>
      <c r="I218" s="1042" t="s">
        <v>1496</v>
      </c>
      <c r="J218" s="1039"/>
      <c r="K218" s="1039">
        <v>582.79999999999995</v>
      </c>
      <c r="L218" s="158">
        <f t="shared" si="4"/>
        <v>0</v>
      </c>
    </row>
    <row r="219" spans="1:12" ht="20.100000000000001" customHeight="1">
      <c r="A219" s="1032">
        <v>45107</v>
      </c>
      <c r="B219" s="1043" t="s">
        <v>2324</v>
      </c>
      <c r="C219" s="1036" t="s">
        <v>762</v>
      </c>
      <c r="D219" s="1036"/>
      <c r="E219" s="1040"/>
      <c r="F219" s="1036"/>
      <c r="G219" s="1048" t="s">
        <v>2325</v>
      </c>
      <c r="H219" s="1041" t="str">
        <f>IF(I219=0,"",(INDEX([1]!AccountCodes[ACCOUNT NAME],MATCH(I219,[1]!AccountCodes[NGAS CODE],0))))</f>
        <v>Depreciation-Machinery and Equipment - Office Equipment</v>
      </c>
      <c r="I219" s="1042" t="s">
        <v>278</v>
      </c>
      <c r="J219" s="1039">
        <v>5358.64</v>
      </c>
      <c r="K219" s="1039"/>
      <c r="L219" s="158">
        <f t="shared" si="4"/>
        <v>5358.64</v>
      </c>
    </row>
    <row r="220" spans="1:12" ht="20.100000000000001" customHeight="1">
      <c r="A220" s="1032">
        <v>45107</v>
      </c>
      <c r="B220" s="1043" t="s">
        <v>2324</v>
      </c>
      <c r="C220" s="1036" t="s">
        <v>762</v>
      </c>
      <c r="D220" s="1036"/>
      <c r="E220" s="1040"/>
      <c r="F220" s="1036"/>
      <c r="G220" s="1048" t="s">
        <v>2325</v>
      </c>
      <c r="H220" s="1041" t="str">
        <f>IF(I220=0,"",(INDEX([1]!AccountCodes[ACCOUNT NAME],MATCH(I220,[1]!AccountCodes[NGAS CODE],0))))</f>
        <v>Depreciation-Machinery and Equipment - ICT Equipment</v>
      </c>
      <c r="I220" s="1042" t="s">
        <v>280</v>
      </c>
      <c r="J220" s="1039">
        <v>9403.61</v>
      </c>
      <c r="K220" s="1039"/>
      <c r="L220" s="158">
        <f t="shared" si="4"/>
        <v>14762.25</v>
      </c>
    </row>
    <row r="221" spans="1:12" ht="20.100000000000001" customHeight="1">
      <c r="A221" s="1032">
        <v>45107</v>
      </c>
      <c r="B221" s="1043" t="s">
        <v>2324</v>
      </c>
      <c r="C221" s="1036" t="s">
        <v>762</v>
      </c>
      <c r="D221" s="1036"/>
      <c r="E221" s="1040"/>
      <c r="F221" s="1036"/>
      <c r="G221" s="1048" t="s">
        <v>2325</v>
      </c>
      <c r="H221" s="1041" t="str">
        <f>IF(I221=0,"",(INDEX([1]!AccountCodes[ACCOUNT NAME],MATCH(I221,[1]!AccountCodes[NGAS CODE],0))))</f>
        <v>Accumulated Depreciation-Office Equipment</v>
      </c>
      <c r="I221" s="1042" t="s">
        <v>88</v>
      </c>
      <c r="J221" s="1039"/>
      <c r="K221" s="1039">
        <v>5358.64</v>
      </c>
      <c r="L221" s="158">
        <f t="shared" si="4"/>
        <v>9403.61</v>
      </c>
    </row>
    <row r="222" spans="1:12" ht="20.100000000000001" customHeight="1">
      <c r="A222" s="1032">
        <v>45107</v>
      </c>
      <c r="B222" s="1043" t="s">
        <v>2324</v>
      </c>
      <c r="C222" s="1036" t="s">
        <v>762</v>
      </c>
      <c r="D222" s="1036"/>
      <c r="E222" s="1040"/>
      <c r="F222" s="1036"/>
      <c r="G222" s="1048" t="s">
        <v>2325</v>
      </c>
      <c r="H222" s="1041" t="str">
        <f>IF(I222=0,"",(INDEX([1]!AccountCodes[ACCOUNT NAME],MATCH(I222,[1]!AccountCodes[NGAS CODE],0))))</f>
        <v>Accumulated Depreciation-Information and Communications Technology Equipment</v>
      </c>
      <c r="I222" s="1042" t="s">
        <v>90</v>
      </c>
      <c r="J222" s="1039"/>
      <c r="K222" s="1039">
        <v>9403.61</v>
      </c>
      <c r="L222" s="158">
        <f t="shared" si="4"/>
        <v>0</v>
      </c>
    </row>
    <row r="223" spans="1:12" ht="20.100000000000001" customHeight="1">
      <c r="A223" s="1032">
        <v>45107</v>
      </c>
      <c r="B223" s="1043" t="s">
        <v>2326</v>
      </c>
      <c r="C223" s="1036" t="s">
        <v>762</v>
      </c>
      <c r="D223" s="1036"/>
      <c r="E223" s="1040"/>
      <c r="F223" s="1036"/>
      <c r="G223" s="1037" t="s">
        <v>2327</v>
      </c>
      <c r="H223" s="1041" t="str">
        <f>IF(I223=0,"",(INDEX([1]!AccountCodes[ACCOUNT NAME],MATCH(I223,[1]!AccountCodes[NGAS CODE],0))))</f>
        <v>Depreciation-Infrastructure Assets - Other Infrastructure Assets (Irrigation Canals &amp; Laterals)</v>
      </c>
      <c r="I223" s="1042" t="s">
        <v>1452</v>
      </c>
      <c r="J223" s="1039">
        <v>166412.85999999999</v>
      </c>
      <c r="K223" s="1039"/>
      <c r="L223" s="158">
        <f t="shared" si="4"/>
        <v>166412.85999999999</v>
      </c>
    </row>
    <row r="224" spans="1:12" ht="20.100000000000001" customHeight="1">
      <c r="A224" s="1032">
        <v>45107</v>
      </c>
      <c r="B224" s="1043" t="s">
        <v>2326</v>
      </c>
      <c r="C224" s="1036" t="s">
        <v>762</v>
      </c>
      <c r="D224" s="1036"/>
      <c r="E224" s="1040"/>
      <c r="F224" s="1036"/>
      <c r="G224" s="1037" t="s">
        <v>2327</v>
      </c>
      <c r="H224" s="1041" t="str">
        <f>IF(I224=0,"",(INDEX([1]!AccountCodes[ACCOUNT NAME],MATCH(I224,[1]!AccountCodes[NGAS CODE],0))))</f>
        <v>Accumulated Depreciation-Water Supply Systems</v>
      </c>
      <c r="I224" s="1042" t="s">
        <v>1261</v>
      </c>
      <c r="J224" s="1039"/>
      <c r="K224" s="1039">
        <v>166412.85999999999</v>
      </c>
      <c r="L224" s="158">
        <f t="shared" si="4"/>
        <v>0</v>
      </c>
    </row>
    <row r="225" spans="1:16" ht="30" customHeight="1">
      <c r="A225" s="1032">
        <v>45107</v>
      </c>
      <c r="B225" s="1043" t="s">
        <v>2328</v>
      </c>
      <c r="C225" s="1036" t="s">
        <v>762</v>
      </c>
      <c r="D225" s="1036"/>
      <c r="E225" s="1040"/>
      <c r="F225" s="1036"/>
      <c r="G225" s="1048" t="s">
        <v>2329</v>
      </c>
      <c r="H225" s="1041" t="str">
        <f>IF(I225=0,"",(INDEX([1]!AccountCodes[ACCOUNT NAME],MATCH(I225,[1]!AccountCodes[NGAS CODE],0))))</f>
        <v>Office Supplies Expenses</v>
      </c>
      <c r="I225" s="1042" t="s">
        <v>225</v>
      </c>
      <c r="J225" s="1039">
        <v>54959.25</v>
      </c>
      <c r="K225" s="1039"/>
      <c r="L225" s="158">
        <f t="shared" si="4"/>
        <v>54959.25</v>
      </c>
    </row>
    <row r="226" spans="1:16" ht="30" customHeight="1">
      <c r="A226" s="1032">
        <v>45107</v>
      </c>
      <c r="B226" s="1043" t="s">
        <v>2328</v>
      </c>
      <c r="C226" s="1036" t="s">
        <v>762</v>
      </c>
      <c r="D226" s="1036"/>
      <c r="E226" s="1040"/>
      <c r="F226" s="1036"/>
      <c r="G226" s="1048" t="s">
        <v>2329</v>
      </c>
      <c r="H226" s="1041" t="str">
        <f>IF(I226=0,"",(INDEX([1]!AccountCodes[ACCOUNT NAME],MATCH(I226,[1]!AccountCodes[NGAS CODE],0))))</f>
        <v>Office Supplies Inventory</v>
      </c>
      <c r="I226" s="1042" t="s">
        <v>30</v>
      </c>
      <c r="J226" s="1039"/>
      <c r="K226" s="1039">
        <v>54959.25</v>
      </c>
      <c r="L226" s="158">
        <f t="shared" si="4"/>
        <v>0</v>
      </c>
    </row>
    <row r="227" spans="1:16" ht="30" customHeight="1">
      <c r="A227" s="1032">
        <v>45107</v>
      </c>
      <c r="B227" s="1043" t="s">
        <v>2330</v>
      </c>
      <c r="C227" s="1036" t="s">
        <v>762</v>
      </c>
      <c r="D227" s="1036"/>
      <c r="E227" s="1040"/>
      <c r="F227" s="1036"/>
      <c r="G227" s="1048" t="s">
        <v>2331</v>
      </c>
      <c r="H227" s="1041" t="str">
        <f>IF(I227=0,"",(INDEX([1]!AccountCodes[ACCOUNT NAME],MATCH(I227,[1]!AccountCodes[NGAS CODE],0))))</f>
        <v>Office Supplies Expenses</v>
      </c>
      <c r="I227" s="1042" t="s">
        <v>225</v>
      </c>
      <c r="J227" s="1039">
        <v>31646.93</v>
      </c>
      <c r="K227" s="1039"/>
      <c r="L227" s="158">
        <f t="shared" si="4"/>
        <v>31646.93</v>
      </c>
    </row>
    <row r="228" spans="1:16" ht="30" customHeight="1">
      <c r="A228" s="1032">
        <v>45107</v>
      </c>
      <c r="B228" s="1043" t="s">
        <v>2330</v>
      </c>
      <c r="C228" s="1036" t="s">
        <v>762</v>
      </c>
      <c r="D228" s="1036"/>
      <c r="E228" s="1040"/>
      <c r="F228" s="1036"/>
      <c r="G228" s="1048" t="s">
        <v>2331</v>
      </c>
      <c r="H228" s="1041" t="str">
        <f>IF(I228=0,"",(INDEX([1]!AccountCodes[ACCOUNT NAME],MATCH(I228,[1]!AccountCodes[NGAS CODE],0))))</f>
        <v>Office Supplies Inventory</v>
      </c>
      <c r="I228" s="1042" t="s">
        <v>30</v>
      </c>
      <c r="J228" s="1039"/>
      <c r="K228" s="1039">
        <v>31646.93</v>
      </c>
      <c r="L228" s="158">
        <f t="shared" si="4"/>
        <v>0</v>
      </c>
    </row>
    <row r="229" spans="1:16" ht="19.5" customHeight="1">
      <c r="A229" s="1032">
        <v>45107</v>
      </c>
      <c r="B229" s="1043" t="s">
        <v>2332</v>
      </c>
      <c r="C229" s="1036" t="s">
        <v>486</v>
      </c>
      <c r="D229" s="1036"/>
      <c r="E229" s="1040"/>
      <c r="F229" s="1036"/>
      <c r="G229" s="560" t="s">
        <v>2333</v>
      </c>
      <c r="H229" s="1041" t="str">
        <f>IF(I229=0,"",(INDEX([1]!AccountCodes[ACCOUNT NAME],MATCH(I229,[1]!AccountCodes[NGAS CODE],0))))</f>
        <v>Cash in Bank-Local Currency, Current Account - FO</v>
      </c>
      <c r="I229" s="794" t="s">
        <v>1479</v>
      </c>
      <c r="J229" s="513">
        <v>1556.85</v>
      </c>
      <c r="K229" s="513"/>
      <c r="L229" s="158">
        <f t="shared" si="4"/>
        <v>1556.85</v>
      </c>
    </row>
    <row r="230" spans="1:16" ht="20.100000000000001" customHeight="1">
      <c r="A230" s="1032">
        <v>45107</v>
      </c>
      <c r="B230" s="1043" t="s">
        <v>2332</v>
      </c>
      <c r="C230" s="1036" t="s">
        <v>486</v>
      </c>
      <c r="D230" s="1036"/>
      <c r="E230" s="1040"/>
      <c r="F230" s="1036"/>
      <c r="G230" s="560" t="s">
        <v>2333</v>
      </c>
      <c r="H230" s="1041" t="str">
        <f>IF(I230=0,"",(INDEX([1]!AccountCodes[ACCOUNT NAME],MATCH(I230,[1]!AccountCodes[NGAS CODE],0))))</f>
        <v>Other Supplies and Materials Expenses</v>
      </c>
      <c r="I230" s="1066" t="s">
        <v>231</v>
      </c>
      <c r="J230" s="1067"/>
      <c r="K230" s="1067">
        <v>1556.85</v>
      </c>
      <c r="L230" s="158">
        <f>L229+J230-K230</f>
        <v>0</v>
      </c>
    </row>
    <row r="231" spans="1:16" ht="30" customHeight="1">
      <c r="A231" s="1032">
        <v>45107</v>
      </c>
      <c r="B231" s="1043" t="s">
        <v>2334</v>
      </c>
      <c r="C231" s="1036" t="s">
        <v>486</v>
      </c>
      <c r="D231" s="1036"/>
      <c r="E231" s="1040"/>
      <c r="F231" s="1036"/>
      <c r="G231" s="143" t="s">
        <v>2335</v>
      </c>
      <c r="H231" s="1041" t="str">
        <f>IF(I231=0,"",(INDEX([1]!AccountCodes[ACCOUNT NAME],MATCH(I231,[1]!AccountCodes[NGAS CODE],0))))</f>
        <v>Depreciation-Machinery and Equipment - ICT Equipment</v>
      </c>
      <c r="I231" s="133" t="s">
        <v>280</v>
      </c>
      <c r="J231" s="1068">
        <v>4071.06</v>
      </c>
      <c r="K231" s="1068"/>
      <c r="L231" s="158">
        <f>L230+J231-K231</f>
        <v>4071.06</v>
      </c>
    </row>
    <row r="232" spans="1:16" ht="30" customHeight="1">
      <c r="A232" s="1032">
        <v>45107</v>
      </c>
      <c r="B232" s="1043" t="s">
        <v>2334</v>
      </c>
      <c r="C232" s="1036" t="s">
        <v>486</v>
      </c>
      <c r="D232" s="1036"/>
      <c r="E232" s="1040"/>
      <c r="F232" s="1036"/>
      <c r="G232" s="143" t="s">
        <v>2336</v>
      </c>
      <c r="H232" s="148" t="str">
        <f>IF(I232=0,"",(INDEX([1]!AccountCodes[ACCOUNT NAME],MATCH(I232,[1]!AccountCodes[NGAS CODE],0))))</f>
        <v>Accumulated Depreciation-Information and Communications Technology Equipment</v>
      </c>
      <c r="I232" s="665" t="s">
        <v>90</v>
      </c>
      <c r="J232" s="1068"/>
      <c r="K232" s="1068">
        <v>4071.06</v>
      </c>
      <c r="L232" s="1069">
        <f>L231+J232-K232</f>
        <v>0</v>
      </c>
    </row>
    <row r="233" spans="1:16" ht="20.100000000000001" customHeight="1">
      <c r="A233" s="1032">
        <v>45107</v>
      </c>
      <c r="B233" s="1043" t="s">
        <v>2337</v>
      </c>
      <c r="C233" s="1036" t="s">
        <v>486</v>
      </c>
      <c r="D233" s="1036"/>
      <c r="E233" s="1040"/>
      <c r="F233" s="1036"/>
      <c r="G233" s="1037" t="s">
        <v>2338</v>
      </c>
      <c r="H233" s="148" t="str">
        <f>IF(I233=0,"",(INDEX([1]!AccountCodes[ACCOUNT NAME],MATCH(I233,[1]!AccountCodes[NGAS CODE],0))))</f>
        <v>Depreciation-Infrastructure Assets - Other Infrastructure Assets (Irrigation Canals &amp; Laterals)</v>
      </c>
      <c r="I233" s="1054" t="s">
        <v>1452</v>
      </c>
      <c r="J233" s="509">
        <v>114222.24</v>
      </c>
      <c r="K233" s="509"/>
      <c r="L233" s="1069">
        <f t="shared" ref="L233:L253" si="5">L232+J233-K233</f>
        <v>114222.24</v>
      </c>
    </row>
    <row r="234" spans="1:16" ht="20.100000000000001" customHeight="1">
      <c r="A234" s="1032">
        <v>45107</v>
      </c>
      <c r="B234" s="1043" t="s">
        <v>2337</v>
      </c>
      <c r="C234" s="1036" t="s">
        <v>486</v>
      </c>
      <c r="D234" s="1036"/>
      <c r="E234" s="1040"/>
      <c r="F234" s="1036"/>
      <c r="G234" s="1037" t="s">
        <v>2338</v>
      </c>
      <c r="H234" s="148" t="str">
        <f>IF(I234=0,"",(INDEX([1]!AccountCodes[ACCOUNT NAME],MATCH(I234,[1]!AccountCodes[NGAS CODE],0))))</f>
        <v>Accumulated Depreciation-Water Supply Systems</v>
      </c>
      <c r="I234" s="185" t="s">
        <v>1261</v>
      </c>
      <c r="J234" s="144"/>
      <c r="K234" s="497">
        <v>114222.24</v>
      </c>
      <c r="L234" s="1069">
        <f t="shared" si="5"/>
        <v>0</v>
      </c>
    </row>
    <row r="235" spans="1:16" s="192" customFormat="1" ht="60" customHeight="1">
      <c r="A235" s="1070">
        <v>45138</v>
      </c>
      <c r="B235" s="1071" t="s">
        <v>2339</v>
      </c>
      <c r="C235" s="1040" t="s">
        <v>494</v>
      </c>
      <c r="D235" s="1040"/>
      <c r="E235" s="1040"/>
      <c r="F235" s="1040"/>
      <c r="G235" s="1048" t="s">
        <v>2340</v>
      </c>
      <c r="H235" s="1072" t="str">
        <f>IF(I235=0,"",(INDEX([1]!AccountCodes[ACCOUNT NAME],MATCH(I235,[1]!AccountCodes[NGAS CODE],0))))</f>
        <v>Cash in Bank-Local Currency, Current Account - RO</v>
      </c>
      <c r="I235" s="1073" t="s">
        <v>1556</v>
      </c>
      <c r="J235" s="1074">
        <v>10828591.529999999</v>
      </c>
      <c r="K235" s="1074"/>
      <c r="L235" s="1075">
        <f t="shared" si="5"/>
        <v>10828591.529999999</v>
      </c>
    </row>
    <row r="236" spans="1:16" s="192" customFormat="1" ht="60" customHeight="1">
      <c r="A236" s="1070">
        <v>45138</v>
      </c>
      <c r="B236" s="1071" t="s">
        <v>2339</v>
      </c>
      <c r="C236" s="1040" t="s">
        <v>494</v>
      </c>
      <c r="D236" s="1040"/>
      <c r="E236" s="1040"/>
      <c r="F236" s="1040"/>
      <c r="G236" s="1048" t="s">
        <v>2340</v>
      </c>
      <c r="H236" s="1072" t="str">
        <f>IF(I236=0,"",(INDEX([1]!AccountCodes[ACCOUNT NAME],MATCH(I236,[1]!AccountCodes[NGAS CODE],0))))</f>
        <v>Subsidy from Central Office</v>
      </c>
      <c r="I236" s="1076" t="s">
        <v>152</v>
      </c>
      <c r="J236" s="1077"/>
      <c r="K236" s="1077">
        <v>10828591.529999999</v>
      </c>
      <c r="L236" s="1075">
        <f t="shared" si="5"/>
        <v>0</v>
      </c>
    </row>
    <row r="237" spans="1:16" s="192" customFormat="1" ht="20.100000000000001" customHeight="1">
      <c r="A237" s="1070">
        <v>45138</v>
      </c>
      <c r="B237" s="1071" t="s">
        <v>2341</v>
      </c>
      <c r="C237" s="1040" t="s">
        <v>494</v>
      </c>
      <c r="D237" s="1040"/>
      <c r="E237" s="1040"/>
      <c r="F237" s="1040"/>
      <c r="G237" s="1048" t="s">
        <v>2342</v>
      </c>
      <c r="H237" s="1078" t="str">
        <f>IF(I237=0,"",(INDEX([1]!AccountCodes[ACCOUNT NAME],MATCH(I237,[1]!AccountCodes[NGAS CODE],0))))</f>
        <v>Depreciation-Machinery and Equipment - ICT Equipment</v>
      </c>
      <c r="I237" s="1079" t="s">
        <v>280</v>
      </c>
      <c r="J237" s="1080">
        <v>2998.83</v>
      </c>
      <c r="K237" s="1080"/>
      <c r="L237" s="1075">
        <f t="shared" si="5"/>
        <v>2998.83</v>
      </c>
    </row>
    <row r="238" spans="1:16" s="192" customFormat="1" ht="20.100000000000001" customHeight="1">
      <c r="A238" s="1070">
        <v>45138</v>
      </c>
      <c r="B238" s="1071" t="s">
        <v>2341</v>
      </c>
      <c r="C238" s="1040" t="s">
        <v>494</v>
      </c>
      <c r="D238" s="1040"/>
      <c r="E238" s="1040"/>
      <c r="F238" s="1040"/>
      <c r="G238" s="1048" t="s">
        <v>2342</v>
      </c>
      <c r="H238" s="1078" t="str">
        <f>IF(I238=0,"",(INDEX([1]!AccountCodes[ACCOUNT NAME],MATCH(I238,[1]!AccountCodes[NGAS CODE],0))))</f>
        <v>Accumulated Depreciation-Information and Communications Technology Equipment</v>
      </c>
      <c r="I238" s="1081" t="s">
        <v>90</v>
      </c>
      <c r="J238" s="1080"/>
      <c r="K238" s="1080">
        <v>2998.83</v>
      </c>
      <c r="L238" s="1075">
        <f t="shared" si="5"/>
        <v>0</v>
      </c>
    </row>
    <row r="239" spans="1:16" s="192" customFormat="1" ht="50.1" customHeight="1">
      <c r="A239" s="1070">
        <v>45138</v>
      </c>
      <c r="B239" s="1071" t="s">
        <v>2343</v>
      </c>
      <c r="C239" s="1040" t="s">
        <v>484</v>
      </c>
      <c r="D239" s="1040"/>
      <c r="E239" s="1040"/>
      <c r="F239" s="1040"/>
      <c r="G239" s="143" t="s">
        <v>2344</v>
      </c>
      <c r="H239" s="1078" t="str">
        <f>IF(I239=0,"",(INDEX([1]!AccountCodes[ACCOUNT NAME],MATCH(I239,[1]!AccountCodes[NGAS CODE],0))))</f>
        <v>Traveling Expenses-Local</v>
      </c>
      <c r="I239" s="1082" t="s">
        <v>223</v>
      </c>
      <c r="J239" s="1077">
        <v>13980</v>
      </c>
      <c r="K239" s="1077"/>
      <c r="L239" s="1075">
        <f t="shared" si="5"/>
        <v>13980</v>
      </c>
      <c r="P239" s="1083"/>
    </row>
    <row r="240" spans="1:16" s="192" customFormat="1" ht="50.1" customHeight="1">
      <c r="A240" s="1070">
        <v>45138</v>
      </c>
      <c r="B240" s="1071" t="s">
        <v>2343</v>
      </c>
      <c r="C240" s="1040" t="s">
        <v>484</v>
      </c>
      <c r="D240" s="1040"/>
      <c r="E240" s="1040"/>
      <c r="F240" s="1040"/>
      <c r="G240" s="143" t="s">
        <v>2344</v>
      </c>
      <c r="H240" s="1078" t="str">
        <f>IF(I240=0,"",(INDEX([1]!AccountCodes[ACCOUNT NAME],MATCH(I240,[1]!AccountCodes[NGAS CODE],0))))</f>
        <v>Advances to Officers and Employees</v>
      </c>
      <c r="I240" s="1082" t="s">
        <v>27</v>
      </c>
      <c r="J240" s="1077"/>
      <c r="K240" s="1077">
        <v>13980</v>
      </c>
      <c r="L240" s="1075">
        <f t="shared" si="5"/>
        <v>0</v>
      </c>
    </row>
    <row r="241" spans="1:12" s="192" customFormat="1" ht="25.5">
      <c r="A241" s="1070">
        <v>45138</v>
      </c>
      <c r="B241" s="1071" t="s">
        <v>2345</v>
      </c>
      <c r="C241" s="1040" t="s">
        <v>484</v>
      </c>
      <c r="D241" s="1040"/>
      <c r="E241" s="1040"/>
      <c r="F241" s="1040"/>
      <c r="G241" s="143" t="s">
        <v>2346</v>
      </c>
      <c r="H241" s="1078" t="str">
        <f>IF(I241=0,"",(INDEX([1]!AccountCodes[ACCOUNT NAME],MATCH(I241,[1]!AccountCodes[NGAS CODE],0))))</f>
        <v>Depreciation-Machinery and Equipment - ICT Equipment</v>
      </c>
      <c r="I241" s="1084" t="s">
        <v>280</v>
      </c>
      <c r="J241" s="1085">
        <v>3482.39</v>
      </c>
      <c r="K241" s="1085"/>
      <c r="L241" s="1075">
        <f t="shared" si="5"/>
        <v>3482.39</v>
      </c>
    </row>
    <row r="242" spans="1:12" s="192" customFormat="1" ht="25.5">
      <c r="A242" s="1070">
        <v>45138</v>
      </c>
      <c r="B242" s="1071" t="s">
        <v>2345</v>
      </c>
      <c r="C242" s="1040" t="s">
        <v>484</v>
      </c>
      <c r="D242" s="1040"/>
      <c r="E242" s="1040"/>
      <c r="F242" s="1040"/>
      <c r="G242" s="143" t="s">
        <v>2346</v>
      </c>
      <c r="H242" s="1078" t="str">
        <f>IF(I242=0,"",(INDEX([1]!AccountCodes[ACCOUNT NAME],MATCH(I242,[1]!AccountCodes[NGAS CODE],0))))</f>
        <v>Accumulated Depreciation-Information and Communications Technology Equipment</v>
      </c>
      <c r="I242" s="1084" t="s">
        <v>90</v>
      </c>
      <c r="J242" s="1085"/>
      <c r="K242" s="1085">
        <v>3482.39</v>
      </c>
      <c r="L242" s="1075">
        <f t="shared" si="5"/>
        <v>0</v>
      </c>
    </row>
    <row r="243" spans="1:12" s="192" customFormat="1" ht="25.5">
      <c r="A243" s="1070">
        <v>45138</v>
      </c>
      <c r="B243" s="1071" t="s">
        <v>2347</v>
      </c>
      <c r="C243" s="1040" t="s">
        <v>484</v>
      </c>
      <c r="D243" s="1040"/>
      <c r="E243" s="1040"/>
      <c r="F243" s="1040"/>
      <c r="G243" s="143" t="s">
        <v>2348</v>
      </c>
      <c r="H243" s="1078" t="str">
        <f>IF(I243=0,"",(INDEX([1]!AccountCodes[ACCOUNT NAME],MATCH(I243,[1]!AccountCodes[NGAS CODE],0))))</f>
        <v>Depreciation-Infrastructure Assets - Other Infrastructure Assets (Irrigation Canals &amp; Laterals)</v>
      </c>
      <c r="I243" s="1084" t="s">
        <v>1452</v>
      </c>
      <c r="J243" s="1085">
        <v>163633.84</v>
      </c>
      <c r="K243" s="1085"/>
      <c r="L243" s="1075">
        <f t="shared" si="5"/>
        <v>163633.84</v>
      </c>
    </row>
    <row r="244" spans="1:12" s="192" customFormat="1" ht="25.5">
      <c r="A244" s="1070">
        <v>45138</v>
      </c>
      <c r="B244" s="1071" t="s">
        <v>2347</v>
      </c>
      <c r="C244" s="1040" t="s">
        <v>484</v>
      </c>
      <c r="D244" s="1040"/>
      <c r="E244" s="1040"/>
      <c r="F244" s="1040"/>
      <c r="G244" s="143" t="s">
        <v>2348</v>
      </c>
      <c r="H244" s="1078" t="str">
        <f>IF(I244=0,"",(INDEX([1]!AccountCodes[ACCOUNT NAME],MATCH(I244,[1]!AccountCodes[NGAS CODE],0))))</f>
        <v>Accumulated Depreciation-Water Supply Systems</v>
      </c>
      <c r="I244" s="1084" t="s">
        <v>1261</v>
      </c>
      <c r="J244" s="1085"/>
      <c r="K244" s="1085">
        <v>163633.84</v>
      </c>
      <c r="L244" s="1075">
        <f t="shared" si="5"/>
        <v>0</v>
      </c>
    </row>
    <row r="245" spans="1:12" s="192" customFormat="1" ht="28.5" customHeight="1">
      <c r="A245" s="1070">
        <v>45138</v>
      </c>
      <c r="B245" s="1071" t="s">
        <v>2349</v>
      </c>
      <c r="C245" s="1040" t="s">
        <v>485</v>
      </c>
      <c r="D245" s="1040"/>
      <c r="E245" s="1040"/>
      <c r="F245" s="1040"/>
      <c r="G245" s="1061" t="s">
        <v>2350</v>
      </c>
      <c r="H245" s="1078" t="str">
        <f>IF(I245=0,"",(INDEX([1]!AccountCodes[ACCOUNT NAME],MATCH(I245,[1]!AccountCodes[NGAS CODE],0))))</f>
        <v>Depreciation-Machinery and Equipment - Office Equipment</v>
      </c>
      <c r="I245" s="1082" t="s">
        <v>278</v>
      </c>
      <c r="J245" s="1080">
        <v>1487.54</v>
      </c>
      <c r="K245" s="1080"/>
      <c r="L245" s="1075">
        <f t="shared" si="5"/>
        <v>1487.54</v>
      </c>
    </row>
    <row r="246" spans="1:12" s="192" customFormat="1" ht="25.5">
      <c r="A246" s="1070">
        <v>45138</v>
      </c>
      <c r="B246" s="1071" t="s">
        <v>2349</v>
      </c>
      <c r="C246" s="1040" t="s">
        <v>485</v>
      </c>
      <c r="D246" s="1040"/>
      <c r="E246" s="1040"/>
      <c r="F246" s="1040"/>
      <c r="G246" s="1061" t="s">
        <v>2350</v>
      </c>
      <c r="H246" s="1078" t="str">
        <f>IF(I246=0,"",(INDEX([1]!AccountCodes[ACCOUNT NAME],MATCH(I246,[1]!AccountCodes[NGAS CODE],0))))</f>
        <v>Accumulated Depreciation-Office Equipment</v>
      </c>
      <c r="I246" s="1082" t="s">
        <v>88</v>
      </c>
      <c r="J246" s="1080"/>
      <c r="K246" s="1080">
        <v>1487.54</v>
      </c>
      <c r="L246" s="1075">
        <f t="shared" si="5"/>
        <v>0</v>
      </c>
    </row>
    <row r="247" spans="1:12" s="192" customFormat="1" ht="30" customHeight="1">
      <c r="A247" s="1070">
        <v>45138</v>
      </c>
      <c r="B247" s="1071" t="s">
        <v>2351</v>
      </c>
      <c r="C247" s="1040" t="s">
        <v>485</v>
      </c>
      <c r="D247" s="1040"/>
      <c r="E247" s="1040"/>
      <c r="F247" s="1040"/>
      <c r="G247" s="1048" t="s">
        <v>2352</v>
      </c>
      <c r="H247" s="1078" t="str">
        <f>IF(I247=0,"",(INDEX([1]!AccountCodes[ACCOUNT NAME],MATCH(I247,[1]!AccountCodes[NGAS CODE],0))))</f>
        <v>Depreciation-Machinery and Equipment - ICT Equipment</v>
      </c>
      <c r="I247" s="1082" t="s">
        <v>280</v>
      </c>
      <c r="J247" s="1080">
        <v>11770.5</v>
      </c>
      <c r="K247" s="1080"/>
      <c r="L247" s="1075">
        <f t="shared" si="5"/>
        <v>11770.5</v>
      </c>
    </row>
    <row r="248" spans="1:12" s="192" customFormat="1" ht="33.75" customHeight="1">
      <c r="A248" s="1070">
        <v>45138</v>
      </c>
      <c r="B248" s="1071" t="s">
        <v>2351</v>
      </c>
      <c r="C248" s="1040" t="s">
        <v>485</v>
      </c>
      <c r="D248" s="1040"/>
      <c r="E248" s="1040"/>
      <c r="F248" s="1040"/>
      <c r="G248" s="1048" t="s">
        <v>2353</v>
      </c>
      <c r="H248" s="1078" t="str">
        <f>IF(I248=0,"",(INDEX([1]!AccountCodes[ACCOUNT NAME],MATCH(I248,[1]!AccountCodes[NGAS CODE],0))))</f>
        <v>Accumulated Depreciation-Information and Communications Technology Equipment</v>
      </c>
      <c r="I248" s="1086" t="s">
        <v>90</v>
      </c>
      <c r="J248" s="1080"/>
      <c r="K248" s="1080">
        <v>11770.5</v>
      </c>
      <c r="L248" s="1075">
        <f t="shared" si="5"/>
        <v>0</v>
      </c>
    </row>
    <row r="249" spans="1:12" s="192" customFormat="1" ht="20.100000000000001" customHeight="1">
      <c r="A249" s="1070">
        <v>45138</v>
      </c>
      <c r="B249" s="1071" t="s">
        <v>2354</v>
      </c>
      <c r="C249" s="1040" t="s">
        <v>485</v>
      </c>
      <c r="D249" s="1040"/>
      <c r="E249" s="1040"/>
      <c r="F249" s="1040"/>
      <c r="G249" s="1048" t="s">
        <v>2355</v>
      </c>
      <c r="H249" s="1078" t="str">
        <f>IF(I249=0,"",(INDEX([1]!AccountCodes[ACCOUNT NAME],MATCH(I249,[1]!AccountCodes[NGAS CODE],0))))</f>
        <v>Depreciation-Infrastructure Assets - Other Infrastructure Assets (Irrigation Canals &amp; Laterals)</v>
      </c>
      <c r="I249" s="1087" t="s">
        <v>1452</v>
      </c>
      <c r="J249" s="1080">
        <v>198470.26</v>
      </c>
      <c r="K249" s="1080"/>
      <c r="L249" s="1075">
        <f t="shared" si="5"/>
        <v>198470.26</v>
      </c>
    </row>
    <row r="250" spans="1:12" s="192" customFormat="1" ht="20.100000000000001" customHeight="1">
      <c r="A250" s="1070">
        <v>45138</v>
      </c>
      <c r="B250" s="1071" t="s">
        <v>2354</v>
      </c>
      <c r="C250" s="1040" t="s">
        <v>485</v>
      </c>
      <c r="D250" s="1040"/>
      <c r="E250" s="1040"/>
      <c r="F250" s="1040"/>
      <c r="G250" s="1048" t="s">
        <v>2355</v>
      </c>
      <c r="H250" s="1078" t="str">
        <f>IF(I250=0,"",(INDEX([1]!AccountCodes[ACCOUNT NAME],MATCH(I250,[1]!AccountCodes[NGAS CODE],0))))</f>
        <v>Accumulated Depreciation-Water Supply Systems</v>
      </c>
      <c r="I250" s="1087" t="s">
        <v>1261</v>
      </c>
      <c r="J250" s="1080"/>
      <c r="K250" s="1080">
        <v>198470.26</v>
      </c>
      <c r="L250" s="1075">
        <f t="shared" si="5"/>
        <v>0</v>
      </c>
    </row>
    <row r="251" spans="1:12" s="192" customFormat="1" ht="25.5">
      <c r="A251" s="1088">
        <v>45138</v>
      </c>
      <c r="B251" s="1071" t="s">
        <v>2356</v>
      </c>
      <c r="C251" s="1040" t="s">
        <v>485</v>
      </c>
      <c r="D251" s="1040"/>
      <c r="E251" s="1040"/>
      <c r="F251" s="1040"/>
      <c r="G251" s="1089" t="s">
        <v>2357</v>
      </c>
      <c r="H251" s="1078" t="str">
        <f>IF(I251=0,"",(INDEX([1]!AccountCodes[ACCOUNT NAME],MATCH(I251,[1]!AccountCodes[NGAS CODE],0))))</f>
        <v>Longevity Pay</v>
      </c>
      <c r="I251" s="1090" t="s">
        <v>216</v>
      </c>
      <c r="J251" s="1091">
        <v>10000</v>
      </c>
      <c r="K251" s="1091"/>
      <c r="L251" s="1075">
        <f>L250+J251-K251</f>
        <v>10000</v>
      </c>
    </row>
    <row r="252" spans="1:12" s="192" customFormat="1" ht="25.5">
      <c r="A252" s="1088">
        <v>45138</v>
      </c>
      <c r="B252" s="1071" t="s">
        <v>2356</v>
      </c>
      <c r="C252" s="1040" t="s">
        <v>485</v>
      </c>
      <c r="D252" s="1040"/>
      <c r="E252" s="1040"/>
      <c r="F252" s="1040"/>
      <c r="G252" s="1089" t="s">
        <v>2357</v>
      </c>
      <c r="H252" s="1078" t="str">
        <f>IF(I252=0,"",(INDEX([1]!AccountCodes[ACCOUNT NAME],MATCH(I252,[1]!AccountCodes[NGAS CODE],0))))</f>
        <v>Due to Other Funds</v>
      </c>
      <c r="I252" s="1090" t="s">
        <v>114</v>
      </c>
      <c r="J252" s="1091"/>
      <c r="K252" s="1091">
        <v>10000</v>
      </c>
      <c r="L252" s="1092">
        <f>L251+J252-K252</f>
        <v>0</v>
      </c>
    </row>
    <row r="253" spans="1:12" s="192" customFormat="1" ht="20.100000000000001" customHeight="1">
      <c r="A253" s="1070">
        <v>45138</v>
      </c>
      <c r="B253" s="1071" t="s">
        <v>2358</v>
      </c>
      <c r="C253" s="1040" t="s">
        <v>486</v>
      </c>
      <c r="D253" s="1040"/>
      <c r="E253" s="1040"/>
      <c r="F253" s="1040"/>
      <c r="G253" s="1093" t="s">
        <v>2359</v>
      </c>
      <c r="H253" s="1078" t="str">
        <f>IF(I253=0,"",(INDEX([1]!AccountCodes[ACCOUNT NAME],MATCH(I253,[1]!AccountCodes[NGAS CODE],0))))</f>
        <v>Depreciation-Infrastructure Assets - Other Infrastructure Assets (Irrigation Canals &amp; Laterals)</v>
      </c>
      <c r="I253" s="1087" t="s">
        <v>1452</v>
      </c>
      <c r="J253" s="1080">
        <v>114222.24</v>
      </c>
      <c r="K253" s="1080"/>
      <c r="L253" s="1075">
        <f t="shared" si="5"/>
        <v>114222.24</v>
      </c>
    </row>
    <row r="254" spans="1:12" s="192" customFormat="1" ht="20.100000000000001" customHeight="1">
      <c r="A254" s="1070">
        <v>45138</v>
      </c>
      <c r="B254" s="1071" t="s">
        <v>2358</v>
      </c>
      <c r="C254" s="1040" t="s">
        <v>486</v>
      </c>
      <c r="D254" s="1040"/>
      <c r="E254" s="1040"/>
      <c r="F254" s="1040"/>
      <c r="G254" s="1093" t="s">
        <v>2359</v>
      </c>
      <c r="H254" s="1078" t="str">
        <f>IF(I254=0,"",(INDEX([1]!AccountCodes[ACCOUNT NAME],MATCH(I254,[1]!AccountCodes[NGAS CODE],0))))</f>
        <v>Accumulated Depreciation-Water Supply Systems</v>
      </c>
      <c r="I254" s="1087" t="s">
        <v>1261</v>
      </c>
      <c r="J254" s="1080"/>
      <c r="K254" s="1080">
        <v>114222.24</v>
      </c>
      <c r="L254" s="1075">
        <f>L253+J254-K254</f>
        <v>0</v>
      </c>
    </row>
    <row r="255" spans="1:12" s="192" customFormat="1" ht="25.5">
      <c r="A255" s="1088">
        <v>45138</v>
      </c>
      <c r="B255" s="1071" t="s">
        <v>2360</v>
      </c>
      <c r="C255" s="1040" t="s">
        <v>486</v>
      </c>
      <c r="D255" s="1040"/>
      <c r="E255" s="1040"/>
      <c r="F255" s="1040"/>
      <c r="G255" s="1048" t="s">
        <v>2361</v>
      </c>
      <c r="H255" s="1078" t="str">
        <f>IF(I255=0,"",(INDEX([1]!AccountCodes[ACCOUNT NAME],MATCH(I255,[1]!AccountCodes[NGAS CODE],0))))</f>
        <v>Depreciation-Machinery and Equipment - ICT Equipment</v>
      </c>
      <c r="I255" s="1094" t="s">
        <v>280</v>
      </c>
      <c r="J255" s="1077">
        <v>4071.06</v>
      </c>
      <c r="K255" s="1077"/>
      <c r="L255" s="1075">
        <f>L254+J255-K255</f>
        <v>4071.06</v>
      </c>
    </row>
    <row r="256" spans="1:12" s="192" customFormat="1" ht="25.5">
      <c r="A256" s="1088">
        <v>45138</v>
      </c>
      <c r="B256" s="1071" t="s">
        <v>2360</v>
      </c>
      <c r="C256" s="1040" t="s">
        <v>486</v>
      </c>
      <c r="D256" s="1040"/>
      <c r="E256" s="1040"/>
      <c r="F256" s="1040"/>
      <c r="G256" s="1048" t="s">
        <v>2361</v>
      </c>
      <c r="H256" s="1078" t="str">
        <f>IF(I256=0,"",(INDEX([1]!AccountCodes[ACCOUNT NAME],MATCH(I256,[1]!AccountCodes[NGAS CODE],0))))</f>
        <v>Accumulated Depreciation-Information and Communications Technology Equipment</v>
      </c>
      <c r="I256" s="1082" t="s">
        <v>90</v>
      </c>
      <c r="J256" s="1077" t="s">
        <v>756</v>
      </c>
      <c r="K256" s="1077">
        <v>4071.06</v>
      </c>
      <c r="L256" s="1092"/>
    </row>
    <row r="257" spans="1:12" s="192" customFormat="1" ht="25.5">
      <c r="A257" s="1070">
        <v>45138</v>
      </c>
      <c r="B257" s="1071" t="s">
        <v>2362</v>
      </c>
      <c r="C257" s="1040" t="s">
        <v>762</v>
      </c>
      <c r="D257" s="1040"/>
      <c r="E257" s="1040"/>
      <c r="F257" s="1040"/>
      <c r="G257" s="664" t="s">
        <v>2363</v>
      </c>
      <c r="H257" s="1078" t="str">
        <f>IF(I257=0,"",(INDEX([1]!AccountCodes[ACCOUNT NAME],MATCH(I257,[1]!AccountCodes[NGAS CODE],0))))</f>
        <v>Semi-Expendable Machinery and Equipment Expenses</v>
      </c>
      <c r="I257" s="1073" t="s">
        <v>1265</v>
      </c>
      <c r="J257" s="1074">
        <v>56296</v>
      </c>
      <c r="K257" s="1074"/>
      <c r="L257" s="1075">
        <f t="shared" ref="L257:L291" si="6">L256+J257-K257</f>
        <v>56296</v>
      </c>
    </row>
    <row r="258" spans="1:12" s="192" customFormat="1" ht="25.5">
      <c r="A258" s="1070">
        <v>45138</v>
      </c>
      <c r="B258" s="1071" t="s">
        <v>2362</v>
      </c>
      <c r="C258" s="1040" t="s">
        <v>762</v>
      </c>
      <c r="D258" s="1040"/>
      <c r="E258" s="1040"/>
      <c r="F258" s="1040"/>
      <c r="G258" s="664" t="s">
        <v>2363</v>
      </c>
      <c r="H258" s="1078" t="str">
        <f>IF(I258=0,"",(INDEX([1]!AccountCodes[ACCOUNT NAME],MATCH(I258,[1]!AccountCodes[NGAS CODE],0))))</f>
        <v>Semi-Expendable Office Equipment</v>
      </c>
      <c r="I258" s="1095" t="s">
        <v>1245</v>
      </c>
      <c r="J258" s="1096"/>
      <c r="K258" s="1096">
        <v>56296</v>
      </c>
      <c r="L258" s="1075">
        <f t="shared" si="6"/>
        <v>0</v>
      </c>
    </row>
    <row r="259" spans="1:12" s="192" customFormat="1" ht="38.25">
      <c r="A259" s="1070">
        <v>45138</v>
      </c>
      <c r="B259" s="1071" t="s">
        <v>2364</v>
      </c>
      <c r="C259" s="1097" t="s">
        <v>762</v>
      </c>
      <c r="D259" s="1097"/>
      <c r="E259" s="1097"/>
      <c r="F259" s="1097"/>
      <c r="G259" s="143" t="s">
        <v>2365</v>
      </c>
      <c r="H259" s="1078" t="str">
        <f>IF(I259=0,"",(INDEX([1]!AccountCodes[ACCOUNT NAME],MATCH(I259,[1]!AccountCodes[NGAS CODE],0))))</f>
        <v>Depreciation-Machinery and Equipment - Office Equipment</v>
      </c>
      <c r="I259" s="1073" t="s">
        <v>278</v>
      </c>
      <c r="J259" s="1074">
        <v>5358.64</v>
      </c>
      <c r="K259" s="1074"/>
      <c r="L259" s="1075">
        <f t="shared" si="6"/>
        <v>5358.64</v>
      </c>
    </row>
    <row r="260" spans="1:12" s="192" customFormat="1" ht="38.25">
      <c r="A260" s="1070">
        <v>45138</v>
      </c>
      <c r="B260" s="1071" t="s">
        <v>2364</v>
      </c>
      <c r="C260" s="1097" t="s">
        <v>762</v>
      </c>
      <c r="D260" s="1097"/>
      <c r="E260" s="1097"/>
      <c r="F260" s="1097"/>
      <c r="G260" s="143" t="s">
        <v>2365</v>
      </c>
      <c r="H260" s="1078" t="str">
        <f>IF(I260=0,"",(INDEX([1]!AccountCodes[ACCOUNT NAME],MATCH(I260,[1]!AccountCodes[NGAS CODE],0))))</f>
        <v>Depreciation-Machinery and Equipment - ICT Equipment</v>
      </c>
      <c r="I260" s="1098" t="s">
        <v>280</v>
      </c>
      <c r="J260" s="1099">
        <v>9403.61</v>
      </c>
      <c r="K260" s="1099"/>
      <c r="L260" s="1075">
        <f t="shared" si="6"/>
        <v>14762.25</v>
      </c>
    </row>
    <row r="261" spans="1:12" s="192" customFormat="1" ht="38.25">
      <c r="A261" s="1070">
        <v>45138</v>
      </c>
      <c r="B261" s="1071" t="s">
        <v>2364</v>
      </c>
      <c r="C261" s="1097" t="s">
        <v>762</v>
      </c>
      <c r="D261" s="1097"/>
      <c r="E261" s="1097"/>
      <c r="F261" s="1097"/>
      <c r="G261" s="143" t="s">
        <v>2365</v>
      </c>
      <c r="H261" s="1078" t="str">
        <f>IF(I261=0,"",(INDEX([1]!AccountCodes[ACCOUNT NAME],MATCH(I261,[1]!AccountCodes[NGAS CODE],0))))</f>
        <v>Accumulated Depreciation-Office Equipment</v>
      </c>
      <c r="I261" s="1098" t="s">
        <v>88</v>
      </c>
      <c r="J261" s="1099"/>
      <c r="K261" s="1074">
        <v>5358.64</v>
      </c>
      <c r="L261" s="1075">
        <f t="shared" si="6"/>
        <v>9403.61</v>
      </c>
    </row>
    <row r="262" spans="1:12" s="192" customFormat="1" ht="38.25">
      <c r="A262" s="1070">
        <v>45138</v>
      </c>
      <c r="B262" s="1071" t="s">
        <v>2364</v>
      </c>
      <c r="C262" s="1097" t="s">
        <v>762</v>
      </c>
      <c r="D262" s="1097"/>
      <c r="E262" s="1097"/>
      <c r="F262" s="1097"/>
      <c r="G262" s="143" t="s">
        <v>2365</v>
      </c>
      <c r="H262" s="1078" t="str">
        <f>IF(I262=0,"",(INDEX([1]!AccountCodes[ACCOUNT NAME],MATCH(I262,[1]!AccountCodes[NGAS CODE],0))))</f>
        <v>Accumulated Depreciation-Information and Communications Technology Equipment</v>
      </c>
      <c r="I262" s="1098" t="s">
        <v>90</v>
      </c>
      <c r="J262" s="1099"/>
      <c r="K262" s="1099">
        <v>9403.61</v>
      </c>
      <c r="L262" s="1075">
        <f t="shared" si="6"/>
        <v>0</v>
      </c>
    </row>
    <row r="263" spans="1:12" s="192" customFormat="1" ht="20.100000000000001" customHeight="1">
      <c r="A263" s="1070">
        <v>45138</v>
      </c>
      <c r="B263" s="1071" t="s">
        <v>2366</v>
      </c>
      <c r="C263" s="1097" t="s">
        <v>762</v>
      </c>
      <c r="D263" s="1097"/>
      <c r="E263" s="1097"/>
      <c r="F263" s="1097"/>
      <c r="G263" s="143" t="s">
        <v>2367</v>
      </c>
      <c r="H263" s="1078" t="str">
        <f>IF(I263=0,"",(INDEX([1]!AccountCodes[ACCOUNT NAME],MATCH(I263,[1]!AccountCodes[NGAS CODE],0))))</f>
        <v>Office Supplies Expenses</v>
      </c>
      <c r="I263" s="1100" t="s">
        <v>225</v>
      </c>
      <c r="J263" s="1085">
        <v>42603.94</v>
      </c>
      <c r="K263" s="1085"/>
      <c r="L263" s="1075">
        <f t="shared" si="6"/>
        <v>42603.94</v>
      </c>
    </row>
    <row r="264" spans="1:12" s="192" customFormat="1" ht="20.100000000000001" customHeight="1">
      <c r="A264" s="1070">
        <v>45138</v>
      </c>
      <c r="B264" s="1071" t="s">
        <v>2366</v>
      </c>
      <c r="C264" s="1097" t="s">
        <v>762</v>
      </c>
      <c r="D264" s="1097"/>
      <c r="E264" s="1097"/>
      <c r="F264" s="1097"/>
      <c r="G264" s="143" t="s">
        <v>2367</v>
      </c>
      <c r="H264" s="1078" t="str">
        <f>IF(I264=0,"",(INDEX([1]!AccountCodes[ACCOUNT NAME],MATCH(I264,[1]!AccountCodes[NGAS CODE],0))))</f>
        <v>Office Supplies Inventory</v>
      </c>
      <c r="I264" s="1100" t="s">
        <v>30</v>
      </c>
      <c r="J264" s="1085"/>
      <c r="K264" s="1085">
        <v>42603.94</v>
      </c>
      <c r="L264" s="1075">
        <f t="shared" si="6"/>
        <v>0</v>
      </c>
    </row>
    <row r="265" spans="1:12" s="192" customFormat="1" ht="20.100000000000001" customHeight="1">
      <c r="A265" s="1070">
        <v>45138</v>
      </c>
      <c r="B265" s="1071" t="s">
        <v>2368</v>
      </c>
      <c r="C265" s="1097" t="s">
        <v>762</v>
      </c>
      <c r="D265" s="1097"/>
      <c r="E265" s="1097"/>
      <c r="F265" s="1097"/>
      <c r="G265" s="1101" t="s">
        <v>2369</v>
      </c>
      <c r="H265" s="1078" t="str">
        <f>IF(I265=0,"",(INDEX([1]!AccountCodes[ACCOUNT NAME],MATCH(I265,[1]!AccountCodes[NGAS CODE],0))))</f>
        <v>Depreciation-Infrastructure Assets - Other Infrastructure Assets (Irrigation Canals &amp; Laterals)</v>
      </c>
      <c r="I265" s="1100" t="s">
        <v>1452</v>
      </c>
      <c r="J265" s="1085">
        <v>166412.46</v>
      </c>
      <c r="K265" s="1085"/>
      <c r="L265" s="1075">
        <f t="shared" si="6"/>
        <v>166412.46</v>
      </c>
    </row>
    <row r="266" spans="1:12" s="192" customFormat="1" ht="20.100000000000001" customHeight="1">
      <c r="A266" s="1070">
        <v>45138</v>
      </c>
      <c r="B266" s="1071" t="s">
        <v>2368</v>
      </c>
      <c r="C266" s="1097" t="s">
        <v>762</v>
      </c>
      <c r="D266" s="1097"/>
      <c r="E266" s="1097"/>
      <c r="F266" s="1097"/>
      <c r="G266" s="1101" t="s">
        <v>2369</v>
      </c>
      <c r="H266" s="1078" t="str">
        <f>IF(I266=0,"",(INDEX([1]!AccountCodes[ACCOUNT NAME],MATCH(I266,[1]!AccountCodes[NGAS CODE],0))))</f>
        <v>Accumulated Depreciation-Water Supply Systems</v>
      </c>
      <c r="I266" s="1100" t="s">
        <v>1261</v>
      </c>
      <c r="J266" s="1085"/>
      <c r="K266" s="1085">
        <v>166412.46</v>
      </c>
      <c r="L266" s="1075">
        <f t="shared" si="6"/>
        <v>0</v>
      </c>
    </row>
    <row r="267" spans="1:12" s="192" customFormat="1" ht="20.100000000000001" customHeight="1">
      <c r="A267" s="1070">
        <v>45138</v>
      </c>
      <c r="B267" s="1071" t="s">
        <v>2370</v>
      </c>
      <c r="C267" s="1097" t="s">
        <v>485</v>
      </c>
      <c r="D267" s="1097"/>
      <c r="E267" s="1097"/>
      <c r="F267" s="1097"/>
      <c r="G267" s="1102" t="s">
        <v>2371</v>
      </c>
      <c r="H267" s="1078" t="str">
        <f>IF(I267=0,"",(INDEX([1]!AccountCodes[ACCOUNT NAME],MATCH(I267,[1]!AccountCodes[NGAS CODE],0))))</f>
        <v>Information and Communications Technology Equipment</v>
      </c>
      <c r="I267" s="1100" t="s">
        <v>44</v>
      </c>
      <c r="J267" s="1085">
        <v>20000</v>
      </c>
      <c r="K267" s="1085"/>
      <c r="L267" s="1075">
        <f t="shared" si="6"/>
        <v>20000</v>
      </c>
    </row>
    <row r="268" spans="1:12" s="192" customFormat="1" ht="20.100000000000001" customHeight="1">
      <c r="A268" s="1070">
        <v>45138</v>
      </c>
      <c r="B268" s="1071" t="s">
        <v>2370</v>
      </c>
      <c r="C268" s="1097" t="s">
        <v>485</v>
      </c>
      <c r="D268" s="1097"/>
      <c r="E268" s="1097"/>
      <c r="F268" s="1097"/>
      <c r="G268" s="1102" t="s">
        <v>2371</v>
      </c>
      <c r="H268" s="1078" t="str">
        <f>IF(I268=0,"",(INDEX([1]!AccountCodes[ACCOUNT NAME],MATCH(I268,[1]!AccountCodes[NGAS CODE],0))))</f>
        <v>Computer Software</v>
      </c>
      <c r="I268" s="1100" t="s">
        <v>2372</v>
      </c>
      <c r="J268" s="1085"/>
      <c r="K268" s="1085">
        <v>20000</v>
      </c>
      <c r="L268" s="1075">
        <f t="shared" si="6"/>
        <v>0</v>
      </c>
    </row>
    <row r="269" spans="1:12" s="192" customFormat="1" ht="60" customHeight="1">
      <c r="A269" s="1070">
        <v>45169</v>
      </c>
      <c r="B269" s="1071" t="s">
        <v>2373</v>
      </c>
      <c r="C269" s="1097" t="s">
        <v>494</v>
      </c>
      <c r="D269" s="1097"/>
      <c r="E269" s="1097"/>
      <c r="F269" s="1097"/>
      <c r="G269" s="1048" t="s">
        <v>2374</v>
      </c>
      <c r="H269" s="1078" t="str">
        <f>IF(I269=0,"",(INDEX([1]!AccountCodes[ACCOUNT NAME],MATCH(I269,[1]!AccountCodes[NGAS CODE],0))))</f>
        <v>Cash in Bank-Local Currency, Current Account - RO</v>
      </c>
      <c r="I269" s="1103" t="s">
        <v>1556</v>
      </c>
      <c r="J269" s="1085">
        <v>4730091.53</v>
      </c>
      <c r="K269" s="1085"/>
      <c r="L269" s="1075">
        <f t="shared" si="6"/>
        <v>4730091.53</v>
      </c>
    </row>
    <row r="270" spans="1:12" s="192" customFormat="1" ht="60" customHeight="1">
      <c r="A270" s="1070">
        <v>45169</v>
      </c>
      <c r="B270" s="1071" t="s">
        <v>2373</v>
      </c>
      <c r="C270" s="1097" t="s">
        <v>494</v>
      </c>
      <c r="D270" s="1097"/>
      <c r="E270" s="1097"/>
      <c r="F270" s="1097"/>
      <c r="G270" s="1048" t="s">
        <v>2374</v>
      </c>
      <c r="H270" s="1078" t="str">
        <f>IF(I270=0,"",(INDEX([1]!AccountCodes[ACCOUNT NAME],MATCH(I270,[1]!AccountCodes[NGAS CODE],0))))</f>
        <v>Subsidy from Central Office</v>
      </c>
      <c r="I270" s="1076" t="s">
        <v>152</v>
      </c>
      <c r="J270" s="1085"/>
      <c r="K270" s="1085">
        <v>4730091.53</v>
      </c>
      <c r="L270" s="1075">
        <f t="shared" si="6"/>
        <v>0</v>
      </c>
    </row>
    <row r="271" spans="1:12" s="192" customFormat="1" ht="20.100000000000001" customHeight="1">
      <c r="A271" s="1070">
        <v>45169</v>
      </c>
      <c r="B271" s="1071" t="s">
        <v>2375</v>
      </c>
      <c r="C271" s="1097" t="s">
        <v>494</v>
      </c>
      <c r="D271" s="1097"/>
      <c r="E271" s="1097"/>
      <c r="F271" s="1097"/>
      <c r="G271" s="1048" t="s">
        <v>2376</v>
      </c>
      <c r="H271" s="1078" t="str">
        <f>IF(I271=0,"",(INDEX([1]!AccountCodes[ACCOUNT NAME],MATCH(I271,[1]!AccountCodes[NGAS CODE],0))))</f>
        <v>Depreciation-Machinery and Equipment - ICT Equipment</v>
      </c>
      <c r="I271" s="1079" t="s">
        <v>280</v>
      </c>
      <c r="J271" s="1080">
        <v>2998.83</v>
      </c>
      <c r="K271" s="1080"/>
      <c r="L271" s="1075">
        <f t="shared" si="6"/>
        <v>2998.83</v>
      </c>
    </row>
    <row r="272" spans="1:12" s="192" customFormat="1" ht="20.100000000000001" customHeight="1">
      <c r="A272" s="1070">
        <v>45169</v>
      </c>
      <c r="B272" s="1071" t="s">
        <v>2375</v>
      </c>
      <c r="C272" s="1097" t="s">
        <v>494</v>
      </c>
      <c r="D272" s="1097"/>
      <c r="E272" s="1097"/>
      <c r="F272" s="1097"/>
      <c r="G272" s="1048" t="s">
        <v>2376</v>
      </c>
      <c r="H272" s="1078" t="str">
        <f>IF(I272=0,"",(INDEX([1]!AccountCodes[ACCOUNT NAME],MATCH(I272,[1]!AccountCodes[NGAS CODE],0))))</f>
        <v>Accumulated Depreciation-Information and Communications Technology Equipment</v>
      </c>
      <c r="I272" s="1081" t="s">
        <v>90</v>
      </c>
      <c r="J272" s="1080"/>
      <c r="K272" s="1080">
        <v>2998.83</v>
      </c>
      <c r="L272" s="1075">
        <f t="shared" si="6"/>
        <v>0</v>
      </c>
    </row>
    <row r="273" spans="1:12" s="192" customFormat="1" ht="26.1" customHeight="1">
      <c r="A273" s="1070">
        <v>45169</v>
      </c>
      <c r="B273" s="1071" t="s">
        <v>2377</v>
      </c>
      <c r="C273" s="1097" t="s">
        <v>484</v>
      </c>
      <c r="D273" s="1097"/>
      <c r="E273" s="1097"/>
      <c r="F273" s="1097"/>
      <c r="G273" s="143" t="s">
        <v>2378</v>
      </c>
      <c r="H273" s="1078" t="str">
        <f>IF(I273=0,"",(INDEX([1]!AccountCodes[ACCOUNT NAME],MATCH(I273,[1]!AccountCodes[NGAS CODE],0))))</f>
        <v>Depreciation-Infrastructure Assets - Other Infrastructure Assets (Irrigation Canals &amp; Laterals)</v>
      </c>
      <c r="I273" s="185" t="s">
        <v>1452</v>
      </c>
      <c r="J273" s="497">
        <v>163633.84</v>
      </c>
      <c r="K273" s="497"/>
      <c r="L273" s="1075">
        <f t="shared" si="6"/>
        <v>163633.84</v>
      </c>
    </row>
    <row r="274" spans="1:12" s="192" customFormat="1" ht="26.1" customHeight="1">
      <c r="A274" s="1070">
        <v>45169</v>
      </c>
      <c r="B274" s="1071" t="s">
        <v>2377</v>
      </c>
      <c r="C274" s="1097" t="s">
        <v>484</v>
      </c>
      <c r="D274" s="1097"/>
      <c r="E274" s="1097"/>
      <c r="F274" s="1097"/>
      <c r="G274" s="143" t="s">
        <v>2378</v>
      </c>
      <c r="H274" s="1078" t="str">
        <f>IF(I274=0,"",(INDEX([1]!AccountCodes[ACCOUNT NAME],MATCH(I274,[1]!AccountCodes[NGAS CODE],0))))</f>
        <v>Accumulated Depreciation-Water Supply Systems</v>
      </c>
      <c r="I274" s="185" t="s">
        <v>1261</v>
      </c>
      <c r="J274" s="497"/>
      <c r="K274" s="497">
        <v>163633.84</v>
      </c>
      <c r="L274" s="1075">
        <f t="shared" si="6"/>
        <v>0</v>
      </c>
    </row>
    <row r="275" spans="1:12" s="192" customFormat="1" ht="26.1" customHeight="1">
      <c r="A275" s="1070">
        <v>45169</v>
      </c>
      <c r="B275" s="1071" t="s">
        <v>2379</v>
      </c>
      <c r="C275" s="1097" t="s">
        <v>484</v>
      </c>
      <c r="D275" s="1097"/>
      <c r="E275" s="1097"/>
      <c r="F275" s="1097"/>
      <c r="G275" s="143" t="s">
        <v>2380</v>
      </c>
      <c r="H275" s="1078" t="str">
        <f>IF(I275=0,"",(INDEX([1]!AccountCodes[ACCOUNT NAME],MATCH(I275,[1]!AccountCodes[NGAS CODE],0))))</f>
        <v>Depreciation-Machinery and Equipment - ICT Equipment</v>
      </c>
      <c r="I275" s="185" t="s">
        <v>280</v>
      </c>
      <c r="J275" s="497">
        <v>3482.39</v>
      </c>
      <c r="K275" s="497"/>
      <c r="L275" s="1075">
        <f t="shared" si="6"/>
        <v>3482.39</v>
      </c>
    </row>
    <row r="276" spans="1:12" s="192" customFormat="1" ht="26.1" customHeight="1">
      <c r="A276" s="1070">
        <v>45169</v>
      </c>
      <c r="B276" s="1071" t="s">
        <v>2379</v>
      </c>
      <c r="C276" s="1097" t="s">
        <v>484</v>
      </c>
      <c r="D276" s="1097"/>
      <c r="E276" s="1097"/>
      <c r="F276" s="1097"/>
      <c r="G276" s="143" t="s">
        <v>2380</v>
      </c>
      <c r="H276" s="1078" t="str">
        <f>IF(I276=0,"",(INDEX([1]!AccountCodes[ACCOUNT NAME],MATCH(I276,[1]!AccountCodes[NGAS CODE],0))))</f>
        <v>Accumulated Depreciation-Information and Communications Technology Equipment</v>
      </c>
      <c r="I276" s="185" t="s">
        <v>90</v>
      </c>
      <c r="J276" s="497"/>
      <c r="K276" s="497">
        <v>3482.39</v>
      </c>
      <c r="L276" s="1075">
        <f t="shared" si="6"/>
        <v>0</v>
      </c>
    </row>
    <row r="277" spans="1:12" s="192" customFormat="1" ht="26.1" customHeight="1">
      <c r="A277" s="1070">
        <v>45169</v>
      </c>
      <c r="B277" s="1071" t="s">
        <v>2381</v>
      </c>
      <c r="C277" s="1097" t="s">
        <v>485</v>
      </c>
      <c r="D277" s="1097"/>
      <c r="E277" s="1097"/>
      <c r="F277" s="1097"/>
      <c r="G277" s="1104" t="s">
        <v>2382</v>
      </c>
      <c r="H277" s="1078" t="str">
        <f>IF(I277=0,"",(INDEX([1]!AccountCodes[ACCOUNT NAME],MATCH(I277,[1]!AccountCodes[NGAS CODE],0))))</f>
        <v>Depreciation-Machinery and Equipment - Office Equipment</v>
      </c>
      <c r="I277" s="1059" t="s">
        <v>278</v>
      </c>
      <c r="J277" s="1047">
        <v>1487.54</v>
      </c>
      <c r="K277" s="1039"/>
      <c r="L277" s="1075">
        <f t="shared" si="6"/>
        <v>1487.54</v>
      </c>
    </row>
    <row r="278" spans="1:12" s="192" customFormat="1" ht="26.1" customHeight="1">
      <c r="A278" s="1070">
        <v>45169</v>
      </c>
      <c r="B278" s="1071" t="s">
        <v>2381</v>
      </c>
      <c r="C278" s="1097" t="s">
        <v>485</v>
      </c>
      <c r="D278" s="1097"/>
      <c r="E278" s="1097"/>
      <c r="F278" s="1097"/>
      <c r="G278" s="1104" t="s">
        <v>2382</v>
      </c>
      <c r="H278" s="1078" t="str">
        <f>IF(I278=0,"",(INDEX([1]!AccountCodes[ACCOUNT NAME],MATCH(I278,[1]!AccountCodes[NGAS CODE],0))))</f>
        <v>Accumulated Depreciation-Office Equipment</v>
      </c>
      <c r="I278" s="1059" t="s">
        <v>88</v>
      </c>
      <c r="J278" s="1047"/>
      <c r="K278" s="1039">
        <f>J277</f>
        <v>1487.54</v>
      </c>
      <c r="L278" s="1075">
        <f t="shared" si="6"/>
        <v>0</v>
      </c>
    </row>
    <row r="279" spans="1:12" s="192" customFormat="1" ht="26.1" customHeight="1">
      <c r="A279" s="1070">
        <v>45169</v>
      </c>
      <c r="B279" s="1071" t="s">
        <v>2383</v>
      </c>
      <c r="C279" s="1097" t="s">
        <v>485</v>
      </c>
      <c r="D279" s="1097"/>
      <c r="E279" s="1097"/>
      <c r="F279" s="1097"/>
      <c r="G279" s="1104" t="s">
        <v>2384</v>
      </c>
      <c r="H279" s="1078" t="str">
        <f>IF(I279=0,"",(INDEX([1]!AccountCodes[ACCOUNT NAME],MATCH(I279,[1]!AccountCodes[NGAS CODE],0))))</f>
        <v>Depreciation-Machinery and Equipment - ICT Equipment</v>
      </c>
      <c r="I279" s="1059" t="s">
        <v>280</v>
      </c>
      <c r="J279" s="1047">
        <v>11770.5</v>
      </c>
      <c r="K279" s="1039"/>
      <c r="L279" s="1075">
        <f t="shared" si="6"/>
        <v>11770.5</v>
      </c>
    </row>
    <row r="280" spans="1:12" s="192" customFormat="1" ht="26.1" customHeight="1">
      <c r="A280" s="1070">
        <v>45169</v>
      </c>
      <c r="B280" s="1071" t="s">
        <v>2383</v>
      </c>
      <c r="C280" s="1097" t="s">
        <v>485</v>
      </c>
      <c r="D280" s="1097"/>
      <c r="E280" s="1097"/>
      <c r="F280" s="1097"/>
      <c r="G280" s="1104" t="s">
        <v>2384</v>
      </c>
      <c r="H280" s="1078" t="str">
        <f>IF(I280=0,"",(INDEX([1]!AccountCodes[ACCOUNT NAME],MATCH(I280,[1]!AccountCodes[NGAS CODE],0))))</f>
        <v>Accumulated Depreciation-Information and Communications Technology Equipment</v>
      </c>
      <c r="I280" s="1059" t="s">
        <v>90</v>
      </c>
      <c r="J280" s="1047"/>
      <c r="K280" s="1039">
        <v>11770.5</v>
      </c>
      <c r="L280" s="1075">
        <f t="shared" si="6"/>
        <v>0</v>
      </c>
    </row>
    <row r="281" spans="1:12" s="192" customFormat="1" ht="25.5">
      <c r="A281" s="1070">
        <v>45169</v>
      </c>
      <c r="B281" s="1071" t="s">
        <v>2385</v>
      </c>
      <c r="C281" s="1097" t="s">
        <v>485</v>
      </c>
      <c r="D281" s="1097"/>
      <c r="E281" s="1097"/>
      <c r="F281" s="1097"/>
      <c r="G281" s="143" t="s">
        <v>2386</v>
      </c>
      <c r="H281" s="1078" t="str">
        <f>IF(I281=0,"",(INDEX([1]!AccountCodes[ACCOUNT NAME],MATCH(I281,[1]!AccountCodes[NGAS CODE],0))))</f>
        <v>Depreciation-Infrastructure Assets - Other Infrastructure Assets (Irrigation Canals &amp; Laterals)</v>
      </c>
      <c r="I281" s="1105" t="s">
        <v>1452</v>
      </c>
      <c r="J281" s="1106">
        <v>198470.26</v>
      </c>
      <c r="K281" s="1107"/>
      <c r="L281" s="1075">
        <f t="shared" si="6"/>
        <v>198470.26</v>
      </c>
    </row>
    <row r="282" spans="1:12" s="192" customFormat="1" ht="25.5">
      <c r="A282" s="1070">
        <v>45169</v>
      </c>
      <c r="B282" s="1071" t="s">
        <v>2385</v>
      </c>
      <c r="C282" s="1097" t="s">
        <v>485</v>
      </c>
      <c r="D282" s="1097"/>
      <c r="E282" s="1097"/>
      <c r="F282" s="1097"/>
      <c r="G282" s="143" t="s">
        <v>2386</v>
      </c>
      <c r="H282" s="1078" t="str">
        <f>IF(I282=0,"",(INDEX([1]!AccountCodes[ACCOUNT NAME],MATCH(I282,[1]!AccountCodes[NGAS CODE],0))))</f>
        <v>Accumulated Depreciation-Water Supply Systems</v>
      </c>
      <c r="I282" s="1105" t="s">
        <v>1261</v>
      </c>
      <c r="J282" s="1106"/>
      <c r="K282" s="1106">
        <v>198470.26</v>
      </c>
      <c r="L282" s="1075">
        <f t="shared" si="6"/>
        <v>0</v>
      </c>
    </row>
    <row r="283" spans="1:12" s="192" customFormat="1" ht="25.5">
      <c r="A283" s="1070">
        <v>45169</v>
      </c>
      <c r="B283" s="1071" t="s">
        <v>2387</v>
      </c>
      <c r="C283" s="1040" t="s">
        <v>486</v>
      </c>
      <c r="D283" s="1097"/>
      <c r="E283" s="1097"/>
      <c r="F283" s="1097"/>
      <c r="G283" s="1108" t="s">
        <v>2388</v>
      </c>
      <c r="H283" s="1078" t="str">
        <f>IF(I283=0,"",(INDEX([1]!AccountCodes[ACCOUNT NAME],MATCH(I283,[1]!AccountCodes[NGAS CODE],0))))</f>
        <v>Depreciation-Machinery and Equipment - ICT Equipment</v>
      </c>
      <c r="I283" s="1109" t="s">
        <v>280</v>
      </c>
      <c r="J283" s="1064">
        <v>4071.06</v>
      </c>
      <c r="K283" s="1064"/>
      <c r="L283" s="1075">
        <f t="shared" si="6"/>
        <v>4071.06</v>
      </c>
    </row>
    <row r="284" spans="1:12" s="192" customFormat="1" ht="25.5">
      <c r="A284" s="1070">
        <v>45169</v>
      </c>
      <c r="B284" s="1071" t="s">
        <v>2387</v>
      </c>
      <c r="C284" s="1040" t="s">
        <v>486</v>
      </c>
      <c r="D284" s="1097"/>
      <c r="E284" s="1097"/>
      <c r="F284" s="1097"/>
      <c r="G284" s="1108" t="s">
        <v>2388</v>
      </c>
      <c r="H284" s="1078" t="str">
        <f>IF(I284=0,"",(INDEX([1]!AccountCodes[ACCOUNT NAME],MATCH(I284,[1]!AccountCodes[NGAS CODE],0))))</f>
        <v>Accumulated Depreciation-Information and Communications Technology Equipment</v>
      </c>
      <c r="I284" s="1110" t="s">
        <v>90</v>
      </c>
      <c r="J284" s="1064" t="s">
        <v>756</v>
      </c>
      <c r="K284" s="1064">
        <v>4071.06</v>
      </c>
      <c r="L284" s="1075"/>
    </row>
    <row r="285" spans="1:12" s="192" customFormat="1" ht="25.5">
      <c r="A285" s="1070">
        <v>45169</v>
      </c>
      <c r="B285" s="1071" t="s">
        <v>2389</v>
      </c>
      <c r="C285" s="1040" t="s">
        <v>486</v>
      </c>
      <c r="D285" s="1097"/>
      <c r="E285" s="1097"/>
      <c r="F285" s="1097"/>
      <c r="G285" s="1111" t="s">
        <v>2390</v>
      </c>
      <c r="H285" s="1078" t="str">
        <f>IF(I285=0,"",(INDEX([1]!AccountCodes[ACCOUNT NAME],MATCH(I285,[1]!AccountCodes[NGAS CODE],0))))</f>
        <v>Depreciation-Infrastructure Assets - Other Infrastructure Assets (Irrigation Canals &amp; Laterals)</v>
      </c>
      <c r="I285" s="1112" t="s">
        <v>1452</v>
      </c>
      <c r="J285" s="1113">
        <v>114222.24</v>
      </c>
      <c r="K285" s="1113"/>
      <c r="L285" s="1075">
        <f t="shared" si="6"/>
        <v>114222.24</v>
      </c>
    </row>
    <row r="286" spans="1:12" s="192" customFormat="1" ht="25.5">
      <c r="A286" s="1070">
        <v>45169</v>
      </c>
      <c r="B286" s="1071" t="s">
        <v>2389</v>
      </c>
      <c r="C286" s="1040" t="s">
        <v>486</v>
      </c>
      <c r="D286" s="1097"/>
      <c r="E286" s="1097"/>
      <c r="F286" s="1097"/>
      <c r="G286" s="1111" t="s">
        <v>2390</v>
      </c>
      <c r="H286" s="1078" t="str">
        <f>IF(I286=0,"",(INDEX([1]!AccountCodes[ACCOUNT NAME],MATCH(I286,[1]!AccountCodes[NGAS CODE],0))))</f>
        <v>Accumulated Depreciation-Water Supply Systems</v>
      </c>
      <c r="I286" s="1110" t="s">
        <v>1261</v>
      </c>
      <c r="J286" s="1064"/>
      <c r="K286" s="1064">
        <v>114222.24</v>
      </c>
      <c r="L286" s="1075">
        <f t="shared" si="6"/>
        <v>0</v>
      </c>
    </row>
    <row r="287" spans="1:12" s="192" customFormat="1" ht="26.1" customHeight="1">
      <c r="A287" s="1070">
        <v>45169</v>
      </c>
      <c r="B287" s="1071" t="s">
        <v>2391</v>
      </c>
      <c r="C287" s="1097" t="s">
        <v>762</v>
      </c>
      <c r="D287" s="1097"/>
      <c r="E287" s="1097"/>
      <c r="F287" s="1097"/>
      <c r="G287" s="143" t="s">
        <v>2392</v>
      </c>
      <c r="H287" s="1078" t="str">
        <f>IF(I287=0,"",(INDEX([1]!AccountCodes[ACCOUNT NAME],MATCH(I287,[1]!AccountCodes[NGAS CODE],0))))</f>
        <v>Depreciation-Machinery and Equipment - Office Equipment</v>
      </c>
      <c r="I287" s="1082" t="s">
        <v>278</v>
      </c>
      <c r="J287" s="1077">
        <v>5358.64</v>
      </c>
      <c r="K287" s="1077"/>
      <c r="L287" s="1075">
        <f t="shared" si="6"/>
        <v>5358.64</v>
      </c>
    </row>
    <row r="288" spans="1:12" s="192" customFormat="1" ht="26.1" customHeight="1">
      <c r="A288" s="1070">
        <v>45169</v>
      </c>
      <c r="B288" s="1071" t="s">
        <v>2391</v>
      </c>
      <c r="C288" s="1097" t="s">
        <v>762</v>
      </c>
      <c r="D288" s="1097"/>
      <c r="E288" s="1097"/>
      <c r="F288" s="1097"/>
      <c r="G288" s="143" t="s">
        <v>2392</v>
      </c>
      <c r="H288" s="1078" t="str">
        <f>IF(I288=0,"",(INDEX([1]!AccountCodes[ACCOUNT NAME],MATCH(I288,[1]!AccountCodes[NGAS CODE],0))))</f>
        <v>Depreciation-Machinery and Equipment - ICT Equipment</v>
      </c>
      <c r="I288" s="1114" t="s">
        <v>280</v>
      </c>
      <c r="J288" s="1115">
        <v>9403.61</v>
      </c>
      <c r="K288" s="1115"/>
      <c r="L288" s="1075">
        <f t="shared" si="6"/>
        <v>14762.25</v>
      </c>
    </row>
    <row r="289" spans="1:12" s="192" customFormat="1" ht="26.1" customHeight="1">
      <c r="A289" s="1070">
        <v>45169</v>
      </c>
      <c r="B289" s="1071" t="s">
        <v>2391</v>
      </c>
      <c r="C289" s="1097" t="s">
        <v>762</v>
      </c>
      <c r="D289" s="1097"/>
      <c r="E289" s="1097"/>
      <c r="F289" s="1097"/>
      <c r="G289" s="143" t="s">
        <v>2392</v>
      </c>
      <c r="H289" s="1078" t="str">
        <f>IF(I289=0,"",(INDEX([1]!AccountCodes[ACCOUNT NAME],MATCH(I289,[1]!AccountCodes[NGAS CODE],0))))</f>
        <v>Accumulated Depreciation-Office Equipment</v>
      </c>
      <c r="I289" s="1114" t="s">
        <v>88</v>
      </c>
      <c r="J289" s="1115"/>
      <c r="K289" s="1077">
        <v>5358.64</v>
      </c>
      <c r="L289" s="1075">
        <f t="shared" si="6"/>
        <v>9403.61</v>
      </c>
    </row>
    <row r="290" spans="1:12" s="192" customFormat="1" ht="26.1" customHeight="1">
      <c r="A290" s="1070">
        <v>45169</v>
      </c>
      <c r="B290" s="1071" t="s">
        <v>2391</v>
      </c>
      <c r="C290" s="1097" t="s">
        <v>762</v>
      </c>
      <c r="D290" s="1097"/>
      <c r="E290" s="1097"/>
      <c r="F290" s="1097"/>
      <c r="G290" s="143" t="s">
        <v>2392</v>
      </c>
      <c r="H290" s="1078" t="str">
        <f>IF(I290=0,"",(INDEX([1]!AccountCodes[ACCOUNT NAME],MATCH(I290,[1]!AccountCodes[NGAS CODE],0))))</f>
        <v>Accumulated Depreciation-Information and Communications Technology Equipment</v>
      </c>
      <c r="I290" s="1114" t="s">
        <v>90</v>
      </c>
      <c r="J290" s="1115"/>
      <c r="K290" s="1115">
        <v>9403.61</v>
      </c>
      <c r="L290" s="1075">
        <f t="shared" si="6"/>
        <v>0</v>
      </c>
    </row>
    <row r="291" spans="1:12" s="192" customFormat="1" ht="20.100000000000001" customHeight="1">
      <c r="A291" s="1070">
        <v>45169</v>
      </c>
      <c r="B291" s="1071" t="s">
        <v>2393</v>
      </c>
      <c r="C291" s="1097" t="s">
        <v>762</v>
      </c>
      <c r="D291" s="1097"/>
      <c r="E291" s="1097"/>
      <c r="F291" s="1097"/>
      <c r="G291" s="1101" t="s">
        <v>2394</v>
      </c>
      <c r="H291" s="1078" t="str">
        <f>IF(I291=0,"",(INDEX([1]!AccountCodes[ACCOUNT NAME],MATCH(I291,[1]!AccountCodes[NGAS CODE],0))))</f>
        <v>Depreciation-Infrastructure Assets - Other Infrastructure Assets (Irrigation Canals &amp; Laterals)</v>
      </c>
      <c r="I291" s="1116" t="s">
        <v>1452</v>
      </c>
      <c r="J291" s="1080">
        <v>331469.07</v>
      </c>
      <c r="K291" s="1080"/>
      <c r="L291" s="1075">
        <f t="shared" si="6"/>
        <v>331469.07</v>
      </c>
    </row>
    <row r="292" spans="1:12" s="192" customFormat="1" ht="20.100000000000001" customHeight="1">
      <c r="A292" s="1070">
        <v>45169</v>
      </c>
      <c r="B292" s="1071" t="s">
        <v>2393</v>
      </c>
      <c r="C292" s="1097" t="s">
        <v>762</v>
      </c>
      <c r="D292" s="1097"/>
      <c r="E292" s="1097"/>
      <c r="F292" s="1097"/>
      <c r="G292" s="1101" t="s">
        <v>2394</v>
      </c>
      <c r="H292" s="1117" t="str">
        <f>IF(I292=0,"",(INDEX([1]!AccountCodes[ACCOUNT NAME],MATCH(I292,[1]!AccountCodes[NGAS CODE],0))))</f>
        <v>Accumulated Depreciation-Water Supply Systems</v>
      </c>
      <c r="I292" s="1118" t="s">
        <v>1261</v>
      </c>
      <c r="J292" s="1077"/>
      <c r="K292" s="1077">
        <v>331469.07</v>
      </c>
      <c r="L292" s="1119">
        <f>L291+J292-K292</f>
        <v>0</v>
      </c>
    </row>
    <row r="293" spans="1:12" s="192" customFormat="1" ht="25.5">
      <c r="A293" s="1070">
        <v>45169</v>
      </c>
      <c r="B293" s="1071" t="s">
        <v>2395</v>
      </c>
      <c r="C293" s="1097" t="s">
        <v>762</v>
      </c>
      <c r="D293" s="1097"/>
      <c r="E293" s="1097"/>
      <c r="F293" s="1097"/>
      <c r="G293" s="1048" t="s">
        <v>2396</v>
      </c>
      <c r="H293" s="1078" t="str">
        <f>IF(I293=0,"",(INDEX([1]!AccountCodes[ACCOUNT NAME],MATCH(I293,[1]!AccountCodes[NGAS CODE],0))))</f>
        <v>Office Supplies Expenses</v>
      </c>
      <c r="I293" s="1120" t="s">
        <v>225</v>
      </c>
      <c r="J293" s="1121">
        <v>4290.57</v>
      </c>
      <c r="K293" s="1122"/>
      <c r="L293" s="1075">
        <f>L292+J293-K293</f>
        <v>4290.57</v>
      </c>
    </row>
    <row r="294" spans="1:12" s="192" customFormat="1" ht="25.5">
      <c r="A294" s="1070">
        <v>45169</v>
      </c>
      <c r="B294" s="1071" t="s">
        <v>2395</v>
      </c>
      <c r="C294" s="1097" t="s">
        <v>762</v>
      </c>
      <c r="D294" s="1097"/>
      <c r="E294" s="1097"/>
      <c r="F294" s="1097"/>
      <c r="G294" s="1048" t="s">
        <v>2396</v>
      </c>
      <c r="H294" s="1078" t="str">
        <f>IF(I294=0,"",(INDEX([1]!AccountCodes[ACCOUNT NAME],MATCH(I294,[1]!AccountCodes[NGAS CODE],0))))</f>
        <v>Office Supplies Inventory</v>
      </c>
      <c r="I294" s="1123" t="s">
        <v>30</v>
      </c>
      <c r="J294" s="1124"/>
      <c r="K294" s="1125">
        <v>4290.57</v>
      </c>
      <c r="L294" s="1075">
        <f t="shared" ref="L294:L300" si="7">L293+J294-K294</f>
        <v>0</v>
      </c>
    </row>
    <row r="295" spans="1:12" s="192" customFormat="1" ht="25.5">
      <c r="A295" s="1070">
        <v>45169</v>
      </c>
      <c r="B295" s="1071" t="s">
        <v>2397</v>
      </c>
      <c r="C295" s="1097" t="s">
        <v>494</v>
      </c>
      <c r="D295" s="1097"/>
      <c r="E295" s="1097"/>
      <c r="F295" s="1097"/>
      <c r="G295" s="143" t="s">
        <v>2398</v>
      </c>
      <c r="H295" s="1078" t="str">
        <f>IF(I295=0,"",(INDEX([1]!AccountCodes[ACCOUNT NAME],MATCH(I295,[1]!AccountCodes[NGAS CODE],0))))</f>
        <v>Office Supplies Expenses</v>
      </c>
      <c r="I295" s="1084" t="s">
        <v>225</v>
      </c>
      <c r="J295" s="1085">
        <v>11718.58</v>
      </c>
      <c r="K295" s="1085"/>
      <c r="L295" s="1075">
        <f t="shared" si="7"/>
        <v>11718.58</v>
      </c>
    </row>
    <row r="296" spans="1:12" s="192" customFormat="1" ht="25.5">
      <c r="A296" s="1070">
        <v>45169</v>
      </c>
      <c r="B296" s="1071" t="s">
        <v>2397</v>
      </c>
      <c r="C296" s="1097" t="s">
        <v>494</v>
      </c>
      <c r="D296" s="1097"/>
      <c r="E296" s="1097"/>
      <c r="F296" s="1097"/>
      <c r="G296" s="143" t="s">
        <v>2398</v>
      </c>
      <c r="H296" s="1078" t="str">
        <f>IF(I296=0,"",(INDEX([1]!AccountCodes[ACCOUNT NAME],MATCH(I296,[1]!AccountCodes[NGAS CODE],0))))</f>
        <v>Other Supplies and Materials Expenses</v>
      </c>
      <c r="I296" s="1084" t="s">
        <v>231</v>
      </c>
      <c r="J296" s="1085">
        <v>200</v>
      </c>
      <c r="K296" s="1085"/>
      <c r="L296" s="1075">
        <f t="shared" si="7"/>
        <v>11918.58</v>
      </c>
    </row>
    <row r="297" spans="1:12" s="192" customFormat="1" ht="25.5">
      <c r="A297" s="1070">
        <v>45169</v>
      </c>
      <c r="B297" s="1071" t="s">
        <v>2397</v>
      </c>
      <c r="C297" s="1097" t="s">
        <v>494</v>
      </c>
      <c r="D297" s="1097"/>
      <c r="E297" s="1097"/>
      <c r="F297" s="1097"/>
      <c r="G297" s="143" t="s">
        <v>2398</v>
      </c>
      <c r="H297" s="1078" t="str">
        <f>IF(I297=0,"",(INDEX([1]!AccountCodes[ACCOUNT NAME],MATCH(I297,[1]!AccountCodes[NGAS CODE],0))))</f>
        <v>Office Supplies Inventory</v>
      </c>
      <c r="I297" s="1084" t="s">
        <v>30</v>
      </c>
      <c r="J297" s="1085"/>
      <c r="K297" s="1085">
        <v>11718.58</v>
      </c>
      <c r="L297" s="1075">
        <f t="shared" si="7"/>
        <v>200</v>
      </c>
    </row>
    <row r="298" spans="1:12" s="192" customFormat="1" ht="25.5">
      <c r="A298" s="1070">
        <v>45169</v>
      </c>
      <c r="B298" s="1071" t="s">
        <v>2397</v>
      </c>
      <c r="C298" s="1097" t="s">
        <v>494</v>
      </c>
      <c r="D298" s="1097"/>
      <c r="E298" s="1097"/>
      <c r="F298" s="1097"/>
      <c r="G298" s="143" t="s">
        <v>2398</v>
      </c>
      <c r="H298" s="1078" t="str">
        <f>IF(I298=0,"",(INDEX([1]!AccountCodes[ACCOUNT NAME],MATCH(I298,[1]!AccountCodes[NGAS CODE],0))))</f>
        <v>Other Supplies and Materials Inventory</v>
      </c>
      <c r="I298" s="1084" t="s">
        <v>32</v>
      </c>
      <c r="J298" s="1085"/>
      <c r="K298" s="1085">
        <v>200</v>
      </c>
      <c r="L298" s="1075">
        <f t="shared" si="7"/>
        <v>0</v>
      </c>
    </row>
    <row r="299" spans="1:12" s="192" customFormat="1" ht="20.100000000000001" customHeight="1">
      <c r="A299" s="1070">
        <v>45169</v>
      </c>
      <c r="B299" s="1071" t="s">
        <v>2399</v>
      </c>
      <c r="C299" s="1097" t="s">
        <v>485</v>
      </c>
      <c r="D299" s="1097"/>
      <c r="E299" s="1097"/>
      <c r="F299" s="1097"/>
      <c r="G299" s="143" t="s">
        <v>2400</v>
      </c>
      <c r="H299" s="1078" t="str">
        <f>IF(I299=0,"",(INDEX([1]!AccountCodes[ACCOUNT NAME],MATCH(I299,[1]!AccountCodes[NGAS CODE],0))))</f>
        <v>Office Supplies Expenses</v>
      </c>
      <c r="I299" s="1084" t="s">
        <v>225</v>
      </c>
      <c r="J299" s="1085">
        <v>84878.2</v>
      </c>
      <c r="K299" s="1085"/>
      <c r="L299" s="1075">
        <f t="shared" si="7"/>
        <v>84878.2</v>
      </c>
    </row>
    <row r="300" spans="1:12" s="192" customFormat="1" ht="20.100000000000001" customHeight="1">
      <c r="A300" s="1070">
        <v>45169</v>
      </c>
      <c r="B300" s="1071" t="s">
        <v>2399</v>
      </c>
      <c r="C300" s="1097" t="s">
        <v>485</v>
      </c>
      <c r="D300" s="1097"/>
      <c r="E300" s="1097"/>
      <c r="F300" s="1097"/>
      <c r="G300" s="143" t="s">
        <v>2400</v>
      </c>
      <c r="H300" s="1078" t="str">
        <f>IF(I300=0,"",(INDEX([1]!AccountCodes[ACCOUNT NAME],MATCH(I300,[1]!AccountCodes[NGAS CODE],0))))</f>
        <v>Office Supplies Inventory</v>
      </c>
      <c r="I300" s="1084" t="s">
        <v>30</v>
      </c>
      <c r="J300" s="1085"/>
      <c r="K300" s="1085">
        <v>84878.2</v>
      </c>
      <c r="L300" s="1075">
        <f t="shared" si="7"/>
        <v>0</v>
      </c>
    </row>
    <row r="301" spans="1:12" s="192" customFormat="1" ht="26.1" customHeight="1">
      <c r="A301" s="1070">
        <v>45169</v>
      </c>
      <c r="B301" s="1071" t="s">
        <v>2401</v>
      </c>
      <c r="C301" s="1097" t="s">
        <v>485</v>
      </c>
      <c r="D301" s="1097"/>
      <c r="E301" s="1097"/>
      <c r="F301" s="1097"/>
      <c r="G301" s="143" t="s">
        <v>2402</v>
      </c>
      <c r="H301" s="1078" t="str">
        <f>IF(I301=0,"",(INDEX([1]!AccountCodes[ACCOUNT NAME],MATCH(I301,[1]!AccountCodes[NGAS CODE],0))))</f>
        <v>Other Maintenance and Operating Expenses - Other Maintenance and Operating Expenses</v>
      </c>
      <c r="I301" s="1098" t="s">
        <v>405</v>
      </c>
      <c r="J301" s="1126">
        <v>33495</v>
      </c>
      <c r="K301" s="1126"/>
      <c r="L301" s="1075">
        <f>L300+J301-K301</f>
        <v>33495</v>
      </c>
    </row>
    <row r="302" spans="1:12" s="192" customFormat="1" ht="26.1" customHeight="1">
      <c r="A302" s="1070">
        <v>45169</v>
      </c>
      <c r="B302" s="1071" t="s">
        <v>2401</v>
      </c>
      <c r="C302" s="1097" t="s">
        <v>485</v>
      </c>
      <c r="D302" s="1097"/>
      <c r="E302" s="1097"/>
      <c r="F302" s="1097"/>
      <c r="G302" s="143" t="s">
        <v>2402</v>
      </c>
      <c r="H302" s="1078" t="str">
        <f>IF(I302=0,"",(INDEX([1]!AccountCodes[ACCOUNT NAME],MATCH(I302,[1]!AccountCodes[NGAS CODE],0))))</f>
        <v>Fuel, Oil and Lubricants Expenses</v>
      </c>
      <c r="I302" s="1098" t="s">
        <v>229</v>
      </c>
      <c r="J302" s="1126">
        <v>10551.85</v>
      </c>
      <c r="K302" s="1126"/>
      <c r="L302" s="1075">
        <f>L301+J302-K302</f>
        <v>44046.85</v>
      </c>
    </row>
    <row r="303" spans="1:12" s="192" customFormat="1" ht="26.1" customHeight="1">
      <c r="A303" s="1070">
        <v>45169</v>
      </c>
      <c r="B303" s="1071" t="s">
        <v>2401</v>
      </c>
      <c r="C303" s="1097" t="s">
        <v>485</v>
      </c>
      <c r="D303" s="1097"/>
      <c r="E303" s="1097"/>
      <c r="F303" s="1097"/>
      <c r="G303" s="143" t="s">
        <v>2402</v>
      </c>
      <c r="H303" s="1078" t="str">
        <f>IF(I303=0,"",(INDEX([1]!AccountCodes[ACCOUNT NAME],MATCH(I303,[1]!AccountCodes[NGAS CODE],0))))</f>
        <v>Other Supplies and Materials Inventory</v>
      </c>
      <c r="I303" s="1084" t="s">
        <v>32</v>
      </c>
      <c r="J303" s="1085"/>
      <c r="K303" s="1085">
        <v>44046.85</v>
      </c>
      <c r="L303" s="1075">
        <f t="shared" ref="L303:L344" si="8">L302+J303-K303</f>
        <v>0</v>
      </c>
    </row>
    <row r="304" spans="1:12" s="192" customFormat="1" ht="40.5" customHeight="1">
      <c r="A304" s="1070">
        <v>45199</v>
      </c>
      <c r="B304" s="1071" t="s">
        <v>2403</v>
      </c>
      <c r="C304" s="1097" t="s">
        <v>494</v>
      </c>
      <c r="D304" s="1097"/>
      <c r="E304" s="1097"/>
      <c r="F304" s="1097"/>
      <c r="G304" s="143" t="s">
        <v>2404</v>
      </c>
      <c r="H304" s="1078" t="str">
        <f>IF(I304=0,"",(INDEX([1]!AccountCodes[ACCOUNT NAME],MATCH(I304,[1]!AccountCodes[NGAS CODE],0))))</f>
        <v>Traveling Expenses-Local</v>
      </c>
      <c r="I304" s="1084" t="s">
        <v>223</v>
      </c>
      <c r="J304" s="1085">
        <v>43170</v>
      </c>
      <c r="K304" s="1085"/>
      <c r="L304" s="1075">
        <f t="shared" si="8"/>
        <v>43170</v>
      </c>
    </row>
    <row r="305" spans="1:12" s="192" customFormat="1" ht="44.25" customHeight="1">
      <c r="A305" s="1070">
        <v>45199</v>
      </c>
      <c r="B305" s="1071" t="s">
        <v>2403</v>
      </c>
      <c r="C305" s="1097" t="s">
        <v>494</v>
      </c>
      <c r="D305" s="1097"/>
      <c r="E305" s="1097"/>
      <c r="F305" s="1097"/>
      <c r="G305" s="143" t="s">
        <v>2405</v>
      </c>
      <c r="H305" s="1078" t="str">
        <f>IF(I305=0,"",(INDEX([1]!AccountCodes[ACCOUNT NAME],MATCH(I305,[1]!AccountCodes[NGAS CODE],0))))</f>
        <v>Training Expenses</v>
      </c>
      <c r="I305" s="1100" t="s">
        <v>224</v>
      </c>
      <c r="J305" s="1085">
        <v>24000</v>
      </c>
      <c r="K305" s="1085"/>
      <c r="L305" s="1075">
        <f t="shared" si="8"/>
        <v>67170</v>
      </c>
    </row>
    <row r="306" spans="1:12" s="192" customFormat="1" ht="51.75" customHeight="1">
      <c r="A306" s="1070">
        <v>45199</v>
      </c>
      <c r="B306" s="1071" t="s">
        <v>2403</v>
      </c>
      <c r="C306" s="1097" t="s">
        <v>494</v>
      </c>
      <c r="D306" s="1097"/>
      <c r="E306" s="1097"/>
      <c r="F306" s="1097"/>
      <c r="G306" s="143" t="s">
        <v>2405</v>
      </c>
      <c r="H306" s="1078" t="str">
        <f>IF(I306=0,"",(INDEX([1]!AccountCodes[ACCOUNT NAME],MATCH(I306,[1]!AccountCodes[NGAS CODE],0))))</f>
        <v>Advances to Officers and Employees</v>
      </c>
      <c r="I306" s="1100" t="s">
        <v>27</v>
      </c>
      <c r="J306" s="1085"/>
      <c r="K306" s="1085">
        <v>67170</v>
      </c>
      <c r="L306" s="1075">
        <f t="shared" si="8"/>
        <v>0</v>
      </c>
    </row>
    <row r="307" spans="1:12" s="192" customFormat="1" ht="73.5" customHeight="1">
      <c r="A307" s="1070">
        <v>45199</v>
      </c>
      <c r="B307" s="1071" t="s">
        <v>2406</v>
      </c>
      <c r="C307" s="1097" t="s">
        <v>494</v>
      </c>
      <c r="D307" s="1097"/>
      <c r="E307" s="1097"/>
      <c r="F307" s="1097"/>
      <c r="G307" s="1048" t="s">
        <v>2407</v>
      </c>
      <c r="H307" s="1078" t="str">
        <f>IF(I307=0,"",(INDEX([1]!AccountCodes[ACCOUNT NAME],MATCH(I307,[1]!AccountCodes[NGAS CODE],0))))</f>
        <v>Cash in Bank-Local Currency, Current Account - RO</v>
      </c>
      <c r="I307" s="1103" t="s">
        <v>1556</v>
      </c>
      <c r="J307" s="1085">
        <v>3488327.72</v>
      </c>
      <c r="K307" s="1085"/>
      <c r="L307" s="1075">
        <f t="shared" si="8"/>
        <v>3488327.72</v>
      </c>
    </row>
    <row r="308" spans="1:12" s="192" customFormat="1" ht="74.25" customHeight="1">
      <c r="A308" s="1070">
        <v>45199</v>
      </c>
      <c r="B308" s="1071" t="s">
        <v>2406</v>
      </c>
      <c r="C308" s="1097" t="s">
        <v>494</v>
      </c>
      <c r="D308" s="1097"/>
      <c r="E308" s="1097"/>
      <c r="F308" s="1097"/>
      <c r="G308" s="1048" t="s">
        <v>2407</v>
      </c>
      <c r="H308" s="1078" t="str">
        <f>IF(I308=0,"",(INDEX([1]!AccountCodes[ACCOUNT NAME],MATCH(I308,[1]!AccountCodes[NGAS CODE],0))))</f>
        <v>Subsidy from Central Office</v>
      </c>
      <c r="I308" s="1076" t="s">
        <v>152</v>
      </c>
      <c r="J308" s="1085"/>
      <c r="K308" s="1085">
        <v>3488327.72</v>
      </c>
      <c r="L308" s="1075">
        <f t="shared" si="8"/>
        <v>0</v>
      </c>
    </row>
    <row r="309" spans="1:12" s="192" customFormat="1" ht="24.95" customHeight="1">
      <c r="A309" s="1070">
        <v>45199</v>
      </c>
      <c r="B309" s="1071" t="s">
        <v>2408</v>
      </c>
      <c r="C309" s="1097" t="s">
        <v>494</v>
      </c>
      <c r="D309" s="1097"/>
      <c r="E309" s="1097"/>
      <c r="F309" s="1097"/>
      <c r="G309" s="1048" t="s">
        <v>2409</v>
      </c>
      <c r="H309" s="1078" t="str">
        <f>IF(I309=0,"",(INDEX([1]!AccountCodes[ACCOUNT NAME],MATCH(I309,[1]!AccountCodes[NGAS CODE],0))))</f>
        <v>Cash in Bank-Local Currency, Current Account - RO</v>
      </c>
      <c r="I309" s="1073" t="s">
        <v>1556</v>
      </c>
      <c r="J309" s="1074">
        <v>120.02</v>
      </c>
      <c r="K309" s="1085"/>
      <c r="L309" s="1075">
        <f t="shared" si="8"/>
        <v>120.02</v>
      </c>
    </row>
    <row r="310" spans="1:12" s="192" customFormat="1" ht="24.95" customHeight="1">
      <c r="A310" s="1070">
        <v>45199</v>
      </c>
      <c r="B310" s="1071" t="s">
        <v>2408</v>
      </c>
      <c r="C310" s="1097" t="s">
        <v>494</v>
      </c>
      <c r="D310" s="1097"/>
      <c r="E310" s="1097"/>
      <c r="F310" s="1097"/>
      <c r="G310" s="1048" t="s">
        <v>2409</v>
      </c>
      <c r="H310" s="1078" t="str">
        <f>IF(I310=0,"",(INDEX([1]!AccountCodes[ACCOUNT NAME],MATCH(I310,[1]!AccountCodes[NGAS CODE],0))))</f>
        <v>Due to the Treasurer of the Philippines</v>
      </c>
      <c r="I310" s="1073" t="s">
        <v>1496</v>
      </c>
      <c r="J310" s="1074"/>
      <c r="K310" s="1085">
        <v>120.02</v>
      </c>
      <c r="L310" s="1075">
        <f t="shared" si="8"/>
        <v>0</v>
      </c>
    </row>
    <row r="311" spans="1:12" s="192" customFormat="1" ht="24.95" customHeight="1">
      <c r="A311" s="1070">
        <v>45199</v>
      </c>
      <c r="B311" s="1071" t="s">
        <v>2410</v>
      </c>
      <c r="C311" s="1097" t="s">
        <v>494</v>
      </c>
      <c r="D311" s="1097"/>
      <c r="E311" s="1097"/>
      <c r="F311" s="1097"/>
      <c r="G311" s="1048" t="s">
        <v>2411</v>
      </c>
      <c r="H311" s="1078" t="str">
        <f>IF(I311=0,"",(INDEX([1]!AccountCodes[ACCOUNT NAME],MATCH(I311,[1]!AccountCodes[NGAS CODE],0))))</f>
        <v>Depreciation-Machinery and Equipment - ICT Equipment</v>
      </c>
      <c r="I311" s="1079" t="s">
        <v>280</v>
      </c>
      <c r="J311" s="1080">
        <v>2998.83</v>
      </c>
      <c r="K311" s="1080"/>
      <c r="L311" s="1075">
        <f t="shared" si="8"/>
        <v>2998.83</v>
      </c>
    </row>
    <row r="312" spans="1:12" s="192" customFormat="1" ht="24.95" customHeight="1">
      <c r="A312" s="1070">
        <v>45199</v>
      </c>
      <c r="B312" s="1071" t="s">
        <v>2410</v>
      </c>
      <c r="C312" s="1097" t="s">
        <v>494</v>
      </c>
      <c r="D312" s="1097"/>
      <c r="E312" s="1097"/>
      <c r="F312" s="1097"/>
      <c r="G312" s="1048" t="s">
        <v>2411</v>
      </c>
      <c r="H312" s="1078" t="str">
        <f>IF(I312=0,"",(INDEX([1]!AccountCodes[ACCOUNT NAME],MATCH(I312,[1]!AccountCodes[NGAS CODE],0))))</f>
        <v>Accumulated Depreciation-Information and Communications Technology Equipment</v>
      </c>
      <c r="I312" s="1081" t="s">
        <v>90</v>
      </c>
      <c r="J312" s="1080"/>
      <c r="K312" s="1080">
        <v>2998.83</v>
      </c>
      <c r="L312" s="1075">
        <f t="shared" si="8"/>
        <v>0</v>
      </c>
    </row>
    <row r="313" spans="1:12" s="192" customFormat="1" ht="30" customHeight="1">
      <c r="A313" s="1070">
        <v>45199</v>
      </c>
      <c r="B313" s="1071" t="s">
        <v>2412</v>
      </c>
      <c r="C313" s="1097" t="s">
        <v>484</v>
      </c>
      <c r="D313" s="1097"/>
      <c r="E313" s="1097"/>
      <c r="F313" s="1097"/>
      <c r="G313" s="143" t="s">
        <v>2413</v>
      </c>
      <c r="H313" s="1078" t="str">
        <f>IF(I313=0,"",(INDEX([1]!AccountCodes[ACCOUNT NAME],MATCH(I313,[1]!AccountCodes[NGAS CODE],0))))</f>
        <v>Depreciation-Infrastructure Assets - Other Infrastructure Assets (Irrigation Canals &amp; Laterals)</v>
      </c>
      <c r="I313" s="185" t="s">
        <v>1452</v>
      </c>
      <c r="J313" s="497">
        <v>163633.84</v>
      </c>
      <c r="K313" s="497"/>
      <c r="L313" s="1075">
        <f t="shared" si="8"/>
        <v>163633.84</v>
      </c>
    </row>
    <row r="314" spans="1:12" s="192" customFormat="1" ht="30" customHeight="1">
      <c r="A314" s="1070">
        <v>45199</v>
      </c>
      <c r="B314" s="1071" t="s">
        <v>2412</v>
      </c>
      <c r="C314" s="1097" t="s">
        <v>484</v>
      </c>
      <c r="D314" s="1097"/>
      <c r="E314" s="1097"/>
      <c r="F314" s="1097"/>
      <c r="G314" s="143" t="s">
        <v>2413</v>
      </c>
      <c r="H314" s="1078" t="str">
        <f>IF(I314=0,"",(INDEX([1]!AccountCodes[ACCOUNT NAME],MATCH(I314,[1]!AccountCodes[NGAS CODE],0))))</f>
        <v>Accumulated Depreciation-Water Supply Systems</v>
      </c>
      <c r="I314" s="185" t="s">
        <v>1261</v>
      </c>
      <c r="J314" s="497"/>
      <c r="K314" s="497">
        <v>163633.84</v>
      </c>
      <c r="L314" s="1075">
        <f t="shared" si="8"/>
        <v>0</v>
      </c>
    </row>
    <row r="315" spans="1:12" s="192" customFormat="1" ht="30" customHeight="1">
      <c r="A315" s="1070">
        <v>45199</v>
      </c>
      <c r="B315" s="1071" t="s">
        <v>2414</v>
      </c>
      <c r="C315" s="1097" t="s">
        <v>484</v>
      </c>
      <c r="D315" s="1097"/>
      <c r="E315" s="1097"/>
      <c r="F315" s="1097"/>
      <c r="G315" s="143" t="s">
        <v>2415</v>
      </c>
      <c r="H315" s="1078" t="str">
        <f>IF(I315=0,"",(INDEX([1]!AccountCodes[ACCOUNT NAME],MATCH(I315,[1]!AccountCodes[NGAS CODE],0))))</f>
        <v>Depreciation-Machinery and Equipment - ICT Equipment</v>
      </c>
      <c r="I315" s="185" t="s">
        <v>280</v>
      </c>
      <c r="J315" s="497">
        <v>3482.39</v>
      </c>
      <c r="K315" s="497"/>
      <c r="L315" s="1075">
        <f t="shared" si="8"/>
        <v>3482.39</v>
      </c>
    </row>
    <row r="316" spans="1:12" s="192" customFormat="1" ht="49.5" customHeight="1">
      <c r="A316" s="1070">
        <v>45199</v>
      </c>
      <c r="B316" s="1071" t="s">
        <v>2414</v>
      </c>
      <c r="C316" s="1097" t="s">
        <v>484</v>
      </c>
      <c r="D316" s="1097"/>
      <c r="E316" s="1097"/>
      <c r="F316" s="1097"/>
      <c r="G316" s="143" t="s">
        <v>2415</v>
      </c>
      <c r="H316" s="1078" t="str">
        <f>IF(I316=0,"",(INDEX([1]!AccountCodes[ACCOUNT NAME],MATCH(I316,[1]!AccountCodes[NGAS CODE],0))))</f>
        <v>Accumulated Depreciation-Information and Communications Technology Equipment</v>
      </c>
      <c r="I316" s="185" t="s">
        <v>90</v>
      </c>
      <c r="J316" s="497"/>
      <c r="K316" s="497">
        <v>3482.39</v>
      </c>
      <c r="L316" s="1075">
        <f t="shared" si="8"/>
        <v>0</v>
      </c>
    </row>
    <row r="317" spans="1:12" s="192" customFormat="1" ht="30" customHeight="1">
      <c r="A317" s="1070">
        <v>45199</v>
      </c>
      <c r="B317" s="1071" t="s">
        <v>2416</v>
      </c>
      <c r="C317" s="1097" t="s">
        <v>485</v>
      </c>
      <c r="D317" s="1097"/>
      <c r="E317" s="1097"/>
      <c r="F317" s="1097"/>
      <c r="G317" s="143" t="s">
        <v>2417</v>
      </c>
      <c r="H317" s="1078" t="str">
        <f>IF(I317=0,"",(INDEX([1]!AccountCodes[ACCOUNT NAME],MATCH(I317,[1]!AccountCodes[NGAS CODE],0))))</f>
        <v>Depreciation-Machinery and Equipment - Office Equipment</v>
      </c>
      <c r="I317" s="943" t="s">
        <v>278</v>
      </c>
      <c r="J317" s="1068">
        <v>1487.54</v>
      </c>
      <c r="K317" s="497"/>
      <c r="L317" s="1075">
        <f t="shared" si="8"/>
        <v>1487.54</v>
      </c>
    </row>
    <row r="318" spans="1:12" s="192" customFormat="1" ht="30" customHeight="1">
      <c r="A318" s="1070">
        <v>45199</v>
      </c>
      <c r="B318" s="1071" t="s">
        <v>2416</v>
      </c>
      <c r="C318" s="1040" t="s">
        <v>485</v>
      </c>
      <c r="D318" s="1097"/>
      <c r="E318" s="1097"/>
      <c r="F318" s="1097"/>
      <c r="G318" s="143" t="s">
        <v>2417</v>
      </c>
      <c r="H318" s="1078" t="str">
        <f>IF(I318=0,"",(INDEX([1]!AccountCodes[ACCOUNT NAME],MATCH(I318,[1]!AccountCodes[NGAS CODE],0))))</f>
        <v>Accumulated Depreciation-Office Equipment</v>
      </c>
      <c r="I318" s="943" t="s">
        <v>88</v>
      </c>
      <c r="J318" s="1068"/>
      <c r="K318" s="497">
        <v>1487.54</v>
      </c>
      <c r="L318" s="1075">
        <f t="shared" si="8"/>
        <v>0</v>
      </c>
    </row>
    <row r="319" spans="1:12" s="192" customFormat="1" ht="30" customHeight="1">
      <c r="A319" s="1070">
        <v>45199</v>
      </c>
      <c r="B319" s="1071" t="s">
        <v>2418</v>
      </c>
      <c r="C319" s="1097" t="s">
        <v>485</v>
      </c>
      <c r="D319" s="1097"/>
      <c r="E319" s="1097"/>
      <c r="F319" s="1097"/>
      <c r="G319" s="143" t="s">
        <v>2419</v>
      </c>
      <c r="H319" s="1078" t="str">
        <f>IF(I319=0,"",(INDEX([1]!AccountCodes[ACCOUNT NAME],MATCH(I319,[1]!AccountCodes[NGAS CODE],0))))</f>
        <v>Depreciation-Machinery and Equipment - ICT Equipment</v>
      </c>
      <c r="I319" s="943" t="s">
        <v>280</v>
      </c>
      <c r="J319" s="1068">
        <v>11770.52</v>
      </c>
      <c r="K319" s="497"/>
      <c r="L319" s="1075">
        <f t="shared" si="8"/>
        <v>11770.52</v>
      </c>
    </row>
    <row r="320" spans="1:12" s="192" customFormat="1" ht="30" customHeight="1">
      <c r="A320" s="1070">
        <v>45199</v>
      </c>
      <c r="B320" s="1071" t="s">
        <v>2418</v>
      </c>
      <c r="C320" s="1040" t="s">
        <v>485</v>
      </c>
      <c r="D320" s="1097"/>
      <c r="E320" s="1097"/>
      <c r="F320" s="1097"/>
      <c r="G320" s="143" t="s">
        <v>2419</v>
      </c>
      <c r="H320" s="1078" t="str">
        <f>IF(I320=0,"",(INDEX([1]!AccountCodes[ACCOUNT NAME],MATCH(I320,[1]!AccountCodes[NGAS CODE],0))))</f>
        <v>Accumulated Depreciation-Information and Communications Technology Equipment</v>
      </c>
      <c r="I320" s="943" t="s">
        <v>90</v>
      </c>
      <c r="J320" s="1068"/>
      <c r="K320" s="497">
        <v>11770.52</v>
      </c>
      <c r="L320" s="1075">
        <f t="shared" si="8"/>
        <v>0</v>
      </c>
    </row>
    <row r="321" spans="1:12" s="192" customFormat="1" ht="24.95" customHeight="1">
      <c r="A321" s="1070">
        <v>45199</v>
      </c>
      <c r="B321" s="1071" t="s">
        <v>2420</v>
      </c>
      <c r="C321" s="1097" t="s">
        <v>485</v>
      </c>
      <c r="D321" s="1097"/>
      <c r="E321" s="1097"/>
      <c r="F321" s="1097"/>
      <c r="G321" s="143" t="s">
        <v>2421</v>
      </c>
      <c r="H321" s="1078" t="str">
        <f>IF(I321=0,"",(INDEX([1]!AccountCodes[ACCOUNT NAME],MATCH(I321,[1]!AccountCodes[NGAS CODE],0))))</f>
        <v>Depreciation-Infrastructure Assets - Other Infrastructure Assets (Irrigation Canals &amp; Laterals)</v>
      </c>
      <c r="I321" s="1127" t="s">
        <v>1452</v>
      </c>
      <c r="J321" s="1128">
        <v>198470.26</v>
      </c>
      <c r="K321" s="1129"/>
      <c r="L321" s="1075">
        <f t="shared" si="8"/>
        <v>198470.26</v>
      </c>
    </row>
    <row r="322" spans="1:12" s="192" customFormat="1" ht="24.95" customHeight="1">
      <c r="A322" s="1070">
        <v>45199</v>
      </c>
      <c r="B322" s="1071" t="s">
        <v>2420</v>
      </c>
      <c r="C322" s="1040" t="s">
        <v>485</v>
      </c>
      <c r="D322" s="1097"/>
      <c r="E322" s="1097"/>
      <c r="F322" s="1097"/>
      <c r="G322" s="143" t="s">
        <v>2421</v>
      </c>
      <c r="H322" s="1078" t="str">
        <f>IF(I322=0,"",(INDEX([1]!AccountCodes[ACCOUNT NAME],MATCH(I322,[1]!AccountCodes[NGAS CODE],0))))</f>
        <v>Accumulated Depreciation-Water Supply Systems</v>
      </c>
      <c r="I322" s="1127" t="s">
        <v>1261</v>
      </c>
      <c r="J322" s="1128"/>
      <c r="K322" s="1128">
        <v>198470.26</v>
      </c>
      <c r="L322" s="1075">
        <f t="shared" si="8"/>
        <v>0</v>
      </c>
    </row>
    <row r="323" spans="1:12" s="192" customFormat="1" ht="24.95" customHeight="1">
      <c r="A323" s="1070">
        <v>45199</v>
      </c>
      <c r="B323" s="1071" t="s">
        <v>2422</v>
      </c>
      <c r="C323" s="1097" t="s">
        <v>485</v>
      </c>
      <c r="D323" s="1097"/>
      <c r="E323" s="1097"/>
      <c r="F323" s="1097"/>
      <c r="G323" s="143" t="s">
        <v>2423</v>
      </c>
      <c r="H323" s="1078" t="str">
        <f>IF(I323=0,"",(INDEX([1]!AccountCodes[ACCOUNT NAME],MATCH(I323,[1]!AccountCodes[NGAS CODE],0))))</f>
        <v>Cash in Bank-Local Currency, Current Account - FO</v>
      </c>
      <c r="I323" s="1127" t="s">
        <v>1564</v>
      </c>
      <c r="J323" s="1128">
        <v>320.29000000000002</v>
      </c>
      <c r="K323" s="1129"/>
      <c r="L323" s="1075">
        <f t="shared" si="8"/>
        <v>320.29000000000002</v>
      </c>
    </row>
    <row r="324" spans="1:12" s="192" customFormat="1" ht="24.95" customHeight="1">
      <c r="A324" s="1070">
        <v>45199</v>
      </c>
      <c r="B324" s="1071" t="s">
        <v>2422</v>
      </c>
      <c r="C324" s="1040" t="s">
        <v>485</v>
      </c>
      <c r="D324" s="1097"/>
      <c r="E324" s="1097"/>
      <c r="F324" s="1097"/>
      <c r="G324" s="143" t="s">
        <v>2423</v>
      </c>
      <c r="H324" s="1078" t="str">
        <f>IF(I324=0,"",(INDEX([1]!AccountCodes[ACCOUNT NAME],MATCH(I324,[1]!AccountCodes[NGAS CODE],0))))</f>
        <v>Due to the Treasurer of the Philippines</v>
      </c>
      <c r="I324" s="1127" t="s">
        <v>1496</v>
      </c>
      <c r="J324" s="1128"/>
      <c r="K324" s="1128">
        <v>320.29000000000002</v>
      </c>
      <c r="L324" s="1075">
        <f>L323+J324-K324</f>
        <v>0</v>
      </c>
    </row>
    <row r="325" spans="1:12" s="192" customFormat="1" ht="30" customHeight="1">
      <c r="A325" s="1070">
        <v>45199</v>
      </c>
      <c r="B325" s="1071" t="s">
        <v>2424</v>
      </c>
      <c r="C325" s="1040" t="s">
        <v>486</v>
      </c>
      <c r="D325" s="1097"/>
      <c r="E325" s="1097"/>
      <c r="F325" s="1097"/>
      <c r="G325" s="143" t="s">
        <v>2425</v>
      </c>
      <c r="H325" s="1078" t="str">
        <f>IF(I325=0,"",(INDEX([1]!AccountCodes[ACCOUNT NAME],MATCH(I325,[1]!AccountCodes[NGAS CODE],0))))</f>
        <v>Depreciation-Machinery and Equipment - ICT Equipment</v>
      </c>
      <c r="I325" s="133" t="s">
        <v>280</v>
      </c>
      <c r="J325" s="1068">
        <v>4071.06</v>
      </c>
      <c r="K325" s="1068"/>
      <c r="L325" s="1075">
        <f t="shared" si="8"/>
        <v>4071.06</v>
      </c>
    </row>
    <row r="326" spans="1:12" ht="30" customHeight="1">
      <c r="A326" s="1070">
        <v>45199</v>
      </c>
      <c r="B326" s="1071" t="s">
        <v>2424</v>
      </c>
      <c r="C326" s="1097" t="s">
        <v>486</v>
      </c>
      <c r="D326" s="1097"/>
      <c r="E326" s="1097"/>
      <c r="F326" s="1097"/>
      <c r="G326" s="143" t="s">
        <v>2425</v>
      </c>
      <c r="H326" s="1078" t="str">
        <f>IF(I326=0,"",(INDEX([1]!AccountCodes[ACCOUNT NAME],MATCH(I326,[1]!AccountCodes[NGAS CODE],0))))</f>
        <v>Accumulated Depreciation-Information and Communications Technology Equipment</v>
      </c>
      <c r="I326" s="665" t="s">
        <v>90</v>
      </c>
      <c r="J326" s="1068"/>
      <c r="K326" s="1068">
        <v>4071.06</v>
      </c>
      <c r="L326" s="1075">
        <f>L325+[1]!GJ[[#This Row],[Debit]]-[1]!GJ[[#This Row],[Credit]]</f>
        <v>588.66999999999996</v>
      </c>
    </row>
    <row r="327" spans="1:12" ht="24.95" customHeight="1">
      <c r="A327" s="1070">
        <v>45199</v>
      </c>
      <c r="B327" s="1071" t="s">
        <v>2426</v>
      </c>
      <c r="C327" s="1097" t="s">
        <v>486</v>
      </c>
      <c r="D327" s="1097"/>
      <c r="E327" s="1097"/>
      <c r="F327" s="1097"/>
      <c r="G327" s="1037" t="s">
        <v>2427</v>
      </c>
      <c r="H327" s="1078" t="str">
        <f>IF(I327=0,"",(INDEX([1]!AccountCodes[ACCOUNT NAME],MATCH(I327,[1]!AccountCodes[NGAS CODE],0))))</f>
        <v>Depreciation-Infrastructure Assets - Other Infrastructure Assets (Irrigation Canals &amp; Laterals)</v>
      </c>
      <c r="I327" s="1054" t="s">
        <v>1452</v>
      </c>
      <c r="J327" s="509">
        <v>114222.24</v>
      </c>
      <c r="K327" s="509"/>
      <c r="L327" s="1075">
        <f t="shared" si="8"/>
        <v>114810.91</v>
      </c>
    </row>
    <row r="328" spans="1:12" ht="24.95" customHeight="1">
      <c r="A328" s="1070">
        <v>45199</v>
      </c>
      <c r="B328" s="1071" t="s">
        <v>2426</v>
      </c>
      <c r="C328" s="1097" t="s">
        <v>486</v>
      </c>
      <c r="D328" s="1097"/>
      <c r="E328" s="1097"/>
      <c r="F328" s="1097"/>
      <c r="G328" s="1037" t="s">
        <v>2427</v>
      </c>
      <c r="H328" s="1078" t="str">
        <f>IF(I328=0,"",(INDEX([1]!AccountCodes[ACCOUNT NAME],MATCH(I328,[1]!AccountCodes[NGAS CODE],0))))</f>
        <v>Accumulated Depreciation-Water Supply Systems</v>
      </c>
      <c r="I328" s="665" t="s">
        <v>1261</v>
      </c>
      <c r="J328" s="666"/>
      <c r="K328" s="1068">
        <v>114222.24</v>
      </c>
      <c r="L328" s="1075">
        <f>L327+[1]!GJ[[#This Row],[Debit]]-[1]!GJ[[#This Row],[Credit]]</f>
        <v>113323.37</v>
      </c>
    </row>
    <row r="329" spans="1:12" ht="24.95" customHeight="1">
      <c r="A329" s="1070">
        <v>45199</v>
      </c>
      <c r="B329" s="1071" t="s">
        <v>2428</v>
      </c>
      <c r="C329" s="1097" t="s">
        <v>486</v>
      </c>
      <c r="D329" s="1097"/>
      <c r="E329" s="1097"/>
      <c r="F329" s="1097"/>
      <c r="G329" s="143" t="s">
        <v>2429</v>
      </c>
      <c r="H329" s="1078" t="str">
        <f>IF(I329=0,"",(INDEX([1]!AccountCodes[ACCOUNT NAME],MATCH(I329,[1]!AccountCodes[NGAS CODE],0))))</f>
        <v>Cash in Bank-Local Currency, Current Account - FO</v>
      </c>
      <c r="I329" s="665" t="s">
        <v>1564</v>
      </c>
      <c r="J329" s="1068">
        <v>549.37</v>
      </c>
      <c r="K329" s="497"/>
      <c r="L329" s="1075">
        <f t="shared" si="8"/>
        <v>113872.74</v>
      </c>
    </row>
    <row r="330" spans="1:12" ht="24.95" customHeight="1">
      <c r="A330" s="1070">
        <v>45199</v>
      </c>
      <c r="B330" s="1071" t="s">
        <v>2428</v>
      </c>
      <c r="C330" s="1097" t="s">
        <v>486</v>
      </c>
      <c r="D330" s="1097"/>
      <c r="E330" s="1097"/>
      <c r="F330" s="1097"/>
      <c r="G330" s="143" t="s">
        <v>2429</v>
      </c>
      <c r="H330" s="1078" t="str">
        <f>IF(I330=0,"",(INDEX([1]!AccountCodes[ACCOUNT NAME],MATCH(I330,[1]!AccountCodes[NGAS CODE],0))))</f>
        <v>Due to the Treasurer of the Philippines</v>
      </c>
      <c r="I330" s="665" t="s">
        <v>1496</v>
      </c>
      <c r="J330" s="1068"/>
      <c r="K330" s="497">
        <v>549.37</v>
      </c>
      <c r="L330" s="1075">
        <f>L329+[1]!GJ[[#This Row],[Debit]]-[1]!GJ[[#This Row],[Credit]]</f>
        <v>102102.22</v>
      </c>
    </row>
    <row r="331" spans="1:12" ht="30" customHeight="1">
      <c r="A331" s="1070">
        <v>45199</v>
      </c>
      <c r="B331" s="1071" t="s">
        <v>2430</v>
      </c>
      <c r="C331" s="1097" t="s">
        <v>762</v>
      </c>
      <c r="D331" s="1097"/>
      <c r="E331" s="1097"/>
      <c r="F331" s="1097"/>
      <c r="G331" s="143" t="s">
        <v>2431</v>
      </c>
      <c r="H331" s="1078" t="str">
        <f>IF(I331=0,"",(INDEX([1]!AccountCodes[ACCOUNT NAME],MATCH(I331,[1]!AccountCodes[NGAS CODE],0))))</f>
        <v>Office Supplies Expenses</v>
      </c>
      <c r="I331" s="1130" t="s">
        <v>225</v>
      </c>
      <c r="J331" s="1131">
        <v>13348.44</v>
      </c>
      <c r="K331" s="1132"/>
      <c r="L331" s="1075">
        <f t="shared" si="8"/>
        <v>115450.66</v>
      </c>
    </row>
    <row r="332" spans="1:12" ht="30" customHeight="1">
      <c r="A332" s="1070">
        <v>45199</v>
      </c>
      <c r="B332" s="1071" t="s">
        <v>2430</v>
      </c>
      <c r="C332" s="1097" t="s">
        <v>762</v>
      </c>
      <c r="D332" s="1097"/>
      <c r="E332" s="1097"/>
      <c r="F332" s="1097"/>
      <c r="G332" s="143" t="s">
        <v>2431</v>
      </c>
      <c r="H332" s="1078" t="str">
        <f>IF(I332=0,"",(INDEX([1]!AccountCodes[ACCOUNT NAME],MATCH(I332,[1]!AccountCodes[NGAS CODE],0))))</f>
        <v>Office Supplies Inventory</v>
      </c>
      <c r="I332" s="1130" t="s">
        <v>30</v>
      </c>
      <c r="J332" s="1131"/>
      <c r="K332" s="1132">
        <v>13348.44</v>
      </c>
      <c r="L332" s="1075">
        <f t="shared" si="8"/>
        <v>102102.22</v>
      </c>
    </row>
    <row r="333" spans="1:12" ht="25.5">
      <c r="A333" s="1070">
        <v>45199</v>
      </c>
      <c r="B333" s="1071" t="s">
        <v>2432</v>
      </c>
      <c r="C333" s="1097" t="s">
        <v>762</v>
      </c>
      <c r="D333" s="1097"/>
      <c r="E333" s="1097"/>
      <c r="F333" s="1097"/>
      <c r="G333" s="143" t="s">
        <v>2433</v>
      </c>
      <c r="H333" s="1078" t="str">
        <f>IF(I333=0,"",(INDEX([1]!AccountCodes[ACCOUNT NAME],MATCH(I333,[1]!AccountCodes[NGAS CODE],0))))</f>
        <v>Cash in Bank-Local Currency, Current Account - FO</v>
      </c>
      <c r="I333" s="665" t="s">
        <v>1564</v>
      </c>
      <c r="J333" s="666">
        <v>704.34</v>
      </c>
      <c r="K333" s="666"/>
      <c r="L333" s="1075">
        <f t="shared" si="8"/>
        <v>102806.56</v>
      </c>
    </row>
    <row r="334" spans="1:12" ht="25.5">
      <c r="A334" s="1070">
        <v>45199</v>
      </c>
      <c r="B334" s="1071" t="s">
        <v>2432</v>
      </c>
      <c r="C334" s="1097" t="s">
        <v>762</v>
      </c>
      <c r="D334" s="1097"/>
      <c r="E334" s="1097"/>
      <c r="F334" s="1097"/>
      <c r="G334" s="143" t="s">
        <v>2433</v>
      </c>
      <c r="H334" s="1078" t="str">
        <f>IF(I334=0,"",(INDEX([1]!AccountCodes[ACCOUNT NAME],MATCH(I334,[1]!AccountCodes[NGAS CODE],0))))</f>
        <v>Due to the Treasurer of the Philippines</v>
      </c>
      <c r="I334" s="665" t="s">
        <v>1496</v>
      </c>
      <c r="J334" s="666"/>
      <c r="K334" s="666">
        <v>704.34</v>
      </c>
      <c r="L334" s="1075">
        <f t="shared" si="8"/>
        <v>102102.22</v>
      </c>
    </row>
    <row r="335" spans="1:12" ht="30" customHeight="1">
      <c r="A335" s="1070">
        <v>45199</v>
      </c>
      <c r="B335" s="1071" t="s">
        <v>2434</v>
      </c>
      <c r="C335" s="1097" t="s">
        <v>762</v>
      </c>
      <c r="D335" s="1097"/>
      <c r="E335" s="1097"/>
      <c r="F335" s="1097"/>
      <c r="G335" s="143" t="s">
        <v>2435</v>
      </c>
      <c r="H335" s="1078" t="str">
        <f>IF(I335=0,"",(INDEX([1]!AccountCodes[ACCOUNT NAME],MATCH(I335,[1]!AccountCodes[NGAS CODE],0))))</f>
        <v>Depreciation-Machinery and Equipment - Office Equipment</v>
      </c>
      <c r="I335" s="1082" t="s">
        <v>278</v>
      </c>
      <c r="J335" s="1077">
        <v>5358.64</v>
      </c>
      <c r="K335" s="1077"/>
      <c r="L335" s="1075">
        <f t="shared" si="8"/>
        <v>107460.86</v>
      </c>
    </row>
    <row r="336" spans="1:12" ht="30" customHeight="1">
      <c r="A336" s="1070">
        <v>45199</v>
      </c>
      <c r="B336" s="1071" t="s">
        <v>2434</v>
      </c>
      <c r="C336" s="1097" t="s">
        <v>762</v>
      </c>
      <c r="D336" s="1097"/>
      <c r="E336" s="1097"/>
      <c r="F336" s="1097"/>
      <c r="G336" s="143" t="s">
        <v>2435</v>
      </c>
      <c r="H336" s="1078" t="str">
        <f>IF(I336=0,"",(INDEX([1]!AccountCodes[ACCOUNT NAME],MATCH(I336,[1]!AccountCodes[NGAS CODE],0))))</f>
        <v>Depreciation-Machinery and Equipment - ICT Equipment</v>
      </c>
      <c r="I336" s="1114" t="s">
        <v>280</v>
      </c>
      <c r="J336" s="1115">
        <v>9403.61</v>
      </c>
      <c r="K336" s="1115"/>
      <c r="L336" s="1075">
        <f t="shared" si="8"/>
        <v>116864.47</v>
      </c>
    </row>
    <row r="337" spans="1:12" ht="30" customHeight="1">
      <c r="A337" s="1070">
        <v>45199</v>
      </c>
      <c r="B337" s="1071" t="s">
        <v>2434</v>
      </c>
      <c r="C337" s="1097" t="s">
        <v>762</v>
      </c>
      <c r="D337" s="1097"/>
      <c r="E337" s="1097"/>
      <c r="F337" s="1097"/>
      <c r="G337" s="143" t="s">
        <v>2435</v>
      </c>
      <c r="H337" s="1078" t="str">
        <f>IF(I337=0,"",(INDEX([1]!AccountCodes[ACCOUNT NAME],MATCH(I337,[1]!AccountCodes[NGAS CODE],0))))</f>
        <v>Accumulated Depreciation-Office Equipment</v>
      </c>
      <c r="I337" s="1114" t="s">
        <v>88</v>
      </c>
      <c r="J337" s="1115"/>
      <c r="K337" s="1077">
        <v>5358.64</v>
      </c>
      <c r="L337" s="1075">
        <f t="shared" si="8"/>
        <v>111505.83</v>
      </c>
    </row>
    <row r="338" spans="1:12" ht="30" customHeight="1">
      <c r="A338" s="1070">
        <v>45199</v>
      </c>
      <c r="B338" s="1071" t="s">
        <v>2434</v>
      </c>
      <c r="C338" s="1097" t="s">
        <v>762</v>
      </c>
      <c r="D338" s="1097"/>
      <c r="E338" s="1133"/>
      <c r="F338" s="1097"/>
      <c r="G338" s="143" t="s">
        <v>2435</v>
      </c>
      <c r="H338" s="1078" t="str">
        <f>IF(I338=0,"",(INDEX([1]!AccountCodes[ACCOUNT NAME],MATCH(I338,[1]!AccountCodes[NGAS CODE],0))))</f>
        <v>Accumulated Depreciation-Information and Communications Technology Equipment</v>
      </c>
      <c r="I338" s="1114" t="s">
        <v>90</v>
      </c>
      <c r="J338" s="1115"/>
      <c r="K338" s="1115">
        <v>9403.61</v>
      </c>
      <c r="L338" s="1075">
        <f t="shared" si="8"/>
        <v>102102.22</v>
      </c>
    </row>
    <row r="339" spans="1:12">
      <c r="A339" s="1070">
        <v>45199</v>
      </c>
      <c r="B339" s="1071" t="s">
        <v>2436</v>
      </c>
      <c r="C339" s="1097" t="s">
        <v>762</v>
      </c>
      <c r="D339" s="1097"/>
      <c r="E339" s="1133"/>
      <c r="F339" s="1097"/>
      <c r="G339" s="1101" t="s">
        <v>2437</v>
      </c>
      <c r="H339" s="1078" t="str">
        <f>IF(I339=0,"",(INDEX([1]!AccountCodes[ACCOUNT NAME],MATCH(I339,[1]!AccountCodes[NGAS CODE],0))))</f>
        <v>Depreciation-Infrastructure Assets - Other Infrastructure Assets (Irrigation Canals &amp; Laterals)</v>
      </c>
      <c r="I339" s="1134" t="s">
        <v>1452</v>
      </c>
      <c r="J339" s="1135">
        <v>285316.36</v>
      </c>
      <c r="K339" s="1135"/>
      <c r="L339" s="1075">
        <f t="shared" si="8"/>
        <v>387418.58</v>
      </c>
    </row>
    <row r="340" spans="1:12">
      <c r="A340" s="1070">
        <v>45199</v>
      </c>
      <c r="B340" s="1071" t="s">
        <v>2436</v>
      </c>
      <c r="C340" s="1097" t="s">
        <v>762</v>
      </c>
      <c r="D340" s="1097"/>
      <c r="E340" s="1133"/>
      <c r="F340" s="1097"/>
      <c r="G340" s="1101" t="s">
        <v>2437</v>
      </c>
      <c r="H340" s="1078" t="str">
        <f>IF(I340=0,"",(INDEX([1]!AccountCodes[ACCOUNT NAME],MATCH(I340,[1]!AccountCodes[NGAS CODE],0))))</f>
        <v>Accumulated Depreciation-Water Supply Systems</v>
      </c>
      <c r="I340" s="1134" t="s">
        <v>1261</v>
      </c>
      <c r="J340" s="1135"/>
      <c r="K340" s="1135">
        <v>285316.36</v>
      </c>
      <c r="L340" s="1075">
        <f t="shared" si="8"/>
        <v>102102.22</v>
      </c>
    </row>
    <row r="341" spans="1:12" ht="25.5">
      <c r="A341" s="1070">
        <v>45199</v>
      </c>
      <c r="B341" s="1071" t="s">
        <v>2438</v>
      </c>
      <c r="C341" s="1097" t="s">
        <v>494</v>
      </c>
      <c r="D341" s="1097"/>
      <c r="E341" s="1133"/>
      <c r="F341" s="1097"/>
      <c r="G341" s="1136" t="s">
        <v>2439</v>
      </c>
      <c r="H341" s="1078" t="str">
        <f>IF(I341=0,"",(INDEX([1]!AccountCodes[ACCOUNT NAME],MATCH(I341,[1]!AccountCodes[NGAS CODE],0))))</f>
        <v>Office Supplies Expenses</v>
      </c>
      <c r="I341" s="1137" t="s">
        <v>225</v>
      </c>
      <c r="J341" s="144">
        <v>1192.25</v>
      </c>
      <c r="K341" s="144"/>
      <c r="L341" s="1075">
        <f t="shared" si="8"/>
        <v>103294.47</v>
      </c>
    </row>
    <row r="342" spans="1:12" ht="25.5">
      <c r="A342" s="1070">
        <v>45199</v>
      </c>
      <c r="B342" s="1071" t="s">
        <v>2438</v>
      </c>
      <c r="C342" s="1097" t="s">
        <v>494</v>
      </c>
      <c r="D342" s="1097"/>
      <c r="E342" s="1133"/>
      <c r="F342" s="1097"/>
      <c r="G342" s="1136" t="s">
        <v>2439</v>
      </c>
      <c r="H342" s="1078" t="str">
        <f>IF(I342=0,"",(INDEX([1]!AccountCodes[ACCOUNT NAME],MATCH(I342,[1]!AccountCodes[NGAS CODE],0))))</f>
        <v>Office Supplies Inventory</v>
      </c>
      <c r="I342" s="1137" t="s">
        <v>30</v>
      </c>
      <c r="J342" s="144"/>
      <c r="K342" s="144">
        <v>1192.25</v>
      </c>
      <c r="L342" s="1075">
        <f t="shared" si="8"/>
        <v>102102.22</v>
      </c>
    </row>
    <row r="343" spans="1:12" ht="30" customHeight="1">
      <c r="A343" s="1070">
        <v>45199</v>
      </c>
      <c r="B343" s="1071" t="s">
        <v>2440</v>
      </c>
      <c r="C343" s="1097" t="s">
        <v>494</v>
      </c>
      <c r="D343" s="1097"/>
      <c r="E343" s="1133"/>
      <c r="F343" s="1097"/>
      <c r="G343" s="1136" t="s">
        <v>2441</v>
      </c>
      <c r="H343" s="1078" t="str">
        <f>IF(I343=0,"",(INDEX([1]!AccountCodes[ACCOUNT NAME],MATCH(I343,[1]!AccountCodes[NGAS CODE],0))))</f>
        <v>Semi-Expendable Machinery and Equipment Expenses</v>
      </c>
      <c r="I343" s="185" t="s">
        <v>1265</v>
      </c>
      <c r="J343" s="144">
        <v>335</v>
      </c>
      <c r="K343" s="144"/>
      <c r="L343" s="1075">
        <f t="shared" si="8"/>
        <v>102437.22</v>
      </c>
    </row>
    <row r="344" spans="1:12" ht="30" customHeight="1">
      <c r="A344" s="1070">
        <v>45199</v>
      </c>
      <c r="B344" s="1071" t="s">
        <v>2440</v>
      </c>
      <c r="C344" s="1097" t="s">
        <v>494</v>
      </c>
      <c r="D344" s="137"/>
      <c r="E344" s="145"/>
      <c r="F344" s="137"/>
      <c r="G344" s="1136" t="s">
        <v>2441</v>
      </c>
      <c r="H344" s="1078" t="str">
        <f>IF(I344=0,"",(INDEX([1]!AccountCodes[ACCOUNT NAME],MATCH(I344,[1]!AccountCodes[NGAS CODE],0))))</f>
        <v>Semi-Expendable Other Machinery and Equipment</v>
      </c>
      <c r="I344" s="185" t="s">
        <v>1257</v>
      </c>
      <c r="J344" s="497"/>
      <c r="K344" s="497">
        <v>335</v>
      </c>
      <c r="L344" s="1075">
        <f t="shared" si="8"/>
        <v>102102.22</v>
      </c>
    </row>
    <row r="345" spans="1:12" ht="38.1" customHeight="1">
      <c r="A345" s="1032"/>
      <c r="B345" s="1043"/>
      <c r="C345" s="1036"/>
      <c r="D345" s="1036"/>
      <c r="E345" s="1040"/>
      <c r="F345" s="1036"/>
      <c r="G345" s="1048"/>
      <c r="H345" s="1041" t="str">
        <f>IF(I345=0,"",(INDEX([1]!AccountCodes[ACCOUNT NAME],MATCH(I345,[1]!AccountCodes[NGAS CODE],0))))</f>
        <v/>
      </c>
      <c r="I345" s="1044"/>
      <c r="J345" s="1039"/>
      <c r="K345" s="1047"/>
      <c r="L345" s="158"/>
    </row>
    <row r="346" spans="1:12" ht="38.1" customHeight="1">
      <c r="A346" s="1032"/>
      <c r="B346" s="1043"/>
      <c r="C346" s="1036"/>
      <c r="D346" s="1036"/>
      <c r="E346" s="1040"/>
      <c r="F346" s="1036"/>
      <c r="G346" s="1048"/>
      <c r="H346" s="1041" t="str">
        <f>IF(I346=0,"",(INDEX([1]!AccountCodes[ACCOUNT NAME],MATCH(I346,[1]!AccountCodes[NGAS CODE],0))))</f>
        <v/>
      </c>
      <c r="I346" s="1049"/>
      <c r="J346" s="1047"/>
      <c r="K346" s="1047"/>
      <c r="L346" s="150"/>
    </row>
    <row r="347" spans="1:12" ht="35.25" customHeight="1">
      <c r="A347" s="1032"/>
      <c r="B347" s="1043"/>
      <c r="C347" s="1036"/>
      <c r="D347" s="1036"/>
      <c r="E347" s="1040"/>
      <c r="F347" s="1036"/>
      <c r="G347" s="1037"/>
      <c r="H347" s="1041" t="str">
        <f>IF(I347=0,"",(INDEX([1]!AccountCodes[ACCOUNT NAME],MATCH(I347,[1]!AccountCodes[NGAS CODE],0))))</f>
        <v/>
      </c>
      <c r="I347" s="1038"/>
      <c r="J347" s="1039"/>
      <c r="K347" s="1039"/>
      <c r="L347" s="150"/>
    </row>
    <row r="348" spans="1:12" ht="20.100000000000001" customHeight="1">
      <c r="A348" s="1032"/>
      <c r="B348" s="1043"/>
      <c r="C348" s="1036"/>
      <c r="D348" s="1036"/>
      <c r="E348" s="1040"/>
      <c r="F348" s="1036"/>
      <c r="G348" s="1037"/>
      <c r="H348" s="1041" t="str">
        <f>IF(I348=0,"",(INDEX([1]!AccountCodes[ACCOUNT NAME],MATCH(I348,[1]!AccountCodes[NGAS CODE],0))))</f>
        <v/>
      </c>
      <c r="I348" s="1038"/>
      <c r="J348" s="1039"/>
      <c r="K348" s="1039"/>
      <c r="L348" s="150"/>
    </row>
    <row r="349" spans="1:12" ht="30" customHeight="1">
      <c r="A349" s="1032"/>
      <c r="B349" s="1043"/>
      <c r="C349" s="1036"/>
      <c r="D349" s="1036"/>
      <c r="E349" s="1040"/>
      <c r="F349" s="1036"/>
      <c r="G349" s="1035"/>
      <c r="H349" s="1041" t="str">
        <f>IF(I349=0,"",(INDEX([1]!AccountCodes[ACCOUNT NAME],MATCH(I349,[1]!AccountCodes[NGAS CODE],0))))</f>
        <v/>
      </c>
      <c r="I349" s="1042"/>
      <c r="J349" s="1039"/>
      <c r="K349" s="1039"/>
      <c r="L349" s="158"/>
    </row>
    <row r="350" spans="1:12" ht="30" customHeight="1">
      <c r="A350" s="1032"/>
      <c r="B350" s="1043"/>
      <c r="C350" s="1036"/>
      <c r="D350" s="1036"/>
      <c r="E350" s="1040"/>
      <c r="F350" s="1036"/>
      <c r="G350" s="1035"/>
      <c r="H350" s="1041" t="str">
        <f>IF(I350=0,"",(INDEX([1]!AccountCodes[ACCOUNT NAME],MATCH(I350,[1]!AccountCodes[NGAS CODE],0))))</f>
        <v/>
      </c>
      <c r="I350" s="1044"/>
      <c r="J350" s="1039"/>
      <c r="K350" s="1039"/>
      <c r="L350" s="158"/>
    </row>
    <row r="351" spans="1:12" ht="20.100000000000001" customHeight="1">
      <c r="A351" s="1032"/>
      <c r="B351" s="1043"/>
      <c r="C351" s="1036"/>
      <c r="D351" s="1036"/>
      <c r="E351" s="1040"/>
      <c r="F351" s="1036"/>
      <c r="G351" s="1048"/>
      <c r="H351" s="1041" t="str">
        <f>IF(I351=0,"",(INDEX([1]!AccountCodes[ACCOUNT NAME],MATCH(I351,[1]!AccountCodes[NGAS CODE],0))))</f>
        <v/>
      </c>
      <c r="I351" s="1038"/>
      <c r="J351" s="1039"/>
      <c r="K351" s="1039"/>
      <c r="L351" s="158"/>
    </row>
    <row r="352" spans="1:12" ht="20.100000000000001" customHeight="1">
      <c r="A352" s="1032"/>
      <c r="B352" s="1043"/>
      <c r="C352" s="1036"/>
      <c r="D352" s="1036"/>
      <c r="E352" s="1040"/>
      <c r="F352" s="1036"/>
      <c r="G352" s="1048"/>
      <c r="H352" s="1041" t="str">
        <f>IF(I352=0,"",(INDEX([1]!AccountCodes[ACCOUNT NAME],MATCH(I352,[1]!AccountCodes[NGAS CODE],0))))</f>
        <v/>
      </c>
      <c r="I352" s="1038"/>
      <c r="J352" s="1039"/>
      <c r="K352" s="1039"/>
      <c r="L352" s="158"/>
    </row>
    <row r="353" spans="1:12" ht="30" customHeight="1">
      <c r="A353" s="1032"/>
      <c r="B353" s="1043"/>
      <c r="C353" s="1036"/>
      <c r="D353" s="1036"/>
      <c r="E353" s="1040"/>
      <c r="F353" s="1036"/>
      <c r="G353" s="1048"/>
      <c r="H353" s="1041" t="str">
        <f>IF(I353=0,"",(INDEX([1]!AccountCodes[ACCOUNT NAME],MATCH(I353,[1]!AccountCodes[NGAS CODE],0))))</f>
        <v/>
      </c>
      <c r="I353" s="1038"/>
      <c r="J353" s="1039"/>
      <c r="K353" s="1039"/>
      <c r="L353" s="158"/>
    </row>
    <row r="354" spans="1:12" ht="30" customHeight="1">
      <c r="A354" s="1032"/>
      <c r="B354" s="1043"/>
      <c r="C354" s="1036"/>
      <c r="D354" s="1036"/>
      <c r="E354" s="1040"/>
      <c r="F354" s="1036"/>
      <c r="G354" s="1048"/>
      <c r="H354" s="1041" t="str">
        <f>IF(I354=0,"",(INDEX([1]!AccountCodes[ACCOUNT NAME],MATCH(I354,[1]!AccountCodes[NGAS CODE],0))))</f>
        <v/>
      </c>
      <c r="I354" s="1038"/>
      <c r="J354" s="1039"/>
      <c r="K354" s="1039"/>
      <c r="L354" s="158"/>
    </row>
    <row r="355" spans="1:12" ht="30" customHeight="1">
      <c r="A355" s="1032"/>
      <c r="B355" s="1043"/>
      <c r="C355" s="1036"/>
      <c r="D355" s="1036"/>
      <c r="E355" s="1040"/>
      <c r="F355" s="1036"/>
      <c r="G355" s="1048"/>
      <c r="H355" s="1041" t="str">
        <f>IF(I355=0,"",(INDEX([1]!AccountCodes[ACCOUNT NAME],MATCH(I355,[1]!AccountCodes[NGAS CODE],0))))</f>
        <v/>
      </c>
      <c r="I355" s="1038"/>
      <c r="J355" s="1039"/>
      <c r="K355" s="1039"/>
      <c r="L355" s="158"/>
    </row>
    <row r="356" spans="1:12" ht="30" customHeight="1">
      <c r="A356" s="1032"/>
      <c r="B356" s="1043"/>
      <c r="C356" s="1036"/>
      <c r="D356" s="1036"/>
      <c r="E356" s="1040"/>
      <c r="F356" s="1036"/>
      <c r="G356" s="1048"/>
      <c r="H356" s="1050" t="str">
        <f>IF(I356=0,"",(INDEX([1]!AccountCodes[ACCOUNT NAME],MATCH(I356,[1]!AccountCodes[NGAS CODE],0))))</f>
        <v/>
      </c>
      <c r="I356" s="1038"/>
      <c r="J356" s="1039"/>
      <c r="K356" s="1039"/>
      <c r="L356" s="158"/>
    </row>
    <row r="357" spans="1:12" ht="20.100000000000001" customHeight="1">
      <c r="A357" s="1032"/>
      <c r="B357" s="1043"/>
      <c r="C357" s="1036"/>
      <c r="D357" s="1036"/>
      <c r="E357" s="1040"/>
      <c r="F357" s="1036"/>
      <c r="G357" s="1048"/>
      <c r="H357" s="1050" t="str">
        <f>IF(I357=0,"",(INDEX([1]!AccountCodes[ACCOUNT NAME],MATCH(I357,[1]!AccountCodes[NGAS CODE],0))))</f>
        <v/>
      </c>
      <c r="I357" s="1044"/>
      <c r="J357" s="1039"/>
      <c r="K357" s="1039"/>
      <c r="L357" s="158"/>
    </row>
    <row r="358" spans="1:12" ht="20.100000000000001" customHeight="1">
      <c r="A358" s="1032"/>
      <c r="B358" s="1043"/>
      <c r="C358" s="1036"/>
      <c r="D358" s="1036"/>
      <c r="E358" s="1040"/>
      <c r="F358" s="1036"/>
      <c r="G358" s="1048"/>
      <c r="H358" s="1050" t="str">
        <f>IF(I358=0,"",(INDEX([1]!AccountCodes[ACCOUNT NAME],MATCH(I358,[1]!AccountCodes[NGAS CODE],0))))</f>
        <v/>
      </c>
      <c r="I358" s="1049"/>
      <c r="J358" s="1039"/>
      <c r="K358" s="1039"/>
      <c r="L358" s="158"/>
    </row>
    <row r="359" spans="1:12" ht="60" customHeight="1">
      <c r="A359" s="1032"/>
      <c r="B359" s="1043"/>
      <c r="C359" s="1036"/>
      <c r="D359" s="1036"/>
      <c r="E359" s="1040"/>
      <c r="F359" s="1036"/>
      <c r="G359" s="143"/>
      <c r="H359" s="1041" t="str">
        <f>IF(I359=0,"",(INDEX([1]!AccountCodes[ACCOUNT NAME],MATCH(I359,[1]!AccountCodes[NGAS CODE],0))))</f>
        <v/>
      </c>
      <c r="I359" s="1038"/>
      <c r="J359" s="1039"/>
      <c r="K359" s="1039"/>
      <c r="L359" s="158"/>
    </row>
    <row r="360" spans="1:12" ht="60" customHeight="1">
      <c r="A360" s="1032"/>
      <c r="B360" s="1043"/>
      <c r="C360" s="1036"/>
      <c r="D360" s="1036"/>
      <c r="E360" s="1040"/>
      <c r="F360" s="1036"/>
      <c r="G360" s="143"/>
      <c r="H360" s="1041" t="str">
        <f>IF(I360=0,"",(INDEX([1]!AccountCodes[ACCOUNT NAME],MATCH(I360,[1]!AccountCodes[NGAS CODE],0))))</f>
        <v/>
      </c>
      <c r="I360" s="1038"/>
      <c r="J360" s="1039"/>
      <c r="K360" s="1039"/>
      <c r="L360" s="158"/>
    </row>
    <row r="361" spans="1:12" ht="30" customHeight="1">
      <c r="A361" s="1032"/>
      <c r="B361" s="1043"/>
      <c r="C361" s="1036"/>
      <c r="D361" s="1036"/>
      <c r="E361" s="1040"/>
      <c r="F361" s="1036"/>
      <c r="G361" s="143"/>
      <c r="H361" s="1041" t="str">
        <f>IF(I361=0,"",(INDEX([1]!AccountCodes[ACCOUNT NAME],MATCH(I361,[1]!AccountCodes[NGAS CODE],0))))</f>
        <v/>
      </c>
      <c r="I361" s="1038"/>
      <c r="J361" s="1039"/>
      <c r="K361" s="1039"/>
      <c r="L361" s="158"/>
    </row>
    <row r="362" spans="1:12" ht="30" customHeight="1">
      <c r="A362" s="1032"/>
      <c r="B362" s="1043"/>
      <c r="C362" s="1036"/>
      <c r="D362" s="1036"/>
      <c r="E362" s="1040"/>
      <c r="F362" s="1036"/>
      <c r="G362" s="143"/>
      <c r="H362" s="1041" t="str">
        <f>IF(I362=0,"",(INDEX([1]!AccountCodes[ACCOUNT NAME],MATCH(I362,[1]!AccountCodes[NGAS CODE],0))))</f>
        <v/>
      </c>
      <c r="I362" s="1038"/>
      <c r="J362" s="1039"/>
      <c r="K362" s="1039"/>
      <c r="L362" s="158"/>
    </row>
    <row r="363" spans="1:12" ht="30" customHeight="1">
      <c r="A363" s="1032"/>
      <c r="B363" s="1043"/>
      <c r="C363" s="1036"/>
      <c r="D363" s="1036"/>
      <c r="E363" s="1040"/>
      <c r="F363" s="1036"/>
      <c r="G363" s="143"/>
      <c r="H363" s="1041" t="str">
        <f>IF(I363=0,"",(INDEX([1]!AccountCodes[ACCOUNT NAME],MATCH(I363,[1]!AccountCodes[NGAS CODE],0))))</f>
        <v/>
      </c>
      <c r="I363" s="1038"/>
      <c r="J363" s="1039"/>
      <c r="K363" s="1039"/>
      <c r="L363" s="158"/>
    </row>
    <row r="364" spans="1:12" ht="30" customHeight="1">
      <c r="A364" s="1032"/>
      <c r="B364" s="1043"/>
      <c r="C364" s="1036"/>
      <c r="D364" s="1036"/>
      <c r="E364" s="1040"/>
      <c r="F364" s="1036"/>
      <c r="G364" s="143"/>
      <c r="H364" s="1041" t="str">
        <f>IF(I364=0,"",(INDEX([1]!AccountCodes[ACCOUNT NAME],MATCH(I364,[1]!AccountCodes[NGAS CODE],0))))</f>
        <v/>
      </c>
      <c r="I364" s="1038"/>
      <c r="J364" s="1039"/>
      <c r="K364" s="1039"/>
      <c r="L364" s="158"/>
    </row>
    <row r="365" spans="1:12" ht="30" customHeight="1">
      <c r="A365" s="1032"/>
      <c r="B365" s="1043"/>
      <c r="C365" s="1036"/>
      <c r="D365" s="1036"/>
      <c r="E365" s="1040"/>
      <c r="F365" s="1036"/>
      <c r="G365" s="143"/>
      <c r="H365" s="1041" t="str">
        <f>IF(I365=0,"",(INDEX([1]!AccountCodes[ACCOUNT NAME],MATCH(I365,[1]!AccountCodes[NGAS CODE],0))))</f>
        <v/>
      </c>
      <c r="I365" s="1044"/>
      <c r="J365" s="1039"/>
      <c r="K365" s="1039"/>
      <c r="L365" s="158"/>
    </row>
    <row r="366" spans="1:12" ht="30" customHeight="1">
      <c r="A366" s="1032"/>
      <c r="B366" s="1043"/>
      <c r="C366" s="1036"/>
      <c r="D366" s="1036"/>
      <c r="E366" s="1040"/>
      <c r="F366" s="1036"/>
      <c r="G366" s="143"/>
      <c r="H366" s="1041" t="str">
        <f>IF(I366=0,"",(INDEX([1]!AccountCodes[ACCOUNT NAME],MATCH(I366,[1]!AccountCodes[NGAS CODE],0))))</f>
        <v/>
      </c>
      <c r="I366" s="1044"/>
      <c r="J366" s="1039"/>
      <c r="K366" s="1039"/>
      <c r="L366" s="158"/>
    </row>
    <row r="367" spans="1:12" ht="30" customHeight="1">
      <c r="A367" s="1032"/>
      <c r="B367" s="1043"/>
      <c r="C367" s="1036"/>
      <c r="D367" s="1036"/>
      <c r="E367" s="1040"/>
      <c r="F367" s="1036"/>
      <c r="G367" s="143"/>
      <c r="H367" s="1041" t="str">
        <f>IF(I367=0,"",(INDEX([1]!AccountCodes[ACCOUNT NAME],MATCH(I367,[1]!AccountCodes[NGAS CODE],0))))</f>
        <v/>
      </c>
      <c r="I367" s="1044"/>
      <c r="J367" s="1039"/>
      <c r="K367" s="1039"/>
      <c r="L367" s="158"/>
    </row>
    <row r="368" spans="1:12" ht="30" customHeight="1">
      <c r="A368" s="1032"/>
      <c r="B368" s="1043"/>
      <c r="C368" s="1036"/>
      <c r="D368" s="1036"/>
      <c r="E368" s="1040"/>
      <c r="F368" s="1036"/>
      <c r="G368" s="143"/>
      <c r="H368" s="1041" t="str">
        <f>IF(I368=0,"",(INDEX([1]!AccountCodes[ACCOUNT NAME],MATCH(I368,[1]!AccountCodes[NGAS CODE],0))))</f>
        <v/>
      </c>
      <c r="I368" s="1044"/>
      <c r="J368" s="1039"/>
      <c r="K368" s="1039"/>
      <c r="L368" s="158"/>
    </row>
    <row r="369" spans="1:12" ht="20.100000000000001" customHeight="1">
      <c r="A369" s="1032"/>
      <c r="B369" s="1043"/>
      <c r="C369" s="1036"/>
      <c r="D369" s="1036"/>
      <c r="E369" s="1040"/>
      <c r="F369" s="1036"/>
      <c r="G369" s="1048"/>
      <c r="H369" s="1041" t="str">
        <f>IF(I369=0,"",(INDEX([1]!AccountCodes[ACCOUNT NAME],MATCH(I369,[1]!AccountCodes[NGAS CODE],0))))</f>
        <v/>
      </c>
      <c r="I369" s="1038"/>
      <c r="J369" s="1039"/>
      <c r="K369" s="1039"/>
      <c r="L369" s="158"/>
    </row>
    <row r="370" spans="1:12" ht="20.100000000000001" customHeight="1">
      <c r="A370" s="1032"/>
      <c r="B370" s="1043"/>
      <c r="C370" s="1036"/>
      <c r="D370" s="1036"/>
      <c r="E370" s="1040"/>
      <c r="F370" s="1036"/>
      <c r="G370" s="1048"/>
      <c r="H370" s="1041" t="str">
        <f>IF(I370=0,"",(INDEX([1]!AccountCodes[ACCOUNT NAME],MATCH(I370,[1]!AccountCodes[NGAS CODE],0))))</f>
        <v/>
      </c>
      <c r="I370" s="1038"/>
      <c r="J370" s="1039"/>
      <c r="K370" s="1039"/>
      <c r="L370" s="158"/>
    </row>
    <row r="371" spans="1:12" ht="20.100000000000001" customHeight="1">
      <c r="A371" s="1032"/>
      <c r="B371" s="1043"/>
      <c r="C371" s="1036"/>
      <c r="D371" s="1036"/>
      <c r="E371" s="1040"/>
      <c r="F371" s="1036"/>
      <c r="G371" s="1048"/>
      <c r="H371" s="1041" t="str">
        <f>IF(I371=0,"",(INDEX([1]!AccountCodes[ACCOUNT NAME],MATCH(I371,[1]!AccountCodes[NGAS CODE],0))))</f>
        <v/>
      </c>
      <c r="I371" s="1044"/>
      <c r="J371" s="1039"/>
      <c r="K371" s="1039"/>
      <c r="L371" s="158"/>
    </row>
    <row r="372" spans="1:12" ht="17.25" customHeight="1">
      <c r="A372" s="1032"/>
      <c r="B372" s="1043"/>
      <c r="C372" s="1036"/>
      <c r="D372" s="1036"/>
      <c r="E372" s="1040"/>
      <c r="F372" s="1036"/>
      <c r="G372" s="1048"/>
      <c r="H372" s="1041" t="str">
        <f>IF(I372=0,"",(INDEX([1]!AccountCodes[ACCOUNT NAME],MATCH(I372,[1]!AccountCodes[NGAS CODE],0))))</f>
        <v/>
      </c>
      <c r="I372" s="1044"/>
      <c r="J372" s="1039"/>
      <c r="K372" s="1039"/>
      <c r="L372" s="158"/>
    </row>
    <row r="373" spans="1:12" ht="20.100000000000001" customHeight="1">
      <c r="A373" s="1032"/>
      <c r="B373" s="1043"/>
      <c r="C373" s="1036"/>
      <c r="D373" s="1036"/>
      <c r="E373" s="1040"/>
      <c r="F373" s="1036"/>
      <c r="G373" s="1048"/>
      <c r="H373" s="1041" t="str">
        <f>IF(I373=0,"",(INDEX([1]!AccountCodes[ACCOUNT NAME],MATCH(I373,[1]!AccountCodes[NGAS CODE],0))))</f>
        <v/>
      </c>
      <c r="I373" s="1044"/>
      <c r="J373" s="1039"/>
      <c r="K373" s="1039"/>
      <c r="L373" s="158"/>
    </row>
    <row r="374" spans="1:12" ht="20.100000000000001" customHeight="1">
      <c r="A374" s="1032"/>
      <c r="B374" s="1043"/>
      <c r="C374" s="1036"/>
      <c r="D374" s="1036"/>
      <c r="E374" s="1040"/>
      <c r="F374" s="1036"/>
      <c r="G374" s="1048"/>
      <c r="H374" s="1041" t="str">
        <f>IF(I374=0,"",(INDEX([1]!AccountCodes[ACCOUNT NAME],MATCH(I374,[1]!AccountCodes[NGAS CODE],0))))</f>
        <v/>
      </c>
      <c r="I374" s="1044"/>
      <c r="J374" s="1039"/>
      <c r="K374" s="1039"/>
      <c r="L374" s="158"/>
    </row>
    <row r="375" spans="1:12" ht="30" customHeight="1">
      <c r="A375" s="1032"/>
      <c r="B375" s="1043"/>
      <c r="C375" s="1036"/>
      <c r="D375" s="1036"/>
      <c r="E375" s="1040"/>
      <c r="F375" s="1036"/>
      <c r="G375" s="143"/>
      <c r="H375" s="1041" t="str">
        <f>IF(I375=0,"",(INDEX([1]!AccountCodes[ACCOUNT NAME],MATCH(I375,[1]!AccountCodes[NGAS CODE],0))))</f>
        <v/>
      </c>
      <c r="I375" s="1051"/>
      <c r="J375" s="1052"/>
      <c r="K375" s="1052"/>
      <c r="L375" s="158"/>
    </row>
    <row r="376" spans="1:12" ht="30" customHeight="1">
      <c r="A376" s="1032"/>
      <c r="B376" s="1043"/>
      <c r="C376" s="1036"/>
      <c r="D376" s="1036"/>
      <c r="E376" s="1040"/>
      <c r="F376" s="1036"/>
      <c r="G376" s="143"/>
      <c r="H376" s="1041" t="str">
        <f>IF(I376=0,"",(INDEX([1]!AccountCodes[ACCOUNT NAME],MATCH(I376,[1]!AccountCodes[NGAS CODE],0))))</f>
        <v/>
      </c>
      <c r="I376" s="1051"/>
      <c r="J376" s="1052"/>
      <c r="K376" s="1052"/>
      <c r="L376" s="158"/>
    </row>
    <row r="377" spans="1:12" ht="30" customHeight="1">
      <c r="A377" s="1032"/>
      <c r="B377" s="1043"/>
      <c r="C377" s="1036"/>
      <c r="D377" s="1036"/>
      <c r="E377" s="1040"/>
      <c r="F377" s="1036"/>
      <c r="G377" s="143"/>
      <c r="H377" s="1041" t="str">
        <f>IF(I377=0,"",(INDEX([1]!AccountCodes[ACCOUNT NAME],MATCH(I377,[1]!AccountCodes[NGAS CODE],0))))</f>
        <v/>
      </c>
      <c r="I377" s="1051"/>
      <c r="J377" s="1052"/>
      <c r="K377" s="1052"/>
      <c r="L377" s="158"/>
    </row>
    <row r="378" spans="1:12" ht="30" customHeight="1">
      <c r="A378" s="1032"/>
      <c r="B378" s="1043"/>
      <c r="C378" s="1036"/>
      <c r="D378" s="1036"/>
      <c r="E378" s="1040"/>
      <c r="F378" s="1036"/>
      <c r="G378" s="143"/>
      <c r="H378" s="1041" t="str">
        <f>IF(I378=0,"",(INDEX([1]!AccountCodes[ACCOUNT NAME],MATCH(I378,[1]!AccountCodes[NGAS CODE],0))))</f>
        <v/>
      </c>
      <c r="I378" s="1051"/>
      <c r="J378" s="1052"/>
      <c r="K378" s="1052"/>
      <c r="L378" s="158"/>
    </row>
    <row r="379" spans="1:12" ht="30" customHeight="1">
      <c r="A379" s="1032"/>
      <c r="B379" s="1043"/>
      <c r="C379" s="1036"/>
      <c r="D379" s="1036"/>
      <c r="E379" s="1040"/>
      <c r="F379" s="1036"/>
      <c r="G379" s="143"/>
      <c r="H379" s="1041" t="str">
        <f>IF(I379=0,"",(INDEX([1]!AccountCodes[ACCOUNT NAME],MATCH(I379,[1]!AccountCodes[NGAS CODE],0))))</f>
        <v/>
      </c>
      <c r="I379" s="133"/>
      <c r="J379" s="497"/>
      <c r="K379" s="497"/>
      <c r="L379" s="158"/>
    </row>
    <row r="380" spans="1:12" ht="30" customHeight="1">
      <c r="A380" s="1032"/>
      <c r="B380" s="1043"/>
      <c r="C380" s="1036"/>
      <c r="D380" s="1036"/>
      <c r="E380" s="1040"/>
      <c r="F380" s="1036"/>
      <c r="G380" s="143"/>
      <c r="H380" s="1041" t="str">
        <f>IF(I380=0,"",(INDEX([1]!AccountCodes[ACCOUNT NAME],MATCH(I380,[1]!AccountCodes[NGAS CODE],0))))</f>
        <v/>
      </c>
      <c r="I380" s="185"/>
      <c r="J380" s="497"/>
      <c r="K380" s="1053"/>
      <c r="L380" s="158"/>
    </row>
    <row r="381" spans="1:12" ht="20.100000000000001" customHeight="1">
      <c r="A381" s="1032"/>
      <c r="B381" s="1043"/>
      <c r="C381" s="1036"/>
      <c r="D381" s="1036"/>
      <c r="E381" s="1040"/>
      <c r="F381" s="1036"/>
      <c r="G381" s="1037"/>
      <c r="H381" s="1041" t="str">
        <f>IF(I381=0,"",(INDEX([1]!AccountCodes[ACCOUNT NAME],MATCH(I381,[1]!AccountCodes[NGAS CODE],0))))</f>
        <v/>
      </c>
      <c r="I381" s="1054"/>
      <c r="J381" s="509"/>
      <c r="K381" s="509"/>
      <c r="L381" s="158"/>
    </row>
    <row r="382" spans="1:12" ht="20.100000000000001" customHeight="1">
      <c r="A382" s="1032"/>
      <c r="B382" s="1043"/>
      <c r="C382" s="1036"/>
      <c r="D382" s="1036"/>
      <c r="E382" s="1040"/>
      <c r="F382" s="1036"/>
      <c r="G382" s="1037"/>
      <c r="H382" s="1041" t="str">
        <f>IF(I382=0,"",(INDEX([1]!AccountCodes[ACCOUNT NAME],MATCH(I382,[1]!AccountCodes[NGAS CODE],0))))</f>
        <v/>
      </c>
      <c r="I382" s="185"/>
      <c r="J382" s="144"/>
      <c r="K382" s="497"/>
      <c r="L382" s="158"/>
    </row>
    <row r="383" spans="1:12" ht="20.100000000000001" customHeight="1">
      <c r="A383" s="1032"/>
      <c r="B383" s="1043"/>
      <c r="C383" s="1036"/>
      <c r="D383" s="1036"/>
      <c r="E383" s="1040"/>
      <c r="F383" s="1036"/>
      <c r="G383" s="1037"/>
      <c r="H383" s="1041" t="str">
        <f>IF(I383=0,"",(INDEX([1]!AccountCodes[ACCOUNT NAME],MATCH(I383,[1]!AccountCodes[NGAS CODE],0))))</f>
        <v/>
      </c>
      <c r="I383" s="1054"/>
      <c r="J383" s="1039"/>
      <c r="K383" s="1039"/>
      <c r="L383" s="158"/>
    </row>
    <row r="384" spans="1:12" ht="20.100000000000001" customHeight="1">
      <c r="A384" s="1032"/>
      <c r="B384" s="1043"/>
      <c r="C384" s="1036"/>
      <c r="D384" s="1036"/>
      <c r="E384" s="1040"/>
      <c r="F384" s="1036"/>
      <c r="G384" s="1037"/>
      <c r="H384" s="1041" t="str">
        <f>IF(I384=0,"",(INDEX([1]!AccountCodes[ACCOUNT NAME],MATCH(I384,[1]!AccountCodes[NGAS CODE],0))))</f>
        <v/>
      </c>
      <c r="I384" s="185"/>
      <c r="J384" s="1039"/>
      <c r="K384" s="1039"/>
      <c r="L384" s="158"/>
    </row>
    <row r="385" spans="1:12" ht="20.100000000000001" customHeight="1">
      <c r="A385" s="1032"/>
      <c r="B385" s="1043"/>
      <c r="C385" s="1036"/>
      <c r="D385" s="1036"/>
      <c r="E385" s="1040"/>
      <c r="F385" s="1036"/>
      <c r="G385" s="1037"/>
      <c r="H385" s="1041" t="str">
        <f>IF(I385=0,"",(INDEX([1]!AccountCodes[ACCOUNT NAME],MATCH(I385,[1]!AccountCodes[NGAS CODE],0))))</f>
        <v/>
      </c>
      <c r="I385" s="1054"/>
      <c r="J385" s="1039"/>
      <c r="K385" s="1039"/>
      <c r="L385" s="158"/>
    </row>
    <row r="386" spans="1:12" ht="20.100000000000001" customHeight="1">
      <c r="A386" s="1032"/>
      <c r="B386" s="1043"/>
      <c r="C386" s="1036"/>
      <c r="D386" s="1036"/>
      <c r="E386" s="1040"/>
      <c r="F386" s="1036"/>
      <c r="G386" s="1037"/>
      <c r="H386" s="1041" t="str">
        <f>IF(I386=0,"",(INDEX([1]!AccountCodes[ACCOUNT NAME],MATCH(I386,[1]!AccountCodes[NGAS CODE],0))))</f>
        <v/>
      </c>
      <c r="I386" s="185"/>
      <c r="J386" s="1039"/>
      <c r="K386" s="1039"/>
      <c r="L386" s="158"/>
    </row>
    <row r="387" spans="1:12">
      <c r="A387" s="541"/>
      <c r="B387" s="662"/>
      <c r="C387" s="663"/>
      <c r="D387" s="663"/>
      <c r="E387" s="145"/>
      <c r="F387" s="137"/>
      <c r="G387" s="143"/>
      <c r="H387" s="3" t="str">
        <f>IF(I387=0,"",(INDEX([1]!AccountCodes[ACCOUNT NAME],MATCH(I387,[1]!AccountCodes[NGAS CODE],0))))</f>
        <v/>
      </c>
      <c r="I387" s="185"/>
      <c r="J387" s="144"/>
      <c r="K387" s="144"/>
      <c r="L387" s="150"/>
    </row>
    <row r="388" spans="1:12">
      <c r="A388" s="541"/>
      <c r="B388" s="662"/>
      <c r="C388" s="663"/>
      <c r="D388" s="663"/>
      <c r="E388" s="145"/>
      <c r="F388" s="137"/>
      <c r="G388" s="143"/>
      <c r="H388" s="3" t="str">
        <f>IF(I388=0,"",(INDEX([1]!AccountCodes[ACCOUNT NAME],MATCH(I388,[1]!AccountCodes[NGAS CODE],0))))</f>
        <v/>
      </c>
      <c r="I388" s="185"/>
      <c r="J388" s="144"/>
      <c r="K388" s="144"/>
      <c r="L388" s="150"/>
    </row>
    <row r="389" spans="1:12">
      <c r="A389" s="541"/>
      <c r="B389" s="662"/>
      <c r="C389" s="663"/>
      <c r="D389" s="663"/>
      <c r="E389" s="145"/>
      <c r="F389" s="137"/>
      <c r="G389" s="143"/>
      <c r="H389" s="3" t="str">
        <f>IF(I389=0,"",(INDEX([1]!AccountCodes[ACCOUNT NAME],MATCH(I389,[1]!AccountCodes[NGAS CODE],0))))</f>
        <v/>
      </c>
      <c r="I389" s="185"/>
      <c r="J389" s="144"/>
      <c r="K389" s="144"/>
      <c r="L389" s="150"/>
    </row>
    <row r="390" spans="1:12">
      <c r="A390" s="541"/>
      <c r="B390" s="662"/>
      <c r="C390" s="663"/>
      <c r="D390" s="663"/>
      <c r="E390" s="145"/>
      <c r="F390" s="137"/>
      <c r="G390" s="143"/>
      <c r="H390" s="3" t="str">
        <f>IF(I390=0,"",(INDEX([1]!AccountCodes[ACCOUNT NAME],MATCH(I390,[1]!AccountCodes[NGAS CODE],0))))</f>
        <v/>
      </c>
      <c r="I390" s="185"/>
      <c r="J390" s="144"/>
      <c r="K390" s="144"/>
      <c r="L390" s="150"/>
    </row>
    <row r="391" spans="1:12">
      <c r="A391" s="541"/>
      <c r="B391" s="662"/>
      <c r="C391" s="663"/>
      <c r="D391" s="663"/>
      <c r="E391" s="145"/>
      <c r="F391" s="137"/>
      <c r="G391" s="143"/>
      <c r="H391" s="3" t="str">
        <f>IF(I391=0,"",(INDEX([1]!AccountCodes[ACCOUNT NAME],MATCH(I391,[1]!AccountCodes[NGAS CODE],0))))</f>
        <v/>
      </c>
      <c r="I391" s="185"/>
      <c r="J391" s="144"/>
      <c r="K391" s="144"/>
      <c r="L391" s="150"/>
    </row>
    <row r="392" spans="1:12">
      <c r="A392" s="541"/>
      <c r="B392" s="662"/>
      <c r="C392" s="663"/>
      <c r="D392" s="663"/>
      <c r="E392" s="145"/>
      <c r="F392" s="137"/>
      <c r="G392" s="143"/>
      <c r="H392" s="3" t="str">
        <f>IF(I392=0,"",(INDEX([1]!AccountCodes[ACCOUNT NAME],MATCH(I392,[1]!AccountCodes[NGAS CODE],0))))</f>
        <v/>
      </c>
      <c r="I392" s="185"/>
      <c r="J392" s="144"/>
      <c r="K392" s="144"/>
      <c r="L392" s="150"/>
    </row>
    <row r="393" spans="1:12">
      <c r="A393" s="541"/>
      <c r="B393" s="662"/>
      <c r="C393" s="663"/>
      <c r="D393" s="663"/>
      <c r="E393" s="145"/>
      <c r="F393" s="137"/>
      <c r="G393" s="143"/>
      <c r="H393" s="3" t="str">
        <f>IF(I393=0,"",(INDEX([1]!AccountCodes[ACCOUNT NAME],MATCH(I393,[1]!AccountCodes[NGAS CODE],0))))</f>
        <v/>
      </c>
      <c r="I393" s="185"/>
      <c r="J393" s="144"/>
      <c r="K393" s="144"/>
      <c r="L393" s="150"/>
    </row>
    <row r="394" spans="1:12">
      <c r="A394" s="934"/>
      <c r="B394" s="145"/>
      <c r="C394" s="137"/>
      <c r="D394" s="137"/>
      <c r="E394" s="145"/>
      <c r="F394" s="137"/>
      <c r="G394" s="143"/>
      <c r="H394" s="3" t="str">
        <f>IF(I394=0,"",(INDEX([1]!AccountCodes[ACCOUNT NAME],MATCH(I394,[1]!AccountCodes[NGAS CODE],0))))</f>
        <v/>
      </c>
      <c r="I394" s="185"/>
      <c r="J394" s="144"/>
      <c r="K394" s="144"/>
      <c r="L394" s="150"/>
    </row>
    <row r="395" spans="1:12">
      <c r="A395" s="934"/>
      <c r="B395" s="145"/>
      <c r="C395" s="137"/>
      <c r="D395" s="137"/>
      <c r="E395" s="145"/>
      <c r="F395" s="137"/>
      <c r="G395" s="143"/>
      <c r="H395" s="3" t="str">
        <f>IF(I395=0,"",(INDEX([1]!AccountCodes[ACCOUNT NAME],MATCH(I395,[1]!AccountCodes[NGAS CODE],0))))</f>
        <v/>
      </c>
      <c r="I395" s="185"/>
      <c r="J395" s="144"/>
      <c r="K395" s="144"/>
      <c r="L395" s="150"/>
    </row>
    <row r="396" spans="1:12">
      <c r="A396" s="934"/>
      <c r="B396" s="145"/>
      <c r="C396" s="137"/>
      <c r="D396" s="137"/>
      <c r="E396" s="145"/>
      <c r="F396" s="137"/>
      <c r="G396" s="143"/>
      <c r="H396" s="3" t="str">
        <f>IF(I396=0,"",(INDEX([1]!AccountCodes[ACCOUNT NAME],MATCH(I396,[1]!AccountCodes[NGAS CODE],0))))</f>
        <v/>
      </c>
      <c r="I396" s="185"/>
      <c r="J396" s="144"/>
      <c r="K396" s="144"/>
      <c r="L396" s="150"/>
    </row>
    <row r="397" spans="1:12">
      <c r="A397" s="934"/>
      <c r="B397" s="145"/>
      <c r="C397" s="137"/>
      <c r="D397" s="137"/>
      <c r="E397" s="494"/>
      <c r="F397" s="495"/>
      <c r="G397" s="143"/>
      <c r="H397" s="496" t="str">
        <f>IF(I397=0,"",(INDEX([1]!AccountCodes[ACCOUNT NAME],MATCH(I397,[1]!AccountCodes[NGAS CODE],0))))</f>
        <v/>
      </c>
      <c r="I397" s="939"/>
      <c r="J397" s="497"/>
      <c r="K397" s="497"/>
      <c r="L397" s="150"/>
    </row>
    <row r="398" spans="1:12">
      <c r="A398" s="934"/>
      <c r="B398" s="145"/>
      <c r="C398" s="137"/>
      <c r="D398" s="137"/>
      <c r="E398" s="494"/>
      <c r="F398" s="495"/>
      <c r="G398" s="143"/>
      <c r="H398" s="496" t="str">
        <f>IF(I398=0,"",(INDEX([1]!AccountCodes[ACCOUNT NAME],MATCH(I398,[1]!AccountCodes[NGAS CODE],0))))</f>
        <v/>
      </c>
      <c r="I398" s="939"/>
      <c r="J398" s="497"/>
      <c r="K398" s="497"/>
      <c r="L398" s="150"/>
    </row>
    <row r="399" spans="1:12">
      <c r="A399" s="934"/>
      <c r="B399" s="145"/>
      <c r="C399" s="137"/>
      <c r="D399" s="137"/>
      <c r="E399" s="494"/>
      <c r="F399" s="495"/>
      <c r="G399" s="143"/>
      <c r="H399" s="496" t="str">
        <f>IF(I399=0,"",(INDEX([1]!AccountCodes[ACCOUNT NAME],MATCH(I399,[1]!AccountCodes[NGAS CODE],0))))</f>
        <v/>
      </c>
      <c r="I399" s="939"/>
      <c r="J399" s="497"/>
      <c r="K399" s="497"/>
      <c r="L399" s="150"/>
    </row>
    <row r="400" spans="1:12">
      <c r="A400" s="934"/>
      <c r="B400" s="145"/>
      <c r="C400" s="137"/>
      <c r="D400" s="137"/>
      <c r="E400" s="494"/>
      <c r="F400" s="495"/>
      <c r="G400" s="143"/>
      <c r="H400" s="496" t="str">
        <f>IF(I400=0,"",(INDEX([1]!AccountCodes[ACCOUNT NAME],MATCH(I400,[1]!AccountCodes[NGAS CODE],0))))</f>
        <v/>
      </c>
      <c r="I400" s="939"/>
      <c r="J400" s="497"/>
      <c r="K400" s="497"/>
      <c r="L400" s="150"/>
    </row>
    <row r="401" spans="1:12">
      <c r="A401" s="934"/>
      <c r="B401" s="145"/>
      <c r="C401" s="137"/>
      <c r="D401" s="137"/>
      <c r="E401" s="494"/>
      <c r="F401" s="495"/>
      <c r="G401" s="143"/>
      <c r="H401" s="496" t="str">
        <f>IF(I401=0,"",(INDEX([1]!AccountCodes[ACCOUNT NAME],MATCH(I401,[1]!AccountCodes[NGAS CODE],0))))</f>
        <v/>
      </c>
      <c r="I401" s="939"/>
      <c r="J401" s="497"/>
      <c r="K401" s="497"/>
      <c r="L401" s="150"/>
    </row>
    <row r="402" spans="1:12">
      <c r="A402" s="934"/>
      <c r="B402" s="145"/>
      <c r="C402" s="137"/>
      <c r="D402" s="137"/>
      <c r="E402" s="494"/>
      <c r="F402" s="495"/>
      <c r="G402" s="143"/>
      <c r="H402" s="496" t="str">
        <f>IF(I402=0,"",(INDEX([1]!AccountCodes[ACCOUNT NAME],MATCH(I402,[1]!AccountCodes[NGAS CODE],0))))</f>
        <v/>
      </c>
      <c r="I402" s="939"/>
      <c r="J402" s="497"/>
      <c r="K402" s="497"/>
      <c r="L402" s="150"/>
    </row>
    <row r="403" spans="1:12">
      <c r="A403" s="934"/>
      <c r="B403" s="145"/>
      <c r="C403" s="137"/>
      <c r="D403" s="137"/>
      <c r="E403" s="494"/>
      <c r="F403" s="495"/>
      <c r="G403" s="664"/>
      <c r="H403" s="496" t="str">
        <f>IF(I403=0,"",(INDEX([1]!AccountCodes[ACCOUNT NAME],MATCH(I403,[1]!AccountCodes[NGAS CODE],0))))</f>
        <v/>
      </c>
      <c r="I403" s="939"/>
      <c r="J403" s="497"/>
      <c r="K403" s="497"/>
      <c r="L403" s="150"/>
    </row>
    <row r="404" spans="1:12">
      <c r="A404" s="934"/>
      <c r="B404" s="145"/>
      <c r="C404" s="137"/>
      <c r="D404" s="137"/>
      <c r="E404" s="494"/>
      <c r="F404" s="495"/>
      <c r="G404" s="664"/>
      <c r="H404" s="496" t="str">
        <f>IF(I404=0,"",(INDEX([1]!AccountCodes[ACCOUNT NAME],MATCH(I404,[1]!AccountCodes[NGAS CODE],0))))</f>
        <v/>
      </c>
      <c r="I404" s="939"/>
      <c r="J404" s="497"/>
      <c r="K404" s="497"/>
      <c r="L404" s="150"/>
    </row>
    <row r="405" spans="1:12">
      <c r="A405" s="934"/>
      <c r="B405" s="662"/>
      <c r="C405" s="663"/>
      <c r="D405" s="663"/>
      <c r="E405" s="494"/>
      <c r="F405" s="495"/>
      <c r="G405" s="664"/>
      <c r="H405" s="496" t="str">
        <f>IF(I405=0,"",(INDEX([1]!AccountCodes[ACCOUNT NAME],MATCH(I405,[1]!AccountCodes[NGAS CODE],0))))</f>
        <v/>
      </c>
      <c r="I405" s="939"/>
      <c r="J405" s="497"/>
      <c r="K405" s="497"/>
      <c r="L405" s="150"/>
    </row>
    <row r="406" spans="1:12">
      <c r="A406" s="934"/>
      <c r="B406" s="662"/>
      <c r="C406" s="663"/>
      <c r="D406" s="663"/>
      <c r="E406" s="494"/>
      <c r="F406" s="495"/>
      <c r="G406" s="664"/>
      <c r="H406" s="496" t="str">
        <f>IF(I406=0,"",(INDEX([1]!AccountCodes[ACCOUNT NAME],MATCH(I406,[1]!AccountCodes[NGAS CODE],0))))</f>
        <v/>
      </c>
      <c r="I406" s="939"/>
      <c r="J406" s="497"/>
      <c r="K406" s="497"/>
      <c r="L406" s="150"/>
    </row>
    <row r="407" spans="1:12">
      <c r="A407" s="934"/>
      <c r="B407" s="662"/>
      <c r="C407" s="663"/>
      <c r="D407" s="663"/>
      <c r="E407" s="494"/>
      <c r="F407" s="495"/>
      <c r="G407" s="664"/>
      <c r="H407" s="496" t="str">
        <f>IF(I407=0,"",(INDEX([1]!AccountCodes[ACCOUNT NAME],MATCH(I407,[1]!AccountCodes[NGAS CODE],0))))</f>
        <v/>
      </c>
      <c r="I407" s="939"/>
      <c r="J407" s="497"/>
      <c r="K407" s="497"/>
      <c r="L407" s="150"/>
    </row>
    <row r="408" spans="1:12">
      <c r="A408" s="934"/>
      <c r="B408" s="662"/>
      <c r="C408" s="663"/>
      <c r="D408" s="663"/>
      <c r="E408" s="494"/>
      <c r="F408" s="495"/>
      <c r="G408" s="664"/>
      <c r="H408" s="496" t="str">
        <f>IF(I408=0,"",(INDEX([1]!AccountCodes[ACCOUNT NAME],MATCH(I408,[1]!AccountCodes[NGAS CODE],0))))</f>
        <v/>
      </c>
      <c r="I408" s="939"/>
      <c r="J408" s="497"/>
      <c r="K408" s="497"/>
      <c r="L408" s="150"/>
    </row>
    <row r="409" spans="1:12">
      <c r="A409" s="541"/>
      <c r="B409" s="662"/>
      <c r="C409" s="663"/>
      <c r="D409" s="663"/>
      <c r="E409" s="494"/>
      <c r="F409" s="495"/>
      <c r="G409" s="143"/>
      <c r="H409" s="496" t="str">
        <f>IF(I409=0,"",(INDEX([1]!AccountCodes[ACCOUNT NAME],MATCH(I409,[1]!AccountCodes[NGAS CODE],0))))</f>
        <v/>
      </c>
      <c r="I409" s="939"/>
      <c r="J409" s="497"/>
      <c r="K409" s="497"/>
      <c r="L409" s="150"/>
    </row>
    <row r="410" spans="1:12">
      <c r="A410" s="541"/>
      <c r="B410" s="662"/>
      <c r="C410" s="663"/>
      <c r="D410" s="663"/>
      <c r="E410" s="662"/>
      <c r="F410" s="663"/>
      <c r="G410" s="664"/>
      <c r="H410" s="496" t="str">
        <f>IF(I410=0,"",(INDEX([1]!AccountCodes[ACCOUNT NAME],MATCH(I410,[1]!AccountCodes[NGAS CODE],0))))</f>
        <v/>
      </c>
      <c r="I410" s="665"/>
      <c r="J410" s="666"/>
      <c r="K410" s="666"/>
      <c r="L410" s="150"/>
    </row>
    <row r="413" spans="1:12">
      <c r="E413" s="737" t="s">
        <v>1592</v>
      </c>
      <c r="I413" s="737" t="s">
        <v>353</v>
      </c>
      <c r="J413" s="24"/>
      <c r="K413" s="709"/>
    </row>
    <row r="414" spans="1:12">
      <c r="I414" s="24"/>
      <c r="J414" s="24"/>
      <c r="K414" s="709"/>
    </row>
    <row r="415" spans="1:12" ht="31.5" customHeight="1">
      <c r="I415" s="24"/>
      <c r="J415" s="24"/>
      <c r="K415" s="1275" t="s">
        <v>1559</v>
      </c>
      <c r="L415" s="1275"/>
    </row>
    <row r="416" spans="1:12" ht="17.25" customHeight="1">
      <c r="I416" s="24"/>
      <c r="J416" s="24"/>
      <c r="K416" s="1275" t="s">
        <v>742</v>
      </c>
      <c r="L416" s="1275"/>
    </row>
  </sheetData>
  <sheetProtection autoFilter="0" pivotTables="0"/>
  <mergeCells count="2">
    <mergeCell ref="K415:L415"/>
    <mergeCell ref="K416:L416"/>
  </mergeCells>
  <phoneticPr fontId="106" type="noConversion"/>
  <printOptions horizontalCentered="1"/>
  <pageMargins left="3.937007874015748E-2" right="3.937007874015748E-2" top="0.74803149606299213" bottom="0.11811023622047245" header="0.31496062992125984" footer="0.31496062992125984"/>
  <pageSetup paperSize="256" scale="57"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8000"/>
  </sheetPr>
  <dimension ref="A1:C7"/>
  <sheetViews>
    <sheetView workbookViewId="0">
      <selection activeCell="A5" sqref="A5:A6"/>
    </sheetView>
  </sheetViews>
  <sheetFormatPr defaultRowHeight="15.75"/>
  <cols>
    <col min="1" max="1" width="12.75" bestFit="1" customWidth="1"/>
    <col min="2" max="2" width="11.75" bestFit="1" customWidth="1"/>
    <col min="3" max="3" width="12.375" bestFit="1" customWidth="1"/>
  </cols>
  <sheetData>
    <row r="1" spans="1:3">
      <c r="A1" s="135" t="s">
        <v>722</v>
      </c>
      <c r="B1" t="s">
        <v>2150</v>
      </c>
    </row>
    <row r="3" spans="1:3">
      <c r="B3" s="135" t="s">
        <v>851</v>
      </c>
    </row>
    <row r="4" spans="1:3">
      <c r="A4" s="135" t="s">
        <v>716</v>
      </c>
      <c r="B4" t="s">
        <v>852</v>
      </c>
      <c r="C4" t="s">
        <v>853</v>
      </c>
    </row>
    <row r="5" spans="1:3">
      <c r="A5" s="136" t="s">
        <v>278</v>
      </c>
      <c r="B5" s="1025">
        <v>5358.64</v>
      </c>
      <c r="C5" s="1025"/>
    </row>
    <row r="6" spans="1:3">
      <c r="A6" s="136" t="s">
        <v>88</v>
      </c>
      <c r="B6" s="1025"/>
      <c r="C6" s="1025">
        <v>5358.64</v>
      </c>
    </row>
    <row r="7" spans="1:3">
      <c r="A7" s="136" t="s">
        <v>717</v>
      </c>
      <c r="B7" s="1025">
        <v>5358.64</v>
      </c>
      <c r="C7" s="1025">
        <v>5358.64</v>
      </c>
    </row>
  </sheetData>
  <pageMargins left="0.7" right="0.7" top="0.75" bottom="0.75" header="0.3" footer="0.3"/>
  <pageSetup orientation="portrait" horizontalDpi="360" verticalDpi="360"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8000"/>
  </sheetPr>
  <dimension ref="A1:V68"/>
  <sheetViews>
    <sheetView showZeros="0" view="pageBreakPreview" zoomScale="80" zoomScaleNormal="100" zoomScaleSheetLayoutView="80" workbookViewId="0">
      <selection activeCell="L43" sqref="L43"/>
    </sheetView>
  </sheetViews>
  <sheetFormatPr defaultColWidth="9" defaultRowHeight="15.75"/>
  <cols>
    <col min="1" max="1" width="6" style="25" customWidth="1"/>
    <col min="2" max="3" width="2.125" style="25" customWidth="1"/>
    <col min="4" max="4" width="4.875" style="25" customWidth="1"/>
    <col min="5" max="5" width="8.125" style="25" customWidth="1"/>
    <col min="6" max="6" width="5.5" style="25" customWidth="1"/>
    <col min="7" max="7" width="0.875" style="25" customWidth="1"/>
    <col min="8" max="8" width="4.125" style="25" customWidth="1"/>
    <col min="9" max="9" width="26" style="25" customWidth="1"/>
    <col min="10" max="10" width="4.125" style="25" customWidth="1"/>
    <col min="11" max="11" width="9.5" style="25" customWidth="1"/>
    <col min="12" max="12" width="14.125" style="86" customWidth="1"/>
    <col min="13" max="13" width="4.875" style="25" customWidth="1"/>
    <col min="14" max="14" width="14.125" style="25" hidden="1" customWidth="1"/>
    <col min="15" max="15" width="13.875" style="25" hidden="1" customWidth="1"/>
    <col min="16" max="16" width="10.625" style="25" customWidth="1"/>
    <col min="17" max="17" width="2.125" style="25" customWidth="1"/>
    <col min="18" max="18" width="2.625" style="25" customWidth="1"/>
    <col min="19" max="20" width="2.125" style="25" customWidth="1"/>
    <col min="21" max="22" width="5.625" style="25" customWidth="1"/>
    <col min="23" max="16384" width="9" style="25"/>
  </cols>
  <sheetData>
    <row r="1" spans="1:22" ht="22.5">
      <c r="A1" s="981" t="s">
        <v>441</v>
      </c>
      <c r="B1" s="982"/>
      <c r="C1" s="982"/>
      <c r="D1" s="982"/>
      <c r="E1" s="982"/>
      <c r="F1" s="982"/>
      <c r="G1" s="982"/>
      <c r="H1" s="982"/>
      <c r="I1" s="982"/>
      <c r="J1" s="982"/>
      <c r="K1" s="982"/>
      <c r="L1" s="982"/>
      <c r="M1" s="982"/>
      <c r="N1" s="982"/>
      <c r="O1" s="982"/>
      <c r="P1" s="982"/>
      <c r="Q1" s="983"/>
      <c r="R1" s="1286">
        <f>+P59-S59</f>
        <v>0</v>
      </c>
      <c r="S1" s="1287"/>
      <c r="T1" s="1287"/>
      <c r="U1" s="1287"/>
      <c r="V1" s="1288"/>
    </row>
    <row r="2" spans="1:22">
      <c r="A2" s="984" t="s">
        <v>1558</v>
      </c>
      <c r="B2" s="35"/>
      <c r="C2" s="35"/>
      <c r="D2" s="35"/>
      <c r="E2" s="35"/>
      <c r="F2" s="35"/>
      <c r="G2" s="35"/>
      <c r="H2" s="35"/>
      <c r="I2" s="35"/>
      <c r="J2" s="35"/>
      <c r="K2" s="35"/>
      <c r="L2" s="35"/>
      <c r="M2" s="35"/>
      <c r="N2" s="35"/>
      <c r="O2" s="35"/>
      <c r="P2" s="35"/>
      <c r="Q2" s="36"/>
      <c r="R2" s="37" t="s">
        <v>443</v>
      </c>
      <c r="S2"/>
      <c r="T2" s="1221" t="s">
        <v>2150</v>
      </c>
      <c r="U2" s="1221"/>
      <c r="V2" s="1289"/>
    </row>
    <row r="3" spans="1:22">
      <c r="A3" s="985" t="s">
        <v>444</v>
      </c>
      <c r="B3" s="35"/>
      <c r="C3" s="35"/>
      <c r="D3" s="35"/>
      <c r="E3" s="35"/>
      <c r="F3" s="35"/>
      <c r="G3" s="35"/>
      <c r="H3" s="35"/>
      <c r="I3" s="35"/>
      <c r="J3" s="35"/>
      <c r="K3" s="35"/>
      <c r="L3" s="35"/>
      <c r="M3" s="35"/>
      <c r="N3" s="35"/>
      <c r="O3" s="35"/>
      <c r="P3" s="35"/>
      <c r="Q3" s="36"/>
      <c r="R3" s="37" t="s">
        <v>0</v>
      </c>
      <c r="S3"/>
      <c r="T3" s="1223">
        <v>45291</v>
      </c>
      <c r="U3" s="1223"/>
      <c r="V3" s="1290"/>
    </row>
    <row r="4" spans="1:22" ht="16.5" thickBot="1">
      <c r="A4" s="986"/>
      <c r="B4" s="40"/>
      <c r="C4" s="40"/>
      <c r="D4" s="40"/>
      <c r="E4" s="40"/>
      <c r="F4" s="40"/>
      <c r="G4" s="40"/>
      <c r="H4" s="40"/>
      <c r="I4" s="40"/>
      <c r="J4" s="40"/>
      <c r="K4" s="40"/>
      <c r="L4" s="40"/>
      <c r="M4" s="40"/>
      <c r="N4" s="40"/>
      <c r="O4" s="40"/>
      <c r="P4" s="40"/>
      <c r="Q4" s="41"/>
      <c r="R4" s="42"/>
      <c r="S4" s="43"/>
      <c r="T4" s="43"/>
      <c r="U4" s="43"/>
      <c r="V4" s="987"/>
    </row>
    <row r="5" spans="1:22">
      <c r="A5" s="988"/>
      <c r="B5" s="46"/>
      <c r="C5" s="46"/>
      <c r="D5" s="46"/>
      <c r="E5" s="46"/>
      <c r="F5" s="46"/>
      <c r="G5" s="46"/>
      <c r="H5" s="46"/>
      <c r="I5" s="46"/>
      <c r="J5" s="46"/>
      <c r="K5" s="46"/>
      <c r="L5" s="47"/>
      <c r="M5" s="46"/>
      <c r="N5" s="46"/>
      <c r="O5" s="46"/>
      <c r="P5" s="46"/>
      <c r="Q5" s="46"/>
      <c r="R5" s="46"/>
      <c r="S5" s="46"/>
      <c r="T5" s="46"/>
      <c r="U5" s="46"/>
      <c r="V5" s="989"/>
    </row>
    <row r="6" spans="1:22">
      <c r="A6" s="931"/>
      <c r="B6" s="1225"/>
      <c r="C6" s="1225"/>
      <c r="D6" s="50" t="s">
        <v>445</v>
      </c>
      <c r="H6" s="51"/>
      <c r="I6" s="25" t="s">
        <v>447</v>
      </c>
      <c r="J6" s="14"/>
      <c r="K6" s="52" t="s">
        <v>448</v>
      </c>
      <c r="L6" s="52"/>
      <c r="Q6" s="1225" t="s">
        <v>446</v>
      </c>
      <c r="R6" s="1225"/>
      <c r="S6" s="50" t="s">
        <v>449</v>
      </c>
      <c r="T6" s="50"/>
      <c r="U6" s="50"/>
      <c r="V6" s="990"/>
    </row>
    <row r="7" spans="1:22" ht="16.5" thickBot="1">
      <c r="A7" s="933"/>
      <c r="B7" s="55"/>
      <c r="C7" s="55"/>
      <c r="D7" s="55"/>
      <c r="E7" s="55"/>
      <c r="F7" s="55"/>
      <c r="G7" s="55"/>
      <c r="H7" s="55"/>
      <c r="I7" s="55"/>
      <c r="J7" s="55"/>
      <c r="K7" s="55"/>
      <c r="L7" s="56"/>
      <c r="M7" s="55"/>
      <c r="N7" s="55"/>
      <c r="O7" s="55"/>
      <c r="P7" s="55"/>
      <c r="Q7" s="55"/>
      <c r="R7" s="55"/>
      <c r="S7" s="55"/>
      <c r="T7" s="55"/>
      <c r="U7" s="55"/>
      <c r="V7" s="991"/>
    </row>
    <row r="8" spans="1:22">
      <c r="A8" s="1291" t="s">
        <v>397</v>
      </c>
      <c r="B8" s="1227"/>
      <c r="C8" s="1227"/>
      <c r="D8" s="1228"/>
      <c r="E8" s="1235" t="s">
        <v>450</v>
      </c>
      <c r="F8" s="1235"/>
      <c r="G8" s="1235"/>
      <c r="H8" s="1235"/>
      <c r="I8" s="1235"/>
      <c r="J8" s="1235"/>
      <c r="K8" s="1235"/>
      <c r="L8" s="1235"/>
      <c r="M8" s="1235"/>
      <c r="N8" s="1235"/>
      <c r="O8" s="1235"/>
      <c r="P8" s="1235"/>
      <c r="Q8" s="1235"/>
      <c r="R8" s="1235"/>
      <c r="S8" s="1235"/>
      <c r="T8" s="1235"/>
      <c r="U8" s="1235"/>
      <c r="V8" s="1235"/>
    </row>
    <row r="9" spans="1:22">
      <c r="A9" s="1292"/>
      <c r="B9" s="1230"/>
      <c r="C9" s="1230"/>
      <c r="D9" s="1231"/>
      <c r="E9" s="1237" t="s">
        <v>451</v>
      </c>
      <c r="F9" s="1237"/>
      <c r="G9" s="1237"/>
      <c r="H9" s="1237"/>
      <c r="I9" s="1237"/>
      <c r="J9" s="1237"/>
      <c r="K9" s="1239" t="s">
        <v>378</v>
      </c>
      <c r="L9" s="1239"/>
      <c r="M9" s="1237" t="s">
        <v>452</v>
      </c>
      <c r="N9" s="1240" t="s">
        <v>453</v>
      </c>
      <c r="O9" s="1241"/>
      <c r="P9" s="1241"/>
      <c r="Q9" s="1241"/>
      <c r="R9" s="1241"/>
      <c r="S9" s="1241"/>
      <c r="T9" s="1241"/>
      <c r="U9" s="1241"/>
      <c r="V9" s="1252"/>
    </row>
    <row r="10" spans="1:22" ht="16.5" customHeight="1" thickBot="1">
      <c r="A10" s="1293"/>
      <c r="B10" s="1233"/>
      <c r="C10" s="1233"/>
      <c r="D10" s="1234"/>
      <c r="E10" s="1238"/>
      <c r="F10" s="1238"/>
      <c r="G10" s="1238"/>
      <c r="H10" s="1238"/>
      <c r="I10" s="1238"/>
      <c r="J10" s="1238"/>
      <c r="K10" s="58" t="s">
        <v>454</v>
      </c>
      <c r="L10" s="58" t="s">
        <v>455</v>
      </c>
      <c r="M10" s="1238"/>
      <c r="N10" s="87" t="s">
        <v>466</v>
      </c>
      <c r="O10" s="87" t="s">
        <v>467</v>
      </c>
      <c r="P10" s="1243" t="s">
        <v>1</v>
      </c>
      <c r="Q10" s="1244"/>
      <c r="R10" s="1245"/>
      <c r="S10" s="1243" t="s">
        <v>2</v>
      </c>
      <c r="T10" s="1244"/>
      <c r="U10" s="1244"/>
      <c r="V10" s="1245"/>
    </row>
    <row r="11" spans="1:22" ht="19.5">
      <c r="A11" s="1211">
        <f>P59-S59</f>
        <v>0</v>
      </c>
      <c r="B11" s="1211"/>
      <c r="C11" s="1211"/>
      <c r="D11" s="1211"/>
      <c r="E11" s="1212" t="str">
        <f>Account!$G$1</f>
        <v>FUND 501 CARP</v>
      </c>
      <c r="F11" s="1213"/>
      <c r="G11" s="1213"/>
      <c r="H11" s="1213"/>
      <c r="I11" s="1213"/>
      <c r="J11" s="1214"/>
      <c r="K11" s="59"/>
      <c r="L11" s="59"/>
      <c r="M11" s="60"/>
      <c r="N11" s="60"/>
      <c r="O11" s="60"/>
      <c r="P11" s="1215"/>
      <c r="Q11" s="1215"/>
      <c r="R11" s="1215"/>
      <c r="S11" s="1215"/>
      <c r="T11" s="1215"/>
      <c r="U11" s="1215"/>
      <c r="V11" s="1215"/>
    </row>
    <row r="12" spans="1:22">
      <c r="A12" s="1196"/>
      <c r="B12" s="1196"/>
      <c r="C12" s="1196"/>
      <c r="D12" s="1196"/>
      <c r="E12" s="1196"/>
      <c r="F12" s="1196"/>
      <c r="G12" s="1196"/>
      <c r="H12" s="1196"/>
      <c r="I12" s="1196"/>
      <c r="J12" s="1196"/>
      <c r="K12" s="61"/>
      <c r="L12" s="61"/>
      <c r="M12" s="14"/>
      <c r="N12" s="14"/>
      <c r="O12" s="14"/>
      <c r="P12" s="1196"/>
      <c r="Q12" s="1196"/>
      <c r="R12" s="1196"/>
      <c r="S12" s="1196"/>
      <c r="T12" s="1196"/>
      <c r="U12" s="1196"/>
      <c r="V12" s="1196"/>
    </row>
    <row r="13" spans="1:22">
      <c r="A13" s="1196"/>
      <c r="B13" s="1196"/>
      <c r="C13" s="1196"/>
      <c r="D13" s="1196"/>
      <c r="E13" s="1197" t="str">
        <f>IF(K13=0,0,(INDEX(AccountCodes[ACCOUNT NAME],MATCH(K13,AccountCodes[NGAS CODE],0))))</f>
        <v>Depreciation-Machinery and Equipment - Office Equipment</v>
      </c>
      <c r="F13" s="1198"/>
      <c r="G13" s="1198"/>
      <c r="H13" s="1198"/>
      <c r="I13" s="1198"/>
      <c r="J13" s="1199"/>
      <c r="K13" s="1026" t="s">
        <v>278</v>
      </c>
      <c r="L13" s="62">
        <f t="array" ref="L13">IF(K13=0,0,(INDEX(AccountCodes[PPSAS CODE],MATCH(K13,AccountCodes[NGAS CODE],0))))</f>
        <v>5050105002</v>
      </c>
      <c r="M13" s="14"/>
      <c r="N13" s="89">
        <f t="array" ref="N13">SUM(IF((GJ[JEV Number]=TRIM($T2))*(GJ[Account Code]=TRIM(K13)),GJ[Debit]))</f>
        <v>0</v>
      </c>
      <c r="O13" s="89">
        <f t="array" ref="O13">SUM(IF((GJ[JEV Number]=TRIM($T2))*(GJ[Account Code]=TRIM(K13)),GJ[Credit]))</f>
        <v>0</v>
      </c>
      <c r="P13" s="1200">
        <f t="shared" ref="P13:P33" si="0">N13</f>
        <v>0</v>
      </c>
      <c r="Q13" s="1200"/>
      <c r="R13" s="1200"/>
      <c r="S13" s="1200">
        <f t="shared" ref="S13:S33" si="1">O13</f>
        <v>0</v>
      </c>
      <c r="T13" s="1200"/>
      <c r="U13" s="1200"/>
      <c r="V13" s="1200"/>
    </row>
    <row r="14" spans="1:22">
      <c r="A14" s="1196"/>
      <c r="B14" s="1196"/>
      <c r="C14" s="1196"/>
      <c r="D14" s="1196"/>
      <c r="E14" s="1197" t="str">
        <f>IF(K14=0,0,(INDEX(AccountCodes[ACCOUNT NAME],MATCH(K14,AccountCodes[NGAS CODE],0))))</f>
        <v>Accumulated Depreciation-Office Equipment</v>
      </c>
      <c r="F14" s="1198"/>
      <c r="G14" s="1198"/>
      <c r="H14" s="1198"/>
      <c r="I14" s="1198"/>
      <c r="J14" s="1199"/>
      <c r="K14" s="1027" t="s">
        <v>88</v>
      </c>
      <c r="L14" s="62">
        <f t="array" ref="L14">IF(K14=0,0,(INDEX(AccountCodes[PPSAS CODE],MATCH(K14,AccountCodes[NGAS CODE],0))))</f>
        <v>1060502100</v>
      </c>
      <c r="M14" s="14"/>
      <c r="N14" s="89">
        <f t="array" ref="N14">SUM(IF((GJ[JEV Number]=TRIM($T2))*(GJ[Account Code]=TRIM(K14)),GJ[Debit]))</f>
        <v>0</v>
      </c>
      <c r="O14" s="89">
        <f t="array" ref="O14">SUM(IF((GJ[JEV Number]=TRIM($T2))*(GJ[Account Code]=TRIM(K14)),GJ[Credit]))</f>
        <v>0</v>
      </c>
      <c r="P14" s="1200">
        <f t="shared" si="0"/>
        <v>0</v>
      </c>
      <c r="Q14" s="1200"/>
      <c r="R14" s="1200"/>
      <c r="S14" s="1200">
        <f t="shared" si="1"/>
        <v>0</v>
      </c>
      <c r="T14" s="1200"/>
      <c r="U14" s="1200"/>
      <c r="V14" s="1200"/>
    </row>
    <row r="15" spans="1:22">
      <c r="A15" s="1196"/>
      <c r="B15" s="1196"/>
      <c r="C15" s="1196"/>
      <c r="D15" s="1196"/>
      <c r="E15" s="1197"/>
      <c r="F15" s="1198"/>
      <c r="G15" s="1198"/>
      <c r="H15" s="1198"/>
      <c r="I15" s="1198"/>
      <c r="J15" s="1199"/>
      <c r="K15" s="806"/>
      <c r="L15" s="62"/>
      <c r="M15" s="14"/>
      <c r="N15" s="89">
        <f t="array" ref="N15">SUM(IF((GJ[JEV Number]=TRIM($T2))*(GJ[Account Code]=TRIM(K15)),GJ[Debit]))</f>
        <v>0</v>
      </c>
      <c r="O15" s="89">
        <f t="array" ref="O15">SUM(IF((GJ[JEV Number]=TRIM($T2))*(GJ[Account Code]=TRIM(K15)),GJ[Credit]))</f>
        <v>0</v>
      </c>
      <c r="P15" s="1200">
        <f t="shared" si="0"/>
        <v>0</v>
      </c>
      <c r="Q15" s="1200"/>
      <c r="R15" s="1200"/>
      <c r="S15" s="1200">
        <f t="shared" si="1"/>
        <v>0</v>
      </c>
      <c r="T15" s="1200"/>
      <c r="U15" s="1200"/>
      <c r="V15" s="1200"/>
    </row>
    <row r="16" spans="1:22">
      <c r="A16" s="1196"/>
      <c r="B16" s="1196"/>
      <c r="C16" s="1196"/>
      <c r="D16" s="1196"/>
      <c r="E16" s="1197"/>
      <c r="F16" s="1198"/>
      <c r="G16" s="1198"/>
      <c r="H16" s="1198"/>
      <c r="I16" s="1198"/>
      <c r="J16" s="1199"/>
      <c r="K16" s="806"/>
      <c r="L16" s="62"/>
      <c r="M16" s="14"/>
      <c r="N16" s="89">
        <f t="array" ref="N16">SUM(IF((GJ[JEV Number]=TRIM($T2))*(GJ[Account Code]=TRIM(K16)),GJ[Debit]))</f>
        <v>0</v>
      </c>
      <c r="O16" s="89">
        <f t="array" ref="O16">SUM(IF((GJ[JEV Number]=TRIM($T2))*(GJ[Account Code]=TRIM(K16)),GJ[Credit]))</f>
        <v>0</v>
      </c>
      <c r="P16" s="1200">
        <f t="shared" si="0"/>
        <v>0</v>
      </c>
      <c r="Q16" s="1200"/>
      <c r="R16" s="1200"/>
      <c r="S16" s="1200">
        <f t="shared" si="1"/>
        <v>0</v>
      </c>
      <c r="T16" s="1200"/>
      <c r="U16" s="1200"/>
      <c r="V16" s="1200"/>
    </row>
    <row r="17" spans="1:22">
      <c r="A17" s="1196"/>
      <c r="B17" s="1196"/>
      <c r="C17" s="1196"/>
      <c r="D17" s="1196"/>
      <c r="E17" s="1197">
        <f>IF(K17=0,0,(INDEX(AccountCodes[ACCOUNT NAME],MATCH(K17,AccountCodes[NGAS CODE],0))))</f>
        <v>0</v>
      </c>
      <c r="F17" s="1198"/>
      <c r="G17" s="1198"/>
      <c r="H17" s="1198"/>
      <c r="I17" s="1198"/>
      <c r="J17" s="1199"/>
      <c r="K17" s="806"/>
      <c r="L17" s="62">
        <f t="array" ref="L17">IF(K17=0,0,(INDEX(AccountCodes[PPSAS CODE],MATCH(K17,AccountCodes[NGAS CODE],0))))</f>
        <v>0</v>
      </c>
      <c r="M17" s="14"/>
      <c r="N17" s="89">
        <f t="array" ref="N17">SUM(IF((GJ[JEV Number]=TRIM($T2))*(GJ[Account Code]=TRIM(K17)),GJ[Debit]))</f>
        <v>0</v>
      </c>
      <c r="O17" s="89">
        <f t="array" ref="O17">SUM(IF((GJ[JEV Number]=TRIM($T2))*(GJ[Account Code]=TRIM(K17)),GJ[Credit]))</f>
        <v>0</v>
      </c>
      <c r="P17" s="1200">
        <f t="shared" si="0"/>
        <v>0</v>
      </c>
      <c r="Q17" s="1200"/>
      <c r="R17" s="1200"/>
      <c r="S17" s="1200">
        <f t="shared" si="1"/>
        <v>0</v>
      </c>
      <c r="T17" s="1200"/>
      <c r="U17" s="1200"/>
      <c r="V17" s="1200"/>
    </row>
    <row r="18" spans="1:22">
      <c r="A18" s="1196"/>
      <c r="B18" s="1196"/>
      <c r="C18" s="1196"/>
      <c r="D18" s="1196"/>
      <c r="E18" s="1197">
        <f>IF(K18=0,0,(INDEX(AccountCodes[ACCOUNT NAME],MATCH(K18,AccountCodes[NGAS CODE],0))))</f>
        <v>0</v>
      </c>
      <c r="F18" s="1198"/>
      <c r="G18" s="1198"/>
      <c r="H18" s="1198"/>
      <c r="I18" s="1198"/>
      <c r="J18" s="1199"/>
      <c r="K18" s="806"/>
      <c r="L18" s="62">
        <f t="array" ref="L18">IF(K18=0,0,(INDEX(AccountCodes[PPSAS CODE],MATCH(K18,AccountCodes[NGAS CODE],0))))</f>
        <v>0</v>
      </c>
      <c r="M18" s="14"/>
      <c r="N18" s="89">
        <f t="array" ref="N18">SUM(IF((GJ[JEV Number]=TRIM($T2))*(GJ[Account Code]=TRIM(K18)),GJ[Debit]))</f>
        <v>0</v>
      </c>
      <c r="O18" s="89">
        <f t="array" ref="O18">SUM(IF((GJ[JEV Number]=TRIM($T2))*(GJ[Account Code]=TRIM(K18)),GJ[Credit]))</f>
        <v>0</v>
      </c>
      <c r="P18" s="1200">
        <f t="shared" si="0"/>
        <v>0</v>
      </c>
      <c r="Q18" s="1200"/>
      <c r="R18" s="1200"/>
      <c r="S18" s="1200">
        <f t="shared" si="1"/>
        <v>0</v>
      </c>
      <c r="T18" s="1200"/>
      <c r="U18" s="1200"/>
      <c r="V18" s="1200"/>
    </row>
    <row r="19" spans="1:22">
      <c r="A19" s="1196"/>
      <c r="B19" s="1196"/>
      <c r="C19" s="1196"/>
      <c r="D19" s="1196"/>
      <c r="E19" s="1197">
        <f>IF(K19=0,0,(INDEX(AccountCodes[ACCOUNT NAME],MATCH(K19,AccountCodes[NGAS CODE],0))))</f>
        <v>0</v>
      </c>
      <c r="F19" s="1198"/>
      <c r="G19" s="1198"/>
      <c r="H19" s="1198"/>
      <c r="I19" s="1198"/>
      <c r="J19" s="1199"/>
      <c r="K19" s="861"/>
      <c r="L19" s="62">
        <f t="array" ref="L19">IF(K19=0,0,(INDEX(AccountCodes[PPSAS CODE],MATCH(K19,AccountCodes[NGAS CODE],0))))</f>
        <v>0</v>
      </c>
      <c r="M19" s="14"/>
      <c r="N19" s="89">
        <f t="array" ref="N19">SUM(IF((GJ[JEV Number]=TRIM($T2))*(GJ[Account Code]=TRIM(K19)),GJ[Debit]))</f>
        <v>0</v>
      </c>
      <c r="O19" s="89">
        <f t="array" ref="O19">SUM(IF((GJ[JEV Number]=TRIM($T2))*(GJ[Account Code]=TRIM(K19)),GJ[Credit]))</f>
        <v>0</v>
      </c>
      <c r="P19" s="1200">
        <f t="shared" si="0"/>
        <v>0</v>
      </c>
      <c r="Q19" s="1200"/>
      <c r="R19" s="1200"/>
      <c r="S19" s="1200">
        <f t="shared" si="1"/>
        <v>0</v>
      </c>
      <c r="T19" s="1200"/>
      <c r="U19" s="1200"/>
      <c r="V19" s="1200"/>
    </row>
    <row r="20" spans="1:22">
      <c r="A20" s="1196"/>
      <c r="B20" s="1196"/>
      <c r="C20" s="1196"/>
      <c r="D20" s="1196"/>
      <c r="E20" s="1197">
        <f>IF(K20=0,0,(INDEX(AccountCodes[ACCOUNT NAME],MATCH(K20,AccountCodes[NGAS CODE],0))))</f>
        <v>0</v>
      </c>
      <c r="F20" s="1198"/>
      <c r="G20" s="1198"/>
      <c r="H20" s="1198"/>
      <c r="I20" s="1198"/>
      <c r="J20" s="1199"/>
      <c r="K20" s="806"/>
      <c r="L20" s="62">
        <f t="array" ref="L20">IF(K20=0,0,(INDEX(AccountCodes[PPSAS CODE],MATCH(K20,AccountCodes[NGAS CODE],0))))</f>
        <v>0</v>
      </c>
      <c r="M20" s="14"/>
      <c r="N20" s="89">
        <f t="array" ref="N20">SUM(IF((GJ[JEV Number]=TRIM($T2))*(GJ[Account Code]=TRIM(K20)),GJ[Debit]))</f>
        <v>0</v>
      </c>
      <c r="O20" s="89">
        <f t="array" ref="O20">SUM(IF((GJ[JEV Number]=TRIM($T2))*(GJ[Account Code]=TRIM(K20)),GJ[Credit]))</f>
        <v>0</v>
      </c>
      <c r="P20" s="1200">
        <f t="shared" si="0"/>
        <v>0</v>
      </c>
      <c r="Q20" s="1200"/>
      <c r="R20" s="1200"/>
      <c r="S20" s="1200">
        <f t="shared" si="1"/>
        <v>0</v>
      </c>
      <c r="T20" s="1200"/>
      <c r="U20" s="1200"/>
      <c r="V20" s="1200"/>
    </row>
    <row r="21" spans="1:22">
      <c r="A21" s="1196"/>
      <c r="B21" s="1196"/>
      <c r="C21" s="1196"/>
      <c r="D21" s="1196"/>
      <c r="E21" s="1197">
        <f>IF(K21=0,0,(INDEX(AccountCodes[ACCOUNT NAME],MATCH(K21,AccountCodes[NGAS CODE],0))))</f>
        <v>0</v>
      </c>
      <c r="F21" s="1198"/>
      <c r="G21" s="1198"/>
      <c r="H21" s="1198"/>
      <c r="I21" s="1198"/>
      <c r="J21" s="1199"/>
      <c r="K21" s="806"/>
      <c r="L21" s="62">
        <f t="array" ref="L21">IF(K21=0,0,(INDEX(AccountCodes[PPSAS CODE],MATCH(K21,AccountCodes[NGAS CODE],0))))</f>
        <v>0</v>
      </c>
      <c r="M21" s="14"/>
      <c r="N21" s="89">
        <f t="array" ref="N21">SUM(IF((GJ[JEV Number]=TRIM($T2))*(GJ[Account Code]=TRIM(K21)),GJ[Debit]))</f>
        <v>0</v>
      </c>
      <c r="O21" s="89">
        <f t="array" ref="O21">SUM(IF((GJ[JEV Number]=TRIM($T2))*(GJ[Account Code]=TRIM(K21)),GJ[Credit]))</f>
        <v>0</v>
      </c>
      <c r="P21" s="1200">
        <f t="shared" si="0"/>
        <v>0</v>
      </c>
      <c r="Q21" s="1200"/>
      <c r="R21" s="1200"/>
      <c r="S21" s="1200">
        <f t="shared" si="1"/>
        <v>0</v>
      </c>
      <c r="T21" s="1200"/>
      <c r="U21" s="1200"/>
      <c r="V21" s="1200"/>
    </row>
    <row r="22" spans="1:22">
      <c r="A22" s="1196"/>
      <c r="B22" s="1196"/>
      <c r="C22" s="1196"/>
      <c r="D22" s="1196"/>
      <c r="E22" s="1197">
        <f>IF(K22=0,0,(INDEX(AccountCodes[ACCOUNT NAME],MATCH(K22,AccountCodes[NGAS CODE],0))))</f>
        <v>0</v>
      </c>
      <c r="F22" s="1198"/>
      <c r="G22" s="1198"/>
      <c r="H22" s="1198"/>
      <c r="I22" s="1198"/>
      <c r="J22" s="1199"/>
      <c r="K22" s="861"/>
      <c r="L22" s="62">
        <f t="array" ref="L22">IF(K22=0,0,(INDEX(AccountCodes[PPSAS CODE],MATCH(K22,AccountCodes[NGAS CODE],0))))</f>
        <v>0</v>
      </c>
      <c r="M22" s="14"/>
      <c r="N22" s="89">
        <f t="array" ref="N22">SUM(IF((GJ[JEV Number]=TRIM($T2))*(GJ[Account Code]=TRIM(K22)),GJ[Debit]))</f>
        <v>0</v>
      </c>
      <c r="O22" s="89">
        <f t="array" ref="O22">SUM(IF((GJ[JEV Number]=TRIM($T2))*(GJ[Account Code]=TRIM(K22)),GJ[Credit]))</f>
        <v>0</v>
      </c>
      <c r="P22" s="1200">
        <f t="shared" si="0"/>
        <v>0</v>
      </c>
      <c r="Q22" s="1200"/>
      <c r="R22" s="1200"/>
      <c r="S22" s="1200">
        <f t="shared" si="1"/>
        <v>0</v>
      </c>
      <c r="T22" s="1200"/>
      <c r="U22" s="1200"/>
      <c r="V22" s="1200"/>
    </row>
    <row r="23" spans="1:22">
      <c r="A23" s="1196"/>
      <c r="B23" s="1196"/>
      <c r="C23" s="1196"/>
      <c r="D23" s="1196"/>
      <c r="E23" s="1197">
        <f>IF(K23=0,0,(INDEX(AccountCodes[ACCOUNT NAME],MATCH(K23,AccountCodes[NGAS CODE],0))))</f>
        <v>0</v>
      </c>
      <c r="F23" s="1198"/>
      <c r="G23" s="1198"/>
      <c r="H23" s="1198"/>
      <c r="I23" s="1198"/>
      <c r="J23" s="1199"/>
      <c r="K23" s="861"/>
      <c r="L23" s="62">
        <f t="array" ref="L23">IF(K23=0,0,(INDEX(AccountCodes[PPSAS CODE],MATCH(K23,AccountCodes[NGAS CODE],0))))</f>
        <v>0</v>
      </c>
      <c r="M23" s="14"/>
      <c r="N23" s="89">
        <f t="array" ref="N23">SUM(IF((GJ[JEV Number]=TRIM($T2))*(GJ[Account Code]=TRIM(K23)),GJ[Debit]))</f>
        <v>0</v>
      </c>
      <c r="O23" s="89">
        <f t="array" ref="O23">SUM(IF((GJ[JEV Number]=TRIM($T2))*(GJ[Account Code]=TRIM(K23)),GJ[Credit]))</f>
        <v>0</v>
      </c>
      <c r="P23" s="1200">
        <f t="shared" si="0"/>
        <v>0</v>
      </c>
      <c r="Q23" s="1200"/>
      <c r="R23" s="1200"/>
      <c r="S23" s="1200">
        <f t="shared" si="1"/>
        <v>0</v>
      </c>
      <c r="T23" s="1200"/>
      <c r="U23" s="1200"/>
      <c r="V23" s="1200"/>
    </row>
    <row r="24" spans="1:22">
      <c r="A24" s="1196"/>
      <c r="B24" s="1196"/>
      <c r="C24" s="1196"/>
      <c r="D24" s="1196"/>
      <c r="E24" s="1197">
        <f>IF(K24=0,0,(INDEX(AccountCodes[ACCOUNT NAME],MATCH(K24,AccountCodes[NGAS CODE],0))))</f>
        <v>0</v>
      </c>
      <c r="F24" s="1198"/>
      <c r="G24" s="1198"/>
      <c r="H24" s="1198"/>
      <c r="I24" s="1198"/>
      <c r="J24" s="1199"/>
      <c r="K24" s="133"/>
      <c r="L24" s="62">
        <f t="array" ref="L24">IF(K24=0,0,(INDEX(AccountCodes[PPSAS CODE],MATCH(K24,AccountCodes[NGAS CODE],0))))</f>
        <v>0</v>
      </c>
      <c r="M24" s="14"/>
      <c r="N24" s="89">
        <f t="array" ref="N24">SUM(IF((GJ[JEV Number]=TRIM($T2))*(GJ[Account Code]=TRIM(K24)),GJ[Debit]))</f>
        <v>0</v>
      </c>
      <c r="O24" s="89">
        <f t="array" ref="O24">SUM(IF((GJ[JEV Number]=TRIM($T2))*(GJ[Account Code]=TRIM(K24)),GJ[Credit]))</f>
        <v>0</v>
      </c>
      <c r="P24" s="1200">
        <f t="shared" si="0"/>
        <v>0</v>
      </c>
      <c r="Q24" s="1200"/>
      <c r="R24" s="1200"/>
      <c r="S24" s="1200">
        <f t="shared" si="1"/>
        <v>0</v>
      </c>
      <c r="T24" s="1200"/>
      <c r="U24" s="1200"/>
      <c r="V24" s="1200"/>
    </row>
    <row r="25" spans="1:22">
      <c r="A25" s="1196"/>
      <c r="B25" s="1196"/>
      <c r="C25" s="1196"/>
      <c r="D25" s="1196"/>
      <c r="E25" s="1197">
        <f>IF(K25=0,0,(INDEX(AccountCodes[ACCOUNT NAME],MATCH(K25,AccountCodes[NGAS CODE],0))))</f>
        <v>0</v>
      </c>
      <c r="F25" s="1198"/>
      <c r="G25" s="1198"/>
      <c r="H25" s="1198"/>
      <c r="I25" s="1198"/>
      <c r="J25" s="1199"/>
      <c r="K25" s="133"/>
      <c r="L25" s="62">
        <f t="array" ref="L25">IF(K25=0,0,(INDEX(AccountCodes[PPSAS CODE],MATCH(K25,AccountCodes[NGAS CODE],0))))</f>
        <v>0</v>
      </c>
      <c r="M25" s="14"/>
      <c r="N25" s="89">
        <f t="array" ref="N25">SUM(IF((GJ[JEV Number]=TRIM($T2))*(GJ[Account Code]=TRIM(K25)),GJ[Debit]))</f>
        <v>0</v>
      </c>
      <c r="O25" s="89">
        <f t="array" ref="O25">SUM(IF((GJ[JEV Number]=TRIM($T2))*(GJ[Account Code]=TRIM(K25)),GJ[Credit]))</f>
        <v>0</v>
      </c>
      <c r="P25" s="1200">
        <f t="shared" si="0"/>
        <v>0</v>
      </c>
      <c r="Q25" s="1200"/>
      <c r="R25" s="1200"/>
      <c r="S25" s="1200">
        <f t="shared" si="1"/>
        <v>0</v>
      </c>
      <c r="T25" s="1200"/>
      <c r="U25" s="1200"/>
      <c r="V25" s="1200"/>
    </row>
    <row r="26" spans="1:22">
      <c r="A26" s="1196"/>
      <c r="B26" s="1196"/>
      <c r="C26" s="1196"/>
      <c r="D26" s="1196"/>
      <c r="E26" s="1197">
        <f>IF(K26=0,0,(INDEX(AccountCodes[ACCOUNT NAME],MATCH(K26,AccountCodes[NGAS CODE],0))))</f>
        <v>0</v>
      </c>
      <c r="F26" s="1198"/>
      <c r="G26" s="1198"/>
      <c r="H26" s="1198"/>
      <c r="I26" s="1198"/>
      <c r="J26" s="1199"/>
      <c r="K26" s="133"/>
      <c r="L26" s="62">
        <f t="array" ref="L26">IF(K26=0,0,(INDEX(AccountCodes[PPSAS CODE],MATCH(K26,AccountCodes[NGAS CODE],0))))</f>
        <v>0</v>
      </c>
      <c r="M26" s="14"/>
      <c r="N26" s="89">
        <f t="array" ref="N26">SUM(IF((GJ[JEV Number]=TRIM($T2))*(GJ[Account Code]=TRIM(K26)),GJ[Debit]))</f>
        <v>0</v>
      </c>
      <c r="O26" s="89">
        <f t="array" ref="O26">SUM(IF((GJ[JEV Number]=TRIM($T2))*(GJ[Account Code]=TRIM(K26)),GJ[Credit]))</f>
        <v>0</v>
      </c>
      <c r="P26" s="1200">
        <f t="shared" si="0"/>
        <v>0</v>
      </c>
      <c r="Q26" s="1200"/>
      <c r="R26" s="1200"/>
      <c r="S26" s="1200">
        <f t="shared" si="1"/>
        <v>0</v>
      </c>
      <c r="T26" s="1200"/>
      <c r="U26" s="1200"/>
      <c r="V26" s="1200"/>
    </row>
    <row r="27" spans="1:22">
      <c r="A27" s="1196"/>
      <c r="B27" s="1196"/>
      <c r="C27" s="1196"/>
      <c r="D27" s="1196"/>
      <c r="E27" s="1197">
        <f>IF(K27=0,0,(INDEX(AccountCodes[ACCOUNT NAME],MATCH(K27,AccountCodes[NGAS CODE],0))))</f>
        <v>0</v>
      </c>
      <c r="F27" s="1198"/>
      <c r="G27" s="1198"/>
      <c r="H27" s="1198"/>
      <c r="I27" s="1198"/>
      <c r="J27" s="1199"/>
      <c r="K27" s="133"/>
      <c r="L27" s="62">
        <f t="array" ref="L27">IF(K27=0,0,(INDEX(AccountCodes[PPSAS CODE],MATCH(K27,AccountCodes[NGAS CODE],0))))</f>
        <v>0</v>
      </c>
      <c r="M27" s="14"/>
      <c r="N27" s="89">
        <f t="array" ref="N27">SUM(IF((GJ[JEV Number]=TRIM($T2))*(GJ[Account Code]=TRIM(K27)),GJ[Debit]))</f>
        <v>0</v>
      </c>
      <c r="O27" s="89">
        <f t="array" ref="O27">SUM(IF((GJ[JEV Number]=TRIM($T2))*(GJ[Account Code]=TRIM(K27)),GJ[Credit]))</f>
        <v>0</v>
      </c>
      <c r="P27" s="1200">
        <f t="shared" si="0"/>
        <v>0</v>
      </c>
      <c r="Q27" s="1200"/>
      <c r="R27" s="1200"/>
      <c r="S27" s="1200">
        <f t="shared" si="1"/>
        <v>0</v>
      </c>
      <c r="T27" s="1200"/>
      <c r="U27" s="1200"/>
      <c r="V27" s="1200"/>
    </row>
    <row r="28" spans="1:22">
      <c r="A28" s="1196"/>
      <c r="B28" s="1196"/>
      <c r="C28" s="1196"/>
      <c r="D28" s="1196"/>
      <c r="E28" s="1197">
        <f>IF(K28=0,0,(INDEX(AccountCodes[ACCOUNT NAME],MATCH(K28,AccountCodes[NGAS CODE],0))))</f>
        <v>0</v>
      </c>
      <c r="F28" s="1198"/>
      <c r="G28" s="1198"/>
      <c r="H28" s="1198"/>
      <c r="I28" s="1198"/>
      <c r="J28" s="1199"/>
      <c r="K28" s="133"/>
      <c r="L28" s="62">
        <f t="array" ref="L28">IF(K28=0,0,(INDEX(AccountCodes[PPSAS CODE],MATCH(K28,AccountCodes[NGAS CODE],0))))</f>
        <v>0</v>
      </c>
      <c r="M28" s="14"/>
      <c r="N28" s="89">
        <f t="array" ref="N28">SUM(IF((GJ[JEV Number]=TRIM($T2))*(GJ[Account Code]=TRIM(K28)),GJ[Debit]))</f>
        <v>0</v>
      </c>
      <c r="O28" s="89">
        <f t="array" ref="O28">SUM(IF((GJ[JEV Number]=TRIM($T2))*(GJ[Account Code]=TRIM(K28)),GJ[Credit]))</f>
        <v>0</v>
      </c>
      <c r="P28" s="1200">
        <f t="shared" si="0"/>
        <v>0</v>
      </c>
      <c r="Q28" s="1200"/>
      <c r="R28" s="1200"/>
      <c r="S28" s="1200">
        <f t="shared" si="1"/>
        <v>0</v>
      </c>
      <c r="T28" s="1200"/>
      <c r="U28" s="1200"/>
      <c r="V28" s="1200"/>
    </row>
    <row r="29" spans="1:22">
      <c r="A29" s="1196"/>
      <c r="B29" s="1196"/>
      <c r="C29" s="1196"/>
      <c r="D29" s="1196"/>
      <c r="E29" s="1197">
        <f>IF(K29=0,0,(INDEX(AccountCodes[ACCOUNT NAME],MATCH(K29,AccountCodes[NGAS CODE],0))))</f>
        <v>0</v>
      </c>
      <c r="F29" s="1198"/>
      <c r="G29" s="1198"/>
      <c r="H29" s="1198"/>
      <c r="I29" s="1198"/>
      <c r="J29" s="1199"/>
      <c r="K29" s="133"/>
      <c r="L29" s="62">
        <f t="array" ref="L29">IF(K29=0,0,(INDEX(AccountCodes[PPSAS CODE],MATCH(K29,AccountCodes[NGAS CODE],0))))</f>
        <v>0</v>
      </c>
      <c r="M29" s="14"/>
      <c r="N29" s="89">
        <f t="array" ref="N29">SUM(IF((GJ[JEV Number]=TRIM($T2))*(GJ[Account Code]=TRIM(K29)),GJ[Debit]))</f>
        <v>0</v>
      </c>
      <c r="O29" s="89">
        <f t="array" ref="O29">SUM(IF((GJ[JEV Number]=TRIM($T2))*(GJ[Account Code]=TRIM(K29)),GJ[Credit]))</f>
        <v>0</v>
      </c>
      <c r="P29" s="1200">
        <f t="shared" si="0"/>
        <v>0</v>
      </c>
      <c r="Q29" s="1200"/>
      <c r="R29" s="1200"/>
      <c r="S29" s="1200">
        <f t="shared" si="1"/>
        <v>0</v>
      </c>
      <c r="T29" s="1200"/>
      <c r="U29" s="1200"/>
      <c r="V29" s="1200"/>
    </row>
    <row r="30" spans="1:22">
      <c r="A30" s="1196"/>
      <c r="B30" s="1196"/>
      <c r="C30" s="1196"/>
      <c r="D30" s="1196"/>
      <c r="E30" s="1197">
        <f>IF(K30=0,0,(INDEX(AccountCodes[ACCOUNT NAME],MATCH(K30,AccountCodes[NGAS CODE],0))))</f>
        <v>0</v>
      </c>
      <c r="F30" s="1198"/>
      <c r="G30" s="1198"/>
      <c r="H30" s="1198"/>
      <c r="I30" s="1198"/>
      <c r="J30" s="1199"/>
      <c r="K30" s="133"/>
      <c r="L30" s="62">
        <f t="array" ref="L30">IF(K30=0,0,(INDEX(AccountCodes[PPSAS CODE],MATCH(K30,AccountCodes[NGAS CODE],0))))</f>
        <v>0</v>
      </c>
      <c r="M30" s="14"/>
      <c r="N30" s="89">
        <f t="array" ref="N30">SUM(IF((GJ[JEV Number]=TRIM($T2))*(GJ[Account Code]=TRIM(K30)),GJ[Debit]))</f>
        <v>0</v>
      </c>
      <c r="O30" s="89">
        <f t="array" ref="O30">SUM(IF((GJ[JEV Number]=TRIM($T2))*(GJ[Account Code]=TRIM(K30)),GJ[Credit]))</f>
        <v>0</v>
      </c>
      <c r="P30" s="1200">
        <f t="shared" si="0"/>
        <v>0</v>
      </c>
      <c r="Q30" s="1200"/>
      <c r="R30" s="1200"/>
      <c r="S30" s="1200">
        <f t="shared" si="1"/>
        <v>0</v>
      </c>
      <c r="T30" s="1200"/>
      <c r="U30" s="1200"/>
      <c r="V30" s="1200"/>
    </row>
    <row r="31" spans="1:22">
      <c r="A31" s="1196"/>
      <c r="B31" s="1196"/>
      <c r="C31" s="1196"/>
      <c r="D31" s="1196"/>
      <c r="E31" s="1197">
        <f>IF(K31=0,0,(INDEX(AccountCodes[ACCOUNT NAME],MATCH(K31,AccountCodes[NGAS CODE],0))))</f>
        <v>0</v>
      </c>
      <c r="F31" s="1198"/>
      <c r="G31" s="1198"/>
      <c r="H31" s="1198"/>
      <c r="I31" s="1198"/>
      <c r="J31" s="1199"/>
      <c r="K31" s="133"/>
      <c r="L31" s="62">
        <f t="array" ref="L31">IF(K31=0,0,(INDEX(AccountCodes[PPSAS CODE],MATCH(K31,AccountCodes[NGAS CODE],0))))</f>
        <v>0</v>
      </c>
      <c r="M31" s="14"/>
      <c r="N31" s="89">
        <f t="array" ref="N31">SUM(IF((GJ[JEV Number]=TRIM($T2))*(GJ[Account Code]=TRIM(K31)),GJ[Debit]))</f>
        <v>0</v>
      </c>
      <c r="O31" s="89">
        <f t="array" ref="O31">SUM(IF((GJ[JEV Number]=TRIM($T2))*(GJ[Account Code]=TRIM(K31)),GJ[Credit]))</f>
        <v>0</v>
      </c>
      <c r="P31" s="1200">
        <f t="shared" si="0"/>
        <v>0</v>
      </c>
      <c r="Q31" s="1200"/>
      <c r="R31" s="1200"/>
      <c r="S31" s="1200">
        <f t="shared" si="1"/>
        <v>0</v>
      </c>
      <c r="T31" s="1200"/>
      <c r="U31" s="1200"/>
      <c r="V31" s="1200"/>
    </row>
    <row r="32" spans="1:22">
      <c r="A32" s="1196"/>
      <c r="B32" s="1196"/>
      <c r="C32" s="1196"/>
      <c r="D32" s="1196"/>
      <c r="E32" s="1197">
        <f>IF(K32=0,0,(INDEX(AccountCodes[ACCOUNT NAME],MATCH(K32,AccountCodes[NGAS CODE],0))))</f>
        <v>0</v>
      </c>
      <c r="F32" s="1198"/>
      <c r="G32" s="1198"/>
      <c r="H32" s="1198"/>
      <c r="I32" s="1198"/>
      <c r="J32" s="1199"/>
      <c r="K32" s="133"/>
      <c r="L32" s="62">
        <f t="array" ref="L32">IF(K32=0,0,(INDEX(AccountCodes[PPSAS CODE],MATCH(K32,AccountCodes[NGAS CODE],0))))</f>
        <v>0</v>
      </c>
      <c r="M32" s="14"/>
      <c r="N32" s="89">
        <f t="array" ref="N32">SUM(IF((GJ[JEV Number]=TRIM($T2))*(GJ[Account Code]=TRIM(K32)),GJ[Debit]))</f>
        <v>0</v>
      </c>
      <c r="O32" s="89">
        <f t="array" ref="O32">SUM(IF((GJ[JEV Number]=TRIM($T2))*(GJ[Account Code]=TRIM(K32)),GJ[Credit]))</f>
        <v>0</v>
      </c>
      <c r="P32" s="1200">
        <f t="shared" si="0"/>
        <v>0</v>
      </c>
      <c r="Q32" s="1200"/>
      <c r="R32" s="1200"/>
      <c r="S32" s="1200">
        <f t="shared" si="1"/>
        <v>0</v>
      </c>
      <c r="T32" s="1200"/>
      <c r="U32" s="1200"/>
      <c r="V32" s="1200"/>
    </row>
    <row r="33" spans="1:22">
      <c r="A33" s="1196"/>
      <c r="B33" s="1196"/>
      <c r="C33" s="1196"/>
      <c r="D33" s="1196"/>
      <c r="E33" s="1197">
        <f>IF(K33=0,0,(INDEX(AccountCodes[ACCOUNT NAME],MATCH(K33,AccountCodes[NGAS CODE],0))))</f>
        <v>0</v>
      </c>
      <c r="F33" s="1198"/>
      <c r="G33" s="1198"/>
      <c r="H33" s="1198"/>
      <c r="I33" s="1198"/>
      <c r="J33" s="1199"/>
      <c r="K33" s="133"/>
      <c r="L33" s="62">
        <f t="array" ref="L33">IF(K33=0,0,(INDEX(AccountCodes[PPSAS CODE],MATCH(K33,AccountCodes[NGAS CODE],0))))</f>
        <v>0</v>
      </c>
      <c r="M33" s="14"/>
      <c r="N33" s="89">
        <f t="array" ref="N33">SUM(IF((GJ[JEV Number]=TRIM($T2))*(GJ[Account Code]=TRIM(K33)),GJ[Debit]))</f>
        <v>0</v>
      </c>
      <c r="O33" s="89">
        <f t="array" ref="O33">SUM(IF((GJ[JEV Number]=TRIM($T2))*(GJ[Account Code]=TRIM(K33)),GJ[Credit]))</f>
        <v>0</v>
      </c>
      <c r="P33" s="1200">
        <f t="shared" si="0"/>
        <v>0</v>
      </c>
      <c r="Q33" s="1200"/>
      <c r="R33" s="1200"/>
      <c r="S33" s="1200">
        <f t="shared" si="1"/>
        <v>0</v>
      </c>
      <c r="T33" s="1200"/>
      <c r="U33" s="1200"/>
      <c r="V33" s="1200"/>
    </row>
    <row r="34" spans="1:22">
      <c r="A34" s="992"/>
      <c r="B34" s="828"/>
      <c r="C34" s="828"/>
      <c r="D34" s="829"/>
      <c r="E34" s="973"/>
      <c r="F34" s="974"/>
      <c r="G34" s="974"/>
      <c r="H34" s="974"/>
      <c r="I34" s="974"/>
      <c r="J34" s="975"/>
      <c r="K34" s="133"/>
      <c r="L34" s="62"/>
      <c r="M34" s="14"/>
      <c r="N34" s="89"/>
      <c r="O34" s="89"/>
      <c r="P34" s="1200">
        <f t="shared" ref="P34:P51" si="2">N34</f>
        <v>0</v>
      </c>
      <c r="Q34" s="1200"/>
      <c r="R34" s="1200"/>
      <c r="S34" s="1200">
        <f t="shared" ref="S34:S51" si="3">O34</f>
        <v>0</v>
      </c>
      <c r="T34" s="1200"/>
      <c r="U34" s="1200"/>
      <c r="V34" s="1200"/>
    </row>
    <row r="35" spans="1:22">
      <c r="A35" s="992"/>
      <c r="B35" s="828"/>
      <c r="C35" s="828"/>
      <c r="D35" s="829"/>
      <c r="E35" s="973"/>
      <c r="F35" s="974"/>
      <c r="G35" s="974"/>
      <c r="H35" s="974"/>
      <c r="I35" s="974"/>
      <c r="J35" s="975"/>
      <c r="K35" s="133"/>
      <c r="L35" s="62"/>
      <c r="M35" s="14"/>
      <c r="N35" s="89"/>
      <c r="O35" s="89"/>
      <c r="P35" s="1200">
        <f t="shared" si="2"/>
        <v>0</v>
      </c>
      <c r="Q35" s="1200"/>
      <c r="R35" s="1200"/>
      <c r="S35" s="1200">
        <f t="shared" si="3"/>
        <v>0</v>
      </c>
      <c r="T35" s="1200"/>
      <c r="U35" s="1200"/>
      <c r="V35" s="1200"/>
    </row>
    <row r="36" spans="1:22">
      <c r="A36" s="992"/>
      <c r="B36" s="828"/>
      <c r="C36" s="828"/>
      <c r="D36" s="829"/>
      <c r="E36" s="973"/>
      <c r="F36" s="974"/>
      <c r="G36" s="974"/>
      <c r="H36" s="974"/>
      <c r="I36" s="974"/>
      <c r="J36" s="975"/>
      <c r="K36" s="133"/>
      <c r="L36" s="62"/>
      <c r="M36" s="14"/>
      <c r="N36" s="89"/>
      <c r="O36" s="89"/>
      <c r="P36" s="1200">
        <f t="shared" si="2"/>
        <v>0</v>
      </c>
      <c r="Q36" s="1200"/>
      <c r="R36" s="1200"/>
      <c r="S36" s="1200">
        <f t="shared" si="3"/>
        <v>0</v>
      </c>
      <c r="T36" s="1200"/>
      <c r="U36" s="1200"/>
      <c r="V36" s="1200"/>
    </row>
    <row r="37" spans="1:22">
      <c r="A37" s="992"/>
      <c r="B37" s="828"/>
      <c r="C37" s="828"/>
      <c r="D37" s="829"/>
      <c r="E37" s="973"/>
      <c r="F37" s="974"/>
      <c r="G37" s="974"/>
      <c r="H37" s="974"/>
      <c r="I37" s="974"/>
      <c r="J37" s="975"/>
      <c r="K37" s="133"/>
      <c r="L37" s="62"/>
      <c r="M37" s="14"/>
      <c r="N37" s="89"/>
      <c r="O37" s="89"/>
      <c r="P37" s="1200">
        <f t="shared" si="2"/>
        <v>0</v>
      </c>
      <c r="Q37" s="1200"/>
      <c r="R37" s="1200"/>
      <c r="S37" s="1200">
        <f t="shared" si="3"/>
        <v>0</v>
      </c>
      <c r="T37" s="1200"/>
      <c r="U37" s="1200"/>
      <c r="V37" s="1200"/>
    </row>
    <row r="38" spans="1:22">
      <c r="A38" s="992"/>
      <c r="B38" s="828"/>
      <c r="C38" s="828"/>
      <c r="D38" s="829"/>
      <c r="E38" s="973"/>
      <c r="F38" s="974"/>
      <c r="G38" s="974"/>
      <c r="H38" s="974"/>
      <c r="I38" s="974"/>
      <c r="J38" s="975"/>
      <c r="K38" s="133"/>
      <c r="L38" s="62"/>
      <c r="M38" s="14"/>
      <c r="N38" s="89"/>
      <c r="O38" s="89"/>
      <c r="P38" s="1200">
        <f t="shared" si="2"/>
        <v>0</v>
      </c>
      <c r="Q38" s="1200"/>
      <c r="R38" s="1200"/>
      <c r="S38" s="1200">
        <f t="shared" si="3"/>
        <v>0</v>
      </c>
      <c r="T38" s="1200"/>
      <c r="U38" s="1200"/>
      <c r="V38" s="1200"/>
    </row>
    <row r="39" spans="1:22">
      <c r="A39" s="992"/>
      <c r="B39" s="828"/>
      <c r="C39" s="828"/>
      <c r="D39" s="829"/>
      <c r="E39" s="973"/>
      <c r="F39" s="974"/>
      <c r="G39" s="974"/>
      <c r="H39" s="974"/>
      <c r="I39" s="974"/>
      <c r="J39" s="975"/>
      <c r="K39" s="133"/>
      <c r="L39" s="62"/>
      <c r="M39" s="14"/>
      <c r="N39" s="89"/>
      <c r="O39" s="89"/>
      <c r="P39" s="1200">
        <f t="shared" si="2"/>
        <v>0</v>
      </c>
      <c r="Q39" s="1200"/>
      <c r="R39" s="1200"/>
      <c r="S39" s="1200">
        <f t="shared" si="3"/>
        <v>0</v>
      </c>
      <c r="T39" s="1200"/>
      <c r="U39" s="1200"/>
      <c r="V39" s="1200"/>
    </row>
    <row r="40" spans="1:22">
      <c r="A40" s="992"/>
      <c r="B40" s="828"/>
      <c r="C40" s="828"/>
      <c r="D40" s="829"/>
      <c r="E40" s="973"/>
      <c r="F40" s="974"/>
      <c r="G40" s="974"/>
      <c r="H40" s="974"/>
      <c r="I40" s="974"/>
      <c r="J40" s="975"/>
      <c r="K40" s="133"/>
      <c r="L40" s="62"/>
      <c r="M40" s="14"/>
      <c r="N40" s="89"/>
      <c r="O40" s="89"/>
      <c r="P40" s="1200">
        <f t="shared" si="2"/>
        <v>0</v>
      </c>
      <c r="Q40" s="1200"/>
      <c r="R40" s="1200"/>
      <c r="S40" s="1200">
        <f t="shared" si="3"/>
        <v>0</v>
      </c>
      <c r="T40" s="1200"/>
      <c r="U40" s="1200"/>
      <c r="V40" s="1200"/>
    </row>
    <row r="41" spans="1:22">
      <c r="A41" s="992"/>
      <c r="B41" s="828"/>
      <c r="C41" s="828"/>
      <c r="D41" s="829"/>
      <c r="E41" s="973"/>
      <c r="F41" s="974"/>
      <c r="G41" s="974"/>
      <c r="H41" s="974"/>
      <c r="I41" s="974"/>
      <c r="J41" s="975"/>
      <c r="K41" s="133"/>
      <c r="L41" s="62"/>
      <c r="M41" s="14"/>
      <c r="N41" s="89"/>
      <c r="O41" s="89"/>
      <c r="P41" s="1200">
        <f t="shared" si="2"/>
        <v>0</v>
      </c>
      <c r="Q41" s="1200"/>
      <c r="R41" s="1200"/>
      <c r="S41" s="1200">
        <f t="shared" si="3"/>
        <v>0</v>
      </c>
      <c r="T41" s="1200"/>
      <c r="U41" s="1200"/>
      <c r="V41" s="1200"/>
    </row>
    <row r="42" spans="1:22">
      <c r="A42" s="992"/>
      <c r="B42" s="828"/>
      <c r="C42" s="828"/>
      <c r="D42" s="829"/>
      <c r="E42" s="973"/>
      <c r="F42" s="974"/>
      <c r="G42" s="974"/>
      <c r="H42" s="974"/>
      <c r="I42" s="974"/>
      <c r="J42" s="975"/>
      <c r="K42" s="133"/>
      <c r="L42" s="62"/>
      <c r="M42" s="14"/>
      <c r="N42" s="89"/>
      <c r="O42" s="89"/>
      <c r="P42" s="1200">
        <f t="shared" si="2"/>
        <v>0</v>
      </c>
      <c r="Q42" s="1200"/>
      <c r="R42" s="1200"/>
      <c r="S42" s="1200">
        <f t="shared" si="3"/>
        <v>0</v>
      </c>
      <c r="T42" s="1200"/>
      <c r="U42" s="1200"/>
      <c r="V42" s="1200"/>
    </row>
    <row r="43" spans="1:22">
      <c r="A43" s="992"/>
      <c r="B43" s="828"/>
      <c r="C43" s="828"/>
      <c r="D43" s="829"/>
      <c r="E43" s="973"/>
      <c r="F43" s="974"/>
      <c r="G43" s="974"/>
      <c r="H43" s="974"/>
      <c r="I43" s="974"/>
      <c r="J43" s="975"/>
      <c r="K43" s="133"/>
      <c r="L43" s="62" t="s">
        <v>1594</v>
      </c>
      <c r="M43" s="14"/>
      <c r="N43" s="89"/>
      <c r="O43" s="89"/>
      <c r="P43" s="1200">
        <f t="shared" si="2"/>
        <v>0</v>
      </c>
      <c r="Q43" s="1200"/>
      <c r="R43" s="1200"/>
      <c r="S43" s="1200">
        <f t="shared" si="3"/>
        <v>0</v>
      </c>
      <c r="T43" s="1200"/>
      <c r="U43" s="1200"/>
      <c r="V43" s="1200"/>
    </row>
    <row r="44" spans="1:22">
      <c r="A44" s="992"/>
      <c r="B44" s="828"/>
      <c r="C44" s="828"/>
      <c r="D44" s="829"/>
      <c r="E44" s="973"/>
      <c r="F44" s="974"/>
      <c r="G44" s="974"/>
      <c r="H44" s="974"/>
      <c r="I44" s="974"/>
      <c r="J44" s="975"/>
      <c r="K44" s="133"/>
      <c r="L44" s="62"/>
      <c r="M44" s="14"/>
      <c r="N44" s="89"/>
      <c r="O44" s="89"/>
      <c r="P44" s="1200">
        <f t="shared" si="2"/>
        <v>0</v>
      </c>
      <c r="Q44" s="1200"/>
      <c r="R44" s="1200"/>
      <c r="S44" s="1200">
        <f t="shared" si="3"/>
        <v>0</v>
      </c>
      <c r="T44" s="1200"/>
      <c r="U44" s="1200"/>
      <c r="V44" s="1200"/>
    </row>
    <row r="45" spans="1:22">
      <c r="A45" s="992"/>
      <c r="B45" s="828"/>
      <c r="C45" s="828"/>
      <c r="D45" s="829"/>
      <c r="E45" s="973"/>
      <c r="F45" s="974"/>
      <c r="G45" s="974"/>
      <c r="H45" s="974"/>
      <c r="I45" s="974"/>
      <c r="J45" s="975"/>
      <c r="K45" s="133"/>
      <c r="L45" s="62"/>
      <c r="M45" s="14"/>
      <c r="N45" s="89"/>
      <c r="O45" s="89"/>
      <c r="P45" s="1200">
        <f t="shared" si="2"/>
        <v>0</v>
      </c>
      <c r="Q45" s="1200"/>
      <c r="R45" s="1200"/>
      <c r="S45" s="1200">
        <f t="shared" si="3"/>
        <v>0</v>
      </c>
      <c r="T45" s="1200"/>
      <c r="U45" s="1200"/>
      <c r="V45" s="1200"/>
    </row>
    <row r="46" spans="1:22">
      <c r="A46" s="992"/>
      <c r="B46" s="828"/>
      <c r="C46" s="828"/>
      <c r="D46" s="829"/>
      <c r="E46" s="973"/>
      <c r="F46" s="974"/>
      <c r="G46" s="974"/>
      <c r="H46" s="974"/>
      <c r="I46" s="974"/>
      <c r="J46" s="975"/>
      <c r="K46" s="133"/>
      <c r="L46" s="62"/>
      <c r="M46" s="14"/>
      <c r="N46" s="89"/>
      <c r="O46" s="89"/>
      <c r="P46" s="1200">
        <f t="shared" si="2"/>
        <v>0</v>
      </c>
      <c r="Q46" s="1200"/>
      <c r="R46" s="1200"/>
      <c r="S46" s="1200">
        <f t="shared" si="3"/>
        <v>0</v>
      </c>
      <c r="T46" s="1200"/>
      <c r="U46" s="1200"/>
      <c r="V46" s="1200"/>
    </row>
    <row r="47" spans="1:22">
      <c r="A47" s="992"/>
      <c r="B47" s="828"/>
      <c r="C47" s="828"/>
      <c r="D47" s="829"/>
      <c r="E47" s="973"/>
      <c r="F47" s="974"/>
      <c r="G47" s="974"/>
      <c r="H47" s="974"/>
      <c r="I47" s="974"/>
      <c r="J47" s="975"/>
      <c r="K47" s="133"/>
      <c r="L47" s="62"/>
      <c r="M47" s="14"/>
      <c r="N47" s="89"/>
      <c r="O47" s="89"/>
      <c r="P47" s="1200">
        <f t="shared" si="2"/>
        <v>0</v>
      </c>
      <c r="Q47" s="1200"/>
      <c r="R47" s="1200"/>
      <c r="S47" s="1200">
        <f t="shared" si="3"/>
        <v>0</v>
      </c>
      <c r="T47" s="1200"/>
      <c r="U47" s="1200"/>
      <c r="V47" s="1200"/>
    </row>
    <row r="48" spans="1:22">
      <c r="A48" s="992"/>
      <c r="B48" s="828"/>
      <c r="C48" s="828"/>
      <c r="D48" s="829"/>
      <c r="E48" s="973"/>
      <c r="F48" s="974"/>
      <c r="G48" s="974"/>
      <c r="H48" s="974"/>
      <c r="I48" s="974"/>
      <c r="J48" s="975"/>
      <c r="K48" s="133"/>
      <c r="L48" s="62"/>
      <c r="M48" s="14"/>
      <c r="N48" s="89"/>
      <c r="O48" s="89"/>
      <c r="P48" s="1200">
        <f t="shared" si="2"/>
        <v>0</v>
      </c>
      <c r="Q48" s="1200"/>
      <c r="R48" s="1200"/>
      <c r="S48" s="1200">
        <f t="shared" si="3"/>
        <v>0</v>
      </c>
      <c r="T48" s="1200"/>
      <c r="U48" s="1200"/>
      <c r="V48" s="1200"/>
    </row>
    <row r="49" spans="1:22">
      <c r="A49" s="992"/>
      <c r="B49" s="828"/>
      <c r="C49" s="828"/>
      <c r="D49" s="829"/>
      <c r="E49" s="1276"/>
      <c r="F49" s="1277"/>
      <c r="G49" s="1277"/>
      <c r="H49" s="1277"/>
      <c r="I49" s="1277"/>
      <c r="J49" s="1278"/>
      <c r="K49" s="133"/>
      <c r="L49" s="62"/>
      <c r="M49" s="14"/>
      <c r="N49" s="89"/>
      <c r="O49" s="89"/>
      <c r="P49" s="1200">
        <f t="shared" si="2"/>
        <v>0</v>
      </c>
      <c r="Q49" s="1200"/>
      <c r="R49" s="1200"/>
      <c r="S49" s="1200">
        <f t="shared" si="3"/>
        <v>0</v>
      </c>
      <c r="T49" s="1200"/>
      <c r="U49" s="1200"/>
      <c r="V49" s="1200"/>
    </row>
    <row r="50" spans="1:22">
      <c r="A50" s="992"/>
      <c r="B50" s="828"/>
      <c r="C50" s="828"/>
      <c r="D50" s="829"/>
      <c r="E50" s="1276"/>
      <c r="F50" s="1277"/>
      <c r="G50" s="1277"/>
      <c r="H50" s="1277"/>
      <c r="I50" s="1277"/>
      <c r="J50" s="1278"/>
      <c r="K50" s="133"/>
      <c r="L50" s="62"/>
      <c r="M50" s="14"/>
      <c r="N50" s="89"/>
      <c r="O50" s="89"/>
      <c r="P50" s="1200">
        <f t="shared" si="2"/>
        <v>0</v>
      </c>
      <c r="Q50" s="1200"/>
      <c r="R50" s="1200"/>
      <c r="S50" s="1200">
        <f t="shared" si="3"/>
        <v>0</v>
      </c>
      <c r="T50" s="1200"/>
      <c r="U50" s="1200"/>
      <c r="V50" s="1200"/>
    </row>
    <row r="51" spans="1:22">
      <c r="A51" s="992"/>
      <c r="B51" s="828"/>
      <c r="C51" s="828"/>
      <c r="D51" s="829"/>
      <c r="E51" s="973"/>
      <c r="F51" s="974"/>
      <c r="G51" s="974"/>
      <c r="H51" s="974"/>
      <c r="I51" s="974"/>
      <c r="J51" s="975"/>
      <c r="K51" s="133"/>
      <c r="L51" s="62"/>
      <c r="M51" s="14"/>
      <c r="N51" s="89"/>
      <c r="O51" s="89"/>
      <c r="P51" s="1200">
        <f t="shared" si="2"/>
        <v>0</v>
      </c>
      <c r="Q51" s="1200"/>
      <c r="R51" s="1200"/>
      <c r="S51" s="1200">
        <f t="shared" si="3"/>
        <v>0</v>
      </c>
      <c r="T51" s="1200"/>
      <c r="U51" s="1200"/>
      <c r="V51" s="1200"/>
    </row>
    <row r="52" spans="1:22">
      <c r="A52" s="1196"/>
      <c r="B52" s="1196"/>
      <c r="C52" s="1196"/>
      <c r="D52" s="1196"/>
      <c r="E52" s="973">
        <f>IF(K52=0,0,(INDEX(AccountCodes[ACCOUNT NAME],MATCH(K52,AccountCodes[NGAS CODE],0))))</f>
        <v>0</v>
      </c>
      <c r="F52" s="974"/>
      <c r="G52" s="974"/>
      <c r="H52" s="974"/>
      <c r="I52" s="974"/>
      <c r="J52" s="975"/>
      <c r="K52" s="133"/>
      <c r="L52" s="62">
        <f t="array" ref="L52">IF(K52=0,0,(INDEX(AccountCodes[PPSAS CODE],MATCH(K52,AccountCodes[NGAS CODE],0))))</f>
        <v>0</v>
      </c>
      <c r="M52" s="14"/>
      <c r="N52" s="89">
        <f t="array" ref="N52">SUM(IF((GJ[JEV Number]=TRIM($T2))*(GJ[Account Code]=TRIM(K52)),GJ[Debit]))</f>
        <v>0</v>
      </c>
      <c r="O52" s="89">
        <f t="array" ref="O52">SUM(IF((GJ[JEV Number]=TRIM($T2))*(GJ[Account Code]=TRIM(K52)),GJ[Credit]))</f>
        <v>0</v>
      </c>
      <c r="P52" s="1200">
        <f>N52</f>
        <v>0</v>
      </c>
      <c r="Q52" s="1200"/>
      <c r="R52" s="1200"/>
      <c r="S52" s="1200">
        <f>O52</f>
        <v>0</v>
      </c>
      <c r="T52" s="1200"/>
      <c r="U52" s="1200"/>
      <c r="V52" s="1200"/>
    </row>
    <row r="53" spans="1:22">
      <c r="A53" s="1196"/>
      <c r="B53" s="1196"/>
      <c r="C53" s="1196"/>
      <c r="D53" s="1196"/>
      <c r="E53" s="1279" t="s">
        <v>2152</v>
      </c>
      <c r="F53" s="1280"/>
      <c r="G53" s="1280"/>
      <c r="H53" s="1280"/>
      <c r="I53" s="1280"/>
      <c r="J53" s="1281"/>
      <c r="K53" s="134"/>
      <c r="L53" s="62"/>
      <c r="M53" s="14"/>
      <c r="N53" s="89"/>
      <c r="O53" s="89"/>
      <c r="P53" s="1200"/>
      <c r="Q53" s="1200"/>
      <c r="R53" s="1200"/>
      <c r="S53" s="1200"/>
      <c r="T53" s="1200"/>
      <c r="U53" s="1200"/>
      <c r="V53" s="1200"/>
    </row>
    <row r="54" spans="1:22">
      <c r="A54" s="1196"/>
      <c r="B54" s="1196"/>
      <c r="C54" s="1196"/>
      <c r="D54" s="1196"/>
      <c r="E54" s="1202" t="s">
        <v>457</v>
      </c>
      <c r="F54" s="1203"/>
      <c r="G54" s="1203"/>
      <c r="H54" s="1203"/>
      <c r="I54" s="1207" t="s">
        <v>2151</v>
      </c>
      <c r="J54" s="1208"/>
      <c r="K54" s="133"/>
      <c r="L54" s="62"/>
      <c r="M54" s="14"/>
      <c r="N54" s="89"/>
      <c r="O54" s="89"/>
      <c r="P54" s="1200"/>
      <c r="Q54" s="1200"/>
      <c r="R54" s="1200"/>
      <c r="S54" s="1200"/>
      <c r="T54" s="1200"/>
      <c r="U54" s="1200"/>
      <c r="V54" s="1200"/>
    </row>
    <row r="55" spans="1:22">
      <c r="A55" s="1196"/>
      <c r="B55" s="1196"/>
      <c r="C55" s="1196"/>
      <c r="D55" s="1196"/>
      <c r="E55" s="1202" t="s">
        <v>458</v>
      </c>
      <c r="F55" s="1203"/>
      <c r="G55" s="1203"/>
      <c r="H55" s="1203"/>
      <c r="I55" s="1263" t="s">
        <v>1651</v>
      </c>
      <c r="J55" s="1264"/>
      <c r="K55" s="133"/>
      <c r="L55" s="62"/>
      <c r="M55" s="14"/>
      <c r="N55" s="89"/>
      <c r="O55" s="89"/>
      <c r="P55" s="1200"/>
      <c r="Q55" s="1200"/>
      <c r="R55" s="1200"/>
      <c r="S55" s="1200"/>
      <c r="T55" s="1200"/>
      <c r="U55" s="1200"/>
      <c r="V55" s="1200"/>
    </row>
    <row r="56" spans="1:22">
      <c r="A56" s="1196"/>
      <c r="B56" s="1196"/>
      <c r="C56" s="1196"/>
      <c r="D56" s="1196"/>
      <c r="E56" s="1202" t="s">
        <v>459</v>
      </c>
      <c r="F56" s="1203"/>
      <c r="G56" s="1203"/>
      <c r="H56" s="1203"/>
      <c r="I56" s="1204" t="s">
        <v>2144</v>
      </c>
      <c r="J56" s="1205"/>
      <c r="K56" s="133"/>
      <c r="L56" s="62"/>
      <c r="M56" s="14"/>
      <c r="N56" s="89"/>
      <c r="O56" s="89"/>
      <c r="P56" s="1200"/>
      <c r="Q56" s="1200"/>
      <c r="R56" s="1200"/>
      <c r="S56" s="1200"/>
      <c r="T56" s="1200"/>
      <c r="U56" s="1200"/>
      <c r="V56" s="1200"/>
    </row>
    <row r="57" spans="1:22">
      <c r="A57" s="1196"/>
      <c r="B57" s="1196"/>
      <c r="C57" s="1196"/>
      <c r="D57" s="1196"/>
      <c r="E57" s="1018"/>
      <c r="F57" s="1019"/>
      <c r="G57" s="1019"/>
      <c r="H57" s="1019"/>
      <c r="I57" s="1019"/>
      <c r="J57" s="1020"/>
      <c r="K57" s="133"/>
      <c r="L57" s="62"/>
      <c r="M57" s="14"/>
      <c r="N57" s="89"/>
      <c r="O57" s="89"/>
      <c r="P57" s="1200"/>
      <c r="Q57" s="1200"/>
      <c r="R57" s="1200"/>
      <c r="S57" s="1200"/>
      <c r="T57" s="1200"/>
      <c r="U57" s="1200"/>
      <c r="V57" s="1200"/>
    </row>
    <row r="58" spans="1:22">
      <c r="A58" s="1196"/>
      <c r="B58" s="1196"/>
      <c r="C58" s="1196"/>
      <c r="D58" s="1196"/>
      <c r="E58" s="1028"/>
      <c r="F58" s="1029"/>
      <c r="G58" s="1029"/>
      <c r="H58" s="1029"/>
      <c r="I58" s="1029"/>
      <c r="J58" s="1030"/>
      <c r="K58" s="133"/>
      <c r="L58" s="62"/>
      <c r="M58" s="14"/>
      <c r="N58" s="89"/>
      <c r="O58" s="89"/>
      <c r="P58" s="1200"/>
      <c r="Q58" s="1200"/>
      <c r="R58" s="1200"/>
      <c r="S58" s="1200"/>
      <c r="T58" s="1200"/>
      <c r="U58" s="1200"/>
      <c r="V58" s="1200"/>
    </row>
    <row r="59" spans="1:22" ht="16.5" thickBot="1">
      <c r="A59" s="1294"/>
      <c r="B59" s="1189"/>
      <c r="C59" s="1189"/>
      <c r="D59" s="1189"/>
      <c r="E59" s="1189"/>
      <c r="F59" s="1189"/>
      <c r="G59" s="1189"/>
      <c r="H59" s="1189"/>
      <c r="I59" s="1189"/>
      <c r="J59" s="1189"/>
      <c r="K59" s="1189"/>
      <c r="L59" s="1189"/>
      <c r="M59" s="1190"/>
      <c r="N59" s="88"/>
      <c r="O59" s="88"/>
      <c r="P59" s="1191">
        <f>SUM(P11:R58)</f>
        <v>0</v>
      </c>
      <c r="Q59" s="1191"/>
      <c r="R59" s="1191"/>
      <c r="S59" s="1191">
        <f>SUM(S11:V58)</f>
        <v>0</v>
      </c>
      <c r="T59" s="1191"/>
      <c r="U59" s="1191"/>
      <c r="V59" s="1191"/>
    </row>
    <row r="60" spans="1:22">
      <c r="A60" s="993"/>
      <c r="B60" s="64"/>
      <c r="C60" s="64"/>
      <c r="D60" s="64"/>
      <c r="E60" s="64"/>
      <c r="F60" s="64"/>
      <c r="G60" s="64"/>
      <c r="H60" s="64"/>
      <c r="I60" s="65"/>
      <c r="J60" s="64"/>
      <c r="K60" s="66"/>
      <c r="L60" s="64"/>
      <c r="M60" s="65"/>
      <c r="N60" s="64"/>
      <c r="O60" s="64"/>
      <c r="P60" s="1193"/>
      <c r="Q60" s="1193"/>
      <c r="R60" s="1193"/>
      <c r="S60" s="1193"/>
      <c r="T60" s="1193"/>
      <c r="U60" s="1193"/>
      <c r="V60" s="1285"/>
    </row>
    <row r="61" spans="1:22">
      <c r="A61" s="930" t="s">
        <v>460</v>
      </c>
      <c r="B61"/>
      <c r="C61"/>
      <c r="D61"/>
      <c r="E61"/>
      <c r="F61"/>
      <c r="G61"/>
      <c r="H61"/>
      <c r="I61" s="930" t="s">
        <v>353</v>
      </c>
      <c r="J61" s="50"/>
      <c r="K61" s="50"/>
      <c r="L61" s="25"/>
      <c r="M61" s="68" t="s">
        <v>461</v>
      </c>
      <c r="N61" s="69"/>
      <c r="O61" s="69"/>
      <c r="P61" s="70"/>
      <c r="Q61" s="70"/>
      <c r="R61" s="70"/>
      <c r="S61" s="70"/>
      <c r="T61" s="70"/>
      <c r="U61" s="70"/>
      <c r="V61" s="994"/>
    </row>
    <row r="62" spans="1:22">
      <c r="A62" s="72"/>
      <c r="B62"/>
      <c r="C62"/>
      <c r="D62"/>
      <c r="E62"/>
      <c r="F62"/>
      <c r="G62"/>
      <c r="H62"/>
      <c r="I62" s="931"/>
      <c r="L62" s="25"/>
      <c r="M62" s="72"/>
      <c r="N62"/>
      <c r="O62"/>
      <c r="P62"/>
      <c r="Q62"/>
      <c r="R62"/>
      <c r="S62"/>
      <c r="T62"/>
      <c r="U62"/>
      <c r="V62" s="977"/>
    </row>
    <row r="63" spans="1:22">
      <c r="A63" s="77" t="s">
        <v>1637</v>
      </c>
      <c r="B63" s="75"/>
      <c r="C63" s="75"/>
      <c r="D63" s="75"/>
      <c r="E63" s="75"/>
      <c r="F63" s="75"/>
      <c r="G63" s="75"/>
      <c r="H63" s="76"/>
      <c r="I63" s="77" t="s">
        <v>1643</v>
      </c>
      <c r="J63" s="75"/>
      <c r="K63" s="75"/>
      <c r="L63" s="932"/>
      <c r="M63" s="77" t="s">
        <v>1590</v>
      </c>
      <c r="N63" s="75"/>
      <c r="O63" s="75"/>
      <c r="P63" s="75"/>
      <c r="Q63" s="75"/>
      <c r="R63" s="75"/>
      <c r="S63" s="75"/>
      <c r="T63" s="75"/>
      <c r="U63" s="75"/>
      <c r="V63" s="995"/>
    </row>
    <row r="64" spans="1:22">
      <c r="A64" s="1282" t="s">
        <v>1647</v>
      </c>
      <c r="B64" s="1283"/>
      <c r="C64" s="1283"/>
      <c r="D64" s="1283"/>
      <c r="E64" s="1283"/>
      <c r="F64" s="1283"/>
      <c r="G64" s="1283"/>
      <c r="H64" s="1284"/>
      <c r="I64" s="81" t="s">
        <v>381</v>
      </c>
      <c r="J64" s="80"/>
      <c r="K64" s="80"/>
      <c r="L64" s="80"/>
      <c r="M64" s="81" t="s">
        <v>464</v>
      </c>
      <c r="N64" s="80"/>
      <c r="O64" s="80"/>
      <c r="P64" s="82"/>
      <c r="Q64" s="82"/>
      <c r="R64" s="82"/>
      <c r="S64" s="82"/>
      <c r="T64" s="82"/>
      <c r="U64" s="82"/>
      <c r="V64" s="996"/>
    </row>
    <row r="65" spans="1:22">
      <c r="A65" s="997"/>
      <c r="B65" s="979"/>
      <c r="C65" s="979"/>
      <c r="D65" s="979"/>
      <c r="E65" s="979"/>
      <c r="F65" s="979"/>
      <c r="G65" s="979"/>
      <c r="H65" s="979"/>
      <c r="I65" s="998"/>
      <c r="J65" s="999"/>
      <c r="K65" s="999"/>
      <c r="L65" s="999"/>
      <c r="M65" s="978"/>
      <c r="N65" s="979"/>
      <c r="O65" s="979"/>
      <c r="P65" s="979"/>
      <c r="Q65" s="979"/>
      <c r="R65" s="979"/>
      <c r="S65" s="979"/>
      <c r="T65" s="979"/>
      <c r="U65" s="979"/>
      <c r="V65" s="980"/>
    </row>
    <row r="68" spans="1:22">
      <c r="A68" s="1016" t="s">
        <v>2143</v>
      </c>
    </row>
  </sheetData>
  <mergeCells count="177">
    <mergeCell ref="A58:D58"/>
    <mergeCell ref="P58:R58"/>
    <mergeCell ref="S58:V58"/>
    <mergeCell ref="A59:M59"/>
    <mergeCell ref="P59:R59"/>
    <mergeCell ref="S59:V59"/>
    <mergeCell ref="A56:D56"/>
    <mergeCell ref="P56:R56"/>
    <mergeCell ref="S56:V56"/>
    <mergeCell ref="A57:D57"/>
    <mergeCell ref="P57:R57"/>
    <mergeCell ref="S57:V57"/>
    <mergeCell ref="I56:J56"/>
    <mergeCell ref="P28:R28"/>
    <mergeCell ref="S28:V28"/>
    <mergeCell ref="E49:J49"/>
    <mergeCell ref="P52:R52"/>
    <mergeCell ref="S52:V52"/>
    <mergeCell ref="A29:D29"/>
    <mergeCell ref="E29:J29"/>
    <mergeCell ref="P29:R29"/>
    <mergeCell ref="S29:V29"/>
    <mergeCell ref="A33:D33"/>
    <mergeCell ref="A28:D28"/>
    <mergeCell ref="E28:J28"/>
    <mergeCell ref="P34:R34"/>
    <mergeCell ref="S34:V34"/>
    <mergeCell ref="P35:R35"/>
    <mergeCell ref="S35:V35"/>
    <mergeCell ref="P36:R36"/>
    <mergeCell ref="S36:V36"/>
    <mergeCell ref="P37:R37"/>
    <mergeCell ref="S37:V37"/>
    <mergeCell ref="P38:R38"/>
    <mergeCell ref="S38:V38"/>
    <mergeCell ref="P39:R39"/>
    <mergeCell ref="S39:V39"/>
    <mergeCell ref="R1:V1"/>
    <mergeCell ref="T2:V2"/>
    <mergeCell ref="T3:V3"/>
    <mergeCell ref="B6:C6"/>
    <mergeCell ref="Q6:R6"/>
    <mergeCell ref="A8:D10"/>
    <mergeCell ref="E8:V8"/>
    <mergeCell ref="E9:J10"/>
    <mergeCell ref="K9:L9"/>
    <mergeCell ref="M9:M10"/>
    <mergeCell ref="N9:V9"/>
    <mergeCell ref="P10:R10"/>
    <mergeCell ref="S10:V10"/>
    <mergeCell ref="S26:V26"/>
    <mergeCell ref="A27:D27"/>
    <mergeCell ref="E27:J27"/>
    <mergeCell ref="P27:R27"/>
    <mergeCell ref="S27:V27"/>
    <mergeCell ref="S23:V23"/>
    <mergeCell ref="A20:D20"/>
    <mergeCell ref="E20:J20"/>
    <mergeCell ref="P20:R20"/>
    <mergeCell ref="S20:V20"/>
    <mergeCell ref="A21:D21"/>
    <mergeCell ref="E21:J21"/>
    <mergeCell ref="P21:R21"/>
    <mergeCell ref="S21:V21"/>
    <mergeCell ref="A24:D24"/>
    <mergeCell ref="E24:J24"/>
    <mergeCell ref="A25:D25"/>
    <mergeCell ref="E25:J25"/>
    <mergeCell ref="P24:R24"/>
    <mergeCell ref="S24:V24"/>
    <mergeCell ref="A26:D26"/>
    <mergeCell ref="E26:J26"/>
    <mergeCell ref="P26:R26"/>
    <mergeCell ref="P25:R25"/>
    <mergeCell ref="S25:V25"/>
    <mergeCell ref="A22:D22"/>
    <mergeCell ref="E22:J22"/>
    <mergeCell ref="P22:R22"/>
    <mergeCell ref="S22:V22"/>
    <mergeCell ref="A23:D23"/>
    <mergeCell ref="E23:J23"/>
    <mergeCell ref="P23:R23"/>
    <mergeCell ref="A17:D17"/>
    <mergeCell ref="E17:J17"/>
    <mergeCell ref="P17:R17"/>
    <mergeCell ref="S17:V17"/>
    <mergeCell ref="A18:D18"/>
    <mergeCell ref="E18:J18"/>
    <mergeCell ref="P18:R18"/>
    <mergeCell ref="S18:V18"/>
    <mergeCell ref="S19:V19"/>
    <mergeCell ref="A19:D19"/>
    <mergeCell ref="E19:J19"/>
    <mergeCell ref="P19:R19"/>
    <mergeCell ref="A11:D11"/>
    <mergeCell ref="E11:J11"/>
    <mergeCell ref="P11:R11"/>
    <mergeCell ref="S11:V11"/>
    <mergeCell ref="A12:D12"/>
    <mergeCell ref="E12:J12"/>
    <mergeCell ref="P12:R12"/>
    <mergeCell ref="S12:V12"/>
    <mergeCell ref="A16:D16"/>
    <mergeCell ref="E16:J16"/>
    <mergeCell ref="P16:R16"/>
    <mergeCell ref="S16:V16"/>
    <mergeCell ref="A13:D13"/>
    <mergeCell ref="E13:J13"/>
    <mergeCell ref="P13:R13"/>
    <mergeCell ref="S13:V13"/>
    <mergeCell ref="A14:D14"/>
    <mergeCell ref="E14:J14"/>
    <mergeCell ref="P14:R14"/>
    <mergeCell ref="S14:V14"/>
    <mergeCell ref="A15:D15"/>
    <mergeCell ref="E15:J15"/>
    <mergeCell ref="P15:R15"/>
    <mergeCell ref="S15:V15"/>
    <mergeCell ref="S33:V33"/>
    <mergeCell ref="A30:D30"/>
    <mergeCell ref="E30:J30"/>
    <mergeCell ref="P30:R30"/>
    <mergeCell ref="S30:V30"/>
    <mergeCell ref="A31:D31"/>
    <mergeCell ref="E31:J31"/>
    <mergeCell ref="P31:R31"/>
    <mergeCell ref="S31:V31"/>
    <mergeCell ref="A32:D32"/>
    <mergeCell ref="E32:J32"/>
    <mergeCell ref="P32:R32"/>
    <mergeCell ref="S32:V32"/>
    <mergeCell ref="E33:J33"/>
    <mergeCell ref="P33:R33"/>
    <mergeCell ref="P45:R45"/>
    <mergeCell ref="S45:V45"/>
    <mergeCell ref="P46:R46"/>
    <mergeCell ref="S46:V46"/>
    <mergeCell ref="P47:R47"/>
    <mergeCell ref="S47:V47"/>
    <mergeCell ref="P48:R48"/>
    <mergeCell ref="S48:V48"/>
    <mergeCell ref="A64:H64"/>
    <mergeCell ref="A54:D54"/>
    <mergeCell ref="P54:R54"/>
    <mergeCell ref="S54:V54"/>
    <mergeCell ref="A55:D55"/>
    <mergeCell ref="P55:R55"/>
    <mergeCell ref="S55:V55"/>
    <mergeCell ref="A52:D52"/>
    <mergeCell ref="A53:D53"/>
    <mergeCell ref="E54:H54"/>
    <mergeCell ref="I54:J54"/>
    <mergeCell ref="E55:H55"/>
    <mergeCell ref="I55:J55"/>
    <mergeCell ref="E56:H56"/>
    <mergeCell ref="P60:R60"/>
    <mergeCell ref="S60:V60"/>
    <mergeCell ref="P40:R40"/>
    <mergeCell ref="S40:V40"/>
    <mergeCell ref="P41:R41"/>
    <mergeCell ref="S41:V41"/>
    <mergeCell ref="P42:R42"/>
    <mergeCell ref="S42:V42"/>
    <mergeCell ref="P43:R43"/>
    <mergeCell ref="S43:V43"/>
    <mergeCell ref="P44:R44"/>
    <mergeCell ref="S44:V44"/>
    <mergeCell ref="P53:R53"/>
    <mergeCell ref="S53:V53"/>
    <mergeCell ref="P49:R49"/>
    <mergeCell ref="S49:V49"/>
    <mergeCell ref="P50:R50"/>
    <mergeCell ref="S50:V50"/>
    <mergeCell ref="P51:R51"/>
    <mergeCell ref="S51:V51"/>
    <mergeCell ref="E50:J50"/>
    <mergeCell ref="E53:J53"/>
  </mergeCells>
  <printOptions horizontalCentered="1"/>
  <pageMargins left="0.23622047244094499" right="0.23622047244094499" top="0.99803149599999996" bottom="1.49606299212598" header="0.31496062992126" footer="0.31496062992126"/>
  <pageSetup paperSize="5" scale="75" orientation="portrait" horizontalDpi="300" verticalDpi="300" r:id="rId1"/>
  <headerFooter>
    <oddFooter>&amp;L&amp;"Times New Roman,Italic"NIA-RO1-AFD-FS-INT-Form21Rev00</oddFooter>
  </headerFooter>
  <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1:E90"/>
  <sheetViews>
    <sheetView zoomScale="70" zoomScaleNormal="70" workbookViewId="0">
      <selection activeCell="N94" sqref="N94"/>
    </sheetView>
  </sheetViews>
  <sheetFormatPr defaultColWidth="9" defaultRowHeight="15.75"/>
  <cols>
    <col min="1" max="1" width="13.375" style="287" bestFit="1" customWidth="1"/>
    <col min="2" max="2" width="32.5" style="90" customWidth="1"/>
    <col min="3" max="4" width="16.625" style="275" customWidth="1"/>
    <col min="5" max="5" width="16.625" style="90" customWidth="1"/>
    <col min="6" max="16384" width="9" style="90"/>
  </cols>
  <sheetData>
    <row r="1" spans="1:5" ht="32.25">
      <c r="A1" s="273" t="s">
        <v>508</v>
      </c>
      <c r="B1" s="274" t="str">
        <f>Account!$G$1</f>
        <v>FUND 501 CARP</v>
      </c>
    </row>
    <row r="2" spans="1:5" ht="37.5">
      <c r="A2" s="273" t="s">
        <v>370</v>
      </c>
      <c r="B2" s="554" t="s">
        <v>106</v>
      </c>
      <c r="C2" s="1299">
        <f>IF(B2=0,"",(INDEX(AccountCodes[PPSAS CODE],MATCH(B2,AccountCodes[NGAS CODE],0))))</f>
        <v>2010101000</v>
      </c>
      <c r="D2" s="1299"/>
      <c r="E2" s="1299"/>
    </row>
    <row r="3" spans="1:5" ht="23.25">
      <c r="A3" s="273" t="s">
        <v>371</v>
      </c>
      <c r="B3" s="492" t="str">
        <f>IF(B2=0,"",(INDEX(AccountCodes[ACCOUNT NAME],MATCH(B2,AccountCodes[NGAS CODE],0))))</f>
        <v>Accounts Payable</v>
      </c>
      <c r="C3" s="491"/>
      <c r="D3" s="288" t="s">
        <v>718</v>
      </c>
      <c r="E3" s="555" t="s">
        <v>762</v>
      </c>
    </row>
    <row r="4" spans="1:5" ht="15.75" customHeight="1">
      <c r="A4" s="1301" t="s">
        <v>0</v>
      </c>
      <c r="B4" s="1300" t="s">
        <v>372</v>
      </c>
      <c r="C4" s="1300" t="s">
        <v>1</v>
      </c>
      <c r="D4" s="1300" t="s">
        <v>2</v>
      </c>
      <c r="E4" s="175" t="str">
        <f t="array" ref="E4">IF(C2=0,0,INDEX(AccountCodes[Normal Balance],MATCH(C2,AccountCodes[PPSAS CODE])))</f>
        <v>Credit</v>
      </c>
    </row>
    <row r="5" spans="1:5">
      <c r="A5" s="1301"/>
      <c r="B5" s="1300"/>
      <c r="C5" s="1300"/>
      <c r="D5" s="1300"/>
      <c r="E5" s="18" t="s">
        <v>379</v>
      </c>
    </row>
    <row r="6" spans="1:5">
      <c r="A6" s="276">
        <f>PostTB!A2</f>
        <v>44926</v>
      </c>
      <c r="B6" s="277" t="s">
        <v>373</v>
      </c>
      <c r="C6" s="278">
        <f t="array" ref="C6">IF(E3=0,(SUMIF(PostTB[Account Code (Old)],TRIM(B2),(PostTB[Debit]))),(SUM(IF((PostTB[Account Code (Old)]=TRIM($B$2))*(PostTB[Sort Code]=$E$3),PostTB[Debit]))))</f>
        <v>0</v>
      </c>
      <c r="D6" s="278">
        <f t="array" ref="D6">IF(E3=0,(SUMIF(PostTB[Account Code (Old)],TRIM(B2),(PostTB[Credit]))),(SUM(IF((PostTB[Account Code (Old)]=TRIM($B$2))*(PostTB[Sort Code]=$E$3),PostTB[Credit]))))</f>
        <v>0</v>
      </c>
      <c r="E6" s="278">
        <f>IF($E$4=$C$4,C6-D6,D6-C6)</f>
        <v>0</v>
      </c>
    </row>
    <row r="7" spans="1:5">
      <c r="A7" s="279"/>
      <c r="B7" s="280"/>
      <c r="C7" s="281"/>
      <c r="D7" s="281"/>
      <c r="E7" s="280"/>
    </row>
    <row r="8" spans="1:5">
      <c r="A8" s="279">
        <f>Account!$G$12</f>
        <v>44957</v>
      </c>
      <c r="B8" s="94" t="s">
        <v>374</v>
      </c>
      <c r="C8" s="281">
        <f t="array" ref="C8">IF($E$3=0,(SUM(IF((CkDJ[Date]=A8)*(CkDJ[Account Code]=TRIM($B$2)),CkDJ[Debit]))),(SUM(IF((CkDJ[Date]=A8)*(CkDJ[Account Code]=TRIM($B$2))*(CkDJ[Sort Code]=$E$3),CkDJ[Debit]))))</f>
        <v>0</v>
      </c>
      <c r="D8" s="281">
        <f t="array" ref="D8">IF($E$3=0,(SUM(IF((CkDJ[Date]=A8)*(CkDJ[Account Code]=TRIM($B$2)),CkDJ[Credit]))),(SUM(IF((CkDJ[Date]=A8)*(CkDJ[Account Code]=TRIM($B$2))*(CkDJ[Sort Code]=$E$3),CkDJ[Credit]))))</f>
        <v>0</v>
      </c>
      <c r="E8" s="280"/>
    </row>
    <row r="9" spans="1:5">
      <c r="A9" s="279">
        <f>Account!$G$12</f>
        <v>44957</v>
      </c>
      <c r="B9" s="282" t="s">
        <v>375</v>
      </c>
      <c r="C9" s="281">
        <f t="array" ref="C9">IF($E$3=0,(SUM(IF((CsDJ[Date]=A9)*(CsDJ[Account Code]=TRIM($B$2)),CsDJ[Debit]))),(SUM(IF((CsDJ[Date]=A9)*(CsDJ[Account Code]=TRIM($B$2))*(CsDJ[Sort Code]=$E$3),CsDJ[Debit]))))</f>
        <v>0</v>
      </c>
      <c r="D9" s="281">
        <f t="array" ref="D9">IF($E$3=0,(SUM(IF((CsDJ[Date]=A9)*(CsDJ[Account Code]=TRIM($B$2)),CsDJ[Credit]))),(SUM(IF((CsDJ[Date]=A9)*(CsDJ[Account Code]=TRIM($B$2))*(CsDJ[Sort Code]=$E$3),CsDJ[Credit]))))</f>
        <v>0</v>
      </c>
      <c r="E9" s="280"/>
    </row>
    <row r="10" spans="1:5">
      <c r="A10" s="279">
        <f>Account!$G$12</f>
        <v>44957</v>
      </c>
      <c r="B10" s="283" t="s">
        <v>376</v>
      </c>
      <c r="C10" s="281">
        <f t="array" ref="C10">IF($E$3=0,(SUM(IF((CRDJ[Date]=A10)*(CRDJ[Account Code]=TRIM($B$2)),CRDJ[Debit]))),(SUM(IF((CRDJ[Date]=A10)*(CRDJ[Account Code]=TRIM($B$2))*(CRDJ[Sort Code]=$E$3),CRDJ[Debit]))))</f>
        <v>0</v>
      </c>
      <c r="D10" s="281">
        <f t="array" ref="D10">IF($E$3=0,(SUM(IF((CRDJ[Date]=A10)*(CRDJ[Account Code]=TRIM($B$2)),CRDJ[Credit]))),(SUM(IF((CRDJ[Date]=A10)*(CRDJ[Account Code]=TRIM($B$2))*(CRDJ[Sort Code]=$E$3),CRDJ[Credit]))))</f>
        <v>0</v>
      </c>
      <c r="E10" s="284"/>
    </row>
    <row r="11" spans="1:5">
      <c r="A11" s="279">
        <f>Account!$G$12</f>
        <v>44957</v>
      </c>
      <c r="B11" s="94" t="s">
        <v>377</v>
      </c>
      <c r="C11" s="281">
        <f t="array" ref="C11">IF($E$3=0,(SUM(IF((GJ[Date]=A11)*(GJ[Account Code]=TRIM($B$2)),GJ[Debit]))),(SUM(IF((GJ[Date]=A11)*(GJ[Account Code]=TRIM($B$2))*(GJ[Sort Code]=$E$3),GJ[Debit]))))</f>
        <v>83261.649999999994</v>
      </c>
      <c r="D11" s="281">
        <f t="array" ref="D11">IF($E$3=0,(SUM(IF((GJ[Date]=A11)*(GJ[Account Code]=TRIM($B$2)),GJ[Credit]))),(SUM(IF((GJ[Date]=A11)*(GJ[Account Code]=TRIM($B$2))*(GJ[Sort Code]=$E$3),GJ[Credit]))))</f>
        <v>0</v>
      </c>
      <c r="E11" s="280"/>
    </row>
    <row r="12" spans="1:5">
      <c r="A12" s="1297">
        <f>A11</f>
        <v>44957</v>
      </c>
      <c r="B12" s="1298"/>
      <c r="C12" s="285">
        <f>SUM(C8:C11)</f>
        <v>83261.649999999994</v>
      </c>
      <c r="D12" s="285">
        <f>SUM(D8:D11)</f>
        <v>0</v>
      </c>
      <c r="E12" s="285">
        <f>IF($E$4=$C$4,C12-D12,D12-C12)</f>
        <v>-83261.649999999994</v>
      </c>
    </row>
    <row r="13" spans="1:5">
      <c r="A13" s="1295">
        <f>A12</f>
        <v>44957</v>
      </c>
      <c r="B13" s="1296"/>
      <c r="C13" s="278">
        <f>C6+C12</f>
        <v>83261.649999999994</v>
      </c>
      <c r="D13" s="278">
        <f>D6+D12</f>
        <v>0</v>
      </c>
      <c r="E13" s="278">
        <f>IF($E$4=$C$4,C13-D13,D13-C13)</f>
        <v>-83261.649999999994</v>
      </c>
    </row>
    <row r="14" spans="1:5">
      <c r="A14" s="286"/>
      <c r="B14" s="286"/>
      <c r="C14" s="281"/>
      <c r="D14" s="281"/>
      <c r="E14" s="280"/>
    </row>
    <row r="15" spans="1:5">
      <c r="A15" s="279">
        <f>Account!$G$13</f>
        <v>44985</v>
      </c>
      <c r="B15" s="94" t="s">
        <v>374</v>
      </c>
      <c r="C15" s="281">
        <f t="array" ref="C15">IF($E$3=0,(SUM(IF((CkDJ[Date]=A15)*(CkDJ[Account Code]=TRIM($B$2)),CkDJ[Debit]))),(SUM(IF((CkDJ[Date]=A15)*(CkDJ[Account Code]=TRIM($B$2))*(CkDJ[Sort Code]=$E$3),CkDJ[Debit]))))</f>
        <v>0</v>
      </c>
      <c r="D15" s="281">
        <f t="array" ref="D15">IF($E$3=0,(SUM(IF((CkDJ[Date]=A15)*(CkDJ[Account Code]=TRIM($B$2)),CkDJ[Credit]))),(SUM(IF((CkDJ[Date]=A15)*(CkDJ[Account Code]=TRIM($B$2))*(CkDJ[Sort Code]=$E$3),CkDJ[Credit]))))</f>
        <v>0</v>
      </c>
      <c r="E15" s="280"/>
    </row>
    <row r="16" spans="1:5">
      <c r="A16" s="279">
        <f>Account!$G$13</f>
        <v>44985</v>
      </c>
      <c r="B16" s="282" t="s">
        <v>375</v>
      </c>
      <c r="C16" s="281">
        <f t="array" ref="C16">IF($E$3=0,(SUM(IF((CsDJ[Date]=A16)*(CsDJ[Account Code]=TRIM($B$2)),CsDJ[Debit]))),(SUM(IF((CsDJ[Date]=A16)*(CsDJ[Account Code]=TRIM($B$2))*(CsDJ[Sort Code]=$E$3),CsDJ[Debit]))))</f>
        <v>0</v>
      </c>
      <c r="D16" s="281">
        <f t="array" ref="D16">IF($E$3=0,(SUM(IF((CsDJ[Date]=A16)*(CsDJ[Account Code]=TRIM($B$2)),CsDJ[Credit]))),(SUM(IF((CsDJ[Date]=A16)*(CsDJ[Account Code]=TRIM($B$2))*(CsDJ[Sort Code]=$E$3),CsDJ[Credit]))))</f>
        <v>0</v>
      </c>
      <c r="E16" s="280"/>
    </row>
    <row r="17" spans="1:5">
      <c r="A17" s="279">
        <f>Account!$G$13</f>
        <v>44985</v>
      </c>
      <c r="B17" s="283" t="s">
        <v>376</v>
      </c>
      <c r="C17" s="281">
        <f t="array" ref="C17">IF($E$3=0,(SUM(IF((CRDJ[Date]=A17)*(CRDJ[Account Code]=TRIM($B$2)),CRDJ[Debit]))),(SUM(IF((CRDJ[Date]=A17)*(CRDJ[Account Code]=TRIM($B$2))*(CRDJ[Sort Code]=$E$3),CRDJ[Debit]))))</f>
        <v>0</v>
      </c>
      <c r="D17" s="281">
        <f t="array" ref="D17">IF($E$3=0,(SUM(IF((CRDJ[Date]=A17)*(CRDJ[Account Code]=TRIM($B$2)),CRDJ[Credit]))),(SUM(IF((CRDJ[Date]=A17)*(CRDJ[Account Code]=TRIM($B$2))*(CRDJ[Sort Code]=$E$3),CRDJ[Credit]))))</f>
        <v>0</v>
      </c>
      <c r="E17" s="280"/>
    </row>
    <row r="18" spans="1:5">
      <c r="A18" s="279">
        <f>Account!$G$13</f>
        <v>44985</v>
      </c>
      <c r="B18" s="94" t="s">
        <v>377</v>
      </c>
      <c r="C18" s="281">
        <f t="array" ref="C18">IF($E$3=0,(SUM(IF((GJ[Date]=A18)*(GJ[Account Code]=TRIM($B$2)),GJ[Debit]))),(SUM(IF((GJ[Date]=A18)*(GJ[Account Code]=TRIM($B$2))*(GJ[Sort Code]=$E$3),GJ[Debit]))))</f>
        <v>0</v>
      </c>
      <c r="D18" s="281">
        <f t="array" ref="D18">IF($E$3=0,(SUM(IF((GJ[Date]=A18)*(GJ[Account Code]=TRIM($B$2)),GJ[Credit]))),(SUM(IF((GJ[Date]=A18)*(GJ[Account Code]=TRIM($B$2))*(GJ[Sort Code]=$E$3),GJ[Credit]))))</f>
        <v>0</v>
      </c>
      <c r="E18" s="280"/>
    </row>
    <row r="19" spans="1:5">
      <c r="A19" s="1297">
        <f>A18</f>
        <v>44985</v>
      </c>
      <c r="B19" s="1298"/>
      <c r="C19" s="285">
        <f>SUM(C15:C18)</f>
        <v>0</v>
      </c>
      <c r="D19" s="285">
        <f>SUM(D15:D18)</f>
        <v>0</v>
      </c>
      <c r="E19" s="285">
        <f>IF($E$4=$C$4,C19-D19,D19-C19)</f>
        <v>0</v>
      </c>
    </row>
    <row r="20" spans="1:5">
      <c r="A20" s="1295">
        <f>A19</f>
        <v>44985</v>
      </c>
      <c r="B20" s="1296"/>
      <c r="C20" s="278">
        <f>C13+C19</f>
        <v>83261.649999999994</v>
      </c>
      <c r="D20" s="278">
        <f>D13+D19</f>
        <v>0</v>
      </c>
      <c r="E20" s="278">
        <f>IF($E$4=$C$4,C20-D20,D20-C20)</f>
        <v>-83261.649999999994</v>
      </c>
    </row>
    <row r="21" spans="1:5">
      <c r="A21" s="279"/>
      <c r="B21" s="280"/>
      <c r="C21" s="281"/>
      <c r="D21" s="281"/>
      <c r="E21" s="280"/>
    </row>
    <row r="22" spans="1:5">
      <c r="A22" s="279">
        <f>Account!$G$14</f>
        <v>45016</v>
      </c>
      <c r="B22" s="94" t="s">
        <v>374</v>
      </c>
      <c r="C22" s="281">
        <f t="array" ref="C22">IF($E$3=0,(SUM(IF((CkDJ[Date]=A22)*(CkDJ[Account Code]=TRIM($B$2)),CkDJ[Debit]))),(SUM(IF((CkDJ[Date]=A22)*(CkDJ[Account Code]=TRIM($B$2))*(CkDJ[Sort Code]=$E$3),CkDJ[Debit]))))</f>
        <v>0</v>
      </c>
      <c r="D22" s="281">
        <f t="array" ref="D22">IF($E$3=0,(SUM(IF((CkDJ[Date]=A22)*(CkDJ[Account Code]=TRIM($B$2)),CkDJ[Credit]))),(SUM(IF((CkDJ[Date]=A22)*(CkDJ[Account Code]=TRIM($B$2))*(CkDJ[Sort Code]=$E$3),CkDJ[Credit]))))</f>
        <v>0</v>
      </c>
      <c r="E22" s="280"/>
    </row>
    <row r="23" spans="1:5">
      <c r="A23" s="279">
        <f>Account!$G$14</f>
        <v>45016</v>
      </c>
      <c r="B23" s="282" t="s">
        <v>375</v>
      </c>
      <c r="C23" s="281">
        <f t="array" ref="C23">IF($E$3=0,(SUM(IF((CsDJ[Date]=A23)*(CsDJ[Account Code]=TRIM($B$2)),CsDJ[Debit]))),(SUM(IF((CsDJ[Date]=A23)*(CsDJ[Account Code]=TRIM($B$2))*(CsDJ[Sort Code]=$E$3),CsDJ[Debit]))))</f>
        <v>0</v>
      </c>
      <c r="D23" s="281">
        <f t="array" ref="D23">IF($E$3=0,(SUM(IF((CsDJ[Date]=A23)*(CsDJ[Account Code]=TRIM($B$2)),CsDJ[Credit]))),(SUM(IF((CsDJ[Date]=A23)*(CsDJ[Account Code]=TRIM($B$2))*(CsDJ[Sort Code]=$E$3),CsDJ[Credit]))))</f>
        <v>0</v>
      </c>
      <c r="E23" s="280"/>
    </row>
    <row r="24" spans="1:5">
      <c r="A24" s="279">
        <f>Account!$G$14</f>
        <v>45016</v>
      </c>
      <c r="B24" s="283" t="s">
        <v>376</v>
      </c>
      <c r="C24" s="281">
        <f t="array" ref="C24">IF($E$3=0,(SUM(IF((CRDJ[Date]=A24)*(CRDJ[Account Code]=TRIM($B$2)),CRDJ[Debit]))),(SUM(IF((CRDJ[Date]=A24)*(CRDJ[Account Code]=TRIM($B$2))*(CRDJ[Sort Code]=$E$3),CRDJ[Debit]))))</f>
        <v>0</v>
      </c>
      <c r="D24" s="281">
        <f t="array" ref="D24">IF($E$3=0,(SUM(IF((CRDJ[Date]=A24)*(CRDJ[Account Code]=TRIM($B$2)),CRDJ[Credit]))),(SUM(IF((CRDJ[Date]=A24)*(CRDJ[Account Code]=TRIM($B$2))*(CRDJ[Sort Code]=$E$3),CRDJ[Credit]))))</f>
        <v>0</v>
      </c>
      <c r="E24" s="280"/>
    </row>
    <row r="25" spans="1:5">
      <c r="A25" s="279">
        <f>Account!$G$14</f>
        <v>45016</v>
      </c>
      <c r="B25" s="94" t="s">
        <v>377</v>
      </c>
      <c r="C25" s="281">
        <f t="array" ref="C25">IF($E$3=0,(SUM(IF((GJ[Date]=A25)*(GJ[Account Code]=TRIM($B$2)),GJ[Debit]))),(SUM(IF((GJ[Date]=A25)*(GJ[Account Code]=TRIM($B$2))*(GJ[Sort Code]=$E$3),GJ[Debit]))))</f>
        <v>0</v>
      </c>
      <c r="D25" s="281">
        <f t="array" ref="D25">IF($E$3=0,(SUM(IF((GJ[Date]=A25)*(GJ[Account Code]=TRIM($B$2)),GJ[Credit]))),(SUM(IF((GJ[Date]=A25)*(GJ[Account Code]=TRIM($B$2))*(GJ[Sort Code]=$E$3),GJ[Credit]))))</f>
        <v>0</v>
      </c>
      <c r="E25" s="280"/>
    </row>
    <row r="26" spans="1:5">
      <c r="A26" s="1297">
        <f>A25</f>
        <v>45016</v>
      </c>
      <c r="B26" s="1298"/>
      <c r="C26" s="285">
        <f>SUM(C22:C25)</f>
        <v>0</v>
      </c>
      <c r="D26" s="285">
        <f>SUM(D22:D25)</f>
        <v>0</v>
      </c>
      <c r="E26" s="285">
        <f>IF($E$4=$C$4,C26-D26,D26-C26)</f>
        <v>0</v>
      </c>
    </row>
    <row r="27" spans="1:5">
      <c r="A27" s="1295">
        <f>A26</f>
        <v>45016</v>
      </c>
      <c r="B27" s="1296"/>
      <c r="C27" s="278">
        <f>C20+C26</f>
        <v>83261.649999999994</v>
      </c>
      <c r="D27" s="278">
        <f>D20+D26</f>
        <v>0</v>
      </c>
      <c r="E27" s="278">
        <f>IF($E$4=$C$4,C27-D27,D27-C27)</f>
        <v>-83261.649999999994</v>
      </c>
    </row>
    <row r="28" spans="1:5">
      <c r="A28" s="279"/>
      <c r="B28" s="280"/>
      <c r="C28" s="281"/>
      <c r="D28" s="281"/>
      <c r="E28" s="280"/>
    </row>
    <row r="29" spans="1:5">
      <c r="A29" s="279">
        <f>Account!$G$15</f>
        <v>45046</v>
      </c>
      <c r="B29" s="94" t="s">
        <v>374</v>
      </c>
      <c r="C29" s="281">
        <f t="array" ref="C29">IF($E$3=0,(SUM(IF((CkDJ[Date]=A29)*(CkDJ[Account Code]=TRIM($B$2)),CkDJ[Debit]))),(SUM(IF((CkDJ[Date]=A29)*(CkDJ[Account Code]=TRIM($B$2))*(CkDJ[Sort Code]=$E$3),CkDJ[Debit]))))</f>
        <v>0</v>
      </c>
      <c r="D29" s="281">
        <f t="array" ref="D29">IF($E$3=0,(SUM(IF((CkDJ[Date]=A29)*(CkDJ[Account Code]=TRIM($B$2)),CkDJ[Credit]))),(SUM(IF((CkDJ[Date]=A29)*(CkDJ[Account Code]=TRIM($B$2))*(CkDJ[Sort Code]=$E$3),CkDJ[Credit]))))</f>
        <v>0</v>
      </c>
      <c r="E29" s="280"/>
    </row>
    <row r="30" spans="1:5">
      <c r="A30" s="279">
        <f>Account!$G$15</f>
        <v>45046</v>
      </c>
      <c r="B30" s="282" t="s">
        <v>375</v>
      </c>
      <c r="C30" s="281">
        <f t="array" ref="C30">IF($E$3=0,(SUM(IF((CsDJ[Date]=A30)*(CsDJ[Account Code]=TRIM($B$2)),CsDJ[Debit]))),(SUM(IF((CsDJ[Date]=A30)*(CsDJ[Account Code]=TRIM($B$2))*(CsDJ[Sort Code]=$E$3),CsDJ[Debit]))))</f>
        <v>0</v>
      </c>
      <c r="D30" s="281">
        <f t="array" ref="D30">IF($E$3=0,(SUM(IF((CsDJ[Date]=A30)*(CsDJ[Account Code]=TRIM($B$2)),CsDJ[Credit]))),(SUM(IF((CsDJ[Date]=A30)*(CsDJ[Account Code]=TRIM($B$2))*(CsDJ[Sort Code]=$E$3),CsDJ[Credit]))))</f>
        <v>0</v>
      </c>
      <c r="E30" s="280"/>
    </row>
    <row r="31" spans="1:5">
      <c r="A31" s="279">
        <f>Account!$G$15</f>
        <v>45046</v>
      </c>
      <c r="B31" s="283" t="s">
        <v>376</v>
      </c>
      <c r="C31" s="281">
        <f t="array" ref="C31">IF($E$3=0,(SUM(IF((CRDJ[Date]=A31)*(CRDJ[Account Code]=TRIM($B$2)),CRDJ[Debit]))),(SUM(IF((CRDJ[Date]=A31)*(CRDJ[Account Code]=TRIM($B$2))*(CRDJ[Sort Code]=$E$3),CRDJ[Debit]))))</f>
        <v>0</v>
      </c>
      <c r="D31" s="281">
        <f t="array" ref="D31">IF($E$3=0,(SUM(IF((CRDJ[Date]=A31)*(CRDJ[Account Code]=TRIM($B$2)),CRDJ[Credit]))),(SUM(IF((CRDJ[Date]=A31)*(CRDJ[Account Code]=TRIM($B$2))*(CRDJ[Sort Code]=$E$3),CRDJ[Credit]))))</f>
        <v>0</v>
      </c>
      <c r="E31" s="280"/>
    </row>
    <row r="32" spans="1:5">
      <c r="A32" s="279">
        <f>Account!$G$15</f>
        <v>45046</v>
      </c>
      <c r="B32" s="94" t="s">
        <v>377</v>
      </c>
      <c r="C32" s="281">
        <f t="array" ref="C32">IF($E$3=0,(SUM(IF((GJ[Date]=A32)*(GJ[Account Code]=TRIM($B$2)),GJ[Debit]))),(SUM(IF((GJ[Date]=A32)*(GJ[Account Code]=TRIM($B$2))*(GJ[Sort Code]=$E$3),GJ[Debit]))))</f>
        <v>0</v>
      </c>
      <c r="D32" s="281">
        <f t="array" ref="D32">IF($E$3=0,(SUM(IF((GJ[Date]=A32)*(GJ[Account Code]=TRIM($B$2)),GJ[Credit]))),(SUM(IF((GJ[Date]=A32)*(GJ[Account Code]=TRIM($B$2))*(GJ[Sort Code]=$E$3),GJ[Credit]))))</f>
        <v>0</v>
      </c>
      <c r="E32" s="280"/>
    </row>
    <row r="33" spans="1:5">
      <c r="A33" s="1297">
        <f>A32</f>
        <v>45046</v>
      </c>
      <c r="B33" s="1298"/>
      <c r="C33" s="285">
        <f>SUM(C29:C32)</f>
        <v>0</v>
      </c>
      <c r="D33" s="285">
        <f>SUM(D29:D32)</f>
        <v>0</v>
      </c>
      <c r="E33" s="285">
        <f>IF($E$4=$C$4,C33-D33,D33-C33)</f>
        <v>0</v>
      </c>
    </row>
    <row r="34" spans="1:5">
      <c r="A34" s="1295">
        <f>A33</f>
        <v>45046</v>
      </c>
      <c r="B34" s="1296"/>
      <c r="C34" s="278">
        <f>C27+C33</f>
        <v>83261.649999999994</v>
      </c>
      <c r="D34" s="278">
        <f>D27+D33</f>
        <v>0</v>
      </c>
      <c r="E34" s="278">
        <f>IF($E$4=$C$4,C34-D34,D34-C34)</f>
        <v>-83261.649999999994</v>
      </c>
    </row>
    <row r="35" spans="1:5">
      <c r="A35" s="279"/>
      <c r="B35" s="280"/>
      <c r="C35" s="281"/>
      <c r="D35" s="281"/>
      <c r="E35" s="280"/>
    </row>
    <row r="36" spans="1:5">
      <c r="A36" s="279">
        <f>Account!$G$16</f>
        <v>45077</v>
      </c>
      <c r="B36" s="94" t="s">
        <v>374</v>
      </c>
      <c r="C36" s="281">
        <f t="array" ref="C36">IF($E$3=0,(SUM(IF((CkDJ[Date]=A36)*(CkDJ[Account Code]=TRIM($B$2)),CkDJ[Debit]))),(SUM(IF((CkDJ[Date]=A36)*(CkDJ[Account Code]=TRIM($B$2))*(CkDJ[Sort Code]=$E$3),CkDJ[Debit]))))</f>
        <v>0</v>
      </c>
      <c r="D36" s="281">
        <f t="array" ref="D36">IF($E$3=0,(SUM(IF((CkDJ[Date]=A36)*(CkDJ[Account Code]=TRIM($B$2)),CkDJ[Credit]))),(SUM(IF((CkDJ[Date]=A36)*(CkDJ[Account Code]=TRIM($B$2))*(CkDJ[Sort Code]=$E$3),CkDJ[Credit]))))</f>
        <v>0</v>
      </c>
      <c r="E36" s="280"/>
    </row>
    <row r="37" spans="1:5">
      <c r="A37" s="279">
        <f>Account!$G$16</f>
        <v>45077</v>
      </c>
      <c r="B37" s="282" t="s">
        <v>375</v>
      </c>
      <c r="C37" s="281">
        <f t="array" ref="C37">IF($E$3=0,(SUM(IF((CsDJ[Date]=A37)*(CsDJ[Account Code]=TRIM($B$2)),CsDJ[Debit]))),(SUM(IF((CsDJ[Date]=A37)*(CsDJ[Account Code]=TRIM($B$2))*(CsDJ[Sort Code]=$E$3),CsDJ[Debit]))))</f>
        <v>0</v>
      </c>
      <c r="D37" s="281">
        <f t="array" ref="D37">IF($E$3=0,(SUM(IF((CsDJ[Date]=A37)*(CsDJ[Account Code]=TRIM($B$2)),CsDJ[Credit]))),(SUM(IF((CsDJ[Date]=A37)*(CsDJ[Account Code]=TRIM($B$2))*(CsDJ[Sort Code]=$E$3),CsDJ[Credit]))))</f>
        <v>0</v>
      </c>
      <c r="E37" s="280"/>
    </row>
    <row r="38" spans="1:5">
      <c r="A38" s="279">
        <f>Account!$G$16</f>
        <v>45077</v>
      </c>
      <c r="B38" s="283" t="s">
        <v>376</v>
      </c>
      <c r="C38" s="281">
        <f t="array" ref="C38">IF($E$3=0,(SUM(IF((CRDJ[Date]=A38)*(CRDJ[Account Code]=TRIM($B$2)),CRDJ[Debit]))),(SUM(IF((CRDJ[Date]=A38)*(CRDJ[Account Code]=TRIM($B$2))*(CRDJ[Sort Code]=$E$3),CRDJ[Debit]))))</f>
        <v>0</v>
      </c>
      <c r="D38" s="281">
        <f t="array" ref="D38">IF($E$3=0,(SUM(IF((CRDJ[Date]=A38)*(CRDJ[Account Code]=TRIM($B$2)),CRDJ[Credit]))),(SUM(IF((CRDJ[Date]=A38)*(CRDJ[Account Code]=TRIM($B$2))*(CRDJ[Sort Code]=$E$3),CRDJ[Credit]))))</f>
        <v>0</v>
      </c>
      <c r="E38" s="280"/>
    </row>
    <row r="39" spans="1:5">
      <c r="A39" s="279">
        <f>Account!$G$16</f>
        <v>45077</v>
      </c>
      <c r="B39" s="94" t="s">
        <v>377</v>
      </c>
      <c r="C39" s="281">
        <f t="array" ref="C39">IF($E$3=0,(SUM(IF((GJ[Date]=A39)*(GJ[Account Code]=TRIM($B$2)),GJ[Debit]))),(SUM(IF((GJ[Date]=A39)*(GJ[Account Code]=TRIM($B$2))*(GJ[Sort Code]=$E$3),GJ[Debit]))))</f>
        <v>0</v>
      </c>
      <c r="D39" s="281">
        <f t="array" ref="D39">IF($E$3=0,(SUM(IF((GJ[Date]=A39)*(GJ[Account Code]=TRIM($B$2)),GJ[Credit]))),(SUM(IF((GJ[Date]=A39)*(GJ[Account Code]=TRIM($B$2))*(GJ[Sort Code]=$E$3),GJ[Credit]))))</f>
        <v>0</v>
      </c>
      <c r="E39" s="280"/>
    </row>
    <row r="40" spans="1:5">
      <c r="A40" s="1297">
        <f>A39</f>
        <v>45077</v>
      </c>
      <c r="B40" s="1298"/>
      <c r="C40" s="285">
        <f>SUM(C36:C39)</f>
        <v>0</v>
      </c>
      <c r="D40" s="285">
        <f>SUM(D36:D39)</f>
        <v>0</v>
      </c>
      <c r="E40" s="285">
        <f>IF($E$4=$C$4,C40-D40,D40-C40)</f>
        <v>0</v>
      </c>
    </row>
    <row r="41" spans="1:5">
      <c r="A41" s="1295">
        <f>A40</f>
        <v>45077</v>
      </c>
      <c r="B41" s="1296"/>
      <c r="C41" s="278">
        <f>C34+C40</f>
        <v>83261.649999999994</v>
      </c>
      <c r="D41" s="278">
        <f>D34+D40</f>
        <v>0</v>
      </c>
      <c r="E41" s="278">
        <f>IF($E$4=$C$4,C41-D41,D41-C41)</f>
        <v>-83261.649999999994</v>
      </c>
    </row>
    <row r="42" spans="1:5">
      <c r="A42" s="279"/>
      <c r="B42" s="280"/>
      <c r="C42" s="281"/>
      <c r="D42" s="281"/>
      <c r="E42" s="280"/>
    </row>
    <row r="43" spans="1:5">
      <c r="A43" s="279">
        <f>Account!$G$17</f>
        <v>45107</v>
      </c>
      <c r="B43" s="94" t="s">
        <v>374</v>
      </c>
      <c r="C43" s="281">
        <f t="array" ref="C43">IF($E$3=0,(SUM(IF((CkDJ[Date]=A43)*(CkDJ[Account Code]=TRIM($B$2)),CkDJ[Debit]))),(SUM(IF((CkDJ[Date]=A43)*(CkDJ[Account Code]=TRIM($B$2))*(CkDJ[Sort Code]=$E$3),CkDJ[Debit]))))</f>
        <v>0</v>
      </c>
      <c r="D43" s="281">
        <f t="array" ref="D43">IF($E$3=0,(SUM(IF((CkDJ[Date]=A43)*(CkDJ[Account Code]=TRIM($B$2)),CkDJ[Credit]))),(SUM(IF((CkDJ[Date]=A43)*(CkDJ[Account Code]=TRIM($B$2))*(CkDJ[Sort Code]=$E$3),CkDJ[Credit]))))</f>
        <v>0</v>
      </c>
      <c r="E43" s="280"/>
    </row>
    <row r="44" spans="1:5">
      <c r="A44" s="279">
        <f>Account!$G$17</f>
        <v>45107</v>
      </c>
      <c r="B44" s="282" t="s">
        <v>375</v>
      </c>
      <c r="C44" s="281">
        <f t="array" ref="C44">IF($E$3=0,(SUM(IF((CsDJ[Date]=A44)*(CsDJ[Account Code]=TRIM($B$2)),CsDJ[Debit]))),(SUM(IF((CsDJ[Date]=A44)*(CsDJ[Account Code]=TRIM($B$2))*(CsDJ[Sort Code]=$E$3),CsDJ[Debit]))))</f>
        <v>0</v>
      </c>
      <c r="D44" s="281">
        <f t="array" ref="D44">IF($E$3=0,(SUM(IF((CsDJ[Date]=A44)*(CsDJ[Account Code]=TRIM($B$2)),CsDJ[Credit]))),(SUM(IF((CsDJ[Date]=A44)*(CsDJ[Account Code]=TRIM($B$2))*(CsDJ[Sort Code]=$E$3),CsDJ[Credit]))))</f>
        <v>0</v>
      </c>
      <c r="E44" s="280"/>
    </row>
    <row r="45" spans="1:5">
      <c r="A45" s="279">
        <f>Account!$G$17</f>
        <v>45107</v>
      </c>
      <c r="B45" s="283" t="s">
        <v>376</v>
      </c>
      <c r="C45" s="281">
        <f t="array" ref="C45">IF($E$3=0,(SUM(IF((CRDJ[Date]=A45)*(CRDJ[Account Code]=TRIM($B$2)),CRDJ[Debit]))),(SUM(IF((CRDJ[Date]=A45)*(CRDJ[Account Code]=TRIM($B$2))*(CRDJ[Sort Code]=$E$3),CRDJ[Debit]))))</f>
        <v>0</v>
      </c>
      <c r="D45" s="281">
        <f t="array" ref="D45">IF($E$3=0,(SUM(IF((CRDJ[Date]=A45)*(CRDJ[Account Code]=TRIM($B$2)),CRDJ[Credit]))),(SUM(IF((CRDJ[Date]=A45)*(CRDJ[Account Code]=TRIM($B$2))*(CRDJ[Sort Code]=$E$3),CRDJ[Credit]))))</f>
        <v>0</v>
      </c>
      <c r="E45" s="280"/>
    </row>
    <row r="46" spans="1:5">
      <c r="A46" s="279">
        <f>Account!$G$17</f>
        <v>45107</v>
      </c>
      <c r="B46" s="94" t="s">
        <v>377</v>
      </c>
      <c r="C46" s="281">
        <f t="array" ref="C46">IF($E$3=0,(SUM(IF((GJ[Date]=A46)*(GJ[Account Code]=TRIM($B$2)),GJ[Debit]))),(SUM(IF((GJ[Date]=A46)*(GJ[Account Code]=TRIM($B$2))*(GJ[Sort Code]=$E$3),GJ[Debit]))))</f>
        <v>0</v>
      </c>
      <c r="D46" s="281">
        <f t="array" ref="D46">IF($E$3=0,(SUM(IF((GJ[Date]=A46)*(GJ[Account Code]=TRIM($B$2)),GJ[Credit]))),(SUM(IF((GJ[Date]=A46)*(GJ[Account Code]=TRIM($B$2))*(GJ[Sort Code]=$E$3),GJ[Credit]))))</f>
        <v>0</v>
      </c>
      <c r="E46" s="280"/>
    </row>
    <row r="47" spans="1:5">
      <c r="A47" s="1297">
        <f>A46</f>
        <v>45107</v>
      </c>
      <c r="B47" s="1298"/>
      <c r="C47" s="285">
        <f>SUM(C43:C46)</f>
        <v>0</v>
      </c>
      <c r="D47" s="285">
        <f>SUM(D43:D46)</f>
        <v>0</v>
      </c>
      <c r="E47" s="285">
        <f>IF($E$4=$C$4,C47-D47,D47-C47)</f>
        <v>0</v>
      </c>
    </row>
    <row r="48" spans="1:5">
      <c r="A48" s="1295">
        <f>A47</f>
        <v>45107</v>
      </c>
      <c r="B48" s="1296"/>
      <c r="C48" s="278">
        <f>C41+C47</f>
        <v>83261.649999999994</v>
      </c>
      <c r="D48" s="278">
        <f>D41+D47</f>
        <v>0</v>
      </c>
      <c r="E48" s="278">
        <f>IF($E$4=$C$4,C48-D48,D48-C48)</f>
        <v>-83261.649999999994</v>
      </c>
    </row>
    <row r="49" spans="1:5">
      <c r="A49" s="279"/>
      <c r="B49" s="280"/>
      <c r="C49" s="281"/>
      <c r="D49" s="281"/>
      <c r="E49" s="280"/>
    </row>
    <row r="50" spans="1:5">
      <c r="A50" s="279">
        <f>Account!$G$18</f>
        <v>45138</v>
      </c>
      <c r="B50" s="94" t="s">
        <v>374</v>
      </c>
      <c r="C50" s="281">
        <f t="array" ref="C50">IF($E$3=0,(SUM(IF((CkDJ[Date]=A50)*(CkDJ[Account Code]=TRIM($B$2)),CkDJ[Debit]))),(SUM(IF((CkDJ[Date]=A50)*(CkDJ[Account Code]=TRIM($B$2))*(CkDJ[Sort Code]=$E$3),CkDJ[Debit]))))</f>
        <v>0</v>
      </c>
      <c r="D50" s="281">
        <f t="array" ref="D50">IF($E$3=0,(SUM(IF((CkDJ[Date]=A50)*(CkDJ[Account Code]=TRIM($B$2)),CkDJ[Credit]))),(SUM(IF((CkDJ[Date]=A50)*(CkDJ[Account Code]=TRIM($B$2))*(CkDJ[Sort Code]=$E$3),CkDJ[Credit]))))</f>
        <v>0</v>
      </c>
      <c r="E50" s="280"/>
    </row>
    <row r="51" spans="1:5">
      <c r="A51" s="279">
        <f>Account!$G$18</f>
        <v>45138</v>
      </c>
      <c r="B51" s="282" t="s">
        <v>375</v>
      </c>
      <c r="C51" s="281">
        <f t="array" ref="C51">IF($E$3=0,(SUM(IF((CsDJ[Date]=A51)*(CsDJ[Account Code]=TRIM($B$2)),CsDJ[Debit]))),(SUM(IF((CsDJ[Date]=A51)*(CsDJ[Account Code]=TRIM($B$2))*(CsDJ[Sort Code]=$E$3),CsDJ[Debit]))))</f>
        <v>0</v>
      </c>
      <c r="D51" s="281">
        <f t="array" ref="D51">IF($E$3=0,(SUM(IF((CsDJ[Date]=A51)*(CsDJ[Account Code]=TRIM($B$2)),CsDJ[Credit]))),(SUM(IF((CsDJ[Date]=A51)*(CsDJ[Account Code]=TRIM($B$2))*(CsDJ[Sort Code]=$E$3),CsDJ[Credit]))))</f>
        <v>0</v>
      </c>
      <c r="E51" s="280"/>
    </row>
    <row r="52" spans="1:5">
      <c r="A52" s="279">
        <f>Account!$G$18</f>
        <v>45138</v>
      </c>
      <c r="B52" s="283" t="s">
        <v>376</v>
      </c>
      <c r="C52" s="281">
        <f t="array" ref="C52">IF($E$3=0,(SUM(IF((CRDJ[Date]=A52)*(CRDJ[Account Code]=TRIM($B$2)),CRDJ[Debit]))),(SUM(IF((CRDJ[Date]=A52)*(CRDJ[Account Code]=TRIM($B$2))*(CRDJ[Sort Code]=$E$3),CRDJ[Debit]))))</f>
        <v>0</v>
      </c>
      <c r="D52" s="281">
        <f t="array" ref="D52">IF($E$3=0,(SUM(IF((CRDJ[Date]=A52)*(CRDJ[Account Code]=TRIM($B$2)),CRDJ[Credit]))),(SUM(IF((CRDJ[Date]=A52)*(CRDJ[Account Code]=TRIM($B$2))*(CRDJ[Sort Code]=$E$3),CRDJ[Credit]))))</f>
        <v>0</v>
      </c>
      <c r="E52" s="280"/>
    </row>
    <row r="53" spans="1:5">
      <c r="A53" s="279">
        <f>Account!$G$18</f>
        <v>45138</v>
      </c>
      <c r="B53" s="94" t="s">
        <v>377</v>
      </c>
      <c r="C53" s="281">
        <f t="array" ref="C53">IF($E$3=0,(SUM(IF((GJ[Date]=A53)*(GJ[Account Code]=TRIM($B$2)),GJ[Debit]))),(SUM(IF((GJ[Date]=A53)*(GJ[Account Code]=TRIM($B$2))*(GJ[Sort Code]=$E$3),GJ[Debit]))))</f>
        <v>0</v>
      </c>
      <c r="D53" s="281">
        <f t="array" ref="D53">IF($E$3=0,(SUM(IF((GJ[Date]=A53)*(GJ[Account Code]=TRIM($B$2)),GJ[Credit]))),(SUM(IF((GJ[Date]=A53)*(GJ[Account Code]=TRIM($B$2))*(GJ[Sort Code]=$E$3),GJ[Credit]))))</f>
        <v>0</v>
      </c>
      <c r="E53" s="280"/>
    </row>
    <row r="54" spans="1:5">
      <c r="A54" s="1297">
        <f>A53</f>
        <v>45138</v>
      </c>
      <c r="B54" s="1298"/>
      <c r="C54" s="285">
        <f>SUM(C50:C53)</f>
        <v>0</v>
      </c>
      <c r="D54" s="285">
        <f>SUM(D50:D53)</f>
        <v>0</v>
      </c>
      <c r="E54" s="285">
        <f>IF($E$4=$C$4,C54-D54,D54-C54)</f>
        <v>0</v>
      </c>
    </row>
    <row r="55" spans="1:5">
      <c r="A55" s="1295">
        <f>A54</f>
        <v>45138</v>
      </c>
      <c r="B55" s="1296"/>
      <c r="C55" s="278">
        <f>C48+C54</f>
        <v>83261.649999999994</v>
      </c>
      <c r="D55" s="278">
        <f>D48+D54</f>
        <v>0</v>
      </c>
      <c r="E55" s="278">
        <f>IF($E$4=$C$4,C55-D55,D55-C55)</f>
        <v>-83261.649999999994</v>
      </c>
    </row>
    <row r="56" spans="1:5">
      <c r="A56" s="279"/>
      <c r="B56" s="280"/>
      <c r="C56" s="281"/>
      <c r="D56" s="281"/>
      <c r="E56" s="280"/>
    </row>
    <row r="57" spans="1:5">
      <c r="A57" s="279">
        <f>Account!$G$19</f>
        <v>45169</v>
      </c>
      <c r="B57" s="94" t="s">
        <v>374</v>
      </c>
      <c r="C57" s="281">
        <f t="array" ref="C57">IF($E$3=0,(SUM(IF((CkDJ[Date]=A57)*(CkDJ[Account Code]=TRIM($B$2)),CkDJ[Debit]))),(SUM(IF((CkDJ[Date]=A57)*(CkDJ[Account Code]=TRIM($B$2))*(CkDJ[Sort Code]=$E$3),CkDJ[Debit]))))</f>
        <v>0</v>
      </c>
      <c r="D57" s="281">
        <f t="array" ref="D57">IF($E$3=0,(SUM(IF((CkDJ[Date]=A57)*(CkDJ[Account Code]=TRIM($B$2)),CkDJ[Credit]))),(SUM(IF((CkDJ[Date]=A57)*(CkDJ[Account Code]=TRIM($B$2))*(CkDJ[Sort Code]=$E$3),CkDJ[Credit]))))</f>
        <v>0</v>
      </c>
      <c r="E57" s="280"/>
    </row>
    <row r="58" spans="1:5">
      <c r="A58" s="279">
        <f>Account!$G$19</f>
        <v>45169</v>
      </c>
      <c r="B58" s="282" t="s">
        <v>375</v>
      </c>
      <c r="C58" s="281">
        <f t="array" ref="C58">IF($E$3=0,(SUM(IF((CsDJ[Date]=A58)*(CsDJ[Account Code]=TRIM($B$2)),CsDJ[Debit]))),(SUM(IF((CsDJ[Date]=A58)*(CsDJ[Account Code]=TRIM($B$2))*(CsDJ[Sort Code]=$E$3),CsDJ[Debit]))))</f>
        <v>0</v>
      </c>
      <c r="D58" s="281">
        <f t="array" ref="D58">IF($E$3=0,(SUM(IF((CsDJ[Date]=A58)*(CsDJ[Account Code]=TRIM($B$2)),CsDJ[Credit]))),(SUM(IF((CsDJ[Date]=A58)*(CsDJ[Account Code]=TRIM($B$2))*(CsDJ[Sort Code]=$E$3),CsDJ[Credit]))))</f>
        <v>0</v>
      </c>
      <c r="E58" s="280"/>
    </row>
    <row r="59" spans="1:5">
      <c r="A59" s="279">
        <f>Account!$G$19</f>
        <v>45169</v>
      </c>
      <c r="B59" s="283" t="s">
        <v>376</v>
      </c>
      <c r="C59" s="281">
        <f t="array" ref="C59">IF($E$3=0,(SUM(IF((CRDJ[Date]=A59)*(CRDJ[Account Code]=TRIM($B$2)),CRDJ[Debit]))),(SUM(IF((CRDJ[Date]=A59)*(CRDJ[Account Code]=TRIM($B$2))*(CRDJ[Sort Code]=$E$3),CRDJ[Debit]))))</f>
        <v>0</v>
      </c>
      <c r="D59" s="281">
        <f t="array" ref="D59">IF($E$3=0,(SUM(IF((CRDJ[Date]=A59)*(CRDJ[Account Code]=TRIM($B$2)),CRDJ[Credit]))),(SUM(IF((CRDJ[Date]=A59)*(CRDJ[Account Code]=TRIM($B$2))*(CRDJ[Sort Code]=$E$3),CRDJ[Credit]))))</f>
        <v>0</v>
      </c>
      <c r="E59" s="280"/>
    </row>
    <row r="60" spans="1:5">
      <c r="A60" s="279">
        <f>Account!$G$19</f>
        <v>45169</v>
      </c>
      <c r="B60" s="94" t="s">
        <v>377</v>
      </c>
      <c r="C60" s="281">
        <f t="array" ref="C60">IF($E$3=0,(SUM(IF((GJ[Date]=A60)*(GJ[Account Code]=TRIM($B$2)),GJ[Debit]))),(SUM(IF((GJ[Date]=A60)*(GJ[Account Code]=TRIM($B$2))*(GJ[Sort Code]=$E$3),GJ[Debit]))))</f>
        <v>0</v>
      </c>
      <c r="D60" s="281">
        <f t="array" ref="D60">IF($E$3=0,(SUM(IF((GJ[Date]=A60)*(GJ[Account Code]=TRIM($B$2)),GJ[Credit]))),(SUM(IF((GJ[Date]=A60)*(GJ[Account Code]=TRIM($B$2))*(GJ[Sort Code]=$E$3),GJ[Credit]))))</f>
        <v>0</v>
      </c>
      <c r="E60" s="280"/>
    </row>
    <row r="61" spans="1:5">
      <c r="A61" s="1297">
        <f>A60</f>
        <v>45169</v>
      </c>
      <c r="B61" s="1298"/>
      <c r="C61" s="285">
        <f>SUM(C57:C60)</f>
        <v>0</v>
      </c>
      <c r="D61" s="285">
        <f>SUM(D57:D60)</f>
        <v>0</v>
      </c>
      <c r="E61" s="285">
        <f>IF($E$4=$C$4,C61-D61,D61-C61)</f>
        <v>0</v>
      </c>
    </row>
    <row r="62" spans="1:5">
      <c r="A62" s="1295">
        <f>A61</f>
        <v>45169</v>
      </c>
      <c r="B62" s="1296"/>
      <c r="C62" s="278">
        <f>C55+C61</f>
        <v>83261.649999999994</v>
      </c>
      <c r="D62" s="278">
        <f>D55+D61</f>
        <v>0</v>
      </c>
      <c r="E62" s="278">
        <f>IF($E$4=$C$4,C62-D62,D62-C62)</f>
        <v>-83261.649999999994</v>
      </c>
    </row>
    <row r="63" spans="1:5">
      <c r="A63" s="279"/>
      <c r="B63" s="280"/>
      <c r="C63" s="281"/>
      <c r="D63" s="281"/>
      <c r="E63" s="280"/>
    </row>
    <row r="64" spans="1:5">
      <c r="A64" s="279">
        <f>Account!$G$20</f>
        <v>45199</v>
      </c>
      <c r="B64" s="94" t="s">
        <v>374</v>
      </c>
      <c r="C64" s="281">
        <f t="array" ref="C64">IF($E$3=0,(SUM(IF((CkDJ[Date]=A64)*(CkDJ[Account Code]=TRIM($B$2)),CkDJ[Debit]))),(SUM(IF((CkDJ[Date]=A64)*(CkDJ[Account Code]=TRIM($B$2))*(CkDJ[Sort Code]=$E$3),CkDJ[Debit]))))</f>
        <v>0</v>
      </c>
      <c r="D64" s="281">
        <f t="array" ref="D64">IF($E$3=0,(SUM(IF((CkDJ[Date]=A64)*(CkDJ[Account Code]=TRIM($B$2)),CkDJ[Credit]))),(SUM(IF((CkDJ[Date]=A64)*(CkDJ[Account Code]=TRIM($B$2))*(CkDJ[Sort Code]=$E$3),CkDJ[Credit]))))</f>
        <v>0</v>
      </c>
      <c r="E64" s="280"/>
    </row>
    <row r="65" spans="1:5">
      <c r="A65" s="279">
        <f>Account!$G$20</f>
        <v>45199</v>
      </c>
      <c r="B65" s="282" t="s">
        <v>375</v>
      </c>
      <c r="C65" s="281">
        <f t="array" ref="C65">IF($E$3=0,(SUM(IF((CsDJ[Date]=A65)*(CsDJ[Account Code]=TRIM($B$2)),CsDJ[Debit]))),(SUM(IF((CsDJ[Date]=A65)*(CsDJ[Account Code]=TRIM($B$2))*(CsDJ[Sort Code]=$E$3),CsDJ[Debit]))))</f>
        <v>0</v>
      </c>
      <c r="D65" s="281">
        <f t="array" ref="D65">IF($E$3=0,(SUM(IF((CsDJ[Date]=A65)*(CsDJ[Account Code]=TRIM($B$2)),CsDJ[Credit]))),(SUM(IF((CsDJ[Date]=A65)*(CsDJ[Account Code]=TRIM($B$2))*(CsDJ[Sort Code]=$E$3),CsDJ[Credit]))))</f>
        <v>0</v>
      </c>
      <c r="E65" s="280"/>
    </row>
    <row r="66" spans="1:5">
      <c r="A66" s="279">
        <f>Account!$G$20</f>
        <v>45199</v>
      </c>
      <c r="B66" s="283" t="s">
        <v>376</v>
      </c>
      <c r="C66" s="281">
        <f t="array" ref="C66">IF($E$3=0,(SUM(IF((CRDJ[Date]=A66)*(CRDJ[Account Code]=TRIM($B$2)),CRDJ[Debit]))),(SUM(IF((CRDJ[Date]=A66)*(CRDJ[Account Code]=TRIM($B$2))*(CRDJ[Sort Code]=$E$3),CRDJ[Debit]))))</f>
        <v>0</v>
      </c>
      <c r="D66" s="281">
        <f t="array" ref="D66">IF($E$3=0,(SUM(IF((CRDJ[Date]=A66)*(CRDJ[Account Code]=TRIM($B$2)),CRDJ[Credit]))),(SUM(IF((CRDJ[Date]=A66)*(CRDJ[Account Code]=TRIM($B$2))*(CRDJ[Sort Code]=$E$3),CRDJ[Credit]))))</f>
        <v>0</v>
      </c>
      <c r="E66" s="280"/>
    </row>
    <row r="67" spans="1:5">
      <c r="A67" s="279">
        <f>Account!$G$20</f>
        <v>45199</v>
      </c>
      <c r="B67" s="94" t="s">
        <v>377</v>
      </c>
      <c r="C67" s="281">
        <f t="array" ref="C67">IF($E$3=0,(SUM(IF((GJ[Date]=A67)*(GJ[Account Code]=TRIM($B$2)),GJ[Debit]))),(SUM(IF((GJ[Date]=A67)*(GJ[Account Code]=TRIM($B$2))*(GJ[Sort Code]=$E$3),GJ[Debit]))))</f>
        <v>0</v>
      </c>
      <c r="D67" s="281">
        <f t="array" ref="D67">IF($E$3=0,(SUM(IF((GJ[Date]=A67)*(GJ[Account Code]=TRIM($B$2)),GJ[Credit]))),(SUM(IF((GJ[Date]=A67)*(GJ[Account Code]=TRIM($B$2))*(GJ[Sort Code]=$E$3),GJ[Credit]))))</f>
        <v>0</v>
      </c>
      <c r="E67" s="280"/>
    </row>
    <row r="68" spans="1:5">
      <c r="A68" s="1297">
        <f>A67</f>
        <v>45199</v>
      </c>
      <c r="B68" s="1298"/>
      <c r="C68" s="285">
        <f>SUM(C64:C67)</f>
        <v>0</v>
      </c>
      <c r="D68" s="285">
        <f>SUM(D64:D67)</f>
        <v>0</v>
      </c>
      <c r="E68" s="285">
        <f>IF($E$4=$C$4,C68-D68,D68-C68)</f>
        <v>0</v>
      </c>
    </row>
    <row r="69" spans="1:5">
      <c r="A69" s="1295">
        <f>A68</f>
        <v>45199</v>
      </c>
      <c r="B69" s="1296"/>
      <c r="C69" s="278">
        <f>C62+C68</f>
        <v>83261.649999999994</v>
      </c>
      <c r="D69" s="278">
        <f>D62+D68</f>
        <v>0</v>
      </c>
      <c r="E69" s="278">
        <f>IF($E$4=$C$4,C69-D69,D69-C69)</f>
        <v>-83261.649999999994</v>
      </c>
    </row>
    <row r="70" spans="1:5">
      <c r="A70" s="279"/>
      <c r="B70" s="280"/>
      <c r="C70" s="281"/>
      <c r="D70" s="281"/>
      <c r="E70" s="280"/>
    </row>
    <row r="71" spans="1:5">
      <c r="A71" s="279">
        <f>Account!$G$21</f>
        <v>45230</v>
      </c>
      <c r="B71" s="94" t="s">
        <v>374</v>
      </c>
      <c r="C71" s="281">
        <f t="array" ref="C71">IF($E$3=0,(SUM(IF((CkDJ[Date]=A71)*(CkDJ[Account Code]=TRIM($B$2)),CkDJ[Debit]))),(SUM(IF((CkDJ[Date]=A71)*(CkDJ[Account Code]=TRIM($B$2))*(CkDJ[Sort Code]=$E$3),CkDJ[Debit]))))</f>
        <v>0</v>
      </c>
      <c r="D71" s="281">
        <f t="array" ref="D71">IF($E$3=0,(SUM(IF((CkDJ[Date]=A71)*(CkDJ[Account Code]=TRIM($B$2)),CkDJ[Credit]))),(SUM(IF((CkDJ[Date]=A71)*(CkDJ[Account Code]=TRIM($B$2))*(CkDJ[Sort Code]=$E$3),CkDJ[Credit]))))</f>
        <v>0</v>
      </c>
      <c r="E71" s="280"/>
    </row>
    <row r="72" spans="1:5">
      <c r="A72" s="279">
        <f>Account!$G$21</f>
        <v>45230</v>
      </c>
      <c r="B72" s="282" t="s">
        <v>375</v>
      </c>
      <c r="C72" s="281">
        <f t="array" ref="C72">IF($E$3=0,(SUM(IF((CsDJ[Date]=A72)*(CsDJ[Account Code]=TRIM($B$2)),CsDJ[Debit]))),(SUM(IF((CsDJ[Date]=A72)*(CsDJ[Account Code]=TRIM($B$2))*(CsDJ[Sort Code]=$E$3),CsDJ[Debit]))))</f>
        <v>0</v>
      </c>
      <c r="D72" s="281">
        <f t="array" ref="D72">IF($E$3=0,(SUM(IF((CsDJ[Date]=A72)*(CsDJ[Account Code]=TRIM($B$2)),CsDJ[Credit]))),(SUM(IF((CsDJ[Date]=A72)*(CsDJ[Account Code]=TRIM($B$2))*(CsDJ[Sort Code]=$E$3),CsDJ[Credit]))))</f>
        <v>0</v>
      </c>
      <c r="E72" s="280"/>
    </row>
    <row r="73" spans="1:5">
      <c r="A73" s="279">
        <f>Account!$G$21</f>
        <v>45230</v>
      </c>
      <c r="B73" s="283" t="s">
        <v>376</v>
      </c>
      <c r="C73" s="281">
        <f t="array" ref="C73">IF($E$3=0,(SUM(IF((CRDJ[Date]=A73)*(CRDJ[Account Code]=TRIM($B$2)),CRDJ[Debit]))),(SUM(IF((CRDJ[Date]=A73)*(CRDJ[Account Code]=TRIM($B$2))*(CRDJ[Sort Code]=$E$3),CRDJ[Debit]))))</f>
        <v>0</v>
      </c>
      <c r="D73" s="281">
        <f t="array" ref="D73">IF($E$3=0,(SUM(IF((CRDJ[Date]=A73)*(CRDJ[Account Code]=TRIM($B$2)),CRDJ[Credit]))),(SUM(IF((CRDJ[Date]=A73)*(CRDJ[Account Code]=TRIM($B$2))*(CRDJ[Sort Code]=$E$3),CRDJ[Credit]))))</f>
        <v>0</v>
      </c>
      <c r="E73" s="280"/>
    </row>
    <row r="74" spans="1:5">
      <c r="A74" s="279">
        <f>Account!$G$21</f>
        <v>45230</v>
      </c>
      <c r="B74" s="94" t="s">
        <v>377</v>
      </c>
      <c r="C74" s="281">
        <f t="array" ref="C74">IF($E$3=0,(SUM(IF((GJ[Date]=A74)*(GJ[Account Code]=TRIM($B$2)),GJ[Debit]))),(SUM(IF((GJ[Date]=A74)*(GJ[Account Code]=TRIM($B$2))*(GJ[Sort Code]=$E$3),GJ[Debit]))))</f>
        <v>0</v>
      </c>
      <c r="D74" s="281">
        <f t="array" ref="D74">IF($E$3=0,(SUM(IF((GJ[Date]=A74)*(GJ[Account Code]=TRIM($B$2)),GJ[Credit]))),(SUM(IF((GJ[Date]=A74)*(GJ[Account Code]=TRIM($B$2))*(GJ[Sort Code]=$E$3),GJ[Credit]))))</f>
        <v>0</v>
      </c>
      <c r="E74" s="280"/>
    </row>
    <row r="75" spans="1:5">
      <c r="A75" s="1297">
        <f>A74</f>
        <v>45230</v>
      </c>
      <c r="B75" s="1298"/>
      <c r="C75" s="285">
        <f>SUM(C71:C74)</f>
        <v>0</v>
      </c>
      <c r="D75" s="285">
        <f>SUM(D71:D74)</f>
        <v>0</v>
      </c>
      <c r="E75" s="285">
        <f>IF($E$4=$C$4,C75-D75,D75-C75)</f>
        <v>0</v>
      </c>
    </row>
    <row r="76" spans="1:5">
      <c r="A76" s="1295">
        <f>A75</f>
        <v>45230</v>
      </c>
      <c r="B76" s="1296"/>
      <c r="C76" s="278">
        <f>C69+C75</f>
        <v>83261.649999999994</v>
      </c>
      <c r="D76" s="278">
        <f>D69+D75</f>
        <v>0</v>
      </c>
      <c r="E76" s="278">
        <f>IF($E$4=$C$4,C76-D76,D76-C76)</f>
        <v>-83261.649999999994</v>
      </c>
    </row>
    <row r="77" spans="1:5">
      <c r="A77" s="279"/>
      <c r="B77" s="280"/>
      <c r="C77" s="281"/>
      <c r="D77" s="281"/>
      <c r="E77" s="280"/>
    </row>
    <row r="78" spans="1:5">
      <c r="A78" s="279">
        <f>Account!$G$22</f>
        <v>45260</v>
      </c>
      <c r="B78" s="94" t="s">
        <v>374</v>
      </c>
      <c r="C78" s="281">
        <f t="array" ref="C78">IF($E$3=0,(SUM(IF((CkDJ[Date]=A78)*(CkDJ[Account Code]=TRIM($B$2)),CkDJ[Debit]))),(SUM(IF((CkDJ[Date]=A78)*(CkDJ[Account Code]=TRIM($B$2))*(CkDJ[Sort Code]=$E$3),CkDJ[Debit]))))</f>
        <v>0</v>
      </c>
      <c r="D78" s="281">
        <f t="array" ref="D78">IF($E$3=0,(SUM(IF((CkDJ[Date]=A78)*(CkDJ[Account Code]=TRIM($B$2)),CkDJ[Credit]))),(SUM(IF((CkDJ[Date]=A78)*(CkDJ[Account Code]=TRIM($B$2))*(CkDJ[Sort Code]=$E$3),CkDJ[Credit]))))</f>
        <v>0</v>
      </c>
      <c r="E78" s="280"/>
    </row>
    <row r="79" spans="1:5">
      <c r="A79" s="279">
        <f>Account!$G$22</f>
        <v>45260</v>
      </c>
      <c r="B79" s="282" t="s">
        <v>375</v>
      </c>
      <c r="C79" s="281">
        <f t="array" ref="C79">IF($E$3=0,(SUM(IF((CsDJ[Date]=A79)*(CsDJ[Account Code]=TRIM($B$2)),CsDJ[Debit]))),(SUM(IF((CsDJ[Date]=A79)*(CsDJ[Account Code]=TRIM($B$2))*(CsDJ[Sort Code]=$E$3),CsDJ[Debit]))))</f>
        <v>0</v>
      </c>
      <c r="D79" s="281">
        <f t="array" ref="D79">IF($E$3=0,(SUM(IF((CsDJ[Date]=A79)*(CsDJ[Account Code]=TRIM($B$2)),CsDJ[Credit]))),(SUM(IF((CsDJ[Date]=A79)*(CsDJ[Account Code]=TRIM($B$2))*(CsDJ[Sort Code]=$E$3),CsDJ[Credit]))))</f>
        <v>0</v>
      </c>
      <c r="E79" s="280"/>
    </row>
    <row r="80" spans="1:5">
      <c r="A80" s="279">
        <f>Account!$G$22</f>
        <v>45260</v>
      </c>
      <c r="B80" s="283" t="s">
        <v>376</v>
      </c>
      <c r="C80" s="281">
        <f t="array" ref="C80">IF($E$3=0,(SUM(IF((CRDJ[Date]=A80)*(CRDJ[Account Code]=TRIM($B$2)),CRDJ[Debit]))),(SUM(IF((CRDJ[Date]=A80)*(CRDJ[Account Code]=TRIM($B$2))*(CRDJ[Sort Code]=$E$3),CRDJ[Debit]))))</f>
        <v>0</v>
      </c>
      <c r="D80" s="281">
        <f t="array" ref="D80">IF($E$3=0,(SUM(IF((CRDJ[Date]=A80)*(CRDJ[Account Code]=TRIM($B$2)),CRDJ[Credit]))),(SUM(IF((CRDJ[Date]=A80)*(CRDJ[Account Code]=TRIM($B$2))*(CRDJ[Sort Code]=$E$3),CRDJ[Credit]))))</f>
        <v>0</v>
      </c>
      <c r="E80" s="280"/>
    </row>
    <row r="81" spans="1:5">
      <c r="A81" s="279">
        <f>Account!$G$22</f>
        <v>45260</v>
      </c>
      <c r="B81" s="94" t="s">
        <v>377</v>
      </c>
      <c r="C81" s="281">
        <f t="array" ref="C81">IF($E$3=0,(SUM(IF((GJ[Date]=A81)*(GJ[Account Code]=TRIM($B$2)),GJ[Debit]))),(SUM(IF((GJ[Date]=A81)*(GJ[Account Code]=TRIM($B$2))*(GJ[Sort Code]=$E$3),GJ[Debit]))))</f>
        <v>0</v>
      </c>
      <c r="D81" s="281">
        <f t="array" ref="D81">IF($E$3=0,(SUM(IF((GJ[Date]=A81)*(GJ[Account Code]=TRIM($B$2)),GJ[Credit]))),(SUM(IF((GJ[Date]=A81)*(GJ[Account Code]=TRIM($B$2))*(GJ[Sort Code]=$E$3),GJ[Credit]))))</f>
        <v>0</v>
      </c>
      <c r="E81" s="280"/>
    </row>
    <row r="82" spans="1:5">
      <c r="A82" s="1297">
        <f>A81</f>
        <v>45260</v>
      </c>
      <c r="B82" s="1298"/>
      <c r="C82" s="285">
        <f>SUM(C78:C81)</f>
        <v>0</v>
      </c>
      <c r="D82" s="285">
        <f>SUM(D78:D81)</f>
        <v>0</v>
      </c>
      <c r="E82" s="285">
        <f>IF($E$4=$C$4,C82-D82,D82-C82)</f>
        <v>0</v>
      </c>
    </row>
    <row r="83" spans="1:5">
      <c r="A83" s="1295">
        <f>A82</f>
        <v>45260</v>
      </c>
      <c r="B83" s="1296"/>
      <c r="C83" s="278">
        <f>C76+C82</f>
        <v>83261.649999999994</v>
      </c>
      <c r="D83" s="278">
        <f>D76+D82</f>
        <v>0</v>
      </c>
      <c r="E83" s="278">
        <f>IF($E$4=$C$4,C83-D83,D83-C83)</f>
        <v>-83261.649999999994</v>
      </c>
    </row>
    <row r="84" spans="1:5">
      <c r="A84" s="279"/>
      <c r="B84" s="280"/>
      <c r="C84" s="281"/>
      <c r="D84" s="281"/>
      <c r="E84" s="280"/>
    </row>
    <row r="85" spans="1:5">
      <c r="A85" s="279">
        <f>Account!$G$23</f>
        <v>45291</v>
      </c>
      <c r="B85" s="94" t="s">
        <v>374</v>
      </c>
      <c r="C85" s="281">
        <f t="array" ref="C85">IF($E$3=0,(SUM(IF((CkDJ[Date]=A85)*(CkDJ[Account Code]=TRIM($B$2)),CkDJ[Debit]))),(SUM(IF((CkDJ[Date]=A85)*(CkDJ[Account Code]=TRIM($B$2))*(CkDJ[Sort Code]=$E$3),CkDJ[Debit]))))</f>
        <v>0</v>
      </c>
      <c r="D85" s="281">
        <f t="array" ref="D85">IF($E$3=0,(SUM(IF((CkDJ[Date]=A85)*(CkDJ[Account Code]=TRIM($B$2)),CkDJ[Credit]))),(SUM(IF((CkDJ[Date]=A85)*(CkDJ[Account Code]=TRIM($B$2))*(CkDJ[Sort Code]=$E$3),CkDJ[Credit]))))</f>
        <v>0</v>
      </c>
      <c r="E85" s="280"/>
    </row>
    <row r="86" spans="1:5">
      <c r="A86" s="279">
        <f>Account!$G$23</f>
        <v>45291</v>
      </c>
      <c r="B86" s="282" t="s">
        <v>375</v>
      </c>
      <c r="C86" s="281">
        <f t="array" ref="C86">IF($E$3=0,(SUM(IF((CsDJ[Date]=A86)*(CsDJ[Account Code]=TRIM($B$2)),CsDJ[Debit]))),(SUM(IF((CsDJ[Date]=A86)*(CsDJ[Account Code]=TRIM($B$2))*(CsDJ[Sort Code]=$E$3),CsDJ[Debit]))))</f>
        <v>0</v>
      </c>
      <c r="D86" s="281">
        <f t="array" ref="D86">IF($E$3=0,(SUM(IF((CsDJ[Date]=A86)*(CsDJ[Account Code]=TRIM($B$2)),CsDJ[Credit]))),(SUM(IF((CsDJ[Date]=A86)*(CsDJ[Account Code]=TRIM($B$2))*(CsDJ[Sort Code]=$E$3),CsDJ[Credit]))))</f>
        <v>0</v>
      </c>
      <c r="E86" s="280"/>
    </row>
    <row r="87" spans="1:5">
      <c r="A87" s="279">
        <f>Account!$G$23</f>
        <v>45291</v>
      </c>
      <c r="B87" s="283" t="s">
        <v>376</v>
      </c>
      <c r="C87" s="281">
        <f t="array" ref="C87">IF($E$3=0,(SUM(IF((CRDJ[Date]=A87)*(CRDJ[Account Code]=TRIM($B$2)),CRDJ[Debit]))),(SUM(IF((CRDJ[Date]=A87)*(CRDJ[Account Code]=TRIM($B$2))*(CRDJ[Sort Code]=$E$3),CRDJ[Debit]))))</f>
        <v>0</v>
      </c>
      <c r="D87" s="281">
        <f t="array" ref="D87">IF($E$3=0,(SUM(IF((CRDJ[Date]=A87)*(CRDJ[Account Code]=TRIM($B$2)),CRDJ[Credit]))),(SUM(IF((CRDJ[Date]=A87)*(CRDJ[Account Code]=TRIM($B$2))*(CRDJ[Sort Code]=$E$3),CRDJ[Credit]))))</f>
        <v>0</v>
      </c>
      <c r="E87" s="280"/>
    </row>
    <row r="88" spans="1:5">
      <c r="A88" s="279">
        <f>Account!$G$23</f>
        <v>45291</v>
      </c>
      <c r="B88" s="94" t="s">
        <v>377</v>
      </c>
      <c r="C88" s="281">
        <f t="array" ref="C88">IF($E$3=0,(SUM(IF((GJ[Date]=A88)*(GJ[Account Code]=TRIM($B$2)),GJ[Debit]))),(SUM(IF((GJ[Date]=A88)*(GJ[Account Code]=TRIM($B$2))*(GJ[Sort Code]=$E$3),GJ[Debit]))))</f>
        <v>0</v>
      </c>
      <c r="D88" s="281">
        <f t="array" ref="D88">IF($E$3=0,(SUM(IF((GJ[Date]=A88)*(GJ[Account Code]=TRIM($B$2)),GJ[Credit]))),(SUM(IF((GJ[Date]=A88)*(GJ[Account Code]=TRIM($B$2))*(GJ[Sort Code]=$E$3),GJ[Credit]))))</f>
        <v>0</v>
      </c>
      <c r="E88" s="280"/>
    </row>
    <row r="89" spans="1:5">
      <c r="A89" s="1297">
        <f>A88</f>
        <v>45291</v>
      </c>
      <c r="B89" s="1298"/>
      <c r="C89" s="285">
        <f>SUM(C85:C88)</f>
        <v>0</v>
      </c>
      <c r="D89" s="285">
        <f>SUM(D85:D88)</f>
        <v>0</v>
      </c>
      <c r="E89" s="285">
        <f>IF($E$4=$C$4,C89-D89,D89-C89)</f>
        <v>0</v>
      </c>
    </row>
    <row r="90" spans="1:5">
      <c r="A90" s="1295">
        <f>A89</f>
        <v>45291</v>
      </c>
      <c r="B90" s="1296"/>
      <c r="C90" s="278">
        <f>C83+C89</f>
        <v>83261.649999999994</v>
      </c>
      <c r="D90" s="278">
        <f>D83+D89</f>
        <v>0</v>
      </c>
      <c r="E90" s="278">
        <f>IF($E$4=$C$4,C90-D90,D90-C90)</f>
        <v>-83261.649999999994</v>
      </c>
    </row>
  </sheetData>
  <sheetProtection sheet="1" objects="1" scenarios="1"/>
  <mergeCells count="29">
    <mergeCell ref="C2:E2"/>
    <mergeCell ref="A55:B55"/>
    <mergeCell ref="A19:B19"/>
    <mergeCell ref="A20:B20"/>
    <mergeCell ref="A26:B26"/>
    <mergeCell ref="A27:B27"/>
    <mergeCell ref="D4:D5"/>
    <mergeCell ref="A12:B12"/>
    <mergeCell ref="A48:B48"/>
    <mergeCell ref="A54:B54"/>
    <mergeCell ref="A4:A5"/>
    <mergeCell ref="B4:B5"/>
    <mergeCell ref="C4:C5"/>
    <mergeCell ref="A33:B33"/>
    <mergeCell ref="A34:B34"/>
    <mergeCell ref="A40:B40"/>
    <mergeCell ref="A89:B89"/>
    <mergeCell ref="A90:B90"/>
    <mergeCell ref="A61:B61"/>
    <mergeCell ref="A62:B62"/>
    <mergeCell ref="A68:B68"/>
    <mergeCell ref="A69:B69"/>
    <mergeCell ref="A75:B75"/>
    <mergeCell ref="A76:B76"/>
    <mergeCell ref="A41:B41"/>
    <mergeCell ref="A47:B47"/>
    <mergeCell ref="A13:B13"/>
    <mergeCell ref="A82:B82"/>
    <mergeCell ref="A83:B83"/>
  </mergeCells>
  <printOptions horizontalCentered="1"/>
  <pageMargins left="0.43307086614173201" right="0.23622047244094499" top="0.74803149606299202" bottom="1.7322834645669301" header="0.31496062992126" footer="1.49606299212598"/>
  <pageSetup paperSize="5" scale="95" orientation="portrait" horizontalDpi="300" verticalDpi="300" r:id="rId1"/>
  <headerFooter>
    <oddFooter>Page &amp;P of &amp;N</oddFooter>
  </headerFooter>
  <rowBreaks count="1" manualBreakCount="1">
    <brk id="48" max="16383" man="1"/>
  </rowBreaks>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70C0"/>
  </sheetPr>
  <dimension ref="A1:G90"/>
  <sheetViews>
    <sheetView topLeftCell="A55" zoomScaleNormal="100" workbookViewId="0">
      <selection activeCell="I8" sqref="I8"/>
    </sheetView>
  </sheetViews>
  <sheetFormatPr defaultRowHeight="15.75"/>
  <cols>
    <col min="1" max="1" width="13.375" style="6" bestFit="1" customWidth="1"/>
    <col min="2" max="2" width="32.5" customWidth="1"/>
    <col min="3" max="4" width="16.625" style="7" customWidth="1"/>
    <col min="5" max="5" width="16.625" customWidth="1"/>
  </cols>
  <sheetData>
    <row r="1" spans="1:5" ht="32.25">
      <c r="A1" s="273" t="s">
        <v>508</v>
      </c>
      <c r="B1" s="104" t="str">
        <f>Account!$G$1</f>
        <v>FUND 501 CARP</v>
      </c>
    </row>
    <row r="2" spans="1:5" ht="37.5">
      <c r="A2" s="273" t="s">
        <v>370</v>
      </c>
      <c r="B2" s="26" t="s">
        <v>1245</v>
      </c>
      <c r="C2" s="1299">
        <f t="array" ref="C2">IF(B2=0,0,(INDEX(AccountCodes[PPSAS CODE],MATCH(B2,AccountCodes[NGAS CODE],0))))</f>
        <v>1040502000</v>
      </c>
      <c r="D2" s="1299"/>
      <c r="E2" s="1299"/>
    </row>
    <row r="3" spans="1:5" ht="23.25">
      <c r="A3" s="273" t="s">
        <v>371</v>
      </c>
      <c r="B3" s="492" t="str">
        <f t="array" ref="B3">IF(B2=0,0,(INDEX(AccountCodes[ACCOUNT NAME],MATCH(B2,AccountCodes[NGAS CODE],0))))</f>
        <v>Semi-Expendable Office Equipment</v>
      </c>
      <c r="C3"/>
      <c r="D3"/>
    </row>
    <row r="4" spans="1:5" ht="15.75" customHeight="1">
      <c r="A4" s="1301" t="s">
        <v>0</v>
      </c>
      <c r="B4" s="1300" t="s">
        <v>372</v>
      </c>
      <c r="C4" s="1300" t="s">
        <v>1</v>
      </c>
      <c r="D4" s="1300" t="s">
        <v>2</v>
      </c>
      <c r="E4" s="175" t="str">
        <f t="array" ref="E4">IF(C2=0,0,INDEX(AccountCodes[Normal Balance],MATCH(C2,AccountCodes[PPSAS CODE])))</f>
        <v>Debit</v>
      </c>
    </row>
    <row r="5" spans="1:5">
      <c r="A5" s="1301"/>
      <c r="B5" s="1300"/>
      <c r="C5" s="1300"/>
      <c r="D5" s="1300"/>
      <c r="E5" s="18" t="s">
        <v>379</v>
      </c>
    </row>
    <row r="6" spans="1:5">
      <c r="A6" s="21">
        <f>PostTB!A2</f>
        <v>44926</v>
      </c>
      <c r="B6" s="22" t="s">
        <v>373</v>
      </c>
      <c r="C6" s="20">
        <f>SUMIF(PostTB[Account Code (Old)],TRIM(B2),(PostTB[Debit]))</f>
        <v>0</v>
      </c>
      <c r="D6" s="20">
        <f>SUMIF(PostTB[Account Code (Old)],TRIM(B2),(PostTB[Credit]))</f>
        <v>0</v>
      </c>
      <c r="E6" s="20">
        <f>IF($E$4=$C$4,C6-D6,D6-C6)</f>
        <v>0</v>
      </c>
    </row>
    <row r="7" spans="1:5">
      <c r="A7" s="11"/>
      <c r="B7" s="12"/>
      <c r="C7" s="13"/>
      <c r="D7" s="13"/>
      <c r="E7" s="12"/>
    </row>
    <row r="8" spans="1:5">
      <c r="A8" s="279">
        <f>Account!$G$12</f>
        <v>44957</v>
      </c>
      <c r="B8" s="14" t="s">
        <v>374</v>
      </c>
      <c r="C8" s="17">
        <f t="array" ref="C8">SUM(IF((CkDJ[Date]=A8)*(CkDJ[Account Code]=TRIM($B$2)),CkDJ[Debit]))</f>
        <v>0</v>
      </c>
      <c r="D8" s="17">
        <f t="array" ref="D8">SUM(IF((CkDJ[Date]=A8)*(CkDJ[Account Code]=TRIM($B$2)),CkDJ[Credit]))</f>
        <v>0</v>
      </c>
      <c r="E8" s="12"/>
    </row>
    <row r="9" spans="1:5">
      <c r="A9" s="279">
        <f>Account!$G$12</f>
        <v>44957</v>
      </c>
      <c r="B9" s="15" t="s">
        <v>375</v>
      </c>
      <c r="C9" s="13">
        <f t="array" ref="C9">SUM(IF((CsDJ[Date]=A9)*(CsDJ[Account Code]=TRIM($B$2)),CsDJ[Debit]))</f>
        <v>0</v>
      </c>
      <c r="D9" s="13">
        <f t="array" ref="D9">SUM(IF((CsDJ[Date]=A9)*(CsDJ[Account Code]=TRIM($B$2)),CsDJ[Credit]))</f>
        <v>0</v>
      </c>
      <c r="E9" s="12"/>
    </row>
    <row r="10" spans="1:5">
      <c r="A10" s="279">
        <f>Account!$G$12</f>
        <v>44957</v>
      </c>
      <c r="B10" s="16" t="s">
        <v>376</v>
      </c>
      <c r="C10" s="13">
        <f t="array" ref="C10">SUM(IF((CRDJ[Date]=A10)*(CRDJ[Account Code]=TRIM($B$2)),CRDJ[Debit]))</f>
        <v>0</v>
      </c>
      <c r="D10" s="13">
        <f t="array" ref="D10">SUM(IF((CRDJ[Date]=A10)*(CRDJ[Account Code]=TRIM($B$2)),CRDJ[Credit]))</f>
        <v>0</v>
      </c>
      <c r="E10" s="10"/>
    </row>
    <row r="11" spans="1:5">
      <c r="A11" s="279">
        <f>Account!$G$12</f>
        <v>44957</v>
      </c>
      <c r="B11" s="14" t="s">
        <v>377</v>
      </c>
      <c r="C11" s="13">
        <f t="array" ref="C11">SUM(IF((GJ[Date]=A11)*(GJ[Account Code]=TRIM($B$2)),GJ[Debit]))</f>
        <v>0</v>
      </c>
      <c r="D11" s="13">
        <f t="array" ref="D11">SUM(IF((GJ[Date]=A11)*(GJ[Account Code]=TRIM($B$2)),GJ[Credit]))</f>
        <v>0</v>
      </c>
      <c r="E11" s="12"/>
    </row>
    <row r="12" spans="1:5">
      <c r="A12" s="1302">
        <f>A11</f>
        <v>44957</v>
      </c>
      <c r="B12" s="1303"/>
      <c r="C12" s="23">
        <f>SUM(C8:C11)</f>
        <v>0</v>
      </c>
      <c r="D12" s="23">
        <f>SUM(D8:D11)</f>
        <v>0</v>
      </c>
      <c r="E12" s="23">
        <f>IF($E$4=$C$4,C12-D12,D12-C12)</f>
        <v>0</v>
      </c>
    </row>
    <row r="13" spans="1:5">
      <c r="A13" s="1304">
        <f>A12</f>
        <v>44957</v>
      </c>
      <c r="B13" s="1305"/>
      <c r="C13" s="20">
        <f>C6+C12</f>
        <v>0</v>
      </c>
      <c r="D13" s="20">
        <f>D6+D12</f>
        <v>0</v>
      </c>
      <c r="E13" s="20">
        <f>IF($E$4=$C$4,C13-D13,D13-C13)</f>
        <v>0</v>
      </c>
    </row>
    <row r="14" spans="1:5">
      <c r="A14" s="19"/>
      <c r="B14" s="19"/>
      <c r="C14" s="13"/>
      <c r="D14" s="13"/>
      <c r="E14" s="12"/>
    </row>
    <row r="15" spans="1:5">
      <c r="A15" s="279">
        <f>Account!$G$13</f>
        <v>44985</v>
      </c>
      <c r="B15" s="14" t="s">
        <v>374</v>
      </c>
      <c r="C15" s="17">
        <f t="array" ref="C15">SUM(IF((CkDJ[Date]=A15)*(CkDJ[Account Code]=TRIM($B$2)),CkDJ[Debit]))</f>
        <v>0</v>
      </c>
      <c r="D15" s="17">
        <f t="array" ref="D15">SUM(IF((CkDJ[Date]=A15)*(CkDJ[Account Code]=TRIM($B$2)),CkDJ[Credit]))</f>
        <v>0</v>
      </c>
      <c r="E15" s="12"/>
    </row>
    <row r="16" spans="1:5">
      <c r="A16" s="279">
        <f>Account!$G$13</f>
        <v>44985</v>
      </c>
      <c r="B16" s="15" t="s">
        <v>375</v>
      </c>
      <c r="C16" s="13">
        <f t="array" ref="C16">SUM(IF((CsDJ[Date]=A16)*(CsDJ[Account Code]=TRIM($B$2)),CsDJ[Debit]))</f>
        <v>0</v>
      </c>
      <c r="D16" s="13">
        <f t="array" ref="D16">SUM(IF((CsDJ[Date]=A16)*(CsDJ[Account Code]=TRIM($B$2)),CsDJ[Credit]))</f>
        <v>0</v>
      </c>
      <c r="E16" s="12"/>
    </row>
    <row r="17" spans="1:5">
      <c r="A17" s="279">
        <f>Account!$G$13</f>
        <v>44985</v>
      </c>
      <c r="B17" s="16" t="s">
        <v>376</v>
      </c>
      <c r="C17" s="13">
        <f t="array" ref="C17">SUM(IF((CRDJ[Date]=A17)*(CRDJ[Account Code]=TRIM($B$2)),CRDJ[Debit]))</f>
        <v>0</v>
      </c>
      <c r="D17" s="13">
        <f t="array" ref="D17">SUM(IF((CRDJ[Date]=A17)*(CRDJ[Account Code]=TRIM($B$2)),CRDJ[Credit]))</f>
        <v>0</v>
      </c>
      <c r="E17" s="12"/>
    </row>
    <row r="18" spans="1:5">
      <c r="A18" s="279">
        <f>Account!$G$13</f>
        <v>44985</v>
      </c>
      <c r="B18" s="14" t="s">
        <v>377</v>
      </c>
      <c r="C18" s="13">
        <f t="array" ref="C18">SUM(IF((GJ[Date]=A18)*(GJ[Account Code]=TRIM($B$2)),GJ[Debit]))</f>
        <v>0</v>
      </c>
      <c r="D18" s="13">
        <f t="array" ref="D18">SUM(IF((GJ[Date]=A18)*(GJ[Account Code]=TRIM($B$2)),GJ[Credit]))</f>
        <v>0</v>
      </c>
      <c r="E18" s="12"/>
    </row>
    <row r="19" spans="1:5">
      <c r="A19" s="1302">
        <f>A18</f>
        <v>44985</v>
      </c>
      <c r="B19" s="1303"/>
      <c r="C19" s="23">
        <f>SUM(C15:C18)</f>
        <v>0</v>
      </c>
      <c r="D19" s="23">
        <f>SUM(D15:D18)</f>
        <v>0</v>
      </c>
      <c r="E19" s="23">
        <f>IF($E$4=$C$4,C19-D19,D19-C19)</f>
        <v>0</v>
      </c>
    </row>
    <row r="20" spans="1:5">
      <c r="A20" s="1304">
        <f>A19</f>
        <v>44985</v>
      </c>
      <c r="B20" s="1305"/>
      <c r="C20" s="20">
        <f>C13+C19</f>
        <v>0</v>
      </c>
      <c r="D20" s="20">
        <f>D13+D19</f>
        <v>0</v>
      </c>
      <c r="E20" s="20">
        <f>IF($E$4=$C$4,C20-D20,D20-C20)</f>
        <v>0</v>
      </c>
    </row>
    <row r="21" spans="1:5">
      <c r="A21" s="11"/>
      <c r="B21" s="12"/>
      <c r="C21" s="13"/>
      <c r="D21" s="13"/>
      <c r="E21" s="12"/>
    </row>
    <row r="22" spans="1:5">
      <c r="A22" s="279">
        <f>Account!$G$14</f>
        <v>45016</v>
      </c>
      <c r="B22" s="14" t="s">
        <v>374</v>
      </c>
      <c r="C22" s="17">
        <f t="array" ref="C22">SUM(IF((CkDJ[Date]=A22)*(CkDJ[Account Code]=TRIM($B$2)),CkDJ[Debit]))</f>
        <v>0</v>
      </c>
      <c r="D22" s="17">
        <f t="array" ref="D22">SUM(IF((CkDJ[Date]=A22)*(CkDJ[Account Code]=TRIM($B$2)),CkDJ[Credit]))</f>
        <v>0</v>
      </c>
      <c r="E22" s="12"/>
    </row>
    <row r="23" spans="1:5">
      <c r="A23" s="279">
        <f>Account!$G$14</f>
        <v>45016</v>
      </c>
      <c r="B23" s="15" t="s">
        <v>375</v>
      </c>
      <c r="C23" s="13">
        <f t="array" ref="C23">SUM(IF((CsDJ[Date]=A23)*(CsDJ[Account Code]=TRIM($B$2)),CsDJ[Debit]))</f>
        <v>0</v>
      </c>
      <c r="D23" s="13">
        <f t="array" ref="D23">SUM(IF((CsDJ[Date]=A23)*(CsDJ[Account Code]=TRIM($B$2)),CsDJ[Credit]))</f>
        <v>0</v>
      </c>
      <c r="E23" s="12"/>
    </row>
    <row r="24" spans="1:5">
      <c r="A24" s="279">
        <f>Account!$G$14</f>
        <v>45016</v>
      </c>
      <c r="B24" s="16" t="s">
        <v>376</v>
      </c>
      <c r="C24" s="13">
        <f t="array" ref="C24">SUM(IF((CRDJ[Date]=A24)*(CRDJ[Account Code]=TRIM($B$2)),CRDJ[Debit]))</f>
        <v>0</v>
      </c>
      <c r="D24" s="13">
        <f t="array" ref="D24">SUM(IF((CRDJ[Date]=A24)*(CRDJ[Account Code]=TRIM($B$2)),CRDJ[Credit]))</f>
        <v>0</v>
      </c>
      <c r="E24" s="12"/>
    </row>
    <row r="25" spans="1:5">
      <c r="A25" s="279">
        <f>Account!$G$14</f>
        <v>45016</v>
      </c>
      <c r="B25" s="14" t="s">
        <v>377</v>
      </c>
      <c r="C25" s="13">
        <f t="array" ref="C25">SUM(IF((GJ[Date]=A25)*(GJ[Account Code]=TRIM($B$2)),GJ[Debit]))</f>
        <v>0</v>
      </c>
      <c r="D25" s="13">
        <f t="array" ref="D25">SUM(IF((GJ[Date]=A25)*(GJ[Account Code]=TRIM($B$2)),GJ[Credit]))</f>
        <v>5525</v>
      </c>
      <c r="E25" s="12"/>
    </row>
    <row r="26" spans="1:5">
      <c r="A26" s="1302">
        <f>A25</f>
        <v>45016</v>
      </c>
      <c r="B26" s="1303"/>
      <c r="C26" s="23">
        <f>SUM(C22:C25)</f>
        <v>0</v>
      </c>
      <c r="D26" s="23">
        <f>SUM(D22:D25)</f>
        <v>5525</v>
      </c>
      <c r="E26" s="23">
        <f>IF($E$4=$C$4,C26-D26,D26-C26)</f>
        <v>-5525</v>
      </c>
    </row>
    <row r="27" spans="1:5">
      <c r="A27" s="1304">
        <f>A26</f>
        <v>45016</v>
      </c>
      <c r="B27" s="1305"/>
      <c r="C27" s="20">
        <f>C20+C26</f>
        <v>0</v>
      </c>
      <c r="D27" s="20">
        <f>D20+D26</f>
        <v>5525</v>
      </c>
      <c r="E27" s="20">
        <f>IF($E$4=$C$4,C27-D27,D27-C27)</f>
        <v>-5525</v>
      </c>
    </row>
    <row r="28" spans="1:5">
      <c r="A28" s="11"/>
      <c r="B28" s="12"/>
      <c r="C28" s="13"/>
      <c r="D28" s="13"/>
      <c r="E28" s="12"/>
    </row>
    <row r="29" spans="1:5">
      <c r="A29" s="279">
        <f>Account!$G$15</f>
        <v>45046</v>
      </c>
      <c r="B29" s="14" t="s">
        <v>374</v>
      </c>
      <c r="C29" s="17">
        <f t="array" ref="C29">SUM(IF((CkDJ[Date]=A29)*(CkDJ[Account Code]=TRIM($B$2)),CkDJ[Debit]))</f>
        <v>0</v>
      </c>
      <c r="D29" s="17">
        <f t="array" ref="D29">SUM(IF((CkDJ[Date]=A29)*(CkDJ[Account Code]=TRIM($B$2)),CkDJ[Credit]))</f>
        <v>0</v>
      </c>
      <c r="E29" s="12"/>
    </row>
    <row r="30" spans="1:5">
      <c r="A30" s="279">
        <f>Account!$G$15</f>
        <v>45046</v>
      </c>
      <c r="B30" s="15" t="s">
        <v>375</v>
      </c>
      <c r="C30" s="13">
        <f t="array" ref="C30">SUM(IF((CsDJ[Date]=A30)*(CsDJ[Account Code]=TRIM($B$2)),CsDJ[Debit]))</f>
        <v>0</v>
      </c>
      <c r="D30" s="13">
        <f t="array" ref="D30">SUM(IF((CsDJ[Date]=A30)*(CsDJ[Account Code]=TRIM($B$2)),CsDJ[Credit]))</f>
        <v>0</v>
      </c>
      <c r="E30" s="12"/>
    </row>
    <row r="31" spans="1:5">
      <c r="A31" s="279">
        <f>Account!$G$15</f>
        <v>45046</v>
      </c>
      <c r="B31" s="16" t="s">
        <v>376</v>
      </c>
      <c r="C31" s="13">
        <f t="array" ref="C31">SUM(IF((CRDJ[Date]=A31)*(CRDJ[Account Code]=TRIM($B$2)),CRDJ[Debit]))</f>
        <v>0</v>
      </c>
      <c r="D31" s="13">
        <f t="array" ref="D31">SUM(IF((CRDJ[Date]=A31)*(CRDJ[Account Code]=TRIM($B$2)),CRDJ[Credit]))</f>
        <v>0</v>
      </c>
      <c r="E31" s="12"/>
    </row>
    <row r="32" spans="1:5">
      <c r="A32" s="279">
        <f>Account!$G$15</f>
        <v>45046</v>
      </c>
      <c r="B32" s="14" t="s">
        <v>377</v>
      </c>
      <c r="C32" s="13">
        <f t="array" ref="C32">SUM(IF((GJ[Date]=A32)*(GJ[Account Code]=TRIM($B$2)),GJ[Debit]))</f>
        <v>0</v>
      </c>
      <c r="D32" s="13">
        <f t="array" ref="D32">SUM(IF((GJ[Date]=A32)*(GJ[Account Code]=TRIM($B$2)),GJ[Credit]))</f>
        <v>0</v>
      </c>
      <c r="E32" s="12"/>
    </row>
    <row r="33" spans="1:5">
      <c r="A33" s="1302">
        <f>A32</f>
        <v>45046</v>
      </c>
      <c r="B33" s="1303"/>
      <c r="C33" s="23">
        <f>SUM(C29:C32)</f>
        <v>0</v>
      </c>
      <c r="D33" s="23">
        <f>SUM(D29:D32)</f>
        <v>0</v>
      </c>
      <c r="E33" s="23">
        <f>IF($E$4=$C$4,C33-D33,D33-C33)</f>
        <v>0</v>
      </c>
    </row>
    <row r="34" spans="1:5">
      <c r="A34" s="1304">
        <f>A33</f>
        <v>45046</v>
      </c>
      <c r="B34" s="1305"/>
      <c r="C34" s="20">
        <f>C27+C33</f>
        <v>0</v>
      </c>
      <c r="D34" s="20">
        <f>D27+D33</f>
        <v>5525</v>
      </c>
      <c r="E34" s="20">
        <f>IF($E$4=$C$4,C34-D34,D34-C34)</f>
        <v>-5525</v>
      </c>
    </row>
    <row r="35" spans="1:5">
      <c r="A35" s="11"/>
      <c r="B35" s="12"/>
      <c r="C35" s="13"/>
      <c r="D35" s="13"/>
      <c r="E35" s="12"/>
    </row>
    <row r="36" spans="1:5">
      <c r="A36" s="279">
        <f>Account!$G$16</f>
        <v>45077</v>
      </c>
      <c r="B36" s="14" t="s">
        <v>374</v>
      </c>
      <c r="C36" s="17">
        <f t="array" ref="C36">SUM(IF((CkDJ[Date]=A36)*(CkDJ[Account Code]=TRIM($B$2)),CkDJ[Debit]))</f>
        <v>0</v>
      </c>
      <c r="D36" s="17">
        <f t="array" ref="D36">SUM(IF((CkDJ[Date]=A36)*(CkDJ[Account Code]=TRIM($B$2)),CkDJ[Credit]))</f>
        <v>0</v>
      </c>
      <c r="E36" s="12"/>
    </row>
    <row r="37" spans="1:5">
      <c r="A37" s="279">
        <f>Account!$G$16</f>
        <v>45077</v>
      </c>
      <c r="B37" s="15" t="s">
        <v>375</v>
      </c>
      <c r="C37" s="13">
        <f t="array" ref="C37">SUM(IF((CsDJ[Date]=A37)*(CsDJ[Account Code]=TRIM($B$2)),CsDJ[Debit]))</f>
        <v>0</v>
      </c>
      <c r="D37" s="13">
        <f t="array" ref="D37">SUM(IF((CsDJ[Date]=A37)*(CsDJ[Account Code]=TRIM($B$2)),CsDJ[Credit]))</f>
        <v>0</v>
      </c>
      <c r="E37" s="12"/>
    </row>
    <row r="38" spans="1:5">
      <c r="A38" s="279">
        <f>Account!$G$16</f>
        <v>45077</v>
      </c>
      <c r="B38" s="16" t="s">
        <v>376</v>
      </c>
      <c r="C38" s="13">
        <f t="array" ref="C38">SUM(IF((CRDJ[Date]=A38)*(CRDJ[Account Code]=TRIM($B$2)),CRDJ[Debit]))</f>
        <v>0</v>
      </c>
      <c r="D38" s="13">
        <f t="array" ref="D38">SUM(IF((CRDJ[Date]=A38)*(CRDJ[Account Code]=TRIM($B$2)),CRDJ[Credit]))</f>
        <v>0</v>
      </c>
      <c r="E38" s="12"/>
    </row>
    <row r="39" spans="1:5">
      <c r="A39" s="279">
        <f>Account!$G$16</f>
        <v>45077</v>
      </c>
      <c r="B39" s="14" t="s">
        <v>377</v>
      </c>
      <c r="C39" s="13">
        <f t="array" ref="C39">SUM(IF((GJ[Date]=A39)*(GJ[Account Code]=TRIM($B$2)),GJ[Debit]))</f>
        <v>0</v>
      </c>
      <c r="D39" s="13">
        <f t="array" ref="D39">SUM(IF((GJ[Date]=A39)*(GJ[Account Code]=TRIM($B$2)),GJ[Credit]))</f>
        <v>16404</v>
      </c>
      <c r="E39" s="12"/>
    </row>
    <row r="40" spans="1:5">
      <c r="A40" s="1302">
        <f>A39</f>
        <v>45077</v>
      </c>
      <c r="B40" s="1303"/>
      <c r="C40" s="23">
        <f>SUM(C36:C39)</f>
        <v>0</v>
      </c>
      <c r="D40" s="23">
        <f>SUM(D36:D39)</f>
        <v>16404</v>
      </c>
      <c r="E40" s="23">
        <f>IF($E$4=$C$4,C40-D40,D40-C40)</f>
        <v>-16404</v>
      </c>
    </row>
    <row r="41" spans="1:5">
      <c r="A41" s="1304">
        <f>A40</f>
        <v>45077</v>
      </c>
      <c r="B41" s="1305"/>
      <c r="C41" s="20">
        <f>C34+C40</f>
        <v>0</v>
      </c>
      <c r="D41" s="20">
        <f>D34+D40</f>
        <v>21929</v>
      </c>
      <c r="E41" s="20">
        <f>IF($E$4=$C$4,C41-D41,D41-C41)</f>
        <v>-21929</v>
      </c>
    </row>
    <row r="42" spans="1:5">
      <c r="A42" s="11"/>
      <c r="B42" s="12"/>
      <c r="C42" s="13"/>
      <c r="D42" s="13"/>
      <c r="E42" s="12"/>
    </row>
    <row r="43" spans="1:5">
      <c r="A43" s="279">
        <f>Account!$G$17</f>
        <v>45107</v>
      </c>
      <c r="B43" s="14" t="s">
        <v>374</v>
      </c>
      <c r="C43" s="17">
        <f t="array" ref="C43">SUM(IF((CkDJ[Date]=A43)*(CkDJ[Account Code]=TRIM($B$2)),CkDJ[Debit]))</f>
        <v>0</v>
      </c>
      <c r="D43" s="17">
        <f t="array" ref="D43">SUM(IF((CkDJ[Date]=A43)*(CkDJ[Account Code]=TRIM($B$2)),CkDJ[Credit]))</f>
        <v>0</v>
      </c>
      <c r="E43" s="12"/>
    </row>
    <row r="44" spans="1:5">
      <c r="A44" s="279">
        <f>Account!$G$17</f>
        <v>45107</v>
      </c>
      <c r="B44" s="15" t="s">
        <v>375</v>
      </c>
      <c r="C44" s="13">
        <f t="array" ref="C44">SUM(IF((CsDJ[Date]=A44)*(CsDJ[Account Code]=TRIM($B$2)),CsDJ[Debit]))</f>
        <v>0</v>
      </c>
      <c r="D44" s="13">
        <f t="array" ref="D44">SUM(IF((CsDJ[Date]=A44)*(CsDJ[Account Code]=TRIM($B$2)),CsDJ[Credit]))</f>
        <v>0</v>
      </c>
      <c r="E44" s="12"/>
    </row>
    <row r="45" spans="1:5">
      <c r="A45" s="279">
        <f>Account!$G$17</f>
        <v>45107</v>
      </c>
      <c r="B45" s="16" t="s">
        <v>376</v>
      </c>
      <c r="C45" s="13">
        <f t="array" ref="C45">SUM(IF((CRDJ[Date]=A45)*(CRDJ[Account Code]=TRIM($B$2)),CRDJ[Debit]))</f>
        <v>0</v>
      </c>
      <c r="D45" s="13">
        <f t="array" ref="D45">SUM(IF((CRDJ[Date]=A45)*(CRDJ[Account Code]=TRIM($B$2)),CRDJ[Credit]))</f>
        <v>0</v>
      </c>
      <c r="E45" s="12"/>
    </row>
    <row r="46" spans="1:5">
      <c r="A46" s="279">
        <f>Account!$G$17</f>
        <v>45107</v>
      </c>
      <c r="B46" s="14" t="s">
        <v>377</v>
      </c>
      <c r="C46" s="13">
        <f t="array" ref="C46">SUM(IF((GJ[Date]=A46)*(GJ[Account Code]=TRIM($B$2)),GJ[Debit]))</f>
        <v>0</v>
      </c>
      <c r="D46" s="13">
        <f t="array" ref="D46">SUM(IF((GJ[Date]=A46)*(GJ[Account Code]=TRIM($B$2)),GJ[Credit]))</f>
        <v>1970</v>
      </c>
      <c r="E46" s="12"/>
    </row>
    <row r="47" spans="1:5">
      <c r="A47" s="1302">
        <f>A46</f>
        <v>45107</v>
      </c>
      <c r="B47" s="1303"/>
      <c r="C47" s="23">
        <f>SUM(C43:C46)</f>
        <v>0</v>
      </c>
      <c r="D47" s="23">
        <f>SUM(D43:D46)</f>
        <v>1970</v>
      </c>
      <c r="E47" s="23">
        <f>IF($E$4=$C$4,C47-D47,D47-C47)</f>
        <v>-1970</v>
      </c>
    </row>
    <row r="48" spans="1:5">
      <c r="A48" s="1304">
        <f>A47</f>
        <v>45107</v>
      </c>
      <c r="B48" s="1305"/>
      <c r="C48" s="20">
        <f>C41+C47</f>
        <v>0</v>
      </c>
      <c r="D48" s="20">
        <f>D41+D47</f>
        <v>23899</v>
      </c>
      <c r="E48" s="20">
        <f>IF($E$4=$C$4,C48-D48,D48-C48)</f>
        <v>-23899</v>
      </c>
    </row>
    <row r="49" spans="1:5">
      <c r="A49" s="11"/>
      <c r="B49" s="12"/>
      <c r="C49" s="13"/>
      <c r="D49" s="13"/>
      <c r="E49" s="12"/>
    </row>
    <row r="50" spans="1:5">
      <c r="A50" s="279">
        <f>Account!$G$18</f>
        <v>45138</v>
      </c>
      <c r="B50" s="14" t="s">
        <v>374</v>
      </c>
      <c r="C50" s="17">
        <f t="array" ref="C50">SUM(IF((CkDJ[Date]=A50)*(CkDJ[Account Code]=TRIM($B$2)),CkDJ[Debit]))</f>
        <v>56296</v>
      </c>
      <c r="D50" s="17">
        <f t="array" ref="D50">SUM(IF((CkDJ[Date]=A50)*(CkDJ[Account Code]=TRIM($B$2)),CkDJ[Credit]))</f>
        <v>0</v>
      </c>
      <c r="E50" s="12"/>
    </row>
    <row r="51" spans="1:5">
      <c r="A51" s="279">
        <f>Account!$G$18</f>
        <v>45138</v>
      </c>
      <c r="B51" s="15" t="s">
        <v>375</v>
      </c>
      <c r="C51" s="13">
        <f t="array" ref="C51">SUM(IF((CsDJ[Date]=A51)*(CsDJ[Account Code]=TRIM($B$2)),CsDJ[Debit]))</f>
        <v>0</v>
      </c>
      <c r="D51" s="13">
        <f t="array" ref="D51">SUM(IF((CsDJ[Date]=A51)*(CsDJ[Account Code]=TRIM($B$2)),CsDJ[Credit]))</f>
        <v>0</v>
      </c>
      <c r="E51" s="12"/>
    </row>
    <row r="52" spans="1:5">
      <c r="A52" s="279">
        <f>Account!$G$18</f>
        <v>45138</v>
      </c>
      <c r="B52" s="16" t="s">
        <v>376</v>
      </c>
      <c r="C52" s="13">
        <f t="array" ref="C52">SUM(IF((CRDJ[Date]=A52)*(CRDJ[Account Code]=TRIM($B$2)),CRDJ[Debit]))</f>
        <v>0</v>
      </c>
      <c r="D52" s="13">
        <f t="array" ref="D52">SUM(IF((CRDJ[Date]=A52)*(CRDJ[Account Code]=TRIM($B$2)),CRDJ[Credit]))</f>
        <v>0</v>
      </c>
      <c r="E52" s="12"/>
    </row>
    <row r="53" spans="1:5">
      <c r="A53" s="279">
        <f>Account!$G$18</f>
        <v>45138</v>
      </c>
      <c r="B53" s="14" t="s">
        <v>377</v>
      </c>
      <c r="C53" s="13">
        <f t="array" ref="C53">SUM(IF((GJ[Date]=A53)*(GJ[Account Code]=TRIM($B$2)),GJ[Debit]))</f>
        <v>0</v>
      </c>
      <c r="D53" s="13">
        <f t="array" ref="D53">SUM(IF((GJ[Date]=A53)*(GJ[Account Code]=TRIM($B$2)),GJ[Credit]))</f>
        <v>56296</v>
      </c>
      <c r="E53" s="12"/>
    </row>
    <row r="54" spans="1:5">
      <c r="A54" s="1302">
        <f>A53</f>
        <v>45138</v>
      </c>
      <c r="B54" s="1303"/>
      <c r="C54" s="23">
        <f>SUM(C50:C53)</f>
        <v>56296</v>
      </c>
      <c r="D54" s="23">
        <f>SUM(D50:D53)</f>
        <v>56296</v>
      </c>
      <c r="E54" s="23">
        <f>IF($E$4=$C$4,C54-D54,D54-C54)</f>
        <v>0</v>
      </c>
    </row>
    <row r="55" spans="1:5">
      <c r="A55" s="1304">
        <f>A54</f>
        <v>45138</v>
      </c>
      <c r="B55" s="1305"/>
      <c r="C55" s="20">
        <f>C48+C54</f>
        <v>56296</v>
      </c>
      <c r="D55" s="20">
        <f>D48+D54</f>
        <v>80195</v>
      </c>
      <c r="E55" s="20">
        <f>IF($E$4=$C$4,C55-D55,D55-C55)</f>
        <v>-23899</v>
      </c>
    </row>
    <row r="56" spans="1:5">
      <c r="A56" s="11"/>
      <c r="B56" s="12"/>
      <c r="C56" s="13"/>
      <c r="D56" s="13"/>
      <c r="E56" s="12"/>
    </row>
    <row r="57" spans="1:5">
      <c r="A57" s="279">
        <f>Account!$G$19</f>
        <v>45169</v>
      </c>
      <c r="B57" s="14" t="s">
        <v>374</v>
      </c>
      <c r="C57" s="17">
        <f t="array" ref="C57">SUM(IF((CkDJ[Date]=A57)*(CkDJ[Account Code]=TRIM($B$2)),CkDJ[Debit]))</f>
        <v>213775</v>
      </c>
      <c r="D57" s="17">
        <f t="array" ref="D57">SUM(IF((CkDJ[Date]=A57)*(CkDJ[Account Code]=TRIM($B$2)),CkDJ[Credit]))</f>
        <v>0</v>
      </c>
      <c r="E57" s="12"/>
    </row>
    <row r="58" spans="1:5">
      <c r="A58" s="279">
        <f>Account!$G$19</f>
        <v>45169</v>
      </c>
      <c r="B58" s="15" t="s">
        <v>375</v>
      </c>
      <c r="C58" s="13">
        <f t="array" ref="C58">SUM(IF((CsDJ[Date]=A58)*(CsDJ[Account Code]=TRIM($B$2)),CsDJ[Debit]))</f>
        <v>0</v>
      </c>
      <c r="D58" s="13">
        <f t="array" ref="D58">SUM(IF((CsDJ[Date]=A58)*(CsDJ[Account Code]=TRIM($B$2)),CsDJ[Credit]))</f>
        <v>0</v>
      </c>
      <c r="E58" s="12"/>
    </row>
    <row r="59" spans="1:5">
      <c r="A59" s="279">
        <f>Account!$G$19</f>
        <v>45169</v>
      </c>
      <c r="B59" s="16" t="s">
        <v>376</v>
      </c>
      <c r="C59" s="13">
        <f t="array" ref="C59">SUM(IF((CRDJ[Date]=A59)*(CRDJ[Account Code]=TRIM($B$2)),CRDJ[Debit]))</f>
        <v>0</v>
      </c>
      <c r="D59" s="13">
        <f t="array" ref="D59">SUM(IF((CRDJ[Date]=A59)*(CRDJ[Account Code]=TRIM($B$2)),CRDJ[Credit]))</f>
        <v>0</v>
      </c>
      <c r="E59" s="12"/>
    </row>
    <row r="60" spans="1:5">
      <c r="A60" s="279">
        <f>Account!$G$19</f>
        <v>45169</v>
      </c>
      <c r="B60" s="14" t="s">
        <v>377</v>
      </c>
      <c r="C60" s="13">
        <f t="array" ref="C60">SUM(IF((GJ[Date]=A60)*(GJ[Account Code]=TRIM($B$2)),GJ[Debit]))</f>
        <v>0</v>
      </c>
      <c r="D60" s="13">
        <f t="array" ref="D60">SUM(IF((GJ[Date]=A60)*(GJ[Account Code]=TRIM($B$2)),GJ[Credit]))</f>
        <v>0</v>
      </c>
      <c r="E60" s="12"/>
    </row>
    <row r="61" spans="1:5">
      <c r="A61" s="1302">
        <f>A60</f>
        <v>45169</v>
      </c>
      <c r="B61" s="1303"/>
      <c r="C61" s="23">
        <f>SUM(C57:C60)</f>
        <v>213775</v>
      </c>
      <c r="D61" s="23">
        <f>SUM(D57:D60)</f>
        <v>0</v>
      </c>
      <c r="E61" s="23">
        <f>IF($E$4=$C$4,C61-D61,D61-C61)</f>
        <v>213775</v>
      </c>
    </row>
    <row r="62" spans="1:5">
      <c r="A62" s="1304">
        <f>A61</f>
        <v>45169</v>
      </c>
      <c r="B62" s="1305"/>
      <c r="C62" s="20">
        <f>C55+C61</f>
        <v>270071</v>
      </c>
      <c r="D62" s="20">
        <f>D55+D61</f>
        <v>80195</v>
      </c>
      <c r="E62" s="20">
        <f>IF($E$4=$C$4,C62-D62,D62-C62)</f>
        <v>189876</v>
      </c>
    </row>
    <row r="63" spans="1:5">
      <c r="A63" s="11"/>
      <c r="B63" s="12"/>
      <c r="C63" s="13"/>
      <c r="D63" s="13"/>
      <c r="E63" s="12"/>
    </row>
    <row r="64" spans="1:5">
      <c r="A64" s="279">
        <f>Account!$G$20</f>
        <v>45199</v>
      </c>
      <c r="B64" s="14" t="s">
        <v>374</v>
      </c>
      <c r="C64" s="17">
        <f t="array" ref="C64">SUM(IF((CkDJ[Date]=A64)*(CkDJ[Account Code]=TRIM($B$2)),CkDJ[Debit]))</f>
        <v>0</v>
      </c>
      <c r="D64" s="17">
        <f t="array" ref="D64">SUM(IF((CkDJ[Date]=A64)*(CkDJ[Account Code]=TRIM($B$2)),CkDJ[Credit]))</f>
        <v>0</v>
      </c>
      <c r="E64" s="12"/>
    </row>
    <row r="65" spans="1:7">
      <c r="A65" s="279">
        <f>Account!$G$20</f>
        <v>45199</v>
      </c>
      <c r="B65" s="15" t="s">
        <v>375</v>
      </c>
      <c r="C65" s="13">
        <f t="array" ref="C65">SUM(IF((CsDJ[Date]=A65)*(CsDJ[Account Code]=TRIM($B$2)),CsDJ[Debit]))</f>
        <v>0</v>
      </c>
      <c r="D65" s="13">
        <f t="array" ref="D65">SUM(IF((CsDJ[Date]=A65)*(CsDJ[Account Code]=TRIM($B$2)),CsDJ[Credit]))</f>
        <v>0</v>
      </c>
      <c r="E65" s="12"/>
    </row>
    <row r="66" spans="1:7">
      <c r="A66" s="279">
        <f>Account!$G$20</f>
        <v>45199</v>
      </c>
      <c r="B66" s="16" t="s">
        <v>376</v>
      </c>
      <c r="C66" s="13">
        <f t="array" ref="C66">SUM(IF((CRDJ[Date]=A66)*(CRDJ[Account Code]=TRIM($B$2)),CRDJ[Debit]))</f>
        <v>0</v>
      </c>
      <c r="D66" s="13">
        <f t="array" ref="D66">SUM(IF((CRDJ[Date]=A66)*(CRDJ[Account Code]=TRIM($B$2)),CRDJ[Credit]))</f>
        <v>0</v>
      </c>
      <c r="E66" s="12"/>
    </row>
    <row r="67" spans="1:7">
      <c r="A67" s="279">
        <f>Account!$G$20</f>
        <v>45199</v>
      </c>
      <c r="B67" s="14" t="s">
        <v>377</v>
      </c>
      <c r="C67" s="13">
        <f t="array" ref="C67">SUM(IF((GJ[Date]=A67)*(GJ[Account Code]=TRIM($B$2)),GJ[Debit]))</f>
        <v>0</v>
      </c>
      <c r="D67" s="13">
        <f t="array" ref="D67">SUM(IF((GJ[Date]=A67)*(GJ[Account Code]=TRIM($B$2)),GJ[Credit]))</f>
        <v>0</v>
      </c>
      <c r="E67" s="12"/>
    </row>
    <row r="68" spans="1:7">
      <c r="A68" s="1302">
        <f>A67</f>
        <v>45199</v>
      </c>
      <c r="B68" s="1303"/>
      <c r="C68" s="23">
        <f>SUM(C64:C67)</f>
        <v>0</v>
      </c>
      <c r="D68" s="23">
        <f>SUM(D64:D67)</f>
        <v>0</v>
      </c>
      <c r="E68" s="23">
        <f>IF($E$4=$C$4,C68-D68,D68-C68)</f>
        <v>0</v>
      </c>
    </row>
    <row r="69" spans="1:7">
      <c r="A69" s="1304">
        <f>A68</f>
        <v>45199</v>
      </c>
      <c r="B69" s="1305"/>
      <c r="C69" s="20">
        <f>C62+C68</f>
        <v>270071</v>
      </c>
      <c r="D69" s="20">
        <f>D62+D68</f>
        <v>80195</v>
      </c>
      <c r="E69" s="20">
        <f>IF($E$4=$C$4,C69-D69,D69-C69)</f>
        <v>189876</v>
      </c>
    </row>
    <row r="70" spans="1:7">
      <c r="A70" s="11"/>
      <c r="B70" s="12"/>
      <c r="C70" s="13"/>
      <c r="D70" s="13"/>
      <c r="E70" s="12"/>
    </row>
    <row r="71" spans="1:7">
      <c r="A71" s="279">
        <f>Account!$G$21</f>
        <v>45230</v>
      </c>
      <c r="B71" s="14" t="s">
        <v>374</v>
      </c>
      <c r="C71" s="17">
        <f t="array" ref="C71">SUM(IF((CkDJ[Date]=A71)*(CkDJ[Account Code]=TRIM($B$2)),CkDJ[Debit]))</f>
        <v>0</v>
      </c>
      <c r="D71" s="17">
        <f t="array" ref="D71">SUM(IF((CkDJ[Date]=A71)*(CkDJ[Account Code]=TRIM($B$2)),CkDJ[Credit]))</f>
        <v>0</v>
      </c>
      <c r="E71" s="12"/>
    </row>
    <row r="72" spans="1:7">
      <c r="A72" s="279">
        <f>Account!$G$21</f>
        <v>45230</v>
      </c>
      <c r="B72" s="15" t="s">
        <v>375</v>
      </c>
      <c r="C72" s="13">
        <f t="array" ref="C72">SUM(IF((CsDJ[Date]=A72)*(CsDJ[Account Code]=TRIM($B$2)),CsDJ[Debit]))</f>
        <v>0</v>
      </c>
      <c r="D72" s="13">
        <f t="array" ref="D72">SUM(IF((CsDJ[Date]=A72)*(CsDJ[Account Code]=TRIM($B$2)),CsDJ[Credit]))</f>
        <v>0</v>
      </c>
      <c r="E72" s="12"/>
    </row>
    <row r="73" spans="1:7">
      <c r="A73" s="279">
        <f>Account!$G$21</f>
        <v>45230</v>
      </c>
      <c r="B73" s="16" t="s">
        <v>376</v>
      </c>
      <c r="C73" s="13">
        <f t="array" ref="C73">SUM(IF((CRDJ[Date]=A73)*(CRDJ[Account Code]=TRIM($B$2)),CRDJ[Debit]))</f>
        <v>0</v>
      </c>
      <c r="D73" s="13">
        <f t="array" ref="D73">SUM(IF((CRDJ[Date]=A73)*(CRDJ[Account Code]=TRIM($B$2)),CRDJ[Credit]))</f>
        <v>0</v>
      </c>
      <c r="E73" s="12"/>
    </row>
    <row r="74" spans="1:7">
      <c r="A74" s="279">
        <f>Account!$G$21</f>
        <v>45230</v>
      </c>
      <c r="B74" s="14" t="s">
        <v>377</v>
      </c>
      <c r="C74" s="13">
        <f t="array" ref="C74">SUM(IF((GJ[Date]=A74)*(GJ[Account Code]=TRIM($B$2)),GJ[Debit]))</f>
        <v>0</v>
      </c>
      <c r="D74" s="13">
        <f t="array" ref="D74">SUM(IF((GJ[Date]=A74)*(GJ[Account Code]=TRIM($B$2)),GJ[Credit]))</f>
        <v>0</v>
      </c>
      <c r="E74" s="12"/>
    </row>
    <row r="75" spans="1:7">
      <c r="A75" s="1302">
        <f>A74</f>
        <v>45230</v>
      </c>
      <c r="B75" s="1303"/>
      <c r="C75" s="23">
        <f>SUM(C71:C74)</f>
        <v>0</v>
      </c>
      <c r="D75" s="23">
        <f>SUM(D71:D74)</f>
        <v>0</v>
      </c>
      <c r="E75" s="23">
        <f>IF($E$4=$C$4,C75-D75,D75-C75)</f>
        <v>0</v>
      </c>
    </row>
    <row r="76" spans="1:7">
      <c r="A76" s="1304">
        <f>A75</f>
        <v>45230</v>
      </c>
      <c r="B76" s="1305"/>
      <c r="C76" s="20">
        <f>C69+C75</f>
        <v>270071</v>
      </c>
      <c r="D76" s="20">
        <f>D69+D75</f>
        <v>80195</v>
      </c>
      <c r="E76" s="20">
        <f>IF($E$4=$C$4,C76-D76,D76-C76)</f>
        <v>189876</v>
      </c>
    </row>
    <row r="77" spans="1:7">
      <c r="A77" s="11"/>
      <c r="B77" s="12"/>
      <c r="C77" s="13"/>
      <c r="D77" s="13"/>
      <c r="E77" s="12"/>
      <c r="G77" s="30"/>
    </row>
    <row r="78" spans="1:7">
      <c r="A78" s="279">
        <f>Account!$G$22</f>
        <v>45260</v>
      </c>
      <c r="B78" s="14" t="s">
        <v>374</v>
      </c>
      <c r="C78" s="17">
        <f t="array" ref="C78">SUM(IF((CkDJ[Date]=A78)*(CkDJ[Account Code]=TRIM($B$2)),CkDJ[Debit]))</f>
        <v>0</v>
      </c>
      <c r="D78" s="17">
        <f t="array" ref="D78">SUM(IF((CkDJ[Date]=A78)*(CkDJ[Account Code]=TRIM($B$2)),CkDJ[Credit]))</f>
        <v>0</v>
      </c>
      <c r="E78" s="12"/>
    </row>
    <row r="79" spans="1:7">
      <c r="A79" s="279">
        <f>Account!$G$22</f>
        <v>45260</v>
      </c>
      <c r="B79" s="15" t="s">
        <v>375</v>
      </c>
      <c r="C79" s="13">
        <f t="array" ref="C79">SUM(IF((CsDJ[Date]=A79)*(CsDJ[Account Code]=TRIM($B$2)),CsDJ[Debit]))</f>
        <v>0</v>
      </c>
      <c r="D79" s="13">
        <f t="array" ref="D79">SUM(IF((CsDJ[Date]=A79)*(CsDJ[Account Code]=TRIM($B$2)),CsDJ[Credit]))</f>
        <v>0</v>
      </c>
      <c r="E79" s="12"/>
    </row>
    <row r="80" spans="1:7">
      <c r="A80" s="279">
        <f>Account!$G$22</f>
        <v>45260</v>
      </c>
      <c r="B80" s="16" t="s">
        <v>376</v>
      </c>
      <c r="C80" s="13">
        <f t="array" ref="C80">SUM(IF((CRDJ[Date]=A80)*(CRDJ[Account Code]=TRIM($B$2)),CRDJ[Debit]))</f>
        <v>0</v>
      </c>
      <c r="D80" s="13">
        <f t="array" ref="D80">SUM(IF((CRDJ[Date]=A80)*(CRDJ[Account Code]=TRIM($B$2)),CRDJ[Credit]))</f>
        <v>0</v>
      </c>
      <c r="E80" s="12"/>
    </row>
    <row r="81" spans="1:5">
      <c r="A81" s="279">
        <f>Account!$G$22</f>
        <v>45260</v>
      </c>
      <c r="B81" s="14" t="s">
        <v>377</v>
      </c>
      <c r="C81" s="13">
        <f t="array" ref="C81">SUM(IF((GJ[Date]=A81)*(GJ[Account Code]=TRIM($B$2)),GJ[Debit]))</f>
        <v>0</v>
      </c>
      <c r="D81" s="13">
        <f t="array" ref="D81">SUM(IF((GJ[Date]=A81)*(GJ[Account Code]=TRIM($B$2)),GJ[Credit]))</f>
        <v>0</v>
      </c>
      <c r="E81" s="12"/>
    </row>
    <row r="82" spans="1:5">
      <c r="A82" s="1302">
        <f>A81</f>
        <v>45260</v>
      </c>
      <c r="B82" s="1303"/>
      <c r="C82" s="23">
        <f>SUM(C78:C81)</f>
        <v>0</v>
      </c>
      <c r="D82" s="23">
        <f>SUM(D78:D81)</f>
        <v>0</v>
      </c>
      <c r="E82" s="23">
        <f>IF($E$4=$C$4,C82-D82,D82-C82)</f>
        <v>0</v>
      </c>
    </row>
    <row r="83" spans="1:5">
      <c r="A83" s="1304">
        <f>A82</f>
        <v>45260</v>
      </c>
      <c r="B83" s="1305"/>
      <c r="C83" s="20">
        <f>C76+C82</f>
        <v>270071</v>
      </c>
      <c r="D83" s="20">
        <f>D76+D82</f>
        <v>80195</v>
      </c>
      <c r="E83" s="20">
        <f>IF($E$4=$C$4,C83-D83,D83-C83)</f>
        <v>189876</v>
      </c>
    </row>
    <row r="84" spans="1:5">
      <c r="A84" s="11"/>
      <c r="B84" s="12"/>
      <c r="C84" s="13"/>
      <c r="D84" s="13"/>
      <c r="E84" s="12"/>
    </row>
    <row r="85" spans="1:5">
      <c r="A85" s="279">
        <f>Account!$G$23</f>
        <v>45291</v>
      </c>
      <c r="B85" s="14" t="s">
        <v>374</v>
      </c>
      <c r="C85" s="17">
        <f t="array" ref="C85">SUM(IF((CkDJ[Date]=A85)*(CkDJ[Account Code]=TRIM($B$2)),CkDJ[Debit]))</f>
        <v>0</v>
      </c>
      <c r="D85" s="17">
        <f t="array" ref="D85">SUM(IF((CkDJ[Date]=A85)*(CkDJ[Account Code]=TRIM($B$2)),CkDJ[Credit]))</f>
        <v>0</v>
      </c>
      <c r="E85" s="12"/>
    </row>
    <row r="86" spans="1:5">
      <c r="A86" s="279">
        <f>Account!$G$23</f>
        <v>45291</v>
      </c>
      <c r="B86" s="15" t="s">
        <v>375</v>
      </c>
      <c r="C86" s="13">
        <f t="array" ref="C86">SUM(IF((CsDJ[Date]=A86)*(CsDJ[Account Code]=TRIM($B$2)),CsDJ[Debit]))</f>
        <v>0</v>
      </c>
      <c r="D86" s="13">
        <f t="array" ref="D86">SUM(IF((CsDJ[Date]=A86)*(CsDJ[Account Code]=TRIM($B$2)),CsDJ[Credit]))</f>
        <v>0</v>
      </c>
      <c r="E86" s="12"/>
    </row>
    <row r="87" spans="1:5">
      <c r="A87" s="279">
        <f>Account!$G$23</f>
        <v>45291</v>
      </c>
      <c r="B87" s="16" t="s">
        <v>376</v>
      </c>
      <c r="C87" s="13">
        <f t="array" ref="C87">SUM(IF((CRDJ[Date]=A87)*(CRDJ[Account Code]=TRIM($B$2)),CRDJ[Debit]))</f>
        <v>0</v>
      </c>
      <c r="D87" s="13">
        <f t="array" ref="D87">SUM(IF((CRDJ[Date]=A87)*(CRDJ[Account Code]=TRIM($B$2)),CRDJ[Credit]))</f>
        <v>0</v>
      </c>
      <c r="E87" s="12"/>
    </row>
    <row r="88" spans="1:5">
      <c r="A88" s="279">
        <f>Account!$G$23</f>
        <v>45291</v>
      </c>
      <c r="B88" s="14" t="s">
        <v>377</v>
      </c>
      <c r="C88" s="13">
        <f t="array" ref="C88">SUM(IF((GJ[Date]=A88)*(GJ[Account Code]=TRIM($B$2)),GJ[Debit]))</f>
        <v>0</v>
      </c>
      <c r="D88" s="13">
        <f t="array" ref="D88">SUM(IF((GJ[Date]=A88)*(GJ[Account Code]=TRIM($B$2)),GJ[Credit]))</f>
        <v>0</v>
      </c>
      <c r="E88" s="12"/>
    </row>
    <row r="89" spans="1:5">
      <c r="A89" s="1302">
        <f>A88</f>
        <v>45291</v>
      </c>
      <c r="B89" s="1303"/>
      <c r="C89" s="23">
        <f>SUM(C85:C88)</f>
        <v>0</v>
      </c>
      <c r="D89" s="23">
        <f>SUM(D85:D88)</f>
        <v>0</v>
      </c>
      <c r="E89" s="23">
        <f>IF($E$4=$C$4,C89-D89,D89-C89)</f>
        <v>0</v>
      </c>
    </row>
    <row r="90" spans="1:5">
      <c r="A90" s="1304">
        <f>A89</f>
        <v>45291</v>
      </c>
      <c r="B90" s="1305"/>
      <c r="C90" s="20">
        <f>C83+C89</f>
        <v>270071</v>
      </c>
      <c r="D90" s="20">
        <f>D83+D89</f>
        <v>80195</v>
      </c>
      <c r="E90" s="20">
        <f>IF($E$4=$C$4,C90-D90,D90-C90)</f>
        <v>189876</v>
      </c>
    </row>
  </sheetData>
  <sheetProtection sheet="1" objects="1" scenarios="1"/>
  <mergeCells count="29">
    <mergeCell ref="C2:E2"/>
    <mergeCell ref="A4:A5"/>
    <mergeCell ref="B4:B5"/>
    <mergeCell ref="C4:C5"/>
    <mergeCell ref="D4:D5"/>
    <mergeCell ref="A12:B12"/>
    <mergeCell ref="A13:B13"/>
    <mergeCell ref="A19:B19"/>
    <mergeCell ref="A20:B20"/>
    <mergeCell ref="A26:B26"/>
    <mergeCell ref="A27:B27"/>
    <mergeCell ref="A33:B33"/>
    <mergeCell ref="A34:B34"/>
    <mergeCell ref="A40:B40"/>
    <mergeCell ref="A41:B41"/>
    <mergeCell ref="A47:B47"/>
    <mergeCell ref="A48:B48"/>
    <mergeCell ref="A54:B54"/>
    <mergeCell ref="A55:B55"/>
    <mergeCell ref="A61:B61"/>
    <mergeCell ref="A82:B82"/>
    <mergeCell ref="A83:B83"/>
    <mergeCell ref="A89:B89"/>
    <mergeCell ref="A90:B90"/>
    <mergeCell ref="A62:B62"/>
    <mergeCell ref="A68:B68"/>
    <mergeCell ref="A69:B69"/>
    <mergeCell ref="A75:B75"/>
    <mergeCell ref="A76:B76"/>
  </mergeCells>
  <printOptions horizontalCentered="1"/>
  <pageMargins left="0.43307086614173229" right="0.23622047244094491" top="0.74803149606299213" bottom="1.7322834645669292" header="0.31496062992125984" footer="1.4960629921259843"/>
  <pageSetup paperSize="14" scale="95" orientation="portrait" horizontalDpi="4294967293" verticalDpi="4294967293" r:id="rId1"/>
  <headerFooter>
    <oddFooter>Page &amp;P of &amp;N</oddFooter>
  </headerFooter>
  <rowBreaks count="1" manualBreakCount="1">
    <brk id="48"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70C0"/>
  </sheetPr>
  <dimension ref="A1:E90"/>
  <sheetViews>
    <sheetView topLeftCell="A73" workbookViewId="0">
      <selection activeCell="K11" sqref="K11"/>
    </sheetView>
  </sheetViews>
  <sheetFormatPr defaultRowHeight="15.75"/>
  <cols>
    <col min="1" max="1" width="13.375" style="6" bestFit="1" customWidth="1"/>
    <col min="2" max="2" width="32.5" customWidth="1"/>
    <col min="3" max="4" width="16.625" style="7" customWidth="1"/>
    <col min="5" max="5" width="16.625" customWidth="1"/>
  </cols>
  <sheetData>
    <row r="1" spans="1:5" ht="32.25">
      <c r="A1" s="273" t="s">
        <v>508</v>
      </c>
      <c r="B1" s="104" t="str">
        <f>Account!$G$1</f>
        <v>FUND 501 CARP</v>
      </c>
    </row>
    <row r="2" spans="1:5" ht="37.5">
      <c r="A2" s="273" t="s">
        <v>370</v>
      </c>
      <c r="B2" s="26" t="s">
        <v>1245</v>
      </c>
      <c r="C2" s="1299">
        <f t="array" ref="C2">IF(B2=0,0,(INDEX(AccountCodes[PPSAS CODE],MATCH(B2,AccountCodes[NGAS CODE],0))))</f>
        <v>1040502000</v>
      </c>
      <c r="D2" s="1299"/>
      <c r="E2" s="1299"/>
    </row>
    <row r="3" spans="1:5" ht="23.25">
      <c r="A3" s="273" t="s">
        <v>371</v>
      </c>
      <c r="B3" s="492" t="str">
        <f t="array" ref="B3">IF(B2=0,0,(INDEX(AccountCodes[ACCOUNT NAME],MATCH(B2,AccountCodes[NGAS CODE],0))))</f>
        <v>Semi-Expendable Office Equipment</v>
      </c>
      <c r="C3" s="5" t="s">
        <v>718</v>
      </c>
      <c r="D3" s="180" t="s">
        <v>762</v>
      </c>
      <c r="E3" s="139"/>
    </row>
    <row r="4" spans="1:5" ht="15.75" customHeight="1">
      <c r="A4" s="1301" t="s">
        <v>0</v>
      </c>
      <c r="B4" s="1300" t="s">
        <v>372</v>
      </c>
      <c r="C4" s="1300" t="s">
        <v>1</v>
      </c>
      <c r="D4" s="1300" t="s">
        <v>2</v>
      </c>
      <c r="E4" s="860" t="str">
        <f t="array" ref="E4">IF(C2=0,0,INDEX(AccountCodes[Normal Balance],MATCH(C2,AccountCodes[PPSAS CODE])))</f>
        <v>Debit</v>
      </c>
    </row>
    <row r="5" spans="1:5">
      <c r="A5" s="1301"/>
      <c r="B5" s="1300"/>
      <c r="C5" s="1300"/>
      <c r="D5" s="1300"/>
      <c r="E5" s="18" t="s">
        <v>379</v>
      </c>
    </row>
    <row r="6" spans="1:5">
      <c r="A6" s="21">
        <f>PostTB!A2</f>
        <v>44926</v>
      </c>
      <c r="B6" s="22" t="s">
        <v>373</v>
      </c>
      <c r="C6" s="20">
        <f t="array" ref="C6">SUM(IF((PostTB[Account Code (Old)]=TRIM($B$2))*(PostTB[Sort Code]=$D$3),PostTB[Debit]))</f>
        <v>0</v>
      </c>
      <c r="D6" s="20">
        <f t="array" ref="D6">SUM(IF((PostTB[Account Code (Old)]=TRIM($B$2))*(PostTB[Sort Code]=$D$3),PostTB[Credit]))</f>
        <v>0</v>
      </c>
      <c r="E6" s="20">
        <f>IF($E$4=$C$4,C6-D6,D6-C6)</f>
        <v>0</v>
      </c>
    </row>
    <row r="7" spans="1:5">
      <c r="A7" s="11"/>
      <c r="B7" s="12"/>
      <c r="C7" s="13"/>
      <c r="D7" s="13"/>
      <c r="E7" s="12"/>
    </row>
    <row r="8" spans="1:5">
      <c r="A8" s="279">
        <f>Account!$G$12</f>
        <v>44957</v>
      </c>
      <c r="B8" s="14" t="s">
        <v>374</v>
      </c>
      <c r="C8" s="13">
        <f t="array" ref="C8">SUM(IF((CkDJ[Date]=A8)*(CkDJ[Account Code]=TRIM($B$2))*(CkDJ[Sort Code]=$D$3),CkDJ[Debit]))</f>
        <v>0</v>
      </c>
      <c r="D8" s="13">
        <f t="array" ref="D8">SUM(IF((CkDJ[Date]=A8)*(CkDJ[Account Code]=TRIM($B$2))*(CkDJ[Sort Code]=$D$3),CkDJ[Credit]))</f>
        <v>0</v>
      </c>
      <c r="E8" s="12"/>
    </row>
    <row r="9" spans="1:5">
      <c r="A9" s="279">
        <f>Account!$G$12</f>
        <v>44957</v>
      </c>
      <c r="B9" s="15" t="s">
        <v>375</v>
      </c>
      <c r="C9" s="13">
        <f t="array" ref="C9">SUM(IF((CsDJ[Date]=A9)*(CsDJ[Account Code]=TRIM($B$2))*(CsDJ[Sort Code]=$D$3),CsDJ[Debit]))</f>
        <v>0</v>
      </c>
      <c r="D9" s="13">
        <f t="array" ref="D9">SUM(IF((CsDJ[Date]=A9)*(CsDJ[Account Code]=TRIM($B$2))*(CsDJ[Sort Code]=$D$3),CsDJ[Credit]))</f>
        <v>0</v>
      </c>
      <c r="E9" s="12"/>
    </row>
    <row r="10" spans="1:5">
      <c r="A10" s="279">
        <f>Account!$G$12</f>
        <v>44957</v>
      </c>
      <c r="B10" s="16" t="s">
        <v>376</v>
      </c>
      <c r="C10" s="13">
        <f t="array" ref="C10">SUM(IF((CRDJ[Date]=A10)*(CRDJ[Account Code]=TRIM($B$2))*(CRDJ[Sort Code]=$D$3),CRDJ[Debit]))</f>
        <v>0</v>
      </c>
      <c r="D10" s="13">
        <f t="array" ref="D10">SUM(IF((CRDJ[Date]=A10)*(CRDJ[Account Code]=TRIM($B$2))*(CRDJ[Sort Code]=$D$3),CRDJ[Credit]))</f>
        <v>0</v>
      </c>
      <c r="E10" s="10"/>
    </row>
    <row r="11" spans="1:5">
      <c r="A11" s="279">
        <f>Account!$G$12</f>
        <v>44957</v>
      </c>
      <c r="B11" s="14" t="s">
        <v>377</v>
      </c>
      <c r="C11" s="13">
        <f t="array" ref="C11">SUM(IF((GJ[Date]=A11)*(GJ[Account Code]=TRIM($B$2))*(GJ[Sort Code]=$D$3),GJ[Debit]))</f>
        <v>0</v>
      </c>
      <c r="D11" s="13">
        <f t="array" ref="D11">SUM(IF((GJ[Date]=A11)*(GJ[Account Code]=TRIM($B$2))*(GJ[Sort Code]=$D$3),GJ[Credit]))</f>
        <v>0</v>
      </c>
      <c r="E11" s="12"/>
    </row>
    <row r="12" spans="1:5">
      <c r="A12" s="1302">
        <f>A11</f>
        <v>44957</v>
      </c>
      <c r="B12" s="1303"/>
      <c r="C12" s="23">
        <f>SUM(C8:C11)</f>
        <v>0</v>
      </c>
      <c r="D12" s="23">
        <f>SUM(D8:D11)</f>
        <v>0</v>
      </c>
      <c r="E12" s="23">
        <f>IF($E$4=$C$4,C12-D12,D12-C12)</f>
        <v>0</v>
      </c>
    </row>
    <row r="13" spans="1:5">
      <c r="A13" s="1304">
        <f>A12</f>
        <v>44957</v>
      </c>
      <c r="B13" s="1305"/>
      <c r="C13" s="20">
        <f>C6+C12</f>
        <v>0</v>
      </c>
      <c r="D13" s="20">
        <f>D6+D12</f>
        <v>0</v>
      </c>
      <c r="E13" s="20">
        <f>IF($E$4=$C$4,C13-D13,D13-C13)</f>
        <v>0</v>
      </c>
    </row>
    <row r="14" spans="1:5">
      <c r="A14" s="19"/>
      <c r="B14" s="19"/>
      <c r="C14" s="13"/>
      <c r="D14" s="13"/>
      <c r="E14" s="12"/>
    </row>
    <row r="15" spans="1:5">
      <c r="A15" s="279">
        <f>Account!$G$13</f>
        <v>44985</v>
      </c>
      <c r="B15" s="14" t="s">
        <v>374</v>
      </c>
      <c r="C15" s="13">
        <f t="array" ref="C15">SUM(IF((CkDJ[Date]=A15)*(CkDJ[Account Code]=TRIM($B$2))*(CkDJ[Sort Code]=$D$3),CkDJ[Debit]))</f>
        <v>0</v>
      </c>
      <c r="D15" s="13">
        <f t="array" ref="D15">SUM(IF((CkDJ[Date]=A15)*(CkDJ[Account Code]=TRIM($B$2))*(CkDJ[Sort Code]=$D$3),CkDJ[Credit]))</f>
        <v>0</v>
      </c>
      <c r="E15" s="12"/>
    </row>
    <row r="16" spans="1:5">
      <c r="A16" s="279">
        <f>Account!$G$13</f>
        <v>44985</v>
      </c>
      <c r="B16" s="15" t="s">
        <v>375</v>
      </c>
      <c r="C16" s="13">
        <f t="array" ref="C16">SUM(IF((CsDJ[Date]=A16)*(CsDJ[Account Code]=TRIM($B$2))*(CsDJ[Sort Code]=$D$3),CsDJ[Debit]))</f>
        <v>0</v>
      </c>
      <c r="D16" s="13">
        <f t="array" ref="D16">SUM(IF((CsDJ[Date]=A16)*(CsDJ[Account Code]=TRIM($B$2))*(CsDJ[Sort Code]=$D$3),CsDJ[Credit]))</f>
        <v>0</v>
      </c>
      <c r="E16" s="12"/>
    </row>
    <row r="17" spans="1:5">
      <c r="A17" s="279">
        <f>Account!$G$13</f>
        <v>44985</v>
      </c>
      <c r="B17" s="16" t="s">
        <v>376</v>
      </c>
      <c r="C17" s="13">
        <f t="array" ref="C17">SUM(IF((CRDJ[Date]=A17)*(CRDJ[Account Code]=TRIM($B$2))*(CRDJ[Sort Code]=$D$3),CRDJ[Debit]))</f>
        <v>0</v>
      </c>
      <c r="D17" s="13">
        <f t="array" ref="D17">SUM(IF((CRDJ[Date]=A17)*(CRDJ[Account Code]=TRIM($B$2))*(CRDJ[Sort Code]=$D$3),CRDJ[Credit]))</f>
        <v>0</v>
      </c>
      <c r="E17" s="12"/>
    </row>
    <row r="18" spans="1:5">
      <c r="A18" s="279">
        <f>Account!$G$13</f>
        <v>44985</v>
      </c>
      <c r="B18" s="14" t="s">
        <v>377</v>
      </c>
      <c r="C18" s="13">
        <f t="array" ref="C18">SUM(IF((GJ[Date]=A18)*(GJ[Account Code]=TRIM($B$2))*(GJ[Sort Code]=$D$3),GJ[Debit]))</f>
        <v>0</v>
      </c>
      <c r="D18" s="13">
        <f t="array" ref="D18">SUM(IF((GJ[Date]=A18)*(GJ[Account Code]=TRIM($B$2))*(GJ[Sort Code]=$D$3),GJ[Credit]))</f>
        <v>0</v>
      </c>
      <c r="E18" s="12"/>
    </row>
    <row r="19" spans="1:5">
      <c r="A19" s="1302">
        <f>A18</f>
        <v>44985</v>
      </c>
      <c r="B19" s="1303"/>
      <c r="C19" s="23">
        <f>SUM(C15:C18)</f>
        <v>0</v>
      </c>
      <c r="D19" s="23">
        <f>SUM(D15:D18)</f>
        <v>0</v>
      </c>
      <c r="E19" s="23">
        <f>IF($E$4=$C$4,C19-D19,D19-C19)</f>
        <v>0</v>
      </c>
    </row>
    <row r="20" spans="1:5">
      <c r="A20" s="1304">
        <f>A19</f>
        <v>44985</v>
      </c>
      <c r="B20" s="1305"/>
      <c r="C20" s="20">
        <f>C13+C19</f>
        <v>0</v>
      </c>
      <c r="D20" s="20">
        <f>D13+D19</f>
        <v>0</v>
      </c>
      <c r="E20" s="20">
        <f>IF($E$4=$C$4,C20-D20,D20-C20)</f>
        <v>0</v>
      </c>
    </row>
    <row r="21" spans="1:5">
      <c r="A21" s="11"/>
      <c r="B21" s="12"/>
      <c r="C21" s="13"/>
      <c r="D21" s="13"/>
      <c r="E21" s="12"/>
    </row>
    <row r="22" spans="1:5">
      <c r="A22" s="279">
        <f>Account!$G$14</f>
        <v>45016</v>
      </c>
      <c r="B22" s="14" t="s">
        <v>374</v>
      </c>
      <c r="C22" s="13">
        <f t="array" ref="C22">SUM(IF((CkDJ[Date]=A22)*(CkDJ[Account Code]=TRIM($B$2))*(CkDJ[Sort Code]=$D$3),CkDJ[Debit]))</f>
        <v>0</v>
      </c>
      <c r="D22" s="13">
        <f t="array" ref="D22">SUM(IF((CkDJ[Date]=A22)*(CkDJ[Account Code]=TRIM($B$2))*(CkDJ[Sort Code]=$D$3),CkDJ[Credit]))</f>
        <v>0</v>
      </c>
      <c r="E22" s="12"/>
    </row>
    <row r="23" spans="1:5">
      <c r="A23" s="279">
        <f>Account!$G$14</f>
        <v>45016</v>
      </c>
      <c r="B23" s="15" t="s">
        <v>375</v>
      </c>
      <c r="C23" s="13">
        <f t="array" ref="C23">SUM(IF((CsDJ[Date]=A23)*(CsDJ[Account Code]=TRIM($B$2))*(CsDJ[Sort Code]=$D$3),CsDJ[Debit]))</f>
        <v>0</v>
      </c>
      <c r="D23" s="13">
        <f t="array" ref="D23">SUM(IF((CsDJ[Date]=A23)*(CsDJ[Account Code]=TRIM($B$2))*(CsDJ[Sort Code]=$D$3),CsDJ[Credit]))</f>
        <v>0</v>
      </c>
      <c r="E23" s="12"/>
    </row>
    <row r="24" spans="1:5">
      <c r="A24" s="279">
        <f>Account!$G$14</f>
        <v>45016</v>
      </c>
      <c r="B24" s="16" t="s">
        <v>376</v>
      </c>
      <c r="C24" s="13">
        <f t="array" ref="C24">SUM(IF((CRDJ[Date]=A24)*(CRDJ[Account Code]=TRIM($B$2))*(CRDJ[Sort Code]=$D$3),CRDJ[Debit]))</f>
        <v>0</v>
      </c>
      <c r="D24" s="13">
        <f t="array" ref="D24">SUM(IF((CRDJ[Date]=A24)*(CRDJ[Account Code]=TRIM($B$2))*(CRDJ[Sort Code]=$D$3),CRDJ[Credit]))</f>
        <v>0</v>
      </c>
      <c r="E24" s="12"/>
    </row>
    <row r="25" spans="1:5">
      <c r="A25" s="279">
        <f>Account!$G$14</f>
        <v>45016</v>
      </c>
      <c r="B25" s="14" t="s">
        <v>377</v>
      </c>
      <c r="C25" s="13">
        <f t="array" ref="C25">SUM(IF((GJ[Date]=A25)*(GJ[Account Code]=TRIM($B$2))*(GJ[Sort Code]=$D$3),GJ[Debit]))</f>
        <v>0</v>
      </c>
      <c r="D25" s="13">
        <f t="array" ref="D25">SUM(IF((GJ[Date]=A25)*(GJ[Account Code]=TRIM($B$2))*(GJ[Sort Code]=$D$3),GJ[Credit]))</f>
        <v>0</v>
      </c>
      <c r="E25" s="12"/>
    </row>
    <row r="26" spans="1:5">
      <c r="A26" s="1302">
        <f>A25</f>
        <v>45016</v>
      </c>
      <c r="B26" s="1303"/>
      <c r="C26" s="23">
        <f>SUM(C22:C25)</f>
        <v>0</v>
      </c>
      <c r="D26" s="23">
        <f>SUM(D22:D25)</f>
        <v>0</v>
      </c>
      <c r="E26" s="23">
        <f>IF($E$4=$C$4,C26-D26,D26-C26)</f>
        <v>0</v>
      </c>
    </row>
    <row r="27" spans="1:5">
      <c r="A27" s="1304">
        <f>A26</f>
        <v>45016</v>
      </c>
      <c r="B27" s="1305"/>
      <c r="C27" s="20">
        <f>C20+C26</f>
        <v>0</v>
      </c>
      <c r="D27" s="20">
        <f>D20+D26</f>
        <v>0</v>
      </c>
      <c r="E27" s="20">
        <f>IF($E$4=$C$4,C27-D27,D27-C27)</f>
        <v>0</v>
      </c>
    </row>
    <row r="28" spans="1:5">
      <c r="A28" s="11"/>
      <c r="B28" s="12"/>
      <c r="C28" s="13"/>
      <c r="D28" s="13"/>
      <c r="E28" s="12"/>
    </row>
    <row r="29" spans="1:5">
      <c r="A29" s="279">
        <f>Account!$G$15</f>
        <v>45046</v>
      </c>
      <c r="B29" s="14" t="s">
        <v>374</v>
      </c>
      <c r="C29" s="13">
        <f t="array" ref="C29">SUM(IF((CkDJ[Date]=A29)*(CkDJ[Account Code]=TRIM($B$2))*(CkDJ[Sort Code]=$D$3),CkDJ[Debit]))</f>
        <v>0</v>
      </c>
      <c r="D29" s="13">
        <f t="array" ref="D29">SUM(IF((CkDJ[Date]=A29)*(CkDJ[Account Code]=TRIM($B$2))*(CkDJ[Sort Code]=$D$3),CkDJ[Credit]))</f>
        <v>0</v>
      </c>
      <c r="E29" s="12"/>
    </row>
    <row r="30" spans="1:5">
      <c r="A30" s="279">
        <f>Account!$G$15</f>
        <v>45046</v>
      </c>
      <c r="B30" s="15" t="s">
        <v>375</v>
      </c>
      <c r="C30" s="13">
        <f t="array" ref="C30">SUM(IF((CsDJ[Date]=A30)*(CsDJ[Account Code]=TRIM($B$2))*(CsDJ[Sort Code]=$D$3),CsDJ[Debit]))</f>
        <v>0</v>
      </c>
      <c r="D30" s="13">
        <f t="array" ref="D30">SUM(IF((CsDJ[Date]=A30)*(CsDJ[Account Code]=TRIM($B$2))*(CsDJ[Sort Code]=$D$3),CsDJ[Credit]))</f>
        <v>0</v>
      </c>
      <c r="E30" s="12"/>
    </row>
    <row r="31" spans="1:5">
      <c r="A31" s="279">
        <f>Account!$G$15</f>
        <v>45046</v>
      </c>
      <c r="B31" s="16" t="s">
        <v>376</v>
      </c>
      <c r="C31" s="13">
        <f t="array" ref="C31">SUM(IF((CRDJ[Date]=A31)*(CRDJ[Account Code]=TRIM($B$2))*(CRDJ[Sort Code]=$D$3),CRDJ[Debit]))</f>
        <v>0</v>
      </c>
      <c r="D31" s="13">
        <f t="array" ref="D31">SUM(IF((CRDJ[Date]=A31)*(CRDJ[Account Code]=TRIM($B$2))*(CRDJ[Sort Code]=$D$3),CRDJ[Credit]))</f>
        <v>0</v>
      </c>
      <c r="E31" s="12"/>
    </row>
    <row r="32" spans="1:5">
      <c r="A32" s="279">
        <f>Account!$G$15</f>
        <v>45046</v>
      </c>
      <c r="B32" s="14" t="s">
        <v>377</v>
      </c>
      <c r="C32" s="13">
        <f t="array" ref="C32">SUM(IF((GJ[Date]=A32)*(GJ[Account Code]=TRIM($B$2))*(GJ[Sort Code]=$D$3),GJ[Debit]))</f>
        <v>0</v>
      </c>
      <c r="D32" s="13">
        <f t="array" ref="D32">SUM(IF((GJ[Date]=A32)*(GJ[Account Code]=TRIM($B$2))*(GJ[Sort Code]=$D$3),GJ[Credit]))</f>
        <v>0</v>
      </c>
      <c r="E32" s="12"/>
    </row>
    <row r="33" spans="1:5">
      <c r="A33" s="1302">
        <f>A32</f>
        <v>45046</v>
      </c>
      <c r="B33" s="1303"/>
      <c r="C33" s="23">
        <f>SUM(C29:C32)</f>
        <v>0</v>
      </c>
      <c r="D33" s="23">
        <f>SUM(D29:D32)</f>
        <v>0</v>
      </c>
      <c r="E33" s="23">
        <f>IF($E$4=$C$4,C33-D33,D33-C33)</f>
        <v>0</v>
      </c>
    </row>
    <row r="34" spans="1:5">
      <c r="A34" s="1304">
        <f>A33</f>
        <v>45046</v>
      </c>
      <c r="B34" s="1305"/>
      <c r="C34" s="20">
        <f>C27+C33</f>
        <v>0</v>
      </c>
      <c r="D34" s="20">
        <f>D27+D33</f>
        <v>0</v>
      </c>
      <c r="E34" s="20">
        <f>IF($E$4=$C$4,C34-D34,D34-C34)</f>
        <v>0</v>
      </c>
    </row>
    <row r="35" spans="1:5">
      <c r="A35" s="11"/>
      <c r="B35" s="12"/>
      <c r="C35" s="13"/>
      <c r="D35" s="13"/>
      <c r="E35" s="12"/>
    </row>
    <row r="36" spans="1:5">
      <c r="A36" s="279">
        <f>Account!$G$16</f>
        <v>45077</v>
      </c>
      <c r="B36" s="14" t="s">
        <v>374</v>
      </c>
      <c r="C36" s="13">
        <f t="array" ref="C36">SUM(IF((CkDJ[Date]=A36)*(CkDJ[Account Code]=TRIM($B$2))*(CkDJ[Sort Code]=$D$3),CkDJ[Debit]))</f>
        <v>0</v>
      </c>
      <c r="D36" s="13">
        <f t="array" ref="D36">SUM(IF((CkDJ[Date]=A36)*(CkDJ[Account Code]=TRIM($B$2))*(CkDJ[Sort Code]=$D$3),CkDJ[Credit]))</f>
        <v>0</v>
      </c>
      <c r="E36" s="12"/>
    </row>
    <row r="37" spans="1:5">
      <c r="A37" s="279">
        <f>Account!$G$16</f>
        <v>45077</v>
      </c>
      <c r="B37" s="15" t="s">
        <v>375</v>
      </c>
      <c r="C37" s="13">
        <f t="array" ref="C37">SUM(IF((CsDJ[Date]=A37)*(CsDJ[Account Code]=TRIM($B$2))*(CsDJ[Sort Code]=$D$3),CsDJ[Debit]))</f>
        <v>0</v>
      </c>
      <c r="D37" s="13">
        <f t="array" ref="D37">SUM(IF((CsDJ[Date]=A37)*(CsDJ[Account Code]=TRIM($B$2))*(CsDJ[Sort Code]=$D$3),CsDJ[Credit]))</f>
        <v>0</v>
      </c>
      <c r="E37" s="12"/>
    </row>
    <row r="38" spans="1:5">
      <c r="A38" s="279">
        <f>Account!$G$16</f>
        <v>45077</v>
      </c>
      <c r="B38" s="16" t="s">
        <v>376</v>
      </c>
      <c r="C38" s="13">
        <f t="array" ref="C38">SUM(IF((CRDJ[Date]=A38)*(CRDJ[Account Code]=TRIM($B$2))*(CRDJ[Sort Code]=$D$3),CRDJ[Debit]))</f>
        <v>0</v>
      </c>
      <c r="D38" s="13">
        <f t="array" ref="D38">SUM(IF((CRDJ[Date]=A38)*(CRDJ[Account Code]=TRIM($B$2))*(CRDJ[Sort Code]=$D$3),CRDJ[Credit]))</f>
        <v>0</v>
      </c>
      <c r="E38" s="12"/>
    </row>
    <row r="39" spans="1:5">
      <c r="A39" s="279">
        <f>Account!$G$16</f>
        <v>45077</v>
      </c>
      <c r="B39" s="14" t="s">
        <v>377</v>
      </c>
      <c r="C39" s="13">
        <f t="array" ref="C39">SUM(IF((GJ[Date]=A39)*(GJ[Account Code]=TRIM($B$2))*(GJ[Sort Code]=$D$3),GJ[Debit]))</f>
        <v>0</v>
      </c>
      <c r="D39" s="13">
        <f t="array" ref="D39">SUM(IF((GJ[Date]=A39)*(GJ[Account Code]=TRIM($B$2))*(GJ[Sort Code]=$D$3),GJ[Credit]))</f>
        <v>0</v>
      </c>
      <c r="E39" s="12"/>
    </row>
    <row r="40" spans="1:5">
      <c r="A40" s="1302">
        <f>A39</f>
        <v>45077</v>
      </c>
      <c r="B40" s="1303"/>
      <c r="C40" s="23">
        <f>SUM(C36:C39)</f>
        <v>0</v>
      </c>
      <c r="D40" s="23">
        <f>SUM(D36:D39)</f>
        <v>0</v>
      </c>
      <c r="E40" s="23">
        <f>IF($E$4=$C$4,C40-D40,D40-C40)</f>
        <v>0</v>
      </c>
    </row>
    <row r="41" spans="1:5">
      <c r="A41" s="1304">
        <f>A40</f>
        <v>45077</v>
      </c>
      <c r="B41" s="1305"/>
      <c r="C41" s="20">
        <f>C34+C40</f>
        <v>0</v>
      </c>
      <c r="D41" s="20">
        <f>D34+D40</f>
        <v>0</v>
      </c>
      <c r="E41" s="20">
        <f>IF($E$4=$C$4,C41-D41,D41-C41)</f>
        <v>0</v>
      </c>
    </row>
    <row r="42" spans="1:5">
      <c r="A42" s="11"/>
      <c r="B42" s="12"/>
      <c r="C42" s="13"/>
      <c r="D42" s="13"/>
      <c r="E42" s="12"/>
    </row>
    <row r="43" spans="1:5">
      <c r="A43" s="279">
        <f>Account!$G$17</f>
        <v>45107</v>
      </c>
      <c r="B43" s="14" t="s">
        <v>374</v>
      </c>
      <c r="C43" s="13">
        <f t="array" ref="C43">SUM(IF((CkDJ[Date]=A43)*(CkDJ[Account Code]=TRIM($B$2))*(CkDJ[Sort Code]=$D$3),CkDJ[Debit]))</f>
        <v>0</v>
      </c>
      <c r="D43" s="13">
        <f t="array" ref="D43">SUM(IF((CkDJ[Date]=A43)*(CkDJ[Account Code]=TRIM($B$2))*(CkDJ[Sort Code]=$D$3),CkDJ[Credit]))</f>
        <v>0</v>
      </c>
      <c r="E43" s="12"/>
    </row>
    <row r="44" spans="1:5">
      <c r="A44" s="279">
        <f>Account!$G$17</f>
        <v>45107</v>
      </c>
      <c r="B44" s="15" t="s">
        <v>375</v>
      </c>
      <c r="C44" s="13">
        <f t="array" ref="C44">SUM(IF((CsDJ[Date]=A44)*(CsDJ[Account Code]=TRIM($B$2))*(CsDJ[Sort Code]=$D$3),CsDJ[Debit]))</f>
        <v>0</v>
      </c>
      <c r="D44" s="13">
        <f t="array" ref="D44">SUM(IF((CsDJ[Date]=A44)*(CsDJ[Account Code]=TRIM($B$2))*(CsDJ[Sort Code]=$D$3),CsDJ[Credit]))</f>
        <v>0</v>
      </c>
      <c r="E44" s="12"/>
    </row>
    <row r="45" spans="1:5">
      <c r="A45" s="279">
        <f>Account!$G$17</f>
        <v>45107</v>
      </c>
      <c r="B45" s="16" t="s">
        <v>376</v>
      </c>
      <c r="C45" s="13">
        <f t="array" ref="C45">SUM(IF((CRDJ[Date]=A45)*(CRDJ[Account Code]=TRIM($B$2))*(CRDJ[Sort Code]=$D$3),CRDJ[Debit]))</f>
        <v>0</v>
      </c>
      <c r="D45" s="13">
        <f t="array" ref="D45">SUM(IF((CRDJ[Date]=A45)*(CRDJ[Account Code]=TRIM($B$2))*(CRDJ[Sort Code]=$D$3),CRDJ[Credit]))</f>
        <v>0</v>
      </c>
      <c r="E45" s="12"/>
    </row>
    <row r="46" spans="1:5">
      <c r="A46" s="279">
        <f>Account!$G$17</f>
        <v>45107</v>
      </c>
      <c r="B46" s="14" t="s">
        <v>377</v>
      </c>
      <c r="C46" s="13">
        <f t="array" ref="C46">SUM(IF((GJ[Date]=A46)*(GJ[Account Code]=TRIM($B$2))*(GJ[Sort Code]=$D$3),GJ[Debit]))</f>
        <v>0</v>
      </c>
      <c r="D46" s="13">
        <f t="array" ref="D46">SUM(IF((GJ[Date]=A46)*(GJ[Account Code]=TRIM($B$2))*(GJ[Sort Code]=$D$3),GJ[Credit]))</f>
        <v>0</v>
      </c>
      <c r="E46" s="12"/>
    </row>
    <row r="47" spans="1:5">
      <c r="A47" s="1302">
        <f>A46</f>
        <v>45107</v>
      </c>
      <c r="B47" s="1303"/>
      <c r="C47" s="23">
        <f>SUM(C43:C46)</f>
        <v>0</v>
      </c>
      <c r="D47" s="23">
        <f>SUM(D43:D46)</f>
        <v>0</v>
      </c>
      <c r="E47" s="23">
        <f>IF($E$4=$C$4,C47-D47,D47-C47)</f>
        <v>0</v>
      </c>
    </row>
    <row r="48" spans="1:5">
      <c r="A48" s="1304">
        <f>A47</f>
        <v>45107</v>
      </c>
      <c r="B48" s="1305"/>
      <c r="C48" s="20">
        <f>C41+C47</f>
        <v>0</v>
      </c>
      <c r="D48" s="20">
        <f>D41+D47</f>
        <v>0</v>
      </c>
      <c r="E48" s="20">
        <f>IF($E$4=$C$4,C48-D48,D48-C48)</f>
        <v>0</v>
      </c>
    </row>
    <row r="49" spans="1:5">
      <c r="A49" s="11"/>
      <c r="B49" s="12"/>
      <c r="C49" s="13"/>
      <c r="D49" s="13"/>
      <c r="E49" s="12"/>
    </row>
    <row r="50" spans="1:5">
      <c r="A50" s="279">
        <f>Account!$G$18</f>
        <v>45138</v>
      </c>
      <c r="B50" s="14" t="s">
        <v>374</v>
      </c>
      <c r="C50" s="13">
        <f t="array" ref="C50">SUM(IF((CkDJ[Date]=A50)*(CkDJ[Account Code]=TRIM($B$2))*(CkDJ[Sort Code]=$D$3),CkDJ[Debit]))</f>
        <v>56296</v>
      </c>
      <c r="D50" s="13">
        <f t="array" ref="D50">SUM(IF((CkDJ[Date]=A50)*(CkDJ[Account Code]=TRIM($B$2))*(CkDJ[Sort Code]=$D$3),CkDJ[Credit]))</f>
        <v>0</v>
      </c>
      <c r="E50" s="12"/>
    </row>
    <row r="51" spans="1:5">
      <c r="A51" s="279">
        <f>Account!$G$18</f>
        <v>45138</v>
      </c>
      <c r="B51" s="15" t="s">
        <v>375</v>
      </c>
      <c r="C51" s="13">
        <f t="array" ref="C51">SUM(IF((CsDJ[Date]=A51)*(CsDJ[Account Code]=TRIM($B$2))*(CsDJ[Sort Code]=$D$3),CsDJ[Debit]))</f>
        <v>0</v>
      </c>
      <c r="D51" s="13">
        <f t="array" ref="D51">SUM(IF((CsDJ[Date]=A51)*(CsDJ[Account Code]=TRIM($B$2))*(CsDJ[Sort Code]=$D$3),CsDJ[Credit]))</f>
        <v>0</v>
      </c>
      <c r="E51" s="12"/>
    </row>
    <row r="52" spans="1:5">
      <c r="A52" s="279">
        <f>Account!$G$18</f>
        <v>45138</v>
      </c>
      <c r="B52" s="16" t="s">
        <v>376</v>
      </c>
      <c r="C52" s="13">
        <f t="array" ref="C52">SUM(IF((CRDJ[Date]=A52)*(CRDJ[Account Code]=TRIM($B$2))*(CRDJ[Sort Code]=$D$3),CRDJ[Debit]))</f>
        <v>0</v>
      </c>
      <c r="D52" s="13">
        <f t="array" ref="D52">SUM(IF((CRDJ[Date]=A52)*(CRDJ[Account Code]=TRIM($B$2))*(CRDJ[Sort Code]=$D$3),CRDJ[Credit]))</f>
        <v>0</v>
      </c>
      <c r="E52" s="12"/>
    </row>
    <row r="53" spans="1:5">
      <c r="A53" s="279">
        <f>Account!$G$18</f>
        <v>45138</v>
      </c>
      <c r="B53" s="14" t="s">
        <v>377</v>
      </c>
      <c r="C53" s="13">
        <f t="array" ref="C53">SUM(IF((GJ[Date]=A53)*(GJ[Account Code]=TRIM($B$2))*(GJ[Sort Code]=$D$3),GJ[Debit]))</f>
        <v>0</v>
      </c>
      <c r="D53" s="13">
        <f t="array" ref="D53">SUM(IF((GJ[Date]=A53)*(GJ[Account Code]=TRIM($B$2))*(GJ[Sort Code]=$D$3),GJ[Credit]))</f>
        <v>56296</v>
      </c>
      <c r="E53" s="12"/>
    </row>
    <row r="54" spans="1:5">
      <c r="A54" s="1302">
        <f>A53</f>
        <v>45138</v>
      </c>
      <c r="B54" s="1303"/>
      <c r="C54" s="23">
        <f>SUM(C50:C53)</f>
        <v>56296</v>
      </c>
      <c r="D54" s="23">
        <f>SUM(D50:D53)</f>
        <v>56296</v>
      </c>
      <c r="E54" s="23">
        <f>IF($E$4=$C$4,C54-D54,D54-C54)</f>
        <v>0</v>
      </c>
    </row>
    <row r="55" spans="1:5">
      <c r="A55" s="1304">
        <f>A54</f>
        <v>45138</v>
      </c>
      <c r="B55" s="1305"/>
      <c r="C55" s="20">
        <f>C48+C54</f>
        <v>56296</v>
      </c>
      <c r="D55" s="20">
        <f>D48+D54</f>
        <v>56296</v>
      </c>
      <c r="E55" s="20">
        <f>IF($E$4=$C$4,C55-D55,D55-C55)</f>
        <v>0</v>
      </c>
    </row>
    <row r="56" spans="1:5">
      <c r="A56" s="11"/>
      <c r="B56" s="12"/>
      <c r="C56" s="13"/>
      <c r="D56" s="13"/>
      <c r="E56" s="12"/>
    </row>
    <row r="57" spans="1:5">
      <c r="A57" s="279">
        <f>Account!$G$19</f>
        <v>45169</v>
      </c>
      <c r="B57" s="14" t="s">
        <v>374</v>
      </c>
      <c r="C57" s="13">
        <f t="array" ref="C57">SUM(IF((CkDJ[Date]=A57)*(CkDJ[Account Code]=TRIM($B$2))*(CkDJ[Sort Code]=$D$3),CkDJ[Debit]))</f>
        <v>213775</v>
      </c>
      <c r="D57" s="13">
        <f t="array" ref="D57">SUM(IF((CkDJ[Date]=A57)*(CkDJ[Account Code]=TRIM($B$2))*(CkDJ[Sort Code]=$D$3),CkDJ[Credit]))</f>
        <v>0</v>
      </c>
      <c r="E57" s="12"/>
    </row>
    <row r="58" spans="1:5">
      <c r="A58" s="279">
        <f>Account!$G$19</f>
        <v>45169</v>
      </c>
      <c r="B58" s="15" t="s">
        <v>375</v>
      </c>
      <c r="C58" s="13">
        <f t="array" ref="C58">SUM(IF((CsDJ[Date]=A58)*(CsDJ[Account Code]=TRIM($B$2))*(CsDJ[Sort Code]=$D$3),CsDJ[Debit]))</f>
        <v>0</v>
      </c>
      <c r="D58" s="13">
        <f t="array" ref="D58">SUM(IF((CsDJ[Date]=A58)*(CsDJ[Account Code]=TRIM($B$2))*(CsDJ[Sort Code]=$D$3),CsDJ[Credit]))</f>
        <v>0</v>
      </c>
      <c r="E58" s="12"/>
    </row>
    <row r="59" spans="1:5">
      <c r="A59" s="279">
        <f>Account!$G$19</f>
        <v>45169</v>
      </c>
      <c r="B59" s="16" t="s">
        <v>376</v>
      </c>
      <c r="C59" s="13">
        <f t="array" ref="C59">SUM(IF((CRDJ[Date]=A59)*(CRDJ[Account Code]=TRIM($B$2))*(CRDJ[Sort Code]=$D$3),CRDJ[Debit]))</f>
        <v>0</v>
      </c>
      <c r="D59" s="13">
        <f t="array" ref="D59">SUM(IF((CRDJ[Date]=A59)*(CRDJ[Account Code]=TRIM($B$2))*(CRDJ[Sort Code]=$D$3),CRDJ[Credit]))</f>
        <v>0</v>
      </c>
      <c r="E59" s="12"/>
    </row>
    <row r="60" spans="1:5">
      <c r="A60" s="279">
        <f>Account!$G$19</f>
        <v>45169</v>
      </c>
      <c r="B60" s="14" t="s">
        <v>377</v>
      </c>
      <c r="C60" s="13">
        <f t="array" ref="C60">SUM(IF((GJ[Date]=A60)*(GJ[Account Code]=TRIM($B$2))*(GJ[Sort Code]=$D$3),GJ[Debit]))</f>
        <v>0</v>
      </c>
      <c r="D60" s="13">
        <f t="array" ref="D60">SUM(IF((GJ[Date]=A60)*(GJ[Account Code]=TRIM($B$2))*(GJ[Sort Code]=$D$3),GJ[Credit]))</f>
        <v>0</v>
      </c>
      <c r="E60" s="12"/>
    </row>
    <row r="61" spans="1:5">
      <c r="A61" s="1302">
        <f>A60</f>
        <v>45169</v>
      </c>
      <c r="B61" s="1303"/>
      <c r="C61" s="23">
        <f>SUM(C57:C60)</f>
        <v>213775</v>
      </c>
      <c r="D61" s="23">
        <f>SUM(D57:D60)</f>
        <v>0</v>
      </c>
      <c r="E61" s="23">
        <f>IF($E$4=$C$4,C61-D61,D61-C61)</f>
        <v>213775</v>
      </c>
    </row>
    <row r="62" spans="1:5">
      <c r="A62" s="1304">
        <f>A61</f>
        <v>45169</v>
      </c>
      <c r="B62" s="1305"/>
      <c r="C62" s="20">
        <f>C55+C61</f>
        <v>270071</v>
      </c>
      <c r="D62" s="20">
        <f>D55+D61</f>
        <v>56296</v>
      </c>
      <c r="E62" s="20">
        <f>IF($E$4=$C$4,C62-D62,D62-C62)</f>
        <v>213775</v>
      </c>
    </row>
    <row r="63" spans="1:5">
      <c r="A63" s="11"/>
      <c r="B63" s="12"/>
      <c r="C63" s="13"/>
      <c r="D63" s="13"/>
      <c r="E63" s="12"/>
    </row>
    <row r="64" spans="1:5">
      <c r="A64" s="279">
        <f>Account!$G$20</f>
        <v>45199</v>
      </c>
      <c r="B64" s="14" t="s">
        <v>374</v>
      </c>
      <c r="C64" s="13">
        <f t="array" ref="C64">SUM(IF((CkDJ[Date]=A64)*(CkDJ[Account Code]=TRIM($B$2))*(CkDJ[Sort Code]=$D$3),CkDJ[Debit]))</f>
        <v>0</v>
      </c>
      <c r="D64" s="13">
        <f t="array" ref="D64">SUM(IF((CkDJ[Date]=A64)*(CkDJ[Account Code]=TRIM($B$2))*(CkDJ[Sort Code]=$D$3),CkDJ[Credit]))</f>
        <v>0</v>
      </c>
      <c r="E64" s="12"/>
    </row>
    <row r="65" spans="1:5">
      <c r="A65" s="279">
        <f>Account!$G$20</f>
        <v>45199</v>
      </c>
      <c r="B65" s="15" t="s">
        <v>375</v>
      </c>
      <c r="C65" s="13">
        <f t="array" ref="C65">SUM(IF((CsDJ[Date]=A65)*(CsDJ[Account Code]=TRIM($B$2))*(CsDJ[Sort Code]=$D$3),CsDJ[Debit]))</f>
        <v>0</v>
      </c>
      <c r="D65" s="13">
        <f t="array" ref="D65">SUM(IF((CsDJ[Date]=A65)*(CsDJ[Account Code]=TRIM($B$2))*(CsDJ[Sort Code]=$D$3),CsDJ[Credit]))</f>
        <v>0</v>
      </c>
      <c r="E65" s="12"/>
    </row>
    <row r="66" spans="1:5">
      <c r="A66" s="279">
        <f>Account!$G$20</f>
        <v>45199</v>
      </c>
      <c r="B66" s="16" t="s">
        <v>376</v>
      </c>
      <c r="C66" s="13">
        <f t="array" ref="C66">SUM(IF((CRDJ[Date]=A66)*(CRDJ[Account Code]=TRIM($B$2))*(CRDJ[Sort Code]=$D$3),CRDJ[Debit]))</f>
        <v>0</v>
      </c>
      <c r="D66" s="13">
        <f t="array" ref="D66">SUM(IF((CRDJ[Date]=A66)*(CRDJ[Account Code]=TRIM($B$2))*(CRDJ[Sort Code]=$D$3),CRDJ[Credit]))</f>
        <v>0</v>
      </c>
      <c r="E66" s="12"/>
    </row>
    <row r="67" spans="1:5">
      <c r="A67" s="279">
        <f>Account!$G$20</f>
        <v>45199</v>
      </c>
      <c r="B67" s="14" t="s">
        <v>377</v>
      </c>
      <c r="C67" s="13">
        <f t="array" ref="C67">SUM(IF((GJ[Date]=A67)*(GJ[Account Code]=TRIM($B$2))*(GJ[Sort Code]=$D$3),GJ[Debit]))</f>
        <v>0</v>
      </c>
      <c r="D67" s="13">
        <f t="array" ref="D67">SUM(IF((GJ[Date]=A67)*(GJ[Account Code]=TRIM($B$2))*(GJ[Sort Code]=$D$3),GJ[Credit]))</f>
        <v>0</v>
      </c>
      <c r="E67" s="12"/>
    </row>
    <row r="68" spans="1:5">
      <c r="A68" s="1302">
        <f>A67</f>
        <v>45199</v>
      </c>
      <c r="B68" s="1303"/>
      <c r="C68" s="23">
        <f>SUM(C64:C67)</f>
        <v>0</v>
      </c>
      <c r="D68" s="23">
        <f>SUM(D64:D67)</f>
        <v>0</v>
      </c>
      <c r="E68" s="23">
        <f>IF($E$4=$C$4,C68-D68,D68-C68)</f>
        <v>0</v>
      </c>
    </row>
    <row r="69" spans="1:5">
      <c r="A69" s="1304">
        <f>A68</f>
        <v>45199</v>
      </c>
      <c r="B69" s="1305"/>
      <c r="C69" s="20">
        <f>C62+C68</f>
        <v>270071</v>
      </c>
      <c r="D69" s="20">
        <f>D62+D68</f>
        <v>56296</v>
      </c>
      <c r="E69" s="20">
        <f>IF($E$4=$C$4,C69-D69,D69-C69)</f>
        <v>213775</v>
      </c>
    </row>
    <row r="70" spans="1:5">
      <c r="A70" s="11"/>
      <c r="B70" s="12"/>
      <c r="C70" s="13"/>
      <c r="D70" s="13"/>
      <c r="E70" s="12"/>
    </row>
    <row r="71" spans="1:5">
      <c r="A71" s="279">
        <f>Account!$G$21</f>
        <v>45230</v>
      </c>
      <c r="B71" s="14" t="s">
        <v>374</v>
      </c>
      <c r="C71" s="13">
        <f t="array" ref="C71">SUM(IF((CkDJ[Date]=A71)*(CkDJ[Account Code]=TRIM($B$2))*(CkDJ[Sort Code]=$D$3),CkDJ[Debit]))</f>
        <v>0</v>
      </c>
      <c r="D71" s="13">
        <f t="array" ref="D71">SUM(IF((CkDJ[Date]=A71)*(CkDJ[Account Code]=TRIM($B$2))*(CkDJ[Sort Code]=$D$3),CkDJ[Credit]))</f>
        <v>0</v>
      </c>
      <c r="E71" s="12"/>
    </row>
    <row r="72" spans="1:5">
      <c r="A72" s="279">
        <f>Account!$G$21</f>
        <v>45230</v>
      </c>
      <c r="B72" s="15" t="s">
        <v>375</v>
      </c>
      <c r="C72" s="13">
        <f t="array" ref="C72">SUM(IF((CsDJ[Date]=A72)*(CsDJ[Account Code]=TRIM($B$2))*(CsDJ[Sort Code]=$D$3),CsDJ[Debit]))</f>
        <v>0</v>
      </c>
      <c r="D72" s="13">
        <f t="array" ref="D72">SUM(IF((CsDJ[Date]=A72)*(CsDJ[Account Code]=TRIM($B$2))*(CsDJ[Sort Code]=$D$3),CsDJ[Credit]))</f>
        <v>0</v>
      </c>
      <c r="E72" s="12"/>
    </row>
    <row r="73" spans="1:5">
      <c r="A73" s="279">
        <f>Account!$G$21</f>
        <v>45230</v>
      </c>
      <c r="B73" s="16" t="s">
        <v>376</v>
      </c>
      <c r="C73" s="13">
        <f t="array" ref="C73">SUM(IF((CRDJ[Date]=A73)*(CRDJ[Account Code]=TRIM($B$2))*(CRDJ[Sort Code]=$D$3),CRDJ[Debit]))</f>
        <v>0</v>
      </c>
      <c r="D73" s="13">
        <f t="array" ref="D73">SUM(IF((CRDJ[Date]=A73)*(CRDJ[Account Code]=TRIM($B$2))*(CRDJ[Sort Code]=$D$3),CRDJ[Credit]))</f>
        <v>0</v>
      </c>
      <c r="E73" s="12"/>
    </row>
    <row r="74" spans="1:5">
      <c r="A74" s="279">
        <f>Account!$G$21</f>
        <v>45230</v>
      </c>
      <c r="B74" s="14" t="s">
        <v>377</v>
      </c>
      <c r="C74" s="13">
        <f t="array" ref="C74">SUM(IF((GJ[Date]=A74)*(GJ[Account Code]=TRIM($B$2))*(GJ[Sort Code]=$D$3),GJ[Debit]))</f>
        <v>0</v>
      </c>
      <c r="D74" s="13">
        <f t="array" ref="D74">SUM(IF((GJ[Date]=A74)*(GJ[Account Code]=TRIM($B$2))*(GJ[Sort Code]=$D$3),GJ[Credit]))</f>
        <v>0</v>
      </c>
      <c r="E74" s="12"/>
    </row>
    <row r="75" spans="1:5">
      <c r="A75" s="1302">
        <f>A74</f>
        <v>45230</v>
      </c>
      <c r="B75" s="1303"/>
      <c r="C75" s="23">
        <f>SUM(C71:C74)</f>
        <v>0</v>
      </c>
      <c r="D75" s="23">
        <f>SUM(D71:D74)</f>
        <v>0</v>
      </c>
      <c r="E75" s="23">
        <f>IF($E$4=$C$4,C75-D75,D75-C75)</f>
        <v>0</v>
      </c>
    </row>
    <row r="76" spans="1:5">
      <c r="A76" s="1304">
        <f>A75</f>
        <v>45230</v>
      </c>
      <c r="B76" s="1305"/>
      <c r="C76" s="20">
        <f>C69+C75</f>
        <v>270071</v>
      </c>
      <c r="D76" s="20">
        <f>D69+D75</f>
        <v>56296</v>
      </c>
      <c r="E76" s="20">
        <f>IF($E$4=$C$4,C76-D76,D76-C76)</f>
        <v>213775</v>
      </c>
    </row>
    <row r="77" spans="1:5">
      <c r="A77" s="11"/>
      <c r="B77" s="12"/>
      <c r="C77" s="13"/>
      <c r="D77" s="13"/>
      <c r="E77" s="12"/>
    </row>
    <row r="78" spans="1:5">
      <c r="A78" s="279">
        <f>Account!$G$22</f>
        <v>45260</v>
      </c>
      <c r="B78" s="14" t="s">
        <v>374</v>
      </c>
      <c r="C78" s="13">
        <f t="array" ref="C78">SUM(IF((CkDJ[Date]=A78)*(CkDJ[Account Code]=TRIM($B$2))*(CkDJ[Sort Code]=$D$3),CkDJ[Debit]))</f>
        <v>0</v>
      </c>
      <c r="D78" s="13">
        <f t="array" ref="D78">SUM(IF((CkDJ[Date]=A78)*(CkDJ[Account Code]=TRIM($B$2))*(CkDJ[Sort Code]=$D$3),CkDJ[Credit]))</f>
        <v>0</v>
      </c>
      <c r="E78" s="12"/>
    </row>
    <row r="79" spans="1:5">
      <c r="A79" s="279">
        <f>Account!$G$22</f>
        <v>45260</v>
      </c>
      <c r="B79" s="15" t="s">
        <v>375</v>
      </c>
      <c r="C79" s="13">
        <f t="array" ref="C79">SUM(IF((CsDJ[Date]=A79)*(CsDJ[Account Code]=TRIM($B$2))*(CsDJ[Sort Code]=$D$3),CsDJ[Debit]))</f>
        <v>0</v>
      </c>
      <c r="D79" s="13">
        <f t="array" ref="D79">SUM(IF((CsDJ[Date]=A79)*(CsDJ[Account Code]=TRIM($B$2))*(CsDJ[Sort Code]=$D$3),CsDJ[Credit]))</f>
        <v>0</v>
      </c>
      <c r="E79" s="12"/>
    </row>
    <row r="80" spans="1:5">
      <c r="A80" s="279">
        <f>Account!$G$22</f>
        <v>45260</v>
      </c>
      <c r="B80" s="16" t="s">
        <v>376</v>
      </c>
      <c r="C80" s="13">
        <f t="array" ref="C80">SUM(IF((CRDJ[Date]=A80)*(CRDJ[Account Code]=TRIM($B$2))*(CRDJ[Sort Code]=$D$3),CRDJ[Debit]))</f>
        <v>0</v>
      </c>
      <c r="D80" s="13">
        <f t="array" ref="D80">SUM(IF((CRDJ[Date]=A80)*(CRDJ[Account Code]=TRIM($B$2))*(CRDJ[Sort Code]=$D$3),CRDJ[Credit]))</f>
        <v>0</v>
      </c>
      <c r="E80" s="12"/>
    </row>
    <row r="81" spans="1:5">
      <c r="A81" s="279">
        <f>Account!$G$22</f>
        <v>45260</v>
      </c>
      <c r="B81" s="14" t="s">
        <v>377</v>
      </c>
      <c r="C81" s="13">
        <f t="array" ref="C81">SUM(IF((GJ[Date]=A81)*(GJ[Account Code]=TRIM($B$2))*(GJ[Sort Code]=$D$3),GJ[Debit]))</f>
        <v>0</v>
      </c>
      <c r="D81" s="13">
        <f t="array" ref="D81">SUM(IF((GJ[Date]=A81)*(GJ[Account Code]=TRIM($B$2))*(GJ[Sort Code]=$D$3),GJ[Credit]))</f>
        <v>0</v>
      </c>
      <c r="E81" s="12"/>
    </row>
    <row r="82" spans="1:5">
      <c r="A82" s="1302">
        <f>A81</f>
        <v>45260</v>
      </c>
      <c r="B82" s="1303"/>
      <c r="C82" s="23">
        <f>SUM(C78:C81)</f>
        <v>0</v>
      </c>
      <c r="D82" s="23">
        <f>SUM(D78:D81)</f>
        <v>0</v>
      </c>
      <c r="E82" s="23">
        <f>IF($E$4=$C$4,C82-D82,D82-C82)</f>
        <v>0</v>
      </c>
    </row>
    <row r="83" spans="1:5">
      <c r="A83" s="1304">
        <f>A82</f>
        <v>45260</v>
      </c>
      <c r="B83" s="1305"/>
      <c r="C83" s="20">
        <f>C76+C82</f>
        <v>270071</v>
      </c>
      <c r="D83" s="20">
        <f>D76+D82</f>
        <v>56296</v>
      </c>
      <c r="E83" s="20">
        <f>IF($E$4=$C$4,C83-D83,D83-C83)</f>
        <v>213775</v>
      </c>
    </row>
    <row r="84" spans="1:5">
      <c r="A84" s="11"/>
      <c r="B84" s="12"/>
      <c r="C84" s="13"/>
      <c r="D84" s="13"/>
      <c r="E84" s="12"/>
    </row>
    <row r="85" spans="1:5">
      <c r="A85" s="279">
        <f>Account!$G$23</f>
        <v>45291</v>
      </c>
      <c r="B85" s="14" t="s">
        <v>374</v>
      </c>
      <c r="C85" s="13">
        <f t="array" ref="C85">SUM(IF((CkDJ[Date]=A85)*(CkDJ[Account Code]=TRIM($B$2))*(CkDJ[Sort Code]=$D$3),CkDJ[Debit]))</f>
        <v>0</v>
      </c>
      <c r="D85" s="13">
        <f t="array" ref="D85">SUM(IF((CkDJ[Date]=A85)*(CkDJ[Account Code]=TRIM($B$2))*(CkDJ[Sort Code]=$D$3),CkDJ[Credit]))</f>
        <v>0</v>
      </c>
      <c r="E85" s="12"/>
    </row>
    <row r="86" spans="1:5">
      <c r="A86" s="279">
        <f>Account!$G$23</f>
        <v>45291</v>
      </c>
      <c r="B86" s="15" t="s">
        <v>375</v>
      </c>
      <c r="C86" s="13">
        <f t="array" ref="C86">SUM(IF((CsDJ[Date]=A86)*(CsDJ[Account Code]=TRIM($B$2))*(CsDJ[Sort Code]=$D$3),CsDJ[Debit]))</f>
        <v>0</v>
      </c>
      <c r="D86" s="13">
        <f t="array" ref="D86">SUM(IF((CsDJ[Date]=A86)*(CsDJ[Account Code]=TRIM($B$2))*(CsDJ[Sort Code]=$D$3),CsDJ[Credit]))</f>
        <v>0</v>
      </c>
      <c r="E86" s="12"/>
    </row>
    <row r="87" spans="1:5">
      <c r="A87" s="279">
        <f>Account!$G$23</f>
        <v>45291</v>
      </c>
      <c r="B87" s="16" t="s">
        <v>376</v>
      </c>
      <c r="C87" s="13">
        <f t="array" ref="C87">SUM(IF((CRDJ[Date]=A87)*(CRDJ[Account Code]=TRIM($B$2))*(CRDJ[Sort Code]=$D$3),CRDJ[Debit]))</f>
        <v>0</v>
      </c>
      <c r="D87" s="13">
        <f t="array" ref="D87">SUM(IF((CRDJ[Date]=A87)*(CRDJ[Account Code]=TRIM($B$2))*(CRDJ[Sort Code]=$D$3),CRDJ[Credit]))</f>
        <v>0</v>
      </c>
      <c r="E87" s="12"/>
    </row>
    <row r="88" spans="1:5">
      <c r="A88" s="279">
        <f>Account!$G$23</f>
        <v>45291</v>
      </c>
      <c r="B88" s="14" t="s">
        <v>377</v>
      </c>
      <c r="C88" s="13">
        <f t="array" ref="C88">SUM(IF((GJ[Date]=A88)*(GJ[Account Code]=TRIM($B$2))*(GJ[Sort Code]=$D$3),GJ[Debit]))</f>
        <v>0</v>
      </c>
      <c r="D88" s="13">
        <f t="array" ref="D88">SUM(IF((GJ[Date]=A88)*(GJ[Account Code]=TRIM($B$2))*(GJ[Sort Code]=$D$3),GJ[Credit]))</f>
        <v>0</v>
      </c>
      <c r="E88" s="12"/>
    </row>
    <row r="89" spans="1:5">
      <c r="A89" s="1302">
        <f>A88</f>
        <v>45291</v>
      </c>
      <c r="B89" s="1303"/>
      <c r="C89" s="23">
        <f>SUM(C85:C88)</f>
        <v>0</v>
      </c>
      <c r="D89" s="23">
        <f>SUM(D85:D88)</f>
        <v>0</v>
      </c>
      <c r="E89" s="23">
        <f>IF($E$4=$C$4,C89-D89,D89-C89)</f>
        <v>0</v>
      </c>
    </row>
    <row r="90" spans="1:5">
      <c r="A90" s="1304">
        <f>A89</f>
        <v>45291</v>
      </c>
      <c r="B90" s="1305"/>
      <c r="C90" s="20">
        <f>C83+C89</f>
        <v>270071</v>
      </c>
      <c r="D90" s="20">
        <f>D83+D89</f>
        <v>56296</v>
      </c>
      <c r="E90" s="20">
        <f>IF($E$4=$C$4,C90-D90,D90-C90)</f>
        <v>213775</v>
      </c>
    </row>
  </sheetData>
  <sheetProtection sheet="1" objects="1" scenarios="1"/>
  <mergeCells count="29">
    <mergeCell ref="C2:E2"/>
    <mergeCell ref="A33:B33"/>
    <mergeCell ref="A4:A5"/>
    <mergeCell ref="B4:B5"/>
    <mergeCell ref="C4:C5"/>
    <mergeCell ref="D4:D5"/>
    <mergeCell ref="A12:B12"/>
    <mergeCell ref="A13:B13"/>
    <mergeCell ref="A19:B19"/>
    <mergeCell ref="A20:B20"/>
    <mergeCell ref="A26:B26"/>
    <mergeCell ref="A27:B27"/>
    <mergeCell ref="A75:B75"/>
    <mergeCell ref="A34:B34"/>
    <mergeCell ref="A40:B40"/>
    <mergeCell ref="A41:B41"/>
    <mergeCell ref="A47:B47"/>
    <mergeCell ref="A48:B48"/>
    <mergeCell ref="A54:B54"/>
    <mergeCell ref="A55:B55"/>
    <mergeCell ref="A61:B61"/>
    <mergeCell ref="A62:B62"/>
    <mergeCell ref="A68:B68"/>
    <mergeCell ref="A69:B69"/>
    <mergeCell ref="A76:B76"/>
    <mergeCell ref="A82:B82"/>
    <mergeCell ref="A83:B83"/>
    <mergeCell ref="A89:B89"/>
    <mergeCell ref="A90:B90"/>
  </mergeCells>
  <printOptions horizontalCentered="1"/>
  <pageMargins left="0.25" right="0.25" top="0.75" bottom="1.75" header="0.3" footer="1.5"/>
  <pageSetup paperSize="5" scale="95" orientation="portrait" horizontalDpi="300" verticalDpi="300" r:id="rId1"/>
  <headerFooter>
    <oddFooter>Page &amp;P of &amp;N</oddFooter>
  </headerFooter>
  <rowBreaks count="1" manualBreakCount="1">
    <brk id="48" max="16383" man="1"/>
  </rowBreak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0070C0"/>
  </sheetPr>
  <dimension ref="A1:E90"/>
  <sheetViews>
    <sheetView workbookViewId="0">
      <selection activeCell="B3" sqref="B3"/>
    </sheetView>
  </sheetViews>
  <sheetFormatPr defaultColWidth="9" defaultRowHeight="15.75"/>
  <cols>
    <col min="1" max="1" width="13.375" style="6" bestFit="1" customWidth="1"/>
    <col min="2" max="2" width="32.5" customWidth="1"/>
    <col min="3" max="4" width="16.625" style="173" customWidth="1"/>
    <col min="5" max="5" width="16.625" customWidth="1"/>
  </cols>
  <sheetData>
    <row r="1" spans="1:5" ht="32.25">
      <c r="A1" s="273" t="s">
        <v>508</v>
      </c>
      <c r="B1" s="104" t="str">
        <f>Account!$G$1</f>
        <v>FUND 501 CARP</v>
      </c>
    </row>
    <row r="2" spans="1:5" ht="37.5">
      <c r="A2" s="273" t="s">
        <v>370</v>
      </c>
      <c r="B2" s="26" t="s">
        <v>1564</v>
      </c>
      <c r="C2" s="1299" t="str">
        <f t="array" ref="C2">IF(B2=0,0,(INDEX(AccountCodes[PPSAS CODE],MATCH(B2,AccountCodes[NGAS CODE],0))))</f>
        <v>1010202000FO</v>
      </c>
      <c r="D2" s="1299"/>
      <c r="E2" s="1299"/>
    </row>
    <row r="3" spans="1:5" ht="23.25">
      <c r="A3" s="273" t="s">
        <v>371</v>
      </c>
      <c r="B3" s="492" t="str">
        <f t="array" ref="B3">IF(B2=0,0,(INDEX(AccountCodes[ACCOUNT NAME],MATCH(B2,AccountCodes[NGAS CODE],0))))</f>
        <v>Cash in Bank-Local Currency, Current Account - FO</v>
      </c>
      <c r="C3" s="266" t="s">
        <v>837</v>
      </c>
      <c r="D3" s="180" t="s">
        <v>762</v>
      </c>
      <c r="E3" s="180"/>
    </row>
    <row r="4" spans="1:5" ht="15.75" customHeight="1">
      <c r="A4" s="1301" t="s">
        <v>0</v>
      </c>
      <c r="B4" s="1300" t="s">
        <v>372</v>
      </c>
      <c r="C4" s="1300" t="s">
        <v>1</v>
      </c>
      <c r="D4" s="1300" t="s">
        <v>2</v>
      </c>
      <c r="E4" s="175" t="str">
        <f t="array" ref="E4">IF(C2=0,0,INDEX(AccountCodes[Normal Balance],MATCH(C2,AccountCodes[PPSAS CODE])))</f>
        <v>Debit</v>
      </c>
    </row>
    <row r="5" spans="1:5">
      <c r="A5" s="1301"/>
      <c r="B5" s="1300"/>
      <c r="C5" s="1300"/>
      <c r="D5" s="1300"/>
      <c r="E5" s="18" t="s">
        <v>379</v>
      </c>
    </row>
    <row r="6" spans="1:5">
      <c r="A6" s="21">
        <f>PostTB!A2</f>
        <v>44926</v>
      </c>
      <c r="B6" s="22" t="s">
        <v>373</v>
      </c>
      <c r="C6" s="176">
        <f t="array" ref="C6">SUM(IF((PostTB[Account Code (Old)]=TRIM($B$2))*(PostTB[Sort Code]=$D$3)*(PostTB[Ofc Code]=$E$3),PostTB[Debit]))</f>
        <v>4365910.66</v>
      </c>
      <c r="D6" s="176">
        <f t="array" ref="D6">SUM(IF((PostTB[Account Code (Old)]=TRIM($B$2))*(PostTB[Sort Code]=$D$3)*(PostTB[Ofc Code]=$E$3),PostTB[Credit]))</f>
        <v>0</v>
      </c>
      <c r="E6" s="176">
        <f>IF($E$4=$C$4,C6-D6,D6-C6)</f>
        <v>4365910.66</v>
      </c>
    </row>
    <row r="7" spans="1:5">
      <c r="A7" s="11"/>
      <c r="B7" s="12"/>
      <c r="C7" s="177"/>
      <c r="D7" s="177"/>
      <c r="E7" s="12"/>
    </row>
    <row r="8" spans="1:5">
      <c r="A8" s="279">
        <f>Account!$G$12</f>
        <v>44957</v>
      </c>
      <c r="B8" s="14" t="s">
        <v>374</v>
      </c>
      <c r="C8" s="177">
        <f t="array" ref="C8">SUM(IF((CkDJ[Date]=A8)*(CkDJ[Account Code]=TRIM($B$2))*(CkDJ[Sort Code]=$D$3)*(CkDJ[Ofc Code]=$E$3),CkDJ[Debit]))</f>
        <v>0</v>
      </c>
      <c r="D8" s="177">
        <f t="array" ref="D8">SUM(IF((CkDJ[Date]=A8)*(CkDJ[Account Code]=TRIM($B$2))*(CkDJ[Sort Code]=$D$3)*(CkDJ[Ofc Code]=$E$3),CkDJ[Credit]))</f>
        <v>199451.36</v>
      </c>
      <c r="E8" s="12"/>
    </row>
    <row r="9" spans="1:5">
      <c r="A9" s="279">
        <f>Account!$G$12</f>
        <v>44957</v>
      </c>
      <c r="B9" s="15" t="s">
        <v>375</v>
      </c>
      <c r="C9" s="177">
        <f t="array" ref="C9">SUM(IF((CsDJ[Date]=A9)*(CsDJ[Account Code]=TRIM($B$2))*(CsDJ[Sort Code]=$D$3)*(CsDJ[Ofc Code]=$E$3),CsDJ[Debit]))</f>
        <v>0</v>
      </c>
      <c r="D9" s="177">
        <f t="array" ref="D9">SUM(IF((CsDJ[Date]=A9)*(CsDJ[Account Code]=TRIM($B$2))*(CsDJ[Sort Code]=$D$3)*(CsDJ[Ofc Code]=$E$3),CsDJ[Credit]))</f>
        <v>0</v>
      </c>
      <c r="E9" s="12"/>
    </row>
    <row r="10" spans="1:5">
      <c r="A10" s="279">
        <f>Account!$G$12</f>
        <v>44957</v>
      </c>
      <c r="B10" s="16" t="s">
        <v>376</v>
      </c>
      <c r="C10" s="177">
        <f t="array" ref="C10">SUM(IF((CRDJ[Date]=A10)*(CRDJ[Account Code]=TRIM($B$2))*(CRDJ[Sort Code]=$D$3)*(CRDJ[Ofc Code]=$E$3),CRDJ[Debit]))</f>
        <v>0</v>
      </c>
      <c r="D10" s="177">
        <f t="array" ref="D10">SUM(IF((CRDJ[Date]=A10)*(CRDJ[Account Code]=TRIM($B$2))*(CRDJ[Sort Code]=$D$3)*(CRDJ[Ofc Code]=$E$3),CRDJ[Credit]))</f>
        <v>0</v>
      </c>
      <c r="E10" s="178"/>
    </row>
    <row r="11" spans="1:5">
      <c r="A11" s="279">
        <f>Account!$G$12</f>
        <v>44957</v>
      </c>
      <c r="B11" s="14" t="s">
        <v>377</v>
      </c>
      <c r="C11" s="177">
        <f t="array" ref="C11">SUM(IF((GJ[Date]=A11)*(GJ[Account Code]=TRIM($B$2))*(GJ[Sort Code]=$D$3)*(GJ[Ofc Code]=$E$3),GJ[Debit]))</f>
        <v>0</v>
      </c>
      <c r="D11" s="177">
        <f t="array" ref="D11">SUM(IF((GJ[Date]=A11)*(GJ[Account Code]=TRIM($B$2))*(GJ[Sort Code]=$D$3)*(GJ[Ofc Code]=$E$3),GJ[Credit]))</f>
        <v>83261.649999999994</v>
      </c>
      <c r="E11" s="12"/>
    </row>
    <row r="12" spans="1:5">
      <c r="A12" s="1302">
        <f>A11</f>
        <v>44957</v>
      </c>
      <c r="B12" s="1303"/>
      <c r="C12" s="179">
        <f>SUM(C8:C11)</f>
        <v>0</v>
      </c>
      <c r="D12" s="179">
        <f>SUM(D8:D11)</f>
        <v>282713.01</v>
      </c>
      <c r="E12" s="179">
        <f>IF($E$4=$C$4,C12-D12,D12-C12)</f>
        <v>-282713.01</v>
      </c>
    </row>
    <row r="13" spans="1:5">
      <c r="A13" s="1304">
        <f>A12</f>
        <v>44957</v>
      </c>
      <c r="B13" s="1305"/>
      <c r="C13" s="176">
        <f>C6+C12</f>
        <v>4365910.66</v>
      </c>
      <c r="D13" s="176">
        <f>D6+D12</f>
        <v>282713.01</v>
      </c>
      <c r="E13" s="176">
        <f>IF($E$4=$C$4,C13-D13,D13-C13)</f>
        <v>4083197.65</v>
      </c>
    </row>
    <row r="14" spans="1:5">
      <c r="A14" s="19"/>
      <c r="B14" s="19"/>
      <c r="C14" s="177"/>
      <c r="D14" s="177"/>
      <c r="E14" s="12"/>
    </row>
    <row r="15" spans="1:5">
      <c r="A15" s="279">
        <f>Account!$G$13</f>
        <v>44985</v>
      </c>
      <c r="B15" s="14" t="s">
        <v>374</v>
      </c>
      <c r="C15" s="177">
        <f t="array" ref="C15">SUM(IF((CkDJ[Date]=A15)*(CkDJ[Account Code]=TRIM($B$2))*(CkDJ[Sort Code]=$D$3)*(CkDJ[Ofc Code]=$E$3),CkDJ[Debit]))</f>
        <v>0</v>
      </c>
      <c r="D15" s="177">
        <f t="array" ref="D15">SUM(IF((CkDJ[Date]=A15)*(CkDJ[Account Code]=TRIM($B$2))*(CkDJ[Sort Code]=$D$3)*(CkDJ[Ofc Code]=$E$3),CkDJ[Credit]))</f>
        <v>0</v>
      </c>
      <c r="E15" s="12"/>
    </row>
    <row r="16" spans="1:5">
      <c r="A16" s="279">
        <f>Account!$G$13</f>
        <v>44985</v>
      </c>
      <c r="B16" s="15" t="s">
        <v>375</v>
      </c>
      <c r="C16" s="177">
        <f t="array" ref="C16">SUM(IF((CsDJ[Date]=A16)*(CsDJ[Account Code]=TRIM($B$2))*(CsDJ[Sort Code]=$D$3)*(CsDJ[Ofc Code]=$E$3),CsDJ[Debit]))</f>
        <v>0</v>
      </c>
      <c r="D16" s="177">
        <f t="array" ref="D16">SUM(IF((CsDJ[Date]=A16)*(CsDJ[Account Code]=TRIM($B$2))*(CsDJ[Sort Code]=$D$3)*(CsDJ[Ofc Code]=$E$3),CsDJ[Credit]))</f>
        <v>0</v>
      </c>
      <c r="E16" s="12"/>
    </row>
    <row r="17" spans="1:5">
      <c r="A17" s="279">
        <f>Account!$G$13</f>
        <v>44985</v>
      </c>
      <c r="B17" s="16" t="s">
        <v>376</v>
      </c>
      <c r="C17" s="177">
        <f t="array" ref="C17">SUM(IF((CRDJ[Date]=A17)*(CRDJ[Account Code]=TRIM($B$2))*(CRDJ[Sort Code]=$D$3)*(CRDJ[Ofc Code]=$E$3),CRDJ[Debit]))</f>
        <v>0</v>
      </c>
      <c r="D17" s="177">
        <f t="array" ref="D17">SUM(IF((CRDJ[Date]=A17)*(CRDJ[Account Code]=TRIM($B$2))*(CRDJ[Sort Code]=$D$3)*(CRDJ[Ofc Code]=$E$3),CRDJ[Credit]))</f>
        <v>0</v>
      </c>
      <c r="E17" s="12"/>
    </row>
    <row r="18" spans="1:5">
      <c r="A18" s="279">
        <f>Account!$G$13</f>
        <v>44985</v>
      </c>
      <c r="B18" s="14" t="s">
        <v>377</v>
      </c>
      <c r="C18" s="177">
        <f t="array" ref="C18">SUM(IF((GJ[Date]=A18)*(GJ[Account Code]=TRIM($B$2))*(GJ[Sort Code]=$D$3)*(GJ[Ofc Code]=$E$3),GJ[Debit]))</f>
        <v>0</v>
      </c>
      <c r="D18" s="177">
        <f t="array" ref="D18">SUM(IF((GJ[Date]=A18)*(GJ[Account Code]=TRIM($B$2))*(GJ[Sort Code]=$D$3)*(GJ[Ofc Code]=$E$3),GJ[Credit]))</f>
        <v>0</v>
      </c>
      <c r="E18" s="12"/>
    </row>
    <row r="19" spans="1:5">
      <c r="A19" s="1302">
        <f>A18</f>
        <v>44985</v>
      </c>
      <c r="B19" s="1303"/>
      <c r="C19" s="179">
        <f>SUM(C15:C18)</f>
        <v>0</v>
      </c>
      <c r="D19" s="179">
        <f>SUM(D15:D18)</f>
        <v>0</v>
      </c>
      <c r="E19" s="179">
        <f>IF($E$4=$C$4,C19-D19,D19-C19)</f>
        <v>0</v>
      </c>
    </row>
    <row r="20" spans="1:5">
      <c r="A20" s="1304">
        <f>A19</f>
        <v>44985</v>
      </c>
      <c r="B20" s="1305"/>
      <c r="C20" s="176">
        <f>C13+C19</f>
        <v>4365910.66</v>
      </c>
      <c r="D20" s="176">
        <f>D13+D19</f>
        <v>282713.01</v>
      </c>
      <c r="E20" s="176">
        <f>IF($E$4=$C$4,C20-D20,D20-C20)</f>
        <v>4083197.65</v>
      </c>
    </row>
    <row r="21" spans="1:5">
      <c r="A21" s="11"/>
      <c r="B21" s="12"/>
      <c r="C21" s="177"/>
      <c r="D21" s="177"/>
      <c r="E21" s="12"/>
    </row>
    <row r="22" spans="1:5">
      <c r="A22" s="279">
        <f>Account!$G$14</f>
        <v>45016</v>
      </c>
      <c r="B22" s="14" t="s">
        <v>374</v>
      </c>
      <c r="C22" s="177">
        <f t="array" ref="C22">SUM(IF((CkDJ[Date]=A22)*(CkDJ[Account Code]=TRIM($B$2))*(CkDJ[Sort Code]=$D$3)*(CkDJ[Ofc Code]=$E$3),CkDJ[Debit]))</f>
        <v>0</v>
      </c>
      <c r="D22" s="177">
        <f t="array" ref="D22">SUM(IF((CkDJ[Date]=A22)*(CkDJ[Account Code]=TRIM($B$2))*(CkDJ[Sort Code]=$D$3)*(CkDJ[Ofc Code]=$E$3),CkDJ[Credit]))</f>
        <v>0</v>
      </c>
      <c r="E22" s="12"/>
    </row>
    <row r="23" spans="1:5">
      <c r="A23" s="279">
        <f>Account!$G$14</f>
        <v>45016</v>
      </c>
      <c r="B23" s="15" t="s">
        <v>375</v>
      </c>
      <c r="C23" s="177">
        <f t="array" ref="C23">SUM(IF((CsDJ[Date]=A23)*(CsDJ[Account Code]=TRIM($B$2))*(CsDJ[Sort Code]=$D$3)*(CsDJ[Ofc Code]=$E$3),CsDJ[Debit]))</f>
        <v>0</v>
      </c>
      <c r="D23" s="177">
        <f t="array" ref="D23">SUM(IF((CsDJ[Date]=A23)*(CsDJ[Account Code]=TRIM($B$2))*(CsDJ[Sort Code]=$D$3)*(CsDJ[Ofc Code]=$E$3),CsDJ[Credit]))</f>
        <v>0</v>
      </c>
      <c r="E23" s="12"/>
    </row>
    <row r="24" spans="1:5">
      <c r="A24" s="279">
        <f>Account!$G$14</f>
        <v>45016</v>
      </c>
      <c r="B24" s="16" t="s">
        <v>376</v>
      </c>
      <c r="C24" s="177">
        <f t="array" ref="C24">SUM(IF((CRDJ[Date]=A24)*(CRDJ[Account Code]=TRIM($B$2))*(CRDJ[Sort Code]=$D$3)*(CRDJ[Ofc Code]=$E$3),CRDJ[Debit]))</f>
        <v>0</v>
      </c>
      <c r="D24" s="177">
        <f t="array" ref="D24">SUM(IF((CRDJ[Date]=A24)*(CRDJ[Account Code]=TRIM($B$2))*(CRDJ[Sort Code]=$D$3)*(CRDJ[Ofc Code]=$E$3),CRDJ[Credit]))</f>
        <v>0</v>
      </c>
      <c r="E24" s="12"/>
    </row>
    <row r="25" spans="1:5">
      <c r="A25" s="279">
        <f>Account!$G$14</f>
        <v>45016</v>
      </c>
      <c r="B25" s="14" t="s">
        <v>377</v>
      </c>
      <c r="C25" s="177">
        <f t="array" ref="C25">SUM(IF((GJ[Date]=A25)*(GJ[Account Code]=TRIM($B$2))*(GJ[Sort Code]=$D$3)*(GJ[Ofc Code]=$E$3),GJ[Debit]))</f>
        <v>811.54</v>
      </c>
      <c r="D25" s="177">
        <f t="array" ref="D25">SUM(IF((GJ[Date]=A25)*(GJ[Account Code]=TRIM($B$2))*(GJ[Sort Code]=$D$3)*(GJ[Ofc Code]=$E$3),GJ[Credit]))</f>
        <v>0</v>
      </c>
      <c r="E25" s="12"/>
    </row>
    <row r="26" spans="1:5">
      <c r="A26" s="1302">
        <f>A25</f>
        <v>45016</v>
      </c>
      <c r="B26" s="1303"/>
      <c r="C26" s="179">
        <f>SUM(C22:C25)</f>
        <v>811.54</v>
      </c>
      <c r="D26" s="179">
        <f>SUM(D22:D25)</f>
        <v>0</v>
      </c>
      <c r="E26" s="179">
        <f>IF($E$4=$C$4,C26-D26,D26-C26)</f>
        <v>811.54</v>
      </c>
    </row>
    <row r="27" spans="1:5">
      <c r="A27" s="1304">
        <f>A26</f>
        <v>45016</v>
      </c>
      <c r="B27" s="1305"/>
      <c r="C27" s="176">
        <f>C20+C26</f>
        <v>4366722.2</v>
      </c>
      <c r="D27" s="176">
        <f>D20+D26</f>
        <v>282713.01</v>
      </c>
      <c r="E27" s="176">
        <f>IF($E$4=$C$4,C27-D27,D27-C27)</f>
        <v>4084009.19</v>
      </c>
    </row>
    <row r="28" spans="1:5">
      <c r="A28" s="11"/>
      <c r="B28" s="12"/>
      <c r="C28" s="177"/>
      <c r="D28" s="177"/>
      <c r="E28" s="12"/>
    </row>
    <row r="29" spans="1:5">
      <c r="A29" s="279">
        <f>Account!$G$15</f>
        <v>45046</v>
      </c>
      <c r="B29" s="14" t="s">
        <v>374</v>
      </c>
      <c r="C29" s="177">
        <f t="array" ref="C29">SUM(IF((CkDJ[Date]=A29)*(CkDJ[Account Code]=TRIM($B$2))*(CkDJ[Sort Code]=$D$3)*(CkDJ[Ofc Code]=$E$3),CkDJ[Debit]))</f>
        <v>0</v>
      </c>
      <c r="D29" s="177">
        <f t="array" ref="D29">SUM(IF((CkDJ[Date]=A29)*(CkDJ[Account Code]=TRIM($B$2))*(CkDJ[Sort Code]=$D$3)*(CkDJ[Ofc Code]=$E$3),CkDJ[Credit]))</f>
        <v>0</v>
      </c>
      <c r="E29" s="12"/>
    </row>
    <row r="30" spans="1:5">
      <c r="A30" s="279">
        <f>Account!$G$15</f>
        <v>45046</v>
      </c>
      <c r="B30" s="15" t="s">
        <v>375</v>
      </c>
      <c r="C30" s="177">
        <f t="array" ref="C30">SUM(IF((CsDJ[Date]=A30)*(CsDJ[Account Code]=TRIM($B$2))*(CsDJ[Sort Code]=$D$3)*(CsDJ[Ofc Code]=$E$3),CsDJ[Debit]))</f>
        <v>0</v>
      </c>
      <c r="D30" s="177">
        <f t="array" ref="D30">SUM(IF((CsDJ[Date]=A30)*(CsDJ[Account Code]=TRIM($B$2))*(CsDJ[Sort Code]=$D$3)*(CsDJ[Ofc Code]=$E$3),CsDJ[Credit]))</f>
        <v>0</v>
      </c>
      <c r="E30" s="12"/>
    </row>
    <row r="31" spans="1:5">
      <c r="A31" s="279">
        <f>Account!$G$15</f>
        <v>45046</v>
      </c>
      <c r="B31" s="16" t="s">
        <v>376</v>
      </c>
      <c r="C31" s="177">
        <f t="array" ref="C31">SUM(IF((CRDJ[Date]=A31)*(CRDJ[Account Code]=TRIM($B$2))*(CRDJ[Sort Code]=$D$3)*(CRDJ[Ofc Code]=$E$3),CRDJ[Debit]))</f>
        <v>0</v>
      </c>
      <c r="D31" s="177">
        <f t="array" ref="D31">SUM(IF((CRDJ[Date]=A31)*(CRDJ[Account Code]=TRIM($B$2))*(CRDJ[Sort Code]=$D$3)*(CRDJ[Ofc Code]=$E$3),CRDJ[Credit]))</f>
        <v>0</v>
      </c>
      <c r="E31" s="12"/>
    </row>
    <row r="32" spans="1:5">
      <c r="A32" s="279">
        <f>Account!$G$15</f>
        <v>45046</v>
      </c>
      <c r="B32" s="14" t="s">
        <v>377</v>
      </c>
      <c r="C32" s="177">
        <f t="array" ref="C32">SUM(IF((GJ[Date]=A32)*(GJ[Account Code]=TRIM($B$2))*(GJ[Sort Code]=$D$3)*(GJ[Ofc Code]=$E$3),GJ[Debit]))</f>
        <v>0</v>
      </c>
      <c r="D32" s="177">
        <f t="array" ref="D32">SUM(IF((GJ[Date]=A32)*(GJ[Account Code]=TRIM($B$2))*(GJ[Sort Code]=$D$3)*(GJ[Ofc Code]=$E$3),GJ[Credit]))</f>
        <v>0</v>
      </c>
      <c r="E32" s="12"/>
    </row>
    <row r="33" spans="1:5">
      <c r="A33" s="1302">
        <f>A32</f>
        <v>45046</v>
      </c>
      <c r="B33" s="1303"/>
      <c r="C33" s="179">
        <f>SUM(C29:C32)</f>
        <v>0</v>
      </c>
      <c r="D33" s="179">
        <f>SUM(D29:D32)</f>
        <v>0</v>
      </c>
      <c r="E33" s="179">
        <f>IF($E$4=$C$4,C33-D33,D33-C33)</f>
        <v>0</v>
      </c>
    </row>
    <row r="34" spans="1:5">
      <c r="A34" s="1304">
        <f>A33</f>
        <v>45046</v>
      </c>
      <c r="B34" s="1305"/>
      <c r="C34" s="176">
        <f>C27+C33</f>
        <v>4366722.2</v>
      </c>
      <c r="D34" s="176">
        <f>D27+D33</f>
        <v>282713.01</v>
      </c>
      <c r="E34" s="176">
        <f>IF($E$4=$C$4,C34-D34,D34-C34)</f>
        <v>4084009.19</v>
      </c>
    </row>
    <row r="35" spans="1:5">
      <c r="A35" s="11"/>
      <c r="B35" s="12"/>
      <c r="C35" s="177"/>
      <c r="D35" s="177"/>
      <c r="E35" s="12"/>
    </row>
    <row r="36" spans="1:5">
      <c r="A36" s="279">
        <f>Account!$G$16</f>
        <v>45077</v>
      </c>
      <c r="B36" s="14" t="s">
        <v>374</v>
      </c>
      <c r="C36" s="177">
        <f t="array" ref="C36">SUM(IF((CkDJ[Date]=A36)*(CkDJ[Account Code]=TRIM($B$2))*(CkDJ[Sort Code]=$D$3)*(CkDJ[Ofc Code]=$E$3),CkDJ[Debit]))</f>
        <v>0</v>
      </c>
      <c r="D36" s="177">
        <f t="array" ref="D36">SUM(IF((CkDJ[Date]=A36)*(CkDJ[Account Code]=TRIM($B$2))*(CkDJ[Sort Code]=$D$3)*(CkDJ[Ofc Code]=$E$3),CkDJ[Credit]))</f>
        <v>0</v>
      </c>
      <c r="E36" s="12"/>
    </row>
    <row r="37" spans="1:5">
      <c r="A37" s="279">
        <f>Account!$G$16</f>
        <v>45077</v>
      </c>
      <c r="B37" s="15" t="s">
        <v>375</v>
      </c>
      <c r="C37" s="177">
        <f t="array" ref="C37">SUM(IF((CsDJ[Date]=A37)*(CsDJ[Account Code]=TRIM($B$2))*(CsDJ[Sort Code]=$D$3)*(CsDJ[Ofc Code]=$E$3),CsDJ[Debit]))</f>
        <v>0</v>
      </c>
      <c r="D37" s="177">
        <f t="array" ref="D37">SUM(IF((CsDJ[Date]=A37)*(CsDJ[Account Code]=TRIM($B$2))*(CsDJ[Sort Code]=$D$3)*(CsDJ[Ofc Code]=$E$3),CsDJ[Credit]))</f>
        <v>0</v>
      </c>
      <c r="E37" s="12"/>
    </row>
    <row r="38" spans="1:5">
      <c r="A38" s="279">
        <f>Account!$G$16</f>
        <v>45077</v>
      </c>
      <c r="B38" s="16" t="s">
        <v>376</v>
      </c>
      <c r="C38" s="177">
        <f t="array" ref="C38">SUM(IF((CRDJ[Date]=A38)*(CRDJ[Account Code]=TRIM($B$2))*(CRDJ[Sort Code]=$D$3)*(CRDJ[Ofc Code]=$E$3),CRDJ[Debit]))</f>
        <v>0</v>
      </c>
      <c r="D38" s="177">
        <f t="array" ref="D38">SUM(IF((CRDJ[Date]=A38)*(CRDJ[Account Code]=TRIM($B$2))*(CRDJ[Sort Code]=$D$3)*(CRDJ[Ofc Code]=$E$3),CRDJ[Credit]))</f>
        <v>0</v>
      </c>
      <c r="E38" s="12"/>
    </row>
    <row r="39" spans="1:5">
      <c r="A39" s="279">
        <f>Account!$G$16</f>
        <v>45077</v>
      </c>
      <c r="B39" s="14" t="s">
        <v>377</v>
      </c>
      <c r="C39" s="177">
        <f t="array" ref="C39">SUM(IF((GJ[Date]=A39)*(GJ[Account Code]=TRIM($B$2))*(GJ[Sort Code]=$D$3)*(GJ[Ofc Code]=$E$3),GJ[Debit]))</f>
        <v>0</v>
      </c>
      <c r="D39" s="177">
        <f t="array" ref="D39">SUM(IF((GJ[Date]=A39)*(GJ[Account Code]=TRIM($B$2))*(GJ[Sort Code]=$D$3)*(GJ[Ofc Code]=$E$3),GJ[Credit]))</f>
        <v>0</v>
      </c>
      <c r="E39" s="12"/>
    </row>
    <row r="40" spans="1:5">
      <c r="A40" s="1302">
        <f>A39</f>
        <v>45077</v>
      </c>
      <c r="B40" s="1303"/>
      <c r="C40" s="179">
        <f>SUM(C36:C39)</f>
        <v>0</v>
      </c>
      <c r="D40" s="179">
        <f>SUM(D36:D39)</f>
        <v>0</v>
      </c>
      <c r="E40" s="179">
        <f>IF($E$4=$C$4,C40-D40,D40-C40)</f>
        <v>0</v>
      </c>
    </row>
    <row r="41" spans="1:5">
      <c r="A41" s="1304">
        <f>A40</f>
        <v>45077</v>
      </c>
      <c r="B41" s="1305"/>
      <c r="C41" s="176">
        <f>C34+C40</f>
        <v>4366722.2</v>
      </c>
      <c r="D41" s="176">
        <f>D34+D40</f>
        <v>282713.01</v>
      </c>
      <c r="E41" s="176">
        <f>IF($E$4=$C$4,C41-D41,D41-C41)</f>
        <v>4084009.19</v>
      </c>
    </row>
    <row r="42" spans="1:5">
      <c r="A42" s="11"/>
      <c r="B42" s="12"/>
      <c r="C42" s="177"/>
      <c r="D42" s="177"/>
      <c r="E42" s="12"/>
    </row>
    <row r="43" spans="1:5">
      <c r="A43" s="279">
        <f>Account!$G$17</f>
        <v>45107</v>
      </c>
      <c r="B43" s="14" t="s">
        <v>374</v>
      </c>
      <c r="C43" s="177">
        <f t="array" ref="C43">SUM(IF((CkDJ[Date]=A43)*(CkDJ[Account Code]=TRIM($B$2))*(CkDJ[Sort Code]=$D$3)*(CkDJ[Ofc Code]=$E$3),CkDJ[Debit]))</f>
        <v>0</v>
      </c>
      <c r="D43" s="177">
        <f t="array" ref="D43">SUM(IF((CkDJ[Date]=A43)*(CkDJ[Account Code]=TRIM($B$2))*(CkDJ[Sort Code]=$D$3)*(CkDJ[Ofc Code]=$E$3),CkDJ[Credit]))</f>
        <v>0</v>
      </c>
      <c r="E43" s="12"/>
    </row>
    <row r="44" spans="1:5">
      <c r="A44" s="279">
        <f>Account!$G$17</f>
        <v>45107</v>
      </c>
      <c r="B44" s="15" t="s">
        <v>375</v>
      </c>
      <c r="C44" s="177">
        <f t="array" ref="C44">SUM(IF((CsDJ[Date]=A44)*(CsDJ[Account Code]=TRIM($B$2))*(CsDJ[Sort Code]=$D$3)*(CsDJ[Ofc Code]=$E$3),CsDJ[Debit]))</f>
        <v>0</v>
      </c>
      <c r="D44" s="177">
        <f t="array" ref="D44">SUM(IF((CsDJ[Date]=A44)*(CsDJ[Account Code]=TRIM($B$2))*(CsDJ[Sort Code]=$D$3)*(CsDJ[Ofc Code]=$E$3),CsDJ[Credit]))</f>
        <v>0</v>
      </c>
      <c r="E44" s="12"/>
    </row>
    <row r="45" spans="1:5">
      <c r="A45" s="279">
        <f>Account!$G$17</f>
        <v>45107</v>
      </c>
      <c r="B45" s="16" t="s">
        <v>376</v>
      </c>
      <c r="C45" s="177">
        <f t="array" ref="C45">SUM(IF((CRDJ[Date]=A45)*(CRDJ[Account Code]=TRIM($B$2))*(CRDJ[Sort Code]=$D$3)*(CRDJ[Ofc Code]=$E$3),CRDJ[Debit]))</f>
        <v>0</v>
      </c>
      <c r="D45" s="177">
        <f t="array" ref="D45">SUM(IF((CRDJ[Date]=A45)*(CRDJ[Account Code]=TRIM($B$2))*(CRDJ[Sort Code]=$D$3)*(CRDJ[Ofc Code]=$E$3),CRDJ[Credit]))</f>
        <v>0</v>
      </c>
      <c r="E45" s="12"/>
    </row>
    <row r="46" spans="1:5">
      <c r="A46" s="279">
        <f>Account!$G$17</f>
        <v>45107</v>
      </c>
      <c r="B46" s="14" t="s">
        <v>377</v>
      </c>
      <c r="C46" s="177">
        <f t="array" ref="C46">SUM(IF((GJ[Date]=A46)*(GJ[Account Code]=TRIM($B$2))*(GJ[Sort Code]=$D$3)*(GJ[Ofc Code]=$E$3),GJ[Debit]))</f>
        <v>582.79999999999995</v>
      </c>
      <c r="D46" s="177">
        <f t="array" ref="D46">SUM(IF((GJ[Date]=A46)*(GJ[Account Code]=TRIM($B$2))*(GJ[Sort Code]=$D$3)*(GJ[Ofc Code]=$E$3),GJ[Credit]))</f>
        <v>0</v>
      </c>
      <c r="E46" s="12"/>
    </row>
    <row r="47" spans="1:5">
      <c r="A47" s="1302">
        <f>A46</f>
        <v>45107</v>
      </c>
      <c r="B47" s="1303"/>
      <c r="C47" s="179">
        <f>SUM(C43:C46)</f>
        <v>582.79999999999995</v>
      </c>
      <c r="D47" s="179">
        <f>SUM(D43:D46)</f>
        <v>0</v>
      </c>
      <c r="E47" s="179">
        <f>IF($E$4=$C$4,C47-D47,D47-C47)</f>
        <v>582.79999999999995</v>
      </c>
    </row>
    <row r="48" spans="1:5">
      <c r="A48" s="1304">
        <f>A47</f>
        <v>45107</v>
      </c>
      <c r="B48" s="1305"/>
      <c r="C48" s="176">
        <f>C41+C47</f>
        <v>4367305</v>
      </c>
      <c r="D48" s="176">
        <f>D41+D47</f>
        <v>282713.01</v>
      </c>
      <c r="E48" s="176">
        <f>IF($E$4=$C$4,C48-D48,D48-C48)</f>
        <v>4084591.99</v>
      </c>
    </row>
    <row r="49" spans="1:5">
      <c r="A49" s="11"/>
      <c r="B49" s="12"/>
      <c r="C49" s="177"/>
      <c r="D49" s="177"/>
      <c r="E49" s="12"/>
    </row>
    <row r="50" spans="1:5">
      <c r="A50" s="279">
        <f>Account!$G$18</f>
        <v>45138</v>
      </c>
      <c r="B50" s="14" t="s">
        <v>374</v>
      </c>
      <c r="C50" s="177">
        <f t="array" ref="C50">SUM(IF((CkDJ[Date]=A50)*(CkDJ[Account Code]=TRIM($B$2))*(CkDJ[Sort Code]=$D$3)*(CkDJ[Ofc Code]=$E$3),CkDJ[Debit]))</f>
        <v>0</v>
      </c>
      <c r="D50" s="177">
        <f t="array" ref="D50">SUM(IF((CkDJ[Date]=A50)*(CkDJ[Account Code]=TRIM($B$2))*(CkDJ[Sort Code]=$D$3)*(CkDJ[Ofc Code]=$E$3),CkDJ[Credit]))</f>
        <v>0</v>
      </c>
      <c r="E50" s="12"/>
    </row>
    <row r="51" spans="1:5">
      <c r="A51" s="279">
        <f>Account!$G$18</f>
        <v>45138</v>
      </c>
      <c r="B51" s="15" t="s">
        <v>375</v>
      </c>
      <c r="C51" s="177">
        <f t="array" ref="C51">SUM(IF((CsDJ[Date]=A51)*(CsDJ[Account Code]=TRIM($B$2))*(CsDJ[Sort Code]=$D$3)*(CsDJ[Ofc Code]=$E$3),CsDJ[Debit]))</f>
        <v>0</v>
      </c>
      <c r="D51" s="177">
        <f t="array" ref="D51">SUM(IF((CsDJ[Date]=A51)*(CsDJ[Account Code]=TRIM($B$2))*(CsDJ[Sort Code]=$D$3)*(CsDJ[Ofc Code]=$E$3),CsDJ[Credit]))</f>
        <v>0</v>
      </c>
      <c r="E51" s="12"/>
    </row>
    <row r="52" spans="1:5">
      <c r="A52" s="279">
        <f>Account!$G$18</f>
        <v>45138</v>
      </c>
      <c r="B52" s="16" t="s">
        <v>376</v>
      </c>
      <c r="C52" s="177">
        <f t="array" ref="C52">SUM(IF((CRDJ[Date]=A52)*(CRDJ[Account Code]=TRIM($B$2))*(CRDJ[Sort Code]=$D$3)*(CRDJ[Ofc Code]=$E$3),CRDJ[Debit]))</f>
        <v>0</v>
      </c>
      <c r="D52" s="177">
        <f t="array" ref="D52">SUM(IF((CRDJ[Date]=A52)*(CRDJ[Account Code]=TRIM($B$2))*(CRDJ[Sort Code]=$D$3)*(CRDJ[Ofc Code]=$E$3),CRDJ[Credit]))</f>
        <v>0</v>
      </c>
      <c r="E52" s="12"/>
    </row>
    <row r="53" spans="1:5">
      <c r="A53" s="279">
        <f>Account!$G$18</f>
        <v>45138</v>
      </c>
      <c r="B53" s="14" t="s">
        <v>377</v>
      </c>
      <c r="C53" s="177">
        <f t="array" ref="C53">SUM(IF((GJ[Date]=A53)*(GJ[Account Code]=TRIM($B$2))*(GJ[Sort Code]=$D$3)*(GJ[Ofc Code]=$E$3),GJ[Debit]))</f>
        <v>0</v>
      </c>
      <c r="D53" s="177">
        <f t="array" ref="D53">SUM(IF((GJ[Date]=A53)*(GJ[Account Code]=TRIM($B$2))*(GJ[Sort Code]=$D$3)*(GJ[Ofc Code]=$E$3),GJ[Credit]))</f>
        <v>0</v>
      </c>
      <c r="E53" s="12"/>
    </row>
    <row r="54" spans="1:5">
      <c r="A54" s="1302">
        <f>A53</f>
        <v>45138</v>
      </c>
      <c r="B54" s="1303"/>
      <c r="C54" s="179">
        <f>SUM(C50:C53)</f>
        <v>0</v>
      </c>
      <c r="D54" s="179">
        <f>SUM(D50:D53)</f>
        <v>0</v>
      </c>
      <c r="E54" s="179">
        <f>IF($E$4=$C$4,C54-D54,D54-C54)</f>
        <v>0</v>
      </c>
    </row>
    <row r="55" spans="1:5">
      <c r="A55" s="1304">
        <f>A54</f>
        <v>45138</v>
      </c>
      <c r="B55" s="1305"/>
      <c r="C55" s="176">
        <f>C48+C54</f>
        <v>4367305</v>
      </c>
      <c r="D55" s="176">
        <f>D48+D54</f>
        <v>282713.01</v>
      </c>
      <c r="E55" s="176">
        <f>IF($E$4=$C$4,C55-D55,D55-C55)</f>
        <v>4084591.99</v>
      </c>
    </row>
    <row r="56" spans="1:5">
      <c r="A56" s="11"/>
      <c r="B56" s="12"/>
      <c r="C56" s="177"/>
      <c r="D56" s="177"/>
      <c r="E56" s="12"/>
    </row>
    <row r="57" spans="1:5">
      <c r="A57" s="279">
        <f>Account!$G$19</f>
        <v>45169</v>
      </c>
      <c r="B57" s="14" t="s">
        <v>374</v>
      </c>
      <c r="C57" s="177">
        <f t="array" ref="C57">SUM(IF((CkDJ[Date]=A57)*(CkDJ[Account Code]=TRIM($B$2))*(CkDJ[Sort Code]=$D$3)*(CkDJ[Ofc Code]=$E$3),CkDJ[Debit]))</f>
        <v>0</v>
      </c>
      <c r="D57" s="177">
        <f t="array" ref="D57">SUM(IF((CkDJ[Date]=A57)*(CkDJ[Account Code]=TRIM($B$2))*(CkDJ[Sort Code]=$D$3)*(CkDJ[Ofc Code]=$E$3),CkDJ[Credit]))</f>
        <v>0</v>
      </c>
      <c r="E57" s="12"/>
    </row>
    <row r="58" spans="1:5">
      <c r="A58" s="279">
        <f>Account!$G$19</f>
        <v>45169</v>
      </c>
      <c r="B58" s="15" t="s">
        <v>375</v>
      </c>
      <c r="C58" s="177">
        <f t="array" ref="C58">SUM(IF((CsDJ[Date]=A58)*(CsDJ[Account Code]=TRIM($B$2))*(CsDJ[Sort Code]=$D$3)*(CsDJ[Ofc Code]=$E$3),CsDJ[Debit]))</f>
        <v>0</v>
      </c>
      <c r="D58" s="177">
        <f t="array" ref="D58">SUM(IF((CsDJ[Date]=A58)*(CsDJ[Account Code]=TRIM($B$2))*(CsDJ[Sort Code]=$D$3)*(CsDJ[Ofc Code]=$E$3),CsDJ[Credit]))</f>
        <v>0</v>
      </c>
      <c r="E58" s="12"/>
    </row>
    <row r="59" spans="1:5">
      <c r="A59" s="279">
        <f>Account!$G$19</f>
        <v>45169</v>
      </c>
      <c r="B59" s="16" t="s">
        <v>376</v>
      </c>
      <c r="C59" s="177">
        <f t="array" ref="C59">SUM(IF((CRDJ[Date]=A59)*(CRDJ[Account Code]=TRIM($B$2))*(CRDJ[Sort Code]=$D$3)*(CRDJ[Ofc Code]=$E$3),CRDJ[Debit]))</f>
        <v>0</v>
      </c>
      <c r="D59" s="177">
        <f t="array" ref="D59">SUM(IF((CRDJ[Date]=A59)*(CRDJ[Account Code]=TRIM($B$2))*(CRDJ[Sort Code]=$D$3)*(CRDJ[Ofc Code]=$E$3),CRDJ[Credit]))</f>
        <v>0</v>
      </c>
      <c r="E59" s="12"/>
    </row>
    <row r="60" spans="1:5">
      <c r="A60" s="279">
        <f>Account!$G$19</f>
        <v>45169</v>
      </c>
      <c r="B60" s="14" t="s">
        <v>377</v>
      </c>
      <c r="C60" s="177">
        <f t="array" ref="C60">SUM(IF((GJ[Date]=A60)*(GJ[Account Code]=TRIM($B$2))*(GJ[Sort Code]=$D$3)*(GJ[Ofc Code]=$E$3),GJ[Debit]))</f>
        <v>0</v>
      </c>
      <c r="D60" s="177">
        <f t="array" ref="D60">SUM(IF((GJ[Date]=A60)*(GJ[Account Code]=TRIM($B$2))*(GJ[Sort Code]=$D$3)*(GJ[Ofc Code]=$E$3),GJ[Credit]))</f>
        <v>0</v>
      </c>
      <c r="E60" s="12"/>
    </row>
    <row r="61" spans="1:5">
      <c r="A61" s="1302">
        <f>A60</f>
        <v>45169</v>
      </c>
      <c r="B61" s="1303"/>
      <c r="C61" s="179">
        <f>SUM(C57:C60)</f>
        <v>0</v>
      </c>
      <c r="D61" s="179">
        <f>SUM(D57:D60)</f>
        <v>0</v>
      </c>
      <c r="E61" s="179">
        <f>IF($E$4=$C$4,C61-D61,D61-C61)</f>
        <v>0</v>
      </c>
    </row>
    <row r="62" spans="1:5">
      <c r="A62" s="1304">
        <f>A61</f>
        <v>45169</v>
      </c>
      <c r="B62" s="1305"/>
      <c r="C62" s="176">
        <f>C55+C61</f>
        <v>4367305</v>
      </c>
      <c r="D62" s="176">
        <f>D55+D61</f>
        <v>282713.01</v>
      </c>
      <c r="E62" s="176">
        <f>IF($E$4=$C$4,C62-D62,D62-C62)</f>
        <v>4084591.99</v>
      </c>
    </row>
    <row r="63" spans="1:5">
      <c r="A63" s="11"/>
      <c r="B63" s="12"/>
      <c r="C63" s="177"/>
      <c r="D63" s="177"/>
      <c r="E63" s="12"/>
    </row>
    <row r="64" spans="1:5">
      <c r="A64" s="279">
        <f>Account!$G$20</f>
        <v>45199</v>
      </c>
      <c r="B64" s="14" t="s">
        <v>374</v>
      </c>
      <c r="C64" s="177">
        <f t="array" ref="C64">SUM(IF((CkDJ[Date]=A64)*(CkDJ[Account Code]=TRIM($B$2))*(CkDJ[Sort Code]=$D$3)*(CkDJ[Ofc Code]=$E$3),CkDJ[Debit]))</f>
        <v>0</v>
      </c>
      <c r="D64" s="177">
        <f t="array" ref="D64">SUM(IF((CkDJ[Date]=A64)*(CkDJ[Account Code]=TRIM($B$2))*(CkDJ[Sort Code]=$D$3)*(CkDJ[Ofc Code]=$E$3),CkDJ[Credit]))</f>
        <v>0</v>
      </c>
      <c r="E64" s="12"/>
    </row>
    <row r="65" spans="1:5">
      <c r="A65" s="279">
        <f>Account!$G$20</f>
        <v>45199</v>
      </c>
      <c r="B65" s="15" t="s">
        <v>375</v>
      </c>
      <c r="C65" s="177">
        <f t="array" ref="C65">SUM(IF((CsDJ[Date]=A65)*(CsDJ[Account Code]=TRIM($B$2))*(CsDJ[Sort Code]=$D$3)*(CsDJ[Ofc Code]=$E$3),CsDJ[Debit]))</f>
        <v>0</v>
      </c>
      <c r="D65" s="177">
        <f t="array" ref="D65">SUM(IF((CsDJ[Date]=A65)*(CsDJ[Account Code]=TRIM($B$2))*(CsDJ[Sort Code]=$D$3)*(CsDJ[Ofc Code]=$E$3),CsDJ[Credit]))</f>
        <v>0</v>
      </c>
      <c r="E65" s="12"/>
    </row>
    <row r="66" spans="1:5">
      <c r="A66" s="279">
        <f>Account!$G$20</f>
        <v>45199</v>
      </c>
      <c r="B66" s="16" t="s">
        <v>376</v>
      </c>
      <c r="C66" s="177">
        <f t="array" ref="C66">SUM(IF((CRDJ[Date]=A66)*(CRDJ[Account Code]=TRIM($B$2))*(CRDJ[Sort Code]=$D$3)*(CRDJ[Ofc Code]=$E$3),CRDJ[Debit]))</f>
        <v>0</v>
      </c>
      <c r="D66" s="177">
        <f t="array" ref="D66">SUM(IF((CRDJ[Date]=A66)*(CRDJ[Account Code]=TRIM($B$2))*(CRDJ[Sort Code]=$D$3)*(CRDJ[Ofc Code]=$E$3),CRDJ[Credit]))</f>
        <v>0</v>
      </c>
      <c r="E66" s="12"/>
    </row>
    <row r="67" spans="1:5">
      <c r="A67" s="279">
        <f>Account!$G$20</f>
        <v>45199</v>
      </c>
      <c r="B67" s="14" t="s">
        <v>377</v>
      </c>
      <c r="C67" s="177">
        <f t="array" ref="C67">SUM(IF((GJ[Date]=A67)*(GJ[Account Code]=TRIM($B$2))*(GJ[Sort Code]=$D$3)*(GJ[Ofc Code]=$E$3),GJ[Debit]))</f>
        <v>704.34</v>
      </c>
      <c r="D67" s="177">
        <f t="array" ref="D67">SUM(IF((GJ[Date]=A67)*(GJ[Account Code]=TRIM($B$2))*(GJ[Sort Code]=$D$3)*(GJ[Ofc Code]=$E$3),GJ[Credit]))</f>
        <v>0</v>
      </c>
      <c r="E67" s="12"/>
    </row>
    <row r="68" spans="1:5">
      <c r="A68" s="1302">
        <f>A67</f>
        <v>45199</v>
      </c>
      <c r="B68" s="1303"/>
      <c r="C68" s="179">
        <f>SUM(C64:C67)</f>
        <v>704.34</v>
      </c>
      <c r="D68" s="179">
        <f>SUM(D64:D67)</f>
        <v>0</v>
      </c>
      <c r="E68" s="179">
        <f>IF($E$4=$C$4,C68-D68,D68-C68)</f>
        <v>704.34</v>
      </c>
    </row>
    <row r="69" spans="1:5">
      <c r="A69" s="1304">
        <f>A68</f>
        <v>45199</v>
      </c>
      <c r="B69" s="1305"/>
      <c r="C69" s="176">
        <f>C62+C68</f>
        <v>4368009.34</v>
      </c>
      <c r="D69" s="176">
        <f>D62+D68</f>
        <v>282713.01</v>
      </c>
      <c r="E69" s="176">
        <f>IF($E$4=$C$4,C69-D69,D69-C69)</f>
        <v>4085296.33</v>
      </c>
    </row>
    <row r="70" spans="1:5">
      <c r="A70" s="11"/>
      <c r="B70" s="12"/>
      <c r="C70" s="177"/>
      <c r="D70" s="177"/>
      <c r="E70" s="12"/>
    </row>
    <row r="71" spans="1:5">
      <c r="A71" s="279">
        <f>Account!$G$21</f>
        <v>45230</v>
      </c>
      <c r="B71" s="14" t="s">
        <v>374</v>
      </c>
      <c r="C71" s="177">
        <f t="array" ref="C71">SUM(IF((CkDJ[Date]=A71)*(CkDJ[Account Code]=TRIM($B$2))*(CkDJ[Sort Code]=$D$3)*(CkDJ[Ofc Code]=$E$3),CkDJ[Debit]))</f>
        <v>0</v>
      </c>
      <c r="D71" s="177">
        <f t="array" ref="D71">SUM(IF((CkDJ[Date]=A71)*(CkDJ[Account Code]=TRIM($B$2))*(CkDJ[Sort Code]=$D$3)*(CkDJ[Ofc Code]=$E$3),CkDJ[Credit]))</f>
        <v>0</v>
      </c>
      <c r="E71" s="12"/>
    </row>
    <row r="72" spans="1:5">
      <c r="A72" s="279">
        <f>Account!$G$21</f>
        <v>45230</v>
      </c>
      <c r="B72" s="15" t="s">
        <v>375</v>
      </c>
      <c r="C72" s="177">
        <f t="array" ref="C72">SUM(IF((CsDJ[Date]=A72)*(CsDJ[Account Code]=TRIM($B$2))*(CsDJ[Sort Code]=$D$3)*(CsDJ[Ofc Code]=$E$3),CsDJ[Debit]))</f>
        <v>0</v>
      </c>
      <c r="D72" s="177">
        <f t="array" ref="D72">SUM(IF((CsDJ[Date]=A72)*(CsDJ[Account Code]=TRIM($B$2))*(CsDJ[Sort Code]=$D$3)*(CsDJ[Ofc Code]=$E$3),CsDJ[Credit]))</f>
        <v>0</v>
      </c>
      <c r="E72" s="12"/>
    </row>
    <row r="73" spans="1:5">
      <c r="A73" s="279">
        <f>Account!$G$21</f>
        <v>45230</v>
      </c>
      <c r="B73" s="16" t="s">
        <v>376</v>
      </c>
      <c r="C73" s="177">
        <f t="array" ref="C73">SUM(IF((CRDJ[Date]=A73)*(CRDJ[Account Code]=TRIM($B$2))*(CRDJ[Sort Code]=$D$3)*(CRDJ[Ofc Code]=$E$3),CRDJ[Debit]))</f>
        <v>0</v>
      </c>
      <c r="D73" s="177">
        <f t="array" ref="D73">SUM(IF((CRDJ[Date]=A73)*(CRDJ[Account Code]=TRIM($B$2))*(CRDJ[Sort Code]=$D$3)*(CRDJ[Ofc Code]=$E$3),CRDJ[Credit]))</f>
        <v>0</v>
      </c>
      <c r="E73" s="12"/>
    </row>
    <row r="74" spans="1:5">
      <c r="A74" s="279">
        <f>Account!$G$21</f>
        <v>45230</v>
      </c>
      <c r="B74" s="14" t="s">
        <v>377</v>
      </c>
      <c r="C74" s="177">
        <f t="array" ref="C74">SUM(IF((GJ[Date]=A74)*(GJ[Account Code]=TRIM($B$2))*(GJ[Sort Code]=$D$3)*(GJ[Ofc Code]=$E$3),GJ[Debit]))</f>
        <v>0</v>
      </c>
      <c r="D74" s="177">
        <f t="array" ref="D74">SUM(IF((GJ[Date]=A74)*(GJ[Account Code]=TRIM($B$2))*(GJ[Sort Code]=$D$3)*(GJ[Ofc Code]=$E$3),GJ[Credit]))</f>
        <v>0</v>
      </c>
      <c r="E74" s="12"/>
    </row>
    <row r="75" spans="1:5">
      <c r="A75" s="1302">
        <f>A74</f>
        <v>45230</v>
      </c>
      <c r="B75" s="1303"/>
      <c r="C75" s="179">
        <f>SUM(C71:C74)</f>
        <v>0</v>
      </c>
      <c r="D75" s="179">
        <f>SUM(D71:D74)</f>
        <v>0</v>
      </c>
      <c r="E75" s="179">
        <f>IF($E$4=$C$4,C75-D75,D75-C75)</f>
        <v>0</v>
      </c>
    </row>
    <row r="76" spans="1:5">
      <c r="A76" s="1304">
        <f>A75</f>
        <v>45230</v>
      </c>
      <c r="B76" s="1305"/>
      <c r="C76" s="176">
        <f>C69+C75</f>
        <v>4368009.34</v>
      </c>
      <c r="D76" s="176">
        <f>D69+D75</f>
        <v>282713.01</v>
      </c>
      <c r="E76" s="176">
        <f>IF($E$4=$C$4,C76-D76,D76-C76)</f>
        <v>4085296.33</v>
      </c>
    </row>
    <row r="77" spans="1:5">
      <c r="A77" s="11"/>
      <c r="B77" s="12"/>
      <c r="C77" s="177"/>
      <c r="D77" s="177"/>
      <c r="E77" s="12"/>
    </row>
    <row r="78" spans="1:5">
      <c r="A78" s="279">
        <f>Account!$G$22</f>
        <v>45260</v>
      </c>
      <c r="B78" s="14" t="s">
        <v>374</v>
      </c>
      <c r="C78" s="177">
        <f t="array" ref="C78">SUM(IF((CkDJ[Date]=A78)*(CkDJ[Account Code]=TRIM($B$2))*(CkDJ[Sort Code]=$D$3)*(CkDJ[Ofc Code]=$E$3),CkDJ[Debit]))</f>
        <v>0</v>
      </c>
      <c r="D78" s="177">
        <f t="array" ref="D78">SUM(IF((CkDJ[Date]=A78)*(CkDJ[Account Code]=TRIM($B$2))*(CkDJ[Sort Code]=$D$3)*(CkDJ[Ofc Code]=$E$3),CkDJ[Credit]))</f>
        <v>0</v>
      </c>
      <c r="E78" s="12"/>
    </row>
    <row r="79" spans="1:5">
      <c r="A79" s="279">
        <f>Account!$G$22</f>
        <v>45260</v>
      </c>
      <c r="B79" s="15" t="s">
        <v>375</v>
      </c>
      <c r="C79" s="177">
        <f t="array" ref="C79">SUM(IF((CsDJ[Date]=A79)*(CsDJ[Account Code]=TRIM($B$2))*(CsDJ[Sort Code]=$D$3)*(CsDJ[Ofc Code]=$E$3),CsDJ[Debit]))</f>
        <v>0</v>
      </c>
      <c r="D79" s="177">
        <f t="array" ref="D79">SUM(IF((CsDJ[Date]=A79)*(CsDJ[Account Code]=TRIM($B$2))*(CsDJ[Sort Code]=$D$3)*(CsDJ[Ofc Code]=$E$3),CsDJ[Credit]))</f>
        <v>0</v>
      </c>
      <c r="E79" s="12"/>
    </row>
    <row r="80" spans="1:5">
      <c r="A80" s="279">
        <f>Account!$G$22</f>
        <v>45260</v>
      </c>
      <c r="B80" s="16" t="s">
        <v>376</v>
      </c>
      <c r="C80" s="177">
        <f t="array" ref="C80">SUM(IF((CRDJ[Date]=A80)*(CRDJ[Account Code]=TRIM($B$2))*(CRDJ[Sort Code]=$D$3)*(CRDJ[Ofc Code]=$E$3),CRDJ[Debit]))</f>
        <v>0</v>
      </c>
      <c r="D80" s="177">
        <f t="array" ref="D80">SUM(IF((CRDJ[Date]=A80)*(CRDJ[Account Code]=TRIM($B$2))*(CRDJ[Sort Code]=$D$3)*(CRDJ[Ofc Code]=$E$3),CRDJ[Credit]))</f>
        <v>0</v>
      </c>
      <c r="E80" s="12"/>
    </row>
    <row r="81" spans="1:5">
      <c r="A81" s="279">
        <f>Account!$G$22</f>
        <v>45260</v>
      </c>
      <c r="B81" s="14" t="s">
        <v>377</v>
      </c>
      <c r="C81" s="177">
        <f t="array" ref="C81">SUM(IF((GJ[Date]=A81)*(GJ[Account Code]=TRIM($B$2))*(GJ[Sort Code]=$D$3)*(GJ[Ofc Code]=$E$3),GJ[Debit]))</f>
        <v>0</v>
      </c>
      <c r="D81" s="177">
        <f t="array" ref="D81">SUM(IF((GJ[Date]=A81)*(GJ[Account Code]=TRIM($B$2))*(GJ[Sort Code]=$D$3)*(GJ[Ofc Code]=$E$3),GJ[Credit]))</f>
        <v>0</v>
      </c>
      <c r="E81" s="12"/>
    </row>
    <row r="82" spans="1:5">
      <c r="A82" s="1302">
        <f>A81</f>
        <v>45260</v>
      </c>
      <c r="B82" s="1303"/>
      <c r="C82" s="179">
        <f>SUM(C78:C81)</f>
        <v>0</v>
      </c>
      <c r="D82" s="179">
        <f>SUM(D78:D81)</f>
        <v>0</v>
      </c>
      <c r="E82" s="179">
        <f>IF($E$4=$C$4,C82-D82,D82-C82)</f>
        <v>0</v>
      </c>
    </row>
    <row r="83" spans="1:5">
      <c r="A83" s="1304">
        <f>A82</f>
        <v>45260</v>
      </c>
      <c r="B83" s="1305"/>
      <c r="C83" s="176">
        <f>C76+C82</f>
        <v>4368009.34</v>
      </c>
      <c r="D83" s="176">
        <f>D76+D82</f>
        <v>282713.01</v>
      </c>
      <c r="E83" s="176">
        <f>IF($E$4=$C$4,C83-D83,D83-C83)</f>
        <v>4085296.33</v>
      </c>
    </row>
    <row r="84" spans="1:5">
      <c r="A84" s="11"/>
      <c r="B84" s="12"/>
      <c r="C84" s="177"/>
      <c r="D84" s="177"/>
      <c r="E84" s="12"/>
    </row>
    <row r="85" spans="1:5">
      <c r="A85" s="279">
        <f>Account!$G$23</f>
        <v>45291</v>
      </c>
      <c r="B85" s="14" t="s">
        <v>374</v>
      </c>
      <c r="C85" s="177">
        <f t="array" ref="C85">SUM(IF((CkDJ[Date]=A85)*(CkDJ[Account Code]=TRIM($B$2))*(CkDJ[Sort Code]=$D$3)*(CkDJ[Ofc Code]=$E$3),CkDJ[Debit]))</f>
        <v>0</v>
      </c>
      <c r="D85" s="177">
        <f t="array" ref="D85">SUM(IF((CkDJ[Date]=A85)*(CkDJ[Account Code]=TRIM($B$2))*(CkDJ[Sort Code]=$D$3)*(CkDJ[Ofc Code]=$E$3),CkDJ[Credit]))</f>
        <v>0</v>
      </c>
      <c r="E85" s="12"/>
    </row>
    <row r="86" spans="1:5">
      <c r="A86" s="279">
        <f>Account!$G$23</f>
        <v>45291</v>
      </c>
      <c r="B86" s="15" t="s">
        <v>375</v>
      </c>
      <c r="C86" s="177">
        <f t="array" ref="C86">SUM(IF((CsDJ[Date]=A86)*(CsDJ[Account Code]=TRIM($B$2))*(CsDJ[Sort Code]=$D$3)*(CsDJ[Ofc Code]=$E$3),CsDJ[Debit]))</f>
        <v>0</v>
      </c>
      <c r="D86" s="177">
        <f t="array" ref="D86">SUM(IF((CsDJ[Date]=A86)*(CsDJ[Account Code]=TRIM($B$2))*(CsDJ[Sort Code]=$D$3)*(CsDJ[Ofc Code]=$E$3),CsDJ[Credit]))</f>
        <v>0</v>
      </c>
      <c r="E86" s="12"/>
    </row>
    <row r="87" spans="1:5">
      <c r="A87" s="279">
        <f>Account!$G$23</f>
        <v>45291</v>
      </c>
      <c r="B87" s="16" t="s">
        <v>376</v>
      </c>
      <c r="C87" s="177">
        <f t="array" ref="C87">SUM(IF((CRDJ[Date]=A87)*(CRDJ[Account Code]=TRIM($B$2))*(CRDJ[Sort Code]=$D$3)*(CRDJ[Ofc Code]=$E$3),CRDJ[Debit]))</f>
        <v>0</v>
      </c>
      <c r="D87" s="177">
        <f t="array" ref="D87">SUM(IF((CRDJ[Date]=A87)*(CRDJ[Account Code]=TRIM($B$2))*(CRDJ[Sort Code]=$D$3)*(CRDJ[Ofc Code]=$E$3),CRDJ[Credit]))</f>
        <v>0</v>
      </c>
      <c r="E87" s="12"/>
    </row>
    <row r="88" spans="1:5">
      <c r="A88" s="279">
        <f>Account!$G$23</f>
        <v>45291</v>
      </c>
      <c r="B88" s="14" t="s">
        <v>377</v>
      </c>
      <c r="C88" s="177">
        <f t="array" ref="C88">SUM(IF((GJ[Date]=A88)*(GJ[Account Code]=TRIM($B$2))*(GJ[Sort Code]=$D$3)*(GJ[Ofc Code]=$E$3),GJ[Debit]))</f>
        <v>0</v>
      </c>
      <c r="D88" s="177">
        <f t="array" ref="D88">SUM(IF((GJ[Date]=A88)*(GJ[Account Code]=TRIM($B$2))*(GJ[Sort Code]=$D$3)*(GJ[Ofc Code]=$E$3),GJ[Credit]))</f>
        <v>0</v>
      </c>
      <c r="E88" s="12"/>
    </row>
    <row r="89" spans="1:5">
      <c r="A89" s="1302">
        <f>A88</f>
        <v>45291</v>
      </c>
      <c r="B89" s="1303"/>
      <c r="C89" s="179">
        <f>SUM(C85:C88)</f>
        <v>0</v>
      </c>
      <c r="D89" s="179">
        <f>SUM(D85:D88)</f>
        <v>0</v>
      </c>
      <c r="E89" s="179">
        <f>IF($E$4=$C$4,C89-D89,D89-C89)</f>
        <v>0</v>
      </c>
    </row>
    <row r="90" spans="1:5">
      <c r="A90" s="1304">
        <f>A89</f>
        <v>45291</v>
      </c>
      <c r="B90" s="1305"/>
      <c r="C90" s="176">
        <f>C83+C89</f>
        <v>4368009.34</v>
      </c>
      <c r="D90" s="176">
        <f>D83+D89</f>
        <v>282713.01</v>
      </c>
      <c r="E90" s="176">
        <f>IF($E$4=$C$4,C90-D90,D90-C90)</f>
        <v>4085296.33</v>
      </c>
    </row>
  </sheetData>
  <sheetProtection sheet="1" objects="1" scenarios="1"/>
  <mergeCells count="29">
    <mergeCell ref="C2:E2"/>
    <mergeCell ref="A13:B13"/>
    <mergeCell ref="A4:A5"/>
    <mergeCell ref="B4:B5"/>
    <mergeCell ref="C4:C5"/>
    <mergeCell ref="D4:D5"/>
    <mergeCell ref="A12:B12"/>
    <mergeCell ref="A55:B55"/>
    <mergeCell ref="A19:B19"/>
    <mergeCell ref="A20:B20"/>
    <mergeCell ref="A26:B26"/>
    <mergeCell ref="A27:B27"/>
    <mergeCell ref="A33:B33"/>
    <mergeCell ref="A34:B34"/>
    <mergeCell ref="A40:B40"/>
    <mergeCell ref="A41:B41"/>
    <mergeCell ref="A47:B47"/>
    <mergeCell ref="A48:B48"/>
    <mergeCell ref="A54:B54"/>
    <mergeCell ref="A82:B82"/>
    <mergeCell ref="A83:B83"/>
    <mergeCell ref="A89:B89"/>
    <mergeCell ref="A90:B90"/>
    <mergeCell ref="A61:B61"/>
    <mergeCell ref="A62:B62"/>
    <mergeCell ref="A68:B68"/>
    <mergeCell ref="A69:B69"/>
    <mergeCell ref="A75:B75"/>
    <mergeCell ref="A76:B76"/>
  </mergeCells>
  <printOptions horizontalCentered="1"/>
  <pageMargins left="0.25" right="0.25" top="0.75" bottom="1.75" header="0.3" footer="1.5"/>
  <pageSetup paperSize="5" scale="95" orientation="portrait" horizontalDpi="300" verticalDpi="300" r:id="rId1"/>
  <headerFooter>
    <oddFooter>Page &amp;P of &amp;N</oddFooter>
  </headerFooter>
  <rowBreaks count="1" manualBreakCount="1">
    <brk id="48" max="16383" man="1"/>
  </rowBreaks>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286"/>
  <sheetViews>
    <sheetView topLeftCell="A70" workbookViewId="0">
      <selection activeCell="A84" sqref="A84"/>
    </sheetView>
  </sheetViews>
  <sheetFormatPr defaultRowHeight="15.75"/>
  <cols>
    <col min="1" max="1" width="80.125" style="30" bestFit="1" customWidth="1"/>
    <col min="2" max="2" width="16.875" style="30" customWidth="1"/>
    <col min="3" max="3" width="16.375" style="30" customWidth="1"/>
    <col min="4" max="4" width="16.625" style="108" customWidth="1"/>
    <col min="5" max="255" width="9" style="30"/>
    <col min="256" max="256" width="15.5" style="30" customWidth="1"/>
    <col min="257" max="257" width="16.875" style="30" customWidth="1"/>
    <col min="258" max="258" width="16.375" style="30" customWidth="1"/>
    <col min="259" max="259" width="16.625" style="30" customWidth="1"/>
    <col min="260" max="260" width="12.875" style="30" customWidth="1"/>
    <col min="261" max="511" width="9" style="30"/>
    <col min="512" max="512" width="15.5" style="30" customWidth="1"/>
    <col min="513" max="513" width="16.875" style="30" customWidth="1"/>
    <col min="514" max="514" width="16.375" style="30" customWidth="1"/>
    <col min="515" max="515" width="16.625" style="30" customWidth="1"/>
    <col min="516" max="516" width="12.875" style="30" customWidth="1"/>
    <col min="517" max="767" width="9" style="30"/>
    <col min="768" max="768" width="15.5" style="30" customWidth="1"/>
    <col min="769" max="769" width="16.875" style="30" customWidth="1"/>
    <col min="770" max="770" width="16.375" style="30" customWidth="1"/>
    <col min="771" max="771" width="16.625" style="30" customWidth="1"/>
    <col min="772" max="772" width="12.875" style="30" customWidth="1"/>
    <col min="773" max="1023" width="9" style="30"/>
    <col min="1024" max="1024" width="15.5" style="30" customWidth="1"/>
    <col min="1025" max="1025" width="16.875" style="30" customWidth="1"/>
    <col min="1026" max="1026" width="16.375" style="30" customWidth="1"/>
    <col min="1027" max="1027" width="16.625" style="30" customWidth="1"/>
    <col min="1028" max="1028" width="12.875" style="30" customWidth="1"/>
    <col min="1029" max="1279" width="9" style="30"/>
    <col min="1280" max="1280" width="15.5" style="30" customWidth="1"/>
    <col min="1281" max="1281" width="16.875" style="30" customWidth="1"/>
    <col min="1282" max="1282" width="16.375" style="30" customWidth="1"/>
    <col min="1283" max="1283" width="16.625" style="30" customWidth="1"/>
    <col min="1284" max="1284" width="12.875" style="30" customWidth="1"/>
    <col min="1285" max="1535" width="9" style="30"/>
    <col min="1536" max="1536" width="15.5" style="30" customWidth="1"/>
    <col min="1537" max="1537" width="16.875" style="30" customWidth="1"/>
    <col min="1538" max="1538" width="16.375" style="30" customWidth="1"/>
    <col min="1539" max="1539" width="16.625" style="30" customWidth="1"/>
    <col min="1540" max="1540" width="12.875" style="30" customWidth="1"/>
    <col min="1541" max="1791" width="9" style="30"/>
    <col min="1792" max="1792" width="15.5" style="30" customWidth="1"/>
    <col min="1793" max="1793" width="16.875" style="30" customWidth="1"/>
    <col min="1794" max="1794" width="16.375" style="30" customWidth="1"/>
    <col min="1795" max="1795" width="16.625" style="30" customWidth="1"/>
    <col min="1796" max="1796" width="12.875" style="30" customWidth="1"/>
    <col min="1797" max="2047" width="9" style="30"/>
    <col min="2048" max="2048" width="15.5" style="30" customWidth="1"/>
    <col min="2049" max="2049" width="16.875" style="30" customWidth="1"/>
    <col min="2050" max="2050" width="16.375" style="30" customWidth="1"/>
    <col min="2051" max="2051" width="16.625" style="30" customWidth="1"/>
    <col min="2052" max="2052" width="12.875" style="30" customWidth="1"/>
    <col min="2053" max="2303" width="9" style="30"/>
    <col min="2304" max="2304" width="15.5" style="30" customWidth="1"/>
    <col min="2305" max="2305" width="16.875" style="30" customWidth="1"/>
    <col min="2306" max="2306" width="16.375" style="30" customWidth="1"/>
    <col min="2307" max="2307" width="16.625" style="30" customWidth="1"/>
    <col min="2308" max="2308" width="12.875" style="30" customWidth="1"/>
    <col min="2309" max="2559" width="9" style="30"/>
    <col min="2560" max="2560" width="15.5" style="30" customWidth="1"/>
    <col min="2561" max="2561" width="16.875" style="30" customWidth="1"/>
    <col min="2562" max="2562" width="16.375" style="30" customWidth="1"/>
    <col min="2563" max="2563" width="16.625" style="30" customWidth="1"/>
    <col min="2564" max="2564" width="12.875" style="30" customWidth="1"/>
    <col min="2565" max="2815" width="9" style="30"/>
    <col min="2816" max="2816" width="15.5" style="30" customWidth="1"/>
    <col min="2817" max="2817" width="16.875" style="30" customWidth="1"/>
    <col min="2818" max="2818" width="16.375" style="30" customWidth="1"/>
    <col min="2819" max="2819" width="16.625" style="30" customWidth="1"/>
    <col min="2820" max="2820" width="12.875" style="30" customWidth="1"/>
    <col min="2821" max="3071" width="9" style="30"/>
    <col min="3072" max="3072" width="15.5" style="30" customWidth="1"/>
    <col min="3073" max="3073" width="16.875" style="30" customWidth="1"/>
    <col min="3074" max="3074" width="16.375" style="30" customWidth="1"/>
    <col min="3075" max="3075" width="16.625" style="30" customWidth="1"/>
    <col min="3076" max="3076" width="12.875" style="30" customWidth="1"/>
    <col min="3077" max="3327" width="9" style="30"/>
    <col min="3328" max="3328" width="15.5" style="30" customWidth="1"/>
    <col min="3329" max="3329" width="16.875" style="30" customWidth="1"/>
    <col min="3330" max="3330" width="16.375" style="30" customWidth="1"/>
    <col min="3331" max="3331" width="16.625" style="30" customWidth="1"/>
    <col min="3332" max="3332" width="12.875" style="30" customWidth="1"/>
    <col min="3333" max="3583" width="9" style="30"/>
    <col min="3584" max="3584" width="15.5" style="30" customWidth="1"/>
    <col min="3585" max="3585" width="16.875" style="30" customWidth="1"/>
    <col min="3586" max="3586" width="16.375" style="30" customWidth="1"/>
    <col min="3587" max="3587" width="16.625" style="30" customWidth="1"/>
    <col min="3588" max="3588" width="12.875" style="30" customWidth="1"/>
    <col min="3589" max="3839" width="9" style="30"/>
    <col min="3840" max="3840" width="15.5" style="30" customWidth="1"/>
    <col min="3841" max="3841" width="16.875" style="30" customWidth="1"/>
    <col min="3842" max="3842" width="16.375" style="30" customWidth="1"/>
    <col min="3843" max="3843" width="16.625" style="30" customWidth="1"/>
    <col min="3844" max="3844" width="12.875" style="30" customWidth="1"/>
    <col min="3845" max="4095" width="9" style="30"/>
    <col min="4096" max="4096" width="15.5" style="30" customWidth="1"/>
    <col min="4097" max="4097" width="16.875" style="30" customWidth="1"/>
    <col min="4098" max="4098" width="16.375" style="30" customWidth="1"/>
    <col min="4099" max="4099" width="16.625" style="30" customWidth="1"/>
    <col min="4100" max="4100" width="12.875" style="30" customWidth="1"/>
    <col min="4101" max="4351" width="9" style="30"/>
    <col min="4352" max="4352" width="15.5" style="30" customWidth="1"/>
    <col min="4353" max="4353" width="16.875" style="30" customWidth="1"/>
    <col min="4354" max="4354" width="16.375" style="30" customWidth="1"/>
    <col min="4355" max="4355" width="16.625" style="30" customWidth="1"/>
    <col min="4356" max="4356" width="12.875" style="30" customWidth="1"/>
    <col min="4357" max="4607" width="9" style="30"/>
    <col min="4608" max="4608" width="15.5" style="30" customWidth="1"/>
    <col min="4609" max="4609" width="16.875" style="30" customWidth="1"/>
    <col min="4610" max="4610" width="16.375" style="30" customWidth="1"/>
    <col min="4611" max="4611" width="16.625" style="30" customWidth="1"/>
    <col min="4612" max="4612" width="12.875" style="30" customWidth="1"/>
    <col min="4613" max="4863" width="9" style="30"/>
    <col min="4864" max="4864" width="15.5" style="30" customWidth="1"/>
    <col min="4865" max="4865" width="16.875" style="30" customWidth="1"/>
    <col min="4866" max="4866" width="16.375" style="30" customWidth="1"/>
    <col min="4867" max="4867" width="16.625" style="30" customWidth="1"/>
    <col min="4868" max="4868" width="12.875" style="30" customWidth="1"/>
    <col min="4869" max="5119" width="9" style="30"/>
    <col min="5120" max="5120" width="15.5" style="30" customWidth="1"/>
    <col min="5121" max="5121" width="16.875" style="30" customWidth="1"/>
    <col min="5122" max="5122" width="16.375" style="30" customWidth="1"/>
    <col min="5123" max="5123" width="16.625" style="30" customWidth="1"/>
    <col min="5124" max="5124" width="12.875" style="30" customWidth="1"/>
    <col min="5125" max="5375" width="9" style="30"/>
    <col min="5376" max="5376" width="15.5" style="30" customWidth="1"/>
    <col min="5377" max="5377" width="16.875" style="30" customWidth="1"/>
    <col min="5378" max="5378" width="16.375" style="30" customWidth="1"/>
    <col min="5379" max="5379" width="16.625" style="30" customWidth="1"/>
    <col min="5380" max="5380" width="12.875" style="30" customWidth="1"/>
    <col min="5381" max="5631" width="9" style="30"/>
    <col min="5632" max="5632" width="15.5" style="30" customWidth="1"/>
    <col min="5633" max="5633" width="16.875" style="30" customWidth="1"/>
    <col min="5634" max="5634" width="16.375" style="30" customWidth="1"/>
    <col min="5635" max="5635" width="16.625" style="30" customWidth="1"/>
    <col min="5636" max="5636" width="12.875" style="30" customWidth="1"/>
    <col min="5637" max="5887" width="9" style="30"/>
    <col min="5888" max="5888" width="15.5" style="30" customWidth="1"/>
    <col min="5889" max="5889" width="16.875" style="30" customWidth="1"/>
    <col min="5890" max="5890" width="16.375" style="30" customWidth="1"/>
    <col min="5891" max="5891" width="16.625" style="30" customWidth="1"/>
    <col min="5892" max="5892" width="12.875" style="30" customWidth="1"/>
    <col min="5893" max="6143" width="9" style="30"/>
    <col min="6144" max="6144" width="15.5" style="30" customWidth="1"/>
    <col min="6145" max="6145" width="16.875" style="30" customWidth="1"/>
    <col min="6146" max="6146" width="16.375" style="30" customWidth="1"/>
    <col min="6147" max="6147" width="16.625" style="30" customWidth="1"/>
    <col min="6148" max="6148" width="12.875" style="30" customWidth="1"/>
    <col min="6149" max="6399" width="9" style="30"/>
    <col min="6400" max="6400" width="15.5" style="30" customWidth="1"/>
    <col min="6401" max="6401" width="16.875" style="30" customWidth="1"/>
    <col min="6402" max="6402" width="16.375" style="30" customWidth="1"/>
    <col min="6403" max="6403" width="16.625" style="30" customWidth="1"/>
    <col min="6404" max="6404" width="12.875" style="30" customWidth="1"/>
    <col min="6405" max="6655" width="9" style="30"/>
    <col min="6656" max="6656" width="15.5" style="30" customWidth="1"/>
    <col min="6657" max="6657" width="16.875" style="30" customWidth="1"/>
    <col min="6658" max="6658" width="16.375" style="30" customWidth="1"/>
    <col min="6659" max="6659" width="16.625" style="30" customWidth="1"/>
    <col min="6660" max="6660" width="12.875" style="30" customWidth="1"/>
    <col min="6661" max="6911" width="9" style="30"/>
    <col min="6912" max="6912" width="15.5" style="30" customWidth="1"/>
    <col min="6913" max="6913" width="16.875" style="30" customWidth="1"/>
    <col min="6914" max="6914" width="16.375" style="30" customWidth="1"/>
    <col min="6915" max="6915" width="16.625" style="30" customWidth="1"/>
    <col min="6916" max="6916" width="12.875" style="30" customWidth="1"/>
    <col min="6917" max="7167" width="9" style="30"/>
    <col min="7168" max="7168" width="15.5" style="30" customWidth="1"/>
    <col min="7169" max="7169" width="16.875" style="30" customWidth="1"/>
    <col min="7170" max="7170" width="16.375" style="30" customWidth="1"/>
    <col min="7171" max="7171" width="16.625" style="30" customWidth="1"/>
    <col min="7172" max="7172" width="12.875" style="30" customWidth="1"/>
    <col min="7173" max="7423" width="9" style="30"/>
    <col min="7424" max="7424" width="15.5" style="30" customWidth="1"/>
    <col min="7425" max="7425" width="16.875" style="30" customWidth="1"/>
    <col min="7426" max="7426" width="16.375" style="30" customWidth="1"/>
    <col min="7427" max="7427" width="16.625" style="30" customWidth="1"/>
    <col min="7428" max="7428" width="12.875" style="30" customWidth="1"/>
    <col min="7429" max="7679" width="9" style="30"/>
    <col min="7680" max="7680" width="15.5" style="30" customWidth="1"/>
    <col min="7681" max="7681" width="16.875" style="30" customWidth="1"/>
    <col min="7682" max="7682" width="16.375" style="30" customWidth="1"/>
    <col min="7683" max="7683" width="16.625" style="30" customWidth="1"/>
    <col min="7684" max="7684" width="12.875" style="30" customWidth="1"/>
    <col min="7685" max="7935" width="9" style="30"/>
    <col min="7936" max="7936" width="15.5" style="30" customWidth="1"/>
    <col min="7937" max="7937" width="16.875" style="30" customWidth="1"/>
    <col min="7938" max="7938" width="16.375" style="30" customWidth="1"/>
    <col min="7939" max="7939" width="16.625" style="30" customWidth="1"/>
    <col min="7940" max="7940" width="12.875" style="30" customWidth="1"/>
    <col min="7941" max="8191" width="9" style="30"/>
    <col min="8192" max="8192" width="15.5" style="30" customWidth="1"/>
    <col min="8193" max="8193" width="16.875" style="30" customWidth="1"/>
    <col min="8194" max="8194" width="16.375" style="30" customWidth="1"/>
    <col min="8195" max="8195" width="16.625" style="30" customWidth="1"/>
    <col min="8196" max="8196" width="12.875" style="30" customWidth="1"/>
    <col min="8197" max="8447" width="9" style="30"/>
    <col min="8448" max="8448" width="15.5" style="30" customWidth="1"/>
    <col min="8449" max="8449" width="16.875" style="30" customWidth="1"/>
    <col min="8450" max="8450" width="16.375" style="30" customWidth="1"/>
    <col min="8451" max="8451" width="16.625" style="30" customWidth="1"/>
    <col min="8452" max="8452" width="12.875" style="30" customWidth="1"/>
    <col min="8453" max="8703" width="9" style="30"/>
    <col min="8704" max="8704" width="15.5" style="30" customWidth="1"/>
    <col min="8705" max="8705" width="16.875" style="30" customWidth="1"/>
    <col min="8706" max="8706" width="16.375" style="30" customWidth="1"/>
    <col min="8707" max="8707" width="16.625" style="30" customWidth="1"/>
    <col min="8708" max="8708" width="12.875" style="30" customWidth="1"/>
    <col min="8709" max="8959" width="9" style="30"/>
    <col min="8960" max="8960" width="15.5" style="30" customWidth="1"/>
    <col min="8961" max="8961" width="16.875" style="30" customWidth="1"/>
    <col min="8962" max="8962" width="16.375" style="30" customWidth="1"/>
    <col min="8963" max="8963" width="16.625" style="30" customWidth="1"/>
    <col min="8964" max="8964" width="12.875" style="30" customWidth="1"/>
    <col min="8965" max="9215" width="9" style="30"/>
    <col min="9216" max="9216" width="15.5" style="30" customWidth="1"/>
    <col min="9217" max="9217" width="16.875" style="30" customWidth="1"/>
    <col min="9218" max="9218" width="16.375" style="30" customWidth="1"/>
    <col min="9219" max="9219" width="16.625" style="30" customWidth="1"/>
    <col min="9220" max="9220" width="12.875" style="30" customWidth="1"/>
    <col min="9221" max="9471" width="9" style="30"/>
    <col min="9472" max="9472" width="15.5" style="30" customWidth="1"/>
    <col min="9473" max="9473" width="16.875" style="30" customWidth="1"/>
    <col min="9474" max="9474" width="16.375" style="30" customWidth="1"/>
    <col min="9475" max="9475" width="16.625" style="30" customWidth="1"/>
    <col min="9476" max="9476" width="12.875" style="30" customWidth="1"/>
    <col min="9477" max="9727" width="9" style="30"/>
    <col min="9728" max="9728" width="15.5" style="30" customWidth="1"/>
    <col min="9729" max="9729" width="16.875" style="30" customWidth="1"/>
    <col min="9730" max="9730" width="16.375" style="30" customWidth="1"/>
    <col min="9731" max="9731" width="16.625" style="30" customWidth="1"/>
    <col min="9732" max="9732" width="12.875" style="30" customWidth="1"/>
    <col min="9733" max="9983" width="9" style="30"/>
    <col min="9984" max="9984" width="15.5" style="30" customWidth="1"/>
    <col min="9985" max="9985" width="16.875" style="30" customWidth="1"/>
    <col min="9986" max="9986" width="16.375" style="30" customWidth="1"/>
    <col min="9987" max="9987" width="16.625" style="30" customWidth="1"/>
    <col min="9988" max="9988" width="12.875" style="30" customWidth="1"/>
    <col min="9989" max="10239" width="9" style="30"/>
    <col min="10240" max="10240" width="15.5" style="30" customWidth="1"/>
    <col min="10241" max="10241" width="16.875" style="30" customWidth="1"/>
    <col min="10242" max="10242" width="16.375" style="30" customWidth="1"/>
    <col min="10243" max="10243" width="16.625" style="30" customWidth="1"/>
    <col min="10244" max="10244" width="12.875" style="30" customWidth="1"/>
    <col min="10245" max="10495" width="9" style="30"/>
    <col min="10496" max="10496" width="15.5" style="30" customWidth="1"/>
    <col min="10497" max="10497" width="16.875" style="30" customWidth="1"/>
    <col min="10498" max="10498" width="16.375" style="30" customWidth="1"/>
    <col min="10499" max="10499" width="16.625" style="30" customWidth="1"/>
    <col min="10500" max="10500" width="12.875" style="30" customWidth="1"/>
    <col min="10501" max="10751" width="9" style="30"/>
    <col min="10752" max="10752" width="15.5" style="30" customWidth="1"/>
    <col min="10753" max="10753" width="16.875" style="30" customWidth="1"/>
    <col min="10754" max="10754" width="16.375" style="30" customWidth="1"/>
    <col min="10755" max="10755" width="16.625" style="30" customWidth="1"/>
    <col min="10756" max="10756" width="12.875" style="30" customWidth="1"/>
    <col min="10757" max="11007" width="9" style="30"/>
    <col min="11008" max="11008" width="15.5" style="30" customWidth="1"/>
    <col min="11009" max="11009" width="16.875" style="30" customWidth="1"/>
    <col min="11010" max="11010" width="16.375" style="30" customWidth="1"/>
    <col min="11011" max="11011" width="16.625" style="30" customWidth="1"/>
    <col min="11012" max="11012" width="12.875" style="30" customWidth="1"/>
    <col min="11013" max="11263" width="9" style="30"/>
    <col min="11264" max="11264" width="15.5" style="30" customWidth="1"/>
    <col min="11265" max="11265" width="16.875" style="30" customWidth="1"/>
    <col min="11266" max="11266" width="16.375" style="30" customWidth="1"/>
    <col min="11267" max="11267" width="16.625" style="30" customWidth="1"/>
    <col min="11268" max="11268" width="12.875" style="30" customWidth="1"/>
    <col min="11269" max="11519" width="9" style="30"/>
    <col min="11520" max="11520" width="15.5" style="30" customWidth="1"/>
    <col min="11521" max="11521" width="16.875" style="30" customWidth="1"/>
    <col min="11522" max="11522" width="16.375" style="30" customWidth="1"/>
    <col min="11523" max="11523" width="16.625" style="30" customWidth="1"/>
    <col min="11524" max="11524" width="12.875" style="30" customWidth="1"/>
    <col min="11525" max="11775" width="9" style="30"/>
    <col min="11776" max="11776" width="15.5" style="30" customWidth="1"/>
    <col min="11777" max="11777" width="16.875" style="30" customWidth="1"/>
    <col min="11778" max="11778" width="16.375" style="30" customWidth="1"/>
    <col min="11779" max="11779" width="16.625" style="30" customWidth="1"/>
    <col min="11780" max="11780" width="12.875" style="30" customWidth="1"/>
    <col min="11781" max="12031" width="9" style="30"/>
    <col min="12032" max="12032" width="15.5" style="30" customWidth="1"/>
    <col min="12033" max="12033" width="16.875" style="30" customWidth="1"/>
    <col min="12034" max="12034" width="16.375" style="30" customWidth="1"/>
    <col min="12035" max="12035" width="16.625" style="30" customWidth="1"/>
    <col min="12036" max="12036" width="12.875" style="30" customWidth="1"/>
    <col min="12037" max="12287" width="9" style="30"/>
    <col min="12288" max="12288" width="15.5" style="30" customWidth="1"/>
    <col min="12289" max="12289" width="16.875" style="30" customWidth="1"/>
    <col min="12290" max="12290" width="16.375" style="30" customWidth="1"/>
    <col min="12291" max="12291" width="16.625" style="30" customWidth="1"/>
    <col min="12292" max="12292" width="12.875" style="30" customWidth="1"/>
    <col min="12293" max="12543" width="9" style="30"/>
    <col min="12544" max="12544" width="15.5" style="30" customWidth="1"/>
    <col min="12545" max="12545" width="16.875" style="30" customWidth="1"/>
    <col min="12546" max="12546" width="16.375" style="30" customWidth="1"/>
    <col min="12547" max="12547" width="16.625" style="30" customWidth="1"/>
    <col min="12548" max="12548" width="12.875" style="30" customWidth="1"/>
    <col min="12549" max="12799" width="9" style="30"/>
    <col min="12800" max="12800" width="15.5" style="30" customWidth="1"/>
    <col min="12801" max="12801" width="16.875" style="30" customWidth="1"/>
    <col min="12802" max="12802" width="16.375" style="30" customWidth="1"/>
    <col min="12803" max="12803" width="16.625" style="30" customWidth="1"/>
    <col min="12804" max="12804" width="12.875" style="30" customWidth="1"/>
    <col min="12805" max="13055" width="9" style="30"/>
    <col min="13056" max="13056" width="15.5" style="30" customWidth="1"/>
    <col min="13057" max="13057" width="16.875" style="30" customWidth="1"/>
    <col min="13058" max="13058" width="16.375" style="30" customWidth="1"/>
    <col min="13059" max="13059" width="16.625" style="30" customWidth="1"/>
    <col min="13060" max="13060" width="12.875" style="30" customWidth="1"/>
    <col min="13061" max="13311" width="9" style="30"/>
    <col min="13312" max="13312" width="15.5" style="30" customWidth="1"/>
    <col min="13313" max="13313" width="16.875" style="30" customWidth="1"/>
    <col min="13314" max="13314" width="16.375" style="30" customWidth="1"/>
    <col min="13315" max="13315" width="16.625" style="30" customWidth="1"/>
    <col min="13316" max="13316" width="12.875" style="30" customWidth="1"/>
    <col min="13317" max="13567" width="9" style="30"/>
    <col min="13568" max="13568" width="15.5" style="30" customWidth="1"/>
    <col min="13569" max="13569" width="16.875" style="30" customWidth="1"/>
    <col min="13570" max="13570" width="16.375" style="30" customWidth="1"/>
    <col min="13571" max="13571" width="16.625" style="30" customWidth="1"/>
    <col min="13572" max="13572" width="12.875" style="30" customWidth="1"/>
    <col min="13573" max="13823" width="9" style="30"/>
    <col min="13824" max="13824" width="15.5" style="30" customWidth="1"/>
    <col min="13825" max="13825" width="16.875" style="30" customWidth="1"/>
    <col min="13826" max="13826" width="16.375" style="30" customWidth="1"/>
    <col min="13827" max="13827" width="16.625" style="30" customWidth="1"/>
    <col min="13828" max="13828" width="12.875" style="30" customWidth="1"/>
    <col min="13829" max="14079" width="9" style="30"/>
    <col min="14080" max="14080" width="15.5" style="30" customWidth="1"/>
    <col min="14081" max="14081" width="16.875" style="30" customWidth="1"/>
    <col min="14082" max="14082" width="16.375" style="30" customWidth="1"/>
    <col min="14083" max="14083" width="16.625" style="30" customWidth="1"/>
    <col min="14084" max="14084" width="12.875" style="30" customWidth="1"/>
    <col min="14085" max="14335" width="9" style="30"/>
    <col min="14336" max="14336" width="15.5" style="30" customWidth="1"/>
    <col min="14337" max="14337" width="16.875" style="30" customWidth="1"/>
    <col min="14338" max="14338" width="16.375" style="30" customWidth="1"/>
    <col min="14339" max="14339" width="16.625" style="30" customWidth="1"/>
    <col min="14340" max="14340" width="12.875" style="30" customWidth="1"/>
    <col min="14341" max="14591" width="9" style="30"/>
    <col min="14592" max="14592" width="15.5" style="30" customWidth="1"/>
    <col min="14593" max="14593" width="16.875" style="30" customWidth="1"/>
    <col min="14594" max="14594" width="16.375" style="30" customWidth="1"/>
    <col min="14595" max="14595" width="16.625" style="30" customWidth="1"/>
    <col min="14596" max="14596" width="12.875" style="30" customWidth="1"/>
    <col min="14597" max="14847" width="9" style="30"/>
    <col min="14848" max="14848" width="15.5" style="30" customWidth="1"/>
    <col min="14849" max="14849" width="16.875" style="30" customWidth="1"/>
    <col min="14850" max="14850" width="16.375" style="30" customWidth="1"/>
    <col min="14851" max="14851" width="16.625" style="30" customWidth="1"/>
    <col min="14852" max="14852" width="12.875" style="30" customWidth="1"/>
    <col min="14853" max="15103" width="9" style="30"/>
    <col min="15104" max="15104" width="15.5" style="30" customWidth="1"/>
    <col min="15105" max="15105" width="16.875" style="30" customWidth="1"/>
    <col min="15106" max="15106" width="16.375" style="30" customWidth="1"/>
    <col min="15107" max="15107" width="16.625" style="30" customWidth="1"/>
    <col min="15108" max="15108" width="12.875" style="30" customWidth="1"/>
    <col min="15109" max="15359" width="9" style="30"/>
    <col min="15360" max="15360" width="15.5" style="30" customWidth="1"/>
    <col min="15361" max="15361" width="16.875" style="30" customWidth="1"/>
    <col min="15362" max="15362" width="16.375" style="30" customWidth="1"/>
    <col min="15363" max="15363" width="16.625" style="30" customWidth="1"/>
    <col min="15364" max="15364" width="12.875" style="30" customWidth="1"/>
    <col min="15365" max="15615" width="9" style="30"/>
    <col min="15616" max="15616" width="15.5" style="30" customWidth="1"/>
    <col min="15617" max="15617" width="16.875" style="30" customWidth="1"/>
    <col min="15618" max="15618" width="16.375" style="30" customWidth="1"/>
    <col min="15619" max="15619" width="16.625" style="30" customWidth="1"/>
    <col min="15620" max="15620" width="12.875" style="30" customWidth="1"/>
    <col min="15621" max="15871" width="9" style="30"/>
    <col min="15872" max="15872" width="15.5" style="30" customWidth="1"/>
    <col min="15873" max="15873" width="16.875" style="30" customWidth="1"/>
    <col min="15874" max="15874" width="16.375" style="30" customWidth="1"/>
    <col min="15875" max="15875" width="16.625" style="30" customWidth="1"/>
    <col min="15876" max="15876" width="12.875" style="30" customWidth="1"/>
    <col min="15877" max="16127" width="9" style="30"/>
    <col min="16128" max="16128" width="15.5" style="30" customWidth="1"/>
    <col min="16129" max="16129" width="16.875" style="30" customWidth="1"/>
    <col min="16130" max="16130" width="16.375" style="30" customWidth="1"/>
    <col min="16131" max="16131" width="16.625" style="30" customWidth="1"/>
    <col min="16132" max="16132" width="12.875" style="30" customWidth="1"/>
    <col min="16133" max="16384" width="9" style="30"/>
  </cols>
  <sheetData>
    <row r="1" spans="1:4" ht="22.5">
      <c r="A1" s="27" t="s">
        <v>355</v>
      </c>
      <c r="B1" s="106"/>
      <c r="C1" s="106"/>
      <c r="D1" s="128"/>
    </row>
    <row r="2" spans="1:4" ht="16.5">
      <c r="A2" s="28" t="s">
        <v>400</v>
      </c>
      <c r="B2" s="106"/>
      <c r="C2" s="106"/>
      <c r="D2" s="128"/>
    </row>
    <row r="3" spans="1:4" ht="16.5">
      <c r="A3" s="2" t="str">
        <f>Account!$G$1</f>
        <v>FUND 501 CARP</v>
      </c>
      <c r="B3" s="106"/>
      <c r="C3" s="106"/>
      <c r="D3" s="128"/>
    </row>
    <row r="4" spans="1:4" ht="16.5">
      <c r="A4" s="28" t="s">
        <v>514</v>
      </c>
      <c r="B4" s="106"/>
      <c r="C4" s="106"/>
      <c r="D4" s="128"/>
    </row>
    <row r="5" spans="1:4" ht="16.5">
      <c r="A5" s="107">
        <f>Account!$G$2</f>
        <v>45291</v>
      </c>
      <c r="B5" s="106"/>
      <c r="C5" s="106"/>
      <c r="D5" s="128"/>
    </row>
    <row r="6" spans="1:4">
      <c r="A6" s="29"/>
      <c r="B6" s="29"/>
      <c r="C6" s="29"/>
    </row>
    <row r="7" spans="1:4">
      <c r="A7" s="119" t="s">
        <v>518</v>
      </c>
      <c r="D7" s="129"/>
    </row>
    <row r="8" spans="1:4">
      <c r="A8" s="120"/>
    </row>
    <row r="9" spans="1:4">
      <c r="A9" s="121" t="s">
        <v>519</v>
      </c>
      <c r="D9" s="130"/>
    </row>
    <row r="10" spans="1:4">
      <c r="A10" s="121"/>
      <c r="D10" s="130"/>
    </row>
    <row r="11" spans="1:4">
      <c r="A11" s="160" t="s">
        <v>520</v>
      </c>
    </row>
    <row r="12" spans="1:4">
      <c r="A12" s="159" t="s">
        <v>520</v>
      </c>
    </row>
    <row r="13" spans="1:4">
      <c r="A13" s="159" t="s">
        <v>521</v>
      </c>
    </row>
    <row r="14" spans="1:4">
      <c r="A14" s="159" t="s">
        <v>522</v>
      </c>
    </row>
    <row r="15" spans="1:4">
      <c r="A15" s="159" t="s">
        <v>523</v>
      </c>
    </row>
    <row r="16" spans="1:4">
      <c r="A16" s="123"/>
      <c r="D16" s="130"/>
    </row>
    <row r="17" spans="1:4">
      <c r="A17" s="160" t="s">
        <v>524</v>
      </c>
      <c r="D17" s="130"/>
    </row>
    <row r="18" spans="1:4">
      <c r="A18" s="159" t="s">
        <v>525</v>
      </c>
      <c r="D18" s="130"/>
    </row>
    <row r="19" spans="1:4">
      <c r="A19" s="159" t="s">
        <v>526</v>
      </c>
      <c r="D19" s="130"/>
    </row>
    <row r="20" spans="1:4">
      <c r="A20" s="159" t="s">
        <v>527</v>
      </c>
      <c r="D20" s="130"/>
    </row>
    <row r="21" spans="1:4">
      <c r="A21" s="159" t="s">
        <v>528</v>
      </c>
      <c r="D21" s="130"/>
    </row>
    <row r="22" spans="1:4">
      <c r="A22" s="159" t="s">
        <v>529</v>
      </c>
      <c r="D22" s="130"/>
    </row>
    <row r="23" spans="1:4">
      <c r="A23" s="123"/>
    </row>
    <row r="24" spans="1:4">
      <c r="A24" s="122" t="s">
        <v>530</v>
      </c>
    </row>
    <row r="25" spans="1:4">
      <c r="A25" s="123" t="s">
        <v>531</v>
      </c>
      <c r="B25" s="109"/>
      <c r="C25" s="109"/>
    </row>
    <row r="26" spans="1:4">
      <c r="A26" s="123" t="s">
        <v>532</v>
      </c>
      <c r="D26" s="129"/>
    </row>
    <row r="27" spans="1:4">
      <c r="A27" s="123" t="s">
        <v>533</v>
      </c>
    </row>
    <row r="28" spans="1:4">
      <c r="A28" s="123"/>
      <c r="D28" s="130"/>
    </row>
    <row r="29" spans="1:4">
      <c r="A29" s="122" t="s">
        <v>534</v>
      </c>
    </row>
    <row r="30" spans="1:4">
      <c r="A30" s="123" t="s">
        <v>535</v>
      </c>
    </row>
    <row r="31" spans="1:4">
      <c r="A31" s="123" t="s">
        <v>536</v>
      </c>
    </row>
    <row r="32" spans="1:4">
      <c r="A32" s="123" t="s">
        <v>537</v>
      </c>
    </row>
    <row r="33" spans="1:4">
      <c r="A33" s="123" t="s">
        <v>538</v>
      </c>
      <c r="D33" s="130"/>
    </row>
    <row r="34" spans="1:4">
      <c r="A34" s="123"/>
    </row>
    <row r="35" spans="1:4">
      <c r="A35" s="122" t="s">
        <v>539</v>
      </c>
      <c r="B35" s="109"/>
      <c r="C35" s="109"/>
    </row>
    <row r="36" spans="1:4">
      <c r="A36" s="123" t="s">
        <v>540</v>
      </c>
      <c r="B36" s="109"/>
      <c r="C36" s="109"/>
    </row>
    <row r="37" spans="1:4">
      <c r="A37" s="123" t="s">
        <v>541</v>
      </c>
      <c r="B37" s="115"/>
      <c r="C37" s="115"/>
    </row>
    <row r="38" spans="1:4">
      <c r="A38" s="123" t="s">
        <v>542</v>
      </c>
      <c r="B38" s="116"/>
      <c r="C38" s="116"/>
    </row>
    <row r="39" spans="1:4">
      <c r="A39" s="123"/>
      <c r="D39" s="127"/>
    </row>
    <row r="40" spans="1:4">
      <c r="A40" s="122" t="s">
        <v>543</v>
      </c>
      <c r="D40" s="130"/>
    </row>
    <row r="41" spans="1:4">
      <c r="A41" s="123" t="s">
        <v>544</v>
      </c>
      <c r="B41" s="110"/>
      <c r="C41" s="111"/>
      <c r="D41" s="130"/>
    </row>
    <row r="42" spans="1:4">
      <c r="A42" s="123" t="s">
        <v>545</v>
      </c>
      <c r="B42" s="112"/>
      <c r="C42" s="113"/>
      <c r="D42" s="130"/>
    </row>
    <row r="43" spans="1:4">
      <c r="A43" s="123" t="s">
        <v>546</v>
      </c>
      <c r="B43" s="114"/>
      <c r="C43" s="114"/>
      <c r="D43" s="130"/>
    </row>
    <row r="44" spans="1:4">
      <c r="A44" s="123"/>
      <c r="B44" s="114"/>
      <c r="C44" s="114"/>
      <c r="D44" s="131"/>
    </row>
    <row r="45" spans="1:4">
      <c r="A45" s="121" t="s">
        <v>547</v>
      </c>
      <c r="B45" s="117"/>
      <c r="C45" s="117"/>
      <c r="D45" s="118"/>
    </row>
    <row r="46" spans="1:4">
      <c r="A46" s="123" t="s">
        <v>548</v>
      </c>
      <c r="B46" s="118"/>
      <c r="C46" s="118"/>
      <c r="D46" s="118"/>
    </row>
    <row r="47" spans="1:4">
      <c r="A47" s="123" t="s">
        <v>549</v>
      </c>
    </row>
    <row r="48" spans="1:4">
      <c r="A48" s="123" t="s">
        <v>550</v>
      </c>
    </row>
    <row r="49" spans="1:1">
      <c r="A49" s="123" t="s">
        <v>551</v>
      </c>
    </row>
    <row r="50" spans="1:1">
      <c r="A50" s="123" t="s">
        <v>552</v>
      </c>
    </row>
    <row r="51" spans="1:1">
      <c r="A51" s="123"/>
    </row>
    <row r="52" spans="1:1">
      <c r="A52" s="122" t="s">
        <v>553</v>
      </c>
    </row>
    <row r="53" spans="1:1">
      <c r="A53" s="123" t="s">
        <v>554</v>
      </c>
    </row>
    <row r="54" spans="1:1">
      <c r="A54" s="123" t="s">
        <v>555</v>
      </c>
    </row>
    <row r="55" spans="1:1">
      <c r="A55" s="123" t="s">
        <v>556</v>
      </c>
    </row>
    <row r="56" spans="1:1">
      <c r="A56" s="123" t="s">
        <v>557</v>
      </c>
    </row>
    <row r="57" spans="1:1">
      <c r="A57" s="123" t="s">
        <v>558</v>
      </c>
    </row>
    <row r="58" spans="1:1">
      <c r="A58" s="123" t="s">
        <v>559</v>
      </c>
    </row>
    <row r="59" spans="1:1">
      <c r="A59" s="123" t="s">
        <v>560</v>
      </c>
    </row>
    <row r="60" spans="1:1">
      <c r="A60" s="123" t="s">
        <v>561</v>
      </c>
    </row>
    <row r="61" spans="1:1">
      <c r="A61" s="123" t="s">
        <v>562</v>
      </c>
    </row>
    <row r="62" spans="1:1">
      <c r="A62" s="123" t="s">
        <v>563</v>
      </c>
    </row>
    <row r="63" spans="1:1">
      <c r="A63" s="123" t="s">
        <v>564</v>
      </c>
    </row>
    <row r="64" spans="1:1">
      <c r="A64" s="123" t="s">
        <v>565</v>
      </c>
    </row>
    <row r="65" spans="1:1">
      <c r="A65" s="123"/>
    </row>
    <row r="66" spans="1:1">
      <c r="A66" s="122" t="s">
        <v>516</v>
      </c>
    </row>
    <row r="67" spans="1:1">
      <c r="A67" s="123" t="s">
        <v>566</v>
      </c>
    </row>
    <row r="68" spans="1:1">
      <c r="A68" s="123" t="s">
        <v>567</v>
      </c>
    </row>
    <row r="69" spans="1:1">
      <c r="A69" s="123" t="s">
        <v>568</v>
      </c>
    </row>
    <row r="70" spans="1:1">
      <c r="A70" s="123"/>
    </row>
    <row r="71" spans="1:1">
      <c r="A71" s="121" t="s">
        <v>515</v>
      </c>
    </row>
    <row r="72" spans="1:1">
      <c r="A72" s="121"/>
    </row>
    <row r="73" spans="1:1">
      <c r="A73" s="121" t="s">
        <v>569</v>
      </c>
    </row>
    <row r="74" spans="1:1">
      <c r="A74" s="122" t="s">
        <v>570</v>
      </c>
    </row>
    <row r="75" spans="1:1">
      <c r="A75" s="122"/>
    </row>
    <row r="76" spans="1:1">
      <c r="A76" s="122" t="s">
        <v>571</v>
      </c>
    </row>
    <row r="77" spans="1:1">
      <c r="A77" s="122"/>
    </row>
    <row r="78" spans="1:1">
      <c r="A78" s="160" t="s">
        <v>730</v>
      </c>
    </row>
    <row r="79" spans="1:1">
      <c r="A79" s="159" t="s">
        <v>572</v>
      </c>
    </row>
    <row r="80" spans="1:1">
      <c r="A80" s="159" t="s">
        <v>573</v>
      </c>
    </row>
    <row r="81" spans="1:1">
      <c r="A81" s="159" t="s">
        <v>574</v>
      </c>
    </row>
    <row r="82" spans="1:1">
      <c r="A82" s="159" t="s">
        <v>575</v>
      </c>
    </row>
    <row r="83" spans="1:1">
      <c r="A83" s="159" t="s">
        <v>576</v>
      </c>
    </row>
    <row r="84" spans="1:1">
      <c r="A84" s="123"/>
    </row>
    <row r="85" spans="1:1">
      <c r="A85" s="122" t="s">
        <v>577</v>
      </c>
    </row>
    <row r="86" spans="1:1">
      <c r="A86" s="123" t="s">
        <v>578</v>
      </c>
    </row>
    <row r="87" spans="1:1">
      <c r="A87" s="123" t="s">
        <v>579</v>
      </c>
    </row>
    <row r="88" spans="1:1">
      <c r="A88" s="123" t="s">
        <v>580</v>
      </c>
    </row>
    <row r="89" spans="1:1">
      <c r="A89" s="123" t="s">
        <v>581</v>
      </c>
    </row>
    <row r="90" spans="1:1">
      <c r="A90" s="123"/>
    </row>
    <row r="91" spans="1:1">
      <c r="A91" s="122" t="s">
        <v>582</v>
      </c>
    </row>
    <row r="92" spans="1:1">
      <c r="A92" s="123" t="s">
        <v>583</v>
      </c>
    </row>
    <row r="93" spans="1:1">
      <c r="A93" s="123" t="s">
        <v>584</v>
      </c>
    </row>
    <row r="94" spans="1:1">
      <c r="A94" s="123" t="s">
        <v>585</v>
      </c>
    </row>
    <row r="95" spans="1:1">
      <c r="A95" s="123" t="s">
        <v>586</v>
      </c>
    </row>
    <row r="96" spans="1:1">
      <c r="A96" s="123"/>
    </row>
    <row r="97" spans="1:1">
      <c r="A97" s="160" t="s">
        <v>587</v>
      </c>
    </row>
    <row r="98" spans="1:1">
      <c r="A98" s="159" t="s">
        <v>588</v>
      </c>
    </row>
    <row r="99" spans="1:1">
      <c r="A99" s="159" t="s">
        <v>589</v>
      </c>
    </row>
    <row r="100" spans="1:1">
      <c r="A100" s="159" t="s">
        <v>590</v>
      </c>
    </row>
    <row r="101" spans="1:1">
      <c r="A101" s="159" t="s">
        <v>591</v>
      </c>
    </row>
    <row r="102" spans="1:1">
      <c r="A102" s="123"/>
    </row>
    <row r="103" spans="1:1">
      <c r="A103" s="160" t="s">
        <v>592</v>
      </c>
    </row>
    <row r="104" spans="1:1">
      <c r="A104" s="159" t="s">
        <v>729</v>
      </c>
    </row>
    <row r="105" spans="1:1">
      <c r="A105" s="159" t="s">
        <v>68</v>
      </c>
    </row>
    <row r="106" spans="1:1">
      <c r="A106" s="159" t="s">
        <v>593</v>
      </c>
    </row>
    <row r="107" spans="1:1">
      <c r="A107" s="159" t="s">
        <v>594</v>
      </c>
    </row>
    <row r="108" spans="1:1">
      <c r="A108" s="159" t="s">
        <v>595</v>
      </c>
    </row>
    <row r="109" spans="1:1">
      <c r="A109" s="159" t="s">
        <v>596</v>
      </c>
    </row>
    <row r="110" spans="1:1">
      <c r="A110" s="123"/>
    </row>
    <row r="111" spans="1:1">
      <c r="A111" s="122" t="s">
        <v>597</v>
      </c>
    </row>
    <row r="112" spans="1:1">
      <c r="A112" s="123" t="s">
        <v>598</v>
      </c>
    </row>
    <row r="113" spans="1:1">
      <c r="A113" s="123" t="s">
        <v>731</v>
      </c>
    </row>
    <row r="114" spans="1:1">
      <c r="A114" s="123" t="s">
        <v>599</v>
      </c>
    </row>
    <row r="115" spans="1:1">
      <c r="A115" s="123"/>
    </row>
    <row r="116" spans="1:1">
      <c r="A116" s="160" t="s">
        <v>600</v>
      </c>
    </row>
    <row r="117" spans="1:1">
      <c r="A117" s="122"/>
    </row>
    <row r="118" spans="1:1">
      <c r="A118" s="160" t="s">
        <v>601</v>
      </c>
    </row>
    <row r="119" spans="1:1">
      <c r="A119" s="159" t="s">
        <v>602</v>
      </c>
    </row>
    <row r="120" spans="1:1">
      <c r="A120" s="159" t="s">
        <v>603</v>
      </c>
    </row>
    <row r="121" spans="1:1">
      <c r="A121" s="159" t="s">
        <v>604</v>
      </c>
    </row>
    <row r="122" spans="1:1">
      <c r="A122" s="159" t="s">
        <v>605</v>
      </c>
    </row>
    <row r="123" spans="1:1">
      <c r="A123" s="123"/>
    </row>
    <row r="124" spans="1:1">
      <c r="A124" s="122" t="s">
        <v>606</v>
      </c>
    </row>
    <row r="125" spans="1:1">
      <c r="A125" s="123" t="s">
        <v>607</v>
      </c>
    </row>
    <row r="126" spans="1:1">
      <c r="A126" s="123" t="s">
        <v>732</v>
      </c>
    </row>
    <row r="127" spans="1:1">
      <c r="A127" s="123" t="s">
        <v>608</v>
      </c>
    </row>
    <row r="128" spans="1:1">
      <c r="A128" s="123" t="s">
        <v>609</v>
      </c>
    </row>
    <row r="129" spans="1:1">
      <c r="A129" s="123" t="s">
        <v>610</v>
      </c>
    </row>
    <row r="130" spans="1:1">
      <c r="A130" s="123"/>
    </row>
    <row r="131" spans="1:1">
      <c r="A131" s="122" t="s">
        <v>611</v>
      </c>
    </row>
    <row r="132" spans="1:1">
      <c r="A132" s="123" t="s">
        <v>612</v>
      </c>
    </row>
    <row r="133" spans="1:1">
      <c r="A133" s="123" t="s">
        <v>613</v>
      </c>
    </row>
    <row r="134" spans="1:1">
      <c r="A134" s="123" t="s">
        <v>614</v>
      </c>
    </row>
    <row r="135" spans="1:1">
      <c r="A135" s="123" t="s">
        <v>615</v>
      </c>
    </row>
    <row r="136" spans="1:1">
      <c r="A136" s="123"/>
    </row>
    <row r="137" spans="1:1">
      <c r="A137" s="122" t="s">
        <v>616</v>
      </c>
    </row>
    <row r="138" spans="1:1">
      <c r="A138" s="123" t="s">
        <v>617</v>
      </c>
    </row>
    <row r="139" spans="1:1">
      <c r="A139" s="123" t="s">
        <v>618</v>
      </c>
    </row>
    <row r="140" spans="1:1">
      <c r="A140" s="123" t="s">
        <v>619</v>
      </c>
    </row>
    <row r="141" spans="1:1">
      <c r="A141" s="123" t="s">
        <v>615</v>
      </c>
    </row>
    <row r="142" spans="1:1">
      <c r="A142" s="123"/>
    </row>
    <row r="143" spans="1:1">
      <c r="A143" s="122" t="s">
        <v>620</v>
      </c>
    </row>
    <row r="144" spans="1:1">
      <c r="A144" s="123" t="s">
        <v>621</v>
      </c>
    </row>
    <row r="145" spans="1:1">
      <c r="A145" s="123"/>
    </row>
    <row r="146" spans="1:1">
      <c r="A146" s="123" t="s">
        <v>622</v>
      </c>
    </row>
    <row r="147" spans="1:1">
      <c r="A147" s="123" t="s">
        <v>623</v>
      </c>
    </row>
    <row r="148" spans="1:1">
      <c r="A148" s="123" t="s">
        <v>624</v>
      </c>
    </row>
    <row r="149" spans="1:1">
      <c r="A149" s="123" t="s">
        <v>625</v>
      </c>
    </row>
    <row r="150" spans="1:1">
      <c r="A150" s="123" t="s">
        <v>626</v>
      </c>
    </row>
    <row r="151" spans="1:1">
      <c r="A151" s="123" t="s">
        <v>620</v>
      </c>
    </row>
    <row r="152" spans="1:1">
      <c r="A152" s="123"/>
    </row>
    <row r="153" spans="1:1">
      <c r="A153" s="122" t="s">
        <v>627</v>
      </c>
    </row>
    <row r="154" spans="1:1">
      <c r="A154" s="122"/>
    </row>
    <row r="155" spans="1:1">
      <c r="A155" s="160" t="s">
        <v>516</v>
      </c>
    </row>
    <row r="156" spans="1:1">
      <c r="A156" s="159" t="s">
        <v>628</v>
      </c>
    </row>
    <row r="157" spans="1:1">
      <c r="A157" s="159" t="s">
        <v>629</v>
      </c>
    </row>
    <row r="158" spans="1:1">
      <c r="A158" s="159" t="s">
        <v>630</v>
      </c>
    </row>
    <row r="159" spans="1:1">
      <c r="A159" s="159" t="s">
        <v>631</v>
      </c>
    </row>
    <row r="160" spans="1:1">
      <c r="A160" s="159" t="s">
        <v>632</v>
      </c>
    </row>
    <row r="161" spans="1:1">
      <c r="A161" s="123"/>
    </row>
    <row r="162" spans="1:1">
      <c r="A162" s="121" t="s">
        <v>517</v>
      </c>
    </row>
    <row r="163" spans="1:1">
      <c r="A163" s="124"/>
    </row>
    <row r="164" spans="1:1">
      <c r="A164" s="125" t="s">
        <v>633</v>
      </c>
    </row>
    <row r="165" spans="1:1">
      <c r="A165" s="126"/>
    </row>
    <row r="166" spans="1:1">
      <c r="A166" s="125" t="s">
        <v>634</v>
      </c>
    </row>
    <row r="167" spans="1:1">
      <c r="A167" s="126"/>
    </row>
    <row r="168" spans="1:1">
      <c r="A168" s="121" t="s">
        <v>519</v>
      </c>
    </row>
    <row r="169" spans="1:1">
      <c r="A169" s="124"/>
    </row>
    <row r="170" spans="1:1">
      <c r="A170" s="160" t="s">
        <v>635</v>
      </c>
    </row>
    <row r="171" spans="1:1">
      <c r="A171" s="126"/>
    </row>
    <row r="172" spans="1:1">
      <c r="A172" s="160" t="s">
        <v>636</v>
      </c>
    </row>
    <row r="173" spans="1:1">
      <c r="A173" s="126"/>
    </row>
    <row r="174" spans="1:1">
      <c r="A174" s="122" t="s">
        <v>637</v>
      </c>
    </row>
    <row r="175" spans="1:1">
      <c r="A175" s="123" t="s">
        <v>638</v>
      </c>
    </row>
    <row r="176" spans="1:1">
      <c r="A176" s="123" t="s">
        <v>639</v>
      </c>
    </row>
    <row r="177" spans="1:1">
      <c r="A177" s="123" t="s">
        <v>640</v>
      </c>
    </row>
    <row r="178" spans="1:1">
      <c r="A178" s="123" t="s">
        <v>641</v>
      </c>
    </row>
    <row r="179" spans="1:1">
      <c r="A179" s="123"/>
    </row>
    <row r="180" spans="1:1">
      <c r="A180" s="122" t="s">
        <v>642</v>
      </c>
    </row>
    <row r="181" spans="1:1">
      <c r="A181" s="126"/>
    </row>
    <row r="182" spans="1:1">
      <c r="A182" s="122" t="s">
        <v>643</v>
      </c>
    </row>
    <row r="183" spans="1:1">
      <c r="A183" s="123" t="s">
        <v>644</v>
      </c>
    </row>
    <row r="184" spans="1:1">
      <c r="A184" s="123" t="s">
        <v>645</v>
      </c>
    </row>
    <row r="185" spans="1:1">
      <c r="A185" s="123" t="s">
        <v>646</v>
      </c>
    </row>
    <row r="186" spans="1:1">
      <c r="A186" s="123" t="s">
        <v>647</v>
      </c>
    </row>
    <row r="187" spans="1:1">
      <c r="A187" s="123"/>
    </row>
    <row r="188" spans="1:1">
      <c r="A188" s="122" t="s">
        <v>648</v>
      </c>
    </row>
    <row r="189" spans="1:1">
      <c r="A189" s="123" t="s">
        <v>649</v>
      </c>
    </row>
    <row r="190" spans="1:1">
      <c r="A190" s="123" t="s">
        <v>650</v>
      </c>
    </row>
    <row r="191" spans="1:1">
      <c r="A191" s="123"/>
    </row>
    <row r="192" spans="1:1">
      <c r="A192" s="122" t="s">
        <v>651</v>
      </c>
    </row>
    <row r="193" spans="1:1">
      <c r="A193" s="126"/>
    </row>
    <row r="194" spans="1:1">
      <c r="A194" s="121" t="s">
        <v>515</v>
      </c>
    </row>
    <row r="195" spans="1:1">
      <c r="A195" s="124"/>
    </row>
    <row r="196" spans="1:1">
      <c r="A196" s="121" t="s">
        <v>569</v>
      </c>
    </row>
    <row r="197" spans="1:1">
      <c r="A197" s="122" t="s">
        <v>652</v>
      </c>
    </row>
    <row r="198" spans="1:1">
      <c r="A198" s="122"/>
    </row>
    <row r="199" spans="1:1">
      <c r="A199" s="160" t="s">
        <v>653</v>
      </c>
    </row>
    <row r="200" spans="1:1">
      <c r="A200" s="159" t="s">
        <v>654</v>
      </c>
    </row>
    <row r="201" spans="1:1">
      <c r="A201" s="159" t="s">
        <v>655</v>
      </c>
    </row>
    <row r="202" spans="1:1">
      <c r="A202" s="159" t="s">
        <v>656</v>
      </c>
    </row>
    <row r="203" spans="1:1">
      <c r="A203" s="159" t="s">
        <v>657</v>
      </c>
    </row>
    <row r="204" spans="1:1">
      <c r="A204" s="159" t="s">
        <v>658</v>
      </c>
    </row>
    <row r="205" spans="1:1">
      <c r="A205" s="159" t="s">
        <v>659</v>
      </c>
    </row>
    <row r="206" spans="1:1">
      <c r="A206" s="159" t="s">
        <v>660</v>
      </c>
    </row>
    <row r="207" spans="1:1">
      <c r="A207" s="159" t="s">
        <v>661</v>
      </c>
    </row>
    <row r="208" spans="1:1">
      <c r="A208" s="159" t="s">
        <v>662</v>
      </c>
    </row>
    <row r="209" spans="1:1">
      <c r="A209" s="159" t="s">
        <v>663</v>
      </c>
    </row>
    <row r="210" spans="1:1">
      <c r="A210" s="159" t="s">
        <v>664</v>
      </c>
    </row>
    <row r="211" spans="1:1">
      <c r="A211" s="159" t="s">
        <v>665</v>
      </c>
    </row>
    <row r="212" spans="1:1">
      <c r="A212" s="159" t="s">
        <v>666</v>
      </c>
    </row>
    <row r="213" spans="1:1">
      <c r="A213" s="159" t="s">
        <v>667</v>
      </c>
    </row>
    <row r="214" spans="1:1">
      <c r="A214" s="159" t="s">
        <v>668</v>
      </c>
    </row>
    <row r="215" spans="1:1">
      <c r="A215" s="159" t="s">
        <v>669</v>
      </c>
    </row>
    <row r="216" spans="1:1">
      <c r="A216" s="159" t="s">
        <v>670</v>
      </c>
    </row>
    <row r="217" spans="1:1">
      <c r="A217" s="159" t="s">
        <v>671</v>
      </c>
    </row>
    <row r="218" spans="1:1">
      <c r="A218" s="159" t="s">
        <v>672</v>
      </c>
    </row>
    <row r="219" spans="1:1">
      <c r="A219" s="123"/>
    </row>
    <row r="220" spans="1:1">
      <c r="A220" s="122" t="s">
        <v>673</v>
      </c>
    </row>
    <row r="221" spans="1:1">
      <c r="A221" s="123" t="s">
        <v>674</v>
      </c>
    </row>
    <row r="222" spans="1:1">
      <c r="A222" s="123" t="s">
        <v>675</v>
      </c>
    </row>
    <row r="223" spans="1:1">
      <c r="A223" s="123" t="s">
        <v>676</v>
      </c>
    </row>
    <row r="224" spans="1:1">
      <c r="A224" s="123" t="s">
        <v>677</v>
      </c>
    </row>
    <row r="225" spans="1:1">
      <c r="A225" s="123" t="s">
        <v>678</v>
      </c>
    </row>
    <row r="226" spans="1:1">
      <c r="A226" s="123"/>
    </row>
    <row r="227" spans="1:1">
      <c r="A227" s="122" t="s">
        <v>679</v>
      </c>
    </row>
    <row r="228" spans="1:1">
      <c r="A228" s="123" t="s">
        <v>680</v>
      </c>
    </row>
    <row r="229" spans="1:1">
      <c r="A229" s="123" t="s">
        <v>681</v>
      </c>
    </row>
    <row r="230" spans="1:1">
      <c r="A230" s="123" t="s">
        <v>682</v>
      </c>
    </row>
    <row r="231" spans="1:1">
      <c r="A231" s="123" t="s">
        <v>585</v>
      </c>
    </row>
    <row r="232" spans="1:1">
      <c r="A232" s="123" t="s">
        <v>683</v>
      </c>
    </row>
    <row r="233" spans="1:1">
      <c r="A233" s="123"/>
    </row>
    <row r="234" spans="1:1">
      <c r="A234" s="160" t="s">
        <v>684</v>
      </c>
    </row>
    <row r="235" spans="1:1">
      <c r="A235" s="159" t="s">
        <v>685</v>
      </c>
    </row>
    <row r="236" spans="1:1">
      <c r="A236" s="159" t="s">
        <v>686</v>
      </c>
    </row>
    <row r="237" spans="1:1">
      <c r="A237" s="123"/>
    </row>
    <row r="238" spans="1:1">
      <c r="A238" s="122" t="s">
        <v>733</v>
      </c>
    </row>
    <row r="239" spans="1:1">
      <c r="A239" s="123" t="s">
        <v>687</v>
      </c>
    </row>
    <row r="240" spans="1:1">
      <c r="A240" s="123" t="s">
        <v>688</v>
      </c>
    </row>
    <row r="241" spans="1:1">
      <c r="A241" s="123"/>
    </row>
    <row r="242" spans="1:1">
      <c r="A242" s="121" t="s">
        <v>517</v>
      </c>
    </row>
    <row r="243" spans="1:1">
      <c r="A243" s="124"/>
    </row>
    <row r="244" spans="1:1">
      <c r="A244" s="125" t="s">
        <v>633</v>
      </c>
    </row>
    <row r="245" spans="1:1">
      <c r="A245" s="126"/>
    </row>
    <row r="246" spans="1:1">
      <c r="A246" s="125" t="s">
        <v>689</v>
      </c>
    </row>
    <row r="247" spans="1:1">
      <c r="A247" s="124"/>
    </row>
    <row r="248" spans="1:1">
      <c r="A248" s="121" t="s">
        <v>690</v>
      </c>
    </row>
    <row r="249" spans="1:1">
      <c r="A249" s="121"/>
    </row>
    <row r="250" spans="1:1">
      <c r="A250" s="122" t="s">
        <v>691</v>
      </c>
    </row>
    <row r="251" spans="1:1">
      <c r="A251" s="123" t="s">
        <v>692</v>
      </c>
    </row>
    <row r="252" spans="1:1">
      <c r="A252" s="123" t="s">
        <v>693</v>
      </c>
    </row>
    <row r="253" spans="1:1">
      <c r="A253" s="123"/>
    </row>
    <row r="254" spans="1:1">
      <c r="A254" s="122" t="s">
        <v>694</v>
      </c>
    </row>
    <row r="255" spans="1:1">
      <c r="A255" s="123" t="s">
        <v>695</v>
      </c>
    </row>
    <row r="256" spans="1:1">
      <c r="A256" s="123" t="s">
        <v>696</v>
      </c>
    </row>
    <row r="257" spans="1:1">
      <c r="A257" s="123" t="s">
        <v>697</v>
      </c>
    </row>
    <row r="258" spans="1:1">
      <c r="A258" s="123"/>
    </row>
    <row r="259" spans="1:1">
      <c r="A259" s="121" t="s">
        <v>698</v>
      </c>
    </row>
    <row r="260" spans="1:1">
      <c r="A260" s="124"/>
    </row>
    <row r="261" spans="1:1">
      <c r="A261" s="121" t="s">
        <v>699</v>
      </c>
    </row>
    <row r="262" spans="1:1">
      <c r="A262" s="124"/>
    </row>
    <row r="263" spans="1:1">
      <c r="A263" s="122" t="s">
        <v>700</v>
      </c>
    </row>
    <row r="264" spans="1:1">
      <c r="A264" s="123" t="s">
        <v>701</v>
      </c>
    </row>
    <row r="265" spans="1:1">
      <c r="A265" s="123" t="s">
        <v>702</v>
      </c>
    </row>
    <row r="266" spans="1:1">
      <c r="A266" s="123" t="s">
        <v>703</v>
      </c>
    </row>
    <row r="267" spans="1:1">
      <c r="A267" s="123" t="s">
        <v>704</v>
      </c>
    </row>
    <row r="268" spans="1:1">
      <c r="A268" s="123" t="s">
        <v>705</v>
      </c>
    </row>
    <row r="269" spans="1:1">
      <c r="A269" s="123"/>
    </row>
    <row r="270" spans="1:1">
      <c r="A270" s="122" t="s">
        <v>706</v>
      </c>
    </row>
    <row r="271" spans="1:1">
      <c r="A271" s="123" t="s">
        <v>707</v>
      </c>
    </row>
    <row r="272" spans="1:1">
      <c r="A272" s="123" t="s">
        <v>708</v>
      </c>
    </row>
    <row r="273" spans="1:1">
      <c r="A273" s="123"/>
    </row>
    <row r="274" spans="1:1">
      <c r="A274" s="122" t="s">
        <v>709</v>
      </c>
    </row>
    <row r="275" spans="1:1">
      <c r="A275" s="122"/>
    </row>
    <row r="276" spans="1:1">
      <c r="A276" s="121" t="s">
        <v>517</v>
      </c>
    </row>
    <row r="277" spans="1:1">
      <c r="A277" s="124"/>
    </row>
    <row r="278" spans="1:1">
      <c r="A278" s="119" t="s">
        <v>710</v>
      </c>
    </row>
    <row r="279" spans="1:1">
      <c r="A279" s="124"/>
    </row>
    <row r="280" spans="1:1">
      <c r="A280" s="119" t="s">
        <v>711</v>
      </c>
    </row>
    <row r="281" spans="1:1">
      <c r="A281" s="124"/>
    </row>
    <row r="282" spans="1:1">
      <c r="A282" s="119" t="s">
        <v>712</v>
      </c>
    </row>
    <row r="283" spans="1:1">
      <c r="A283" s="124"/>
    </row>
    <row r="284" spans="1:1">
      <c r="A284" s="119" t="s">
        <v>713</v>
      </c>
    </row>
    <row r="285" spans="1:1">
      <c r="A285" s="124"/>
    </row>
    <row r="286" spans="1:1">
      <c r="A286" s="119" t="s">
        <v>714</v>
      </c>
    </row>
  </sheetData>
  <sheetProtection sheet="1" objects="1" scenarios="1"/>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H108"/>
  <sheetViews>
    <sheetView topLeftCell="A73" zoomScaleNormal="100" workbookViewId="0">
      <selection activeCell="K5" sqref="K5"/>
    </sheetView>
  </sheetViews>
  <sheetFormatPr defaultRowHeight="15.75"/>
  <cols>
    <col min="1" max="1" width="13.375" style="6" bestFit="1" customWidth="1"/>
    <col min="2" max="2" width="15.125" customWidth="1"/>
    <col min="3" max="3" width="7.625" style="7" customWidth="1"/>
    <col min="4" max="4" width="16.625" style="7" bestFit="1" customWidth="1"/>
    <col min="5" max="5" width="15.125" customWidth="1"/>
    <col min="6" max="7" width="15.625" customWidth="1"/>
    <col min="8" max="8" width="14.625" customWidth="1"/>
  </cols>
  <sheetData>
    <row r="1" spans="1:8" ht="32.25">
      <c r="A1" s="5" t="s">
        <v>508</v>
      </c>
      <c r="B1" s="104" t="str">
        <f>Account!$G$1</f>
        <v>FUND 501 CARP</v>
      </c>
    </row>
    <row r="2" spans="1:8" ht="32.25">
      <c r="A2" s="5" t="s">
        <v>370</v>
      </c>
      <c r="B2" s="799" t="s">
        <v>1245</v>
      </c>
      <c r="C2" s="1310">
        <f>VLOOKUP(B2,Code,3,)</f>
        <v>1040502000</v>
      </c>
      <c r="D2" s="1310"/>
      <c r="E2" s="1310"/>
      <c r="F2" s="1310"/>
    </row>
    <row r="3" spans="1:8" ht="23.25">
      <c r="A3" s="5" t="s">
        <v>371</v>
      </c>
      <c r="B3" s="8" t="str">
        <f>VLOOKUP(B2,Code,2,)</f>
        <v>Semi-Expendable Office Equipment</v>
      </c>
      <c r="C3"/>
      <c r="D3"/>
    </row>
    <row r="4" spans="1:8" ht="15.75" customHeight="1">
      <c r="A4" s="1313" t="s">
        <v>0</v>
      </c>
      <c r="B4" s="1313" t="s">
        <v>739</v>
      </c>
      <c r="C4" s="1312" t="s">
        <v>718</v>
      </c>
      <c r="D4" s="1312" t="s">
        <v>440</v>
      </c>
      <c r="E4" s="1312" t="s">
        <v>1</v>
      </c>
      <c r="F4" s="1312" t="s">
        <v>2</v>
      </c>
      <c r="G4" s="1311" t="s">
        <v>839</v>
      </c>
      <c r="H4" s="553" t="str">
        <f t="array" ref="H4">IF(C2=0,0,INDEX(AccountCodes[Normal Balance],MATCH(C2,AccountCodes[PPSAS CODE])))</f>
        <v>Debit</v>
      </c>
    </row>
    <row r="5" spans="1:8">
      <c r="A5" s="1313"/>
      <c r="B5" s="1313"/>
      <c r="C5" s="1312"/>
      <c r="D5" s="1312"/>
      <c r="E5" s="1312"/>
      <c r="F5" s="1312"/>
      <c r="G5" s="1311"/>
      <c r="H5" s="187" t="s">
        <v>379</v>
      </c>
    </row>
    <row r="6" spans="1:8">
      <c r="A6" s="289">
        <f>PostTB!A2</f>
        <v>44926</v>
      </c>
      <c r="B6" s="189" t="str">
        <f>IF(C6=0,0,VLOOKUP(C6,Account!$F$26:$G$51,2))</f>
        <v>Regional Office</v>
      </c>
      <c r="C6" s="61" t="s">
        <v>494</v>
      </c>
      <c r="D6" s="22" t="s">
        <v>373</v>
      </c>
      <c r="E6" s="290">
        <f t="array" ref="E6">(SUM(IF((PostTB[Account Code (Old)]=TRIM($B$2))*(PostTB[Sort Code]=C6),PostTB[Debit])))</f>
        <v>0</v>
      </c>
      <c r="F6" s="290">
        <f t="array" ref="F6">(SUM(IF((PostTB[Account Code (Old)]=TRIM($B$2))*(PostTB[Sort Code]=C6),PostTB[Credit])))</f>
        <v>0</v>
      </c>
      <c r="G6" s="294">
        <f>IF($H$4=$E$4,E6-F6,F6-E6)</f>
        <v>0</v>
      </c>
      <c r="H6" s="290">
        <f>IF($H$4=$E$4,E6-F6,F6-E6)</f>
        <v>0</v>
      </c>
    </row>
    <row r="7" spans="1:8">
      <c r="A7" s="289">
        <f>PostTB!A2</f>
        <v>44926</v>
      </c>
      <c r="B7" s="189" t="str">
        <f>IF(C7=0,0,VLOOKUP(C7,Account!$F$26:$G$51,2))</f>
        <v>Ilocos Norte IMO</v>
      </c>
      <c r="C7" s="61" t="s">
        <v>484</v>
      </c>
      <c r="D7" s="22"/>
      <c r="E7" s="290">
        <f t="array" ref="E7">(SUM(IF((PostTB[Account Code (Old)]=TRIM($B$2))*(PostTB[Sort Code]=C7),PostTB[Debit])))</f>
        <v>0</v>
      </c>
      <c r="F7" s="290">
        <f t="array" ref="F7">(SUM(IF((PostTB[Account Code (Old)]=TRIM($B$2))*(PostTB[Sort Code]=C7),PostTB[Credit])))</f>
        <v>0</v>
      </c>
      <c r="G7" s="294">
        <f>IF($H$4=$E$4,E7-F7,F7-E7)</f>
        <v>0</v>
      </c>
      <c r="H7" s="290">
        <f>IF($H$4=$E$4,E7-F7,F7-E7)</f>
        <v>0</v>
      </c>
    </row>
    <row r="8" spans="1:8">
      <c r="A8" s="289">
        <f>PostTB!A2</f>
        <v>44926</v>
      </c>
      <c r="B8" s="189" t="str">
        <f>IF(C8=0,0,VLOOKUP(C8,Account!$F$26:$G$51,2))</f>
        <v>Ilocos Sur IMO</v>
      </c>
      <c r="C8" s="61" t="s">
        <v>485</v>
      </c>
      <c r="D8" s="22"/>
      <c r="E8" s="290">
        <f t="array" ref="E8">(SUM(IF((PostTB[Account Code (Old)]=TRIM($B$2))*(PostTB[Sort Code]=C8),PostTB[Debit])))</f>
        <v>0</v>
      </c>
      <c r="F8" s="290">
        <f t="array" ref="F8">(SUM(IF((PostTB[Account Code (Old)]=TRIM($B$2))*(PostTB[Sort Code]=C8),PostTB[Credit])))</f>
        <v>0</v>
      </c>
      <c r="G8" s="294">
        <f>IF($H$4=$E$4,E8-F8,F8-E8)</f>
        <v>0</v>
      </c>
      <c r="H8" s="290">
        <f>IF($H$4=$E$4,E8-F8,F8-E8)</f>
        <v>0</v>
      </c>
    </row>
    <row r="9" spans="1:8">
      <c r="A9" s="289">
        <f>PostTB!A2</f>
        <v>44926</v>
      </c>
      <c r="B9" s="189" t="str">
        <f>IF(C9=0,0,VLOOKUP(C9,Account!$F$26:$G$51,2))</f>
        <v>La Union</v>
      </c>
      <c r="C9" s="61" t="s">
        <v>486</v>
      </c>
      <c r="D9" s="22"/>
      <c r="E9" s="290">
        <f t="array" ref="E9">(SUM(IF((PostTB[Account Code (Old)]=TRIM($B$2))*(PostTB[Sort Code]=C9),PostTB[Debit])))</f>
        <v>0</v>
      </c>
      <c r="F9" s="290">
        <f t="array" ref="F9">(SUM(IF((PostTB[Account Code (Old)]=TRIM($B$2))*(PostTB[Sort Code]=C9),PostTB[Credit])))</f>
        <v>0</v>
      </c>
      <c r="G9" s="294">
        <f>IF($H$4=$E$4,E9-F9,F9-E9)</f>
        <v>0</v>
      </c>
      <c r="H9" s="290">
        <f>IF($H$4=$E$4,E9-F9,F9-E9)</f>
        <v>0</v>
      </c>
    </row>
    <row r="10" spans="1:8">
      <c r="A10" s="289">
        <f>PostTB!A2</f>
        <v>44926</v>
      </c>
      <c r="B10" s="189" t="str">
        <f>IF(C10=0,0,VLOOKUP(C10,Account!$F$26:$G$51,2))</f>
        <v>Pangasinan IMO</v>
      </c>
      <c r="C10" s="61" t="s">
        <v>762</v>
      </c>
      <c r="D10" s="22"/>
      <c r="E10" s="290">
        <f t="array" ref="E10">(SUM(IF((PostTB[Account Code (Old)]=TRIM($B$2))*(PostTB[Sort Code]=C10),PostTB[Debit])))</f>
        <v>0</v>
      </c>
      <c r="F10" s="290">
        <f t="array" ref="F10">(SUM(IF((PostTB[Account Code (Old)]=TRIM($B$2))*(PostTB[Sort Code]=C10),PostTB[Credit])))</f>
        <v>0</v>
      </c>
      <c r="G10" s="294">
        <f>IF($H$4=$E$4,E10-F10,F10-E10)</f>
        <v>0</v>
      </c>
      <c r="H10" s="290">
        <f>IF($H$4=$E$4,E10-F10,F10-E10)</f>
        <v>0</v>
      </c>
    </row>
    <row r="11" spans="1:8">
      <c r="A11" s="1306">
        <f>A10</f>
        <v>44926</v>
      </c>
      <c r="B11" s="1307"/>
      <c r="C11" s="1307"/>
      <c r="D11" s="1308"/>
      <c r="E11" s="20">
        <f>SUM(E6:E10)</f>
        <v>0</v>
      </c>
      <c r="F11" s="20">
        <f>SUM(F6:F10)</f>
        <v>0</v>
      </c>
      <c r="G11" s="295">
        <f>SUM(G6:G10)</f>
        <v>0</v>
      </c>
      <c r="H11" s="20">
        <f>SUM(H6:H10)</f>
        <v>0</v>
      </c>
    </row>
    <row r="12" spans="1:8">
      <c r="A12" s="11"/>
      <c r="B12" s="188"/>
      <c r="C12" s="190"/>
      <c r="D12" s="12"/>
      <c r="E12" s="13"/>
      <c r="F12" s="13"/>
      <c r="G12" s="296"/>
      <c r="H12" s="12"/>
    </row>
    <row r="13" spans="1:8">
      <c r="A13" s="11"/>
      <c r="B13" s="188"/>
      <c r="C13" s="190"/>
      <c r="D13" s="12"/>
      <c r="E13" s="13"/>
      <c r="F13" s="13"/>
      <c r="G13" s="296"/>
      <c r="H13" s="12"/>
    </row>
    <row r="14" spans="1:8">
      <c r="A14" s="11">
        <f>Account!$G$12</f>
        <v>44957</v>
      </c>
      <c r="B14" s="189" t="str">
        <f>IF(C14=0,0,VLOOKUP(C14,Account!$F$26:$G$51,2))</f>
        <v>Regional Office</v>
      </c>
      <c r="C14" s="61" t="s">
        <v>494</v>
      </c>
      <c r="D14" s="14"/>
      <c r="E14" s="17">
        <f t="array" ref="E14">(SUM(IF((CkDJ[Date]=A14)*(CkDJ[Account Code]=TRIM($B$2))*(CkDJ[Sort Code]=C14),CkDJ[Debit])))+(SUM(IF((CsDJ[Date]=A14)*(CsDJ[Account Code]=TRIM($B$2))*(CsDJ[Sort Code]=C14),CsDJ[Debit])))+(SUM(IF((CRDJ[Date]=A14)*(CRDJ[Account Code]=TRIM($B$2))*(CRDJ[Sort Code]=C14),CRDJ[Debit])))+(SUM(IF((GJ[Date]=A14)*(GJ[Account Code]=TRIM($B$2))*(GJ[Sort Code]=C14),GJ[Debit])))</f>
        <v>0</v>
      </c>
      <c r="F14" s="17">
        <f t="array" ref="F14">(SUM(IF((CkDJ[Date]=A14)*(CkDJ[Account Code]=TRIM($B$2))*(CkDJ[Sort Code]=C14),CkDJ[Credit])))+(SUM(IF((CsDJ[Date]=A14)*(CsDJ[Account Code]=TRIM($B$2))*(CsDJ[Sort Code]=C14),CsDJ[Credit])))+(SUM(IF((CRDJ[Date]=A14)*(CRDJ[Account Code]=TRIM($B$2))*(CRDJ[Sort Code]=C14),CRDJ[Credit])))+(SUM(IF((GJ[Date]=A14)*(GJ[Account Code]=TRIM($B$2))*(GJ[Sort Code]=C14),GJ[Credit])))</f>
        <v>0</v>
      </c>
      <c r="G14" s="294">
        <f>IF($H$4=$E$4,E14-F14,F14-E14)</f>
        <v>0</v>
      </c>
      <c r="H14" s="291">
        <f>IF($H$4=$E$4,H6+E14-F14,H6+F14-E14)</f>
        <v>0</v>
      </c>
    </row>
    <row r="15" spans="1:8">
      <c r="A15" s="11">
        <f>Account!$G$12</f>
        <v>44957</v>
      </c>
      <c r="B15" s="189" t="str">
        <f>IF(C15=0,0,VLOOKUP(C15,Account!$F$26:$G$51,2))</f>
        <v>Ilocos Norte IMO</v>
      </c>
      <c r="C15" s="61" t="s">
        <v>484</v>
      </c>
      <c r="D15" s="14"/>
      <c r="E15" s="17">
        <f t="array" ref="E15">(SUM(IF((CkDJ[Date]=A15)*(CkDJ[Account Code]=TRIM($B$2))*(CkDJ[Sort Code]=C15),CkDJ[Debit])))+(SUM(IF((CsDJ[Date]=A15)*(CsDJ[Account Code]=TRIM($B$2))*(CsDJ[Sort Code]=C15),CsDJ[Debit])))+(SUM(IF((CRDJ[Date]=A15)*(CRDJ[Account Code]=TRIM($B$2))*(CRDJ[Sort Code]=C15),CRDJ[Debit])))+(SUM(IF((GJ[Date]=A15)*(GJ[Account Code]=TRIM($B$2))*(GJ[Sort Code]=C15),GJ[Debit])))</f>
        <v>0</v>
      </c>
      <c r="F15" s="17">
        <f t="array" ref="F15">(SUM(IF((CkDJ[Date]=A15)*(CkDJ[Account Code]=TRIM($B$2))*(CkDJ[Sort Code]=C15),CkDJ[Credit])))+(SUM(IF((CsDJ[Date]=A15)*(CsDJ[Account Code]=TRIM($B$2))*(CsDJ[Sort Code]=C15),CsDJ[Credit])))+(SUM(IF((CRDJ[Date]=A15)*(CRDJ[Account Code]=TRIM($B$2))*(CRDJ[Sort Code]=C15),CRDJ[Credit])))+(SUM(IF((GJ[Date]=A15)*(GJ[Account Code]=TRIM($B$2))*(GJ[Sort Code]=C15),GJ[Credit])))</f>
        <v>0</v>
      </c>
      <c r="G15" s="294">
        <f>IF($H$4=$E$4,E15-F15,F15-E15)</f>
        <v>0</v>
      </c>
      <c r="H15" s="291">
        <f>IF($H$4=$E$4,H7+E15-F15,H7+F15-E15)</f>
        <v>0</v>
      </c>
    </row>
    <row r="16" spans="1:8">
      <c r="A16" s="11">
        <f>Account!$G$12</f>
        <v>44957</v>
      </c>
      <c r="B16" s="189" t="str">
        <f>IF(C16=0,0,VLOOKUP(C16,Account!$F$26:$G$51,2))</f>
        <v>Ilocos Sur IMO</v>
      </c>
      <c r="C16" s="61" t="s">
        <v>485</v>
      </c>
      <c r="D16" s="14"/>
      <c r="E16" s="17">
        <f t="array" ref="E16">(SUM(IF((CkDJ[Date]=A16)*(CkDJ[Account Code]=TRIM($B$2))*(CkDJ[Sort Code]=C16),CkDJ[Debit])))+(SUM(IF((CsDJ[Date]=A16)*(CsDJ[Account Code]=TRIM($B$2))*(CsDJ[Sort Code]=C16),CsDJ[Debit])))+(SUM(IF((CRDJ[Date]=A16)*(CRDJ[Account Code]=TRIM($B$2))*(CRDJ[Sort Code]=C16),CRDJ[Debit])))+(SUM(IF((GJ[Date]=A16)*(GJ[Account Code]=TRIM($B$2))*(GJ[Sort Code]=C16),GJ[Debit])))</f>
        <v>0</v>
      </c>
      <c r="F16" s="17">
        <f t="array" ref="F16">(SUM(IF((CkDJ[Date]=A16)*(CkDJ[Account Code]=TRIM($B$2))*(CkDJ[Sort Code]=C16),CkDJ[Credit])))+(SUM(IF((CsDJ[Date]=A16)*(CsDJ[Account Code]=TRIM($B$2))*(CsDJ[Sort Code]=C16),CsDJ[Credit])))+(SUM(IF((CRDJ[Date]=A16)*(CRDJ[Account Code]=TRIM($B$2))*(CRDJ[Sort Code]=C16),CRDJ[Credit])))+(SUM(IF((GJ[Date]=A16)*(GJ[Account Code]=TRIM($B$2))*(GJ[Sort Code]=C16),GJ[Credit])))</f>
        <v>0</v>
      </c>
      <c r="G16" s="294">
        <f>IF($H$4=$E$4,E16-F16,F16-E16)</f>
        <v>0</v>
      </c>
      <c r="H16" s="291">
        <f>IF($H$4=$E$4,H8+E16-F16,H8+F16-E16)</f>
        <v>0</v>
      </c>
    </row>
    <row r="17" spans="1:8">
      <c r="A17" s="11">
        <f>Account!$G$12</f>
        <v>44957</v>
      </c>
      <c r="B17" s="189" t="str">
        <f>IF(C17=0,0,VLOOKUP(C17,Account!$F$26:$G$51,2))</f>
        <v>La Union</v>
      </c>
      <c r="C17" s="61" t="s">
        <v>486</v>
      </c>
      <c r="D17" s="14"/>
      <c r="E17" s="17">
        <f t="array" ref="E17">(SUM(IF((CkDJ[Date]=A17)*(CkDJ[Account Code]=TRIM($B$2))*(CkDJ[Sort Code]=C17),CkDJ[Debit])))+(SUM(IF((CsDJ[Date]=A17)*(CsDJ[Account Code]=TRIM($B$2))*(CsDJ[Sort Code]=C17),CsDJ[Debit])))+(SUM(IF((CRDJ[Date]=A17)*(CRDJ[Account Code]=TRIM($B$2))*(CRDJ[Sort Code]=C17),CRDJ[Debit])))+(SUM(IF((GJ[Date]=A17)*(GJ[Account Code]=TRIM($B$2))*(GJ[Sort Code]=C17),GJ[Debit])))</f>
        <v>0</v>
      </c>
      <c r="F17" s="17">
        <f t="array" ref="F17">(SUM(IF((CkDJ[Date]=A17)*(CkDJ[Account Code]=TRIM($B$2))*(CkDJ[Sort Code]=C17),CkDJ[Credit])))+(SUM(IF((CsDJ[Date]=A17)*(CsDJ[Account Code]=TRIM($B$2))*(CsDJ[Sort Code]=C17),CsDJ[Credit])))+(SUM(IF((CRDJ[Date]=A17)*(CRDJ[Account Code]=TRIM($B$2))*(CRDJ[Sort Code]=C17),CRDJ[Credit])))+(SUM(IF((GJ[Date]=A17)*(GJ[Account Code]=TRIM($B$2))*(GJ[Sort Code]=C17),GJ[Credit])))</f>
        <v>0</v>
      </c>
      <c r="G17" s="294">
        <f>IF($H$4=$E$4,E17-F17,F17-E17)</f>
        <v>0</v>
      </c>
      <c r="H17" s="291">
        <f>IF($H$4=$E$4,H9+E17-F17,H9+F17-E17)</f>
        <v>0</v>
      </c>
    </row>
    <row r="18" spans="1:8">
      <c r="A18" s="11">
        <f>Account!$G$12</f>
        <v>44957</v>
      </c>
      <c r="B18" s="189" t="str">
        <f>IF(C18=0,0,VLOOKUP(C18,Account!$F$26:$G$51,2))</f>
        <v>Pangasinan IMO</v>
      </c>
      <c r="C18" s="61" t="s">
        <v>762</v>
      </c>
      <c r="D18" s="14"/>
      <c r="E18" s="17">
        <f t="array" ref="E18">(SUM(IF((CkDJ[Date]=A18)*(CkDJ[Account Code]=TRIM($B$2))*(CkDJ[Sort Code]=C18),CkDJ[Debit])))+(SUM(IF((CsDJ[Date]=A18)*(CsDJ[Account Code]=TRIM($B$2))*(CsDJ[Sort Code]=C18),CsDJ[Debit])))+(SUM(IF((CRDJ[Date]=A18)*(CRDJ[Account Code]=TRIM($B$2))*(CRDJ[Sort Code]=C18),CRDJ[Debit])))+(SUM(IF((GJ[Date]=A18)*(GJ[Account Code]=TRIM($B$2))*(GJ[Sort Code]=C18),GJ[Debit])))</f>
        <v>0</v>
      </c>
      <c r="F18" s="17">
        <f t="array" ref="F18">(SUM(IF((CkDJ[Date]=A18)*(CkDJ[Account Code]=TRIM($B$2))*(CkDJ[Sort Code]=C18),CkDJ[Credit])))+(SUM(IF((CsDJ[Date]=A18)*(CsDJ[Account Code]=TRIM($B$2))*(CsDJ[Sort Code]=C18),CsDJ[Credit])))+(SUM(IF((CRDJ[Date]=A18)*(CRDJ[Account Code]=TRIM($B$2))*(CRDJ[Sort Code]=C18),CRDJ[Credit])))+(SUM(IF((GJ[Date]=A18)*(GJ[Account Code]=TRIM($B$2))*(GJ[Sort Code]=C18),GJ[Credit])))</f>
        <v>0</v>
      </c>
      <c r="G18" s="294">
        <f>IF($H$4=$E$4,E18-F18,F18-E18)</f>
        <v>0</v>
      </c>
      <c r="H18" s="291">
        <f>IF($H$4=$E$4,H10+E18-F18,H10+F18-E18)</f>
        <v>0</v>
      </c>
    </row>
    <row r="19" spans="1:8">
      <c r="A19" s="1302">
        <f>A18</f>
        <v>44957</v>
      </c>
      <c r="B19" s="1309"/>
      <c r="C19" s="1309"/>
      <c r="D19" s="1303"/>
      <c r="E19" s="191">
        <f>SUM(E14:E18)</f>
        <v>0</v>
      </c>
      <c r="F19" s="191">
        <f>SUM(F14:F18)</f>
        <v>0</v>
      </c>
      <c r="G19" s="297">
        <f>SUM(G14:G18)</f>
        <v>0</v>
      </c>
      <c r="H19" s="23">
        <f>IF($H$4=$E$4,E19-F19,F19-E19)</f>
        <v>0</v>
      </c>
    </row>
    <row r="20" spans="1:8">
      <c r="A20" s="1306">
        <f>A19</f>
        <v>44957</v>
      </c>
      <c r="B20" s="1307"/>
      <c r="C20" s="1307"/>
      <c r="D20" s="1308"/>
      <c r="E20" s="20">
        <f>E11+E19</f>
        <v>0</v>
      </c>
      <c r="F20" s="20">
        <f>F11+F19</f>
        <v>0</v>
      </c>
      <c r="G20" s="295">
        <f>G11+G19</f>
        <v>0</v>
      </c>
      <c r="H20" s="20">
        <f>IF($H$4=$E$4,E20-F20,F20-E20)</f>
        <v>0</v>
      </c>
    </row>
    <row r="21" spans="1:8">
      <c r="A21" s="11"/>
      <c r="B21" s="188"/>
      <c r="C21" s="190"/>
      <c r="D21" s="12"/>
      <c r="E21" s="13"/>
      <c r="F21" s="13"/>
      <c r="G21" s="296"/>
      <c r="H21" s="12"/>
    </row>
    <row r="22" spans="1:8">
      <c r="A22" s="11">
        <f>Account!$G$13</f>
        <v>44985</v>
      </c>
      <c r="B22" s="189" t="str">
        <f>IF(C22=0,0,VLOOKUP(C22,Account!$F$26:$G$51,2))</f>
        <v>Regional Office</v>
      </c>
      <c r="C22" s="61" t="s">
        <v>494</v>
      </c>
      <c r="D22" s="14"/>
      <c r="E22" s="17">
        <f t="array" ref="E22">(SUM(IF((CkDJ[Date]=A22)*(CkDJ[Account Code]=TRIM($B$2))*(CkDJ[Sort Code]=C22),CkDJ[Debit])))+(SUM(IF((CsDJ[Date]=A22)*(CsDJ[Account Code]=TRIM($B$2))*(CsDJ[Sort Code]=C22),CsDJ[Debit])))+(SUM(IF((CRDJ[Date]=A22)*(CRDJ[Account Code]=TRIM($B$2))*(CRDJ[Sort Code]=C22),CRDJ[Debit])))+(SUM(IF((GJ[Date]=A22)*(GJ[Account Code]=TRIM($B$2))*(GJ[Sort Code]=C22),GJ[Debit])))</f>
        <v>0</v>
      </c>
      <c r="F22" s="17">
        <f t="array" ref="F22">(SUM(IF((CkDJ[Date]=A22)*(CkDJ[Account Code]=TRIM($B$2))*(CkDJ[Sort Code]=C22),CkDJ[Credit])))+(SUM(IF((CsDJ[Date]=A22)*(CsDJ[Account Code]=TRIM($B$2))*(CsDJ[Sort Code]=C22),CsDJ[Credit])))+(SUM(IF((CRDJ[Date]=A22)*(CRDJ[Account Code]=TRIM($B$2))*(CRDJ[Sort Code]=C22),CRDJ[Credit])))+(SUM(IF((GJ[Date]=A22)*(GJ[Account Code]=TRIM($B$2))*(GJ[Sort Code]=C22),GJ[Credit])))</f>
        <v>0</v>
      </c>
      <c r="G22" s="294">
        <f>IF($H$4=$E$4,E22-F22,F22-E22)</f>
        <v>0</v>
      </c>
      <c r="H22" s="291">
        <f>IF($H$4=$E$4,H14+E22-F22,H14+F22-E22)</f>
        <v>0</v>
      </c>
    </row>
    <row r="23" spans="1:8">
      <c r="A23" s="11">
        <f>Account!$G$13</f>
        <v>44985</v>
      </c>
      <c r="B23" s="189" t="str">
        <f>IF(C23=0,0,VLOOKUP(C23,Account!$F$26:$G$51,2))</f>
        <v>Ilocos Norte IMO</v>
      </c>
      <c r="C23" s="61" t="s">
        <v>484</v>
      </c>
      <c r="D23" s="14"/>
      <c r="E23" s="17">
        <f t="array" ref="E23">(SUM(IF((CkDJ[Date]=A23)*(CkDJ[Account Code]=TRIM($B$2))*(CkDJ[Sort Code]=C23),CkDJ[Debit])))+(SUM(IF((CsDJ[Date]=A23)*(CsDJ[Account Code]=TRIM($B$2))*(CsDJ[Sort Code]=C23),CsDJ[Debit])))+(SUM(IF((CRDJ[Date]=A23)*(CRDJ[Account Code]=TRIM($B$2))*(CRDJ[Sort Code]=C23),CRDJ[Debit])))+(SUM(IF((GJ[Date]=A23)*(GJ[Account Code]=TRIM($B$2))*(GJ[Sort Code]=C23),GJ[Debit])))</f>
        <v>0</v>
      </c>
      <c r="F23" s="17">
        <f t="array" ref="F23">(SUM(IF((CkDJ[Date]=A23)*(CkDJ[Account Code]=TRIM($B$2))*(CkDJ[Sort Code]=C23),CkDJ[Credit])))+(SUM(IF((CsDJ[Date]=A23)*(CsDJ[Account Code]=TRIM($B$2))*(CsDJ[Sort Code]=C23),CsDJ[Credit])))+(SUM(IF((CRDJ[Date]=A23)*(CRDJ[Account Code]=TRIM($B$2))*(CRDJ[Sort Code]=C23),CRDJ[Credit])))+(SUM(IF((GJ[Date]=A23)*(GJ[Account Code]=TRIM($B$2))*(GJ[Sort Code]=C23),GJ[Credit])))</f>
        <v>0</v>
      </c>
      <c r="G23" s="294">
        <f>IF($H$4=$E$4,E23-F23,F23-E23)</f>
        <v>0</v>
      </c>
      <c r="H23" s="291">
        <f>IF($H$4=$E$4,H15+E23-F23,H15+F23-E23)</f>
        <v>0</v>
      </c>
    </row>
    <row r="24" spans="1:8">
      <c r="A24" s="11">
        <f>Account!$G$13</f>
        <v>44985</v>
      </c>
      <c r="B24" s="189" t="str">
        <f>IF(C24=0,0,VLOOKUP(C24,Account!$F$26:$G$51,2))</f>
        <v>Ilocos Sur IMO</v>
      </c>
      <c r="C24" s="61" t="s">
        <v>485</v>
      </c>
      <c r="D24" s="14"/>
      <c r="E24" s="17">
        <f t="array" ref="E24">(SUM(IF((CkDJ[Date]=A24)*(CkDJ[Account Code]=TRIM($B$2))*(CkDJ[Sort Code]=C24),CkDJ[Debit])))+(SUM(IF((CsDJ[Date]=A24)*(CsDJ[Account Code]=TRIM($B$2))*(CsDJ[Sort Code]=C24),CsDJ[Debit])))+(SUM(IF((CRDJ[Date]=A24)*(CRDJ[Account Code]=TRIM($B$2))*(CRDJ[Sort Code]=C24),CRDJ[Debit])))+(SUM(IF((GJ[Date]=A24)*(GJ[Account Code]=TRIM($B$2))*(GJ[Sort Code]=C24),GJ[Debit])))</f>
        <v>0</v>
      </c>
      <c r="F24" s="17">
        <f t="array" ref="F24">(SUM(IF((CkDJ[Date]=A24)*(CkDJ[Account Code]=TRIM($B$2))*(CkDJ[Sort Code]=C24),CkDJ[Credit])))+(SUM(IF((CsDJ[Date]=A24)*(CsDJ[Account Code]=TRIM($B$2))*(CsDJ[Sort Code]=C24),CsDJ[Credit])))+(SUM(IF((CRDJ[Date]=A24)*(CRDJ[Account Code]=TRIM($B$2))*(CRDJ[Sort Code]=C24),CRDJ[Credit])))+(SUM(IF((GJ[Date]=A24)*(GJ[Account Code]=TRIM($B$2))*(GJ[Sort Code]=C24),GJ[Credit])))</f>
        <v>0</v>
      </c>
      <c r="G24" s="294">
        <f>IF($H$4=$E$4,E24-F24,F24-E24)</f>
        <v>0</v>
      </c>
      <c r="H24" s="291">
        <f>IF($H$4=$E$4,H16+E24-F24,H16+F24-E24)</f>
        <v>0</v>
      </c>
    </row>
    <row r="25" spans="1:8">
      <c r="A25" s="11">
        <f>Account!$G$13</f>
        <v>44985</v>
      </c>
      <c r="B25" s="189" t="str">
        <f>IF(C25=0,0,VLOOKUP(C25,Account!$F$26:$G$51,2))</f>
        <v>La Union</v>
      </c>
      <c r="C25" s="61" t="s">
        <v>486</v>
      </c>
      <c r="D25" s="14"/>
      <c r="E25" s="17">
        <f t="array" ref="E25">(SUM(IF((CkDJ[Date]=A25)*(CkDJ[Account Code]=TRIM($B$2))*(CkDJ[Sort Code]=C25),CkDJ[Debit])))+(SUM(IF((CsDJ[Date]=A25)*(CsDJ[Account Code]=TRIM($B$2))*(CsDJ[Sort Code]=C25),CsDJ[Debit])))+(SUM(IF((CRDJ[Date]=A25)*(CRDJ[Account Code]=TRIM($B$2))*(CRDJ[Sort Code]=C25),CRDJ[Debit])))+(SUM(IF((GJ[Date]=A25)*(GJ[Account Code]=TRIM($B$2))*(GJ[Sort Code]=C25),GJ[Debit])))</f>
        <v>0</v>
      </c>
      <c r="F25" s="17">
        <f t="array" ref="F25">(SUM(IF((CkDJ[Date]=A25)*(CkDJ[Account Code]=TRIM($B$2))*(CkDJ[Sort Code]=C25),CkDJ[Credit])))+(SUM(IF((CsDJ[Date]=A25)*(CsDJ[Account Code]=TRIM($B$2))*(CsDJ[Sort Code]=C25),CsDJ[Credit])))+(SUM(IF((CRDJ[Date]=A25)*(CRDJ[Account Code]=TRIM($B$2))*(CRDJ[Sort Code]=C25),CRDJ[Credit])))+(SUM(IF((GJ[Date]=A25)*(GJ[Account Code]=TRIM($B$2))*(GJ[Sort Code]=C25),GJ[Credit])))</f>
        <v>0</v>
      </c>
      <c r="G25" s="294">
        <f>IF($H$4=$E$4,E25-F25,F25-E25)</f>
        <v>0</v>
      </c>
      <c r="H25" s="291">
        <f>IF($H$4=$E$4,H17+E25-F25,H17+F25-E25)</f>
        <v>0</v>
      </c>
    </row>
    <row r="26" spans="1:8">
      <c r="A26" s="11">
        <f>Account!$G$13</f>
        <v>44985</v>
      </c>
      <c r="B26" s="189" t="str">
        <f>IF(C26=0,0,VLOOKUP(C26,Account!$F$26:$G$51,2))</f>
        <v>Pangasinan IMO</v>
      </c>
      <c r="C26" s="61" t="s">
        <v>762</v>
      </c>
      <c r="D26" s="14"/>
      <c r="E26" s="17">
        <f t="array" ref="E26">(SUM(IF((CkDJ[Date]=A26)*(CkDJ[Account Code]=TRIM($B$2))*(CkDJ[Sort Code]=C26),CkDJ[Debit])))+(SUM(IF((CsDJ[Date]=A26)*(CsDJ[Account Code]=TRIM($B$2))*(CsDJ[Sort Code]=C26),CsDJ[Debit])))+(SUM(IF((CRDJ[Date]=A26)*(CRDJ[Account Code]=TRIM($B$2))*(CRDJ[Sort Code]=C26),CRDJ[Debit])))+(SUM(IF((GJ[Date]=A26)*(GJ[Account Code]=TRIM($B$2))*(GJ[Sort Code]=C26),GJ[Debit])))</f>
        <v>0</v>
      </c>
      <c r="F26" s="17">
        <f t="array" ref="F26">(SUM(IF((CkDJ[Date]=A26)*(CkDJ[Account Code]=TRIM($B$2))*(CkDJ[Sort Code]=C26),CkDJ[Credit])))+(SUM(IF((CsDJ[Date]=A26)*(CsDJ[Account Code]=TRIM($B$2))*(CsDJ[Sort Code]=C26),CsDJ[Credit])))+(SUM(IF((CRDJ[Date]=A26)*(CRDJ[Account Code]=TRIM($B$2))*(CRDJ[Sort Code]=C26),CRDJ[Credit])))+(SUM(IF((GJ[Date]=A26)*(GJ[Account Code]=TRIM($B$2))*(GJ[Sort Code]=C26),GJ[Credit])))</f>
        <v>0</v>
      </c>
      <c r="G26" s="294">
        <f>IF($H$4=$E$4,E26-F26,F26-E26)</f>
        <v>0</v>
      </c>
      <c r="H26" s="291">
        <f>IF($H$4=$E$4,H18+E26-F26,H18+F26-E26)</f>
        <v>0</v>
      </c>
    </row>
    <row r="27" spans="1:8">
      <c r="A27" s="1302">
        <f>A26</f>
        <v>44985</v>
      </c>
      <c r="B27" s="1309"/>
      <c r="C27" s="1309"/>
      <c r="D27" s="1303"/>
      <c r="E27" s="191">
        <f>SUM(E22:E26)</f>
        <v>0</v>
      </c>
      <c r="F27" s="191">
        <f>SUM(F22:F26)</f>
        <v>0</v>
      </c>
      <c r="G27" s="297">
        <f>SUM(G22:G26)</f>
        <v>0</v>
      </c>
      <c r="H27" s="23">
        <f>IF($H$4=$E$4,E27-F27,F27-E27)</f>
        <v>0</v>
      </c>
    </row>
    <row r="28" spans="1:8">
      <c r="A28" s="1306">
        <f>A27</f>
        <v>44985</v>
      </c>
      <c r="B28" s="1307"/>
      <c r="C28" s="1307"/>
      <c r="D28" s="1308"/>
      <c r="E28" s="20">
        <f>E20+E27</f>
        <v>0</v>
      </c>
      <c r="F28" s="20">
        <f>F20+F27</f>
        <v>0</v>
      </c>
      <c r="G28" s="295">
        <f>G19+G27</f>
        <v>0</v>
      </c>
      <c r="H28" s="20">
        <f>IF($H$4=$E$4,E28-F28,F28-E28)</f>
        <v>0</v>
      </c>
    </row>
    <row r="29" spans="1:8">
      <c r="A29" s="11"/>
      <c r="B29" s="188"/>
      <c r="C29" s="190"/>
      <c r="D29" s="12"/>
      <c r="E29" s="13"/>
      <c r="F29" s="13"/>
      <c r="G29" s="296"/>
      <c r="H29" s="12"/>
    </row>
    <row r="30" spans="1:8">
      <c r="A30" s="11">
        <f>Account!$G$14</f>
        <v>45016</v>
      </c>
      <c r="B30" s="189" t="str">
        <f>IF(C30=0,0,VLOOKUP(C30,Account!$F$26:$G$51,2))</f>
        <v>Regional Office</v>
      </c>
      <c r="C30" s="61" t="s">
        <v>494</v>
      </c>
      <c r="D30" s="14"/>
      <c r="E30" s="17">
        <f t="array" ref="E30">(SUM(IF((CkDJ[Date]=A30)*(CkDJ[Account Code]=TRIM($B$2))*(CkDJ[Sort Code]=C30),CkDJ[Debit])))+(SUM(IF((CsDJ[Date]=A30)*(CsDJ[Account Code]=TRIM($B$2))*(CsDJ[Sort Code]=C30),CsDJ[Debit])))+(SUM(IF((CRDJ[Date]=A30)*(CRDJ[Account Code]=TRIM($B$2))*(CRDJ[Sort Code]=C30),CRDJ[Debit])))+(SUM(IF((GJ[Date]=A30)*(GJ[Account Code]=TRIM($B$2))*(GJ[Sort Code]=C30),GJ[Debit])))</f>
        <v>0</v>
      </c>
      <c r="F30" s="17">
        <f t="array" ref="F30">(SUM(IF((CkDJ[Date]=A30)*(CkDJ[Account Code]=TRIM($B$2))*(CkDJ[Sort Code]=C30),CkDJ[Credit])))+(SUM(IF((CsDJ[Date]=A30)*(CsDJ[Account Code]=TRIM($B$2))*(CsDJ[Sort Code]=C30),CsDJ[Credit])))+(SUM(IF((CRDJ[Date]=A30)*(CRDJ[Account Code]=TRIM($B$2))*(CRDJ[Sort Code]=C30),CRDJ[Credit])))+(SUM(IF((GJ[Date]=A30)*(GJ[Account Code]=TRIM($B$2))*(GJ[Sort Code]=C30),GJ[Credit])))</f>
        <v>5525</v>
      </c>
      <c r="G30" s="294">
        <f>IF($H$4=$E$4,E30-F30,F30-E30)</f>
        <v>-5525</v>
      </c>
      <c r="H30" s="291">
        <f>IF($H$4=$E$4,H22+E30-F30,H22+F30-E30)</f>
        <v>-5525</v>
      </c>
    </row>
    <row r="31" spans="1:8">
      <c r="A31" s="11">
        <f>Account!$G$14</f>
        <v>45016</v>
      </c>
      <c r="B31" s="189" t="str">
        <f>IF(C31=0,0,VLOOKUP(C31,Account!$F$26:$G$51,2))</f>
        <v>Ilocos Norte IMO</v>
      </c>
      <c r="C31" s="61" t="s">
        <v>484</v>
      </c>
      <c r="D31" s="14"/>
      <c r="E31" s="17">
        <f t="array" ref="E31">(SUM(IF((CkDJ[Date]=A31)*(CkDJ[Account Code]=TRIM($B$2))*(CkDJ[Sort Code]=C31),CkDJ[Debit])))+(SUM(IF((CsDJ[Date]=A31)*(CsDJ[Account Code]=TRIM($B$2))*(CsDJ[Sort Code]=C31),CsDJ[Debit])))+(SUM(IF((CRDJ[Date]=A31)*(CRDJ[Account Code]=TRIM($B$2))*(CRDJ[Sort Code]=C31),CRDJ[Debit])))+(SUM(IF((GJ[Date]=A31)*(GJ[Account Code]=TRIM($B$2))*(GJ[Sort Code]=C31),GJ[Debit])))</f>
        <v>0</v>
      </c>
      <c r="F31" s="17">
        <f t="array" ref="F31">(SUM(IF((CkDJ[Date]=A31)*(CkDJ[Account Code]=TRIM($B$2))*(CkDJ[Sort Code]=C31),CkDJ[Credit])))+(SUM(IF((CsDJ[Date]=A31)*(CsDJ[Account Code]=TRIM($B$2))*(CsDJ[Sort Code]=C31),CsDJ[Credit])))+(SUM(IF((CRDJ[Date]=A31)*(CRDJ[Account Code]=TRIM($B$2))*(CRDJ[Sort Code]=C31),CRDJ[Credit])))+(SUM(IF((GJ[Date]=A31)*(GJ[Account Code]=TRIM($B$2))*(GJ[Sort Code]=C31),GJ[Credit])))</f>
        <v>0</v>
      </c>
      <c r="G31" s="294">
        <f>IF($H$4=$E$4,E31-F31,F31-E31)</f>
        <v>0</v>
      </c>
      <c r="H31" s="291">
        <f>IF($H$4=$E$4,H23+E31-F31,H23+F31-E31)</f>
        <v>0</v>
      </c>
    </row>
    <row r="32" spans="1:8">
      <c r="A32" s="11">
        <f>Account!$G$14</f>
        <v>45016</v>
      </c>
      <c r="B32" s="189" t="str">
        <f>IF(C32=0,0,VLOOKUP(C32,Account!$F$26:$G$51,2))</f>
        <v>Ilocos Sur IMO</v>
      </c>
      <c r="C32" s="61" t="s">
        <v>485</v>
      </c>
      <c r="D32" s="14"/>
      <c r="E32" s="17">
        <f t="array" ref="E32">(SUM(IF((CkDJ[Date]=A32)*(CkDJ[Account Code]=TRIM($B$2))*(CkDJ[Sort Code]=C32),CkDJ[Debit])))+(SUM(IF((CsDJ[Date]=A32)*(CsDJ[Account Code]=TRIM($B$2))*(CsDJ[Sort Code]=C32),CsDJ[Debit])))+(SUM(IF((CRDJ[Date]=A32)*(CRDJ[Account Code]=TRIM($B$2))*(CRDJ[Sort Code]=C32),CRDJ[Debit])))+(SUM(IF((GJ[Date]=A32)*(GJ[Account Code]=TRIM($B$2))*(GJ[Sort Code]=C32),GJ[Debit])))</f>
        <v>0</v>
      </c>
      <c r="F32" s="17">
        <f t="array" ref="F32">(SUM(IF((CkDJ[Date]=A32)*(CkDJ[Account Code]=TRIM($B$2))*(CkDJ[Sort Code]=C32),CkDJ[Credit])))+(SUM(IF((CsDJ[Date]=A32)*(CsDJ[Account Code]=TRIM($B$2))*(CsDJ[Sort Code]=C32),CsDJ[Credit])))+(SUM(IF((CRDJ[Date]=A32)*(CRDJ[Account Code]=TRIM($B$2))*(CRDJ[Sort Code]=C32),CRDJ[Credit])))+(SUM(IF((GJ[Date]=A32)*(GJ[Account Code]=TRIM($B$2))*(GJ[Sort Code]=C32),GJ[Credit])))</f>
        <v>0</v>
      </c>
      <c r="G32" s="294">
        <f>IF($H$4=$E$4,E32-F32,F32-E32)</f>
        <v>0</v>
      </c>
      <c r="H32" s="291">
        <f>IF($H$4=$E$4,H24+E32-F32,H24+F32-E32)</f>
        <v>0</v>
      </c>
    </row>
    <row r="33" spans="1:8">
      <c r="A33" s="11">
        <f>Account!$G$14</f>
        <v>45016</v>
      </c>
      <c r="B33" s="189" t="str">
        <f>IF(C33=0,0,VLOOKUP(C33,Account!$F$26:$G$51,2))</f>
        <v>La Union</v>
      </c>
      <c r="C33" s="61" t="s">
        <v>486</v>
      </c>
      <c r="D33" s="14"/>
      <c r="E33" s="17">
        <f t="array" ref="E33">(SUM(IF((CkDJ[Date]=A33)*(CkDJ[Account Code]=TRIM($B$2))*(CkDJ[Sort Code]=C33),CkDJ[Debit])))+(SUM(IF((CsDJ[Date]=A33)*(CsDJ[Account Code]=TRIM($B$2))*(CsDJ[Sort Code]=C33),CsDJ[Debit])))+(SUM(IF((CRDJ[Date]=A33)*(CRDJ[Account Code]=TRIM($B$2))*(CRDJ[Sort Code]=C33),CRDJ[Debit])))+(SUM(IF((GJ[Date]=A33)*(GJ[Account Code]=TRIM($B$2))*(GJ[Sort Code]=C33),GJ[Debit])))</f>
        <v>0</v>
      </c>
      <c r="F33" s="17">
        <f t="array" ref="F33">(SUM(IF((CkDJ[Date]=A33)*(CkDJ[Account Code]=TRIM($B$2))*(CkDJ[Sort Code]=C33),CkDJ[Credit])))+(SUM(IF((CsDJ[Date]=A33)*(CsDJ[Account Code]=TRIM($B$2))*(CsDJ[Sort Code]=C33),CsDJ[Credit])))+(SUM(IF((CRDJ[Date]=A33)*(CRDJ[Account Code]=TRIM($B$2))*(CRDJ[Sort Code]=C33),CRDJ[Credit])))+(SUM(IF((GJ[Date]=A33)*(GJ[Account Code]=TRIM($B$2))*(GJ[Sort Code]=C33),GJ[Credit])))</f>
        <v>0</v>
      </c>
      <c r="G33" s="294">
        <f>IF($H$4=$E$4,E33-F33,F33-E33)</f>
        <v>0</v>
      </c>
      <c r="H33" s="291">
        <f>IF($H$4=$E$4,H25+E33-F33,H25+F33-E33)</f>
        <v>0</v>
      </c>
    </row>
    <row r="34" spans="1:8">
      <c r="A34" s="11">
        <f>Account!$G$14</f>
        <v>45016</v>
      </c>
      <c r="B34" s="189" t="str">
        <f>IF(C34=0,0,VLOOKUP(C34,Account!$F$26:$G$51,2))</f>
        <v>Pangasinan IMO</v>
      </c>
      <c r="C34" s="61" t="s">
        <v>762</v>
      </c>
      <c r="D34" s="14"/>
      <c r="E34" s="17">
        <f t="array" ref="E34">(SUM(IF((CkDJ[Date]=A34)*(CkDJ[Account Code]=TRIM($B$2))*(CkDJ[Sort Code]=C34),CkDJ[Debit])))+(SUM(IF((CsDJ[Date]=A34)*(CsDJ[Account Code]=TRIM($B$2))*(CsDJ[Sort Code]=C34),CsDJ[Debit])))+(SUM(IF((CRDJ[Date]=A34)*(CRDJ[Account Code]=TRIM($B$2))*(CRDJ[Sort Code]=C34),CRDJ[Debit])))+(SUM(IF((GJ[Date]=A34)*(GJ[Account Code]=TRIM($B$2))*(GJ[Sort Code]=C34),GJ[Debit])))</f>
        <v>0</v>
      </c>
      <c r="F34" s="17">
        <f t="array" ref="F34">(SUM(IF((CkDJ[Date]=A34)*(CkDJ[Account Code]=TRIM($B$2))*(CkDJ[Sort Code]=C34),CkDJ[Credit])))+(SUM(IF((CsDJ[Date]=A34)*(CsDJ[Account Code]=TRIM($B$2))*(CsDJ[Sort Code]=C34),CsDJ[Credit])))+(SUM(IF((CRDJ[Date]=A34)*(CRDJ[Account Code]=TRIM($B$2))*(CRDJ[Sort Code]=C34),CRDJ[Credit])))+(SUM(IF((GJ[Date]=A34)*(GJ[Account Code]=TRIM($B$2))*(GJ[Sort Code]=C34),GJ[Credit])))</f>
        <v>0</v>
      </c>
      <c r="G34" s="294">
        <f>IF($H$4=$E$4,E34-F34,F34-E34)</f>
        <v>0</v>
      </c>
      <c r="H34" s="291">
        <f>IF($H$4=$E$4,H26+E34-F34,H26+F34-E34)</f>
        <v>0</v>
      </c>
    </row>
    <row r="35" spans="1:8">
      <c r="A35" s="1302">
        <f>A34</f>
        <v>45016</v>
      </c>
      <c r="B35" s="1309"/>
      <c r="C35" s="1309"/>
      <c r="D35" s="1303"/>
      <c r="E35" s="191">
        <f>SUM(E30:E34)</f>
        <v>0</v>
      </c>
      <c r="F35" s="191">
        <f>SUM(F30:F34)</f>
        <v>5525</v>
      </c>
      <c r="G35" s="297">
        <f>SUM(G30:G34)</f>
        <v>-5525</v>
      </c>
      <c r="H35" s="23">
        <f>IF($H$4=$E$4,E35-F35,F35-E35)</f>
        <v>-5525</v>
      </c>
    </row>
    <row r="36" spans="1:8">
      <c r="A36" s="1306">
        <f>A35</f>
        <v>45016</v>
      </c>
      <c r="B36" s="1307"/>
      <c r="C36" s="1307"/>
      <c r="D36" s="1308"/>
      <c r="E36" s="20">
        <f>E28+E35</f>
        <v>0</v>
      </c>
      <c r="F36" s="20">
        <f>F28+F35</f>
        <v>5525</v>
      </c>
      <c r="G36" s="295">
        <f>G27+G35</f>
        <v>-5525</v>
      </c>
      <c r="H36" s="20">
        <f>IF($H$4=$E$4,E36-F36,F36-E36)</f>
        <v>-5525</v>
      </c>
    </row>
    <row r="37" spans="1:8">
      <c r="A37" s="11"/>
      <c r="B37" s="188"/>
      <c r="C37" s="190"/>
      <c r="D37" s="12"/>
      <c r="E37" s="13"/>
      <c r="F37" s="13"/>
      <c r="G37" s="296"/>
      <c r="H37" s="12"/>
    </row>
    <row r="38" spans="1:8">
      <c r="A38" s="11">
        <f>Account!$G$15</f>
        <v>45046</v>
      </c>
      <c r="B38" s="189" t="str">
        <f>IF(C38=0,0,VLOOKUP(C38,Account!$F$26:$G$51,2))</f>
        <v>Regional Office</v>
      </c>
      <c r="C38" s="61" t="s">
        <v>494</v>
      </c>
      <c r="D38" s="14"/>
      <c r="E38" s="17">
        <f t="array" ref="E38">(SUM(IF((CkDJ[Date]=A38)*(CkDJ[Account Code]=TRIM($B$2))*(CkDJ[Sort Code]=C38),CkDJ[Debit])))+(SUM(IF((CsDJ[Date]=A38)*(CsDJ[Account Code]=TRIM($B$2))*(CsDJ[Sort Code]=C38),CsDJ[Debit])))+(SUM(IF((CRDJ[Date]=A38)*(CRDJ[Account Code]=TRIM($B$2))*(CRDJ[Sort Code]=C38),CRDJ[Debit])))+(SUM(IF((GJ[Date]=A38)*(GJ[Account Code]=TRIM($B$2))*(GJ[Sort Code]=C38),GJ[Debit])))</f>
        <v>0</v>
      </c>
      <c r="F38" s="17">
        <f t="array" ref="F38">(SUM(IF((CkDJ[Date]=A38)*(CkDJ[Account Code]=TRIM($B$2))*(CkDJ[Sort Code]=C38),CkDJ[Credit])))+(SUM(IF((CsDJ[Date]=A38)*(CsDJ[Account Code]=TRIM($B$2))*(CsDJ[Sort Code]=C38),CsDJ[Credit])))+(SUM(IF((CRDJ[Date]=A38)*(CRDJ[Account Code]=TRIM($B$2))*(CRDJ[Sort Code]=C38),CRDJ[Credit])))+(SUM(IF((GJ[Date]=A38)*(GJ[Account Code]=TRIM($B$2))*(GJ[Sort Code]=C38),GJ[Credit])))</f>
        <v>0</v>
      </c>
      <c r="G38" s="294">
        <f>IF($H$4=$E$4,E38-F38,F38-E38)</f>
        <v>0</v>
      </c>
      <c r="H38" s="291">
        <f>IF($H$4=$E$4,H30+E38-F38,H30+F38-E38)</f>
        <v>-5525</v>
      </c>
    </row>
    <row r="39" spans="1:8">
      <c r="A39" s="11">
        <f>Account!$G$15</f>
        <v>45046</v>
      </c>
      <c r="B39" s="189" t="str">
        <f>IF(C39=0,0,VLOOKUP(C39,Account!$F$26:$G$51,2))</f>
        <v>Ilocos Norte IMO</v>
      </c>
      <c r="C39" s="61" t="s">
        <v>484</v>
      </c>
      <c r="D39" s="14"/>
      <c r="E39" s="17">
        <f t="array" ref="E39">(SUM(IF((CkDJ[Date]=A39)*(CkDJ[Account Code]=TRIM($B$2))*(CkDJ[Sort Code]=C39),CkDJ[Debit])))+(SUM(IF((CsDJ[Date]=A39)*(CsDJ[Account Code]=TRIM($B$2))*(CsDJ[Sort Code]=C39),CsDJ[Debit])))+(SUM(IF((CRDJ[Date]=A39)*(CRDJ[Account Code]=TRIM($B$2))*(CRDJ[Sort Code]=C39),CRDJ[Debit])))+(SUM(IF((GJ[Date]=A39)*(GJ[Account Code]=TRIM($B$2))*(GJ[Sort Code]=C39),GJ[Debit])))</f>
        <v>0</v>
      </c>
      <c r="F39" s="17">
        <f t="array" ref="F39">(SUM(IF((CkDJ[Date]=A39)*(CkDJ[Account Code]=TRIM($B$2))*(CkDJ[Sort Code]=C39),CkDJ[Credit])))+(SUM(IF((CsDJ[Date]=A39)*(CsDJ[Account Code]=TRIM($B$2))*(CsDJ[Sort Code]=C39),CsDJ[Credit])))+(SUM(IF((CRDJ[Date]=A39)*(CRDJ[Account Code]=TRIM($B$2))*(CRDJ[Sort Code]=C39),CRDJ[Credit])))+(SUM(IF((GJ[Date]=A39)*(GJ[Account Code]=TRIM($B$2))*(GJ[Sort Code]=C39),GJ[Credit])))</f>
        <v>0</v>
      </c>
      <c r="G39" s="294">
        <f>IF($H$4=$E$4,E39-F39,F39-E39)</f>
        <v>0</v>
      </c>
      <c r="H39" s="291">
        <f>IF($H$4=$E$4,H31+E39-F39,H31+F39-E39)</f>
        <v>0</v>
      </c>
    </row>
    <row r="40" spans="1:8">
      <c r="A40" s="11">
        <f>Account!$G$15</f>
        <v>45046</v>
      </c>
      <c r="B40" s="189" t="str">
        <f>IF(C40=0,0,VLOOKUP(C40,Account!$F$26:$G$51,2))</f>
        <v>Ilocos Sur IMO</v>
      </c>
      <c r="C40" s="61" t="s">
        <v>485</v>
      </c>
      <c r="D40" s="14"/>
      <c r="E40" s="17">
        <f t="array" ref="E40">(SUM(IF((CkDJ[Date]=A40)*(CkDJ[Account Code]=TRIM($B$2))*(CkDJ[Sort Code]=C40),CkDJ[Debit])))+(SUM(IF((CsDJ[Date]=A40)*(CsDJ[Account Code]=TRIM($B$2))*(CsDJ[Sort Code]=C40),CsDJ[Debit])))+(SUM(IF((CRDJ[Date]=A40)*(CRDJ[Account Code]=TRIM($B$2))*(CRDJ[Sort Code]=C40),CRDJ[Debit])))+(SUM(IF((GJ[Date]=A40)*(GJ[Account Code]=TRIM($B$2))*(GJ[Sort Code]=C40),GJ[Debit])))</f>
        <v>0</v>
      </c>
      <c r="F40" s="17">
        <f t="array" ref="F40">(SUM(IF((CkDJ[Date]=A40)*(CkDJ[Account Code]=TRIM($B$2))*(CkDJ[Sort Code]=C40),CkDJ[Credit])))+(SUM(IF((CsDJ[Date]=A40)*(CsDJ[Account Code]=TRIM($B$2))*(CsDJ[Sort Code]=C40),CsDJ[Credit])))+(SUM(IF((CRDJ[Date]=A40)*(CRDJ[Account Code]=TRIM($B$2))*(CRDJ[Sort Code]=C40),CRDJ[Credit])))+(SUM(IF((GJ[Date]=A40)*(GJ[Account Code]=TRIM($B$2))*(GJ[Sort Code]=C40),GJ[Credit])))</f>
        <v>0</v>
      </c>
      <c r="G40" s="294">
        <f>IF($H$4=$E$4,E40-F40,F40-E40)</f>
        <v>0</v>
      </c>
      <c r="H40" s="291">
        <f>IF($H$4=$E$4,H32+E40-F40,H32+F40-E40)</f>
        <v>0</v>
      </c>
    </row>
    <row r="41" spans="1:8">
      <c r="A41" s="11">
        <f>Account!$G$15</f>
        <v>45046</v>
      </c>
      <c r="B41" s="189" t="str">
        <f>IF(C41=0,0,VLOOKUP(C41,Account!$F$26:$G$51,2))</f>
        <v>La Union</v>
      </c>
      <c r="C41" s="61" t="s">
        <v>486</v>
      </c>
      <c r="D41" s="14"/>
      <c r="E41" s="17">
        <f t="array" ref="E41">(SUM(IF((CkDJ[Date]=A41)*(CkDJ[Account Code]=TRIM($B$2))*(CkDJ[Sort Code]=C41),CkDJ[Debit])))+(SUM(IF((CsDJ[Date]=A41)*(CsDJ[Account Code]=TRIM($B$2))*(CsDJ[Sort Code]=C41),CsDJ[Debit])))+(SUM(IF((CRDJ[Date]=A41)*(CRDJ[Account Code]=TRIM($B$2))*(CRDJ[Sort Code]=C41),CRDJ[Debit])))+(SUM(IF((GJ[Date]=A41)*(GJ[Account Code]=TRIM($B$2))*(GJ[Sort Code]=C41),GJ[Debit])))</f>
        <v>0</v>
      </c>
      <c r="F41" s="17">
        <f t="array" ref="F41">(SUM(IF((CkDJ[Date]=A41)*(CkDJ[Account Code]=TRIM($B$2))*(CkDJ[Sort Code]=C41),CkDJ[Credit])))+(SUM(IF((CsDJ[Date]=A41)*(CsDJ[Account Code]=TRIM($B$2))*(CsDJ[Sort Code]=C41),CsDJ[Credit])))+(SUM(IF((CRDJ[Date]=A41)*(CRDJ[Account Code]=TRIM($B$2))*(CRDJ[Sort Code]=C41),CRDJ[Credit])))+(SUM(IF((GJ[Date]=A41)*(GJ[Account Code]=TRIM($B$2))*(GJ[Sort Code]=C41),GJ[Credit])))</f>
        <v>0</v>
      </c>
      <c r="G41" s="294">
        <f>IF($H$4=$E$4,E41-F41,F41-E41)</f>
        <v>0</v>
      </c>
      <c r="H41" s="291">
        <f>IF($H$4=$E$4,H33+E41-F41,H33+F41-E41)</f>
        <v>0</v>
      </c>
    </row>
    <row r="42" spans="1:8">
      <c r="A42" s="11">
        <f>Account!$G$15</f>
        <v>45046</v>
      </c>
      <c r="B42" s="189" t="str">
        <f>IF(C42=0,0,VLOOKUP(C42,Account!$F$26:$G$51,2))</f>
        <v>Pangasinan IMO</v>
      </c>
      <c r="C42" s="61" t="s">
        <v>762</v>
      </c>
      <c r="D42" s="14"/>
      <c r="E42" s="17">
        <f t="array" ref="E42">(SUM(IF((CkDJ[Date]=A42)*(CkDJ[Account Code]=TRIM($B$2))*(CkDJ[Sort Code]=C42),CkDJ[Debit])))+(SUM(IF((CsDJ[Date]=A42)*(CsDJ[Account Code]=TRIM($B$2))*(CsDJ[Sort Code]=C42),CsDJ[Debit])))+(SUM(IF((CRDJ[Date]=A42)*(CRDJ[Account Code]=TRIM($B$2))*(CRDJ[Sort Code]=C42),CRDJ[Debit])))+(SUM(IF((GJ[Date]=A42)*(GJ[Account Code]=TRIM($B$2))*(GJ[Sort Code]=C42),GJ[Debit])))</f>
        <v>0</v>
      </c>
      <c r="F42" s="17">
        <f t="array" ref="F42">(SUM(IF((CkDJ[Date]=A42)*(CkDJ[Account Code]=TRIM($B$2))*(CkDJ[Sort Code]=C42),CkDJ[Credit])))+(SUM(IF((CsDJ[Date]=A42)*(CsDJ[Account Code]=TRIM($B$2))*(CsDJ[Sort Code]=C42),CsDJ[Credit])))+(SUM(IF((CRDJ[Date]=A42)*(CRDJ[Account Code]=TRIM($B$2))*(CRDJ[Sort Code]=C42),CRDJ[Credit])))+(SUM(IF((GJ[Date]=A42)*(GJ[Account Code]=TRIM($B$2))*(GJ[Sort Code]=C42),GJ[Credit])))</f>
        <v>0</v>
      </c>
      <c r="G42" s="294">
        <f>IF($H$4=$E$4,E42-F42,F42-E42)</f>
        <v>0</v>
      </c>
      <c r="H42" s="291">
        <f>IF($H$4=$E$4,H34+E42-F42,H34+F42-E42)</f>
        <v>0</v>
      </c>
    </row>
    <row r="43" spans="1:8">
      <c r="A43" s="1302">
        <f>A42</f>
        <v>45046</v>
      </c>
      <c r="B43" s="1309"/>
      <c r="C43" s="1309"/>
      <c r="D43" s="1303"/>
      <c r="E43" s="191">
        <f>SUM(E38:E42)</f>
        <v>0</v>
      </c>
      <c r="F43" s="191">
        <f>SUM(F38:F42)</f>
        <v>0</v>
      </c>
      <c r="G43" s="297">
        <f>SUM(G38:G42)</f>
        <v>0</v>
      </c>
      <c r="H43" s="23">
        <f>IF($H$4=$E$4,E43-F43,F43-E43)</f>
        <v>0</v>
      </c>
    </row>
    <row r="44" spans="1:8">
      <c r="A44" s="1306">
        <f>A43</f>
        <v>45046</v>
      </c>
      <c r="B44" s="1307"/>
      <c r="C44" s="1307"/>
      <c r="D44" s="1308"/>
      <c r="E44" s="20">
        <f>E36+E43</f>
        <v>0</v>
      </c>
      <c r="F44" s="20">
        <f>F36+F43</f>
        <v>5525</v>
      </c>
      <c r="G44" s="295">
        <f>G35+G43</f>
        <v>-5525</v>
      </c>
      <c r="H44" s="20">
        <f>IF($H$4=$E$4,E44-F44,F44-E44)</f>
        <v>-5525</v>
      </c>
    </row>
    <row r="45" spans="1:8">
      <c r="A45" s="11"/>
      <c r="B45" s="188"/>
      <c r="C45" s="190"/>
      <c r="D45" s="12"/>
      <c r="E45" s="13"/>
      <c r="F45" s="13"/>
      <c r="G45" s="296"/>
      <c r="H45" s="12"/>
    </row>
    <row r="46" spans="1:8">
      <c r="A46" s="11">
        <f>Account!$G$16</f>
        <v>45077</v>
      </c>
      <c r="B46" s="189" t="str">
        <f>IF(C46=0,0,VLOOKUP(C46,Account!$F$26:$G$51,2))</f>
        <v>Regional Office</v>
      </c>
      <c r="C46" s="61" t="s">
        <v>494</v>
      </c>
      <c r="D46" s="14"/>
      <c r="E46" s="17">
        <f t="array" ref="E46">(SUM(IF((CkDJ[Date]=A46)*(CkDJ[Account Code]=TRIM($B$2))*(CkDJ[Sort Code]=C46),CkDJ[Debit])))+(SUM(IF((CsDJ[Date]=A46)*(CsDJ[Account Code]=TRIM($B$2))*(CsDJ[Sort Code]=C46),CsDJ[Debit])))+(SUM(IF((CRDJ[Date]=A46)*(CRDJ[Account Code]=TRIM($B$2))*(CRDJ[Sort Code]=C46),CRDJ[Debit])))+(SUM(IF((GJ[Date]=A46)*(GJ[Account Code]=TRIM($B$2))*(GJ[Sort Code]=C46),GJ[Debit])))</f>
        <v>0</v>
      </c>
      <c r="F46" s="17">
        <f t="array" ref="F46">(SUM(IF((CkDJ[Date]=A46)*(CkDJ[Account Code]=TRIM($B$2))*(CkDJ[Sort Code]=C46),CkDJ[Credit])))+(SUM(IF((CsDJ[Date]=A46)*(CsDJ[Account Code]=TRIM($B$2))*(CsDJ[Sort Code]=C46),CsDJ[Credit])))+(SUM(IF((CRDJ[Date]=A46)*(CRDJ[Account Code]=TRIM($B$2))*(CRDJ[Sort Code]=C46),CRDJ[Credit])))+(SUM(IF((GJ[Date]=A46)*(GJ[Account Code]=TRIM($B$2))*(GJ[Sort Code]=C46),GJ[Credit])))</f>
        <v>16404</v>
      </c>
      <c r="G46" s="294">
        <f>IF($H$4=$E$4,E46-F46,F46-E46)</f>
        <v>-16404</v>
      </c>
      <c r="H46" s="291">
        <f>IF($H$4=$E$4,H38+E46-F46,H38+F46-E46)</f>
        <v>-21929</v>
      </c>
    </row>
    <row r="47" spans="1:8">
      <c r="A47" s="11">
        <f>Account!$G$16</f>
        <v>45077</v>
      </c>
      <c r="B47" s="189" t="str">
        <f>IF(C47=0,0,VLOOKUP(C47,Account!$F$26:$G$51,2))</f>
        <v>Ilocos Norte IMO</v>
      </c>
      <c r="C47" s="61" t="s">
        <v>484</v>
      </c>
      <c r="D47" s="14"/>
      <c r="E47" s="17">
        <f t="array" ref="E47">(SUM(IF((CkDJ[Date]=A47)*(CkDJ[Account Code]=TRIM($B$2))*(CkDJ[Sort Code]=C47),CkDJ[Debit])))+(SUM(IF((CsDJ[Date]=A47)*(CsDJ[Account Code]=TRIM($B$2))*(CsDJ[Sort Code]=C47),CsDJ[Debit])))+(SUM(IF((CRDJ[Date]=A47)*(CRDJ[Account Code]=TRIM($B$2))*(CRDJ[Sort Code]=C47),CRDJ[Debit])))+(SUM(IF((GJ[Date]=A47)*(GJ[Account Code]=TRIM($B$2))*(GJ[Sort Code]=C47),GJ[Debit])))</f>
        <v>0</v>
      </c>
      <c r="F47" s="17">
        <f t="array" ref="F47">(SUM(IF((CkDJ[Date]=A47)*(CkDJ[Account Code]=TRIM($B$2))*(CkDJ[Sort Code]=C47),CkDJ[Credit])))+(SUM(IF((CsDJ[Date]=A47)*(CsDJ[Account Code]=TRIM($B$2))*(CsDJ[Sort Code]=C47),CsDJ[Credit])))+(SUM(IF((CRDJ[Date]=A47)*(CRDJ[Account Code]=TRIM($B$2))*(CRDJ[Sort Code]=C47),CRDJ[Credit])))+(SUM(IF((GJ[Date]=A47)*(GJ[Account Code]=TRIM($B$2))*(GJ[Sort Code]=C47),GJ[Credit])))</f>
        <v>0</v>
      </c>
      <c r="G47" s="294">
        <f>IF($H$4=$E$4,E47-F47,F47-E47)</f>
        <v>0</v>
      </c>
      <c r="H47" s="291">
        <f>IF($H$4=$E$4,H39+E47-F47,H39+F47-E47)</f>
        <v>0</v>
      </c>
    </row>
    <row r="48" spans="1:8">
      <c r="A48" s="11">
        <f>Account!$G$16</f>
        <v>45077</v>
      </c>
      <c r="B48" s="189" t="str">
        <f>IF(C48=0,0,VLOOKUP(C48,Account!$F$26:$G$51,2))</f>
        <v>Ilocos Sur IMO</v>
      </c>
      <c r="C48" s="61" t="s">
        <v>485</v>
      </c>
      <c r="D48" s="14"/>
      <c r="E48" s="17">
        <f t="array" ref="E48">(SUM(IF((CkDJ[Date]=A48)*(CkDJ[Account Code]=TRIM($B$2))*(CkDJ[Sort Code]=C48),CkDJ[Debit])))+(SUM(IF((CsDJ[Date]=A48)*(CsDJ[Account Code]=TRIM($B$2))*(CsDJ[Sort Code]=C48),CsDJ[Debit])))+(SUM(IF((CRDJ[Date]=A48)*(CRDJ[Account Code]=TRIM($B$2))*(CRDJ[Sort Code]=C48),CRDJ[Debit])))+(SUM(IF((GJ[Date]=A48)*(GJ[Account Code]=TRIM($B$2))*(GJ[Sort Code]=C48),GJ[Debit])))</f>
        <v>0</v>
      </c>
      <c r="F48" s="17">
        <f t="array" ref="F48">(SUM(IF((CkDJ[Date]=A48)*(CkDJ[Account Code]=TRIM($B$2))*(CkDJ[Sort Code]=C48),CkDJ[Credit])))+(SUM(IF((CsDJ[Date]=A48)*(CsDJ[Account Code]=TRIM($B$2))*(CsDJ[Sort Code]=C48),CsDJ[Credit])))+(SUM(IF((CRDJ[Date]=A48)*(CRDJ[Account Code]=TRIM($B$2))*(CRDJ[Sort Code]=C48),CRDJ[Credit])))+(SUM(IF((GJ[Date]=A48)*(GJ[Account Code]=TRIM($B$2))*(GJ[Sort Code]=C48),GJ[Credit])))</f>
        <v>0</v>
      </c>
      <c r="G48" s="294">
        <f>IF($H$4=$E$4,E48-F48,F48-E48)</f>
        <v>0</v>
      </c>
      <c r="H48" s="291">
        <f>IF($H$4=$E$4,H40+E48-F48,H40+F48-E48)</f>
        <v>0</v>
      </c>
    </row>
    <row r="49" spans="1:8">
      <c r="A49" s="11">
        <f>Account!$G$16</f>
        <v>45077</v>
      </c>
      <c r="B49" s="189" t="str">
        <f>IF(C49=0,0,VLOOKUP(C49,Account!$F$26:$G$51,2))</f>
        <v>La Union</v>
      </c>
      <c r="C49" s="61" t="s">
        <v>486</v>
      </c>
      <c r="D49" s="14"/>
      <c r="E49" s="17">
        <f t="array" ref="E49">(SUM(IF((CkDJ[Date]=A49)*(CkDJ[Account Code]=TRIM($B$2))*(CkDJ[Sort Code]=C49),CkDJ[Debit])))+(SUM(IF((CsDJ[Date]=A49)*(CsDJ[Account Code]=TRIM($B$2))*(CsDJ[Sort Code]=C49),CsDJ[Debit])))+(SUM(IF((CRDJ[Date]=A49)*(CRDJ[Account Code]=TRIM($B$2))*(CRDJ[Sort Code]=C49),CRDJ[Debit])))+(SUM(IF((GJ[Date]=A49)*(GJ[Account Code]=TRIM($B$2))*(GJ[Sort Code]=C49),GJ[Debit])))</f>
        <v>0</v>
      </c>
      <c r="F49" s="17">
        <f t="array" ref="F49">(SUM(IF((CkDJ[Date]=A49)*(CkDJ[Account Code]=TRIM($B$2))*(CkDJ[Sort Code]=C49),CkDJ[Credit])))+(SUM(IF((CsDJ[Date]=A49)*(CsDJ[Account Code]=TRIM($B$2))*(CsDJ[Sort Code]=C49),CsDJ[Credit])))+(SUM(IF((CRDJ[Date]=A49)*(CRDJ[Account Code]=TRIM($B$2))*(CRDJ[Sort Code]=C49),CRDJ[Credit])))+(SUM(IF((GJ[Date]=A49)*(GJ[Account Code]=TRIM($B$2))*(GJ[Sort Code]=C49),GJ[Credit])))</f>
        <v>0</v>
      </c>
      <c r="G49" s="294">
        <f>IF($H$4=$E$4,E49-F49,F49-E49)</f>
        <v>0</v>
      </c>
      <c r="H49" s="291">
        <f>IF($H$4=$E$4,H41+E49-F49,H41+F49-E49)</f>
        <v>0</v>
      </c>
    </row>
    <row r="50" spans="1:8">
      <c r="A50" s="11">
        <f>Account!$G$16</f>
        <v>45077</v>
      </c>
      <c r="B50" s="189" t="str">
        <f>IF(C50=0,0,VLOOKUP(C50,Account!$F$26:$G$51,2))</f>
        <v>Pangasinan IMO</v>
      </c>
      <c r="C50" s="61" t="s">
        <v>762</v>
      </c>
      <c r="D50" s="14"/>
      <c r="E50" s="17">
        <f t="array" ref="E50">(SUM(IF((CkDJ[Date]=A50)*(CkDJ[Account Code]=TRIM($B$2))*(CkDJ[Sort Code]=C50),CkDJ[Debit])))+(SUM(IF((CsDJ[Date]=A50)*(CsDJ[Account Code]=TRIM($B$2))*(CsDJ[Sort Code]=C50),CsDJ[Debit])))+(SUM(IF((CRDJ[Date]=A50)*(CRDJ[Account Code]=TRIM($B$2))*(CRDJ[Sort Code]=C50),CRDJ[Debit])))+(SUM(IF((GJ[Date]=A50)*(GJ[Account Code]=TRIM($B$2))*(GJ[Sort Code]=C50),GJ[Debit])))</f>
        <v>0</v>
      </c>
      <c r="F50" s="17">
        <f t="array" ref="F50">(SUM(IF((CkDJ[Date]=A50)*(CkDJ[Account Code]=TRIM($B$2))*(CkDJ[Sort Code]=C50),CkDJ[Credit])))+(SUM(IF((CsDJ[Date]=A50)*(CsDJ[Account Code]=TRIM($B$2))*(CsDJ[Sort Code]=C50),CsDJ[Credit])))+(SUM(IF((CRDJ[Date]=A50)*(CRDJ[Account Code]=TRIM($B$2))*(CRDJ[Sort Code]=C50),CRDJ[Credit])))+(SUM(IF((GJ[Date]=A50)*(GJ[Account Code]=TRIM($B$2))*(GJ[Sort Code]=C50),GJ[Credit])))</f>
        <v>0</v>
      </c>
      <c r="G50" s="294">
        <f>IF($H$4=$E$4,E50-F50,F50-E50)</f>
        <v>0</v>
      </c>
      <c r="H50" s="291">
        <f>IF($H$4=$E$4,H42+E50-F50,H42+F50-E50)</f>
        <v>0</v>
      </c>
    </row>
    <row r="51" spans="1:8">
      <c r="A51" s="1302">
        <f>A50</f>
        <v>45077</v>
      </c>
      <c r="B51" s="1309"/>
      <c r="C51" s="1309"/>
      <c r="D51" s="1303"/>
      <c r="E51" s="191">
        <f>SUM(E46:E50)</f>
        <v>0</v>
      </c>
      <c r="F51" s="191">
        <f>SUM(F46:F50)</f>
        <v>16404</v>
      </c>
      <c r="G51" s="297">
        <f>SUM(G46:G50)</f>
        <v>-16404</v>
      </c>
      <c r="H51" s="23">
        <f>IF($H$4=$E$4,E51-F51,F51-E51)</f>
        <v>-16404</v>
      </c>
    </row>
    <row r="52" spans="1:8">
      <c r="A52" s="1306">
        <f>A51</f>
        <v>45077</v>
      </c>
      <c r="B52" s="1307"/>
      <c r="C52" s="1307"/>
      <c r="D52" s="1308"/>
      <c r="E52" s="20">
        <f>E44+E51</f>
        <v>0</v>
      </c>
      <c r="F52" s="20">
        <f>F44+F51</f>
        <v>21929</v>
      </c>
      <c r="G52" s="295">
        <f>G43+G51</f>
        <v>-16404</v>
      </c>
      <c r="H52" s="20">
        <f>IF($H$4=$E$4,E52-F52,F52-E52)</f>
        <v>-21929</v>
      </c>
    </row>
    <row r="53" spans="1:8">
      <c r="A53" s="11"/>
      <c r="B53" s="188"/>
      <c r="C53" s="190"/>
      <c r="D53" s="12"/>
      <c r="E53" s="13"/>
      <c r="F53" s="13"/>
      <c r="G53" s="296"/>
      <c r="H53" s="12"/>
    </row>
    <row r="54" spans="1:8">
      <c r="A54" s="11">
        <f>Account!$G$17</f>
        <v>45107</v>
      </c>
      <c r="B54" s="189" t="str">
        <f>IF(C54=0,0,VLOOKUP(C54,Account!$F$26:$G$51,2))</f>
        <v>Regional Office</v>
      </c>
      <c r="C54" s="61" t="s">
        <v>494</v>
      </c>
      <c r="D54" s="14"/>
      <c r="E54" s="17">
        <f t="array" ref="E54">(SUM(IF((CkDJ[Date]=A54)*(CkDJ[Account Code]=TRIM($B$2))*(CkDJ[Sort Code]=C54),CkDJ[Debit])))+(SUM(IF((CsDJ[Date]=A54)*(CsDJ[Account Code]=TRIM($B$2))*(CsDJ[Sort Code]=C54),CsDJ[Debit])))+(SUM(IF((CRDJ[Date]=A54)*(CRDJ[Account Code]=TRIM($B$2))*(CRDJ[Sort Code]=C54),CRDJ[Debit])))+(SUM(IF((GJ[Date]=A54)*(GJ[Account Code]=TRIM($B$2))*(GJ[Sort Code]=C54),GJ[Debit])))</f>
        <v>0</v>
      </c>
      <c r="F54" s="17">
        <f t="array" ref="F54">(SUM(IF((CkDJ[Date]=A54)*(CkDJ[Account Code]=TRIM($B$2))*(CkDJ[Sort Code]=C54),CkDJ[Credit])))+(SUM(IF((CsDJ[Date]=A54)*(CsDJ[Account Code]=TRIM($B$2))*(CsDJ[Sort Code]=C54),CsDJ[Credit])))+(SUM(IF((CRDJ[Date]=A54)*(CRDJ[Account Code]=TRIM($B$2))*(CRDJ[Sort Code]=C54),CRDJ[Credit])))+(SUM(IF((GJ[Date]=A54)*(GJ[Account Code]=TRIM($B$2))*(GJ[Sort Code]=C54),GJ[Credit])))</f>
        <v>0</v>
      </c>
      <c r="G54" s="294">
        <f>IF($H$4=$E$4,E54-F54,F54-E54)</f>
        <v>0</v>
      </c>
      <c r="H54" s="291">
        <f>IF($H$4=$E$4,H46+E54-F54,H46+F54-E54)</f>
        <v>-21929</v>
      </c>
    </row>
    <row r="55" spans="1:8">
      <c r="A55" s="11">
        <f>Account!$G$17</f>
        <v>45107</v>
      </c>
      <c r="B55" s="189" t="str">
        <f>IF(C55=0,0,VLOOKUP(C55,Account!$F$26:$G$51,2))</f>
        <v>Ilocos Norte IMO</v>
      </c>
      <c r="C55" s="61" t="s">
        <v>484</v>
      </c>
      <c r="D55" s="14"/>
      <c r="E55" s="17">
        <f t="array" ref="E55">(SUM(IF((CkDJ[Date]=A55)*(CkDJ[Account Code]=TRIM($B$2))*(CkDJ[Sort Code]=C55),CkDJ[Debit])))+(SUM(IF((CsDJ[Date]=A55)*(CsDJ[Account Code]=TRIM($B$2))*(CsDJ[Sort Code]=C55),CsDJ[Debit])))+(SUM(IF((CRDJ[Date]=A55)*(CRDJ[Account Code]=TRIM($B$2))*(CRDJ[Sort Code]=C55),CRDJ[Debit])))+(SUM(IF((GJ[Date]=A55)*(GJ[Account Code]=TRIM($B$2))*(GJ[Sort Code]=C55),GJ[Debit])))</f>
        <v>0</v>
      </c>
      <c r="F55" s="17">
        <f t="array" ref="F55">(SUM(IF((CkDJ[Date]=A55)*(CkDJ[Account Code]=TRIM($B$2))*(CkDJ[Sort Code]=C55),CkDJ[Credit])))+(SUM(IF((CsDJ[Date]=A55)*(CsDJ[Account Code]=TRIM($B$2))*(CsDJ[Sort Code]=C55),CsDJ[Credit])))+(SUM(IF((CRDJ[Date]=A55)*(CRDJ[Account Code]=TRIM($B$2))*(CRDJ[Sort Code]=C55),CRDJ[Credit])))+(SUM(IF((GJ[Date]=A55)*(GJ[Account Code]=TRIM($B$2))*(GJ[Sort Code]=C55),GJ[Credit])))</f>
        <v>0</v>
      </c>
      <c r="G55" s="294">
        <f>IF($H$4=$E$4,E55-F55,F55-E55)</f>
        <v>0</v>
      </c>
      <c r="H55" s="291">
        <f>IF($H$4=$E$4,H47+E55-F55,H47+F55-E55)</f>
        <v>0</v>
      </c>
    </row>
    <row r="56" spans="1:8">
      <c r="A56" s="11">
        <f>Account!$G$17</f>
        <v>45107</v>
      </c>
      <c r="B56" s="189" t="str">
        <f>IF(C56=0,0,VLOOKUP(C56,Account!$F$26:$G$51,2))</f>
        <v>Ilocos Sur IMO</v>
      </c>
      <c r="C56" s="61" t="s">
        <v>485</v>
      </c>
      <c r="D56" s="14"/>
      <c r="E56" s="17">
        <f t="array" ref="E56">(SUM(IF((CkDJ[Date]=A56)*(CkDJ[Account Code]=TRIM($B$2))*(CkDJ[Sort Code]=C56),CkDJ[Debit])))+(SUM(IF((CsDJ[Date]=A56)*(CsDJ[Account Code]=TRIM($B$2))*(CsDJ[Sort Code]=C56),CsDJ[Debit])))+(SUM(IF((CRDJ[Date]=A56)*(CRDJ[Account Code]=TRIM($B$2))*(CRDJ[Sort Code]=C56),CRDJ[Debit])))+(SUM(IF((GJ[Date]=A56)*(GJ[Account Code]=TRIM($B$2))*(GJ[Sort Code]=C56),GJ[Debit])))</f>
        <v>0</v>
      </c>
      <c r="F56" s="17">
        <f t="array" ref="F56">(SUM(IF((CkDJ[Date]=A56)*(CkDJ[Account Code]=TRIM($B$2))*(CkDJ[Sort Code]=C56),CkDJ[Credit])))+(SUM(IF((CsDJ[Date]=A56)*(CsDJ[Account Code]=TRIM($B$2))*(CsDJ[Sort Code]=C56),CsDJ[Credit])))+(SUM(IF((CRDJ[Date]=A56)*(CRDJ[Account Code]=TRIM($B$2))*(CRDJ[Sort Code]=C56),CRDJ[Credit])))+(SUM(IF((GJ[Date]=A56)*(GJ[Account Code]=TRIM($B$2))*(GJ[Sort Code]=C56),GJ[Credit])))</f>
        <v>1970</v>
      </c>
      <c r="G56" s="294">
        <f>IF($H$4=$E$4,E56-F56,F56-E56)</f>
        <v>-1970</v>
      </c>
      <c r="H56" s="291">
        <f>IF($H$4=$E$4,H48+E56-F56,H48+F56-E56)</f>
        <v>-1970</v>
      </c>
    </row>
    <row r="57" spans="1:8">
      <c r="A57" s="11">
        <f>Account!$G$17</f>
        <v>45107</v>
      </c>
      <c r="B57" s="189" t="str">
        <f>IF(C57=0,0,VLOOKUP(C57,Account!$F$26:$G$51,2))</f>
        <v>La Union</v>
      </c>
      <c r="C57" s="61" t="s">
        <v>486</v>
      </c>
      <c r="D57" s="14"/>
      <c r="E57" s="17">
        <f t="array" ref="E57">(SUM(IF((CkDJ[Date]=A57)*(CkDJ[Account Code]=TRIM($B$2))*(CkDJ[Sort Code]=C57),CkDJ[Debit])))+(SUM(IF((CsDJ[Date]=A57)*(CsDJ[Account Code]=TRIM($B$2))*(CsDJ[Sort Code]=C57),CsDJ[Debit])))+(SUM(IF((CRDJ[Date]=A57)*(CRDJ[Account Code]=TRIM($B$2))*(CRDJ[Sort Code]=C57),CRDJ[Debit])))+(SUM(IF((GJ[Date]=A57)*(GJ[Account Code]=TRIM($B$2))*(GJ[Sort Code]=C57),GJ[Debit])))</f>
        <v>0</v>
      </c>
      <c r="F57" s="17">
        <f t="array" ref="F57">(SUM(IF((CkDJ[Date]=A57)*(CkDJ[Account Code]=TRIM($B$2))*(CkDJ[Sort Code]=C57),CkDJ[Credit])))+(SUM(IF((CsDJ[Date]=A57)*(CsDJ[Account Code]=TRIM($B$2))*(CsDJ[Sort Code]=C57),CsDJ[Credit])))+(SUM(IF((CRDJ[Date]=A57)*(CRDJ[Account Code]=TRIM($B$2))*(CRDJ[Sort Code]=C57),CRDJ[Credit])))+(SUM(IF((GJ[Date]=A57)*(GJ[Account Code]=TRIM($B$2))*(GJ[Sort Code]=C57),GJ[Credit])))</f>
        <v>0</v>
      </c>
      <c r="G57" s="294">
        <f>IF($H$4=$E$4,E57-F57,F57-E57)</f>
        <v>0</v>
      </c>
      <c r="H57" s="291">
        <f>IF($H$4=$E$4,H49+E57-F57,H49+F57-E57)</f>
        <v>0</v>
      </c>
    </row>
    <row r="58" spans="1:8">
      <c r="A58" s="11">
        <f>Account!$G$17</f>
        <v>45107</v>
      </c>
      <c r="B58" s="189" t="str">
        <f>IF(C58=0,0,VLOOKUP(C58,Account!$F$26:$G$51,2))</f>
        <v>Pangasinan IMO</v>
      </c>
      <c r="C58" s="61" t="s">
        <v>762</v>
      </c>
      <c r="D58" s="14"/>
      <c r="E58" s="17">
        <f t="array" ref="E58">(SUM(IF((CkDJ[Date]=A58)*(CkDJ[Account Code]=TRIM($B$2))*(CkDJ[Sort Code]=C58),CkDJ[Debit])))+(SUM(IF((CsDJ[Date]=A58)*(CsDJ[Account Code]=TRIM($B$2))*(CsDJ[Sort Code]=C58),CsDJ[Debit])))+(SUM(IF((CRDJ[Date]=A58)*(CRDJ[Account Code]=TRIM($B$2))*(CRDJ[Sort Code]=C58),CRDJ[Debit])))+(SUM(IF((GJ[Date]=A58)*(GJ[Account Code]=TRIM($B$2))*(GJ[Sort Code]=C58),GJ[Debit])))</f>
        <v>0</v>
      </c>
      <c r="F58" s="17">
        <f t="array" ref="F58">(SUM(IF((CkDJ[Date]=A58)*(CkDJ[Account Code]=TRIM($B$2))*(CkDJ[Sort Code]=C58),CkDJ[Credit])))+(SUM(IF((CsDJ[Date]=A58)*(CsDJ[Account Code]=TRIM($B$2))*(CsDJ[Sort Code]=C58),CsDJ[Credit])))+(SUM(IF((CRDJ[Date]=A58)*(CRDJ[Account Code]=TRIM($B$2))*(CRDJ[Sort Code]=C58),CRDJ[Credit])))+(SUM(IF((GJ[Date]=A58)*(GJ[Account Code]=TRIM($B$2))*(GJ[Sort Code]=C58),GJ[Credit])))</f>
        <v>0</v>
      </c>
      <c r="G58" s="294">
        <f>IF($H$4=$E$4,E58-F58,F58-E58)</f>
        <v>0</v>
      </c>
      <c r="H58" s="291">
        <f>IF($H$4=$E$4,H50+E58-F58,H50+F58-E58)</f>
        <v>0</v>
      </c>
    </row>
    <row r="59" spans="1:8">
      <c r="A59" s="1302">
        <f>A58</f>
        <v>45107</v>
      </c>
      <c r="B59" s="1309"/>
      <c r="C59" s="1309"/>
      <c r="D59" s="1303"/>
      <c r="E59" s="191">
        <f>SUM(E54:E58)</f>
        <v>0</v>
      </c>
      <c r="F59" s="191">
        <f>SUM(F54:F58)</f>
        <v>1970</v>
      </c>
      <c r="G59" s="297">
        <f>SUM(G54:G58)</f>
        <v>-1970</v>
      </c>
      <c r="H59" s="23">
        <f>IF($H$4=$E$4,E59-F59,F59-E59)</f>
        <v>-1970</v>
      </c>
    </row>
    <row r="60" spans="1:8">
      <c r="A60" s="1306">
        <f>A59</f>
        <v>45107</v>
      </c>
      <c r="B60" s="1307"/>
      <c r="C60" s="1307"/>
      <c r="D60" s="1308"/>
      <c r="E60" s="20">
        <f>E52+E59</f>
        <v>0</v>
      </c>
      <c r="F60" s="20">
        <f>F52+F59</f>
        <v>23899</v>
      </c>
      <c r="G60" s="295">
        <f>G51+G59</f>
        <v>-18374</v>
      </c>
      <c r="H60" s="20">
        <f>IF($H$4=$E$4,E60-F60,F60-E60)</f>
        <v>-23899</v>
      </c>
    </row>
    <row r="61" spans="1:8">
      <c r="A61" s="11"/>
      <c r="B61" s="188"/>
      <c r="C61" s="190"/>
      <c r="D61" s="12"/>
      <c r="E61" s="13"/>
      <c r="F61" s="13"/>
      <c r="G61" s="296"/>
      <c r="H61" s="12"/>
    </row>
    <row r="62" spans="1:8">
      <c r="A62" s="11">
        <f>Account!$G$18</f>
        <v>45138</v>
      </c>
      <c r="B62" s="189" t="str">
        <f>IF(C62=0,0,VLOOKUP(C62,Account!$F$26:$G$51,2))</f>
        <v>Regional Office</v>
      </c>
      <c r="C62" s="61" t="s">
        <v>494</v>
      </c>
      <c r="D62" s="14"/>
      <c r="E62" s="17">
        <f t="array" ref="E62">(SUM(IF((CkDJ[Date]=A62)*(CkDJ[Account Code]=TRIM($B$2))*(CkDJ[Sort Code]=C62),CkDJ[Debit])))+(SUM(IF((CsDJ[Date]=A62)*(CsDJ[Account Code]=TRIM($B$2))*(CsDJ[Sort Code]=C62),CsDJ[Debit])))+(SUM(IF((CRDJ[Date]=A62)*(CRDJ[Account Code]=TRIM($B$2))*(CRDJ[Sort Code]=C62),CRDJ[Debit])))+(SUM(IF((GJ[Date]=A62)*(GJ[Account Code]=TRIM($B$2))*(GJ[Sort Code]=C62),GJ[Debit])))</f>
        <v>0</v>
      </c>
      <c r="F62" s="17">
        <f t="array" ref="F62">(SUM(IF((CkDJ[Date]=A62)*(CkDJ[Account Code]=TRIM($B$2))*(CkDJ[Sort Code]=C62),CkDJ[Credit])))+(SUM(IF((CsDJ[Date]=A62)*(CsDJ[Account Code]=TRIM($B$2))*(CsDJ[Sort Code]=C62),CsDJ[Credit])))+(SUM(IF((CRDJ[Date]=A62)*(CRDJ[Account Code]=TRIM($B$2))*(CRDJ[Sort Code]=C62),CRDJ[Credit])))+(SUM(IF((GJ[Date]=A62)*(GJ[Account Code]=TRIM($B$2))*(GJ[Sort Code]=C62),GJ[Credit])))</f>
        <v>0</v>
      </c>
      <c r="G62" s="294">
        <f>IF($H$4=$E$4,E62-F62,F62-E62)</f>
        <v>0</v>
      </c>
      <c r="H62" s="291">
        <f>IF($H$4=$E$4,H54+E62-F62,H54+F62-E62)</f>
        <v>-21929</v>
      </c>
    </row>
    <row r="63" spans="1:8">
      <c r="A63" s="11">
        <f>Account!$G$18</f>
        <v>45138</v>
      </c>
      <c r="B63" s="189" t="str">
        <f>IF(C63=0,0,VLOOKUP(C63,Account!$F$26:$G$51,2))</f>
        <v>Ilocos Norte IMO</v>
      </c>
      <c r="C63" s="61" t="s">
        <v>484</v>
      </c>
      <c r="D63" s="14"/>
      <c r="E63" s="17">
        <f t="array" ref="E63">(SUM(IF((CkDJ[Date]=A63)*(CkDJ[Account Code]=TRIM($B$2))*(CkDJ[Sort Code]=C63),CkDJ[Debit])))+(SUM(IF((CsDJ[Date]=A63)*(CsDJ[Account Code]=TRIM($B$2))*(CsDJ[Sort Code]=C63),CsDJ[Debit])))+(SUM(IF((CRDJ[Date]=A63)*(CRDJ[Account Code]=TRIM($B$2))*(CRDJ[Sort Code]=C63),CRDJ[Debit])))+(SUM(IF((GJ[Date]=A63)*(GJ[Account Code]=TRIM($B$2))*(GJ[Sort Code]=C63),GJ[Debit])))</f>
        <v>0</v>
      </c>
      <c r="F63" s="17">
        <f t="array" ref="F63">(SUM(IF((CkDJ[Date]=A63)*(CkDJ[Account Code]=TRIM($B$2))*(CkDJ[Sort Code]=C63),CkDJ[Credit])))+(SUM(IF((CsDJ[Date]=A63)*(CsDJ[Account Code]=TRIM($B$2))*(CsDJ[Sort Code]=C63),CsDJ[Credit])))+(SUM(IF((CRDJ[Date]=A63)*(CRDJ[Account Code]=TRIM($B$2))*(CRDJ[Sort Code]=C63),CRDJ[Credit])))+(SUM(IF((GJ[Date]=A63)*(GJ[Account Code]=TRIM($B$2))*(GJ[Sort Code]=C63),GJ[Credit])))</f>
        <v>0</v>
      </c>
      <c r="G63" s="294">
        <f>IF($H$4=$E$4,E63-F63,F63-E63)</f>
        <v>0</v>
      </c>
      <c r="H63" s="291">
        <f>IF($H$4=$E$4,H55+E63-F63,H55+F63-E63)</f>
        <v>0</v>
      </c>
    </row>
    <row r="64" spans="1:8">
      <c r="A64" s="11">
        <f>Account!$G$18</f>
        <v>45138</v>
      </c>
      <c r="B64" s="189" t="str">
        <f>IF(C64=0,0,VLOOKUP(C64,Account!$F$26:$G$51,2))</f>
        <v>Ilocos Sur IMO</v>
      </c>
      <c r="C64" s="61" t="s">
        <v>485</v>
      </c>
      <c r="D64" s="14"/>
      <c r="E64" s="17">
        <f t="array" ref="E64">(SUM(IF((CkDJ[Date]=A64)*(CkDJ[Account Code]=TRIM($B$2))*(CkDJ[Sort Code]=C64),CkDJ[Debit])))+(SUM(IF((CsDJ[Date]=A64)*(CsDJ[Account Code]=TRIM($B$2))*(CsDJ[Sort Code]=C64),CsDJ[Debit])))+(SUM(IF((CRDJ[Date]=A64)*(CRDJ[Account Code]=TRIM($B$2))*(CRDJ[Sort Code]=C64),CRDJ[Debit])))+(SUM(IF((GJ[Date]=A64)*(GJ[Account Code]=TRIM($B$2))*(GJ[Sort Code]=C64),GJ[Debit])))</f>
        <v>0</v>
      </c>
      <c r="F64" s="17">
        <f t="array" ref="F64">(SUM(IF((CkDJ[Date]=A64)*(CkDJ[Account Code]=TRIM($B$2))*(CkDJ[Sort Code]=C64),CkDJ[Credit])))+(SUM(IF((CsDJ[Date]=A64)*(CsDJ[Account Code]=TRIM($B$2))*(CsDJ[Sort Code]=C64),CsDJ[Credit])))+(SUM(IF((CRDJ[Date]=A64)*(CRDJ[Account Code]=TRIM($B$2))*(CRDJ[Sort Code]=C64),CRDJ[Credit])))+(SUM(IF((GJ[Date]=A64)*(GJ[Account Code]=TRIM($B$2))*(GJ[Sort Code]=C64),GJ[Credit])))</f>
        <v>0</v>
      </c>
      <c r="G64" s="294">
        <f>IF($H$4=$E$4,E64-F64,F64-E64)</f>
        <v>0</v>
      </c>
      <c r="H64" s="291">
        <f>IF($H$4=$E$4,H56+E64-F64,H56+F64-E64)</f>
        <v>-1970</v>
      </c>
    </row>
    <row r="65" spans="1:8">
      <c r="A65" s="11">
        <f>Account!$G$18</f>
        <v>45138</v>
      </c>
      <c r="B65" s="189" t="str">
        <f>IF(C65=0,0,VLOOKUP(C65,Account!$F$26:$G$51,2))</f>
        <v>La Union</v>
      </c>
      <c r="C65" s="61" t="s">
        <v>486</v>
      </c>
      <c r="D65" s="14"/>
      <c r="E65" s="17">
        <f t="array" ref="E65">(SUM(IF((CkDJ[Date]=A65)*(CkDJ[Account Code]=TRIM($B$2))*(CkDJ[Sort Code]=C65),CkDJ[Debit])))+(SUM(IF((CsDJ[Date]=A65)*(CsDJ[Account Code]=TRIM($B$2))*(CsDJ[Sort Code]=C65),CsDJ[Debit])))+(SUM(IF((CRDJ[Date]=A65)*(CRDJ[Account Code]=TRIM($B$2))*(CRDJ[Sort Code]=C65),CRDJ[Debit])))+(SUM(IF((GJ[Date]=A65)*(GJ[Account Code]=TRIM($B$2))*(GJ[Sort Code]=C65),GJ[Debit])))</f>
        <v>0</v>
      </c>
      <c r="F65" s="17">
        <f t="array" ref="F65">(SUM(IF((CkDJ[Date]=A65)*(CkDJ[Account Code]=TRIM($B$2))*(CkDJ[Sort Code]=C65),CkDJ[Credit])))+(SUM(IF((CsDJ[Date]=A65)*(CsDJ[Account Code]=TRIM($B$2))*(CsDJ[Sort Code]=C65),CsDJ[Credit])))+(SUM(IF((CRDJ[Date]=A65)*(CRDJ[Account Code]=TRIM($B$2))*(CRDJ[Sort Code]=C65),CRDJ[Credit])))+(SUM(IF((GJ[Date]=A65)*(GJ[Account Code]=TRIM($B$2))*(GJ[Sort Code]=C65),GJ[Credit])))</f>
        <v>0</v>
      </c>
      <c r="G65" s="294">
        <f>IF($H$4=$E$4,E65-F65,F65-E65)</f>
        <v>0</v>
      </c>
      <c r="H65" s="291">
        <f>IF($H$4=$E$4,H57+E65-F65,H57+F65-E65)</f>
        <v>0</v>
      </c>
    </row>
    <row r="66" spans="1:8">
      <c r="A66" s="11">
        <f>Account!$G$18</f>
        <v>45138</v>
      </c>
      <c r="B66" s="189" t="str">
        <f>IF(C66=0,0,VLOOKUP(C66,Account!$F$26:$G$51,2))</f>
        <v>Pangasinan IMO</v>
      </c>
      <c r="C66" s="61" t="s">
        <v>762</v>
      </c>
      <c r="D66" s="14"/>
      <c r="E66" s="17">
        <f t="array" ref="E66">(SUM(IF((CkDJ[Date]=A66)*(CkDJ[Account Code]=TRIM($B$2))*(CkDJ[Sort Code]=C66),CkDJ[Debit])))+(SUM(IF((CsDJ[Date]=A66)*(CsDJ[Account Code]=TRIM($B$2))*(CsDJ[Sort Code]=C66),CsDJ[Debit])))+(SUM(IF((CRDJ[Date]=A66)*(CRDJ[Account Code]=TRIM($B$2))*(CRDJ[Sort Code]=C66),CRDJ[Debit])))+(SUM(IF((GJ[Date]=A66)*(GJ[Account Code]=TRIM($B$2))*(GJ[Sort Code]=C66),GJ[Debit])))</f>
        <v>56296</v>
      </c>
      <c r="F66" s="17">
        <f t="array" ref="F66">(SUM(IF((CkDJ[Date]=A66)*(CkDJ[Account Code]=TRIM($B$2))*(CkDJ[Sort Code]=C66),CkDJ[Credit])))+(SUM(IF((CsDJ[Date]=A66)*(CsDJ[Account Code]=TRIM($B$2))*(CsDJ[Sort Code]=C66),CsDJ[Credit])))+(SUM(IF((CRDJ[Date]=A66)*(CRDJ[Account Code]=TRIM($B$2))*(CRDJ[Sort Code]=C66),CRDJ[Credit])))+(SUM(IF((GJ[Date]=A66)*(GJ[Account Code]=TRIM($B$2))*(GJ[Sort Code]=C66),GJ[Credit])))</f>
        <v>56296</v>
      </c>
      <c r="G66" s="294">
        <f>IF($H$4=$E$4,E66-F66,F66-E66)</f>
        <v>0</v>
      </c>
      <c r="H66" s="291">
        <f>IF($H$4=$E$4,H58+E66-F66,H58+F66-E66)</f>
        <v>0</v>
      </c>
    </row>
    <row r="67" spans="1:8">
      <c r="A67" s="1302">
        <f>A66</f>
        <v>45138</v>
      </c>
      <c r="B67" s="1309"/>
      <c r="C67" s="1309"/>
      <c r="D67" s="1303"/>
      <c r="E67" s="191">
        <f>SUM(E62:E66)</f>
        <v>56296</v>
      </c>
      <c r="F67" s="191">
        <f>SUM(F62:F66)</f>
        <v>56296</v>
      </c>
      <c r="G67" s="297">
        <f>SUM(G62:G66)</f>
        <v>0</v>
      </c>
      <c r="H67" s="23">
        <f>IF($H$4=$E$4,E67-F67,F67-E67)</f>
        <v>0</v>
      </c>
    </row>
    <row r="68" spans="1:8">
      <c r="A68" s="1306">
        <f>A67</f>
        <v>45138</v>
      </c>
      <c r="B68" s="1307"/>
      <c r="C68" s="1307"/>
      <c r="D68" s="1308"/>
      <c r="E68" s="20">
        <f>E60+E67</f>
        <v>56296</v>
      </c>
      <c r="F68" s="20">
        <f>F60+F67</f>
        <v>80195</v>
      </c>
      <c r="G68" s="295">
        <f>G59+G67</f>
        <v>-1970</v>
      </c>
      <c r="H68" s="20">
        <f>IF($H$4=$E$4,E68-F68,F68-E68)</f>
        <v>-23899</v>
      </c>
    </row>
    <row r="69" spans="1:8">
      <c r="A69" s="11"/>
      <c r="B69" s="188"/>
      <c r="C69" s="190"/>
      <c r="D69" s="12"/>
      <c r="E69" s="13"/>
      <c r="F69" s="13"/>
      <c r="G69" s="296"/>
      <c r="H69" s="12"/>
    </row>
    <row r="70" spans="1:8">
      <c r="A70" s="11">
        <f>Account!$G$19</f>
        <v>45169</v>
      </c>
      <c r="B70" s="189" t="str">
        <f>IF(C70=0,0,VLOOKUP(C70,Account!$F$26:$G$51,2))</f>
        <v>Regional Office</v>
      </c>
      <c r="C70" s="61" t="s">
        <v>494</v>
      </c>
      <c r="D70" s="14"/>
      <c r="E70" s="17">
        <f t="array" ref="E70">(SUM(IF((CkDJ[Date]=A70)*(CkDJ[Account Code]=TRIM($B$2))*(CkDJ[Sort Code]=C70),CkDJ[Debit])))+(SUM(IF((CsDJ[Date]=A70)*(CsDJ[Account Code]=TRIM($B$2))*(CsDJ[Sort Code]=C70),CsDJ[Debit])))+(SUM(IF((CRDJ[Date]=A70)*(CRDJ[Account Code]=TRIM($B$2))*(CRDJ[Sort Code]=C70),CRDJ[Debit])))+(SUM(IF((GJ[Date]=A70)*(GJ[Account Code]=TRIM($B$2))*(GJ[Sort Code]=C70),GJ[Debit])))</f>
        <v>0</v>
      </c>
      <c r="F70" s="17">
        <f t="array" ref="F70">(SUM(IF((CkDJ[Date]=A70)*(CkDJ[Account Code]=TRIM($B$2))*(CkDJ[Sort Code]=C70),CkDJ[Credit])))+(SUM(IF((CsDJ[Date]=A70)*(CsDJ[Account Code]=TRIM($B$2))*(CsDJ[Sort Code]=C70),CsDJ[Credit])))+(SUM(IF((CRDJ[Date]=A70)*(CRDJ[Account Code]=TRIM($B$2))*(CRDJ[Sort Code]=C70),CRDJ[Credit])))+(SUM(IF((GJ[Date]=A70)*(GJ[Account Code]=TRIM($B$2))*(GJ[Sort Code]=C70),GJ[Credit])))</f>
        <v>0</v>
      </c>
      <c r="G70" s="294">
        <f>IF($H$4=$E$4,E70-F70,F70-E70)</f>
        <v>0</v>
      </c>
      <c r="H70" s="291">
        <f>IF($H$4=$E$4,H62+E70-F70,H62+F70-E70)</f>
        <v>-21929</v>
      </c>
    </row>
    <row r="71" spans="1:8">
      <c r="A71" s="11">
        <f>Account!$G$19</f>
        <v>45169</v>
      </c>
      <c r="B71" s="189" t="str">
        <f>IF(C71=0,0,VLOOKUP(C71,Account!$F$26:$G$51,2))</f>
        <v>Ilocos Norte IMO</v>
      </c>
      <c r="C71" s="61" t="s">
        <v>484</v>
      </c>
      <c r="D71" s="14"/>
      <c r="E71" s="17">
        <f t="array" ref="E71">(SUM(IF((CkDJ[Date]=A71)*(CkDJ[Account Code]=TRIM($B$2))*(CkDJ[Sort Code]=C71),CkDJ[Debit])))+(SUM(IF((CsDJ[Date]=A71)*(CsDJ[Account Code]=TRIM($B$2))*(CsDJ[Sort Code]=C71),CsDJ[Debit])))+(SUM(IF((CRDJ[Date]=A71)*(CRDJ[Account Code]=TRIM($B$2))*(CRDJ[Sort Code]=C71),CRDJ[Debit])))+(SUM(IF((GJ[Date]=A71)*(GJ[Account Code]=TRIM($B$2))*(GJ[Sort Code]=C71),GJ[Debit])))</f>
        <v>0</v>
      </c>
      <c r="F71" s="17">
        <f t="array" ref="F71">(SUM(IF((CkDJ[Date]=A71)*(CkDJ[Account Code]=TRIM($B$2))*(CkDJ[Sort Code]=C71),CkDJ[Credit])))+(SUM(IF((CsDJ[Date]=A71)*(CsDJ[Account Code]=TRIM($B$2))*(CsDJ[Sort Code]=C71),CsDJ[Credit])))+(SUM(IF((CRDJ[Date]=A71)*(CRDJ[Account Code]=TRIM($B$2))*(CRDJ[Sort Code]=C71),CRDJ[Credit])))+(SUM(IF((GJ[Date]=A71)*(GJ[Account Code]=TRIM($B$2))*(GJ[Sort Code]=C71),GJ[Credit])))</f>
        <v>0</v>
      </c>
      <c r="G71" s="294">
        <f>IF($H$4=$E$4,E71-F71,F71-E71)</f>
        <v>0</v>
      </c>
      <c r="H71" s="291">
        <f>IF($H$4=$E$4,H63+E71-F71,H63+F71-E71)</f>
        <v>0</v>
      </c>
    </row>
    <row r="72" spans="1:8">
      <c r="A72" s="11">
        <f>Account!$G$19</f>
        <v>45169</v>
      </c>
      <c r="B72" s="189" t="str">
        <f>IF(C72=0,0,VLOOKUP(C72,Account!$F$26:$G$51,2))</f>
        <v>Ilocos Sur IMO</v>
      </c>
      <c r="C72" s="61" t="s">
        <v>485</v>
      </c>
      <c r="D72" s="14"/>
      <c r="E72" s="17">
        <f t="array" ref="E72">(SUM(IF((CkDJ[Date]=A72)*(CkDJ[Account Code]=TRIM($B$2))*(CkDJ[Sort Code]=C72),CkDJ[Debit])))+(SUM(IF((CsDJ[Date]=A72)*(CsDJ[Account Code]=TRIM($B$2))*(CsDJ[Sort Code]=C72),CsDJ[Debit])))+(SUM(IF((CRDJ[Date]=A72)*(CRDJ[Account Code]=TRIM($B$2))*(CRDJ[Sort Code]=C72),CRDJ[Debit])))+(SUM(IF((GJ[Date]=A72)*(GJ[Account Code]=TRIM($B$2))*(GJ[Sort Code]=C72),GJ[Debit])))</f>
        <v>0</v>
      </c>
      <c r="F72" s="17">
        <f t="array" ref="F72">(SUM(IF((CkDJ[Date]=A72)*(CkDJ[Account Code]=TRIM($B$2))*(CkDJ[Sort Code]=C72),CkDJ[Credit])))+(SUM(IF((CsDJ[Date]=A72)*(CsDJ[Account Code]=TRIM($B$2))*(CsDJ[Sort Code]=C72),CsDJ[Credit])))+(SUM(IF((CRDJ[Date]=A72)*(CRDJ[Account Code]=TRIM($B$2))*(CRDJ[Sort Code]=C72),CRDJ[Credit])))+(SUM(IF((GJ[Date]=A72)*(GJ[Account Code]=TRIM($B$2))*(GJ[Sort Code]=C72),GJ[Credit])))</f>
        <v>0</v>
      </c>
      <c r="G72" s="294">
        <f>IF($H$4=$E$4,E72-F72,F72-E72)</f>
        <v>0</v>
      </c>
      <c r="H72" s="291">
        <f>IF($H$4=$E$4,H64+E72-F72,H64+F72-E72)</f>
        <v>-1970</v>
      </c>
    </row>
    <row r="73" spans="1:8">
      <c r="A73" s="11">
        <f>Account!$G$19</f>
        <v>45169</v>
      </c>
      <c r="B73" s="189" t="str">
        <f>IF(C73=0,0,VLOOKUP(C73,Account!$F$26:$G$51,2))</f>
        <v>La Union</v>
      </c>
      <c r="C73" s="61" t="s">
        <v>486</v>
      </c>
      <c r="D73" s="14"/>
      <c r="E73" s="17">
        <f t="array" ref="E73">(SUM(IF((CkDJ[Date]=A73)*(CkDJ[Account Code]=TRIM($B$2))*(CkDJ[Sort Code]=C73),CkDJ[Debit])))+(SUM(IF((CsDJ[Date]=A73)*(CsDJ[Account Code]=TRIM($B$2))*(CsDJ[Sort Code]=C73),CsDJ[Debit])))+(SUM(IF((CRDJ[Date]=A73)*(CRDJ[Account Code]=TRIM($B$2))*(CRDJ[Sort Code]=C73),CRDJ[Debit])))+(SUM(IF((GJ[Date]=A73)*(GJ[Account Code]=TRIM($B$2))*(GJ[Sort Code]=C73),GJ[Debit])))</f>
        <v>0</v>
      </c>
      <c r="F73" s="17">
        <f t="array" ref="F73">(SUM(IF((CkDJ[Date]=A73)*(CkDJ[Account Code]=TRIM($B$2))*(CkDJ[Sort Code]=C73),CkDJ[Credit])))+(SUM(IF((CsDJ[Date]=A73)*(CsDJ[Account Code]=TRIM($B$2))*(CsDJ[Sort Code]=C73),CsDJ[Credit])))+(SUM(IF((CRDJ[Date]=A73)*(CRDJ[Account Code]=TRIM($B$2))*(CRDJ[Sort Code]=C73),CRDJ[Credit])))+(SUM(IF((GJ[Date]=A73)*(GJ[Account Code]=TRIM($B$2))*(GJ[Sort Code]=C73),GJ[Credit])))</f>
        <v>0</v>
      </c>
      <c r="G73" s="294">
        <f>IF($H$4=$E$4,E73-F73,F73-E73)</f>
        <v>0</v>
      </c>
      <c r="H73" s="291">
        <f>IF($H$4=$E$4,H65+E73-F73,H65+F73-E73)</f>
        <v>0</v>
      </c>
    </row>
    <row r="74" spans="1:8">
      <c r="A74" s="11">
        <f>Account!$G$19</f>
        <v>45169</v>
      </c>
      <c r="B74" s="189" t="str">
        <f>IF(C74=0,0,VLOOKUP(C74,Account!$F$26:$G$51,2))</f>
        <v>Pangasinan IMO</v>
      </c>
      <c r="C74" s="61" t="s">
        <v>762</v>
      </c>
      <c r="D74" s="14"/>
      <c r="E74" s="17">
        <f t="array" ref="E74">(SUM(IF((CkDJ[Date]=A74)*(CkDJ[Account Code]=TRIM($B$2))*(CkDJ[Sort Code]=C74),CkDJ[Debit])))+(SUM(IF((CsDJ[Date]=A74)*(CsDJ[Account Code]=TRIM($B$2))*(CsDJ[Sort Code]=C74),CsDJ[Debit])))+(SUM(IF((CRDJ[Date]=A74)*(CRDJ[Account Code]=TRIM($B$2))*(CRDJ[Sort Code]=C74),CRDJ[Debit])))+(SUM(IF((GJ[Date]=A74)*(GJ[Account Code]=TRIM($B$2))*(GJ[Sort Code]=C74),GJ[Debit])))</f>
        <v>213775</v>
      </c>
      <c r="F74" s="17">
        <f t="array" ref="F74">(SUM(IF((CkDJ[Date]=A74)*(CkDJ[Account Code]=TRIM($B$2))*(CkDJ[Sort Code]=C74),CkDJ[Credit])))+(SUM(IF((CsDJ[Date]=A74)*(CsDJ[Account Code]=TRIM($B$2))*(CsDJ[Sort Code]=C74),CsDJ[Credit])))+(SUM(IF((CRDJ[Date]=A74)*(CRDJ[Account Code]=TRIM($B$2))*(CRDJ[Sort Code]=C74),CRDJ[Credit])))+(SUM(IF((GJ[Date]=A74)*(GJ[Account Code]=TRIM($B$2))*(GJ[Sort Code]=C74),GJ[Credit])))</f>
        <v>0</v>
      </c>
      <c r="G74" s="294">
        <f>IF($H$4=$E$4,E74-F74,F74-E74)</f>
        <v>213775</v>
      </c>
      <c r="H74" s="291">
        <f>IF($H$4=$E$4,H66+E74-F74,H66+F74-E74)</f>
        <v>213775</v>
      </c>
    </row>
    <row r="75" spans="1:8">
      <c r="A75" s="1302">
        <f>A74</f>
        <v>45169</v>
      </c>
      <c r="B75" s="1309"/>
      <c r="C75" s="1309"/>
      <c r="D75" s="1303"/>
      <c r="E75" s="191">
        <f>SUM(E70:E74)</f>
        <v>213775</v>
      </c>
      <c r="F75" s="191">
        <f>SUM(F70:F74)</f>
        <v>0</v>
      </c>
      <c r="G75" s="297">
        <f>SUM(G70:G74)</f>
        <v>213775</v>
      </c>
      <c r="H75" s="23">
        <f>IF($H$4=$E$4,E75-F75,F75-E75)</f>
        <v>213775</v>
      </c>
    </row>
    <row r="76" spans="1:8">
      <c r="A76" s="1306">
        <f>A75</f>
        <v>45169</v>
      </c>
      <c r="B76" s="1307"/>
      <c r="C76" s="1307"/>
      <c r="D76" s="1308"/>
      <c r="E76" s="20">
        <f>E68+E75</f>
        <v>270071</v>
      </c>
      <c r="F76" s="20">
        <f>F68+F75</f>
        <v>80195</v>
      </c>
      <c r="G76" s="295">
        <f>G67+G75</f>
        <v>213775</v>
      </c>
      <c r="H76" s="20">
        <f>IF($H$4=$E$4,E76-F76,F76-E76)</f>
        <v>189876</v>
      </c>
    </row>
    <row r="77" spans="1:8">
      <c r="A77" s="11"/>
      <c r="B77" s="188"/>
      <c r="C77" s="190"/>
      <c r="D77" s="12"/>
      <c r="E77" s="13"/>
      <c r="F77" s="13"/>
      <c r="G77" s="296"/>
      <c r="H77" s="12"/>
    </row>
    <row r="78" spans="1:8">
      <c r="A78" s="11">
        <f>Account!$G$20</f>
        <v>45199</v>
      </c>
      <c r="B78" s="189" t="str">
        <f>IF(C78=0,0,VLOOKUP(C78,Account!$F$26:$G$51,2))</f>
        <v>Regional Office</v>
      </c>
      <c r="C78" s="61" t="s">
        <v>494</v>
      </c>
      <c r="D78" s="14"/>
      <c r="E78" s="17">
        <f t="array" ref="E78">(SUM(IF((CkDJ[Date]=A78)*(CkDJ[Account Code]=TRIM($B$2))*(CkDJ[Sort Code]=C78),CkDJ[Debit])))+(SUM(IF((CsDJ[Date]=A78)*(CsDJ[Account Code]=TRIM($B$2))*(CsDJ[Sort Code]=C78),CsDJ[Debit])))+(SUM(IF((CRDJ[Date]=A78)*(CRDJ[Account Code]=TRIM($B$2))*(CRDJ[Sort Code]=C78),CRDJ[Debit])))+(SUM(IF((GJ[Date]=A78)*(GJ[Account Code]=TRIM($B$2))*(GJ[Sort Code]=C78),GJ[Debit])))</f>
        <v>0</v>
      </c>
      <c r="F78" s="17">
        <f t="array" ref="F78">(SUM(IF((CkDJ[Date]=A78)*(CkDJ[Account Code]=TRIM($B$2))*(CkDJ[Sort Code]=C78),CkDJ[Credit])))+(SUM(IF((CsDJ[Date]=A78)*(CsDJ[Account Code]=TRIM($B$2))*(CsDJ[Sort Code]=C78),CsDJ[Credit])))+(SUM(IF((CRDJ[Date]=A78)*(CRDJ[Account Code]=TRIM($B$2))*(CRDJ[Sort Code]=C78),CRDJ[Credit])))+(SUM(IF((GJ[Date]=A78)*(GJ[Account Code]=TRIM($B$2))*(GJ[Sort Code]=C78),GJ[Credit])))</f>
        <v>0</v>
      </c>
      <c r="G78" s="294">
        <f>IF($H$4=$E$4,E78-F78,F78-E78)</f>
        <v>0</v>
      </c>
      <c r="H78" s="291">
        <f>IF($H$4=$E$4,H70+E78-F78,H70+F78-E78)</f>
        <v>-21929</v>
      </c>
    </row>
    <row r="79" spans="1:8">
      <c r="A79" s="11">
        <f>Account!$G$20</f>
        <v>45199</v>
      </c>
      <c r="B79" s="189" t="str">
        <f>IF(C79=0,0,VLOOKUP(C79,Account!$F$26:$G$51,2))</f>
        <v>Ilocos Norte IMO</v>
      </c>
      <c r="C79" s="61" t="s">
        <v>484</v>
      </c>
      <c r="D79" s="14"/>
      <c r="E79" s="17">
        <f t="array" ref="E79">(SUM(IF((CkDJ[Date]=A79)*(CkDJ[Account Code]=TRIM($B$2))*(CkDJ[Sort Code]=C79),CkDJ[Debit])))+(SUM(IF((CsDJ[Date]=A79)*(CsDJ[Account Code]=TRIM($B$2))*(CsDJ[Sort Code]=C79),CsDJ[Debit])))+(SUM(IF((CRDJ[Date]=A79)*(CRDJ[Account Code]=TRIM($B$2))*(CRDJ[Sort Code]=C79),CRDJ[Debit])))+(SUM(IF((GJ[Date]=A79)*(GJ[Account Code]=TRIM($B$2))*(GJ[Sort Code]=C79),GJ[Debit])))</f>
        <v>0</v>
      </c>
      <c r="F79" s="17">
        <f t="array" ref="F79">(SUM(IF((CkDJ[Date]=A79)*(CkDJ[Account Code]=TRIM($B$2))*(CkDJ[Sort Code]=C79),CkDJ[Credit])))+(SUM(IF((CsDJ[Date]=A79)*(CsDJ[Account Code]=TRIM($B$2))*(CsDJ[Sort Code]=C79),CsDJ[Credit])))+(SUM(IF((CRDJ[Date]=A79)*(CRDJ[Account Code]=TRIM($B$2))*(CRDJ[Sort Code]=C79),CRDJ[Credit])))+(SUM(IF((GJ[Date]=A79)*(GJ[Account Code]=TRIM($B$2))*(GJ[Sort Code]=C79),GJ[Credit])))</f>
        <v>0</v>
      </c>
      <c r="G79" s="294">
        <f>IF($H$4=$E$4,E79-F79,F79-E79)</f>
        <v>0</v>
      </c>
      <c r="H79" s="291">
        <f>IF($H$4=$E$4,H71+E79-F79,H71+F79-E79)</f>
        <v>0</v>
      </c>
    </row>
    <row r="80" spans="1:8">
      <c r="A80" s="11">
        <f>Account!$G$20</f>
        <v>45199</v>
      </c>
      <c r="B80" s="189" t="str">
        <f>IF(C80=0,0,VLOOKUP(C80,Account!$F$26:$G$51,2))</f>
        <v>Ilocos Sur IMO</v>
      </c>
      <c r="C80" s="61" t="s">
        <v>485</v>
      </c>
      <c r="D80" s="14"/>
      <c r="E80" s="17">
        <f t="array" ref="E80">(SUM(IF((CkDJ[Date]=A80)*(CkDJ[Account Code]=TRIM($B$2))*(CkDJ[Sort Code]=C80),CkDJ[Debit])))+(SUM(IF((CsDJ[Date]=A80)*(CsDJ[Account Code]=TRIM($B$2))*(CsDJ[Sort Code]=C80),CsDJ[Debit])))+(SUM(IF((CRDJ[Date]=A80)*(CRDJ[Account Code]=TRIM($B$2))*(CRDJ[Sort Code]=C80),CRDJ[Debit])))+(SUM(IF((GJ[Date]=A80)*(GJ[Account Code]=TRIM($B$2))*(GJ[Sort Code]=C80),GJ[Debit])))</f>
        <v>0</v>
      </c>
      <c r="F80" s="17">
        <f t="array" ref="F80">(SUM(IF((CkDJ[Date]=A80)*(CkDJ[Account Code]=TRIM($B$2))*(CkDJ[Sort Code]=C80),CkDJ[Credit])))+(SUM(IF((CsDJ[Date]=A80)*(CsDJ[Account Code]=TRIM($B$2))*(CsDJ[Sort Code]=C80),CsDJ[Credit])))+(SUM(IF((CRDJ[Date]=A80)*(CRDJ[Account Code]=TRIM($B$2))*(CRDJ[Sort Code]=C80),CRDJ[Credit])))+(SUM(IF((GJ[Date]=A80)*(GJ[Account Code]=TRIM($B$2))*(GJ[Sort Code]=C80),GJ[Credit])))</f>
        <v>0</v>
      </c>
      <c r="G80" s="294">
        <f>IF($H$4=$E$4,E80-F80,F80-E80)</f>
        <v>0</v>
      </c>
      <c r="H80" s="291">
        <f>IF($H$4=$E$4,H72+E80-F80,H72+F80-E80)</f>
        <v>-1970</v>
      </c>
    </row>
    <row r="81" spans="1:8">
      <c r="A81" s="11">
        <f>Account!$G$20</f>
        <v>45199</v>
      </c>
      <c r="B81" s="189" t="str">
        <f>IF(C81=0,0,VLOOKUP(C81,Account!$F$26:$G$51,2))</f>
        <v>La Union</v>
      </c>
      <c r="C81" s="61" t="s">
        <v>486</v>
      </c>
      <c r="D81" s="14"/>
      <c r="E81" s="17">
        <f t="array" ref="E81">(SUM(IF((CkDJ[Date]=A81)*(CkDJ[Account Code]=TRIM($B$2))*(CkDJ[Sort Code]=C81),CkDJ[Debit])))+(SUM(IF((CsDJ[Date]=A81)*(CsDJ[Account Code]=TRIM($B$2))*(CsDJ[Sort Code]=C81),CsDJ[Debit])))+(SUM(IF((CRDJ[Date]=A81)*(CRDJ[Account Code]=TRIM($B$2))*(CRDJ[Sort Code]=C81),CRDJ[Debit])))+(SUM(IF((GJ[Date]=A81)*(GJ[Account Code]=TRIM($B$2))*(GJ[Sort Code]=C81),GJ[Debit])))</f>
        <v>0</v>
      </c>
      <c r="F81" s="17">
        <f t="array" ref="F81">(SUM(IF((CkDJ[Date]=A81)*(CkDJ[Account Code]=TRIM($B$2))*(CkDJ[Sort Code]=C81),CkDJ[Credit])))+(SUM(IF((CsDJ[Date]=A81)*(CsDJ[Account Code]=TRIM($B$2))*(CsDJ[Sort Code]=C81),CsDJ[Credit])))+(SUM(IF((CRDJ[Date]=A81)*(CRDJ[Account Code]=TRIM($B$2))*(CRDJ[Sort Code]=C81),CRDJ[Credit])))+(SUM(IF((GJ[Date]=A81)*(GJ[Account Code]=TRIM($B$2))*(GJ[Sort Code]=C81),GJ[Credit])))</f>
        <v>0</v>
      </c>
      <c r="G81" s="294">
        <f>IF($H$4=$E$4,E81-F81,F81-E81)</f>
        <v>0</v>
      </c>
      <c r="H81" s="291">
        <f>IF($H$4=$E$4,H73+E81-F81,H73+F81-E81)</f>
        <v>0</v>
      </c>
    </row>
    <row r="82" spans="1:8">
      <c r="A82" s="11">
        <f>Account!$G$20</f>
        <v>45199</v>
      </c>
      <c r="B82" s="189" t="str">
        <f>IF(C82=0,0,VLOOKUP(C82,Account!$F$26:$G$51,2))</f>
        <v>Pangasinan IMO</v>
      </c>
      <c r="C82" s="61" t="s">
        <v>762</v>
      </c>
      <c r="D82" s="14"/>
      <c r="E82" s="17">
        <f t="array" ref="E82">(SUM(IF((CkDJ[Date]=A82)*(CkDJ[Account Code]=TRIM($B$2))*(CkDJ[Sort Code]=C82),CkDJ[Debit])))+(SUM(IF((CsDJ[Date]=A82)*(CsDJ[Account Code]=TRIM($B$2))*(CsDJ[Sort Code]=C82),CsDJ[Debit])))+(SUM(IF((CRDJ[Date]=A82)*(CRDJ[Account Code]=TRIM($B$2))*(CRDJ[Sort Code]=C82),CRDJ[Debit])))+(SUM(IF((GJ[Date]=A82)*(GJ[Account Code]=TRIM($B$2))*(GJ[Sort Code]=C82),GJ[Debit])))</f>
        <v>0</v>
      </c>
      <c r="F82" s="17">
        <f t="array" ref="F82">(SUM(IF((CkDJ[Date]=A82)*(CkDJ[Account Code]=TRIM($B$2))*(CkDJ[Sort Code]=C82),CkDJ[Credit])))+(SUM(IF((CsDJ[Date]=A82)*(CsDJ[Account Code]=TRIM($B$2))*(CsDJ[Sort Code]=C82),CsDJ[Credit])))+(SUM(IF((CRDJ[Date]=A82)*(CRDJ[Account Code]=TRIM($B$2))*(CRDJ[Sort Code]=C82),CRDJ[Credit])))+(SUM(IF((GJ[Date]=A82)*(GJ[Account Code]=TRIM($B$2))*(GJ[Sort Code]=C82),GJ[Credit])))</f>
        <v>0</v>
      </c>
      <c r="G82" s="294">
        <f>IF($H$4=$E$4,E82-F82,F82-E82)</f>
        <v>0</v>
      </c>
      <c r="H82" s="291">
        <f>IF($H$4=$E$4,H74+E82-F82,H74+F82-E82)</f>
        <v>213775</v>
      </c>
    </row>
    <row r="83" spans="1:8">
      <c r="A83" s="1302">
        <f>A82</f>
        <v>45199</v>
      </c>
      <c r="B83" s="1309"/>
      <c r="C83" s="1309"/>
      <c r="D83" s="1303"/>
      <c r="E83" s="191">
        <f>SUM(E78:E82)</f>
        <v>0</v>
      </c>
      <c r="F83" s="191">
        <f>SUM(F78:F82)</f>
        <v>0</v>
      </c>
      <c r="G83" s="297">
        <f>SUM(G78:G82)</f>
        <v>0</v>
      </c>
      <c r="H83" s="23">
        <f>IF($H$4=$E$4,E83-F83,F83-E83)</f>
        <v>0</v>
      </c>
    </row>
    <row r="84" spans="1:8">
      <c r="A84" s="1306">
        <f>A83</f>
        <v>45199</v>
      </c>
      <c r="B84" s="1307"/>
      <c r="C84" s="1307"/>
      <c r="D84" s="1308"/>
      <c r="E84" s="20">
        <f>E76+E83</f>
        <v>270071</v>
      </c>
      <c r="F84" s="20">
        <f>F76+F83</f>
        <v>80195</v>
      </c>
      <c r="G84" s="295">
        <f>G75+G83</f>
        <v>213775</v>
      </c>
      <c r="H84" s="20">
        <f>IF($H$4=$E$4,E84-F84,F84-E84)</f>
        <v>189876</v>
      </c>
    </row>
    <row r="85" spans="1:8">
      <c r="A85" s="11"/>
      <c r="B85" s="188"/>
      <c r="C85" s="190"/>
      <c r="D85" s="12"/>
      <c r="E85" s="13"/>
      <c r="F85" s="13"/>
      <c r="G85" s="296"/>
      <c r="H85" s="12"/>
    </row>
    <row r="86" spans="1:8">
      <c r="A86" s="11">
        <f>Account!$G$21</f>
        <v>45230</v>
      </c>
      <c r="B86" s="189" t="str">
        <f>IF(C86=0,0,VLOOKUP(C86,Account!$F$26:$G$51,2))</f>
        <v>Regional Office</v>
      </c>
      <c r="C86" s="61" t="s">
        <v>494</v>
      </c>
      <c r="D86" s="14"/>
      <c r="E86" s="17">
        <f t="array" ref="E86">(SUM(IF((CkDJ[Date]=A86)*(CkDJ[Account Code]=TRIM($B$2))*(CkDJ[Sort Code]=C86),CkDJ[Debit])))+(SUM(IF((CsDJ[Date]=A86)*(CsDJ[Account Code]=TRIM($B$2))*(CsDJ[Sort Code]=C86),CsDJ[Debit])))+(SUM(IF((CRDJ[Date]=A86)*(CRDJ[Account Code]=TRIM($B$2))*(CRDJ[Sort Code]=C86),CRDJ[Debit])))+(SUM(IF((GJ[Date]=A86)*(GJ[Account Code]=TRIM($B$2))*(GJ[Sort Code]=C86),GJ[Debit])))</f>
        <v>0</v>
      </c>
      <c r="F86" s="17">
        <f t="array" ref="F86">(SUM(IF((CkDJ[Date]=A86)*(CkDJ[Account Code]=TRIM($B$2))*(CkDJ[Sort Code]=C86),CkDJ[Credit])))+(SUM(IF((CsDJ[Date]=A86)*(CsDJ[Account Code]=TRIM($B$2))*(CsDJ[Sort Code]=C86),CsDJ[Credit])))+(SUM(IF((CRDJ[Date]=A86)*(CRDJ[Account Code]=TRIM($B$2))*(CRDJ[Sort Code]=C86),CRDJ[Credit])))+(SUM(IF((GJ[Date]=A86)*(GJ[Account Code]=TRIM($B$2))*(GJ[Sort Code]=C86),GJ[Credit])))</f>
        <v>0</v>
      </c>
      <c r="G86" s="294">
        <f>IF($H$4=$E$4,E86-F86,F86-E86)</f>
        <v>0</v>
      </c>
      <c r="H86" s="291">
        <f>IF($H$4=$E$4,H78+E86-F86,H78+F86-E86)</f>
        <v>-21929</v>
      </c>
    </row>
    <row r="87" spans="1:8">
      <c r="A87" s="11">
        <f>Account!$G$21</f>
        <v>45230</v>
      </c>
      <c r="B87" s="189" t="str">
        <f>IF(C87=0,0,VLOOKUP(C87,Account!$F$26:$G$51,2))</f>
        <v>Ilocos Norte IMO</v>
      </c>
      <c r="C87" s="61" t="s">
        <v>484</v>
      </c>
      <c r="D87" s="14"/>
      <c r="E87" s="17">
        <f t="array" ref="E87">(SUM(IF((CkDJ[Date]=A87)*(CkDJ[Account Code]=TRIM($B$2))*(CkDJ[Sort Code]=C87),CkDJ[Debit])))+(SUM(IF((CsDJ[Date]=A87)*(CsDJ[Account Code]=TRIM($B$2))*(CsDJ[Sort Code]=C87),CsDJ[Debit])))+(SUM(IF((CRDJ[Date]=A87)*(CRDJ[Account Code]=TRIM($B$2))*(CRDJ[Sort Code]=C87),CRDJ[Debit])))+(SUM(IF((GJ[Date]=A87)*(GJ[Account Code]=TRIM($B$2))*(GJ[Sort Code]=C87),GJ[Debit])))</f>
        <v>0</v>
      </c>
      <c r="F87" s="17">
        <f t="array" ref="F87">(SUM(IF((CkDJ[Date]=A87)*(CkDJ[Account Code]=TRIM($B$2))*(CkDJ[Sort Code]=C87),CkDJ[Credit])))+(SUM(IF((CsDJ[Date]=A87)*(CsDJ[Account Code]=TRIM($B$2))*(CsDJ[Sort Code]=C87),CsDJ[Credit])))+(SUM(IF((CRDJ[Date]=A87)*(CRDJ[Account Code]=TRIM($B$2))*(CRDJ[Sort Code]=C87),CRDJ[Credit])))+(SUM(IF((GJ[Date]=A87)*(GJ[Account Code]=TRIM($B$2))*(GJ[Sort Code]=C87),GJ[Credit])))</f>
        <v>0</v>
      </c>
      <c r="G87" s="294">
        <f>IF($H$4=$E$4,E87-F87,F87-E87)</f>
        <v>0</v>
      </c>
      <c r="H87" s="291">
        <f>IF($H$4=$E$4,H79+E87-F87,H79+F87-E87)</f>
        <v>0</v>
      </c>
    </row>
    <row r="88" spans="1:8">
      <c r="A88" s="11">
        <f>Account!$G$21</f>
        <v>45230</v>
      </c>
      <c r="B88" s="189" t="str">
        <f>IF(C88=0,0,VLOOKUP(C88,Account!$F$26:$G$51,2))</f>
        <v>Ilocos Sur IMO</v>
      </c>
      <c r="C88" s="61" t="s">
        <v>485</v>
      </c>
      <c r="D88" s="14"/>
      <c r="E88" s="17">
        <f t="array" ref="E88">(SUM(IF((CkDJ[Date]=A88)*(CkDJ[Account Code]=TRIM($B$2))*(CkDJ[Sort Code]=C88),CkDJ[Debit])))+(SUM(IF((CsDJ[Date]=A88)*(CsDJ[Account Code]=TRIM($B$2))*(CsDJ[Sort Code]=C88),CsDJ[Debit])))+(SUM(IF((CRDJ[Date]=A88)*(CRDJ[Account Code]=TRIM($B$2))*(CRDJ[Sort Code]=C88),CRDJ[Debit])))+(SUM(IF((GJ[Date]=A88)*(GJ[Account Code]=TRIM($B$2))*(GJ[Sort Code]=C88),GJ[Debit])))</f>
        <v>0</v>
      </c>
      <c r="F88" s="17">
        <f t="array" ref="F88">(SUM(IF((CkDJ[Date]=A88)*(CkDJ[Account Code]=TRIM($B$2))*(CkDJ[Sort Code]=C88),CkDJ[Credit])))+(SUM(IF((CsDJ[Date]=A88)*(CsDJ[Account Code]=TRIM($B$2))*(CsDJ[Sort Code]=C88),CsDJ[Credit])))+(SUM(IF((CRDJ[Date]=A88)*(CRDJ[Account Code]=TRIM($B$2))*(CRDJ[Sort Code]=C88),CRDJ[Credit])))+(SUM(IF((GJ[Date]=A88)*(GJ[Account Code]=TRIM($B$2))*(GJ[Sort Code]=C88),GJ[Credit])))</f>
        <v>0</v>
      </c>
      <c r="G88" s="294">
        <f>IF($H$4=$E$4,E88-F88,F88-E88)</f>
        <v>0</v>
      </c>
      <c r="H88" s="291">
        <f>IF($H$4=$E$4,H80+E88-F88,H80+F88-E88)</f>
        <v>-1970</v>
      </c>
    </row>
    <row r="89" spans="1:8">
      <c r="A89" s="11">
        <f>Account!$G$21</f>
        <v>45230</v>
      </c>
      <c r="B89" s="189" t="str">
        <f>IF(C89=0,0,VLOOKUP(C89,Account!$F$26:$G$51,2))</f>
        <v>La Union</v>
      </c>
      <c r="C89" s="61" t="s">
        <v>486</v>
      </c>
      <c r="D89" s="14"/>
      <c r="E89" s="17">
        <f t="array" ref="E89">(SUM(IF((CkDJ[Date]=A89)*(CkDJ[Account Code]=TRIM($B$2))*(CkDJ[Sort Code]=C89),CkDJ[Debit])))+(SUM(IF((CsDJ[Date]=A89)*(CsDJ[Account Code]=TRIM($B$2))*(CsDJ[Sort Code]=C89),CsDJ[Debit])))+(SUM(IF((CRDJ[Date]=A89)*(CRDJ[Account Code]=TRIM($B$2))*(CRDJ[Sort Code]=C89),CRDJ[Debit])))+(SUM(IF((GJ[Date]=A89)*(GJ[Account Code]=TRIM($B$2))*(GJ[Sort Code]=C89),GJ[Debit])))</f>
        <v>0</v>
      </c>
      <c r="F89" s="17">
        <f t="array" ref="F89">(SUM(IF((CkDJ[Date]=A89)*(CkDJ[Account Code]=TRIM($B$2))*(CkDJ[Sort Code]=C89),CkDJ[Credit])))+(SUM(IF((CsDJ[Date]=A89)*(CsDJ[Account Code]=TRIM($B$2))*(CsDJ[Sort Code]=C89),CsDJ[Credit])))+(SUM(IF((CRDJ[Date]=A89)*(CRDJ[Account Code]=TRIM($B$2))*(CRDJ[Sort Code]=C89),CRDJ[Credit])))+(SUM(IF((GJ[Date]=A89)*(GJ[Account Code]=TRIM($B$2))*(GJ[Sort Code]=C89),GJ[Credit])))</f>
        <v>0</v>
      </c>
      <c r="G89" s="294">
        <f>IF($H$4=$E$4,E89-F89,F89-E89)</f>
        <v>0</v>
      </c>
      <c r="H89" s="291">
        <f>IF($H$4=$E$4,H81+E89-F89,H81+F89-E89)</f>
        <v>0</v>
      </c>
    </row>
    <row r="90" spans="1:8">
      <c r="A90" s="11">
        <f>Account!$G$21</f>
        <v>45230</v>
      </c>
      <c r="B90" s="189" t="str">
        <f>IF(C90=0,0,VLOOKUP(C90,Account!$F$26:$G$51,2))</f>
        <v>Pangasinan IMO</v>
      </c>
      <c r="C90" s="61" t="s">
        <v>762</v>
      </c>
      <c r="D90" s="14"/>
      <c r="E90" s="17">
        <f t="array" ref="E90">(SUM(IF((CkDJ[Date]=A90)*(CkDJ[Account Code]=TRIM($B$2))*(CkDJ[Sort Code]=C90),CkDJ[Debit])))+(SUM(IF((CsDJ[Date]=A90)*(CsDJ[Account Code]=TRIM($B$2))*(CsDJ[Sort Code]=C90),CsDJ[Debit])))+(SUM(IF((CRDJ[Date]=A90)*(CRDJ[Account Code]=TRIM($B$2))*(CRDJ[Sort Code]=C90),CRDJ[Debit])))+(SUM(IF((GJ[Date]=A90)*(GJ[Account Code]=TRIM($B$2))*(GJ[Sort Code]=C90),GJ[Debit])))</f>
        <v>0</v>
      </c>
      <c r="F90" s="17">
        <f t="array" ref="F90">(SUM(IF((CkDJ[Date]=A90)*(CkDJ[Account Code]=TRIM($B$2))*(CkDJ[Sort Code]=C90),CkDJ[Credit])))+(SUM(IF((CsDJ[Date]=A90)*(CsDJ[Account Code]=TRIM($B$2))*(CsDJ[Sort Code]=C90),CsDJ[Credit])))+(SUM(IF((CRDJ[Date]=A90)*(CRDJ[Account Code]=TRIM($B$2))*(CRDJ[Sort Code]=C90),CRDJ[Credit])))+(SUM(IF((GJ[Date]=A90)*(GJ[Account Code]=TRIM($B$2))*(GJ[Sort Code]=C90),GJ[Credit])))</f>
        <v>0</v>
      </c>
      <c r="G90" s="294">
        <f>IF($H$4=$E$4,E90-F90,F90-E90)</f>
        <v>0</v>
      </c>
      <c r="H90" s="291">
        <f>IF($H$4=$E$4,H82+E90-F90,H82+F90-E90)</f>
        <v>213775</v>
      </c>
    </row>
    <row r="91" spans="1:8">
      <c r="A91" s="1302">
        <f>A90</f>
        <v>45230</v>
      </c>
      <c r="B91" s="1309"/>
      <c r="C91" s="1309"/>
      <c r="D91" s="1303"/>
      <c r="E91" s="191">
        <f>SUM(E86:E90)</f>
        <v>0</v>
      </c>
      <c r="F91" s="191">
        <f>SUM(F86:F90)</f>
        <v>0</v>
      </c>
      <c r="G91" s="297">
        <f>SUM(G86:G90)</f>
        <v>0</v>
      </c>
      <c r="H91" s="23">
        <f>IF($H$4=$E$4,E91-F91,F91-E91)</f>
        <v>0</v>
      </c>
    </row>
    <row r="92" spans="1:8">
      <c r="A92" s="1306">
        <f>A91</f>
        <v>45230</v>
      </c>
      <c r="B92" s="1307"/>
      <c r="C92" s="1307"/>
      <c r="D92" s="1308"/>
      <c r="E92" s="20">
        <f>E84+E91</f>
        <v>270071</v>
      </c>
      <c r="F92" s="20">
        <f>F84+F91</f>
        <v>80195</v>
      </c>
      <c r="G92" s="295">
        <f>G83+G91</f>
        <v>0</v>
      </c>
      <c r="H92" s="20">
        <f>IF($H$4=$E$4,E92-F92,F92-E92)</f>
        <v>189876</v>
      </c>
    </row>
    <row r="93" spans="1:8">
      <c r="A93" s="11"/>
      <c r="B93" s="188"/>
      <c r="C93" s="190"/>
      <c r="D93" s="12"/>
      <c r="E93" s="13"/>
      <c r="F93" s="13"/>
      <c r="G93" s="296"/>
      <c r="H93" s="12"/>
    </row>
    <row r="94" spans="1:8">
      <c r="A94" s="11">
        <f>Account!$G$22</f>
        <v>45260</v>
      </c>
      <c r="B94" s="189" t="str">
        <f>IF(C94=0,0,VLOOKUP(C94,Account!$F$26:$G$51,2))</f>
        <v>Regional Office</v>
      </c>
      <c r="C94" s="61" t="s">
        <v>494</v>
      </c>
      <c r="D94" s="14"/>
      <c r="E94" s="17">
        <f t="array" ref="E94">(SUM(IF((CkDJ[Date]=A94)*(CkDJ[Account Code]=TRIM($B$2))*(CkDJ[Sort Code]=C94),CkDJ[Debit])))+(SUM(IF((CsDJ[Date]=A94)*(CsDJ[Account Code]=TRIM($B$2))*(CsDJ[Sort Code]=C94),CsDJ[Debit])))+(SUM(IF((CRDJ[Date]=A94)*(CRDJ[Account Code]=TRIM($B$2))*(CRDJ[Sort Code]=C94),CRDJ[Debit])))+(SUM(IF((GJ[Date]=A94)*(GJ[Account Code]=TRIM($B$2))*(GJ[Sort Code]=C94),GJ[Debit])))</f>
        <v>0</v>
      </c>
      <c r="F94" s="17">
        <f t="array" ref="F94">(SUM(IF((CkDJ[Date]=A94)*(CkDJ[Account Code]=TRIM($B$2))*(CkDJ[Sort Code]=C94),CkDJ[Credit])))+(SUM(IF((CsDJ[Date]=A94)*(CsDJ[Account Code]=TRIM($B$2))*(CsDJ[Sort Code]=C94),CsDJ[Credit])))+(SUM(IF((CRDJ[Date]=A94)*(CRDJ[Account Code]=TRIM($B$2))*(CRDJ[Sort Code]=C94),CRDJ[Credit])))+(SUM(IF((GJ[Date]=A94)*(GJ[Account Code]=TRIM($B$2))*(GJ[Sort Code]=C94),GJ[Credit])))</f>
        <v>0</v>
      </c>
      <c r="G94" s="294">
        <f>IF($H$4=$E$4,E94-F94,F94-E94)</f>
        <v>0</v>
      </c>
      <c r="H94" s="291">
        <f>IF($H$4=$E$4,H86+E94-F94,H86+F94-E94)</f>
        <v>-21929</v>
      </c>
    </row>
    <row r="95" spans="1:8">
      <c r="A95" s="11">
        <f>Account!$G$22</f>
        <v>45260</v>
      </c>
      <c r="B95" s="189" t="str">
        <f>IF(C95=0,0,VLOOKUP(C95,Account!$F$26:$G$51,2))</f>
        <v>Ilocos Norte IMO</v>
      </c>
      <c r="C95" s="61" t="s">
        <v>484</v>
      </c>
      <c r="D95" s="14"/>
      <c r="E95" s="17">
        <f t="array" ref="E95">(SUM(IF((CkDJ[Date]=A95)*(CkDJ[Account Code]=TRIM($B$2))*(CkDJ[Sort Code]=C95),CkDJ[Debit])))+(SUM(IF((CsDJ[Date]=A95)*(CsDJ[Account Code]=TRIM($B$2))*(CsDJ[Sort Code]=C95),CsDJ[Debit])))+(SUM(IF((CRDJ[Date]=A95)*(CRDJ[Account Code]=TRIM($B$2))*(CRDJ[Sort Code]=C95),CRDJ[Debit])))+(SUM(IF((GJ[Date]=A95)*(GJ[Account Code]=TRIM($B$2))*(GJ[Sort Code]=C95),GJ[Debit])))</f>
        <v>0</v>
      </c>
      <c r="F95" s="17">
        <f t="array" ref="F95">(SUM(IF((CkDJ[Date]=A95)*(CkDJ[Account Code]=TRIM($B$2))*(CkDJ[Sort Code]=C95),CkDJ[Credit])))+(SUM(IF((CsDJ[Date]=A95)*(CsDJ[Account Code]=TRIM($B$2))*(CsDJ[Sort Code]=C95),CsDJ[Credit])))+(SUM(IF((CRDJ[Date]=A95)*(CRDJ[Account Code]=TRIM($B$2))*(CRDJ[Sort Code]=C95),CRDJ[Credit])))+(SUM(IF((GJ[Date]=A95)*(GJ[Account Code]=TRIM($B$2))*(GJ[Sort Code]=C95),GJ[Credit])))</f>
        <v>0</v>
      </c>
      <c r="G95" s="294">
        <f>IF($H$4=$E$4,E95-F95,F95-E95)</f>
        <v>0</v>
      </c>
      <c r="H95" s="291">
        <f>IF($H$4=$E$4,H87+E95-F95,H87+F95-E95)</f>
        <v>0</v>
      </c>
    </row>
    <row r="96" spans="1:8">
      <c r="A96" s="11">
        <f>Account!$G$22</f>
        <v>45260</v>
      </c>
      <c r="B96" s="189" t="str">
        <f>IF(C96=0,0,VLOOKUP(C96,Account!$F$26:$G$51,2))</f>
        <v>Ilocos Sur IMO</v>
      </c>
      <c r="C96" s="61" t="s">
        <v>485</v>
      </c>
      <c r="D96" s="14"/>
      <c r="E96" s="17">
        <f t="array" ref="E96">(SUM(IF((CkDJ[Date]=A96)*(CkDJ[Account Code]=TRIM($B$2))*(CkDJ[Sort Code]=C96),CkDJ[Debit])))+(SUM(IF((CsDJ[Date]=A96)*(CsDJ[Account Code]=TRIM($B$2))*(CsDJ[Sort Code]=C96),CsDJ[Debit])))+(SUM(IF((CRDJ[Date]=A96)*(CRDJ[Account Code]=TRIM($B$2))*(CRDJ[Sort Code]=C96),CRDJ[Debit])))+(SUM(IF((GJ[Date]=A96)*(GJ[Account Code]=TRIM($B$2))*(GJ[Sort Code]=C96),GJ[Debit])))</f>
        <v>0</v>
      </c>
      <c r="F96" s="17">
        <f t="array" ref="F96">(SUM(IF((CkDJ[Date]=A96)*(CkDJ[Account Code]=TRIM($B$2))*(CkDJ[Sort Code]=C96),CkDJ[Credit])))+(SUM(IF((CsDJ[Date]=A96)*(CsDJ[Account Code]=TRIM($B$2))*(CsDJ[Sort Code]=C96),CsDJ[Credit])))+(SUM(IF((CRDJ[Date]=A96)*(CRDJ[Account Code]=TRIM($B$2))*(CRDJ[Sort Code]=C96),CRDJ[Credit])))+(SUM(IF((GJ[Date]=A96)*(GJ[Account Code]=TRIM($B$2))*(GJ[Sort Code]=C96),GJ[Credit])))</f>
        <v>0</v>
      </c>
      <c r="G96" s="294">
        <f>IF($H$4=$E$4,E96-F96,F96-E96)</f>
        <v>0</v>
      </c>
      <c r="H96" s="291">
        <f>IF($H$4=$E$4,H88+E96-F96,H88+F96-E96)</f>
        <v>-1970</v>
      </c>
    </row>
    <row r="97" spans="1:8">
      <c r="A97" s="11">
        <f>Account!$G$22</f>
        <v>45260</v>
      </c>
      <c r="B97" s="189" t="str">
        <f>IF(C97=0,0,VLOOKUP(C97,Account!$F$26:$G$51,2))</f>
        <v>La Union</v>
      </c>
      <c r="C97" s="61" t="s">
        <v>486</v>
      </c>
      <c r="D97" s="14"/>
      <c r="E97" s="17">
        <f t="array" ref="E97">(SUM(IF((CkDJ[Date]=A97)*(CkDJ[Account Code]=TRIM($B$2))*(CkDJ[Sort Code]=C97),CkDJ[Debit])))+(SUM(IF((CsDJ[Date]=A97)*(CsDJ[Account Code]=TRIM($B$2))*(CsDJ[Sort Code]=C97),CsDJ[Debit])))+(SUM(IF((CRDJ[Date]=A97)*(CRDJ[Account Code]=TRIM($B$2))*(CRDJ[Sort Code]=C97),CRDJ[Debit])))+(SUM(IF((GJ[Date]=A97)*(GJ[Account Code]=TRIM($B$2))*(GJ[Sort Code]=C97),GJ[Debit])))</f>
        <v>0</v>
      </c>
      <c r="F97" s="17">
        <f t="array" ref="F97">(SUM(IF((CkDJ[Date]=A97)*(CkDJ[Account Code]=TRIM($B$2))*(CkDJ[Sort Code]=C97),CkDJ[Credit])))+(SUM(IF((CsDJ[Date]=A97)*(CsDJ[Account Code]=TRIM($B$2))*(CsDJ[Sort Code]=C97),CsDJ[Credit])))+(SUM(IF((CRDJ[Date]=A97)*(CRDJ[Account Code]=TRIM($B$2))*(CRDJ[Sort Code]=C97),CRDJ[Credit])))+(SUM(IF((GJ[Date]=A97)*(GJ[Account Code]=TRIM($B$2))*(GJ[Sort Code]=C97),GJ[Credit])))</f>
        <v>0</v>
      </c>
      <c r="G97" s="294">
        <f>IF($H$4=$E$4,E97-F97,F97-E97)</f>
        <v>0</v>
      </c>
      <c r="H97" s="291">
        <f>IF($H$4=$E$4,H89+E97-F97,H89+F97-E97)</f>
        <v>0</v>
      </c>
    </row>
    <row r="98" spans="1:8">
      <c r="A98" s="11">
        <f>Account!$G$22</f>
        <v>45260</v>
      </c>
      <c r="B98" s="189" t="str">
        <f>IF(C98=0,0,VLOOKUP(C98,Account!$F$26:$G$51,2))</f>
        <v>Pangasinan IMO</v>
      </c>
      <c r="C98" s="61" t="s">
        <v>762</v>
      </c>
      <c r="D98" s="14"/>
      <c r="E98" s="17">
        <f t="array" ref="E98">(SUM(IF((CkDJ[Date]=A98)*(CkDJ[Account Code]=TRIM($B$2))*(CkDJ[Sort Code]=C98),CkDJ[Debit])))+(SUM(IF((CsDJ[Date]=A98)*(CsDJ[Account Code]=TRIM($B$2))*(CsDJ[Sort Code]=C98),CsDJ[Debit])))+(SUM(IF((CRDJ[Date]=A98)*(CRDJ[Account Code]=TRIM($B$2))*(CRDJ[Sort Code]=C98),CRDJ[Debit])))+(SUM(IF((GJ[Date]=A98)*(GJ[Account Code]=TRIM($B$2))*(GJ[Sort Code]=C98),GJ[Debit])))</f>
        <v>0</v>
      </c>
      <c r="F98" s="17">
        <f t="array" ref="F98">(SUM(IF((CkDJ[Date]=A98)*(CkDJ[Account Code]=TRIM($B$2))*(CkDJ[Sort Code]=C98),CkDJ[Credit])))+(SUM(IF((CsDJ[Date]=A98)*(CsDJ[Account Code]=TRIM($B$2))*(CsDJ[Sort Code]=C98),CsDJ[Credit])))+(SUM(IF((CRDJ[Date]=A98)*(CRDJ[Account Code]=TRIM($B$2))*(CRDJ[Sort Code]=C98),CRDJ[Credit])))+(SUM(IF((GJ[Date]=A98)*(GJ[Account Code]=TRIM($B$2))*(GJ[Sort Code]=C98),GJ[Credit])))</f>
        <v>0</v>
      </c>
      <c r="G98" s="294">
        <f>IF($H$4=$E$4,E98-F98,F98-E98)</f>
        <v>0</v>
      </c>
      <c r="H98" s="291">
        <f>IF($H$4=$E$4,H90+E98-F98,H90+F98-E98)</f>
        <v>213775</v>
      </c>
    </row>
    <row r="99" spans="1:8">
      <c r="A99" s="1302">
        <f>A98</f>
        <v>45260</v>
      </c>
      <c r="B99" s="1309"/>
      <c r="C99" s="1309"/>
      <c r="D99" s="1303"/>
      <c r="E99" s="191">
        <f>SUM(E94:E98)</f>
        <v>0</v>
      </c>
      <c r="F99" s="191">
        <f>SUM(F94:F98)</f>
        <v>0</v>
      </c>
      <c r="G99" s="297">
        <f>SUM(G94:G98)</f>
        <v>0</v>
      </c>
      <c r="H99" s="23">
        <f>IF($H$4=$E$4,E99-F99,F99-E99)</f>
        <v>0</v>
      </c>
    </row>
    <row r="100" spans="1:8">
      <c r="A100" s="1306">
        <f>A99</f>
        <v>45260</v>
      </c>
      <c r="B100" s="1307"/>
      <c r="C100" s="1307"/>
      <c r="D100" s="1308"/>
      <c r="E100" s="20">
        <f>E92+E99</f>
        <v>270071</v>
      </c>
      <c r="F100" s="20">
        <f>F92+F99</f>
        <v>80195</v>
      </c>
      <c r="G100" s="295">
        <f>G91+G99</f>
        <v>0</v>
      </c>
      <c r="H100" s="20">
        <f>IF($H$4=$E$4,E100-F100,F100-E100)</f>
        <v>189876</v>
      </c>
    </row>
    <row r="101" spans="1:8">
      <c r="A101" s="11"/>
      <c r="B101" s="188"/>
      <c r="C101" s="190"/>
      <c r="D101" s="12"/>
      <c r="E101" s="13"/>
      <c r="F101" s="13"/>
      <c r="G101" s="296"/>
      <c r="H101" s="12"/>
    </row>
    <row r="102" spans="1:8">
      <c r="A102" s="11">
        <f>Account!$G$23</f>
        <v>45291</v>
      </c>
      <c r="B102" s="189" t="str">
        <f>IF(C102=0,0,VLOOKUP(C102,Account!$F$26:$G$51,2))</f>
        <v>Regional Office</v>
      </c>
      <c r="C102" s="61" t="s">
        <v>494</v>
      </c>
      <c r="D102" s="14"/>
      <c r="E102" s="17">
        <f t="array" ref="E102">(SUM(IF((CkDJ[Date]=A102)*(CkDJ[Account Code]=TRIM($B$2))*(CkDJ[Sort Code]=C102),CkDJ[Debit])))+(SUM(IF((CsDJ[Date]=A102)*(CsDJ[Account Code]=TRIM($B$2))*(CsDJ[Sort Code]=C102),CsDJ[Debit])))+(SUM(IF((CRDJ[Date]=A102)*(CRDJ[Account Code]=TRIM($B$2))*(CRDJ[Sort Code]=C102),CRDJ[Debit])))+(SUM(IF((GJ[Date]=A102)*(GJ[Account Code]=TRIM($B$2))*(GJ[Sort Code]=C102),GJ[Debit])))</f>
        <v>0</v>
      </c>
      <c r="F102" s="17">
        <f t="array" ref="F102">(SUM(IF((CkDJ[Date]=A102)*(CkDJ[Account Code]=TRIM($B$2))*(CkDJ[Sort Code]=C102),CkDJ[Credit])))+(SUM(IF((CsDJ[Date]=A102)*(CsDJ[Account Code]=TRIM($B$2))*(CsDJ[Sort Code]=C102),CsDJ[Credit])))+(SUM(IF((CRDJ[Date]=A102)*(CRDJ[Account Code]=TRIM($B$2))*(CRDJ[Sort Code]=C102),CRDJ[Credit])))+(SUM(IF((GJ[Date]=A102)*(GJ[Account Code]=TRIM($B$2))*(GJ[Sort Code]=C102),GJ[Credit])))</f>
        <v>0</v>
      </c>
      <c r="G102" s="294">
        <f>IF($H$4=$E$4,E102-F102,F102-E102)</f>
        <v>0</v>
      </c>
      <c r="H102" s="291">
        <f>IF($H$4=$E$4,H94+E102-F102,H94+F102-E102)</f>
        <v>-21929</v>
      </c>
    </row>
    <row r="103" spans="1:8">
      <c r="A103" s="11">
        <f>Account!$G$23</f>
        <v>45291</v>
      </c>
      <c r="B103" s="189" t="str">
        <f>IF(C103=0,0,VLOOKUP(C103,Account!$F$26:$G$51,2))</f>
        <v>Ilocos Norte IMO</v>
      </c>
      <c r="C103" s="61" t="s">
        <v>484</v>
      </c>
      <c r="D103" s="14"/>
      <c r="E103" s="17">
        <f t="array" ref="E103">(SUM(IF((CkDJ[Date]=A103)*(CkDJ[Account Code]=TRIM($B$2))*(CkDJ[Sort Code]=C103),CkDJ[Debit])))+(SUM(IF((CsDJ[Date]=A103)*(CsDJ[Account Code]=TRIM($B$2))*(CsDJ[Sort Code]=C103),CsDJ[Debit])))+(SUM(IF((CRDJ[Date]=A103)*(CRDJ[Account Code]=TRIM($B$2))*(CRDJ[Sort Code]=C103),CRDJ[Debit])))+(SUM(IF((GJ[Date]=A103)*(GJ[Account Code]=TRIM($B$2))*(GJ[Sort Code]=C103),GJ[Debit])))</f>
        <v>0</v>
      </c>
      <c r="F103" s="17">
        <f t="array" ref="F103">(SUM(IF((CkDJ[Date]=A103)*(CkDJ[Account Code]=TRIM($B$2))*(CkDJ[Sort Code]=C103),CkDJ[Credit])))+(SUM(IF((CsDJ[Date]=A103)*(CsDJ[Account Code]=TRIM($B$2))*(CsDJ[Sort Code]=C103),CsDJ[Credit])))+(SUM(IF((CRDJ[Date]=A103)*(CRDJ[Account Code]=TRIM($B$2))*(CRDJ[Sort Code]=C103),CRDJ[Credit])))+(SUM(IF((GJ[Date]=A103)*(GJ[Account Code]=TRIM($B$2))*(GJ[Sort Code]=C103),GJ[Credit])))</f>
        <v>0</v>
      </c>
      <c r="G103" s="294">
        <f>IF($H$4=$E$4,E103-F103,F103-E103)</f>
        <v>0</v>
      </c>
      <c r="H103" s="291">
        <f>IF($H$4=$E$4,H95+E103-F103,H95+F103-E103)</f>
        <v>0</v>
      </c>
    </row>
    <row r="104" spans="1:8">
      <c r="A104" s="11">
        <f>Account!$G$23</f>
        <v>45291</v>
      </c>
      <c r="B104" s="189" t="str">
        <f>IF(C104=0,0,VLOOKUP(C104,Account!$F$26:$G$51,2))</f>
        <v>Ilocos Sur IMO</v>
      </c>
      <c r="C104" s="61" t="s">
        <v>485</v>
      </c>
      <c r="D104" s="14"/>
      <c r="E104" s="17">
        <f t="array" ref="E104">(SUM(IF((CkDJ[Date]=A104)*(CkDJ[Account Code]=TRIM($B$2))*(CkDJ[Sort Code]=C104),CkDJ[Debit])))+(SUM(IF((CsDJ[Date]=A104)*(CsDJ[Account Code]=TRIM($B$2))*(CsDJ[Sort Code]=C104),CsDJ[Debit])))+(SUM(IF((CRDJ[Date]=A104)*(CRDJ[Account Code]=TRIM($B$2))*(CRDJ[Sort Code]=C104),CRDJ[Debit])))+(SUM(IF((GJ[Date]=A104)*(GJ[Account Code]=TRIM($B$2))*(GJ[Sort Code]=C104),GJ[Debit])))</f>
        <v>0</v>
      </c>
      <c r="F104" s="17">
        <f t="array" ref="F104">(SUM(IF((CkDJ[Date]=A104)*(CkDJ[Account Code]=TRIM($B$2))*(CkDJ[Sort Code]=C104),CkDJ[Credit])))+(SUM(IF((CsDJ[Date]=A104)*(CsDJ[Account Code]=TRIM($B$2))*(CsDJ[Sort Code]=C104),CsDJ[Credit])))+(SUM(IF((CRDJ[Date]=A104)*(CRDJ[Account Code]=TRIM($B$2))*(CRDJ[Sort Code]=C104),CRDJ[Credit])))+(SUM(IF((GJ[Date]=A104)*(GJ[Account Code]=TRIM($B$2))*(GJ[Sort Code]=C104),GJ[Credit])))</f>
        <v>0</v>
      </c>
      <c r="G104" s="294">
        <f>IF($H$4=$E$4,E104-F104,F104-E104)</f>
        <v>0</v>
      </c>
      <c r="H104" s="291">
        <f>IF($H$4=$E$4,H96+E104-F104,H96+F104-E104)</f>
        <v>-1970</v>
      </c>
    </row>
    <row r="105" spans="1:8">
      <c r="A105" s="11">
        <f>Account!$G$23</f>
        <v>45291</v>
      </c>
      <c r="B105" s="189" t="str">
        <f>IF(C105=0,0,VLOOKUP(C105,Account!$F$26:$G$51,2))</f>
        <v>La Union</v>
      </c>
      <c r="C105" s="61" t="s">
        <v>486</v>
      </c>
      <c r="D105" s="14"/>
      <c r="E105" s="17">
        <f t="array" ref="E105">(SUM(IF((CkDJ[Date]=A105)*(CkDJ[Account Code]=TRIM($B$2))*(CkDJ[Sort Code]=C105),CkDJ[Debit])))+(SUM(IF((CsDJ[Date]=A105)*(CsDJ[Account Code]=TRIM($B$2))*(CsDJ[Sort Code]=C105),CsDJ[Debit])))+(SUM(IF((CRDJ[Date]=A105)*(CRDJ[Account Code]=TRIM($B$2))*(CRDJ[Sort Code]=C105),CRDJ[Debit])))+(SUM(IF((GJ[Date]=A105)*(GJ[Account Code]=TRIM($B$2))*(GJ[Sort Code]=C105),GJ[Debit])))</f>
        <v>0</v>
      </c>
      <c r="F105" s="17">
        <f t="array" ref="F105">(SUM(IF((CkDJ[Date]=A105)*(CkDJ[Account Code]=TRIM($B$2))*(CkDJ[Sort Code]=C105),CkDJ[Credit])))+(SUM(IF((CsDJ[Date]=A105)*(CsDJ[Account Code]=TRIM($B$2))*(CsDJ[Sort Code]=C105),CsDJ[Credit])))+(SUM(IF((CRDJ[Date]=A105)*(CRDJ[Account Code]=TRIM($B$2))*(CRDJ[Sort Code]=C105),CRDJ[Credit])))+(SUM(IF((GJ[Date]=A105)*(GJ[Account Code]=TRIM($B$2))*(GJ[Sort Code]=C105),GJ[Credit])))</f>
        <v>0</v>
      </c>
      <c r="G105" s="294">
        <f>IF($H$4=$E$4,E105-F105,F105-E105)</f>
        <v>0</v>
      </c>
      <c r="H105" s="291">
        <f>IF($H$4=$E$4,H97+E105-F105,H97+F105-E105)</f>
        <v>0</v>
      </c>
    </row>
    <row r="106" spans="1:8">
      <c r="A106" s="11">
        <f>Account!$G$23</f>
        <v>45291</v>
      </c>
      <c r="B106" s="189" t="str">
        <f>IF(C106=0,0,VLOOKUP(C106,Account!$F$26:$G$51,2))</f>
        <v>Pangasinan IMO</v>
      </c>
      <c r="C106" s="61" t="s">
        <v>762</v>
      </c>
      <c r="D106" s="14"/>
      <c r="E106" s="17">
        <f t="array" ref="E106">(SUM(IF((CkDJ[Date]=A106)*(CkDJ[Account Code]=TRIM($B$2))*(CkDJ[Sort Code]=C106),CkDJ[Debit])))+(SUM(IF((CsDJ[Date]=A106)*(CsDJ[Account Code]=TRIM($B$2))*(CsDJ[Sort Code]=C106),CsDJ[Debit])))+(SUM(IF((CRDJ[Date]=A106)*(CRDJ[Account Code]=TRIM($B$2))*(CRDJ[Sort Code]=C106),CRDJ[Debit])))+(SUM(IF((GJ[Date]=A106)*(GJ[Account Code]=TRIM($B$2))*(GJ[Sort Code]=C106),GJ[Debit])))</f>
        <v>0</v>
      </c>
      <c r="F106" s="17">
        <f t="array" ref="F106">(SUM(IF((CkDJ[Date]=A106)*(CkDJ[Account Code]=TRIM($B$2))*(CkDJ[Sort Code]=C106),CkDJ[Credit])))+(SUM(IF((CsDJ[Date]=A106)*(CsDJ[Account Code]=TRIM($B$2))*(CsDJ[Sort Code]=C106),CsDJ[Credit])))+(SUM(IF((CRDJ[Date]=A106)*(CRDJ[Account Code]=TRIM($B$2))*(CRDJ[Sort Code]=C106),CRDJ[Credit])))+(SUM(IF((GJ[Date]=A106)*(GJ[Account Code]=TRIM($B$2))*(GJ[Sort Code]=C106),GJ[Credit])))</f>
        <v>0</v>
      </c>
      <c r="G106" s="294">
        <f>IF($H$4=$E$4,E106-F106,F106-E106)</f>
        <v>0</v>
      </c>
      <c r="H106" s="291">
        <f>IF($H$4=$E$4,H98+E106-F106,H98+F106-E106)</f>
        <v>213775</v>
      </c>
    </row>
    <row r="107" spans="1:8">
      <c r="A107" s="1302">
        <f>A106</f>
        <v>45291</v>
      </c>
      <c r="B107" s="1309"/>
      <c r="C107" s="1309"/>
      <c r="D107" s="1303"/>
      <c r="E107" s="191">
        <f>SUM(E102:E106)</f>
        <v>0</v>
      </c>
      <c r="F107" s="191">
        <f>SUM(F102:F106)</f>
        <v>0</v>
      </c>
      <c r="G107" s="297">
        <f>SUM(G102:G106)</f>
        <v>0</v>
      </c>
      <c r="H107" s="23">
        <f>IF($H$4=$E$4,E107-F107,F107-E107)</f>
        <v>0</v>
      </c>
    </row>
    <row r="108" spans="1:8">
      <c r="A108" s="1306">
        <f>A107</f>
        <v>45291</v>
      </c>
      <c r="B108" s="1307"/>
      <c r="C108" s="1307"/>
      <c r="D108" s="1308"/>
      <c r="E108" s="20">
        <f>E100+E107</f>
        <v>270071</v>
      </c>
      <c r="F108" s="20">
        <f>F100+F107</f>
        <v>80195</v>
      </c>
      <c r="G108" s="295">
        <f>G99+G107</f>
        <v>0</v>
      </c>
      <c r="H108" s="20">
        <f>IF($H$4=$E$4,E108-F108,F108-E108)</f>
        <v>189876</v>
      </c>
    </row>
  </sheetData>
  <sheetProtection sheet="1" objects="1" scenarios="1"/>
  <mergeCells count="33">
    <mergeCell ref="G4:G5"/>
    <mergeCell ref="A68:D68"/>
    <mergeCell ref="A75:D75"/>
    <mergeCell ref="A52:D52"/>
    <mergeCell ref="A59:D59"/>
    <mergeCell ref="F4:F5"/>
    <mergeCell ref="A4:A5"/>
    <mergeCell ref="B4:B5"/>
    <mergeCell ref="C4:C5"/>
    <mergeCell ref="D4:D5"/>
    <mergeCell ref="E4:E5"/>
    <mergeCell ref="A43:D43"/>
    <mergeCell ref="A44:D44"/>
    <mergeCell ref="A51:D51"/>
    <mergeCell ref="A60:D60"/>
    <mergeCell ref="C2:F2"/>
    <mergeCell ref="A11:D11"/>
    <mergeCell ref="A100:D100"/>
    <mergeCell ref="A107:D107"/>
    <mergeCell ref="A36:D36"/>
    <mergeCell ref="A19:D19"/>
    <mergeCell ref="A20:D20"/>
    <mergeCell ref="A27:D27"/>
    <mergeCell ref="A28:D28"/>
    <mergeCell ref="A67:D67"/>
    <mergeCell ref="A35:D35"/>
    <mergeCell ref="A108:D108"/>
    <mergeCell ref="A76:D76"/>
    <mergeCell ref="A83:D83"/>
    <mergeCell ref="A84:D84"/>
    <mergeCell ref="A91:D91"/>
    <mergeCell ref="A92:D92"/>
    <mergeCell ref="A99:D99"/>
  </mergeCells>
  <printOptions horizontalCentered="1"/>
  <pageMargins left="0.43307086614173229" right="0.23622047244094491" top="0.74803149606299213" bottom="1.21" header="0.31496062992125984" footer="0.87"/>
  <pageSetup paperSize="14" scale="80" orientation="portrait" r:id="rId1"/>
  <headerFooter>
    <oddFooter>Page &amp;P of &amp;N</oddFooter>
  </headerFooter>
  <rowBreaks count="1" manualBreakCount="1">
    <brk id="60"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30"/>
  <sheetViews>
    <sheetView topLeftCell="A4" workbookViewId="0">
      <selection activeCell="J11" sqref="J11"/>
    </sheetView>
  </sheetViews>
  <sheetFormatPr defaultColWidth="9" defaultRowHeight="15.75"/>
  <cols>
    <col min="1" max="1" width="13.375" style="6" bestFit="1" customWidth="1"/>
    <col min="2" max="2" width="18" customWidth="1"/>
    <col min="3" max="3" width="7.625" style="173" customWidth="1"/>
    <col min="4" max="4" width="18.625" style="173" customWidth="1"/>
    <col min="5" max="5" width="15.125" customWidth="1"/>
    <col min="6" max="6" width="15.625" customWidth="1"/>
    <col min="7" max="7" width="14.625" customWidth="1"/>
    <col min="8" max="9" width="9.375" bestFit="1" customWidth="1"/>
  </cols>
  <sheetData>
    <row r="1" spans="1:9" ht="32.25">
      <c r="A1" s="5" t="s">
        <v>508</v>
      </c>
      <c r="B1" s="104" t="str">
        <f>Account!$G$1</f>
        <v>FUND 501 CARP</v>
      </c>
    </row>
    <row r="2" spans="1:9" ht="37.5">
      <c r="A2" s="5" t="s">
        <v>370</v>
      </c>
      <c r="B2" s="26" t="s">
        <v>117</v>
      </c>
      <c r="C2" s="1314">
        <f>VLOOKUP(B2,Code,3,)</f>
        <v>2999999000</v>
      </c>
      <c r="D2" s="1314"/>
      <c r="E2" s="1314"/>
      <c r="F2" s="534"/>
    </row>
    <row r="3" spans="1:9" ht="23.25">
      <c r="A3" s="5" t="s">
        <v>371</v>
      </c>
      <c r="B3" s="174" t="str">
        <f>VLOOKUP(B2,Code,2,)</f>
        <v>Other Payables</v>
      </c>
      <c r="C3"/>
      <c r="D3"/>
    </row>
    <row r="4" spans="1:9" ht="15.75" customHeight="1">
      <c r="A4" s="1313" t="s">
        <v>0</v>
      </c>
      <c r="B4" s="1313" t="s">
        <v>739</v>
      </c>
      <c r="C4" s="1312" t="s">
        <v>718</v>
      </c>
      <c r="D4" s="1312" t="s">
        <v>440</v>
      </c>
      <c r="E4" s="1312" t="s">
        <v>1</v>
      </c>
      <c r="F4" s="1312" t="s">
        <v>2</v>
      </c>
      <c r="G4" s="175" t="str">
        <f>IF(C2=0,0,INDEX(AccountCodes[Normal Balance],MATCH(C2,AccountCodes[PPSAS CODE])))</f>
        <v>Credit</v>
      </c>
    </row>
    <row r="5" spans="1:9">
      <c r="A5" s="1313"/>
      <c r="B5" s="1313"/>
      <c r="C5" s="1312"/>
      <c r="D5" s="1312"/>
      <c r="E5" s="1312"/>
      <c r="F5" s="1312"/>
      <c r="G5" s="187" t="s">
        <v>379</v>
      </c>
    </row>
    <row r="6" spans="1:9">
      <c r="A6" s="21">
        <f>PostTB!A2</f>
        <v>44926</v>
      </c>
      <c r="B6" s="292" t="str">
        <f>IF(C6=0,"Region 3",VLOOKUP(C6,Account!$F$26:$G$51,2))</f>
        <v>Pangasinan IMO</v>
      </c>
      <c r="C6" s="270" t="s">
        <v>762</v>
      </c>
      <c r="D6" s="22" t="s">
        <v>373</v>
      </c>
      <c r="E6" s="176">
        <f t="array" ref="E6">IF(C6=0,(SUM(IF((PostTB[Account Code (Old)]=TRIM($B$2)),PostTB[Debit]))),(SUM(IF((PostTB[Account Code (Old)]=TRIM($B$2))*(PostTB[Sort Code]=$C$6),PostTB[Debit]))))</f>
        <v>0</v>
      </c>
      <c r="F6" s="176">
        <f t="array" ref="F6">IF(C6=0,(SUM(IF((PostTB[Account Code (Old)]=TRIM($B$2)),PostTB[Credit]))),(SUM(IF((PostTB[Account Code (Old)]=TRIM($B$2))*(PostTB[Sort Code]=$C$6),PostTB[Credit]))))</f>
        <v>0</v>
      </c>
      <c r="G6" s="176">
        <f>IF($G$4=$E$4,E6-F6,F6-E6)</f>
        <v>0</v>
      </c>
      <c r="I6" s="859"/>
    </row>
    <row r="7" spans="1:9">
      <c r="A7" s="11">
        <f>Account!$G$12</f>
        <v>44957</v>
      </c>
      <c r="B7" s="189" t="str">
        <f>IF(C7=0,"Region 3",VLOOKUP(C7,Account!$F$26:$G$51,2))</f>
        <v>Pangasinan IMO</v>
      </c>
      <c r="C7" s="268" t="str">
        <f>$C$6</f>
        <v>5</v>
      </c>
      <c r="D7" s="14"/>
      <c r="E7" s="269">
        <f t="array" ref="E7">IF(C7=0,((SUM(IF((CkDJ[Date]=A7)*(CkDJ[Account Code]=TRIM($B$2)),CkDJ[Debit])))+(SUM(IF((CsDJ[Date]=A7)*(CsDJ[Account Code]=TRIM($B$2)),CsDJ[Debit])))+(SUM(IF((CRDJ[Date]=A7)*(CRDJ[Account Code]=TRIM($B$2)),CRDJ[Debit])))+(SUM(IF((GJ[Date]=A7)*(GJ[Account Code]=TRIM($B$2)),GJ[Debit])))),((SUM(IF((CkDJ[Date]=A7)*(CkDJ[Account Code]=TRIM($B$2))*(CkDJ[Sort Code]=C7),CkDJ[Debit])))+(SUM(IF((CsDJ[Date]=A7)*(CsDJ[Account Code]=TRIM($B$2))*(CsDJ[Sort Code]=C7),CsDJ[Debit])))+(SUM(IF((CRDJ[Date]=A7)*(CRDJ[Account Code]=TRIM($B$2))*(CRDJ[Sort Code]=C7),CRDJ[Debit])))+(SUM(IF((GJ[Date]=A7)*(GJ[Account Code]=TRIM($B$2))*(GJ[Sort Code]=C7),GJ[Debit])))))</f>
        <v>0</v>
      </c>
      <c r="F7" s="269">
        <f t="array" ref="F7">IF(C7=0,((SUM(IF((CkDJ[Date]=A7)*(CkDJ[Account Code]=TRIM($B$2)),CkDJ[Credit])))+(SUM(IF((CsDJ[Date]=A7)*(CsDJ[Account Code]=TRIM($B$2)),CsDJ[Credit])))+(SUM(IF((CRDJ[Date]=A7)*(CRDJ[Account Code]=TRIM($B$2)),CRDJ[Credit])))+(SUM(IF((GJ[Date]=A7)*(GJ[Account Code]=TRIM($B$2)),GJ[Credit])))),((SUM(IF((CkDJ[Date]=A7)*(CkDJ[Account Code]=TRIM($B$2))*(CkDJ[Sort Code]=C7),CkDJ[Credit])))+(SUM(IF((CsDJ[Date]=A7)*(CsDJ[Account Code]=TRIM($B$2))*(CsDJ[Sort Code]=C7),CsDJ[Credit])))+(SUM(IF((CRDJ[Date]=A7)*(CRDJ[Account Code]=TRIM($B$2))*(CRDJ[Sort Code]=C7),CRDJ[Credit])))+(SUM(IF((GJ[Date]=A7)*(GJ[Account Code]=TRIM($B$2))*(GJ[Sort Code]=C7),GJ[Credit])))))</f>
        <v>0</v>
      </c>
      <c r="G7" s="293">
        <f>IF($G$4=$E$4,G6+E7-F7,G6+F7-E7)</f>
        <v>0</v>
      </c>
    </row>
    <row r="8" spans="1:9">
      <c r="A8" s="11">
        <f>Account!$G$13</f>
        <v>44985</v>
      </c>
      <c r="B8" s="189" t="str">
        <f>IF(C8=0,"Region 3",VLOOKUP(C8,Account!$F$26:$G$51,2))</f>
        <v>Pangasinan IMO</v>
      </c>
      <c r="C8" s="268" t="str">
        <f t="shared" ref="C8:C18" si="0">$C$6</f>
        <v>5</v>
      </c>
      <c r="D8" s="14"/>
      <c r="E8" s="269">
        <f t="array" ref="E8">IF(C8=0,((SUM(IF((CkDJ[Date]=A8)*(CkDJ[Account Code]=TRIM($B$2)),CkDJ[Debit])))+(SUM(IF((CsDJ[Date]=A8)*(CsDJ[Account Code]=TRIM($B$2)),CsDJ[Debit])))+(SUM(IF((CRDJ[Date]=A8)*(CRDJ[Account Code]=TRIM($B$2)),CRDJ[Debit])))+(SUM(IF((GJ[Date]=A8)*(GJ[Account Code]=TRIM($B$2)),GJ[Debit])))),((SUM(IF((CkDJ[Date]=A8)*(CkDJ[Account Code]=TRIM($B$2))*(CkDJ[Sort Code]=C8),CkDJ[Debit])))+(SUM(IF((CsDJ[Date]=A8)*(CsDJ[Account Code]=TRIM($B$2))*(CsDJ[Sort Code]=C8),CsDJ[Debit])))+(SUM(IF((CRDJ[Date]=A8)*(CRDJ[Account Code]=TRIM($B$2))*(CRDJ[Sort Code]=C8),CRDJ[Debit])))+(SUM(IF((GJ[Date]=A8)*(GJ[Account Code]=TRIM($B$2))*(GJ[Sort Code]=C8),GJ[Debit])))))</f>
        <v>7191.66</v>
      </c>
      <c r="F8" s="269">
        <f t="array" ref="F8">IF(C8=0,((SUM(IF((CkDJ[Date]=A8)*(CkDJ[Account Code]=TRIM($B$2)),CkDJ[Credit])))+(SUM(IF((CsDJ[Date]=A8)*(CsDJ[Account Code]=TRIM($B$2)),CsDJ[Credit])))+(SUM(IF((CRDJ[Date]=A8)*(CRDJ[Account Code]=TRIM($B$2)),CRDJ[Credit])))+(SUM(IF((GJ[Date]=A8)*(GJ[Account Code]=TRIM($B$2)),GJ[Credit])))),((SUM(IF((CkDJ[Date]=A8)*(CkDJ[Account Code]=TRIM($B$2))*(CkDJ[Sort Code]=C8),CkDJ[Credit])))+(SUM(IF((CsDJ[Date]=A8)*(CsDJ[Account Code]=TRIM($B$2))*(CsDJ[Sort Code]=C8),CsDJ[Credit])))+(SUM(IF((CRDJ[Date]=A8)*(CRDJ[Account Code]=TRIM($B$2))*(CRDJ[Sort Code]=C8),CRDJ[Credit])))+(SUM(IF((GJ[Date]=A8)*(GJ[Account Code]=TRIM($B$2))*(GJ[Sort Code]=C8),GJ[Credit])))))</f>
        <v>7191.66</v>
      </c>
      <c r="G8" s="293">
        <f t="shared" ref="G8:G18" si="1">IF($G$4=$E$4,G7+E8-F8,G7+F8-E8)</f>
        <v>0</v>
      </c>
    </row>
    <row r="9" spans="1:9">
      <c r="A9" s="11">
        <f>Account!$G$14</f>
        <v>45016</v>
      </c>
      <c r="B9" s="189" t="str">
        <f>IF(C9=0,"Region 3",VLOOKUP(C9,Account!$F$26:$G$51,2))</f>
        <v>Pangasinan IMO</v>
      </c>
      <c r="C9" s="268" t="str">
        <f t="shared" si="0"/>
        <v>5</v>
      </c>
      <c r="D9" s="14"/>
      <c r="E9" s="269">
        <f t="array" ref="E9">IF(C9=0,((SUM(IF((CkDJ[Date]=A9)*(CkDJ[Account Code]=TRIM($B$2)),CkDJ[Debit])))+(SUM(IF((CsDJ[Date]=A9)*(CsDJ[Account Code]=TRIM($B$2)),CsDJ[Debit])))+(SUM(IF((CRDJ[Date]=A9)*(CRDJ[Account Code]=TRIM($B$2)),CRDJ[Debit])))+(SUM(IF((GJ[Date]=A9)*(GJ[Account Code]=TRIM($B$2)),GJ[Debit])))),((SUM(IF((CkDJ[Date]=A9)*(CkDJ[Account Code]=TRIM($B$2))*(CkDJ[Sort Code]=C9),CkDJ[Debit])))+(SUM(IF((CsDJ[Date]=A9)*(CsDJ[Account Code]=TRIM($B$2))*(CsDJ[Sort Code]=C9),CsDJ[Debit])))+(SUM(IF((CRDJ[Date]=A9)*(CRDJ[Account Code]=TRIM($B$2))*(CRDJ[Sort Code]=C9),CRDJ[Debit])))+(SUM(IF((GJ[Date]=A9)*(GJ[Account Code]=TRIM($B$2))*(GJ[Sort Code]=C9),GJ[Debit])))))</f>
        <v>14220.82</v>
      </c>
      <c r="F9" s="269">
        <f t="array" ref="F9">IF(C9=0,((SUM(IF((CkDJ[Date]=A9)*(CkDJ[Account Code]=TRIM($B$2)),CkDJ[Credit])))+(SUM(IF((CsDJ[Date]=A9)*(CsDJ[Account Code]=TRIM($B$2)),CsDJ[Credit])))+(SUM(IF((CRDJ[Date]=A9)*(CRDJ[Account Code]=TRIM($B$2)),CRDJ[Credit])))+(SUM(IF((GJ[Date]=A9)*(GJ[Account Code]=TRIM($B$2)),GJ[Credit])))),((SUM(IF((CkDJ[Date]=A9)*(CkDJ[Account Code]=TRIM($B$2))*(CkDJ[Sort Code]=C9),CkDJ[Credit])))+(SUM(IF((CsDJ[Date]=A9)*(CsDJ[Account Code]=TRIM($B$2))*(CsDJ[Sort Code]=C9),CsDJ[Credit])))+(SUM(IF((CRDJ[Date]=A9)*(CRDJ[Account Code]=TRIM($B$2))*(CRDJ[Sort Code]=C9),CRDJ[Credit])))+(SUM(IF((GJ[Date]=A9)*(GJ[Account Code]=TRIM($B$2))*(GJ[Sort Code]=C9),GJ[Credit])))))</f>
        <v>14220.82</v>
      </c>
      <c r="G9" s="293">
        <f t="shared" si="1"/>
        <v>0</v>
      </c>
    </row>
    <row r="10" spans="1:9">
      <c r="A10" s="11">
        <f>Account!$G$15</f>
        <v>45046</v>
      </c>
      <c r="B10" s="189" t="str">
        <f>IF(C10=0,"Region 3",VLOOKUP(C10,Account!$F$26:$G$51,2))</f>
        <v>Pangasinan IMO</v>
      </c>
      <c r="C10" s="268" t="str">
        <f t="shared" si="0"/>
        <v>5</v>
      </c>
      <c r="D10" s="14"/>
      <c r="E10" s="269">
        <f t="array" ref="E10">IF(C10=0,((SUM(IF((CkDJ[Date]=A10)*(CkDJ[Account Code]=TRIM($B$2)),CkDJ[Debit])))+(SUM(IF((CsDJ[Date]=A10)*(CsDJ[Account Code]=TRIM($B$2)),CsDJ[Debit])))+(SUM(IF((CRDJ[Date]=A10)*(CRDJ[Account Code]=TRIM($B$2)),CRDJ[Debit])))+(SUM(IF((GJ[Date]=A10)*(GJ[Account Code]=TRIM($B$2)),GJ[Debit])))),((SUM(IF((CkDJ[Date]=A10)*(CkDJ[Account Code]=TRIM($B$2))*(CkDJ[Sort Code]=C10),CkDJ[Debit])))+(SUM(IF((CsDJ[Date]=A10)*(CsDJ[Account Code]=TRIM($B$2))*(CsDJ[Sort Code]=C10),CsDJ[Debit])))+(SUM(IF((CRDJ[Date]=A10)*(CRDJ[Account Code]=TRIM($B$2))*(CRDJ[Sort Code]=C10),CRDJ[Debit])))+(SUM(IF((GJ[Date]=A10)*(GJ[Account Code]=TRIM($B$2))*(GJ[Sort Code]=C10),GJ[Debit])))))</f>
        <v>11954.79</v>
      </c>
      <c r="F10" s="269">
        <f t="array" ref="F10">IF(C10=0,((SUM(IF((CkDJ[Date]=A10)*(CkDJ[Account Code]=TRIM($B$2)),CkDJ[Credit])))+(SUM(IF((CsDJ[Date]=A10)*(CsDJ[Account Code]=TRIM($B$2)),CsDJ[Credit])))+(SUM(IF((CRDJ[Date]=A10)*(CRDJ[Account Code]=TRIM($B$2)),CRDJ[Credit])))+(SUM(IF((GJ[Date]=A10)*(GJ[Account Code]=TRIM($B$2)),GJ[Credit])))),((SUM(IF((CkDJ[Date]=A10)*(CkDJ[Account Code]=TRIM($B$2))*(CkDJ[Sort Code]=C10),CkDJ[Credit])))+(SUM(IF((CsDJ[Date]=A10)*(CsDJ[Account Code]=TRIM($B$2))*(CsDJ[Sort Code]=C10),CsDJ[Credit])))+(SUM(IF((CRDJ[Date]=A10)*(CRDJ[Account Code]=TRIM($B$2))*(CRDJ[Sort Code]=C10),CRDJ[Credit])))+(SUM(IF((GJ[Date]=A10)*(GJ[Account Code]=TRIM($B$2))*(GJ[Sort Code]=C10),GJ[Credit])))))</f>
        <v>11954.79</v>
      </c>
      <c r="G10" s="293">
        <f t="shared" si="1"/>
        <v>0</v>
      </c>
    </row>
    <row r="11" spans="1:9">
      <c r="A11" s="11">
        <f>Account!$G$16</f>
        <v>45077</v>
      </c>
      <c r="B11" s="189" t="str">
        <f>IF(C11=0,"Region 3",VLOOKUP(C11,Account!$F$26:$G$51,2))</f>
        <v>Pangasinan IMO</v>
      </c>
      <c r="C11" s="268" t="str">
        <f t="shared" si="0"/>
        <v>5</v>
      </c>
      <c r="D11" s="14"/>
      <c r="E11" s="269">
        <f t="array" ref="E11">IF(C11=0,((SUM(IF((CkDJ[Date]=A11)*(CkDJ[Account Code]=TRIM($B$2)),CkDJ[Debit])))+(SUM(IF((CsDJ[Date]=A11)*(CsDJ[Account Code]=TRIM($B$2)),CsDJ[Debit])))+(SUM(IF((CRDJ[Date]=A11)*(CRDJ[Account Code]=TRIM($B$2)),CRDJ[Debit])))+(SUM(IF((GJ[Date]=A11)*(GJ[Account Code]=TRIM($B$2)),GJ[Debit])))),((SUM(IF((CkDJ[Date]=A11)*(CkDJ[Account Code]=TRIM($B$2))*(CkDJ[Sort Code]=C11),CkDJ[Debit])))+(SUM(IF((CsDJ[Date]=A11)*(CsDJ[Account Code]=TRIM($B$2))*(CsDJ[Sort Code]=C11),CsDJ[Debit])))+(SUM(IF((CRDJ[Date]=A11)*(CRDJ[Account Code]=TRIM($B$2))*(CRDJ[Sort Code]=C11),CRDJ[Debit])))+(SUM(IF((GJ[Date]=A11)*(GJ[Account Code]=TRIM($B$2))*(GJ[Sort Code]=C11),GJ[Debit])))))</f>
        <v>21586.85</v>
      </c>
      <c r="F11" s="269">
        <f t="array" ref="F11">IF(C11=0,((SUM(IF((CkDJ[Date]=A11)*(CkDJ[Account Code]=TRIM($B$2)),CkDJ[Credit])))+(SUM(IF((CsDJ[Date]=A11)*(CsDJ[Account Code]=TRIM($B$2)),CsDJ[Credit])))+(SUM(IF((CRDJ[Date]=A11)*(CRDJ[Account Code]=TRIM($B$2)),CRDJ[Credit])))+(SUM(IF((GJ[Date]=A11)*(GJ[Account Code]=TRIM($B$2)),GJ[Credit])))),((SUM(IF((CkDJ[Date]=A11)*(CkDJ[Account Code]=TRIM($B$2))*(CkDJ[Sort Code]=C11),CkDJ[Credit])))+(SUM(IF((CsDJ[Date]=A11)*(CsDJ[Account Code]=TRIM($B$2))*(CsDJ[Sort Code]=C11),CsDJ[Credit])))+(SUM(IF((CRDJ[Date]=A11)*(CRDJ[Account Code]=TRIM($B$2))*(CRDJ[Sort Code]=C11),CRDJ[Credit])))+(SUM(IF((GJ[Date]=A11)*(GJ[Account Code]=TRIM($B$2))*(GJ[Sort Code]=C11),GJ[Credit])))))</f>
        <v>21586.85</v>
      </c>
      <c r="G11" s="293">
        <f t="shared" si="1"/>
        <v>0</v>
      </c>
    </row>
    <row r="12" spans="1:9">
      <c r="A12" s="11">
        <f>Account!$G$17</f>
        <v>45107</v>
      </c>
      <c r="B12" s="189" t="str">
        <f>IF(C12=0,"Region 3",VLOOKUP(C12,Account!$F$26:$G$51,2))</f>
        <v>Pangasinan IMO</v>
      </c>
      <c r="C12" s="268" t="str">
        <f t="shared" si="0"/>
        <v>5</v>
      </c>
      <c r="D12" s="14"/>
      <c r="E12" s="269">
        <f t="array" ref="E12">IF(C12=0,((SUM(IF((CkDJ[Date]=A12)*(CkDJ[Account Code]=TRIM($B$2)),CkDJ[Debit])))+(SUM(IF((CsDJ[Date]=A12)*(CsDJ[Account Code]=TRIM($B$2)),CsDJ[Debit])))+(SUM(IF((CRDJ[Date]=A12)*(CRDJ[Account Code]=TRIM($B$2)),CRDJ[Debit])))+(SUM(IF((GJ[Date]=A12)*(GJ[Account Code]=TRIM($B$2)),GJ[Debit])))),((SUM(IF((CkDJ[Date]=A12)*(CkDJ[Account Code]=TRIM($B$2))*(CkDJ[Sort Code]=C12),CkDJ[Debit])))+(SUM(IF((CsDJ[Date]=A12)*(CsDJ[Account Code]=TRIM($B$2))*(CsDJ[Sort Code]=C12),CsDJ[Debit])))+(SUM(IF((CRDJ[Date]=A12)*(CRDJ[Account Code]=TRIM($B$2))*(CRDJ[Sort Code]=C12),CRDJ[Debit])))+(SUM(IF((GJ[Date]=A12)*(GJ[Account Code]=TRIM($B$2))*(GJ[Sort Code]=C12),GJ[Debit])))))</f>
        <v>24230.82</v>
      </c>
      <c r="F12" s="269">
        <f t="array" ref="F12">IF(C12=0,((SUM(IF((CkDJ[Date]=A12)*(CkDJ[Account Code]=TRIM($B$2)),CkDJ[Credit])))+(SUM(IF((CsDJ[Date]=A12)*(CsDJ[Account Code]=TRIM($B$2)),CsDJ[Credit])))+(SUM(IF((CRDJ[Date]=A12)*(CRDJ[Account Code]=TRIM($B$2)),CRDJ[Credit])))+(SUM(IF((GJ[Date]=A12)*(GJ[Account Code]=TRIM($B$2)),GJ[Credit])))),((SUM(IF((CkDJ[Date]=A12)*(CkDJ[Account Code]=TRIM($B$2))*(CkDJ[Sort Code]=C12),CkDJ[Credit])))+(SUM(IF((CsDJ[Date]=A12)*(CsDJ[Account Code]=TRIM($B$2))*(CsDJ[Sort Code]=C12),CsDJ[Credit])))+(SUM(IF((CRDJ[Date]=A12)*(CRDJ[Account Code]=TRIM($B$2))*(CRDJ[Sort Code]=C12),CRDJ[Credit])))+(SUM(IF((GJ[Date]=A12)*(GJ[Account Code]=TRIM($B$2))*(GJ[Sort Code]=C12),GJ[Credit])))))</f>
        <v>24230.82</v>
      </c>
      <c r="G12" s="293">
        <f t="shared" si="1"/>
        <v>0</v>
      </c>
    </row>
    <row r="13" spans="1:9">
      <c r="A13" s="11">
        <f>Account!$G$18</f>
        <v>45138</v>
      </c>
      <c r="B13" s="189" t="str">
        <f>IF(C13=0,"Region 3",VLOOKUP(C13,Account!$F$26:$G$51,2))</f>
        <v>Pangasinan IMO</v>
      </c>
      <c r="C13" s="268" t="str">
        <f t="shared" si="0"/>
        <v>5</v>
      </c>
      <c r="D13" s="14"/>
      <c r="E13" s="269">
        <f t="array" ref="E13">IF(C13=0,((SUM(IF((CkDJ[Date]=A13)*(CkDJ[Account Code]=TRIM($B$2)),CkDJ[Debit])))+(SUM(IF((CsDJ[Date]=A13)*(CsDJ[Account Code]=TRIM($B$2)),CsDJ[Debit])))+(SUM(IF((CRDJ[Date]=A13)*(CRDJ[Account Code]=TRIM($B$2)),CRDJ[Debit])))+(SUM(IF((GJ[Date]=A13)*(GJ[Account Code]=TRIM($B$2)),GJ[Debit])))),((SUM(IF((CkDJ[Date]=A13)*(CkDJ[Account Code]=TRIM($B$2))*(CkDJ[Sort Code]=C13),CkDJ[Debit])))+(SUM(IF((CsDJ[Date]=A13)*(CsDJ[Account Code]=TRIM($B$2))*(CsDJ[Sort Code]=C13),CsDJ[Debit])))+(SUM(IF((CRDJ[Date]=A13)*(CRDJ[Account Code]=TRIM($B$2))*(CRDJ[Sort Code]=C13),CRDJ[Debit])))+(SUM(IF((GJ[Date]=A13)*(GJ[Account Code]=TRIM($B$2))*(GJ[Sort Code]=C13),GJ[Debit])))))</f>
        <v>4229.16</v>
      </c>
      <c r="F13" s="269">
        <f t="array" ref="F13">IF(C13=0,((SUM(IF((CkDJ[Date]=A13)*(CkDJ[Account Code]=TRIM($B$2)),CkDJ[Credit])))+(SUM(IF((CsDJ[Date]=A13)*(CsDJ[Account Code]=TRIM($B$2)),CsDJ[Credit])))+(SUM(IF((CRDJ[Date]=A13)*(CRDJ[Account Code]=TRIM($B$2)),CRDJ[Credit])))+(SUM(IF((GJ[Date]=A13)*(GJ[Account Code]=TRIM($B$2)),GJ[Credit])))),((SUM(IF((CkDJ[Date]=A13)*(CkDJ[Account Code]=TRIM($B$2))*(CkDJ[Sort Code]=C13),CkDJ[Credit])))+(SUM(IF((CsDJ[Date]=A13)*(CsDJ[Account Code]=TRIM($B$2))*(CsDJ[Sort Code]=C13),CsDJ[Credit])))+(SUM(IF((CRDJ[Date]=A13)*(CRDJ[Account Code]=TRIM($B$2))*(CRDJ[Sort Code]=C13),CRDJ[Credit])))+(SUM(IF((GJ[Date]=A13)*(GJ[Account Code]=TRIM($B$2))*(GJ[Sort Code]=C13),GJ[Credit])))))</f>
        <v>4229.16</v>
      </c>
      <c r="G13" s="293">
        <f t="shared" si="1"/>
        <v>0</v>
      </c>
      <c r="H13" s="795"/>
      <c r="I13" s="795"/>
    </row>
    <row r="14" spans="1:9">
      <c r="A14" s="11">
        <f>Account!$G$19</f>
        <v>45169</v>
      </c>
      <c r="B14" s="189" t="str">
        <f>IF(C14=0,"Region 3",VLOOKUP(C14,Account!$F$26:$G$51,2))</f>
        <v>Pangasinan IMO</v>
      </c>
      <c r="C14" s="268" t="str">
        <f t="shared" si="0"/>
        <v>5</v>
      </c>
      <c r="D14" s="14"/>
      <c r="E14" s="269">
        <f t="array" ref="E14">IF(C14=0,((SUM(IF((CkDJ[Date]=A14)*(CkDJ[Account Code]=TRIM($B$2)),CkDJ[Debit])))+(SUM(IF((CsDJ[Date]=A14)*(CsDJ[Account Code]=TRIM($B$2)),CsDJ[Debit])))+(SUM(IF((CRDJ[Date]=A14)*(CRDJ[Account Code]=TRIM($B$2)),CRDJ[Debit])))+(SUM(IF((GJ[Date]=A14)*(GJ[Account Code]=TRIM($B$2)),GJ[Debit])))),((SUM(IF((CkDJ[Date]=A14)*(CkDJ[Account Code]=TRIM($B$2))*(CkDJ[Sort Code]=C14),CkDJ[Debit])))+(SUM(IF((CsDJ[Date]=A14)*(CsDJ[Account Code]=TRIM($B$2))*(CsDJ[Sort Code]=C14),CsDJ[Debit])))+(SUM(IF((CRDJ[Date]=A14)*(CRDJ[Account Code]=TRIM($B$2))*(CRDJ[Sort Code]=C14),CRDJ[Debit])))+(SUM(IF((GJ[Date]=A14)*(GJ[Account Code]=TRIM($B$2))*(GJ[Sort Code]=C14),GJ[Debit])))))</f>
        <v>0</v>
      </c>
      <c r="F14" s="269">
        <f t="array" ref="F14">IF(C14=0,((SUM(IF((CkDJ[Date]=A14)*(CkDJ[Account Code]=TRIM($B$2)),CkDJ[Credit])))+(SUM(IF((CsDJ[Date]=A14)*(CsDJ[Account Code]=TRIM($B$2)),CsDJ[Credit])))+(SUM(IF((CRDJ[Date]=A14)*(CRDJ[Account Code]=TRIM($B$2)),CRDJ[Credit])))+(SUM(IF((GJ[Date]=A14)*(GJ[Account Code]=TRIM($B$2)),GJ[Credit])))),((SUM(IF((CkDJ[Date]=A14)*(CkDJ[Account Code]=TRIM($B$2))*(CkDJ[Sort Code]=C14),CkDJ[Credit])))+(SUM(IF((CsDJ[Date]=A14)*(CsDJ[Account Code]=TRIM($B$2))*(CsDJ[Sort Code]=C14),CsDJ[Credit])))+(SUM(IF((CRDJ[Date]=A14)*(CRDJ[Account Code]=TRIM($B$2))*(CRDJ[Sort Code]=C14),CRDJ[Credit])))+(SUM(IF((GJ[Date]=A14)*(GJ[Account Code]=TRIM($B$2))*(GJ[Sort Code]=C14),GJ[Credit])))))</f>
        <v>0</v>
      </c>
      <c r="G14" s="293">
        <f t="shared" si="1"/>
        <v>0</v>
      </c>
    </row>
    <row r="15" spans="1:9">
      <c r="A15" s="11">
        <f>Account!$G$20</f>
        <v>45199</v>
      </c>
      <c r="B15" s="189" t="str">
        <f>IF(C15=0,"Region 3",VLOOKUP(C15,Account!$F$26:$G$51,2))</f>
        <v>Pangasinan IMO</v>
      </c>
      <c r="C15" s="268" t="str">
        <f t="shared" si="0"/>
        <v>5</v>
      </c>
      <c r="D15" s="14"/>
      <c r="E15" s="269">
        <f t="array" ref="E15">IF(C15=0,((SUM(IF((CkDJ[Date]=A15)*(CkDJ[Account Code]=TRIM($B$2)),CkDJ[Debit])))+(SUM(IF((CsDJ[Date]=A15)*(CsDJ[Account Code]=TRIM($B$2)),CsDJ[Debit])))+(SUM(IF((CRDJ[Date]=A15)*(CRDJ[Account Code]=TRIM($B$2)),CRDJ[Debit])))+(SUM(IF((GJ[Date]=A15)*(GJ[Account Code]=TRIM($B$2)),GJ[Debit])))),((SUM(IF((CkDJ[Date]=A15)*(CkDJ[Account Code]=TRIM($B$2))*(CkDJ[Sort Code]=C15),CkDJ[Debit])))+(SUM(IF((CsDJ[Date]=A15)*(CsDJ[Account Code]=TRIM($B$2))*(CsDJ[Sort Code]=C15),CsDJ[Debit])))+(SUM(IF((CRDJ[Date]=A15)*(CRDJ[Account Code]=TRIM($B$2))*(CRDJ[Sort Code]=C15),CRDJ[Debit])))+(SUM(IF((GJ[Date]=A15)*(GJ[Account Code]=TRIM($B$2))*(GJ[Sort Code]=C15),GJ[Debit])))))</f>
        <v>0</v>
      </c>
      <c r="F15" s="269">
        <f t="array" ref="F15">IF(C15=0,((SUM(IF((CkDJ[Date]=A15)*(CkDJ[Account Code]=TRIM($B$2)),CkDJ[Credit])))+(SUM(IF((CsDJ[Date]=A15)*(CsDJ[Account Code]=TRIM($B$2)),CsDJ[Credit])))+(SUM(IF((CRDJ[Date]=A15)*(CRDJ[Account Code]=TRIM($B$2)),CRDJ[Credit])))+(SUM(IF((GJ[Date]=A15)*(GJ[Account Code]=TRIM($B$2)),GJ[Credit])))),((SUM(IF((CkDJ[Date]=A15)*(CkDJ[Account Code]=TRIM($B$2))*(CkDJ[Sort Code]=C15),CkDJ[Credit])))+(SUM(IF((CsDJ[Date]=A15)*(CsDJ[Account Code]=TRIM($B$2))*(CsDJ[Sort Code]=C15),CsDJ[Credit])))+(SUM(IF((CRDJ[Date]=A15)*(CRDJ[Account Code]=TRIM($B$2))*(CRDJ[Sort Code]=C15),CRDJ[Credit])))+(SUM(IF((GJ[Date]=A15)*(GJ[Account Code]=TRIM($B$2))*(GJ[Sort Code]=C15),GJ[Credit])))))</f>
        <v>0</v>
      </c>
      <c r="G15" s="293">
        <f t="shared" si="1"/>
        <v>0</v>
      </c>
    </row>
    <row r="16" spans="1:9">
      <c r="A16" s="11">
        <f>Account!$G$21</f>
        <v>45230</v>
      </c>
      <c r="B16" s="189" t="str">
        <f>IF(C16=0,"Region 3",VLOOKUP(C16,Account!$F$26:$G$51,2))</f>
        <v>Pangasinan IMO</v>
      </c>
      <c r="C16" s="268" t="str">
        <f t="shared" si="0"/>
        <v>5</v>
      </c>
      <c r="D16" s="14"/>
      <c r="E16" s="269">
        <f t="array" ref="E16">IF(C16=0,((SUM(IF((CkDJ[Date]=A16)*(CkDJ[Account Code]=TRIM($B$2)),CkDJ[Debit])))+(SUM(IF((CsDJ[Date]=A16)*(CsDJ[Account Code]=TRIM($B$2)),CsDJ[Debit])))+(SUM(IF((CRDJ[Date]=A16)*(CRDJ[Account Code]=TRIM($B$2)),CRDJ[Debit])))+(SUM(IF((GJ[Date]=A16)*(GJ[Account Code]=TRIM($B$2)),GJ[Debit])))),((SUM(IF((CkDJ[Date]=A16)*(CkDJ[Account Code]=TRIM($B$2))*(CkDJ[Sort Code]=C16),CkDJ[Debit])))+(SUM(IF((CsDJ[Date]=A16)*(CsDJ[Account Code]=TRIM($B$2))*(CsDJ[Sort Code]=C16),CsDJ[Debit])))+(SUM(IF((CRDJ[Date]=A16)*(CRDJ[Account Code]=TRIM($B$2))*(CRDJ[Sort Code]=C16),CRDJ[Debit])))+(SUM(IF((GJ[Date]=A16)*(GJ[Account Code]=TRIM($B$2))*(GJ[Sort Code]=C16),GJ[Debit])))))</f>
        <v>0</v>
      </c>
      <c r="F16" s="269">
        <f t="array" ref="F16">IF(C16=0,((SUM(IF((CkDJ[Date]=A16)*(CkDJ[Account Code]=TRIM($B$2)),CkDJ[Credit])))+(SUM(IF((CsDJ[Date]=A16)*(CsDJ[Account Code]=TRIM($B$2)),CsDJ[Credit])))+(SUM(IF((CRDJ[Date]=A16)*(CRDJ[Account Code]=TRIM($B$2)),CRDJ[Credit])))+(SUM(IF((GJ[Date]=A16)*(GJ[Account Code]=TRIM($B$2)),GJ[Credit])))),((SUM(IF((CkDJ[Date]=A16)*(CkDJ[Account Code]=TRIM($B$2))*(CkDJ[Sort Code]=C16),CkDJ[Credit])))+(SUM(IF((CsDJ[Date]=A16)*(CsDJ[Account Code]=TRIM($B$2))*(CsDJ[Sort Code]=C16),CsDJ[Credit])))+(SUM(IF((CRDJ[Date]=A16)*(CRDJ[Account Code]=TRIM($B$2))*(CRDJ[Sort Code]=C16),CRDJ[Credit])))+(SUM(IF((GJ[Date]=A16)*(GJ[Account Code]=TRIM($B$2))*(GJ[Sort Code]=C16),GJ[Credit])))))</f>
        <v>0</v>
      </c>
      <c r="G16" s="293">
        <f t="shared" si="1"/>
        <v>0</v>
      </c>
    </row>
    <row r="17" spans="1:7">
      <c r="A17" s="11">
        <f>Account!$G$22</f>
        <v>45260</v>
      </c>
      <c r="B17" s="189" t="str">
        <f>IF(C17=0,"Region 3",VLOOKUP(C17,Account!$F$26:$G$51,2))</f>
        <v>Pangasinan IMO</v>
      </c>
      <c r="C17" s="268" t="str">
        <f t="shared" si="0"/>
        <v>5</v>
      </c>
      <c r="D17" s="14"/>
      <c r="E17" s="269">
        <f t="array" ref="E17">IF(C17=0,((SUM(IF((CkDJ[Date]=A17)*(CkDJ[Account Code]=TRIM($B$2)),CkDJ[Debit])))+(SUM(IF((CsDJ[Date]=A17)*(CsDJ[Account Code]=TRIM($B$2)),CsDJ[Debit])))+(SUM(IF((CRDJ[Date]=A17)*(CRDJ[Account Code]=TRIM($B$2)),CRDJ[Debit])))+(SUM(IF((GJ[Date]=A17)*(GJ[Account Code]=TRIM($B$2)),GJ[Debit])))),((SUM(IF((CkDJ[Date]=A17)*(CkDJ[Account Code]=TRIM($B$2))*(CkDJ[Sort Code]=C17),CkDJ[Debit])))+(SUM(IF((CsDJ[Date]=A17)*(CsDJ[Account Code]=TRIM($B$2))*(CsDJ[Sort Code]=C17),CsDJ[Debit])))+(SUM(IF((CRDJ[Date]=A17)*(CRDJ[Account Code]=TRIM($B$2))*(CRDJ[Sort Code]=C17),CRDJ[Debit])))+(SUM(IF((GJ[Date]=A17)*(GJ[Account Code]=TRIM($B$2))*(GJ[Sort Code]=C17),GJ[Debit])))))</f>
        <v>0</v>
      </c>
      <c r="F17" s="269">
        <f t="array" ref="F17">IF(C17=0,((SUM(IF((CkDJ[Date]=A17)*(CkDJ[Account Code]=TRIM($B$2)),CkDJ[Credit])))+(SUM(IF((CsDJ[Date]=A17)*(CsDJ[Account Code]=TRIM($B$2)),CsDJ[Credit])))+(SUM(IF((CRDJ[Date]=A17)*(CRDJ[Account Code]=TRIM($B$2)),CRDJ[Credit])))+(SUM(IF((GJ[Date]=A17)*(GJ[Account Code]=TRIM($B$2)),GJ[Credit])))),((SUM(IF((CkDJ[Date]=A17)*(CkDJ[Account Code]=TRIM($B$2))*(CkDJ[Sort Code]=C17),CkDJ[Credit])))+(SUM(IF((CsDJ[Date]=A17)*(CsDJ[Account Code]=TRIM($B$2))*(CsDJ[Sort Code]=C17),CsDJ[Credit])))+(SUM(IF((CRDJ[Date]=A17)*(CRDJ[Account Code]=TRIM($B$2))*(CRDJ[Sort Code]=C17),CRDJ[Credit])))+(SUM(IF((GJ[Date]=A17)*(GJ[Account Code]=TRIM($B$2))*(GJ[Sort Code]=C17),GJ[Credit])))))</f>
        <v>0</v>
      </c>
      <c r="G17" s="293">
        <f t="shared" si="1"/>
        <v>0</v>
      </c>
    </row>
    <row r="18" spans="1:7">
      <c r="A18" s="11">
        <f>Account!$G$23</f>
        <v>45291</v>
      </c>
      <c r="B18" s="189" t="str">
        <f>IF(C18=0,"Region 3",VLOOKUP(C18,Account!$F$26:$G$51,2))</f>
        <v>Pangasinan IMO</v>
      </c>
      <c r="C18" s="268" t="str">
        <f t="shared" si="0"/>
        <v>5</v>
      </c>
      <c r="D18" s="14"/>
      <c r="E18" s="269">
        <f t="array" ref="E18">IF(C18=0,((SUM(IF((CkDJ[Date]=A18)*(CkDJ[Account Code]=TRIM($B$2)),CkDJ[Debit])))+(SUM(IF((CsDJ[Date]=A18)*(CsDJ[Account Code]=TRIM($B$2)),CsDJ[Debit])))+(SUM(IF((CRDJ[Date]=A18)*(CRDJ[Account Code]=TRIM($B$2)),CRDJ[Debit])))+(SUM(IF((GJ[Date]=A18)*(GJ[Account Code]=TRIM($B$2)),GJ[Debit])))),((SUM(IF((CkDJ[Date]=A18)*(CkDJ[Account Code]=TRIM($B$2))*(CkDJ[Sort Code]=C18),CkDJ[Debit])))+(SUM(IF((CsDJ[Date]=A18)*(CsDJ[Account Code]=TRIM($B$2))*(CsDJ[Sort Code]=C18),CsDJ[Debit])))+(SUM(IF((CRDJ[Date]=A18)*(CRDJ[Account Code]=TRIM($B$2))*(CRDJ[Sort Code]=C18),CRDJ[Debit])))+(SUM(IF((GJ[Date]=A18)*(GJ[Account Code]=TRIM($B$2))*(GJ[Sort Code]=C18),GJ[Debit])))))</f>
        <v>0</v>
      </c>
      <c r="F18" s="269">
        <f t="array" ref="F18">IF(C18=0,((SUM(IF((CkDJ[Date]=A18)*(CkDJ[Account Code]=TRIM($B$2)),CkDJ[Credit])))+(SUM(IF((CsDJ[Date]=A18)*(CsDJ[Account Code]=TRIM($B$2)),CsDJ[Credit])))+(SUM(IF((CRDJ[Date]=A18)*(CRDJ[Account Code]=TRIM($B$2)),CRDJ[Credit])))+(SUM(IF((GJ[Date]=A18)*(GJ[Account Code]=TRIM($B$2)),GJ[Credit])))),((SUM(IF((CkDJ[Date]=A18)*(CkDJ[Account Code]=TRIM($B$2))*(CkDJ[Sort Code]=C18),CkDJ[Credit])))+(SUM(IF((CsDJ[Date]=A18)*(CsDJ[Account Code]=TRIM($B$2))*(CsDJ[Sort Code]=C18),CsDJ[Credit])))+(SUM(IF((CRDJ[Date]=A18)*(CRDJ[Account Code]=TRIM($B$2))*(CRDJ[Sort Code]=C18),CRDJ[Credit])))+(SUM(IF((GJ[Date]=A18)*(GJ[Account Code]=TRIM($B$2))*(GJ[Sort Code]=C18),GJ[Credit])))))</f>
        <v>0</v>
      </c>
      <c r="G18" s="293">
        <f t="shared" si="1"/>
        <v>0</v>
      </c>
    </row>
    <row r="19" spans="1:7">
      <c r="A19" s="1315">
        <v>44926</v>
      </c>
      <c r="B19" s="1316"/>
      <c r="C19" s="1316"/>
      <c r="D19" s="1317"/>
      <c r="E19" s="191">
        <f>SUM(E7:E18)</f>
        <v>83414.100000000006</v>
      </c>
      <c r="F19" s="191">
        <f>SUM(F7:F18)</f>
        <v>83414.100000000006</v>
      </c>
      <c r="G19" s="179">
        <f>IF($G$4=$E$4,E19-F19,F19-E19)</f>
        <v>0</v>
      </c>
    </row>
    <row r="20" spans="1:7">
      <c r="A20" s="1306">
        <f>A19</f>
        <v>44926</v>
      </c>
      <c r="B20" s="1307"/>
      <c r="C20" s="1307"/>
      <c r="D20" s="1308"/>
      <c r="E20" s="176">
        <f>E6+E19</f>
        <v>83414.100000000006</v>
      </c>
      <c r="F20" s="176">
        <f>F6+F19</f>
        <v>83414.100000000006</v>
      </c>
      <c r="G20" s="176">
        <f>IF($G$4=$E$4,E20-F20,F20-E20)</f>
        <v>0</v>
      </c>
    </row>
    <row r="22" spans="1:7">
      <c r="F22" s="795"/>
    </row>
    <row r="26" spans="1:7">
      <c r="A26" s="756" t="s">
        <v>1586</v>
      </c>
      <c r="C26" s="7"/>
      <c r="D26" s="7"/>
      <c r="E26" s="830" t="s">
        <v>1587</v>
      </c>
      <c r="F26" s="830"/>
      <c r="G26" s="830"/>
    </row>
    <row r="27" spans="1:7">
      <c r="C27" s="7"/>
      <c r="D27" s="7"/>
      <c r="E27" s="830"/>
      <c r="F27" s="830"/>
      <c r="G27" s="830"/>
    </row>
    <row r="28" spans="1:7">
      <c r="B28" s="25" t="s">
        <v>1646</v>
      </c>
      <c r="C28" s="7"/>
      <c r="D28" s="7"/>
      <c r="E28" s="830"/>
      <c r="F28" s="830" t="s">
        <v>1561</v>
      </c>
      <c r="G28" s="830"/>
    </row>
    <row r="29" spans="1:7">
      <c r="B29" s="25" t="s">
        <v>1647</v>
      </c>
      <c r="C29" s="7"/>
      <c r="D29" s="7"/>
      <c r="E29" s="830"/>
      <c r="F29" s="830" t="s">
        <v>381</v>
      </c>
      <c r="G29" s="830"/>
    </row>
    <row r="30" spans="1:7">
      <c r="C30" s="7"/>
      <c r="D30" s="7"/>
    </row>
  </sheetData>
  <sheetProtection sheet="1" objects="1" scenarios="1"/>
  <mergeCells count="9">
    <mergeCell ref="C2:E2"/>
    <mergeCell ref="E4:E5"/>
    <mergeCell ref="F4:F5"/>
    <mergeCell ref="A19:D19"/>
    <mergeCell ref="A20:D20"/>
    <mergeCell ref="A4:A5"/>
    <mergeCell ref="B4:B5"/>
    <mergeCell ref="C4:C5"/>
    <mergeCell ref="D4:D5"/>
  </mergeCells>
  <printOptions horizontalCentered="1"/>
  <pageMargins left="0.25" right="0.25" top="0.75" bottom="1.75" header="0.3" footer="1.5"/>
  <pageSetup paperSize="9" scale="85" orientation="portrait" r:id="rId1"/>
  <headerFooter>
    <oddFooter>Page &amp;P of &amp;N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zoomScale="84" zoomScaleNormal="84" workbookViewId="0">
      <selection activeCell="M19" sqref="M19"/>
    </sheetView>
  </sheetViews>
  <sheetFormatPr defaultColWidth="9" defaultRowHeight="15.75"/>
  <cols>
    <col min="1" max="1" width="13.375" style="6" bestFit="1" customWidth="1"/>
    <col min="2" max="2" width="18" customWidth="1"/>
    <col min="3" max="3" width="7.625" style="173" customWidth="1"/>
    <col min="4" max="4" width="18.625" style="173" customWidth="1"/>
    <col min="5" max="5" width="15.125" customWidth="1"/>
    <col min="6" max="6" width="15.625" customWidth="1"/>
    <col min="7" max="7" width="14.625" customWidth="1"/>
    <col min="8" max="9" width="9.375" bestFit="1" customWidth="1"/>
  </cols>
  <sheetData>
    <row r="1" spans="1:9" ht="32.25">
      <c r="A1" s="5" t="s">
        <v>508</v>
      </c>
      <c r="B1" s="104" t="str">
        <f>Account!$G$1</f>
        <v>FUND 501 CARP</v>
      </c>
    </row>
    <row r="2" spans="1:9" ht="37.5">
      <c r="A2" s="5" t="s">
        <v>370</v>
      </c>
      <c r="B2" s="26" t="s">
        <v>115</v>
      </c>
      <c r="C2" s="1314">
        <f>VLOOKUP(B2,Code,3,)</f>
        <v>2040104000</v>
      </c>
      <c r="D2" s="1314"/>
      <c r="E2" s="1314"/>
      <c r="F2" s="534"/>
    </row>
    <row r="3" spans="1:9" ht="23.25">
      <c r="A3" s="5" t="s">
        <v>371</v>
      </c>
      <c r="B3" s="174" t="str">
        <f>VLOOKUP(B2,Code,2,)</f>
        <v>Guaranty/Security Deposits Payable</v>
      </c>
      <c r="C3"/>
      <c r="D3"/>
    </row>
    <row r="4" spans="1:9" ht="15.75" customHeight="1">
      <c r="A4" s="1313" t="s">
        <v>0</v>
      </c>
      <c r="B4" s="1313" t="s">
        <v>739</v>
      </c>
      <c r="C4" s="1312" t="s">
        <v>718</v>
      </c>
      <c r="D4" s="1312" t="s">
        <v>440</v>
      </c>
      <c r="E4" s="1312" t="s">
        <v>1</v>
      </c>
      <c r="F4" s="1312" t="s">
        <v>2</v>
      </c>
      <c r="G4" s="175" t="str">
        <f>IF(C2=0,0,INDEX(AccountCodes[Normal Balance],MATCH(C2,AccountCodes[PPSAS CODE])))</f>
        <v>Credit</v>
      </c>
    </row>
    <row r="5" spans="1:9">
      <c r="A5" s="1313"/>
      <c r="B5" s="1313"/>
      <c r="C5" s="1312"/>
      <c r="D5" s="1312"/>
      <c r="E5" s="1312"/>
      <c r="F5" s="1312"/>
      <c r="G5" s="187" t="s">
        <v>379</v>
      </c>
    </row>
    <row r="6" spans="1:9">
      <c r="A6" s="21">
        <f>PostTB!A2</f>
        <v>44926</v>
      </c>
      <c r="B6" s="292" t="str">
        <f>IF(C6=0,"Region 3",VLOOKUP(C6,Account!$F$26:$G$51,2))</f>
        <v>Pangasinan IMO</v>
      </c>
      <c r="C6" s="270" t="s">
        <v>762</v>
      </c>
      <c r="D6" s="22" t="s">
        <v>373</v>
      </c>
      <c r="E6" s="176">
        <f t="array" ref="E6">IF(C6=0,(SUM(IF((PostTB[Account Code (Old)]=TRIM($B$2)),PostTB[Debit]))),(SUM(IF((PostTB[Account Code (Old)]=TRIM($B$2))*(PostTB[Sort Code]=$C$6),PostTB[Debit]))))</f>
        <v>0</v>
      </c>
      <c r="F6" s="176">
        <v>0</v>
      </c>
      <c r="G6" s="176">
        <f>IF($G$4=$E$4,E6-F6,F6-E6)</f>
        <v>0</v>
      </c>
      <c r="I6" s="859"/>
    </row>
    <row r="7" spans="1:9">
      <c r="A7" s="11">
        <f>Account!$G$12</f>
        <v>44957</v>
      </c>
      <c r="B7" s="189" t="str">
        <f>IF(C7=0,"Region 3",VLOOKUP(C7,Account!$F$26:$G$51,2))</f>
        <v>Pangasinan IMO</v>
      </c>
      <c r="C7" s="268" t="str">
        <f>$C$6</f>
        <v>5</v>
      </c>
      <c r="D7" s="1031"/>
      <c r="E7" s="176">
        <f t="array" ref="E7">IF(C7=0,(SUM(IF((PostTB[Account Code (Old)]=TRIM($B$2)),PostTB[Debit]))),(SUM(IF((PostTB[Account Code (Old)]=TRIM($B$2))*(PostTB[Sort Code]=$C$6),PostTB[Debit]))))</f>
        <v>0</v>
      </c>
      <c r="F7" s="176">
        <v>0</v>
      </c>
      <c r="G7" s="176">
        <f t="shared" ref="G7:G17" si="0">IF($G$4=$E$4,E7-F7,F7-E7)</f>
        <v>0</v>
      </c>
    </row>
    <row r="8" spans="1:9">
      <c r="A8" s="11">
        <f>Account!$G$13</f>
        <v>44985</v>
      </c>
      <c r="B8" s="189" t="str">
        <f>IF(C8=0,"Region 3",VLOOKUP(C8,Account!$F$26:$G$51,2))</f>
        <v>Pangasinan IMO</v>
      </c>
      <c r="C8" s="268" t="str">
        <f t="shared" ref="C8:C18" si="1">$C$6</f>
        <v>5</v>
      </c>
      <c r="D8" s="1031"/>
      <c r="E8" s="176">
        <f t="array" ref="E8">IF(C8=0,(SUM(IF((PostTB[Account Code (Old)]=TRIM($B$2)),PostTB[Debit]))),(SUM(IF((PostTB[Account Code (Old)]=TRIM($B$2))*(PostTB[Sort Code]=$C$6),PostTB[Debit]))))</f>
        <v>0</v>
      </c>
      <c r="F8" s="176">
        <v>0</v>
      </c>
      <c r="G8" s="176">
        <f t="shared" si="0"/>
        <v>0</v>
      </c>
    </row>
    <row r="9" spans="1:9">
      <c r="A9" s="11">
        <f>Account!$G$14</f>
        <v>45016</v>
      </c>
      <c r="B9" s="189" t="str">
        <f>IF(C9=0,"Region 3",VLOOKUP(C9,Account!$F$26:$G$51,2))</f>
        <v>Pangasinan IMO</v>
      </c>
      <c r="C9" s="268" t="str">
        <f t="shared" si="1"/>
        <v>5</v>
      </c>
      <c r="D9" s="1031"/>
      <c r="E9" s="176">
        <f t="array" ref="E9">IF(C9=0,(SUM(IF((PostTB[Account Code (Old)]=TRIM($B$2)),PostTB[Debit]))),(SUM(IF((PostTB[Account Code (Old)]=TRIM($B$2))*(PostTB[Sort Code]=$C$6),PostTB[Debit]))))</f>
        <v>0</v>
      </c>
      <c r="F9" s="176">
        <v>0</v>
      </c>
      <c r="G9" s="176">
        <f t="shared" si="0"/>
        <v>0</v>
      </c>
    </row>
    <row r="10" spans="1:9">
      <c r="A10" s="11">
        <f>Account!$G$15</f>
        <v>45046</v>
      </c>
      <c r="B10" s="189" t="str">
        <f>IF(C10=0,"Region 3",VLOOKUP(C10,Account!$F$26:$G$51,2))</f>
        <v>Pangasinan IMO</v>
      </c>
      <c r="C10" s="268" t="str">
        <f t="shared" si="1"/>
        <v>5</v>
      </c>
      <c r="D10" s="1031"/>
      <c r="E10" s="176">
        <f t="array" ref="E10">IF(C10=0,(SUM(IF((PostTB[Account Code (Old)]=TRIM($B$2)),PostTB[Debit]))),(SUM(IF((PostTB[Account Code (Old)]=TRIM($B$2))*(PostTB[Sort Code]=$C$6),PostTB[Debit]))))</f>
        <v>0</v>
      </c>
      <c r="F10" s="176">
        <v>0</v>
      </c>
      <c r="G10" s="176">
        <f t="shared" si="0"/>
        <v>0</v>
      </c>
    </row>
    <row r="11" spans="1:9">
      <c r="A11" s="11">
        <f>Account!$G$16</f>
        <v>45077</v>
      </c>
      <c r="B11" s="189" t="str">
        <f>IF(C11=0,"Region 3",VLOOKUP(C11,Account!$F$26:$G$51,2))</f>
        <v>Pangasinan IMO</v>
      </c>
      <c r="C11" s="268" t="str">
        <f t="shared" si="1"/>
        <v>5</v>
      </c>
      <c r="D11" s="1031"/>
      <c r="E11" s="176">
        <f t="array" ref="E11">IF(C11=0,(SUM(IF((PostTB[Account Code (Old)]=TRIM($B$2)),PostTB[Debit]))),(SUM(IF((PostTB[Account Code (Old)]=TRIM($B$2))*(PostTB[Sort Code]=$C$6),PostTB[Debit]))))</f>
        <v>0</v>
      </c>
      <c r="F11" s="176">
        <v>0</v>
      </c>
      <c r="G11" s="176">
        <f t="shared" si="0"/>
        <v>0</v>
      </c>
    </row>
    <row r="12" spans="1:9">
      <c r="A12" s="11">
        <f>Account!$G$17</f>
        <v>45107</v>
      </c>
      <c r="B12" s="189" t="str">
        <f>IF(C12=0,"Region 3",VLOOKUP(C12,Account!$F$26:$G$51,2))</f>
        <v>Pangasinan IMO</v>
      </c>
      <c r="C12" s="268" t="str">
        <f t="shared" si="1"/>
        <v>5</v>
      </c>
      <c r="D12" s="1031"/>
      <c r="E12" s="176">
        <f t="array" ref="E12">IF(C12=0,(SUM(IF((PostTB[Account Code (Old)]=TRIM($B$2)),PostTB[Debit]))),(SUM(IF((PostTB[Account Code (Old)]=TRIM($B$2))*(PostTB[Sort Code]=$C$6),PostTB[Debit]))))</f>
        <v>0</v>
      </c>
      <c r="F12" s="176">
        <v>0</v>
      </c>
      <c r="G12" s="176">
        <f t="shared" si="0"/>
        <v>0</v>
      </c>
    </row>
    <row r="13" spans="1:9">
      <c r="A13" s="11">
        <f>Account!$G$18</f>
        <v>45138</v>
      </c>
      <c r="B13" s="189" t="str">
        <f>IF(C13=0,"Region 3",VLOOKUP(C13,Account!$F$26:$G$51,2))</f>
        <v>Pangasinan IMO</v>
      </c>
      <c r="C13" s="268" t="str">
        <f t="shared" si="1"/>
        <v>5</v>
      </c>
      <c r="D13" s="1031"/>
      <c r="E13" s="176">
        <f t="array" ref="E13">IF(C13=0,(SUM(IF((PostTB[Account Code (Old)]=TRIM($B$2)),PostTB[Debit]))),(SUM(IF((PostTB[Account Code (Old)]=TRIM($B$2))*(PostTB[Sort Code]=$C$6),PostTB[Debit]))))</f>
        <v>0</v>
      </c>
      <c r="F13" s="176">
        <v>0</v>
      </c>
      <c r="G13" s="176">
        <f t="shared" si="0"/>
        <v>0</v>
      </c>
      <c r="H13" s="795"/>
      <c r="I13" s="795"/>
    </row>
    <row r="14" spans="1:9">
      <c r="A14" s="11">
        <f>Account!$G$19</f>
        <v>45169</v>
      </c>
      <c r="B14" s="189" t="str">
        <f>IF(C14=0,"Region 3",VLOOKUP(C14,Account!$F$26:$G$51,2))</f>
        <v>Pangasinan IMO</v>
      </c>
      <c r="C14" s="268" t="str">
        <f t="shared" si="1"/>
        <v>5</v>
      </c>
      <c r="D14" s="1031"/>
      <c r="E14" s="176">
        <f t="array" ref="E14">IF(C14=0,(SUM(IF((PostTB[Account Code (Old)]=TRIM($B$2)),PostTB[Debit]))),(SUM(IF((PostTB[Account Code (Old)]=TRIM($B$2))*(PostTB[Sort Code]=$C$6),PostTB[Debit]))))</f>
        <v>0</v>
      </c>
      <c r="F14" s="176">
        <v>0</v>
      </c>
      <c r="G14" s="176">
        <f t="shared" si="0"/>
        <v>0</v>
      </c>
    </row>
    <row r="15" spans="1:9">
      <c r="A15" s="11">
        <f>Account!$G$20</f>
        <v>45199</v>
      </c>
      <c r="B15" s="189" t="str">
        <f>IF(C15=0,"Region 3",VLOOKUP(C15,Account!$F$26:$G$51,2))</f>
        <v>Pangasinan IMO</v>
      </c>
      <c r="C15" s="268" t="str">
        <f t="shared" si="1"/>
        <v>5</v>
      </c>
      <c r="D15" s="1031"/>
      <c r="E15" s="176">
        <f t="array" ref="E15">IF(C15=0,(SUM(IF((PostTB[Account Code (Old)]=TRIM($B$2)),PostTB[Debit]))),(SUM(IF((PostTB[Account Code (Old)]=TRIM($B$2))*(PostTB[Sort Code]=$C$6),PostTB[Debit]))))</f>
        <v>0</v>
      </c>
      <c r="F15" s="176">
        <v>0</v>
      </c>
      <c r="G15" s="176">
        <f t="shared" si="0"/>
        <v>0</v>
      </c>
    </row>
    <row r="16" spans="1:9">
      <c r="A16" s="11">
        <f>Account!$G$21</f>
        <v>45230</v>
      </c>
      <c r="B16" s="189" t="str">
        <f>IF(C16=0,"Region 3",VLOOKUP(C16,Account!$F$26:$G$51,2))</f>
        <v>Pangasinan IMO</v>
      </c>
      <c r="C16" s="268" t="str">
        <f t="shared" si="1"/>
        <v>5</v>
      </c>
      <c r="D16" s="1031"/>
      <c r="E16" s="176">
        <f t="array" ref="E16">IF(C16=0,(SUM(IF((PostTB[Account Code (Old)]=TRIM($B$2)),PostTB[Debit]))),(SUM(IF((PostTB[Account Code (Old)]=TRIM($B$2))*(PostTB[Sort Code]=$C$6),PostTB[Debit]))))</f>
        <v>0</v>
      </c>
      <c r="F16" s="176">
        <v>0</v>
      </c>
      <c r="G16" s="176">
        <f t="shared" si="0"/>
        <v>0</v>
      </c>
    </row>
    <row r="17" spans="1:7">
      <c r="A17" s="11">
        <f>Account!$G$22</f>
        <v>45260</v>
      </c>
      <c r="B17" s="189" t="str">
        <f>IF(C17=0,"Region 3",VLOOKUP(C17,Account!$F$26:$G$51,2))</f>
        <v>Pangasinan IMO</v>
      </c>
      <c r="C17" s="268" t="str">
        <f t="shared" si="1"/>
        <v>5</v>
      </c>
      <c r="D17" s="1031"/>
      <c r="E17" s="176">
        <f t="array" ref="E17">IF(C17=0,(SUM(IF((PostTB[Account Code (Old)]=TRIM($B$2)),PostTB[Debit]))),(SUM(IF((PostTB[Account Code (Old)]=TRIM($B$2))*(PostTB[Sort Code]=$C$6),PostTB[Debit]))))</f>
        <v>0</v>
      </c>
      <c r="F17" s="176">
        <v>0</v>
      </c>
      <c r="G17" s="176">
        <f t="shared" si="0"/>
        <v>0</v>
      </c>
    </row>
    <row r="18" spans="1:7">
      <c r="A18" s="11">
        <f>Account!$G$23</f>
        <v>45291</v>
      </c>
      <c r="B18" s="189" t="str">
        <f>IF(C18=0,"Region 3",VLOOKUP(C18,Account!$F$26:$G$51,2))</f>
        <v>Pangasinan IMO</v>
      </c>
      <c r="C18" s="268" t="str">
        <f t="shared" si="1"/>
        <v>5</v>
      </c>
      <c r="D18" s="1031"/>
      <c r="E18" s="269">
        <f t="array" ref="E18">IF(C18=0,((SUM(IF((CkDJ[Date]=A18)*(CkDJ[Account Code]=TRIM($B$2)),CkDJ[Debit])))+(SUM(IF((CsDJ[Date]=A18)*(CsDJ[Account Code]=TRIM($B$2)),CsDJ[Debit])))+(SUM(IF((CRDJ[Date]=A18)*(CRDJ[Account Code]=TRIM($B$2)),CRDJ[Debit])))+(SUM(IF((GJ[Date]=A18)*(GJ[Account Code]=TRIM($B$2)),GJ[Debit])))),((SUM(IF((CkDJ[Date]=A18)*(CkDJ[Account Code]=TRIM($B$2))*(CkDJ[Sort Code]=C18),CkDJ[Debit])))+(SUM(IF((CsDJ[Date]=A18)*(CsDJ[Account Code]=TRIM($B$2))*(CsDJ[Sort Code]=C18),CsDJ[Debit])))+(SUM(IF((CRDJ[Date]=A18)*(CRDJ[Account Code]=TRIM($B$2))*(CRDJ[Sort Code]=C18),CRDJ[Debit])))+(SUM(IF((GJ[Date]=A18)*(GJ[Account Code]=TRIM($B$2))*(GJ[Sort Code]=C18),GJ[Debit])))))</f>
        <v>0</v>
      </c>
      <c r="F18" s="269">
        <v>1639420.78</v>
      </c>
      <c r="G18" s="293">
        <f t="shared" ref="G18" si="2">IF($G$4=$E$4,G17+E18-F18,G17+F18-E18)</f>
        <v>1639420.78</v>
      </c>
    </row>
    <row r="19" spans="1:7">
      <c r="A19" s="1315">
        <v>45291</v>
      </c>
      <c r="B19" s="1316"/>
      <c r="C19" s="1316"/>
      <c r="D19" s="1317"/>
      <c r="E19" s="191">
        <f>SUM(E7:E18)</f>
        <v>0</v>
      </c>
      <c r="F19" s="191">
        <f>SUM(F7:F18)</f>
        <v>1639420.78</v>
      </c>
      <c r="G19" s="179">
        <f>IF($G$4=$E$4,E19-F19,F19-E19)</f>
        <v>1639420.78</v>
      </c>
    </row>
    <row r="20" spans="1:7">
      <c r="A20" s="1306">
        <f>A19</f>
        <v>45291</v>
      </c>
      <c r="B20" s="1307"/>
      <c r="C20" s="1307"/>
      <c r="D20" s="1308"/>
      <c r="E20" s="176">
        <f>E6+E19</f>
        <v>0</v>
      </c>
      <c r="F20" s="176">
        <f>F6+F19</f>
        <v>1639420.78</v>
      </c>
      <c r="G20" s="176">
        <f>IF($G$4=$E$4,E20-F20,F20-E20)</f>
        <v>1639420.78</v>
      </c>
    </row>
    <row r="22" spans="1:7">
      <c r="F22" s="795"/>
    </row>
    <row r="26" spans="1:7">
      <c r="A26" s="756" t="s">
        <v>1586</v>
      </c>
      <c r="C26" s="7"/>
      <c r="D26" s="7"/>
      <c r="E26" s="830" t="s">
        <v>1587</v>
      </c>
      <c r="F26" s="830"/>
      <c r="G26" s="830"/>
    </row>
    <row r="27" spans="1:7">
      <c r="C27" s="7"/>
      <c r="D27" s="7"/>
      <c r="E27" s="830"/>
      <c r="F27" s="830"/>
      <c r="G27" s="830"/>
    </row>
    <row r="28" spans="1:7">
      <c r="B28" s="25" t="s">
        <v>1646</v>
      </c>
      <c r="C28" s="7"/>
      <c r="D28" s="7"/>
      <c r="E28" s="830"/>
      <c r="F28" s="830" t="s">
        <v>1561</v>
      </c>
      <c r="G28" s="830"/>
    </row>
    <row r="29" spans="1:7">
      <c r="B29" s="25" t="s">
        <v>1647</v>
      </c>
      <c r="C29" s="7"/>
      <c r="D29" s="7"/>
      <c r="E29" s="830"/>
      <c r="F29" s="830" t="s">
        <v>381</v>
      </c>
      <c r="G29" s="830"/>
    </row>
    <row r="30" spans="1:7">
      <c r="C30" s="7"/>
      <c r="D30" s="7"/>
    </row>
  </sheetData>
  <mergeCells count="9">
    <mergeCell ref="F4:F5"/>
    <mergeCell ref="A19:D19"/>
    <mergeCell ref="A20:D20"/>
    <mergeCell ref="C2:E2"/>
    <mergeCell ref="A4:A5"/>
    <mergeCell ref="B4:B5"/>
    <mergeCell ref="C4:C5"/>
    <mergeCell ref="D4:D5"/>
    <mergeCell ref="E4:E5"/>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zoomScale="93" zoomScaleNormal="93" workbookViewId="0">
      <selection activeCell="N16" sqref="N16"/>
    </sheetView>
  </sheetViews>
  <sheetFormatPr defaultColWidth="9" defaultRowHeight="15.75"/>
  <cols>
    <col min="1" max="1" width="13.375" style="6" bestFit="1" customWidth="1"/>
    <col min="2" max="2" width="18" customWidth="1"/>
    <col min="3" max="3" width="7.625" style="173" customWidth="1"/>
    <col min="4" max="4" width="18.625" style="173" customWidth="1"/>
    <col min="5" max="5" width="15.125" customWidth="1"/>
    <col min="6" max="6" width="15.625" customWidth="1"/>
    <col min="7" max="7" width="14.625" customWidth="1"/>
    <col min="8" max="9" width="9.375" bestFit="1" customWidth="1"/>
  </cols>
  <sheetData>
    <row r="1" spans="1:9" ht="32.25">
      <c r="A1" s="5" t="s">
        <v>508</v>
      </c>
      <c r="B1" s="104" t="str">
        <f>Account!$G$1</f>
        <v>FUND 501 CARP</v>
      </c>
    </row>
    <row r="2" spans="1:9" ht="37.5">
      <c r="A2" s="5" t="s">
        <v>370</v>
      </c>
      <c r="B2" s="26" t="s">
        <v>106</v>
      </c>
      <c r="C2" s="1314">
        <f>VLOOKUP(B2,Code,3,)</f>
        <v>2010101000</v>
      </c>
      <c r="D2" s="1314"/>
      <c r="E2" s="1314"/>
      <c r="F2" s="534"/>
    </row>
    <row r="3" spans="1:9" ht="23.25">
      <c r="A3" s="5" t="s">
        <v>371</v>
      </c>
      <c r="B3" s="174" t="str">
        <f>VLOOKUP(B2,Code,2,)</f>
        <v>Accounts Payable</v>
      </c>
      <c r="C3"/>
      <c r="D3"/>
    </row>
    <row r="4" spans="1:9" ht="15.75" customHeight="1">
      <c r="A4" s="1313" t="s">
        <v>0</v>
      </c>
      <c r="B4" s="1313" t="s">
        <v>739</v>
      </c>
      <c r="C4" s="1312" t="s">
        <v>718</v>
      </c>
      <c r="D4" s="1312" t="s">
        <v>440</v>
      </c>
      <c r="E4" s="1312" t="s">
        <v>1</v>
      </c>
      <c r="F4" s="1312" t="s">
        <v>2</v>
      </c>
      <c r="G4" s="175" t="str">
        <f>IF(C2=0,0,INDEX(AccountCodes[Normal Balance],MATCH(C2,AccountCodes[PPSAS CODE])))</f>
        <v>Credit</v>
      </c>
    </row>
    <row r="5" spans="1:9">
      <c r="A5" s="1313"/>
      <c r="B5" s="1313"/>
      <c r="C5" s="1312"/>
      <c r="D5" s="1312"/>
      <c r="E5" s="1312"/>
      <c r="F5" s="1312"/>
      <c r="G5" s="187" t="s">
        <v>379</v>
      </c>
    </row>
    <row r="6" spans="1:9">
      <c r="A6" s="21">
        <f>PostTB!A2</f>
        <v>44926</v>
      </c>
      <c r="B6" s="292" t="str">
        <f>IF(C6=0,"Region 3",VLOOKUP(C6,Account!$F$26:$G$51,2))</f>
        <v>Pangasinan IMO</v>
      </c>
      <c r="C6" s="270" t="s">
        <v>762</v>
      </c>
      <c r="D6" s="22" t="s">
        <v>373</v>
      </c>
      <c r="E6" s="176">
        <f t="array" ref="E6">IF(C6=0,(SUM(IF((PostTB[Account Code (Old)]=TRIM($B$2)),PostTB[Debit]))),(SUM(IF((PostTB[Account Code (Old)]=TRIM($B$2))*(PostTB[Sort Code]=$C$6),PostTB[Debit]))))</f>
        <v>0</v>
      </c>
      <c r="F6" s="176">
        <v>0</v>
      </c>
      <c r="G6" s="176">
        <f>IF($G$4=$E$4,E6-F6,F6-E6)</f>
        <v>0</v>
      </c>
      <c r="I6" s="859"/>
    </row>
    <row r="7" spans="1:9">
      <c r="A7" s="11">
        <f>Account!$G$12</f>
        <v>44957</v>
      </c>
      <c r="B7" s="189" t="str">
        <f>IF(C7=0,"Region 3",VLOOKUP(C7,Account!$F$26:$G$51,2))</f>
        <v>Pangasinan IMO</v>
      </c>
      <c r="C7" s="268" t="str">
        <f>$C$6</f>
        <v>5</v>
      </c>
      <c r="D7" s="1031"/>
      <c r="E7" s="176">
        <f t="array" ref="E7">IF(C7=0,(SUM(IF((PostTB[Account Code (Old)]=TRIM($B$2)),PostTB[Debit]))),(SUM(IF((PostTB[Account Code (Old)]=TRIM($B$2))*(PostTB[Sort Code]=$C$6),PostTB[Debit]))))</f>
        <v>0</v>
      </c>
      <c r="F7" s="176">
        <v>0</v>
      </c>
      <c r="G7" s="176">
        <f t="shared" ref="G7:G17" si="0">IF($G$4=$E$4,E7-F7,F7-E7)</f>
        <v>0</v>
      </c>
    </row>
    <row r="8" spans="1:9">
      <c r="A8" s="11">
        <f>Account!$G$13</f>
        <v>44985</v>
      </c>
      <c r="B8" s="189" t="str">
        <f>IF(C8=0,"Region 3",VLOOKUP(C8,Account!$F$26:$G$51,2))</f>
        <v>Pangasinan IMO</v>
      </c>
      <c r="C8" s="268" t="str">
        <f t="shared" ref="C8:C18" si="1">$C$6</f>
        <v>5</v>
      </c>
      <c r="D8" s="1031"/>
      <c r="E8" s="176">
        <f t="array" ref="E8">IF(C8=0,(SUM(IF((PostTB[Account Code (Old)]=TRIM($B$2)),PostTB[Debit]))),(SUM(IF((PostTB[Account Code (Old)]=TRIM($B$2))*(PostTB[Sort Code]=$C$6),PostTB[Debit]))))</f>
        <v>0</v>
      </c>
      <c r="F8" s="176">
        <v>0</v>
      </c>
      <c r="G8" s="176">
        <f t="shared" si="0"/>
        <v>0</v>
      </c>
    </row>
    <row r="9" spans="1:9">
      <c r="A9" s="11">
        <f>Account!$G$14</f>
        <v>45016</v>
      </c>
      <c r="B9" s="189" t="str">
        <f>IF(C9=0,"Region 3",VLOOKUP(C9,Account!$F$26:$G$51,2))</f>
        <v>Pangasinan IMO</v>
      </c>
      <c r="C9" s="268" t="str">
        <f t="shared" si="1"/>
        <v>5</v>
      </c>
      <c r="D9" s="1031"/>
      <c r="E9" s="176">
        <f t="array" ref="E9">IF(C9=0,(SUM(IF((PostTB[Account Code (Old)]=TRIM($B$2)),PostTB[Debit]))),(SUM(IF((PostTB[Account Code (Old)]=TRIM($B$2))*(PostTB[Sort Code]=$C$6),PostTB[Debit]))))</f>
        <v>0</v>
      </c>
      <c r="F9" s="176">
        <v>0</v>
      </c>
      <c r="G9" s="176">
        <f t="shared" si="0"/>
        <v>0</v>
      </c>
    </row>
    <row r="10" spans="1:9">
      <c r="A10" s="11">
        <f>Account!$G$15</f>
        <v>45046</v>
      </c>
      <c r="B10" s="189" t="str">
        <f>IF(C10=0,"Region 3",VLOOKUP(C10,Account!$F$26:$G$51,2))</f>
        <v>Pangasinan IMO</v>
      </c>
      <c r="C10" s="268" t="str">
        <f t="shared" si="1"/>
        <v>5</v>
      </c>
      <c r="D10" s="1031"/>
      <c r="E10" s="176">
        <f t="array" ref="E10">IF(C10=0,(SUM(IF((PostTB[Account Code (Old)]=TRIM($B$2)),PostTB[Debit]))),(SUM(IF((PostTB[Account Code (Old)]=TRIM($B$2))*(PostTB[Sort Code]=$C$6),PostTB[Debit]))))</f>
        <v>0</v>
      </c>
      <c r="F10" s="176">
        <v>0</v>
      </c>
      <c r="G10" s="176">
        <f t="shared" si="0"/>
        <v>0</v>
      </c>
    </row>
    <row r="11" spans="1:9">
      <c r="A11" s="11">
        <f>Account!$G$16</f>
        <v>45077</v>
      </c>
      <c r="B11" s="189" t="str">
        <f>IF(C11=0,"Region 3",VLOOKUP(C11,Account!$F$26:$G$51,2))</f>
        <v>Pangasinan IMO</v>
      </c>
      <c r="C11" s="268" t="str">
        <f t="shared" si="1"/>
        <v>5</v>
      </c>
      <c r="D11" s="1031"/>
      <c r="E11" s="176">
        <f t="array" ref="E11">IF(C11=0,(SUM(IF((PostTB[Account Code (Old)]=TRIM($B$2)),PostTB[Debit]))),(SUM(IF((PostTB[Account Code (Old)]=TRIM($B$2))*(PostTB[Sort Code]=$C$6),PostTB[Debit]))))</f>
        <v>0</v>
      </c>
      <c r="F11" s="176">
        <v>0</v>
      </c>
      <c r="G11" s="176">
        <f t="shared" si="0"/>
        <v>0</v>
      </c>
    </row>
    <row r="12" spans="1:9">
      <c r="A12" s="11">
        <f>Account!$G$17</f>
        <v>45107</v>
      </c>
      <c r="B12" s="189" t="str">
        <f>IF(C12=0,"Region 3",VLOOKUP(C12,Account!$F$26:$G$51,2))</f>
        <v>Pangasinan IMO</v>
      </c>
      <c r="C12" s="268" t="str">
        <f t="shared" si="1"/>
        <v>5</v>
      </c>
      <c r="D12" s="1031"/>
      <c r="E12" s="176">
        <f t="array" ref="E12">IF(C12=0,(SUM(IF((PostTB[Account Code (Old)]=TRIM($B$2)),PostTB[Debit]))),(SUM(IF((PostTB[Account Code (Old)]=TRIM($B$2))*(PostTB[Sort Code]=$C$6),PostTB[Debit]))))</f>
        <v>0</v>
      </c>
      <c r="F12" s="176">
        <v>0</v>
      </c>
      <c r="G12" s="176">
        <f t="shared" si="0"/>
        <v>0</v>
      </c>
    </row>
    <row r="13" spans="1:9">
      <c r="A13" s="11">
        <f>Account!$G$18</f>
        <v>45138</v>
      </c>
      <c r="B13" s="189" t="str">
        <f>IF(C13=0,"Region 3",VLOOKUP(C13,Account!$F$26:$G$51,2))</f>
        <v>Pangasinan IMO</v>
      </c>
      <c r="C13" s="268" t="str">
        <f t="shared" si="1"/>
        <v>5</v>
      </c>
      <c r="D13" s="1031"/>
      <c r="E13" s="176">
        <f t="array" ref="E13">IF(C13=0,(SUM(IF((PostTB[Account Code (Old)]=TRIM($B$2)),PostTB[Debit]))),(SUM(IF((PostTB[Account Code (Old)]=TRIM($B$2))*(PostTB[Sort Code]=$C$6),PostTB[Debit]))))</f>
        <v>0</v>
      </c>
      <c r="F13" s="176">
        <v>0</v>
      </c>
      <c r="G13" s="176">
        <f t="shared" si="0"/>
        <v>0</v>
      </c>
      <c r="H13" s="795"/>
      <c r="I13" s="795"/>
    </row>
    <row r="14" spans="1:9">
      <c r="A14" s="11">
        <f>Account!$G$19</f>
        <v>45169</v>
      </c>
      <c r="B14" s="189" t="str">
        <f>IF(C14=0,"Region 3",VLOOKUP(C14,Account!$F$26:$G$51,2))</f>
        <v>Pangasinan IMO</v>
      </c>
      <c r="C14" s="268" t="str">
        <f t="shared" si="1"/>
        <v>5</v>
      </c>
      <c r="D14" s="1031"/>
      <c r="E14" s="176">
        <f t="array" ref="E14">IF(C14=0,(SUM(IF((PostTB[Account Code (Old)]=TRIM($B$2)),PostTB[Debit]))),(SUM(IF((PostTB[Account Code (Old)]=TRIM($B$2))*(PostTB[Sort Code]=$C$6),PostTB[Debit]))))</f>
        <v>0</v>
      </c>
      <c r="F14" s="176">
        <v>0</v>
      </c>
      <c r="G14" s="176">
        <f t="shared" si="0"/>
        <v>0</v>
      </c>
    </row>
    <row r="15" spans="1:9">
      <c r="A15" s="11">
        <f>Account!$G$20</f>
        <v>45199</v>
      </c>
      <c r="B15" s="189" t="str">
        <f>IF(C15=0,"Region 3",VLOOKUP(C15,Account!$F$26:$G$51,2))</f>
        <v>Pangasinan IMO</v>
      </c>
      <c r="C15" s="268" t="str">
        <f t="shared" si="1"/>
        <v>5</v>
      </c>
      <c r="D15" s="1031"/>
      <c r="E15" s="176">
        <f t="array" ref="E15">IF(C15=0,(SUM(IF((PostTB[Account Code (Old)]=TRIM($B$2)),PostTB[Debit]))),(SUM(IF((PostTB[Account Code (Old)]=TRIM($B$2))*(PostTB[Sort Code]=$C$6),PostTB[Debit]))))</f>
        <v>0</v>
      </c>
      <c r="F15" s="176">
        <v>0</v>
      </c>
      <c r="G15" s="176">
        <f t="shared" si="0"/>
        <v>0</v>
      </c>
    </row>
    <row r="16" spans="1:9">
      <c r="A16" s="11">
        <f>Account!$G$21</f>
        <v>45230</v>
      </c>
      <c r="B16" s="189" t="str">
        <f>IF(C16=0,"Region 3",VLOOKUP(C16,Account!$F$26:$G$51,2))</f>
        <v>Pangasinan IMO</v>
      </c>
      <c r="C16" s="268" t="str">
        <f t="shared" si="1"/>
        <v>5</v>
      </c>
      <c r="D16" s="1031"/>
      <c r="E16" s="176">
        <f t="array" ref="E16">IF(C16=0,(SUM(IF((PostTB[Account Code (Old)]=TRIM($B$2)),PostTB[Debit]))),(SUM(IF((PostTB[Account Code (Old)]=TRIM($B$2))*(PostTB[Sort Code]=$C$6),PostTB[Debit]))))</f>
        <v>0</v>
      </c>
      <c r="F16" s="176">
        <v>0</v>
      </c>
      <c r="G16" s="176">
        <f t="shared" si="0"/>
        <v>0</v>
      </c>
    </row>
    <row r="17" spans="1:7">
      <c r="A17" s="11">
        <f>Account!$G$22</f>
        <v>45260</v>
      </c>
      <c r="B17" s="189" t="str">
        <f>IF(C17=0,"Region 3",VLOOKUP(C17,Account!$F$26:$G$51,2))</f>
        <v>Pangasinan IMO</v>
      </c>
      <c r="C17" s="268" t="str">
        <f t="shared" si="1"/>
        <v>5</v>
      </c>
      <c r="D17" s="1031"/>
      <c r="E17" s="176">
        <f t="array" ref="E17">IF(C17=0,(SUM(IF((PostTB[Account Code (Old)]=TRIM($B$2)),PostTB[Debit]))),(SUM(IF((PostTB[Account Code (Old)]=TRIM($B$2))*(PostTB[Sort Code]=$C$6),PostTB[Debit]))))</f>
        <v>0</v>
      </c>
      <c r="F17" s="176">
        <v>0</v>
      </c>
      <c r="G17" s="176">
        <f t="shared" si="0"/>
        <v>0</v>
      </c>
    </row>
    <row r="18" spans="1:7">
      <c r="A18" s="11">
        <f>Account!$G$23</f>
        <v>45291</v>
      </c>
      <c r="B18" s="189" t="str">
        <f>IF(C18=0,"Region 3",VLOOKUP(C18,Account!$F$26:$G$51,2))</f>
        <v>Pangasinan IMO</v>
      </c>
      <c r="C18" s="268" t="str">
        <f t="shared" si="1"/>
        <v>5</v>
      </c>
      <c r="D18" s="1031"/>
      <c r="E18" s="269">
        <f t="array" ref="E18">IF(C18=0,((SUM(IF((CkDJ[Date]=A18)*(CkDJ[Account Code]=TRIM($B$2)),CkDJ[Debit])))+(SUM(IF((CsDJ[Date]=A18)*(CsDJ[Account Code]=TRIM($B$2)),CsDJ[Debit])))+(SUM(IF((CRDJ[Date]=A18)*(CRDJ[Account Code]=TRIM($B$2)),CRDJ[Debit])))+(SUM(IF((GJ[Date]=A18)*(GJ[Account Code]=TRIM($B$2)),GJ[Debit])))),((SUM(IF((CkDJ[Date]=A18)*(CkDJ[Account Code]=TRIM($B$2))*(CkDJ[Sort Code]=C18),CkDJ[Debit])))+(SUM(IF((CsDJ[Date]=A18)*(CsDJ[Account Code]=TRIM($B$2))*(CsDJ[Sort Code]=C18),CsDJ[Debit])))+(SUM(IF((CRDJ[Date]=A18)*(CRDJ[Account Code]=TRIM($B$2))*(CRDJ[Sort Code]=C18),CRDJ[Debit])))+(SUM(IF((GJ[Date]=A18)*(GJ[Account Code]=TRIM($B$2))*(GJ[Sort Code]=C18),GJ[Debit])))))</f>
        <v>0</v>
      </c>
      <c r="F18" s="269">
        <v>5976</v>
      </c>
      <c r="G18" s="293">
        <f t="shared" ref="G18" si="2">IF($G$4=$E$4,G17+E18-F18,G17+F18-E18)</f>
        <v>5976</v>
      </c>
    </row>
    <row r="19" spans="1:7">
      <c r="A19" s="1315">
        <v>45291</v>
      </c>
      <c r="B19" s="1316"/>
      <c r="C19" s="1316"/>
      <c r="D19" s="1317"/>
      <c r="E19" s="191">
        <f>SUM(E7:E18)</f>
        <v>0</v>
      </c>
      <c r="F19" s="191">
        <f>SUM(F7:F18)</f>
        <v>5976</v>
      </c>
      <c r="G19" s="179">
        <f>IF($G$4=$E$4,E19-F19,F19-E19)</f>
        <v>5976</v>
      </c>
    </row>
    <row r="20" spans="1:7">
      <c r="A20" s="1306">
        <f>A19</f>
        <v>45291</v>
      </c>
      <c r="B20" s="1307"/>
      <c r="C20" s="1307"/>
      <c r="D20" s="1308"/>
      <c r="E20" s="176">
        <f>E6+E19</f>
        <v>0</v>
      </c>
      <c r="F20" s="176">
        <f>F6+F19</f>
        <v>5976</v>
      </c>
      <c r="G20" s="176">
        <f>IF($G$4=$E$4,E20-F20,F20-E20)</f>
        <v>5976</v>
      </c>
    </row>
    <row r="22" spans="1:7">
      <c r="F22" s="795"/>
    </row>
    <row r="26" spans="1:7">
      <c r="A26" s="756" t="s">
        <v>1586</v>
      </c>
      <c r="C26" s="7"/>
      <c r="D26" s="7"/>
      <c r="E26" s="830" t="s">
        <v>1587</v>
      </c>
      <c r="F26" s="830"/>
      <c r="G26" s="830"/>
    </row>
    <row r="27" spans="1:7">
      <c r="C27" s="7"/>
      <c r="D27" s="7"/>
      <c r="E27" s="830"/>
      <c r="F27" s="830"/>
      <c r="G27" s="830"/>
    </row>
    <row r="28" spans="1:7">
      <c r="B28" s="25" t="s">
        <v>1646</v>
      </c>
      <c r="C28" s="7"/>
      <c r="D28" s="7"/>
      <c r="E28" s="830"/>
      <c r="F28" s="830" t="s">
        <v>1561</v>
      </c>
      <c r="G28" s="830"/>
    </row>
    <row r="29" spans="1:7">
      <c r="B29" s="25" t="s">
        <v>1647</v>
      </c>
      <c r="C29" s="7"/>
      <c r="D29" s="7"/>
      <c r="E29" s="830"/>
      <c r="F29" s="830" t="s">
        <v>381</v>
      </c>
      <c r="G29" s="830"/>
    </row>
    <row r="30" spans="1:7">
      <c r="C30" s="7"/>
      <c r="D30" s="7"/>
    </row>
  </sheetData>
  <mergeCells count="9">
    <mergeCell ref="F4:F5"/>
    <mergeCell ref="A19:D19"/>
    <mergeCell ref="A20:D20"/>
    <mergeCell ref="C2:E2"/>
    <mergeCell ref="A4:A5"/>
    <mergeCell ref="B4:B5"/>
    <mergeCell ref="C4:C5"/>
    <mergeCell ref="D4:D5"/>
    <mergeCell ref="E4:E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H20"/>
  <sheetViews>
    <sheetView workbookViewId="0">
      <selection activeCell="B1" sqref="B1:B2"/>
    </sheetView>
  </sheetViews>
  <sheetFormatPr defaultColWidth="9" defaultRowHeight="15.75"/>
  <cols>
    <col min="1" max="1" width="13.375" style="6" bestFit="1" customWidth="1"/>
    <col min="2" max="2" width="18" customWidth="1"/>
    <col min="3" max="3" width="7.625" style="173" customWidth="1"/>
    <col min="4" max="4" width="8.125" style="173" customWidth="1"/>
    <col min="5" max="5" width="18.625" style="173" customWidth="1"/>
    <col min="6" max="6" width="15.125" customWidth="1"/>
    <col min="7" max="7" width="15.875" customWidth="1"/>
    <col min="8" max="8" width="16.125" customWidth="1"/>
  </cols>
  <sheetData>
    <row r="1" spans="1:8" ht="32.25">
      <c r="A1" s="5" t="s">
        <v>508</v>
      </c>
      <c r="B1" s="104" t="str">
        <f>Account!$G$1</f>
        <v>FUND 501 CARP</v>
      </c>
    </row>
    <row r="2" spans="1:8" ht="37.5">
      <c r="A2" s="5" t="s">
        <v>370</v>
      </c>
      <c r="B2" s="26" t="s">
        <v>1556</v>
      </c>
      <c r="C2" s="1314" t="str">
        <f>VLOOKUP(B2,Code,3,)</f>
        <v>1010202000RO</v>
      </c>
      <c r="D2" s="1314"/>
      <c r="E2" s="1314"/>
      <c r="F2" s="1314"/>
    </row>
    <row r="3" spans="1:8" ht="23.25">
      <c r="A3" s="5" t="s">
        <v>371</v>
      </c>
      <c r="B3" s="174" t="str">
        <f>VLOOKUP(B2,Code,2,)</f>
        <v>Cash in Bank-Local Currency, Current Account - RO</v>
      </c>
      <c r="C3"/>
      <c r="D3"/>
      <c r="E3"/>
    </row>
    <row r="4" spans="1:8" ht="15.75" customHeight="1">
      <c r="A4" s="1313" t="s">
        <v>0</v>
      </c>
      <c r="B4" s="1313" t="s">
        <v>739</v>
      </c>
      <c r="C4" s="1312" t="s">
        <v>718</v>
      </c>
      <c r="D4" s="1312" t="s">
        <v>740</v>
      </c>
      <c r="E4" s="1312" t="s">
        <v>440</v>
      </c>
      <c r="F4" s="1312" t="s">
        <v>1</v>
      </c>
      <c r="G4" s="1312" t="s">
        <v>2</v>
      </c>
      <c r="H4" s="175" t="str">
        <f>IF(B2=0,0,VLOOKUP(B2,Account!$A$2:$D$155,4,))</f>
        <v>Debit</v>
      </c>
    </row>
    <row r="5" spans="1:8">
      <c r="A5" s="1313"/>
      <c r="B5" s="1313"/>
      <c r="C5" s="1312"/>
      <c r="D5" s="1312"/>
      <c r="E5" s="1312"/>
      <c r="F5" s="1312"/>
      <c r="G5" s="1312"/>
      <c r="H5" s="187" t="s">
        <v>379</v>
      </c>
    </row>
    <row r="6" spans="1:8">
      <c r="A6" s="21">
        <f>PostTB!A2</f>
        <v>44926</v>
      </c>
      <c r="B6" s="21"/>
      <c r="C6" s="270" t="s">
        <v>494</v>
      </c>
      <c r="D6" s="270" t="s">
        <v>494</v>
      </c>
      <c r="E6" s="22" t="s">
        <v>373</v>
      </c>
      <c r="F6" s="176">
        <f t="array" ref="F6">SUM(IF((PostTB[Account Code (Old)]=TRIM($B$2))*(PostTB[Sort Code]=$C$6)*(PostTB[Ofc Code]=$D$6),PostTB[Debit]))</f>
        <v>0</v>
      </c>
      <c r="G6" s="176">
        <f t="array" ref="G6">SUM(IF((PostTB[Account Code (Old)]=TRIM($B$2))*(PostTB[Sort Code]=$C$6)*(PostTB[Ofc Code]=$D$6),PostTB[Credit]))</f>
        <v>0</v>
      </c>
      <c r="H6" s="176">
        <f>IF($H$4=$F$4,F6-G6,G6-F6)</f>
        <v>0</v>
      </c>
    </row>
    <row r="7" spans="1:8">
      <c r="A7" s="11">
        <f>Account!$G$12</f>
        <v>44957</v>
      </c>
      <c r="B7" s="189" t="str">
        <f>IF(C7=0,0,VLOOKUP(C7,Account!$F$26:$G$51,2))</f>
        <v>Regional Office</v>
      </c>
      <c r="C7" s="268" t="str">
        <f>$C$6</f>
        <v>1</v>
      </c>
      <c r="D7" s="268" t="str">
        <f>$D$6</f>
        <v>1</v>
      </c>
      <c r="E7" s="14"/>
      <c r="F7" s="269">
        <f t="array" ref="F7">(SUM(IF((CkDJ[Date]=A7)*(CkDJ[Account Code]=TRIM($B$2))*(CkDJ[Sort Code]=C7)*(CkDJ[Ofc Code]=D7),CkDJ[Debit])))+(SUM(IF((CsDJ[Date]=A7)*(CsDJ[Account Code]=TRIM($B$2))*(CsDJ[Sort Code]=C7)*(CsDJ[Ofc Code]=D7),CsDJ[Debit])))+(SUM(IF((CRDJ[Date]=A7)*(CRDJ[Account Code]=TRIM($B$2))*(CRDJ[Sort Code]=C7)*(CRDJ[Ofc Code]=D7),CRDJ[Debit])))+(SUM(IF((GJ[Date]=A7)*(GJ[Account Code]=TRIM($B$2))*(GJ[Sort Code]=C7)*(GJ[Ofc Code]=D7),GJ[Debit])))</f>
        <v>0</v>
      </c>
      <c r="G7" s="269">
        <f t="array" ref="G7">(SUM(IF((CkDJ[Date]=A7)*(CkDJ[Account Code]=TRIM($B$2))*(CkDJ[Sort Code]=C7)*(CkDJ[Ofc Code]=D7),CkDJ[Credit])))+(SUM(IF((CsDJ[Date]=A7)*(CsDJ[Account Code]=TRIM($B$2))*(CsDJ[Sort Code]=C7)*(CsDJ[Ofc Code]=D7),CsDJ[Credit])))+(SUM(IF((CRDJ[Date]=A7)*(CRDJ[Account Code]=TRIM($B$2))*(CRDJ[Sort Code]=C7)*(CRDJ[Ofc Code]=D7),CRDJ[Credit])))+(SUM(IF((GJ[Date]=A7)*(GJ[Account Code]=TRIM($B$2))*(GJ[Sort Code]=C7)*(GJ[Ofc Code]=D7),GJ[Credit])))</f>
        <v>0</v>
      </c>
      <c r="H7" s="176">
        <f>IF($H$4=$F$4,H6+F7-G7,H6+G7-F7)</f>
        <v>0</v>
      </c>
    </row>
    <row r="8" spans="1:8">
      <c r="A8" s="11">
        <f>Account!$G$13</f>
        <v>44985</v>
      </c>
      <c r="B8" s="189" t="str">
        <f>IF(C8=0,0,VLOOKUP(C8,Account!$F$26:$G$51,2))</f>
        <v>Regional Office</v>
      </c>
      <c r="C8" s="268" t="str">
        <f t="shared" ref="C8:C18" si="0">$C$6</f>
        <v>1</v>
      </c>
      <c r="D8" s="268" t="str">
        <f t="shared" ref="D8:D18" si="1">$D$6</f>
        <v>1</v>
      </c>
      <c r="E8" s="14"/>
      <c r="F8" s="269">
        <f t="array" ref="F8">(SUM(IF((CkDJ[Date]=A8)*(CkDJ[Account Code]=TRIM($B$2))*(CkDJ[Sort Code]=C8)*(CkDJ[Ofc Code]=D8),CkDJ[Debit])))+(SUM(IF((CsDJ[Date]=A8)*(CsDJ[Account Code]=TRIM($B$2))*(CsDJ[Sort Code]=C8)*(CsDJ[Ofc Code]=D8),CsDJ[Debit])))+(SUM(IF((CRDJ[Date]=A8)*(CRDJ[Account Code]=TRIM($B$2))*(CRDJ[Sort Code]=C8)*(CRDJ[Ofc Code]=D8),CRDJ[Debit])))+(SUM(IF((GJ[Date]=A8)*(GJ[Account Code]=TRIM($B$2))*(GJ[Sort Code]=C8)*(GJ[Ofc Code]=D8),GJ[Debit])))</f>
        <v>0</v>
      </c>
      <c r="G8" s="269">
        <f t="array" ref="G8">(SUM(IF((CkDJ[Date]=A8)*(CkDJ[Account Code]=TRIM($B$2))*(CkDJ[Sort Code]=C8)*(CkDJ[Ofc Code]=D8),CkDJ[Credit])))+(SUM(IF((CsDJ[Date]=A8)*(CsDJ[Account Code]=TRIM($B$2))*(CsDJ[Sort Code]=C8)*(CsDJ[Ofc Code]=D8),CsDJ[Credit])))+(SUM(IF((CRDJ[Date]=A8)*(CRDJ[Account Code]=TRIM($B$2))*(CRDJ[Sort Code]=C8)*(CRDJ[Ofc Code]=D8),CRDJ[Credit])))+(SUM(IF((GJ[Date]=A8)*(GJ[Account Code]=TRIM($B$2))*(GJ[Sort Code]=C8)*(GJ[Ofc Code]=D8),GJ[Credit])))</f>
        <v>0</v>
      </c>
      <c r="H8" s="293">
        <f t="shared" ref="H8:H18" si="2">IF($H$4=$F$4,H7+F8-G8,H7+G8-F8)</f>
        <v>0</v>
      </c>
    </row>
    <row r="9" spans="1:8">
      <c r="A9" s="11">
        <f>Account!$G$14</f>
        <v>45016</v>
      </c>
      <c r="B9" s="189" t="str">
        <f>IF(C9=0,0,VLOOKUP(C9,Account!$F$26:$G$51,2))</f>
        <v>Regional Office</v>
      </c>
      <c r="C9" s="268" t="str">
        <f t="shared" si="0"/>
        <v>1</v>
      </c>
      <c r="D9" s="268" t="str">
        <f t="shared" si="1"/>
        <v>1</v>
      </c>
      <c r="E9" s="14"/>
      <c r="F9" s="269">
        <f t="array" ref="F9">(SUM(IF((CkDJ[Date]=A9)*(CkDJ[Account Code]=TRIM($B$2))*(CkDJ[Sort Code]=C9)*(CkDJ[Ofc Code]=D9),CkDJ[Debit])))+(SUM(IF((CsDJ[Date]=A9)*(CsDJ[Account Code]=TRIM($B$2))*(CsDJ[Sort Code]=C9)*(CsDJ[Ofc Code]=D9),CsDJ[Debit])))+(SUM(IF((CRDJ[Date]=A9)*(CRDJ[Account Code]=TRIM($B$2))*(CRDJ[Sort Code]=C9)*(CRDJ[Ofc Code]=D9),CRDJ[Debit])))+(SUM(IF((GJ[Date]=A9)*(GJ[Account Code]=TRIM($B$2))*(GJ[Sort Code]=C9)*(GJ[Ofc Code]=D9),GJ[Debit])))</f>
        <v>0</v>
      </c>
      <c r="G9" s="269">
        <f t="array" ref="G9">(SUM(IF((CkDJ[Date]=A9)*(CkDJ[Account Code]=TRIM($B$2))*(CkDJ[Sort Code]=C9)*(CkDJ[Ofc Code]=D9),CkDJ[Credit])))+(SUM(IF((CsDJ[Date]=A9)*(CsDJ[Account Code]=TRIM($B$2))*(CsDJ[Sort Code]=C9)*(CsDJ[Ofc Code]=D9),CsDJ[Credit])))+(SUM(IF((CRDJ[Date]=A9)*(CRDJ[Account Code]=TRIM($B$2))*(CRDJ[Sort Code]=C9)*(CRDJ[Ofc Code]=D9),CRDJ[Credit])))+(SUM(IF((GJ[Date]=A9)*(GJ[Account Code]=TRIM($B$2))*(GJ[Sort Code]=C9)*(GJ[Ofc Code]=D9),GJ[Credit])))</f>
        <v>0</v>
      </c>
      <c r="H9" s="293">
        <f t="shared" si="2"/>
        <v>0</v>
      </c>
    </row>
    <row r="10" spans="1:8">
      <c r="A10" s="11">
        <f>Account!$G$15</f>
        <v>45046</v>
      </c>
      <c r="B10" s="189" t="str">
        <f>IF(C10=0,0,VLOOKUP(C10,Account!$F$26:$G$51,2))</f>
        <v>Regional Office</v>
      </c>
      <c r="C10" s="268" t="str">
        <f t="shared" si="0"/>
        <v>1</v>
      </c>
      <c r="D10" s="268" t="str">
        <f t="shared" si="1"/>
        <v>1</v>
      </c>
      <c r="E10" s="14"/>
      <c r="F10" s="269">
        <f t="array" ref="F10">(SUM(IF((CkDJ[Date]=A10)*(CkDJ[Account Code]=TRIM($B$2))*(CkDJ[Sort Code]=C10)*(CkDJ[Ofc Code]=D10),CkDJ[Debit])))+(SUM(IF((CsDJ[Date]=A10)*(CsDJ[Account Code]=TRIM($B$2))*(CsDJ[Sort Code]=C10)*(CsDJ[Ofc Code]=D10),CsDJ[Debit])))+(SUM(IF((CRDJ[Date]=A10)*(CRDJ[Account Code]=TRIM($B$2))*(CRDJ[Sort Code]=C10)*(CRDJ[Ofc Code]=D10),CRDJ[Debit])))+(SUM(IF((GJ[Date]=A10)*(GJ[Account Code]=TRIM($B$2))*(GJ[Sort Code]=C10)*(GJ[Ofc Code]=D10),GJ[Debit])))</f>
        <v>0</v>
      </c>
      <c r="G10" s="269">
        <f t="array" ref="G10">(SUM(IF((CkDJ[Date]=A10)*(CkDJ[Account Code]=TRIM($B$2))*(CkDJ[Sort Code]=C10)*(CkDJ[Ofc Code]=D10),CkDJ[Credit])))+(SUM(IF((CsDJ[Date]=A10)*(CsDJ[Account Code]=TRIM($B$2))*(CsDJ[Sort Code]=C10)*(CsDJ[Ofc Code]=D10),CsDJ[Credit])))+(SUM(IF((CRDJ[Date]=A10)*(CRDJ[Account Code]=TRIM($B$2))*(CRDJ[Sort Code]=C10)*(CRDJ[Ofc Code]=D10),CRDJ[Credit])))+(SUM(IF((GJ[Date]=A10)*(GJ[Account Code]=TRIM($B$2))*(GJ[Sort Code]=C10)*(GJ[Ofc Code]=D10),GJ[Credit])))</f>
        <v>0</v>
      </c>
      <c r="H10" s="293">
        <f t="shared" si="2"/>
        <v>0</v>
      </c>
    </row>
    <row r="11" spans="1:8">
      <c r="A11" s="11">
        <f>Account!$G$16</f>
        <v>45077</v>
      </c>
      <c r="B11" s="189" t="str">
        <f>IF(C11=0,0,VLOOKUP(C11,Account!$F$26:$G$51,2))</f>
        <v>Regional Office</v>
      </c>
      <c r="C11" s="268" t="str">
        <f t="shared" si="0"/>
        <v>1</v>
      </c>
      <c r="D11" s="268" t="str">
        <f t="shared" si="1"/>
        <v>1</v>
      </c>
      <c r="E11" s="14"/>
      <c r="F11" s="269">
        <f t="array" ref="F11">(SUM(IF((CkDJ[Date]=A11)*(CkDJ[Account Code]=TRIM($B$2))*(CkDJ[Sort Code]=C11)*(CkDJ[Ofc Code]=D11),CkDJ[Debit])))+(SUM(IF((CsDJ[Date]=A11)*(CsDJ[Account Code]=TRIM($B$2))*(CsDJ[Sort Code]=C11)*(CsDJ[Ofc Code]=D11),CsDJ[Debit])))+(SUM(IF((CRDJ[Date]=A11)*(CRDJ[Account Code]=TRIM($B$2))*(CRDJ[Sort Code]=C11)*(CRDJ[Ofc Code]=D11),CRDJ[Debit])))+(SUM(IF((GJ[Date]=A11)*(GJ[Account Code]=TRIM($B$2))*(GJ[Sort Code]=C11)*(GJ[Ofc Code]=D11),GJ[Debit])))</f>
        <v>0</v>
      </c>
      <c r="G11" s="269">
        <f t="array" ref="G11">(SUM(IF((CkDJ[Date]=A11)*(CkDJ[Account Code]=TRIM($B$2))*(CkDJ[Sort Code]=C11)*(CkDJ[Ofc Code]=D11),CkDJ[Credit])))+(SUM(IF((CsDJ[Date]=A11)*(CsDJ[Account Code]=TRIM($B$2))*(CsDJ[Sort Code]=C11)*(CsDJ[Ofc Code]=D11),CsDJ[Credit])))+(SUM(IF((CRDJ[Date]=A11)*(CRDJ[Account Code]=TRIM($B$2))*(CRDJ[Sort Code]=C11)*(CRDJ[Ofc Code]=D11),CRDJ[Credit])))+(SUM(IF((GJ[Date]=A11)*(GJ[Account Code]=TRIM($B$2))*(GJ[Sort Code]=C11)*(GJ[Ofc Code]=D11),GJ[Credit])))</f>
        <v>0</v>
      </c>
      <c r="H11" s="293">
        <f t="shared" si="2"/>
        <v>0</v>
      </c>
    </row>
    <row r="12" spans="1:8">
      <c r="A12" s="11">
        <f>Account!$G$17</f>
        <v>45107</v>
      </c>
      <c r="B12" s="189" t="str">
        <f>IF(C12=0,0,VLOOKUP(C12,Account!$F$26:$G$51,2))</f>
        <v>Regional Office</v>
      </c>
      <c r="C12" s="268" t="str">
        <f t="shared" si="0"/>
        <v>1</v>
      </c>
      <c r="D12" s="268" t="str">
        <f t="shared" si="1"/>
        <v>1</v>
      </c>
      <c r="E12" s="14"/>
      <c r="F12" s="269">
        <f t="array" ref="F12">(SUM(IF((CkDJ[Date]=A12)*(CkDJ[Account Code]=TRIM($B$2))*(CkDJ[Sort Code]=C12)*(CkDJ[Ofc Code]=D12),CkDJ[Debit])))+(SUM(IF((CsDJ[Date]=A12)*(CsDJ[Account Code]=TRIM($B$2))*(CsDJ[Sort Code]=C12)*(CsDJ[Ofc Code]=D12),CsDJ[Debit])))+(SUM(IF((CRDJ[Date]=A12)*(CRDJ[Account Code]=TRIM($B$2))*(CRDJ[Sort Code]=C12)*(CRDJ[Ofc Code]=D12),CRDJ[Debit])))+(SUM(IF((GJ[Date]=A12)*(GJ[Account Code]=TRIM($B$2))*(GJ[Sort Code]=C12)*(GJ[Ofc Code]=D12),GJ[Debit])))</f>
        <v>0</v>
      </c>
      <c r="G12" s="269">
        <f t="array" ref="G12">(SUM(IF((CkDJ[Date]=A12)*(CkDJ[Account Code]=TRIM($B$2))*(CkDJ[Sort Code]=C12)*(CkDJ[Ofc Code]=D12),CkDJ[Credit])))+(SUM(IF((CsDJ[Date]=A12)*(CsDJ[Account Code]=TRIM($B$2))*(CsDJ[Sort Code]=C12)*(CsDJ[Ofc Code]=D12),CsDJ[Credit])))+(SUM(IF((CRDJ[Date]=A12)*(CRDJ[Account Code]=TRIM($B$2))*(CRDJ[Sort Code]=C12)*(CRDJ[Ofc Code]=D12),CRDJ[Credit])))+(SUM(IF((GJ[Date]=A12)*(GJ[Account Code]=TRIM($B$2))*(GJ[Sort Code]=C12)*(GJ[Ofc Code]=D12),GJ[Credit])))</f>
        <v>0</v>
      </c>
      <c r="H12" s="293">
        <f t="shared" si="2"/>
        <v>0</v>
      </c>
    </row>
    <row r="13" spans="1:8">
      <c r="A13" s="11">
        <f>Account!$G$18</f>
        <v>45138</v>
      </c>
      <c r="B13" s="189" t="str">
        <f>IF(C13=0,0,VLOOKUP(C13,Account!$F$26:$G$51,2))</f>
        <v>Regional Office</v>
      </c>
      <c r="C13" s="268" t="str">
        <f t="shared" si="0"/>
        <v>1</v>
      </c>
      <c r="D13" s="268" t="str">
        <f t="shared" si="1"/>
        <v>1</v>
      </c>
      <c r="E13" s="14"/>
      <c r="F13" s="269">
        <f t="array" ref="F13">(SUM(IF((CkDJ[Date]=A13)*(CkDJ[Account Code]=TRIM($B$2))*(CkDJ[Sort Code]=C13)*(CkDJ[Ofc Code]=D13),CkDJ[Debit])))+(SUM(IF((CsDJ[Date]=A13)*(CsDJ[Account Code]=TRIM($B$2))*(CsDJ[Sort Code]=C13)*(CsDJ[Ofc Code]=D13),CsDJ[Debit])))+(SUM(IF((CRDJ[Date]=A13)*(CRDJ[Account Code]=TRIM($B$2))*(CRDJ[Sort Code]=C13)*(CRDJ[Ofc Code]=D13),CRDJ[Debit])))+(SUM(IF((GJ[Date]=A13)*(GJ[Account Code]=TRIM($B$2))*(GJ[Sort Code]=C13)*(GJ[Ofc Code]=D13),GJ[Debit])))</f>
        <v>0</v>
      </c>
      <c r="G13" s="269">
        <f t="array" ref="G13">(SUM(IF((CkDJ[Date]=A13)*(CkDJ[Account Code]=TRIM($B$2))*(CkDJ[Sort Code]=C13)*(CkDJ[Ofc Code]=D13),CkDJ[Credit])))+(SUM(IF((CsDJ[Date]=A13)*(CsDJ[Account Code]=TRIM($B$2))*(CsDJ[Sort Code]=C13)*(CsDJ[Ofc Code]=D13),CsDJ[Credit])))+(SUM(IF((CRDJ[Date]=A13)*(CRDJ[Account Code]=TRIM($B$2))*(CRDJ[Sort Code]=C13)*(CRDJ[Ofc Code]=D13),CRDJ[Credit])))+(SUM(IF((GJ[Date]=A13)*(GJ[Account Code]=TRIM($B$2))*(GJ[Sort Code]=C13)*(GJ[Ofc Code]=D13),GJ[Credit])))</f>
        <v>0</v>
      </c>
      <c r="H13" s="293">
        <f t="shared" si="2"/>
        <v>0</v>
      </c>
    </row>
    <row r="14" spans="1:8">
      <c r="A14" s="11">
        <f>Account!$G$19</f>
        <v>45169</v>
      </c>
      <c r="B14" s="189" t="str">
        <f>IF(C14=0,0,VLOOKUP(C14,Account!$F$26:$G$51,2))</f>
        <v>Regional Office</v>
      </c>
      <c r="C14" s="268" t="str">
        <f t="shared" si="0"/>
        <v>1</v>
      </c>
      <c r="D14" s="268" t="str">
        <f t="shared" si="1"/>
        <v>1</v>
      </c>
      <c r="E14" s="14"/>
      <c r="F14" s="269">
        <f t="array" ref="F14">(SUM(IF((CkDJ[Date]=A14)*(CkDJ[Account Code]=TRIM($B$2))*(CkDJ[Sort Code]=C14)*(CkDJ[Ofc Code]=D14),CkDJ[Debit])))+(SUM(IF((CsDJ[Date]=A14)*(CsDJ[Account Code]=TRIM($B$2))*(CsDJ[Sort Code]=C14)*(CsDJ[Ofc Code]=D14),CsDJ[Debit])))+(SUM(IF((CRDJ[Date]=A14)*(CRDJ[Account Code]=TRIM($B$2))*(CRDJ[Sort Code]=C14)*(CRDJ[Ofc Code]=D14),CRDJ[Debit])))+(SUM(IF((GJ[Date]=A14)*(GJ[Account Code]=TRIM($B$2))*(GJ[Sort Code]=C14)*(GJ[Ofc Code]=D14),GJ[Debit])))</f>
        <v>0</v>
      </c>
      <c r="G14" s="269">
        <f t="array" ref="G14">(SUM(IF((CkDJ[Date]=A14)*(CkDJ[Account Code]=TRIM($B$2))*(CkDJ[Sort Code]=C14)*(CkDJ[Ofc Code]=D14),CkDJ[Credit])))+(SUM(IF((CsDJ[Date]=A14)*(CsDJ[Account Code]=TRIM($B$2))*(CsDJ[Sort Code]=C14)*(CsDJ[Ofc Code]=D14),CsDJ[Credit])))+(SUM(IF((CRDJ[Date]=A14)*(CRDJ[Account Code]=TRIM($B$2))*(CRDJ[Sort Code]=C14)*(CRDJ[Ofc Code]=D14),CRDJ[Credit])))+(SUM(IF((GJ[Date]=A14)*(GJ[Account Code]=TRIM($B$2))*(GJ[Sort Code]=C14)*(GJ[Ofc Code]=D14),GJ[Credit])))</f>
        <v>0</v>
      </c>
      <c r="H14" s="293">
        <f t="shared" si="2"/>
        <v>0</v>
      </c>
    </row>
    <row r="15" spans="1:8">
      <c r="A15" s="11">
        <f>Account!$G$20</f>
        <v>45199</v>
      </c>
      <c r="B15" s="189" t="str">
        <f>IF(C15=0,0,VLOOKUP(C15,Account!$F$26:$G$51,2))</f>
        <v>Regional Office</v>
      </c>
      <c r="C15" s="268" t="str">
        <f t="shared" si="0"/>
        <v>1</v>
      </c>
      <c r="D15" s="268" t="str">
        <f t="shared" si="1"/>
        <v>1</v>
      </c>
      <c r="E15" s="14"/>
      <c r="F15" s="269">
        <f t="array" ref="F15">(SUM(IF((CkDJ[Date]=A15)*(CkDJ[Account Code]=TRIM($B$2))*(CkDJ[Sort Code]=C15)*(CkDJ[Ofc Code]=D15),CkDJ[Debit])))+(SUM(IF((CsDJ[Date]=A15)*(CsDJ[Account Code]=TRIM($B$2))*(CsDJ[Sort Code]=C15)*(CsDJ[Ofc Code]=D15),CsDJ[Debit])))+(SUM(IF((CRDJ[Date]=A15)*(CRDJ[Account Code]=TRIM($B$2))*(CRDJ[Sort Code]=C15)*(CRDJ[Ofc Code]=D15),CRDJ[Debit])))+(SUM(IF((GJ[Date]=A15)*(GJ[Account Code]=TRIM($B$2))*(GJ[Sort Code]=C15)*(GJ[Ofc Code]=D15),GJ[Debit])))</f>
        <v>0</v>
      </c>
      <c r="G15" s="269">
        <f t="array" ref="G15">(SUM(IF((CkDJ[Date]=A15)*(CkDJ[Account Code]=TRIM($B$2))*(CkDJ[Sort Code]=C15)*(CkDJ[Ofc Code]=D15),CkDJ[Credit])))+(SUM(IF((CsDJ[Date]=A15)*(CsDJ[Account Code]=TRIM($B$2))*(CsDJ[Sort Code]=C15)*(CsDJ[Ofc Code]=D15),CsDJ[Credit])))+(SUM(IF((CRDJ[Date]=A15)*(CRDJ[Account Code]=TRIM($B$2))*(CRDJ[Sort Code]=C15)*(CRDJ[Ofc Code]=D15),CRDJ[Credit])))+(SUM(IF((GJ[Date]=A15)*(GJ[Account Code]=TRIM($B$2))*(GJ[Sort Code]=C15)*(GJ[Ofc Code]=D15),GJ[Credit])))</f>
        <v>0</v>
      </c>
      <c r="H15" s="293">
        <f t="shared" si="2"/>
        <v>0</v>
      </c>
    </row>
    <row r="16" spans="1:8">
      <c r="A16" s="11">
        <f>Account!$G$21</f>
        <v>45230</v>
      </c>
      <c r="B16" s="189" t="str">
        <f>IF(C16=0,0,VLOOKUP(C16,Account!$F$26:$G$51,2))</f>
        <v>Regional Office</v>
      </c>
      <c r="C16" s="268" t="str">
        <f t="shared" si="0"/>
        <v>1</v>
      </c>
      <c r="D16" s="268" t="str">
        <f t="shared" si="1"/>
        <v>1</v>
      </c>
      <c r="E16" s="14"/>
      <c r="F16" s="269">
        <f t="array" ref="F16">(SUM(IF((CkDJ[Date]=A16)*(CkDJ[Account Code]=TRIM($B$2))*(CkDJ[Sort Code]=C16)*(CkDJ[Ofc Code]=D16),CkDJ[Debit])))+(SUM(IF((CsDJ[Date]=A16)*(CsDJ[Account Code]=TRIM($B$2))*(CsDJ[Sort Code]=C16)*(CsDJ[Ofc Code]=D16),CsDJ[Debit])))+(SUM(IF((CRDJ[Date]=A16)*(CRDJ[Account Code]=TRIM($B$2))*(CRDJ[Sort Code]=C16)*(CRDJ[Ofc Code]=D16),CRDJ[Debit])))+(SUM(IF((GJ[Date]=A16)*(GJ[Account Code]=TRIM($B$2))*(GJ[Sort Code]=C16)*(GJ[Ofc Code]=D16),GJ[Debit])))</f>
        <v>0</v>
      </c>
      <c r="G16" s="269">
        <f t="array" ref="G16">(SUM(IF((CkDJ[Date]=A16)*(CkDJ[Account Code]=TRIM($B$2))*(CkDJ[Sort Code]=C16)*(CkDJ[Ofc Code]=D16),CkDJ[Credit])))+(SUM(IF((CsDJ[Date]=A16)*(CsDJ[Account Code]=TRIM($B$2))*(CsDJ[Sort Code]=C16)*(CsDJ[Ofc Code]=D16),CsDJ[Credit])))+(SUM(IF((CRDJ[Date]=A16)*(CRDJ[Account Code]=TRIM($B$2))*(CRDJ[Sort Code]=C16)*(CRDJ[Ofc Code]=D16),CRDJ[Credit])))+(SUM(IF((GJ[Date]=A16)*(GJ[Account Code]=TRIM($B$2))*(GJ[Sort Code]=C16)*(GJ[Ofc Code]=D16),GJ[Credit])))</f>
        <v>0</v>
      </c>
      <c r="H16" s="293">
        <f t="shared" si="2"/>
        <v>0</v>
      </c>
    </row>
    <row r="17" spans="1:8">
      <c r="A17" s="11">
        <f>Account!$G$22</f>
        <v>45260</v>
      </c>
      <c r="B17" s="189" t="str">
        <f>IF(C17=0,0,VLOOKUP(C17,Account!$F$26:$G$51,2))</f>
        <v>Regional Office</v>
      </c>
      <c r="C17" s="268" t="str">
        <f t="shared" si="0"/>
        <v>1</v>
      </c>
      <c r="D17" s="268" t="str">
        <f t="shared" si="1"/>
        <v>1</v>
      </c>
      <c r="E17" s="14"/>
      <c r="F17" s="269">
        <f t="array" ref="F17">(SUM(IF((CkDJ[Date]=A17)*(CkDJ[Account Code]=TRIM($B$2))*(CkDJ[Sort Code]=C17)*(CkDJ[Ofc Code]=D17),CkDJ[Debit])))+(SUM(IF((CsDJ[Date]=A17)*(CsDJ[Account Code]=TRIM($B$2))*(CsDJ[Sort Code]=C17)*(CsDJ[Ofc Code]=D17),CsDJ[Debit])))+(SUM(IF((CRDJ[Date]=A17)*(CRDJ[Account Code]=TRIM($B$2))*(CRDJ[Sort Code]=C17)*(CRDJ[Ofc Code]=D17),CRDJ[Debit])))+(SUM(IF((GJ[Date]=A17)*(GJ[Account Code]=TRIM($B$2))*(GJ[Sort Code]=C17)*(GJ[Ofc Code]=D17),GJ[Debit])))</f>
        <v>0</v>
      </c>
      <c r="G17" s="269">
        <f t="array" ref="G17">(SUM(IF((CkDJ[Date]=A17)*(CkDJ[Account Code]=TRIM($B$2))*(CkDJ[Sort Code]=C17)*(CkDJ[Ofc Code]=D17),CkDJ[Credit])))+(SUM(IF((CsDJ[Date]=A17)*(CsDJ[Account Code]=TRIM($B$2))*(CsDJ[Sort Code]=C17)*(CsDJ[Ofc Code]=D17),CsDJ[Credit])))+(SUM(IF((CRDJ[Date]=A17)*(CRDJ[Account Code]=TRIM($B$2))*(CRDJ[Sort Code]=C17)*(CRDJ[Ofc Code]=D17),CRDJ[Credit])))+(SUM(IF((GJ[Date]=A17)*(GJ[Account Code]=TRIM($B$2))*(GJ[Sort Code]=C17)*(GJ[Ofc Code]=D17),GJ[Credit])))</f>
        <v>0</v>
      </c>
      <c r="H17" s="293">
        <f t="shared" si="2"/>
        <v>0</v>
      </c>
    </row>
    <row r="18" spans="1:8">
      <c r="A18" s="11">
        <f>Account!$G$23</f>
        <v>45291</v>
      </c>
      <c r="B18" s="189" t="str">
        <f>IF(C18=0,0,VLOOKUP(C18,Account!$F$26:$G$51,2))</f>
        <v>Regional Office</v>
      </c>
      <c r="C18" s="268" t="str">
        <f t="shared" si="0"/>
        <v>1</v>
      </c>
      <c r="D18" s="268" t="str">
        <f t="shared" si="1"/>
        <v>1</v>
      </c>
      <c r="E18" s="14"/>
      <c r="F18" s="269">
        <f t="array" ref="F18">(SUM(IF((CkDJ[Date]=A18)*(CkDJ[Account Code]=TRIM($B$2))*(CkDJ[Sort Code]=C18)*(CkDJ[Ofc Code]=D18),CkDJ[Debit])))+(SUM(IF((CsDJ[Date]=A18)*(CsDJ[Account Code]=TRIM($B$2))*(CsDJ[Sort Code]=C18)*(CsDJ[Ofc Code]=D18),CsDJ[Debit])))+(SUM(IF((CRDJ[Date]=A18)*(CRDJ[Account Code]=TRIM($B$2))*(CRDJ[Sort Code]=C18)*(CRDJ[Ofc Code]=D18),CRDJ[Debit])))+(SUM(IF((GJ[Date]=A18)*(GJ[Account Code]=TRIM($B$2))*(GJ[Sort Code]=C18)*(GJ[Ofc Code]=D18),GJ[Debit])))</f>
        <v>0</v>
      </c>
      <c r="G18" s="269">
        <f t="array" ref="G18">(SUM(IF((CkDJ[Date]=A18)*(CkDJ[Account Code]=TRIM($B$2))*(CkDJ[Sort Code]=C18)*(CkDJ[Ofc Code]=D18),CkDJ[Credit])))+(SUM(IF((CsDJ[Date]=A18)*(CsDJ[Account Code]=TRIM($B$2))*(CsDJ[Sort Code]=C18)*(CsDJ[Ofc Code]=D18),CsDJ[Credit])))+(SUM(IF((CRDJ[Date]=A18)*(CRDJ[Account Code]=TRIM($B$2))*(CRDJ[Sort Code]=C18)*(CRDJ[Ofc Code]=D18),CRDJ[Credit])))+(SUM(IF((GJ[Date]=A18)*(GJ[Account Code]=TRIM($B$2))*(GJ[Sort Code]=C18)*(GJ[Ofc Code]=D18),GJ[Credit])))</f>
        <v>0</v>
      </c>
      <c r="H18" s="293">
        <f t="shared" si="2"/>
        <v>0</v>
      </c>
    </row>
    <row r="19" spans="1:8">
      <c r="A19" s="1319">
        <v>42735</v>
      </c>
      <c r="B19" s="1319"/>
      <c r="C19" s="1319"/>
      <c r="D19" s="1319"/>
      <c r="E19" s="1319"/>
      <c r="F19" s="191">
        <f>SUM(F7:F18)</f>
        <v>0</v>
      </c>
      <c r="G19" s="191">
        <f>SUM(G7:G18)</f>
        <v>0</v>
      </c>
      <c r="H19" s="179">
        <f>IF($H$4=$F$4,F19-G19,G19-F19)</f>
        <v>0</v>
      </c>
    </row>
    <row r="20" spans="1:8">
      <c r="A20" s="1318">
        <f>A19</f>
        <v>42735</v>
      </c>
      <c r="B20" s="1318"/>
      <c r="C20" s="1318"/>
      <c r="D20" s="1318"/>
      <c r="E20" s="1318"/>
      <c r="F20" s="176">
        <f>F6+F19</f>
        <v>0</v>
      </c>
      <c r="G20" s="176">
        <f>G6+G19</f>
        <v>0</v>
      </c>
      <c r="H20" s="176">
        <f>IF($H$4=$F$4,F20-G20,G20-F20)</f>
        <v>0</v>
      </c>
    </row>
  </sheetData>
  <mergeCells count="10">
    <mergeCell ref="A20:E20"/>
    <mergeCell ref="A19:E19"/>
    <mergeCell ref="A4:A5"/>
    <mergeCell ref="E4:E5"/>
    <mergeCell ref="F4:F5"/>
    <mergeCell ref="C2:F2"/>
    <mergeCell ref="G4:G5"/>
    <mergeCell ref="C4:C5"/>
    <mergeCell ref="B4:B5"/>
    <mergeCell ref="D4:D5"/>
  </mergeCells>
  <printOptions horizontalCentered="1"/>
  <pageMargins left="0.25" right="0.25" top="0.75" bottom="1.75" header="0.3" footer="1.5"/>
  <pageSetup paperSize="5" scale="95" orientation="portrait" r:id="rId1"/>
  <headerFooter>
    <oddFoote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FF"/>
  </sheetPr>
  <dimension ref="A1:E134"/>
  <sheetViews>
    <sheetView workbookViewId="0"/>
  </sheetViews>
  <sheetFormatPr defaultColWidth="9" defaultRowHeight="15.75"/>
  <cols>
    <col min="1" max="1" width="49.5" style="126" customWidth="1"/>
    <col min="2" max="2" width="7" style="436" customWidth="1"/>
    <col min="3" max="5" width="17.125" style="126" customWidth="1"/>
    <col min="6" max="16384" width="9" style="126"/>
  </cols>
  <sheetData>
    <row r="1" spans="1:5">
      <c r="A1" s="430" t="s">
        <v>1063</v>
      </c>
      <c r="B1" s="431"/>
      <c r="C1" s="430"/>
      <c r="D1" s="430"/>
      <c r="E1" s="430"/>
    </row>
    <row r="2" spans="1:5" ht="22.5">
      <c r="A2" s="432" t="s">
        <v>355</v>
      </c>
      <c r="B2" s="433"/>
      <c r="C2" s="432"/>
      <c r="D2" s="432"/>
      <c r="E2" s="432"/>
    </row>
    <row r="3" spans="1:5">
      <c r="A3" s="430" t="s">
        <v>1064</v>
      </c>
      <c r="B3" s="431"/>
      <c r="C3" s="430"/>
      <c r="D3" s="430"/>
      <c r="E3" s="430"/>
    </row>
    <row r="4" spans="1:5">
      <c r="A4" s="430" t="s">
        <v>1065</v>
      </c>
      <c r="B4" s="431"/>
      <c r="C4" s="430"/>
      <c r="D4" s="430"/>
      <c r="E4" s="430"/>
    </row>
    <row r="5" spans="1:5">
      <c r="A5" s="430"/>
      <c r="B5" s="431"/>
      <c r="C5" s="430"/>
      <c r="D5" s="430"/>
      <c r="E5" s="430"/>
    </row>
    <row r="6" spans="1:5">
      <c r="A6" s="430" t="s">
        <v>1158</v>
      </c>
      <c r="B6" s="431"/>
      <c r="C6" s="430"/>
      <c r="D6" s="430"/>
      <c r="E6" s="430"/>
    </row>
    <row r="7" spans="1:5">
      <c r="A7" s="434">
        <v>43100</v>
      </c>
      <c r="B7" s="435"/>
      <c r="C7" s="430"/>
      <c r="D7" s="430"/>
      <c r="E7" s="430"/>
    </row>
    <row r="8" spans="1:5">
      <c r="A8" s="430"/>
      <c r="B8" s="431"/>
      <c r="C8" s="430"/>
      <c r="D8" s="430"/>
      <c r="E8" s="430"/>
    </row>
    <row r="9" spans="1:5">
      <c r="A9" s="430"/>
      <c r="B9" s="431"/>
      <c r="C9" s="430"/>
      <c r="D9" s="430"/>
      <c r="E9" s="430"/>
    </row>
    <row r="11" spans="1:5" ht="15" customHeight="1">
      <c r="A11" s="1237" t="s">
        <v>1066</v>
      </c>
      <c r="B11" s="1323" t="s">
        <v>403</v>
      </c>
      <c r="C11" s="1239" t="s">
        <v>1067</v>
      </c>
      <c r="D11" s="1239" t="s">
        <v>1037</v>
      </c>
      <c r="E11" s="1239" t="s">
        <v>1068</v>
      </c>
    </row>
    <row r="12" spans="1:5">
      <c r="A12" s="1237"/>
      <c r="B12" s="1323"/>
      <c r="C12" s="1239"/>
      <c r="D12" s="1239"/>
      <c r="E12" s="1239"/>
    </row>
    <row r="13" spans="1:5">
      <c r="A13" s="320" t="s">
        <v>1069</v>
      </c>
      <c r="B13" s="437"/>
      <c r="C13" s="89"/>
      <c r="D13" s="438"/>
      <c r="E13" s="89"/>
    </row>
    <row r="14" spans="1:5">
      <c r="A14" s="320" t="s">
        <v>1070</v>
      </c>
      <c r="B14" s="437"/>
      <c r="C14" s="89"/>
      <c r="D14" s="439">
        <f>SUM(D15+D16+D17)</f>
        <v>0</v>
      </c>
      <c r="E14" s="89"/>
    </row>
    <row r="15" spans="1:5">
      <c r="A15" s="440" t="s">
        <v>1071</v>
      </c>
      <c r="B15" s="441" t="s">
        <v>162</v>
      </c>
      <c r="C15" s="89"/>
      <c r="D15" s="442">
        <f t="array" ref="D15">((SUM(IF((CkDJ[Date]&lt;=$A$7)*(CkDJ[Account Code]=(TRIM($B15))),CkDJ[Debit])))+(SUM(IF((CsDJ[Date]&lt;=$A$7)*(CsDJ[Account Code]=(TRIM($B15))),CsDJ[Debit])))+(SUM(IF((CRDJ[Date]&lt;=$A$7)*(CRDJ[Account Code]=(TRIM($B15))),CRDJ[Debit])))+(SUM(IF((GJ[Date]&lt;=$A$7)*(GJ[Account Code]=(TRIM($B15))),GJ[Debit]))))-((SUM(IF((CkDJ[Date]&lt;=$A$7)*(CkDJ[Account Code]=(TRIM($B15))),CkDJ[Credit])))+(SUM(IF((CsDJ[Date]&lt;=$A$7)*(CsDJ[Account Code]=(TRIM($B15))),CsDJ[Credit])))+(SUM(IF((CRDJ[Date]&lt;=$A$7)*(CRDJ[Account Code]=(TRIM($B15))),CRDJ[Credit])))+(SUM(IF((GJ[Date]&lt;=$A$7)*(GJ[Account Code]=(TRIM($B15))),GJ[Credit]))))</f>
        <v>0</v>
      </c>
      <c r="E15" s="89"/>
    </row>
    <row r="16" spans="1:5">
      <c r="A16" s="440" t="s">
        <v>1072</v>
      </c>
      <c r="B16" s="441" t="s">
        <v>163</v>
      </c>
      <c r="C16" s="89"/>
      <c r="D16" s="442">
        <f t="array" ref="D16">((SUM(IF((CkDJ[Date]&lt;=$A$7)*(CkDJ[Account Code]=(TRIM($B16))),CkDJ[Debit])))+(SUM(IF((CsDJ[Date]&lt;=$A$7)*(CsDJ[Account Code]=(TRIM($B16))),CsDJ[Debit])))+(SUM(IF((CRDJ[Date]&lt;=$A$7)*(CRDJ[Account Code]=(TRIM($B16))),CRDJ[Debit])))+(SUM(IF((GJ[Date]&lt;=$A$7)*(GJ[Account Code]=(TRIM($B16))),GJ[Debit]))))-((SUM(IF((CkDJ[Date]&lt;=$A$7)*(CkDJ[Account Code]=(TRIM($B16))),CkDJ[Credit])))+(SUM(IF((CsDJ[Date]&lt;=$A$7)*(CsDJ[Account Code]=(TRIM($B16))),CsDJ[Credit])))+(SUM(IF((CRDJ[Date]&lt;=$A$7)*(CRDJ[Account Code]=(TRIM($B16))),CRDJ[Credit])))+(SUM(IF((GJ[Date]&lt;=$A$7)*(GJ[Account Code]=(TRIM($B16))),GJ[Credit]))))</f>
        <v>0</v>
      </c>
      <c r="E16" s="89"/>
    </row>
    <row r="17" spans="1:5">
      <c r="A17" s="440" t="s">
        <v>1073</v>
      </c>
      <c r="B17" s="441" t="s">
        <v>799</v>
      </c>
      <c r="C17" s="89"/>
      <c r="D17" s="438">
        <v>0</v>
      </c>
      <c r="E17" s="89"/>
    </row>
    <row r="18" spans="1:5">
      <c r="A18" s="320" t="s">
        <v>1074</v>
      </c>
      <c r="B18" s="437"/>
      <c r="C18" s="89"/>
      <c r="D18" s="439">
        <f>SUM(D19:D32)</f>
        <v>0</v>
      </c>
      <c r="E18" s="89"/>
    </row>
    <row r="19" spans="1:5">
      <c r="A19" s="440" t="s">
        <v>1075</v>
      </c>
      <c r="B19" s="441" t="s">
        <v>164</v>
      </c>
      <c r="C19" s="89"/>
      <c r="D19" s="442">
        <f t="array" ref="D19">((SUM(IF((CkDJ[Date]&lt;=$A$7)*(CkDJ[Account Code]=(TRIM($B19))),CkDJ[Debit])))+(SUM(IF((CsDJ[Date]&lt;=$A$7)*(CsDJ[Account Code]=(TRIM($B19))),CsDJ[Debit])))+(SUM(IF((CRDJ[Date]&lt;=$A$7)*(CRDJ[Account Code]=(TRIM($B19))),CRDJ[Debit])))+(SUM(IF((GJ[Date]&lt;=$A$7)*(GJ[Account Code]=(TRIM($B19))),GJ[Debit]))))-((SUM(IF((CkDJ[Date]&lt;=$A$7)*(CkDJ[Account Code]=(TRIM($B19))),CkDJ[Credit])))+(SUM(IF((CsDJ[Date]&lt;=$A$7)*(CsDJ[Account Code]=(TRIM($B19))),CsDJ[Credit])))+(SUM(IF((CRDJ[Date]&lt;=$A$7)*(CRDJ[Account Code]=(TRIM($B19))),CRDJ[Credit])))+(SUM(IF((GJ[Date]&lt;=$A$7)*(GJ[Account Code]=(TRIM($B19))),GJ[Credit]))))</f>
        <v>0</v>
      </c>
      <c r="E19" s="89"/>
    </row>
    <row r="20" spans="1:5">
      <c r="A20" s="440" t="s">
        <v>1076</v>
      </c>
      <c r="B20" s="441" t="s">
        <v>168</v>
      </c>
      <c r="C20" s="89"/>
      <c r="D20" s="442">
        <f t="array" ref="D20">((SUM(IF((CkDJ[Date]&lt;=$A$7)*(CkDJ[Account Code]=(TRIM($B20))),CkDJ[Debit])))+(SUM(IF((CsDJ[Date]&lt;=$A$7)*(CsDJ[Account Code]=(TRIM($B20))),CsDJ[Debit])))+(SUM(IF((CRDJ[Date]&lt;=$A$7)*(CRDJ[Account Code]=(TRIM($B20))),CRDJ[Debit])))+(SUM(IF((GJ[Date]&lt;=$A$7)*(GJ[Account Code]=(TRIM($B20))),GJ[Debit]))))-((SUM(IF((CkDJ[Date]&lt;=$A$7)*(CkDJ[Account Code]=(TRIM($B20))),CkDJ[Credit])))+(SUM(IF((CsDJ[Date]&lt;=$A$7)*(CsDJ[Account Code]=(TRIM($B20))),CsDJ[Credit])))+(SUM(IF((CRDJ[Date]&lt;=$A$7)*(CRDJ[Account Code]=(TRIM($B20))),CRDJ[Credit])))+(SUM(IF((GJ[Date]&lt;=$A$7)*(GJ[Account Code]=(TRIM($B20))),GJ[Credit]))))</f>
        <v>0</v>
      </c>
      <c r="E20" s="89"/>
    </row>
    <row r="21" spans="1:5">
      <c r="A21" s="440" t="s">
        <v>1077</v>
      </c>
      <c r="B21" s="441" t="s">
        <v>165</v>
      </c>
      <c r="C21" s="89"/>
      <c r="D21" s="442">
        <f t="array" ref="D21">((SUM(IF((CkDJ[Date]&lt;=$A$7)*(CkDJ[Account Code]=(TRIM($B21))),CkDJ[Debit])))+(SUM(IF((CsDJ[Date]&lt;=$A$7)*(CsDJ[Account Code]=(TRIM($B21))),CsDJ[Debit])))+(SUM(IF((CRDJ[Date]&lt;=$A$7)*(CRDJ[Account Code]=(TRIM($B21))),CRDJ[Debit])))+(SUM(IF((GJ[Date]&lt;=$A$7)*(GJ[Account Code]=(TRIM($B21))),GJ[Debit]))))-((SUM(IF((CkDJ[Date]&lt;=$A$7)*(CkDJ[Account Code]=(TRIM($B21))),CkDJ[Credit])))+(SUM(IF((CsDJ[Date]&lt;=$A$7)*(CsDJ[Account Code]=(TRIM($B21))),CsDJ[Credit])))+(SUM(IF((CRDJ[Date]&lt;=$A$7)*(CRDJ[Account Code]=(TRIM($B21))),CRDJ[Credit])))+(SUM(IF((GJ[Date]&lt;=$A$7)*(GJ[Account Code]=(TRIM($B21))),GJ[Credit]))))</f>
        <v>0</v>
      </c>
      <c r="E21" s="89"/>
    </row>
    <row r="22" spans="1:5">
      <c r="A22" s="440" t="s">
        <v>1078</v>
      </c>
      <c r="B22" s="441" t="s">
        <v>166</v>
      </c>
      <c r="C22" s="89"/>
      <c r="D22" s="442">
        <f t="array" ref="D22">((SUM(IF((CkDJ[Date]&lt;=$A$7)*(CkDJ[Account Code]=(TRIM($B22))),CkDJ[Debit])))+(SUM(IF((CsDJ[Date]&lt;=$A$7)*(CsDJ[Account Code]=(TRIM($B22))),CsDJ[Debit])))+(SUM(IF((CRDJ[Date]&lt;=$A$7)*(CRDJ[Account Code]=(TRIM($B22))),CRDJ[Debit])))+(SUM(IF((GJ[Date]&lt;=$A$7)*(GJ[Account Code]=(TRIM($B22))),GJ[Debit]))))-((SUM(IF((CkDJ[Date]&lt;=$A$7)*(CkDJ[Account Code]=(TRIM($B22))),CkDJ[Credit])))+(SUM(IF((CsDJ[Date]&lt;=$A$7)*(CsDJ[Account Code]=(TRIM($B22))),CsDJ[Credit])))+(SUM(IF((CRDJ[Date]&lt;=$A$7)*(CRDJ[Account Code]=(TRIM($B22))),CRDJ[Credit])))+(SUM(IF((GJ[Date]&lt;=$A$7)*(GJ[Account Code]=(TRIM($B22))),GJ[Credit]))))</f>
        <v>0</v>
      </c>
      <c r="E22" s="89"/>
    </row>
    <row r="23" spans="1:5">
      <c r="A23" s="440" t="s">
        <v>1079</v>
      </c>
      <c r="B23" s="441" t="s">
        <v>167</v>
      </c>
      <c r="C23" s="89"/>
      <c r="D23" s="442">
        <f t="array" ref="D23">((SUM(IF((CkDJ[Date]&lt;=$A$7)*(CkDJ[Account Code]=(TRIM($B23))),CkDJ[Debit])))+(SUM(IF((CsDJ[Date]&lt;=$A$7)*(CsDJ[Account Code]=(TRIM($B23))),CsDJ[Debit])))+(SUM(IF((CRDJ[Date]&lt;=$A$7)*(CRDJ[Account Code]=(TRIM($B23))),CRDJ[Debit])))+(SUM(IF((GJ[Date]&lt;=$A$7)*(GJ[Account Code]=(TRIM($B23))),GJ[Debit]))))-((SUM(IF((CkDJ[Date]&lt;=$A$7)*(CkDJ[Account Code]=(TRIM($B23))),CkDJ[Credit])))+(SUM(IF((CsDJ[Date]&lt;=$A$7)*(CsDJ[Account Code]=(TRIM($B23))),CsDJ[Credit])))+(SUM(IF((CRDJ[Date]&lt;=$A$7)*(CRDJ[Account Code]=(TRIM($B23))),CRDJ[Credit])))+(SUM(IF((GJ[Date]&lt;=$A$7)*(GJ[Account Code]=(TRIM($B23))),GJ[Credit]))))</f>
        <v>0</v>
      </c>
      <c r="E23" s="89"/>
    </row>
    <row r="24" spans="1:5">
      <c r="A24" s="440" t="s">
        <v>1080</v>
      </c>
      <c r="B24" s="441" t="s">
        <v>171</v>
      </c>
      <c r="C24" s="89"/>
      <c r="D24" s="442">
        <f t="array" ref="D24">((SUM(IF((CkDJ[Date]&lt;=$A$7)*(CkDJ[Account Code]=(TRIM($B24))),CkDJ[Debit])))+(SUM(IF((CsDJ[Date]&lt;=$A$7)*(CsDJ[Account Code]=(TRIM($B24))),CsDJ[Debit])))+(SUM(IF((CRDJ[Date]&lt;=$A$7)*(CRDJ[Account Code]=(TRIM($B24))),CRDJ[Debit])))+(SUM(IF((GJ[Date]&lt;=$A$7)*(GJ[Account Code]=(TRIM($B24))),GJ[Debit]))))-((SUM(IF((CkDJ[Date]&lt;=$A$7)*(CkDJ[Account Code]=(TRIM($B24))),CkDJ[Credit])))+(SUM(IF((CsDJ[Date]&lt;=$A$7)*(CsDJ[Account Code]=(TRIM($B24))),CsDJ[Credit])))+(SUM(IF((CRDJ[Date]&lt;=$A$7)*(CRDJ[Account Code]=(TRIM($B24))),CRDJ[Credit])))+(SUM(IF((GJ[Date]&lt;=$A$7)*(GJ[Account Code]=(TRIM($B24))),GJ[Credit]))))</f>
        <v>0</v>
      </c>
      <c r="E24" s="89"/>
    </row>
    <row r="25" spans="1:5">
      <c r="A25" s="440" t="s">
        <v>1081</v>
      </c>
      <c r="B25" s="441" t="s">
        <v>173</v>
      </c>
      <c r="C25" s="89"/>
      <c r="D25" s="442">
        <f t="array" ref="D25">((SUM(IF((CkDJ[Date]&lt;=$A$7)*(CkDJ[Account Code]=(TRIM($B25))),CkDJ[Debit])))+(SUM(IF((CsDJ[Date]&lt;=$A$7)*(CsDJ[Account Code]=(TRIM($B25))),CsDJ[Debit])))+(SUM(IF((CRDJ[Date]&lt;=$A$7)*(CRDJ[Account Code]=(TRIM($B25))),CRDJ[Debit])))+(SUM(IF((GJ[Date]&lt;=$A$7)*(GJ[Account Code]=(TRIM($B25))),GJ[Debit]))))-((SUM(IF((CkDJ[Date]&lt;=$A$7)*(CkDJ[Account Code]=(TRIM($B25))),CkDJ[Credit])))+(SUM(IF((CsDJ[Date]&lt;=$A$7)*(CsDJ[Account Code]=(TRIM($B25))),CsDJ[Credit])))+(SUM(IF((CRDJ[Date]&lt;=$A$7)*(CRDJ[Account Code]=(TRIM($B25))),CRDJ[Credit])))+(SUM(IF((GJ[Date]&lt;=$A$7)*(GJ[Account Code]=(TRIM($B25))),GJ[Credit]))))</f>
        <v>0</v>
      </c>
      <c r="E25" s="89"/>
    </row>
    <row r="26" spans="1:5">
      <c r="A26" s="440" t="s">
        <v>1082</v>
      </c>
      <c r="B26" s="441" t="s">
        <v>7</v>
      </c>
      <c r="C26" s="89"/>
      <c r="D26" s="442">
        <f t="array" ref="D26">((SUM(IF((CkDJ[Date]&lt;=$A$7)*(CkDJ[Account Code]=(TRIM($B26))),CkDJ[Debit])))+(SUM(IF((CsDJ[Date]&lt;=$A$7)*(CsDJ[Account Code]=(TRIM($B26))),CsDJ[Debit])))+(SUM(IF((CRDJ[Date]&lt;=$A$7)*(CRDJ[Account Code]=(TRIM($B26))),CRDJ[Debit])))+(SUM(IF((GJ[Date]&lt;=$A$7)*(GJ[Account Code]=(TRIM($B26))),GJ[Debit]))))-((SUM(IF((CkDJ[Date]&lt;=$A$7)*(CkDJ[Account Code]=(TRIM($B26))),CkDJ[Credit])))+(SUM(IF((CsDJ[Date]&lt;=$A$7)*(CsDJ[Account Code]=(TRIM($B26))),CsDJ[Credit])))+(SUM(IF((CRDJ[Date]&lt;=$A$7)*(CRDJ[Account Code]=(TRIM($B26))),CRDJ[Credit])))+(SUM(IF((GJ[Date]&lt;=$A$7)*(GJ[Account Code]=(TRIM($B26))),GJ[Credit]))))</f>
        <v>0</v>
      </c>
      <c r="E26" s="89"/>
    </row>
    <row r="27" spans="1:5">
      <c r="A27" s="440" t="s">
        <v>1083</v>
      </c>
      <c r="B27" s="441" t="s">
        <v>5</v>
      </c>
      <c r="C27" s="89"/>
      <c r="D27" s="442">
        <f t="array" ref="D27">((SUM(IF((CkDJ[Date]&lt;=$A$7)*(CkDJ[Account Code]=(TRIM($B27))),CkDJ[Debit])))+(SUM(IF((CsDJ[Date]&lt;=$A$7)*(CsDJ[Account Code]=(TRIM($B27))),CsDJ[Debit])))+(SUM(IF((CRDJ[Date]&lt;=$A$7)*(CRDJ[Account Code]=(TRIM($B27))),CRDJ[Debit])))+(SUM(IF((GJ[Date]&lt;=$A$7)*(GJ[Account Code]=(TRIM($B27))),GJ[Debit]))))-((SUM(IF((CkDJ[Date]&lt;=$A$7)*(CkDJ[Account Code]=(TRIM($B27))),CkDJ[Credit])))+(SUM(IF((CsDJ[Date]&lt;=$A$7)*(CsDJ[Account Code]=(TRIM($B27))),CsDJ[Credit])))+(SUM(IF((CRDJ[Date]&lt;=$A$7)*(CRDJ[Account Code]=(TRIM($B27))),CRDJ[Credit])))+(SUM(IF((GJ[Date]&lt;=$A$7)*(GJ[Account Code]=(TRIM($B27))),GJ[Credit]))))</f>
        <v>0</v>
      </c>
      <c r="E27" s="89"/>
    </row>
    <row r="28" spans="1:5">
      <c r="A28" s="440" t="s">
        <v>1084</v>
      </c>
      <c r="B28" s="441" t="s">
        <v>6</v>
      </c>
      <c r="C28" s="89"/>
      <c r="D28" s="442">
        <f t="array" ref="D28">((SUM(IF((CkDJ[Date]&lt;=$A$7)*(CkDJ[Account Code]=(TRIM($B28))),CkDJ[Debit])))+(SUM(IF((CsDJ[Date]&lt;=$A$7)*(CsDJ[Account Code]=(TRIM($B28))),CsDJ[Debit])))+(SUM(IF((CRDJ[Date]&lt;=$A$7)*(CRDJ[Account Code]=(TRIM($B28))),CRDJ[Debit])))+(SUM(IF((GJ[Date]&lt;=$A$7)*(GJ[Account Code]=(TRIM($B28))),GJ[Debit]))))-((SUM(IF((CkDJ[Date]&lt;=$A$7)*(CkDJ[Account Code]=(TRIM($B28))),CkDJ[Credit])))+(SUM(IF((CsDJ[Date]&lt;=$A$7)*(CsDJ[Account Code]=(TRIM($B28))),CsDJ[Credit])))+(SUM(IF((CRDJ[Date]&lt;=$A$7)*(CRDJ[Account Code]=(TRIM($B28))),CRDJ[Credit])))+(SUM(IF((GJ[Date]&lt;=$A$7)*(GJ[Account Code]=(TRIM($B28))),GJ[Credit]))))</f>
        <v>0</v>
      </c>
      <c r="E28" s="89"/>
    </row>
    <row r="29" spans="1:5">
      <c r="A29" s="440" t="s">
        <v>887</v>
      </c>
      <c r="B29" s="441" t="s">
        <v>170</v>
      </c>
      <c r="C29" s="89"/>
      <c r="D29" s="442">
        <f t="array" ref="D29">((SUM(IF((CkDJ[Date]&lt;=$A$7)*(CkDJ[Account Code]=(TRIM($B29))),CkDJ[Debit])))+(SUM(IF((CsDJ[Date]&lt;=$A$7)*(CsDJ[Account Code]=(TRIM($B29))),CsDJ[Debit])))+(SUM(IF((CRDJ[Date]&lt;=$A$7)*(CRDJ[Account Code]=(TRIM($B29))),CRDJ[Debit])))+(SUM(IF((GJ[Date]&lt;=$A$7)*(GJ[Account Code]=(TRIM($B29))),GJ[Debit]))))-((SUM(IF((CkDJ[Date]&lt;=$A$7)*(CkDJ[Account Code]=(TRIM($B29))),CkDJ[Credit])))+(SUM(IF((CsDJ[Date]&lt;=$A$7)*(CsDJ[Account Code]=(TRIM($B29))),CsDJ[Credit])))+(SUM(IF((CRDJ[Date]&lt;=$A$7)*(CRDJ[Account Code]=(TRIM($B29))),CRDJ[Credit])))+(SUM(IF((GJ[Date]&lt;=$A$7)*(GJ[Account Code]=(TRIM($B29))),GJ[Credit]))))</f>
        <v>0</v>
      </c>
      <c r="E29" s="89"/>
    </row>
    <row r="30" spans="1:5">
      <c r="A30" s="440" t="s">
        <v>1085</v>
      </c>
      <c r="B30" s="441" t="s">
        <v>172</v>
      </c>
      <c r="C30" s="89"/>
      <c r="D30" s="442">
        <f t="array" ref="D30">((SUM(IF((CkDJ[Date]&lt;=$A$7)*(CkDJ[Account Code]=(TRIM($B30))),CkDJ[Debit])))+(SUM(IF((CsDJ[Date]&lt;=$A$7)*(CsDJ[Account Code]=(TRIM($B30))),CsDJ[Debit])))+(SUM(IF((CRDJ[Date]&lt;=$A$7)*(CRDJ[Account Code]=(TRIM($B30))),CRDJ[Debit])))+(SUM(IF((GJ[Date]&lt;=$A$7)*(GJ[Account Code]=(TRIM($B30))),GJ[Debit]))))-((SUM(IF((CkDJ[Date]&lt;=$A$7)*(CkDJ[Account Code]=(TRIM($B30))),CkDJ[Credit])))+(SUM(IF((CsDJ[Date]&lt;=$A$7)*(CsDJ[Account Code]=(TRIM($B30))),CsDJ[Credit])))+(SUM(IF((CRDJ[Date]&lt;=$A$7)*(CRDJ[Account Code]=(TRIM($B30))),CRDJ[Credit])))+(SUM(IF((GJ[Date]&lt;=$A$7)*(GJ[Account Code]=(TRIM($B30))),GJ[Credit]))))</f>
        <v>0</v>
      </c>
      <c r="E30" s="89"/>
    </row>
    <row r="31" spans="1:5">
      <c r="A31" s="440" t="s">
        <v>1086</v>
      </c>
      <c r="B31" s="441" t="s">
        <v>174</v>
      </c>
      <c r="C31" s="89"/>
      <c r="D31" s="442">
        <f t="array" ref="D31">((SUM(IF((CkDJ[Date]&lt;=$A$7)*(CkDJ[Account Code]=(TRIM($B31))),CkDJ[Debit])))+(SUM(IF((CsDJ[Date]&lt;=$A$7)*(CsDJ[Account Code]=(TRIM($B31))),CsDJ[Debit])))+(SUM(IF((CRDJ[Date]&lt;=$A$7)*(CRDJ[Account Code]=(TRIM($B31))),CRDJ[Debit])))+(SUM(IF((GJ[Date]&lt;=$A$7)*(GJ[Account Code]=(TRIM($B31))),GJ[Debit]))))-((SUM(IF((CkDJ[Date]&lt;=$A$7)*(CkDJ[Account Code]=(TRIM($B31))),CkDJ[Credit])))+(SUM(IF((CsDJ[Date]&lt;=$A$7)*(CsDJ[Account Code]=(TRIM($B31))),CsDJ[Credit])))+(SUM(IF((CRDJ[Date]&lt;=$A$7)*(CRDJ[Account Code]=(TRIM($B31))),CRDJ[Credit])))+(SUM(IF((GJ[Date]&lt;=$A$7)*(GJ[Account Code]=(TRIM($B31))),GJ[Credit]))))</f>
        <v>0</v>
      </c>
      <c r="E31" s="89"/>
    </row>
    <row r="32" spans="1:5">
      <c r="A32" s="440" t="s">
        <v>1143</v>
      </c>
      <c r="B32" s="441" t="s">
        <v>214</v>
      </c>
      <c r="C32" s="89"/>
      <c r="D32" s="442">
        <f t="array" ref="D32">((SUM(IF((CkDJ[Date]&lt;=$A$7)*(CkDJ[Account Code]=(TRIM($B32))),CkDJ[Debit])))+(SUM(IF((CsDJ[Date]&lt;=$A$7)*(CsDJ[Account Code]=(TRIM($B32))),CsDJ[Debit])))+(SUM(IF((CRDJ[Date]&lt;=$A$7)*(CRDJ[Account Code]=(TRIM($B32))),CRDJ[Debit])))+(SUM(IF((GJ[Date]&lt;=$A$7)*(GJ[Account Code]=(TRIM($B32))),GJ[Debit]))))-((SUM(IF((CkDJ[Date]&lt;=$A$7)*(CkDJ[Account Code]=(TRIM($B32))),CkDJ[Credit])))+(SUM(IF((CsDJ[Date]&lt;=$A$7)*(CsDJ[Account Code]=(TRIM($B32))),CsDJ[Credit])))+(SUM(IF((CRDJ[Date]&lt;=$A$7)*(CRDJ[Account Code]=(TRIM($B32))),CRDJ[Credit])))+(SUM(IF((GJ[Date]&lt;=$A$7)*(GJ[Account Code]=(TRIM($B32))),GJ[Credit]))))</f>
        <v>0</v>
      </c>
      <c r="E32" s="89"/>
    </row>
    <row r="33" spans="1:5">
      <c r="A33" s="320" t="s">
        <v>1087</v>
      </c>
      <c r="B33" s="437"/>
      <c r="C33" s="89"/>
      <c r="D33" s="439">
        <f>D34+D35+D36</f>
        <v>0</v>
      </c>
      <c r="E33" s="89"/>
    </row>
    <row r="34" spans="1:5">
      <c r="A34" s="440" t="s">
        <v>1088</v>
      </c>
      <c r="B34" s="441" t="s">
        <v>799</v>
      </c>
      <c r="C34" s="89"/>
      <c r="D34" s="442">
        <f t="array" ref="D34">((SUM(IF((CkDJ[Date]&lt;=$A$7)*(CkDJ[Account Code]=(TRIM($B34))),CkDJ[Debit])))+(SUM(IF((CsDJ[Date]&lt;=$A$7)*(CsDJ[Account Code]=(TRIM($B34))),CsDJ[Debit])))+(SUM(IF((CRDJ[Date]&lt;=$A$7)*(CRDJ[Account Code]=(TRIM($B34))),CRDJ[Debit])))+(SUM(IF((GJ[Date]&lt;=$A$7)*(GJ[Account Code]=(TRIM($B34))),GJ[Debit]))))-((SUM(IF((CkDJ[Date]&lt;=$A$7)*(CkDJ[Account Code]=(TRIM($B34))),CkDJ[Credit])))+(SUM(IF((CsDJ[Date]&lt;=$A$7)*(CsDJ[Account Code]=(TRIM($B34))),CsDJ[Credit])))+(SUM(IF((CRDJ[Date]&lt;=$A$7)*(CRDJ[Account Code]=(TRIM($B34))),CRDJ[Credit])))+(SUM(IF((GJ[Date]&lt;=$A$7)*(GJ[Account Code]=(TRIM($B34))),GJ[Credit]))))</f>
        <v>0</v>
      </c>
      <c r="E34" s="89"/>
    </row>
    <row r="35" spans="1:5">
      <c r="A35" s="440" t="s">
        <v>1089</v>
      </c>
      <c r="B35" s="441" t="s">
        <v>212</v>
      </c>
      <c r="C35" s="89"/>
      <c r="D35" s="442">
        <f t="array" ref="D35">((SUM(IF((CkDJ[Date]&lt;=$A$7)*(CkDJ[Account Code]=(TRIM($B35))),CkDJ[Debit])))+(SUM(IF((CsDJ[Date]&lt;=$A$7)*(CsDJ[Account Code]=(TRIM($B35))),CsDJ[Debit])))+(SUM(IF((CRDJ[Date]&lt;=$A$7)*(CRDJ[Account Code]=(TRIM($B35))),CRDJ[Debit])))+(SUM(IF((GJ[Date]&lt;=$A$7)*(GJ[Account Code]=(TRIM($B35))),GJ[Debit]))))-((SUM(IF((CkDJ[Date]&lt;=$A$7)*(CkDJ[Account Code]=(TRIM($B35))),CkDJ[Credit])))+(SUM(IF((CsDJ[Date]&lt;=$A$7)*(CsDJ[Account Code]=(TRIM($B35))),CsDJ[Credit])))+(SUM(IF((CRDJ[Date]&lt;=$A$7)*(CRDJ[Account Code]=(TRIM($B35))),CRDJ[Credit])))+(SUM(IF((GJ[Date]&lt;=$A$7)*(GJ[Account Code]=(TRIM($B35))),GJ[Credit]))))</f>
        <v>0</v>
      </c>
      <c r="E35" s="89"/>
    </row>
    <row r="36" spans="1:5">
      <c r="A36" s="440" t="s">
        <v>1090</v>
      </c>
      <c r="B36" s="441" t="s">
        <v>799</v>
      </c>
      <c r="C36" s="89"/>
      <c r="D36" s="442">
        <f t="array" ref="D36">((SUM(IF((CkDJ[Date]&lt;=$A$7)*(CkDJ[Account Code]=(TRIM($B36))),CkDJ[Debit])))+(SUM(IF((CsDJ[Date]&lt;=$A$7)*(CsDJ[Account Code]=(TRIM($B36))),CsDJ[Debit])))+(SUM(IF((CRDJ[Date]&lt;=$A$7)*(CRDJ[Account Code]=(TRIM($B36))),CRDJ[Debit])))+(SUM(IF((GJ[Date]&lt;=$A$7)*(GJ[Account Code]=(TRIM($B36))),GJ[Debit]))))-((SUM(IF((CkDJ[Date]&lt;=$A$7)*(CkDJ[Account Code]=(TRIM($B36))),CkDJ[Credit])))+(SUM(IF((CsDJ[Date]&lt;=$A$7)*(CsDJ[Account Code]=(TRIM($B36))),CsDJ[Credit])))+(SUM(IF((CRDJ[Date]&lt;=$A$7)*(CRDJ[Account Code]=(TRIM($B36))),CRDJ[Credit])))+(SUM(IF((GJ[Date]&lt;=$A$7)*(GJ[Account Code]=(TRIM($B36))),GJ[Credit]))))</f>
        <v>0</v>
      </c>
      <c r="E36" s="89"/>
    </row>
    <row r="37" spans="1:5">
      <c r="A37" s="320" t="s">
        <v>1091</v>
      </c>
      <c r="B37" s="437"/>
      <c r="C37" s="89"/>
      <c r="D37" s="439">
        <f>SUM(D38:D41)</f>
        <v>0</v>
      </c>
      <c r="E37" s="89"/>
    </row>
    <row r="38" spans="1:5">
      <c r="A38" s="440" t="s">
        <v>1092</v>
      </c>
      <c r="B38" s="441" t="s">
        <v>175</v>
      </c>
      <c r="C38" s="89"/>
      <c r="D38" s="442">
        <f t="array" ref="D38">((SUM(IF((CkDJ[Date]&lt;=$A$7)*(CkDJ[Account Code]=(TRIM($B38))),CkDJ[Debit])))+(SUM(IF((CsDJ[Date]&lt;=$A$7)*(CsDJ[Account Code]=(TRIM($B38))),CsDJ[Debit])))+(SUM(IF((CRDJ[Date]&lt;=$A$7)*(CRDJ[Account Code]=(TRIM($B38))),CRDJ[Debit])))+(SUM(IF((GJ[Date]&lt;=$A$7)*(GJ[Account Code]=(TRIM($B38))),GJ[Debit]))))-((SUM(IF((CkDJ[Date]&lt;=$A$7)*(CkDJ[Account Code]=(TRIM($B38))),CkDJ[Credit])))+(SUM(IF((CsDJ[Date]&lt;=$A$7)*(CsDJ[Account Code]=(TRIM($B38))),CsDJ[Credit])))+(SUM(IF((CRDJ[Date]&lt;=$A$7)*(CRDJ[Account Code]=(TRIM($B38))),CRDJ[Credit])))+(SUM(IF((GJ[Date]&lt;=$A$7)*(GJ[Account Code]=(TRIM($B38))),GJ[Credit]))))</f>
        <v>0</v>
      </c>
      <c r="E38" s="89"/>
    </row>
    <row r="39" spans="1:5">
      <c r="A39" s="440" t="s">
        <v>1093</v>
      </c>
      <c r="B39" s="441" t="s">
        <v>176</v>
      </c>
      <c r="C39" s="89"/>
      <c r="D39" s="442">
        <f t="array" ref="D39">((SUM(IF((CkDJ[Date]&lt;=$A$7)*(CkDJ[Account Code]=(TRIM($B39))),CkDJ[Debit])))+(SUM(IF((CsDJ[Date]&lt;=$A$7)*(CsDJ[Account Code]=(TRIM($B39))),CsDJ[Debit])))+(SUM(IF((CRDJ[Date]&lt;=$A$7)*(CRDJ[Account Code]=(TRIM($B39))),CRDJ[Debit])))+(SUM(IF((GJ[Date]&lt;=$A$7)*(GJ[Account Code]=(TRIM($B39))),GJ[Debit]))))-((SUM(IF((CkDJ[Date]&lt;=$A$7)*(CkDJ[Account Code]=(TRIM($B39))),CkDJ[Credit])))+(SUM(IF((CsDJ[Date]&lt;=$A$7)*(CsDJ[Account Code]=(TRIM($B39))),CsDJ[Credit])))+(SUM(IF((CRDJ[Date]&lt;=$A$7)*(CRDJ[Account Code]=(TRIM($B39))),CRDJ[Credit])))+(SUM(IF((GJ[Date]&lt;=$A$7)*(GJ[Account Code]=(TRIM($B39))),GJ[Credit]))))</f>
        <v>0</v>
      </c>
      <c r="E39" s="89"/>
    </row>
    <row r="40" spans="1:5">
      <c r="A40" s="440" t="s">
        <v>1094</v>
      </c>
      <c r="B40" s="441" t="s">
        <v>177</v>
      </c>
      <c r="C40" s="89"/>
      <c r="D40" s="442">
        <f t="array" ref="D40">((SUM(IF((CkDJ[Date]&lt;=$A$7)*(CkDJ[Account Code]=(TRIM($B40))),CkDJ[Debit])))+(SUM(IF((CsDJ[Date]&lt;=$A$7)*(CsDJ[Account Code]=(TRIM($B40))),CsDJ[Debit])))+(SUM(IF((CRDJ[Date]&lt;=$A$7)*(CRDJ[Account Code]=(TRIM($B40))),CRDJ[Debit])))+(SUM(IF((GJ[Date]&lt;=$A$7)*(GJ[Account Code]=(TRIM($B40))),GJ[Debit]))))-((SUM(IF((CkDJ[Date]&lt;=$A$7)*(CkDJ[Account Code]=(TRIM($B40))),CkDJ[Credit])))+(SUM(IF((CsDJ[Date]&lt;=$A$7)*(CsDJ[Account Code]=(TRIM($B40))),CsDJ[Credit])))+(SUM(IF((CRDJ[Date]&lt;=$A$7)*(CRDJ[Account Code]=(TRIM($B40))),CRDJ[Credit])))+(SUM(IF((GJ[Date]&lt;=$A$7)*(GJ[Account Code]=(TRIM($B40))),GJ[Credit]))))</f>
        <v>0</v>
      </c>
      <c r="E40" s="89"/>
    </row>
    <row r="41" spans="1:5">
      <c r="A41" s="440" t="s">
        <v>1095</v>
      </c>
      <c r="B41" s="441" t="s">
        <v>178</v>
      </c>
      <c r="C41" s="89"/>
      <c r="D41" s="442">
        <f t="array" ref="D41">((SUM(IF((CkDJ[Date]&lt;=$A$7)*(CkDJ[Account Code]=(TRIM($B41))),CkDJ[Debit])))+(SUM(IF((CsDJ[Date]&lt;=$A$7)*(CsDJ[Account Code]=(TRIM($B41))),CsDJ[Debit])))+(SUM(IF((CRDJ[Date]&lt;=$A$7)*(CRDJ[Account Code]=(TRIM($B41))),CRDJ[Debit])))+(SUM(IF((GJ[Date]&lt;=$A$7)*(GJ[Account Code]=(TRIM($B41))),GJ[Debit]))))-((SUM(IF((CkDJ[Date]&lt;=$A$7)*(CkDJ[Account Code]=(TRIM($B41))),CkDJ[Credit])))+(SUM(IF((CsDJ[Date]&lt;=$A$7)*(CsDJ[Account Code]=(TRIM($B41))),CsDJ[Credit])))+(SUM(IF((CRDJ[Date]&lt;=$A$7)*(CRDJ[Account Code]=(TRIM($B41))),CRDJ[Credit])))+(SUM(IF((GJ[Date]&lt;=$A$7)*(GJ[Account Code]=(TRIM($B41))),GJ[Credit]))))</f>
        <v>0</v>
      </c>
      <c r="E41" s="89"/>
    </row>
    <row r="42" spans="1:5">
      <c r="A42" s="320" t="s">
        <v>1096</v>
      </c>
      <c r="B42" s="437"/>
      <c r="C42" s="89"/>
      <c r="D42" s="443">
        <f>D43+D44+D45+D46</f>
        <v>0</v>
      </c>
      <c r="E42" s="89"/>
    </row>
    <row r="43" spans="1:5">
      <c r="A43" s="440" t="s">
        <v>897</v>
      </c>
      <c r="B43" s="441" t="s">
        <v>216</v>
      </c>
      <c r="C43" s="89"/>
      <c r="D43" s="442">
        <f t="array" ref="D43">((SUM(IF((CkDJ[Date]&lt;=$A$7)*(CkDJ[Account Code]=(TRIM($B43))),CkDJ[Debit])))+(SUM(IF((CsDJ[Date]&lt;=$A$7)*(CsDJ[Account Code]=(TRIM($B43))),CsDJ[Debit])))+(SUM(IF((CRDJ[Date]&lt;=$A$7)*(CRDJ[Account Code]=(TRIM($B43))),CRDJ[Debit])))+(SUM(IF((GJ[Date]&lt;=$A$7)*(GJ[Account Code]=(TRIM($B43))),GJ[Debit]))))-((SUM(IF((CkDJ[Date]&lt;=$A$7)*(CkDJ[Account Code]=(TRIM($B43))),CkDJ[Credit])))+(SUM(IF((CsDJ[Date]&lt;=$A$7)*(CsDJ[Account Code]=(TRIM($B43))),CsDJ[Credit])))+(SUM(IF((CRDJ[Date]&lt;=$A$7)*(CRDJ[Account Code]=(TRIM($B43))),CRDJ[Credit])))+(SUM(IF((GJ[Date]&lt;=$A$7)*(GJ[Account Code]=(TRIM($B43))),GJ[Credit]))))</f>
        <v>0</v>
      </c>
      <c r="E43" s="89"/>
    </row>
    <row r="44" spans="1:5">
      <c r="A44" s="330" t="s">
        <v>898</v>
      </c>
      <c r="B44" s="61" t="s">
        <v>799</v>
      </c>
      <c r="C44" s="89"/>
      <c r="D44" s="442">
        <f t="array" ref="D44">((SUM(IF((CkDJ[Date]&lt;=$A$7)*(CkDJ[Account Code]=(TRIM($B44))),CkDJ[Debit])))+(SUM(IF((CsDJ[Date]&lt;=$A$7)*(CsDJ[Account Code]=(TRIM($B44))),CsDJ[Debit])))+(SUM(IF((CRDJ[Date]&lt;=$A$7)*(CRDJ[Account Code]=(TRIM($B44))),CRDJ[Debit])))+(SUM(IF((GJ[Date]&lt;=$A$7)*(GJ[Account Code]=(TRIM($B44))),GJ[Debit]))))-((SUM(IF((CkDJ[Date]&lt;=$A$7)*(CkDJ[Account Code]=(TRIM($B44))),CkDJ[Credit])))+(SUM(IF((CsDJ[Date]&lt;=$A$7)*(CsDJ[Account Code]=(TRIM($B44))),CsDJ[Credit])))+(SUM(IF((CRDJ[Date]&lt;=$A$7)*(CRDJ[Account Code]=(TRIM($B44))),CRDJ[Credit])))+(SUM(IF((GJ[Date]&lt;=$A$7)*(GJ[Account Code]=(TRIM($B44))),GJ[Credit]))))</f>
        <v>0</v>
      </c>
      <c r="E44" s="89"/>
    </row>
    <row r="45" spans="1:5">
      <c r="A45" s="440" t="s">
        <v>899</v>
      </c>
      <c r="B45" s="441" t="s">
        <v>799</v>
      </c>
      <c r="C45" s="89"/>
      <c r="D45" s="442">
        <f t="array" ref="D45">((SUM(IF((CkDJ[Date]&lt;=$A$7)*(CkDJ[Account Code]=(TRIM($B45))),CkDJ[Debit])))+(SUM(IF((CsDJ[Date]&lt;=$A$7)*(CsDJ[Account Code]=(TRIM($B45))),CsDJ[Debit])))+(SUM(IF((CRDJ[Date]&lt;=$A$7)*(CRDJ[Account Code]=(TRIM($B45))),CRDJ[Debit])))+(SUM(IF((GJ[Date]&lt;=$A$7)*(GJ[Account Code]=(TRIM($B45))),GJ[Debit]))))-((SUM(IF((CkDJ[Date]&lt;=$A$7)*(CkDJ[Account Code]=(TRIM($B45))),CkDJ[Credit])))+(SUM(IF((CsDJ[Date]&lt;=$A$7)*(CsDJ[Account Code]=(TRIM($B45))),CsDJ[Credit])))+(SUM(IF((CRDJ[Date]&lt;=$A$7)*(CRDJ[Account Code]=(TRIM($B45))),CRDJ[Credit])))+(SUM(IF((GJ[Date]&lt;=$A$7)*(GJ[Account Code]=(TRIM($B45))),GJ[Credit]))))</f>
        <v>0</v>
      </c>
      <c r="E45" s="89"/>
    </row>
    <row r="46" spans="1:5">
      <c r="A46" s="440" t="s">
        <v>900</v>
      </c>
      <c r="B46" s="441" t="s">
        <v>799</v>
      </c>
      <c r="C46" s="89"/>
      <c r="D46" s="442">
        <f t="array" ref="D46">((SUM(IF((CkDJ[Date]&lt;=$A$7)*(CkDJ[Account Code]=(TRIM($B46))),CkDJ[Debit])))+(SUM(IF((CsDJ[Date]&lt;=$A$7)*(CsDJ[Account Code]=(TRIM($B46))),CsDJ[Debit])))+(SUM(IF((CRDJ[Date]&lt;=$A$7)*(CRDJ[Account Code]=(TRIM($B46))),CRDJ[Debit])))+(SUM(IF((GJ[Date]&lt;=$A$7)*(GJ[Account Code]=(TRIM($B46))),GJ[Debit]))))-((SUM(IF((CkDJ[Date]&lt;=$A$7)*(CkDJ[Account Code]=(TRIM($B46))),CkDJ[Credit])))+(SUM(IF((CsDJ[Date]&lt;=$A$7)*(CsDJ[Account Code]=(TRIM($B46))),CsDJ[Credit])))+(SUM(IF((CRDJ[Date]&lt;=$A$7)*(CRDJ[Account Code]=(TRIM($B46))),CRDJ[Credit])))+(SUM(IF((GJ[Date]&lt;=$A$7)*(GJ[Account Code]=(TRIM($B46))),GJ[Credit]))))</f>
        <v>0</v>
      </c>
      <c r="E46" s="89"/>
    </row>
    <row r="47" spans="1:5">
      <c r="A47" s="444" t="s">
        <v>1097</v>
      </c>
      <c r="B47" s="445"/>
      <c r="C47" s="446">
        <v>98976280.540000007</v>
      </c>
      <c r="D47" s="447">
        <f>SUM(D14+D18+D33+D37+D42)</f>
        <v>0</v>
      </c>
      <c r="E47" s="446">
        <f>+C47-D47</f>
        <v>98976280.540000007</v>
      </c>
    </row>
    <row r="48" spans="1:5">
      <c r="A48" s="448"/>
      <c r="B48" s="441"/>
      <c r="C48" s="442"/>
      <c r="D48" s="449"/>
      <c r="E48" s="442"/>
    </row>
    <row r="49" spans="1:5">
      <c r="A49" s="320" t="s">
        <v>1098</v>
      </c>
      <c r="B49" s="437"/>
      <c r="C49" s="89"/>
      <c r="D49" s="438"/>
      <c r="E49" s="89"/>
    </row>
    <row r="50" spans="1:5">
      <c r="A50" s="320" t="s">
        <v>909</v>
      </c>
      <c r="B50" s="437" t="s">
        <v>223</v>
      </c>
      <c r="C50" s="89"/>
      <c r="D50" s="442">
        <f t="array" ref="D50">((SUM(IF((CkDJ[Date]&lt;=$A$7)*(CkDJ[Account Code]=(TRIM($B50))),CkDJ[Debit])))+(SUM(IF((CsDJ[Date]&lt;=$A$7)*(CsDJ[Account Code]=(TRIM($B50))),CsDJ[Debit])))+(SUM(IF((CRDJ[Date]&lt;=$A$7)*(CRDJ[Account Code]=(TRIM($B50))),CRDJ[Debit])))+(SUM(IF((GJ[Date]&lt;=$A$7)*(GJ[Account Code]=(TRIM($B50))),GJ[Debit]))))-((SUM(IF((CkDJ[Date]&lt;=$A$7)*(CkDJ[Account Code]=(TRIM($B50))),CkDJ[Credit])))+(SUM(IF((CsDJ[Date]&lt;=$A$7)*(CsDJ[Account Code]=(TRIM($B50))),CsDJ[Credit])))+(SUM(IF((CRDJ[Date]&lt;=$A$7)*(CRDJ[Account Code]=(TRIM($B50))),CRDJ[Credit])))+(SUM(IF((GJ[Date]&lt;=$A$7)*(GJ[Account Code]=(TRIM($B50))),GJ[Credit]))))</f>
        <v>0</v>
      </c>
      <c r="E50" s="89"/>
    </row>
    <row r="51" spans="1:5">
      <c r="A51" s="320" t="s">
        <v>1099</v>
      </c>
      <c r="B51" s="437" t="s">
        <v>224</v>
      </c>
      <c r="C51" s="89"/>
      <c r="D51" s="442">
        <f t="array" ref="D51">((SUM(IF((CkDJ[Date]&lt;=$A$7)*(CkDJ[Account Code]=(TRIM($B51))),CkDJ[Debit])))+(SUM(IF((CsDJ[Date]&lt;=$A$7)*(CsDJ[Account Code]=(TRIM($B51))),CsDJ[Debit])))+(SUM(IF((CRDJ[Date]&lt;=$A$7)*(CRDJ[Account Code]=(TRIM($B51))),CRDJ[Debit])))+(SUM(IF((GJ[Date]&lt;=$A$7)*(GJ[Account Code]=(TRIM($B51))),GJ[Debit]))))-((SUM(IF((CkDJ[Date]&lt;=$A$7)*(CkDJ[Account Code]=(TRIM($B51))),CkDJ[Credit])))+(SUM(IF((CsDJ[Date]&lt;=$A$7)*(CsDJ[Account Code]=(TRIM($B51))),CsDJ[Credit])))+(SUM(IF((CRDJ[Date]&lt;=$A$7)*(CRDJ[Account Code]=(TRIM($B51))),CRDJ[Credit])))+(SUM(IF((GJ[Date]&lt;=$A$7)*(GJ[Account Code]=(TRIM($B51))),GJ[Credit]))))</f>
        <v>0</v>
      </c>
      <c r="E51" s="89"/>
    </row>
    <row r="52" spans="1:5">
      <c r="A52" s="320" t="s">
        <v>1100</v>
      </c>
      <c r="B52" s="437"/>
      <c r="C52" s="89"/>
      <c r="D52" s="439">
        <f>SUM(D53:D60)</f>
        <v>0</v>
      </c>
      <c r="E52" s="89"/>
    </row>
    <row r="53" spans="1:5">
      <c r="A53" s="440" t="s">
        <v>1101</v>
      </c>
      <c r="B53" s="441" t="s">
        <v>225</v>
      </c>
      <c r="C53" s="89"/>
      <c r="D53" s="442">
        <f t="array" ref="D53">((SUM(IF((CkDJ[Date]&lt;=$A$7)*(CkDJ[Account Code]=(TRIM($B53))),CkDJ[Debit])))+(SUM(IF((CsDJ[Date]&lt;=$A$7)*(CsDJ[Account Code]=(TRIM($B53))),CsDJ[Debit])))+(SUM(IF((CRDJ[Date]&lt;=$A$7)*(CRDJ[Account Code]=(TRIM($B53))),CRDJ[Debit])))+(SUM(IF((GJ[Date]&lt;=$A$7)*(GJ[Account Code]=(TRIM($B53))),GJ[Debit]))))-((SUM(IF((CkDJ[Date]&lt;=$A$7)*(CkDJ[Account Code]=(TRIM($B53))),CkDJ[Credit])))+(SUM(IF((CsDJ[Date]&lt;=$A$7)*(CsDJ[Account Code]=(TRIM($B53))),CsDJ[Credit])))+(SUM(IF((CRDJ[Date]&lt;=$A$7)*(CRDJ[Account Code]=(TRIM($B53))),CRDJ[Credit])))+(SUM(IF((GJ[Date]&lt;=$A$7)*(GJ[Account Code]=(TRIM($B53))),GJ[Credit]))))</f>
        <v>0</v>
      </c>
      <c r="E53" s="89"/>
    </row>
    <row r="54" spans="1:5">
      <c r="A54" s="440" t="s">
        <v>913</v>
      </c>
      <c r="B54" s="441" t="s">
        <v>226</v>
      </c>
      <c r="C54" s="89"/>
      <c r="D54" s="442">
        <f t="array" ref="D54">((SUM(IF((CkDJ[Date]&lt;=$A$7)*(CkDJ[Account Code]=(TRIM($B54))),CkDJ[Debit])))+(SUM(IF((CsDJ[Date]&lt;=$A$7)*(CsDJ[Account Code]=(TRIM($B54))),CsDJ[Debit])))+(SUM(IF((CRDJ[Date]&lt;=$A$7)*(CRDJ[Account Code]=(TRIM($B54))),CRDJ[Debit])))+(SUM(IF((GJ[Date]&lt;=$A$7)*(GJ[Account Code]=(TRIM($B54))),GJ[Debit]))))-((SUM(IF((CkDJ[Date]&lt;=$A$7)*(CkDJ[Account Code]=(TRIM($B54))),CkDJ[Credit])))+(SUM(IF((CsDJ[Date]&lt;=$A$7)*(CsDJ[Account Code]=(TRIM($B54))),CsDJ[Credit])))+(SUM(IF((CRDJ[Date]&lt;=$A$7)*(CRDJ[Account Code]=(TRIM($B54))),CRDJ[Credit])))+(SUM(IF((GJ[Date]&lt;=$A$7)*(GJ[Account Code]=(TRIM($B54))),GJ[Credit]))))</f>
        <v>0</v>
      </c>
      <c r="E54" s="89"/>
    </row>
    <row r="55" spans="1:5">
      <c r="A55" s="440" t="s">
        <v>1102</v>
      </c>
      <c r="B55" s="441" t="s">
        <v>227</v>
      </c>
      <c r="C55" s="89"/>
      <c r="D55" s="442">
        <f t="array" ref="D55">((SUM(IF((CkDJ[Date]&lt;=$A$7)*(CkDJ[Account Code]=(TRIM($B55))),CkDJ[Debit])))+(SUM(IF((CsDJ[Date]&lt;=$A$7)*(CsDJ[Account Code]=(TRIM($B55))),CsDJ[Debit])))+(SUM(IF((CRDJ[Date]&lt;=$A$7)*(CRDJ[Account Code]=(TRIM($B55))),CRDJ[Debit])))+(SUM(IF((GJ[Date]&lt;=$A$7)*(GJ[Account Code]=(TRIM($B55))),GJ[Debit]))))-((SUM(IF((CkDJ[Date]&lt;=$A$7)*(CkDJ[Account Code]=(TRIM($B55))),CkDJ[Credit])))+(SUM(IF((CsDJ[Date]&lt;=$A$7)*(CsDJ[Account Code]=(TRIM($B55))),CsDJ[Credit])))+(SUM(IF((CRDJ[Date]&lt;=$A$7)*(CRDJ[Account Code]=(TRIM($B55))),CRDJ[Credit])))+(SUM(IF((GJ[Date]&lt;=$A$7)*(GJ[Account Code]=(TRIM($B55))),GJ[Credit]))))</f>
        <v>0</v>
      </c>
      <c r="E55" s="89"/>
    </row>
    <row r="56" spans="1:5">
      <c r="A56" s="440" t="s">
        <v>915</v>
      </c>
      <c r="B56" s="441" t="s">
        <v>228</v>
      </c>
      <c r="C56" s="89"/>
      <c r="D56" s="442">
        <f t="array" ref="D56">((SUM(IF((CkDJ[Date]&lt;=$A$7)*(CkDJ[Account Code]=(TRIM($B56))),CkDJ[Debit])))+(SUM(IF((CsDJ[Date]&lt;=$A$7)*(CsDJ[Account Code]=(TRIM($B56))),CsDJ[Debit])))+(SUM(IF((CRDJ[Date]&lt;=$A$7)*(CRDJ[Account Code]=(TRIM($B56))),CRDJ[Debit])))+(SUM(IF((GJ[Date]&lt;=$A$7)*(GJ[Account Code]=(TRIM($B56))),GJ[Debit]))))-((SUM(IF((CkDJ[Date]&lt;=$A$7)*(CkDJ[Account Code]=(TRIM($B56))),CkDJ[Credit])))+(SUM(IF((CsDJ[Date]&lt;=$A$7)*(CsDJ[Account Code]=(TRIM($B56))),CsDJ[Credit])))+(SUM(IF((CRDJ[Date]&lt;=$A$7)*(CRDJ[Account Code]=(TRIM($B56))),CRDJ[Credit])))+(SUM(IF((GJ[Date]&lt;=$A$7)*(GJ[Account Code]=(TRIM($B56))),GJ[Credit]))))</f>
        <v>0</v>
      </c>
      <c r="E56" s="89"/>
    </row>
    <row r="57" spans="1:5">
      <c r="A57" s="440" t="s">
        <v>1103</v>
      </c>
      <c r="B57" s="441" t="s">
        <v>229</v>
      </c>
      <c r="C57" s="89"/>
      <c r="D57" s="442">
        <f t="array" ref="D57">((SUM(IF((CkDJ[Date]&lt;=$A$7)*(CkDJ[Account Code]=(TRIM($B57))),CkDJ[Debit])))+(SUM(IF((CsDJ[Date]&lt;=$A$7)*(CsDJ[Account Code]=(TRIM($B57))),CsDJ[Debit])))+(SUM(IF((CRDJ[Date]&lt;=$A$7)*(CRDJ[Account Code]=(TRIM($B57))),CRDJ[Debit])))+(SUM(IF((GJ[Date]&lt;=$A$7)*(GJ[Account Code]=(TRIM($B57))),GJ[Debit]))))-((SUM(IF((CkDJ[Date]&lt;=$A$7)*(CkDJ[Account Code]=(TRIM($B57))),CkDJ[Credit])))+(SUM(IF((CsDJ[Date]&lt;=$A$7)*(CsDJ[Account Code]=(TRIM($B57))),CsDJ[Credit])))+(SUM(IF((CRDJ[Date]&lt;=$A$7)*(CRDJ[Account Code]=(TRIM($B57))),CRDJ[Credit])))+(SUM(IF((GJ[Date]&lt;=$A$7)*(GJ[Account Code]=(TRIM($B57))),GJ[Credit]))))</f>
        <v>0</v>
      </c>
      <c r="E57" s="89"/>
    </row>
    <row r="58" spans="1:5">
      <c r="A58" s="440" t="s">
        <v>1104</v>
      </c>
      <c r="B58" s="441" t="s">
        <v>230</v>
      </c>
      <c r="C58" s="89"/>
      <c r="D58" s="442">
        <f t="array" ref="D58">((SUM(IF((CkDJ[Date]&lt;=$A$7)*(CkDJ[Account Code]=(TRIM($B58))),CkDJ[Debit])))+(SUM(IF((CsDJ[Date]&lt;=$A$7)*(CsDJ[Account Code]=(TRIM($B58))),CsDJ[Debit])))+(SUM(IF((CRDJ[Date]&lt;=$A$7)*(CRDJ[Account Code]=(TRIM($B58))),CRDJ[Debit])))+(SUM(IF((GJ[Date]&lt;=$A$7)*(GJ[Account Code]=(TRIM($B58))),GJ[Debit]))))-((SUM(IF((CkDJ[Date]&lt;=$A$7)*(CkDJ[Account Code]=(TRIM($B58))),CkDJ[Credit])))+(SUM(IF((CsDJ[Date]&lt;=$A$7)*(CsDJ[Account Code]=(TRIM($B58))),CsDJ[Credit])))+(SUM(IF((CRDJ[Date]&lt;=$A$7)*(CRDJ[Account Code]=(TRIM($B58))),CRDJ[Credit])))+(SUM(IF((GJ[Date]&lt;=$A$7)*(GJ[Account Code]=(TRIM($B58))),GJ[Credit]))))</f>
        <v>0</v>
      </c>
      <c r="E58" s="89"/>
    </row>
    <row r="59" spans="1:5">
      <c r="A59" s="440" t="s">
        <v>1105</v>
      </c>
      <c r="B59" s="441" t="s">
        <v>231</v>
      </c>
      <c r="C59" s="89"/>
      <c r="D59" s="442">
        <f t="array" ref="D59">((SUM(IF((CkDJ[Date]&lt;=$A$7)*(CkDJ[Account Code]=(TRIM($B59))),CkDJ[Debit])))+(SUM(IF((CsDJ[Date]&lt;=$A$7)*(CsDJ[Account Code]=(TRIM($B59))),CsDJ[Debit])))+(SUM(IF((CRDJ[Date]&lt;=$A$7)*(CRDJ[Account Code]=(TRIM($B59))),CRDJ[Debit])))+(SUM(IF((GJ[Date]&lt;=$A$7)*(GJ[Account Code]=(TRIM($B59))),GJ[Debit]))))-((SUM(IF((CkDJ[Date]&lt;=$A$7)*(CkDJ[Account Code]=(TRIM($B59))),CkDJ[Credit])))+(SUM(IF((CsDJ[Date]&lt;=$A$7)*(CsDJ[Account Code]=(TRIM($B59))),CsDJ[Credit])))+(SUM(IF((CRDJ[Date]&lt;=$A$7)*(CRDJ[Account Code]=(TRIM($B59))),CRDJ[Credit])))+(SUM(IF((GJ[Date]&lt;=$A$7)*(GJ[Account Code]=(TRIM($B59))),GJ[Credit]))))</f>
        <v>0</v>
      </c>
      <c r="E59" s="89"/>
    </row>
    <row r="60" spans="1:5">
      <c r="A60" s="440" t="s">
        <v>1106</v>
      </c>
      <c r="B60" s="441"/>
      <c r="C60" s="89"/>
      <c r="D60" s="438"/>
      <c r="E60" s="89"/>
    </row>
    <row r="61" spans="1:5">
      <c r="A61" s="320" t="s">
        <v>919</v>
      </c>
      <c r="B61" s="437"/>
      <c r="C61" s="89"/>
      <c r="D61" s="450">
        <f>SUM(D62+D63)</f>
        <v>0</v>
      </c>
      <c r="E61" s="89"/>
    </row>
    <row r="62" spans="1:5">
      <c r="A62" s="440" t="s">
        <v>920</v>
      </c>
      <c r="B62" s="441" t="s">
        <v>232</v>
      </c>
      <c r="C62" s="89"/>
      <c r="D62" s="442">
        <f t="array" ref="D62">((SUM(IF((CkDJ[Date]&lt;=$A$7)*(CkDJ[Account Code]=(TRIM($B62))),CkDJ[Debit])))+(SUM(IF((CsDJ[Date]&lt;=$A$7)*(CsDJ[Account Code]=(TRIM($B62))),CsDJ[Debit])))+(SUM(IF((CRDJ[Date]&lt;=$A$7)*(CRDJ[Account Code]=(TRIM($B62))),CRDJ[Debit])))+(SUM(IF((GJ[Date]&lt;=$A$7)*(GJ[Account Code]=(TRIM($B62))),GJ[Debit]))))-((SUM(IF((CkDJ[Date]&lt;=$A$7)*(CkDJ[Account Code]=(TRIM($B62))),CkDJ[Credit])))+(SUM(IF((CsDJ[Date]&lt;=$A$7)*(CsDJ[Account Code]=(TRIM($B62))),CsDJ[Credit])))+(SUM(IF((CRDJ[Date]&lt;=$A$7)*(CRDJ[Account Code]=(TRIM($B62))),CRDJ[Credit])))+(SUM(IF((GJ[Date]&lt;=$A$7)*(GJ[Account Code]=(TRIM($B62))),GJ[Credit]))))</f>
        <v>0</v>
      </c>
      <c r="E62" s="89"/>
    </row>
    <row r="63" spans="1:5">
      <c r="A63" s="440" t="s">
        <v>1107</v>
      </c>
      <c r="B63" s="441"/>
      <c r="C63" s="89"/>
      <c r="D63" s="438">
        <f>SUM(D64:D65)</f>
        <v>0</v>
      </c>
      <c r="E63" s="89"/>
    </row>
    <row r="64" spans="1:5">
      <c r="A64" s="451" t="s">
        <v>1108</v>
      </c>
      <c r="B64" s="441" t="s">
        <v>233</v>
      </c>
      <c r="C64" s="89"/>
      <c r="D64" s="442">
        <f t="array" ref="D64">((SUM(IF((CkDJ[Date]&lt;=$A$7)*(CkDJ[Account Code]=(TRIM($B64))),CkDJ[Debit])))+(SUM(IF((CsDJ[Date]&lt;=$A$7)*(CsDJ[Account Code]=(TRIM($B64))),CsDJ[Debit])))+(SUM(IF((CRDJ[Date]&lt;=$A$7)*(CRDJ[Account Code]=(TRIM($B64))),CRDJ[Debit])))+(SUM(IF((GJ[Date]&lt;=$A$7)*(GJ[Account Code]=(TRIM($B64))),GJ[Debit]))))-((SUM(IF((CkDJ[Date]&lt;=$A$7)*(CkDJ[Account Code]=(TRIM($B64))),CkDJ[Credit])))+(SUM(IF((CsDJ[Date]&lt;=$A$7)*(CsDJ[Account Code]=(TRIM($B64))),CsDJ[Credit])))+(SUM(IF((CRDJ[Date]&lt;=$A$7)*(CRDJ[Account Code]=(TRIM($B64))),CRDJ[Credit])))+(SUM(IF((GJ[Date]&lt;=$A$7)*(GJ[Account Code]=(TRIM($B64))),GJ[Credit]))))</f>
        <v>0</v>
      </c>
      <c r="E64" s="89"/>
    </row>
    <row r="65" spans="1:5">
      <c r="A65" s="451" t="s">
        <v>1109</v>
      </c>
      <c r="B65" s="441" t="s">
        <v>991</v>
      </c>
      <c r="C65" s="89"/>
      <c r="D65" s="442">
        <f t="array" ref="D65">((SUM(IF((CkDJ[Date]&lt;=$A$7)*(CkDJ[Account Code]=(TRIM($B65))),CkDJ[Debit])))+(SUM(IF((CsDJ[Date]&lt;=$A$7)*(CsDJ[Account Code]=(TRIM($B65))),CsDJ[Debit])))+(SUM(IF((CRDJ[Date]&lt;=$A$7)*(CRDJ[Account Code]=(TRIM($B65))),CRDJ[Debit])))+(SUM(IF((GJ[Date]&lt;=$A$7)*(GJ[Account Code]=(TRIM($B65))),GJ[Debit]))))-((SUM(IF((CkDJ[Date]&lt;=$A$7)*(CkDJ[Account Code]=(TRIM($B65))),CkDJ[Credit])))+(SUM(IF((CsDJ[Date]&lt;=$A$7)*(CsDJ[Account Code]=(TRIM($B65))),CsDJ[Credit])))+(SUM(IF((CRDJ[Date]&lt;=$A$7)*(CRDJ[Account Code]=(TRIM($B65))),CRDJ[Credit])))+(SUM(IF((GJ[Date]&lt;=$A$7)*(GJ[Account Code]=(TRIM($B65))),GJ[Credit]))))</f>
        <v>0</v>
      </c>
      <c r="E65" s="89"/>
    </row>
    <row r="66" spans="1:5">
      <c r="A66" s="320" t="s">
        <v>1110</v>
      </c>
      <c r="B66" s="437"/>
      <c r="C66" s="89"/>
      <c r="D66" s="439">
        <f>SUM(D67:D69)</f>
        <v>0</v>
      </c>
      <c r="E66" s="89"/>
    </row>
    <row r="67" spans="1:5">
      <c r="A67" s="440" t="s">
        <v>1144</v>
      </c>
      <c r="B67" s="61" t="s">
        <v>235</v>
      </c>
      <c r="C67" s="89"/>
      <c r="D67" s="442">
        <f t="array" ref="D67">((SUM(IF((CkDJ[Date]&lt;=$A$7)*(CkDJ[Account Code]=(TRIM($B67))),CkDJ[Debit])))+(SUM(IF((CsDJ[Date]&lt;=$A$7)*(CsDJ[Account Code]=(TRIM($B67))),CsDJ[Debit])))+(SUM(IF((CRDJ[Date]&lt;=$A$7)*(CRDJ[Account Code]=(TRIM($B67))),CRDJ[Debit])))+(SUM(IF((GJ[Date]&lt;=$A$7)*(GJ[Account Code]=(TRIM($B67))),GJ[Debit]))))-((SUM(IF((CkDJ[Date]&lt;=$A$7)*(CkDJ[Account Code]=(TRIM($B67))),CkDJ[Credit])))+(SUM(IF((CsDJ[Date]&lt;=$A$7)*(CsDJ[Account Code]=(TRIM($B67))),CsDJ[Credit])))+(SUM(IF((CRDJ[Date]&lt;=$A$7)*(CRDJ[Account Code]=(TRIM($B67))),CRDJ[Credit])))+(SUM(IF((GJ[Date]&lt;=$A$7)*(GJ[Account Code]=(TRIM($B67))),GJ[Credit]))))</f>
        <v>0</v>
      </c>
      <c r="E67" s="89"/>
    </row>
    <row r="68" spans="1:5">
      <c r="A68" s="440" t="s">
        <v>1145</v>
      </c>
      <c r="B68" s="61" t="s">
        <v>236</v>
      </c>
      <c r="C68" s="89"/>
      <c r="D68" s="442">
        <f t="array" ref="D68">((SUM(IF((CkDJ[Date]&lt;=$A$7)*(CkDJ[Account Code]=(TRIM($B68))),CkDJ[Debit])))+(SUM(IF((CsDJ[Date]&lt;=$A$7)*(CsDJ[Account Code]=(TRIM($B68))),CsDJ[Debit])))+(SUM(IF((CRDJ[Date]&lt;=$A$7)*(CRDJ[Account Code]=(TRIM($B68))),CRDJ[Debit])))+(SUM(IF((GJ[Date]&lt;=$A$7)*(GJ[Account Code]=(TRIM($B68))),GJ[Debit]))))-((SUM(IF((CkDJ[Date]&lt;=$A$7)*(CkDJ[Account Code]=(TRIM($B68))),CkDJ[Credit])))+(SUM(IF((CsDJ[Date]&lt;=$A$7)*(CsDJ[Account Code]=(TRIM($B68))),CsDJ[Credit])))+(SUM(IF((CRDJ[Date]&lt;=$A$7)*(CRDJ[Account Code]=(TRIM($B68))),CRDJ[Credit])))+(SUM(IF((GJ[Date]&lt;=$A$7)*(GJ[Account Code]=(TRIM($B68))),GJ[Credit]))))</f>
        <v>0</v>
      </c>
      <c r="E68" s="89"/>
    </row>
    <row r="69" spans="1:5">
      <c r="A69" s="440" t="s">
        <v>1147</v>
      </c>
      <c r="B69" s="61" t="s">
        <v>237</v>
      </c>
      <c r="C69" s="89"/>
      <c r="D69" s="442">
        <f t="array" ref="D69">((SUM(IF((CkDJ[Date]&lt;=$A$7)*(CkDJ[Account Code]=(TRIM($B69))),CkDJ[Debit])))+(SUM(IF((CsDJ[Date]&lt;=$A$7)*(CsDJ[Account Code]=(TRIM($B69))),CsDJ[Debit])))+(SUM(IF((CRDJ[Date]&lt;=$A$7)*(CRDJ[Account Code]=(TRIM($B69))),CRDJ[Debit])))+(SUM(IF((GJ[Date]&lt;=$A$7)*(GJ[Account Code]=(TRIM($B69))),GJ[Debit]))))-((SUM(IF((CkDJ[Date]&lt;=$A$7)*(CkDJ[Account Code]=(TRIM($B69))),CkDJ[Credit])))+(SUM(IF((CsDJ[Date]&lt;=$A$7)*(CsDJ[Account Code]=(TRIM($B69))),CsDJ[Credit])))+(SUM(IF((CRDJ[Date]&lt;=$A$7)*(CRDJ[Account Code]=(TRIM($B69))),CRDJ[Credit])))+(SUM(IF((GJ[Date]&lt;=$A$7)*(GJ[Account Code]=(TRIM($B69))),GJ[Credit]))))</f>
        <v>0</v>
      </c>
      <c r="E69" s="89"/>
    </row>
    <row r="70" spans="1:5">
      <c r="A70" s="320" t="s">
        <v>1111</v>
      </c>
      <c r="B70" s="437" t="s">
        <v>239</v>
      </c>
      <c r="C70" s="89"/>
      <c r="D70" s="442">
        <f t="array" ref="D70">((SUM(IF((CkDJ[Date]&lt;=$A$7)*(CkDJ[Account Code]=(TRIM($B70))),CkDJ[Debit])))+(SUM(IF((CsDJ[Date]&lt;=$A$7)*(CsDJ[Account Code]=(TRIM($B70))),CsDJ[Debit])))+(SUM(IF((CRDJ[Date]&lt;=$A$7)*(CRDJ[Account Code]=(TRIM($B70))),CRDJ[Debit])))+(SUM(IF((GJ[Date]&lt;=$A$7)*(GJ[Account Code]=(TRIM($B70))),GJ[Debit]))))-((SUM(IF((CkDJ[Date]&lt;=$A$7)*(CkDJ[Account Code]=(TRIM($B70))),CkDJ[Credit])))+(SUM(IF((CsDJ[Date]&lt;=$A$7)*(CsDJ[Account Code]=(TRIM($B70))),CsDJ[Credit])))+(SUM(IF((CRDJ[Date]&lt;=$A$7)*(CRDJ[Account Code]=(TRIM($B70))),CRDJ[Credit])))+(SUM(IF((GJ[Date]&lt;=$A$7)*(GJ[Account Code]=(TRIM($B70))),GJ[Credit]))))</f>
        <v>0</v>
      </c>
      <c r="E70" s="89"/>
    </row>
    <row r="71" spans="1:5">
      <c r="A71" s="320" t="s">
        <v>931</v>
      </c>
      <c r="B71" s="437" t="s">
        <v>240</v>
      </c>
      <c r="C71" s="89"/>
      <c r="D71" s="442">
        <f t="array" ref="D71">((SUM(IF((CkDJ[Date]&lt;=$A$7)*(CkDJ[Account Code]=(TRIM($B71))),CkDJ[Debit])))+(SUM(IF((CsDJ[Date]&lt;=$A$7)*(CsDJ[Account Code]=(TRIM($B71))),CsDJ[Debit])))+(SUM(IF((CRDJ[Date]&lt;=$A$7)*(CRDJ[Account Code]=(TRIM($B71))),CRDJ[Debit])))+(SUM(IF((GJ[Date]&lt;=$A$7)*(GJ[Account Code]=(TRIM($B71))),GJ[Debit]))))-((SUM(IF((CkDJ[Date]&lt;=$A$7)*(CkDJ[Account Code]=(TRIM($B71))),CkDJ[Credit])))+(SUM(IF((CsDJ[Date]&lt;=$A$7)*(CsDJ[Account Code]=(TRIM($B71))),CsDJ[Credit])))+(SUM(IF((CRDJ[Date]&lt;=$A$7)*(CRDJ[Account Code]=(TRIM($B71))),CRDJ[Credit])))+(SUM(IF((GJ[Date]&lt;=$A$7)*(GJ[Account Code]=(TRIM($B71))),GJ[Credit]))))</f>
        <v>0</v>
      </c>
      <c r="E71" s="89"/>
    </row>
    <row r="72" spans="1:5">
      <c r="A72" s="320" t="s">
        <v>1112</v>
      </c>
      <c r="B72" s="437" t="s">
        <v>241</v>
      </c>
      <c r="C72" s="89"/>
      <c r="D72" s="442">
        <f t="array" ref="D72">((SUM(IF((CkDJ[Date]&lt;=$A$7)*(CkDJ[Account Code]=(TRIM($B72))),CkDJ[Debit])))+(SUM(IF((CsDJ[Date]&lt;=$A$7)*(CsDJ[Account Code]=(TRIM($B72))),CsDJ[Debit])))+(SUM(IF((CRDJ[Date]&lt;=$A$7)*(CRDJ[Account Code]=(TRIM($B72))),CRDJ[Debit])))+(SUM(IF((GJ[Date]&lt;=$A$7)*(GJ[Account Code]=(TRIM($B72))),GJ[Debit]))))-((SUM(IF((CkDJ[Date]&lt;=$A$7)*(CkDJ[Account Code]=(TRIM($B72))),CkDJ[Credit])))+(SUM(IF((CsDJ[Date]&lt;=$A$7)*(CsDJ[Account Code]=(TRIM($B72))),CsDJ[Credit])))+(SUM(IF((CRDJ[Date]&lt;=$A$7)*(CRDJ[Account Code]=(TRIM($B72))),CRDJ[Credit])))+(SUM(IF((GJ[Date]&lt;=$A$7)*(GJ[Account Code]=(TRIM($B72))),GJ[Credit]))))</f>
        <v>0</v>
      </c>
      <c r="E72" s="89"/>
    </row>
    <row r="73" spans="1:5">
      <c r="A73" s="320" t="s">
        <v>1113</v>
      </c>
      <c r="B73" s="437" t="s">
        <v>242</v>
      </c>
      <c r="C73" s="89"/>
      <c r="D73" s="442">
        <f t="array" ref="D73">((SUM(IF((CkDJ[Date]&lt;=$A$7)*(CkDJ[Account Code]=(TRIM($B73))),CkDJ[Debit])))+(SUM(IF((CsDJ[Date]&lt;=$A$7)*(CsDJ[Account Code]=(TRIM($B73))),CsDJ[Debit])))+(SUM(IF((CRDJ[Date]&lt;=$A$7)*(CRDJ[Account Code]=(TRIM($B73))),CRDJ[Debit])))+(SUM(IF((GJ[Date]&lt;=$A$7)*(GJ[Account Code]=(TRIM($B73))),GJ[Debit]))))-((SUM(IF((CkDJ[Date]&lt;=$A$7)*(CkDJ[Account Code]=(TRIM($B73))),CkDJ[Credit])))+(SUM(IF((CsDJ[Date]&lt;=$A$7)*(CsDJ[Account Code]=(TRIM($B73))),CsDJ[Credit])))+(SUM(IF((CRDJ[Date]&lt;=$A$7)*(CRDJ[Account Code]=(TRIM($B73))),CRDJ[Credit])))+(SUM(IF((GJ[Date]&lt;=$A$7)*(GJ[Account Code]=(TRIM($B73))),GJ[Credit]))))</f>
        <v>0</v>
      </c>
      <c r="E73" s="89"/>
    </row>
    <row r="74" spans="1:5">
      <c r="A74" s="320" t="s">
        <v>934</v>
      </c>
      <c r="B74" s="437" t="s">
        <v>243</v>
      </c>
      <c r="C74" s="89"/>
      <c r="D74" s="442">
        <f t="array" ref="D74">((SUM(IF((CkDJ[Date]&lt;=$A$7)*(CkDJ[Account Code]=(TRIM($B74))),CkDJ[Debit])))+(SUM(IF((CsDJ[Date]&lt;=$A$7)*(CsDJ[Account Code]=(TRIM($B74))),CsDJ[Debit])))+(SUM(IF((CRDJ[Date]&lt;=$A$7)*(CRDJ[Account Code]=(TRIM($B74))),CRDJ[Debit])))+(SUM(IF((GJ[Date]&lt;=$A$7)*(GJ[Account Code]=(TRIM($B74))),GJ[Debit]))))-((SUM(IF((CkDJ[Date]&lt;=$A$7)*(CkDJ[Account Code]=(TRIM($B74))),CkDJ[Credit])))+(SUM(IF((CsDJ[Date]&lt;=$A$7)*(CsDJ[Account Code]=(TRIM($B74))),CsDJ[Credit])))+(SUM(IF((CRDJ[Date]&lt;=$A$7)*(CRDJ[Account Code]=(TRIM($B74))),CRDJ[Credit])))+(SUM(IF((GJ[Date]&lt;=$A$7)*(GJ[Account Code]=(TRIM($B74))),GJ[Credit]))))</f>
        <v>0</v>
      </c>
      <c r="E74" s="89"/>
    </row>
    <row r="75" spans="1:5">
      <c r="A75" s="320" t="s">
        <v>1160</v>
      </c>
      <c r="B75" s="437" t="s">
        <v>234</v>
      </c>
      <c r="C75" s="89"/>
      <c r="D75" s="442">
        <f t="array" ref="D75">((SUM(IF((CkDJ[Date]&lt;=$A$7)*(CkDJ[Account Code]=(TRIM($B75))),CkDJ[Debit])))+(SUM(IF((CsDJ[Date]&lt;=$A$7)*(CsDJ[Account Code]=(TRIM($B75))),CsDJ[Debit])))+(SUM(IF((CRDJ[Date]&lt;=$A$7)*(CRDJ[Account Code]=(TRIM($B75))),CRDJ[Debit])))+(SUM(IF((GJ[Date]&lt;=$A$7)*(GJ[Account Code]=(TRIM($B75))),GJ[Debit]))))-((SUM(IF((CkDJ[Date]&lt;=$A$7)*(CkDJ[Account Code]=(TRIM($B75))),CkDJ[Credit])))+(SUM(IF((CsDJ[Date]&lt;=$A$7)*(CsDJ[Account Code]=(TRIM($B75))),CsDJ[Credit])))+(SUM(IF((CRDJ[Date]&lt;=$A$7)*(CRDJ[Account Code]=(TRIM($B75))),CRDJ[Credit])))+(SUM(IF((GJ[Date]&lt;=$A$7)*(GJ[Account Code]=(TRIM($B75))),GJ[Credit]))))</f>
        <v>0</v>
      </c>
      <c r="E75" s="89"/>
    </row>
    <row r="76" spans="1:5">
      <c r="A76" s="320" t="s">
        <v>936</v>
      </c>
      <c r="B76" s="437"/>
      <c r="C76" s="89"/>
      <c r="D76" s="442">
        <f t="array" ref="D76">((SUM(IF((CkDJ[Date]&lt;=$A$7)*(CkDJ[Account Code]=(TRIM($B76))),CkDJ[Debit])))+(SUM(IF((CsDJ[Date]&lt;=$A$7)*(CsDJ[Account Code]=(TRIM($B76))),CsDJ[Debit])))+(SUM(IF((CRDJ[Date]&lt;=$A$7)*(CRDJ[Account Code]=(TRIM($B76))),CRDJ[Debit])))+(SUM(IF((GJ[Date]&lt;=$A$7)*(GJ[Account Code]=(TRIM($B76))),GJ[Debit]))))-((SUM(IF((CkDJ[Date]&lt;=$A$7)*(CkDJ[Account Code]=(TRIM($B76))),CkDJ[Credit])))+(SUM(IF((CsDJ[Date]&lt;=$A$7)*(CsDJ[Account Code]=(TRIM($B76))),CsDJ[Credit])))+(SUM(IF((CRDJ[Date]&lt;=$A$7)*(CRDJ[Account Code]=(TRIM($B76))),CRDJ[Credit])))+(SUM(IF((GJ[Date]&lt;=$A$7)*(GJ[Account Code]=(TRIM($B76))),GJ[Credit]))))</f>
        <v>0</v>
      </c>
      <c r="E76" s="89"/>
    </row>
    <row r="77" spans="1:5">
      <c r="A77" s="320" t="s">
        <v>937</v>
      </c>
      <c r="B77" s="437" t="s">
        <v>339</v>
      </c>
      <c r="C77" s="89"/>
      <c r="D77" s="442">
        <f t="array" ref="D77">((SUM(IF((CkDJ[Date]&lt;=$A$7)*(CkDJ[Account Code]=(TRIM($B77))),CkDJ[Debit])))+(SUM(IF((CsDJ[Date]&lt;=$A$7)*(CsDJ[Account Code]=(TRIM($B77))),CsDJ[Debit])))+(SUM(IF((CRDJ[Date]&lt;=$A$7)*(CRDJ[Account Code]=(TRIM($B77))),CRDJ[Debit])))+(SUM(IF((GJ[Date]&lt;=$A$7)*(GJ[Account Code]=(TRIM($B77))),GJ[Debit]))))-((SUM(IF((CkDJ[Date]&lt;=$A$7)*(CkDJ[Account Code]=(TRIM($B77))),CkDJ[Credit])))+(SUM(IF((CsDJ[Date]&lt;=$A$7)*(CsDJ[Account Code]=(TRIM($B77))),CsDJ[Credit])))+(SUM(IF((CRDJ[Date]&lt;=$A$7)*(CRDJ[Account Code]=(TRIM($B77))),CRDJ[Credit])))+(SUM(IF((GJ[Date]&lt;=$A$7)*(GJ[Account Code]=(TRIM($B77))),GJ[Credit]))))</f>
        <v>0</v>
      </c>
      <c r="E77" s="89"/>
    </row>
    <row r="78" spans="1:5">
      <c r="A78" s="320" t="s">
        <v>1114</v>
      </c>
      <c r="B78" s="437"/>
      <c r="C78" s="89"/>
      <c r="D78" s="439">
        <f>SUM(D79:D86)</f>
        <v>0</v>
      </c>
      <c r="E78" s="89"/>
    </row>
    <row r="79" spans="1:5">
      <c r="A79" s="440" t="s">
        <v>1115</v>
      </c>
      <c r="B79" s="441" t="s">
        <v>246</v>
      </c>
      <c r="C79" s="89"/>
      <c r="D79" s="442">
        <f t="array" ref="D79">((SUM(IF((CkDJ[Date]&lt;=$A$7)*(CkDJ[Account Code]=(TRIM($B79))),CkDJ[Debit])))+(SUM(IF((CsDJ[Date]&lt;=$A$7)*(CsDJ[Account Code]=(TRIM($B79))),CsDJ[Debit])))+(SUM(IF((CRDJ[Date]&lt;=$A$7)*(CRDJ[Account Code]=(TRIM($B79))),CRDJ[Debit])))+(SUM(IF((GJ[Date]&lt;=$A$7)*(GJ[Account Code]=(TRIM($B79))),GJ[Debit]))))-((SUM(IF((CkDJ[Date]&lt;=$A$7)*(CkDJ[Account Code]=(TRIM($B79))),CkDJ[Credit])))+(SUM(IF((CsDJ[Date]&lt;=$A$7)*(CsDJ[Account Code]=(TRIM($B79))),CsDJ[Credit])))+(SUM(IF((CRDJ[Date]&lt;=$A$7)*(CRDJ[Account Code]=(TRIM($B79))),CRDJ[Credit])))+(SUM(IF((GJ[Date]&lt;=$A$7)*(GJ[Account Code]=(TRIM($B79))),GJ[Credit]))))</f>
        <v>0</v>
      </c>
      <c r="E79" s="89"/>
    </row>
    <row r="80" spans="1:5">
      <c r="A80" s="440" t="s">
        <v>941</v>
      </c>
      <c r="B80" s="441" t="s">
        <v>222</v>
      </c>
      <c r="C80" s="89"/>
      <c r="D80" s="442">
        <f t="array" ref="D80">((SUM(IF((CkDJ[Date]&lt;=$A$7)*(CkDJ[Account Code]=(TRIM($B80))),CkDJ[Debit])))+(SUM(IF((CsDJ[Date]&lt;=$A$7)*(CsDJ[Account Code]=(TRIM($B80))),CsDJ[Debit])))+(SUM(IF((CRDJ[Date]&lt;=$A$7)*(CRDJ[Account Code]=(TRIM($B80))),CRDJ[Debit])))+(SUM(IF((GJ[Date]&lt;=$A$7)*(GJ[Account Code]=(TRIM($B80))),GJ[Debit]))))-((SUM(IF((CkDJ[Date]&lt;=$A$7)*(CkDJ[Account Code]=(TRIM($B80))),CkDJ[Credit])))+(SUM(IF((CsDJ[Date]&lt;=$A$7)*(CsDJ[Account Code]=(TRIM($B80))),CsDJ[Credit])))+(SUM(IF((CRDJ[Date]&lt;=$A$7)*(CRDJ[Account Code]=(TRIM($B80))),CRDJ[Credit])))+(SUM(IF((GJ[Date]&lt;=$A$7)*(GJ[Account Code]=(TRIM($B80))),GJ[Credit]))))</f>
        <v>0</v>
      </c>
      <c r="E80" s="89"/>
    </row>
    <row r="81" spans="1:5">
      <c r="A81" s="440" t="s">
        <v>942</v>
      </c>
      <c r="B81" s="441" t="s">
        <v>247</v>
      </c>
      <c r="C81" s="89"/>
      <c r="D81" s="442">
        <f t="array" ref="D81">((SUM(IF((CkDJ[Date]&lt;=$A$7)*(CkDJ[Account Code]=(TRIM($B81))),CkDJ[Debit])))+(SUM(IF((CsDJ[Date]&lt;=$A$7)*(CsDJ[Account Code]=(TRIM($B81))),CsDJ[Debit])))+(SUM(IF((CRDJ[Date]&lt;=$A$7)*(CRDJ[Account Code]=(TRIM($B81))),CRDJ[Debit])))+(SUM(IF((GJ[Date]&lt;=$A$7)*(GJ[Account Code]=(TRIM($B81))),GJ[Debit]))))-((SUM(IF((CkDJ[Date]&lt;=$A$7)*(CkDJ[Account Code]=(TRIM($B81))),CkDJ[Credit])))+(SUM(IF((CsDJ[Date]&lt;=$A$7)*(CsDJ[Account Code]=(TRIM($B81))),CsDJ[Credit])))+(SUM(IF((CRDJ[Date]&lt;=$A$7)*(CRDJ[Account Code]=(TRIM($B81))),CRDJ[Credit])))+(SUM(IF((GJ[Date]&lt;=$A$7)*(GJ[Account Code]=(TRIM($B81))),GJ[Credit]))))</f>
        <v>0</v>
      </c>
      <c r="E81" s="89"/>
    </row>
    <row r="82" spans="1:5">
      <c r="A82" s="440" t="s">
        <v>1116</v>
      </c>
      <c r="B82" s="441" t="s">
        <v>799</v>
      </c>
      <c r="C82" s="89"/>
      <c r="D82" s="442">
        <f t="array" ref="D82">((SUM(IF((CkDJ[Date]&lt;=$A$7)*(CkDJ[Account Code]=(TRIM($B82))),CkDJ[Debit])))+(SUM(IF((CsDJ[Date]&lt;=$A$7)*(CsDJ[Account Code]=(TRIM($B82))),CsDJ[Debit])))+(SUM(IF((CRDJ[Date]&lt;=$A$7)*(CRDJ[Account Code]=(TRIM($B82))),CRDJ[Debit])))+(SUM(IF((GJ[Date]&lt;=$A$7)*(GJ[Account Code]=(TRIM($B82))),GJ[Debit]))))-((SUM(IF((CkDJ[Date]&lt;=$A$7)*(CkDJ[Account Code]=(TRIM($B82))),CkDJ[Credit])))+(SUM(IF((CsDJ[Date]&lt;=$A$7)*(CsDJ[Account Code]=(TRIM($B82))),CsDJ[Credit])))+(SUM(IF((CRDJ[Date]&lt;=$A$7)*(CRDJ[Account Code]=(TRIM($B82))),CRDJ[Credit])))+(SUM(IF((GJ[Date]&lt;=$A$7)*(GJ[Account Code]=(TRIM($B82))),GJ[Credit]))))</f>
        <v>0</v>
      </c>
      <c r="E82" s="89"/>
    </row>
    <row r="83" spans="1:5">
      <c r="A83" s="440" t="s">
        <v>944</v>
      </c>
      <c r="B83" s="441" t="s">
        <v>799</v>
      </c>
      <c r="C83" s="89"/>
      <c r="D83" s="442">
        <f t="array" ref="D83">((SUM(IF((CkDJ[Date]&lt;=$A$7)*(CkDJ[Account Code]=(TRIM($B83))),CkDJ[Debit])))+(SUM(IF((CsDJ[Date]&lt;=$A$7)*(CsDJ[Account Code]=(TRIM($B83))),CsDJ[Debit])))+(SUM(IF((CRDJ[Date]&lt;=$A$7)*(CRDJ[Account Code]=(TRIM($B83))),CRDJ[Debit])))+(SUM(IF((GJ[Date]&lt;=$A$7)*(GJ[Account Code]=(TRIM($B83))),GJ[Debit]))))-((SUM(IF((CkDJ[Date]&lt;=$A$7)*(CkDJ[Account Code]=(TRIM($B83))),CkDJ[Credit])))+(SUM(IF((CsDJ[Date]&lt;=$A$7)*(CsDJ[Account Code]=(TRIM($B83))),CsDJ[Credit])))+(SUM(IF((CRDJ[Date]&lt;=$A$7)*(CRDJ[Account Code]=(TRIM($B83))),CRDJ[Credit])))+(SUM(IF((GJ[Date]&lt;=$A$7)*(GJ[Account Code]=(TRIM($B83))),GJ[Credit]))))</f>
        <v>0</v>
      </c>
      <c r="E83" s="89"/>
    </row>
    <row r="84" spans="1:5">
      <c r="A84" s="440" t="s">
        <v>1117</v>
      </c>
      <c r="B84" s="441" t="s">
        <v>249</v>
      </c>
      <c r="C84" s="89"/>
      <c r="D84" s="442">
        <f t="array" ref="D84">((SUM(IF((CkDJ[Date]&lt;=$A$7)*(CkDJ[Account Code]=(TRIM($B84))),CkDJ[Debit])))+(SUM(IF((CsDJ[Date]&lt;=$A$7)*(CsDJ[Account Code]=(TRIM($B84))),CsDJ[Debit])))+(SUM(IF((CRDJ[Date]&lt;=$A$7)*(CRDJ[Account Code]=(TRIM($B84))),CRDJ[Debit])))+(SUM(IF((GJ[Date]&lt;=$A$7)*(GJ[Account Code]=(TRIM($B84))),GJ[Debit]))))-((SUM(IF((CkDJ[Date]&lt;=$A$7)*(CkDJ[Account Code]=(TRIM($B84))),CkDJ[Credit])))+(SUM(IF((CsDJ[Date]&lt;=$A$7)*(CsDJ[Account Code]=(TRIM($B84))),CsDJ[Credit])))+(SUM(IF((CRDJ[Date]&lt;=$A$7)*(CRDJ[Account Code]=(TRIM($B84))),CRDJ[Credit])))+(SUM(IF((GJ[Date]&lt;=$A$7)*(GJ[Account Code]=(TRIM($B84))),GJ[Credit]))))</f>
        <v>0</v>
      </c>
      <c r="E84" s="89"/>
    </row>
    <row r="85" spans="1:5">
      <c r="A85" s="440" t="s">
        <v>946</v>
      </c>
      <c r="B85" s="441" t="s">
        <v>799</v>
      </c>
      <c r="C85" s="89"/>
      <c r="D85" s="442">
        <f t="array" ref="D85">((SUM(IF((CkDJ[Date]&lt;=$A$7)*(CkDJ[Account Code]=(TRIM($B85))),CkDJ[Debit])))+(SUM(IF((CsDJ[Date]&lt;=$A$7)*(CsDJ[Account Code]=(TRIM($B85))),CsDJ[Debit])))+(SUM(IF((CRDJ[Date]&lt;=$A$7)*(CRDJ[Account Code]=(TRIM($B85))),CRDJ[Debit])))+(SUM(IF((GJ[Date]&lt;=$A$7)*(GJ[Account Code]=(TRIM($B85))),GJ[Debit]))))-((SUM(IF((CkDJ[Date]&lt;=$A$7)*(CkDJ[Account Code]=(TRIM($B85))),CkDJ[Credit])))+(SUM(IF((CsDJ[Date]&lt;=$A$7)*(CsDJ[Account Code]=(TRIM($B85))),CsDJ[Credit])))+(SUM(IF((CRDJ[Date]&lt;=$A$7)*(CRDJ[Account Code]=(TRIM($B85))),CRDJ[Credit])))+(SUM(IF((GJ[Date]&lt;=$A$7)*(GJ[Account Code]=(TRIM($B85))),GJ[Credit]))))</f>
        <v>0</v>
      </c>
      <c r="E85" s="89"/>
    </row>
    <row r="86" spans="1:5">
      <c r="A86" s="440" t="s">
        <v>1118</v>
      </c>
      <c r="B86" s="441" t="s">
        <v>250</v>
      </c>
      <c r="C86" s="89"/>
      <c r="D86" s="442">
        <f t="array" ref="D86">((SUM(IF((CkDJ[Date]&lt;=$A$7)*(CkDJ[Account Code]=(TRIM($B86))),CkDJ[Debit])))+(SUM(IF((CsDJ[Date]&lt;=$A$7)*(CsDJ[Account Code]=(TRIM($B86))),CsDJ[Debit])))+(SUM(IF((CRDJ[Date]&lt;=$A$7)*(CRDJ[Account Code]=(TRIM($B86))),CRDJ[Debit])))+(SUM(IF((GJ[Date]&lt;=$A$7)*(GJ[Account Code]=(TRIM($B86))),GJ[Debit]))))-((SUM(IF((CkDJ[Date]&lt;=$A$7)*(CkDJ[Account Code]=(TRIM($B86))),CkDJ[Credit])))+(SUM(IF((CsDJ[Date]&lt;=$A$7)*(CsDJ[Account Code]=(TRIM($B86))),CsDJ[Credit])))+(SUM(IF((CRDJ[Date]&lt;=$A$7)*(CRDJ[Account Code]=(TRIM($B86))),CRDJ[Credit])))+(SUM(IF((GJ[Date]&lt;=$A$7)*(GJ[Account Code]=(TRIM($B86))),GJ[Credit]))))</f>
        <v>0</v>
      </c>
      <c r="E86" s="89"/>
    </row>
    <row r="87" spans="1:5">
      <c r="A87" s="320" t="s">
        <v>1119</v>
      </c>
      <c r="B87" s="437"/>
      <c r="C87" s="89"/>
      <c r="D87" s="439">
        <f>SUM(D88:D96)</f>
        <v>0</v>
      </c>
      <c r="E87" s="89"/>
    </row>
    <row r="88" spans="1:5">
      <c r="A88" s="440" t="s">
        <v>1148</v>
      </c>
      <c r="B88" s="441" t="s">
        <v>251</v>
      </c>
      <c r="C88" s="89"/>
      <c r="D88" s="442">
        <f t="array" ref="D88">((SUM(IF((CkDJ[Date]&lt;=$A$7)*(CkDJ[Account Code]=(TRIM($B88))),CkDJ[Debit])))+(SUM(IF((CsDJ[Date]&lt;=$A$7)*(CsDJ[Account Code]=(TRIM($B88))),CsDJ[Debit])))+(SUM(IF((CRDJ[Date]&lt;=$A$7)*(CRDJ[Account Code]=(TRIM($B88))),CRDJ[Debit])))+(SUM(IF((GJ[Date]&lt;=$A$7)*(GJ[Account Code]=(TRIM($B88))),GJ[Debit]))))-((SUM(IF((CkDJ[Date]&lt;=$A$7)*(CkDJ[Account Code]=(TRIM($B88))),CkDJ[Credit])))+(SUM(IF((CsDJ[Date]&lt;=$A$7)*(CsDJ[Account Code]=(TRIM($B88))),CsDJ[Credit])))+(SUM(IF((CRDJ[Date]&lt;=$A$7)*(CRDJ[Account Code]=(TRIM($B88))),CRDJ[Credit])))+(SUM(IF((GJ[Date]&lt;=$A$7)*(GJ[Account Code]=(TRIM($B88))),GJ[Credit]))))</f>
        <v>0</v>
      </c>
      <c r="E88" s="89"/>
    </row>
    <row r="89" spans="1:5">
      <c r="A89" s="440" t="s">
        <v>1149</v>
      </c>
      <c r="B89" s="441" t="s">
        <v>253</v>
      </c>
      <c r="C89" s="89"/>
      <c r="D89" s="442">
        <f t="array" ref="D89">((SUM(IF((CkDJ[Date]&lt;=$A$7)*(CkDJ[Account Code]=(TRIM($B89))),CkDJ[Debit])))+(SUM(IF((CsDJ[Date]&lt;=$A$7)*(CsDJ[Account Code]=(TRIM($B89))),CsDJ[Debit])))+(SUM(IF((CRDJ[Date]&lt;=$A$7)*(CRDJ[Account Code]=(TRIM($B89))),CRDJ[Debit])))+(SUM(IF((GJ[Date]&lt;=$A$7)*(GJ[Account Code]=(TRIM($B89))),GJ[Debit]))))-((SUM(IF((CkDJ[Date]&lt;=$A$7)*(CkDJ[Account Code]=(TRIM($B89))),CkDJ[Credit])))+(SUM(IF((CsDJ[Date]&lt;=$A$7)*(CsDJ[Account Code]=(TRIM($B89))),CsDJ[Credit])))+(SUM(IF((CRDJ[Date]&lt;=$A$7)*(CRDJ[Account Code]=(TRIM($B89))),CRDJ[Credit])))+(SUM(IF((GJ[Date]&lt;=$A$7)*(GJ[Account Code]=(TRIM($B89))),GJ[Credit]))))</f>
        <v>0</v>
      </c>
      <c r="E89" s="89"/>
    </row>
    <row r="90" spans="1:5">
      <c r="A90" s="440" t="s">
        <v>1150</v>
      </c>
      <c r="B90" s="441" t="s">
        <v>256</v>
      </c>
      <c r="C90" s="89"/>
      <c r="D90" s="442">
        <f t="array" ref="D90">((SUM(IF((CkDJ[Date]&lt;=$A$7)*(CkDJ[Account Code]=(TRIM($B90))),CkDJ[Debit])))+(SUM(IF((CsDJ[Date]&lt;=$A$7)*(CsDJ[Account Code]=(TRIM($B90))),CsDJ[Debit])))+(SUM(IF((CRDJ[Date]&lt;=$A$7)*(CRDJ[Account Code]=(TRIM($B90))),CRDJ[Debit])))+(SUM(IF((GJ[Date]&lt;=$A$7)*(GJ[Account Code]=(TRIM($B90))),GJ[Debit]))))-((SUM(IF((CkDJ[Date]&lt;=$A$7)*(CkDJ[Account Code]=(TRIM($B90))),CkDJ[Credit])))+(SUM(IF((CsDJ[Date]&lt;=$A$7)*(CsDJ[Account Code]=(TRIM($B90))),CsDJ[Credit])))+(SUM(IF((CRDJ[Date]&lt;=$A$7)*(CRDJ[Account Code]=(TRIM($B90))),CRDJ[Credit])))+(SUM(IF((GJ[Date]&lt;=$A$7)*(GJ[Account Code]=(TRIM($B90))),GJ[Credit]))))</f>
        <v>0</v>
      </c>
      <c r="E90" s="89"/>
    </row>
    <row r="91" spans="1:5">
      <c r="A91" s="440" t="s">
        <v>1151</v>
      </c>
      <c r="B91" s="441" t="s">
        <v>264</v>
      </c>
      <c r="C91" s="89"/>
      <c r="D91" s="442">
        <f t="array" ref="D91">((SUM(IF((CkDJ[Date]&lt;=$A$7)*(CkDJ[Account Code]=(TRIM($B91))),CkDJ[Debit])))+(SUM(IF((CsDJ[Date]&lt;=$A$7)*(CsDJ[Account Code]=(TRIM($B91))),CsDJ[Debit])))+(SUM(IF((CRDJ[Date]&lt;=$A$7)*(CRDJ[Account Code]=(TRIM($B91))),CRDJ[Debit])))+(SUM(IF((GJ[Date]&lt;=$A$7)*(GJ[Account Code]=(TRIM($B91))),GJ[Debit]))))-((SUM(IF((CkDJ[Date]&lt;=$A$7)*(CkDJ[Account Code]=(TRIM($B91))),CkDJ[Credit])))+(SUM(IF((CsDJ[Date]&lt;=$A$7)*(CsDJ[Account Code]=(TRIM($B91))),CsDJ[Credit])))+(SUM(IF((CRDJ[Date]&lt;=$A$7)*(CRDJ[Account Code]=(TRIM($B91))),CRDJ[Credit])))+(SUM(IF((GJ[Date]&lt;=$A$7)*(GJ[Account Code]=(TRIM($B91))),GJ[Credit]))))</f>
        <v>0</v>
      </c>
      <c r="E91" s="89"/>
    </row>
    <row r="92" spans="1:5">
      <c r="A92" s="440" t="s">
        <v>1152</v>
      </c>
      <c r="B92" s="441" t="s">
        <v>265</v>
      </c>
      <c r="C92" s="89"/>
      <c r="D92" s="442">
        <f t="array" ref="D92">((SUM(IF((CkDJ[Date]&lt;=$A$7)*(CkDJ[Account Code]=(TRIM($B92))),CkDJ[Debit])))+(SUM(IF((CsDJ[Date]&lt;=$A$7)*(CsDJ[Account Code]=(TRIM($B92))),CsDJ[Debit])))+(SUM(IF((CRDJ[Date]&lt;=$A$7)*(CRDJ[Account Code]=(TRIM($B92))),CRDJ[Debit])))+(SUM(IF((GJ[Date]&lt;=$A$7)*(GJ[Account Code]=(TRIM($B92))),GJ[Debit]))))-((SUM(IF((CkDJ[Date]&lt;=$A$7)*(CkDJ[Account Code]=(TRIM($B92))),CkDJ[Credit])))+(SUM(IF((CsDJ[Date]&lt;=$A$7)*(CsDJ[Account Code]=(TRIM($B92))),CsDJ[Credit])))+(SUM(IF((CRDJ[Date]&lt;=$A$7)*(CRDJ[Account Code]=(TRIM($B92))),CRDJ[Credit])))+(SUM(IF((GJ[Date]&lt;=$A$7)*(GJ[Account Code]=(TRIM($B92))),GJ[Credit]))))</f>
        <v>0</v>
      </c>
      <c r="E92" s="89"/>
    </row>
    <row r="93" spans="1:5">
      <c r="A93" s="440" t="s">
        <v>1153</v>
      </c>
      <c r="B93" s="441" t="s">
        <v>267</v>
      </c>
      <c r="C93" s="89"/>
      <c r="D93" s="442">
        <f t="array" ref="D93">((SUM(IF((CkDJ[Date]&lt;=$A$7)*(CkDJ[Account Code]=(TRIM($B93))),CkDJ[Debit])))+(SUM(IF((CsDJ[Date]&lt;=$A$7)*(CsDJ[Account Code]=(TRIM($B93))),CsDJ[Debit])))+(SUM(IF((CRDJ[Date]&lt;=$A$7)*(CRDJ[Account Code]=(TRIM($B93))),CRDJ[Debit])))+(SUM(IF((GJ[Date]&lt;=$A$7)*(GJ[Account Code]=(TRIM($B93))),GJ[Debit]))))-((SUM(IF((CkDJ[Date]&lt;=$A$7)*(CkDJ[Account Code]=(TRIM($B93))),CkDJ[Credit])))+(SUM(IF((CsDJ[Date]&lt;=$A$7)*(CsDJ[Account Code]=(TRIM($B93))),CsDJ[Credit])))+(SUM(IF((CRDJ[Date]&lt;=$A$7)*(CRDJ[Account Code]=(TRIM($B93))),CRDJ[Credit])))+(SUM(IF((GJ[Date]&lt;=$A$7)*(GJ[Account Code]=(TRIM($B93))),GJ[Credit]))))</f>
        <v>0</v>
      </c>
      <c r="E93" s="89"/>
    </row>
    <row r="94" spans="1:5">
      <c r="A94" s="440" t="s">
        <v>1154</v>
      </c>
      <c r="B94" s="441" t="s">
        <v>258</v>
      </c>
      <c r="C94" s="89"/>
      <c r="D94" s="442">
        <f t="array" ref="D94">((SUM(IF((CkDJ[Date]&lt;=$A$7)*(CkDJ[Account Code]=(TRIM($B94))),CkDJ[Debit])))+(SUM(IF((CsDJ[Date]&lt;=$A$7)*(CsDJ[Account Code]=(TRIM($B94))),CsDJ[Debit])))+(SUM(IF((CRDJ[Date]&lt;=$A$7)*(CRDJ[Account Code]=(TRIM($B94))),CRDJ[Debit])))+(SUM(IF((GJ[Date]&lt;=$A$7)*(GJ[Account Code]=(TRIM($B94))),GJ[Debit]))))-((SUM(IF((CkDJ[Date]&lt;=$A$7)*(CkDJ[Account Code]=(TRIM($B94))),CkDJ[Credit])))+(SUM(IF((CsDJ[Date]&lt;=$A$7)*(CsDJ[Account Code]=(TRIM($B94))),CsDJ[Credit])))+(SUM(IF((CRDJ[Date]&lt;=$A$7)*(CRDJ[Account Code]=(TRIM($B94))),CRDJ[Credit])))+(SUM(IF((GJ[Date]&lt;=$A$7)*(GJ[Account Code]=(TRIM($B94))),GJ[Credit]))))</f>
        <v>0</v>
      </c>
      <c r="E94" s="89"/>
    </row>
    <row r="95" spans="1:5">
      <c r="A95" s="440" t="s">
        <v>1155</v>
      </c>
      <c r="B95" s="441" t="s">
        <v>261</v>
      </c>
      <c r="C95" s="89"/>
      <c r="D95" s="442">
        <f t="array" ref="D95">((SUM(IF((CkDJ[Date]&lt;=$A$7)*(CkDJ[Account Code]=(TRIM($B95))),CkDJ[Debit])))+(SUM(IF((CsDJ[Date]&lt;=$A$7)*(CsDJ[Account Code]=(TRIM($B95))),CsDJ[Debit])))+(SUM(IF((CRDJ[Date]&lt;=$A$7)*(CRDJ[Account Code]=(TRIM($B95))),CRDJ[Debit])))+(SUM(IF((GJ[Date]&lt;=$A$7)*(GJ[Account Code]=(TRIM($B95))),GJ[Debit]))))-((SUM(IF((CkDJ[Date]&lt;=$A$7)*(CkDJ[Account Code]=(TRIM($B95))),CkDJ[Credit])))+(SUM(IF((CsDJ[Date]&lt;=$A$7)*(CsDJ[Account Code]=(TRIM($B95))),CsDJ[Credit])))+(SUM(IF((CRDJ[Date]&lt;=$A$7)*(CRDJ[Account Code]=(TRIM($B95))),CRDJ[Credit])))+(SUM(IF((GJ[Date]&lt;=$A$7)*(GJ[Account Code]=(TRIM($B95))),GJ[Credit]))))</f>
        <v>0</v>
      </c>
      <c r="E95" s="89"/>
    </row>
    <row r="96" spans="1:5">
      <c r="A96" s="440" t="s">
        <v>1156</v>
      </c>
      <c r="B96" s="441" t="s">
        <v>262</v>
      </c>
      <c r="C96" s="89"/>
      <c r="D96" s="442">
        <f t="array" ref="D96">((SUM(IF((CkDJ[Date]&lt;=$A$7)*(CkDJ[Account Code]=(TRIM($B96))),CkDJ[Debit])))+(SUM(IF((CsDJ[Date]&lt;=$A$7)*(CsDJ[Account Code]=(TRIM($B96))),CsDJ[Debit])))+(SUM(IF((CRDJ[Date]&lt;=$A$7)*(CRDJ[Account Code]=(TRIM($B96))),CRDJ[Debit])))+(SUM(IF((GJ[Date]&lt;=$A$7)*(GJ[Account Code]=(TRIM($B96))),GJ[Debit]))))-((SUM(IF((CkDJ[Date]&lt;=$A$7)*(CkDJ[Account Code]=(TRIM($B96))),CkDJ[Credit])))+(SUM(IF((CsDJ[Date]&lt;=$A$7)*(CsDJ[Account Code]=(TRIM($B96))),CsDJ[Credit])))+(SUM(IF((CRDJ[Date]&lt;=$A$7)*(CRDJ[Account Code]=(TRIM($B96))),CRDJ[Credit])))+(SUM(IF((GJ[Date]&lt;=$A$7)*(GJ[Account Code]=(TRIM($B96))),GJ[Credit]))))</f>
        <v>0</v>
      </c>
      <c r="E96" s="89"/>
    </row>
    <row r="97" spans="1:5">
      <c r="A97" s="452" t="s">
        <v>1120</v>
      </c>
      <c r="B97" s="437" t="s">
        <v>269</v>
      </c>
      <c r="C97" s="89"/>
      <c r="D97" s="442">
        <f t="array" ref="D97">((SUM(IF((CkDJ[Date]&lt;=$A$7)*(CkDJ[Account Code]=(TRIM($B97))),CkDJ[Debit])))+(SUM(IF((CsDJ[Date]&lt;=$A$7)*(CsDJ[Account Code]=(TRIM($B97))),CsDJ[Debit])))+(SUM(IF((CRDJ[Date]&lt;=$A$7)*(CRDJ[Account Code]=(TRIM($B97))),CRDJ[Debit])))+(SUM(IF((GJ[Date]&lt;=$A$7)*(GJ[Account Code]=(TRIM($B97))),GJ[Debit]))))-((SUM(IF((CkDJ[Date]&lt;=$A$7)*(CkDJ[Account Code]=(TRIM($B97))),CkDJ[Credit])))+(SUM(IF((CsDJ[Date]&lt;=$A$7)*(CsDJ[Account Code]=(TRIM($B97))),CsDJ[Credit])))+(SUM(IF((CRDJ[Date]&lt;=$A$7)*(CRDJ[Account Code]=(TRIM($B97))),CRDJ[Credit])))+(SUM(IF((GJ[Date]&lt;=$A$7)*(GJ[Account Code]=(TRIM($B97))),GJ[Credit]))))</f>
        <v>0</v>
      </c>
      <c r="E97" s="89"/>
    </row>
    <row r="98" spans="1:5">
      <c r="A98" s="452" t="s">
        <v>1121</v>
      </c>
      <c r="B98" s="437"/>
      <c r="C98" s="89"/>
      <c r="D98" s="439">
        <f>SUM(D99:D104)</f>
        <v>0</v>
      </c>
      <c r="E98" s="89"/>
    </row>
    <row r="99" spans="1:5">
      <c r="A99" s="440" t="s">
        <v>1122</v>
      </c>
      <c r="B99" s="441" t="s">
        <v>989</v>
      </c>
      <c r="C99" s="89"/>
      <c r="D99" s="442">
        <f t="array" ref="D99">((SUM(IF((CkDJ[Date]&lt;=$A$7)*(CkDJ[Account Code]=(TRIM($B99))),CkDJ[Debit])))+(SUM(IF((CsDJ[Date]&lt;=$A$7)*(CsDJ[Account Code]=(TRIM($B99))),CsDJ[Debit])))+(SUM(IF((CRDJ[Date]&lt;=$A$7)*(CRDJ[Account Code]=(TRIM($B99))),CRDJ[Debit])))+(SUM(IF((GJ[Date]&lt;=$A$7)*(GJ[Account Code]=(TRIM($B99))),GJ[Debit]))))-((SUM(IF((CkDJ[Date]&lt;=$A$7)*(CkDJ[Account Code]=(TRIM($B99))),CkDJ[Credit])))+(SUM(IF((CsDJ[Date]&lt;=$A$7)*(CsDJ[Account Code]=(TRIM($B99))),CsDJ[Credit])))+(SUM(IF((CRDJ[Date]&lt;=$A$7)*(CRDJ[Account Code]=(TRIM($B99))),CRDJ[Credit])))+(SUM(IF((GJ[Date]&lt;=$A$7)*(GJ[Account Code]=(TRIM($B99))),GJ[Credit]))))</f>
        <v>0</v>
      </c>
      <c r="E99" s="89"/>
    </row>
    <row r="100" spans="1:5">
      <c r="A100" s="440" t="s">
        <v>1123</v>
      </c>
      <c r="B100" s="441" t="s">
        <v>271</v>
      </c>
      <c r="C100" s="89"/>
      <c r="D100" s="442">
        <f t="array" ref="D100">((SUM(IF((CkDJ[Date]&lt;=$A$7)*(CkDJ[Account Code]=(TRIM($B100))),CkDJ[Debit])))+(SUM(IF((CsDJ[Date]&lt;=$A$7)*(CsDJ[Account Code]=(TRIM($B100))),CsDJ[Debit])))+(SUM(IF((CRDJ[Date]&lt;=$A$7)*(CRDJ[Account Code]=(TRIM($B100))),CRDJ[Debit])))+(SUM(IF((GJ[Date]&lt;=$A$7)*(GJ[Account Code]=(TRIM($B100))),GJ[Debit]))))-((SUM(IF((CkDJ[Date]&lt;=$A$7)*(CkDJ[Account Code]=(TRIM($B100))),CkDJ[Credit])))+(SUM(IF((CsDJ[Date]&lt;=$A$7)*(CsDJ[Account Code]=(TRIM($B100))),CsDJ[Credit])))+(SUM(IF((CRDJ[Date]&lt;=$A$7)*(CRDJ[Account Code]=(TRIM($B100))),CRDJ[Credit])))+(SUM(IF((GJ[Date]&lt;=$A$7)*(GJ[Account Code]=(TRIM($B100))),GJ[Credit]))))</f>
        <v>0</v>
      </c>
      <c r="E100" s="89"/>
    </row>
    <row r="101" spans="1:5">
      <c r="A101" s="440" t="s">
        <v>1124</v>
      </c>
      <c r="B101" s="441" t="s">
        <v>331</v>
      </c>
      <c r="C101" s="89"/>
      <c r="D101" s="442">
        <f t="array" ref="D101">((SUM(IF((CkDJ[Date]&lt;=$A$7)*(CkDJ[Account Code]=(TRIM($B101))),CkDJ[Debit])))+(SUM(IF((CsDJ[Date]&lt;=$A$7)*(CsDJ[Account Code]=(TRIM($B101))),CsDJ[Debit])))+(SUM(IF((CRDJ[Date]&lt;=$A$7)*(CRDJ[Account Code]=(TRIM($B101))),CRDJ[Debit])))+(SUM(IF((GJ[Date]&lt;=$A$7)*(GJ[Account Code]=(TRIM($B101))),GJ[Debit]))))-((SUM(IF((CkDJ[Date]&lt;=$A$7)*(CkDJ[Account Code]=(TRIM($B101))),CkDJ[Credit])))+(SUM(IF((CsDJ[Date]&lt;=$A$7)*(CsDJ[Account Code]=(TRIM($B101))),CsDJ[Credit])))+(SUM(IF((CRDJ[Date]&lt;=$A$7)*(CRDJ[Account Code]=(TRIM($B101))),CRDJ[Credit])))+(SUM(IF((GJ[Date]&lt;=$A$7)*(GJ[Account Code]=(TRIM($B101))),GJ[Credit]))))</f>
        <v>0</v>
      </c>
      <c r="E101" s="89"/>
    </row>
    <row r="102" spans="1:5">
      <c r="A102" s="440" t="s">
        <v>1125</v>
      </c>
      <c r="B102" s="441"/>
      <c r="C102" s="89"/>
      <c r="D102" s="438">
        <v>0</v>
      </c>
      <c r="E102" s="89"/>
    </row>
    <row r="103" spans="1:5">
      <c r="A103" s="440" t="s">
        <v>1126</v>
      </c>
      <c r="B103" s="441" t="s">
        <v>987</v>
      </c>
      <c r="C103" s="89"/>
      <c r="D103" s="442">
        <f t="array" ref="D103">((SUM(IF((CkDJ[Date]&lt;=$A$7)*(CkDJ[Account Code]=(TRIM($B103))),CkDJ[Debit])))+(SUM(IF((CsDJ[Date]&lt;=$A$7)*(CsDJ[Account Code]=(TRIM($B103))),CsDJ[Debit])))+(SUM(IF((CRDJ[Date]&lt;=$A$7)*(CRDJ[Account Code]=(TRIM($B103))),CRDJ[Debit])))+(SUM(IF((GJ[Date]&lt;=$A$7)*(GJ[Account Code]=(TRIM($B103))),GJ[Debit]))))-((SUM(IF((CkDJ[Date]&lt;=$A$7)*(CkDJ[Account Code]=(TRIM($B103))),CkDJ[Credit])))+(SUM(IF((CsDJ[Date]&lt;=$A$7)*(CsDJ[Account Code]=(TRIM($B103))),CsDJ[Credit])))+(SUM(IF((CRDJ[Date]&lt;=$A$7)*(CRDJ[Account Code]=(TRIM($B103))),CRDJ[Credit])))+(SUM(IF((GJ[Date]&lt;=$A$7)*(GJ[Account Code]=(TRIM($B103))),GJ[Credit]))))</f>
        <v>0</v>
      </c>
      <c r="E103" s="89"/>
    </row>
    <row r="104" spans="1:5">
      <c r="A104" s="440" t="s">
        <v>1127</v>
      </c>
      <c r="B104" s="441" t="s">
        <v>799</v>
      </c>
      <c r="C104" s="89"/>
      <c r="D104" s="438"/>
      <c r="E104" s="89"/>
    </row>
    <row r="105" spans="1:5">
      <c r="A105" s="453" t="s">
        <v>1128</v>
      </c>
      <c r="B105" s="454"/>
      <c r="C105" s="89"/>
      <c r="D105" s="442">
        <f>SUM(D106:D108)</f>
        <v>0</v>
      </c>
      <c r="E105" s="89"/>
    </row>
    <row r="106" spans="1:5">
      <c r="A106" s="440" t="s">
        <v>960</v>
      </c>
      <c r="B106" s="441" t="s">
        <v>272</v>
      </c>
      <c r="C106" s="89"/>
      <c r="D106" s="442">
        <f t="array" ref="D106">((SUM(IF((CkDJ[Date]&lt;=$A$7)*(CkDJ[Account Code]=(TRIM($B106))),CkDJ[Debit])))+(SUM(IF((CsDJ[Date]&lt;=$A$7)*(CsDJ[Account Code]=(TRIM($B106))),CsDJ[Debit])))+(SUM(IF((CRDJ[Date]&lt;=$A$7)*(CRDJ[Account Code]=(TRIM($B106))),CRDJ[Debit])))+(SUM(IF((GJ[Date]&lt;=$A$7)*(GJ[Account Code]=(TRIM($B106))),GJ[Debit]))))-((SUM(IF((CkDJ[Date]&lt;=$A$7)*(CkDJ[Account Code]=(TRIM($B106))),CkDJ[Credit])))+(SUM(IF((CsDJ[Date]&lt;=$A$7)*(CsDJ[Account Code]=(TRIM($B106))),CsDJ[Credit])))+(SUM(IF((CRDJ[Date]&lt;=$A$7)*(CRDJ[Account Code]=(TRIM($B106))),CRDJ[Credit])))+(SUM(IF((GJ[Date]&lt;=$A$7)*(GJ[Account Code]=(TRIM($B106))),GJ[Credit]))))</f>
        <v>0</v>
      </c>
      <c r="E106" s="89"/>
    </row>
    <row r="107" spans="1:5">
      <c r="A107" s="440" t="s">
        <v>961</v>
      </c>
      <c r="B107" s="441" t="s">
        <v>273</v>
      </c>
      <c r="C107" s="89"/>
      <c r="D107" s="442">
        <f t="array" ref="D107">((SUM(IF((CkDJ[Date]&lt;=$A$7)*(CkDJ[Account Code]=(TRIM($B107))),CkDJ[Debit])))+(SUM(IF((CsDJ[Date]&lt;=$A$7)*(CsDJ[Account Code]=(TRIM($B107))),CsDJ[Debit])))+(SUM(IF((CRDJ[Date]&lt;=$A$7)*(CRDJ[Account Code]=(TRIM($B107))),CRDJ[Debit])))+(SUM(IF((GJ[Date]&lt;=$A$7)*(GJ[Account Code]=(TRIM($B107))),GJ[Debit]))))-((SUM(IF((CkDJ[Date]&lt;=$A$7)*(CkDJ[Account Code]=(TRIM($B107))),CkDJ[Credit])))+(SUM(IF((CsDJ[Date]&lt;=$A$7)*(CsDJ[Account Code]=(TRIM($B107))),CsDJ[Credit])))+(SUM(IF((CRDJ[Date]&lt;=$A$7)*(CRDJ[Account Code]=(TRIM($B107))),CRDJ[Credit])))+(SUM(IF((GJ[Date]&lt;=$A$7)*(GJ[Account Code]=(TRIM($B107))),GJ[Credit]))))</f>
        <v>0</v>
      </c>
      <c r="E107" s="89"/>
    </row>
    <row r="108" spans="1:5">
      <c r="A108" s="440" t="s">
        <v>962</v>
      </c>
      <c r="B108" s="441" t="s">
        <v>274</v>
      </c>
      <c r="C108" s="89"/>
      <c r="D108" s="442">
        <f t="array" ref="D108">((SUM(IF((CkDJ[Date]&lt;=$A$7)*(CkDJ[Account Code]=(TRIM($B108))),CkDJ[Debit])))+(SUM(IF((CsDJ[Date]&lt;=$A$7)*(CsDJ[Account Code]=(TRIM($B108))),CsDJ[Debit])))+(SUM(IF((CRDJ[Date]&lt;=$A$7)*(CRDJ[Account Code]=(TRIM($B108))),CRDJ[Debit])))+(SUM(IF((GJ[Date]&lt;=$A$7)*(GJ[Account Code]=(TRIM($B108))),GJ[Debit]))))-((SUM(IF((CkDJ[Date]&lt;=$A$7)*(CkDJ[Account Code]=(TRIM($B108))),CkDJ[Credit])))+(SUM(IF((CsDJ[Date]&lt;=$A$7)*(CsDJ[Account Code]=(TRIM($B108))),CsDJ[Credit])))+(SUM(IF((CRDJ[Date]&lt;=$A$7)*(CRDJ[Account Code]=(TRIM($B108))),CRDJ[Credit])))+(SUM(IF((GJ[Date]&lt;=$A$7)*(GJ[Account Code]=(TRIM($B108))),GJ[Credit]))))</f>
        <v>0</v>
      </c>
      <c r="E108" s="89"/>
    </row>
    <row r="109" spans="1:5">
      <c r="A109" s="453" t="s">
        <v>1129</v>
      </c>
      <c r="B109" s="454" t="s">
        <v>334</v>
      </c>
      <c r="C109" s="89"/>
      <c r="D109" s="442">
        <f t="array" ref="D109">((SUM(IF((CkDJ[Date]&lt;=$A$7)*(CkDJ[Account Code]=(TRIM($B109))),CkDJ[Debit])))+(SUM(IF((CsDJ[Date]&lt;=$A$7)*(CsDJ[Account Code]=(TRIM($B109))),CsDJ[Debit])))+(SUM(IF((CRDJ[Date]&lt;=$A$7)*(CRDJ[Account Code]=(TRIM($B109))),CRDJ[Debit])))+(SUM(IF((GJ[Date]&lt;=$A$7)*(GJ[Account Code]=(TRIM($B109))),GJ[Debit]))))-((SUM(IF((CkDJ[Date]&lt;=$A$7)*(CkDJ[Account Code]=(TRIM($B109))),CkDJ[Credit])))+(SUM(IF((CsDJ[Date]&lt;=$A$7)*(CsDJ[Account Code]=(TRIM($B109))),CsDJ[Credit])))+(SUM(IF((CRDJ[Date]&lt;=$A$7)*(CRDJ[Account Code]=(TRIM($B109))),CRDJ[Credit])))+(SUM(IF((GJ[Date]&lt;=$A$7)*(GJ[Account Code]=(TRIM($B109))),GJ[Credit]))))</f>
        <v>0</v>
      </c>
      <c r="E109" s="89"/>
    </row>
    <row r="110" spans="1:5">
      <c r="A110" s="453" t="s">
        <v>1130</v>
      </c>
      <c r="B110" s="454" t="s">
        <v>333</v>
      </c>
      <c r="C110" s="89"/>
      <c r="D110" s="442">
        <f t="array" ref="D110">((SUM(IF((CkDJ[Date]&lt;=$A$7)*(CkDJ[Account Code]=(TRIM($B110))),CkDJ[Debit])))+(SUM(IF((CsDJ[Date]&lt;=$A$7)*(CsDJ[Account Code]=(TRIM($B110))),CsDJ[Debit])))+(SUM(IF((CRDJ[Date]&lt;=$A$7)*(CRDJ[Account Code]=(TRIM($B110))),CRDJ[Debit])))+(SUM(IF((GJ[Date]&lt;=$A$7)*(GJ[Account Code]=(TRIM($B110))),GJ[Debit]))))-((SUM(IF((CkDJ[Date]&lt;=$A$7)*(CkDJ[Account Code]=(TRIM($B110))),CkDJ[Credit])))+(SUM(IF((CsDJ[Date]&lt;=$A$7)*(CsDJ[Account Code]=(TRIM($B110))),CsDJ[Credit])))+(SUM(IF((CRDJ[Date]&lt;=$A$7)*(CRDJ[Account Code]=(TRIM($B110))),CRDJ[Credit])))+(SUM(IF((GJ[Date]&lt;=$A$7)*(GJ[Account Code]=(TRIM($B110))),GJ[Credit]))))</f>
        <v>0</v>
      </c>
      <c r="E110" s="89"/>
    </row>
    <row r="111" spans="1:5">
      <c r="A111" s="453" t="s">
        <v>1131</v>
      </c>
      <c r="B111" s="454" t="s">
        <v>335</v>
      </c>
      <c r="C111" s="89"/>
      <c r="D111" s="442">
        <f t="array" ref="D111">((SUM(IF((CkDJ[Date]&lt;=$A$7)*(CkDJ[Account Code]=(TRIM($B111))),CkDJ[Debit])))+(SUM(IF((CsDJ[Date]&lt;=$A$7)*(CsDJ[Account Code]=(TRIM($B111))),CsDJ[Debit])))+(SUM(IF((CRDJ[Date]&lt;=$A$7)*(CRDJ[Account Code]=(TRIM($B111))),CRDJ[Debit])))+(SUM(IF((GJ[Date]&lt;=$A$7)*(GJ[Account Code]=(TRIM($B111))),GJ[Debit]))))-((SUM(IF((CkDJ[Date]&lt;=$A$7)*(CkDJ[Account Code]=(TRIM($B111))),CkDJ[Credit])))+(SUM(IF((CsDJ[Date]&lt;=$A$7)*(CsDJ[Account Code]=(TRIM($B111))),CsDJ[Credit])))+(SUM(IF((CRDJ[Date]&lt;=$A$7)*(CRDJ[Account Code]=(TRIM($B111))),CRDJ[Credit])))+(SUM(IF((GJ[Date]&lt;=$A$7)*(GJ[Account Code]=(TRIM($B111))),GJ[Credit]))))</f>
        <v>0</v>
      </c>
      <c r="E111" s="89"/>
    </row>
    <row r="112" spans="1:5">
      <c r="A112" s="453" t="s">
        <v>1132</v>
      </c>
      <c r="B112" s="454" t="s">
        <v>799</v>
      </c>
      <c r="C112" s="89"/>
      <c r="D112" s="442">
        <f t="array" ref="D112">((SUM(IF((CkDJ[Date]&lt;=$A$7)*(CkDJ[Account Code]=(TRIM($B112))),CkDJ[Debit])))+(SUM(IF((CsDJ[Date]&lt;=$A$7)*(CsDJ[Account Code]=(TRIM($B112))),CsDJ[Debit])))+(SUM(IF((CRDJ[Date]&lt;=$A$7)*(CRDJ[Account Code]=(TRIM($B112))),CRDJ[Debit])))+(SUM(IF((GJ[Date]&lt;=$A$7)*(GJ[Account Code]=(TRIM($B112))),GJ[Debit]))))-((SUM(IF((CkDJ[Date]&lt;=$A$7)*(CkDJ[Account Code]=(TRIM($B112))),CkDJ[Credit])))+(SUM(IF((CsDJ[Date]&lt;=$A$7)*(CsDJ[Account Code]=(TRIM($B112))),CsDJ[Credit])))+(SUM(IF((CRDJ[Date]&lt;=$A$7)*(CRDJ[Account Code]=(TRIM($B112))),CRDJ[Credit])))+(SUM(IF((GJ[Date]&lt;=$A$7)*(GJ[Account Code]=(TRIM($B112))),GJ[Credit]))))</f>
        <v>0</v>
      </c>
      <c r="E112" s="89"/>
    </row>
    <row r="113" spans="1:5">
      <c r="A113" s="453" t="s">
        <v>1133</v>
      </c>
      <c r="B113" s="454" t="s">
        <v>799</v>
      </c>
      <c r="C113" s="89"/>
      <c r="D113" s="442">
        <f t="array" ref="D113">((SUM(IF((CkDJ[Date]&lt;=$A$7)*(CkDJ[Account Code]=(TRIM($B113))),CkDJ[Debit])))+(SUM(IF((CsDJ[Date]&lt;=$A$7)*(CsDJ[Account Code]=(TRIM($B113))),CsDJ[Debit])))+(SUM(IF((CRDJ[Date]&lt;=$A$7)*(CRDJ[Account Code]=(TRIM($B113))),CRDJ[Debit])))+(SUM(IF((GJ[Date]&lt;=$A$7)*(GJ[Account Code]=(TRIM($B113))),GJ[Debit]))))-((SUM(IF((CkDJ[Date]&lt;=$A$7)*(CkDJ[Account Code]=(TRIM($B113))),CkDJ[Credit])))+(SUM(IF((CsDJ[Date]&lt;=$A$7)*(CsDJ[Account Code]=(TRIM($B113))),CsDJ[Credit])))+(SUM(IF((CRDJ[Date]&lt;=$A$7)*(CRDJ[Account Code]=(TRIM($B113))),CRDJ[Credit])))+(SUM(IF((GJ[Date]&lt;=$A$7)*(GJ[Account Code]=(TRIM($B113))),GJ[Credit]))))</f>
        <v>0</v>
      </c>
      <c r="E113" s="89"/>
    </row>
    <row r="114" spans="1:5">
      <c r="A114" s="453" t="s">
        <v>1134</v>
      </c>
      <c r="B114" s="454" t="s">
        <v>799</v>
      </c>
      <c r="C114" s="89"/>
      <c r="D114" s="442">
        <f t="array" ref="D114">((SUM(IF((CkDJ[Date]&lt;=$A$7)*(CkDJ[Account Code]=(TRIM($B114))),CkDJ[Debit])))+(SUM(IF((CsDJ[Date]&lt;=$A$7)*(CsDJ[Account Code]=(TRIM($B114))),CsDJ[Debit])))+(SUM(IF((CRDJ[Date]&lt;=$A$7)*(CRDJ[Account Code]=(TRIM($B114))),CRDJ[Debit])))+(SUM(IF((GJ[Date]&lt;=$A$7)*(GJ[Account Code]=(TRIM($B114))),GJ[Debit]))))-((SUM(IF((CkDJ[Date]&lt;=$A$7)*(CkDJ[Account Code]=(TRIM($B114))),CkDJ[Credit])))+(SUM(IF((CsDJ[Date]&lt;=$A$7)*(CsDJ[Account Code]=(TRIM($B114))),CsDJ[Credit])))+(SUM(IF((CRDJ[Date]&lt;=$A$7)*(CRDJ[Account Code]=(TRIM($B114))),CRDJ[Credit])))+(SUM(IF((GJ[Date]&lt;=$A$7)*(GJ[Account Code]=(TRIM($B114))),GJ[Credit]))))</f>
        <v>0</v>
      </c>
      <c r="E114" s="89"/>
    </row>
    <row r="115" spans="1:5">
      <c r="A115" s="453" t="s">
        <v>1135</v>
      </c>
      <c r="B115" s="454" t="s">
        <v>340</v>
      </c>
      <c r="C115" s="89"/>
      <c r="D115" s="442">
        <f t="array" ref="D115">((SUM(IF((CkDJ[Date]&lt;=$A$7)*(CkDJ[Account Code]=(TRIM($B115))),CkDJ[Debit])))+(SUM(IF((CsDJ[Date]&lt;=$A$7)*(CsDJ[Account Code]=(TRIM($B115))),CsDJ[Debit])))+(SUM(IF((CRDJ[Date]&lt;=$A$7)*(CRDJ[Account Code]=(TRIM($B115))),CRDJ[Debit])))+(SUM(IF((GJ[Date]&lt;=$A$7)*(GJ[Account Code]=(TRIM($B115))),GJ[Debit]))))-((SUM(IF((CkDJ[Date]&lt;=$A$7)*(CkDJ[Account Code]=(TRIM($B115))),CkDJ[Credit])))+(SUM(IF((CsDJ[Date]&lt;=$A$7)*(CsDJ[Account Code]=(TRIM($B115))),CsDJ[Credit])))+(SUM(IF((CRDJ[Date]&lt;=$A$7)*(CRDJ[Account Code]=(TRIM($B115))),CRDJ[Credit])))+(SUM(IF((GJ[Date]&lt;=$A$7)*(GJ[Account Code]=(TRIM($B115))),GJ[Credit]))))</f>
        <v>0</v>
      </c>
      <c r="E115" s="89"/>
    </row>
    <row r="116" spans="1:5">
      <c r="A116" s="453" t="s">
        <v>1146</v>
      </c>
      <c r="B116" s="454" t="s">
        <v>986</v>
      </c>
      <c r="C116" s="89"/>
      <c r="D116" s="442">
        <f t="array" ref="D116">((SUM(IF((CkDJ[Date]&lt;=$A$7)*(CkDJ[Account Code]=(TRIM($B116))),CkDJ[Debit])))+(SUM(IF((CsDJ[Date]&lt;=$A$7)*(CsDJ[Account Code]=(TRIM($B116))),CsDJ[Debit])))+(SUM(IF((CRDJ[Date]&lt;=$A$7)*(CRDJ[Account Code]=(TRIM($B116))),CRDJ[Debit])))+(SUM(IF((GJ[Date]&lt;=$A$7)*(GJ[Account Code]=(TRIM($B116))),GJ[Debit]))))-((SUM(IF((CkDJ[Date]&lt;=$A$7)*(CkDJ[Account Code]=(TRIM($B116))),CkDJ[Credit])))+(SUM(IF((CsDJ[Date]&lt;=$A$7)*(CsDJ[Account Code]=(TRIM($B116))),CsDJ[Credit])))+(SUM(IF((CRDJ[Date]&lt;=$A$7)*(CRDJ[Account Code]=(TRIM($B116))),CRDJ[Credit])))+(SUM(IF((GJ[Date]&lt;=$A$7)*(GJ[Account Code]=(TRIM($B116))),GJ[Credit]))))</f>
        <v>0</v>
      </c>
      <c r="E116" s="89"/>
    </row>
    <row r="117" spans="1:5">
      <c r="A117" s="453" t="s">
        <v>1136</v>
      </c>
      <c r="B117" s="454" t="s">
        <v>799</v>
      </c>
      <c r="C117" s="89"/>
      <c r="D117" s="442">
        <f t="array" ref="D117">((SUM(IF((CkDJ[Date]&lt;=$A$7)*(CkDJ[Account Code]=(TRIM($B117))),CkDJ[Debit])))+(SUM(IF((CsDJ[Date]&lt;=$A$7)*(CsDJ[Account Code]=(TRIM($B117))),CsDJ[Debit])))+(SUM(IF((CRDJ[Date]&lt;=$A$7)*(CRDJ[Account Code]=(TRIM($B117))),CRDJ[Debit])))+(SUM(IF((GJ[Date]&lt;=$A$7)*(GJ[Account Code]=(TRIM($B117))),GJ[Debit]))))-((SUM(IF((CkDJ[Date]&lt;=$A$7)*(CkDJ[Account Code]=(TRIM($B117))),CkDJ[Credit])))+(SUM(IF((CsDJ[Date]&lt;=$A$7)*(CsDJ[Account Code]=(TRIM($B117))),CsDJ[Credit])))+(SUM(IF((CRDJ[Date]&lt;=$A$7)*(CRDJ[Account Code]=(TRIM($B117))),CRDJ[Credit])))+(SUM(IF((GJ[Date]&lt;=$A$7)*(GJ[Account Code]=(TRIM($B117))),GJ[Credit]))))</f>
        <v>0</v>
      </c>
      <c r="E117" s="89"/>
    </row>
    <row r="118" spans="1:5">
      <c r="A118" s="455" t="s">
        <v>1137</v>
      </c>
      <c r="B118" s="445"/>
      <c r="C118" s="446">
        <v>77582707.069999993</v>
      </c>
      <c r="D118" s="447">
        <f>D50+D51+D52+D61+D66+D70+D71+D72+D73+D74+D75+D76+D77+D78+D87+D97+D98+D105+D109+D110+D111+D112+D113+D114+D115+D117+D116</f>
        <v>0</v>
      </c>
      <c r="E118" s="446">
        <f>SUM(C118-D118)</f>
        <v>77582707.069999993</v>
      </c>
    </row>
    <row r="119" spans="1:5">
      <c r="A119" s="455" t="s">
        <v>1015</v>
      </c>
      <c r="B119" s="445"/>
      <c r="C119" s="446">
        <v>8550000</v>
      </c>
      <c r="D119" s="456">
        <v>0</v>
      </c>
      <c r="E119" s="446">
        <f>+C119-D119</f>
        <v>8550000</v>
      </c>
    </row>
    <row r="120" spans="1:5">
      <c r="A120" s="455" t="s">
        <v>717</v>
      </c>
      <c r="B120" s="445"/>
      <c r="C120" s="446">
        <f>SUM(C47+C118+C119)</f>
        <v>185108987.61000001</v>
      </c>
      <c r="D120" s="456">
        <f>SUM(D118+D47+D119)</f>
        <v>0</v>
      </c>
      <c r="E120" s="446">
        <f>+C120-D120</f>
        <v>185108987.61000001</v>
      </c>
    </row>
    <row r="121" spans="1:5">
      <c r="D121" s="163"/>
      <c r="E121" s="163"/>
    </row>
    <row r="122" spans="1:5">
      <c r="D122" s="163"/>
      <c r="E122" s="163"/>
    </row>
    <row r="123" spans="1:5">
      <c r="A123" s="126" t="s">
        <v>1138</v>
      </c>
      <c r="C123" s="25" t="s">
        <v>1139</v>
      </c>
      <c r="E123" s="457"/>
    </row>
    <row r="124" spans="1:5">
      <c r="D124" s="163"/>
      <c r="E124" s="457"/>
    </row>
    <row r="125" spans="1:5">
      <c r="E125" s="163"/>
    </row>
    <row r="126" spans="1:5">
      <c r="A126" s="195" t="s">
        <v>745</v>
      </c>
      <c r="B126" s="458"/>
      <c r="C126" s="1320" t="s">
        <v>3</v>
      </c>
      <c r="D126" s="1320"/>
      <c r="E126" s="1320"/>
    </row>
    <row r="127" spans="1:5">
      <c r="A127" s="86" t="s">
        <v>1140</v>
      </c>
      <c r="B127" s="129"/>
      <c r="C127" s="1321" t="s">
        <v>464</v>
      </c>
      <c r="D127" s="1322"/>
      <c r="E127" s="1322"/>
    </row>
    <row r="130" spans="1:5">
      <c r="A130" s="459" t="s">
        <v>1141</v>
      </c>
      <c r="B130" s="460"/>
    </row>
    <row r="133" spans="1:5">
      <c r="A133" s="461" t="s">
        <v>744</v>
      </c>
      <c r="B133" s="461"/>
      <c r="C133" s="461"/>
      <c r="D133" s="461"/>
      <c r="E133" s="461"/>
    </row>
    <row r="134" spans="1:5">
      <c r="A134" s="462" t="s">
        <v>1142</v>
      </c>
      <c r="B134" s="462"/>
      <c r="C134" s="462"/>
      <c r="D134" s="462"/>
      <c r="E134" s="462"/>
    </row>
  </sheetData>
  <mergeCells count="7">
    <mergeCell ref="C126:E126"/>
    <mergeCell ref="C127:E127"/>
    <mergeCell ref="B11:B12"/>
    <mergeCell ref="A11:A12"/>
    <mergeCell ref="C11:C12"/>
    <mergeCell ref="D11:D12"/>
    <mergeCell ref="E11:E12"/>
  </mergeCells>
  <printOptions horizontalCentered="1"/>
  <pageMargins left="0.25" right="0.25" top="0.75" bottom="1.5" header="0.3" footer="1.35"/>
  <pageSetup paperSize="5" scale="75" orientation="portrait" r:id="rId1"/>
  <headerFooter>
    <oddFooter>Page &amp;P of &amp;N</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FF"/>
  </sheetPr>
  <dimension ref="A1:E134"/>
  <sheetViews>
    <sheetView workbookViewId="0"/>
  </sheetViews>
  <sheetFormatPr defaultColWidth="9" defaultRowHeight="15.75"/>
  <cols>
    <col min="1" max="1" width="49.5" style="126" customWidth="1"/>
    <col min="2" max="2" width="7" style="436" customWidth="1"/>
    <col min="3" max="5" width="17.125" style="126" customWidth="1"/>
    <col min="6" max="16384" width="9" style="126"/>
  </cols>
  <sheetData>
    <row r="1" spans="1:5">
      <c r="A1" s="430" t="s">
        <v>1063</v>
      </c>
      <c r="B1" s="431"/>
      <c r="C1" s="430"/>
      <c r="D1" s="430"/>
      <c r="E1" s="430"/>
    </row>
    <row r="2" spans="1:5" ht="22.5">
      <c r="A2" s="432" t="s">
        <v>355</v>
      </c>
      <c r="B2" s="433"/>
      <c r="C2" s="432"/>
      <c r="D2" s="432"/>
      <c r="E2" s="432"/>
    </row>
    <row r="3" spans="1:5">
      <c r="A3" s="430" t="s">
        <v>1064</v>
      </c>
      <c r="B3" s="431"/>
      <c r="C3" s="430"/>
      <c r="D3" s="430"/>
      <c r="E3" s="430"/>
    </row>
    <row r="4" spans="1:5">
      <c r="A4" s="430" t="s">
        <v>1065</v>
      </c>
      <c r="B4" s="431"/>
      <c r="C4" s="430"/>
      <c r="D4" s="430"/>
      <c r="E4" s="430"/>
    </row>
    <row r="5" spans="1:5">
      <c r="A5" s="430"/>
      <c r="B5" s="431"/>
      <c r="C5" s="430"/>
      <c r="D5" s="430"/>
      <c r="E5" s="430"/>
    </row>
    <row r="6" spans="1:5">
      <c r="A6" s="430" t="s">
        <v>1158</v>
      </c>
      <c r="B6" s="431"/>
      <c r="C6" s="430"/>
      <c r="D6" s="430"/>
      <c r="E6" s="430"/>
    </row>
    <row r="7" spans="1:5">
      <c r="A7" s="434">
        <v>42947</v>
      </c>
      <c r="B7" s="435"/>
      <c r="C7" s="430"/>
      <c r="D7" s="430"/>
      <c r="E7" s="430"/>
    </row>
    <row r="8" spans="1:5">
      <c r="A8" s="430"/>
      <c r="B8" s="431"/>
      <c r="C8" s="430"/>
      <c r="D8" s="430"/>
      <c r="E8" s="430"/>
    </row>
    <row r="9" spans="1:5">
      <c r="A9" s="430"/>
      <c r="B9" s="431"/>
      <c r="C9" s="430"/>
      <c r="D9" s="430"/>
      <c r="E9" s="430"/>
    </row>
    <row r="11" spans="1:5" ht="15" customHeight="1">
      <c r="A11" s="1237" t="s">
        <v>1066</v>
      </c>
      <c r="B11" s="1323" t="s">
        <v>403</v>
      </c>
      <c r="C11" s="1239" t="s">
        <v>1067</v>
      </c>
      <c r="D11" s="1239" t="s">
        <v>1161</v>
      </c>
      <c r="E11" s="1239" t="s">
        <v>1068</v>
      </c>
    </row>
    <row r="12" spans="1:5">
      <c r="A12" s="1237"/>
      <c r="B12" s="1323"/>
      <c r="C12" s="1239"/>
      <c r="D12" s="1239"/>
      <c r="E12" s="1239"/>
    </row>
    <row r="13" spans="1:5">
      <c r="A13" s="320" t="s">
        <v>1069</v>
      </c>
      <c r="B13" s="437"/>
      <c r="C13" s="89"/>
      <c r="D13" s="438"/>
      <c r="E13" s="89"/>
    </row>
    <row r="14" spans="1:5">
      <c r="A14" s="320" t="s">
        <v>1070</v>
      </c>
      <c r="B14" s="437"/>
      <c r="C14" s="89"/>
      <c r="D14" s="439">
        <f>SUM(D15+D16+D17)</f>
        <v>0</v>
      </c>
      <c r="E14" s="89"/>
    </row>
    <row r="15" spans="1:5">
      <c r="A15" s="440" t="s">
        <v>1071</v>
      </c>
      <c r="B15" s="441" t="s">
        <v>162</v>
      </c>
      <c r="C15" s="89"/>
      <c r="D15" s="442">
        <f t="array" ref="D15">((SUM(IF((CkDJ[Date]&lt;=$A$7)*(CkDJ[Account Code]=(TRIM($B15))),CkDJ[Debit])))+(SUM(IF((CsDJ[Date]&lt;=$A$7)*(CsDJ[Account Code]=(TRIM($B15))),CsDJ[Debit])))+(SUM(IF((CRDJ[Date]&lt;=$A$7)*(CRDJ[Account Code]=(TRIM($B15))),CRDJ[Debit])))+(SUM(IF((GJ[Date]&lt;=$A$7)*(GJ[Account Code]=(TRIM($B15))),GJ[Debit]))))-((SUM(IF((CkDJ[Date]&lt;=$A$7)*(CkDJ[Account Code]=(TRIM($B15))),CkDJ[Credit])))+(SUM(IF((CsDJ[Date]&lt;=$A$7)*(CsDJ[Account Code]=(TRIM($B15))),CsDJ[Credit])))+(SUM(IF((CRDJ[Date]&lt;=$A$7)*(CRDJ[Account Code]=(TRIM($B15))),CRDJ[Credit])))+(SUM(IF((GJ[Date]&lt;=$A$7)*(GJ[Account Code]=(TRIM($B15))),GJ[Credit]))))</f>
        <v>0</v>
      </c>
      <c r="E15" s="89"/>
    </row>
    <row r="16" spans="1:5">
      <c r="A16" s="440" t="s">
        <v>1072</v>
      </c>
      <c r="B16" s="441" t="s">
        <v>163</v>
      </c>
      <c r="C16" s="89"/>
      <c r="D16" s="442">
        <f t="array" ref="D16">((SUM(IF((CkDJ[Date]&lt;=$A$7)*(CkDJ[Account Code]=(TRIM($B16))),CkDJ[Debit])))+(SUM(IF((CsDJ[Date]&lt;=$A$7)*(CsDJ[Account Code]=(TRIM($B16))),CsDJ[Debit])))+(SUM(IF((CRDJ[Date]&lt;=$A$7)*(CRDJ[Account Code]=(TRIM($B16))),CRDJ[Debit])))+(SUM(IF((GJ[Date]&lt;=$A$7)*(GJ[Account Code]=(TRIM($B16))),GJ[Debit]))))-((SUM(IF((CkDJ[Date]&lt;=$A$7)*(CkDJ[Account Code]=(TRIM($B16))),CkDJ[Credit])))+(SUM(IF((CsDJ[Date]&lt;=$A$7)*(CsDJ[Account Code]=(TRIM($B16))),CsDJ[Credit])))+(SUM(IF((CRDJ[Date]&lt;=$A$7)*(CRDJ[Account Code]=(TRIM($B16))),CRDJ[Credit])))+(SUM(IF((GJ[Date]&lt;=$A$7)*(GJ[Account Code]=(TRIM($B16))),GJ[Credit]))))</f>
        <v>0</v>
      </c>
      <c r="E16" s="89"/>
    </row>
    <row r="17" spans="1:5">
      <c r="A17" s="440" t="s">
        <v>1073</v>
      </c>
      <c r="B17" s="441" t="s">
        <v>799</v>
      </c>
      <c r="C17" s="89"/>
      <c r="D17" s="438">
        <v>0</v>
      </c>
      <c r="E17" s="89"/>
    </row>
    <row r="18" spans="1:5">
      <c r="A18" s="320" t="s">
        <v>1074</v>
      </c>
      <c r="B18" s="437"/>
      <c r="C18" s="89"/>
      <c r="D18" s="439">
        <f>SUM(D19:D32)</f>
        <v>0</v>
      </c>
      <c r="E18" s="89"/>
    </row>
    <row r="19" spans="1:5">
      <c r="A19" s="440" t="s">
        <v>1075</v>
      </c>
      <c r="B19" s="441" t="s">
        <v>164</v>
      </c>
      <c r="C19" s="89"/>
      <c r="D19" s="442">
        <f t="array" ref="D19">((SUM(IF((CkDJ[Date]&lt;=$A$7)*(CkDJ[Account Code]=(TRIM($B19))),CkDJ[Debit])))+(SUM(IF((CsDJ[Date]&lt;=$A$7)*(CsDJ[Account Code]=(TRIM($B19))),CsDJ[Debit])))+(SUM(IF((CRDJ[Date]&lt;=$A$7)*(CRDJ[Account Code]=(TRIM($B19))),CRDJ[Debit])))+(SUM(IF((GJ[Date]&lt;=$A$7)*(GJ[Account Code]=(TRIM($B19))),GJ[Debit]))))-((SUM(IF((CkDJ[Date]&lt;=$A$7)*(CkDJ[Account Code]=(TRIM($B19))),CkDJ[Credit])))+(SUM(IF((CsDJ[Date]&lt;=$A$7)*(CsDJ[Account Code]=(TRIM($B19))),CsDJ[Credit])))+(SUM(IF((CRDJ[Date]&lt;=$A$7)*(CRDJ[Account Code]=(TRIM($B19))),CRDJ[Credit])))+(SUM(IF((GJ[Date]&lt;=$A$7)*(GJ[Account Code]=(TRIM($B19))),GJ[Credit]))))</f>
        <v>0</v>
      </c>
      <c r="E19" s="89"/>
    </row>
    <row r="20" spans="1:5">
      <c r="A20" s="440" t="s">
        <v>1076</v>
      </c>
      <c r="B20" s="441" t="s">
        <v>168</v>
      </c>
      <c r="C20" s="89"/>
      <c r="D20" s="442">
        <f t="array" ref="D20">((SUM(IF((CkDJ[Date]&lt;=$A$7)*(CkDJ[Account Code]=(TRIM($B20))),CkDJ[Debit])))+(SUM(IF((CsDJ[Date]&lt;=$A$7)*(CsDJ[Account Code]=(TRIM($B20))),CsDJ[Debit])))+(SUM(IF((CRDJ[Date]&lt;=$A$7)*(CRDJ[Account Code]=(TRIM($B20))),CRDJ[Debit])))+(SUM(IF((GJ[Date]&lt;=$A$7)*(GJ[Account Code]=(TRIM($B20))),GJ[Debit]))))-((SUM(IF((CkDJ[Date]&lt;=$A$7)*(CkDJ[Account Code]=(TRIM($B20))),CkDJ[Credit])))+(SUM(IF((CsDJ[Date]&lt;=$A$7)*(CsDJ[Account Code]=(TRIM($B20))),CsDJ[Credit])))+(SUM(IF((CRDJ[Date]&lt;=$A$7)*(CRDJ[Account Code]=(TRIM($B20))),CRDJ[Credit])))+(SUM(IF((GJ[Date]&lt;=$A$7)*(GJ[Account Code]=(TRIM($B20))),GJ[Credit]))))</f>
        <v>0</v>
      </c>
      <c r="E20" s="89"/>
    </row>
    <row r="21" spans="1:5">
      <c r="A21" s="440" t="s">
        <v>1077</v>
      </c>
      <c r="B21" s="441" t="s">
        <v>165</v>
      </c>
      <c r="C21" s="89"/>
      <c r="D21" s="442">
        <f t="array" ref="D21">((SUM(IF((CkDJ[Date]&lt;=$A$7)*(CkDJ[Account Code]=(TRIM($B21))),CkDJ[Debit])))+(SUM(IF((CsDJ[Date]&lt;=$A$7)*(CsDJ[Account Code]=(TRIM($B21))),CsDJ[Debit])))+(SUM(IF((CRDJ[Date]&lt;=$A$7)*(CRDJ[Account Code]=(TRIM($B21))),CRDJ[Debit])))+(SUM(IF((GJ[Date]&lt;=$A$7)*(GJ[Account Code]=(TRIM($B21))),GJ[Debit]))))-((SUM(IF((CkDJ[Date]&lt;=$A$7)*(CkDJ[Account Code]=(TRIM($B21))),CkDJ[Credit])))+(SUM(IF((CsDJ[Date]&lt;=$A$7)*(CsDJ[Account Code]=(TRIM($B21))),CsDJ[Credit])))+(SUM(IF((CRDJ[Date]&lt;=$A$7)*(CRDJ[Account Code]=(TRIM($B21))),CRDJ[Credit])))+(SUM(IF((GJ[Date]&lt;=$A$7)*(GJ[Account Code]=(TRIM($B21))),GJ[Credit]))))</f>
        <v>0</v>
      </c>
      <c r="E21" s="89"/>
    </row>
    <row r="22" spans="1:5">
      <c r="A22" s="440" t="s">
        <v>1078</v>
      </c>
      <c r="B22" s="441" t="s">
        <v>166</v>
      </c>
      <c r="C22" s="89"/>
      <c r="D22" s="442">
        <f t="array" ref="D22">((SUM(IF((CkDJ[Date]&lt;=$A$7)*(CkDJ[Account Code]=(TRIM($B22))),CkDJ[Debit])))+(SUM(IF((CsDJ[Date]&lt;=$A$7)*(CsDJ[Account Code]=(TRIM($B22))),CsDJ[Debit])))+(SUM(IF((CRDJ[Date]&lt;=$A$7)*(CRDJ[Account Code]=(TRIM($B22))),CRDJ[Debit])))+(SUM(IF((GJ[Date]&lt;=$A$7)*(GJ[Account Code]=(TRIM($B22))),GJ[Debit]))))-((SUM(IF((CkDJ[Date]&lt;=$A$7)*(CkDJ[Account Code]=(TRIM($B22))),CkDJ[Credit])))+(SUM(IF((CsDJ[Date]&lt;=$A$7)*(CsDJ[Account Code]=(TRIM($B22))),CsDJ[Credit])))+(SUM(IF((CRDJ[Date]&lt;=$A$7)*(CRDJ[Account Code]=(TRIM($B22))),CRDJ[Credit])))+(SUM(IF((GJ[Date]&lt;=$A$7)*(GJ[Account Code]=(TRIM($B22))),GJ[Credit]))))</f>
        <v>0</v>
      </c>
      <c r="E22" s="89"/>
    </row>
    <row r="23" spans="1:5">
      <c r="A23" s="440" t="s">
        <v>1079</v>
      </c>
      <c r="B23" s="441" t="s">
        <v>167</v>
      </c>
      <c r="C23" s="89"/>
      <c r="D23" s="442">
        <f t="array" ref="D23">((SUM(IF((CkDJ[Date]&lt;=$A$7)*(CkDJ[Account Code]=(TRIM($B23))),CkDJ[Debit])))+(SUM(IF((CsDJ[Date]&lt;=$A$7)*(CsDJ[Account Code]=(TRIM($B23))),CsDJ[Debit])))+(SUM(IF((CRDJ[Date]&lt;=$A$7)*(CRDJ[Account Code]=(TRIM($B23))),CRDJ[Debit])))+(SUM(IF((GJ[Date]&lt;=$A$7)*(GJ[Account Code]=(TRIM($B23))),GJ[Debit]))))-((SUM(IF((CkDJ[Date]&lt;=$A$7)*(CkDJ[Account Code]=(TRIM($B23))),CkDJ[Credit])))+(SUM(IF((CsDJ[Date]&lt;=$A$7)*(CsDJ[Account Code]=(TRIM($B23))),CsDJ[Credit])))+(SUM(IF((CRDJ[Date]&lt;=$A$7)*(CRDJ[Account Code]=(TRIM($B23))),CRDJ[Credit])))+(SUM(IF((GJ[Date]&lt;=$A$7)*(GJ[Account Code]=(TRIM($B23))),GJ[Credit]))))</f>
        <v>0</v>
      </c>
      <c r="E23" s="89"/>
    </row>
    <row r="24" spans="1:5">
      <c r="A24" s="440" t="s">
        <v>1080</v>
      </c>
      <c r="B24" s="441" t="s">
        <v>171</v>
      </c>
      <c r="C24" s="89"/>
      <c r="D24" s="442">
        <f t="array" ref="D24">((SUM(IF((CkDJ[Date]&lt;=$A$7)*(CkDJ[Account Code]=(TRIM($B24))),CkDJ[Debit])))+(SUM(IF((CsDJ[Date]&lt;=$A$7)*(CsDJ[Account Code]=(TRIM($B24))),CsDJ[Debit])))+(SUM(IF((CRDJ[Date]&lt;=$A$7)*(CRDJ[Account Code]=(TRIM($B24))),CRDJ[Debit])))+(SUM(IF((GJ[Date]&lt;=$A$7)*(GJ[Account Code]=(TRIM($B24))),GJ[Debit]))))-((SUM(IF((CkDJ[Date]&lt;=$A$7)*(CkDJ[Account Code]=(TRIM($B24))),CkDJ[Credit])))+(SUM(IF((CsDJ[Date]&lt;=$A$7)*(CsDJ[Account Code]=(TRIM($B24))),CsDJ[Credit])))+(SUM(IF((CRDJ[Date]&lt;=$A$7)*(CRDJ[Account Code]=(TRIM($B24))),CRDJ[Credit])))+(SUM(IF((GJ[Date]&lt;=$A$7)*(GJ[Account Code]=(TRIM($B24))),GJ[Credit]))))</f>
        <v>0</v>
      </c>
      <c r="E24" s="89"/>
    </row>
    <row r="25" spans="1:5">
      <c r="A25" s="440" t="s">
        <v>1081</v>
      </c>
      <c r="B25" s="441" t="s">
        <v>173</v>
      </c>
      <c r="C25" s="89"/>
      <c r="D25" s="442">
        <f t="array" ref="D25">((SUM(IF((CkDJ[Date]&lt;=$A$7)*(CkDJ[Account Code]=(TRIM($B25))),CkDJ[Debit])))+(SUM(IF((CsDJ[Date]&lt;=$A$7)*(CsDJ[Account Code]=(TRIM($B25))),CsDJ[Debit])))+(SUM(IF((CRDJ[Date]&lt;=$A$7)*(CRDJ[Account Code]=(TRIM($B25))),CRDJ[Debit])))+(SUM(IF((GJ[Date]&lt;=$A$7)*(GJ[Account Code]=(TRIM($B25))),GJ[Debit]))))-((SUM(IF((CkDJ[Date]&lt;=$A$7)*(CkDJ[Account Code]=(TRIM($B25))),CkDJ[Credit])))+(SUM(IF((CsDJ[Date]&lt;=$A$7)*(CsDJ[Account Code]=(TRIM($B25))),CsDJ[Credit])))+(SUM(IF((CRDJ[Date]&lt;=$A$7)*(CRDJ[Account Code]=(TRIM($B25))),CRDJ[Credit])))+(SUM(IF((GJ[Date]&lt;=$A$7)*(GJ[Account Code]=(TRIM($B25))),GJ[Credit]))))</f>
        <v>0</v>
      </c>
      <c r="E25" s="89"/>
    </row>
    <row r="26" spans="1:5">
      <c r="A26" s="440" t="s">
        <v>1082</v>
      </c>
      <c r="B26" s="441" t="s">
        <v>7</v>
      </c>
      <c r="C26" s="89"/>
      <c r="D26" s="442">
        <f t="array" ref="D26">((SUM(IF((CkDJ[Date]&lt;=$A$7)*(CkDJ[Account Code]=(TRIM($B26))),CkDJ[Debit])))+(SUM(IF((CsDJ[Date]&lt;=$A$7)*(CsDJ[Account Code]=(TRIM($B26))),CsDJ[Debit])))+(SUM(IF((CRDJ[Date]&lt;=$A$7)*(CRDJ[Account Code]=(TRIM($B26))),CRDJ[Debit])))+(SUM(IF((GJ[Date]&lt;=$A$7)*(GJ[Account Code]=(TRIM($B26))),GJ[Debit]))))-((SUM(IF((CkDJ[Date]&lt;=$A$7)*(CkDJ[Account Code]=(TRIM($B26))),CkDJ[Credit])))+(SUM(IF((CsDJ[Date]&lt;=$A$7)*(CsDJ[Account Code]=(TRIM($B26))),CsDJ[Credit])))+(SUM(IF((CRDJ[Date]&lt;=$A$7)*(CRDJ[Account Code]=(TRIM($B26))),CRDJ[Credit])))+(SUM(IF((GJ[Date]&lt;=$A$7)*(GJ[Account Code]=(TRIM($B26))),GJ[Credit]))))</f>
        <v>0</v>
      </c>
      <c r="E26" s="89"/>
    </row>
    <row r="27" spans="1:5">
      <c r="A27" s="440" t="s">
        <v>1083</v>
      </c>
      <c r="B27" s="441" t="s">
        <v>5</v>
      </c>
      <c r="C27" s="89"/>
      <c r="D27" s="442">
        <f t="array" ref="D27">((SUM(IF((CkDJ[Date]&lt;=$A$7)*(CkDJ[Account Code]=(TRIM($B27))),CkDJ[Debit])))+(SUM(IF((CsDJ[Date]&lt;=$A$7)*(CsDJ[Account Code]=(TRIM($B27))),CsDJ[Debit])))+(SUM(IF((CRDJ[Date]&lt;=$A$7)*(CRDJ[Account Code]=(TRIM($B27))),CRDJ[Debit])))+(SUM(IF((GJ[Date]&lt;=$A$7)*(GJ[Account Code]=(TRIM($B27))),GJ[Debit]))))-((SUM(IF((CkDJ[Date]&lt;=$A$7)*(CkDJ[Account Code]=(TRIM($B27))),CkDJ[Credit])))+(SUM(IF((CsDJ[Date]&lt;=$A$7)*(CsDJ[Account Code]=(TRIM($B27))),CsDJ[Credit])))+(SUM(IF((CRDJ[Date]&lt;=$A$7)*(CRDJ[Account Code]=(TRIM($B27))),CRDJ[Credit])))+(SUM(IF((GJ[Date]&lt;=$A$7)*(GJ[Account Code]=(TRIM($B27))),GJ[Credit]))))</f>
        <v>0</v>
      </c>
      <c r="E27" s="89"/>
    </row>
    <row r="28" spans="1:5">
      <c r="A28" s="440" t="s">
        <v>1084</v>
      </c>
      <c r="B28" s="441" t="s">
        <v>6</v>
      </c>
      <c r="C28" s="89"/>
      <c r="D28" s="442">
        <f t="array" ref="D28">((SUM(IF((CkDJ[Date]&lt;=$A$7)*(CkDJ[Account Code]=(TRIM($B28))),CkDJ[Debit])))+(SUM(IF((CsDJ[Date]&lt;=$A$7)*(CsDJ[Account Code]=(TRIM($B28))),CsDJ[Debit])))+(SUM(IF((CRDJ[Date]&lt;=$A$7)*(CRDJ[Account Code]=(TRIM($B28))),CRDJ[Debit])))+(SUM(IF((GJ[Date]&lt;=$A$7)*(GJ[Account Code]=(TRIM($B28))),GJ[Debit]))))-((SUM(IF((CkDJ[Date]&lt;=$A$7)*(CkDJ[Account Code]=(TRIM($B28))),CkDJ[Credit])))+(SUM(IF((CsDJ[Date]&lt;=$A$7)*(CsDJ[Account Code]=(TRIM($B28))),CsDJ[Credit])))+(SUM(IF((CRDJ[Date]&lt;=$A$7)*(CRDJ[Account Code]=(TRIM($B28))),CRDJ[Credit])))+(SUM(IF((GJ[Date]&lt;=$A$7)*(GJ[Account Code]=(TRIM($B28))),GJ[Credit]))))</f>
        <v>0</v>
      </c>
      <c r="E28" s="89"/>
    </row>
    <row r="29" spans="1:5">
      <c r="A29" s="440" t="s">
        <v>887</v>
      </c>
      <c r="B29" s="441" t="s">
        <v>170</v>
      </c>
      <c r="C29" s="89"/>
      <c r="D29" s="442">
        <f t="array" ref="D29">((SUM(IF((CkDJ[Date]&lt;=$A$7)*(CkDJ[Account Code]=(TRIM($B29))),CkDJ[Debit])))+(SUM(IF((CsDJ[Date]&lt;=$A$7)*(CsDJ[Account Code]=(TRIM($B29))),CsDJ[Debit])))+(SUM(IF((CRDJ[Date]&lt;=$A$7)*(CRDJ[Account Code]=(TRIM($B29))),CRDJ[Debit])))+(SUM(IF((GJ[Date]&lt;=$A$7)*(GJ[Account Code]=(TRIM($B29))),GJ[Debit]))))-((SUM(IF((CkDJ[Date]&lt;=$A$7)*(CkDJ[Account Code]=(TRIM($B29))),CkDJ[Credit])))+(SUM(IF((CsDJ[Date]&lt;=$A$7)*(CsDJ[Account Code]=(TRIM($B29))),CsDJ[Credit])))+(SUM(IF((CRDJ[Date]&lt;=$A$7)*(CRDJ[Account Code]=(TRIM($B29))),CRDJ[Credit])))+(SUM(IF((GJ[Date]&lt;=$A$7)*(GJ[Account Code]=(TRIM($B29))),GJ[Credit]))))</f>
        <v>0</v>
      </c>
      <c r="E29" s="89"/>
    </row>
    <row r="30" spans="1:5">
      <c r="A30" s="440" t="s">
        <v>1085</v>
      </c>
      <c r="B30" s="441" t="s">
        <v>172</v>
      </c>
      <c r="C30" s="89"/>
      <c r="D30" s="442">
        <f t="array" ref="D30">((SUM(IF((CkDJ[Date]&lt;=$A$7)*(CkDJ[Account Code]=(TRIM($B30))),CkDJ[Debit])))+(SUM(IF((CsDJ[Date]&lt;=$A$7)*(CsDJ[Account Code]=(TRIM($B30))),CsDJ[Debit])))+(SUM(IF((CRDJ[Date]&lt;=$A$7)*(CRDJ[Account Code]=(TRIM($B30))),CRDJ[Debit])))+(SUM(IF((GJ[Date]&lt;=$A$7)*(GJ[Account Code]=(TRIM($B30))),GJ[Debit]))))-((SUM(IF((CkDJ[Date]&lt;=$A$7)*(CkDJ[Account Code]=(TRIM($B30))),CkDJ[Credit])))+(SUM(IF((CsDJ[Date]&lt;=$A$7)*(CsDJ[Account Code]=(TRIM($B30))),CsDJ[Credit])))+(SUM(IF((CRDJ[Date]&lt;=$A$7)*(CRDJ[Account Code]=(TRIM($B30))),CRDJ[Credit])))+(SUM(IF((GJ[Date]&lt;=$A$7)*(GJ[Account Code]=(TRIM($B30))),GJ[Credit]))))</f>
        <v>0</v>
      </c>
      <c r="E30" s="89"/>
    </row>
    <row r="31" spans="1:5">
      <c r="A31" s="440" t="s">
        <v>1086</v>
      </c>
      <c r="B31" s="441" t="s">
        <v>174</v>
      </c>
      <c r="C31" s="89"/>
      <c r="D31" s="442">
        <f t="array" ref="D31">((SUM(IF((CkDJ[Date]&lt;=$A$7)*(CkDJ[Account Code]=(TRIM($B31))),CkDJ[Debit])))+(SUM(IF((CsDJ[Date]&lt;=$A$7)*(CsDJ[Account Code]=(TRIM($B31))),CsDJ[Debit])))+(SUM(IF((CRDJ[Date]&lt;=$A$7)*(CRDJ[Account Code]=(TRIM($B31))),CRDJ[Debit])))+(SUM(IF((GJ[Date]&lt;=$A$7)*(GJ[Account Code]=(TRIM($B31))),GJ[Debit]))))-((SUM(IF((CkDJ[Date]&lt;=$A$7)*(CkDJ[Account Code]=(TRIM($B31))),CkDJ[Credit])))+(SUM(IF((CsDJ[Date]&lt;=$A$7)*(CsDJ[Account Code]=(TRIM($B31))),CsDJ[Credit])))+(SUM(IF((CRDJ[Date]&lt;=$A$7)*(CRDJ[Account Code]=(TRIM($B31))),CRDJ[Credit])))+(SUM(IF((GJ[Date]&lt;=$A$7)*(GJ[Account Code]=(TRIM($B31))),GJ[Credit]))))</f>
        <v>0</v>
      </c>
      <c r="E31" s="89"/>
    </row>
    <row r="32" spans="1:5">
      <c r="A32" s="440" t="s">
        <v>1143</v>
      </c>
      <c r="B32" s="441" t="s">
        <v>214</v>
      </c>
      <c r="C32" s="89"/>
      <c r="D32" s="442">
        <f t="array" ref="D32">((SUM(IF((CkDJ[Date]&lt;=$A$7)*(CkDJ[Account Code]=(TRIM($B32))),CkDJ[Debit])))+(SUM(IF((CsDJ[Date]&lt;=$A$7)*(CsDJ[Account Code]=(TRIM($B32))),CsDJ[Debit])))+(SUM(IF((CRDJ[Date]&lt;=$A$7)*(CRDJ[Account Code]=(TRIM($B32))),CRDJ[Debit])))+(SUM(IF((GJ[Date]&lt;=$A$7)*(GJ[Account Code]=(TRIM($B32))),GJ[Debit]))))-((SUM(IF((CkDJ[Date]&lt;=$A$7)*(CkDJ[Account Code]=(TRIM($B32))),CkDJ[Credit])))+(SUM(IF((CsDJ[Date]&lt;=$A$7)*(CsDJ[Account Code]=(TRIM($B32))),CsDJ[Credit])))+(SUM(IF((CRDJ[Date]&lt;=$A$7)*(CRDJ[Account Code]=(TRIM($B32))),CRDJ[Credit])))+(SUM(IF((GJ[Date]&lt;=$A$7)*(GJ[Account Code]=(TRIM($B32))),GJ[Credit]))))</f>
        <v>0</v>
      </c>
      <c r="E32" s="89"/>
    </row>
    <row r="33" spans="1:5">
      <c r="A33" s="320" t="s">
        <v>1087</v>
      </c>
      <c r="B33" s="437"/>
      <c r="C33" s="89"/>
      <c r="D33" s="439">
        <f>D34+D35+D36</f>
        <v>0</v>
      </c>
      <c r="E33" s="89"/>
    </row>
    <row r="34" spans="1:5">
      <c r="A34" s="440" t="s">
        <v>1088</v>
      </c>
      <c r="B34" s="441" t="s">
        <v>799</v>
      </c>
      <c r="C34" s="89"/>
      <c r="D34" s="442">
        <f t="array" ref="D34">((SUM(IF((CkDJ[Date]&lt;=$A$7)*(CkDJ[Account Code]=(TRIM($B34))),CkDJ[Debit])))+(SUM(IF((CsDJ[Date]&lt;=$A$7)*(CsDJ[Account Code]=(TRIM($B34))),CsDJ[Debit])))+(SUM(IF((CRDJ[Date]&lt;=$A$7)*(CRDJ[Account Code]=(TRIM($B34))),CRDJ[Debit])))+(SUM(IF((GJ[Date]&lt;=$A$7)*(GJ[Account Code]=(TRIM($B34))),GJ[Debit]))))-((SUM(IF((CkDJ[Date]&lt;=$A$7)*(CkDJ[Account Code]=(TRIM($B34))),CkDJ[Credit])))+(SUM(IF((CsDJ[Date]&lt;=$A$7)*(CsDJ[Account Code]=(TRIM($B34))),CsDJ[Credit])))+(SUM(IF((CRDJ[Date]&lt;=$A$7)*(CRDJ[Account Code]=(TRIM($B34))),CRDJ[Credit])))+(SUM(IF((GJ[Date]&lt;=$A$7)*(GJ[Account Code]=(TRIM($B34))),GJ[Credit]))))</f>
        <v>0</v>
      </c>
      <c r="E34" s="89"/>
    </row>
    <row r="35" spans="1:5">
      <c r="A35" s="440" t="s">
        <v>1089</v>
      </c>
      <c r="B35" s="441" t="s">
        <v>212</v>
      </c>
      <c r="C35" s="89"/>
      <c r="D35" s="442">
        <f t="array" ref="D35">((SUM(IF((CkDJ[Date]&lt;=$A$7)*(CkDJ[Account Code]=(TRIM($B35))),CkDJ[Debit])))+(SUM(IF((CsDJ[Date]&lt;=$A$7)*(CsDJ[Account Code]=(TRIM($B35))),CsDJ[Debit])))+(SUM(IF((CRDJ[Date]&lt;=$A$7)*(CRDJ[Account Code]=(TRIM($B35))),CRDJ[Debit])))+(SUM(IF((GJ[Date]&lt;=$A$7)*(GJ[Account Code]=(TRIM($B35))),GJ[Debit]))))-((SUM(IF((CkDJ[Date]&lt;=$A$7)*(CkDJ[Account Code]=(TRIM($B35))),CkDJ[Credit])))+(SUM(IF((CsDJ[Date]&lt;=$A$7)*(CsDJ[Account Code]=(TRIM($B35))),CsDJ[Credit])))+(SUM(IF((CRDJ[Date]&lt;=$A$7)*(CRDJ[Account Code]=(TRIM($B35))),CRDJ[Credit])))+(SUM(IF((GJ[Date]&lt;=$A$7)*(GJ[Account Code]=(TRIM($B35))),GJ[Credit]))))</f>
        <v>0</v>
      </c>
      <c r="E35" s="89"/>
    </row>
    <row r="36" spans="1:5">
      <c r="A36" s="440" t="s">
        <v>1090</v>
      </c>
      <c r="B36" s="441" t="s">
        <v>799</v>
      </c>
      <c r="C36" s="89"/>
      <c r="D36" s="442">
        <f t="array" ref="D36">((SUM(IF((CkDJ[Date]&lt;=$A$7)*(CkDJ[Account Code]=(TRIM($B36))),CkDJ[Debit])))+(SUM(IF((CsDJ[Date]&lt;=$A$7)*(CsDJ[Account Code]=(TRIM($B36))),CsDJ[Debit])))+(SUM(IF((CRDJ[Date]&lt;=$A$7)*(CRDJ[Account Code]=(TRIM($B36))),CRDJ[Debit])))+(SUM(IF((GJ[Date]&lt;=$A$7)*(GJ[Account Code]=(TRIM($B36))),GJ[Debit]))))-((SUM(IF((CkDJ[Date]&lt;=$A$7)*(CkDJ[Account Code]=(TRIM($B36))),CkDJ[Credit])))+(SUM(IF((CsDJ[Date]&lt;=$A$7)*(CsDJ[Account Code]=(TRIM($B36))),CsDJ[Credit])))+(SUM(IF((CRDJ[Date]&lt;=$A$7)*(CRDJ[Account Code]=(TRIM($B36))),CRDJ[Credit])))+(SUM(IF((GJ[Date]&lt;=$A$7)*(GJ[Account Code]=(TRIM($B36))),GJ[Credit]))))</f>
        <v>0</v>
      </c>
      <c r="E36" s="89"/>
    </row>
    <row r="37" spans="1:5">
      <c r="A37" s="320" t="s">
        <v>1091</v>
      </c>
      <c r="B37" s="437"/>
      <c r="C37" s="89"/>
      <c r="D37" s="439">
        <f>SUM(D38:D41)</f>
        <v>0</v>
      </c>
      <c r="E37" s="89"/>
    </row>
    <row r="38" spans="1:5">
      <c r="A38" s="440" t="s">
        <v>1092</v>
      </c>
      <c r="B38" s="441" t="s">
        <v>175</v>
      </c>
      <c r="C38" s="89"/>
      <c r="D38" s="442">
        <f t="array" ref="D38">((SUM(IF((CkDJ[Date]&lt;=$A$7)*(CkDJ[Account Code]=(TRIM($B38))),CkDJ[Debit])))+(SUM(IF((CsDJ[Date]&lt;=$A$7)*(CsDJ[Account Code]=(TRIM($B38))),CsDJ[Debit])))+(SUM(IF((CRDJ[Date]&lt;=$A$7)*(CRDJ[Account Code]=(TRIM($B38))),CRDJ[Debit])))+(SUM(IF((GJ[Date]&lt;=$A$7)*(GJ[Account Code]=(TRIM($B38))),GJ[Debit]))))-((SUM(IF((CkDJ[Date]&lt;=$A$7)*(CkDJ[Account Code]=(TRIM($B38))),CkDJ[Credit])))+(SUM(IF((CsDJ[Date]&lt;=$A$7)*(CsDJ[Account Code]=(TRIM($B38))),CsDJ[Credit])))+(SUM(IF((CRDJ[Date]&lt;=$A$7)*(CRDJ[Account Code]=(TRIM($B38))),CRDJ[Credit])))+(SUM(IF((GJ[Date]&lt;=$A$7)*(GJ[Account Code]=(TRIM($B38))),GJ[Credit]))))</f>
        <v>0</v>
      </c>
      <c r="E38" s="89"/>
    </row>
    <row r="39" spans="1:5">
      <c r="A39" s="440" t="s">
        <v>1093</v>
      </c>
      <c r="B39" s="441" t="s">
        <v>176</v>
      </c>
      <c r="C39" s="89"/>
      <c r="D39" s="442">
        <f t="array" ref="D39">((SUM(IF((CkDJ[Date]&lt;=$A$7)*(CkDJ[Account Code]=(TRIM($B39))),CkDJ[Debit])))+(SUM(IF((CsDJ[Date]&lt;=$A$7)*(CsDJ[Account Code]=(TRIM($B39))),CsDJ[Debit])))+(SUM(IF((CRDJ[Date]&lt;=$A$7)*(CRDJ[Account Code]=(TRIM($B39))),CRDJ[Debit])))+(SUM(IF((GJ[Date]&lt;=$A$7)*(GJ[Account Code]=(TRIM($B39))),GJ[Debit]))))-((SUM(IF((CkDJ[Date]&lt;=$A$7)*(CkDJ[Account Code]=(TRIM($B39))),CkDJ[Credit])))+(SUM(IF((CsDJ[Date]&lt;=$A$7)*(CsDJ[Account Code]=(TRIM($B39))),CsDJ[Credit])))+(SUM(IF((CRDJ[Date]&lt;=$A$7)*(CRDJ[Account Code]=(TRIM($B39))),CRDJ[Credit])))+(SUM(IF((GJ[Date]&lt;=$A$7)*(GJ[Account Code]=(TRIM($B39))),GJ[Credit]))))</f>
        <v>0</v>
      </c>
      <c r="E39" s="89"/>
    </row>
    <row r="40" spans="1:5">
      <c r="A40" s="440" t="s">
        <v>1094</v>
      </c>
      <c r="B40" s="441" t="s">
        <v>177</v>
      </c>
      <c r="C40" s="89"/>
      <c r="D40" s="442">
        <f t="array" ref="D40">((SUM(IF((CkDJ[Date]&lt;=$A$7)*(CkDJ[Account Code]=(TRIM($B40))),CkDJ[Debit])))+(SUM(IF((CsDJ[Date]&lt;=$A$7)*(CsDJ[Account Code]=(TRIM($B40))),CsDJ[Debit])))+(SUM(IF((CRDJ[Date]&lt;=$A$7)*(CRDJ[Account Code]=(TRIM($B40))),CRDJ[Debit])))+(SUM(IF((GJ[Date]&lt;=$A$7)*(GJ[Account Code]=(TRIM($B40))),GJ[Debit]))))-((SUM(IF((CkDJ[Date]&lt;=$A$7)*(CkDJ[Account Code]=(TRIM($B40))),CkDJ[Credit])))+(SUM(IF((CsDJ[Date]&lt;=$A$7)*(CsDJ[Account Code]=(TRIM($B40))),CsDJ[Credit])))+(SUM(IF((CRDJ[Date]&lt;=$A$7)*(CRDJ[Account Code]=(TRIM($B40))),CRDJ[Credit])))+(SUM(IF((GJ[Date]&lt;=$A$7)*(GJ[Account Code]=(TRIM($B40))),GJ[Credit]))))</f>
        <v>0</v>
      </c>
      <c r="E40" s="89"/>
    </row>
    <row r="41" spans="1:5">
      <c r="A41" s="440" t="s">
        <v>1095</v>
      </c>
      <c r="B41" s="441" t="s">
        <v>178</v>
      </c>
      <c r="C41" s="89"/>
      <c r="D41" s="442">
        <f t="array" ref="D41">((SUM(IF((CkDJ[Date]&lt;=$A$7)*(CkDJ[Account Code]=(TRIM($B41))),CkDJ[Debit])))+(SUM(IF((CsDJ[Date]&lt;=$A$7)*(CsDJ[Account Code]=(TRIM($B41))),CsDJ[Debit])))+(SUM(IF((CRDJ[Date]&lt;=$A$7)*(CRDJ[Account Code]=(TRIM($B41))),CRDJ[Debit])))+(SUM(IF((GJ[Date]&lt;=$A$7)*(GJ[Account Code]=(TRIM($B41))),GJ[Debit]))))-((SUM(IF((CkDJ[Date]&lt;=$A$7)*(CkDJ[Account Code]=(TRIM($B41))),CkDJ[Credit])))+(SUM(IF((CsDJ[Date]&lt;=$A$7)*(CsDJ[Account Code]=(TRIM($B41))),CsDJ[Credit])))+(SUM(IF((CRDJ[Date]&lt;=$A$7)*(CRDJ[Account Code]=(TRIM($B41))),CRDJ[Credit])))+(SUM(IF((GJ[Date]&lt;=$A$7)*(GJ[Account Code]=(TRIM($B41))),GJ[Credit]))))</f>
        <v>0</v>
      </c>
      <c r="E41" s="89"/>
    </row>
    <row r="42" spans="1:5">
      <c r="A42" s="320" t="s">
        <v>1096</v>
      </c>
      <c r="B42" s="437"/>
      <c r="C42" s="89"/>
      <c r="D42" s="443">
        <f>D43+D44+D45+D46</f>
        <v>0</v>
      </c>
      <c r="E42" s="89"/>
    </row>
    <row r="43" spans="1:5">
      <c r="A43" s="440" t="s">
        <v>897</v>
      </c>
      <c r="B43" s="441" t="s">
        <v>216</v>
      </c>
      <c r="C43" s="89"/>
      <c r="D43" s="442">
        <f t="array" ref="D43">((SUM(IF((CkDJ[Date]&lt;=$A$7)*(CkDJ[Account Code]=(TRIM($B43))),CkDJ[Debit])))+(SUM(IF((CsDJ[Date]&lt;=$A$7)*(CsDJ[Account Code]=(TRIM($B43))),CsDJ[Debit])))+(SUM(IF((CRDJ[Date]&lt;=$A$7)*(CRDJ[Account Code]=(TRIM($B43))),CRDJ[Debit])))+(SUM(IF((GJ[Date]&lt;=$A$7)*(GJ[Account Code]=(TRIM($B43))),GJ[Debit]))))-((SUM(IF((CkDJ[Date]&lt;=$A$7)*(CkDJ[Account Code]=(TRIM($B43))),CkDJ[Credit])))+(SUM(IF((CsDJ[Date]&lt;=$A$7)*(CsDJ[Account Code]=(TRIM($B43))),CsDJ[Credit])))+(SUM(IF((CRDJ[Date]&lt;=$A$7)*(CRDJ[Account Code]=(TRIM($B43))),CRDJ[Credit])))+(SUM(IF((GJ[Date]&lt;=$A$7)*(GJ[Account Code]=(TRIM($B43))),GJ[Credit]))))</f>
        <v>0</v>
      </c>
      <c r="E43" s="89"/>
    </row>
    <row r="44" spans="1:5">
      <c r="A44" s="330" t="s">
        <v>898</v>
      </c>
      <c r="B44" s="61" t="s">
        <v>799</v>
      </c>
      <c r="C44" s="89"/>
      <c r="D44" s="442">
        <f t="array" ref="D44">((SUM(IF((CkDJ[Date]&lt;=$A$7)*(CkDJ[Account Code]=(TRIM($B44))),CkDJ[Debit])))+(SUM(IF((CsDJ[Date]&lt;=$A$7)*(CsDJ[Account Code]=(TRIM($B44))),CsDJ[Debit])))+(SUM(IF((CRDJ[Date]&lt;=$A$7)*(CRDJ[Account Code]=(TRIM($B44))),CRDJ[Debit])))+(SUM(IF((GJ[Date]&lt;=$A$7)*(GJ[Account Code]=(TRIM($B44))),GJ[Debit]))))-((SUM(IF((CkDJ[Date]&lt;=$A$7)*(CkDJ[Account Code]=(TRIM($B44))),CkDJ[Credit])))+(SUM(IF((CsDJ[Date]&lt;=$A$7)*(CsDJ[Account Code]=(TRIM($B44))),CsDJ[Credit])))+(SUM(IF((CRDJ[Date]&lt;=$A$7)*(CRDJ[Account Code]=(TRIM($B44))),CRDJ[Credit])))+(SUM(IF((GJ[Date]&lt;=$A$7)*(GJ[Account Code]=(TRIM($B44))),GJ[Credit]))))</f>
        <v>0</v>
      </c>
      <c r="E44" s="89"/>
    </row>
    <row r="45" spans="1:5">
      <c r="A45" s="440" t="s">
        <v>899</v>
      </c>
      <c r="B45" s="441" t="s">
        <v>799</v>
      </c>
      <c r="C45" s="89"/>
      <c r="D45" s="442">
        <f t="array" ref="D45">((SUM(IF((CkDJ[Date]&lt;=$A$7)*(CkDJ[Account Code]=(TRIM($B45))),CkDJ[Debit])))+(SUM(IF((CsDJ[Date]&lt;=$A$7)*(CsDJ[Account Code]=(TRIM($B45))),CsDJ[Debit])))+(SUM(IF((CRDJ[Date]&lt;=$A$7)*(CRDJ[Account Code]=(TRIM($B45))),CRDJ[Debit])))+(SUM(IF((GJ[Date]&lt;=$A$7)*(GJ[Account Code]=(TRIM($B45))),GJ[Debit]))))-((SUM(IF((CkDJ[Date]&lt;=$A$7)*(CkDJ[Account Code]=(TRIM($B45))),CkDJ[Credit])))+(SUM(IF((CsDJ[Date]&lt;=$A$7)*(CsDJ[Account Code]=(TRIM($B45))),CsDJ[Credit])))+(SUM(IF((CRDJ[Date]&lt;=$A$7)*(CRDJ[Account Code]=(TRIM($B45))),CRDJ[Credit])))+(SUM(IF((GJ[Date]&lt;=$A$7)*(GJ[Account Code]=(TRIM($B45))),GJ[Credit]))))</f>
        <v>0</v>
      </c>
      <c r="E45" s="89"/>
    </row>
    <row r="46" spans="1:5">
      <c r="A46" s="440" t="s">
        <v>900</v>
      </c>
      <c r="B46" s="441" t="s">
        <v>799</v>
      </c>
      <c r="C46" s="89"/>
      <c r="D46" s="442">
        <f t="array" ref="D46">((SUM(IF((CkDJ[Date]&lt;=$A$7)*(CkDJ[Account Code]=(TRIM($B46))),CkDJ[Debit])))+(SUM(IF((CsDJ[Date]&lt;=$A$7)*(CsDJ[Account Code]=(TRIM($B46))),CsDJ[Debit])))+(SUM(IF((CRDJ[Date]&lt;=$A$7)*(CRDJ[Account Code]=(TRIM($B46))),CRDJ[Debit])))+(SUM(IF((GJ[Date]&lt;=$A$7)*(GJ[Account Code]=(TRIM($B46))),GJ[Debit]))))-((SUM(IF((CkDJ[Date]&lt;=$A$7)*(CkDJ[Account Code]=(TRIM($B46))),CkDJ[Credit])))+(SUM(IF((CsDJ[Date]&lt;=$A$7)*(CsDJ[Account Code]=(TRIM($B46))),CsDJ[Credit])))+(SUM(IF((CRDJ[Date]&lt;=$A$7)*(CRDJ[Account Code]=(TRIM($B46))),CRDJ[Credit])))+(SUM(IF((GJ[Date]&lt;=$A$7)*(GJ[Account Code]=(TRIM($B46))),GJ[Credit]))))</f>
        <v>0</v>
      </c>
      <c r="E46" s="89"/>
    </row>
    <row r="47" spans="1:5">
      <c r="A47" s="444" t="s">
        <v>1097</v>
      </c>
      <c r="B47" s="445"/>
      <c r="C47" s="446">
        <v>56374709.579999998</v>
      </c>
      <c r="D47" s="447">
        <f>SUM(D14+D18+D33+D37+D42)</f>
        <v>0</v>
      </c>
      <c r="E47" s="446">
        <f>+C47-D47</f>
        <v>56374709.579999998</v>
      </c>
    </row>
    <row r="48" spans="1:5">
      <c r="A48" s="448"/>
      <c r="B48" s="441"/>
      <c r="C48" s="442"/>
      <c r="D48" s="449"/>
      <c r="E48" s="442"/>
    </row>
    <row r="49" spans="1:5">
      <c r="A49" s="320" t="s">
        <v>1098</v>
      </c>
      <c r="B49" s="437"/>
      <c r="C49" s="89"/>
      <c r="D49" s="438"/>
      <c r="E49" s="89"/>
    </row>
    <row r="50" spans="1:5">
      <c r="A50" s="320" t="s">
        <v>909</v>
      </c>
      <c r="B50" s="437" t="s">
        <v>223</v>
      </c>
      <c r="C50" s="89"/>
      <c r="D50" s="442">
        <f t="array" ref="D50">((SUM(IF((CkDJ[Date]&lt;=$A$7)*(CkDJ[Account Code]=(TRIM($B50))),CkDJ[Debit])))+(SUM(IF((CsDJ[Date]&lt;=$A$7)*(CsDJ[Account Code]=(TRIM($B50))),CsDJ[Debit])))+(SUM(IF((CRDJ[Date]&lt;=$A$7)*(CRDJ[Account Code]=(TRIM($B50))),CRDJ[Debit])))+(SUM(IF((GJ[Date]&lt;=$A$7)*(GJ[Account Code]=(TRIM($B50))),GJ[Debit]))))-((SUM(IF((CkDJ[Date]&lt;=$A$7)*(CkDJ[Account Code]=(TRIM($B50))),CkDJ[Credit])))+(SUM(IF((CsDJ[Date]&lt;=$A$7)*(CsDJ[Account Code]=(TRIM($B50))),CsDJ[Credit])))+(SUM(IF((CRDJ[Date]&lt;=$A$7)*(CRDJ[Account Code]=(TRIM($B50))),CRDJ[Credit])))+(SUM(IF((GJ[Date]&lt;=$A$7)*(GJ[Account Code]=(TRIM($B50))),GJ[Credit]))))</f>
        <v>0</v>
      </c>
      <c r="E50" s="89"/>
    </row>
    <row r="51" spans="1:5">
      <c r="A51" s="320" t="s">
        <v>1099</v>
      </c>
      <c r="B51" s="437" t="s">
        <v>224</v>
      </c>
      <c r="C51" s="89"/>
      <c r="D51" s="442">
        <f t="array" ref="D51">((SUM(IF((CkDJ[Date]&lt;=$A$7)*(CkDJ[Account Code]=(TRIM($B51))),CkDJ[Debit])))+(SUM(IF((CsDJ[Date]&lt;=$A$7)*(CsDJ[Account Code]=(TRIM($B51))),CsDJ[Debit])))+(SUM(IF((CRDJ[Date]&lt;=$A$7)*(CRDJ[Account Code]=(TRIM($B51))),CRDJ[Debit])))+(SUM(IF((GJ[Date]&lt;=$A$7)*(GJ[Account Code]=(TRIM($B51))),GJ[Debit]))))-((SUM(IF((CkDJ[Date]&lt;=$A$7)*(CkDJ[Account Code]=(TRIM($B51))),CkDJ[Credit])))+(SUM(IF((CsDJ[Date]&lt;=$A$7)*(CsDJ[Account Code]=(TRIM($B51))),CsDJ[Credit])))+(SUM(IF((CRDJ[Date]&lt;=$A$7)*(CRDJ[Account Code]=(TRIM($B51))),CRDJ[Credit])))+(SUM(IF((GJ[Date]&lt;=$A$7)*(GJ[Account Code]=(TRIM($B51))),GJ[Credit]))))</f>
        <v>0</v>
      </c>
      <c r="E51" s="89"/>
    </row>
    <row r="52" spans="1:5">
      <c r="A52" s="320" t="s">
        <v>1100</v>
      </c>
      <c r="B52" s="437"/>
      <c r="C52" s="89"/>
      <c r="D52" s="439">
        <f>SUM(D53:D60)</f>
        <v>0</v>
      </c>
      <c r="E52" s="89"/>
    </row>
    <row r="53" spans="1:5">
      <c r="A53" s="440" t="s">
        <v>1101</v>
      </c>
      <c r="B53" s="441" t="s">
        <v>225</v>
      </c>
      <c r="C53" s="89"/>
      <c r="D53" s="442">
        <f t="array" ref="D53">((SUM(IF((CkDJ[Date]&lt;=$A$7)*(CkDJ[Account Code]=(TRIM($B53))),CkDJ[Debit])))+(SUM(IF((CsDJ[Date]&lt;=$A$7)*(CsDJ[Account Code]=(TRIM($B53))),CsDJ[Debit])))+(SUM(IF((CRDJ[Date]&lt;=$A$7)*(CRDJ[Account Code]=(TRIM($B53))),CRDJ[Debit])))+(SUM(IF((GJ[Date]&lt;=$A$7)*(GJ[Account Code]=(TRIM($B53))),GJ[Debit]))))-((SUM(IF((CkDJ[Date]&lt;=$A$7)*(CkDJ[Account Code]=(TRIM($B53))),CkDJ[Credit])))+(SUM(IF((CsDJ[Date]&lt;=$A$7)*(CsDJ[Account Code]=(TRIM($B53))),CsDJ[Credit])))+(SUM(IF((CRDJ[Date]&lt;=$A$7)*(CRDJ[Account Code]=(TRIM($B53))),CRDJ[Credit])))+(SUM(IF((GJ[Date]&lt;=$A$7)*(GJ[Account Code]=(TRIM($B53))),GJ[Credit]))))</f>
        <v>0</v>
      </c>
      <c r="E53" s="89"/>
    </row>
    <row r="54" spans="1:5">
      <c r="A54" s="440" t="s">
        <v>913</v>
      </c>
      <c r="B54" s="441" t="s">
        <v>226</v>
      </c>
      <c r="C54" s="89"/>
      <c r="D54" s="442">
        <f t="array" ref="D54">((SUM(IF((CkDJ[Date]&lt;=$A$7)*(CkDJ[Account Code]=(TRIM($B54))),CkDJ[Debit])))+(SUM(IF((CsDJ[Date]&lt;=$A$7)*(CsDJ[Account Code]=(TRIM($B54))),CsDJ[Debit])))+(SUM(IF((CRDJ[Date]&lt;=$A$7)*(CRDJ[Account Code]=(TRIM($B54))),CRDJ[Debit])))+(SUM(IF((GJ[Date]&lt;=$A$7)*(GJ[Account Code]=(TRIM($B54))),GJ[Debit]))))-((SUM(IF((CkDJ[Date]&lt;=$A$7)*(CkDJ[Account Code]=(TRIM($B54))),CkDJ[Credit])))+(SUM(IF((CsDJ[Date]&lt;=$A$7)*(CsDJ[Account Code]=(TRIM($B54))),CsDJ[Credit])))+(SUM(IF((CRDJ[Date]&lt;=$A$7)*(CRDJ[Account Code]=(TRIM($B54))),CRDJ[Credit])))+(SUM(IF((GJ[Date]&lt;=$A$7)*(GJ[Account Code]=(TRIM($B54))),GJ[Credit]))))</f>
        <v>0</v>
      </c>
      <c r="E54" s="89"/>
    </row>
    <row r="55" spans="1:5">
      <c r="A55" s="440" t="s">
        <v>1102</v>
      </c>
      <c r="B55" s="441" t="s">
        <v>227</v>
      </c>
      <c r="C55" s="89"/>
      <c r="D55" s="442">
        <f t="array" ref="D55">((SUM(IF((CkDJ[Date]&lt;=$A$7)*(CkDJ[Account Code]=(TRIM($B55))),CkDJ[Debit])))+(SUM(IF((CsDJ[Date]&lt;=$A$7)*(CsDJ[Account Code]=(TRIM($B55))),CsDJ[Debit])))+(SUM(IF((CRDJ[Date]&lt;=$A$7)*(CRDJ[Account Code]=(TRIM($B55))),CRDJ[Debit])))+(SUM(IF((GJ[Date]&lt;=$A$7)*(GJ[Account Code]=(TRIM($B55))),GJ[Debit]))))-((SUM(IF((CkDJ[Date]&lt;=$A$7)*(CkDJ[Account Code]=(TRIM($B55))),CkDJ[Credit])))+(SUM(IF((CsDJ[Date]&lt;=$A$7)*(CsDJ[Account Code]=(TRIM($B55))),CsDJ[Credit])))+(SUM(IF((CRDJ[Date]&lt;=$A$7)*(CRDJ[Account Code]=(TRIM($B55))),CRDJ[Credit])))+(SUM(IF((GJ[Date]&lt;=$A$7)*(GJ[Account Code]=(TRIM($B55))),GJ[Credit]))))</f>
        <v>0</v>
      </c>
      <c r="E55" s="89"/>
    </row>
    <row r="56" spans="1:5">
      <c r="A56" s="440" t="s">
        <v>915</v>
      </c>
      <c r="B56" s="441" t="s">
        <v>228</v>
      </c>
      <c r="C56" s="89"/>
      <c r="D56" s="442">
        <f t="array" ref="D56">((SUM(IF((CkDJ[Date]&lt;=$A$7)*(CkDJ[Account Code]=(TRIM($B56))),CkDJ[Debit])))+(SUM(IF((CsDJ[Date]&lt;=$A$7)*(CsDJ[Account Code]=(TRIM($B56))),CsDJ[Debit])))+(SUM(IF((CRDJ[Date]&lt;=$A$7)*(CRDJ[Account Code]=(TRIM($B56))),CRDJ[Debit])))+(SUM(IF((GJ[Date]&lt;=$A$7)*(GJ[Account Code]=(TRIM($B56))),GJ[Debit]))))-((SUM(IF((CkDJ[Date]&lt;=$A$7)*(CkDJ[Account Code]=(TRIM($B56))),CkDJ[Credit])))+(SUM(IF((CsDJ[Date]&lt;=$A$7)*(CsDJ[Account Code]=(TRIM($B56))),CsDJ[Credit])))+(SUM(IF((CRDJ[Date]&lt;=$A$7)*(CRDJ[Account Code]=(TRIM($B56))),CRDJ[Credit])))+(SUM(IF((GJ[Date]&lt;=$A$7)*(GJ[Account Code]=(TRIM($B56))),GJ[Credit]))))</f>
        <v>0</v>
      </c>
      <c r="E56" s="89"/>
    </row>
    <row r="57" spans="1:5">
      <c r="A57" s="440" t="s">
        <v>1103</v>
      </c>
      <c r="B57" s="441" t="s">
        <v>229</v>
      </c>
      <c r="C57" s="89"/>
      <c r="D57" s="442">
        <f t="array" ref="D57">((SUM(IF((CkDJ[Date]&lt;=$A$7)*(CkDJ[Account Code]=(TRIM($B57))),CkDJ[Debit])))+(SUM(IF((CsDJ[Date]&lt;=$A$7)*(CsDJ[Account Code]=(TRIM($B57))),CsDJ[Debit])))+(SUM(IF((CRDJ[Date]&lt;=$A$7)*(CRDJ[Account Code]=(TRIM($B57))),CRDJ[Debit])))+(SUM(IF((GJ[Date]&lt;=$A$7)*(GJ[Account Code]=(TRIM($B57))),GJ[Debit]))))-((SUM(IF((CkDJ[Date]&lt;=$A$7)*(CkDJ[Account Code]=(TRIM($B57))),CkDJ[Credit])))+(SUM(IF((CsDJ[Date]&lt;=$A$7)*(CsDJ[Account Code]=(TRIM($B57))),CsDJ[Credit])))+(SUM(IF((CRDJ[Date]&lt;=$A$7)*(CRDJ[Account Code]=(TRIM($B57))),CRDJ[Credit])))+(SUM(IF((GJ[Date]&lt;=$A$7)*(GJ[Account Code]=(TRIM($B57))),GJ[Credit]))))</f>
        <v>0</v>
      </c>
      <c r="E57" s="89"/>
    </row>
    <row r="58" spans="1:5">
      <c r="A58" s="440" t="s">
        <v>1104</v>
      </c>
      <c r="B58" s="441" t="s">
        <v>230</v>
      </c>
      <c r="C58" s="89"/>
      <c r="D58" s="442">
        <f t="array" ref="D58">((SUM(IF((CkDJ[Date]&lt;=$A$7)*(CkDJ[Account Code]=(TRIM($B58))),CkDJ[Debit])))+(SUM(IF((CsDJ[Date]&lt;=$A$7)*(CsDJ[Account Code]=(TRIM($B58))),CsDJ[Debit])))+(SUM(IF((CRDJ[Date]&lt;=$A$7)*(CRDJ[Account Code]=(TRIM($B58))),CRDJ[Debit])))+(SUM(IF((GJ[Date]&lt;=$A$7)*(GJ[Account Code]=(TRIM($B58))),GJ[Debit]))))-((SUM(IF((CkDJ[Date]&lt;=$A$7)*(CkDJ[Account Code]=(TRIM($B58))),CkDJ[Credit])))+(SUM(IF((CsDJ[Date]&lt;=$A$7)*(CsDJ[Account Code]=(TRIM($B58))),CsDJ[Credit])))+(SUM(IF((CRDJ[Date]&lt;=$A$7)*(CRDJ[Account Code]=(TRIM($B58))),CRDJ[Credit])))+(SUM(IF((GJ[Date]&lt;=$A$7)*(GJ[Account Code]=(TRIM($B58))),GJ[Credit]))))</f>
        <v>0</v>
      </c>
      <c r="E58" s="89"/>
    </row>
    <row r="59" spans="1:5">
      <c r="A59" s="440" t="s">
        <v>1105</v>
      </c>
      <c r="B59" s="441" t="s">
        <v>231</v>
      </c>
      <c r="C59" s="89"/>
      <c r="D59" s="442">
        <f t="array" ref="D59">((SUM(IF((CkDJ[Date]&lt;=$A$7)*(CkDJ[Account Code]=(TRIM($B59))),CkDJ[Debit])))+(SUM(IF((CsDJ[Date]&lt;=$A$7)*(CsDJ[Account Code]=(TRIM($B59))),CsDJ[Debit])))+(SUM(IF((CRDJ[Date]&lt;=$A$7)*(CRDJ[Account Code]=(TRIM($B59))),CRDJ[Debit])))+(SUM(IF((GJ[Date]&lt;=$A$7)*(GJ[Account Code]=(TRIM($B59))),GJ[Debit]))))-((SUM(IF((CkDJ[Date]&lt;=$A$7)*(CkDJ[Account Code]=(TRIM($B59))),CkDJ[Credit])))+(SUM(IF((CsDJ[Date]&lt;=$A$7)*(CsDJ[Account Code]=(TRIM($B59))),CsDJ[Credit])))+(SUM(IF((CRDJ[Date]&lt;=$A$7)*(CRDJ[Account Code]=(TRIM($B59))),CRDJ[Credit])))+(SUM(IF((GJ[Date]&lt;=$A$7)*(GJ[Account Code]=(TRIM($B59))),GJ[Credit]))))</f>
        <v>0</v>
      </c>
      <c r="E59" s="89"/>
    </row>
    <row r="60" spans="1:5">
      <c r="A60" s="440" t="s">
        <v>1106</v>
      </c>
      <c r="B60" s="441"/>
      <c r="C60" s="89"/>
      <c r="D60" s="438"/>
      <c r="E60" s="89"/>
    </row>
    <row r="61" spans="1:5">
      <c r="A61" s="320" t="s">
        <v>919</v>
      </c>
      <c r="B61" s="437"/>
      <c r="C61" s="89"/>
      <c r="D61" s="450">
        <f>SUM(D62+D63)</f>
        <v>0</v>
      </c>
      <c r="E61" s="89"/>
    </row>
    <row r="62" spans="1:5">
      <c r="A62" s="440" t="s">
        <v>920</v>
      </c>
      <c r="B62" s="441" t="s">
        <v>232</v>
      </c>
      <c r="C62" s="89"/>
      <c r="D62" s="442">
        <f t="array" ref="D62">((SUM(IF((CkDJ[Date]&lt;=$A$7)*(CkDJ[Account Code]=(TRIM($B62))),CkDJ[Debit])))+(SUM(IF((CsDJ[Date]&lt;=$A$7)*(CsDJ[Account Code]=(TRIM($B62))),CsDJ[Debit])))+(SUM(IF((CRDJ[Date]&lt;=$A$7)*(CRDJ[Account Code]=(TRIM($B62))),CRDJ[Debit])))+(SUM(IF((GJ[Date]&lt;=$A$7)*(GJ[Account Code]=(TRIM($B62))),GJ[Debit]))))-((SUM(IF((CkDJ[Date]&lt;=$A$7)*(CkDJ[Account Code]=(TRIM($B62))),CkDJ[Credit])))+(SUM(IF((CsDJ[Date]&lt;=$A$7)*(CsDJ[Account Code]=(TRIM($B62))),CsDJ[Credit])))+(SUM(IF((CRDJ[Date]&lt;=$A$7)*(CRDJ[Account Code]=(TRIM($B62))),CRDJ[Credit])))+(SUM(IF((GJ[Date]&lt;=$A$7)*(GJ[Account Code]=(TRIM($B62))),GJ[Credit]))))</f>
        <v>0</v>
      </c>
      <c r="E62" s="89"/>
    </row>
    <row r="63" spans="1:5">
      <c r="A63" s="440" t="s">
        <v>1107</v>
      </c>
      <c r="B63" s="441"/>
      <c r="C63" s="89"/>
      <c r="D63" s="438">
        <f>SUM(D64:D65)</f>
        <v>0</v>
      </c>
      <c r="E63" s="89"/>
    </row>
    <row r="64" spans="1:5">
      <c r="A64" s="451" t="s">
        <v>1108</v>
      </c>
      <c r="B64" s="441" t="s">
        <v>233</v>
      </c>
      <c r="C64" s="89"/>
      <c r="D64" s="442">
        <f t="array" ref="D64">((SUM(IF((CkDJ[Date]&lt;=$A$7)*(CkDJ[Account Code]=(TRIM($B64))),CkDJ[Debit])))+(SUM(IF((CsDJ[Date]&lt;=$A$7)*(CsDJ[Account Code]=(TRIM($B64))),CsDJ[Debit])))+(SUM(IF((CRDJ[Date]&lt;=$A$7)*(CRDJ[Account Code]=(TRIM($B64))),CRDJ[Debit])))+(SUM(IF((GJ[Date]&lt;=$A$7)*(GJ[Account Code]=(TRIM($B64))),GJ[Debit]))))-((SUM(IF((CkDJ[Date]&lt;=$A$7)*(CkDJ[Account Code]=(TRIM($B64))),CkDJ[Credit])))+(SUM(IF((CsDJ[Date]&lt;=$A$7)*(CsDJ[Account Code]=(TRIM($B64))),CsDJ[Credit])))+(SUM(IF((CRDJ[Date]&lt;=$A$7)*(CRDJ[Account Code]=(TRIM($B64))),CRDJ[Credit])))+(SUM(IF((GJ[Date]&lt;=$A$7)*(GJ[Account Code]=(TRIM($B64))),GJ[Credit]))))</f>
        <v>0</v>
      </c>
      <c r="E64" s="89"/>
    </row>
    <row r="65" spans="1:5">
      <c r="A65" s="451" t="s">
        <v>1109</v>
      </c>
      <c r="B65" s="441" t="s">
        <v>991</v>
      </c>
      <c r="C65" s="89"/>
      <c r="D65" s="442">
        <f t="array" ref="D65">((SUM(IF((CkDJ[Date]&lt;=$A$7)*(CkDJ[Account Code]=(TRIM($B65))),CkDJ[Debit])))+(SUM(IF((CsDJ[Date]&lt;=$A$7)*(CsDJ[Account Code]=(TRIM($B65))),CsDJ[Debit])))+(SUM(IF((CRDJ[Date]&lt;=$A$7)*(CRDJ[Account Code]=(TRIM($B65))),CRDJ[Debit])))+(SUM(IF((GJ[Date]&lt;=$A$7)*(GJ[Account Code]=(TRIM($B65))),GJ[Debit]))))-((SUM(IF((CkDJ[Date]&lt;=$A$7)*(CkDJ[Account Code]=(TRIM($B65))),CkDJ[Credit])))+(SUM(IF((CsDJ[Date]&lt;=$A$7)*(CsDJ[Account Code]=(TRIM($B65))),CsDJ[Credit])))+(SUM(IF((CRDJ[Date]&lt;=$A$7)*(CRDJ[Account Code]=(TRIM($B65))),CRDJ[Credit])))+(SUM(IF((GJ[Date]&lt;=$A$7)*(GJ[Account Code]=(TRIM($B65))),GJ[Credit]))))</f>
        <v>0</v>
      </c>
      <c r="E65" s="89"/>
    </row>
    <row r="66" spans="1:5">
      <c r="A66" s="320" t="s">
        <v>1110</v>
      </c>
      <c r="B66" s="437"/>
      <c r="C66" s="89"/>
      <c r="D66" s="439">
        <f>SUM(D67:D69)</f>
        <v>0</v>
      </c>
      <c r="E66" s="89"/>
    </row>
    <row r="67" spans="1:5">
      <c r="A67" s="440" t="s">
        <v>1144</v>
      </c>
      <c r="B67" s="61" t="s">
        <v>235</v>
      </c>
      <c r="C67" s="89"/>
      <c r="D67" s="442">
        <f t="array" ref="D67">((SUM(IF((CkDJ[Date]&lt;=$A$7)*(CkDJ[Account Code]=(TRIM($B67))),CkDJ[Debit])))+(SUM(IF((CsDJ[Date]&lt;=$A$7)*(CsDJ[Account Code]=(TRIM($B67))),CsDJ[Debit])))+(SUM(IF((CRDJ[Date]&lt;=$A$7)*(CRDJ[Account Code]=(TRIM($B67))),CRDJ[Debit])))+(SUM(IF((GJ[Date]&lt;=$A$7)*(GJ[Account Code]=(TRIM($B67))),GJ[Debit]))))-((SUM(IF((CkDJ[Date]&lt;=$A$7)*(CkDJ[Account Code]=(TRIM($B67))),CkDJ[Credit])))+(SUM(IF((CsDJ[Date]&lt;=$A$7)*(CsDJ[Account Code]=(TRIM($B67))),CsDJ[Credit])))+(SUM(IF((CRDJ[Date]&lt;=$A$7)*(CRDJ[Account Code]=(TRIM($B67))),CRDJ[Credit])))+(SUM(IF((GJ[Date]&lt;=$A$7)*(GJ[Account Code]=(TRIM($B67))),GJ[Credit]))))</f>
        <v>0</v>
      </c>
      <c r="E67" s="89"/>
    </row>
    <row r="68" spans="1:5">
      <c r="A68" s="440" t="s">
        <v>1145</v>
      </c>
      <c r="B68" s="61" t="s">
        <v>236</v>
      </c>
      <c r="C68" s="89"/>
      <c r="D68" s="442">
        <f t="array" ref="D68">((SUM(IF((CkDJ[Date]&lt;=$A$7)*(CkDJ[Account Code]=(TRIM($B68))),CkDJ[Debit])))+(SUM(IF((CsDJ[Date]&lt;=$A$7)*(CsDJ[Account Code]=(TRIM($B68))),CsDJ[Debit])))+(SUM(IF((CRDJ[Date]&lt;=$A$7)*(CRDJ[Account Code]=(TRIM($B68))),CRDJ[Debit])))+(SUM(IF((GJ[Date]&lt;=$A$7)*(GJ[Account Code]=(TRIM($B68))),GJ[Debit]))))-((SUM(IF((CkDJ[Date]&lt;=$A$7)*(CkDJ[Account Code]=(TRIM($B68))),CkDJ[Credit])))+(SUM(IF((CsDJ[Date]&lt;=$A$7)*(CsDJ[Account Code]=(TRIM($B68))),CsDJ[Credit])))+(SUM(IF((CRDJ[Date]&lt;=$A$7)*(CRDJ[Account Code]=(TRIM($B68))),CRDJ[Credit])))+(SUM(IF((GJ[Date]&lt;=$A$7)*(GJ[Account Code]=(TRIM($B68))),GJ[Credit]))))</f>
        <v>0</v>
      </c>
      <c r="E68" s="89"/>
    </row>
    <row r="69" spans="1:5">
      <c r="A69" s="440" t="s">
        <v>1147</v>
      </c>
      <c r="B69" s="61" t="s">
        <v>237</v>
      </c>
      <c r="C69" s="89"/>
      <c r="D69" s="442">
        <f t="array" ref="D69">((SUM(IF((CkDJ[Date]&lt;=$A$7)*(CkDJ[Account Code]=(TRIM($B69))),CkDJ[Debit])))+(SUM(IF((CsDJ[Date]&lt;=$A$7)*(CsDJ[Account Code]=(TRIM($B69))),CsDJ[Debit])))+(SUM(IF((CRDJ[Date]&lt;=$A$7)*(CRDJ[Account Code]=(TRIM($B69))),CRDJ[Debit])))+(SUM(IF((GJ[Date]&lt;=$A$7)*(GJ[Account Code]=(TRIM($B69))),GJ[Debit]))))-((SUM(IF((CkDJ[Date]&lt;=$A$7)*(CkDJ[Account Code]=(TRIM($B69))),CkDJ[Credit])))+(SUM(IF((CsDJ[Date]&lt;=$A$7)*(CsDJ[Account Code]=(TRIM($B69))),CsDJ[Credit])))+(SUM(IF((CRDJ[Date]&lt;=$A$7)*(CRDJ[Account Code]=(TRIM($B69))),CRDJ[Credit])))+(SUM(IF((GJ[Date]&lt;=$A$7)*(GJ[Account Code]=(TRIM($B69))),GJ[Credit]))))</f>
        <v>0</v>
      </c>
      <c r="E69" s="89"/>
    </row>
    <row r="70" spans="1:5">
      <c r="A70" s="320" t="s">
        <v>1111</v>
      </c>
      <c r="B70" s="437" t="s">
        <v>239</v>
      </c>
      <c r="C70" s="89"/>
      <c r="D70" s="442">
        <f t="array" ref="D70">((SUM(IF((CkDJ[Date]&lt;=$A$7)*(CkDJ[Account Code]=(TRIM($B70))),CkDJ[Debit])))+(SUM(IF((CsDJ[Date]&lt;=$A$7)*(CsDJ[Account Code]=(TRIM($B70))),CsDJ[Debit])))+(SUM(IF((CRDJ[Date]&lt;=$A$7)*(CRDJ[Account Code]=(TRIM($B70))),CRDJ[Debit])))+(SUM(IF((GJ[Date]&lt;=$A$7)*(GJ[Account Code]=(TRIM($B70))),GJ[Debit]))))-((SUM(IF((CkDJ[Date]&lt;=$A$7)*(CkDJ[Account Code]=(TRIM($B70))),CkDJ[Credit])))+(SUM(IF((CsDJ[Date]&lt;=$A$7)*(CsDJ[Account Code]=(TRIM($B70))),CsDJ[Credit])))+(SUM(IF((CRDJ[Date]&lt;=$A$7)*(CRDJ[Account Code]=(TRIM($B70))),CRDJ[Credit])))+(SUM(IF((GJ[Date]&lt;=$A$7)*(GJ[Account Code]=(TRIM($B70))),GJ[Credit]))))</f>
        <v>0</v>
      </c>
      <c r="E70" s="89"/>
    </row>
    <row r="71" spans="1:5">
      <c r="A71" s="320" t="s">
        <v>931</v>
      </c>
      <c r="B71" s="437" t="s">
        <v>240</v>
      </c>
      <c r="C71" s="89"/>
      <c r="D71" s="442">
        <f t="array" ref="D71">((SUM(IF((CkDJ[Date]&lt;=$A$7)*(CkDJ[Account Code]=(TRIM($B71))),CkDJ[Debit])))+(SUM(IF((CsDJ[Date]&lt;=$A$7)*(CsDJ[Account Code]=(TRIM($B71))),CsDJ[Debit])))+(SUM(IF((CRDJ[Date]&lt;=$A$7)*(CRDJ[Account Code]=(TRIM($B71))),CRDJ[Debit])))+(SUM(IF((GJ[Date]&lt;=$A$7)*(GJ[Account Code]=(TRIM($B71))),GJ[Debit]))))-((SUM(IF((CkDJ[Date]&lt;=$A$7)*(CkDJ[Account Code]=(TRIM($B71))),CkDJ[Credit])))+(SUM(IF((CsDJ[Date]&lt;=$A$7)*(CsDJ[Account Code]=(TRIM($B71))),CsDJ[Credit])))+(SUM(IF((CRDJ[Date]&lt;=$A$7)*(CRDJ[Account Code]=(TRIM($B71))),CRDJ[Credit])))+(SUM(IF((GJ[Date]&lt;=$A$7)*(GJ[Account Code]=(TRIM($B71))),GJ[Credit]))))</f>
        <v>0</v>
      </c>
      <c r="E71" s="89"/>
    </row>
    <row r="72" spans="1:5">
      <c r="A72" s="320" t="s">
        <v>1112</v>
      </c>
      <c r="B72" s="437" t="s">
        <v>241</v>
      </c>
      <c r="C72" s="89"/>
      <c r="D72" s="442">
        <f t="array" ref="D72">((SUM(IF((CkDJ[Date]&lt;=$A$7)*(CkDJ[Account Code]=(TRIM($B72))),CkDJ[Debit])))+(SUM(IF((CsDJ[Date]&lt;=$A$7)*(CsDJ[Account Code]=(TRIM($B72))),CsDJ[Debit])))+(SUM(IF((CRDJ[Date]&lt;=$A$7)*(CRDJ[Account Code]=(TRIM($B72))),CRDJ[Debit])))+(SUM(IF((GJ[Date]&lt;=$A$7)*(GJ[Account Code]=(TRIM($B72))),GJ[Debit]))))-((SUM(IF((CkDJ[Date]&lt;=$A$7)*(CkDJ[Account Code]=(TRIM($B72))),CkDJ[Credit])))+(SUM(IF((CsDJ[Date]&lt;=$A$7)*(CsDJ[Account Code]=(TRIM($B72))),CsDJ[Credit])))+(SUM(IF((CRDJ[Date]&lt;=$A$7)*(CRDJ[Account Code]=(TRIM($B72))),CRDJ[Credit])))+(SUM(IF((GJ[Date]&lt;=$A$7)*(GJ[Account Code]=(TRIM($B72))),GJ[Credit]))))</f>
        <v>0</v>
      </c>
      <c r="E72" s="89"/>
    </row>
    <row r="73" spans="1:5">
      <c r="A73" s="320" t="s">
        <v>1113</v>
      </c>
      <c r="B73" s="437" t="s">
        <v>242</v>
      </c>
      <c r="C73" s="89"/>
      <c r="D73" s="442">
        <f t="array" ref="D73">((SUM(IF((CkDJ[Date]&lt;=$A$7)*(CkDJ[Account Code]=(TRIM($B73))),CkDJ[Debit])))+(SUM(IF((CsDJ[Date]&lt;=$A$7)*(CsDJ[Account Code]=(TRIM($B73))),CsDJ[Debit])))+(SUM(IF((CRDJ[Date]&lt;=$A$7)*(CRDJ[Account Code]=(TRIM($B73))),CRDJ[Debit])))+(SUM(IF((GJ[Date]&lt;=$A$7)*(GJ[Account Code]=(TRIM($B73))),GJ[Debit]))))-((SUM(IF((CkDJ[Date]&lt;=$A$7)*(CkDJ[Account Code]=(TRIM($B73))),CkDJ[Credit])))+(SUM(IF((CsDJ[Date]&lt;=$A$7)*(CsDJ[Account Code]=(TRIM($B73))),CsDJ[Credit])))+(SUM(IF((CRDJ[Date]&lt;=$A$7)*(CRDJ[Account Code]=(TRIM($B73))),CRDJ[Credit])))+(SUM(IF((GJ[Date]&lt;=$A$7)*(GJ[Account Code]=(TRIM($B73))),GJ[Credit]))))</f>
        <v>0</v>
      </c>
      <c r="E73" s="89"/>
    </row>
    <row r="74" spans="1:5">
      <c r="A74" s="320" t="s">
        <v>934</v>
      </c>
      <c r="B74" s="437" t="s">
        <v>243</v>
      </c>
      <c r="C74" s="89"/>
      <c r="D74" s="442">
        <f t="array" ref="D74">((SUM(IF((CkDJ[Date]&lt;=$A$7)*(CkDJ[Account Code]=(TRIM($B74))),CkDJ[Debit])))+(SUM(IF((CsDJ[Date]&lt;=$A$7)*(CsDJ[Account Code]=(TRIM($B74))),CsDJ[Debit])))+(SUM(IF((CRDJ[Date]&lt;=$A$7)*(CRDJ[Account Code]=(TRIM($B74))),CRDJ[Debit])))+(SUM(IF((GJ[Date]&lt;=$A$7)*(GJ[Account Code]=(TRIM($B74))),GJ[Debit]))))-((SUM(IF((CkDJ[Date]&lt;=$A$7)*(CkDJ[Account Code]=(TRIM($B74))),CkDJ[Credit])))+(SUM(IF((CsDJ[Date]&lt;=$A$7)*(CsDJ[Account Code]=(TRIM($B74))),CsDJ[Credit])))+(SUM(IF((CRDJ[Date]&lt;=$A$7)*(CRDJ[Account Code]=(TRIM($B74))),CRDJ[Credit])))+(SUM(IF((GJ[Date]&lt;=$A$7)*(GJ[Account Code]=(TRIM($B74))),GJ[Credit]))))</f>
        <v>0</v>
      </c>
      <c r="E74" s="89"/>
    </row>
    <row r="75" spans="1:5">
      <c r="A75" s="320" t="s">
        <v>1160</v>
      </c>
      <c r="B75" s="437" t="s">
        <v>234</v>
      </c>
      <c r="C75" s="89"/>
      <c r="D75" s="442">
        <f t="array" ref="D75">((SUM(IF((CkDJ[Date]&lt;=$A$7)*(CkDJ[Account Code]=(TRIM($B75))),CkDJ[Debit])))+(SUM(IF((CsDJ[Date]&lt;=$A$7)*(CsDJ[Account Code]=(TRIM($B75))),CsDJ[Debit])))+(SUM(IF((CRDJ[Date]&lt;=$A$7)*(CRDJ[Account Code]=(TRIM($B75))),CRDJ[Debit])))+(SUM(IF((GJ[Date]&lt;=$A$7)*(GJ[Account Code]=(TRIM($B75))),GJ[Debit]))))-((SUM(IF((CkDJ[Date]&lt;=$A$7)*(CkDJ[Account Code]=(TRIM($B75))),CkDJ[Credit])))+(SUM(IF((CsDJ[Date]&lt;=$A$7)*(CsDJ[Account Code]=(TRIM($B75))),CsDJ[Credit])))+(SUM(IF((CRDJ[Date]&lt;=$A$7)*(CRDJ[Account Code]=(TRIM($B75))),CRDJ[Credit])))+(SUM(IF((GJ[Date]&lt;=$A$7)*(GJ[Account Code]=(TRIM($B75))),GJ[Credit]))))</f>
        <v>0</v>
      </c>
      <c r="E75" s="89"/>
    </row>
    <row r="76" spans="1:5">
      <c r="A76" s="320" t="s">
        <v>936</v>
      </c>
      <c r="B76" s="437"/>
      <c r="C76" s="89"/>
      <c r="D76" s="442">
        <f t="array" ref="D76">((SUM(IF((CkDJ[Date]&lt;=$A$7)*(CkDJ[Account Code]=(TRIM($B76))),CkDJ[Debit])))+(SUM(IF((CsDJ[Date]&lt;=$A$7)*(CsDJ[Account Code]=(TRIM($B76))),CsDJ[Debit])))+(SUM(IF((CRDJ[Date]&lt;=$A$7)*(CRDJ[Account Code]=(TRIM($B76))),CRDJ[Debit])))+(SUM(IF((GJ[Date]&lt;=$A$7)*(GJ[Account Code]=(TRIM($B76))),GJ[Debit]))))-((SUM(IF((CkDJ[Date]&lt;=$A$7)*(CkDJ[Account Code]=(TRIM($B76))),CkDJ[Credit])))+(SUM(IF((CsDJ[Date]&lt;=$A$7)*(CsDJ[Account Code]=(TRIM($B76))),CsDJ[Credit])))+(SUM(IF((CRDJ[Date]&lt;=$A$7)*(CRDJ[Account Code]=(TRIM($B76))),CRDJ[Credit])))+(SUM(IF((GJ[Date]&lt;=$A$7)*(GJ[Account Code]=(TRIM($B76))),GJ[Credit]))))</f>
        <v>0</v>
      </c>
      <c r="E76" s="89"/>
    </row>
    <row r="77" spans="1:5">
      <c r="A77" s="320" t="s">
        <v>937</v>
      </c>
      <c r="B77" s="437" t="s">
        <v>339</v>
      </c>
      <c r="C77" s="89"/>
      <c r="D77" s="442">
        <f t="array" ref="D77">((SUM(IF((CkDJ[Date]&lt;=$A$7)*(CkDJ[Account Code]=(TRIM($B77))),CkDJ[Debit])))+(SUM(IF((CsDJ[Date]&lt;=$A$7)*(CsDJ[Account Code]=(TRIM($B77))),CsDJ[Debit])))+(SUM(IF((CRDJ[Date]&lt;=$A$7)*(CRDJ[Account Code]=(TRIM($B77))),CRDJ[Debit])))+(SUM(IF((GJ[Date]&lt;=$A$7)*(GJ[Account Code]=(TRIM($B77))),GJ[Debit]))))-((SUM(IF((CkDJ[Date]&lt;=$A$7)*(CkDJ[Account Code]=(TRIM($B77))),CkDJ[Credit])))+(SUM(IF((CsDJ[Date]&lt;=$A$7)*(CsDJ[Account Code]=(TRIM($B77))),CsDJ[Credit])))+(SUM(IF((CRDJ[Date]&lt;=$A$7)*(CRDJ[Account Code]=(TRIM($B77))),CRDJ[Credit])))+(SUM(IF((GJ[Date]&lt;=$A$7)*(GJ[Account Code]=(TRIM($B77))),GJ[Credit]))))</f>
        <v>0</v>
      </c>
      <c r="E77" s="89"/>
    </row>
    <row r="78" spans="1:5">
      <c r="A78" s="320" t="s">
        <v>1114</v>
      </c>
      <c r="B78" s="437"/>
      <c r="C78" s="89"/>
      <c r="D78" s="439">
        <f>SUM(D79:D86)</f>
        <v>0</v>
      </c>
      <c r="E78" s="89"/>
    </row>
    <row r="79" spans="1:5">
      <c r="A79" s="440" t="s">
        <v>1115</v>
      </c>
      <c r="B79" s="441" t="s">
        <v>246</v>
      </c>
      <c r="C79" s="89"/>
      <c r="D79" s="442">
        <f t="array" ref="D79">((SUM(IF((CkDJ[Date]&lt;=$A$7)*(CkDJ[Account Code]=(TRIM($B79))),CkDJ[Debit])))+(SUM(IF((CsDJ[Date]&lt;=$A$7)*(CsDJ[Account Code]=(TRIM($B79))),CsDJ[Debit])))+(SUM(IF((CRDJ[Date]&lt;=$A$7)*(CRDJ[Account Code]=(TRIM($B79))),CRDJ[Debit])))+(SUM(IF((GJ[Date]&lt;=$A$7)*(GJ[Account Code]=(TRIM($B79))),GJ[Debit]))))-((SUM(IF((CkDJ[Date]&lt;=$A$7)*(CkDJ[Account Code]=(TRIM($B79))),CkDJ[Credit])))+(SUM(IF((CsDJ[Date]&lt;=$A$7)*(CsDJ[Account Code]=(TRIM($B79))),CsDJ[Credit])))+(SUM(IF((CRDJ[Date]&lt;=$A$7)*(CRDJ[Account Code]=(TRIM($B79))),CRDJ[Credit])))+(SUM(IF((GJ[Date]&lt;=$A$7)*(GJ[Account Code]=(TRIM($B79))),GJ[Credit]))))</f>
        <v>0</v>
      </c>
      <c r="E79" s="89"/>
    </row>
    <row r="80" spans="1:5">
      <c r="A80" s="440" t="s">
        <v>941</v>
      </c>
      <c r="B80" s="441" t="s">
        <v>222</v>
      </c>
      <c r="C80" s="89"/>
      <c r="D80" s="442">
        <f t="array" ref="D80">((SUM(IF((CkDJ[Date]&lt;=$A$7)*(CkDJ[Account Code]=(TRIM($B80))),CkDJ[Debit])))+(SUM(IF((CsDJ[Date]&lt;=$A$7)*(CsDJ[Account Code]=(TRIM($B80))),CsDJ[Debit])))+(SUM(IF((CRDJ[Date]&lt;=$A$7)*(CRDJ[Account Code]=(TRIM($B80))),CRDJ[Debit])))+(SUM(IF((GJ[Date]&lt;=$A$7)*(GJ[Account Code]=(TRIM($B80))),GJ[Debit]))))-((SUM(IF((CkDJ[Date]&lt;=$A$7)*(CkDJ[Account Code]=(TRIM($B80))),CkDJ[Credit])))+(SUM(IF((CsDJ[Date]&lt;=$A$7)*(CsDJ[Account Code]=(TRIM($B80))),CsDJ[Credit])))+(SUM(IF((CRDJ[Date]&lt;=$A$7)*(CRDJ[Account Code]=(TRIM($B80))),CRDJ[Credit])))+(SUM(IF((GJ[Date]&lt;=$A$7)*(GJ[Account Code]=(TRIM($B80))),GJ[Credit]))))</f>
        <v>0</v>
      </c>
      <c r="E80" s="89"/>
    </row>
    <row r="81" spans="1:5">
      <c r="A81" s="440" t="s">
        <v>942</v>
      </c>
      <c r="B81" s="441" t="s">
        <v>247</v>
      </c>
      <c r="C81" s="89"/>
      <c r="D81" s="442">
        <f t="array" ref="D81">((SUM(IF((CkDJ[Date]&lt;=$A$7)*(CkDJ[Account Code]=(TRIM($B81))),CkDJ[Debit])))+(SUM(IF((CsDJ[Date]&lt;=$A$7)*(CsDJ[Account Code]=(TRIM($B81))),CsDJ[Debit])))+(SUM(IF((CRDJ[Date]&lt;=$A$7)*(CRDJ[Account Code]=(TRIM($B81))),CRDJ[Debit])))+(SUM(IF((GJ[Date]&lt;=$A$7)*(GJ[Account Code]=(TRIM($B81))),GJ[Debit]))))-((SUM(IF((CkDJ[Date]&lt;=$A$7)*(CkDJ[Account Code]=(TRIM($B81))),CkDJ[Credit])))+(SUM(IF((CsDJ[Date]&lt;=$A$7)*(CsDJ[Account Code]=(TRIM($B81))),CsDJ[Credit])))+(SUM(IF((CRDJ[Date]&lt;=$A$7)*(CRDJ[Account Code]=(TRIM($B81))),CRDJ[Credit])))+(SUM(IF((GJ[Date]&lt;=$A$7)*(GJ[Account Code]=(TRIM($B81))),GJ[Credit]))))</f>
        <v>0</v>
      </c>
      <c r="E81" s="89"/>
    </row>
    <row r="82" spans="1:5">
      <c r="A82" s="440" t="s">
        <v>1116</v>
      </c>
      <c r="B82" s="441" t="s">
        <v>799</v>
      </c>
      <c r="C82" s="89"/>
      <c r="D82" s="442">
        <f t="array" ref="D82">((SUM(IF((CkDJ[Date]&lt;=$A$7)*(CkDJ[Account Code]=(TRIM($B82))),CkDJ[Debit])))+(SUM(IF((CsDJ[Date]&lt;=$A$7)*(CsDJ[Account Code]=(TRIM($B82))),CsDJ[Debit])))+(SUM(IF((CRDJ[Date]&lt;=$A$7)*(CRDJ[Account Code]=(TRIM($B82))),CRDJ[Debit])))+(SUM(IF((GJ[Date]&lt;=$A$7)*(GJ[Account Code]=(TRIM($B82))),GJ[Debit]))))-((SUM(IF((CkDJ[Date]&lt;=$A$7)*(CkDJ[Account Code]=(TRIM($B82))),CkDJ[Credit])))+(SUM(IF((CsDJ[Date]&lt;=$A$7)*(CsDJ[Account Code]=(TRIM($B82))),CsDJ[Credit])))+(SUM(IF((CRDJ[Date]&lt;=$A$7)*(CRDJ[Account Code]=(TRIM($B82))),CRDJ[Credit])))+(SUM(IF((GJ[Date]&lt;=$A$7)*(GJ[Account Code]=(TRIM($B82))),GJ[Credit]))))</f>
        <v>0</v>
      </c>
      <c r="E82" s="89"/>
    </row>
    <row r="83" spans="1:5">
      <c r="A83" s="440" t="s">
        <v>944</v>
      </c>
      <c r="B83" s="441" t="s">
        <v>799</v>
      </c>
      <c r="C83" s="89"/>
      <c r="D83" s="442">
        <f t="array" ref="D83">((SUM(IF((CkDJ[Date]&lt;=$A$7)*(CkDJ[Account Code]=(TRIM($B83))),CkDJ[Debit])))+(SUM(IF((CsDJ[Date]&lt;=$A$7)*(CsDJ[Account Code]=(TRIM($B83))),CsDJ[Debit])))+(SUM(IF((CRDJ[Date]&lt;=$A$7)*(CRDJ[Account Code]=(TRIM($B83))),CRDJ[Debit])))+(SUM(IF((GJ[Date]&lt;=$A$7)*(GJ[Account Code]=(TRIM($B83))),GJ[Debit]))))-((SUM(IF((CkDJ[Date]&lt;=$A$7)*(CkDJ[Account Code]=(TRIM($B83))),CkDJ[Credit])))+(SUM(IF((CsDJ[Date]&lt;=$A$7)*(CsDJ[Account Code]=(TRIM($B83))),CsDJ[Credit])))+(SUM(IF((CRDJ[Date]&lt;=$A$7)*(CRDJ[Account Code]=(TRIM($B83))),CRDJ[Credit])))+(SUM(IF((GJ[Date]&lt;=$A$7)*(GJ[Account Code]=(TRIM($B83))),GJ[Credit]))))</f>
        <v>0</v>
      </c>
      <c r="E83" s="89"/>
    </row>
    <row r="84" spans="1:5">
      <c r="A84" s="440" t="s">
        <v>1117</v>
      </c>
      <c r="B84" s="441" t="s">
        <v>249</v>
      </c>
      <c r="C84" s="89"/>
      <c r="D84" s="442">
        <f t="array" ref="D84">((SUM(IF((CkDJ[Date]&lt;=$A$7)*(CkDJ[Account Code]=(TRIM($B84))),CkDJ[Debit])))+(SUM(IF((CsDJ[Date]&lt;=$A$7)*(CsDJ[Account Code]=(TRIM($B84))),CsDJ[Debit])))+(SUM(IF((CRDJ[Date]&lt;=$A$7)*(CRDJ[Account Code]=(TRIM($B84))),CRDJ[Debit])))+(SUM(IF((GJ[Date]&lt;=$A$7)*(GJ[Account Code]=(TRIM($B84))),GJ[Debit]))))-((SUM(IF((CkDJ[Date]&lt;=$A$7)*(CkDJ[Account Code]=(TRIM($B84))),CkDJ[Credit])))+(SUM(IF((CsDJ[Date]&lt;=$A$7)*(CsDJ[Account Code]=(TRIM($B84))),CsDJ[Credit])))+(SUM(IF((CRDJ[Date]&lt;=$A$7)*(CRDJ[Account Code]=(TRIM($B84))),CRDJ[Credit])))+(SUM(IF((GJ[Date]&lt;=$A$7)*(GJ[Account Code]=(TRIM($B84))),GJ[Credit]))))</f>
        <v>0</v>
      </c>
      <c r="E84" s="89"/>
    </row>
    <row r="85" spans="1:5">
      <c r="A85" s="440" t="s">
        <v>946</v>
      </c>
      <c r="B85" s="441" t="s">
        <v>799</v>
      </c>
      <c r="C85" s="89"/>
      <c r="D85" s="442">
        <f t="array" ref="D85">((SUM(IF((CkDJ[Date]&lt;=$A$7)*(CkDJ[Account Code]=(TRIM($B85))),CkDJ[Debit])))+(SUM(IF((CsDJ[Date]&lt;=$A$7)*(CsDJ[Account Code]=(TRIM($B85))),CsDJ[Debit])))+(SUM(IF((CRDJ[Date]&lt;=$A$7)*(CRDJ[Account Code]=(TRIM($B85))),CRDJ[Debit])))+(SUM(IF((GJ[Date]&lt;=$A$7)*(GJ[Account Code]=(TRIM($B85))),GJ[Debit]))))-((SUM(IF((CkDJ[Date]&lt;=$A$7)*(CkDJ[Account Code]=(TRIM($B85))),CkDJ[Credit])))+(SUM(IF((CsDJ[Date]&lt;=$A$7)*(CsDJ[Account Code]=(TRIM($B85))),CsDJ[Credit])))+(SUM(IF((CRDJ[Date]&lt;=$A$7)*(CRDJ[Account Code]=(TRIM($B85))),CRDJ[Credit])))+(SUM(IF((GJ[Date]&lt;=$A$7)*(GJ[Account Code]=(TRIM($B85))),GJ[Credit]))))</f>
        <v>0</v>
      </c>
      <c r="E85" s="89"/>
    </row>
    <row r="86" spans="1:5">
      <c r="A86" s="440" t="s">
        <v>1118</v>
      </c>
      <c r="B86" s="441" t="s">
        <v>250</v>
      </c>
      <c r="C86" s="89"/>
      <c r="D86" s="442">
        <f t="array" ref="D86">((SUM(IF((CkDJ[Date]&lt;=$A$7)*(CkDJ[Account Code]=(TRIM($B86))),CkDJ[Debit])))+(SUM(IF((CsDJ[Date]&lt;=$A$7)*(CsDJ[Account Code]=(TRIM($B86))),CsDJ[Debit])))+(SUM(IF((CRDJ[Date]&lt;=$A$7)*(CRDJ[Account Code]=(TRIM($B86))),CRDJ[Debit])))+(SUM(IF((GJ[Date]&lt;=$A$7)*(GJ[Account Code]=(TRIM($B86))),GJ[Debit]))))-((SUM(IF((CkDJ[Date]&lt;=$A$7)*(CkDJ[Account Code]=(TRIM($B86))),CkDJ[Credit])))+(SUM(IF((CsDJ[Date]&lt;=$A$7)*(CsDJ[Account Code]=(TRIM($B86))),CsDJ[Credit])))+(SUM(IF((CRDJ[Date]&lt;=$A$7)*(CRDJ[Account Code]=(TRIM($B86))),CRDJ[Credit])))+(SUM(IF((GJ[Date]&lt;=$A$7)*(GJ[Account Code]=(TRIM($B86))),GJ[Credit]))))</f>
        <v>0</v>
      </c>
      <c r="E86" s="89"/>
    </row>
    <row r="87" spans="1:5">
      <c r="A87" s="320" t="s">
        <v>1119</v>
      </c>
      <c r="B87" s="437"/>
      <c r="C87" s="89"/>
      <c r="D87" s="439">
        <f>SUM(D88:D96)</f>
        <v>0</v>
      </c>
      <c r="E87" s="89"/>
    </row>
    <row r="88" spans="1:5">
      <c r="A88" s="440" t="s">
        <v>1148</v>
      </c>
      <c r="B88" s="441" t="s">
        <v>251</v>
      </c>
      <c r="C88" s="89"/>
      <c r="D88" s="442">
        <f t="array" ref="D88">((SUM(IF((CkDJ[Date]&lt;=$A$7)*(CkDJ[Account Code]=(TRIM($B88))),CkDJ[Debit])))+(SUM(IF((CsDJ[Date]&lt;=$A$7)*(CsDJ[Account Code]=(TRIM($B88))),CsDJ[Debit])))+(SUM(IF((CRDJ[Date]&lt;=$A$7)*(CRDJ[Account Code]=(TRIM($B88))),CRDJ[Debit])))+(SUM(IF((GJ[Date]&lt;=$A$7)*(GJ[Account Code]=(TRIM($B88))),GJ[Debit]))))-((SUM(IF((CkDJ[Date]&lt;=$A$7)*(CkDJ[Account Code]=(TRIM($B88))),CkDJ[Credit])))+(SUM(IF((CsDJ[Date]&lt;=$A$7)*(CsDJ[Account Code]=(TRIM($B88))),CsDJ[Credit])))+(SUM(IF((CRDJ[Date]&lt;=$A$7)*(CRDJ[Account Code]=(TRIM($B88))),CRDJ[Credit])))+(SUM(IF((GJ[Date]&lt;=$A$7)*(GJ[Account Code]=(TRIM($B88))),GJ[Credit]))))</f>
        <v>0</v>
      </c>
      <c r="E88" s="89"/>
    </row>
    <row r="89" spans="1:5">
      <c r="A89" s="440" t="s">
        <v>1149</v>
      </c>
      <c r="B89" s="441" t="s">
        <v>253</v>
      </c>
      <c r="C89" s="89"/>
      <c r="D89" s="442">
        <f t="array" ref="D89">((SUM(IF((CkDJ[Date]&lt;=$A$7)*(CkDJ[Account Code]=(TRIM($B89))),CkDJ[Debit])))+(SUM(IF((CsDJ[Date]&lt;=$A$7)*(CsDJ[Account Code]=(TRIM($B89))),CsDJ[Debit])))+(SUM(IF((CRDJ[Date]&lt;=$A$7)*(CRDJ[Account Code]=(TRIM($B89))),CRDJ[Debit])))+(SUM(IF((GJ[Date]&lt;=$A$7)*(GJ[Account Code]=(TRIM($B89))),GJ[Debit]))))-((SUM(IF((CkDJ[Date]&lt;=$A$7)*(CkDJ[Account Code]=(TRIM($B89))),CkDJ[Credit])))+(SUM(IF((CsDJ[Date]&lt;=$A$7)*(CsDJ[Account Code]=(TRIM($B89))),CsDJ[Credit])))+(SUM(IF((CRDJ[Date]&lt;=$A$7)*(CRDJ[Account Code]=(TRIM($B89))),CRDJ[Credit])))+(SUM(IF((GJ[Date]&lt;=$A$7)*(GJ[Account Code]=(TRIM($B89))),GJ[Credit]))))</f>
        <v>0</v>
      </c>
      <c r="E89" s="89"/>
    </row>
    <row r="90" spans="1:5">
      <c r="A90" s="440" t="s">
        <v>1150</v>
      </c>
      <c r="B90" s="441" t="s">
        <v>256</v>
      </c>
      <c r="C90" s="89"/>
      <c r="D90" s="442">
        <f t="array" ref="D90">((SUM(IF((CkDJ[Date]&lt;=$A$7)*(CkDJ[Account Code]=(TRIM($B90))),CkDJ[Debit])))+(SUM(IF((CsDJ[Date]&lt;=$A$7)*(CsDJ[Account Code]=(TRIM($B90))),CsDJ[Debit])))+(SUM(IF((CRDJ[Date]&lt;=$A$7)*(CRDJ[Account Code]=(TRIM($B90))),CRDJ[Debit])))+(SUM(IF((GJ[Date]&lt;=$A$7)*(GJ[Account Code]=(TRIM($B90))),GJ[Debit]))))-((SUM(IF((CkDJ[Date]&lt;=$A$7)*(CkDJ[Account Code]=(TRIM($B90))),CkDJ[Credit])))+(SUM(IF((CsDJ[Date]&lt;=$A$7)*(CsDJ[Account Code]=(TRIM($B90))),CsDJ[Credit])))+(SUM(IF((CRDJ[Date]&lt;=$A$7)*(CRDJ[Account Code]=(TRIM($B90))),CRDJ[Credit])))+(SUM(IF((GJ[Date]&lt;=$A$7)*(GJ[Account Code]=(TRIM($B90))),GJ[Credit]))))</f>
        <v>0</v>
      </c>
      <c r="E90" s="89"/>
    </row>
    <row r="91" spans="1:5">
      <c r="A91" s="440" t="s">
        <v>1151</v>
      </c>
      <c r="B91" s="441" t="s">
        <v>264</v>
      </c>
      <c r="C91" s="89"/>
      <c r="D91" s="442">
        <f t="array" ref="D91">((SUM(IF((CkDJ[Date]&lt;=$A$7)*(CkDJ[Account Code]=(TRIM($B91))),CkDJ[Debit])))+(SUM(IF((CsDJ[Date]&lt;=$A$7)*(CsDJ[Account Code]=(TRIM($B91))),CsDJ[Debit])))+(SUM(IF((CRDJ[Date]&lt;=$A$7)*(CRDJ[Account Code]=(TRIM($B91))),CRDJ[Debit])))+(SUM(IF((GJ[Date]&lt;=$A$7)*(GJ[Account Code]=(TRIM($B91))),GJ[Debit]))))-((SUM(IF((CkDJ[Date]&lt;=$A$7)*(CkDJ[Account Code]=(TRIM($B91))),CkDJ[Credit])))+(SUM(IF((CsDJ[Date]&lt;=$A$7)*(CsDJ[Account Code]=(TRIM($B91))),CsDJ[Credit])))+(SUM(IF((CRDJ[Date]&lt;=$A$7)*(CRDJ[Account Code]=(TRIM($B91))),CRDJ[Credit])))+(SUM(IF((GJ[Date]&lt;=$A$7)*(GJ[Account Code]=(TRIM($B91))),GJ[Credit]))))</f>
        <v>0</v>
      </c>
      <c r="E91" s="89"/>
    </row>
    <row r="92" spans="1:5">
      <c r="A92" s="440" t="s">
        <v>1152</v>
      </c>
      <c r="B92" s="441" t="s">
        <v>265</v>
      </c>
      <c r="C92" s="89"/>
      <c r="D92" s="442">
        <f t="array" ref="D92">((SUM(IF((CkDJ[Date]&lt;=$A$7)*(CkDJ[Account Code]=(TRIM($B92))),CkDJ[Debit])))+(SUM(IF((CsDJ[Date]&lt;=$A$7)*(CsDJ[Account Code]=(TRIM($B92))),CsDJ[Debit])))+(SUM(IF((CRDJ[Date]&lt;=$A$7)*(CRDJ[Account Code]=(TRIM($B92))),CRDJ[Debit])))+(SUM(IF((GJ[Date]&lt;=$A$7)*(GJ[Account Code]=(TRIM($B92))),GJ[Debit]))))-((SUM(IF((CkDJ[Date]&lt;=$A$7)*(CkDJ[Account Code]=(TRIM($B92))),CkDJ[Credit])))+(SUM(IF((CsDJ[Date]&lt;=$A$7)*(CsDJ[Account Code]=(TRIM($B92))),CsDJ[Credit])))+(SUM(IF((CRDJ[Date]&lt;=$A$7)*(CRDJ[Account Code]=(TRIM($B92))),CRDJ[Credit])))+(SUM(IF((GJ[Date]&lt;=$A$7)*(GJ[Account Code]=(TRIM($B92))),GJ[Credit]))))</f>
        <v>0</v>
      </c>
      <c r="E92" s="89"/>
    </row>
    <row r="93" spans="1:5">
      <c r="A93" s="440" t="s">
        <v>1153</v>
      </c>
      <c r="B93" s="441" t="s">
        <v>267</v>
      </c>
      <c r="C93" s="89"/>
      <c r="D93" s="442">
        <f t="array" ref="D93">((SUM(IF((CkDJ[Date]&lt;=$A$7)*(CkDJ[Account Code]=(TRIM($B93))),CkDJ[Debit])))+(SUM(IF((CsDJ[Date]&lt;=$A$7)*(CsDJ[Account Code]=(TRIM($B93))),CsDJ[Debit])))+(SUM(IF((CRDJ[Date]&lt;=$A$7)*(CRDJ[Account Code]=(TRIM($B93))),CRDJ[Debit])))+(SUM(IF((GJ[Date]&lt;=$A$7)*(GJ[Account Code]=(TRIM($B93))),GJ[Debit]))))-((SUM(IF((CkDJ[Date]&lt;=$A$7)*(CkDJ[Account Code]=(TRIM($B93))),CkDJ[Credit])))+(SUM(IF((CsDJ[Date]&lt;=$A$7)*(CsDJ[Account Code]=(TRIM($B93))),CsDJ[Credit])))+(SUM(IF((CRDJ[Date]&lt;=$A$7)*(CRDJ[Account Code]=(TRIM($B93))),CRDJ[Credit])))+(SUM(IF((GJ[Date]&lt;=$A$7)*(GJ[Account Code]=(TRIM($B93))),GJ[Credit]))))</f>
        <v>0</v>
      </c>
      <c r="E93" s="89"/>
    </row>
    <row r="94" spans="1:5">
      <c r="A94" s="440" t="s">
        <v>1154</v>
      </c>
      <c r="B94" s="441" t="s">
        <v>258</v>
      </c>
      <c r="C94" s="89"/>
      <c r="D94" s="442">
        <f t="array" ref="D94">((SUM(IF((CkDJ[Date]&lt;=$A$7)*(CkDJ[Account Code]=(TRIM($B94))),CkDJ[Debit])))+(SUM(IF((CsDJ[Date]&lt;=$A$7)*(CsDJ[Account Code]=(TRIM($B94))),CsDJ[Debit])))+(SUM(IF((CRDJ[Date]&lt;=$A$7)*(CRDJ[Account Code]=(TRIM($B94))),CRDJ[Debit])))+(SUM(IF((GJ[Date]&lt;=$A$7)*(GJ[Account Code]=(TRIM($B94))),GJ[Debit]))))-((SUM(IF((CkDJ[Date]&lt;=$A$7)*(CkDJ[Account Code]=(TRIM($B94))),CkDJ[Credit])))+(SUM(IF((CsDJ[Date]&lt;=$A$7)*(CsDJ[Account Code]=(TRIM($B94))),CsDJ[Credit])))+(SUM(IF((CRDJ[Date]&lt;=$A$7)*(CRDJ[Account Code]=(TRIM($B94))),CRDJ[Credit])))+(SUM(IF((GJ[Date]&lt;=$A$7)*(GJ[Account Code]=(TRIM($B94))),GJ[Credit]))))</f>
        <v>0</v>
      </c>
      <c r="E94" s="89"/>
    </row>
    <row r="95" spans="1:5">
      <c r="A95" s="440" t="s">
        <v>1155</v>
      </c>
      <c r="B95" s="441" t="s">
        <v>261</v>
      </c>
      <c r="C95" s="89"/>
      <c r="D95" s="442">
        <f t="array" ref="D95">((SUM(IF((CkDJ[Date]&lt;=$A$7)*(CkDJ[Account Code]=(TRIM($B95))),CkDJ[Debit])))+(SUM(IF((CsDJ[Date]&lt;=$A$7)*(CsDJ[Account Code]=(TRIM($B95))),CsDJ[Debit])))+(SUM(IF((CRDJ[Date]&lt;=$A$7)*(CRDJ[Account Code]=(TRIM($B95))),CRDJ[Debit])))+(SUM(IF((GJ[Date]&lt;=$A$7)*(GJ[Account Code]=(TRIM($B95))),GJ[Debit]))))-((SUM(IF((CkDJ[Date]&lt;=$A$7)*(CkDJ[Account Code]=(TRIM($B95))),CkDJ[Credit])))+(SUM(IF((CsDJ[Date]&lt;=$A$7)*(CsDJ[Account Code]=(TRIM($B95))),CsDJ[Credit])))+(SUM(IF((CRDJ[Date]&lt;=$A$7)*(CRDJ[Account Code]=(TRIM($B95))),CRDJ[Credit])))+(SUM(IF((GJ[Date]&lt;=$A$7)*(GJ[Account Code]=(TRIM($B95))),GJ[Credit]))))</f>
        <v>0</v>
      </c>
      <c r="E95" s="89"/>
    </row>
    <row r="96" spans="1:5">
      <c r="A96" s="440" t="s">
        <v>1156</v>
      </c>
      <c r="B96" s="441" t="s">
        <v>262</v>
      </c>
      <c r="C96" s="89"/>
      <c r="D96" s="442">
        <f t="array" ref="D96">((SUM(IF((CkDJ[Date]&lt;=$A$7)*(CkDJ[Account Code]=(TRIM($B96))),CkDJ[Debit])))+(SUM(IF((CsDJ[Date]&lt;=$A$7)*(CsDJ[Account Code]=(TRIM($B96))),CsDJ[Debit])))+(SUM(IF((CRDJ[Date]&lt;=$A$7)*(CRDJ[Account Code]=(TRIM($B96))),CRDJ[Debit])))+(SUM(IF((GJ[Date]&lt;=$A$7)*(GJ[Account Code]=(TRIM($B96))),GJ[Debit]))))-((SUM(IF((CkDJ[Date]&lt;=$A$7)*(CkDJ[Account Code]=(TRIM($B96))),CkDJ[Credit])))+(SUM(IF((CsDJ[Date]&lt;=$A$7)*(CsDJ[Account Code]=(TRIM($B96))),CsDJ[Credit])))+(SUM(IF((CRDJ[Date]&lt;=$A$7)*(CRDJ[Account Code]=(TRIM($B96))),CRDJ[Credit])))+(SUM(IF((GJ[Date]&lt;=$A$7)*(GJ[Account Code]=(TRIM($B96))),GJ[Credit]))))</f>
        <v>0</v>
      </c>
      <c r="E96" s="89"/>
    </row>
    <row r="97" spans="1:5">
      <c r="A97" s="452" t="s">
        <v>1120</v>
      </c>
      <c r="B97" s="437" t="s">
        <v>269</v>
      </c>
      <c r="C97" s="89"/>
      <c r="D97" s="442">
        <f t="array" ref="D97">((SUM(IF((CkDJ[Date]&lt;=$A$7)*(CkDJ[Account Code]=(TRIM($B97))),CkDJ[Debit])))+(SUM(IF((CsDJ[Date]&lt;=$A$7)*(CsDJ[Account Code]=(TRIM($B97))),CsDJ[Debit])))+(SUM(IF((CRDJ[Date]&lt;=$A$7)*(CRDJ[Account Code]=(TRIM($B97))),CRDJ[Debit])))+(SUM(IF((GJ[Date]&lt;=$A$7)*(GJ[Account Code]=(TRIM($B97))),GJ[Debit]))))-((SUM(IF((CkDJ[Date]&lt;=$A$7)*(CkDJ[Account Code]=(TRIM($B97))),CkDJ[Credit])))+(SUM(IF((CsDJ[Date]&lt;=$A$7)*(CsDJ[Account Code]=(TRIM($B97))),CsDJ[Credit])))+(SUM(IF((CRDJ[Date]&lt;=$A$7)*(CRDJ[Account Code]=(TRIM($B97))),CRDJ[Credit])))+(SUM(IF((GJ[Date]&lt;=$A$7)*(GJ[Account Code]=(TRIM($B97))),GJ[Credit]))))</f>
        <v>0</v>
      </c>
      <c r="E97" s="89"/>
    </row>
    <row r="98" spans="1:5">
      <c r="A98" s="452" t="s">
        <v>1121</v>
      </c>
      <c r="B98" s="437"/>
      <c r="C98" s="89"/>
      <c r="D98" s="439">
        <f>SUM(D99:D104)</f>
        <v>40921322.340000004</v>
      </c>
      <c r="E98" s="89"/>
    </row>
    <row r="99" spans="1:5">
      <c r="A99" s="440" t="s">
        <v>1122</v>
      </c>
      <c r="B99" s="441" t="s">
        <v>989</v>
      </c>
      <c r="C99" s="89"/>
      <c r="D99" s="442">
        <f t="array" ref="D99">((SUM(IF((CkDJ[Date]&lt;=$A$7)*(CkDJ[Account Code]=(TRIM($B99))),CkDJ[Debit])))+(SUM(IF((CsDJ[Date]&lt;=$A$7)*(CsDJ[Account Code]=(TRIM($B99))),CsDJ[Debit])))+(SUM(IF((CRDJ[Date]&lt;=$A$7)*(CRDJ[Account Code]=(TRIM($B99))),CRDJ[Debit])))+(SUM(IF((GJ[Date]&lt;=$A$7)*(GJ[Account Code]=(TRIM($B99))),GJ[Debit]))))-((SUM(IF((CkDJ[Date]&lt;=$A$7)*(CkDJ[Account Code]=(TRIM($B99))),CkDJ[Credit])))+(SUM(IF((CsDJ[Date]&lt;=$A$7)*(CsDJ[Account Code]=(TRIM($B99))),CsDJ[Credit])))+(SUM(IF((CRDJ[Date]&lt;=$A$7)*(CRDJ[Account Code]=(TRIM($B99))),CRDJ[Credit])))+(SUM(IF((GJ[Date]&lt;=$A$7)*(GJ[Account Code]=(TRIM($B99))),GJ[Credit]))))</f>
        <v>0</v>
      </c>
      <c r="E99" s="89"/>
    </row>
    <row r="100" spans="1:5">
      <c r="A100" s="440" t="s">
        <v>1123</v>
      </c>
      <c r="B100" s="441" t="s">
        <v>271</v>
      </c>
      <c r="C100" s="89"/>
      <c r="D100" s="442">
        <f t="array" ref="D100">((SUM(IF((CkDJ[Date]&lt;=$A$7)*(CkDJ[Account Code]=(TRIM($B100))),CkDJ[Debit])))+(SUM(IF((CsDJ[Date]&lt;=$A$7)*(CsDJ[Account Code]=(TRIM($B100))),CsDJ[Debit])))+(SUM(IF((CRDJ[Date]&lt;=$A$7)*(CRDJ[Account Code]=(TRIM($B100))),CRDJ[Debit])))+(SUM(IF((GJ[Date]&lt;=$A$7)*(GJ[Account Code]=(TRIM($B100))),GJ[Debit]))))-((SUM(IF((CkDJ[Date]&lt;=$A$7)*(CkDJ[Account Code]=(TRIM($B100))),CkDJ[Credit])))+(SUM(IF((CsDJ[Date]&lt;=$A$7)*(CsDJ[Account Code]=(TRIM($B100))),CsDJ[Credit])))+(SUM(IF((CRDJ[Date]&lt;=$A$7)*(CRDJ[Account Code]=(TRIM($B100))),CRDJ[Credit])))+(SUM(IF((GJ[Date]&lt;=$A$7)*(GJ[Account Code]=(TRIM($B100))),GJ[Credit]))))</f>
        <v>0</v>
      </c>
      <c r="E100" s="89"/>
    </row>
    <row r="101" spans="1:5">
      <c r="A101" s="440" t="s">
        <v>1124</v>
      </c>
      <c r="B101" s="441" t="s">
        <v>331</v>
      </c>
      <c r="C101" s="89"/>
      <c r="D101" s="442">
        <f>31292796.82+9628525.52</f>
        <v>40921322.340000004</v>
      </c>
      <c r="E101" s="89"/>
    </row>
    <row r="102" spans="1:5">
      <c r="A102" s="440" t="s">
        <v>1125</v>
      </c>
      <c r="B102" s="441"/>
      <c r="C102" s="89"/>
      <c r="D102" s="438">
        <v>0</v>
      </c>
      <c r="E102" s="89"/>
    </row>
    <row r="103" spans="1:5">
      <c r="A103" s="440" t="s">
        <v>1126</v>
      </c>
      <c r="B103" s="441" t="s">
        <v>987</v>
      </c>
      <c r="C103" s="89"/>
      <c r="D103" s="442">
        <f t="array" ref="D103">((SUM(IF((CkDJ[Date]&lt;=$A$7)*(CkDJ[Account Code]=(TRIM($B103))),CkDJ[Debit])))+(SUM(IF((CsDJ[Date]&lt;=$A$7)*(CsDJ[Account Code]=(TRIM($B103))),CsDJ[Debit])))+(SUM(IF((CRDJ[Date]&lt;=$A$7)*(CRDJ[Account Code]=(TRIM($B103))),CRDJ[Debit])))+(SUM(IF((GJ[Date]&lt;=$A$7)*(GJ[Account Code]=(TRIM($B103))),GJ[Debit]))))-((SUM(IF((CkDJ[Date]&lt;=$A$7)*(CkDJ[Account Code]=(TRIM($B103))),CkDJ[Credit])))+(SUM(IF((CsDJ[Date]&lt;=$A$7)*(CsDJ[Account Code]=(TRIM($B103))),CsDJ[Credit])))+(SUM(IF((CRDJ[Date]&lt;=$A$7)*(CRDJ[Account Code]=(TRIM($B103))),CRDJ[Credit])))+(SUM(IF((GJ[Date]&lt;=$A$7)*(GJ[Account Code]=(TRIM($B103))),GJ[Credit]))))</f>
        <v>0</v>
      </c>
      <c r="E103" s="89"/>
    </row>
    <row r="104" spans="1:5">
      <c r="A104" s="440" t="s">
        <v>1127</v>
      </c>
      <c r="B104" s="441" t="s">
        <v>799</v>
      </c>
      <c r="C104" s="89"/>
      <c r="D104" s="438"/>
      <c r="E104" s="89"/>
    </row>
    <row r="105" spans="1:5">
      <c r="A105" s="453" t="s">
        <v>1128</v>
      </c>
      <c r="B105" s="454"/>
      <c r="C105" s="89"/>
      <c r="D105" s="442">
        <f>SUM(D106:D108)</f>
        <v>0</v>
      </c>
      <c r="E105" s="89"/>
    </row>
    <row r="106" spans="1:5">
      <c r="A106" s="440" t="s">
        <v>960</v>
      </c>
      <c r="B106" s="441" t="s">
        <v>272</v>
      </c>
      <c r="C106" s="89"/>
      <c r="D106" s="442">
        <f t="array" ref="D106">((SUM(IF((CkDJ[Date]&lt;=$A$7)*(CkDJ[Account Code]=(TRIM($B106))),CkDJ[Debit])))+(SUM(IF((CsDJ[Date]&lt;=$A$7)*(CsDJ[Account Code]=(TRIM($B106))),CsDJ[Debit])))+(SUM(IF((CRDJ[Date]&lt;=$A$7)*(CRDJ[Account Code]=(TRIM($B106))),CRDJ[Debit])))+(SUM(IF((GJ[Date]&lt;=$A$7)*(GJ[Account Code]=(TRIM($B106))),GJ[Debit]))))-((SUM(IF((CkDJ[Date]&lt;=$A$7)*(CkDJ[Account Code]=(TRIM($B106))),CkDJ[Credit])))+(SUM(IF((CsDJ[Date]&lt;=$A$7)*(CsDJ[Account Code]=(TRIM($B106))),CsDJ[Credit])))+(SUM(IF((CRDJ[Date]&lt;=$A$7)*(CRDJ[Account Code]=(TRIM($B106))),CRDJ[Credit])))+(SUM(IF((GJ[Date]&lt;=$A$7)*(GJ[Account Code]=(TRIM($B106))),GJ[Credit]))))</f>
        <v>0</v>
      </c>
      <c r="E106" s="89"/>
    </row>
    <row r="107" spans="1:5">
      <c r="A107" s="440" t="s">
        <v>961</v>
      </c>
      <c r="B107" s="441" t="s">
        <v>273</v>
      </c>
      <c r="C107" s="89"/>
      <c r="D107" s="442">
        <f t="array" ref="D107">((SUM(IF((CkDJ[Date]&lt;=$A$7)*(CkDJ[Account Code]=(TRIM($B107))),CkDJ[Debit])))+(SUM(IF((CsDJ[Date]&lt;=$A$7)*(CsDJ[Account Code]=(TRIM($B107))),CsDJ[Debit])))+(SUM(IF((CRDJ[Date]&lt;=$A$7)*(CRDJ[Account Code]=(TRIM($B107))),CRDJ[Debit])))+(SUM(IF((GJ[Date]&lt;=$A$7)*(GJ[Account Code]=(TRIM($B107))),GJ[Debit]))))-((SUM(IF((CkDJ[Date]&lt;=$A$7)*(CkDJ[Account Code]=(TRIM($B107))),CkDJ[Credit])))+(SUM(IF((CsDJ[Date]&lt;=$A$7)*(CsDJ[Account Code]=(TRIM($B107))),CsDJ[Credit])))+(SUM(IF((CRDJ[Date]&lt;=$A$7)*(CRDJ[Account Code]=(TRIM($B107))),CRDJ[Credit])))+(SUM(IF((GJ[Date]&lt;=$A$7)*(GJ[Account Code]=(TRIM($B107))),GJ[Credit]))))</f>
        <v>0</v>
      </c>
      <c r="E107" s="89"/>
    </row>
    <row r="108" spans="1:5">
      <c r="A108" s="440" t="s">
        <v>962</v>
      </c>
      <c r="B108" s="441" t="s">
        <v>274</v>
      </c>
      <c r="C108" s="89"/>
      <c r="D108" s="442">
        <f t="array" ref="D108">((SUM(IF((CkDJ[Date]&lt;=$A$7)*(CkDJ[Account Code]=(TRIM($B108))),CkDJ[Debit])))+(SUM(IF((CsDJ[Date]&lt;=$A$7)*(CsDJ[Account Code]=(TRIM($B108))),CsDJ[Debit])))+(SUM(IF((CRDJ[Date]&lt;=$A$7)*(CRDJ[Account Code]=(TRIM($B108))),CRDJ[Debit])))+(SUM(IF((GJ[Date]&lt;=$A$7)*(GJ[Account Code]=(TRIM($B108))),GJ[Debit]))))-((SUM(IF((CkDJ[Date]&lt;=$A$7)*(CkDJ[Account Code]=(TRIM($B108))),CkDJ[Credit])))+(SUM(IF((CsDJ[Date]&lt;=$A$7)*(CsDJ[Account Code]=(TRIM($B108))),CsDJ[Credit])))+(SUM(IF((CRDJ[Date]&lt;=$A$7)*(CRDJ[Account Code]=(TRIM($B108))),CRDJ[Credit])))+(SUM(IF((GJ[Date]&lt;=$A$7)*(GJ[Account Code]=(TRIM($B108))),GJ[Credit]))))</f>
        <v>0</v>
      </c>
      <c r="E108" s="89"/>
    </row>
    <row r="109" spans="1:5">
      <c r="A109" s="453" t="s">
        <v>1129</v>
      </c>
      <c r="B109" s="454" t="s">
        <v>334</v>
      </c>
      <c r="C109" s="89"/>
      <c r="D109" s="442">
        <f t="array" ref="D109">((SUM(IF((CkDJ[Date]&lt;=$A$7)*(CkDJ[Account Code]=(TRIM($B109))),CkDJ[Debit])))+(SUM(IF((CsDJ[Date]&lt;=$A$7)*(CsDJ[Account Code]=(TRIM($B109))),CsDJ[Debit])))+(SUM(IF((CRDJ[Date]&lt;=$A$7)*(CRDJ[Account Code]=(TRIM($B109))),CRDJ[Debit])))+(SUM(IF((GJ[Date]&lt;=$A$7)*(GJ[Account Code]=(TRIM($B109))),GJ[Debit]))))-((SUM(IF((CkDJ[Date]&lt;=$A$7)*(CkDJ[Account Code]=(TRIM($B109))),CkDJ[Credit])))+(SUM(IF((CsDJ[Date]&lt;=$A$7)*(CsDJ[Account Code]=(TRIM($B109))),CsDJ[Credit])))+(SUM(IF((CRDJ[Date]&lt;=$A$7)*(CRDJ[Account Code]=(TRIM($B109))),CRDJ[Credit])))+(SUM(IF((GJ[Date]&lt;=$A$7)*(GJ[Account Code]=(TRIM($B109))),GJ[Credit]))))</f>
        <v>0</v>
      </c>
      <c r="E109" s="89"/>
    </row>
    <row r="110" spans="1:5">
      <c r="A110" s="453" t="s">
        <v>1130</v>
      </c>
      <c r="B110" s="454" t="s">
        <v>333</v>
      </c>
      <c r="C110" s="89"/>
      <c r="D110" s="442">
        <f t="array" ref="D110">((SUM(IF((CkDJ[Date]&lt;=$A$7)*(CkDJ[Account Code]=(TRIM($B110))),CkDJ[Debit])))+(SUM(IF((CsDJ[Date]&lt;=$A$7)*(CsDJ[Account Code]=(TRIM($B110))),CsDJ[Debit])))+(SUM(IF((CRDJ[Date]&lt;=$A$7)*(CRDJ[Account Code]=(TRIM($B110))),CRDJ[Debit])))+(SUM(IF((GJ[Date]&lt;=$A$7)*(GJ[Account Code]=(TRIM($B110))),GJ[Debit]))))-((SUM(IF((CkDJ[Date]&lt;=$A$7)*(CkDJ[Account Code]=(TRIM($B110))),CkDJ[Credit])))+(SUM(IF((CsDJ[Date]&lt;=$A$7)*(CsDJ[Account Code]=(TRIM($B110))),CsDJ[Credit])))+(SUM(IF((CRDJ[Date]&lt;=$A$7)*(CRDJ[Account Code]=(TRIM($B110))),CRDJ[Credit])))+(SUM(IF((GJ[Date]&lt;=$A$7)*(GJ[Account Code]=(TRIM($B110))),GJ[Credit]))))</f>
        <v>0</v>
      </c>
      <c r="E110" s="89"/>
    </row>
    <row r="111" spans="1:5">
      <c r="A111" s="453" t="s">
        <v>1131</v>
      </c>
      <c r="B111" s="454" t="s">
        <v>335</v>
      </c>
      <c r="C111" s="89"/>
      <c r="D111" s="442">
        <f t="array" ref="D111">((SUM(IF((CkDJ[Date]&lt;=$A$7)*(CkDJ[Account Code]=(TRIM($B111))),CkDJ[Debit])))+(SUM(IF((CsDJ[Date]&lt;=$A$7)*(CsDJ[Account Code]=(TRIM($B111))),CsDJ[Debit])))+(SUM(IF((CRDJ[Date]&lt;=$A$7)*(CRDJ[Account Code]=(TRIM($B111))),CRDJ[Debit])))+(SUM(IF((GJ[Date]&lt;=$A$7)*(GJ[Account Code]=(TRIM($B111))),GJ[Debit]))))-((SUM(IF((CkDJ[Date]&lt;=$A$7)*(CkDJ[Account Code]=(TRIM($B111))),CkDJ[Credit])))+(SUM(IF((CsDJ[Date]&lt;=$A$7)*(CsDJ[Account Code]=(TRIM($B111))),CsDJ[Credit])))+(SUM(IF((CRDJ[Date]&lt;=$A$7)*(CRDJ[Account Code]=(TRIM($B111))),CRDJ[Credit])))+(SUM(IF((GJ[Date]&lt;=$A$7)*(GJ[Account Code]=(TRIM($B111))),GJ[Credit]))))</f>
        <v>0</v>
      </c>
      <c r="E111" s="89"/>
    </row>
    <row r="112" spans="1:5">
      <c r="A112" s="453" t="s">
        <v>1132</v>
      </c>
      <c r="B112" s="454" t="s">
        <v>799</v>
      </c>
      <c r="C112" s="89"/>
      <c r="D112" s="442">
        <f t="array" ref="D112">((SUM(IF((CkDJ[Date]&lt;=$A$7)*(CkDJ[Account Code]=(TRIM($B112))),CkDJ[Debit])))+(SUM(IF((CsDJ[Date]&lt;=$A$7)*(CsDJ[Account Code]=(TRIM($B112))),CsDJ[Debit])))+(SUM(IF((CRDJ[Date]&lt;=$A$7)*(CRDJ[Account Code]=(TRIM($B112))),CRDJ[Debit])))+(SUM(IF((GJ[Date]&lt;=$A$7)*(GJ[Account Code]=(TRIM($B112))),GJ[Debit]))))-((SUM(IF((CkDJ[Date]&lt;=$A$7)*(CkDJ[Account Code]=(TRIM($B112))),CkDJ[Credit])))+(SUM(IF((CsDJ[Date]&lt;=$A$7)*(CsDJ[Account Code]=(TRIM($B112))),CsDJ[Credit])))+(SUM(IF((CRDJ[Date]&lt;=$A$7)*(CRDJ[Account Code]=(TRIM($B112))),CRDJ[Credit])))+(SUM(IF((GJ[Date]&lt;=$A$7)*(GJ[Account Code]=(TRIM($B112))),GJ[Credit]))))</f>
        <v>0</v>
      </c>
      <c r="E112" s="89"/>
    </row>
    <row r="113" spans="1:5">
      <c r="A113" s="453" t="s">
        <v>1133</v>
      </c>
      <c r="B113" s="454" t="s">
        <v>799</v>
      </c>
      <c r="C113" s="89"/>
      <c r="D113" s="442">
        <f t="array" ref="D113">((SUM(IF((CkDJ[Date]&lt;=$A$7)*(CkDJ[Account Code]=(TRIM($B113))),CkDJ[Debit])))+(SUM(IF((CsDJ[Date]&lt;=$A$7)*(CsDJ[Account Code]=(TRIM($B113))),CsDJ[Debit])))+(SUM(IF((CRDJ[Date]&lt;=$A$7)*(CRDJ[Account Code]=(TRIM($B113))),CRDJ[Debit])))+(SUM(IF((GJ[Date]&lt;=$A$7)*(GJ[Account Code]=(TRIM($B113))),GJ[Debit]))))-((SUM(IF((CkDJ[Date]&lt;=$A$7)*(CkDJ[Account Code]=(TRIM($B113))),CkDJ[Credit])))+(SUM(IF((CsDJ[Date]&lt;=$A$7)*(CsDJ[Account Code]=(TRIM($B113))),CsDJ[Credit])))+(SUM(IF((CRDJ[Date]&lt;=$A$7)*(CRDJ[Account Code]=(TRIM($B113))),CRDJ[Credit])))+(SUM(IF((GJ[Date]&lt;=$A$7)*(GJ[Account Code]=(TRIM($B113))),GJ[Credit]))))</f>
        <v>0</v>
      </c>
      <c r="E113" s="89"/>
    </row>
    <row r="114" spans="1:5">
      <c r="A114" s="453" t="s">
        <v>1134</v>
      </c>
      <c r="B114" s="454" t="s">
        <v>799</v>
      </c>
      <c r="C114" s="89"/>
      <c r="D114" s="442">
        <f t="array" ref="D114">((SUM(IF((CkDJ[Date]&lt;=$A$7)*(CkDJ[Account Code]=(TRIM($B114))),CkDJ[Debit])))+(SUM(IF((CsDJ[Date]&lt;=$A$7)*(CsDJ[Account Code]=(TRIM($B114))),CsDJ[Debit])))+(SUM(IF((CRDJ[Date]&lt;=$A$7)*(CRDJ[Account Code]=(TRIM($B114))),CRDJ[Debit])))+(SUM(IF((GJ[Date]&lt;=$A$7)*(GJ[Account Code]=(TRIM($B114))),GJ[Debit]))))-((SUM(IF((CkDJ[Date]&lt;=$A$7)*(CkDJ[Account Code]=(TRIM($B114))),CkDJ[Credit])))+(SUM(IF((CsDJ[Date]&lt;=$A$7)*(CsDJ[Account Code]=(TRIM($B114))),CsDJ[Credit])))+(SUM(IF((CRDJ[Date]&lt;=$A$7)*(CRDJ[Account Code]=(TRIM($B114))),CRDJ[Credit])))+(SUM(IF((GJ[Date]&lt;=$A$7)*(GJ[Account Code]=(TRIM($B114))),GJ[Credit]))))</f>
        <v>0</v>
      </c>
      <c r="E114" s="89"/>
    </row>
    <row r="115" spans="1:5">
      <c r="A115" s="453" t="s">
        <v>1135</v>
      </c>
      <c r="B115" s="454" t="s">
        <v>340</v>
      </c>
      <c r="C115" s="89"/>
      <c r="D115" s="442">
        <f t="array" ref="D115">((SUM(IF((CkDJ[Date]&lt;=$A$7)*(CkDJ[Account Code]=(TRIM($B115))),CkDJ[Debit])))+(SUM(IF((CsDJ[Date]&lt;=$A$7)*(CsDJ[Account Code]=(TRIM($B115))),CsDJ[Debit])))+(SUM(IF((CRDJ[Date]&lt;=$A$7)*(CRDJ[Account Code]=(TRIM($B115))),CRDJ[Debit])))+(SUM(IF((GJ[Date]&lt;=$A$7)*(GJ[Account Code]=(TRIM($B115))),GJ[Debit]))))-((SUM(IF((CkDJ[Date]&lt;=$A$7)*(CkDJ[Account Code]=(TRIM($B115))),CkDJ[Credit])))+(SUM(IF((CsDJ[Date]&lt;=$A$7)*(CsDJ[Account Code]=(TRIM($B115))),CsDJ[Credit])))+(SUM(IF((CRDJ[Date]&lt;=$A$7)*(CRDJ[Account Code]=(TRIM($B115))),CRDJ[Credit])))+(SUM(IF((GJ[Date]&lt;=$A$7)*(GJ[Account Code]=(TRIM($B115))),GJ[Credit]))))</f>
        <v>0</v>
      </c>
      <c r="E115" s="89"/>
    </row>
    <row r="116" spans="1:5">
      <c r="A116" s="453" t="s">
        <v>1146</v>
      </c>
      <c r="B116" s="454" t="s">
        <v>986</v>
      </c>
      <c r="C116" s="89"/>
      <c r="D116" s="442">
        <f t="array" ref="D116">((SUM(IF((CkDJ[Date]&lt;=$A$7)*(CkDJ[Account Code]=(TRIM($B116))),CkDJ[Debit])))+(SUM(IF((CsDJ[Date]&lt;=$A$7)*(CsDJ[Account Code]=(TRIM($B116))),CsDJ[Debit])))+(SUM(IF((CRDJ[Date]&lt;=$A$7)*(CRDJ[Account Code]=(TRIM($B116))),CRDJ[Debit])))+(SUM(IF((GJ[Date]&lt;=$A$7)*(GJ[Account Code]=(TRIM($B116))),GJ[Debit]))))-((SUM(IF((CkDJ[Date]&lt;=$A$7)*(CkDJ[Account Code]=(TRIM($B116))),CkDJ[Credit])))+(SUM(IF((CsDJ[Date]&lt;=$A$7)*(CsDJ[Account Code]=(TRIM($B116))),CsDJ[Credit])))+(SUM(IF((CRDJ[Date]&lt;=$A$7)*(CRDJ[Account Code]=(TRIM($B116))),CRDJ[Credit])))+(SUM(IF((GJ[Date]&lt;=$A$7)*(GJ[Account Code]=(TRIM($B116))),GJ[Credit]))))</f>
        <v>0</v>
      </c>
      <c r="E116" s="89"/>
    </row>
    <row r="117" spans="1:5">
      <c r="A117" s="453" t="s">
        <v>1136</v>
      </c>
      <c r="B117" s="454" t="s">
        <v>799</v>
      </c>
      <c r="C117" s="89"/>
      <c r="D117" s="442">
        <f t="array" ref="D117">((SUM(IF((CkDJ[Date]&lt;=$A$7)*(CkDJ[Account Code]=(TRIM($B117))),CkDJ[Debit])))+(SUM(IF((CsDJ[Date]&lt;=$A$7)*(CsDJ[Account Code]=(TRIM($B117))),CsDJ[Debit])))+(SUM(IF((CRDJ[Date]&lt;=$A$7)*(CRDJ[Account Code]=(TRIM($B117))),CRDJ[Debit])))+(SUM(IF((GJ[Date]&lt;=$A$7)*(GJ[Account Code]=(TRIM($B117))),GJ[Debit]))))-((SUM(IF((CkDJ[Date]&lt;=$A$7)*(CkDJ[Account Code]=(TRIM($B117))),CkDJ[Credit])))+(SUM(IF((CsDJ[Date]&lt;=$A$7)*(CsDJ[Account Code]=(TRIM($B117))),CsDJ[Credit])))+(SUM(IF((CRDJ[Date]&lt;=$A$7)*(CRDJ[Account Code]=(TRIM($B117))),CRDJ[Credit])))+(SUM(IF((GJ[Date]&lt;=$A$7)*(GJ[Account Code]=(TRIM($B117))),GJ[Credit]))))</f>
        <v>0</v>
      </c>
      <c r="E117" s="89"/>
    </row>
    <row r="118" spans="1:5">
      <c r="A118" s="455" t="s">
        <v>1137</v>
      </c>
      <c r="B118" s="445"/>
      <c r="C118" s="446">
        <v>62246100.439999998</v>
      </c>
      <c r="D118" s="447">
        <f>D50+D51+D52+D61+D66+D70+D71+D72+D73+D74+D75+D76+D77+D78+D87+D97+D98+D105+D109+D110+D111+D112+D113+D114+D115+D117+D116</f>
        <v>40921322.340000004</v>
      </c>
      <c r="E118" s="446">
        <f>SUM(C118-D118)</f>
        <v>21324778.100000001</v>
      </c>
    </row>
    <row r="119" spans="1:5">
      <c r="A119" s="455" t="s">
        <v>1015</v>
      </c>
      <c r="B119" s="445"/>
      <c r="C119" s="446">
        <v>1000000</v>
      </c>
      <c r="D119" s="456">
        <v>0</v>
      </c>
      <c r="E119" s="446">
        <f>+C119-D119</f>
        <v>1000000</v>
      </c>
    </row>
    <row r="120" spans="1:5">
      <c r="A120" s="455" t="s">
        <v>717</v>
      </c>
      <c r="B120" s="445"/>
      <c r="C120" s="446">
        <f>SUM(C47+C118+C119)</f>
        <v>119620810.02</v>
      </c>
      <c r="D120" s="456">
        <f>SUM(D118+D47+D119)</f>
        <v>40921322.340000004</v>
      </c>
      <c r="E120" s="446">
        <f>+C120-D120</f>
        <v>78699487.680000007</v>
      </c>
    </row>
    <row r="121" spans="1:5">
      <c r="D121" s="163"/>
      <c r="E121" s="163"/>
    </row>
    <row r="122" spans="1:5">
      <c r="D122" s="163"/>
      <c r="E122" s="163"/>
    </row>
    <row r="123" spans="1:5">
      <c r="A123" s="126" t="s">
        <v>1138</v>
      </c>
      <c r="C123" s="25" t="s">
        <v>1139</v>
      </c>
      <c r="E123" s="457"/>
    </row>
    <row r="124" spans="1:5">
      <c r="D124" s="163"/>
      <c r="E124" s="457"/>
    </row>
    <row r="125" spans="1:5">
      <c r="E125" s="163"/>
    </row>
    <row r="126" spans="1:5">
      <c r="A126" s="195" t="s">
        <v>745</v>
      </c>
      <c r="B126" s="458"/>
      <c r="C126" s="1320" t="s">
        <v>3</v>
      </c>
      <c r="D126" s="1320"/>
      <c r="E126" s="1320"/>
    </row>
    <row r="127" spans="1:5">
      <c r="A127" s="86" t="s">
        <v>1140</v>
      </c>
      <c r="B127" s="129"/>
      <c r="C127" s="1321" t="s">
        <v>464</v>
      </c>
      <c r="D127" s="1322"/>
      <c r="E127" s="1322"/>
    </row>
    <row r="130" spans="1:5">
      <c r="A130" s="459" t="s">
        <v>1141</v>
      </c>
      <c r="B130" s="460"/>
    </row>
    <row r="133" spans="1:5">
      <c r="A133" s="461" t="s">
        <v>744</v>
      </c>
      <c r="B133" s="461"/>
      <c r="C133" s="461"/>
      <c r="D133" s="461"/>
      <c r="E133" s="461"/>
    </row>
    <row r="134" spans="1:5">
      <c r="A134" s="462" t="s">
        <v>1142</v>
      </c>
      <c r="B134" s="462"/>
      <c r="C134" s="462"/>
      <c r="D134" s="462"/>
      <c r="E134" s="462"/>
    </row>
  </sheetData>
  <mergeCells count="7">
    <mergeCell ref="C127:E127"/>
    <mergeCell ref="A11:A12"/>
    <mergeCell ref="B11:B12"/>
    <mergeCell ref="C11:C12"/>
    <mergeCell ref="D11:D12"/>
    <mergeCell ref="E11:E12"/>
    <mergeCell ref="C126:E126"/>
  </mergeCells>
  <printOptions horizontalCentered="1"/>
  <pageMargins left="0.25" right="0.25" top="0.75" bottom="1.5" header="0.3" footer="0.3"/>
  <pageSetup paperSize="5" scale="75"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FF"/>
  </sheetPr>
  <dimension ref="A1:E134"/>
  <sheetViews>
    <sheetView workbookViewId="0"/>
  </sheetViews>
  <sheetFormatPr defaultColWidth="9" defaultRowHeight="15.75"/>
  <cols>
    <col min="1" max="1" width="49.5" style="126" customWidth="1"/>
    <col min="2" max="2" width="7" style="436" customWidth="1"/>
    <col min="3" max="5" width="17.125" style="126" customWidth="1"/>
    <col min="6" max="16384" width="9" style="126"/>
  </cols>
  <sheetData>
    <row r="1" spans="1:5">
      <c r="A1" s="430" t="s">
        <v>1063</v>
      </c>
      <c r="B1" s="431"/>
      <c r="C1" s="430"/>
      <c r="D1" s="430"/>
      <c r="E1" s="430"/>
    </row>
    <row r="2" spans="1:5" ht="22.5">
      <c r="A2" s="432" t="s">
        <v>355</v>
      </c>
      <c r="B2" s="433"/>
      <c r="C2" s="432"/>
      <c r="D2" s="432"/>
      <c r="E2" s="432"/>
    </row>
    <row r="3" spans="1:5">
      <c r="A3" s="430" t="s">
        <v>1064</v>
      </c>
      <c r="B3" s="431"/>
      <c r="C3" s="430"/>
      <c r="D3" s="430"/>
      <c r="E3" s="430"/>
    </row>
    <row r="4" spans="1:5">
      <c r="A4" s="430" t="s">
        <v>1065</v>
      </c>
      <c r="B4" s="431"/>
      <c r="C4" s="430"/>
      <c r="D4" s="430"/>
      <c r="E4" s="430"/>
    </row>
    <row r="5" spans="1:5">
      <c r="A5" s="430"/>
      <c r="B5" s="431"/>
      <c r="C5" s="430"/>
      <c r="D5" s="430"/>
      <c r="E5" s="430"/>
    </row>
    <row r="6" spans="1:5">
      <c r="A6" s="430" t="s">
        <v>1158</v>
      </c>
      <c r="B6" s="431"/>
      <c r="C6" s="430"/>
      <c r="D6" s="430"/>
      <c r="E6" s="430"/>
    </row>
    <row r="7" spans="1:5">
      <c r="A7" s="434">
        <v>42978</v>
      </c>
      <c r="B7" s="435"/>
      <c r="C7" s="430"/>
      <c r="D7" s="430"/>
      <c r="E7" s="430"/>
    </row>
    <row r="8" spans="1:5">
      <c r="A8" s="430"/>
      <c r="B8" s="431"/>
      <c r="C8" s="430"/>
      <c r="D8" s="430"/>
      <c r="E8" s="430"/>
    </row>
    <row r="9" spans="1:5">
      <c r="A9" s="430"/>
      <c r="B9" s="431"/>
      <c r="C9" s="430"/>
      <c r="D9" s="430"/>
      <c r="E9" s="430"/>
    </row>
    <row r="11" spans="1:5" ht="15" customHeight="1">
      <c r="A11" s="1237" t="s">
        <v>1066</v>
      </c>
      <c r="B11" s="1323" t="s">
        <v>403</v>
      </c>
      <c r="C11" s="1239" t="s">
        <v>1067</v>
      </c>
      <c r="D11" s="1239" t="s">
        <v>1037</v>
      </c>
      <c r="E11" s="1239" t="s">
        <v>1068</v>
      </c>
    </row>
    <row r="12" spans="1:5">
      <c r="A12" s="1237"/>
      <c r="B12" s="1323"/>
      <c r="C12" s="1239"/>
      <c r="D12" s="1239"/>
      <c r="E12" s="1239"/>
    </row>
    <row r="13" spans="1:5">
      <c r="A13" s="320" t="s">
        <v>1069</v>
      </c>
      <c r="B13" s="437"/>
      <c r="C13" s="89"/>
      <c r="D13" s="438"/>
      <c r="E13" s="89"/>
    </row>
    <row r="14" spans="1:5">
      <c r="A14" s="320" t="s">
        <v>1070</v>
      </c>
      <c r="B14" s="437"/>
      <c r="C14" s="89"/>
      <c r="D14" s="439">
        <f>SUM(D15+D16+D17)</f>
        <v>0</v>
      </c>
      <c r="E14" s="89"/>
    </row>
    <row r="15" spans="1:5">
      <c r="A15" s="440" t="s">
        <v>1071</v>
      </c>
      <c r="B15" s="441" t="s">
        <v>162</v>
      </c>
      <c r="C15" s="89"/>
      <c r="D15" s="442">
        <f t="array" ref="D15">((SUM(IF((CkDJ[Date]&lt;=$A$7)*(CkDJ[Account Code]=(TRIM($B15))),CkDJ[Debit])))+(SUM(IF((CsDJ[Date]&lt;=$A$7)*(CsDJ[Account Code]=(TRIM($B15))),CsDJ[Debit])))+(SUM(IF((CRDJ[Date]&lt;=$A$7)*(CRDJ[Account Code]=(TRIM($B15))),CRDJ[Debit])))+(SUM(IF((GJ[Date]&lt;=$A$7)*(GJ[Account Code]=(TRIM($B15))),GJ[Debit]))))-((SUM(IF((CkDJ[Date]&lt;=$A$7)*(CkDJ[Account Code]=(TRIM($B15))),CkDJ[Credit])))+(SUM(IF((CsDJ[Date]&lt;=$A$7)*(CsDJ[Account Code]=(TRIM($B15))),CsDJ[Credit])))+(SUM(IF((CRDJ[Date]&lt;=$A$7)*(CRDJ[Account Code]=(TRIM($B15))),CRDJ[Credit])))+(SUM(IF((GJ[Date]&lt;=$A$7)*(GJ[Account Code]=(TRIM($B15))),GJ[Credit]))))</f>
        <v>0</v>
      </c>
      <c r="E15" s="89"/>
    </row>
    <row r="16" spans="1:5">
      <c r="A16" s="440" t="s">
        <v>1072</v>
      </c>
      <c r="B16" s="441" t="s">
        <v>163</v>
      </c>
      <c r="C16" s="89"/>
      <c r="D16" s="442">
        <f t="array" ref="D16">((SUM(IF((CkDJ[Date]&lt;=$A$7)*(CkDJ[Account Code]=(TRIM($B16))),CkDJ[Debit])))+(SUM(IF((CsDJ[Date]&lt;=$A$7)*(CsDJ[Account Code]=(TRIM($B16))),CsDJ[Debit])))+(SUM(IF((CRDJ[Date]&lt;=$A$7)*(CRDJ[Account Code]=(TRIM($B16))),CRDJ[Debit])))+(SUM(IF((GJ[Date]&lt;=$A$7)*(GJ[Account Code]=(TRIM($B16))),GJ[Debit]))))-((SUM(IF((CkDJ[Date]&lt;=$A$7)*(CkDJ[Account Code]=(TRIM($B16))),CkDJ[Credit])))+(SUM(IF((CsDJ[Date]&lt;=$A$7)*(CsDJ[Account Code]=(TRIM($B16))),CsDJ[Credit])))+(SUM(IF((CRDJ[Date]&lt;=$A$7)*(CRDJ[Account Code]=(TRIM($B16))),CRDJ[Credit])))+(SUM(IF((GJ[Date]&lt;=$A$7)*(GJ[Account Code]=(TRIM($B16))),GJ[Credit]))))</f>
        <v>0</v>
      </c>
      <c r="E16" s="89"/>
    </row>
    <row r="17" spans="1:5">
      <c r="A17" s="440" t="s">
        <v>1073</v>
      </c>
      <c r="B17" s="441" t="s">
        <v>799</v>
      </c>
      <c r="C17" s="89"/>
      <c r="D17" s="438">
        <v>0</v>
      </c>
      <c r="E17" s="89"/>
    </row>
    <row r="18" spans="1:5">
      <c r="A18" s="320" t="s">
        <v>1074</v>
      </c>
      <c r="B18" s="437"/>
      <c r="C18" s="89"/>
      <c r="D18" s="439">
        <f>SUM(D19:D32)</f>
        <v>0</v>
      </c>
      <c r="E18" s="89"/>
    </row>
    <row r="19" spans="1:5">
      <c r="A19" s="440" t="s">
        <v>1075</v>
      </c>
      <c r="B19" s="441" t="s">
        <v>164</v>
      </c>
      <c r="C19" s="89"/>
      <c r="D19" s="442">
        <f t="array" ref="D19">((SUM(IF((CkDJ[Date]&lt;=$A$7)*(CkDJ[Account Code]=(TRIM($B19))),CkDJ[Debit])))+(SUM(IF((CsDJ[Date]&lt;=$A$7)*(CsDJ[Account Code]=(TRIM($B19))),CsDJ[Debit])))+(SUM(IF((CRDJ[Date]&lt;=$A$7)*(CRDJ[Account Code]=(TRIM($B19))),CRDJ[Debit])))+(SUM(IF((GJ[Date]&lt;=$A$7)*(GJ[Account Code]=(TRIM($B19))),GJ[Debit]))))-((SUM(IF((CkDJ[Date]&lt;=$A$7)*(CkDJ[Account Code]=(TRIM($B19))),CkDJ[Credit])))+(SUM(IF((CsDJ[Date]&lt;=$A$7)*(CsDJ[Account Code]=(TRIM($B19))),CsDJ[Credit])))+(SUM(IF((CRDJ[Date]&lt;=$A$7)*(CRDJ[Account Code]=(TRIM($B19))),CRDJ[Credit])))+(SUM(IF((GJ[Date]&lt;=$A$7)*(GJ[Account Code]=(TRIM($B19))),GJ[Credit]))))</f>
        <v>0</v>
      </c>
      <c r="E19" s="89"/>
    </row>
    <row r="20" spans="1:5">
      <c r="A20" s="440" t="s">
        <v>1076</v>
      </c>
      <c r="B20" s="441" t="s">
        <v>168</v>
      </c>
      <c r="C20" s="89"/>
      <c r="D20" s="442">
        <f t="array" ref="D20">((SUM(IF((CkDJ[Date]&lt;=$A$7)*(CkDJ[Account Code]=(TRIM($B20))),CkDJ[Debit])))+(SUM(IF((CsDJ[Date]&lt;=$A$7)*(CsDJ[Account Code]=(TRIM($B20))),CsDJ[Debit])))+(SUM(IF((CRDJ[Date]&lt;=$A$7)*(CRDJ[Account Code]=(TRIM($B20))),CRDJ[Debit])))+(SUM(IF((GJ[Date]&lt;=$A$7)*(GJ[Account Code]=(TRIM($B20))),GJ[Debit]))))-((SUM(IF((CkDJ[Date]&lt;=$A$7)*(CkDJ[Account Code]=(TRIM($B20))),CkDJ[Credit])))+(SUM(IF((CsDJ[Date]&lt;=$A$7)*(CsDJ[Account Code]=(TRIM($B20))),CsDJ[Credit])))+(SUM(IF((CRDJ[Date]&lt;=$A$7)*(CRDJ[Account Code]=(TRIM($B20))),CRDJ[Credit])))+(SUM(IF((GJ[Date]&lt;=$A$7)*(GJ[Account Code]=(TRIM($B20))),GJ[Credit]))))</f>
        <v>0</v>
      </c>
      <c r="E20" s="89"/>
    </row>
    <row r="21" spans="1:5">
      <c r="A21" s="440" t="s">
        <v>1077</v>
      </c>
      <c r="B21" s="441" t="s">
        <v>165</v>
      </c>
      <c r="C21" s="89"/>
      <c r="D21" s="442">
        <f t="array" ref="D21">((SUM(IF((CkDJ[Date]&lt;=$A$7)*(CkDJ[Account Code]=(TRIM($B21))),CkDJ[Debit])))+(SUM(IF((CsDJ[Date]&lt;=$A$7)*(CsDJ[Account Code]=(TRIM($B21))),CsDJ[Debit])))+(SUM(IF((CRDJ[Date]&lt;=$A$7)*(CRDJ[Account Code]=(TRIM($B21))),CRDJ[Debit])))+(SUM(IF((GJ[Date]&lt;=$A$7)*(GJ[Account Code]=(TRIM($B21))),GJ[Debit]))))-((SUM(IF((CkDJ[Date]&lt;=$A$7)*(CkDJ[Account Code]=(TRIM($B21))),CkDJ[Credit])))+(SUM(IF((CsDJ[Date]&lt;=$A$7)*(CsDJ[Account Code]=(TRIM($B21))),CsDJ[Credit])))+(SUM(IF((CRDJ[Date]&lt;=$A$7)*(CRDJ[Account Code]=(TRIM($B21))),CRDJ[Credit])))+(SUM(IF((GJ[Date]&lt;=$A$7)*(GJ[Account Code]=(TRIM($B21))),GJ[Credit]))))</f>
        <v>0</v>
      </c>
      <c r="E21" s="89"/>
    </row>
    <row r="22" spans="1:5">
      <c r="A22" s="440" t="s">
        <v>1078</v>
      </c>
      <c r="B22" s="441" t="s">
        <v>166</v>
      </c>
      <c r="C22" s="89"/>
      <c r="D22" s="442">
        <f t="array" ref="D22">((SUM(IF((CkDJ[Date]&lt;=$A$7)*(CkDJ[Account Code]=(TRIM($B22))),CkDJ[Debit])))+(SUM(IF((CsDJ[Date]&lt;=$A$7)*(CsDJ[Account Code]=(TRIM($B22))),CsDJ[Debit])))+(SUM(IF((CRDJ[Date]&lt;=$A$7)*(CRDJ[Account Code]=(TRIM($B22))),CRDJ[Debit])))+(SUM(IF((GJ[Date]&lt;=$A$7)*(GJ[Account Code]=(TRIM($B22))),GJ[Debit]))))-((SUM(IF((CkDJ[Date]&lt;=$A$7)*(CkDJ[Account Code]=(TRIM($B22))),CkDJ[Credit])))+(SUM(IF((CsDJ[Date]&lt;=$A$7)*(CsDJ[Account Code]=(TRIM($B22))),CsDJ[Credit])))+(SUM(IF((CRDJ[Date]&lt;=$A$7)*(CRDJ[Account Code]=(TRIM($B22))),CRDJ[Credit])))+(SUM(IF((GJ[Date]&lt;=$A$7)*(GJ[Account Code]=(TRIM($B22))),GJ[Credit]))))</f>
        <v>0</v>
      </c>
      <c r="E22" s="89"/>
    </row>
    <row r="23" spans="1:5">
      <c r="A23" s="440" t="s">
        <v>1079</v>
      </c>
      <c r="B23" s="441" t="s">
        <v>167</v>
      </c>
      <c r="C23" s="89"/>
      <c r="D23" s="442">
        <f t="array" ref="D23">((SUM(IF((CkDJ[Date]&lt;=$A$7)*(CkDJ[Account Code]=(TRIM($B23))),CkDJ[Debit])))+(SUM(IF((CsDJ[Date]&lt;=$A$7)*(CsDJ[Account Code]=(TRIM($B23))),CsDJ[Debit])))+(SUM(IF((CRDJ[Date]&lt;=$A$7)*(CRDJ[Account Code]=(TRIM($B23))),CRDJ[Debit])))+(SUM(IF((GJ[Date]&lt;=$A$7)*(GJ[Account Code]=(TRIM($B23))),GJ[Debit]))))-((SUM(IF((CkDJ[Date]&lt;=$A$7)*(CkDJ[Account Code]=(TRIM($B23))),CkDJ[Credit])))+(SUM(IF((CsDJ[Date]&lt;=$A$7)*(CsDJ[Account Code]=(TRIM($B23))),CsDJ[Credit])))+(SUM(IF((CRDJ[Date]&lt;=$A$7)*(CRDJ[Account Code]=(TRIM($B23))),CRDJ[Credit])))+(SUM(IF((GJ[Date]&lt;=$A$7)*(GJ[Account Code]=(TRIM($B23))),GJ[Credit]))))</f>
        <v>0</v>
      </c>
      <c r="E23" s="89"/>
    </row>
    <row r="24" spans="1:5">
      <c r="A24" s="440" t="s">
        <v>1080</v>
      </c>
      <c r="B24" s="441" t="s">
        <v>171</v>
      </c>
      <c r="C24" s="89"/>
      <c r="D24" s="442">
        <f t="array" ref="D24">((SUM(IF((CkDJ[Date]&lt;=$A$7)*(CkDJ[Account Code]=(TRIM($B24))),CkDJ[Debit])))+(SUM(IF((CsDJ[Date]&lt;=$A$7)*(CsDJ[Account Code]=(TRIM($B24))),CsDJ[Debit])))+(SUM(IF((CRDJ[Date]&lt;=$A$7)*(CRDJ[Account Code]=(TRIM($B24))),CRDJ[Debit])))+(SUM(IF((GJ[Date]&lt;=$A$7)*(GJ[Account Code]=(TRIM($B24))),GJ[Debit]))))-((SUM(IF((CkDJ[Date]&lt;=$A$7)*(CkDJ[Account Code]=(TRIM($B24))),CkDJ[Credit])))+(SUM(IF((CsDJ[Date]&lt;=$A$7)*(CsDJ[Account Code]=(TRIM($B24))),CsDJ[Credit])))+(SUM(IF((CRDJ[Date]&lt;=$A$7)*(CRDJ[Account Code]=(TRIM($B24))),CRDJ[Credit])))+(SUM(IF((GJ[Date]&lt;=$A$7)*(GJ[Account Code]=(TRIM($B24))),GJ[Credit]))))</f>
        <v>0</v>
      </c>
      <c r="E24" s="89"/>
    </row>
    <row r="25" spans="1:5">
      <c r="A25" s="440" t="s">
        <v>1081</v>
      </c>
      <c r="B25" s="441" t="s">
        <v>173</v>
      </c>
      <c r="C25" s="89"/>
      <c r="D25" s="442">
        <f t="array" ref="D25">((SUM(IF((CkDJ[Date]&lt;=$A$7)*(CkDJ[Account Code]=(TRIM($B25))),CkDJ[Debit])))+(SUM(IF((CsDJ[Date]&lt;=$A$7)*(CsDJ[Account Code]=(TRIM($B25))),CsDJ[Debit])))+(SUM(IF((CRDJ[Date]&lt;=$A$7)*(CRDJ[Account Code]=(TRIM($B25))),CRDJ[Debit])))+(SUM(IF((GJ[Date]&lt;=$A$7)*(GJ[Account Code]=(TRIM($B25))),GJ[Debit]))))-((SUM(IF((CkDJ[Date]&lt;=$A$7)*(CkDJ[Account Code]=(TRIM($B25))),CkDJ[Credit])))+(SUM(IF((CsDJ[Date]&lt;=$A$7)*(CsDJ[Account Code]=(TRIM($B25))),CsDJ[Credit])))+(SUM(IF((CRDJ[Date]&lt;=$A$7)*(CRDJ[Account Code]=(TRIM($B25))),CRDJ[Credit])))+(SUM(IF((GJ[Date]&lt;=$A$7)*(GJ[Account Code]=(TRIM($B25))),GJ[Credit]))))</f>
        <v>0</v>
      </c>
      <c r="E25" s="89"/>
    </row>
    <row r="26" spans="1:5">
      <c r="A26" s="440" t="s">
        <v>1082</v>
      </c>
      <c r="B26" s="441" t="s">
        <v>7</v>
      </c>
      <c r="C26" s="89"/>
      <c r="D26" s="442">
        <f t="array" ref="D26">((SUM(IF((CkDJ[Date]&lt;=$A$7)*(CkDJ[Account Code]=(TRIM($B26))),CkDJ[Debit])))+(SUM(IF((CsDJ[Date]&lt;=$A$7)*(CsDJ[Account Code]=(TRIM($B26))),CsDJ[Debit])))+(SUM(IF((CRDJ[Date]&lt;=$A$7)*(CRDJ[Account Code]=(TRIM($B26))),CRDJ[Debit])))+(SUM(IF((GJ[Date]&lt;=$A$7)*(GJ[Account Code]=(TRIM($B26))),GJ[Debit]))))-((SUM(IF((CkDJ[Date]&lt;=$A$7)*(CkDJ[Account Code]=(TRIM($B26))),CkDJ[Credit])))+(SUM(IF((CsDJ[Date]&lt;=$A$7)*(CsDJ[Account Code]=(TRIM($B26))),CsDJ[Credit])))+(SUM(IF((CRDJ[Date]&lt;=$A$7)*(CRDJ[Account Code]=(TRIM($B26))),CRDJ[Credit])))+(SUM(IF((GJ[Date]&lt;=$A$7)*(GJ[Account Code]=(TRIM($B26))),GJ[Credit]))))</f>
        <v>0</v>
      </c>
      <c r="E26" s="89"/>
    </row>
    <row r="27" spans="1:5">
      <c r="A27" s="440" t="s">
        <v>1083</v>
      </c>
      <c r="B27" s="441" t="s">
        <v>5</v>
      </c>
      <c r="C27" s="89"/>
      <c r="D27" s="442">
        <f t="array" ref="D27">((SUM(IF((CkDJ[Date]&lt;=$A$7)*(CkDJ[Account Code]=(TRIM($B27))),CkDJ[Debit])))+(SUM(IF((CsDJ[Date]&lt;=$A$7)*(CsDJ[Account Code]=(TRIM($B27))),CsDJ[Debit])))+(SUM(IF((CRDJ[Date]&lt;=$A$7)*(CRDJ[Account Code]=(TRIM($B27))),CRDJ[Debit])))+(SUM(IF((GJ[Date]&lt;=$A$7)*(GJ[Account Code]=(TRIM($B27))),GJ[Debit]))))-((SUM(IF((CkDJ[Date]&lt;=$A$7)*(CkDJ[Account Code]=(TRIM($B27))),CkDJ[Credit])))+(SUM(IF((CsDJ[Date]&lt;=$A$7)*(CsDJ[Account Code]=(TRIM($B27))),CsDJ[Credit])))+(SUM(IF((CRDJ[Date]&lt;=$A$7)*(CRDJ[Account Code]=(TRIM($B27))),CRDJ[Credit])))+(SUM(IF((GJ[Date]&lt;=$A$7)*(GJ[Account Code]=(TRIM($B27))),GJ[Credit]))))</f>
        <v>0</v>
      </c>
      <c r="E27" s="89"/>
    </row>
    <row r="28" spans="1:5">
      <c r="A28" s="440" t="s">
        <v>1084</v>
      </c>
      <c r="B28" s="441" t="s">
        <v>6</v>
      </c>
      <c r="C28" s="89"/>
      <c r="D28" s="442">
        <f t="array" ref="D28">((SUM(IF((CkDJ[Date]&lt;=$A$7)*(CkDJ[Account Code]=(TRIM($B28))),CkDJ[Debit])))+(SUM(IF((CsDJ[Date]&lt;=$A$7)*(CsDJ[Account Code]=(TRIM($B28))),CsDJ[Debit])))+(SUM(IF((CRDJ[Date]&lt;=$A$7)*(CRDJ[Account Code]=(TRIM($B28))),CRDJ[Debit])))+(SUM(IF((GJ[Date]&lt;=$A$7)*(GJ[Account Code]=(TRIM($B28))),GJ[Debit]))))-((SUM(IF((CkDJ[Date]&lt;=$A$7)*(CkDJ[Account Code]=(TRIM($B28))),CkDJ[Credit])))+(SUM(IF((CsDJ[Date]&lt;=$A$7)*(CsDJ[Account Code]=(TRIM($B28))),CsDJ[Credit])))+(SUM(IF((CRDJ[Date]&lt;=$A$7)*(CRDJ[Account Code]=(TRIM($B28))),CRDJ[Credit])))+(SUM(IF((GJ[Date]&lt;=$A$7)*(GJ[Account Code]=(TRIM($B28))),GJ[Credit]))))</f>
        <v>0</v>
      </c>
      <c r="E28" s="89"/>
    </row>
    <row r="29" spans="1:5">
      <c r="A29" s="440" t="s">
        <v>887</v>
      </c>
      <c r="B29" s="441" t="s">
        <v>170</v>
      </c>
      <c r="C29" s="89"/>
      <c r="D29" s="442">
        <f t="array" ref="D29">((SUM(IF((CkDJ[Date]&lt;=$A$7)*(CkDJ[Account Code]=(TRIM($B29))),CkDJ[Debit])))+(SUM(IF((CsDJ[Date]&lt;=$A$7)*(CsDJ[Account Code]=(TRIM($B29))),CsDJ[Debit])))+(SUM(IF((CRDJ[Date]&lt;=$A$7)*(CRDJ[Account Code]=(TRIM($B29))),CRDJ[Debit])))+(SUM(IF((GJ[Date]&lt;=$A$7)*(GJ[Account Code]=(TRIM($B29))),GJ[Debit]))))-((SUM(IF((CkDJ[Date]&lt;=$A$7)*(CkDJ[Account Code]=(TRIM($B29))),CkDJ[Credit])))+(SUM(IF((CsDJ[Date]&lt;=$A$7)*(CsDJ[Account Code]=(TRIM($B29))),CsDJ[Credit])))+(SUM(IF((CRDJ[Date]&lt;=$A$7)*(CRDJ[Account Code]=(TRIM($B29))),CRDJ[Credit])))+(SUM(IF((GJ[Date]&lt;=$A$7)*(GJ[Account Code]=(TRIM($B29))),GJ[Credit]))))</f>
        <v>0</v>
      </c>
      <c r="E29" s="89"/>
    </row>
    <row r="30" spans="1:5">
      <c r="A30" s="440" t="s">
        <v>1085</v>
      </c>
      <c r="B30" s="441" t="s">
        <v>172</v>
      </c>
      <c r="C30" s="89"/>
      <c r="D30" s="442">
        <f t="array" ref="D30">((SUM(IF((CkDJ[Date]&lt;=$A$7)*(CkDJ[Account Code]=(TRIM($B30))),CkDJ[Debit])))+(SUM(IF((CsDJ[Date]&lt;=$A$7)*(CsDJ[Account Code]=(TRIM($B30))),CsDJ[Debit])))+(SUM(IF((CRDJ[Date]&lt;=$A$7)*(CRDJ[Account Code]=(TRIM($B30))),CRDJ[Debit])))+(SUM(IF((GJ[Date]&lt;=$A$7)*(GJ[Account Code]=(TRIM($B30))),GJ[Debit]))))-((SUM(IF((CkDJ[Date]&lt;=$A$7)*(CkDJ[Account Code]=(TRIM($B30))),CkDJ[Credit])))+(SUM(IF((CsDJ[Date]&lt;=$A$7)*(CsDJ[Account Code]=(TRIM($B30))),CsDJ[Credit])))+(SUM(IF((CRDJ[Date]&lt;=$A$7)*(CRDJ[Account Code]=(TRIM($B30))),CRDJ[Credit])))+(SUM(IF((GJ[Date]&lt;=$A$7)*(GJ[Account Code]=(TRIM($B30))),GJ[Credit]))))</f>
        <v>0</v>
      </c>
      <c r="E30" s="89"/>
    </row>
    <row r="31" spans="1:5">
      <c r="A31" s="440" t="s">
        <v>1086</v>
      </c>
      <c r="B31" s="441" t="s">
        <v>174</v>
      </c>
      <c r="C31" s="89"/>
      <c r="D31" s="442">
        <f t="array" ref="D31">((SUM(IF((CkDJ[Date]&lt;=$A$7)*(CkDJ[Account Code]=(TRIM($B31))),CkDJ[Debit])))+(SUM(IF((CsDJ[Date]&lt;=$A$7)*(CsDJ[Account Code]=(TRIM($B31))),CsDJ[Debit])))+(SUM(IF((CRDJ[Date]&lt;=$A$7)*(CRDJ[Account Code]=(TRIM($B31))),CRDJ[Debit])))+(SUM(IF((GJ[Date]&lt;=$A$7)*(GJ[Account Code]=(TRIM($B31))),GJ[Debit]))))-((SUM(IF((CkDJ[Date]&lt;=$A$7)*(CkDJ[Account Code]=(TRIM($B31))),CkDJ[Credit])))+(SUM(IF((CsDJ[Date]&lt;=$A$7)*(CsDJ[Account Code]=(TRIM($B31))),CsDJ[Credit])))+(SUM(IF((CRDJ[Date]&lt;=$A$7)*(CRDJ[Account Code]=(TRIM($B31))),CRDJ[Credit])))+(SUM(IF((GJ[Date]&lt;=$A$7)*(GJ[Account Code]=(TRIM($B31))),GJ[Credit]))))</f>
        <v>0</v>
      </c>
      <c r="E31" s="89"/>
    </row>
    <row r="32" spans="1:5">
      <c r="A32" s="440" t="s">
        <v>1143</v>
      </c>
      <c r="B32" s="441" t="s">
        <v>214</v>
      </c>
      <c r="C32" s="89"/>
      <c r="D32" s="442">
        <f t="array" ref="D32">((SUM(IF((CkDJ[Date]&lt;=$A$7)*(CkDJ[Account Code]=(TRIM($B32))),CkDJ[Debit])))+(SUM(IF((CsDJ[Date]&lt;=$A$7)*(CsDJ[Account Code]=(TRIM($B32))),CsDJ[Debit])))+(SUM(IF((CRDJ[Date]&lt;=$A$7)*(CRDJ[Account Code]=(TRIM($B32))),CRDJ[Debit])))+(SUM(IF((GJ[Date]&lt;=$A$7)*(GJ[Account Code]=(TRIM($B32))),GJ[Debit]))))-((SUM(IF((CkDJ[Date]&lt;=$A$7)*(CkDJ[Account Code]=(TRIM($B32))),CkDJ[Credit])))+(SUM(IF((CsDJ[Date]&lt;=$A$7)*(CsDJ[Account Code]=(TRIM($B32))),CsDJ[Credit])))+(SUM(IF((CRDJ[Date]&lt;=$A$7)*(CRDJ[Account Code]=(TRIM($B32))),CRDJ[Credit])))+(SUM(IF((GJ[Date]&lt;=$A$7)*(GJ[Account Code]=(TRIM($B32))),GJ[Credit]))))</f>
        <v>0</v>
      </c>
      <c r="E32" s="89"/>
    </row>
    <row r="33" spans="1:5">
      <c r="A33" s="320" t="s">
        <v>1087</v>
      </c>
      <c r="B33" s="437"/>
      <c r="C33" s="89"/>
      <c r="D33" s="439">
        <f>D34+D35+D36</f>
        <v>0</v>
      </c>
      <c r="E33" s="89"/>
    </row>
    <row r="34" spans="1:5">
      <c r="A34" s="440" t="s">
        <v>1088</v>
      </c>
      <c r="B34" s="441" t="s">
        <v>799</v>
      </c>
      <c r="C34" s="89"/>
      <c r="D34" s="442">
        <f t="array" ref="D34">((SUM(IF((CkDJ[Date]&lt;=$A$7)*(CkDJ[Account Code]=(TRIM($B34))),CkDJ[Debit])))+(SUM(IF((CsDJ[Date]&lt;=$A$7)*(CsDJ[Account Code]=(TRIM($B34))),CsDJ[Debit])))+(SUM(IF((CRDJ[Date]&lt;=$A$7)*(CRDJ[Account Code]=(TRIM($B34))),CRDJ[Debit])))+(SUM(IF((GJ[Date]&lt;=$A$7)*(GJ[Account Code]=(TRIM($B34))),GJ[Debit]))))-((SUM(IF((CkDJ[Date]&lt;=$A$7)*(CkDJ[Account Code]=(TRIM($B34))),CkDJ[Credit])))+(SUM(IF((CsDJ[Date]&lt;=$A$7)*(CsDJ[Account Code]=(TRIM($B34))),CsDJ[Credit])))+(SUM(IF((CRDJ[Date]&lt;=$A$7)*(CRDJ[Account Code]=(TRIM($B34))),CRDJ[Credit])))+(SUM(IF((GJ[Date]&lt;=$A$7)*(GJ[Account Code]=(TRIM($B34))),GJ[Credit]))))</f>
        <v>0</v>
      </c>
      <c r="E34" s="89"/>
    </row>
    <row r="35" spans="1:5">
      <c r="A35" s="440" t="s">
        <v>1089</v>
      </c>
      <c r="B35" s="441" t="s">
        <v>212</v>
      </c>
      <c r="C35" s="89"/>
      <c r="D35" s="442">
        <f t="array" ref="D35">((SUM(IF((CkDJ[Date]&lt;=$A$7)*(CkDJ[Account Code]=(TRIM($B35))),CkDJ[Debit])))+(SUM(IF((CsDJ[Date]&lt;=$A$7)*(CsDJ[Account Code]=(TRIM($B35))),CsDJ[Debit])))+(SUM(IF((CRDJ[Date]&lt;=$A$7)*(CRDJ[Account Code]=(TRIM($B35))),CRDJ[Debit])))+(SUM(IF((GJ[Date]&lt;=$A$7)*(GJ[Account Code]=(TRIM($B35))),GJ[Debit]))))-((SUM(IF((CkDJ[Date]&lt;=$A$7)*(CkDJ[Account Code]=(TRIM($B35))),CkDJ[Credit])))+(SUM(IF((CsDJ[Date]&lt;=$A$7)*(CsDJ[Account Code]=(TRIM($B35))),CsDJ[Credit])))+(SUM(IF((CRDJ[Date]&lt;=$A$7)*(CRDJ[Account Code]=(TRIM($B35))),CRDJ[Credit])))+(SUM(IF((GJ[Date]&lt;=$A$7)*(GJ[Account Code]=(TRIM($B35))),GJ[Credit]))))</f>
        <v>0</v>
      </c>
      <c r="E35" s="89"/>
    </row>
    <row r="36" spans="1:5">
      <c r="A36" s="440" t="s">
        <v>1090</v>
      </c>
      <c r="B36" s="441" t="s">
        <v>799</v>
      </c>
      <c r="C36" s="89"/>
      <c r="D36" s="442">
        <f t="array" ref="D36">((SUM(IF((CkDJ[Date]&lt;=$A$7)*(CkDJ[Account Code]=(TRIM($B36))),CkDJ[Debit])))+(SUM(IF((CsDJ[Date]&lt;=$A$7)*(CsDJ[Account Code]=(TRIM($B36))),CsDJ[Debit])))+(SUM(IF((CRDJ[Date]&lt;=$A$7)*(CRDJ[Account Code]=(TRIM($B36))),CRDJ[Debit])))+(SUM(IF((GJ[Date]&lt;=$A$7)*(GJ[Account Code]=(TRIM($B36))),GJ[Debit]))))-((SUM(IF((CkDJ[Date]&lt;=$A$7)*(CkDJ[Account Code]=(TRIM($B36))),CkDJ[Credit])))+(SUM(IF((CsDJ[Date]&lt;=$A$7)*(CsDJ[Account Code]=(TRIM($B36))),CsDJ[Credit])))+(SUM(IF((CRDJ[Date]&lt;=$A$7)*(CRDJ[Account Code]=(TRIM($B36))),CRDJ[Credit])))+(SUM(IF((GJ[Date]&lt;=$A$7)*(GJ[Account Code]=(TRIM($B36))),GJ[Credit]))))</f>
        <v>0</v>
      </c>
      <c r="E36" s="89"/>
    </row>
    <row r="37" spans="1:5">
      <c r="A37" s="320" t="s">
        <v>1091</v>
      </c>
      <c r="B37" s="437"/>
      <c r="C37" s="89"/>
      <c r="D37" s="439">
        <f>SUM(D38:D41)</f>
        <v>0</v>
      </c>
      <c r="E37" s="89"/>
    </row>
    <row r="38" spans="1:5">
      <c r="A38" s="440" t="s">
        <v>1092</v>
      </c>
      <c r="B38" s="441" t="s">
        <v>175</v>
      </c>
      <c r="C38" s="89"/>
      <c r="D38" s="442">
        <f t="array" ref="D38">((SUM(IF((CkDJ[Date]&lt;=$A$7)*(CkDJ[Account Code]=(TRIM($B38))),CkDJ[Debit])))+(SUM(IF((CsDJ[Date]&lt;=$A$7)*(CsDJ[Account Code]=(TRIM($B38))),CsDJ[Debit])))+(SUM(IF((CRDJ[Date]&lt;=$A$7)*(CRDJ[Account Code]=(TRIM($B38))),CRDJ[Debit])))+(SUM(IF((GJ[Date]&lt;=$A$7)*(GJ[Account Code]=(TRIM($B38))),GJ[Debit]))))-((SUM(IF((CkDJ[Date]&lt;=$A$7)*(CkDJ[Account Code]=(TRIM($B38))),CkDJ[Credit])))+(SUM(IF((CsDJ[Date]&lt;=$A$7)*(CsDJ[Account Code]=(TRIM($B38))),CsDJ[Credit])))+(SUM(IF((CRDJ[Date]&lt;=$A$7)*(CRDJ[Account Code]=(TRIM($B38))),CRDJ[Credit])))+(SUM(IF((GJ[Date]&lt;=$A$7)*(GJ[Account Code]=(TRIM($B38))),GJ[Credit]))))</f>
        <v>0</v>
      </c>
      <c r="E38" s="89"/>
    </row>
    <row r="39" spans="1:5">
      <c r="A39" s="440" t="s">
        <v>1093</v>
      </c>
      <c r="B39" s="441" t="s">
        <v>176</v>
      </c>
      <c r="C39" s="89"/>
      <c r="D39" s="442">
        <f t="array" ref="D39">((SUM(IF((CkDJ[Date]&lt;=$A$7)*(CkDJ[Account Code]=(TRIM($B39))),CkDJ[Debit])))+(SUM(IF((CsDJ[Date]&lt;=$A$7)*(CsDJ[Account Code]=(TRIM($B39))),CsDJ[Debit])))+(SUM(IF((CRDJ[Date]&lt;=$A$7)*(CRDJ[Account Code]=(TRIM($B39))),CRDJ[Debit])))+(SUM(IF((GJ[Date]&lt;=$A$7)*(GJ[Account Code]=(TRIM($B39))),GJ[Debit]))))-((SUM(IF((CkDJ[Date]&lt;=$A$7)*(CkDJ[Account Code]=(TRIM($B39))),CkDJ[Credit])))+(SUM(IF((CsDJ[Date]&lt;=$A$7)*(CsDJ[Account Code]=(TRIM($B39))),CsDJ[Credit])))+(SUM(IF((CRDJ[Date]&lt;=$A$7)*(CRDJ[Account Code]=(TRIM($B39))),CRDJ[Credit])))+(SUM(IF((GJ[Date]&lt;=$A$7)*(GJ[Account Code]=(TRIM($B39))),GJ[Credit]))))</f>
        <v>0</v>
      </c>
      <c r="E39" s="89"/>
    </row>
    <row r="40" spans="1:5">
      <c r="A40" s="440" t="s">
        <v>1094</v>
      </c>
      <c r="B40" s="441" t="s">
        <v>177</v>
      </c>
      <c r="C40" s="89"/>
      <c r="D40" s="442">
        <f t="array" ref="D40">((SUM(IF((CkDJ[Date]&lt;=$A$7)*(CkDJ[Account Code]=(TRIM($B40))),CkDJ[Debit])))+(SUM(IF((CsDJ[Date]&lt;=$A$7)*(CsDJ[Account Code]=(TRIM($B40))),CsDJ[Debit])))+(SUM(IF((CRDJ[Date]&lt;=$A$7)*(CRDJ[Account Code]=(TRIM($B40))),CRDJ[Debit])))+(SUM(IF((GJ[Date]&lt;=$A$7)*(GJ[Account Code]=(TRIM($B40))),GJ[Debit]))))-((SUM(IF((CkDJ[Date]&lt;=$A$7)*(CkDJ[Account Code]=(TRIM($B40))),CkDJ[Credit])))+(SUM(IF((CsDJ[Date]&lt;=$A$7)*(CsDJ[Account Code]=(TRIM($B40))),CsDJ[Credit])))+(SUM(IF((CRDJ[Date]&lt;=$A$7)*(CRDJ[Account Code]=(TRIM($B40))),CRDJ[Credit])))+(SUM(IF((GJ[Date]&lt;=$A$7)*(GJ[Account Code]=(TRIM($B40))),GJ[Credit]))))</f>
        <v>0</v>
      </c>
      <c r="E40" s="89"/>
    </row>
    <row r="41" spans="1:5">
      <c r="A41" s="440" t="s">
        <v>1095</v>
      </c>
      <c r="B41" s="441" t="s">
        <v>178</v>
      </c>
      <c r="C41" s="89"/>
      <c r="D41" s="442">
        <f t="array" ref="D41">((SUM(IF((CkDJ[Date]&lt;=$A$7)*(CkDJ[Account Code]=(TRIM($B41))),CkDJ[Debit])))+(SUM(IF((CsDJ[Date]&lt;=$A$7)*(CsDJ[Account Code]=(TRIM($B41))),CsDJ[Debit])))+(SUM(IF((CRDJ[Date]&lt;=$A$7)*(CRDJ[Account Code]=(TRIM($B41))),CRDJ[Debit])))+(SUM(IF((GJ[Date]&lt;=$A$7)*(GJ[Account Code]=(TRIM($B41))),GJ[Debit]))))-((SUM(IF((CkDJ[Date]&lt;=$A$7)*(CkDJ[Account Code]=(TRIM($B41))),CkDJ[Credit])))+(SUM(IF((CsDJ[Date]&lt;=$A$7)*(CsDJ[Account Code]=(TRIM($B41))),CsDJ[Credit])))+(SUM(IF((CRDJ[Date]&lt;=$A$7)*(CRDJ[Account Code]=(TRIM($B41))),CRDJ[Credit])))+(SUM(IF((GJ[Date]&lt;=$A$7)*(GJ[Account Code]=(TRIM($B41))),GJ[Credit]))))</f>
        <v>0</v>
      </c>
      <c r="E41" s="89"/>
    </row>
    <row r="42" spans="1:5">
      <c r="A42" s="320" t="s">
        <v>1096</v>
      </c>
      <c r="B42" s="437"/>
      <c r="C42" s="89"/>
      <c r="D42" s="443">
        <f>D43+D44+D45+D46</f>
        <v>0</v>
      </c>
      <c r="E42" s="89"/>
    </row>
    <row r="43" spans="1:5">
      <c r="A43" s="440" t="s">
        <v>897</v>
      </c>
      <c r="B43" s="441" t="s">
        <v>216</v>
      </c>
      <c r="C43" s="89"/>
      <c r="D43" s="442">
        <f t="array" ref="D43">((SUM(IF((CkDJ[Date]&lt;=$A$7)*(CkDJ[Account Code]=(TRIM($B43))),CkDJ[Debit])))+(SUM(IF((CsDJ[Date]&lt;=$A$7)*(CsDJ[Account Code]=(TRIM($B43))),CsDJ[Debit])))+(SUM(IF((CRDJ[Date]&lt;=$A$7)*(CRDJ[Account Code]=(TRIM($B43))),CRDJ[Debit])))+(SUM(IF((GJ[Date]&lt;=$A$7)*(GJ[Account Code]=(TRIM($B43))),GJ[Debit]))))-((SUM(IF((CkDJ[Date]&lt;=$A$7)*(CkDJ[Account Code]=(TRIM($B43))),CkDJ[Credit])))+(SUM(IF((CsDJ[Date]&lt;=$A$7)*(CsDJ[Account Code]=(TRIM($B43))),CsDJ[Credit])))+(SUM(IF((CRDJ[Date]&lt;=$A$7)*(CRDJ[Account Code]=(TRIM($B43))),CRDJ[Credit])))+(SUM(IF((GJ[Date]&lt;=$A$7)*(GJ[Account Code]=(TRIM($B43))),GJ[Credit]))))</f>
        <v>0</v>
      </c>
      <c r="E43" s="89"/>
    </row>
    <row r="44" spans="1:5">
      <c r="A44" s="330" t="s">
        <v>898</v>
      </c>
      <c r="B44" s="61" t="s">
        <v>799</v>
      </c>
      <c r="C44" s="89"/>
      <c r="D44" s="442">
        <f t="array" ref="D44">((SUM(IF((CkDJ[Date]&lt;=$A$7)*(CkDJ[Account Code]=(TRIM($B44))),CkDJ[Debit])))+(SUM(IF((CsDJ[Date]&lt;=$A$7)*(CsDJ[Account Code]=(TRIM($B44))),CsDJ[Debit])))+(SUM(IF((CRDJ[Date]&lt;=$A$7)*(CRDJ[Account Code]=(TRIM($B44))),CRDJ[Debit])))+(SUM(IF((GJ[Date]&lt;=$A$7)*(GJ[Account Code]=(TRIM($B44))),GJ[Debit]))))-((SUM(IF((CkDJ[Date]&lt;=$A$7)*(CkDJ[Account Code]=(TRIM($B44))),CkDJ[Credit])))+(SUM(IF((CsDJ[Date]&lt;=$A$7)*(CsDJ[Account Code]=(TRIM($B44))),CsDJ[Credit])))+(SUM(IF((CRDJ[Date]&lt;=$A$7)*(CRDJ[Account Code]=(TRIM($B44))),CRDJ[Credit])))+(SUM(IF((GJ[Date]&lt;=$A$7)*(GJ[Account Code]=(TRIM($B44))),GJ[Credit]))))</f>
        <v>0</v>
      </c>
      <c r="E44" s="89"/>
    </row>
    <row r="45" spans="1:5">
      <c r="A45" s="440" t="s">
        <v>899</v>
      </c>
      <c r="B45" s="441" t="s">
        <v>799</v>
      </c>
      <c r="C45" s="89"/>
      <c r="D45" s="442">
        <f t="array" ref="D45">((SUM(IF((CkDJ[Date]&lt;=$A$7)*(CkDJ[Account Code]=(TRIM($B45))),CkDJ[Debit])))+(SUM(IF((CsDJ[Date]&lt;=$A$7)*(CsDJ[Account Code]=(TRIM($B45))),CsDJ[Debit])))+(SUM(IF((CRDJ[Date]&lt;=$A$7)*(CRDJ[Account Code]=(TRIM($B45))),CRDJ[Debit])))+(SUM(IF((GJ[Date]&lt;=$A$7)*(GJ[Account Code]=(TRIM($B45))),GJ[Debit]))))-((SUM(IF((CkDJ[Date]&lt;=$A$7)*(CkDJ[Account Code]=(TRIM($B45))),CkDJ[Credit])))+(SUM(IF((CsDJ[Date]&lt;=$A$7)*(CsDJ[Account Code]=(TRIM($B45))),CsDJ[Credit])))+(SUM(IF((CRDJ[Date]&lt;=$A$7)*(CRDJ[Account Code]=(TRIM($B45))),CRDJ[Credit])))+(SUM(IF((GJ[Date]&lt;=$A$7)*(GJ[Account Code]=(TRIM($B45))),GJ[Credit]))))</f>
        <v>0</v>
      </c>
      <c r="E45" s="89"/>
    </row>
    <row r="46" spans="1:5">
      <c r="A46" s="440" t="s">
        <v>900</v>
      </c>
      <c r="B46" s="441" t="s">
        <v>799</v>
      </c>
      <c r="C46" s="89"/>
      <c r="D46" s="442">
        <f t="array" ref="D46">((SUM(IF((CkDJ[Date]&lt;=$A$7)*(CkDJ[Account Code]=(TRIM($B46))),CkDJ[Debit])))+(SUM(IF((CsDJ[Date]&lt;=$A$7)*(CsDJ[Account Code]=(TRIM($B46))),CsDJ[Debit])))+(SUM(IF((CRDJ[Date]&lt;=$A$7)*(CRDJ[Account Code]=(TRIM($B46))),CRDJ[Debit])))+(SUM(IF((GJ[Date]&lt;=$A$7)*(GJ[Account Code]=(TRIM($B46))),GJ[Debit]))))-((SUM(IF((CkDJ[Date]&lt;=$A$7)*(CkDJ[Account Code]=(TRIM($B46))),CkDJ[Credit])))+(SUM(IF((CsDJ[Date]&lt;=$A$7)*(CsDJ[Account Code]=(TRIM($B46))),CsDJ[Credit])))+(SUM(IF((CRDJ[Date]&lt;=$A$7)*(CRDJ[Account Code]=(TRIM($B46))),CRDJ[Credit])))+(SUM(IF((GJ[Date]&lt;=$A$7)*(GJ[Account Code]=(TRIM($B46))),GJ[Credit]))))</f>
        <v>0</v>
      </c>
      <c r="E46" s="89"/>
    </row>
    <row r="47" spans="1:5">
      <c r="A47" s="444" t="s">
        <v>1097</v>
      </c>
      <c r="B47" s="445"/>
      <c r="C47" s="446">
        <v>63027351</v>
      </c>
      <c r="D47" s="447">
        <f>SUM(D14+D18+D33+D37+D42)</f>
        <v>0</v>
      </c>
      <c r="E47" s="446">
        <f>+C47-D47</f>
        <v>63027351</v>
      </c>
    </row>
    <row r="48" spans="1:5">
      <c r="A48" s="448"/>
      <c r="B48" s="441"/>
      <c r="C48" s="442"/>
      <c r="D48" s="449"/>
      <c r="E48" s="442"/>
    </row>
    <row r="49" spans="1:5">
      <c r="A49" s="320" t="s">
        <v>1098</v>
      </c>
      <c r="B49" s="437"/>
      <c r="C49" s="89"/>
      <c r="D49" s="438"/>
      <c r="E49" s="89"/>
    </row>
    <row r="50" spans="1:5">
      <c r="A50" s="320" t="s">
        <v>909</v>
      </c>
      <c r="B50" s="437" t="s">
        <v>223</v>
      </c>
      <c r="C50" s="89"/>
      <c r="D50" s="442">
        <f t="array" ref="D50">((SUM(IF((CkDJ[Date]&lt;=$A$7)*(CkDJ[Account Code]=(TRIM($B50))),CkDJ[Debit])))+(SUM(IF((CsDJ[Date]&lt;=$A$7)*(CsDJ[Account Code]=(TRIM($B50))),CsDJ[Debit])))+(SUM(IF((CRDJ[Date]&lt;=$A$7)*(CRDJ[Account Code]=(TRIM($B50))),CRDJ[Debit])))+(SUM(IF((GJ[Date]&lt;=$A$7)*(GJ[Account Code]=(TRIM($B50))),GJ[Debit]))))-((SUM(IF((CkDJ[Date]&lt;=$A$7)*(CkDJ[Account Code]=(TRIM($B50))),CkDJ[Credit])))+(SUM(IF((CsDJ[Date]&lt;=$A$7)*(CsDJ[Account Code]=(TRIM($B50))),CsDJ[Credit])))+(SUM(IF((CRDJ[Date]&lt;=$A$7)*(CRDJ[Account Code]=(TRIM($B50))),CRDJ[Credit])))+(SUM(IF((GJ[Date]&lt;=$A$7)*(GJ[Account Code]=(TRIM($B50))),GJ[Credit]))))</f>
        <v>0</v>
      </c>
      <c r="E50" s="89"/>
    </row>
    <row r="51" spans="1:5">
      <c r="A51" s="320" t="s">
        <v>1099</v>
      </c>
      <c r="B51" s="437" t="s">
        <v>224</v>
      </c>
      <c r="C51" s="89"/>
      <c r="D51" s="442">
        <f t="array" ref="D51">((SUM(IF((CkDJ[Date]&lt;=$A$7)*(CkDJ[Account Code]=(TRIM($B51))),CkDJ[Debit])))+(SUM(IF((CsDJ[Date]&lt;=$A$7)*(CsDJ[Account Code]=(TRIM($B51))),CsDJ[Debit])))+(SUM(IF((CRDJ[Date]&lt;=$A$7)*(CRDJ[Account Code]=(TRIM($B51))),CRDJ[Debit])))+(SUM(IF((GJ[Date]&lt;=$A$7)*(GJ[Account Code]=(TRIM($B51))),GJ[Debit]))))-((SUM(IF((CkDJ[Date]&lt;=$A$7)*(CkDJ[Account Code]=(TRIM($B51))),CkDJ[Credit])))+(SUM(IF((CsDJ[Date]&lt;=$A$7)*(CsDJ[Account Code]=(TRIM($B51))),CsDJ[Credit])))+(SUM(IF((CRDJ[Date]&lt;=$A$7)*(CRDJ[Account Code]=(TRIM($B51))),CRDJ[Credit])))+(SUM(IF((GJ[Date]&lt;=$A$7)*(GJ[Account Code]=(TRIM($B51))),GJ[Credit]))))</f>
        <v>0</v>
      </c>
      <c r="E51" s="89"/>
    </row>
    <row r="52" spans="1:5">
      <c r="A52" s="320" t="s">
        <v>1100</v>
      </c>
      <c r="B52" s="437"/>
      <c r="C52" s="89"/>
      <c r="D52" s="439">
        <f>SUM(D53:D60)</f>
        <v>0</v>
      </c>
      <c r="E52" s="89"/>
    </row>
    <row r="53" spans="1:5">
      <c r="A53" s="440" t="s">
        <v>1101</v>
      </c>
      <c r="B53" s="441" t="s">
        <v>225</v>
      </c>
      <c r="C53" s="89"/>
      <c r="D53" s="442">
        <f t="array" ref="D53">((SUM(IF((CkDJ[Date]&lt;=$A$7)*(CkDJ[Account Code]=(TRIM($B53))),CkDJ[Debit])))+(SUM(IF((CsDJ[Date]&lt;=$A$7)*(CsDJ[Account Code]=(TRIM($B53))),CsDJ[Debit])))+(SUM(IF((CRDJ[Date]&lt;=$A$7)*(CRDJ[Account Code]=(TRIM($B53))),CRDJ[Debit])))+(SUM(IF((GJ[Date]&lt;=$A$7)*(GJ[Account Code]=(TRIM($B53))),GJ[Debit]))))-((SUM(IF((CkDJ[Date]&lt;=$A$7)*(CkDJ[Account Code]=(TRIM($B53))),CkDJ[Credit])))+(SUM(IF((CsDJ[Date]&lt;=$A$7)*(CsDJ[Account Code]=(TRIM($B53))),CsDJ[Credit])))+(SUM(IF((CRDJ[Date]&lt;=$A$7)*(CRDJ[Account Code]=(TRIM($B53))),CRDJ[Credit])))+(SUM(IF((GJ[Date]&lt;=$A$7)*(GJ[Account Code]=(TRIM($B53))),GJ[Credit]))))</f>
        <v>0</v>
      </c>
      <c r="E53" s="89"/>
    </row>
    <row r="54" spans="1:5">
      <c r="A54" s="440" t="s">
        <v>913</v>
      </c>
      <c r="B54" s="441" t="s">
        <v>226</v>
      </c>
      <c r="C54" s="89"/>
      <c r="D54" s="442">
        <f t="array" ref="D54">((SUM(IF((CkDJ[Date]&lt;=$A$7)*(CkDJ[Account Code]=(TRIM($B54))),CkDJ[Debit])))+(SUM(IF((CsDJ[Date]&lt;=$A$7)*(CsDJ[Account Code]=(TRIM($B54))),CsDJ[Debit])))+(SUM(IF((CRDJ[Date]&lt;=$A$7)*(CRDJ[Account Code]=(TRIM($B54))),CRDJ[Debit])))+(SUM(IF((GJ[Date]&lt;=$A$7)*(GJ[Account Code]=(TRIM($B54))),GJ[Debit]))))-((SUM(IF((CkDJ[Date]&lt;=$A$7)*(CkDJ[Account Code]=(TRIM($B54))),CkDJ[Credit])))+(SUM(IF((CsDJ[Date]&lt;=$A$7)*(CsDJ[Account Code]=(TRIM($B54))),CsDJ[Credit])))+(SUM(IF((CRDJ[Date]&lt;=$A$7)*(CRDJ[Account Code]=(TRIM($B54))),CRDJ[Credit])))+(SUM(IF((GJ[Date]&lt;=$A$7)*(GJ[Account Code]=(TRIM($B54))),GJ[Credit]))))</f>
        <v>0</v>
      </c>
      <c r="E54" s="89"/>
    </row>
    <row r="55" spans="1:5">
      <c r="A55" s="440" t="s">
        <v>1102</v>
      </c>
      <c r="B55" s="441" t="s">
        <v>227</v>
      </c>
      <c r="C55" s="89"/>
      <c r="D55" s="442">
        <f t="array" ref="D55">((SUM(IF((CkDJ[Date]&lt;=$A$7)*(CkDJ[Account Code]=(TRIM($B55))),CkDJ[Debit])))+(SUM(IF((CsDJ[Date]&lt;=$A$7)*(CsDJ[Account Code]=(TRIM($B55))),CsDJ[Debit])))+(SUM(IF((CRDJ[Date]&lt;=$A$7)*(CRDJ[Account Code]=(TRIM($B55))),CRDJ[Debit])))+(SUM(IF((GJ[Date]&lt;=$A$7)*(GJ[Account Code]=(TRIM($B55))),GJ[Debit]))))-((SUM(IF((CkDJ[Date]&lt;=$A$7)*(CkDJ[Account Code]=(TRIM($B55))),CkDJ[Credit])))+(SUM(IF((CsDJ[Date]&lt;=$A$7)*(CsDJ[Account Code]=(TRIM($B55))),CsDJ[Credit])))+(SUM(IF((CRDJ[Date]&lt;=$A$7)*(CRDJ[Account Code]=(TRIM($B55))),CRDJ[Credit])))+(SUM(IF((GJ[Date]&lt;=$A$7)*(GJ[Account Code]=(TRIM($B55))),GJ[Credit]))))</f>
        <v>0</v>
      </c>
      <c r="E55" s="89"/>
    </row>
    <row r="56" spans="1:5">
      <c r="A56" s="440" t="s">
        <v>915</v>
      </c>
      <c r="B56" s="441" t="s">
        <v>228</v>
      </c>
      <c r="C56" s="89"/>
      <c r="D56" s="442">
        <f t="array" ref="D56">((SUM(IF((CkDJ[Date]&lt;=$A$7)*(CkDJ[Account Code]=(TRIM($B56))),CkDJ[Debit])))+(SUM(IF((CsDJ[Date]&lt;=$A$7)*(CsDJ[Account Code]=(TRIM($B56))),CsDJ[Debit])))+(SUM(IF((CRDJ[Date]&lt;=$A$7)*(CRDJ[Account Code]=(TRIM($B56))),CRDJ[Debit])))+(SUM(IF((GJ[Date]&lt;=$A$7)*(GJ[Account Code]=(TRIM($B56))),GJ[Debit]))))-((SUM(IF((CkDJ[Date]&lt;=$A$7)*(CkDJ[Account Code]=(TRIM($B56))),CkDJ[Credit])))+(SUM(IF((CsDJ[Date]&lt;=$A$7)*(CsDJ[Account Code]=(TRIM($B56))),CsDJ[Credit])))+(SUM(IF((CRDJ[Date]&lt;=$A$7)*(CRDJ[Account Code]=(TRIM($B56))),CRDJ[Credit])))+(SUM(IF((GJ[Date]&lt;=$A$7)*(GJ[Account Code]=(TRIM($B56))),GJ[Credit]))))</f>
        <v>0</v>
      </c>
      <c r="E56" s="89"/>
    </row>
    <row r="57" spans="1:5">
      <c r="A57" s="440" t="s">
        <v>1103</v>
      </c>
      <c r="B57" s="441" t="s">
        <v>229</v>
      </c>
      <c r="C57" s="89"/>
      <c r="D57" s="442">
        <f t="array" ref="D57">((SUM(IF((CkDJ[Date]&lt;=$A$7)*(CkDJ[Account Code]=(TRIM($B57))),CkDJ[Debit])))+(SUM(IF((CsDJ[Date]&lt;=$A$7)*(CsDJ[Account Code]=(TRIM($B57))),CsDJ[Debit])))+(SUM(IF((CRDJ[Date]&lt;=$A$7)*(CRDJ[Account Code]=(TRIM($B57))),CRDJ[Debit])))+(SUM(IF((GJ[Date]&lt;=$A$7)*(GJ[Account Code]=(TRIM($B57))),GJ[Debit]))))-((SUM(IF((CkDJ[Date]&lt;=$A$7)*(CkDJ[Account Code]=(TRIM($B57))),CkDJ[Credit])))+(SUM(IF((CsDJ[Date]&lt;=$A$7)*(CsDJ[Account Code]=(TRIM($B57))),CsDJ[Credit])))+(SUM(IF((CRDJ[Date]&lt;=$A$7)*(CRDJ[Account Code]=(TRIM($B57))),CRDJ[Credit])))+(SUM(IF((GJ[Date]&lt;=$A$7)*(GJ[Account Code]=(TRIM($B57))),GJ[Credit]))))</f>
        <v>0</v>
      </c>
      <c r="E57" s="89"/>
    </row>
    <row r="58" spans="1:5">
      <c r="A58" s="440" t="s">
        <v>1104</v>
      </c>
      <c r="B58" s="441" t="s">
        <v>230</v>
      </c>
      <c r="C58" s="89"/>
      <c r="D58" s="442">
        <f t="array" ref="D58">((SUM(IF((CkDJ[Date]&lt;=$A$7)*(CkDJ[Account Code]=(TRIM($B58))),CkDJ[Debit])))+(SUM(IF((CsDJ[Date]&lt;=$A$7)*(CsDJ[Account Code]=(TRIM($B58))),CsDJ[Debit])))+(SUM(IF((CRDJ[Date]&lt;=$A$7)*(CRDJ[Account Code]=(TRIM($B58))),CRDJ[Debit])))+(SUM(IF((GJ[Date]&lt;=$A$7)*(GJ[Account Code]=(TRIM($B58))),GJ[Debit]))))-((SUM(IF((CkDJ[Date]&lt;=$A$7)*(CkDJ[Account Code]=(TRIM($B58))),CkDJ[Credit])))+(SUM(IF((CsDJ[Date]&lt;=$A$7)*(CsDJ[Account Code]=(TRIM($B58))),CsDJ[Credit])))+(SUM(IF((CRDJ[Date]&lt;=$A$7)*(CRDJ[Account Code]=(TRIM($B58))),CRDJ[Credit])))+(SUM(IF((GJ[Date]&lt;=$A$7)*(GJ[Account Code]=(TRIM($B58))),GJ[Credit]))))</f>
        <v>0</v>
      </c>
      <c r="E58" s="89"/>
    </row>
    <row r="59" spans="1:5">
      <c r="A59" s="440" t="s">
        <v>1105</v>
      </c>
      <c r="B59" s="441" t="s">
        <v>231</v>
      </c>
      <c r="C59" s="89"/>
      <c r="D59" s="442">
        <f t="array" ref="D59">((SUM(IF((CkDJ[Date]&lt;=$A$7)*(CkDJ[Account Code]=(TRIM($B59))),CkDJ[Debit])))+(SUM(IF((CsDJ[Date]&lt;=$A$7)*(CsDJ[Account Code]=(TRIM($B59))),CsDJ[Debit])))+(SUM(IF((CRDJ[Date]&lt;=$A$7)*(CRDJ[Account Code]=(TRIM($B59))),CRDJ[Debit])))+(SUM(IF((GJ[Date]&lt;=$A$7)*(GJ[Account Code]=(TRIM($B59))),GJ[Debit]))))-((SUM(IF((CkDJ[Date]&lt;=$A$7)*(CkDJ[Account Code]=(TRIM($B59))),CkDJ[Credit])))+(SUM(IF((CsDJ[Date]&lt;=$A$7)*(CsDJ[Account Code]=(TRIM($B59))),CsDJ[Credit])))+(SUM(IF((CRDJ[Date]&lt;=$A$7)*(CRDJ[Account Code]=(TRIM($B59))),CRDJ[Credit])))+(SUM(IF((GJ[Date]&lt;=$A$7)*(GJ[Account Code]=(TRIM($B59))),GJ[Credit]))))</f>
        <v>0</v>
      </c>
      <c r="E59" s="89"/>
    </row>
    <row r="60" spans="1:5">
      <c r="A60" s="440" t="s">
        <v>1106</v>
      </c>
      <c r="B60" s="441"/>
      <c r="C60" s="89"/>
      <c r="D60" s="438"/>
      <c r="E60" s="89"/>
    </row>
    <row r="61" spans="1:5">
      <c r="A61" s="320" t="s">
        <v>919</v>
      </c>
      <c r="B61" s="437"/>
      <c r="C61" s="89"/>
      <c r="D61" s="450">
        <f>SUM(D62+D63)</f>
        <v>0</v>
      </c>
      <c r="E61" s="89"/>
    </row>
    <row r="62" spans="1:5">
      <c r="A62" s="440" t="s">
        <v>920</v>
      </c>
      <c r="B62" s="441" t="s">
        <v>232</v>
      </c>
      <c r="C62" s="89"/>
      <c r="D62" s="442">
        <f t="array" ref="D62">((SUM(IF((CkDJ[Date]&lt;=$A$7)*(CkDJ[Account Code]=(TRIM($B62))),CkDJ[Debit])))+(SUM(IF((CsDJ[Date]&lt;=$A$7)*(CsDJ[Account Code]=(TRIM($B62))),CsDJ[Debit])))+(SUM(IF((CRDJ[Date]&lt;=$A$7)*(CRDJ[Account Code]=(TRIM($B62))),CRDJ[Debit])))+(SUM(IF((GJ[Date]&lt;=$A$7)*(GJ[Account Code]=(TRIM($B62))),GJ[Debit]))))-((SUM(IF((CkDJ[Date]&lt;=$A$7)*(CkDJ[Account Code]=(TRIM($B62))),CkDJ[Credit])))+(SUM(IF((CsDJ[Date]&lt;=$A$7)*(CsDJ[Account Code]=(TRIM($B62))),CsDJ[Credit])))+(SUM(IF((CRDJ[Date]&lt;=$A$7)*(CRDJ[Account Code]=(TRIM($B62))),CRDJ[Credit])))+(SUM(IF((GJ[Date]&lt;=$A$7)*(GJ[Account Code]=(TRIM($B62))),GJ[Credit]))))</f>
        <v>0</v>
      </c>
      <c r="E62" s="89"/>
    </row>
    <row r="63" spans="1:5">
      <c r="A63" s="440" t="s">
        <v>1107</v>
      </c>
      <c r="B63" s="441"/>
      <c r="C63" s="89"/>
      <c r="D63" s="438">
        <f>SUM(D64:D65)</f>
        <v>0</v>
      </c>
      <c r="E63" s="89"/>
    </row>
    <row r="64" spans="1:5">
      <c r="A64" s="451" t="s">
        <v>1108</v>
      </c>
      <c r="B64" s="441" t="s">
        <v>233</v>
      </c>
      <c r="C64" s="89"/>
      <c r="D64" s="442">
        <f t="array" ref="D64">((SUM(IF((CkDJ[Date]&lt;=$A$7)*(CkDJ[Account Code]=(TRIM($B64))),CkDJ[Debit])))+(SUM(IF((CsDJ[Date]&lt;=$A$7)*(CsDJ[Account Code]=(TRIM($B64))),CsDJ[Debit])))+(SUM(IF((CRDJ[Date]&lt;=$A$7)*(CRDJ[Account Code]=(TRIM($B64))),CRDJ[Debit])))+(SUM(IF((GJ[Date]&lt;=$A$7)*(GJ[Account Code]=(TRIM($B64))),GJ[Debit]))))-((SUM(IF((CkDJ[Date]&lt;=$A$7)*(CkDJ[Account Code]=(TRIM($B64))),CkDJ[Credit])))+(SUM(IF((CsDJ[Date]&lt;=$A$7)*(CsDJ[Account Code]=(TRIM($B64))),CsDJ[Credit])))+(SUM(IF((CRDJ[Date]&lt;=$A$7)*(CRDJ[Account Code]=(TRIM($B64))),CRDJ[Credit])))+(SUM(IF((GJ[Date]&lt;=$A$7)*(GJ[Account Code]=(TRIM($B64))),GJ[Credit]))))</f>
        <v>0</v>
      </c>
      <c r="E64" s="89"/>
    </row>
    <row r="65" spans="1:5">
      <c r="A65" s="451" t="s">
        <v>1109</v>
      </c>
      <c r="B65" s="441" t="s">
        <v>991</v>
      </c>
      <c r="C65" s="89"/>
      <c r="D65" s="442">
        <f t="array" ref="D65">((SUM(IF((CkDJ[Date]&lt;=$A$7)*(CkDJ[Account Code]=(TRIM($B65))),CkDJ[Debit])))+(SUM(IF((CsDJ[Date]&lt;=$A$7)*(CsDJ[Account Code]=(TRIM($B65))),CsDJ[Debit])))+(SUM(IF((CRDJ[Date]&lt;=$A$7)*(CRDJ[Account Code]=(TRIM($B65))),CRDJ[Debit])))+(SUM(IF((GJ[Date]&lt;=$A$7)*(GJ[Account Code]=(TRIM($B65))),GJ[Debit]))))-((SUM(IF((CkDJ[Date]&lt;=$A$7)*(CkDJ[Account Code]=(TRIM($B65))),CkDJ[Credit])))+(SUM(IF((CsDJ[Date]&lt;=$A$7)*(CsDJ[Account Code]=(TRIM($B65))),CsDJ[Credit])))+(SUM(IF((CRDJ[Date]&lt;=$A$7)*(CRDJ[Account Code]=(TRIM($B65))),CRDJ[Credit])))+(SUM(IF((GJ[Date]&lt;=$A$7)*(GJ[Account Code]=(TRIM($B65))),GJ[Credit]))))</f>
        <v>0</v>
      </c>
      <c r="E65" s="89"/>
    </row>
    <row r="66" spans="1:5">
      <c r="A66" s="320" t="s">
        <v>1110</v>
      </c>
      <c r="B66" s="437"/>
      <c r="C66" s="89"/>
      <c r="D66" s="439">
        <f>SUM(D67:D69)</f>
        <v>0</v>
      </c>
      <c r="E66" s="89"/>
    </row>
    <row r="67" spans="1:5">
      <c r="A67" s="440" t="s">
        <v>1144</v>
      </c>
      <c r="B67" s="61" t="s">
        <v>235</v>
      </c>
      <c r="C67" s="89"/>
      <c r="D67" s="442">
        <f t="array" ref="D67">((SUM(IF((CkDJ[Date]&lt;=$A$7)*(CkDJ[Account Code]=(TRIM($B67))),CkDJ[Debit])))+(SUM(IF((CsDJ[Date]&lt;=$A$7)*(CsDJ[Account Code]=(TRIM($B67))),CsDJ[Debit])))+(SUM(IF((CRDJ[Date]&lt;=$A$7)*(CRDJ[Account Code]=(TRIM($B67))),CRDJ[Debit])))+(SUM(IF((GJ[Date]&lt;=$A$7)*(GJ[Account Code]=(TRIM($B67))),GJ[Debit]))))-((SUM(IF((CkDJ[Date]&lt;=$A$7)*(CkDJ[Account Code]=(TRIM($B67))),CkDJ[Credit])))+(SUM(IF((CsDJ[Date]&lt;=$A$7)*(CsDJ[Account Code]=(TRIM($B67))),CsDJ[Credit])))+(SUM(IF((CRDJ[Date]&lt;=$A$7)*(CRDJ[Account Code]=(TRIM($B67))),CRDJ[Credit])))+(SUM(IF((GJ[Date]&lt;=$A$7)*(GJ[Account Code]=(TRIM($B67))),GJ[Credit]))))</f>
        <v>0</v>
      </c>
      <c r="E67" s="89"/>
    </row>
    <row r="68" spans="1:5">
      <c r="A68" s="440" t="s">
        <v>1145</v>
      </c>
      <c r="B68" s="61" t="s">
        <v>236</v>
      </c>
      <c r="C68" s="89"/>
      <c r="D68" s="442">
        <f t="array" ref="D68">((SUM(IF((CkDJ[Date]&lt;=$A$7)*(CkDJ[Account Code]=(TRIM($B68))),CkDJ[Debit])))+(SUM(IF((CsDJ[Date]&lt;=$A$7)*(CsDJ[Account Code]=(TRIM($B68))),CsDJ[Debit])))+(SUM(IF((CRDJ[Date]&lt;=$A$7)*(CRDJ[Account Code]=(TRIM($B68))),CRDJ[Debit])))+(SUM(IF((GJ[Date]&lt;=$A$7)*(GJ[Account Code]=(TRIM($B68))),GJ[Debit]))))-((SUM(IF((CkDJ[Date]&lt;=$A$7)*(CkDJ[Account Code]=(TRIM($B68))),CkDJ[Credit])))+(SUM(IF((CsDJ[Date]&lt;=$A$7)*(CsDJ[Account Code]=(TRIM($B68))),CsDJ[Credit])))+(SUM(IF((CRDJ[Date]&lt;=$A$7)*(CRDJ[Account Code]=(TRIM($B68))),CRDJ[Credit])))+(SUM(IF((GJ[Date]&lt;=$A$7)*(GJ[Account Code]=(TRIM($B68))),GJ[Credit]))))</f>
        <v>0</v>
      </c>
      <c r="E68" s="89"/>
    </row>
    <row r="69" spans="1:5">
      <c r="A69" s="440" t="s">
        <v>1147</v>
      </c>
      <c r="B69" s="61" t="s">
        <v>237</v>
      </c>
      <c r="C69" s="89"/>
      <c r="D69" s="442">
        <f t="array" ref="D69">((SUM(IF((CkDJ[Date]&lt;=$A$7)*(CkDJ[Account Code]=(TRIM($B69))),CkDJ[Debit])))+(SUM(IF((CsDJ[Date]&lt;=$A$7)*(CsDJ[Account Code]=(TRIM($B69))),CsDJ[Debit])))+(SUM(IF((CRDJ[Date]&lt;=$A$7)*(CRDJ[Account Code]=(TRIM($B69))),CRDJ[Debit])))+(SUM(IF((GJ[Date]&lt;=$A$7)*(GJ[Account Code]=(TRIM($B69))),GJ[Debit]))))-((SUM(IF((CkDJ[Date]&lt;=$A$7)*(CkDJ[Account Code]=(TRIM($B69))),CkDJ[Credit])))+(SUM(IF((CsDJ[Date]&lt;=$A$7)*(CsDJ[Account Code]=(TRIM($B69))),CsDJ[Credit])))+(SUM(IF((CRDJ[Date]&lt;=$A$7)*(CRDJ[Account Code]=(TRIM($B69))),CRDJ[Credit])))+(SUM(IF((GJ[Date]&lt;=$A$7)*(GJ[Account Code]=(TRIM($B69))),GJ[Credit]))))</f>
        <v>0</v>
      </c>
      <c r="E69" s="89"/>
    </row>
    <row r="70" spans="1:5">
      <c r="A70" s="320" t="s">
        <v>1111</v>
      </c>
      <c r="B70" s="437" t="s">
        <v>239</v>
      </c>
      <c r="C70" s="89"/>
      <c r="D70" s="442">
        <f t="array" ref="D70">((SUM(IF((CkDJ[Date]&lt;=$A$7)*(CkDJ[Account Code]=(TRIM($B70))),CkDJ[Debit])))+(SUM(IF((CsDJ[Date]&lt;=$A$7)*(CsDJ[Account Code]=(TRIM($B70))),CsDJ[Debit])))+(SUM(IF((CRDJ[Date]&lt;=$A$7)*(CRDJ[Account Code]=(TRIM($B70))),CRDJ[Debit])))+(SUM(IF((GJ[Date]&lt;=$A$7)*(GJ[Account Code]=(TRIM($B70))),GJ[Debit]))))-((SUM(IF((CkDJ[Date]&lt;=$A$7)*(CkDJ[Account Code]=(TRIM($B70))),CkDJ[Credit])))+(SUM(IF((CsDJ[Date]&lt;=$A$7)*(CsDJ[Account Code]=(TRIM($B70))),CsDJ[Credit])))+(SUM(IF((CRDJ[Date]&lt;=$A$7)*(CRDJ[Account Code]=(TRIM($B70))),CRDJ[Credit])))+(SUM(IF((GJ[Date]&lt;=$A$7)*(GJ[Account Code]=(TRIM($B70))),GJ[Credit]))))</f>
        <v>0</v>
      </c>
      <c r="E70" s="89"/>
    </row>
    <row r="71" spans="1:5">
      <c r="A71" s="320" t="s">
        <v>931</v>
      </c>
      <c r="B71" s="437" t="s">
        <v>240</v>
      </c>
      <c r="C71" s="89"/>
      <c r="D71" s="442">
        <f t="array" ref="D71">((SUM(IF((CkDJ[Date]&lt;=$A$7)*(CkDJ[Account Code]=(TRIM($B71))),CkDJ[Debit])))+(SUM(IF((CsDJ[Date]&lt;=$A$7)*(CsDJ[Account Code]=(TRIM($B71))),CsDJ[Debit])))+(SUM(IF((CRDJ[Date]&lt;=$A$7)*(CRDJ[Account Code]=(TRIM($B71))),CRDJ[Debit])))+(SUM(IF((GJ[Date]&lt;=$A$7)*(GJ[Account Code]=(TRIM($B71))),GJ[Debit]))))-((SUM(IF((CkDJ[Date]&lt;=$A$7)*(CkDJ[Account Code]=(TRIM($B71))),CkDJ[Credit])))+(SUM(IF((CsDJ[Date]&lt;=$A$7)*(CsDJ[Account Code]=(TRIM($B71))),CsDJ[Credit])))+(SUM(IF((CRDJ[Date]&lt;=$A$7)*(CRDJ[Account Code]=(TRIM($B71))),CRDJ[Credit])))+(SUM(IF((GJ[Date]&lt;=$A$7)*(GJ[Account Code]=(TRIM($B71))),GJ[Credit]))))</f>
        <v>0</v>
      </c>
      <c r="E71" s="89"/>
    </row>
    <row r="72" spans="1:5">
      <c r="A72" s="320" t="s">
        <v>1112</v>
      </c>
      <c r="B72" s="437" t="s">
        <v>241</v>
      </c>
      <c r="C72" s="89"/>
      <c r="D72" s="442">
        <f t="array" ref="D72">((SUM(IF((CkDJ[Date]&lt;=$A$7)*(CkDJ[Account Code]=(TRIM($B72))),CkDJ[Debit])))+(SUM(IF((CsDJ[Date]&lt;=$A$7)*(CsDJ[Account Code]=(TRIM($B72))),CsDJ[Debit])))+(SUM(IF((CRDJ[Date]&lt;=$A$7)*(CRDJ[Account Code]=(TRIM($B72))),CRDJ[Debit])))+(SUM(IF((GJ[Date]&lt;=$A$7)*(GJ[Account Code]=(TRIM($B72))),GJ[Debit]))))-((SUM(IF((CkDJ[Date]&lt;=$A$7)*(CkDJ[Account Code]=(TRIM($B72))),CkDJ[Credit])))+(SUM(IF((CsDJ[Date]&lt;=$A$7)*(CsDJ[Account Code]=(TRIM($B72))),CsDJ[Credit])))+(SUM(IF((CRDJ[Date]&lt;=$A$7)*(CRDJ[Account Code]=(TRIM($B72))),CRDJ[Credit])))+(SUM(IF((GJ[Date]&lt;=$A$7)*(GJ[Account Code]=(TRIM($B72))),GJ[Credit]))))</f>
        <v>0</v>
      </c>
      <c r="E72" s="89"/>
    </row>
    <row r="73" spans="1:5">
      <c r="A73" s="320" t="s">
        <v>1113</v>
      </c>
      <c r="B73" s="437" t="s">
        <v>242</v>
      </c>
      <c r="C73" s="89"/>
      <c r="D73" s="442">
        <f t="array" ref="D73">((SUM(IF((CkDJ[Date]&lt;=$A$7)*(CkDJ[Account Code]=(TRIM($B73))),CkDJ[Debit])))+(SUM(IF((CsDJ[Date]&lt;=$A$7)*(CsDJ[Account Code]=(TRIM($B73))),CsDJ[Debit])))+(SUM(IF((CRDJ[Date]&lt;=$A$7)*(CRDJ[Account Code]=(TRIM($B73))),CRDJ[Debit])))+(SUM(IF((GJ[Date]&lt;=$A$7)*(GJ[Account Code]=(TRIM($B73))),GJ[Debit]))))-((SUM(IF((CkDJ[Date]&lt;=$A$7)*(CkDJ[Account Code]=(TRIM($B73))),CkDJ[Credit])))+(SUM(IF((CsDJ[Date]&lt;=$A$7)*(CsDJ[Account Code]=(TRIM($B73))),CsDJ[Credit])))+(SUM(IF((CRDJ[Date]&lt;=$A$7)*(CRDJ[Account Code]=(TRIM($B73))),CRDJ[Credit])))+(SUM(IF((GJ[Date]&lt;=$A$7)*(GJ[Account Code]=(TRIM($B73))),GJ[Credit]))))</f>
        <v>0</v>
      </c>
      <c r="E73" s="89"/>
    </row>
    <row r="74" spans="1:5">
      <c r="A74" s="320" t="s">
        <v>934</v>
      </c>
      <c r="B74" s="437" t="s">
        <v>243</v>
      </c>
      <c r="C74" s="89"/>
      <c r="D74" s="442">
        <f t="array" ref="D74">((SUM(IF((CkDJ[Date]&lt;=$A$7)*(CkDJ[Account Code]=(TRIM($B74))),CkDJ[Debit])))+(SUM(IF((CsDJ[Date]&lt;=$A$7)*(CsDJ[Account Code]=(TRIM($B74))),CsDJ[Debit])))+(SUM(IF((CRDJ[Date]&lt;=$A$7)*(CRDJ[Account Code]=(TRIM($B74))),CRDJ[Debit])))+(SUM(IF((GJ[Date]&lt;=$A$7)*(GJ[Account Code]=(TRIM($B74))),GJ[Debit]))))-((SUM(IF((CkDJ[Date]&lt;=$A$7)*(CkDJ[Account Code]=(TRIM($B74))),CkDJ[Credit])))+(SUM(IF((CsDJ[Date]&lt;=$A$7)*(CsDJ[Account Code]=(TRIM($B74))),CsDJ[Credit])))+(SUM(IF((CRDJ[Date]&lt;=$A$7)*(CRDJ[Account Code]=(TRIM($B74))),CRDJ[Credit])))+(SUM(IF((GJ[Date]&lt;=$A$7)*(GJ[Account Code]=(TRIM($B74))),GJ[Credit]))))</f>
        <v>0</v>
      </c>
      <c r="E74" s="89"/>
    </row>
    <row r="75" spans="1:5">
      <c r="A75" s="320" t="s">
        <v>1160</v>
      </c>
      <c r="B75" s="437" t="s">
        <v>234</v>
      </c>
      <c r="C75" s="89"/>
      <c r="D75" s="442">
        <f t="array" ref="D75">((SUM(IF((CkDJ[Date]&lt;=$A$7)*(CkDJ[Account Code]=(TRIM($B75))),CkDJ[Debit])))+(SUM(IF((CsDJ[Date]&lt;=$A$7)*(CsDJ[Account Code]=(TRIM($B75))),CsDJ[Debit])))+(SUM(IF((CRDJ[Date]&lt;=$A$7)*(CRDJ[Account Code]=(TRIM($B75))),CRDJ[Debit])))+(SUM(IF((GJ[Date]&lt;=$A$7)*(GJ[Account Code]=(TRIM($B75))),GJ[Debit]))))-((SUM(IF((CkDJ[Date]&lt;=$A$7)*(CkDJ[Account Code]=(TRIM($B75))),CkDJ[Credit])))+(SUM(IF((CsDJ[Date]&lt;=$A$7)*(CsDJ[Account Code]=(TRIM($B75))),CsDJ[Credit])))+(SUM(IF((CRDJ[Date]&lt;=$A$7)*(CRDJ[Account Code]=(TRIM($B75))),CRDJ[Credit])))+(SUM(IF((GJ[Date]&lt;=$A$7)*(GJ[Account Code]=(TRIM($B75))),GJ[Credit]))))</f>
        <v>0</v>
      </c>
      <c r="E75" s="89"/>
    </row>
    <row r="76" spans="1:5">
      <c r="A76" s="320" t="s">
        <v>936</v>
      </c>
      <c r="B76" s="437"/>
      <c r="C76" s="89"/>
      <c r="D76" s="442">
        <f t="array" ref="D76">((SUM(IF((CkDJ[Date]&lt;=$A$7)*(CkDJ[Account Code]=(TRIM($B76))),CkDJ[Debit])))+(SUM(IF((CsDJ[Date]&lt;=$A$7)*(CsDJ[Account Code]=(TRIM($B76))),CsDJ[Debit])))+(SUM(IF((CRDJ[Date]&lt;=$A$7)*(CRDJ[Account Code]=(TRIM($B76))),CRDJ[Debit])))+(SUM(IF((GJ[Date]&lt;=$A$7)*(GJ[Account Code]=(TRIM($B76))),GJ[Debit]))))-((SUM(IF((CkDJ[Date]&lt;=$A$7)*(CkDJ[Account Code]=(TRIM($B76))),CkDJ[Credit])))+(SUM(IF((CsDJ[Date]&lt;=$A$7)*(CsDJ[Account Code]=(TRIM($B76))),CsDJ[Credit])))+(SUM(IF((CRDJ[Date]&lt;=$A$7)*(CRDJ[Account Code]=(TRIM($B76))),CRDJ[Credit])))+(SUM(IF((GJ[Date]&lt;=$A$7)*(GJ[Account Code]=(TRIM($B76))),GJ[Credit]))))</f>
        <v>0</v>
      </c>
      <c r="E76" s="89"/>
    </row>
    <row r="77" spans="1:5">
      <c r="A77" s="320" t="s">
        <v>937</v>
      </c>
      <c r="B77" s="437" t="s">
        <v>339</v>
      </c>
      <c r="C77" s="89"/>
      <c r="D77" s="442">
        <f t="array" ref="D77">((SUM(IF((CkDJ[Date]&lt;=$A$7)*(CkDJ[Account Code]=(TRIM($B77))),CkDJ[Debit])))+(SUM(IF((CsDJ[Date]&lt;=$A$7)*(CsDJ[Account Code]=(TRIM($B77))),CsDJ[Debit])))+(SUM(IF((CRDJ[Date]&lt;=$A$7)*(CRDJ[Account Code]=(TRIM($B77))),CRDJ[Debit])))+(SUM(IF((GJ[Date]&lt;=$A$7)*(GJ[Account Code]=(TRIM($B77))),GJ[Debit]))))-((SUM(IF((CkDJ[Date]&lt;=$A$7)*(CkDJ[Account Code]=(TRIM($B77))),CkDJ[Credit])))+(SUM(IF((CsDJ[Date]&lt;=$A$7)*(CsDJ[Account Code]=(TRIM($B77))),CsDJ[Credit])))+(SUM(IF((CRDJ[Date]&lt;=$A$7)*(CRDJ[Account Code]=(TRIM($B77))),CRDJ[Credit])))+(SUM(IF((GJ[Date]&lt;=$A$7)*(GJ[Account Code]=(TRIM($B77))),GJ[Credit]))))</f>
        <v>0</v>
      </c>
      <c r="E77" s="89"/>
    </row>
    <row r="78" spans="1:5">
      <c r="A78" s="320" t="s">
        <v>1114</v>
      </c>
      <c r="B78" s="437"/>
      <c r="C78" s="89"/>
      <c r="D78" s="439">
        <f>SUM(D79:D86)</f>
        <v>0</v>
      </c>
      <c r="E78" s="89"/>
    </row>
    <row r="79" spans="1:5">
      <c r="A79" s="440" t="s">
        <v>1115</v>
      </c>
      <c r="B79" s="441" t="s">
        <v>246</v>
      </c>
      <c r="C79" s="89"/>
      <c r="D79" s="442">
        <f t="array" ref="D79">((SUM(IF((CkDJ[Date]&lt;=$A$7)*(CkDJ[Account Code]=(TRIM($B79))),CkDJ[Debit])))+(SUM(IF((CsDJ[Date]&lt;=$A$7)*(CsDJ[Account Code]=(TRIM($B79))),CsDJ[Debit])))+(SUM(IF((CRDJ[Date]&lt;=$A$7)*(CRDJ[Account Code]=(TRIM($B79))),CRDJ[Debit])))+(SUM(IF((GJ[Date]&lt;=$A$7)*(GJ[Account Code]=(TRIM($B79))),GJ[Debit]))))-((SUM(IF((CkDJ[Date]&lt;=$A$7)*(CkDJ[Account Code]=(TRIM($B79))),CkDJ[Credit])))+(SUM(IF((CsDJ[Date]&lt;=$A$7)*(CsDJ[Account Code]=(TRIM($B79))),CsDJ[Credit])))+(SUM(IF((CRDJ[Date]&lt;=$A$7)*(CRDJ[Account Code]=(TRIM($B79))),CRDJ[Credit])))+(SUM(IF((GJ[Date]&lt;=$A$7)*(GJ[Account Code]=(TRIM($B79))),GJ[Credit]))))</f>
        <v>0</v>
      </c>
      <c r="E79" s="89"/>
    </row>
    <row r="80" spans="1:5">
      <c r="A80" s="440" t="s">
        <v>941</v>
      </c>
      <c r="B80" s="441" t="s">
        <v>222</v>
      </c>
      <c r="C80" s="89"/>
      <c r="D80" s="442">
        <f t="array" ref="D80">((SUM(IF((CkDJ[Date]&lt;=$A$7)*(CkDJ[Account Code]=(TRIM($B80))),CkDJ[Debit])))+(SUM(IF((CsDJ[Date]&lt;=$A$7)*(CsDJ[Account Code]=(TRIM($B80))),CsDJ[Debit])))+(SUM(IF((CRDJ[Date]&lt;=$A$7)*(CRDJ[Account Code]=(TRIM($B80))),CRDJ[Debit])))+(SUM(IF((GJ[Date]&lt;=$A$7)*(GJ[Account Code]=(TRIM($B80))),GJ[Debit]))))-((SUM(IF((CkDJ[Date]&lt;=$A$7)*(CkDJ[Account Code]=(TRIM($B80))),CkDJ[Credit])))+(SUM(IF((CsDJ[Date]&lt;=$A$7)*(CsDJ[Account Code]=(TRIM($B80))),CsDJ[Credit])))+(SUM(IF((CRDJ[Date]&lt;=$A$7)*(CRDJ[Account Code]=(TRIM($B80))),CRDJ[Credit])))+(SUM(IF((GJ[Date]&lt;=$A$7)*(GJ[Account Code]=(TRIM($B80))),GJ[Credit]))))</f>
        <v>0</v>
      </c>
      <c r="E80" s="89"/>
    </row>
    <row r="81" spans="1:5">
      <c r="A81" s="440" t="s">
        <v>942</v>
      </c>
      <c r="B81" s="441" t="s">
        <v>247</v>
      </c>
      <c r="C81" s="89"/>
      <c r="D81" s="442">
        <f t="array" ref="D81">((SUM(IF((CkDJ[Date]&lt;=$A$7)*(CkDJ[Account Code]=(TRIM($B81))),CkDJ[Debit])))+(SUM(IF((CsDJ[Date]&lt;=$A$7)*(CsDJ[Account Code]=(TRIM($B81))),CsDJ[Debit])))+(SUM(IF((CRDJ[Date]&lt;=$A$7)*(CRDJ[Account Code]=(TRIM($B81))),CRDJ[Debit])))+(SUM(IF((GJ[Date]&lt;=$A$7)*(GJ[Account Code]=(TRIM($B81))),GJ[Debit]))))-((SUM(IF((CkDJ[Date]&lt;=$A$7)*(CkDJ[Account Code]=(TRIM($B81))),CkDJ[Credit])))+(SUM(IF((CsDJ[Date]&lt;=$A$7)*(CsDJ[Account Code]=(TRIM($B81))),CsDJ[Credit])))+(SUM(IF((CRDJ[Date]&lt;=$A$7)*(CRDJ[Account Code]=(TRIM($B81))),CRDJ[Credit])))+(SUM(IF((GJ[Date]&lt;=$A$7)*(GJ[Account Code]=(TRIM($B81))),GJ[Credit]))))</f>
        <v>0</v>
      </c>
      <c r="E81" s="89"/>
    </row>
    <row r="82" spans="1:5">
      <c r="A82" s="440" t="s">
        <v>1116</v>
      </c>
      <c r="B82" s="441" t="s">
        <v>799</v>
      </c>
      <c r="C82" s="89"/>
      <c r="D82" s="442">
        <f t="array" ref="D82">((SUM(IF((CkDJ[Date]&lt;=$A$7)*(CkDJ[Account Code]=(TRIM($B82))),CkDJ[Debit])))+(SUM(IF((CsDJ[Date]&lt;=$A$7)*(CsDJ[Account Code]=(TRIM($B82))),CsDJ[Debit])))+(SUM(IF((CRDJ[Date]&lt;=$A$7)*(CRDJ[Account Code]=(TRIM($B82))),CRDJ[Debit])))+(SUM(IF((GJ[Date]&lt;=$A$7)*(GJ[Account Code]=(TRIM($B82))),GJ[Debit]))))-((SUM(IF((CkDJ[Date]&lt;=$A$7)*(CkDJ[Account Code]=(TRIM($B82))),CkDJ[Credit])))+(SUM(IF((CsDJ[Date]&lt;=$A$7)*(CsDJ[Account Code]=(TRIM($B82))),CsDJ[Credit])))+(SUM(IF((CRDJ[Date]&lt;=$A$7)*(CRDJ[Account Code]=(TRIM($B82))),CRDJ[Credit])))+(SUM(IF((GJ[Date]&lt;=$A$7)*(GJ[Account Code]=(TRIM($B82))),GJ[Credit]))))</f>
        <v>0</v>
      </c>
      <c r="E82" s="89"/>
    </row>
    <row r="83" spans="1:5">
      <c r="A83" s="440" t="s">
        <v>944</v>
      </c>
      <c r="B83" s="441" t="s">
        <v>799</v>
      </c>
      <c r="C83" s="89"/>
      <c r="D83" s="442">
        <f t="array" ref="D83">((SUM(IF((CkDJ[Date]&lt;=$A$7)*(CkDJ[Account Code]=(TRIM($B83))),CkDJ[Debit])))+(SUM(IF((CsDJ[Date]&lt;=$A$7)*(CsDJ[Account Code]=(TRIM($B83))),CsDJ[Debit])))+(SUM(IF((CRDJ[Date]&lt;=$A$7)*(CRDJ[Account Code]=(TRIM($B83))),CRDJ[Debit])))+(SUM(IF((GJ[Date]&lt;=$A$7)*(GJ[Account Code]=(TRIM($B83))),GJ[Debit]))))-((SUM(IF((CkDJ[Date]&lt;=$A$7)*(CkDJ[Account Code]=(TRIM($B83))),CkDJ[Credit])))+(SUM(IF((CsDJ[Date]&lt;=$A$7)*(CsDJ[Account Code]=(TRIM($B83))),CsDJ[Credit])))+(SUM(IF((CRDJ[Date]&lt;=$A$7)*(CRDJ[Account Code]=(TRIM($B83))),CRDJ[Credit])))+(SUM(IF((GJ[Date]&lt;=$A$7)*(GJ[Account Code]=(TRIM($B83))),GJ[Credit]))))</f>
        <v>0</v>
      </c>
      <c r="E83" s="89"/>
    </row>
    <row r="84" spans="1:5">
      <c r="A84" s="440" t="s">
        <v>1117</v>
      </c>
      <c r="B84" s="441" t="s">
        <v>249</v>
      </c>
      <c r="C84" s="89"/>
      <c r="D84" s="442">
        <f t="array" ref="D84">((SUM(IF((CkDJ[Date]&lt;=$A$7)*(CkDJ[Account Code]=(TRIM($B84))),CkDJ[Debit])))+(SUM(IF((CsDJ[Date]&lt;=$A$7)*(CsDJ[Account Code]=(TRIM($B84))),CsDJ[Debit])))+(SUM(IF((CRDJ[Date]&lt;=$A$7)*(CRDJ[Account Code]=(TRIM($B84))),CRDJ[Debit])))+(SUM(IF((GJ[Date]&lt;=$A$7)*(GJ[Account Code]=(TRIM($B84))),GJ[Debit]))))-((SUM(IF((CkDJ[Date]&lt;=$A$7)*(CkDJ[Account Code]=(TRIM($B84))),CkDJ[Credit])))+(SUM(IF((CsDJ[Date]&lt;=$A$7)*(CsDJ[Account Code]=(TRIM($B84))),CsDJ[Credit])))+(SUM(IF((CRDJ[Date]&lt;=$A$7)*(CRDJ[Account Code]=(TRIM($B84))),CRDJ[Credit])))+(SUM(IF((GJ[Date]&lt;=$A$7)*(GJ[Account Code]=(TRIM($B84))),GJ[Credit]))))</f>
        <v>0</v>
      </c>
      <c r="E84" s="89"/>
    </row>
    <row r="85" spans="1:5">
      <c r="A85" s="440" t="s">
        <v>946</v>
      </c>
      <c r="B85" s="441" t="s">
        <v>799</v>
      </c>
      <c r="C85" s="89"/>
      <c r="D85" s="442">
        <f t="array" ref="D85">((SUM(IF((CkDJ[Date]&lt;=$A$7)*(CkDJ[Account Code]=(TRIM($B85))),CkDJ[Debit])))+(SUM(IF((CsDJ[Date]&lt;=$A$7)*(CsDJ[Account Code]=(TRIM($B85))),CsDJ[Debit])))+(SUM(IF((CRDJ[Date]&lt;=$A$7)*(CRDJ[Account Code]=(TRIM($B85))),CRDJ[Debit])))+(SUM(IF((GJ[Date]&lt;=$A$7)*(GJ[Account Code]=(TRIM($B85))),GJ[Debit]))))-((SUM(IF((CkDJ[Date]&lt;=$A$7)*(CkDJ[Account Code]=(TRIM($B85))),CkDJ[Credit])))+(SUM(IF((CsDJ[Date]&lt;=$A$7)*(CsDJ[Account Code]=(TRIM($B85))),CsDJ[Credit])))+(SUM(IF((CRDJ[Date]&lt;=$A$7)*(CRDJ[Account Code]=(TRIM($B85))),CRDJ[Credit])))+(SUM(IF((GJ[Date]&lt;=$A$7)*(GJ[Account Code]=(TRIM($B85))),GJ[Credit]))))</f>
        <v>0</v>
      </c>
      <c r="E85" s="89"/>
    </row>
    <row r="86" spans="1:5">
      <c r="A86" s="440" t="s">
        <v>1118</v>
      </c>
      <c r="B86" s="441" t="s">
        <v>250</v>
      </c>
      <c r="C86" s="89"/>
      <c r="D86" s="442">
        <f t="array" ref="D86">((SUM(IF((CkDJ[Date]&lt;=$A$7)*(CkDJ[Account Code]=(TRIM($B86))),CkDJ[Debit])))+(SUM(IF((CsDJ[Date]&lt;=$A$7)*(CsDJ[Account Code]=(TRIM($B86))),CsDJ[Debit])))+(SUM(IF((CRDJ[Date]&lt;=$A$7)*(CRDJ[Account Code]=(TRIM($B86))),CRDJ[Debit])))+(SUM(IF((GJ[Date]&lt;=$A$7)*(GJ[Account Code]=(TRIM($B86))),GJ[Debit]))))-((SUM(IF((CkDJ[Date]&lt;=$A$7)*(CkDJ[Account Code]=(TRIM($B86))),CkDJ[Credit])))+(SUM(IF((CsDJ[Date]&lt;=$A$7)*(CsDJ[Account Code]=(TRIM($B86))),CsDJ[Credit])))+(SUM(IF((CRDJ[Date]&lt;=$A$7)*(CRDJ[Account Code]=(TRIM($B86))),CRDJ[Credit])))+(SUM(IF((GJ[Date]&lt;=$A$7)*(GJ[Account Code]=(TRIM($B86))),GJ[Credit]))))</f>
        <v>0</v>
      </c>
      <c r="E86" s="89"/>
    </row>
    <row r="87" spans="1:5">
      <c r="A87" s="320" t="s">
        <v>1119</v>
      </c>
      <c r="B87" s="437"/>
      <c r="C87" s="89"/>
      <c r="D87" s="439">
        <f>SUM(D88:D96)</f>
        <v>0</v>
      </c>
      <c r="E87" s="89"/>
    </row>
    <row r="88" spans="1:5">
      <c r="A88" s="440" t="s">
        <v>1148</v>
      </c>
      <c r="B88" s="441" t="s">
        <v>251</v>
      </c>
      <c r="C88" s="89"/>
      <c r="D88" s="442">
        <f t="array" ref="D88">((SUM(IF((CkDJ[Date]&lt;=$A$7)*(CkDJ[Account Code]=(TRIM($B88))),CkDJ[Debit])))+(SUM(IF((CsDJ[Date]&lt;=$A$7)*(CsDJ[Account Code]=(TRIM($B88))),CsDJ[Debit])))+(SUM(IF((CRDJ[Date]&lt;=$A$7)*(CRDJ[Account Code]=(TRIM($B88))),CRDJ[Debit])))+(SUM(IF((GJ[Date]&lt;=$A$7)*(GJ[Account Code]=(TRIM($B88))),GJ[Debit]))))-((SUM(IF((CkDJ[Date]&lt;=$A$7)*(CkDJ[Account Code]=(TRIM($B88))),CkDJ[Credit])))+(SUM(IF((CsDJ[Date]&lt;=$A$7)*(CsDJ[Account Code]=(TRIM($B88))),CsDJ[Credit])))+(SUM(IF((CRDJ[Date]&lt;=$A$7)*(CRDJ[Account Code]=(TRIM($B88))),CRDJ[Credit])))+(SUM(IF((GJ[Date]&lt;=$A$7)*(GJ[Account Code]=(TRIM($B88))),GJ[Credit]))))</f>
        <v>0</v>
      </c>
      <c r="E88" s="89"/>
    </row>
    <row r="89" spans="1:5">
      <c r="A89" s="440" t="s">
        <v>1149</v>
      </c>
      <c r="B89" s="441" t="s">
        <v>253</v>
      </c>
      <c r="C89" s="89"/>
      <c r="D89" s="442">
        <f t="array" ref="D89">((SUM(IF((CkDJ[Date]&lt;=$A$7)*(CkDJ[Account Code]=(TRIM($B89))),CkDJ[Debit])))+(SUM(IF((CsDJ[Date]&lt;=$A$7)*(CsDJ[Account Code]=(TRIM($B89))),CsDJ[Debit])))+(SUM(IF((CRDJ[Date]&lt;=$A$7)*(CRDJ[Account Code]=(TRIM($B89))),CRDJ[Debit])))+(SUM(IF((GJ[Date]&lt;=$A$7)*(GJ[Account Code]=(TRIM($B89))),GJ[Debit]))))-((SUM(IF((CkDJ[Date]&lt;=$A$7)*(CkDJ[Account Code]=(TRIM($B89))),CkDJ[Credit])))+(SUM(IF((CsDJ[Date]&lt;=$A$7)*(CsDJ[Account Code]=(TRIM($B89))),CsDJ[Credit])))+(SUM(IF((CRDJ[Date]&lt;=$A$7)*(CRDJ[Account Code]=(TRIM($B89))),CRDJ[Credit])))+(SUM(IF((GJ[Date]&lt;=$A$7)*(GJ[Account Code]=(TRIM($B89))),GJ[Credit]))))</f>
        <v>0</v>
      </c>
      <c r="E89" s="89"/>
    </row>
    <row r="90" spans="1:5">
      <c r="A90" s="440" t="s">
        <v>1150</v>
      </c>
      <c r="B90" s="441" t="s">
        <v>256</v>
      </c>
      <c r="C90" s="89"/>
      <c r="D90" s="442">
        <f t="array" ref="D90">((SUM(IF((CkDJ[Date]&lt;=$A$7)*(CkDJ[Account Code]=(TRIM($B90))),CkDJ[Debit])))+(SUM(IF((CsDJ[Date]&lt;=$A$7)*(CsDJ[Account Code]=(TRIM($B90))),CsDJ[Debit])))+(SUM(IF((CRDJ[Date]&lt;=$A$7)*(CRDJ[Account Code]=(TRIM($B90))),CRDJ[Debit])))+(SUM(IF((GJ[Date]&lt;=$A$7)*(GJ[Account Code]=(TRIM($B90))),GJ[Debit]))))-((SUM(IF((CkDJ[Date]&lt;=$A$7)*(CkDJ[Account Code]=(TRIM($B90))),CkDJ[Credit])))+(SUM(IF((CsDJ[Date]&lt;=$A$7)*(CsDJ[Account Code]=(TRIM($B90))),CsDJ[Credit])))+(SUM(IF((CRDJ[Date]&lt;=$A$7)*(CRDJ[Account Code]=(TRIM($B90))),CRDJ[Credit])))+(SUM(IF((GJ[Date]&lt;=$A$7)*(GJ[Account Code]=(TRIM($B90))),GJ[Credit]))))</f>
        <v>0</v>
      </c>
      <c r="E90" s="89"/>
    </row>
    <row r="91" spans="1:5">
      <c r="A91" s="440" t="s">
        <v>1151</v>
      </c>
      <c r="B91" s="441" t="s">
        <v>264</v>
      </c>
      <c r="C91" s="89"/>
      <c r="D91" s="442">
        <f t="array" ref="D91">((SUM(IF((CkDJ[Date]&lt;=$A$7)*(CkDJ[Account Code]=(TRIM($B91))),CkDJ[Debit])))+(SUM(IF((CsDJ[Date]&lt;=$A$7)*(CsDJ[Account Code]=(TRIM($B91))),CsDJ[Debit])))+(SUM(IF((CRDJ[Date]&lt;=$A$7)*(CRDJ[Account Code]=(TRIM($B91))),CRDJ[Debit])))+(SUM(IF((GJ[Date]&lt;=$A$7)*(GJ[Account Code]=(TRIM($B91))),GJ[Debit]))))-((SUM(IF((CkDJ[Date]&lt;=$A$7)*(CkDJ[Account Code]=(TRIM($B91))),CkDJ[Credit])))+(SUM(IF((CsDJ[Date]&lt;=$A$7)*(CsDJ[Account Code]=(TRIM($B91))),CsDJ[Credit])))+(SUM(IF((CRDJ[Date]&lt;=$A$7)*(CRDJ[Account Code]=(TRIM($B91))),CRDJ[Credit])))+(SUM(IF((GJ[Date]&lt;=$A$7)*(GJ[Account Code]=(TRIM($B91))),GJ[Credit]))))</f>
        <v>0</v>
      </c>
      <c r="E91" s="89"/>
    </row>
    <row r="92" spans="1:5">
      <c r="A92" s="440" t="s">
        <v>1152</v>
      </c>
      <c r="B92" s="441" t="s">
        <v>265</v>
      </c>
      <c r="C92" s="89"/>
      <c r="D92" s="442">
        <f t="array" ref="D92">((SUM(IF((CkDJ[Date]&lt;=$A$7)*(CkDJ[Account Code]=(TRIM($B92))),CkDJ[Debit])))+(SUM(IF((CsDJ[Date]&lt;=$A$7)*(CsDJ[Account Code]=(TRIM($B92))),CsDJ[Debit])))+(SUM(IF((CRDJ[Date]&lt;=$A$7)*(CRDJ[Account Code]=(TRIM($B92))),CRDJ[Debit])))+(SUM(IF((GJ[Date]&lt;=$A$7)*(GJ[Account Code]=(TRIM($B92))),GJ[Debit]))))-((SUM(IF((CkDJ[Date]&lt;=$A$7)*(CkDJ[Account Code]=(TRIM($B92))),CkDJ[Credit])))+(SUM(IF((CsDJ[Date]&lt;=$A$7)*(CsDJ[Account Code]=(TRIM($B92))),CsDJ[Credit])))+(SUM(IF((CRDJ[Date]&lt;=$A$7)*(CRDJ[Account Code]=(TRIM($B92))),CRDJ[Credit])))+(SUM(IF((GJ[Date]&lt;=$A$7)*(GJ[Account Code]=(TRIM($B92))),GJ[Credit]))))</f>
        <v>0</v>
      </c>
      <c r="E92" s="89"/>
    </row>
    <row r="93" spans="1:5">
      <c r="A93" s="440" t="s">
        <v>1153</v>
      </c>
      <c r="B93" s="441" t="s">
        <v>267</v>
      </c>
      <c r="C93" s="89"/>
      <c r="D93" s="442">
        <f t="array" ref="D93">((SUM(IF((CkDJ[Date]&lt;=$A$7)*(CkDJ[Account Code]=(TRIM($B93))),CkDJ[Debit])))+(SUM(IF((CsDJ[Date]&lt;=$A$7)*(CsDJ[Account Code]=(TRIM($B93))),CsDJ[Debit])))+(SUM(IF((CRDJ[Date]&lt;=$A$7)*(CRDJ[Account Code]=(TRIM($B93))),CRDJ[Debit])))+(SUM(IF((GJ[Date]&lt;=$A$7)*(GJ[Account Code]=(TRIM($B93))),GJ[Debit]))))-((SUM(IF((CkDJ[Date]&lt;=$A$7)*(CkDJ[Account Code]=(TRIM($B93))),CkDJ[Credit])))+(SUM(IF((CsDJ[Date]&lt;=$A$7)*(CsDJ[Account Code]=(TRIM($B93))),CsDJ[Credit])))+(SUM(IF((CRDJ[Date]&lt;=$A$7)*(CRDJ[Account Code]=(TRIM($B93))),CRDJ[Credit])))+(SUM(IF((GJ[Date]&lt;=$A$7)*(GJ[Account Code]=(TRIM($B93))),GJ[Credit]))))</f>
        <v>0</v>
      </c>
      <c r="E93" s="89"/>
    </row>
    <row r="94" spans="1:5">
      <c r="A94" s="440" t="s">
        <v>1154</v>
      </c>
      <c r="B94" s="441" t="s">
        <v>258</v>
      </c>
      <c r="C94" s="89"/>
      <c r="D94" s="442">
        <f t="array" ref="D94">((SUM(IF((CkDJ[Date]&lt;=$A$7)*(CkDJ[Account Code]=(TRIM($B94))),CkDJ[Debit])))+(SUM(IF((CsDJ[Date]&lt;=$A$7)*(CsDJ[Account Code]=(TRIM($B94))),CsDJ[Debit])))+(SUM(IF((CRDJ[Date]&lt;=$A$7)*(CRDJ[Account Code]=(TRIM($B94))),CRDJ[Debit])))+(SUM(IF((GJ[Date]&lt;=$A$7)*(GJ[Account Code]=(TRIM($B94))),GJ[Debit]))))-((SUM(IF((CkDJ[Date]&lt;=$A$7)*(CkDJ[Account Code]=(TRIM($B94))),CkDJ[Credit])))+(SUM(IF((CsDJ[Date]&lt;=$A$7)*(CsDJ[Account Code]=(TRIM($B94))),CsDJ[Credit])))+(SUM(IF((CRDJ[Date]&lt;=$A$7)*(CRDJ[Account Code]=(TRIM($B94))),CRDJ[Credit])))+(SUM(IF((GJ[Date]&lt;=$A$7)*(GJ[Account Code]=(TRIM($B94))),GJ[Credit]))))</f>
        <v>0</v>
      </c>
      <c r="E94" s="89"/>
    </row>
    <row r="95" spans="1:5">
      <c r="A95" s="440" t="s">
        <v>1155</v>
      </c>
      <c r="B95" s="441" t="s">
        <v>261</v>
      </c>
      <c r="C95" s="89"/>
      <c r="D95" s="442">
        <f t="array" ref="D95">((SUM(IF((CkDJ[Date]&lt;=$A$7)*(CkDJ[Account Code]=(TRIM($B95))),CkDJ[Debit])))+(SUM(IF((CsDJ[Date]&lt;=$A$7)*(CsDJ[Account Code]=(TRIM($B95))),CsDJ[Debit])))+(SUM(IF((CRDJ[Date]&lt;=$A$7)*(CRDJ[Account Code]=(TRIM($B95))),CRDJ[Debit])))+(SUM(IF((GJ[Date]&lt;=$A$7)*(GJ[Account Code]=(TRIM($B95))),GJ[Debit]))))-((SUM(IF((CkDJ[Date]&lt;=$A$7)*(CkDJ[Account Code]=(TRIM($B95))),CkDJ[Credit])))+(SUM(IF((CsDJ[Date]&lt;=$A$7)*(CsDJ[Account Code]=(TRIM($B95))),CsDJ[Credit])))+(SUM(IF((CRDJ[Date]&lt;=$A$7)*(CRDJ[Account Code]=(TRIM($B95))),CRDJ[Credit])))+(SUM(IF((GJ[Date]&lt;=$A$7)*(GJ[Account Code]=(TRIM($B95))),GJ[Credit]))))</f>
        <v>0</v>
      </c>
      <c r="E95" s="89"/>
    </row>
    <row r="96" spans="1:5">
      <c r="A96" s="440" t="s">
        <v>1156</v>
      </c>
      <c r="B96" s="441" t="s">
        <v>262</v>
      </c>
      <c r="C96" s="89"/>
      <c r="D96" s="442">
        <f t="array" ref="D96">((SUM(IF((CkDJ[Date]&lt;=$A$7)*(CkDJ[Account Code]=(TRIM($B96))),CkDJ[Debit])))+(SUM(IF((CsDJ[Date]&lt;=$A$7)*(CsDJ[Account Code]=(TRIM($B96))),CsDJ[Debit])))+(SUM(IF((CRDJ[Date]&lt;=$A$7)*(CRDJ[Account Code]=(TRIM($B96))),CRDJ[Debit])))+(SUM(IF((GJ[Date]&lt;=$A$7)*(GJ[Account Code]=(TRIM($B96))),GJ[Debit]))))-((SUM(IF((CkDJ[Date]&lt;=$A$7)*(CkDJ[Account Code]=(TRIM($B96))),CkDJ[Credit])))+(SUM(IF((CsDJ[Date]&lt;=$A$7)*(CsDJ[Account Code]=(TRIM($B96))),CsDJ[Credit])))+(SUM(IF((CRDJ[Date]&lt;=$A$7)*(CRDJ[Account Code]=(TRIM($B96))),CRDJ[Credit])))+(SUM(IF((GJ[Date]&lt;=$A$7)*(GJ[Account Code]=(TRIM($B96))),GJ[Credit]))))</f>
        <v>0</v>
      </c>
      <c r="E96" s="89"/>
    </row>
    <row r="97" spans="1:5">
      <c r="A97" s="452" t="s">
        <v>1120</v>
      </c>
      <c r="B97" s="437" t="s">
        <v>269</v>
      </c>
      <c r="C97" s="89"/>
      <c r="D97" s="442">
        <f t="array" ref="D97">((SUM(IF((CkDJ[Date]&lt;=$A$7)*(CkDJ[Account Code]=(TRIM($B97))),CkDJ[Debit])))+(SUM(IF((CsDJ[Date]&lt;=$A$7)*(CsDJ[Account Code]=(TRIM($B97))),CsDJ[Debit])))+(SUM(IF((CRDJ[Date]&lt;=$A$7)*(CRDJ[Account Code]=(TRIM($B97))),CRDJ[Debit])))+(SUM(IF((GJ[Date]&lt;=$A$7)*(GJ[Account Code]=(TRIM($B97))),GJ[Debit]))))-((SUM(IF((CkDJ[Date]&lt;=$A$7)*(CkDJ[Account Code]=(TRIM($B97))),CkDJ[Credit])))+(SUM(IF((CsDJ[Date]&lt;=$A$7)*(CsDJ[Account Code]=(TRIM($B97))),CsDJ[Credit])))+(SUM(IF((CRDJ[Date]&lt;=$A$7)*(CRDJ[Account Code]=(TRIM($B97))),CRDJ[Credit])))+(SUM(IF((GJ[Date]&lt;=$A$7)*(GJ[Account Code]=(TRIM($B97))),GJ[Credit]))))</f>
        <v>0</v>
      </c>
      <c r="E97" s="89"/>
    </row>
    <row r="98" spans="1:5">
      <c r="A98" s="452" t="s">
        <v>1121</v>
      </c>
      <c r="B98" s="437"/>
      <c r="C98" s="89"/>
      <c r="D98" s="439">
        <f>SUM(D99:D104)</f>
        <v>40921322.340000004</v>
      </c>
      <c r="E98" s="89"/>
    </row>
    <row r="99" spans="1:5">
      <c r="A99" s="440" t="s">
        <v>1122</v>
      </c>
      <c r="B99" s="441" t="s">
        <v>989</v>
      </c>
      <c r="C99" s="89"/>
      <c r="D99" s="442">
        <f t="array" ref="D99">((SUM(IF((CkDJ[Date]&lt;=$A$7)*(CkDJ[Account Code]=(TRIM($B99))),CkDJ[Debit])))+(SUM(IF((CsDJ[Date]&lt;=$A$7)*(CsDJ[Account Code]=(TRIM($B99))),CsDJ[Debit])))+(SUM(IF((CRDJ[Date]&lt;=$A$7)*(CRDJ[Account Code]=(TRIM($B99))),CRDJ[Debit])))+(SUM(IF((GJ[Date]&lt;=$A$7)*(GJ[Account Code]=(TRIM($B99))),GJ[Debit]))))-((SUM(IF((CkDJ[Date]&lt;=$A$7)*(CkDJ[Account Code]=(TRIM($B99))),CkDJ[Credit])))+(SUM(IF((CsDJ[Date]&lt;=$A$7)*(CsDJ[Account Code]=(TRIM($B99))),CsDJ[Credit])))+(SUM(IF((CRDJ[Date]&lt;=$A$7)*(CRDJ[Account Code]=(TRIM($B99))),CRDJ[Credit])))+(SUM(IF((GJ[Date]&lt;=$A$7)*(GJ[Account Code]=(TRIM($B99))),GJ[Credit]))))</f>
        <v>0</v>
      </c>
      <c r="E99" s="89"/>
    </row>
    <row r="100" spans="1:5">
      <c r="A100" s="440" t="s">
        <v>1123</v>
      </c>
      <c r="B100" s="441" t="s">
        <v>271</v>
      </c>
      <c r="C100" s="89"/>
      <c r="D100" s="442">
        <f t="array" ref="D100">((SUM(IF((CkDJ[Date]&lt;=$A$7)*(CkDJ[Account Code]=(TRIM($B100))),CkDJ[Debit])))+(SUM(IF((CsDJ[Date]&lt;=$A$7)*(CsDJ[Account Code]=(TRIM($B100))),CsDJ[Debit])))+(SUM(IF((CRDJ[Date]&lt;=$A$7)*(CRDJ[Account Code]=(TRIM($B100))),CRDJ[Debit])))+(SUM(IF((GJ[Date]&lt;=$A$7)*(GJ[Account Code]=(TRIM($B100))),GJ[Debit]))))-((SUM(IF((CkDJ[Date]&lt;=$A$7)*(CkDJ[Account Code]=(TRIM($B100))),CkDJ[Credit])))+(SUM(IF((CsDJ[Date]&lt;=$A$7)*(CsDJ[Account Code]=(TRIM($B100))),CsDJ[Credit])))+(SUM(IF((CRDJ[Date]&lt;=$A$7)*(CRDJ[Account Code]=(TRIM($B100))),CRDJ[Credit])))+(SUM(IF((GJ[Date]&lt;=$A$7)*(GJ[Account Code]=(TRIM($B100))),GJ[Credit]))))</f>
        <v>0</v>
      </c>
      <c r="E100" s="89"/>
    </row>
    <row r="101" spans="1:5">
      <c r="A101" s="440" t="s">
        <v>1124</v>
      </c>
      <c r="B101" s="441" t="s">
        <v>331</v>
      </c>
      <c r="C101" s="89"/>
      <c r="D101" s="464">
        <f>31292796.82+9628525.52</f>
        <v>40921322.340000004</v>
      </c>
      <c r="E101" s="89"/>
    </row>
    <row r="102" spans="1:5">
      <c r="A102" s="440" t="s">
        <v>1125</v>
      </c>
      <c r="B102" s="441"/>
      <c r="C102" s="89"/>
      <c r="D102" s="438">
        <v>0</v>
      </c>
      <c r="E102" s="89"/>
    </row>
    <row r="103" spans="1:5">
      <c r="A103" s="440" t="s">
        <v>1126</v>
      </c>
      <c r="B103" s="441" t="s">
        <v>987</v>
      </c>
      <c r="C103" s="89"/>
      <c r="D103" s="442">
        <f t="array" ref="D103">((SUM(IF((CkDJ[Date]&lt;=$A$7)*(CkDJ[Account Code]=(TRIM($B103))),CkDJ[Debit])))+(SUM(IF((CsDJ[Date]&lt;=$A$7)*(CsDJ[Account Code]=(TRIM($B103))),CsDJ[Debit])))+(SUM(IF((CRDJ[Date]&lt;=$A$7)*(CRDJ[Account Code]=(TRIM($B103))),CRDJ[Debit])))+(SUM(IF((GJ[Date]&lt;=$A$7)*(GJ[Account Code]=(TRIM($B103))),GJ[Debit]))))-((SUM(IF((CkDJ[Date]&lt;=$A$7)*(CkDJ[Account Code]=(TRIM($B103))),CkDJ[Credit])))+(SUM(IF((CsDJ[Date]&lt;=$A$7)*(CsDJ[Account Code]=(TRIM($B103))),CsDJ[Credit])))+(SUM(IF((CRDJ[Date]&lt;=$A$7)*(CRDJ[Account Code]=(TRIM($B103))),CRDJ[Credit])))+(SUM(IF((GJ[Date]&lt;=$A$7)*(GJ[Account Code]=(TRIM($B103))),GJ[Credit]))))</f>
        <v>0</v>
      </c>
      <c r="E103" s="89"/>
    </row>
    <row r="104" spans="1:5">
      <c r="A104" s="440" t="s">
        <v>1127</v>
      </c>
      <c r="B104" s="441" t="s">
        <v>799</v>
      </c>
      <c r="C104" s="89"/>
      <c r="D104" s="438"/>
      <c r="E104" s="89"/>
    </row>
    <row r="105" spans="1:5">
      <c r="A105" s="453" t="s">
        <v>1128</v>
      </c>
      <c r="B105" s="454"/>
      <c r="C105" s="89"/>
      <c r="D105" s="442">
        <f>SUM(D106:D108)</f>
        <v>0</v>
      </c>
      <c r="E105" s="89"/>
    </row>
    <row r="106" spans="1:5">
      <c r="A106" s="440" t="s">
        <v>960</v>
      </c>
      <c r="B106" s="441" t="s">
        <v>272</v>
      </c>
      <c r="C106" s="89"/>
      <c r="D106" s="442">
        <f t="array" ref="D106">((SUM(IF((CkDJ[Date]&lt;=$A$7)*(CkDJ[Account Code]=(TRIM($B106))),CkDJ[Debit])))+(SUM(IF((CsDJ[Date]&lt;=$A$7)*(CsDJ[Account Code]=(TRIM($B106))),CsDJ[Debit])))+(SUM(IF((CRDJ[Date]&lt;=$A$7)*(CRDJ[Account Code]=(TRIM($B106))),CRDJ[Debit])))+(SUM(IF((GJ[Date]&lt;=$A$7)*(GJ[Account Code]=(TRIM($B106))),GJ[Debit]))))-((SUM(IF((CkDJ[Date]&lt;=$A$7)*(CkDJ[Account Code]=(TRIM($B106))),CkDJ[Credit])))+(SUM(IF((CsDJ[Date]&lt;=$A$7)*(CsDJ[Account Code]=(TRIM($B106))),CsDJ[Credit])))+(SUM(IF((CRDJ[Date]&lt;=$A$7)*(CRDJ[Account Code]=(TRIM($B106))),CRDJ[Credit])))+(SUM(IF((GJ[Date]&lt;=$A$7)*(GJ[Account Code]=(TRIM($B106))),GJ[Credit]))))</f>
        <v>0</v>
      </c>
      <c r="E106" s="89"/>
    </row>
    <row r="107" spans="1:5">
      <c r="A107" s="440" t="s">
        <v>961</v>
      </c>
      <c r="B107" s="441" t="s">
        <v>273</v>
      </c>
      <c r="C107" s="89"/>
      <c r="D107" s="442">
        <f t="array" ref="D107">((SUM(IF((CkDJ[Date]&lt;=$A$7)*(CkDJ[Account Code]=(TRIM($B107))),CkDJ[Debit])))+(SUM(IF((CsDJ[Date]&lt;=$A$7)*(CsDJ[Account Code]=(TRIM($B107))),CsDJ[Debit])))+(SUM(IF((CRDJ[Date]&lt;=$A$7)*(CRDJ[Account Code]=(TRIM($B107))),CRDJ[Debit])))+(SUM(IF((GJ[Date]&lt;=$A$7)*(GJ[Account Code]=(TRIM($B107))),GJ[Debit]))))-((SUM(IF((CkDJ[Date]&lt;=$A$7)*(CkDJ[Account Code]=(TRIM($B107))),CkDJ[Credit])))+(SUM(IF((CsDJ[Date]&lt;=$A$7)*(CsDJ[Account Code]=(TRIM($B107))),CsDJ[Credit])))+(SUM(IF((CRDJ[Date]&lt;=$A$7)*(CRDJ[Account Code]=(TRIM($B107))),CRDJ[Credit])))+(SUM(IF((GJ[Date]&lt;=$A$7)*(GJ[Account Code]=(TRIM($B107))),GJ[Credit]))))</f>
        <v>0</v>
      </c>
      <c r="E107" s="89"/>
    </row>
    <row r="108" spans="1:5">
      <c r="A108" s="440" t="s">
        <v>962</v>
      </c>
      <c r="B108" s="441" t="s">
        <v>274</v>
      </c>
      <c r="C108" s="89"/>
      <c r="D108" s="442">
        <f t="array" ref="D108">((SUM(IF((CkDJ[Date]&lt;=$A$7)*(CkDJ[Account Code]=(TRIM($B108))),CkDJ[Debit])))+(SUM(IF((CsDJ[Date]&lt;=$A$7)*(CsDJ[Account Code]=(TRIM($B108))),CsDJ[Debit])))+(SUM(IF((CRDJ[Date]&lt;=$A$7)*(CRDJ[Account Code]=(TRIM($B108))),CRDJ[Debit])))+(SUM(IF((GJ[Date]&lt;=$A$7)*(GJ[Account Code]=(TRIM($B108))),GJ[Debit]))))-((SUM(IF((CkDJ[Date]&lt;=$A$7)*(CkDJ[Account Code]=(TRIM($B108))),CkDJ[Credit])))+(SUM(IF((CsDJ[Date]&lt;=$A$7)*(CsDJ[Account Code]=(TRIM($B108))),CsDJ[Credit])))+(SUM(IF((CRDJ[Date]&lt;=$A$7)*(CRDJ[Account Code]=(TRIM($B108))),CRDJ[Credit])))+(SUM(IF((GJ[Date]&lt;=$A$7)*(GJ[Account Code]=(TRIM($B108))),GJ[Credit]))))</f>
        <v>0</v>
      </c>
      <c r="E108" s="89"/>
    </row>
    <row r="109" spans="1:5">
      <c r="A109" s="453" t="s">
        <v>1129</v>
      </c>
      <c r="B109" s="454" t="s">
        <v>334</v>
      </c>
      <c r="C109" s="89"/>
      <c r="D109" s="442">
        <f t="array" ref="D109">((SUM(IF((CkDJ[Date]&lt;=$A$7)*(CkDJ[Account Code]=(TRIM($B109))),CkDJ[Debit])))+(SUM(IF((CsDJ[Date]&lt;=$A$7)*(CsDJ[Account Code]=(TRIM($B109))),CsDJ[Debit])))+(SUM(IF((CRDJ[Date]&lt;=$A$7)*(CRDJ[Account Code]=(TRIM($B109))),CRDJ[Debit])))+(SUM(IF((GJ[Date]&lt;=$A$7)*(GJ[Account Code]=(TRIM($B109))),GJ[Debit]))))-((SUM(IF((CkDJ[Date]&lt;=$A$7)*(CkDJ[Account Code]=(TRIM($B109))),CkDJ[Credit])))+(SUM(IF((CsDJ[Date]&lt;=$A$7)*(CsDJ[Account Code]=(TRIM($B109))),CsDJ[Credit])))+(SUM(IF((CRDJ[Date]&lt;=$A$7)*(CRDJ[Account Code]=(TRIM($B109))),CRDJ[Credit])))+(SUM(IF((GJ[Date]&lt;=$A$7)*(GJ[Account Code]=(TRIM($B109))),GJ[Credit]))))</f>
        <v>0</v>
      </c>
      <c r="E109" s="89"/>
    </row>
    <row r="110" spans="1:5">
      <c r="A110" s="453" t="s">
        <v>1130</v>
      </c>
      <c r="B110" s="454" t="s">
        <v>333</v>
      </c>
      <c r="C110" s="89"/>
      <c r="D110" s="442">
        <f t="array" ref="D110">((SUM(IF((CkDJ[Date]&lt;=$A$7)*(CkDJ[Account Code]=(TRIM($B110))),CkDJ[Debit])))+(SUM(IF((CsDJ[Date]&lt;=$A$7)*(CsDJ[Account Code]=(TRIM($B110))),CsDJ[Debit])))+(SUM(IF((CRDJ[Date]&lt;=$A$7)*(CRDJ[Account Code]=(TRIM($B110))),CRDJ[Debit])))+(SUM(IF((GJ[Date]&lt;=$A$7)*(GJ[Account Code]=(TRIM($B110))),GJ[Debit]))))-((SUM(IF((CkDJ[Date]&lt;=$A$7)*(CkDJ[Account Code]=(TRIM($B110))),CkDJ[Credit])))+(SUM(IF((CsDJ[Date]&lt;=$A$7)*(CsDJ[Account Code]=(TRIM($B110))),CsDJ[Credit])))+(SUM(IF((CRDJ[Date]&lt;=$A$7)*(CRDJ[Account Code]=(TRIM($B110))),CRDJ[Credit])))+(SUM(IF((GJ[Date]&lt;=$A$7)*(GJ[Account Code]=(TRIM($B110))),GJ[Credit]))))</f>
        <v>0</v>
      </c>
      <c r="E110" s="89"/>
    </row>
    <row r="111" spans="1:5">
      <c r="A111" s="453" t="s">
        <v>1131</v>
      </c>
      <c r="B111" s="454" t="s">
        <v>335</v>
      </c>
      <c r="C111" s="89"/>
      <c r="D111" s="442">
        <f t="array" ref="D111">((SUM(IF((CkDJ[Date]&lt;=$A$7)*(CkDJ[Account Code]=(TRIM($B111))),CkDJ[Debit])))+(SUM(IF((CsDJ[Date]&lt;=$A$7)*(CsDJ[Account Code]=(TRIM($B111))),CsDJ[Debit])))+(SUM(IF((CRDJ[Date]&lt;=$A$7)*(CRDJ[Account Code]=(TRIM($B111))),CRDJ[Debit])))+(SUM(IF((GJ[Date]&lt;=$A$7)*(GJ[Account Code]=(TRIM($B111))),GJ[Debit]))))-((SUM(IF((CkDJ[Date]&lt;=$A$7)*(CkDJ[Account Code]=(TRIM($B111))),CkDJ[Credit])))+(SUM(IF((CsDJ[Date]&lt;=$A$7)*(CsDJ[Account Code]=(TRIM($B111))),CsDJ[Credit])))+(SUM(IF((CRDJ[Date]&lt;=$A$7)*(CRDJ[Account Code]=(TRIM($B111))),CRDJ[Credit])))+(SUM(IF((GJ[Date]&lt;=$A$7)*(GJ[Account Code]=(TRIM($B111))),GJ[Credit]))))</f>
        <v>0</v>
      </c>
      <c r="E111" s="89"/>
    </row>
    <row r="112" spans="1:5">
      <c r="A112" s="453" t="s">
        <v>1132</v>
      </c>
      <c r="B112" s="454" t="s">
        <v>799</v>
      </c>
      <c r="C112" s="89"/>
      <c r="D112" s="442">
        <f t="array" ref="D112">((SUM(IF((CkDJ[Date]&lt;=$A$7)*(CkDJ[Account Code]=(TRIM($B112))),CkDJ[Debit])))+(SUM(IF((CsDJ[Date]&lt;=$A$7)*(CsDJ[Account Code]=(TRIM($B112))),CsDJ[Debit])))+(SUM(IF((CRDJ[Date]&lt;=$A$7)*(CRDJ[Account Code]=(TRIM($B112))),CRDJ[Debit])))+(SUM(IF((GJ[Date]&lt;=$A$7)*(GJ[Account Code]=(TRIM($B112))),GJ[Debit]))))-((SUM(IF((CkDJ[Date]&lt;=$A$7)*(CkDJ[Account Code]=(TRIM($B112))),CkDJ[Credit])))+(SUM(IF((CsDJ[Date]&lt;=$A$7)*(CsDJ[Account Code]=(TRIM($B112))),CsDJ[Credit])))+(SUM(IF((CRDJ[Date]&lt;=$A$7)*(CRDJ[Account Code]=(TRIM($B112))),CRDJ[Credit])))+(SUM(IF((GJ[Date]&lt;=$A$7)*(GJ[Account Code]=(TRIM($B112))),GJ[Credit]))))</f>
        <v>0</v>
      </c>
      <c r="E112" s="89"/>
    </row>
    <row r="113" spans="1:5">
      <c r="A113" s="453" t="s">
        <v>1133</v>
      </c>
      <c r="B113" s="454" t="s">
        <v>799</v>
      </c>
      <c r="C113" s="89"/>
      <c r="D113" s="442">
        <f t="array" ref="D113">((SUM(IF((CkDJ[Date]&lt;=$A$7)*(CkDJ[Account Code]=(TRIM($B113))),CkDJ[Debit])))+(SUM(IF((CsDJ[Date]&lt;=$A$7)*(CsDJ[Account Code]=(TRIM($B113))),CsDJ[Debit])))+(SUM(IF((CRDJ[Date]&lt;=$A$7)*(CRDJ[Account Code]=(TRIM($B113))),CRDJ[Debit])))+(SUM(IF((GJ[Date]&lt;=$A$7)*(GJ[Account Code]=(TRIM($B113))),GJ[Debit]))))-((SUM(IF((CkDJ[Date]&lt;=$A$7)*(CkDJ[Account Code]=(TRIM($B113))),CkDJ[Credit])))+(SUM(IF((CsDJ[Date]&lt;=$A$7)*(CsDJ[Account Code]=(TRIM($B113))),CsDJ[Credit])))+(SUM(IF((CRDJ[Date]&lt;=$A$7)*(CRDJ[Account Code]=(TRIM($B113))),CRDJ[Credit])))+(SUM(IF((GJ[Date]&lt;=$A$7)*(GJ[Account Code]=(TRIM($B113))),GJ[Credit]))))</f>
        <v>0</v>
      </c>
      <c r="E113" s="89"/>
    </row>
    <row r="114" spans="1:5">
      <c r="A114" s="453" t="s">
        <v>1134</v>
      </c>
      <c r="B114" s="454" t="s">
        <v>799</v>
      </c>
      <c r="C114" s="89"/>
      <c r="D114" s="442">
        <f t="array" ref="D114">((SUM(IF((CkDJ[Date]&lt;=$A$7)*(CkDJ[Account Code]=(TRIM($B114))),CkDJ[Debit])))+(SUM(IF((CsDJ[Date]&lt;=$A$7)*(CsDJ[Account Code]=(TRIM($B114))),CsDJ[Debit])))+(SUM(IF((CRDJ[Date]&lt;=$A$7)*(CRDJ[Account Code]=(TRIM($B114))),CRDJ[Debit])))+(SUM(IF((GJ[Date]&lt;=$A$7)*(GJ[Account Code]=(TRIM($B114))),GJ[Debit]))))-((SUM(IF((CkDJ[Date]&lt;=$A$7)*(CkDJ[Account Code]=(TRIM($B114))),CkDJ[Credit])))+(SUM(IF((CsDJ[Date]&lt;=$A$7)*(CsDJ[Account Code]=(TRIM($B114))),CsDJ[Credit])))+(SUM(IF((CRDJ[Date]&lt;=$A$7)*(CRDJ[Account Code]=(TRIM($B114))),CRDJ[Credit])))+(SUM(IF((GJ[Date]&lt;=$A$7)*(GJ[Account Code]=(TRIM($B114))),GJ[Credit]))))</f>
        <v>0</v>
      </c>
      <c r="E114" s="89"/>
    </row>
    <row r="115" spans="1:5">
      <c r="A115" s="453" t="s">
        <v>1135</v>
      </c>
      <c r="B115" s="454" t="s">
        <v>340</v>
      </c>
      <c r="C115" s="89"/>
      <c r="D115" s="442">
        <f t="array" ref="D115">((SUM(IF((CkDJ[Date]&lt;=$A$7)*(CkDJ[Account Code]=(TRIM($B115))),CkDJ[Debit])))+(SUM(IF((CsDJ[Date]&lt;=$A$7)*(CsDJ[Account Code]=(TRIM($B115))),CsDJ[Debit])))+(SUM(IF((CRDJ[Date]&lt;=$A$7)*(CRDJ[Account Code]=(TRIM($B115))),CRDJ[Debit])))+(SUM(IF((GJ[Date]&lt;=$A$7)*(GJ[Account Code]=(TRIM($B115))),GJ[Debit]))))-((SUM(IF((CkDJ[Date]&lt;=$A$7)*(CkDJ[Account Code]=(TRIM($B115))),CkDJ[Credit])))+(SUM(IF((CsDJ[Date]&lt;=$A$7)*(CsDJ[Account Code]=(TRIM($B115))),CsDJ[Credit])))+(SUM(IF((CRDJ[Date]&lt;=$A$7)*(CRDJ[Account Code]=(TRIM($B115))),CRDJ[Credit])))+(SUM(IF((GJ[Date]&lt;=$A$7)*(GJ[Account Code]=(TRIM($B115))),GJ[Credit]))))</f>
        <v>0</v>
      </c>
      <c r="E115" s="89"/>
    </row>
    <row r="116" spans="1:5">
      <c r="A116" s="453" t="s">
        <v>1146</v>
      </c>
      <c r="B116" s="454" t="s">
        <v>986</v>
      </c>
      <c r="C116" s="89"/>
      <c r="D116" s="442">
        <f t="array" ref="D116">((SUM(IF((CkDJ[Date]&lt;=$A$7)*(CkDJ[Account Code]=(TRIM($B116))),CkDJ[Debit])))+(SUM(IF((CsDJ[Date]&lt;=$A$7)*(CsDJ[Account Code]=(TRIM($B116))),CsDJ[Debit])))+(SUM(IF((CRDJ[Date]&lt;=$A$7)*(CRDJ[Account Code]=(TRIM($B116))),CRDJ[Debit])))+(SUM(IF((GJ[Date]&lt;=$A$7)*(GJ[Account Code]=(TRIM($B116))),GJ[Debit]))))-((SUM(IF((CkDJ[Date]&lt;=$A$7)*(CkDJ[Account Code]=(TRIM($B116))),CkDJ[Credit])))+(SUM(IF((CsDJ[Date]&lt;=$A$7)*(CsDJ[Account Code]=(TRIM($B116))),CsDJ[Credit])))+(SUM(IF((CRDJ[Date]&lt;=$A$7)*(CRDJ[Account Code]=(TRIM($B116))),CRDJ[Credit])))+(SUM(IF((GJ[Date]&lt;=$A$7)*(GJ[Account Code]=(TRIM($B116))),GJ[Credit]))))</f>
        <v>0</v>
      </c>
      <c r="E116" s="89"/>
    </row>
    <row r="117" spans="1:5">
      <c r="A117" s="453" t="s">
        <v>1136</v>
      </c>
      <c r="B117" s="454" t="s">
        <v>799</v>
      </c>
      <c r="C117" s="89"/>
      <c r="D117" s="442">
        <f t="array" ref="D117">((SUM(IF((CkDJ[Date]&lt;=$A$7)*(CkDJ[Account Code]=(TRIM($B117))),CkDJ[Debit])))+(SUM(IF((CsDJ[Date]&lt;=$A$7)*(CsDJ[Account Code]=(TRIM($B117))),CsDJ[Debit])))+(SUM(IF((CRDJ[Date]&lt;=$A$7)*(CRDJ[Account Code]=(TRIM($B117))),CRDJ[Debit])))+(SUM(IF((GJ[Date]&lt;=$A$7)*(GJ[Account Code]=(TRIM($B117))),GJ[Debit]))))-((SUM(IF((CkDJ[Date]&lt;=$A$7)*(CkDJ[Account Code]=(TRIM($B117))),CkDJ[Credit])))+(SUM(IF((CsDJ[Date]&lt;=$A$7)*(CsDJ[Account Code]=(TRIM($B117))),CsDJ[Credit])))+(SUM(IF((CRDJ[Date]&lt;=$A$7)*(CRDJ[Account Code]=(TRIM($B117))),CRDJ[Credit])))+(SUM(IF((GJ[Date]&lt;=$A$7)*(GJ[Account Code]=(TRIM($B117))),GJ[Credit]))))</f>
        <v>0</v>
      </c>
      <c r="E117" s="89"/>
    </row>
    <row r="118" spans="1:5">
      <c r="A118" s="455" t="s">
        <v>1137</v>
      </c>
      <c r="B118" s="445"/>
      <c r="C118" s="446">
        <v>71432631.040000007</v>
      </c>
      <c r="D118" s="447">
        <f>D50+D51+D52+D61+D66+D70+D71+D72+D73+D74+D75+D76+D77+D78+D87+D97+D98+D105+D109+D110+D111+D112+D113+D114+D115+D117+D116</f>
        <v>40921322.340000004</v>
      </c>
      <c r="E118" s="446">
        <f>SUM(C118-D118)</f>
        <v>30511308.699999999</v>
      </c>
    </row>
    <row r="119" spans="1:5">
      <c r="A119" s="455" t="s">
        <v>1015</v>
      </c>
      <c r="B119" s="445"/>
      <c r="C119" s="446">
        <v>1000000</v>
      </c>
      <c r="D119" s="456">
        <v>0</v>
      </c>
      <c r="E119" s="446">
        <f>+C119-D119</f>
        <v>1000000</v>
      </c>
    </row>
    <row r="120" spans="1:5">
      <c r="A120" s="455" t="s">
        <v>717</v>
      </c>
      <c r="B120" s="445"/>
      <c r="C120" s="446">
        <f>SUM(C47+C118+C119)</f>
        <v>135459982.03999999</v>
      </c>
      <c r="D120" s="456">
        <f>SUM(D118+D47+D119)</f>
        <v>40921322.340000004</v>
      </c>
      <c r="E120" s="446">
        <f>+C120-D120</f>
        <v>94538659.700000003</v>
      </c>
    </row>
    <row r="121" spans="1:5">
      <c r="D121" s="163"/>
      <c r="E121" s="163"/>
    </row>
    <row r="122" spans="1:5">
      <c r="D122" s="163"/>
      <c r="E122" s="163"/>
    </row>
    <row r="123" spans="1:5">
      <c r="A123" s="126" t="s">
        <v>1138</v>
      </c>
      <c r="C123" s="25" t="s">
        <v>1139</v>
      </c>
      <c r="E123" s="457"/>
    </row>
    <row r="124" spans="1:5">
      <c r="D124" s="163"/>
      <c r="E124" s="457"/>
    </row>
    <row r="125" spans="1:5">
      <c r="E125" s="163"/>
    </row>
    <row r="126" spans="1:5">
      <c r="A126" s="195" t="s">
        <v>745</v>
      </c>
      <c r="B126" s="458"/>
      <c r="C126" s="1320" t="s">
        <v>3</v>
      </c>
      <c r="D126" s="1320"/>
      <c r="E126" s="1320"/>
    </row>
    <row r="127" spans="1:5">
      <c r="A127" s="86" t="s">
        <v>1140</v>
      </c>
      <c r="B127" s="129"/>
      <c r="C127" s="1321" t="s">
        <v>464</v>
      </c>
      <c r="D127" s="1322"/>
      <c r="E127" s="1322"/>
    </row>
    <row r="130" spans="1:5">
      <c r="A130" s="459" t="s">
        <v>1141</v>
      </c>
      <c r="B130" s="460"/>
    </row>
    <row r="133" spans="1:5">
      <c r="A133" s="461" t="s">
        <v>744</v>
      </c>
      <c r="B133" s="461"/>
      <c r="C133" s="461"/>
      <c r="D133" s="461"/>
      <c r="E133" s="461"/>
    </row>
    <row r="134" spans="1:5">
      <c r="A134" s="462" t="s">
        <v>1142</v>
      </c>
      <c r="B134" s="462"/>
      <c r="C134" s="462"/>
      <c r="D134" s="462"/>
      <c r="E134" s="462"/>
    </row>
  </sheetData>
  <mergeCells count="7">
    <mergeCell ref="C127:E127"/>
    <mergeCell ref="A11:A12"/>
    <mergeCell ref="B11:B12"/>
    <mergeCell ref="C11:C12"/>
    <mergeCell ref="D11:D12"/>
    <mergeCell ref="E11:E12"/>
    <mergeCell ref="C126:E126"/>
  </mergeCells>
  <printOptions horizontalCentered="1"/>
  <pageMargins left="0.25" right="0.25" top="0.75" bottom="1.5" header="0.3" footer="0.3"/>
  <pageSetup paperSize="5" scale="75"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1"/>
  <sheetViews>
    <sheetView topLeftCell="A97" workbookViewId="0"/>
  </sheetViews>
  <sheetFormatPr defaultColWidth="9" defaultRowHeight="12.75"/>
  <cols>
    <col min="1" max="1" width="5.375" style="192" customWidth="1"/>
    <col min="2" max="2" width="1.625" style="192" customWidth="1"/>
    <col min="3" max="3" width="51.375" style="192" customWidth="1"/>
    <col min="4" max="4" width="9" style="193"/>
    <col min="5" max="5" width="15.875" style="192" customWidth="1"/>
    <col min="6" max="6" width="14.125" style="192" customWidth="1"/>
    <col min="7" max="7" width="14.375" style="192" customWidth="1"/>
    <col min="8" max="8" width="13.875" style="192" customWidth="1"/>
    <col min="9" max="9" width="14.625" style="192" customWidth="1"/>
    <col min="10" max="11" width="15.125" style="192" customWidth="1"/>
    <col min="12" max="12" width="13" style="192" customWidth="1"/>
    <col min="13" max="13" width="15.125" style="192" customWidth="1"/>
    <col min="14" max="14" width="14.125" style="192" customWidth="1"/>
    <col min="15" max="20" width="15.125" style="192" customWidth="1"/>
    <col min="21" max="21" width="17.125" style="192" customWidth="1"/>
    <col min="22" max="22" width="16.375" style="192" customWidth="1"/>
    <col min="23" max="16384" width="9" style="192"/>
  </cols>
  <sheetData>
    <row r="1" spans="1:22" ht="22.5">
      <c r="A1" s="230" t="s">
        <v>355</v>
      </c>
      <c r="B1" s="230"/>
      <c r="C1" s="230"/>
      <c r="D1" s="229"/>
      <c r="E1" s="228"/>
      <c r="F1" s="228"/>
      <c r="G1" s="228"/>
      <c r="H1" s="228"/>
      <c r="I1" s="228"/>
      <c r="J1" s="228"/>
      <c r="K1" s="228"/>
      <c r="L1" s="228"/>
      <c r="M1" s="228"/>
      <c r="N1" s="228"/>
      <c r="O1" s="228"/>
      <c r="P1" s="228"/>
      <c r="Q1" s="228"/>
      <c r="R1" s="228"/>
      <c r="S1" s="228"/>
      <c r="T1" s="228"/>
      <c r="U1" s="228"/>
      <c r="V1" s="228"/>
    </row>
    <row r="2" spans="1:22" ht="16.5">
      <c r="A2" s="1328" t="s">
        <v>400</v>
      </c>
      <c r="B2" s="1328"/>
      <c r="C2" s="1328"/>
      <c r="D2" s="1328"/>
      <c r="E2" s="228"/>
      <c r="F2" s="228"/>
      <c r="G2" s="228"/>
      <c r="H2" s="228"/>
      <c r="I2" s="228"/>
      <c r="J2" s="228"/>
      <c r="K2" s="228"/>
      <c r="L2" s="228"/>
      <c r="M2" s="228"/>
      <c r="N2" s="228"/>
      <c r="O2" s="228"/>
      <c r="P2" s="228"/>
      <c r="Q2" s="228"/>
      <c r="R2" s="228"/>
      <c r="S2" s="228"/>
      <c r="T2" s="228"/>
      <c r="U2" s="228"/>
      <c r="V2" s="228"/>
    </row>
    <row r="3" spans="1:22" ht="16.5">
      <c r="A3" s="1328" t="s">
        <v>784</v>
      </c>
      <c r="B3" s="1328"/>
      <c r="C3" s="1328"/>
      <c r="D3" s="1328"/>
      <c r="E3" s="227"/>
      <c r="F3" s="227"/>
      <c r="G3" s="227"/>
      <c r="H3" s="227"/>
      <c r="I3" s="227"/>
      <c r="J3" s="227"/>
      <c r="K3" s="227"/>
      <c r="L3" s="227"/>
      <c r="M3" s="227"/>
      <c r="N3" s="227"/>
      <c r="O3" s="227"/>
      <c r="P3" s="227"/>
      <c r="Q3" s="227"/>
      <c r="R3" s="227"/>
      <c r="S3" s="227"/>
      <c r="T3" s="227"/>
      <c r="U3" s="227"/>
      <c r="V3" s="227"/>
    </row>
    <row r="4" spans="1:22" ht="16.5">
      <c r="A4" s="1329">
        <f>Account!G2</f>
        <v>45291</v>
      </c>
      <c r="B4" s="1329"/>
      <c r="C4" s="1329"/>
      <c r="D4" s="1329"/>
      <c r="E4" s="227"/>
      <c r="F4" s="227"/>
      <c r="G4" s="227"/>
      <c r="H4" s="227"/>
      <c r="I4" s="227"/>
      <c r="J4" s="227"/>
      <c r="K4" s="227"/>
      <c r="L4" s="227"/>
      <c r="M4" s="227"/>
      <c r="N4" s="227"/>
      <c r="O4" s="227"/>
      <c r="P4" s="227"/>
      <c r="Q4" s="227"/>
      <c r="R4" s="227"/>
      <c r="S4" s="227"/>
      <c r="T4" s="227"/>
      <c r="U4" s="227"/>
      <c r="V4" s="227"/>
    </row>
    <row r="5" spans="1:22" s="225" customFormat="1" ht="14.25">
      <c r="A5" s="1330" t="s">
        <v>783</v>
      </c>
      <c r="B5" s="1330"/>
      <c r="C5" s="1330"/>
      <c r="D5" s="1331" t="s">
        <v>782</v>
      </c>
      <c r="E5" s="1335" t="s">
        <v>781</v>
      </c>
      <c r="F5" s="1332" t="s">
        <v>780</v>
      </c>
      <c r="G5" s="1333"/>
      <c r="H5" s="1333"/>
      <c r="I5" s="1333"/>
      <c r="J5" s="1334"/>
      <c r="K5" s="1332" t="s">
        <v>779</v>
      </c>
      <c r="L5" s="1333"/>
      <c r="M5" s="1333"/>
      <c r="N5" s="1333"/>
      <c r="O5" s="1334"/>
      <c r="P5" s="1332" t="s">
        <v>778</v>
      </c>
      <c r="Q5" s="1333"/>
      <c r="R5" s="1333"/>
      <c r="S5" s="1333"/>
      <c r="T5" s="1333"/>
      <c r="U5" s="1334"/>
      <c r="V5" s="1335" t="s">
        <v>717</v>
      </c>
    </row>
    <row r="6" spans="1:22" s="225" customFormat="1" ht="28.5">
      <c r="A6" s="1330"/>
      <c r="B6" s="1330"/>
      <c r="C6" s="1330"/>
      <c r="D6" s="1331"/>
      <c r="E6" s="1335"/>
      <c r="F6" s="226" t="s">
        <v>777</v>
      </c>
      <c r="G6" s="226" t="s">
        <v>776</v>
      </c>
      <c r="H6" s="226" t="s">
        <v>840</v>
      </c>
      <c r="I6" s="226" t="s">
        <v>775</v>
      </c>
      <c r="J6" s="226" t="s">
        <v>774</v>
      </c>
      <c r="K6" s="226" t="s">
        <v>773</v>
      </c>
      <c r="L6" s="226" t="s">
        <v>772</v>
      </c>
      <c r="M6" s="226" t="s">
        <v>771</v>
      </c>
      <c r="N6" s="226" t="s">
        <v>770</v>
      </c>
      <c r="O6" s="226" t="s">
        <v>769</v>
      </c>
      <c r="P6" s="226" t="s">
        <v>768</v>
      </c>
      <c r="Q6" s="226" t="s">
        <v>767</v>
      </c>
      <c r="R6" s="226" t="s">
        <v>766</v>
      </c>
      <c r="S6" s="226" t="s">
        <v>765</v>
      </c>
      <c r="T6" s="226" t="s">
        <v>764</v>
      </c>
      <c r="U6" s="226" t="s">
        <v>763</v>
      </c>
      <c r="V6" s="1335"/>
    </row>
    <row r="7" spans="1:22" s="225" customFormat="1" ht="15.75" hidden="1">
      <c r="A7" s="1336"/>
      <c r="B7" s="1337"/>
      <c r="C7" s="1338"/>
      <c r="D7" s="133"/>
      <c r="E7" s="133" t="s">
        <v>494</v>
      </c>
      <c r="F7" s="133" t="s">
        <v>487</v>
      </c>
      <c r="G7" s="133" t="s">
        <v>488</v>
      </c>
      <c r="H7" s="133" t="s">
        <v>489</v>
      </c>
      <c r="I7" s="133" t="s">
        <v>505</v>
      </c>
      <c r="J7" s="133" t="s">
        <v>484</v>
      </c>
      <c r="K7" s="133" t="s">
        <v>490</v>
      </c>
      <c r="L7" s="133" t="s">
        <v>492</v>
      </c>
      <c r="M7" s="133" t="s">
        <v>491</v>
      </c>
      <c r="N7" s="133" t="s">
        <v>506</v>
      </c>
      <c r="O7" s="133" t="s">
        <v>485</v>
      </c>
      <c r="P7" s="133" t="s">
        <v>493</v>
      </c>
      <c r="Q7" s="133" t="s">
        <v>503</v>
      </c>
      <c r="R7" s="133" t="s">
        <v>502</v>
      </c>
      <c r="S7" s="133" t="s">
        <v>504</v>
      </c>
      <c r="T7" s="133" t="s">
        <v>507</v>
      </c>
      <c r="U7" s="133" t="s">
        <v>486</v>
      </c>
      <c r="V7" s="133" t="s">
        <v>762</v>
      </c>
    </row>
    <row r="8" spans="1:22" ht="15">
      <c r="A8" s="224" t="s">
        <v>761</v>
      </c>
      <c r="B8" s="194"/>
      <c r="C8" s="194"/>
      <c r="D8" s="223"/>
      <c r="E8" s="222"/>
      <c r="F8" s="222"/>
      <c r="G8" s="222"/>
      <c r="H8" s="222"/>
      <c r="I8" s="222"/>
      <c r="J8" s="222"/>
      <c r="K8" s="222"/>
      <c r="L8" s="222"/>
      <c r="M8" s="222"/>
      <c r="N8" s="222"/>
      <c r="O8" s="222"/>
      <c r="P8" s="222"/>
      <c r="Q8" s="222"/>
      <c r="R8" s="222"/>
      <c r="S8" s="222"/>
      <c r="T8" s="222"/>
      <c r="U8" s="222"/>
      <c r="V8" s="222"/>
    </row>
    <row r="9" spans="1:22" ht="15">
      <c r="A9" s="212">
        <v>1</v>
      </c>
      <c r="B9" s="214"/>
      <c r="C9" s="194" t="e">
        <f t="shared" ref="C9:C35" si="0">IF(D9=0,"",(VLOOKUP((TRIM(D9)),Code,2,)))</f>
        <v>#N/A</v>
      </c>
      <c r="D9" s="207" t="s">
        <v>125</v>
      </c>
      <c r="E9" s="211">
        <f t="array" ref="E9">((SUM(IF((CkDJ[Ofc Code]=(TRIM(E$7)))*(CkDJ[Account Code]=(TRIM($D9))),CkDJ[Credit])))+(SUM(IF((CsDJ[Ofc Code]=(TRIM(E$7)))*(CsDJ[Account Code]=(TRIM($D9))),CsDJ[Credit])))+(SUM(IF((CRDJ[Ofc Code]=(TRIM(E$7)))*(CRDJ[Account Code]=(TRIM($D9))),CRDJ[Credit])))+(SUM(IF((GJ[Ofc Code]=(TRIM(E$7)))*(GJ[Account Code]=(TRIM($D9))),GJ[Credit]))))-((SUM(IF((CkDJ[Ofc Code]=(TRIM(E$7)))*(CkDJ[Account Code]=(TRIM($D9))),CkDJ[Debit])))+(SUM(IF((CsDJ[Ofc Code]=(TRIM(E$7)))*(CsDJ[Account Code]=(TRIM($D9))),CsDJ[Debit])))+(SUM(IF((CRDJ[Ofc Code]=(TRIM(E$7)))*(CRDJ[Account Code]=(TRIM($D9))),CRDJ[Debit])))+(SUM(IF((GJ[Ofc Code]=(TRIM(E$7)))*(GJ[Account Code]=(TRIM($D9))),GJ[Debit]))))</f>
        <v>0</v>
      </c>
      <c r="F9" s="211">
        <f t="array" ref="F9">((SUM(IF((CkDJ[Ofc Code]=(TRIM(F$7)))*(CkDJ[Account Code]=(TRIM($D9))),CkDJ[Credit])))+(SUM(IF((CsDJ[Ofc Code]=(TRIM(F$7)))*(CsDJ[Account Code]=(TRIM($D9))),CsDJ[Credit])))+(SUM(IF((CRDJ[Ofc Code]=(TRIM(F$7)))*(CRDJ[Account Code]=(TRIM($D9))),CRDJ[Credit])))+(SUM(IF((GJ[Ofc Code]=(TRIM(F$7)))*(GJ[Account Code]=(TRIM($D9))),GJ[Credit]))))-((SUM(IF((CkDJ[Ofc Code]=(TRIM(F$7)))*(CkDJ[Account Code]=(TRIM($D9))),CkDJ[Debit])))+(SUM(IF((CsDJ[Ofc Code]=(TRIM(F$7)))*(CsDJ[Account Code]=(TRIM($D9))),CsDJ[Debit])))+(SUM(IF((CRDJ[Ofc Code]=(TRIM(F$7)))*(CRDJ[Account Code]=(TRIM($D9))),CRDJ[Debit])))+(SUM(IF((GJ[Ofc Code]=(TRIM(F$7)))*(GJ[Account Code]=(TRIM($D9))),GJ[Debit]))))</f>
        <v>0</v>
      </c>
      <c r="G9" s="211">
        <f t="array" ref="G9">((SUM(IF((CkDJ[Ofc Code]=(TRIM(G$7)))*(CkDJ[Account Code]=(TRIM($D9))),CkDJ[Credit])))+(SUM(IF((CsDJ[Ofc Code]=(TRIM(G$7)))*(CsDJ[Account Code]=(TRIM($D9))),CsDJ[Credit])))+(SUM(IF((CRDJ[Ofc Code]=(TRIM(G$7)))*(CRDJ[Account Code]=(TRIM($D9))),CRDJ[Credit])))+(SUM(IF((GJ[Ofc Code]=(TRIM(G$7)))*(GJ[Account Code]=(TRIM($D9))),GJ[Credit]))))-((SUM(IF((CkDJ[Ofc Code]=(TRIM(G$7)))*(CkDJ[Account Code]=(TRIM($D9))),CkDJ[Debit])))+(SUM(IF((CsDJ[Ofc Code]=(TRIM(G$7)))*(CsDJ[Account Code]=(TRIM($D9))),CsDJ[Debit])))+(SUM(IF((CRDJ[Ofc Code]=(TRIM(G$7)))*(CRDJ[Account Code]=(TRIM($D9))),CRDJ[Debit])))+(SUM(IF((GJ[Ofc Code]=(TRIM(G$7)))*(GJ[Account Code]=(TRIM($D9))),GJ[Debit]))))</f>
        <v>0</v>
      </c>
      <c r="H9" s="211">
        <f t="array" ref="H9">((SUM(IF((CkDJ[Ofc Code]=(TRIM(H$7)))*(CkDJ[Account Code]=(TRIM($D9))),CkDJ[Credit])))+(SUM(IF((CsDJ[Ofc Code]=(TRIM(H$7)))*(CsDJ[Account Code]=(TRIM($D9))),CsDJ[Credit])))+(SUM(IF((CRDJ[Ofc Code]=(TRIM(H$7)))*(CRDJ[Account Code]=(TRIM($D9))),CRDJ[Credit])))+(SUM(IF((GJ[Ofc Code]=(TRIM(H$7)))*(GJ[Account Code]=(TRIM($D9))),GJ[Credit]))))-((SUM(IF((CkDJ[Ofc Code]=(TRIM(H$7)))*(CkDJ[Account Code]=(TRIM($D9))),CkDJ[Debit])))+(SUM(IF((CsDJ[Ofc Code]=(TRIM(H$7)))*(CsDJ[Account Code]=(TRIM($D9))),CsDJ[Debit])))+(SUM(IF((CRDJ[Ofc Code]=(TRIM(H$7)))*(CRDJ[Account Code]=(TRIM($D9))),CRDJ[Debit])))+(SUM(IF((GJ[Ofc Code]=(TRIM(H$7)))*(GJ[Account Code]=(TRIM($D9))),GJ[Debit]))))</f>
        <v>0</v>
      </c>
      <c r="I9" s="211">
        <f t="array" ref="I9">((SUM(IF((CkDJ[Ofc Code]=(TRIM(I$7)))*(CkDJ[Account Code]=(TRIM($D9))),CkDJ[Credit])))+(SUM(IF((CsDJ[Ofc Code]=(TRIM(I$7)))*(CsDJ[Account Code]=(TRIM($D9))),CsDJ[Credit])))+(SUM(IF((CRDJ[Ofc Code]=(TRIM(I$7)))*(CRDJ[Account Code]=(TRIM($D9))),CRDJ[Credit])))+(SUM(IF((GJ[Ofc Code]=(TRIM(I$7)))*(GJ[Account Code]=(TRIM($D9))),GJ[Credit]))))-((SUM(IF((CkDJ[Ofc Code]=(TRIM(I$7)))*(CkDJ[Account Code]=(TRIM($D9))),CkDJ[Debit])))+(SUM(IF((CsDJ[Ofc Code]=(TRIM(I$7)))*(CsDJ[Account Code]=(TRIM($D9))),CsDJ[Debit])))+(SUM(IF((CRDJ[Ofc Code]=(TRIM(I$7)))*(CRDJ[Account Code]=(TRIM($D9))),CRDJ[Debit])))+(SUM(IF((GJ[Ofc Code]=(TRIM(I$7)))*(GJ[Account Code]=(TRIM($D9))),GJ[Debit]))))</f>
        <v>0</v>
      </c>
      <c r="J9" s="211">
        <f t="shared" ref="J9:J35" si="1">SUM(F9:I9)</f>
        <v>0</v>
      </c>
      <c r="K9" s="211">
        <f t="array" ref="K9">((SUM(IF((CkDJ[Ofc Code]=(TRIM(K$7)))*(CkDJ[Account Code]=(TRIM($D9))),CkDJ[Credit])))+(SUM(IF((CsDJ[Ofc Code]=(TRIM(K$7)))*(CsDJ[Account Code]=(TRIM($D9))),CsDJ[Credit])))+(SUM(IF((CRDJ[Ofc Code]=(TRIM(K$7)))*(CRDJ[Account Code]=(TRIM($D9))),CRDJ[Credit])))+(SUM(IF((GJ[Ofc Code]=(TRIM(K$7)))*(GJ[Account Code]=(TRIM($D9))),GJ[Credit]))))-((SUM(IF((CkDJ[Ofc Code]=(TRIM(K$7)))*(CkDJ[Account Code]=(TRIM($D9))),CkDJ[Debit])))+(SUM(IF((CsDJ[Ofc Code]=(TRIM(K$7)))*(CsDJ[Account Code]=(TRIM($D9))),CsDJ[Debit])))+(SUM(IF((CRDJ[Ofc Code]=(TRIM(K$7)))*(CRDJ[Account Code]=(TRIM($D9))),CRDJ[Debit])))+(SUM(IF((GJ[Ofc Code]=(TRIM(K$7)))*(GJ[Account Code]=(TRIM($D9))),GJ[Debit]))))</f>
        <v>0</v>
      </c>
      <c r="L9" s="211">
        <f t="array" ref="L9">((SUM(IF((CkDJ[Ofc Code]=(TRIM(L$7)))*(CkDJ[Account Code]=(TRIM($D9))),CkDJ[Credit])))+(SUM(IF((CsDJ[Ofc Code]=(TRIM(L$7)))*(CsDJ[Account Code]=(TRIM($D9))),CsDJ[Credit])))+(SUM(IF((CRDJ[Ofc Code]=(TRIM(L$7)))*(CRDJ[Account Code]=(TRIM($D9))),CRDJ[Credit])))+(SUM(IF((GJ[Ofc Code]=(TRIM(L$7)))*(GJ[Account Code]=(TRIM($D9))),GJ[Credit]))))-((SUM(IF((CkDJ[Ofc Code]=(TRIM(L$7)))*(CkDJ[Account Code]=(TRIM($D9))),CkDJ[Debit])))+(SUM(IF((CsDJ[Ofc Code]=(TRIM(L$7)))*(CsDJ[Account Code]=(TRIM($D9))),CsDJ[Debit])))+(SUM(IF((CRDJ[Ofc Code]=(TRIM(L$7)))*(CRDJ[Account Code]=(TRIM($D9))),CRDJ[Debit])))+(SUM(IF((GJ[Ofc Code]=(TRIM(L$7)))*(GJ[Account Code]=(TRIM($D9))),GJ[Debit]))))</f>
        <v>0</v>
      </c>
      <c r="M9" s="211">
        <f t="array" ref="M9">((SUM(IF((CkDJ[Ofc Code]=(TRIM(M$7)))*(CkDJ[Account Code]=(TRIM($D9))),CkDJ[Credit])))+(SUM(IF((CsDJ[Ofc Code]=(TRIM(M$7)))*(CsDJ[Account Code]=(TRIM($D9))),CsDJ[Credit])))+(SUM(IF((CRDJ[Ofc Code]=(TRIM(M$7)))*(CRDJ[Account Code]=(TRIM($D9))),CRDJ[Credit])))+(SUM(IF((GJ[Ofc Code]=(TRIM(M$7)))*(GJ[Account Code]=(TRIM($D9))),GJ[Credit]))))-((SUM(IF((CkDJ[Ofc Code]=(TRIM(M$7)))*(CkDJ[Account Code]=(TRIM($D9))),CkDJ[Debit])))+(SUM(IF((CsDJ[Ofc Code]=(TRIM(M$7)))*(CsDJ[Account Code]=(TRIM($D9))),CsDJ[Debit])))+(SUM(IF((CRDJ[Ofc Code]=(TRIM(M$7)))*(CRDJ[Account Code]=(TRIM($D9))),CRDJ[Debit])))+(SUM(IF((GJ[Ofc Code]=(TRIM(M$7)))*(GJ[Account Code]=(TRIM($D9))),GJ[Debit]))))</f>
        <v>0</v>
      </c>
      <c r="N9" s="211">
        <f t="array" ref="N9">((SUM(IF((CkDJ[Ofc Code]=(TRIM(N$7)))*(CkDJ[Account Code]=(TRIM($D9))),CkDJ[Credit])))+(SUM(IF((CsDJ[Ofc Code]=(TRIM(N$7)))*(CsDJ[Account Code]=(TRIM($D9))),CsDJ[Credit])))+(SUM(IF((CRDJ[Ofc Code]=(TRIM(N$7)))*(CRDJ[Account Code]=(TRIM($D9))),CRDJ[Credit])))+(SUM(IF((GJ[Ofc Code]=(TRIM(N$7)))*(GJ[Account Code]=(TRIM($D9))),GJ[Credit]))))-((SUM(IF((CkDJ[Ofc Code]=(TRIM(N$7)))*(CkDJ[Account Code]=(TRIM($D9))),CkDJ[Debit])))+(SUM(IF((CsDJ[Ofc Code]=(TRIM(N$7)))*(CsDJ[Account Code]=(TRIM($D9))),CsDJ[Debit])))+(SUM(IF((CRDJ[Ofc Code]=(TRIM(N$7)))*(CRDJ[Account Code]=(TRIM($D9))),CRDJ[Debit])))+(SUM(IF((GJ[Ofc Code]=(TRIM(N$7)))*(GJ[Account Code]=(TRIM($D9))),GJ[Debit]))))</f>
        <v>0</v>
      </c>
      <c r="O9" s="211">
        <f t="shared" ref="O9:O35" si="2">SUM(K9:N9)</f>
        <v>0</v>
      </c>
      <c r="P9" s="211">
        <f t="array" ref="P9">((SUM(IF((CkDJ[Ofc Code]=(TRIM(P$7)))*(CkDJ[Account Code]=(TRIM($D9))),CkDJ[Credit])))+(SUM(IF((CsDJ[Ofc Code]=(TRIM(P$7)))*(CsDJ[Account Code]=(TRIM($D9))),CsDJ[Credit])))+(SUM(IF((CRDJ[Ofc Code]=(TRIM(P$7)))*(CRDJ[Account Code]=(TRIM($D9))),CRDJ[Credit])))+(SUM(IF((GJ[Ofc Code]=(TRIM(P$7)))*(GJ[Account Code]=(TRIM($D9))),GJ[Credit]))))-((SUM(IF((CkDJ[Ofc Code]=(TRIM(P$7)))*(CkDJ[Account Code]=(TRIM($D9))),CkDJ[Debit])))+(SUM(IF((CsDJ[Ofc Code]=(TRIM(P$7)))*(CsDJ[Account Code]=(TRIM($D9))),CsDJ[Debit])))+(SUM(IF((CRDJ[Ofc Code]=(TRIM(P$7)))*(CRDJ[Account Code]=(TRIM($D9))),CRDJ[Debit])))+(SUM(IF((GJ[Ofc Code]=(TRIM(P$7)))*(GJ[Account Code]=(TRIM($D9))),GJ[Debit]))))</f>
        <v>0</v>
      </c>
      <c r="Q9" s="211">
        <f t="array" ref="Q9">((SUM(IF((CkDJ[Ofc Code]=(TRIM(Q$7)))*(CkDJ[Account Code]=(TRIM($D9))),CkDJ[Credit])))+(SUM(IF((CsDJ[Ofc Code]=(TRIM(Q$7)))*(CsDJ[Account Code]=(TRIM($D9))),CsDJ[Credit])))+(SUM(IF((CRDJ[Ofc Code]=(TRIM(Q$7)))*(CRDJ[Account Code]=(TRIM($D9))),CRDJ[Credit])))+(SUM(IF((GJ[Ofc Code]=(TRIM(Q$7)))*(GJ[Account Code]=(TRIM($D9))),GJ[Credit]))))-((SUM(IF((CkDJ[Ofc Code]=(TRIM(Q$7)))*(CkDJ[Account Code]=(TRIM($D9))),CkDJ[Debit])))+(SUM(IF((CsDJ[Ofc Code]=(TRIM(Q$7)))*(CsDJ[Account Code]=(TRIM($D9))),CsDJ[Debit])))+(SUM(IF((CRDJ[Ofc Code]=(TRIM(Q$7)))*(CRDJ[Account Code]=(TRIM($D9))),CRDJ[Debit])))+(SUM(IF((GJ[Ofc Code]=(TRIM(Q$7)))*(GJ[Account Code]=(TRIM($D9))),GJ[Debit]))))</f>
        <v>0</v>
      </c>
      <c r="R9" s="211">
        <f t="array" ref="R9">((SUM(IF((CkDJ[Ofc Code]=(TRIM(R$7)))*(CkDJ[Account Code]=(TRIM($D9))),CkDJ[Credit])))+(SUM(IF((CsDJ[Ofc Code]=(TRIM(R$7)))*(CsDJ[Account Code]=(TRIM($D9))),CsDJ[Credit])))+(SUM(IF((CRDJ[Ofc Code]=(TRIM(R$7)))*(CRDJ[Account Code]=(TRIM($D9))),CRDJ[Credit])))+(SUM(IF((GJ[Ofc Code]=(TRIM(R$7)))*(GJ[Account Code]=(TRIM($D9))),GJ[Credit]))))-((SUM(IF((CkDJ[Ofc Code]=(TRIM(R$7)))*(CkDJ[Account Code]=(TRIM($D9))),CkDJ[Debit])))+(SUM(IF((CsDJ[Ofc Code]=(TRIM(R$7)))*(CsDJ[Account Code]=(TRIM($D9))),CsDJ[Debit])))+(SUM(IF((CRDJ[Ofc Code]=(TRIM(R$7)))*(CRDJ[Account Code]=(TRIM($D9))),CRDJ[Debit])))+(SUM(IF((GJ[Ofc Code]=(TRIM(R$7)))*(GJ[Account Code]=(TRIM($D9))),GJ[Debit]))))</f>
        <v>0</v>
      </c>
      <c r="S9" s="211">
        <f t="array" ref="S9">((SUM(IF((CkDJ[Ofc Code]=(TRIM(S$7)))*(CkDJ[Account Code]=(TRIM($D9))),CkDJ[Credit])))+(SUM(IF((CsDJ[Ofc Code]=(TRIM(S$7)))*(CsDJ[Account Code]=(TRIM($D9))),CsDJ[Credit])))+(SUM(IF((CRDJ[Ofc Code]=(TRIM(S$7)))*(CRDJ[Account Code]=(TRIM($D9))),CRDJ[Credit])))+(SUM(IF((GJ[Ofc Code]=(TRIM(S$7)))*(GJ[Account Code]=(TRIM($D9))),GJ[Credit]))))-((SUM(IF((CkDJ[Ofc Code]=(TRIM(S$7)))*(CkDJ[Account Code]=(TRIM($D9))),CkDJ[Debit])))+(SUM(IF((CsDJ[Ofc Code]=(TRIM(S$7)))*(CsDJ[Account Code]=(TRIM($D9))),CsDJ[Debit])))+(SUM(IF((CRDJ[Ofc Code]=(TRIM(S$7)))*(CRDJ[Account Code]=(TRIM($D9))),CRDJ[Debit])))+(SUM(IF((GJ[Ofc Code]=(TRIM(S$7)))*(GJ[Account Code]=(TRIM($D9))),GJ[Debit]))))</f>
        <v>0</v>
      </c>
      <c r="T9" s="211">
        <f t="array" ref="T9">((SUM(IF((CkDJ[Ofc Code]=(TRIM(T$7)))*(CkDJ[Account Code]=(TRIM($D9))),CkDJ[Credit])))+(SUM(IF((CsDJ[Ofc Code]=(TRIM(T$7)))*(CsDJ[Account Code]=(TRIM($D9))),CsDJ[Credit])))+(SUM(IF((CRDJ[Ofc Code]=(TRIM(T$7)))*(CRDJ[Account Code]=(TRIM($D9))),CRDJ[Credit])))+(SUM(IF((GJ[Ofc Code]=(TRIM(T$7)))*(GJ[Account Code]=(TRIM($D9))),GJ[Credit]))))-((SUM(IF((CkDJ[Ofc Code]=(TRIM(T$7)))*(CkDJ[Account Code]=(TRIM($D9))),CkDJ[Debit])))+(SUM(IF((CsDJ[Ofc Code]=(TRIM(T$7)))*(CsDJ[Account Code]=(TRIM($D9))),CsDJ[Debit])))+(SUM(IF((CRDJ[Ofc Code]=(TRIM(T$7)))*(CRDJ[Account Code]=(TRIM($D9))),CRDJ[Debit])))+(SUM(IF((GJ[Ofc Code]=(TRIM(T$7)))*(GJ[Account Code]=(TRIM($D9))),GJ[Debit]))))</f>
        <v>0</v>
      </c>
      <c r="U9" s="211">
        <f t="shared" ref="U9:U35" si="3">SUM(P9:T9)</f>
        <v>0</v>
      </c>
      <c r="V9" s="211">
        <f t="shared" ref="V9:V35" si="4">E9+J9+O9+U9</f>
        <v>0</v>
      </c>
    </row>
    <row r="10" spans="1:22" ht="15">
      <c r="A10" s="212">
        <f t="shared" ref="A10:A35" si="5">1+A9</f>
        <v>2</v>
      </c>
      <c r="B10" s="214"/>
      <c r="C10" s="194" t="str">
        <f t="shared" si="0"/>
        <v>Other Service Income - Irrigation Service Fee (Back Account)</v>
      </c>
      <c r="D10" s="207" t="s">
        <v>126</v>
      </c>
      <c r="E10" s="211">
        <f t="array" ref="E10">((SUM(IF((CkDJ[Ofc Code]=(TRIM(E$7)))*(CkDJ[Account Code]=(TRIM($D10))),CkDJ[Credit])))+(SUM(IF((CsDJ[Ofc Code]=(TRIM(E$7)))*(CsDJ[Account Code]=(TRIM($D10))),CsDJ[Credit])))+(SUM(IF((CRDJ[Ofc Code]=(TRIM(E$7)))*(CRDJ[Account Code]=(TRIM($D10))),CRDJ[Credit])))+(SUM(IF((GJ[Ofc Code]=(TRIM(E$7)))*(GJ[Account Code]=(TRIM($D10))),GJ[Credit]))))-((SUM(IF((CkDJ[Ofc Code]=(TRIM(E$7)))*(CkDJ[Account Code]=(TRIM($D10))),CkDJ[Debit])))+(SUM(IF((CsDJ[Ofc Code]=(TRIM(E$7)))*(CsDJ[Account Code]=(TRIM($D10))),CsDJ[Debit])))+(SUM(IF((CRDJ[Ofc Code]=(TRIM(E$7)))*(CRDJ[Account Code]=(TRIM($D10))),CRDJ[Debit])))+(SUM(IF((GJ[Ofc Code]=(TRIM(E$7)))*(GJ[Account Code]=(TRIM($D10))),GJ[Debit]))))</f>
        <v>0</v>
      </c>
      <c r="F10" s="211">
        <f t="array" ref="F10">((SUM(IF((CkDJ[Ofc Code]=(TRIM(F$7)))*(CkDJ[Account Code]=(TRIM($D10))),CkDJ[Credit])))+(SUM(IF((CsDJ[Ofc Code]=(TRIM(F$7)))*(CsDJ[Account Code]=(TRIM($D10))),CsDJ[Credit])))+(SUM(IF((CRDJ[Ofc Code]=(TRIM(F$7)))*(CRDJ[Account Code]=(TRIM($D10))),CRDJ[Credit])))+(SUM(IF((GJ[Ofc Code]=(TRIM(F$7)))*(GJ[Account Code]=(TRIM($D10))),GJ[Credit]))))-((SUM(IF((CkDJ[Ofc Code]=(TRIM(F$7)))*(CkDJ[Account Code]=(TRIM($D10))),CkDJ[Debit])))+(SUM(IF((CsDJ[Ofc Code]=(TRIM(F$7)))*(CsDJ[Account Code]=(TRIM($D10))),CsDJ[Debit])))+(SUM(IF((CRDJ[Ofc Code]=(TRIM(F$7)))*(CRDJ[Account Code]=(TRIM($D10))),CRDJ[Debit])))+(SUM(IF((GJ[Ofc Code]=(TRIM(F$7)))*(GJ[Account Code]=(TRIM($D10))),GJ[Debit]))))</f>
        <v>0</v>
      </c>
      <c r="G10" s="211">
        <f t="array" ref="G10">((SUM(IF((CkDJ[Ofc Code]=(TRIM(G$7)))*(CkDJ[Account Code]=(TRIM($D10))),CkDJ[Credit])))+(SUM(IF((CsDJ[Ofc Code]=(TRIM(G$7)))*(CsDJ[Account Code]=(TRIM($D10))),CsDJ[Credit])))+(SUM(IF((CRDJ[Ofc Code]=(TRIM(G$7)))*(CRDJ[Account Code]=(TRIM($D10))),CRDJ[Credit])))+(SUM(IF((GJ[Ofc Code]=(TRIM(G$7)))*(GJ[Account Code]=(TRIM($D10))),GJ[Credit]))))-((SUM(IF((CkDJ[Ofc Code]=(TRIM(G$7)))*(CkDJ[Account Code]=(TRIM($D10))),CkDJ[Debit])))+(SUM(IF((CsDJ[Ofc Code]=(TRIM(G$7)))*(CsDJ[Account Code]=(TRIM($D10))),CsDJ[Debit])))+(SUM(IF((CRDJ[Ofc Code]=(TRIM(G$7)))*(CRDJ[Account Code]=(TRIM($D10))),CRDJ[Debit])))+(SUM(IF((GJ[Ofc Code]=(TRIM(G$7)))*(GJ[Account Code]=(TRIM($D10))),GJ[Debit]))))</f>
        <v>0</v>
      </c>
      <c r="H10" s="211">
        <f t="array" ref="H10">((SUM(IF((CkDJ[Ofc Code]=(TRIM(H$7)))*(CkDJ[Account Code]=(TRIM($D10))),CkDJ[Credit])))+(SUM(IF((CsDJ[Ofc Code]=(TRIM(H$7)))*(CsDJ[Account Code]=(TRIM($D10))),CsDJ[Credit])))+(SUM(IF((CRDJ[Ofc Code]=(TRIM(H$7)))*(CRDJ[Account Code]=(TRIM($D10))),CRDJ[Credit])))+(SUM(IF((GJ[Ofc Code]=(TRIM(H$7)))*(GJ[Account Code]=(TRIM($D10))),GJ[Credit]))))-((SUM(IF((CkDJ[Ofc Code]=(TRIM(H$7)))*(CkDJ[Account Code]=(TRIM($D10))),CkDJ[Debit])))+(SUM(IF((CsDJ[Ofc Code]=(TRIM(H$7)))*(CsDJ[Account Code]=(TRIM($D10))),CsDJ[Debit])))+(SUM(IF((CRDJ[Ofc Code]=(TRIM(H$7)))*(CRDJ[Account Code]=(TRIM($D10))),CRDJ[Debit])))+(SUM(IF((GJ[Ofc Code]=(TRIM(H$7)))*(GJ[Account Code]=(TRIM($D10))),GJ[Debit]))))</f>
        <v>0</v>
      </c>
      <c r="I10" s="211">
        <f t="array" ref="I10">((SUM(IF((CkDJ[Ofc Code]=(TRIM(I$7)))*(CkDJ[Account Code]=(TRIM($D10))),CkDJ[Credit])))+(SUM(IF((CsDJ[Ofc Code]=(TRIM(I$7)))*(CsDJ[Account Code]=(TRIM($D10))),CsDJ[Credit])))+(SUM(IF((CRDJ[Ofc Code]=(TRIM(I$7)))*(CRDJ[Account Code]=(TRIM($D10))),CRDJ[Credit])))+(SUM(IF((GJ[Ofc Code]=(TRIM(I$7)))*(GJ[Account Code]=(TRIM($D10))),GJ[Credit]))))-((SUM(IF((CkDJ[Ofc Code]=(TRIM(I$7)))*(CkDJ[Account Code]=(TRIM($D10))),CkDJ[Debit])))+(SUM(IF((CsDJ[Ofc Code]=(TRIM(I$7)))*(CsDJ[Account Code]=(TRIM($D10))),CsDJ[Debit])))+(SUM(IF((CRDJ[Ofc Code]=(TRIM(I$7)))*(CRDJ[Account Code]=(TRIM($D10))),CRDJ[Debit])))+(SUM(IF((GJ[Ofc Code]=(TRIM(I$7)))*(GJ[Account Code]=(TRIM($D10))),GJ[Debit]))))</f>
        <v>0</v>
      </c>
      <c r="J10" s="211">
        <f t="shared" si="1"/>
        <v>0</v>
      </c>
      <c r="K10" s="211">
        <f t="array" ref="K10">((SUM(IF((CkDJ[Ofc Code]=(TRIM(K$7)))*(CkDJ[Account Code]=(TRIM($D10))),CkDJ[Credit])))+(SUM(IF((CsDJ[Ofc Code]=(TRIM(K$7)))*(CsDJ[Account Code]=(TRIM($D10))),CsDJ[Credit])))+(SUM(IF((CRDJ[Ofc Code]=(TRIM(K$7)))*(CRDJ[Account Code]=(TRIM($D10))),CRDJ[Credit])))+(SUM(IF((GJ[Ofc Code]=(TRIM(K$7)))*(GJ[Account Code]=(TRIM($D10))),GJ[Credit]))))-((SUM(IF((CkDJ[Ofc Code]=(TRIM(K$7)))*(CkDJ[Account Code]=(TRIM($D10))),CkDJ[Debit])))+(SUM(IF((CsDJ[Ofc Code]=(TRIM(K$7)))*(CsDJ[Account Code]=(TRIM($D10))),CsDJ[Debit])))+(SUM(IF((CRDJ[Ofc Code]=(TRIM(K$7)))*(CRDJ[Account Code]=(TRIM($D10))),CRDJ[Debit])))+(SUM(IF((GJ[Ofc Code]=(TRIM(K$7)))*(GJ[Account Code]=(TRIM($D10))),GJ[Debit]))))</f>
        <v>0</v>
      </c>
      <c r="L10" s="211">
        <f t="array" ref="L10">((SUM(IF((CkDJ[Ofc Code]=(TRIM(L$7)))*(CkDJ[Account Code]=(TRIM($D10))),CkDJ[Credit])))+(SUM(IF((CsDJ[Ofc Code]=(TRIM(L$7)))*(CsDJ[Account Code]=(TRIM($D10))),CsDJ[Credit])))+(SUM(IF((CRDJ[Ofc Code]=(TRIM(L$7)))*(CRDJ[Account Code]=(TRIM($D10))),CRDJ[Credit])))+(SUM(IF((GJ[Ofc Code]=(TRIM(L$7)))*(GJ[Account Code]=(TRIM($D10))),GJ[Credit]))))-((SUM(IF((CkDJ[Ofc Code]=(TRIM(L$7)))*(CkDJ[Account Code]=(TRIM($D10))),CkDJ[Debit])))+(SUM(IF((CsDJ[Ofc Code]=(TRIM(L$7)))*(CsDJ[Account Code]=(TRIM($D10))),CsDJ[Debit])))+(SUM(IF((CRDJ[Ofc Code]=(TRIM(L$7)))*(CRDJ[Account Code]=(TRIM($D10))),CRDJ[Debit])))+(SUM(IF((GJ[Ofc Code]=(TRIM(L$7)))*(GJ[Account Code]=(TRIM($D10))),GJ[Debit]))))</f>
        <v>0</v>
      </c>
      <c r="M10" s="211">
        <f t="array" ref="M10">((SUM(IF((CkDJ[Ofc Code]=(TRIM(M$7)))*(CkDJ[Account Code]=(TRIM($D10))),CkDJ[Credit])))+(SUM(IF((CsDJ[Ofc Code]=(TRIM(M$7)))*(CsDJ[Account Code]=(TRIM($D10))),CsDJ[Credit])))+(SUM(IF((CRDJ[Ofc Code]=(TRIM(M$7)))*(CRDJ[Account Code]=(TRIM($D10))),CRDJ[Credit])))+(SUM(IF((GJ[Ofc Code]=(TRIM(M$7)))*(GJ[Account Code]=(TRIM($D10))),GJ[Credit]))))-((SUM(IF((CkDJ[Ofc Code]=(TRIM(M$7)))*(CkDJ[Account Code]=(TRIM($D10))),CkDJ[Debit])))+(SUM(IF((CsDJ[Ofc Code]=(TRIM(M$7)))*(CsDJ[Account Code]=(TRIM($D10))),CsDJ[Debit])))+(SUM(IF((CRDJ[Ofc Code]=(TRIM(M$7)))*(CRDJ[Account Code]=(TRIM($D10))),CRDJ[Debit])))+(SUM(IF((GJ[Ofc Code]=(TRIM(M$7)))*(GJ[Account Code]=(TRIM($D10))),GJ[Debit]))))</f>
        <v>0</v>
      </c>
      <c r="N10" s="211">
        <f t="array" ref="N10">((SUM(IF((CkDJ[Ofc Code]=(TRIM(N$7)))*(CkDJ[Account Code]=(TRIM($D10))),CkDJ[Credit])))+(SUM(IF((CsDJ[Ofc Code]=(TRIM(N$7)))*(CsDJ[Account Code]=(TRIM($D10))),CsDJ[Credit])))+(SUM(IF((CRDJ[Ofc Code]=(TRIM(N$7)))*(CRDJ[Account Code]=(TRIM($D10))),CRDJ[Credit])))+(SUM(IF((GJ[Ofc Code]=(TRIM(N$7)))*(GJ[Account Code]=(TRIM($D10))),GJ[Credit]))))-((SUM(IF((CkDJ[Ofc Code]=(TRIM(N$7)))*(CkDJ[Account Code]=(TRIM($D10))),CkDJ[Debit])))+(SUM(IF((CsDJ[Ofc Code]=(TRIM(N$7)))*(CsDJ[Account Code]=(TRIM($D10))),CsDJ[Debit])))+(SUM(IF((CRDJ[Ofc Code]=(TRIM(N$7)))*(CRDJ[Account Code]=(TRIM($D10))),CRDJ[Debit])))+(SUM(IF((GJ[Ofc Code]=(TRIM(N$7)))*(GJ[Account Code]=(TRIM($D10))),GJ[Debit]))))</f>
        <v>0</v>
      </c>
      <c r="O10" s="211">
        <f t="shared" si="2"/>
        <v>0</v>
      </c>
      <c r="P10" s="211">
        <f t="array" ref="P10">((SUM(IF((CkDJ[Ofc Code]=(TRIM(P$7)))*(CkDJ[Account Code]=(TRIM($D10))),CkDJ[Credit])))+(SUM(IF((CsDJ[Ofc Code]=(TRIM(P$7)))*(CsDJ[Account Code]=(TRIM($D10))),CsDJ[Credit])))+(SUM(IF((CRDJ[Ofc Code]=(TRIM(P$7)))*(CRDJ[Account Code]=(TRIM($D10))),CRDJ[Credit])))+(SUM(IF((GJ[Ofc Code]=(TRIM(P$7)))*(GJ[Account Code]=(TRIM($D10))),GJ[Credit]))))-((SUM(IF((CkDJ[Ofc Code]=(TRIM(P$7)))*(CkDJ[Account Code]=(TRIM($D10))),CkDJ[Debit])))+(SUM(IF((CsDJ[Ofc Code]=(TRIM(P$7)))*(CsDJ[Account Code]=(TRIM($D10))),CsDJ[Debit])))+(SUM(IF((CRDJ[Ofc Code]=(TRIM(P$7)))*(CRDJ[Account Code]=(TRIM($D10))),CRDJ[Debit])))+(SUM(IF((GJ[Ofc Code]=(TRIM(P$7)))*(GJ[Account Code]=(TRIM($D10))),GJ[Debit]))))</f>
        <v>0</v>
      </c>
      <c r="Q10" s="211">
        <f t="array" ref="Q10">((SUM(IF((CkDJ[Ofc Code]=(TRIM(Q$7)))*(CkDJ[Account Code]=(TRIM($D10))),CkDJ[Credit])))+(SUM(IF((CsDJ[Ofc Code]=(TRIM(Q$7)))*(CsDJ[Account Code]=(TRIM($D10))),CsDJ[Credit])))+(SUM(IF((CRDJ[Ofc Code]=(TRIM(Q$7)))*(CRDJ[Account Code]=(TRIM($D10))),CRDJ[Credit])))+(SUM(IF((GJ[Ofc Code]=(TRIM(Q$7)))*(GJ[Account Code]=(TRIM($D10))),GJ[Credit]))))-((SUM(IF((CkDJ[Ofc Code]=(TRIM(Q$7)))*(CkDJ[Account Code]=(TRIM($D10))),CkDJ[Debit])))+(SUM(IF((CsDJ[Ofc Code]=(TRIM(Q$7)))*(CsDJ[Account Code]=(TRIM($D10))),CsDJ[Debit])))+(SUM(IF((CRDJ[Ofc Code]=(TRIM(Q$7)))*(CRDJ[Account Code]=(TRIM($D10))),CRDJ[Debit])))+(SUM(IF((GJ[Ofc Code]=(TRIM(Q$7)))*(GJ[Account Code]=(TRIM($D10))),GJ[Debit]))))</f>
        <v>0</v>
      </c>
      <c r="R10" s="211">
        <f t="array" ref="R10">((SUM(IF((CkDJ[Ofc Code]=(TRIM(R$7)))*(CkDJ[Account Code]=(TRIM($D10))),CkDJ[Credit])))+(SUM(IF((CsDJ[Ofc Code]=(TRIM(R$7)))*(CsDJ[Account Code]=(TRIM($D10))),CsDJ[Credit])))+(SUM(IF((CRDJ[Ofc Code]=(TRIM(R$7)))*(CRDJ[Account Code]=(TRIM($D10))),CRDJ[Credit])))+(SUM(IF((GJ[Ofc Code]=(TRIM(R$7)))*(GJ[Account Code]=(TRIM($D10))),GJ[Credit]))))-((SUM(IF((CkDJ[Ofc Code]=(TRIM(R$7)))*(CkDJ[Account Code]=(TRIM($D10))),CkDJ[Debit])))+(SUM(IF((CsDJ[Ofc Code]=(TRIM(R$7)))*(CsDJ[Account Code]=(TRIM($D10))),CsDJ[Debit])))+(SUM(IF((CRDJ[Ofc Code]=(TRIM(R$7)))*(CRDJ[Account Code]=(TRIM($D10))),CRDJ[Debit])))+(SUM(IF((GJ[Ofc Code]=(TRIM(R$7)))*(GJ[Account Code]=(TRIM($D10))),GJ[Debit]))))</f>
        <v>0</v>
      </c>
      <c r="S10" s="211">
        <f t="array" ref="S10">((SUM(IF((CkDJ[Ofc Code]=(TRIM(S$7)))*(CkDJ[Account Code]=(TRIM($D10))),CkDJ[Credit])))+(SUM(IF((CsDJ[Ofc Code]=(TRIM(S$7)))*(CsDJ[Account Code]=(TRIM($D10))),CsDJ[Credit])))+(SUM(IF((CRDJ[Ofc Code]=(TRIM(S$7)))*(CRDJ[Account Code]=(TRIM($D10))),CRDJ[Credit])))+(SUM(IF((GJ[Ofc Code]=(TRIM(S$7)))*(GJ[Account Code]=(TRIM($D10))),GJ[Credit]))))-((SUM(IF((CkDJ[Ofc Code]=(TRIM(S$7)))*(CkDJ[Account Code]=(TRIM($D10))),CkDJ[Debit])))+(SUM(IF((CsDJ[Ofc Code]=(TRIM(S$7)))*(CsDJ[Account Code]=(TRIM($D10))),CsDJ[Debit])))+(SUM(IF((CRDJ[Ofc Code]=(TRIM(S$7)))*(CRDJ[Account Code]=(TRIM($D10))),CRDJ[Debit])))+(SUM(IF((GJ[Ofc Code]=(TRIM(S$7)))*(GJ[Account Code]=(TRIM($D10))),GJ[Debit]))))</f>
        <v>0</v>
      </c>
      <c r="T10" s="211">
        <f t="array" ref="T10">((SUM(IF((CkDJ[Ofc Code]=(TRIM(T$7)))*(CkDJ[Account Code]=(TRIM($D10))),CkDJ[Credit])))+(SUM(IF((CsDJ[Ofc Code]=(TRIM(T$7)))*(CsDJ[Account Code]=(TRIM($D10))),CsDJ[Credit])))+(SUM(IF((CRDJ[Ofc Code]=(TRIM(T$7)))*(CRDJ[Account Code]=(TRIM($D10))),CRDJ[Credit])))+(SUM(IF((GJ[Ofc Code]=(TRIM(T$7)))*(GJ[Account Code]=(TRIM($D10))),GJ[Credit]))))-((SUM(IF((CkDJ[Ofc Code]=(TRIM(T$7)))*(CkDJ[Account Code]=(TRIM($D10))),CkDJ[Debit])))+(SUM(IF((CsDJ[Ofc Code]=(TRIM(T$7)))*(CsDJ[Account Code]=(TRIM($D10))),CsDJ[Debit])))+(SUM(IF((CRDJ[Ofc Code]=(TRIM(T$7)))*(CRDJ[Account Code]=(TRIM($D10))),CRDJ[Debit])))+(SUM(IF((GJ[Ofc Code]=(TRIM(T$7)))*(GJ[Account Code]=(TRIM($D10))),GJ[Debit]))))</f>
        <v>0</v>
      </c>
      <c r="U10" s="211">
        <f t="shared" si="3"/>
        <v>0</v>
      </c>
      <c r="V10" s="211">
        <f t="shared" si="4"/>
        <v>0</v>
      </c>
    </row>
    <row r="11" spans="1:22" ht="15">
      <c r="A11" s="212">
        <f t="shared" si="5"/>
        <v>3</v>
      </c>
      <c r="B11" s="214"/>
      <c r="C11" s="194" t="str">
        <f t="shared" si="0"/>
        <v>Other Service Income - Irrigation Service Fee (Back Account) (MC # 54)</v>
      </c>
      <c r="D11" s="207" t="s">
        <v>721</v>
      </c>
      <c r="E11" s="211">
        <f t="array" ref="E11">((SUM(IF((CkDJ[Ofc Code]=(TRIM(E$7)))*(CkDJ[Account Code]=(TRIM($D11))),CkDJ[Credit])))+(SUM(IF((CsDJ[Ofc Code]=(TRIM(E$7)))*(CsDJ[Account Code]=(TRIM($D11))),CsDJ[Credit])))+(SUM(IF((CRDJ[Ofc Code]=(TRIM(E$7)))*(CRDJ[Account Code]=(TRIM($D11))),CRDJ[Credit])))+(SUM(IF((GJ[Ofc Code]=(TRIM(E$7)))*(GJ[Account Code]=(TRIM($D11))),GJ[Credit]))))-((SUM(IF((CkDJ[Ofc Code]=(TRIM(E$7)))*(CkDJ[Account Code]=(TRIM($D11))),CkDJ[Debit])))+(SUM(IF((CsDJ[Ofc Code]=(TRIM(E$7)))*(CsDJ[Account Code]=(TRIM($D11))),CsDJ[Debit])))+(SUM(IF((CRDJ[Ofc Code]=(TRIM(E$7)))*(CRDJ[Account Code]=(TRIM($D11))),CRDJ[Debit])))+(SUM(IF((GJ[Ofc Code]=(TRIM(E$7)))*(GJ[Account Code]=(TRIM($D11))),GJ[Debit]))))</f>
        <v>0</v>
      </c>
      <c r="F11" s="211">
        <f t="array" ref="F11">((SUM(IF((CkDJ[Ofc Code]=(TRIM(F$7)))*(CkDJ[Account Code]=(TRIM($D11))),CkDJ[Credit])))+(SUM(IF((CsDJ[Ofc Code]=(TRIM(F$7)))*(CsDJ[Account Code]=(TRIM($D11))),CsDJ[Credit])))+(SUM(IF((CRDJ[Ofc Code]=(TRIM(F$7)))*(CRDJ[Account Code]=(TRIM($D11))),CRDJ[Credit])))+(SUM(IF((GJ[Ofc Code]=(TRIM(F$7)))*(GJ[Account Code]=(TRIM($D11))),GJ[Credit]))))-((SUM(IF((CkDJ[Ofc Code]=(TRIM(F$7)))*(CkDJ[Account Code]=(TRIM($D11))),CkDJ[Debit])))+(SUM(IF((CsDJ[Ofc Code]=(TRIM(F$7)))*(CsDJ[Account Code]=(TRIM($D11))),CsDJ[Debit])))+(SUM(IF((CRDJ[Ofc Code]=(TRIM(F$7)))*(CRDJ[Account Code]=(TRIM($D11))),CRDJ[Debit])))+(SUM(IF((GJ[Ofc Code]=(TRIM(F$7)))*(GJ[Account Code]=(TRIM($D11))),GJ[Debit]))))</f>
        <v>0</v>
      </c>
      <c r="G11" s="211">
        <f t="array" ref="G11">((SUM(IF((CkDJ[Ofc Code]=(TRIM(G$7)))*(CkDJ[Account Code]=(TRIM($D11))),CkDJ[Credit])))+(SUM(IF((CsDJ[Ofc Code]=(TRIM(G$7)))*(CsDJ[Account Code]=(TRIM($D11))),CsDJ[Credit])))+(SUM(IF((CRDJ[Ofc Code]=(TRIM(G$7)))*(CRDJ[Account Code]=(TRIM($D11))),CRDJ[Credit])))+(SUM(IF((GJ[Ofc Code]=(TRIM(G$7)))*(GJ[Account Code]=(TRIM($D11))),GJ[Credit]))))-((SUM(IF((CkDJ[Ofc Code]=(TRIM(G$7)))*(CkDJ[Account Code]=(TRIM($D11))),CkDJ[Debit])))+(SUM(IF((CsDJ[Ofc Code]=(TRIM(G$7)))*(CsDJ[Account Code]=(TRIM($D11))),CsDJ[Debit])))+(SUM(IF((CRDJ[Ofc Code]=(TRIM(G$7)))*(CRDJ[Account Code]=(TRIM($D11))),CRDJ[Debit])))+(SUM(IF((GJ[Ofc Code]=(TRIM(G$7)))*(GJ[Account Code]=(TRIM($D11))),GJ[Debit]))))</f>
        <v>0</v>
      </c>
      <c r="H11" s="211">
        <f t="array" ref="H11">((SUM(IF((CkDJ[Ofc Code]=(TRIM(H$7)))*(CkDJ[Account Code]=(TRIM($D11))),CkDJ[Credit])))+(SUM(IF((CsDJ[Ofc Code]=(TRIM(H$7)))*(CsDJ[Account Code]=(TRIM($D11))),CsDJ[Credit])))+(SUM(IF((CRDJ[Ofc Code]=(TRIM(H$7)))*(CRDJ[Account Code]=(TRIM($D11))),CRDJ[Credit])))+(SUM(IF((GJ[Ofc Code]=(TRIM(H$7)))*(GJ[Account Code]=(TRIM($D11))),GJ[Credit]))))-((SUM(IF((CkDJ[Ofc Code]=(TRIM(H$7)))*(CkDJ[Account Code]=(TRIM($D11))),CkDJ[Debit])))+(SUM(IF((CsDJ[Ofc Code]=(TRIM(H$7)))*(CsDJ[Account Code]=(TRIM($D11))),CsDJ[Debit])))+(SUM(IF((CRDJ[Ofc Code]=(TRIM(H$7)))*(CRDJ[Account Code]=(TRIM($D11))),CRDJ[Debit])))+(SUM(IF((GJ[Ofc Code]=(TRIM(H$7)))*(GJ[Account Code]=(TRIM($D11))),GJ[Debit]))))</f>
        <v>0</v>
      </c>
      <c r="I11" s="211">
        <f t="array" ref="I11">((SUM(IF((CkDJ[Ofc Code]=(TRIM(I$7)))*(CkDJ[Account Code]=(TRIM($D11))),CkDJ[Credit])))+(SUM(IF((CsDJ[Ofc Code]=(TRIM(I$7)))*(CsDJ[Account Code]=(TRIM($D11))),CsDJ[Credit])))+(SUM(IF((CRDJ[Ofc Code]=(TRIM(I$7)))*(CRDJ[Account Code]=(TRIM($D11))),CRDJ[Credit])))+(SUM(IF((GJ[Ofc Code]=(TRIM(I$7)))*(GJ[Account Code]=(TRIM($D11))),GJ[Credit]))))-((SUM(IF((CkDJ[Ofc Code]=(TRIM(I$7)))*(CkDJ[Account Code]=(TRIM($D11))),CkDJ[Debit])))+(SUM(IF((CsDJ[Ofc Code]=(TRIM(I$7)))*(CsDJ[Account Code]=(TRIM($D11))),CsDJ[Debit])))+(SUM(IF((CRDJ[Ofc Code]=(TRIM(I$7)))*(CRDJ[Account Code]=(TRIM($D11))),CRDJ[Debit])))+(SUM(IF((GJ[Ofc Code]=(TRIM(I$7)))*(GJ[Account Code]=(TRIM($D11))),GJ[Debit]))))</f>
        <v>0</v>
      </c>
      <c r="J11" s="211">
        <f t="shared" si="1"/>
        <v>0</v>
      </c>
      <c r="K11" s="211">
        <f t="array" ref="K11">((SUM(IF((CkDJ[Ofc Code]=(TRIM(K$7)))*(CkDJ[Account Code]=(TRIM($D11))),CkDJ[Credit])))+(SUM(IF((CsDJ[Ofc Code]=(TRIM(K$7)))*(CsDJ[Account Code]=(TRIM($D11))),CsDJ[Credit])))+(SUM(IF((CRDJ[Ofc Code]=(TRIM(K$7)))*(CRDJ[Account Code]=(TRIM($D11))),CRDJ[Credit])))+(SUM(IF((GJ[Ofc Code]=(TRIM(K$7)))*(GJ[Account Code]=(TRIM($D11))),GJ[Credit]))))-((SUM(IF((CkDJ[Ofc Code]=(TRIM(K$7)))*(CkDJ[Account Code]=(TRIM($D11))),CkDJ[Debit])))+(SUM(IF((CsDJ[Ofc Code]=(TRIM(K$7)))*(CsDJ[Account Code]=(TRIM($D11))),CsDJ[Debit])))+(SUM(IF((CRDJ[Ofc Code]=(TRIM(K$7)))*(CRDJ[Account Code]=(TRIM($D11))),CRDJ[Debit])))+(SUM(IF((GJ[Ofc Code]=(TRIM(K$7)))*(GJ[Account Code]=(TRIM($D11))),GJ[Debit]))))</f>
        <v>0</v>
      </c>
      <c r="L11" s="211">
        <f t="array" ref="L11">((SUM(IF((CkDJ[Ofc Code]=(TRIM(L$7)))*(CkDJ[Account Code]=(TRIM($D11))),CkDJ[Credit])))+(SUM(IF((CsDJ[Ofc Code]=(TRIM(L$7)))*(CsDJ[Account Code]=(TRIM($D11))),CsDJ[Credit])))+(SUM(IF((CRDJ[Ofc Code]=(TRIM(L$7)))*(CRDJ[Account Code]=(TRIM($D11))),CRDJ[Credit])))+(SUM(IF((GJ[Ofc Code]=(TRIM(L$7)))*(GJ[Account Code]=(TRIM($D11))),GJ[Credit]))))-((SUM(IF((CkDJ[Ofc Code]=(TRIM(L$7)))*(CkDJ[Account Code]=(TRIM($D11))),CkDJ[Debit])))+(SUM(IF((CsDJ[Ofc Code]=(TRIM(L$7)))*(CsDJ[Account Code]=(TRIM($D11))),CsDJ[Debit])))+(SUM(IF((CRDJ[Ofc Code]=(TRIM(L$7)))*(CRDJ[Account Code]=(TRIM($D11))),CRDJ[Debit])))+(SUM(IF((GJ[Ofc Code]=(TRIM(L$7)))*(GJ[Account Code]=(TRIM($D11))),GJ[Debit]))))</f>
        <v>0</v>
      </c>
      <c r="M11" s="211">
        <f t="array" ref="M11">((SUM(IF((CkDJ[Ofc Code]=(TRIM(M$7)))*(CkDJ[Account Code]=(TRIM($D11))),CkDJ[Credit])))+(SUM(IF((CsDJ[Ofc Code]=(TRIM(M$7)))*(CsDJ[Account Code]=(TRIM($D11))),CsDJ[Credit])))+(SUM(IF((CRDJ[Ofc Code]=(TRIM(M$7)))*(CRDJ[Account Code]=(TRIM($D11))),CRDJ[Credit])))+(SUM(IF((GJ[Ofc Code]=(TRIM(M$7)))*(GJ[Account Code]=(TRIM($D11))),GJ[Credit]))))-((SUM(IF((CkDJ[Ofc Code]=(TRIM(M$7)))*(CkDJ[Account Code]=(TRIM($D11))),CkDJ[Debit])))+(SUM(IF((CsDJ[Ofc Code]=(TRIM(M$7)))*(CsDJ[Account Code]=(TRIM($D11))),CsDJ[Debit])))+(SUM(IF((CRDJ[Ofc Code]=(TRIM(M$7)))*(CRDJ[Account Code]=(TRIM($D11))),CRDJ[Debit])))+(SUM(IF((GJ[Ofc Code]=(TRIM(M$7)))*(GJ[Account Code]=(TRIM($D11))),GJ[Debit]))))</f>
        <v>0</v>
      </c>
      <c r="N11" s="211">
        <f t="array" ref="N11">((SUM(IF((CkDJ[Ofc Code]=(TRIM(N$7)))*(CkDJ[Account Code]=(TRIM($D11))),CkDJ[Credit])))+(SUM(IF((CsDJ[Ofc Code]=(TRIM(N$7)))*(CsDJ[Account Code]=(TRIM($D11))),CsDJ[Credit])))+(SUM(IF((CRDJ[Ofc Code]=(TRIM(N$7)))*(CRDJ[Account Code]=(TRIM($D11))),CRDJ[Credit])))+(SUM(IF((GJ[Ofc Code]=(TRIM(N$7)))*(GJ[Account Code]=(TRIM($D11))),GJ[Credit]))))-((SUM(IF((CkDJ[Ofc Code]=(TRIM(N$7)))*(CkDJ[Account Code]=(TRIM($D11))),CkDJ[Debit])))+(SUM(IF((CsDJ[Ofc Code]=(TRIM(N$7)))*(CsDJ[Account Code]=(TRIM($D11))),CsDJ[Debit])))+(SUM(IF((CRDJ[Ofc Code]=(TRIM(N$7)))*(CRDJ[Account Code]=(TRIM($D11))),CRDJ[Debit])))+(SUM(IF((GJ[Ofc Code]=(TRIM(N$7)))*(GJ[Account Code]=(TRIM($D11))),GJ[Debit]))))</f>
        <v>0</v>
      </c>
      <c r="O11" s="211">
        <f t="shared" si="2"/>
        <v>0</v>
      </c>
      <c r="P11" s="211">
        <f t="array" ref="P11">((SUM(IF((CkDJ[Ofc Code]=(TRIM(P$7)))*(CkDJ[Account Code]=(TRIM($D11))),CkDJ[Credit])))+(SUM(IF((CsDJ[Ofc Code]=(TRIM(P$7)))*(CsDJ[Account Code]=(TRIM($D11))),CsDJ[Credit])))+(SUM(IF((CRDJ[Ofc Code]=(TRIM(P$7)))*(CRDJ[Account Code]=(TRIM($D11))),CRDJ[Credit])))+(SUM(IF((GJ[Ofc Code]=(TRIM(P$7)))*(GJ[Account Code]=(TRIM($D11))),GJ[Credit]))))-((SUM(IF((CkDJ[Ofc Code]=(TRIM(P$7)))*(CkDJ[Account Code]=(TRIM($D11))),CkDJ[Debit])))+(SUM(IF((CsDJ[Ofc Code]=(TRIM(P$7)))*(CsDJ[Account Code]=(TRIM($D11))),CsDJ[Debit])))+(SUM(IF((CRDJ[Ofc Code]=(TRIM(P$7)))*(CRDJ[Account Code]=(TRIM($D11))),CRDJ[Debit])))+(SUM(IF((GJ[Ofc Code]=(TRIM(P$7)))*(GJ[Account Code]=(TRIM($D11))),GJ[Debit]))))</f>
        <v>0</v>
      </c>
      <c r="Q11" s="211">
        <f t="array" ref="Q11">((SUM(IF((CkDJ[Ofc Code]=(TRIM(Q$7)))*(CkDJ[Account Code]=(TRIM($D11))),CkDJ[Credit])))+(SUM(IF((CsDJ[Ofc Code]=(TRIM(Q$7)))*(CsDJ[Account Code]=(TRIM($D11))),CsDJ[Credit])))+(SUM(IF((CRDJ[Ofc Code]=(TRIM(Q$7)))*(CRDJ[Account Code]=(TRIM($D11))),CRDJ[Credit])))+(SUM(IF((GJ[Ofc Code]=(TRIM(Q$7)))*(GJ[Account Code]=(TRIM($D11))),GJ[Credit]))))-((SUM(IF((CkDJ[Ofc Code]=(TRIM(Q$7)))*(CkDJ[Account Code]=(TRIM($D11))),CkDJ[Debit])))+(SUM(IF((CsDJ[Ofc Code]=(TRIM(Q$7)))*(CsDJ[Account Code]=(TRIM($D11))),CsDJ[Debit])))+(SUM(IF((CRDJ[Ofc Code]=(TRIM(Q$7)))*(CRDJ[Account Code]=(TRIM($D11))),CRDJ[Debit])))+(SUM(IF((GJ[Ofc Code]=(TRIM(Q$7)))*(GJ[Account Code]=(TRIM($D11))),GJ[Debit]))))</f>
        <v>0</v>
      </c>
      <c r="R11" s="211">
        <f t="array" ref="R11">((SUM(IF((CkDJ[Ofc Code]=(TRIM(R$7)))*(CkDJ[Account Code]=(TRIM($D11))),CkDJ[Credit])))+(SUM(IF((CsDJ[Ofc Code]=(TRIM(R$7)))*(CsDJ[Account Code]=(TRIM($D11))),CsDJ[Credit])))+(SUM(IF((CRDJ[Ofc Code]=(TRIM(R$7)))*(CRDJ[Account Code]=(TRIM($D11))),CRDJ[Credit])))+(SUM(IF((GJ[Ofc Code]=(TRIM(R$7)))*(GJ[Account Code]=(TRIM($D11))),GJ[Credit]))))-((SUM(IF((CkDJ[Ofc Code]=(TRIM(R$7)))*(CkDJ[Account Code]=(TRIM($D11))),CkDJ[Debit])))+(SUM(IF((CsDJ[Ofc Code]=(TRIM(R$7)))*(CsDJ[Account Code]=(TRIM($D11))),CsDJ[Debit])))+(SUM(IF((CRDJ[Ofc Code]=(TRIM(R$7)))*(CRDJ[Account Code]=(TRIM($D11))),CRDJ[Debit])))+(SUM(IF((GJ[Ofc Code]=(TRIM(R$7)))*(GJ[Account Code]=(TRIM($D11))),GJ[Debit]))))</f>
        <v>0</v>
      </c>
      <c r="S11" s="211">
        <f t="array" ref="S11">((SUM(IF((CkDJ[Ofc Code]=(TRIM(S$7)))*(CkDJ[Account Code]=(TRIM($D11))),CkDJ[Credit])))+(SUM(IF((CsDJ[Ofc Code]=(TRIM(S$7)))*(CsDJ[Account Code]=(TRIM($D11))),CsDJ[Credit])))+(SUM(IF((CRDJ[Ofc Code]=(TRIM(S$7)))*(CRDJ[Account Code]=(TRIM($D11))),CRDJ[Credit])))+(SUM(IF((GJ[Ofc Code]=(TRIM(S$7)))*(GJ[Account Code]=(TRIM($D11))),GJ[Credit]))))-((SUM(IF((CkDJ[Ofc Code]=(TRIM(S$7)))*(CkDJ[Account Code]=(TRIM($D11))),CkDJ[Debit])))+(SUM(IF((CsDJ[Ofc Code]=(TRIM(S$7)))*(CsDJ[Account Code]=(TRIM($D11))),CsDJ[Debit])))+(SUM(IF((CRDJ[Ofc Code]=(TRIM(S$7)))*(CRDJ[Account Code]=(TRIM($D11))),CRDJ[Debit])))+(SUM(IF((GJ[Ofc Code]=(TRIM(S$7)))*(GJ[Account Code]=(TRIM($D11))),GJ[Debit]))))</f>
        <v>0</v>
      </c>
      <c r="T11" s="211">
        <f t="array" ref="T11">((SUM(IF((CkDJ[Ofc Code]=(TRIM(T$7)))*(CkDJ[Account Code]=(TRIM($D11))),CkDJ[Credit])))+(SUM(IF((CsDJ[Ofc Code]=(TRIM(T$7)))*(CsDJ[Account Code]=(TRIM($D11))),CsDJ[Credit])))+(SUM(IF((CRDJ[Ofc Code]=(TRIM(T$7)))*(CRDJ[Account Code]=(TRIM($D11))),CRDJ[Credit])))+(SUM(IF((GJ[Ofc Code]=(TRIM(T$7)))*(GJ[Account Code]=(TRIM($D11))),GJ[Credit]))))-((SUM(IF((CkDJ[Ofc Code]=(TRIM(T$7)))*(CkDJ[Account Code]=(TRIM($D11))),CkDJ[Debit])))+(SUM(IF((CsDJ[Ofc Code]=(TRIM(T$7)))*(CsDJ[Account Code]=(TRIM($D11))),CsDJ[Debit])))+(SUM(IF((CRDJ[Ofc Code]=(TRIM(T$7)))*(CRDJ[Account Code]=(TRIM($D11))),CRDJ[Debit])))+(SUM(IF((GJ[Ofc Code]=(TRIM(T$7)))*(GJ[Account Code]=(TRIM($D11))),GJ[Debit]))))</f>
        <v>0</v>
      </c>
      <c r="U11" s="211">
        <f t="shared" si="3"/>
        <v>0</v>
      </c>
      <c r="V11" s="211">
        <f t="shared" si="4"/>
        <v>0</v>
      </c>
    </row>
    <row r="12" spans="1:22" ht="15">
      <c r="A12" s="212">
        <f t="shared" si="5"/>
        <v>4</v>
      </c>
      <c r="B12" s="214"/>
      <c r="C12" s="194" t="str">
        <f>IF(D12=0,"",(VLOOKUP((TRIM(D12)),Code,2,)))</f>
        <v>Other Service Income - CIS Equity &amp; Amortization</v>
      </c>
      <c r="D12" s="207" t="s">
        <v>127</v>
      </c>
      <c r="E12" s="211">
        <f t="array" ref="E12">((SUM(IF((CkDJ[Ofc Code]=(TRIM(E$7)))*(CkDJ[Account Code]=(TRIM($D12))),CkDJ[Credit])))+(SUM(IF((CsDJ[Ofc Code]=(TRIM(E$7)))*(CsDJ[Account Code]=(TRIM($D12))),CsDJ[Credit])))+(SUM(IF((CRDJ[Ofc Code]=(TRIM(E$7)))*(CRDJ[Account Code]=(TRIM($D12))),CRDJ[Credit])))+(SUM(IF((GJ[Ofc Code]=(TRIM(E$7)))*(GJ[Account Code]=(TRIM($D12))),GJ[Credit]))))-((SUM(IF((CkDJ[Ofc Code]=(TRIM(E$7)))*(CkDJ[Account Code]=(TRIM($D12))),CkDJ[Debit])))+(SUM(IF((CsDJ[Ofc Code]=(TRIM(E$7)))*(CsDJ[Account Code]=(TRIM($D12))),CsDJ[Debit])))+(SUM(IF((CRDJ[Ofc Code]=(TRIM(E$7)))*(CRDJ[Account Code]=(TRIM($D12))),CRDJ[Debit])))+(SUM(IF((GJ[Ofc Code]=(TRIM(E$7)))*(GJ[Account Code]=(TRIM($D12))),GJ[Debit]))))</f>
        <v>0</v>
      </c>
      <c r="F12" s="211">
        <f t="array" ref="F12">((SUM(IF((CkDJ[Ofc Code]=(TRIM(F$7)))*(CkDJ[Account Code]=(TRIM($D12))),CkDJ[Credit])))+(SUM(IF((CsDJ[Ofc Code]=(TRIM(F$7)))*(CsDJ[Account Code]=(TRIM($D12))),CsDJ[Credit])))+(SUM(IF((CRDJ[Ofc Code]=(TRIM(F$7)))*(CRDJ[Account Code]=(TRIM($D12))),CRDJ[Credit])))+(SUM(IF((GJ[Ofc Code]=(TRIM(F$7)))*(GJ[Account Code]=(TRIM($D12))),GJ[Credit]))))-((SUM(IF((CkDJ[Ofc Code]=(TRIM(F$7)))*(CkDJ[Account Code]=(TRIM($D12))),CkDJ[Debit])))+(SUM(IF((CsDJ[Ofc Code]=(TRIM(F$7)))*(CsDJ[Account Code]=(TRIM($D12))),CsDJ[Debit])))+(SUM(IF((CRDJ[Ofc Code]=(TRIM(F$7)))*(CRDJ[Account Code]=(TRIM($D12))),CRDJ[Debit])))+(SUM(IF((GJ[Ofc Code]=(TRIM(F$7)))*(GJ[Account Code]=(TRIM($D12))),GJ[Debit]))))</f>
        <v>0</v>
      </c>
      <c r="G12" s="211">
        <f t="array" ref="G12">((SUM(IF((CkDJ[Ofc Code]=(TRIM(G$7)))*(CkDJ[Account Code]=(TRIM($D12))),CkDJ[Credit])))+(SUM(IF((CsDJ[Ofc Code]=(TRIM(G$7)))*(CsDJ[Account Code]=(TRIM($D12))),CsDJ[Credit])))+(SUM(IF((CRDJ[Ofc Code]=(TRIM(G$7)))*(CRDJ[Account Code]=(TRIM($D12))),CRDJ[Credit])))+(SUM(IF((GJ[Ofc Code]=(TRIM(G$7)))*(GJ[Account Code]=(TRIM($D12))),GJ[Credit]))))-((SUM(IF((CkDJ[Ofc Code]=(TRIM(G$7)))*(CkDJ[Account Code]=(TRIM($D12))),CkDJ[Debit])))+(SUM(IF((CsDJ[Ofc Code]=(TRIM(G$7)))*(CsDJ[Account Code]=(TRIM($D12))),CsDJ[Debit])))+(SUM(IF((CRDJ[Ofc Code]=(TRIM(G$7)))*(CRDJ[Account Code]=(TRIM($D12))),CRDJ[Debit])))+(SUM(IF((GJ[Ofc Code]=(TRIM(G$7)))*(GJ[Account Code]=(TRIM($D12))),GJ[Debit]))))</f>
        <v>0</v>
      </c>
      <c r="H12" s="211">
        <f t="array" ref="H12">((SUM(IF((CkDJ[Ofc Code]=(TRIM(H$7)))*(CkDJ[Account Code]=(TRIM($D12))),CkDJ[Credit])))+(SUM(IF((CsDJ[Ofc Code]=(TRIM(H$7)))*(CsDJ[Account Code]=(TRIM($D12))),CsDJ[Credit])))+(SUM(IF((CRDJ[Ofc Code]=(TRIM(H$7)))*(CRDJ[Account Code]=(TRIM($D12))),CRDJ[Credit])))+(SUM(IF((GJ[Ofc Code]=(TRIM(H$7)))*(GJ[Account Code]=(TRIM($D12))),GJ[Credit]))))-((SUM(IF((CkDJ[Ofc Code]=(TRIM(H$7)))*(CkDJ[Account Code]=(TRIM($D12))),CkDJ[Debit])))+(SUM(IF((CsDJ[Ofc Code]=(TRIM(H$7)))*(CsDJ[Account Code]=(TRIM($D12))),CsDJ[Debit])))+(SUM(IF((CRDJ[Ofc Code]=(TRIM(H$7)))*(CRDJ[Account Code]=(TRIM($D12))),CRDJ[Debit])))+(SUM(IF((GJ[Ofc Code]=(TRIM(H$7)))*(GJ[Account Code]=(TRIM($D12))),GJ[Debit]))))</f>
        <v>0</v>
      </c>
      <c r="I12" s="211">
        <f t="array" ref="I12">((SUM(IF((CkDJ[Ofc Code]=(TRIM(I$7)))*(CkDJ[Account Code]=(TRIM($D12))),CkDJ[Credit])))+(SUM(IF((CsDJ[Ofc Code]=(TRIM(I$7)))*(CsDJ[Account Code]=(TRIM($D12))),CsDJ[Credit])))+(SUM(IF((CRDJ[Ofc Code]=(TRIM(I$7)))*(CRDJ[Account Code]=(TRIM($D12))),CRDJ[Credit])))+(SUM(IF((GJ[Ofc Code]=(TRIM(I$7)))*(GJ[Account Code]=(TRIM($D12))),GJ[Credit]))))-((SUM(IF((CkDJ[Ofc Code]=(TRIM(I$7)))*(CkDJ[Account Code]=(TRIM($D12))),CkDJ[Debit])))+(SUM(IF((CsDJ[Ofc Code]=(TRIM(I$7)))*(CsDJ[Account Code]=(TRIM($D12))),CsDJ[Debit])))+(SUM(IF((CRDJ[Ofc Code]=(TRIM(I$7)))*(CRDJ[Account Code]=(TRIM($D12))),CRDJ[Debit])))+(SUM(IF((GJ[Ofc Code]=(TRIM(I$7)))*(GJ[Account Code]=(TRIM($D12))),GJ[Debit]))))</f>
        <v>0</v>
      </c>
      <c r="J12" s="211">
        <f>SUM(F12:I12)</f>
        <v>0</v>
      </c>
      <c r="K12" s="211">
        <f t="array" ref="K12">((SUM(IF((CkDJ[Ofc Code]=(TRIM(K$7)))*(CkDJ[Account Code]=(TRIM($D12))),CkDJ[Credit])))+(SUM(IF((CsDJ[Ofc Code]=(TRIM(K$7)))*(CsDJ[Account Code]=(TRIM($D12))),CsDJ[Credit])))+(SUM(IF((CRDJ[Ofc Code]=(TRIM(K$7)))*(CRDJ[Account Code]=(TRIM($D12))),CRDJ[Credit])))+(SUM(IF((GJ[Ofc Code]=(TRIM(K$7)))*(GJ[Account Code]=(TRIM($D12))),GJ[Credit]))))-((SUM(IF((CkDJ[Ofc Code]=(TRIM(K$7)))*(CkDJ[Account Code]=(TRIM($D12))),CkDJ[Debit])))+(SUM(IF((CsDJ[Ofc Code]=(TRIM(K$7)))*(CsDJ[Account Code]=(TRIM($D12))),CsDJ[Debit])))+(SUM(IF((CRDJ[Ofc Code]=(TRIM(K$7)))*(CRDJ[Account Code]=(TRIM($D12))),CRDJ[Debit])))+(SUM(IF((GJ[Ofc Code]=(TRIM(K$7)))*(GJ[Account Code]=(TRIM($D12))),GJ[Debit]))))</f>
        <v>0</v>
      </c>
      <c r="L12" s="211">
        <f t="array" ref="L12">((SUM(IF((CkDJ[Ofc Code]=(TRIM(L$7)))*(CkDJ[Account Code]=(TRIM($D12))),CkDJ[Credit])))+(SUM(IF((CsDJ[Ofc Code]=(TRIM(L$7)))*(CsDJ[Account Code]=(TRIM($D12))),CsDJ[Credit])))+(SUM(IF((CRDJ[Ofc Code]=(TRIM(L$7)))*(CRDJ[Account Code]=(TRIM($D12))),CRDJ[Credit])))+(SUM(IF((GJ[Ofc Code]=(TRIM(L$7)))*(GJ[Account Code]=(TRIM($D12))),GJ[Credit]))))-((SUM(IF((CkDJ[Ofc Code]=(TRIM(L$7)))*(CkDJ[Account Code]=(TRIM($D12))),CkDJ[Debit])))+(SUM(IF((CsDJ[Ofc Code]=(TRIM(L$7)))*(CsDJ[Account Code]=(TRIM($D12))),CsDJ[Debit])))+(SUM(IF((CRDJ[Ofc Code]=(TRIM(L$7)))*(CRDJ[Account Code]=(TRIM($D12))),CRDJ[Debit])))+(SUM(IF((GJ[Ofc Code]=(TRIM(L$7)))*(GJ[Account Code]=(TRIM($D12))),GJ[Debit]))))</f>
        <v>0</v>
      </c>
      <c r="M12" s="211">
        <f t="array" ref="M12">((SUM(IF((CkDJ[Ofc Code]=(TRIM(M$7)))*(CkDJ[Account Code]=(TRIM($D12))),CkDJ[Credit])))+(SUM(IF((CsDJ[Ofc Code]=(TRIM(M$7)))*(CsDJ[Account Code]=(TRIM($D12))),CsDJ[Credit])))+(SUM(IF((CRDJ[Ofc Code]=(TRIM(M$7)))*(CRDJ[Account Code]=(TRIM($D12))),CRDJ[Credit])))+(SUM(IF((GJ[Ofc Code]=(TRIM(M$7)))*(GJ[Account Code]=(TRIM($D12))),GJ[Credit]))))-((SUM(IF((CkDJ[Ofc Code]=(TRIM(M$7)))*(CkDJ[Account Code]=(TRIM($D12))),CkDJ[Debit])))+(SUM(IF((CsDJ[Ofc Code]=(TRIM(M$7)))*(CsDJ[Account Code]=(TRIM($D12))),CsDJ[Debit])))+(SUM(IF((CRDJ[Ofc Code]=(TRIM(M$7)))*(CRDJ[Account Code]=(TRIM($D12))),CRDJ[Debit])))+(SUM(IF((GJ[Ofc Code]=(TRIM(M$7)))*(GJ[Account Code]=(TRIM($D12))),GJ[Debit]))))</f>
        <v>0</v>
      </c>
      <c r="N12" s="211">
        <f t="array" ref="N12">((SUM(IF((CkDJ[Ofc Code]=(TRIM(N$7)))*(CkDJ[Account Code]=(TRIM($D12))),CkDJ[Credit])))+(SUM(IF((CsDJ[Ofc Code]=(TRIM(N$7)))*(CsDJ[Account Code]=(TRIM($D12))),CsDJ[Credit])))+(SUM(IF((CRDJ[Ofc Code]=(TRIM(N$7)))*(CRDJ[Account Code]=(TRIM($D12))),CRDJ[Credit])))+(SUM(IF((GJ[Ofc Code]=(TRIM(N$7)))*(GJ[Account Code]=(TRIM($D12))),GJ[Credit]))))-((SUM(IF((CkDJ[Ofc Code]=(TRIM(N$7)))*(CkDJ[Account Code]=(TRIM($D12))),CkDJ[Debit])))+(SUM(IF((CsDJ[Ofc Code]=(TRIM(N$7)))*(CsDJ[Account Code]=(TRIM($D12))),CsDJ[Debit])))+(SUM(IF((CRDJ[Ofc Code]=(TRIM(N$7)))*(CRDJ[Account Code]=(TRIM($D12))),CRDJ[Debit])))+(SUM(IF((GJ[Ofc Code]=(TRIM(N$7)))*(GJ[Account Code]=(TRIM($D12))),GJ[Debit]))))</f>
        <v>0</v>
      </c>
      <c r="O12" s="211">
        <f>SUM(K12:N12)</f>
        <v>0</v>
      </c>
      <c r="P12" s="211">
        <f t="array" ref="P12">((SUM(IF((CkDJ[Ofc Code]=(TRIM(P$7)))*(CkDJ[Account Code]=(TRIM($D12))),CkDJ[Credit])))+(SUM(IF((CsDJ[Ofc Code]=(TRIM(P$7)))*(CsDJ[Account Code]=(TRIM($D12))),CsDJ[Credit])))+(SUM(IF((CRDJ[Ofc Code]=(TRIM(P$7)))*(CRDJ[Account Code]=(TRIM($D12))),CRDJ[Credit])))+(SUM(IF((GJ[Ofc Code]=(TRIM(P$7)))*(GJ[Account Code]=(TRIM($D12))),GJ[Credit]))))-((SUM(IF((CkDJ[Ofc Code]=(TRIM(P$7)))*(CkDJ[Account Code]=(TRIM($D12))),CkDJ[Debit])))+(SUM(IF((CsDJ[Ofc Code]=(TRIM(P$7)))*(CsDJ[Account Code]=(TRIM($D12))),CsDJ[Debit])))+(SUM(IF((CRDJ[Ofc Code]=(TRIM(P$7)))*(CRDJ[Account Code]=(TRIM($D12))),CRDJ[Debit])))+(SUM(IF((GJ[Ofc Code]=(TRIM(P$7)))*(GJ[Account Code]=(TRIM($D12))),GJ[Debit]))))</f>
        <v>0</v>
      </c>
      <c r="Q12" s="211">
        <f t="array" ref="Q12">((SUM(IF((CkDJ[Ofc Code]=(TRIM(Q$7)))*(CkDJ[Account Code]=(TRIM($D12))),CkDJ[Credit])))+(SUM(IF((CsDJ[Ofc Code]=(TRIM(Q$7)))*(CsDJ[Account Code]=(TRIM($D12))),CsDJ[Credit])))+(SUM(IF((CRDJ[Ofc Code]=(TRIM(Q$7)))*(CRDJ[Account Code]=(TRIM($D12))),CRDJ[Credit])))+(SUM(IF((GJ[Ofc Code]=(TRIM(Q$7)))*(GJ[Account Code]=(TRIM($D12))),GJ[Credit]))))-((SUM(IF((CkDJ[Ofc Code]=(TRIM(Q$7)))*(CkDJ[Account Code]=(TRIM($D12))),CkDJ[Debit])))+(SUM(IF((CsDJ[Ofc Code]=(TRIM(Q$7)))*(CsDJ[Account Code]=(TRIM($D12))),CsDJ[Debit])))+(SUM(IF((CRDJ[Ofc Code]=(TRIM(Q$7)))*(CRDJ[Account Code]=(TRIM($D12))),CRDJ[Debit])))+(SUM(IF((GJ[Ofc Code]=(TRIM(Q$7)))*(GJ[Account Code]=(TRIM($D12))),GJ[Debit]))))</f>
        <v>0</v>
      </c>
      <c r="R12" s="211">
        <f t="array" ref="R12">((SUM(IF((CkDJ[Ofc Code]=(TRIM(R$7)))*(CkDJ[Account Code]=(TRIM($D12))),CkDJ[Credit])))+(SUM(IF((CsDJ[Ofc Code]=(TRIM(R$7)))*(CsDJ[Account Code]=(TRIM($D12))),CsDJ[Credit])))+(SUM(IF((CRDJ[Ofc Code]=(TRIM(R$7)))*(CRDJ[Account Code]=(TRIM($D12))),CRDJ[Credit])))+(SUM(IF((GJ[Ofc Code]=(TRIM(R$7)))*(GJ[Account Code]=(TRIM($D12))),GJ[Credit]))))-((SUM(IF((CkDJ[Ofc Code]=(TRIM(R$7)))*(CkDJ[Account Code]=(TRIM($D12))),CkDJ[Debit])))+(SUM(IF((CsDJ[Ofc Code]=(TRIM(R$7)))*(CsDJ[Account Code]=(TRIM($D12))),CsDJ[Debit])))+(SUM(IF((CRDJ[Ofc Code]=(TRIM(R$7)))*(CRDJ[Account Code]=(TRIM($D12))),CRDJ[Debit])))+(SUM(IF((GJ[Ofc Code]=(TRIM(R$7)))*(GJ[Account Code]=(TRIM($D12))),GJ[Debit]))))</f>
        <v>0</v>
      </c>
      <c r="S12" s="211">
        <f t="array" ref="S12">((SUM(IF((CkDJ[Ofc Code]=(TRIM(S$7)))*(CkDJ[Account Code]=(TRIM($D12))),CkDJ[Credit])))+(SUM(IF((CsDJ[Ofc Code]=(TRIM(S$7)))*(CsDJ[Account Code]=(TRIM($D12))),CsDJ[Credit])))+(SUM(IF((CRDJ[Ofc Code]=(TRIM(S$7)))*(CRDJ[Account Code]=(TRIM($D12))),CRDJ[Credit])))+(SUM(IF((GJ[Ofc Code]=(TRIM(S$7)))*(GJ[Account Code]=(TRIM($D12))),GJ[Credit]))))-((SUM(IF((CkDJ[Ofc Code]=(TRIM(S$7)))*(CkDJ[Account Code]=(TRIM($D12))),CkDJ[Debit])))+(SUM(IF((CsDJ[Ofc Code]=(TRIM(S$7)))*(CsDJ[Account Code]=(TRIM($D12))),CsDJ[Debit])))+(SUM(IF((CRDJ[Ofc Code]=(TRIM(S$7)))*(CRDJ[Account Code]=(TRIM($D12))),CRDJ[Debit])))+(SUM(IF((GJ[Ofc Code]=(TRIM(S$7)))*(GJ[Account Code]=(TRIM($D12))),GJ[Debit]))))</f>
        <v>0</v>
      </c>
      <c r="T12" s="211">
        <f t="array" ref="T12">((SUM(IF((CkDJ[Ofc Code]=(TRIM(T$7)))*(CkDJ[Account Code]=(TRIM($D12))),CkDJ[Credit])))+(SUM(IF((CsDJ[Ofc Code]=(TRIM(T$7)))*(CsDJ[Account Code]=(TRIM($D12))),CsDJ[Credit])))+(SUM(IF((CRDJ[Ofc Code]=(TRIM(T$7)))*(CRDJ[Account Code]=(TRIM($D12))),CRDJ[Credit])))+(SUM(IF((GJ[Ofc Code]=(TRIM(T$7)))*(GJ[Account Code]=(TRIM($D12))),GJ[Credit]))))-((SUM(IF((CkDJ[Ofc Code]=(TRIM(T$7)))*(CkDJ[Account Code]=(TRIM($D12))),CkDJ[Debit])))+(SUM(IF((CsDJ[Ofc Code]=(TRIM(T$7)))*(CsDJ[Account Code]=(TRIM($D12))),CsDJ[Debit])))+(SUM(IF((CRDJ[Ofc Code]=(TRIM(T$7)))*(CRDJ[Account Code]=(TRIM($D12))),CRDJ[Debit])))+(SUM(IF((GJ[Ofc Code]=(TRIM(T$7)))*(GJ[Account Code]=(TRIM($D12))),GJ[Debit]))))</f>
        <v>0</v>
      </c>
      <c r="U12" s="211">
        <f>SUM(P12:T12)</f>
        <v>0</v>
      </c>
      <c r="V12" s="211">
        <f>E12+J12+O12+U12</f>
        <v>0</v>
      </c>
    </row>
    <row r="13" spans="1:22" ht="15">
      <c r="A13" s="212">
        <f t="shared" si="5"/>
        <v>5</v>
      </c>
      <c r="B13" s="214"/>
      <c r="C13" s="194" t="str">
        <f t="shared" si="0"/>
        <v>Other Service Income - CIS Amortization (Current Account)</v>
      </c>
      <c r="D13" s="207" t="s">
        <v>128</v>
      </c>
      <c r="E13" s="211">
        <f t="array" ref="E13">((SUM(IF((CkDJ[Ofc Code]=(TRIM(E$7)))*(CkDJ[Account Code]=(TRIM($D13))),CkDJ[Credit])))+(SUM(IF((CsDJ[Ofc Code]=(TRIM(E$7)))*(CsDJ[Account Code]=(TRIM($D13))),CsDJ[Credit])))+(SUM(IF((CRDJ[Ofc Code]=(TRIM(E$7)))*(CRDJ[Account Code]=(TRIM($D13))),CRDJ[Credit])))+(SUM(IF((GJ[Ofc Code]=(TRIM(E$7)))*(GJ[Account Code]=(TRIM($D13))),GJ[Credit]))))-((SUM(IF((CkDJ[Ofc Code]=(TRIM(E$7)))*(CkDJ[Account Code]=(TRIM($D13))),CkDJ[Debit])))+(SUM(IF((CsDJ[Ofc Code]=(TRIM(E$7)))*(CsDJ[Account Code]=(TRIM($D13))),CsDJ[Debit])))+(SUM(IF((CRDJ[Ofc Code]=(TRIM(E$7)))*(CRDJ[Account Code]=(TRIM($D13))),CRDJ[Debit])))+(SUM(IF((GJ[Ofc Code]=(TRIM(E$7)))*(GJ[Account Code]=(TRIM($D13))),GJ[Debit]))))</f>
        <v>0</v>
      </c>
      <c r="F13" s="211">
        <f t="array" ref="F13">((SUM(IF((CkDJ[Ofc Code]=(TRIM(F$7)))*(CkDJ[Account Code]=(TRIM($D13))),CkDJ[Credit])))+(SUM(IF((CsDJ[Ofc Code]=(TRIM(F$7)))*(CsDJ[Account Code]=(TRIM($D13))),CsDJ[Credit])))+(SUM(IF((CRDJ[Ofc Code]=(TRIM(F$7)))*(CRDJ[Account Code]=(TRIM($D13))),CRDJ[Credit])))+(SUM(IF((GJ[Ofc Code]=(TRIM(F$7)))*(GJ[Account Code]=(TRIM($D13))),GJ[Credit]))))-((SUM(IF((CkDJ[Ofc Code]=(TRIM(F$7)))*(CkDJ[Account Code]=(TRIM($D13))),CkDJ[Debit])))+(SUM(IF((CsDJ[Ofc Code]=(TRIM(F$7)))*(CsDJ[Account Code]=(TRIM($D13))),CsDJ[Debit])))+(SUM(IF((CRDJ[Ofc Code]=(TRIM(F$7)))*(CRDJ[Account Code]=(TRIM($D13))),CRDJ[Debit])))+(SUM(IF((GJ[Ofc Code]=(TRIM(F$7)))*(GJ[Account Code]=(TRIM($D13))),GJ[Debit]))))</f>
        <v>0</v>
      </c>
      <c r="G13" s="211">
        <f t="array" ref="G13">((SUM(IF((CkDJ[Ofc Code]=(TRIM(G$7)))*(CkDJ[Account Code]=(TRIM($D13))),CkDJ[Credit])))+(SUM(IF((CsDJ[Ofc Code]=(TRIM(G$7)))*(CsDJ[Account Code]=(TRIM($D13))),CsDJ[Credit])))+(SUM(IF((CRDJ[Ofc Code]=(TRIM(G$7)))*(CRDJ[Account Code]=(TRIM($D13))),CRDJ[Credit])))+(SUM(IF((GJ[Ofc Code]=(TRIM(G$7)))*(GJ[Account Code]=(TRIM($D13))),GJ[Credit]))))-((SUM(IF((CkDJ[Ofc Code]=(TRIM(G$7)))*(CkDJ[Account Code]=(TRIM($D13))),CkDJ[Debit])))+(SUM(IF((CsDJ[Ofc Code]=(TRIM(G$7)))*(CsDJ[Account Code]=(TRIM($D13))),CsDJ[Debit])))+(SUM(IF((CRDJ[Ofc Code]=(TRIM(G$7)))*(CRDJ[Account Code]=(TRIM($D13))),CRDJ[Debit])))+(SUM(IF((GJ[Ofc Code]=(TRIM(G$7)))*(GJ[Account Code]=(TRIM($D13))),GJ[Debit]))))</f>
        <v>0</v>
      </c>
      <c r="H13" s="211">
        <f t="array" ref="H13">((SUM(IF((CkDJ[Ofc Code]=(TRIM(H$7)))*(CkDJ[Account Code]=(TRIM($D13))),CkDJ[Credit])))+(SUM(IF((CsDJ[Ofc Code]=(TRIM(H$7)))*(CsDJ[Account Code]=(TRIM($D13))),CsDJ[Credit])))+(SUM(IF((CRDJ[Ofc Code]=(TRIM(H$7)))*(CRDJ[Account Code]=(TRIM($D13))),CRDJ[Credit])))+(SUM(IF((GJ[Ofc Code]=(TRIM(H$7)))*(GJ[Account Code]=(TRIM($D13))),GJ[Credit]))))-((SUM(IF((CkDJ[Ofc Code]=(TRIM(H$7)))*(CkDJ[Account Code]=(TRIM($D13))),CkDJ[Debit])))+(SUM(IF((CsDJ[Ofc Code]=(TRIM(H$7)))*(CsDJ[Account Code]=(TRIM($D13))),CsDJ[Debit])))+(SUM(IF((CRDJ[Ofc Code]=(TRIM(H$7)))*(CRDJ[Account Code]=(TRIM($D13))),CRDJ[Debit])))+(SUM(IF((GJ[Ofc Code]=(TRIM(H$7)))*(GJ[Account Code]=(TRIM($D13))),GJ[Debit]))))</f>
        <v>0</v>
      </c>
      <c r="I13" s="211">
        <f t="array" ref="I13">((SUM(IF((CkDJ[Ofc Code]=(TRIM(I$7)))*(CkDJ[Account Code]=(TRIM($D13))),CkDJ[Credit])))+(SUM(IF((CsDJ[Ofc Code]=(TRIM(I$7)))*(CsDJ[Account Code]=(TRIM($D13))),CsDJ[Credit])))+(SUM(IF((CRDJ[Ofc Code]=(TRIM(I$7)))*(CRDJ[Account Code]=(TRIM($D13))),CRDJ[Credit])))+(SUM(IF((GJ[Ofc Code]=(TRIM(I$7)))*(GJ[Account Code]=(TRIM($D13))),GJ[Credit]))))-((SUM(IF((CkDJ[Ofc Code]=(TRIM(I$7)))*(CkDJ[Account Code]=(TRIM($D13))),CkDJ[Debit])))+(SUM(IF((CsDJ[Ofc Code]=(TRIM(I$7)))*(CsDJ[Account Code]=(TRIM($D13))),CsDJ[Debit])))+(SUM(IF((CRDJ[Ofc Code]=(TRIM(I$7)))*(CRDJ[Account Code]=(TRIM($D13))),CRDJ[Debit])))+(SUM(IF((GJ[Ofc Code]=(TRIM(I$7)))*(GJ[Account Code]=(TRIM($D13))),GJ[Debit]))))</f>
        <v>0</v>
      </c>
      <c r="J13" s="211">
        <f t="shared" si="1"/>
        <v>0</v>
      </c>
      <c r="K13" s="211">
        <f t="array" ref="K13">((SUM(IF((CkDJ[Ofc Code]=(TRIM(K$7)))*(CkDJ[Account Code]=(TRIM($D13))),CkDJ[Credit])))+(SUM(IF((CsDJ[Ofc Code]=(TRIM(K$7)))*(CsDJ[Account Code]=(TRIM($D13))),CsDJ[Credit])))+(SUM(IF((CRDJ[Ofc Code]=(TRIM(K$7)))*(CRDJ[Account Code]=(TRIM($D13))),CRDJ[Credit])))+(SUM(IF((GJ[Ofc Code]=(TRIM(K$7)))*(GJ[Account Code]=(TRIM($D13))),GJ[Credit]))))-((SUM(IF((CkDJ[Ofc Code]=(TRIM(K$7)))*(CkDJ[Account Code]=(TRIM($D13))),CkDJ[Debit])))+(SUM(IF((CsDJ[Ofc Code]=(TRIM(K$7)))*(CsDJ[Account Code]=(TRIM($D13))),CsDJ[Debit])))+(SUM(IF((CRDJ[Ofc Code]=(TRIM(K$7)))*(CRDJ[Account Code]=(TRIM($D13))),CRDJ[Debit])))+(SUM(IF((GJ[Ofc Code]=(TRIM(K$7)))*(GJ[Account Code]=(TRIM($D13))),GJ[Debit]))))</f>
        <v>0</v>
      </c>
      <c r="L13" s="211">
        <f t="array" ref="L13">((SUM(IF((CkDJ[Ofc Code]=(TRIM(L$7)))*(CkDJ[Account Code]=(TRIM($D13))),CkDJ[Credit])))+(SUM(IF((CsDJ[Ofc Code]=(TRIM(L$7)))*(CsDJ[Account Code]=(TRIM($D13))),CsDJ[Credit])))+(SUM(IF((CRDJ[Ofc Code]=(TRIM(L$7)))*(CRDJ[Account Code]=(TRIM($D13))),CRDJ[Credit])))+(SUM(IF((GJ[Ofc Code]=(TRIM(L$7)))*(GJ[Account Code]=(TRIM($D13))),GJ[Credit]))))-((SUM(IF((CkDJ[Ofc Code]=(TRIM(L$7)))*(CkDJ[Account Code]=(TRIM($D13))),CkDJ[Debit])))+(SUM(IF((CsDJ[Ofc Code]=(TRIM(L$7)))*(CsDJ[Account Code]=(TRIM($D13))),CsDJ[Debit])))+(SUM(IF((CRDJ[Ofc Code]=(TRIM(L$7)))*(CRDJ[Account Code]=(TRIM($D13))),CRDJ[Debit])))+(SUM(IF((GJ[Ofc Code]=(TRIM(L$7)))*(GJ[Account Code]=(TRIM($D13))),GJ[Debit]))))</f>
        <v>0</v>
      </c>
      <c r="M13" s="211">
        <f t="array" ref="M13">((SUM(IF((CkDJ[Ofc Code]=(TRIM(M$7)))*(CkDJ[Account Code]=(TRIM($D13))),CkDJ[Credit])))+(SUM(IF((CsDJ[Ofc Code]=(TRIM(M$7)))*(CsDJ[Account Code]=(TRIM($D13))),CsDJ[Credit])))+(SUM(IF((CRDJ[Ofc Code]=(TRIM(M$7)))*(CRDJ[Account Code]=(TRIM($D13))),CRDJ[Credit])))+(SUM(IF((GJ[Ofc Code]=(TRIM(M$7)))*(GJ[Account Code]=(TRIM($D13))),GJ[Credit]))))-((SUM(IF((CkDJ[Ofc Code]=(TRIM(M$7)))*(CkDJ[Account Code]=(TRIM($D13))),CkDJ[Debit])))+(SUM(IF((CsDJ[Ofc Code]=(TRIM(M$7)))*(CsDJ[Account Code]=(TRIM($D13))),CsDJ[Debit])))+(SUM(IF((CRDJ[Ofc Code]=(TRIM(M$7)))*(CRDJ[Account Code]=(TRIM($D13))),CRDJ[Debit])))+(SUM(IF((GJ[Ofc Code]=(TRIM(M$7)))*(GJ[Account Code]=(TRIM($D13))),GJ[Debit]))))</f>
        <v>0</v>
      </c>
      <c r="N13" s="211">
        <f t="array" ref="N13">((SUM(IF((CkDJ[Ofc Code]=(TRIM(N$7)))*(CkDJ[Account Code]=(TRIM($D13))),CkDJ[Credit])))+(SUM(IF((CsDJ[Ofc Code]=(TRIM(N$7)))*(CsDJ[Account Code]=(TRIM($D13))),CsDJ[Credit])))+(SUM(IF((CRDJ[Ofc Code]=(TRIM(N$7)))*(CRDJ[Account Code]=(TRIM($D13))),CRDJ[Credit])))+(SUM(IF((GJ[Ofc Code]=(TRIM(N$7)))*(GJ[Account Code]=(TRIM($D13))),GJ[Credit]))))-((SUM(IF((CkDJ[Ofc Code]=(TRIM(N$7)))*(CkDJ[Account Code]=(TRIM($D13))),CkDJ[Debit])))+(SUM(IF((CsDJ[Ofc Code]=(TRIM(N$7)))*(CsDJ[Account Code]=(TRIM($D13))),CsDJ[Debit])))+(SUM(IF((CRDJ[Ofc Code]=(TRIM(N$7)))*(CRDJ[Account Code]=(TRIM($D13))),CRDJ[Debit])))+(SUM(IF((GJ[Ofc Code]=(TRIM(N$7)))*(GJ[Account Code]=(TRIM($D13))),GJ[Debit]))))</f>
        <v>0</v>
      </c>
      <c r="O13" s="211">
        <f t="shared" si="2"/>
        <v>0</v>
      </c>
      <c r="P13" s="211">
        <f t="array" ref="P13">((SUM(IF((CkDJ[Ofc Code]=(TRIM(P$7)))*(CkDJ[Account Code]=(TRIM($D13))),CkDJ[Credit])))+(SUM(IF((CsDJ[Ofc Code]=(TRIM(P$7)))*(CsDJ[Account Code]=(TRIM($D13))),CsDJ[Credit])))+(SUM(IF((CRDJ[Ofc Code]=(TRIM(P$7)))*(CRDJ[Account Code]=(TRIM($D13))),CRDJ[Credit])))+(SUM(IF((GJ[Ofc Code]=(TRIM(P$7)))*(GJ[Account Code]=(TRIM($D13))),GJ[Credit]))))-((SUM(IF((CkDJ[Ofc Code]=(TRIM(P$7)))*(CkDJ[Account Code]=(TRIM($D13))),CkDJ[Debit])))+(SUM(IF((CsDJ[Ofc Code]=(TRIM(P$7)))*(CsDJ[Account Code]=(TRIM($D13))),CsDJ[Debit])))+(SUM(IF((CRDJ[Ofc Code]=(TRIM(P$7)))*(CRDJ[Account Code]=(TRIM($D13))),CRDJ[Debit])))+(SUM(IF((GJ[Ofc Code]=(TRIM(P$7)))*(GJ[Account Code]=(TRIM($D13))),GJ[Debit]))))</f>
        <v>0</v>
      </c>
      <c r="Q13" s="211">
        <f t="array" ref="Q13">((SUM(IF((CkDJ[Ofc Code]=(TRIM(Q$7)))*(CkDJ[Account Code]=(TRIM($D13))),CkDJ[Credit])))+(SUM(IF((CsDJ[Ofc Code]=(TRIM(Q$7)))*(CsDJ[Account Code]=(TRIM($D13))),CsDJ[Credit])))+(SUM(IF((CRDJ[Ofc Code]=(TRIM(Q$7)))*(CRDJ[Account Code]=(TRIM($D13))),CRDJ[Credit])))+(SUM(IF((GJ[Ofc Code]=(TRIM(Q$7)))*(GJ[Account Code]=(TRIM($D13))),GJ[Credit]))))-((SUM(IF((CkDJ[Ofc Code]=(TRIM(Q$7)))*(CkDJ[Account Code]=(TRIM($D13))),CkDJ[Debit])))+(SUM(IF((CsDJ[Ofc Code]=(TRIM(Q$7)))*(CsDJ[Account Code]=(TRIM($D13))),CsDJ[Debit])))+(SUM(IF((CRDJ[Ofc Code]=(TRIM(Q$7)))*(CRDJ[Account Code]=(TRIM($D13))),CRDJ[Debit])))+(SUM(IF((GJ[Ofc Code]=(TRIM(Q$7)))*(GJ[Account Code]=(TRIM($D13))),GJ[Debit]))))</f>
        <v>0</v>
      </c>
      <c r="R13" s="211">
        <f t="array" ref="R13">((SUM(IF((CkDJ[Ofc Code]=(TRIM(R$7)))*(CkDJ[Account Code]=(TRIM($D13))),CkDJ[Credit])))+(SUM(IF((CsDJ[Ofc Code]=(TRIM(R$7)))*(CsDJ[Account Code]=(TRIM($D13))),CsDJ[Credit])))+(SUM(IF((CRDJ[Ofc Code]=(TRIM(R$7)))*(CRDJ[Account Code]=(TRIM($D13))),CRDJ[Credit])))+(SUM(IF((GJ[Ofc Code]=(TRIM(R$7)))*(GJ[Account Code]=(TRIM($D13))),GJ[Credit]))))-((SUM(IF((CkDJ[Ofc Code]=(TRIM(R$7)))*(CkDJ[Account Code]=(TRIM($D13))),CkDJ[Debit])))+(SUM(IF((CsDJ[Ofc Code]=(TRIM(R$7)))*(CsDJ[Account Code]=(TRIM($D13))),CsDJ[Debit])))+(SUM(IF((CRDJ[Ofc Code]=(TRIM(R$7)))*(CRDJ[Account Code]=(TRIM($D13))),CRDJ[Debit])))+(SUM(IF((GJ[Ofc Code]=(TRIM(R$7)))*(GJ[Account Code]=(TRIM($D13))),GJ[Debit]))))</f>
        <v>0</v>
      </c>
      <c r="S13" s="211">
        <f t="array" ref="S13">((SUM(IF((CkDJ[Ofc Code]=(TRIM(S$7)))*(CkDJ[Account Code]=(TRIM($D13))),CkDJ[Credit])))+(SUM(IF((CsDJ[Ofc Code]=(TRIM(S$7)))*(CsDJ[Account Code]=(TRIM($D13))),CsDJ[Credit])))+(SUM(IF((CRDJ[Ofc Code]=(TRIM(S$7)))*(CRDJ[Account Code]=(TRIM($D13))),CRDJ[Credit])))+(SUM(IF((GJ[Ofc Code]=(TRIM(S$7)))*(GJ[Account Code]=(TRIM($D13))),GJ[Credit]))))-((SUM(IF((CkDJ[Ofc Code]=(TRIM(S$7)))*(CkDJ[Account Code]=(TRIM($D13))),CkDJ[Debit])))+(SUM(IF((CsDJ[Ofc Code]=(TRIM(S$7)))*(CsDJ[Account Code]=(TRIM($D13))),CsDJ[Debit])))+(SUM(IF((CRDJ[Ofc Code]=(TRIM(S$7)))*(CRDJ[Account Code]=(TRIM($D13))),CRDJ[Debit])))+(SUM(IF((GJ[Ofc Code]=(TRIM(S$7)))*(GJ[Account Code]=(TRIM($D13))),GJ[Debit]))))</f>
        <v>0</v>
      </c>
      <c r="T13" s="211">
        <f t="array" ref="T13">((SUM(IF((CkDJ[Ofc Code]=(TRIM(T$7)))*(CkDJ[Account Code]=(TRIM($D13))),CkDJ[Credit])))+(SUM(IF((CsDJ[Ofc Code]=(TRIM(T$7)))*(CsDJ[Account Code]=(TRIM($D13))),CsDJ[Credit])))+(SUM(IF((CRDJ[Ofc Code]=(TRIM(T$7)))*(CRDJ[Account Code]=(TRIM($D13))),CRDJ[Credit])))+(SUM(IF((GJ[Ofc Code]=(TRIM(T$7)))*(GJ[Account Code]=(TRIM($D13))),GJ[Credit]))))-((SUM(IF((CkDJ[Ofc Code]=(TRIM(T$7)))*(CkDJ[Account Code]=(TRIM($D13))),CkDJ[Debit])))+(SUM(IF((CsDJ[Ofc Code]=(TRIM(T$7)))*(CsDJ[Account Code]=(TRIM($D13))),CsDJ[Debit])))+(SUM(IF((CRDJ[Ofc Code]=(TRIM(T$7)))*(CRDJ[Account Code]=(TRIM($D13))),CRDJ[Debit])))+(SUM(IF((GJ[Ofc Code]=(TRIM(T$7)))*(GJ[Account Code]=(TRIM($D13))),GJ[Debit]))))</f>
        <v>0</v>
      </c>
      <c r="U13" s="211">
        <f t="shared" si="3"/>
        <v>0</v>
      </c>
      <c r="V13" s="211">
        <f t="shared" si="4"/>
        <v>0</v>
      </c>
    </row>
    <row r="14" spans="1:22" ht="15">
      <c r="A14" s="212">
        <f t="shared" si="5"/>
        <v>6</v>
      </c>
      <c r="B14" s="214"/>
      <c r="C14" s="194" t="str">
        <f t="shared" si="0"/>
        <v>Other Service Income - CIS Amortization (Back Account)</v>
      </c>
      <c r="D14" s="207" t="s">
        <v>129</v>
      </c>
      <c r="E14" s="211">
        <f t="array" ref="E14">((SUM(IF((CkDJ[Ofc Code]=(TRIM(E$7)))*(CkDJ[Account Code]=(TRIM($D14))),CkDJ[Credit])))+(SUM(IF((CsDJ[Ofc Code]=(TRIM(E$7)))*(CsDJ[Account Code]=(TRIM($D14))),CsDJ[Credit])))+(SUM(IF((CRDJ[Ofc Code]=(TRIM(E$7)))*(CRDJ[Account Code]=(TRIM($D14))),CRDJ[Credit])))+(SUM(IF((GJ[Ofc Code]=(TRIM(E$7)))*(GJ[Account Code]=(TRIM($D14))),GJ[Credit]))))-((SUM(IF((CkDJ[Ofc Code]=(TRIM(E$7)))*(CkDJ[Account Code]=(TRIM($D14))),CkDJ[Debit])))+(SUM(IF((CsDJ[Ofc Code]=(TRIM(E$7)))*(CsDJ[Account Code]=(TRIM($D14))),CsDJ[Debit])))+(SUM(IF((CRDJ[Ofc Code]=(TRIM(E$7)))*(CRDJ[Account Code]=(TRIM($D14))),CRDJ[Debit])))+(SUM(IF((GJ[Ofc Code]=(TRIM(E$7)))*(GJ[Account Code]=(TRIM($D14))),GJ[Debit]))))</f>
        <v>0</v>
      </c>
      <c r="F14" s="211">
        <f t="array" ref="F14">((SUM(IF((CkDJ[Ofc Code]=(TRIM(F$7)))*(CkDJ[Account Code]=(TRIM($D14))),CkDJ[Credit])))+(SUM(IF((CsDJ[Ofc Code]=(TRIM(F$7)))*(CsDJ[Account Code]=(TRIM($D14))),CsDJ[Credit])))+(SUM(IF((CRDJ[Ofc Code]=(TRIM(F$7)))*(CRDJ[Account Code]=(TRIM($D14))),CRDJ[Credit])))+(SUM(IF((GJ[Ofc Code]=(TRIM(F$7)))*(GJ[Account Code]=(TRIM($D14))),GJ[Credit]))))-((SUM(IF((CkDJ[Ofc Code]=(TRIM(F$7)))*(CkDJ[Account Code]=(TRIM($D14))),CkDJ[Debit])))+(SUM(IF((CsDJ[Ofc Code]=(TRIM(F$7)))*(CsDJ[Account Code]=(TRIM($D14))),CsDJ[Debit])))+(SUM(IF((CRDJ[Ofc Code]=(TRIM(F$7)))*(CRDJ[Account Code]=(TRIM($D14))),CRDJ[Debit])))+(SUM(IF((GJ[Ofc Code]=(TRIM(F$7)))*(GJ[Account Code]=(TRIM($D14))),GJ[Debit]))))</f>
        <v>0</v>
      </c>
      <c r="G14" s="211">
        <f t="array" ref="G14">((SUM(IF((CkDJ[Ofc Code]=(TRIM(G$7)))*(CkDJ[Account Code]=(TRIM($D14))),CkDJ[Credit])))+(SUM(IF((CsDJ[Ofc Code]=(TRIM(G$7)))*(CsDJ[Account Code]=(TRIM($D14))),CsDJ[Credit])))+(SUM(IF((CRDJ[Ofc Code]=(TRIM(G$7)))*(CRDJ[Account Code]=(TRIM($D14))),CRDJ[Credit])))+(SUM(IF((GJ[Ofc Code]=(TRIM(G$7)))*(GJ[Account Code]=(TRIM($D14))),GJ[Credit]))))-((SUM(IF((CkDJ[Ofc Code]=(TRIM(G$7)))*(CkDJ[Account Code]=(TRIM($D14))),CkDJ[Debit])))+(SUM(IF((CsDJ[Ofc Code]=(TRIM(G$7)))*(CsDJ[Account Code]=(TRIM($D14))),CsDJ[Debit])))+(SUM(IF((CRDJ[Ofc Code]=(TRIM(G$7)))*(CRDJ[Account Code]=(TRIM($D14))),CRDJ[Debit])))+(SUM(IF((GJ[Ofc Code]=(TRIM(G$7)))*(GJ[Account Code]=(TRIM($D14))),GJ[Debit]))))</f>
        <v>0</v>
      </c>
      <c r="H14" s="211">
        <f t="array" ref="H14">((SUM(IF((CkDJ[Ofc Code]=(TRIM(H$7)))*(CkDJ[Account Code]=(TRIM($D14))),CkDJ[Credit])))+(SUM(IF((CsDJ[Ofc Code]=(TRIM(H$7)))*(CsDJ[Account Code]=(TRIM($D14))),CsDJ[Credit])))+(SUM(IF((CRDJ[Ofc Code]=(TRIM(H$7)))*(CRDJ[Account Code]=(TRIM($D14))),CRDJ[Credit])))+(SUM(IF((GJ[Ofc Code]=(TRIM(H$7)))*(GJ[Account Code]=(TRIM($D14))),GJ[Credit]))))-((SUM(IF((CkDJ[Ofc Code]=(TRIM(H$7)))*(CkDJ[Account Code]=(TRIM($D14))),CkDJ[Debit])))+(SUM(IF((CsDJ[Ofc Code]=(TRIM(H$7)))*(CsDJ[Account Code]=(TRIM($D14))),CsDJ[Debit])))+(SUM(IF((CRDJ[Ofc Code]=(TRIM(H$7)))*(CRDJ[Account Code]=(TRIM($D14))),CRDJ[Debit])))+(SUM(IF((GJ[Ofc Code]=(TRIM(H$7)))*(GJ[Account Code]=(TRIM($D14))),GJ[Debit]))))</f>
        <v>0</v>
      </c>
      <c r="I14" s="211">
        <f t="array" ref="I14">((SUM(IF((CkDJ[Ofc Code]=(TRIM(I$7)))*(CkDJ[Account Code]=(TRIM($D14))),CkDJ[Credit])))+(SUM(IF((CsDJ[Ofc Code]=(TRIM(I$7)))*(CsDJ[Account Code]=(TRIM($D14))),CsDJ[Credit])))+(SUM(IF((CRDJ[Ofc Code]=(TRIM(I$7)))*(CRDJ[Account Code]=(TRIM($D14))),CRDJ[Credit])))+(SUM(IF((GJ[Ofc Code]=(TRIM(I$7)))*(GJ[Account Code]=(TRIM($D14))),GJ[Credit]))))-((SUM(IF((CkDJ[Ofc Code]=(TRIM(I$7)))*(CkDJ[Account Code]=(TRIM($D14))),CkDJ[Debit])))+(SUM(IF((CsDJ[Ofc Code]=(TRIM(I$7)))*(CsDJ[Account Code]=(TRIM($D14))),CsDJ[Debit])))+(SUM(IF((CRDJ[Ofc Code]=(TRIM(I$7)))*(CRDJ[Account Code]=(TRIM($D14))),CRDJ[Debit])))+(SUM(IF((GJ[Ofc Code]=(TRIM(I$7)))*(GJ[Account Code]=(TRIM($D14))),GJ[Debit]))))</f>
        <v>0</v>
      </c>
      <c r="J14" s="211">
        <f t="shared" si="1"/>
        <v>0</v>
      </c>
      <c r="K14" s="211">
        <f t="array" ref="K14">((SUM(IF((CkDJ[Ofc Code]=(TRIM(K$7)))*(CkDJ[Account Code]=(TRIM($D14))),CkDJ[Credit])))+(SUM(IF((CsDJ[Ofc Code]=(TRIM(K$7)))*(CsDJ[Account Code]=(TRIM($D14))),CsDJ[Credit])))+(SUM(IF((CRDJ[Ofc Code]=(TRIM(K$7)))*(CRDJ[Account Code]=(TRIM($D14))),CRDJ[Credit])))+(SUM(IF((GJ[Ofc Code]=(TRIM(K$7)))*(GJ[Account Code]=(TRIM($D14))),GJ[Credit]))))-((SUM(IF((CkDJ[Ofc Code]=(TRIM(K$7)))*(CkDJ[Account Code]=(TRIM($D14))),CkDJ[Debit])))+(SUM(IF((CsDJ[Ofc Code]=(TRIM(K$7)))*(CsDJ[Account Code]=(TRIM($D14))),CsDJ[Debit])))+(SUM(IF((CRDJ[Ofc Code]=(TRIM(K$7)))*(CRDJ[Account Code]=(TRIM($D14))),CRDJ[Debit])))+(SUM(IF((GJ[Ofc Code]=(TRIM(K$7)))*(GJ[Account Code]=(TRIM($D14))),GJ[Debit]))))</f>
        <v>0</v>
      </c>
      <c r="L14" s="211">
        <f t="array" ref="L14">((SUM(IF((CkDJ[Ofc Code]=(TRIM(L$7)))*(CkDJ[Account Code]=(TRIM($D14))),CkDJ[Credit])))+(SUM(IF((CsDJ[Ofc Code]=(TRIM(L$7)))*(CsDJ[Account Code]=(TRIM($D14))),CsDJ[Credit])))+(SUM(IF((CRDJ[Ofc Code]=(TRIM(L$7)))*(CRDJ[Account Code]=(TRIM($D14))),CRDJ[Credit])))+(SUM(IF((GJ[Ofc Code]=(TRIM(L$7)))*(GJ[Account Code]=(TRIM($D14))),GJ[Credit]))))-((SUM(IF((CkDJ[Ofc Code]=(TRIM(L$7)))*(CkDJ[Account Code]=(TRIM($D14))),CkDJ[Debit])))+(SUM(IF((CsDJ[Ofc Code]=(TRIM(L$7)))*(CsDJ[Account Code]=(TRIM($D14))),CsDJ[Debit])))+(SUM(IF((CRDJ[Ofc Code]=(TRIM(L$7)))*(CRDJ[Account Code]=(TRIM($D14))),CRDJ[Debit])))+(SUM(IF((GJ[Ofc Code]=(TRIM(L$7)))*(GJ[Account Code]=(TRIM($D14))),GJ[Debit]))))</f>
        <v>0</v>
      </c>
      <c r="M14" s="211">
        <f t="array" ref="M14">((SUM(IF((CkDJ[Ofc Code]=(TRIM(M$7)))*(CkDJ[Account Code]=(TRIM($D14))),CkDJ[Credit])))+(SUM(IF((CsDJ[Ofc Code]=(TRIM(M$7)))*(CsDJ[Account Code]=(TRIM($D14))),CsDJ[Credit])))+(SUM(IF((CRDJ[Ofc Code]=(TRIM(M$7)))*(CRDJ[Account Code]=(TRIM($D14))),CRDJ[Credit])))+(SUM(IF((GJ[Ofc Code]=(TRIM(M$7)))*(GJ[Account Code]=(TRIM($D14))),GJ[Credit]))))-((SUM(IF((CkDJ[Ofc Code]=(TRIM(M$7)))*(CkDJ[Account Code]=(TRIM($D14))),CkDJ[Debit])))+(SUM(IF((CsDJ[Ofc Code]=(TRIM(M$7)))*(CsDJ[Account Code]=(TRIM($D14))),CsDJ[Debit])))+(SUM(IF((CRDJ[Ofc Code]=(TRIM(M$7)))*(CRDJ[Account Code]=(TRIM($D14))),CRDJ[Debit])))+(SUM(IF((GJ[Ofc Code]=(TRIM(M$7)))*(GJ[Account Code]=(TRIM($D14))),GJ[Debit]))))</f>
        <v>0</v>
      </c>
      <c r="N14" s="211">
        <f t="array" ref="N14">((SUM(IF((CkDJ[Ofc Code]=(TRIM(N$7)))*(CkDJ[Account Code]=(TRIM($D14))),CkDJ[Credit])))+(SUM(IF((CsDJ[Ofc Code]=(TRIM(N$7)))*(CsDJ[Account Code]=(TRIM($D14))),CsDJ[Credit])))+(SUM(IF((CRDJ[Ofc Code]=(TRIM(N$7)))*(CRDJ[Account Code]=(TRIM($D14))),CRDJ[Credit])))+(SUM(IF((GJ[Ofc Code]=(TRIM(N$7)))*(GJ[Account Code]=(TRIM($D14))),GJ[Credit]))))-((SUM(IF((CkDJ[Ofc Code]=(TRIM(N$7)))*(CkDJ[Account Code]=(TRIM($D14))),CkDJ[Debit])))+(SUM(IF((CsDJ[Ofc Code]=(TRIM(N$7)))*(CsDJ[Account Code]=(TRIM($D14))),CsDJ[Debit])))+(SUM(IF((CRDJ[Ofc Code]=(TRIM(N$7)))*(CRDJ[Account Code]=(TRIM($D14))),CRDJ[Debit])))+(SUM(IF((GJ[Ofc Code]=(TRIM(N$7)))*(GJ[Account Code]=(TRIM($D14))),GJ[Debit]))))</f>
        <v>0</v>
      </c>
      <c r="O14" s="211">
        <f t="shared" si="2"/>
        <v>0</v>
      </c>
      <c r="P14" s="211">
        <f t="array" ref="P14">((SUM(IF((CkDJ[Ofc Code]=(TRIM(P$7)))*(CkDJ[Account Code]=(TRIM($D14))),CkDJ[Credit])))+(SUM(IF((CsDJ[Ofc Code]=(TRIM(P$7)))*(CsDJ[Account Code]=(TRIM($D14))),CsDJ[Credit])))+(SUM(IF((CRDJ[Ofc Code]=(TRIM(P$7)))*(CRDJ[Account Code]=(TRIM($D14))),CRDJ[Credit])))+(SUM(IF((GJ[Ofc Code]=(TRIM(P$7)))*(GJ[Account Code]=(TRIM($D14))),GJ[Credit]))))-((SUM(IF((CkDJ[Ofc Code]=(TRIM(P$7)))*(CkDJ[Account Code]=(TRIM($D14))),CkDJ[Debit])))+(SUM(IF((CsDJ[Ofc Code]=(TRIM(P$7)))*(CsDJ[Account Code]=(TRIM($D14))),CsDJ[Debit])))+(SUM(IF((CRDJ[Ofc Code]=(TRIM(P$7)))*(CRDJ[Account Code]=(TRIM($D14))),CRDJ[Debit])))+(SUM(IF((GJ[Ofc Code]=(TRIM(P$7)))*(GJ[Account Code]=(TRIM($D14))),GJ[Debit]))))</f>
        <v>0</v>
      </c>
      <c r="Q14" s="211">
        <f t="array" ref="Q14">((SUM(IF((CkDJ[Ofc Code]=(TRIM(Q$7)))*(CkDJ[Account Code]=(TRIM($D14))),CkDJ[Credit])))+(SUM(IF((CsDJ[Ofc Code]=(TRIM(Q$7)))*(CsDJ[Account Code]=(TRIM($D14))),CsDJ[Credit])))+(SUM(IF((CRDJ[Ofc Code]=(TRIM(Q$7)))*(CRDJ[Account Code]=(TRIM($D14))),CRDJ[Credit])))+(SUM(IF((GJ[Ofc Code]=(TRIM(Q$7)))*(GJ[Account Code]=(TRIM($D14))),GJ[Credit]))))-((SUM(IF((CkDJ[Ofc Code]=(TRIM(Q$7)))*(CkDJ[Account Code]=(TRIM($D14))),CkDJ[Debit])))+(SUM(IF((CsDJ[Ofc Code]=(TRIM(Q$7)))*(CsDJ[Account Code]=(TRIM($D14))),CsDJ[Debit])))+(SUM(IF((CRDJ[Ofc Code]=(TRIM(Q$7)))*(CRDJ[Account Code]=(TRIM($D14))),CRDJ[Debit])))+(SUM(IF((GJ[Ofc Code]=(TRIM(Q$7)))*(GJ[Account Code]=(TRIM($D14))),GJ[Debit]))))</f>
        <v>0</v>
      </c>
      <c r="R14" s="211">
        <f t="array" ref="R14">((SUM(IF((CkDJ[Ofc Code]=(TRIM(R$7)))*(CkDJ[Account Code]=(TRIM($D14))),CkDJ[Credit])))+(SUM(IF((CsDJ[Ofc Code]=(TRIM(R$7)))*(CsDJ[Account Code]=(TRIM($D14))),CsDJ[Credit])))+(SUM(IF((CRDJ[Ofc Code]=(TRIM(R$7)))*(CRDJ[Account Code]=(TRIM($D14))),CRDJ[Credit])))+(SUM(IF((GJ[Ofc Code]=(TRIM(R$7)))*(GJ[Account Code]=(TRIM($D14))),GJ[Credit]))))-((SUM(IF((CkDJ[Ofc Code]=(TRIM(R$7)))*(CkDJ[Account Code]=(TRIM($D14))),CkDJ[Debit])))+(SUM(IF((CsDJ[Ofc Code]=(TRIM(R$7)))*(CsDJ[Account Code]=(TRIM($D14))),CsDJ[Debit])))+(SUM(IF((CRDJ[Ofc Code]=(TRIM(R$7)))*(CRDJ[Account Code]=(TRIM($D14))),CRDJ[Debit])))+(SUM(IF((GJ[Ofc Code]=(TRIM(R$7)))*(GJ[Account Code]=(TRIM($D14))),GJ[Debit]))))</f>
        <v>0</v>
      </c>
      <c r="S14" s="211">
        <f t="array" ref="S14">((SUM(IF((CkDJ[Ofc Code]=(TRIM(S$7)))*(CkDJ[Account Code]=(TRIM($D14))),CkDJ[Credit])))+(SUM(IF((CsDJ[Ofc Code]=(TRIM(S$7)))*(CsDJ[Account Code]=(TRIM($D14))),CsDJ[Credit])))+(SUM(IF((CRDJ[Ofc Code]=(TRIM(S$7)))*(CRDJ[Account Code]=(TRIM($D14))),CRDJ[Credit])))+(SUM(IF((GJ[Ofc Code]=(TRIM(S$7)))*(GJ[Account Code]=(TRIM($D14))),GJ[Credit]))))-((SUM(IF((CkDJ[Ofc Code]=(TRIM(S$7)))*(CkDJ[Account Code]=(TRIM($D14))),CkDJ[Debit])))+(SUM(IF((CsDJ[Ofc Code]=(TRIM(S$7)))*(CsDJ[Account Code]=(TRIM($D14))),CsDJ[Debit])))+(SUM(IF((CRDJ[Ofc Code]=(TRIM(S$7)))*(CRDJ[Account Code]=(TRIM($D14))),CRDJ[Debit])))+(SUM(IF((GJ[Ofc Code]=(TRIM(S$7)))*(GJ[Account Code]=(TRIM($D14))),GJ[Debit]))))</f>
        <v>0</v>
      </c>
      <c r="T14" s="211">
        <f t="array" ref="T14">((SUM(IF((CkDJ[Ofc Code]=(TRIM(T$7)))*(CkDJ[Account Code]=(TRIM($D14))),CkDJ[Credit])))+(SUM(IF((CsDJ[Ofc Code]=(TRIM(T$7)))*(CsDJ[Account Code]=(TRIM($D14))),CsDJ[Credit])))+(SUM(IF((CRDJ[Ofc Code]=(TRIM(T$7)))*(CRDJ[Account Code]=(TRIM($D14))),CRDJ[Credit])))+(SUM(IF((GJ[Ofc Code]=(TRIM(T$7)))*(GJ[Account Code]=(TRIM($D14))),GJ[Credit]))))-((SUM(IF((CkDJ[Ofc Code]=(TRIM(T$7)))*(CkDJ[Account Code]=(TRIM($D14))),CkDJ[Debit])))+(SUM(IF((CsDJ[Ofc Code]=(TRIM(T$7)))*(CsDJ[Account Code]=(TRIM($D14))),CsDJ[Debit])))+(SUM(IF((CRDJ[Ofc Code]=(TRIM(T$7)))*(CRDJ[Account Code]=(TRIM($D14))),CRDJ[Debit])))+(SUM(IF((GJ[Ofc Code]=(TRIM(T$7)))*(GJ[Account Code]=(TRIM($D14))),GJ[Debit]))))</f>
        <v>0</v>
      </c>
      <c r="U14" s="211">
        <f t="shared" si="3"/>
        <v>0</v>
      </c>
      <c r="V14" s="211">
        <f t="shared" si="4"/>
        <v>0</v>
      </c>
    </row>
    <row r="15" spans="1:22" ht="15">
      <c r="A15" s="212">
        <f t="shared" si="5"/>
        <v>7</v>
      </c>
      <c r="B15" s="214"/>
      <c r="C15" s="194" t="e">
        <f t="shared" si="0"/>
        <v>#N/A</v>
      </c>
      <c r="D15" s="207" t="s">
        <v>130</v>
      </c>
      <c r="E15" s="211">
        <f t="array" ref="E15">((SUM(IF((CkDJ[Ofc Code]=(TRIM(E$7)))*(CkDJ[Account Code]=(TRIM($D15))),CkDJ[Credit])))+(SUM(IF((CsDJ[Ofc Code]=(TRIM(E$7)))*(CsDJ[Account Code]=(TRIM($D15))),CsDJ[Credit])))+(SUM(IF((CRDJ[Ofc Code]=(TRIM(E$7)))*(CRDJ[Account Code]=(TRIM($D15))),CRDJ[Credit])))+(SUM(IF((GJ[Ofc Code]=(TRIM(E$7)))*(GJ[Account Code]=(TRIM($D15))),GJ[Credit]))))-((SUM(IF((CkDJ[Ofc Code]=(TRIM(E$7)))*(CkDJ[Account Code]=(TRIM($D15))),CkDJ[Debit])))+(SUM(IF((CsDJ[Ofc Code]=(TRIM(E$7)))*(CsDJ[Account Code]=(TRIM($D15))),CsDJ[Debit])))+(SUM(IF((CRDJ[Ofc Code]=(TRIM(E$7)))*(CRDJ[Account Code]=(TRIM($D15))),CRDJ[Debit])))+(SUM(IF((GJ[Ofc Code]=(TRIM(E$7)))*(GJ[Account Code]=(TRIM($D15))),GJ[Debit]))))</f>
        <v>0</v>
      </c>
      <c r="F15" s="211">
        <f t="array" ref="F15">((SUM(IF((CkDJ[Ofc Code]=(TRIM(F$7)))*(CkDJ[Account Code]=(TRIM($D15))),CkDJ[Credit])))+(SUM(IF((CsDJ[Ofc Code]=(TRIM(F$7)))*(CsDJ[Account Code]=(TRIM($D15))),CsDJ[Credit])))+(SUM(IF((CRDJ[Ofc Code]=(TRIM(F$7)))*(CRDJ[Account Code]=(TRIM($D15))),CRDJ[Credit])))+(SUM(IF((GJ[Ofc Code]=(TRIM(F$7)))*(GJ[Account Code]=(TRIM($D15))),GJ[Credit]))))-((SUM(IF((CkDJ[Ofc Code]=(TRIM(F$7)))*(CkDJ[Account Code]=(TRIM($D15))),CkDJ[Debit])))+(SUM(IF((CsDJ[Ofc Code]=(TRIM(F$7)))*(CsDJ[Account Code]=(TRIM($D15))),CsDJ[Debit])))+(SUM(IF((CRDJ[Ofc Code]=(TRIM(F$7)))*(CRDJ[Account Code]=(TRIM($D15))),CRDJ[Debit])))+(SUM(IF((GJ[Ofc Code]=(TRIM(F$7)))*(GJ[Account Code]=(TRIM($D15))),GJ[Debit]))))</f>
        <v>0</v>
      </c>
      <c r="G15" s="211">
        <f t="array" ref="G15">((SUM(IF((CkDJ[Ofc Code]=(TRIM(G$7)))*(CkDJ[Account Code]=(TRIM($D15))),CkDJ[Credit])))+(SUM(IF((CsDJ[Ofc Code]=(TRIM(G$7)))*(CsDJ[Account Code]=(TRIM($D15))),CsDJ[Credit])))+(SUM(IF((CRDJ[Ofc Code]=(TRIM(G$7)))*(CRDJ[Account Code]=(TRIM($D15))),CRDJ[Credit])))+(SUM(IF((GJ[Ofc Code]=(TRIM(G$7)))*(GJ[Account Code]=(TRIM($D15))),GJ[Credit]))))-((SUM(IF((CkDJ[Ofc Code]=(TRIM(G$7)))*(CkDJ[Account Code]=(TRIM($D15))),CkDJ[Debit])))+(SUM(IF((CsDJ[Ofc Code]=(TRIM(G$7)))*(CsDJ[Account Code]=(TRIM($D15))),CsDJ[Debit])))+(SUM(IF((CRDJ[Ofc Code]=(TRIM(G$7)))*(CRDJ[Account Code]=(TRIM($D15))),CRDJ[Debit])))+(SUM(IF((GJ[Ofc Code]=(TRIM(G$7)))*(GJ[Account Code]=(TRIM($D15))),GJ[Debit]))))</f>
        <v>0</v>
      </c>
      <c r="H15" s="211">
        <f t="array" ref="H15">((SUM(IF((CkDJ[Ofc Code]=(TRIM(H$7)))*(CkDJ[Account Code]=(TRIM($D15))),CkDJ[Credit])))+(SUM(IF((CsDJ[Ofc Code]=(TRIM(H$7)))*(CsDJ[Account Code]=(TRIM($D15))),CsDJ[Credit])))+(SUM(IF((CRDJ[Ofc Code]=(TRIM(H$7)))*(CRDJ[Account Code]=(TRIM($D15))),CRDJ[Credit])))+(SUM(IF((GJ[Ofc Code]=(TRIM(H$7)))*(GJ[Account Code]=(TRIM($D15))),GJ[Credit]))))-((SUM(IF((CkDJ[Ofc Code]=(TRIM(H$7)))*(CkDJ[Account Code]=(TRIM($D15))),CkDJ[Debit])))+(SUM(IF((CsDJ[Ofc Code]=(TRIM(H$7)))*(CsDJ[Account Code]=(TRIM($D15))),CsDJ[Debit])))+(SUM(IF((CRDJ[Ofc Code]=(TRIM(H$7)))*(CRDJ[Account Code]=(TRIM($D15))),CRDJ[Debit])))+(SUM(IF((GJ[Ofc Code]=(TRIM(H$7)))*(GJ[Account Code]=(TRIM($D15))),GJ[Debit]))))</f>
        <v>0</v>
      </c>
      <c r="I15" s="211">
        <f t="array" ref="I15">((SUM(IF((CkDJ[Ofc Code]=(TRIM(I$7)))*(CkDJ[Account Code]=(TRIM($D15))),CkDJ[Credit])))+(SUM(IF((CsDJ[Ofc Code]=(TRIM(I$7)))*(CsDJ[Account Code]=(TRIM($D15))),CsDJ[Credit])))+(SUM(IF((CRDJ[Ofc Code]=(TRIM(I$7)))*(CRDJ[Account Code]=(TRIM($D15))),CRDJ[Credit])))+(SUM(IF((GJ[Ofc Code]=(TRIM(I$7)))*(GJ[Account Code]=(TRIM($D15))),GJ[Credit]))))-((SUM(IF((CkDJ[Ofc Code]=(TRIM(I$7)))*(CkDJ[Account Code]=(TRIM($D15))),CkDJ[Debit])))+(SUM(IF((CsDJ[Ofc Code]=(TRIM(I$7)))*(CsDJ[Account Code]=(TRIM($D15))),CsDJ[Debit])))+(SUM(IF((CRDJ[Ofc Code]=(TRIM(I$7)))*(CRDJ[Account Code]=(TRIM($D15))),CRDJ[Debit])))+(SUM(IF((GJ[Ofc Code]=(TRIM(I$7)))*(GJ[Account Code]=(TRIM($D15))),GJ[Debit]))))</f>
        <v>0</v>
      </c>
      <c r="J15" s="211">
        <f t="shared" si="1"/>
        <v>0</v>
      </c>
      <c r="K15" s="211">
        <f t="array" ref="K15">((SUM(IF((CkDJ[Ofc Code]=(TRIM(K$7)))*(CkDJ[Account Code]=(TRIM($D15))),CkDJ[Credit])))+(SUM(IF((CsDJ[Ofc Code]=(TRIM(K$7)))*(CsDJ[Account Code]=(TRIM($D15))),CsDJ[Credit])))+(SUM(IF((CRDJ[Ofc Code]=(TRIM(K$7)))*(CRDJ[Account Code]=(TRIM($D15))),CRDJ[Credit])))+(SUM(IF((GJ[Ofc Code]=(TRIM(K$7)))*(GJ[Account Code]=(TRIM($D15))),GJ[Credit]))))-((SUM(IF((CkDJ[Ofc Code]=(TRIM(K$7)))*(CkDJ[Account Code]=(TRIM($D15))),CkDJ[Debit])))+(SUM(IF((CsDJ[Ofc Code]=(TRIM(K$7)))*(CsDJ[Account Code]=(TRIM($D15))),CsDJ[Debit])))+(SUM(IF((CRDJ[Ofc Code]=(TRIM(K$7)))*(CRDJ[Account Code]=(TRIM($D15))),CRDJ[Debit])))+(SUM(IF((GJ[Ofc Code]=(TRIM(K$7)))*(GJ[Account Code]=(TRIM($D15))),GJ[Debit]))))</f>
        <v>0</v>
      </c>
      <c r="L15" s="211">
        <f t="array" ref="L15">((SUM(IF((CkDJ[Ofc Code]=(TRIM(L$7)))*(CkDJ[Account Code]=(TRIM($D15))),CkDJ[Credit])))+(SUM(IF((CsDJ[Ofc Code]=(TRIM(L$7)))*(CsDJ[Account Code]=(TRIM($D15))),CsDJ[Credit])))+(SUM(IF((CRDJ[Ofc Code]=(TRIM(L$7)))*(CRDJ[Account Code]=(TRIM($D15))),CRDJ[Credit])))+(SUM(IF((GJ[Ofc Code]=(TRIM(L$7)))*(GJ[Account Code]=(TRIM($D15))),GJ[Credit]))))-((SUM(IF((CkDJ[Ofc Code]=(TRIM(L$7)))*(CkDJ[Account Code]=(TRIM($D15))),CkDJ[Debit])))+(SUM(IF((CsDJ[Ofc Code]=(TRIM(L$7)))*(CsDJ[Account Code]=(TRIM($D15))),CsDJ[Debit])))+(SUM(IF((CRDJ[Ofc Code]=(TRIM(L$7)))*(CRDJ[Account Code]=(TRIM($D15))),CRDJ[Debit])))+(SUM(IF((GJ[Ofc Code]=(TRIM(L$7)))*(GJ[Account Code]=(TRIM($D15))),GJ[Debit]))))</f>
        <v>0</v>
      </c>
      <c r="M15" s="211">
        <f t="array" ref="M15">((SUM(IF((CkDJ[Ofc Code]=(TRIM(M$7)))*(CkDJ[Account Code]=(TRIM($D15))),CkDJ[Credit])))+(SUM(IF((CsDJ[Ofc Code]=(TRIM(M$7)))*(CsDJ[Account Code]=(TRIM($D15))),CsDJ[Credit])))+(SUM(IF((CRDJ[Ofc Code]=(TRIM(M$7)))*(CRDJ[Account Code]=(TRIM($D15))),CRDJ[Credit])))+(SUM(IF((GJ[Ofc Code]=(TRIM(M$7)))*(GJ[Account Code]=(TRIM($D15))),GJ[Credit]))))-((SUM(IF((CkDJ[Ofc Code]=(TRIM(M$7)))*(CkDJ[Account Code]=(TRIM($D15))),CkDJ[Debit])))+(SUM(IF((CsDJ[Ofc Code]=(TRIM(M$7)))*(CsDJ[Account Code]=(TRIM($D15))),CsDJ[Debit])))+(SUM(IF((CRDJ[Ofc Code]=(TRIM(M$7)))*(CRDJ[Account Code]=(TRIM($D15))),CRDJ[Debit])))+(SUM(IF((GJ[Ofc Code]=(TRIM(M$7)))*(GJ[Account Code]=(TRIM($D15))),GJ[Debit]))))</f>
        <v>0</v>
      </c>
      <c r="N15" s="211">
        <f t="array" ref="N15">((SUM(IF((CkDJ[Ofc Code]=(TRIM(N$7)))*(CkDJ[Account Code]=(TRIM($D15))),CkDJ[Credit])))+(SUM(IF((CsDJ[Ofc Code]=(TRIM(N$7)))*(CsDJ[Account Code]=(TRIM($D15))),CsDJ[Credit])))+(SUM(IF((CRDJ[Ofc Code]=(TRIM(N$7)))*(CRDJ[Account Code]=(TRIM($D15))),CRDJ[Credit])))+(SUM(IF((GJ[Ofc Code]=(TRIM(N$7)))*(GJ[Account Code]=(TRIM($D15))),GJ[Credit]))))-((SUM(IF((CkDJ[Ofc Code]=(TRIM(N$7)))*(CkDJ[Account Code]=(TRIM($D15))),CkDJ[Debit])))+(SUM(IF((CsDJ[Ofc Code]=(TRIM(N$7)))*(CsDJ[Account Code]=(TRIM($D15))),CsDJ[Debit])))+(SUM(IF((CRDJ[Ofc Code]=(TRIM(N$7)))*(CRDJ[Account Code]=(TRIM($D15))),CRDJ[Debit])))+(SUM(IF((GJ[Ofc Code]=(TRIM(N$7)))*(GJ[Account Code]=(TRIM($D15))),GJ[Debit]))))</f>
        <v>0</v>
      </c>
      <c r="O15" s="211">
        <f t="shared" si="2"/>
        <v>0</v>
      </c>
      <c r="P15" s="211">
        <f t="array" ref="P15">((SUM(IF((CkDJ[Ofc Code]=(TRIM(P$7)))*(CkDJ[Account Code]=(TRIM($D15))),CkDJ[Credit])))+(SUM(IF((CsDJ[Ofc Code]=(TRIM(P$7)))*(CsDJ[Account Code]=(TRIM($D15))),CsDJ[Credit])))+(SUM(IF((CRDJ[Ofc Code]=(TRIM(P$7)))*(CRDJ[Account Code]=(TRIM($D15))),CRDJ[Credit])))+(SUM(IF((GJ[Ofc Code]=(TRIM(P$7)))*(GJ[Account Code]=(TRIM($D15))),GJ[Credit]))))-((SUM(IF((CkDJ[Ofc Code]=(TRIM(P$7)))*(CkDJ[Account Code]=(TRIM($D15))),CkDJ[Debit])))+(SUM(IF((CsDJ[Ofc Code]=(TRIM(P$7)))*(CsDJ[Account Code]=(TRIM($D15))),CsDJ[Debit])))+(SUM(IF((CRDJ[Ofc Code]=(TRIM(P$7)))*(CRDJ[Account Code]=(TRIM($D15))),CRDJ[Debit])))+(SUM(IF((GJ[Ofc Code]=(TRIM(P$7)))*(GJ[Account Code]=(TRIM($D15))),GJ[Debit]))))</f>
        <v>0</v>
      </c>
      <c r="Q15" s="211">
        <f t="array" ref="Q15">((SUM(IF((CkDJ[Ofc Code]=(TRIM(Q$7)))*(CkDJ[Account Code]=(TRIM($D15))),CkDJ[Credit])))+(SUM(IF((CsDJ[Ofc Code]=(TRIM(Q$7)))*(CsDJ[Account Code]=(TRIM($D15))),CsDJ[Credit])))+(SUM(IF((CRDJ[Ofc Code]=(TRIM(Q$7)))*(CRDJ[Account Code]=(TRIM($D15))),CRDJ[Credit])))+(SUM(IF((GJ[Ofc Code]=(TRIM(Q$7)))*(GJ[Account Code]=(TRIM($D15))),GJ[Credit]))))-((SUM(IF((CkDJ[Ofc Code]=(TRIM(Q$7)))*(CkDJ[Account Code]=(TRIM($D15))),CkDJ[Debit])))+(SUM(IF((CsDJ[Ofc Code]=(TRIM(Q$7)))*(CsDJ[Account Code]=(TRIM($D15))),CsDJ[Debit])))+(SUM(IF((CRDJ[Ofc Code]=(TRIM(Q$7)))*(CRDJ[Account Code]=(TRIM($D15))),CRDJ[Debit])))+(SUM(IF((GJ[Ofc Code]=(TRIM(Q$7)))*(GJ[Account Code]=(TRIM($D15))),GJ[Debit]))))</f>
        <v>0</v>
      </c>
      <c r="R15" s="211">
        <f t="array" ref="R15">((SUM(IF((CkDJ[Ofc Code]=(TRIM(R$7)))*(CkDJ[Account Code]=(TRIM($D15))),CkDJ[Credit])))+(SUM(IF((CsDJ[Ofc Code]=(TRIM(R$7)))*(CsDJ[Account Code]=(TRIM($D15))),CsDJ[Credit])))+(SUM(IF((CRDJ[Ofc Code]=(TRIM(R$7)))*(CRDJ[Account Code]=(TRIM($D15))),CRDJ[Credit])))+(SUM(IF((GJ[Ofc Code]=(TRIM(R$7)))*(GJ[Account Code]=(TRIM($D15))),GJ[Credit]))))-((SUM(IF((CkDJ[Ofc Code]=(TRIM(R$7)))*(CkDJ[Account Code]=(TRIM($D15))),CkDJ[Debit])))+(SUM(IF((CsDJ[Ofc Code]=(TRIM(R$7)))*(CsDJ[Account Code]=(TRIM($D15))),CsDJ[Debit])))+(SUM(IF((CRDJ[Ofc Code]=(TRIM(R$7)))*(CRDJ[Account Code]=(TRIM($D15))),CRDJ[Debit])))+(SUM(IF((GJ[Ofc Code]=(TRIM(R$7)))*(GJ[Account Code]=(TRIM($D15))),GJ[Debit]))))</f>
        <v>0</v>
      </c>
      <c r="S15" s="211">
        <f t="array" ref="S15">((SUM(IF((CkDJ[Ofc Code]=(TRIM(S$7)))*(CkDJ[Account Code]=(TRIM($D15))),CkDJ[Credit])))+(SUM(IF((CsDJ[Ofc Code]=(TRIM(S$7)))*(CsDJ[Account Code]=(TRIM($D15))),CsDJ[Credit])))+(SUM(IF((CRDJ[Ofc Code]=(TRIM(S$7)))*(CRDJ[Account Code]=(TRIM($D15))),CRDJ[Credit])))+(SUM(IF((GJ[Ofc Code]=(TRIM(S$7)))*(GJ[Account Code]=(TRIM($D15))),GJ[Credit]))))-((SUM(IF((CkDJ[Ofc Code]=(TRIM(S$7)))*(CkDJ[Account Code]=(TRIM($D15))),CkDJ[Debit])))+(SUM(IF((CsDJ[Ofc Code]=(TRIM(S$7)))*(CsDJ[Account Code]=(TRIM($D15))),CsDJ[Debit])))+(SUM(IF((CRDJ[Ofc Code]=(TRIM(S$7)))*(CRDJ[Account Code]=(TRIM($D15))),CRDJ[Debit])))+(SUM(IF((GJ[Ofc Code]=(TRIM(S$7)))*(GJ[Account Code]=(TRIM($D15))),GJ[Debit]))))</f>
        <v>0</v>
      </c>
      <c r="T15" s="211">
        <f t="array" ref="T15">((SUM(IF((CkDJ[Ofc Code]=(TRIM(T$7)))*(CkDJ[Account Code]=(TRIM($D15))),CkDJ[Credit])))+(SUM(IF((CsDJ[Ofc Code]=(TRIM(T$7)))*(CsDJ[Account Code]=(TRIM($D15))),CsDJ[Credit])))+(SUM(IF((CRDJ[Ofc Code]=(TRIM(T$7)))*(CRDJ[Account Code]=(TRIM($D15))),CRDJ[Credit])))+(SUM(IF((GJ[Ofc Code]=(TRIM(T$7)))*(GJ[Account Code]=(TRIM($D15))),GJ[Credit]))))-((SUM(IF((CkDJ[Ofc Code]=(TRIM(T$7)))*(CkDJ[Account Code]=(TRIM($D15))),CkDJ[Debit])))+(SUM(IF((CsDJ[Ofc Code]=(TRIM(T$7)))*(CsDJ[Account Code]=(TRIM($D15))),CsDJ[Debit])))+(SUM(IF((CRDJ[Ofc Code]=(TRIM(T$7)))*(CRDJ[Account Code]=(TRIM($D15))),CRDJ[Debit])))+(SUM(IF((GJ[Ofc Code]=(TRIM(T$7)))*(GJ[Account Code]=(TRIM($D15))),GJ[Debit]))))</f>
        <v>0</v>
      </c>
      <c r="U15" s="211">
        <f t="shared" si="3"/>
        <v>0</v>
      </c>
      <c r="V15" s="211">
        <f t="shared" si="4"/>
        <v>0</v>
      </c>
    </row>
    <row r="16" spans="1:22" ht="15">
      <c r="A16" s="212">
        <f t="shared" si="5"/>
        <v>8</v>
      </c>
      <c r="B16" s="214"/>
      <c r="C16" s="194" t="str">
        <f t="shared" si="0"/>
        <v>Other Service Income - Pump Amortization (Current Account)</v>
      </c>
      <c r="D16" s="207" t="s">
        <v>131</v>
      </c>
      <c r="E16" s="211">
        <f t="array" ref="E16">((SUM(IF((CkDJ[Ofc Code]=(TRIM(E$7)))*(CkDJ[Account Code]=(TRIM($D16))),CkDJ[Credit])))+(SUM(IF((CsDJ[Ofc Code]=(TRIM(E$7)))*(CsDJ[Account Code]=(TRIM($D16))),CsDJ[Credit])))+(SUM(IF((CRDJ[Ofc Code]=(TRIM(E$7)))*(CRDJ[Account Code]=(TRIM($D16))),CRDJ[Credit])))+(SUM(IF((GJ[Ofc Code]=(TRIM(E$7)))*(GJ[Account Code]=(TRIM($D16))),GJ[Credit]))))-((SUM(IF((CkDJ[Ofc Code]=(TRIM(E$7)))*(CkDJ[Account Code]=(TRIM($D16))),CkDJ[Debit])))+(SUM(IF((CsDJ[Ofc Code]=(TRIM(E$7)))*(CsDJ[Account Code]=(TRIM($D16))),CsDJ[Debit])))+(SUM(IF((CRDJ[Ofc Code]=(TRIM(E$7)))*(CRDJ[Account Code]=(TRIM($D16))),CRDJ[Debit])))+(SUM(IF((GJ[Ofc Code]=(TRIM(E$7)))*(GJ[Account Code]=(TRIM($D16))),GJ[Debit]))))</f>
        <v>0</v>
      </c>
      <c r="F16" s="211">
        <f t="array" ref="F16">((SUM(IF((CkDJ[Ofc Code]=(TRIM(F$7)))*(CkDJ[Account Code]=(TRIM($D16))),CkDJ[Credit])))+(SUM(IF((CsDJ[Ofc Code]=(TRIM(F$7)))*(CsDJ[Account Code]=(TRIM($D16))),CsDJ[Credit])))+(SUM(IF((CRDJ[Ofc Code]=(TRIM(F$7)))*(CRDJ[Account Code]=(TRIM($D16))),CRDJ[Credit])))+(SUM(IF((GJ[Ofc Code]=(TRIM(F$7)))*(GJ[Account Code]=(TRIM($D16))),GJ[Credit]))))-((SUM(IF((CkDJ[Ofc Code]=(TRIM(F$7)))*(CkDJ[Account Code]=(TRIM($D16))),CkDJ[Debit])))+(SUM(IF((CsDJ[Ofc Code]=(TRIM(F$7)))*(CsDJ[Account Code]=(TRIM($D16))),CsDJ[Debit])))+(SUM(IF((CRDJ[Ofc Code]=(TRIM(F$7)))*(CRDJ[Account Code]=(TRIM($D16))),CRDJ[Debit])))+(SUM(IF((GJ[Ofc Code]=(TRIM(F$7)))*(GJ[Account Code]=(TRIM($D16))),GJ[Debit]))))</f>
        <v>0</v>
      </c>
      <c r="G16" s="211">
        <f t="array" ref="G16">((SUM(IF((CkDJ[Ofc Code]=(TRIM(G$7)))*(CkDJ[Account Code]=(TRIM($D16))),CkDJ[Credit])))+(SUM(IF((CsDJ[Ofc Code]=(TRIM(G$7)))*(CsDJ[Account Code]=(TRIM($D16))),CsDJ[Credit])))+(SUM(IF((CRDJ[Ofc Code]=(TRIM(G$7)))*(CRDJ[Account Code]=(TRIM($D16))),CRDJ[Credit])))+(SUM(IF((GJ[Ofc Code]=(TRIM(G$7)))*(GJ[Account Code]=(TRIM($D16))),GJ[Credit]))))-((SUM(IF((CkDJ[Ofc Code]=(TRIM(G$7)))*(CkDJ[Account Code]=(TRIM($D16))),CkDJ[Debit])))+(SUM(IF((CsDJ[Ofc Code]=(TRIM(G$7)))*(CsDJ[Account Code]=(TRIM($D16))),CsDJ[Debit])))+(SUM(IF((CRDJ[Ofc Code]=(TRIM(G$7)))*(CRDJ[Account Code]=(TRIM($D16))),CRDJ[Debit])))+(SUM(IF((GJ[Ofc Code]=(TRIM(G$7)))*(GJ[Account Code]=(TRIM($D16))),GJ[Debit]))))</f>
        <v>0</v>
      </c>
      <c r="H16" s="211">
        <f t="array" ref="H16">((SUM(IF((CkDJ[Ofc Code]=(TRIM(H$7)))*(CkDJ[Account Code]=(TRIM($D16))),CkDJ[Credit])))+(SUM(IF((CsDJ[Ofc Code]=(TRIM(H$7)))*(CsDJ[Account Code]=(TRIM($D16))),CsDJ[Credit])))+(SUM(IF((CRDJ[Ofc Code]=(TRIM(H$7)))*(CRDJ[Account Code]=(TRIM($D16))),CRDJ[Credit])))+(SUM(IF((GJ[Ofc Code]=(TRIM(H$7)))*(GJ[Account Code]=(TRIM($D16))),GJ[Credit]))))-((SUM(IF((CkDJ[Ofc Code]=(TRIM(H$7)))*(CkDJ[Account Code]=(TRIM($D16))),CkDJ[Debit])))+(SUM(IF((CsDJ[Ofc Code]=(TRIM(H$7)))*(CsDJ[Account Code]=(TRIM($D16))),CsDJ[Debit])))+(SUM(IF((CRDJ[Ofc Code]=(TRIM(H$7)))*(CRDJ[Account Code]=(TRIM($D16))),CRDJ[Debit])))+(SUM(IF((GJ[Ofc Code]=(TRIM(H$7)))*(GJ[Account Code]=(TRIM($D16))),GJ[Debit]))))</f>
        <v>0</v>
      </c>
      <c r="I16" s="211">
        <f t="array" ref="I16">((SUM(IF((CkDJ[Ofc Code]=(TRIM(I$7)))*(CkDJ[Account Code]=(TRIM($D16))),CkDJ[Credit])))+(SUM(IF((CsDJ[Ofc Code]=(TRIM(I$7)))*(CsDJ[Account Code]=(TRIM($D16))),CsDJ[Credit])))+(SUM(IF((CRDJ[Ofc Code]=(TRIM(I$7)))*(CRDJ[Account Code]=(TRIM($D16))),CRDJ[Credit])))+(SUM(IF((GJ[Ofc Code]=(TRIM(I$7)))*(GJ[Account Code]=(TRIM($D16))),GJ[Credit]))))-((SUM(IF((CkDJ[Ofc Code]=(TRIM(I$7)))*(CkDJ[Account Code]=(TRIM($D16))),CkDJ[Debit])))+(SUM(IF((CsDJ[Ofc Code]=(TRIM(I$7)))*(CsDJ[Account Code]=(TRIM($D16))),CsDJ[Debit])))+(SUM(IF((CRDJ[Ofc Code]=(TRIM(I$7)))*(CRDJ[Account Code]=(TRIM($D16))),CRDJ[Debit])))+(SUM(IF((GJ[Ofc Code]=(TRIM(I$7)))*(GJ[Account Code]=(TRIM($D16))),GJ[Debit]))))</f>
        <v>0</v>
      </c>
      <c r="J16" s="211">
        <f t="shared" si="1"/>
        <v>0</v>
      </c>
      <c r="K16" s="211">
        <f t="array" ref="K16">((SUM(IF((CkDJ[Ofc Code]=(TRIM(K$7)))*(CkDJ[Account Code]=(TRIM($D16))),CkDJ[Credit])))+(SUM(IF((CsDJ[Ofc Code]=(TRIM(K$7)))*(CsDJ[Account Code]=(TRIM($D16))),CsDJ[Credit])))+(SUM(IF((CRDJ[Ofc Code]=(TRIM(K$7)))*(CRDJ[Account Code]=(TRIM($D16))),CRDJ[Credit])))+(SUM(IF((GJ[Ofc Code]=(TRIM(K$7)))*(GJ[Account Code]=(TRIM($D16))),GJ[Credit]))))-((SUM(IF((CkDJ[Ofc Code]=(TRIM(K$7)))*(CkDJ[Account Code]=(TRIM($D16))),CkDJ[Debit])))+(SUM(IF((CsDJ[Ofc Code]=(TRIM(K$7)))*(CsDJ[Account Code]=(TRIM($D16))),CsDJ[Debit])))+(SUM(IF((CRDJ[Ofc Code]=(TRIM(K$7)))*(CRDJ[Account Code]=(TRIM($D16))),CRDJ[Debit])))+(SUM(IF((GJ[Ofc Code]=(TRIM(K$7)))*(GJ[Account Code]=(TRIM($D16))),GJ[Debit]))))</f>
        <v>0</v>
      </c>
      <c r="L16" s="211">
        <f t="array" ref="L16">((SUM(IF((CkDJ[Ofc Code]=(TRIM(L$7)))*(CkDJ[Account Code]=(TRIM($D16))),CkDJ[Credit])))+(SUM(IF((CsDJ[Ofc Code]=(TRIM(L$7)))*(CsDJ[Account Code]=(TRIM($D16))),CsDJ[Credit])))+(SUM(IF((CRDJ[Ofc Code]=(TRIM(L$7)))*(CRDJ[Account Code]=(TRIM($D16))),CRDJ[Credit])))+(SUM(IF((GJ[Ofc Code]=(TRIM(L$7)))*(GJ[Account Code]=(TRIM($D16))),GJ[Credit]))))-((SUM(IF((CkDJ[Ofc Code]=(TRIM(L$7)))*(CkDJ[Account Code]=(TRIM($D16))),CkDJ[Debit])))+(SUM(IF((CsDJ[Ofc Code]=(TRIM(L$7)))*(CsDJ[Account Code]=(TRIM($D16))),CsDJ[Debit])))+(SUM(IF((CRDJ[Ofc Code]=(TRIM(L$7)))*(CRDJ[Account Code]=(TRIM($D16))),CRDJ[Debit])))+(SUM(IF((GJ[Ofc Code]=(TRIM(L$7)))*(GJ[Account Code]=(TRIM($D16))),GJ[Debit]))))</f>
        <v>0</v>
      </c>
      <c r="M16" s="211">
        <f t="array" ref="M16">((SUM(IF((CkDJ[Ofc Code]=(TRIM(M$7)))*(CkDJ[Account Code]=(TRIM($D16))),CkDJ[Credit])))+(SUM(IF((CsDJ[Ofc Code]=(TRIM(M$7)))*(CsDJ[Account Code]=(TRIM($D16))),CsDJ[Credit])))+(SUM(IF((CRDJ[Ofc Code]=(TRIM(M$7)))*(CRDJ[Account Code]=(TRIM($D16))),CRDJ[Credit])))+(SUM(IF((GJ[Ofc Code]=(TRIM(M$7)))*(GJ[Account Code]=(TRIM($D16))),GJ[Credit]))))-((SUM(IF((CkDJ[Ofc Code]=(TRIM(M$7)))*(CkDJ[Account Code]=(TRIM($D16))),CkDJ[Debit])))+(SUM(IF((CsDJ[Ofc Code]=(TRIM(M$7)))*(CsDJ[Account Code]=(TRIM($D16))),CsDJ[Debit])))+(SUM(IF((CRDJ[Ofc Code]=(TRIM(M$7)))*(CRDJ[Account Code]=(TRIM($D16))),CRDJ[Debit])))+(SUM(IF((GJ[Ofc Code]=(TRIM(M$7)))*(GJ[Account Code]=(TRIM($D16))),GJ[Debit]))))</f>
        <v>0</v>
      </c>
      <c r="N16" s="211">
        <f t="array" ref="N16">((SUM(IF((CkDJ[Ofc Code]=(TRIM(N$7)))*(CkDJ[Account Code]=(TRIM($D16))),CkDJ[Credit])))+(SUM(IF((CsDJ[Ofc Code]=(TRIM(N$7)))*(CsDJ[Account Code]=(TRIM($D16))),CsDJ[Credit])))+(SUM(IF((CRDJ[Ofc Code]=(TRIM(N$7)))*(CRDJ[Account Code]=(TRIM($D16))),CRDJ[Credit])))+(SUM(IF((GJ[Ofc Code]=(TRIM(N$7)))*(GJ[Account Code]=(TRIM($D16))),GJ[Credit]))))-((SUM(IF((CkDJ[Ofc Code]=(TRIM(N$7)))*(CkDJ[Account Code]=(TRIM($D16))),CkDJ[Debit])))+(SUM(IF((CsDJ[Ofc Code]=(TRIM(N$7)))*(CsDJ[Account Code]=(TRIM($D16))),CsDJ[Debit])))+(SUM(IF((CRDJ[Ofc Code]=(TRIM(N$7)))*(CRDJ[Account Code]=(TRIM($D16))),CRDJ[Debit])))+(SUM(IF((GJ[Ofc Code]=(TRIM(N$7)))*(GJ[Account Code]=(TRIM($D16))),GJ[Debit]))))</f>
        <v>0</v>
      </c>
      <c r="O16" s="211">
        <f t="shared" si="2"/>
        <v>0</v>
      </c>
      <c r="P16" s="211">
        <f t="array" ref="P16">((SUM(IF((CkDJ[Ofc Code]=(TRIM(P$7)))*(CkDJ[Account Code]=(TRIM($D16))),CkDJ[Credit])))+(SUM(IF((CsDJ[Ofc Code]=(TRIM(P$7)))*(CsDJ[Account Code]=(TRIM($D16))),CsDJ[Credit])))+(SUM(IF((CRDJ[Ofc Code]=(TRIM(P$7)))*(CRDJ[Account Code]=(TRIM($D16))),CRDJ[Credit])))+(SUM(IF((GJ[Ofc Code]=(TRIM(P$7)))*(GJ[Account Code]=(TRIM($D16))),GJ[Credit]))))-((SUM(IF((CkDJ[Ofc Code]=(TRIM(P$7)))*(CkDJ[Account Code]=(TRIM($D16))),CkDJ[Debit])))+(SUM(IF((CsDJ[Ofc Code]=(TRIM(P$7)))*(CsDJ[Account Code]=(TRIM($D16))),CsDJ[Debit])))+(SUM(IF((CRDJ[Ofc Code]=(TRIM(P$7)))*(CRDJ[Account Code]=(TRIM($D16))),CRDJ[Debit])))+(SUM(IF((GJ[Ofc Code]=(TRIM(P$7)))*(GJ[Account Code]=(TRIM($D16))),GJ[Debit]))))</f>
        <v>0</v>
      </c>
      <c r="Q16" s="211">
        <f t="array" ref="Q16">((SUM(IF((CkDJ[Ofc Code]=(TRIM(Q$7)))*(CkDJ[Account Code]=(TRIM($D16))),CkDJ[Credit])))+(SUM(IF((CsDJ[Ofc Code]=(TRIM(Q$7)))*(CsDJ[Account Code]=(TRIM($D16))),CsDJ[Credit])))+(SUM(IF((CRDJ[Ofc Code]=(TRIM(Q$7)))*(CRDJ[Account Code]=(TRIM($D16))),CRDJ[Credit])))+(SUM(IF((GJ[Ofc Code]=(TRIM(Q$7)))*(GJ[Account Code]=(TRIM($D16))),GJ[Credit]))))-((SUM(IF((CkDJ[Ofc Code]=(TRIM(Q$7)))*(CkDJ[Account Code]=(TRIM($D16))),CkDJ[Debit])))+(SUM(IF((CsDJ[Ofc Code]=(TRIM(Q$7)))*(CsDJ[Account Code]=(TRIM($D16))),CsDJ[Debit])))+(SUM(IF((CRDJ[Ofc Code]=(TRIM(Q$7)))*(CRDJ[Account Code]=(TRIM($D16))),CRDJ[Debit])))+(SUM(IF((GJ[Ofc Code]=(TRIM(Q$7)))*(GJ[Account Code]=(TRIM($D16))),GJ[Debit]))))</f>
        <v>0</v>
      </c>
      <c r="R16" s="211">
        <f t="array" ref="R16">((SUM(IF((CkDJ[Ofc Code]=(TRIM(R$7)))*(CkDJ[Account Code]=(TRIM($D16))),CkDJ[Credit])))+(SUM(IF((CsDJ[Ofc Code]=(TRIM(R$7)))*(CsDJ[Account Code]=(TRIM($D16))),CsDJ[Credit])))+(SUM(IF((CRDJ[Ofc Code]=(TRIM(R$7)))*(CRDJ[Account Code]=(TRIM($D16))),CRDJ[Credit])))+(SUM(IF((GJ[Ofc Code]=(TRIM(R$7)))*(GJ[Account Code]=(TRIM($D16))),GJ[Credit]))))-((SUM(IF((CkDJ[Ofc Code]=(TRIM(R$7)))*(CkDJ[Account Code]=(TRIM($D16))),CkDJ[Debit])))+(SUM(IF((CsDJ[Ofc Code]=(TRIM(R$7)))*(CsDJ[Account Code]=(TRIM($D16))),CsDJ[Debit])))+(SUM(IF((CRDJ[Ofc Code]=(TRIM(R$7)))*(CRDJ[Account Code]=(TRIM($D16))),CRDJ[Debit])))+(SUM(IF((GJ[Ofc Code]=(TRIM(R$7)))*(GJ[Account Code]=(TRIM($D16))),GJ[Debit]))))</f>
        <v>0</v>
      </c>
      <c r="S16" s="211">
        <f t="array" ref="S16">((SUM(IF((CkDJ[Ofc Code]=(TRIM(S$7)))*(CkDJ[Account Code]=(TRIM($D16))),CkDJ[Credit])))+(SUM(IF((CsDJ[Ofc Code]=(TRIM(S$7)))*(CsDJ[Account Code]=(TRIM($D16))),CsDJ[Credit])))+(SUM(IF((CRDJ[Ofc Code]=(TRIM(S$7)))*(CRDJ[Account Code]=(TRIM($D16))),CRDJ[Credit])))+(SUM(IF((GJ[Ofc Code]=(TRIM(S$7)))*(GJ[Account Code]=(TRIM($D16))),GJ[Credit]))))-((SUM(IF((CkDJ[Ofc Code]=(TRIM(S$7)))*(CkDJ[Account Code]=(TRIM($D16))),CkDJ[Debit])))+(SUM(IF((CsDJ[Ofc Code]=(TRIM(S$7)))*(CsDJ[Account Code]=(TRIM($D16))),CsDJ[Debit])))+(SUM(IF((CRDJ[Ofc Code]=(TRIM(S$7)))*(CRDJ[Account Code]=(TRIM($D16))),CRDJ[Debit])))+(SUM(IF((GJ[Ofc Code]=(TRIM(S$7)))*(GJ[Account Code]=(TRIM($D16))),GJ[Debit]))))</f>
        <v>0</v>
      </c>
      <c r="T16" s="211">
        <f t="array" ref="T16">((SUM(IF((CkDJ[Ofc Code]=(TRIM(T$7)))*(CkDJ[Account Code]=(TRIM($D16))),CkDJ[Credit])))+(SUM(IF((CsDJ[Ofc Code]=(TRIM(T$7)))*(CsDJ[Account Code]=(TRIM($D16))),CsDJ[Credit])))+(SUM(IF((CRDJ[Ofc Code]=(TRIM(T$7)))*(CRDJ[Account Code]=(TRIM($D16))),CRDJ[Credit])))+(SUM(IF((GJ[Ofc Code]=(TRIM(T$7)))*(GJ[Account Code]=(TRIM($D16))),GJ[Credit]))))-((SUM(IF((CkDJ[Ofc Code]=(TRIM(T$7)))*(CkDJ[Account Code]=(TRIM($D16))),CkDJ[Debit])))+(SUM(IF((CsDJ[Ofc Code]=(TRIM(T$7)))*(CsDJ[Account Code]=(TRIM($D16))),CsDJ[Debit])))+(SUM(IF((CRDJ[Ofc Code]=(TRIM(T$7)))*(CRDJ[Account Code]=(TRIM($D16))),CRDJ[Debit])))+(SUM(IF((GJ[Ofc Code]=(TRIM(T$7)))*(GJ[Account Code]=(TRIM($D16))),GJ[Debit]))))</f>
        <v>0</v>
      </c>
      <c r="U16" s="211">
        <f t="shared" si="3"/>
        <v>0</v>
      </c>
      <c r="V16" s="211">
        <f t="shared" si="4"/>
        <v>0</v>
      </c>
    </row>
    <row r="17" spans="1:22" ht="15">
      <c r="A17" s="212">
        <f t="shared" si="5"/>
        <v>9</v>
      </c>
      <c r="B17" s="214"/>
      <c r="C17" s="194" t="str">
        <f t="shared" si="0"/>
        <v>Other Service Income - Pump Equity (Current Account)</v>
      </c>
      <c r="D17" s="207" t="s">
        <v>141</v>
      </c>
      <c r="E17" s="211">
        <f t="array" ref="E17">((SUM(IF((CkDJ[Ofc Code]=(TRIM(E$7)))*(CkDJ[Account Code]=(TRIM($D17))),CkDJ[Credit])))+(SUM(IF((CsDJ[Ofc Code]=(TRIM(E$7)))*(CsDJ[Account Code]=(TRIM($D17))),CsDJ[Credit])))+(SUM(IF((CRDJ[Ofc Code]=(TRIM(E$7)))*(CRDJ[Account Code]=(TRIM($D17))),CRDJ[Credit])))+(SUM(IF((GJ[Ofc Code]=(TRIM(E$7)))*(GJ[Account Code]=(TRIM($D17))),GJ[Credit]))))-((SUM(IF((CkDJ[Ofc Code]=(TRIM(E$7)))*(CkDJ[Account Code]=(TRIM($D17))),CkDJ[Debit])))+(SUM(IF((CsDJ[Ofc Code]=(TRIM(E$7)))*(CsDJ[Account Code]=(TRIM($D17))),CsDJ[Debit])))+(SUM(IF((CRDJ[Ofc Code]=(TRIM(E$7)))*(CRDJ[Account Code]=(TRIM($D17))),CRDJ[Debit])))+(SUM(IF((GJ[Ofc Code]=(TRIM(E$7)))*(GJ[Account Code]=(TRIM($D17))),GJ[Debit]))))</f>
        <v>0</v>
      </c>
      <c r="F17" s="211">
        <f t="array" ref="F17">((SUM(IF((CkDJ[Ofc Code]=(TRIM(F$7)))*(CkDJ[Account Code]=(TRIM($D17))),CkDJ[Credit])))+(SUM(IF((CsDJ[Ofc Code]=(TRIM(F$7)))*(CsDJ[Account Code]=(TRIM($D17))),CsDJ[Credit])))+(SUM(IF((CRDJ[Ofc Code]=(TRIM(F$7)))*(CRDJ[Account Code]=(TRIM($D17))),CRDJ[Credit])))+(SUM(IF((GJ[Ofc Code]=(TRIM(F$7)))*(GJ[Account Code]=(TRIM($D17))),GJ[Credit]))))-((SUM(IF((CkDJ[Ofc Code]=(TRIM(F$7)))*(CkDJ[Account Code]=(TRIM($D17))),CkDJ[Debit])))+(SUM(IF((CsDJ[Ofc Code]=(TRIM(F$7)))*(CsDJ[Account Code]=(TRIM($D17))),CsDJ[Debit])))+(SUM(IF((CRDJ[Ofc Code]=(TRIM(F$7)))*(CRDJ[Account Code]=(TRIM($D17))),CRDJ[Debit])))+(SUM(IF((GJ[Ofc Code]=(TRIM(F$7)))*(GJ[Account Code]=(TRIM($D17))),GJ[Debit]))))</f>
        <v>0</v>
      </c>
      <c r="G17" s="211">
        <f t="array" ref="G17">((SUM(IF((CkDJ[Ofc Code]=(TRIM(G$7)))*(CkDJ[Account Code]=(TRIM($D17))),CkDJ[Credit])))+(SUM(IF((CsDJ[Ofc Code]=(TRIM(G$7)))*(CsDJ[Account Code]=(TRIM($D17))),CsDJ[Credit])))+(SUM(IF((CRDJ[Ofc Code]=(TRIM(G$7)))*(CRDJ[Account Code]=(TRIM($D17))),CRDJ[Credit])))+(SUM(IF((GJ[Ofc Code]=(TRIM(G$7)))*(GJ[Account Code]=(TRIM($D17))),GJ[Credit]))))-((SUM(IF((CkDJ[Ofc Code]=(TRIM(G$7)))*(CkDJ[Account Code]=(TRIM($D17))),CkDJ[Debit])))+(SUM(IF((CsDJ[Ofc Code]=(TRIM(G$7)))*(CsDJ[Account Code]=(TRIM($D17))),CsDJ[Debit])))+(SUM(IF((CRDJ[Ofc Code]=(TRIM(G$7)))*(CRDJ[Account Code]=(TRIM($D17))),CRDJ[Debit])))+(SUM(IF((GJ[Ofc Code]=(TRIM(G$7)))*(GJ[Account Code]=(TRIM($D17))),GJ[Debit]))))</f>
        <v>0</v>
      </c>
      <c r="H17" s="211">
        <f t="array" ref="H17">((SUM(IF((CkDJ[Ofc Code]=(TRIM(H$7)))*(CkDJ[Account Code]=(TRIM($D17))),CkDJ[Credit])))+(SUM(IF((CsDJ[Ofc Code]=(TRIM(H$7)))*(CsDJ[Account Code]=(TRIM($D17))),CsDJ[Credit])))+(SUM(IF((CRDJ[Ofc Code]=(TRIM(H$7)))*(CRDJ[Account Code]=(TRIM($D17))),CRDJ[Credit])))+(SUM(IF((GJ[Ofc Code]=(TRIM(H$7)))*(GJ[Account Code]=(TRIM($D17))),GJ[Credit]))))-((SUM(IF((CkDJ[Ofc Code]=(TRIM(H$7)))*(CkDJ[Account Code]=(TRIM($D17))),CkDJ[Debit])))+(SUM(IF((CsDJ[Ofc Code]=(TRIM(H$7)))*(CsDJ[Account Code]=(TRIM($D17))),CsDJ[Debit])))+(SUM(IF((CRDJ[Ofc Code]=(TRIM(H$7)))*(CRDJ[Account Code]=(TRIM($D17))),CRDJ[Debit])))+(SUM(IF((GJ[Ofc Code]=(TRIM(H$7)))*(GJ[Account Code]=(TRIM($D17))),GJ[Debit]))))</f>
        <v>0</v>
      </c>
      <c r="I17" s="211">
        <f t="array" ref="I17">((SUM(IF((CkDJ[Ofc Code]=(TRIM(I$7)))*(CkDJ[Account Code]=(TRIM($D17))),CkDJ[Credit])))+(SUM(IF((CsDJ[Ofc Code]=(TRIM(I$7)))*(CsDJ[Account Code]=(TRIM($D17))),CsDJ[Credit])))+(SUM(IF((CRDJ[Ofc Code]=(TRIM(I$7)))*(CRDJ[Account Code]=(TRIM($D17))),CRDJ[Credit])))+(SUM(IF((GJ[Ofc Code]=(TRIM(I$7)))*(GJ[Account Code]=(TRIM($D17))),GJ[Credit]))))-((SUM(IF((CkDJ[Ofc Code]=(TRIM(I$7)))*(CkDJ[Account Code]=(TRIM($D17))),CkDJ[Debit])))+(SUM(IF((CsDJ[Ofc Code]=(TRIM(I$7)))*(CsDJ[Account Code]=(TRIM($D17))),CsDJ[Debit])))+(SUM(IF((CRDJ[Ofc Code]=(TRIM(I$7)))*(CRDJ[Account Code]=(TRIM($D17))),CRDJ[Debit])))+(SUM(IF((GJ[Ofc Code]=(TRIM(I$7)))*(GJ[Account Code]=(TRIM($D17))),GJ[Debit]))))</f>
        <v>0</v>
      </c>
      <c r="J17" s="211">
        <f t="shared" si="1"/>
        <v>0</v>
      </c>
      <c r="K17" s="211">
        <f t="array" ref="K17">((SUM(IF((CkDJ[Ofc Code]=(TRIM(K$7)))*(CkDJ[Account Code]=(TRIM($D17))),CkDJ[Credit])))+(SUM(IF((CsDJ[Ofc Code]=(TRIM(K$7)))*(CsDJ[Account Code]=(TRIM($D17))),CsDJ[Credit])))+(SUM(IF((CRDJ[Ofc Code]=(TRIM(K$7)))*(CRDJ[Account Code]=(TRIM($D17))),CRDJ[Credit])))+(SUM(IF((GJ[Ofc Code]=(TRIM(K$7)))*(GJ[Account Code]=(TRIM($D17))),GJ[Credit]))))-((SUM(IF((CkDJ[Ofc Code]=(TRIM(K$7)))*(CkDJ[Account Code]=(TRIM($D17))),CkDJ[Debit])))+(SUM(IF((CsDJ[Ofc Code]=(TRIM(K$7)))*(CsDJ[Account Code]=(TRIM($D17))),CsDJ[Debit])))+(SUM(IF((CRDJ[Ofc Code]=(TRIM(K$7)))*(CRDJ[Account Code]=(TRIM($D17))),CRDJ[Debit])))+(SUM(IF((GJ[Ofc Code]=(TRIM(K$7)))*(GJ[Account Code]=(TRIM($D17))),GJ[Debit]))))</f>
        <v>0</v>
      </c>
      <c r="L17" s="211">
        <f t="array" ref="L17">((SUM(IF((CkDJ[Ofc Code]=(TRIM(L$7)))*(CkDJ[Account Code]=(TRIM($D17))),CkDJ[Credit])))+(SUM(IF((CsDJ[Ofc Code]=(TRIM(L$7)))*(CsDJ[Account Code]=(TRIM($D17))),CsDJ[Credit])))+(SUM(IF((CRDJ[Ofc Code]=(TRIM(L$7)))*(CRDJ[Account Code]=(TRIM($D17))),CRDJ[Credit])))+(SUM(IF((GJ[Ofc Code]=(TRIM(L$7)))*(GJ[Account Code]=(TRIM($D17))),GJ[Credit]))))-((SUM(IF((CkDJ[Ofc Code]=(TRIM(L$7)))*(CkDJ[Account Code]=(TRIM($D17))),CkDJ[Debit])))+(SUM(IF((CsDJ[Ofc Code]=(TRIM(L$7)))*(CsDJ[Account Code]=(TRIM($D17))),CsDJ[Debit])))+(SUM(IF((CRDJ[Ofc Code]=(TRIM(L$7)))*(CRDJ[Account Code]=(TRIM($D17))),CRDJ[Debit])))+(SUM(IF((GJ[Ofc Code]=(TRIM(L$7)))*(GJ[Account Code]=(TRIM($D17))),GJ[Debit]))))</f>
        <v>0</v>
      </c>
      <c r="M17" s="211">
        <f t="array" ref="M17">((SUM(IF((CkDJ[Ofc Code]=(TRIM(M$7)))*(CkDJ[Account Code]=(TRIM($D17))),CkDJ[Credit])))+(SUM(IF((CsDJ[Ofc Code]=(TRIM(M$7)))*(CsDJ[Account Code]=(TRIM($D17))),CsDJ[Credit])))+(SUM(IF((CRDJ[Ofc Code]=(TRIM(M$7)))*(CRDJ[Account Code]=(TRIM($D17))),CRDJ[Credit])))+(SUM(IF((GJ[Ofc Code]=(TRIM(M$7)))*(GJ[Account Code]=(TRIM($D17))),GJ[Credit]))))-((SUM(IF((CkDJ[Ofc Code]=(TRIM(M$7)))*(CkDJ[Account Code]=(TRIM($D17))),CkDJ[Debit])))+(SUM(IF((CsDJ[Ofc Code]=(TRIM(M$7)))*(CsDJ[Account Code]=(TRIM($D17))),CsDJ[Debit])))+(SUM(IF((CRDJ[Ofc Code]=(TRIM(M$7)))*(CRDJ[Account Code]=(TRIM($D17))),CRDJ[Debit])))+(SUM(IF((GJ[Ofc Code]=(TRIM(M$7)))*(GJ[Account Code]=(TRIM($D17))),GJ[Debit]))))</f>
        <v>0</v>
      </c>
      <c r="N17" s="211">
        <f t="array" ref="N17">((SUM(IF((CkDJ[Ofc Code]=(TRIM(N$7)))*(CkDJ[Account Code]=(TRIM($D17))),CkDJ[Credit])))+(SUM(IF((CsDJ[Ofc Code]=(TRIM(N$7)))*(CsDJ[Account Code]=(TRIM($D17))),CsDJ[Credit])))+(SUM(IF((CRDJ[Ofc Code]=(TRIM(N$7)))*(CRDJ[Account Code]=(TRIM($D17))),CRDJ[Credit])))+(SUM(IF((GJ[Ofc Code]=(TRIM(N$7)))*(GJ[Account Code]=(TRIM($D17))),GJ[Credit]))))-((SUM(IF((CkDJ[Ofc Code]=(TRIM(N$7)))*(CkDJ[Account Code]=(TRIM($D17))),CkDJ[Debit])))+(SUM(IF((CsDJ[Ofc Code]=(TRIM(N$7)))*(CsDJ[Account Code]=(TRIM($D17))),CsDJ[Debit])))+(SUM(IF((CRDJ[Ofc Code]=(TRIM(N$7)))*(CRDJ[Account Code]=(TRIM($D17))),CRDJ[Debit])))+(SUM(IF((GJ[Ofc Code]=(TRIM(N$7)))*(GJ[Account Code]=(TRIM($D17))),GJ[Debit]))))</f>
        <v>0</v>
      </c>
      <c r="O17" s="211">
        <f t="shared" si="2"/>
        <v>0</v>
      </c>
      <c r="P17" s="211">
        <f t="array" ref="P17">((SUM(IF((CkDJ[Ofc Code]=(TRIM(P$7)))*(CkDJ[Account Code]=(TRIM($D17))),CkDJ[Credit])))+(SUM(IF((CsDJ[Ofc Code]=(TRIM(P$7)))*(CsDJ[Account Code]=(TRIM($D17))),CsDJ[Credit])))+(SUM(IF((CRDJ[Ofc Code]=(TRIM(P$7)))*(CRDJ[Account Code]=(TRIM($D17))),CRDJ[Credit])))+(SUM(IF((GJ[Ofc Code]=(TRIM(P$7)))*(GJ[Account Code]=(TRIM($D17))),GJ[Credit]))))-((SUM(IF((CkDJ[Ofc Code]=(TRIM(P$7)))*(CkDJ[Account Code]=(TRIM($D17))),CkDJ[Debit])))+(SUM(IF((CsDJ[Ofc Code]=(TRIM(P$7)))*(CsDJ[Account Code]=(TRIM($D17))),CsDJ[Debit])))+(SUM(IF((CRDJ[Ofc Code]=(TRIM(P$7)))*(CRDJ[Account Code]=(TRIM($D17))),CRDJ[Debit])))+(SUM(IF((GJ[Ofc Code]=(TRIM(P$7)))*(GJ[Account Code]=(TRIM($D17))),GJ[Debit]))))</f>
        <v>0</v>
      </c>
      <c r="Q17" s="211">
        <f t="array" ref="Q17">((SUM(IF((CkDJ[Ofc Code]=(TRIM(Q$7)))*(CkDJ[Account Code]=(TRIM($D17))),CkDJ[Credit])))+(SUM(IF((CsDJ[Ofc Code]=(TRIM(Q$7)))*(CsDJ[Account Code]=(TRIM($D17))),CsDJ[Credit])))+(SUM(IF((CRDJ[Ofc Code]=(TRIM(Q$7)))*(CRDJ[Account Code]=(TRIM($D17))),CRDJ[Credit])))+(SUM(IF((GJ[Ofc Code]=(TRIM(Q$7)))*(GJ[Account Code]=(TRIM($D17))),GJ[Credit]))))-((SUM(IF((CkDJ[Ofc Code]=(TRIM(Q$7)))*(CkDJ[Account Code]=(TRIM($D17))),CkDJ[Debit])))+(SUM(IF((CsDJ[Ofc Code]=(TRIM(Q$7)))*(CsDJ[Account Code]=(TRIM($D17))),CsDJ[Debit])))+(SUM(IF((CRDJ[Ofc Code]=(TRIM(Q$7)))*(CRDJ[Account Code]=(TRIM($D17))),CRDJ[Debit])))+(SUM(IF((GJ[Ofc Code]=(TRIM(Q$7)))*(GJ[Account Code]=(TRIM($D17))),GJ[Debit]))))</f>
        <v>0</v>
      </c>
      <c r="R17" s="211">
        <f t="array" ref="R17">((SUM(IF((CkDJ[Ofc Code]=(TRIM(R$7)))*(CkDJ[Account Code]=(TRIM($D17))),CkDJ[Credit])))+(SUM(IF((CsDJ[Ofc Code]=(TRIM(R$7)))*(CsDJ[Account Code]=(TRIM($D17))),CsDJ[Credit])))+(SUM(IF((CRDJ[Ofc Code]=(TRIM(R$7)))*(CRDJ[Account Code]=(TRIM($D17))),CRDJ[Credit])))+(SUM(IF((GJ[Ofc Code]=(TRIM(R$7)))*(GJ[Account Code]=(TRIM($D17))),GJ[Credit]))))-((SUM(IF((CkDJ[Ofc Code]=(TRIM(R$7)))*(CkDJ[Account Code]=(TRIM($D17))),CkDJ[Debit])))+(SUM(IF((CsDJ[Ofc Code]=(TRIM(R$7)))*(CsDJ[Account Code]=(TRIM($D17))),CsDJ[Debit])))+(SUM(IF((CRDJ[Ofc Code]=(TRIM(R$7)))*(CRDJ[Account Code]=(TRIM($D17))),CRDJ[Debit])))+(SUM(IF((GJ[Ofc Code]=(TRIM(R$7)))*(GJ[Account Code]=(TRIM($D17))),GJ[Debit]))))</f>
        <v>0</v>
      </c>
      <c r="S17" s="211">
        <f t="array" ref="S17">((SUM(IF((CkDJ[Ofc Code]=(TRIM(S$7)))*(CkDJ[Account Code]=(TRIM($D17))),CkDJ[Credit])))+(SUM(IF((CsDJ[Ofc Code]=(TRIM(S$7)))*(CsDJ[Account Code]=(TRIM($D17))),CsDJ[Credit])))+(SUM(IF((CRDJ[Ofc Code]=(TRIM(S$7)))*(CRDJ[Account Code]=(TRIM($D17))),CRDJ[Credit])))+(SUM(IF((GJ[Ofc Code]=(TRIM(S$7)))*(GJ[Account Code]=(TRIM($D17))),GJ[Credit]))))-((SUM(IF((CkDJ[Ofc Code]=(TRIM(S$7)))*(CkDJ[Account Code]=(TRIM($D17))),CkDJ[Debit])))+(SUM(IF((CsDJ[Ofc Code]=(TRIM(S$7)))*(CsDJ[Account Code]=(TRIM($D17))),CsDJ[Debit])))+(SUM(IF((CRDJ[Ofc Code]=(TRIM(S$7)))*(CRDJ[Account Code]=(TRIM($D17))),CRDJ[Debit])))+(SUM(IF((GJ[Ofc Code]=(TRIM(S$7)))*(GJ[Account Code]=(TRIM($D17))),GJ[Debit]))))</f>
        <v>0</v>
      </c>
      <c r="T17" s="211">
        <f t="array" ref="T17">((SUM(IF((CkDJ[Ofc Code]=(TRIM(T$7)))*(CkDJ[Account Code]=(TRIM($D17))),CkDJ[Credit])))+(SUM(IF((CsDJ[Ofc Code]=(TRIM(T$7)))*(CsDJ[Account Code]=(TRIM($D17))),CsDJ[Credit])))+(SUM(IF((CRDJ[Ofc Code]=(TRIM(T$7)))*(CRDJ[Account Code]=(TRIM($D17))),CRDJ[Credit])))+(SUM(IF((GJ[Ofc Code]=(TRIM(T$7)))*(GJ[Account Code]=(TRIM($D17))),GJ[Credit]))))-((SUM(IF((CkDJ[Ofc Code]=(TRIM(T$7)))*(CkDJ[Account Code]=(TRIM($D17))),CkDJ[Debit])))+(SUM(IF((CsDJ[Ofc Code]=(TRIM(T$7)))*(CsDJ[Account Code]=(TRIM($D17))),CsDJ[Debit])))+(SUM(IF((CRDJ[Ofc Code]=(TRIM(T$7)))*(CRDJ[Account Code]=(TRIM($D17))),CRDJ[Debit])))+(SUM(IF((GJ[Ofc Code]=(TRIM(T$7)))*(GJ[Account Code]=(TRIM($D17))),GJ[Debit]))))</f>
        <v>0</v>
      </c>
      <c r="U17" s="211">
        <f t="shared" si="3"/>
        <v>0</v>
      </c>
      <c r="V17" s="211">
        <f t="shared" si="4"/>
        <v>0</v>
      </c>
    </row>
    <row r="18" spans="1:22" ht="15">
      <c r="A18" s="212">
        <f t="shared" si="5"/>
        <v>10</v>
      </c>
      <c r="B18" s="214"/>
      <c r="C18" s="194" t="str">
        <f t="shared" si="0"/>
        <v>Other Service Income - Pump Equity (Back Account)</v>
      </c>
      <c r="D18" s="207" t="s">
        <v>142</v>
      </c>
      <c r="E18" s="211">
        <f t="array" ref="E18">((SUM(IF((CkDJ[Ofc Code]=(TRIM(E$7)))*(CkDJ[Account Code]=(TRIM($D18))),CkDJ[Credit])))+(SUM(IF((CsDJ[Ofc Code]=(TRIM(E$7)))*(CsDJ[Account Code]=(TRIM($D18))),CsDJ[Credit])))+(SUM(IF((CRDJ[Ofc Code]=(TRIM(E$7)))*(CRDJ[Account Code]=(TRIM($D18))),CRDJ[Credit])))+(SUM(IF((GJ[Ofc Code]=(TRIM(E$7)))*(GJ[Account Code]=(TRIM($D18))),GJ[Credit]))))-((SUM(IF((CkDJ[Ofc Code]=(TRIM(E$7)))*(CkDJ[Account Code]=(TRIM($D18))),CkDJ[Debit])))+(SUM(IF((CsDJ[Ofc Code]=(TRIM(E$7)))*(CsDJ[Account Code]=(TRIM($D18))),CsDJ[Debit])))+(SUM(IF((CRDJ[Ofc Code]=(TRIM(E$7)))*(CRDJ[Account Code]=(TRIM($D18))),CRDJ[Debit])))+(SUM(IF((GJ[Ofc Code]=(TRIM(E$7)))*(GJ[Account Code]=(TRIM($D18))),GJ[Debit]))))</f>
        <v>0</v>
      </c>
      <c r="F18" s="211">
        <f t="array" ref="F18">((SUM(IF((CkDJ[Ofc Code]=(TRIM(F$7)))*(CkDJ[Account Code]=(TRIM($D18))),CkDJ[Credit])))+(SUM(IF((CsDJ[Ofc Code]=(TRIM(F$7)))*(CsDJ[Account Code]=(TRIM($D18))),CsDJ[Credit])))+(SUM(IF((CRDJ[Ofc Code]=(TRIM(F$7)))*(CRDJ[Account Code]=(TRIM($D18))),CRDJ[Credit])))+(SUM(IF((GJ[Ofc Code]=(TRIM(F$7)))*(GJ[Account Code]=(TRIM($D18))),GJ[Credit]))))-((SUM(IF((CkDJ[Ofc Code]=(TRIM(F$7)))*(CkDJ[Account Code]=(TRIM($D18))),CkDJ[Debit])))+(SUM(IF((CsDJ[Ofc Code]=(TRIM(F$7)))*(CsDJ[Account Code]=(TRIM($D18))),CsDJ[Debit])))+(SUM(IF((CRDJ[Ofc Code]=(TRIM(F$7)))*(CRDJ[Account Code]=(TRIM($D18))),CRDJ[Debit])))+(SUM(IF((GJ[Ofc Code]=(TRIM(F$7)))*(GJ[Account Code]=(TRIM($D18))),GJ[Debit]))))</f>
        <v>0</v>
      </c>
      <c r="G18" s="211">
        <f t="array" ref="G18">((SUM(IF((CkDJ[Ofc Code]=(TRIM(G$7)))*(CkDJ[Account Code]=(TRIM($D18))),CkDJ[Credit])))+(SUM(IF((CsDJ[Ofc Code]=(TRIM(G$7)))*(CsDJ[Account Code]=(TRIM($D18))),CsDJ[Credit])))+(SUM(IF((CRDJ[Ofc Code]=(TRIM(G$7)))*(CRDJ[Account Code]=(TRIM($D18))),CRDJ[Credit])))+(SUM(IF((GJ[Ofc Code]=(TRIM(G$7)))*(GJ[Account Code]=(TRIM($D18))),GJ[Credit]))))-((SUM(IF((CkDJ[Ofc Code]=(TRIM(G$7)))*(CkDJ[Account Code]=(TRIM($D18))),CkDJ[Debit])))+(SUM(IF((CsDJ[Ofc Code]=(TRIM(G$7)))*(CsDJ[Account Code]=(TRIM($D18))),CsDJ[Debit])))+(SUM(IF((CRDJ[Ofc Code]=(TRIM(G$7)))*(CRDJ[Account Code]=(TRIM($D18))),CRDJ[Debit])))+(SUM(IF((GJ[Ofc Code]=(TRIM(G$7)))*(GJ[Account Code]=(TRIM($D18))),GJ[Debit]))))</f>
        <v>0</v>
      </c>
      <c r="H18" s="211">
        <f t="array" ref="H18">((SUM(IF((CkDJ[Ofc Code]=(TRIM(H$7)))*(CkDJ[Account Code]=(TRIM($D18))),CkDJ[Credit])))+(SUM(IF((CsDJ[Ofc Code]=(TRIM(H$7)))*(CsDJ[Account Code]=(TRIM($D18))),CsDJ[Credit])))+(SUM(IF((CRDJ[Ofc Code]=(TRIM(H$7)))*(CRDJ[Account Code]=(TRIM($D18))),CRDJ[Credit])))+(SUM(IF((GJ[Ofc Code]=(TRIM(H$7)))*(GJ[Account Code]=(TRIM($D18))),GJ[Credit]))))-((SUM(IF((CkDJ[Ofc Code]=(TRIM(H$7)))*(CkDJ[Account Code]=(TRIM($D18))),CkDJ[Debit])))+(SUM(IF((CsDJ[Ofc Code]=(TRIM(H$7)))*(CsDJ[Account Code]=(TRIM($D18))),CsDJ[Debit])))+(SUM(IF((CRDJ[Ofc Code]=(TRIM(H$7)))*(CRDJ[Account Code]=(TRIM($D18))),CRDJ[Debit])))+(SUM(IF((GJ[Ofc Code]=(TRIM(H$7)))*(GJ[Account Code]=(TRIM($D18))),GJ[Debit]))))</f>
        <v>0</v>
      </c>
      <c r="I18" s="211">
        <f t="array" ref="I18">((SUM(IF((CkDJ[Ofc Code]=(TRIM(I$7)))*(CkDJ[Account Code]=(TRIM($D18))),CkDJ[Credit])))+(SUM(IF((CsDJ[Ofc Code]=(TRIM(I$7)))*(CsDJ[Account Code]=(TRIM($D18))),CsDJ[Credit])))+(SUM(IF((CRDJ[Ofc Code]=(TRIM(I$7)))*(CRDJ[Account Code]=(TRIM($D18))),CRDJ[Credit])))+(SUM(IF((GJ[Ofc Code]=(TRIM(I$7)))*(GJ[Account Code]=(TRIM($D18))),GJ[Credit]))))-((SUM(IF((CkDJ[Ofc Code]=(TRIM(I$7)))*(CkDJ[Account Code]=(TRIM($D18))),CkDJ[Debit])))+(SUM(IF((CsDJ[Ofc Code]=(TRIM(I$7)))*(CsDJ[Account Code]=(TRIM($D18))),CsDJ[Debit])))+(SUM(IF((CRDJ[Ofc Code]=(TRIM(I$7)))*(CRDJ[Account Code]=(TRIM($D18))),CRDJ[Debit])))+(SUM(IF((GJ[Ofc Code]=(TRIM(I$7)))*(GJ[Account Code]=(TRIM($D18))),GJ[Debit]))))</f>
        <v>0</v>
      </c>
      <c r="J18" s="211">
        <f>SUM(F18:I18)</f>
        <v>0</v>
      </c>
      <c r="K18" s="211">
        <f t="array" ref="K18">((SUM(IF((CkDJ[Ofc Code]=(TRIM(K$7)))*(CkDJ[Account Code]=(TRIM($D18))),CkDJ[Credit])))+(SUM(IF((CsDJ[Ofc Code]=(TRIM(K$7)))*(CsDJ[Account Code]=(TRIM($D18))),CsDJ[Credit])))+(SUM(IF((CRDJ[Ofc Code]=(TRIM(K$7)))*(CRDJ[Account Code]=(TRIM($D18))),CRDJ[Credit])))+(SUM(IF((GJ[Ofc Code]=(TRIM(K$7)))*(GJ[Account Code]=(TRIM($D18))),GJ[Credit]))))-((SUM(IF((CkDJ[Ofc Code]=(TRIM(K$7)))*(CkDJ[Account Code]=(TRIM($D18))),CkDJ[Debit])))+(SUM(IF((CsDJ[Ofc Code]=(TRIM(K$7)))*(CsDJ[Account Code]=(TRIM($D18))),CsDJ[Debit])))+(SUM(IF((CRDJ[Ofc Code]=(TRIM(K$7)))*(CRDJ[Account Code]=(TRIM($D18))),CRDJ[Debit])))+(SUM(IF((GJ[Ofc Code]=(TRIM(K$7)))*(GJ[Account Code]=(TRIM($D18))),GJ[Debit]))))</f>
        <v>0</v>
      </c>
      <c r="L18" s="211">
        <f t="array" ref="L18">((SUM(IF((CkDJ[Ofc Code]=(TRIM(L$7)))*(CkDJ[Account Code]=(TRIM($D18))),CkDJ[Credit])))+(SUM(IF((CsDJ[Ofc Code]=(TRIM(L$7)))*(CsDJ[Account Code]=(TRIM($D18))),CsDJ[Credit])))+(SUM(IF((CRDJ[Ofc Code]=(TRIM(L$7)))*(CRDJ[Account Code]=(TRIM($D18))),CRDJ[Credit])))+(SUM(IF((GJ[Ofc Code]=(TRIM(L$7)))*(GJ[Account Code]=(TRIM($D18))),GJ[Credit]))))-((SUM(IF((CkDJ[Ofc Code]=(TRIM(L$7)))*(CkDJ[Account Code]=(TRIM($D18))),CkDJ[Debit])))+(SUM(IF((CsDJ[Ofc Code]=(TRIM(L$7)))*(CsDJ[Account Code]=(TRIM($D18))),CsDJ[Debit])))+(SUM(IF((CRDJ[Ofc Code]=(TRIM(L$7)))*(CRDJ[Account Code]=(TRIM($D18))),CRDJ[Debit])))+(SUM(IF((GJ[Ofc Code]=(TRIM(L$7)))*(GJ[Account Code]=(TRIM($D18))),GJ[Debit]))))</f>
        <v>0</v>
      </c>
      <c r="M18" s="211">
        <f t="array" ref="M18">((SUM(IF((CkDJ[Ofc Code]=(TRIM(M$7)))*(CkDJ[Account Code]=(TRIM($D18))),CkDJ[Credit])))+(SUM(IF((CsDJ[Ofc Code]=(TRIM(M$7)))*(CsDJ[Account Code]=(TRIM($D18))),CsDJ[Credit])))+(SUM(IF((CRDJ[Ofc Code]=(TRIM(M$7)))*(CRDJ[Account Code]=(TRIM($D18))),CRDJ[Credit])))+(SUM(IF((GJ[Ofc Code]=(TRIM(M$7)))*(GJ[Account Code]=(TRIM($D18))),GJ[Credit]))))-((SUM(IF((CkDJ[Ofc Code]=(TRIM(M$7)))*(CkDJ[Account Code]=(TRIM($D18))),CkDJ[Debit])))+(SUM(IF((CsDJ[Ofc Code]=(TRIM(M$7)))*(CsDJ[Account Code]=(TRIM($D18))),CsDJ[Debit])))+(SUM(IF((CRDJ[Ofc Code]=(TRIM(M$7)))*(CRDJ[Account Code]=(TRIM($D18))),CRDJ[Debit])))+(SUM(IF((GJ[Ofc Code]=(TRIM(M$7)))*(GJ[Account Code]=(TRIM($D18))),GJ[Debit]))))</f>
        <v>0</v>
      </c>
      <c r="N18" s="211">
        <f t="array" ref="N18">((SUM(IF((CkDJ[Ofc Code]=(TRIM(N$7)))*(CkDJ[Account Code]=(TRIM($D18))),CkDJ[Credit])))+(SUM(IF((CsDJ[Ofc Code]=(TRIM(N$7)))*(CsDJ[Account Code]=(TRIM($D18))),CsDJ[Credit])))+(SUM(IF((CRDJ[Ofc Code]=(TRIM(N$7)))*(CRDJ[Account Code]=(TRIM($D18))),CRDJ[Credit])))+(SUM(IF((GJ[Ofc Code]=(TRIM(N$7)))*(GJ[Account Code]=(TRIM($D18))),GJ[Credit]))))-((SUM(IF((CkDJ[Ofc Code]=(TRIM(N$7)))*(CkDJ[Account Code]=(TRIM($D18))),CkDJ[Debit])))+(SUM(IF((CsDJ[Ofc Code]=(TRIM(N$7)))*(CsDJ[Account Code]=(TRIM($D18))),CsDJ[Debit])))+(SUM(IF((CRDJ[Ofc Code]=(TRIM(N$7)))*(CRDJ[Account Code]=(TRIM($D18))),CRDJ[Debit])))+(SUM(IF((GJ[Ofc Code]=(TRIM(N$7)))*(GJ[Account Code]=(TRIM($D18))),GJ[Debit]))))</f>
        <v>0</v>
      </c>
      <c r="O18" s="211">
        <f>SUM(K18:N18)</f>
        <v>0</v>
      </c>
      <c r="P18" s="211">
        <f t="array" ref="P18">((SUM(IF((CkDJ[Ofc Code]=(TRIM(P$7)))*(CkDJ[Account Code]=(TRIM($D18))),CkDJ[Credit])))+(SUM(IF((CsDJ[Ofc Code]=(TRIM(P$7)))*(CsDJ[Account Code]=(TRIM($D18))),CsDJ[Credit])))+(SUM(IF((CRDJ[Ofc Code]=(TRIM(P$7)))*(CRDJ[Account Code]=(TRIM($D18))),CRDJ[Credit])))+(SUM(IF((GJ[Ofc Code]=(TRIM(P$7)))*(GJ[Account Code]=(TRIM($D18))),GJ[Credit]))))-((SUM(IF((CkDJ[Ofc Code]=(TRIM(P$7)))*(CkDJ[Account Code]=(TRIM($D18))),CkDJ[Debit])))+(SUM(IF((CsDJ[Ofc Code]=(TRIM(P$7)))*(CsDJ[Account Code]=(TRIM($D18))),CsDJ[Debit])))+(SUM(IF((CRDJ[Ofc Code]=(TRIM(P$7)))*(CRDJ[Account Code]=(TRIM($D18))),CRDJ[Debit])))+(SUM(IF((GJ[Ofc Code]=(TRIM(P$7)))*(GJ[Account Code]=(TRIM($D18))),GJ[Debit]))))</f>
        <v>0</v>
      </c>
      <c r="Q18" s="211">
        <f t="array" ref="Q18">((SUM(IF((CkDJ[Ofc Code]=(TRIM(Q$7)))*(CkDJ[Account Code]=(TRIM($D18))),CkDJ[Credit])))+(SUM(IF((CsDJ[Ofc Code]=(TRIM(Q$7)))*(CsDJ[Account Code]=(TRIM($D18))),CsDJ[Credit])))+(SUM(IF((CRDJ[Ofc Code]=(TRIM(Q$7)))*(CRDJ[Account Code]=(TRIM($D18))),CRDJ[Credit])))+(SUM(IF((GJ[Ofc Code]=(TRIM(Q$7)))*(GJ[Account Code]=(TRIM($D18))),GJ[Credit]))))-((SUM(IF((CkDJ[Ofc Code]=(TRIM(Q$7)))*(CkDJ[Account Code]=(TRIM($D18))),CkDJ[Debit])))+(SUM(IF((CsDJ[Ofc Code]=(TRIM(Q$7)))*(CsDJ[Account Code]=(TRIM($D18))),CsDJ[Debit])))+(SUM(IF((CRDJ[Ofc Code]=(TRIM(Q$7)))*(CRDJ[Account Code]=(TRIM($D18))),CRDJ[Debit])))+(SUM(IF((GJ[Ofc Code]=(TRIM(Q$7)))*(GJ[Account Code]=(TRIM($D18))),GJ[Debit]))))</f>
        <v>0</v>
      </c>
      <c r="R18" s="211">
        <f t="array" ref="R18">((SUM(IF((CkDJ[Ofc Code]=(TRIM(R$7)))*(CkDJ[Account Code]=(TRIM($D18))),CkDJ[Credit])))+(SUM(IF((CsDJ[Ofc Code]=(TRIM(R$7)))*(CsDJ[Account Code]=(TRIM($D18))),CsDJ[Credit])))+(SUM(IF((CRDJ[Ofc Code]=(TRIM(R$7)))*(CRDJ[Account Code]=(TRIM($D18))),CRDJ[Credit])))+(SUM(IF((GJ[Ofc Code]=(TRIM(R$7)))*(GJ[Account Code]=(TRIM($D18))),GJ[Credit]))))-((SUM(IF((CkDJ[Ofc Code]=(TRIM(R$7)))*(CkDJ[Account Code]=(TRIM($D18))),CkDJ[Debit])))+(SUM(IF((CsDJ[Ofc Code]=(TRIM(R$7)))*(CsDJ[Account Code]=(TRIM($D18))),CsDJ[Debit])))+(SUM(IF((CRDJ[Ofc Code]=(TRIM(R$7)))*(CRDJ[Account Code]=(TRIM($D18))),CRDJ[Debit])))+(SUM(IF((GJ[Ofc Code]=(TRIM(R$7)))*(GJ[Account Code]=(TRIM($D18))),GJ[Debit]))))</f>
        <v>0</v>
      </c>
      <c r="S18" s="211">
        <f t="array" ref="S18">((SUM(IF((CkDJ[Ofc Code]=(TRIM(S$7)))*(CkDJ[Account Code]=(TRIM($D18))),CkDJ[Credit])))+(SUM(IF((CsDJ[Ofc Code]=(TRIM(S$7)))*(CsDJ[Account Code]=(TRIM($D18))),CsDJ[Credit])))+(SUM(IF((CRDJ[Ofc Code]=(TRIM(S$7)))*(CRDJ[Account Code]=(TRIM($D18))),CRDJ[Credit])))+(SUM(IF((GJ[Ofc Code]=(TRIM(S$7)))*(GJ[Account Code]=(TRIM($D18))),GJ[Credit]))))-((SUM(IF((CkDJ[Ofc Code]=(TRIM(S$7)))*(CkDJ[Account Code]=(TRIM($D18))),CkDJ[Debit])))+(SUM(IF((CsDJ[Ofc Code]=(TRIM(S$7)))*(CsDJ[Account Code]=(TRIM($D18))),CsDJ[Debit])))+(SUM(IF((CRDJ[Ofc Code]=(TRIM(S$7)))*(CRDJ[Account Code]=(TRIM($D18))),CRDJ[Debit])))+(SUM(IF((GJ[Ofc Code]=(TRIM(S$7)))*(GJ[Account Code]=(TRIM($D18))),GJ[Debit]))))</f>
        <v>0</v>
      </c>
      <c r="T18" s="211">
        <f t="array" ref="T18">((SUM(IF((CkDJ[Ofc Code]=(TRIM(T$7)))*(CkDJ[Account Code]=(TRIM($D18))),CkDJ[Credit])))+(SUM(IF((CsDJ[Ofc Code]=(TRIM(T$7)))*(CsDJ[Account Code]=(TRIM($D18))),CsDJ[Credit])))+(SUM(IF((CRDJ[Ofc Code]=(TRIM(T$7)))*(CRDJ[Account Code]=(TRIM($D18))),CRDJ[Credit])))+(SUM(IF((GJ[Ofc Code]=(TRIM(T$7)))*(GJ[Account Code]=(TRIM($D18))),GJ[Credit]))))-((SUM(IF((CkDJ[Ofc Code]=(TRIM(T$7)))*(CkDJ[Account Code]=(TRIM($D18))),CkDJ[Debit])))+(SUM(IF((CsDJ[Ofc Code]=(TRIM(T$7)))*(CsDJ[Account Code]=(TRIM($D18))),CsDJ[Debit])))+(SUM(IF((CRDJ[Ofc Code]=(TRIM(T$7)))*(CRDJ[Account Code]=(TRIM($D18))),CRDJ[Debit])))+(SUM(IF((GJ[Ofc Code]=(TRIM(T$7)))*(GJ[Account Code]=(TRIM($D18))),GJ[Debit]))))</f>
        <v>0</v>
      </c>
      <c r="U18" s="211">
        <f>SUM(P18:T18)</f>
        <v>0</v>
      </c>
      <c r="V18" s="211">
        <f>E18+J18+O18+U18</f>
        <v>0</v>
      </c>
    </row>
    <row r="19" spans="1:22" ht="15">
      <c r="A19" s="212">
        <f t="shared" si="5"/>
        <v>11</v>
      </c>
      <c r="B19" s="214"/>
      <c r="C19" s="194" t="str">
        <f t="shared" si="0"/>
        <v>Fines and Penalties-Irrigation Service Fee</v>
      </c>
      <c r="D19" s="207" t="s">
        <v>143</v>
      </c>
      <c r="E19" s="211">
        <f t="array" ref="E19">((SUM(IF((CkDJ[Ofc Code]=(TRIM(E$7)))*(CkDJ[Account Code]=(TRIM($D19))),CkDJ[Credit])))+(SUM(IF((CsDJ[Ofc Code]=(TRIM(E$7)))*(CsDJ[Account Code]=(TRIM($D19))),CsDJ[Credit])))+(SUM(IF((CRDJ[Ofc Code]=(TRIM(E$7)))*(CRDJ[Account Code]=(TRIM($D19))),CRDJ[Credit])))+(SUM(IF((GJ[Ofc Code]=(TRIM(E$7)))*(GJ[Account Code]=(TRIM($D19))),GJ[Credit]))))-((SUM(IF((CkDJ[Ofc Code]=(TRIM(E$7)))*(CkDJ[Account Code]=(TRIM($D19))),CkDJ[Debit])))+(SUM(IF((CsDJ[Ofc Code]=(TRIM(E$7)))*(CsDJ[Account Code]=(TRIM($D19))),CsDJ[Debit])))+(SUM(IF((CRDJ[Ofc Code]=(TRIM(E$7)))*(CRDJ[Account Code]=(TRIM($D19))),CRDJ[Debit])))+(SUM(IF((GJ[Ofc Code]=(TRIM(E$7)))*(GJ[Account Code]=(TRIM($D19))),GJ[Debit]))))</f>
        <v>0</v>
      </c>
      <c r="F19" s="211">
        <f t="array" ref="F19">((SUM(IF((CkDJ[Ofc Code]=(TRIM(F$7)))*(CkDJ[Account Code]=(TRIM($D19))),CkDJ[Credit])))+(SUM(IF((CsDJ[Ofc Code]=(TRIM(F$7)))*(CsDJ[Account Code]=(TRIM($D19))),CsDJ[Credit])))+(SUM(IF((CRDJ[Ofc Code]=(TRIM(F$7)))*(CRDJ[Account Code]=(TRIM($D19))),CRDJ[Credit])))+(SUM(IF((GJ[Ofc Code]=(TRIM(F$7)))*(GJ[Account Code]=(TRIM($D19))),GJ[Credit]))))-((SUM(IF((CkDJ[Ofc Code]=(TRIM(F$7)))*(CkDJ[Account Code]=(TRIM($D19))),CkDJ[Debit])))+(SUM(IF((CsDJ[Ofc Code]=(TRIM(F$7)))*(CsDJ[Account Code]=(TRIM($D19))),CsDJ[Debit])))+(SUM(IF((CRDJ[Ofc Code]=(TRIM(F$7)))*(CRDJ[Account Code]=(TRIM($D19))),CRDJ[Debit])))+(SUM(IF((GJ[Ofc Code]=(TRIM(F$7)))*(GJ[Account Code]=(TRIM($D19))),GJ[Debit]))))</f>
        <v>0</v>
      </c>
      <c r="G19" s="211">
        <f t="array" ref="G19">((SUM(IF((CkDJ[Ofc Code]=(TRIM(G$7)))*(CkDJ[Account Code]=(TRIM($D19))),CkDJ[Credit])))+(SUM(IF((CsDJ[Ofc Code]=(TRIM(G$7)))*(CsDJ[Account Code]=(TRIM($D19))),CsDJ[Credit])))+(SUM(IF((CRDJ[Ofc Code]=(TRIM(G$7)))*(CRDJ[Account Code]=(TRIM($D19))),CRDJ[Credit])))+(SUM(IF((GJ[Ofc Code]=(TRIM(G$7)))*(GJ[Account Code]=(TRIM($D19))),GJ[Credit]))))-((SUM(IF((CkDJ[Ofc Code]=(TRIM(G$7)))*(CkDJ[Account Code]=(TRIM($D19))),CkDJ[Debit])))+(SUM(IF((CsDJ[Ofc Code]=(TRIM(G$7)))*(CsDJ[Account Code]=(TRIM($D19))),CsDJ[Debit])))+(SUM(IF((CRDJ[Ofc Code]=(TRIM(G$7)))*(CRDJ[Account Code]=(TRIM($D19))),CRDJ[Debit])))+(SUM(IF((GJ[Ofc Code]=(TRIM(G$7)))*(GJ[Account Code]=(TRIM($D19))),GJ[Debit]))))</f>
        <v>0</v>
      </c>
      <c r="H19" s="211">
        <f t="array" ref="H19">((SUM(IF((CkDJ[Ofc Code]=(TRIM(H$7)))*(CkDJ[Account Code]=(TRIM($D19))),CkDJ[Credit])))+(SUM(IF((CsDJ[Ofc Code]=(TRIM(H$7)))*(CsDJ[Account Code]=(TRIM($D19))),CsDJ[Credit])))+(SUM(IF((CRDJ[Ofc Code]=(TRIM(H$7)))*(CRDJ[Account Code]=(TRIM($D19))),CRDJ[Credit])))+(SUM(IF((GJ[Ofc Code]=(TRIM(H$7)))*(GJ[Account Code]=(TRIM($D19))),GJ[Credit]))))-((SUM(IF((CkDJ[Ofc Code]=(TRIM(H$7)))*(CkDJ[Account Code]=(TRIM($D19))),CkDJ[Debit])))+(SUM(IF((CsDJ[Ofc Code]=(TRIM(H$7)))*(CsDJ[Account Code]=(TRIM($D19))),CsDJ[Debit])))+(SUM(IF((CRDJ[Ofc Code]=(TRIM(H$7)))*(CRDJ[Account Code]=(TRIM($D19))),CRDJ[Debit])))+(SUM(IF((GJ[Ofc Code]=(TRIM(H$7)))*(GJ[Account Code]=(TRIM($D19))),GJ[Debit]))))</f>
        <v>0</v>
      </c>
      <c r="I19" s="211">
        <f t="array" ref="I19">((SUM(IF((CkDJ[Ofc Code]=(TRIM(I$7)))*(CkDJ[Account Code]=(TRIM($D19))),CkDJ[Credit])))+(SUM(IF((CsDJ[Ofc Code]=(TRIM(I$7)))*(CsDJ[Account Code]=(TRIM($D19))),CsDJ[Credit])))+(SUM(IF((CRDJ[Ofc Code]=(TRIM(I$7)))*(CRDJ[Account Code]=(TRIM($D19))),CRDJ[Credit])))+(SUM(IF((GJ[Ofc Code]=(TRIM(I$7)))*(GJ[Account Code]=(TRIM($D19))),GJ[Credit]))))-((SUM(IF((CkDJ[Ofc Code]=(TRIM(I$7)))*(CkDJ[Account Code]=(TRIM($D19))),CkDJ[Debit])))+(SUM(IF((CsDJ[Ofc Code]=(TRIM(I$7)))*(CsDJ[Account Code]=(TRIM($D19))),CsDJ[Debit])))+(SUM(IF((CRDJ[Ofc Code]=(TRIM(I$7)))*(CRDJ[Account Code]=(TRIM($D19))),CRDJ[Debit])))+(SUM(IF((GJ[Ofc Code]=(TRIM(I$7)))*(GJ[Account Code]=(TRIM($D19))),GJ[Debit]))))</f>
        <v>0</v>
      </c>
      <c r="J19" s="211">
        <f t="shared" si="1"/>
        <v>0</v>
      </c>
      <c r="K19" s="211">
        <f t="array" ref="K19">((SUM(IF((CkDJ[Ofc Code]=(TRIM(K$7)))*(CkDJ[Account Code]=(TRIM($D19))),CkDJ[Credit])))+(SUM(IF((CsDJ[Ofc Code]=(TRIM(K$7)))*(CsDJ[Account Code]=(TRIM($D19))),CsDJ[Credit])))+(SUM(IF((CRDJ[Ofc Code]=(TRIM(K$7)))*(CRDJ[Account Code]=(TRIM($D19))),CRDJ[Credit])))+(SUM(IF((GJ[Ofc Code]=(TRIM(K$7)))*(GJ[Account Code]=(TRIM($D19))),GJ[Credit]))))-((SUM(IF((CkDJ[Ofc Code]=(TRIM(K$7)))*(CkDJ[Account Code]=(TRIM($D19))),CkDJ[Debit])))+(SUM(IF((CsDJ[Ofc Code]=(TRIM(K$7)))*(CsDJ[Account Code]=(TRIM($D19))),CsDJ[Debit])))+(SUM(IF((CRDJ[Ofc Code]=(TRIM(K$7)))*(CRDJ[Account Code]=(TRIM($D19))),CRDJ[Debit])))+(SUM(IF((GJ[Ofc Code]=(TRIM(K$7)))*(GJ[Account Code]=(TRIM($D19))),GJ[Debit]))))</f>
        <v>0</v>
      </c>
      <c r="L19" s="211">
        <f t="array" ref="L19">((SUM(IF((CkDJ[Ofc Code]=(TRIM(L$7)))*(CkDJ[Account Code]=(TRIM($D19))),CkDJ[Credit])))+(SUM(IF((CsDJ[Ofc Code]=(TRIM(L$7)))*(CsDJ[Account Code]=(TRIM($D19))),CsDJ[Credit])))+(SUM(IF((CRDJ[Ofc Code]=(TRIM(L$7)))*(CRDJ[Account Code]=(TRIM($D19))),CRDJ[Credit])))+(SUM(IF((GJ[Ofc Code]=(TRIM(L$7)))*(GJ[Account Code]=(TRIM($D19))),GJ[Credit]))))-((SUM(IF((CkDJ[Ofc Code]=(TRIM(L$7)))*(CkDJ[Account Code]=(TRIM($D19))),CkDJ[Debit])))+(SUM(IF((CsDJ[Ofc Code]=(TRIM(L$7)))*(CsDJ[Account Code]=(TRIM($D19))),CsDJ[Debit])))+(SUM(IF((CRDJ[Ofc Code]=(TRIM(L$7)))*(CRDJ[Account Code]=(TRIM($D19))),CRDJ[Debit])))+(SUM(IF((GJ[Ofc Code]=(TRIM(L$7)))*(GJ[Account Code]=(TRIM($D19))),GJ[Debit]))))</f>
        <v>0</v>
      </c>
      <c r="M19" s="211">
        <f t="array" ref="M19">((SUM(IF((CkDJ[Ofc Code]=(TRIM(M$7)))*(CkDJ[Account Code]=(TRIM($D19))),CkDJ[Credit])))+(SUM(IF((CsDJ[Ofc Code]=(TRIM(M$7)))*(CsDJ[Account Code]=(TRIM($D19))),CsDJ[Credit])))+(SUM(IF((CRDJ[Ofc Code]=(TRIM(M$7)))*(CRDJ[Account Code]=(TRIM($D19))),CRDJ[Credit])))+(SUM(IF((GJ[Ofc Code]=(TRIM(M$7)))*(GJ[Account Code]=(TRIM($D19))),GJ[Credit]))))-((SUM(IF((CkDJ[Ofc Code]=(TRIM(M$7)))*(CkDJ[Account Code]=(TRIM($D19))),CkDJ[Debit])))+(SUM(IF((CsDJ[Ofc Code]=(TRIM(M$7)))*(CsDJ[Account Code]=(TRIM($D19))),CsDJ[Debit])))+(SUM(IF((CRDJ[Ofc Code]=(TRIM(M$7)))*(CRDJ[Account Code]=(TRIM($D19))),CRDJ[Debit])))+(SUM(IF((GJ[Ofc Code]=(TRIM(M$7)))*(GJ[Account Code]=(TRIM($D19))),GJ[Debit]))))</f>
        <v>0</v>
      </c>
      <c r="N19" s="211">
        <f t="array" ref="N19">((SUM(IF((CkDJ[Ofc Code]=(TRIM(N$7)))*(CkDJ[Account Code]=(TRIM($D19))),CkDJ[Credit])))+(SUM(IF((CsDJ[Ofc Code]=(TRIM(N$7)))*(CsDJ[Account Code]=(TRIM($D19))),CsDJ[Credit])))+(SUM(IF((CRDJ[Ofc Code]=(TRIM(N$7)))*(CRDJ[Account Code]=(TRIM($D19))),CRDJ[Credit])))+(SUM(IF((GJ[Ofc Code]=(TRIM(N$7)))*(GJ[Account Code]=(TRIM($D19))),GJ[Credit]))))-((SUM(IF((CkDJ[Ofc Code]=(TRIM(N$7)))*(CkDJ[Account Code]=(TRIM($D19))),CkDJ[Debit])))+(SUM(IF((CsDJ[Ofc Code]=(TRIM(N$7)))*(CsDJ[Account Code]=(TRIM($D19))),CsDJ[Debit])))+(SUM(IF((CRDJ[Ofc Code]=(TRIM(N$7)))*(CRDJ[Account Code]=(TRIM($D19))),CRDJ[Debit])))+(SUM(IF((GJ[Ofc Code]=(TRIM(N$7)))*(GJ[Account Code]=(TRIM($D19))),GJ[Debit]))))</f>
        <v>0</v>
      </c>
      <c r="O19" s="211">
        <f t="shared" si="2"/>
        <v>0</v>
      </c>
      <c r="P19" s="211">
        <f t="array" ref="P19">((SUM(IF((CkDJ[Ofc Code]=(TRIM(P$7)))*(CkDJ[Account Code]=(TRIM($D19))),CkDJ[Credit])))+(SUM(IF((CsDJ[Ofc Code]=(TRIM(P$7)))*(CsDJ[Account Code]=(TRIM($D19))),CsDJ[Credit])))+(SUM(IF((CRDJ[Ofc Code]=(TRIM(P$7)))*(CRDJ[Account Code]=(TRIM($D19))),CRDJ[Credit])))+(SUM(IF((GJ[Ofc Code]=(TRIM(P$7)))*(GJ[Account Code]=(TRIM($D19))),GJ[Credit]))))-((SUM(IF((CkDJ[Ofc Code]=(TRIM(P$7)))*(CkDJ[Account Code]=(TRIM($D19))),CkDJ[Debit])))+(SUM(IF((CsDJ[Ofc Code]=(TRIM(P$7)))*(CsDJ[Account Code]=(TRIM($D19))),CsDJ[Debit])))+(SUM(IF((CRDJ[Ofc Code]=(TRIM(P$7)))*(CRDJ[Account Code]=(TRIM($D19))),CRDJ[Debit])))+(SUM(IF((GJ[Ofc Code]=(TRIM(P$7)))*(GJ[Account Code]=(TRIM($D19))),GJ[Debit]))))</f>
        <v>0</v>
      </c>
      <c r="Q19" s="211">
        <f t="array" ref="Q19">((SUM(IF((CkDJ[Ofc Code]=(TRIM(Q$7)))*(CkDJ[Account Code]=(TRIM($D19))),CkDJ[Credit])))+(SUM(IF((CsDJ[Ofc Code]=(TRIM(Q$7)))*(CsDJ[Account Code]=(TRIM($D19))),CsDJ[Credit])))+(SUM(IF((CRDJ[Ofc Code]=(TRIM(Q$7)))*(CRDJ[Account Code]=(TRIM($D19))),CRDJ[Credit])))+(SUM(IF((GJ[Ofc Code]=(TRIM(Q$7)))*(GJ[Account Code]=(TRIM($D19))),GJ[Credit]))))-((SUM(IF((CkDJ[Ofc Code]=(TRIM(Q$7)))*(CkDJ[Account Code]=(TRIM($D19))),CkDJ[Debit])))+(SUM(IF((CsDJ[Ofc Code]=(TRIM(Q$7)))*(CsDJ[Account Code]=(TRIM($D19))),CsDJ[Debit])))+(SUM(IF((CRDJ[Ofc Code]=(TRIM(Q$7)))*(CRDJ[Account Code]=(TRIM($D19))),CRDJ[Debit])))+(SUM(IF((GJ[Ofc Code]=(TRIM(Q$7)))*(GJ[Account Code]=(TRIM($D19))),GJ[Debit]))))</f>
        <v>0</v>
      </c>
      <c r="R19" s="211">
        <f t="array" ref="R19">((SUM(IF((CkDJ[Ofc Code]=(TRIM(R$7)))*(CkDJ[Account Code]=(TRIM($D19))),CkDJ[Credit])))+(SUM(IF((CsDJ[Ofc Code]=(TRIM(R$7)))*(CsDJ[Account Code]=(TRIM($D19))),CsDJ[Credit])))+(SUM(IF((CRDJ[Ofc Code]=(TRIM(R$7)))*(CRDJ[Account Code]=(TRIM($D19))),CRDJ[Credit])))+(SUM(IF((GJ[Ofc Code]=(TRIM(R$7)))*(GJ[Account Code]=(TRIM($D19))),GJ[Credit]))))-((SUM(IF((CkDJ[Ofc Code]=(TRIM(R$7)))*(CkDJ[Account Code]=(TRIM($D19))),CkDJ[Debit])))+(SUM(IF((CsDJ[Ofc Code]=(TRIM(R$7)))*(CsDJ[Account Code]=(TRIM($D19))),CsDJ[Debit])))+(SUM(IF((CRDJ[Ofc Code]=(TRIM(R$7)))*(CRDJ[Account Code]=(TRIM($D19))),CRDJ[Debit])))+(SUM(IF((GJ[Ofc Code]=(TRIM(R$7)))*(GJ[Account Code]=(TRIM($D19))),GJ[Debit]))))</f>
        <v>0</v>
      </c>
      <c r="S19" s="211">
        <f t="array" ref="S19">((SUM(IF((CkDJ[Ofc Code]=(TRIM(S$7)))*(CkDJ[Account Code]=(TRIM($D19))),CkDJ[Credit])))+(SUM(IF((CsDJ[Ofc Code]=(TRIM(S$7)))*(CsDJ[Account Code]=(TRIM($D19))),CsDJ[Credit])))+(SUM(IF((CRDJ[Ofc Code]=(TRIM(S$7)))*(CRDJ[Account Code]=(TRIM($D19))),CRDJ[Credit])))+(SUM(IF((GJ[Ofc Code]=(TRIM(S$7)))*(GJ[Account Code]=(TRIM($D19))),GJ[Credit]))))-((SUM(IF((CkDJ[Ofc Code]=(TRIM(S$7)))*(CkDJ[Account Code]=(TRIM($D19))),CkDJ[Debit])))+(SUM(IF((CsDJ[Ofc Code]=(TRIM(S$7)))*(CsDJ[Account Code]=(TRIM($D19))),CsDJ[Debit])))+(SUM(IF((CRDJ[Ofc Code]=(TRIM(S$7)))*(CRDJ[Account Code]=(TRIM($D19))),CRDJ[Debit])))+(SUM(IF((GJ[Ofc Code]=(TRIM(S$7)))*(GJ[Account Code]=(TRIM($D19))),GJ[Debit]))))</f>
        <v>0</v>
      </c>
      <c r="T19" s="211">
        <f t="array" ref="T19">((SUM(IF((CkDJ[Ofc Code]=(TRIM(T$7)))*(CkDJ[Account Code]=(TRIM($D19))),CkDJ[Credit])))+(SUM(IF((CsDJ[Ofc Code]=(TRIM(T$7)))*(CsDJ[Account Code]=(TRIM($D19))),CsDJ[Credit])))+(SUM(IF((CRDJ[Ofc Code]=(TRIM(T$7)))*(CRDJ[Account Code]=(TRIM($D19))),CRDJ[Credit])))+(SUM(IF((GJ[Ofc Code]=(TRIM(T$7)))*(GJ[Account Code]=(TRIM($D19))),GJ[Credit]))))-((SUM(IF((CkDJ[Ofc Code]=(TRIM(T$7)))*(CkDJ[Account Code]=(TRIM($D19))),CkDJ[Debit])))+(SUM(IF((CsDJ[Ofc Code]=(TRIM(T$7)))*(CsDJ[Account Code]=(TRIM($D19))),CsDJ[Debit])))+(SUM(IF((CRDJ[Ofc Code]=(TRIM(T$7)))*(CRDJ[Account Code]=(TRIM($D19))),CRDJ[Debit])))+(SUM(IF((GJ[Ofc Code]=(TRIM(T$7)))*(GJ[Account Code]=(TRIM($D19))),GJ[Debit]))))</f>
        <v>0</v>
      </c>
      <c r="U19" s="211">
        <f t="shared" si="3"/>
        <v>0</v>
      </c>
      <c r="V19" s="211">
        <f t="shared" si="4"/>
        <v>0</v>
      </c>
    </row>
    <row r="20" spans="1:22" ht="15">
      <c r="A20" s="212">
        <f t="shared" si="5"/>
        <v>12</v>
      </c>
      <c r="B20" s="214"/>
      <c r="C20" s="194" t="e">
        <f t="shared" si="0"/>
        <v>#N/A</v>
      </c>
      <c r="D20" s="207" t="s">
        <v>144</v>
      </c>
      <c r="E20" s="211">
        <f t="array" ref="E20">((SUM(IF((CkDJ[Ofc Code]=(TRIM(E$7)))*(CkDJ[Account Code]=(TRIM($D20))),CkDJ[Credit])))+(SUM(IF((CsDJ[Ofc Code]=(TRIM(E$7)))*(CsDJ[Account Code]=(TRIM($D20))),CsDJ[Credit])))+(SUM(IF((CRDJ[Ofc Code]=(TRIM(E$7)))*(CRDJ[Account Code]=(TRIM($D20))),CRDJ[Credit])))+(SUM(IF((GJ[Ofc Code]=(TRIM(E$7)))*(GJ[Account Code]=(TRIM($D20))),GJ[Credit]))))-((SUM(IF((CkDJ[Ofc Code]=(TRIM(E$7)))*(CkDJ[Account Code]=(TRIM($D20))),CkDJ[Debit])))+(SUM(IF((CsDJ[Ofc Code]=(TRIM(E$7)))*(CsDJ[Account Code]=(TRIM($D20))),CsDJ[Debit])))+(SUM(IF((CRDJ[Ofc Code]=(TRIM(E$7)))*(CRDJ[Account Code]=(TRIM($D20))),CRDJ[Debit])))+(SUM(IF((GJ[Ofc Code]=(TRIM(E$7)))*(GJ[Account Code]=(TRIM($D20))),GJ[Debit]))))</f>
        <v>0</v>
      </c>
      <c r="F20" s="211">
        <f t="array" ref="F20">((SUM(IF((CkDJ[Ofc Code]=(TRIM(F$7)))*(CkDJ[Account Code]=(TRIM($D20))),CkDJ[Credit])))+(SUM(IF((CsDJ[Ofc Code]=(TRIM(F$7)))*(CsDJ[Account Code]=(TRIM($D20))),CsDJ[Credit])))+(SUM(IF((CRDJ[Ofc Code]=(TRIM(F$7)))*(CRDJ[Account Code]=(TRIM($D20))),CRDJ[Credit])))+(SUM(IF((GJ[Ofc Code]=(TRIM(F$7)))*(GJ[Account Code]=(TRIM($D20))),GJ[Credit]))))-((SUM(IF((CkDJ[Ofc Code]=(TRIM(F$7)))*(CkDJ[Account Code]=(TRIM($D20))),CkDJ[Debit])))+(SUM(IF((CsDJ[Ofc Code]=(TRIM(F$7)))*(CsDJ[Account Code]=(TRIM($D20))),CsDJ[Debit])))+(SUM(IF((CRDJ[Ofc Code]=(TRIM(F$7)))*(CRDJ[Account Code]=(TRIM($D20))),CRDJ[Debit])))+(SUM(IF((GJ[Ofc Code]=(TRIM(F$7)))*(GJ[Account Code]=(TRIM($D20))),GJ[Debit]))))</f>
        <v>0</v>
      </c>
      <c r="G20" s="211">
        <f t="array" ref="G20">((SUM(IF((CkDJ[Ofc Code]=(TRIM(G$7)))*(CkDJ[Account Code]=(TRIM($D20))),CkDJ[Credit])))+(SUM(IF((CsDJ[Ofc Code]=(TRIM(G$7)))*(CsDJ[Account Code]=(TRIM($D20))),CsDJ[Credit])))+(SUM(IF((CRDJ[Ofc Code]=(TRIM(G$7)))*(CRDJ[Account Code]=(TRIM($D20))),CRDJ[Credit])))+(SUM(IF((GJ[Ofc Code]=(TRIM(G$7)))*(GJ[Account Code]=(TRIM($D20))),GJ[Credit]))))-((SUM(IF((CkDJ[Ofc Code]=(TRIM(G$7)))*(CkDJ[Account Code]=(TRIM($D20))),CkDJ[Debit])))+(SUM(IF((CsDJ[Ofc Code]=(TRIM(G$7)))*(CsDJ[Account Code]=(TRIM($D20))),CsDJ[Debit])))+(SUM(IF((CRDJ[Ofc Code]=(TRIM(G$7)))*(CRDJ[Account Code]=(TRIM($D20))),CRDJ[Debit])))+(SUM(IF((GJ[Ofc Code]=(TRIM(G$7)))*(GJ[Account Code]=(TRIM($D20))),GJ[Debit]))))</f>
        <v>0</v>
      </c>
      <c r="H20" s="211">
        <f t="array" ref="H20">((SUM(IF((CkDJ[Ofc Code]=(TRIM(H$7)))*(CkDJ[Account Code]=(TRIM($D20))),CkDJ[Credit])))+(SUM(IF((CsDJ[Ofc Code]=(TRIM(H$7)))*(CsDJ[Account Code]=(TRIM($D20))),CsDJ[Credit])))+(SUM(IF((CRDJ[Ofc Code]=(TRIM(H$7)))*(CRDJ[Account Code]=(TRIM($D20))),CRDJ[Credit])))+(SUM(IF((GJ[Ofc Code]=(TRIM(H$7)))*(GJ[Account Code]=(TRIM($D20))),GJ[Credit]))))-((SUM(IF((CkDJ[Ofc Code]=(TRIM(H$7)))*(CkDJ[Account Code]=(TRIM($D20))),CkDJ[Debit])))+(SUM(IF((CsDJ[Ofc Code]=(TRIM(H$7)))*(CsDJ[Account Code]=(TRIM($D20))),CsDJ[Debit])))+(SUM(IF((CRDJ[Ofc Code]=(TRIM(H$7)))*(CRDJ[Account Code]=(TRIM($D20))),CRDJ[Debit])))+(SUM(IF((GJ[Ofc Code]=(TRIM(H$7)))*(GJ[Account Code]=(TRIM($D20))),GJ[Debit]))))</f>
        <v>0</v>
      </c>
      <c r="I20" s="211">
        <f t="array" ref="I20">((SUM(IF((CkDJ[Ofc Code]=(TRIM(I$7)))*(CkDJ[Account Code]=(TRIM($D20))),CkDJ[Credit])))+(SUM(IF((CsDJ[Ofc Code]=(TRIM(I$7)))*(CsDJ[Account Code]=(TRIM($D20))),CsDJ[Credit])))+(SUM(IF((CRDJ[Ofc Code]=(TRIM(I$7)))*(CRDJ[Account Code]=(TRIM($D20))),CRDJ[Credit])))+(SUM(IF((GJ[Ofc Code]=(TRIM(I$7)))*(GJ[Account Code]=(TRIM($D20))),GJ[Credit]))))-((SUM(IF((CkDJ[Ofc Code]=(TRIM(I$7)))*(CkDJ[Account Code]=(TRIM($D20))),CkDJ[Debit])))+(SUM(IF((CsDJ[Ofc Code]=(TRIM(I$7)))*(CsDJ[Account Code]=(TRIM($D20))),CsDJ[Debit])))+(SUM(IF((CRDJ[Ofc Code]=(TRIM(I$7)))*(CRDJ[Account Code]=(TRIM($D20))),CRDJ[Debit])))+(SUM(IF((GJ[Ofc Code]=(TRIM(I$7)))*(GJ[Account Code]=(TRIM($D20))),GJ[Debit]))))</f>
        <v>0</v>
      </c>
      <c r="J20" s="211">
        <f t="shared" si="1"/>
        <v>0</v>
      </c>
      <c r="K20" s="211">
        <f t="array" ref="K20">((SUM(IF((CkDJ[Ofc Code]=(TRIM(K$7)))*(CkDJ[Account Code]=(TRIM($D20))),CkDJ[Credit])))+(SUM(IF((CsDJ[Ofc Code]=(TRIM(K$7)))*(CsDJ[Account Code]=(TRIM($D20))),CsDJ[Credit])))+(SUM(IF((CRDJ[Ofc Code]=(TRIM(K$7)))*(CRDJ[Account Code]=(TRIM($D20))),CRDJ[Credit])))+(SUM(IF((GJ[Ofc Code]=(TRIM(K$7)))*(GJ[Account Code]=(TRIM($D20))),GJ[Credit]))))-((SUM(IF((CkDJ[Ofc Code]=(TRIM(K$7)))*(CkDJ[Account Code]=(TRIM($D20))),CkDJ[Debit])))+(SUM(IF((CsDJ[Ofc Code]=(TRIM(K$7)))*(CsDJ[Account Code]=(TRIM($D20))),CsDJ[Debit])))+(SUM(IF((CRDJ[Ofc Code]=(TRIM(K$7)))*(CRDJ[Account Code]=(TRIM($D20))),CRDJ[Debit])))+(SUM(IF((GJ[Ofc Code]=(TRIM(K$7)))*(GJ[Account Code]=(TRIM($D20))),GJ[Debit]))))</f>
        <v>0</v>
      </c>
      <c r="L20" s="211">
        <f t="array" ref="L20">((SUM(IF((CkDJ[Ofc Code]=(TRIM(L$7)))*(CkDJ[Account Code]=(TRIM($D20))),CkDJ[Credit])))+(SUM(IF((CsDJ[Ofc Code]=(TRIM(L$7)))*(CsDJ[Account Code]=(TRIM($D20))),CsDJ[Credit])))+(SUM(IF((CRDJ[Ofc Code]=(TRIM(L$7)))*(CRDJ[Account Code]=(TRIM($D20))),CRDJ[Credit])))+(SUM(IF((GJ[Ofc Code]=(TRIM(L$7)))*(GJ[Account Code]=(TRIM($D20))),GJ[Credit]))))-((SUM(IF((CkDJ[Ofc Code]=(TRIM(L$7)))*(CkDJ[Account Code]=(TRIM($D20))),CkDJ[Debit])))+(SUM(IF((CsDJ[Ofc Code]=(TRIM(L$7)))*(CsDJ[Account Code]=(TRIM($D20))),CsDJ[Debit])))+(SUM(IF((CRDJ[Ofc Code]=(TRIM(L$7)))*(CRDJ[Account Code]=(TRIM($D20))),CRDJ[Debit])))+(SUM(IF((GJ[Ofc Code]=(TRIM(L$7)))*(GJ[Account Code]=(TRIM($D20))),GJ[Debit]))))</f>
        <v>0</v>
      </c>
      <c r="M20" s="211">
        <f t="array" ref="M20">((SUM(IF((CkDJ[Ofc Code]=(TRIM(M$7)))*(CkDJ[Account Code]=(TRIM($D20))),CkDJ[Credit])))+(SUM(IF((CsDJ[Ofc Code]=(TRIM(M$7)))*(CsDJ[Account Code]=(TRIM($D20))),CsDJ[Credit])))+(SUM(IF((CRDJ[Ofc Code]=(TRIM(M$7)))*(CRDJ[Account Code]=(TRIM($D20))),CRDJ[Credit])))+(SUM(IF((GJ[Ofc Code]=(TRIM(M$7)))*(GJ[Account Code]=(TRIM($D20))),GJ[Credit]))))-((SUM(IF((CkDJ[Ofc Code]=(TRIM(M$7)))*(CkDJ[Account Code]=(TRIM($D20))),CkDJ[Debit])))+(SUM(IF((CsDJ[Ofc Code]=(TRIM(M$7)))*(CsDJ[Account Code]=(TRIM($D20))),CsDJ[Debit])))+(SUM(IF((CRDJ[Ofc Code]=(TRIM(M$7)))*(CRDJ[Account Code]=(TRIM($D20))),CRDJ[Debit])))+(SUM(IF((GJ[Ofc Code]=(TRIM(M$7)))*(GJ[Account Code]=(TRIM($D20))),GJ[Debit]))))</f>
        <v>0</v>
      </c>
      <c r="N20" s="211">
        <f t="array" ref="N20">((SUM(IF((CkDJ[Ofc Code]=(TRIM(N$7)))*(CkDJ[Account Code]=(TRIM($D20))),CkDJ[Credit])))+(SUM(IF((CsDJ[Ofc Code]=(TRIM(N$7)))*(CsDJ[Account Code]=(TRIM($D20))),CsDJ[Credit])))+(SUM(IF((CRDJ[Ofc Code]=(TRIM(N$7)))*(CRDJ[Account Code]=(TRIM($D20))),CRDJ[Credit])))+(SUM(IF((GJ[Ofc Code]=(TRIM(N$7)))*(GJ[Account Code]=(TRIM($D20))),GJ[Credit]))))-((SUM(IF((CkDJ[Ofc Code]=(TRIM(N$7)))*(CkDJ[Account Code]=(TRIM($D20))),CkDJ[Debit])))+(SUM(IF((CsDJ[Ofc Code]=(TRIM(N$7)))*(CsDJ[Account Code]=(TRIM($D20))),CsDJ[Debit])))+(SUM(IF((CRDJ[Ofc Code]=(TRIM(N$7)))*(CRDJ[Account Code]=(TRIM($D20))),CRDJ[Debit])))+(SUM(IF((GJ[Ofc Code]=(TRIM(N$7)))*(GJ[Account Code]=(TRIM($D20))),GJ[Debit]))))</f>
        <v>0</v>
      </c>
      <c r="O20" s="211">
        <f t="shared" si="2"/>
        <v>0</v>
      </c>
      <c r="P20" s="211">
        <f t="array" ref="P20">((SUM(IF((CkDJ[Ofc Code]=(TRIM(P$7)))*(CkDJ[Account Code]=(TRIM($D20))),CkDJ[Credit])))+(SUM(IF((CsDJ[Ofc Code]=(TRIM(P$7)))*(CsDJ[Account Code]=(TRIM($D20))),CsDJ[Credit])))+(SUM(IF((CRDJ[Ofc Code]=(TRIM(P$7)))*(CRDJ[Account Code]=(TRIM($D20))),CRDJ[Credit])))+(SUM(IF((GJ[Ofc Code]=(TRIM(P$7)))*(GJ[Account Code]=(TRIM($D20))),GJ[Credit]))))-((SUM(IF((CkDJ[Ofc Code]=(TRIM(P$7)))*(CkDJ[Account Code]=(TRIM($D20))),CkDJ[Debit])))+(SUM(IF((CsDJ[Ofc Code]=(TRIM(P$7)))*(CsDJ[Account Code]=(TRIM($D20))),CsDJ[Debit])))+(SUM(IF((CRDJ[Ofc Code]=(TRIM(P$7)))*(CRDJ[Account Code]=(TRIM($D20))),CRDJ[Debit])))+(SUM(IF((GJ[Ofc Code]=(TRIM(P$7)))*(GJ[Account Code]=(TRIM($D20))),GJ[Debit]))))</f>
        <v>0</v>
      </c>
      <c r="Q20" s="211">
        <f t="array" ref="Q20">((SUM(IF((CkDJ[Ofc Code]=(TRIM(Q$7)))*(CkDJ[Account Code]=(TRIM($D20))),CkDJ[Credit])))+(SUM(IF((CsDJ[Ofc Code]=(TRIM(Q$7)))*(CsDJ[Account Code]=(TRIM($D20))),CsDJ[Credit])))+(SUM(IF((CRDJ[Ofc Code]=(TRIM(Q$7)))*(CRDJ[Account Code]=(TRIM($D20))),CRDJ[Credit])))+(SUM(IF((GJ[Ofc Code]=(TRIM(Q$7)))*(GJ[Account Code]=(TRIM($D20))),GJ[Credit]))))-((SUM(IF((CkDJ[Ofc Code]=(TRIM(Q$7)))*(CkDJ[Account Code]=(TRIM($D20))),CkDJ[Debit])))+(SUM(IF((CsDJ[Ofc Code]=(TRIM(Q$7)))*(CsDJ[Account Code]=(TRIM($D20))),CsDJ[Debit])))+(SUM(IF((CRDJ[Ofc Code]=(TRIM(Q$7)))*(CRDJ[Account Code]=(TRIM($D20))),CRDJ[Debit])))+(SUM(IF((GJ[Ofc Code]=(TRIM(Q$7)))*(GJ[Account Code]=(TRIM($D20))),GJ[Debit]))))</f>
        <v>0</v>
      </c>
      <c r="R20" s="211">
        <f t="array" ref="R20">((SUM(IF((CkDJ[Ofc Code]=(TRIM(R$7)))*(CkDJ[Account Code]=(TRIM($D20))),CkDJ[Credit])))+(SUM(IF((CsDJ[Ofc Code]=(TRIM(R$7)))*(CsDJ[Account Code]=(TRIM($D20))),CsDJ[Credit])))+(SUM(IF((CRDJ[Ofc Code]=(TRIM(R$7)))*(CRDJ[Account Code]=(TRIM($D20))),CRDJ[Credit])))+(SUM(IF((GJ[Ofc Code]=(TRIM(R$7)))*(GJ[Account Code]=(TRIM($D20))),GJ[Credit]))))-((SUM(IF((CkDJ[Ofc Code]=(TRIM(R$7)))*(CkDJ[Account Code]=(TRIM($D20))),CkDJ[Debit])))+(SUM(IF((CsDJ[Ofc Code]=(TRIM(R$7)))*(CsDJ[Account Code]=(TRIM($D20))),CsDJ[Debit])))+(SUM(IF((CRDJ[Ofc Code]=(TRIM(R$7)))*(CRDJ[Account Code]=(TRIM($D20))),CRDJ[Debit])))+(SUM(IF((GJ[Ofc Code]=(TRIM(R$7)))*(GJ[Account Code]=(TRIM($D20))),GJ[Debit]))))</f>
        <v>0</v>
      </c>
      <c r="S20" s="211">
        <f t="array" ref="S20">((SUM(IF((CkDJ[Ofc Code]=(TRIM(S$7)))*(CkDJ[Account Code]=(TRIM($D20))),CkDJ[Credit])))+(SUM(IF((CsDJ[Ofc Code]=(TRIM(S$7)))*(CsDJ[Account Code]=(TRIM($D20))),CsDJ[Credit])))+(SUM(IF((CRDJ[Ofc Code]=(TRIM(S$7)))*(CRDJ[Account Code]=(TRIM($D20))),CRDJ[Credit])))+(SUM(IF((GJ[Ofc Code]=(TRIM(S$7)))*(GJ[Account Code]=(TRIM($D20))),GJ[Credit]))))-((SUM(IF((CkDJ[Ofc Code]=(TRIM(S$7)))*(CkDJ[Account Code]=(TRIM($D20))),CkDJ[Debit])))+(SUM(IF((CsDJ[Ofc Code]=(TRIM(S$7)))*(CsDJ[Account Code]=(TRIM($D20))),CsDJ[Debit])))+(SUM(IF((CRDJ[Ofc Code]=(TRIM(S$7)))*(CRDJ[Account Code]=(TRIM($D20))),CRDJ[Debit])))+(SUM(IF((GJ[Ofc Code]=(TRIM(S$7)))*(GJ[Account Code]=(TRIM($D20))),GJ[Debit]))))</f>
        <v>0</v>
      </c>
      <c r="T20" s="211">
        <f t="array" ref="T20">((SUM(IF((CkDJ[Ofc Code]=(TRIM(T$7)))*(CkDJ[Account Code]=(TRIM($D20))),CkDJ[Credit])))+(SUM(IF((CsDJ[Ofc Code]=(TRIM(T$7)))*(CsDJ[Account Code]=(TRIM($D20))),CsDJ[Credit])))+(SUM(IF((CRDJ[Ofc Code]=(TRIM(T$7)))*(CRDJ[Account Code]=(TRIM($D20))),CRDJ[Credit])))+(SUM(IF((GJ[Ofc Code]=(TRIM(T$7)))*(GJ[Account Code]=(TRIM($D20))),GJ[Credit]))))-((SUM(IF((CkDJ[Ofc Code]=(TRIM(T$7)))*(CkDJ[Account Code]=(TRIM($D20))),CkDJ[Debit])))+(SUM(IF((CsDJ[Ofc Code]=(TRIM(T$7)))*(CsDJ[Account Code]=(TRIM($D20))),CsDJ[Debit])))+(SUM(IF((CRDJ[Ofc Code]=(TRIM(T$7)))*(CRDJ[Account Code]=(TRIM($D20))),CRDJ[Debit])))+(SUM(IF((GJ[Ofc Code]=(TRIM(T$7)))*(GJ[Account Code]=(TRIM($D20))),GJ[Debit]))))</f>
        <v>0</v>
      </c>
      <c r="U20" s="211">
        <f t="shared" si="3"/>
        <v>0</v>
      </c>
      <c r="V20" s="211">
        <f t="shared" si="4"/>
        <v>0</v>
      </c>
    </row>
    <row r="21" spans="1:22" ht="15">
      <c r="A21" s="212">
        <f t="shared" si="5"/>
        <v>13</v>
      </c>
      <c r="B21" s="214"/>
      <c r="C21" s="194" t="e">
        <f t="shared" si="0"/>
        <v>#N/A</v>
      </c>
      <c r="D21" s="207" t="s">
        <v>145</v>
      </c>
      <c r="E21" s="211">
        <f t="array" ref="E21">((SUM(IF((CkDJ[Ofc Code]=(TRIM(E$7)))*(CkDJ[Account Code]=(TRIM($D21))),CkDJ[Credit])))+(SUM(IF((CsDJ[Ofc Code]=(TRIM(E$7)))*(CsDJ[Account Code]=(TRIM($D21))),CsDJ[Credit])))+(SUM(IF((CRDJ[Ofc Code]=(TRIM(E$7)))*(CRDJ[Account Code]=(TRIM($D21))),CRDJ[Credit])))+(SUM(IF((GJ[Ofc Code]=(TRIM(E$7)))*(GJ[Account Code]=(TRIM($D21))),GJ[Credit]))))-((SUM(IF((CkDJ[Ofc Code]=(TRIM(E$7)))*(CkDJ[Account Code]=(TRIM($D21))),CkDJ[Debit])))+(SUM(IF((CsDJ[Ofc Code]=(TRIM(E$7)))*(CsDJ[Account Code]=(TRIM($D21))),CsDJ[Debit])))+(SUM(IF((CRDJ[Ofc Code]=(TRIM(E$7)))*(CRDJ[Account Code]=(TRIM($D21))),CRDJ[Debit])))+(SUM(IF((GJ[Ofc Code]=(TRIM(E$7)))*(GJ[Account Code]=(TRIM($D21))),GJ[Debit]))))</f>
        <v>0</v>
      </c>
      <c r="F21" s="211">
        <f t="array" ref="F21">((SUM(IF((CkDJ[Ofc Code]=(TRIM(F$7)))*(CkDJ[Account Code]=(TRIM($D21))),CkDJ[Credit])))+(SUM(IF((CsDJ[Ofc Code]=(TRIM(F$7)))*(CsDJ[Account Code]=(TRIM($D21))),CsDJ[Credit])))+(SUM(IF((CRDJ[Ofc Code]=(TRIM(F$7)))*(CRDJ[Account Code]=(TRIM($D21))),CRDJ[Credit])))+(SUM(IF((GJ[Ofc Code]=(TRIM(F$7)))*(GJ[Account Code]=(TRIM($D21))),GJ[Credit]))))-((SUM(IF((CkDJ[Ofc Code]=(TRIM(F$7)))*(CkDJ[Account Code]=(TRIM($D21))),CkDJ[Debit])))+(SUM(IF((CsDJ[Ofc Code]=(TRIM(F$7)))*(CsDJ[Account Code]=(TRIM($D21))),CsDJ[Debit])))+(SUM(IF((CRDJ[Ofc Code]=(TRIM(F$7)))*(CRDJ[Account Code]=(TRIM($D21))),CRDJ[Debit])))+(SUM(IF((GJ[Ofc Code]=(TRIM(F$7)))*(GJ[Account Code]=(TRIM($D21))),GJ[Debit]))))</f>
        <v>0</v>
      </c>
      <c r="G21" s="211">
        <f t="array" ref="G21">((SUM(IF((CkDJ[Ofc Code]=(TRIM(G$7)))*(CkDJ[Account Code]=(TRIM($D21))),CkDJ[Credit])))+(SUM(IF((CsDJ[Ofc Code]=(TRIM(G$7)))*(CsDJ[Account Code]=(TRIM($D21))),CsDJ[Credit])))+(SUM(IF((CRDJ[Ofc Code]=(TRIM(G$7)))*(CRDJ[Account Code]=(TRIM($D21))),CRDJ[Credit])))+(SUM(IF((GJ[Ofc Code]=(TRIM(G$7)))*(GJ[Account Code]=(TRIM($D21))),GJ[Credit]))))-((SUM(IF((CkDJ[Ofc Code]=(TRIM(G$7)))*(CkDJ[Account Code]=(TRIM($D21))),CkDJ[Debit])))+(SUM(IF((CsDJ[Ofc Code]=(TRIM(G$7)))*(CsDJ[Account Code]=(TRIM($D21))),CsDJ[Debit])))+(SUM(IF((CRDJ[Ofc Code]=(TRIM(G$7)))*(CRDJ[Account Code]=(TRIM($D21))),CRDJ[Debit])))+(SUM(IF((GJ[Ofc Code]=(TRIM(G$7)))*(GJ[Account Code]=(TRIM($D21))),GJ[Debit]))))</f>
        <v>0</v>
      </c>
      <c r="H21" s="211">
        <f t="array" ref="H21">((SUM(IF((CkDJ[Ofc Code]=(TRIM(H$7)))*(CkDJ[Account Code]=(TRIM($D21))),CkDJ[Credit])))+(SUM(IF((CsDJ[Ofc Code]=(TRIM(H$7)))*(CsDJ[Account Code]=(TRIM($D21))),CsDJ[Credit])))+(SUM(IF((CRDJ[Ofc Code]=(TRIM(H$7)))*(CRDJ[Account Code]=(TRIM($D21))),CRDJ[Credit])))+(SUM(IF((GJ[Ofc Code]=(TRIM(H$7)))*(GJ[Account Code]=(TRIM($D21))),GJ[Credit]))))-((SUM(IF((CkDJ[Ofc Code]=(TRIM(H$7)))*(CkDJ[Account Code]=(TRIM($D21))),CkDJ[Debit])))+(SUM(IF((CsDJ[Ofc Code]=(TRIM(H$7)))*(CsDJ[Account Code]=(TRIM($D21))),CsDJ[Debit])))+(SUM(IF((CRDJ[Ofc Code]=(TRIM(H$7)))*(CRDJ[Account Code]=(TRIM($D21))),CRDJ[Debit])))+(SUM(IF((GJ[Ofc Code]=(TRIM(H$7)))*(GJ[Account Code]=(TRIM($D21))),GJ[Debit]))))</f>
        <v>0</v>
      </c>
      <c r="I21" s="211">
        <f t="array" ref="I21">((SUM(IF((CkDJ[Ofc Code]=(TRIM(I$7)))*(CkDJ[Account Code]=(TRIM($D21))),CkDJ[Credit])))+(SUM(IF((CsDJ[Ofc Code]=(TRIM(I$7)))*(CsDJ[Account Code]=(TRIM($D21))),CsDJ[Credit])))+(SUM(IF((CRDJ[Ofc Code]=(TRIM(I$7)))*(CRDJ[Account Code]=(TRIM($D21))),CRDJ[Credit])))+(SUM(IF((GJ[Ofc Code]=(TRIM(I$7)))*(GJ[Account Code]=(TRIM($D21))),GJ[Credit]))))-((SUM(IF((CkDJ[Ofc Code]=(TRIM(I$7)))*(CkDJ[Account Code]=(TRIM($D21))),CkDJ[Debit])))+(SUM(IF((CsDJ[Ofc Code]=(TRIM(I$7)))*(CsDJ[Account Code]=(TRIM($D21))),CsDJ[Debit])))+(SUM(IF((CRDJ[Ofc Code]=(TRIM(I$7)))*(CRDJ[Account Code]=(TRIM($D21))),CRDJ[Debit])))+(SUM(IF((GJ[Ofc Code]=(TRIM(I$7)))*(GJ[Account Code]=(TRIM($D21))),GJ[Debit]))))</f>
        <v>0</v>
      </c>
      <c r="J21" s="211">
        <f t="shared" si="1"/>
        <v>0</v>
      </c>
      <c r="K21" s="211">
        <f t="array" ref="K21">((SUM(IF((CkDJ[Ofc Code]=(TRIM(K$7)))*(CkDJ[Account Code]=(TRIM($D21))),CkDJ[Credit])))+(SUM(IF((CsDJ[Ofc Code]=(TRIM(K$7)))*(CsDJ[Account Code]=(TRIM($D21))),CsDJ[Credit])))+(SUM(IF((CRDJ[Ofc Code]=(TRIM(K$7)))*(CRDJ[Account Code]=(TRIM($D21))),CRDJ[Credit])))+(SUM(IF((GJ[Ofc Code]=(TRIM(K$7)))*(GJ[Account Code]=(TRIM($D21))),GJ[Credit]))))-((SUM(IF((CkDJ[Ofc Code]=(TRIM(K$7)))*(CkDJ[Account Code]=(TRIM($D21))),CkDJ[Debit])))+(SUM(IF((CsDJ[Ofc Code]=(TRIM(K$7)))*(CsDJ[Account Code]=(TRIM($D21))),CsDJ[Debit])))+(SUM(IF((CRDJ[Ofc Code]=(TRIM(K$7)))*(CRDJ[Account Code]=(TRIM($D21))),CRDJ[Debit])))+(SUM(IF((GJ[Ofc Code]=(TRIM(K$7)))*(GJ[Account Code]=(TRIM($D21))),GJ[Debit]))))</f>
        <v>0</v>
      </c>
      <c r="L21" s="211">
        <f t="array" ref="L21">((SUM(IF((CkDJ[Ofc Code]=(TRIM(L$7)))*(CkDJ[Account Code]=(TRIM($D21))),CkDJ[Credit])))+(SUM(IF((CsDJ[Ofc Code]=(TRIM(L$7)))*(CsDJ[Account Code]=(TRIM($D21))),CsDJ[Credit])))+(SUM(IF((CRDJ[Ofc Code]=(TRIM(L$7)))*(CRDJ[Account Code]=(TRIM($D21))),CRDJ[Credit])))+(SUM(IF((GJ[Ofc Code]=(TRIM(L$7)))*(GJ[Account Code]=(TRIM($D21))),GJ[Credit]))))-((SUM(IF((CkDJ[Ofc Code]=(TRIM(L$7)))*(CkDJ[Account Code]=(TRIM($D21))),CkDJ[Debit])))+(SUM(IF((CsDJ[Ofc Code]=(TRIM(L$7)))*(CsDJ[Account Code]=(TRIM($D21))),CsDJ[Debit])))+(SUM(IF((CRDJ[Ofc Code]=(TRIM(L$7)))*(CRDJ[Account Code]=(TRIM($D21))),CRDJ[Debit])))+(SUM(IF((GJ[Ofc Code]=(TRIM(L$7)))*(GJ[Account Code]=(TRIM($D21))),GJ[Debit]))))</f>
        <v>0</v>
      </c>
      <c r="M21" s="211">
        <f t="array" ref="M21">((SUM(IF((CkDJ[Ofc Code]=(TRIM(M$7)))*(CkDJ[Account Code]=(TRIM($D21))),CkDJ[Credit])))+(SUM(IF((CsDJ[Ofc Code]=(TRIM(M$7)))*(CsDJ[Account Code]=(TRIM($D21))),CsDJ[Credit])))+(SUM(IF((CRDJ[Ofc Code]=(TRIM(M$7)))*(CRDJ[Account Code]=(TRIM($D21))),CRDJ[Credit])))+(SUM(IF((GJ[Ofc Code]=(TRIM(M$7)))*(GJ[Account Code]=(TRIM($D21))),GJ[Credit]))))-((SUM(IF((CkDJ[Ofc Code]=(TRIM(M$7)))*(CkDJ[Account Code]=(TRIM($D21))),CkDJ[Debit])))+(SUM(IF((CsDJ[Ofc Code]=(TRIM(M$7)))*(CsDJ[Account Code]=(TRIM($D21))),CsDJ[Debit])))+(SUM(IF((CRDJ[Ofc Code]=(TRIM(M$7)))*(CRDJ[Account Code]=(TRIM($D21))),CRDJ[Debit])))+(SUM(IF((GJ[Ofc Code]=(TRIM(M$7)))*(GJ[Account Code]=(TRIM($D21))),GJ[Debit]))))</f>
        <v>0</v>
      </c>
      <c r="N21" s="211">
        <f t="array" ref="N21">((SUM(IF((CkDJ[Ofc Code]=(TRIM(N$7)))*(CkDJ[Account Code]=(TRIM($D21))),CkDJ[Credit])))+(SUM(IF((CsDJ[Ofc Code]=(TRIM(N$7)))*(CsDJ[Account Code]=(TRIM($D21))),CsDJ[Credit])))+(SUM(IF((CRDJ[Ofc Code]=(TRIM(N$7)))*(CRDJ[Account Code]=(TRIM($D21))),CRDJ[Credit])))+(SUM(IF((GJ[Ofc Code]=(TRIM(N$7)))*(GJ[Account Code]=(TRIM($D21))),GJ[Credit]))))-((SUM(IF((CkDJ[Ofc Code]=(TRIM(N$7)))*(CkDJ[Account Code]=(TRIM($D21))),CkDJ[Debit])))+(SUM(IF((CsDJ[Ofc Code]=(TRIM(N$7)))*(CsDJ[Account Code]=(TRIM($D21))),CsDJ[Debit])))+(SUM(IF((CRDJ[Ofc Code]=(TRIM(N$7)))*(CRDJ[Account Code]=(TRIM($D21))),CRDJ[Debit])))+(SUM(IF((GJ[Ofc Code]=(TRIM(N$7)))*(GJ[Account Code]=(TRIM($D21))),GJ[Debit]))))</f>
        <v>0</v>
      </c>
      <c r="O21" s="211">
        <f t="shared" si="2"/>
        <v>0</v>
      </c>
      <c r="P21" s="211">
        <f t="array" ref="P21">((SUM(IF((CkDJ[Ofc Code]=(TRIM(P$7)))*(CkDJ[Account Code]=(TRIM($D21))),CkDJ[Credit])))+(SUM(IF((CsDJ[Ofc Code]=(TRIM(P$7)))*(CsDJ[Account Code]=(TRIM($D21))),CsDJ[Credit])))+(SUM(IF((CRDJ[Ofc Code]=(TRIM(P$7)))*(CRDJ[Account Code]=(TRIM($D21))),CRDJ[Credit])))+(SUM(IF((GJ[Ofc Code]=(TRIM(P$7)))*(GJ[Account Code]=(TRIM($D21))),GJ[Credit]))))-((SUM(IF((CkDJ[Ofc Code]=(TRIM(P$7)))*(CkDJ[Account Code]=(TRIM($D21))),CkDJ[Debit])))+(SUM(IF((CsDJ[Ofc Code]=(TRIM(P$7)))*(CsDJ[Account Code]=(TRIM($D21))),CsDJ[Debit])))+(SUM(IF((CRDJ[Ofc Code]=(TRIM(P$7)))*(CRDJ[Account Code]=(TRIM($D21))),CRDJ[Debit])))+(SUM(IF((GJ[Ofc Code]=(TRIM(P$7)))*(GJ[Account Code]=(TRIM($D21))),GJ[Debit]))))</f>
        <v>0</v>
      </c>
      <c r="Q21" s="211">
        <f t="array" ref="Q21">((SUM(IF((CkDJ[Ofc Code]=(TRIM(Q$7)))*(CkDJ[Account Code]=(TRIM($D21))),CkDJ[Credit])))+(SUM(IF((CsDJ[Ofc Code]=(TRIM(Q$7)))*(CsDJ[Account Code]=(TRIM($D21))),CsDJ[Credit])))+(SUM(IF((CRDJ[Ofc Code]=(TRIM(Q$7)))*(CRDJ[Account Code]=(TRIM($D21))),CRDJ[Credit])))+(SUM(IF((GJ[Ofc Code]=(TRIM(Q$7)))*(GJ[Account Code]=(TRIM($D21))),GJ[Credit]))))-((SUM(IF((CkDJ[Ofc Code]=(TRIM(Q$7)))*(CkDJ[Account Code]=(TRIM($D21))),CkDJ[Debit])))+(SUM(IF((CsDJ[Ofc Code]=(TRIM(Q$7)))*(CsDJ[Account Code]=(TRIM($D21))),CsDJ[Debit])))+(SUM(IF((CRDJ[Ofc Code]=(TRIM(Q$7)))*(CRDJ[Account Code]=(TRIM($D21))),CRDJ[Debit])))+(SUM(IF((GJ[Ofc Code]=(TRIM(Q$7)))*(GJ[Account Code]=(TRIM($D21))),GJ[Debit]))))</f>
        <v>0</v>
      </c>
      <c r="R21" s="211">
        <f t="array" ref="R21">((SUM(IF((CkDJ[Ofc Code]=(TRIM(R$7)))*(CkDJ[Account Code]=(TRIM($D21))),CkDJ[Credit])))+(SUM(IF((CsDJ[Ofc Code]=(TRIM(R$7)))*(CsDJ[Account Code]=(TRIM($D21))),CsDJ[Credit])))+(SUM(IF((CRDJ[Ofc Code]=(TRIM(R$7)))*(CRDJ[Account Code]=(TRIM($D21))),CRDJ[Credit])))+(SUM(IF((GJ[Ofc Code]=(TRIM(R$7)))*(GJ[Account Code]=(TRIM($D21))),GJ[Credit]))))-((SUM(IF((CkDJ[Ofc Code]=(TRIM(R$7)))*(CkDJ[Account Code]=(TRIM($D21))),CkDJ[Debit])))+(SUM(IF((CsDJ[Ofc Code]=(TRIM(R$7)))*(CsDJ[Account Code]=(TRIM($D21))),CsDJ[Debit])))+(SUM(IF((CRDJ[Ofc Code]=(TRIM(R$7)))*(CRDJ[Account Code]=(TRIM($D21))),CRDJ[Debit])))+(SUM(IF((GJ[Ofc Code]=(TRIM(R$7)))*(GJ[Account Code]=(TRIM($D21))),GJ[Debit]))))</f>
        <v>0</v>
      </c>
      <c r="S21" s="211">
        <f t="array" ref="S21">((SUM(IF((CkDJ[Ofc Code]=(TRIM(S$7)))*(CkDJ[Account Code]=(TRIM($D21))),CkDJ[Credit])))+(SUM(IF((CsDJ[Ofc Code]=(TRIM(S$7)))*(CsDJ[Account Code]=(TRIM($D21))),CsDJ[Credit])))+(SUM(IF((CRDJ[Ofc Code]=(TRIM(S$7)))*(CRDJ[Account Code]=(TRIM($D21))),CRDJ[Credit])))+(SUM(IF((GJ[Ofc Code]=(TRIM(S$7)))*(GJ[Account Code]=(TRIM($D21))),GJ[Credit]))))-((SUM(IF((CkDJ[Ofc Code]=(TRIM(S$7)))*(CkDJ[Account Code]=(TRIM($D21))),CkDJ[Debit])))+(SUM(IF((CsDJ[Ofc Code]=(TRIM(S$7)))*(CsDJ[Account Code]=(TRIM($D21))),CsDJ[Debit])))+(SUM(IF((CRDJ[Ofc Code]=(TRIM(S$7)))*(CRDJ[Account Code]=(TRIM($D21))),CRDJ[Debit])))+(SUM(IF((GJ[Ofc Code]=(TRIM(S$7)))*(GJ[Account Code]=(TRIM($D21))),GJ[Debit]))))</f>
        <v>0</v>
      </c>
      <c r="T21" s="211">
        <f t="array" ref="T21">((SUM(IF((CkDJ[Ofc Code]=(TRIM(T$7)))*(CkDJ[Account Code]=(TRIM($D21))),CkDJ[Credit])))+(SUM(IF((CsDJ[Ofc Code]=(TRIM(T$7)))*(CsDJ[Account Code]=(TRIM($D21))),CsDJ[Credit])))+(SUM(IF((CRDJ[Ofc Code]=(TRIM(T$7)))*(CRDJ[Account Code]=(TRIM($D21))),CRDJ[Credit])))+(SUM(IF((GJ[Ofc Code]=(TRIM(T$7)))*(GJ[Account Code]=(TRIM($D21))),GJ[Credit]))))-((SUM(IF((CkDJ[Ofc Code]=(TRIM(T$7)))*(CkDJ[Account Code]=(TRIM($D21))),CkDJ[Debit])))+(SUM(IF((CsDJ[Ofc Code]=(TRIM(T$7)))*(CsDJ[Account Code]=(TRIM($D21))),CsDJ[Debit])))+(SUM(IF((CRDJ[Ofc Code]=(TRIM(T$7)))*(CRDJ[Account Code]=(TRIM($D21))),CRDJ[Debit])))+(SUM(IF((GJ[Ofc Code]=(TRIM(T$7)))*(GJ[Account Code]=(TRIM($D21))),GJ[Debit]))))</f>
        <v>0</v>
      </c>
      <c r="U21" s="211">
        <f t="shared" si="3"/>
        <v>0</v>
      </c>
      <c r="V21" s="211">
        <f t="shared" si="4"/>
        <v>0</v>
      </c>
    </row>
    <row r="22" spans="1:22" ht="15">
      <c r="A22" s="212">
        <f t="shared" si="5"/>
        <v>14</v>
      </c>
      <c r="B22" s="214"/>
      <c r="C22" s="194" t="str">
        <f t="shared" si="0"/>
        <v>Equipment Rental - Internal (CA)</v>
      </c>
      <c r="D22" s="207" t="s">
        <v>146</v>
      </c>
      <c r="E22" s="211">
        <f t="array" ref="E22">((SUM(IF((CkDJ[Ofc Code]=(TRIM(E$7)))*(CkDJ[Account Code]=(TRIM($D22))),CkDJ[Credit])))+(SUM(IF((CsDJ[Ofc Code]=(TRIM(E$7)))*(CsDJ[Account Code]=(TRIM($D22))),CsDJ[Credit])))+(SUM(IF((CRDJ[Ofc Code]=(TRIM(E$7)))*(CRDJ[Account Code]=(TRIM($D22))),CRDJ[Credit])))+(SUM(IF((GJ[Ofc Code]=(TRIM(E$7)))*(GJ[Account Code]=(TRIM($D22))),GJ[Credit]))))-((SUM(IF((CkDJ[Ofc Code]=(TRIM(E$7)))*(CkDJ[Account Code]=(TRIM($D22))),CkDJ[Debit])))+(SUM(IF((CsDJ[Ofc Code]=(TRIM(E$7)))*(CsDJ[Account Code]=(TRIM($D22))),CsDJ[Debit])))+(SUM(IF((CRDJ[Ofc Code]=(TRIM(E$7)))*(CRDJ[Account Code]=(TRIM($D22))),CRDJ[Debit])))+(SUM(IF((GJ[Ofc Code]=(TRIM(E$7)))*(GJ[Account Code]=(TRIM($D22))),GJ[Debit]))))</f>
        <v>0</v>
      </c>
      <c r="F22" s="211">
        <f t="array" ref="F22">((SUM(IF((CkDJ[Ofc Code]=(TRIM(F$7)))*(CkDJ[Account Code]=(TRIM($D22))),CkDJ[Credit])))+(SUM(IF((CsDJ[Ofc Code]=(TRIM(F$7)))*(CsDJ[Account Code]=(TRIM($D22))),CsDJ[Credit])))+(SUM(IF((CRDJ[Ofc Code]=(TRIM(F$7)))*(CRDJ[Account Code]=(TRIM($D22))),CRDJ[Credit])))+(SUM(IF((GJ[Ofc Code]=(TRIM(F$7)))*(GJ[Account Code]=(TRIM($D22))),GJ[Credit]))))-((SUM(IF((CkDJ[Ofc Code]=(TRIM(F$7)))*(CkDJ[Account Code]=(TRIM($D22))),CkDJ[Debit])))+(SUM(IF((CsDJ[Ofc Code]=(TRIM(F$7)))*(CsDJ[Account Code]=(TRIM($D22))),CsDJ[Debit])))+(SUM(IF((CRDJ[Ofc Code]=(TRIM(F$7)))*(CRDJ[Account Code]=(TRIM($D22))),CRDJ[Debit])))+(SUM(IF((GJ[Ofc Code]=(TRIM(F$7)))*(GJ[Account Code]=(TRIM($D22))),GJ[Debit]))))</f>
        <v>0</v>
      </c>
      <c r="G22" s="211">
        <f t="array" ref="G22">((SUM(IF((CkDJ[Ofc Code]=(TRIM(G$7)))*(CkDJ[Account Code]=(TRIM($D22))),CkDJ[Credit])))+(SUM(IF((CsDJ[Ofc Code]=(TRIM(G$7)))*(CsDJ[Account Code]=(TRIM($D22))),CsDJ[Credit])))+(SUM(IF((CRDJ[Ofc Code]=(TRIM(G$7)))*(CRDJ[Account Code]=(TRIM($D22))),CRDJ[Credit])))+(SUM(IF((GJ[Ofc Code]=(TRIM(G$7)))*(GJ[Account Code]=(TRIM($D22))),GJ[Credit]))))-((SUM(IF((CkDJ[Ofc Code]=(TRIM(G$7)))*(CkDJ[Account Code]=(TRIM($D22))),CkDJ[Debit])))+(SUM(IF((CsDJ[Ofc Code]=(TRIM(G$7)))*(CsDJ[Account Code]=(TRIM($D22))),CsDJ[Debit])))+(SUM(IF((CRDJ[Ofc Code]=(TRIM(G$7)))*(CRDJ[Account Code]=(TRIM($D22))),CRDJ[Debit])))+(SUM(IF((GJ[Ofc Code]=(TRIM(G$7)))*(GJ[Account Code]=(TRIM($D22))),GJ[Debit]))))</f>
        <v>0</v>
      </c>
      <c r="H22" s="211">
        <f t="array" ref="H22">((SUM(IF((CkDJ[Ofc Code]=(TRIM(H$7)))*(CkDJ[Account Code]=(TRIM($D22))),CkDJ[Credit])))+(SUM(IF((CsDJ[Ofc Code]=(TRIM(H$7)))*(CsDJ[Account Code]=(TRIM($D22))),CsDJ[Credit])))+(SUM(IF((CRDJ[Ofc Code]=(TRIM(H$7)))*(CRDJ[Account Code]=(TRIM($D22))),CRDJ[Credit])))+(SUM(IF((GJ[Ofc Code]=(TRIM(H$7)))*(GJ[Account Code]=(TRIM($D22))),GJ[Credit]))))-((SUM(IF((CkDJ[Ofc Code]=(TRIM(H$7)))*(CkDJ[Account Code]=(TRIM($D22))),CkDJ[Debit])))+(SUM(IF((CsDJ[Ofc Code]=(TRIM(H$7)))*(CsDJ[Account Code]=(TRIM($D22))),CsDJ[Debit])))+(SUM(IF((CRDJ[Ofc Code]=(TRIM(H$7)))*(CRDJ[Account Code]=(TRIM($D22))),CRDJ[Debit])))+(SUM(IF((GJ[Ofc Code]=(TRIM(H$7)))*(GJ[Account Code]=(TRIM($D22))),GJ[Debit]))))</f>
        <v>0</v>
      </c>
      <c r="I22" s="211">
        <f t="array" ref="I22">((SUM(IF((CkDJ[Ofc Code]=(TRIM(I$7)))*(CkDJ[Account Code]=(TRIM($D22))),CkDJ[Credit])))+(SUM(IF((CsDJ[Ofc Code]=(TRIM(I$7)))*(CsDJ[Account Code]=(TRIM($D22))),CsDJ[Credit])))+(SUM(IF((CRDJ[Ofc Code]=(TRIM(I$7)))*(CRDJ[Account Code]=(TRIM($D22))),CRDJ[Credit])))+(SUM(IF((GJ[Ofc Code]=(TRIM(I$7)))*(GJ[Account Code]=(TRIM($D22))),GJ[Credit]))))-((SUM(IF((CkDJ[Ofc Code]=(TRIM(I$7)))*(CkDJ[Account Code]=(TRIM($D22))),CkDJ[Debit])))+(SUM(IF((CsDJ[Ofc Code]=(TRIM(I$7)))*(CsDJ[Account Code]=(TRIM($D22))),CsDJ[Debit])))+(SUM(IF((CRDJ[Ofc Code]=(TRIM(I$7)))*(CRDJ[Account Code]=(TRIM($D22))),CRDJ[Debit])))+(SUM(IF((GJ[Ofc Code]=(TRIM(I$7)))*(GJ[Account Code]=(TRIM($D22))),GJ[Debit]))))</f>
        <v>0</v>
      </c>
      <c r="J22" s="211">
        <f t="shared" si="1"/>
        <v>0</v>
      </c>
      <c r="K22" s="211">
        <f t="array" ref="K22">((SUM(IF((CkDJ[Ofc Code]=(TRIM(K$7)))*(CkDJ[Account Code]=(TRIM($D22))),CkDJ[Credit])))+(SUM(IF((CsDJ[Ofc Code]=(TRIM(K$7)))*(CsDJ[Account Code]=(TRIM($D22))),CsDJ[Credit])))+(SUM(IF((CRDJ[Ofc Code]=(TRIM(K$7)))*(CRDJ[Account Code]=(TRIM($D22))),CRDJ[Credit])))+(SUM(IF((GJ[Ofc Code]=(TRIM(K$7)))*(GJ[Account Code]=(TRIM($D22))),GJ[Credit]))))-((SUM(IF((CkDJ[Ofc Code]=(TRIM(K$7)))*(CkDJ[Account Code]=(TRIM($D22))),CkDJ[Debit])))+(SUM(IF((CsDJ[Ofc Code]=(TRIM(K$7)))*(CsDJ[Account Code]=(TRIM($D22))),CsDJ[Debit])))+(SUM(IF((CRDJ[Ofc Code]=(TRIM(K$7)))*(CRDJ[Account Code]=(TRIM($D22))),CRDJ[Debit])))+(SUM(IF((GJ[Ofc Code]=(TRIM(K$7)))*(GJ[Account Code]=(TRIM($D22))),GJ[Debit]))))</f>
        <v>0</v>
      </c>
      <c r="L22" s="211">
        <f t="array" ref="L22">((SUM(IF((CkDJ[Ofc Code]=(TRIM(L$7)))*(CkDJ[Account Code]=(TRIM($D22))),CkDJ[Credit])))+(SUM(IF((CsDJ[Ofc Code]=(TRIM(L$7)))*(CsDJ[Account Code]=(TRIM($D22))),CsDJ[Credit])))+(SUM(IF((CRDJ[Ofc Code]=(TRIM(L$7)))*(CRDJ[Account Code]=(TRIM($D22))),CRDJ[Credit])))+(SUM(IF((GJ[Ofc Code]=(TRIM(L$7)))*(GJ[Account Code]=(TRIM($D22))),GJ[Credit]))))-((SUM(IF((CkDJ[Ofc Code]=(TRIM(L$7)))*(CkDJ[Account Code]=(TRIM($D22))),CkDJ[Debit])))+(SUM(IF((CsDJ[Ofc Code]=(TRIM(L$7)))*(CsDJ[Account Code]=(TRIM($D22))),CsDJ[Debit])))+(SUM(IF((CRDJ[Ofc Code]=(TRIM(L$7)))*(CRDJ[Account Code]=(TRIM($D22))),CRDJ[Debit])))+(SUM(IF((GJ[Ofc Code]=(TRIM(L$7)))*(GJ[Account Code]=(TRIM($D22))),GJ[Debit]))))</f>
        <v>0</v>
      </c>
      <c r="M22" s="211">
        <f t="array" ref="M22">((SUM(IF((CkDJ[Ofc Code]=(TRIM(M$7)))*(CkDJ[Account Code]=(TRIM($D22))),CkDJ[Credit])))+(SUM(IF((CsDJ[Ofc Code]=(TRIM(M$7)))*(CsDJ[Account Code]=(TRIM($D22))),CsDJ[Credit])))+(SUM(IF((CRDJ[Ofc Code]=(TRIM(M$7)))*(CRDJ[Account Code]=(TRIM($D22))),CRDJ[Credit])))+(SUM(IF((GJ[Ofc Code]=(TRIM(M$7)))*(GJ[Account Code]=(TRIM($D22))),GJ[Credit]))))-((SUM(IF((CkDJ[Ofc Code]=(TRIM(M$7)))*(CkDJ[Account Code]=(TRIM($D22))),CkDJ[Debit])))+(SUM(IF((CsDJ[Ofc Code]=(TRIM(M$7)))*(CsDJ[Account Code]=(TRIM($D22))),CsDJ[Debit])))+(SUM(IF((CRDJ[Ofc Code]=(TRIM(M$7)))*(CRDJ[Account Code]=(TRIM($D22))),CRDJ[Debit])))+(SUM(IF((GJ[Ofc Code]=(TRIM(M$7)))*(GJ[Account Code]=(TRIM($D22))),GJ[Debit]))))</f>
        <v>0</v>
      </c>
      <c r="N22" s="211">
        <f t="array" ref="N22">((SUM(IF((CkDJ[Ofc Code]=(TRIM(N$7)))*(CkDJ[Account Code]=(TRIM($D22))),CkDJ[Credit])))+(SUM(IF((CsDJ[Ofc Code]=(TRIM(N$7)))*(CsDJ[Account Code]=(TRIM($D22))),CsDJ[Credit])))+(SUM(IF((CRDJ[Ofc Code]=(TRIM(N$7)))*(CRDJ[Account Code]=(TRIM($D22))),CRDJ[Credit])))+(SUM(IF((GJ[Ofc Code]=(TRIM(N$7)))*(GJ[Account Code]=(TRIM($D22))),GJ[Credit]))))-((SUM(IF((CkDJ[Ofc Code]=(TRIM(N$7)))*(CkDJ[Account Code]=(TRIM($D22))),CkDJ[Debit])))+(SUM(IF((CsDJ[Ofc Code]=(TRIM(N$7)))*(CsDJ[Account Code]=(TRIM($D22))),CsDJ[Debit])))+(SUM(IF((CRDJ[Ofc Code]=(TRIM(N$7)))*(CRDJ[Account Code]=(TRIM($D22))),CRDJ[Debit])))+(SUM(IF((GJ[Ofc Code]=(TRIM(N$7)))*(GJ[Account Code]=(TRIM($D22))),GJ[Debit]))))</f>
        <v>0</v>
      </c>
      <c r="O22" s="211">
        <f t="shared" si="2"/>
        <v>0</v>
      </c>
      <c r="P22" s="211">
        <f t="array" ref="P22">((SUM(IF((CkDJ[Ofc Code]=(TRIM(P$7)))*(CkDJ[Account Code]=(TRIM($D22))),CkDJ[Credit])))+(SUM(IF((CsDJ[Ofc Code]=(TRIM(P$7)))*(CsDJ[Account Code]=(TRIM($D22))),CsDJ[Credit])))+(SUM(IF((CRDJ[Ofc Code]=(TRIM(P$7)))*(CRDJ[Account Code]=(TRIM($D22))),CRDJ[Credit])))+(SUM(IF((GJ[Ofc Code]=(TRIM(P$7)))*(GJ[Account Code]=(TRIM($D22))),GJ[Credit]))))-((SUM(IF((CkDJ[Ofc Code]=(TRIM(P$7)))*(CkDJ[Account Code]=(TRIM($D22))),CkDJ[Debit])))+(SUM(IF((CsDJ[Ofc Code]=(TRIM(P$7)))*(CsDJ[Account Code]=(TRIM($D22))),CsDJ[Debit])))+(SUM(IF((CRDJ[Ofc Code]=(TRIM(P$7)))*(CRDJ[Account Code]=(TRIM($D22))),CRDJ[Debit])))+(SUM(IF((GJ[Ofc Code]=(TRIM(P$7)))*(GJ[Account Code]=(TRIM($D22))),GJ[Debit]))))</f>
        <v>0</v>
      </c>
      <c r="Q22" s="211">
        <f t="array" ref="Q22">((SUM(IF((CkDJ[Ofc Code]=(TRIM(Q$7)))*(CkDJ[Account Code]=(TRIM($D22))),CkDJ[Credit])))+(SUM(IF((CsDJ[Ofc Code]=(TRIM(Q$7)))*(CsDJ[Account Code]=(TRIM($D22))),CsDJ[Credit])))+(SUM(IF((CRDJ[Ofc Code]=(TRIM(Q$7)))*(CRDJ[Account Code]=(TRIM($D22))),CRDJ[Credit])))+(SUM(IF((GJ[Ofc Code]=(TRIM(Q$7)))*(GJ[Account Code]=(TRIM($D22))),GJ[Credit]))))-((SUM(IF((CkDJ[Ofc Code]=(TRIM(Q$7)))*(CkDJ[Account Code]=(TRIM($D22))),CkDJ[Debit])))+(SUM(IF((CsDJ[Ofc Code]=(TRIM(Q$7)))*(CsDJ[Account Code]=(TRIM($D22))),CsDJ[Debit])))+(SUM(IF((CRDJ[Ofc Code]=(TRIM(Q$7)))*(CRDJ[Account Code]=(TRIM($D22))),CRDJ[Debit])))+(SUM(IF((GJ[Ofc Code]=(TRIM(Q$7)))*(GJ[Account Code]=(TRIM($D22))),GJ[Debit]))))</f>
        <v>0</v>
      </c>
      <c r="R22" s="211">
        <f t="array" ref="R22">((SUM(IF((CkDJ[Ofc Code]=(TRIM(R$7)))*(CkDJ[Account Code]=(TRIM($D22))),CkDJ[Credit])))+(SUM(IF((CsDJ[Ofc Code]=(TRIM(R$7)))*(CsDJ[Account Code]=(TRIM($D22))),CsDJ[Credit])))+(SUM(IF((CRDJ[Ofc Code]=(TRIM(R$7)))*(CRDJ[Account Code]=(TRIM($D22))),CRDJ[Credit])))+(SUM(IF((GJ[Ofc Code]=(TRIM(R$7)))*(GJ[Account Code]=(TRIM($D22))),GJ[Credit]))))-((SUM(IF((CkDJ[Ofc Code]=(TRIM(R$7)))*(CkDJ[Account Code]=(TRIM($D22))),CkDJ[Debit])))+(SUM(IF((CsDJ[Ofc Code]=(TRIM(R$7)))*(CsDJ[Account Code]=(TRIM($D22))),CsDJ[Debit])))+(SUM(IF((CRDJ[Ofc Code]=(TRIM(R$7)))*(CRDJ[Account Code]=(TRIM($D22))),CRDJ[Debit])))+(SUM(IF((GJ[Ofc Code]=(TRIM(R$7)))*(GJ[Account Code]=(TRIM($D22))),GJ[Debit]))))</f>
        <v>0</v>
      </c>
      <c r="S22" s="211">
        <f t="array" ref="S22">((SUM(IF((CkDJ[Ofc Code]=(TRIM(S$7)))*(CkDJ[Account Code]=(TRIM($D22))),CkDJ[Credit])))+(SUM(IF((CsDJ[Ofc Code]=(TRIM(S$7)))*(CsDJ[Account Code]=(TRIM($D22))),CsDJ[Credit])))+(SUM(IF((CRDJ[Ofc Code]=(TRIM(S$7)))*(CRDJ[Account Code]=(TRIM($D22))),CRDJ[Credit])))+(SUM(IF((GJ[Ofc Code]=(TRIM(S$7)))*(GJ[Account Code]=(TRIM($D22))),GJ[Credit]))))-((SUM(IF((CkDJ[Ofc Code]=(TRIM(S$7)))*(CkDJ[Account Code]=(TRIM($D22))),CkDJ[Debit])))+(SUM(IF((CsDJ[Ofc Code]=(TRIM(S$7)))*(CsDJ[Account Code]=(TRIM($D22))),CsDJ[Debit])))+(SUM(IF((CRDJ[Ofc Code]=(TRIM(S$7)))*(CRDJ[Account Code]=(TRIM($D22))),CRDJ[Debit])))+(SUM(IF((GJ[Ofc Code]=(TRIM(S$7)))*(GJ[Account Code]=(TRIM($D22))),GJ[Debit]))))</f>
        <v>0</v>
      </c>
      <c r="T22" s="211">
        <f t="array" ref="T22">((SUM(IF((CkDJ[Ofc Code]=(TRIM(T$7)))*(CkDJ[Account Code]=(TRIM($D22))),CkDJ[Credit])))+(SUM(IF((CsDJ[Ofc Code]=(TRIM(T$7)))*(CsDJ[Account Code]=(TRIM($D22))),CsDJ[Credit])))+(SUM(IF((CRDJ[Ofc Code]=(TRIM(T$7)))*(CRDJ[Account Code]=(TRIM($D22))),CRDJ[Credit])))+(SUM(IF((GJ[Ofc Code]=(TRIM(T$7)))*(GJ[Account Code]=(TRIM($D22))),GJ[Credit]))))-((SUM(IF((CkDJ[Ofc Code]=(TRIM(T$7)))*(CkDJ[Account Code]=(TRIM($D22))),CkDJ[Debit])))+(SUM(IF((CsDJ[Ofc Code]=(TRIM(T$7)))*(CsDJ[Account Code]=(TRIM($D22))),CsDJ[Debit])))+(SUM(IF((CRDJ[Ofc Code]=(TRIM(T$7)))*(CRDJ[Account Code]=(TRIM($D22))),CRDJ[Debit])))+(SUM(IF((GJ[Ofc Code]=(TRIM(T$7)))*(GJ[Account Code]=(TRIM($D22))),GJ[Debit]))))</f>
        <v>0</v>
      </c>
      <c r="U22" s="211">
        <f t="shared" si="3"/>
        <v>0</v>
      </c>
      <c r="V22" s="211">
        <f t="shared" si="4"/>
        <v>0</v>
      </c>
    </row>
    <row r="23" spans="1:22" ht="15">
      <c r="A23" s="212">
        <f t="shared" si="5"/>
        <v>15</v>
      </c>
      <c r="B23" s="214"/>
      <c r="C23" s="194" t="str">
        <f t="shared" si="0"/>
        <v>Equipment Rental - External (CA)</v>
      </c>
      <c r="D23" s="207" t="s">
        <v>147</v>
      </c>
      <c r="E23" s="211">
        <f t="array" ref="E23">((SUM(IF((CkDJ[Ofc Code]=(TRIM(E$7)))*(CkDJ[Account Code]=(TRIM($D23))),CkDJ[Credit])))+(SUM(IF((CsDJ[Ofc Code]=(TRIM(E$7)))*(CsDJ[Account Code]=(TRIM($D23))),CsDJ[Credit])))+(SUM(IF((CRDJ[Ofc Code]=(TRIM(E$7)))*(CRDJ[Account Code]=(TRIM($D23))),CRDJ[Credit])))+(SUM(IF((GJ[Ofc Code]=(TRIM(E$7)))*(GJ[Account Code]=(TRIM($D23))),GJ[Credit]))))-((SUM(IF((CkDJ[Ofc Code]=(TRIM(E$7)))*(CkDJ[Account Code]=(TRIM($D23))),CkDJ[Debit])))+(SUM(IF((CsDJ[Ofc Code]=(TRIM(E$7)))*(CsDJ[Account Code]=(TRIM($D23))),CsDJ[Debit])))+(SUM(IF((CRDJ[Ofc Code]=(TRIM(E$7)))*(CRDJ[Account Code]=(TRIM($D23))),CRDJ[Debit])))+(SUM(IF((GJ[Ofc Code]=(TRIM(E$7)))*(GJ[Account Code]=(TRIM($D23))),GJ[Debit]))))</f>
        <v>0</v>
      </c>
      <c r="F23" s="211">
        <f t="array" ref="F23">((SUM(IF((CkDJ[Ofc Code]=(TRIM(F$7)))*(CkDJ[Account Code]=(TRIM($D23))),CkDJ[Credit])))+(SUM(IF((CsDJ[Ofc Code]=(TRIM(F$7)))*(CsDJ[Account Code]=(TRIM($D23))),CsDJ[Credit])))+(SUM(IF((CRDJ[Ofc Code]=(TRIM(F$7)))*(CRDJ[Account Code]=(TRIM($D23))),CRDJ[Credit])))+(SUM(IF((GJ[Ofc Code]=(TRIM(F$7)))*(GJ[Account Code]=(TRIM($D23))),GJ[Credit]))))-((SUM(IF((CkDJ[Ofc Code]=(TRIM(F$7)))*(CkDJ[Account Code]=(TRIM($D23))),CkDJ[Debit])))+(SUM(IF((CsDJ[Ofc Code]=(TRIM(F$7)))*(CsDJ[Account Code]=(TRIM($D23))),CsDJ[Debit])))+(SUM(IF((CRDJ[Ofc Code]=(TRIM(F$7)))*(CRDJ[Account Code]=(TRIM($D23))),CRDJ[Debit])))+(SUM(IF((GJ[Ofc Code]=(TRIM(F$7)))*(GJ[Account Code]=(TRIM($D23))),GJ[Debit]))))</f>
        <v>0</v>
      </c>
      <c r="G23" s="211">
        <f t="array" ref="G23">((SUM(IF((CkDJ[Ofc Code]=(TRIM(G$7)))*(CkDJ[Account Code]=(TRIM($D23))),CkDJ[Credit])))+(SUM(IF((CsDJ[Ofc Code]=(TRIM(G$7)))*(CsDJ[Account Code]=(TRIM($D23))),CsDJ[Credit])))+(SUM(IF((CRDJ[Ofc Code]=(TRIM(G$7)))*(CRDJ[Account Code]=(TRIM($D23))),CRDJ[Credit])))+(SUM(IF((GJ[Ofc Code]=(TRIM(G$7)))*(GJ[Account Code]=(TRIM($D23))),GJ[Credit]))))-((SUM(IF((CkDJ[Ofc Code]=(TRIM(G$7)))*(CkDJ[Account Code]=(TRIM($D23))),CkDJ[Debit])))+(SUM(IF((CsDJ[Ofc Code]=(TRIM(G$7)))*(CsDJ[Account Code]=(TRIM($D23))),CsDJ[Debit])))+(SUM(IF((CRDJ[Ofc Code]=(TRIM(G$7)))*(CRDJ[Account Code]=(TRIM($D23))),CRDJ[Debit])))+(SUM(IF((GJ[Ofc Code]=(TRIM(G$7)))*(GJ[Account Code]=(TRIM($D23))),GJ[Debit]))))</f>
        <v>0</v>
      </c>
      <c r="H23" s="211">
        <f t="array" ref="H23">((SUM(IF((CkDJ[Ofc Code]=(TRIM(H$7)))*(CkDJ[Account Code]=(TRIM($D23))),CkDJ[Credit])))+(SUM(IF((CsDJ[Ofc Code]=(TRIM(H$7)))*(CsDJ[Account Code]=(TRIM($D23))),CsDJ[Credit])))+(SUM(IF((CRDJ[Ofc Code]=(TRIM(H$7)))*(CRDJ[Account Code]=(TRIM($D23))),CRDJ[Credit])))+(SUM(IF((GJ[Ofc Code]=(TRIM(H$7)))*(GJ[Account Code]=(TRIM($D23))),GJ[Credit]))))-((SUM(IF((CkDJ[Ofc Code]=(TRIM(H$7)))*(CkDJ[Account Code]=(TRIM($D23))),CkDJ[Debit])))+(SUM(IF((CsDJ[Ofc Code]=(TRIM(H$7)))*(CsDJ[Account Code]=(TRIM($D23))),CsDJ[Debit])))+(SUM(IF((CRDJ[Ofc Code]=(TRIM(H$7)))*(CRDJ[Account Code]=(TRIM($D23))),CRDJ[Debit])))+(SUM(IF((GJ[Ofc Code]=(TRIM(H$7)))*(GJ[Account Code]=(TRIM($D23))),GJ[Debit]))))</f>
        <v>0</v>
      </c>
      <c r="I23" s="211">
        <f t="array" ref="I23">((SUM(IF((CkDJ[Ofc Code]=(TRIM(I$7)))*(CkDJ[Account Code]=(TRIM($D23))),CkDJ[Credit])))+(SUM(IF((CsDJ[Ofc Code]=(TRIM(I$7)))*(CsDJ[Account Code]=(TRIM($D23))),CsDJ[Credit])))+(SUM(IF((CRDJ[Ofc Code]=(TRIM(I$7)))*(CRDJ[Account Code]=(TRIM($D23))),CRDJ[Credit])))+(SUM(IF((GJ[Ofc Code]=(TRIM(I$7)))*(GJ[Account Code]=(TRIM($D23))),GJ[Credit]))))-((SUM(IF((CkDJ[Ofc Code]=(TRIM(I$7)))*(CkDJ[Account Code]=(TRIM($D23))),CkDJ[Debit])))+(SUM(IF((CsDJ[Ofc Code]=(TRIM(I$7)))*(CsDJ[Account Code]=(TRIM($D23))),CsDJ[Debit])))+(SUM(IF((CRDJ[Ofc Code]=(TRIM(I$7)))*(CRDJ[Account Code]=(TRIM($D23))),CRDJ[Debit])))+(SUM(IF((GJ[Ofc Code]=(TRIM(I$7)))*(GJ[Account Code]=(TRIM($D23))),GJ[Debit]))))</f>
        <v>0</v>
      </c>
      <c r="J23" s="211">
        <f t="shared" si="1"/>
        <v>0</v>
      </c>
      <c r="K23" s="211">
        <f t="array" ref="K23">((SUM(IF((CkDJ[Ofc Code]=(TRIM(K$7)))*(CkDJ[Account Code]=(TRIM($D23))),CkDJ[Credit])))+(SUM(IF((CsDJ[Ofc Code]=(TRIM(K$7)))*(CsDJ[Account Code]=(TRIM($D23))),CsDJ[Credit])))+(SUM(IF((CRDJ[Ofc Code]=(TRIM(K$7)))*(CRDJ[Account Code]=(TRIM($D23))),CRDJ[Credit])))+(SUM(IF((GJ[Ofc Code]=(TRIM(K$7)))*(GJ[Account Code]=(TRIM($D23))),GJ[Credit]))))-((SUM(IF((CkDJ[Ofc Code]=(TRIM(K$7)))*(CkDJ[Account Code]=(TRIM($D23))),CkDJ[Debit])))+(SUM(IF((CsDJ[Ofc Code]=(TRIM(K$7)))*(CsDJ[Account Code]=(TRIM($D23))),CsDJ[Debit])))+(SUM(IF((CRDJ[Ofc Code]=(TRIM(K$7)))*(CRDJ[Account Code]=(TRIM($D23))),CRDJ[Debit])))+(SUM(IF((GJ[Ofc Code]=(TRIM(K$7)))*(GJ[Account Code]=(TRIM($D23))),GJ[Debit]))))</f>
        <v>0</v>
      </c>
      <c r="L23" s="211">
        <f t="array" ref="L23">((SUM(IF((CkDJ[Ofc Code]=(TRIM(L$7)))*(CkDJ[Account Code]=(TRIM($D23))),CkDJ[Credit])))+(SUM(IF((CsDJ[Ofc Code]=(TRIM(L$7)))*(CsDJ[Account Code]=(TRIM($D23))),CsDJ[Credit])))+(SUM(IF((CRDJ[Ofc Code]=(TRIM(L$7)))*(CRDJ[Account Code]=(TRIM($D23))),CRDJ[Credit])))+(SUM(IF((GJ[Ofc Code]=(TRIM(L$7)))*(GJ[Account Code]=(TRIM($D23))),GJ[Credit]))))-((SUM(IF((CkDJ[Ofc Code]=(TRIM(L$7)))*(CkDJ[Account Code]=(TRIM($D23))),CkDJ[Debit])))+(SUM(IF((CsDJ[Ofc Code]=(TRIM(L$7)))*(CsDJ[Account Code]=(TRIM($D23))),CsDJ[Debit])))+(SUM(IF((CRDJ[Ofc Code]=(TRIM(L$7)))*(CRDJ[Account Code]=(TRIM($D23))),CRDJ[Debit])))+(SUM(IF((GJ[Ofc Code]=(TRIM(L$7)))*(GJ[Account Code]=(TRIM($D23))),GJ[Debit]))))</f>
        <v>0</v>
      </c>
      <c r="M23" s="211">
        <f t="array" ref="M23">((SUM(IF((CkDJ[Ofc Code]=(TRIM(M$7)))*(CkDJ[Account Code]=(TRIM($D23))),CkDJ[Credit])))+(SUM(IF((CsDJ[Ofc Code]=(TRIM(M$7)))*(CsDJ[Account Code]=(TRIM($D23))),CsDJ[Credit])))+(SUM(IF((CRDJ[Ofc Code]=(TRIM(M$7)))*(CRDJ[Account Code]=(TRIM($D23))),CRDJ[Credit])))+(SUM(IF((GJ[Ofc Code]=(TRIM(M$7)))*(GJ[Account Code]=(TRIM($D23))),GJ[Credit]))))-((SUM(IF((CkDJ[Ofc Code]=(TRIM(M$7)))*(CkDJ[Account Code]=(TRIM($D23))),CkDJ[Debit])))+(SUM(IF((CsDJ[Ofc Code]=(TRIM(M$7)))*(CsDJ[Account Code]=(TRIM($D23))),CsDJ[Debit])))+(SUM(IF((CRDJ[Ofc Code]=(TRIM(M$7)))*(CRDJ[Account Code]=(TRIM($D23))),CRDJ[Debit])))+(SUM(IF((GJ[Ofc Code]=(TRIM(M$7)))*(GJ[Account Code]=(TRIM($D23))),GJ[Debit]))))</f>
        <v>0</v>
      </c>
      <c r="N23" s="211">
        <f t="array" ref="N23">((SUM(IF((CkDJ[Ofc Code]=(TRIM(N$7)))*(CkDJ[Account Code]=(TRIM($D23))),CkDJ[Credit])))+(SUM(IF((CsDJ[Ofc Code]=(TRIM(N$7)))*(CsDJ[Account Code]=(TRIM($D23))),CsDJ[Credit])))+(SUM(IF((CRDJ[Ofc Code]=(TRIM(N$7)))*(CRDJ[Account Code]=(TRIM($D23))),CRDJ[Credit])))+(SUM(IF((GJ[Ofc Code]=(TRIM(N$7)))*(GJ[Account Code]=(TRIM($D23))),GJ[Credit]))))-((SUM(IF((CkDJ[Ofc Code]=(TRIM(N$7)))*(CkDJ[Account Code]=(TRIM($D23))),CkDJ[Debit])))+(SUM(IF((CsDJ[Ofc Code]=(TRIM(N$7)))*(CsDJ[Account Code]=(TRIM($D23))),CsDJ[Debit])))+(SUM(IF((CRDJ[Ofc Code]=(TRIM(N$7)))*(CRDJ[Account Code]=(TRIM($D23))),CRDJ[Debit])))+(SUM(IF((GJ[Ofc Code]=(TRIM(N$7)))*(GJ[Account Code]=(TRIM($D23))),GJ[Debit]))))</f>
        <v>0</v>
      </c>
      <c r="O23" s="211">
        <f t="shared" si="2"/>
        <v>0</v>
      </c>
      <c r="P23" s="211">
        <f t="array" ref="P23">((SUM(IF((CkDJ[Ofc Code]=(TRIM(P$7)))*(CkDJ[Account Code]=(TRIM($D23))),CkDJ[Credit])))+(SUM(IF((CsDJ[Ofc Code]=(TRIM(P$7)))*(CsDJ[Account Code]=(TRIM($D23))),CsDJ[Credit])))+(SUM(IF((CRDJ[Ofc Code]=(TRIM(P$7)))*(CRDJ[Account Code]=(TRIM($D23))),CRDJ[Credit])))+(SUM(IF((GJ[Ofc Code]=(TRIM(P$7)))*(GJ[Account Code]=(TRIM($D23))),GJ[Credit]))))-((SUM(IF((CkDJ[Ofc Code]=(TRIM(P$7)))*(CkDJ[Account Code]=(TRIM($D23))),CkDJ[Debit])))+(SUM(IF((CsDJ[Ofc Code]=(TRIM(P$7)))*(CsDJ[Account Code]=(TRIM($D23))),CsDJ[Debit])))+(SUM(IF((CRDJ[Ofc Code]=(TRIM(P$7)))*(CRDJ[Account Code]=(TRIM($D23))),CRDJ[Debit])))+(SUM(IF((GJ[Ofc Code]=(TRIM(P$7)))*(GJ[Account Code]=(TRIM($D23))),GJ[Debit]))))</f>
        <v>0</v>
      </c>
      <c r="Q23" s="211">
        <f t="array" ref="Q23">((SUM(IF((CkDJ[Ofc Code]=(TRIM(Q$7)))*(CkDJ[Account Code]=(TRIM($D23))),CkDJ[Credit])))+(SUM(IF((CsDJ[Ofc Code]=(TRIM(Q$7)))*(CsDJ[Account Code]=(TRIM($D23))),CsDJ[Credit])))+(SUM(IF((CRDJ[Ofc Code]=(TRIM(Q$7)))*(CRDJ[Account Code]=(TRIM($D23))),CRDJ[Credit])))+(SUM(IF((GJ[Ofc Code]=(TRIM(Q$7)))*(GJ[Account Code]=(TRIM($D23))),GJ[Credit]))))-((SUM(IF((CkDJ[Ofc Code]=(TRIM(Q$7)))*(CkDJ[Account Code]=(TRIM($D23))),CkDJ[Debit])))+(SUM(IF((CsDJ[Ofc Code]=(TRIM(Q$7)))*(CsDJ[Account Code]=(TRIM($D23))),CsDJ[Debit])))+(SUM(IF((CRDJ[Ofc Code]=(TRIM(Q$7)))*(CRDJ[Account Code]=(TRIM($D23))),CRDJ[Debit])))+(SUM(IF((GJ[Ofc Code]=(TRIM(Q$7)))*(GJ[Account Code]=(TRIM($D23))),GJ[Debit]))))</f>
        <v>0</v>
      </c>
      <c r="R23" s="211">
        <f t="array" ref="R23">((SUM(IF((CkDJ[Ofc Code]=(TRIM(R$7)))*(CkDJ[Account Code]=(TRIM($D23))),CkDJ[Credit])))+(SUM(IF((CsDJ[Ofc Code]=(TRIM(R$7)))*(CsDJ[Account Code]=(TRIM($D23))),CsDJ[Credit])))+(SUM(IF((CRDJ[Ofc Code]=(TRIM(R$7)))*(CRDJ[Account Code]=(TRIM($D23))),CRDJ[Credit])))+(SUM(IF((GJ[Ofc Code]=(TRIM(R$7)))*(GJ[Account Code]=(TRIM($D23))),GJ[Credit]))))-((SUM(IF((CkDJ[Ofc Code]=(TRIM(R$7)))*(CkDJ[Account Code]=(TRIM($D23))),CkDJ[Debit])))+(SUM(IF((CsDJ[Ofc Code]=(TRIM(R$7)))*(CsDJ[Account Code]=(TRIM($D23))),CsDJ[Debit])))+(SUM(IF((CRDJ[Ofc Code]=(TRIM(R$7)))*(CRDJ[Account Code]=(TRIM($D23))),CRDJ[Debit])))+(SUM(IF((GJ[Ofc Code]=(TRIM(R$7)))*(GJ[Account Code]=(TRIM($D23))),GJ[Debit]))))</f>
        <v>0</v>
      </c>
      <c r="S23" s="211">
        <f t="array" ref="S23">((SUM(IF((CkDJ[Ofc Code]=(TRIM(S$7)))*(CkDJ[Account Code]=(TRIM($D23))),CkDJ[Credit])))+(SUM(IF((CsDJ[Ofc Code]=(TRIM(S$7)))*(CsDJ[Account Code]=(TRIM($D23))),CsDJ[Credit])))+(SUM(IF((CRDJ[Ofc Code]=(TRIM(S$7)))*(CRDJ[Account Code]=(TRIM($D23))),CRDJ[Credit])))+(SUM(IF((GJ[Ofc Code]=(TRIM(S$7)))*(GJ[Account Code]=(TRIM($D23))),GJ[Credit]))))-((SUM(IF((CkDJ[Ofc Code]=(TRIM(S$7)))*(CkDJ[Account Code]=(TRIM($D23))),CkDJ[Debit])))+(SUM(IF((CsDJ[Ofc Code]=(TRIM(S$7)))*(CsDJ[Account Code]=(TRIM($D23))),CsDJ[Debit])))+(SUM(IF((CRDJ[Ofc Code]=(TRIM(S$7)))*(CRDJ[Account Code]=(TRIM($D23))),CRDJ[Debit])))+(SUM(IF((GJ[Ofc Code]=(TRIM(S$7)))*(GJ[Account Code]=(TRIM($D23))),GJ[Debit]))))</f>
        <v>0</v>
      </c>
      <c r="T23" s="211">
        <f t="array" ref="T23">((SUM(IF((CkDJ[Ofc Code]=(TRIM(T$7)))*(CkDJ[Account Code]=(TRIM($D23))),CkDJ[Credit])))+(SUM(IF((CsDJ[Ofc Code]=(TRIM(T$7)))*(CsDJ[Account Code]=(TRIM($D23))),CsDJ[Credit])))+(SUM(IF((CRDJ[Ofc Code]=(TRIM(T$7)))*(CRDJ[Account Code]=(TRIM($D23))),CRDJ[Credit])))+(SUM(IF((GJ[Ofc Code]=(TRIM(T$7)))*(GJ[Account Code]=(TRIM($D23))),GJ[Credit]))))-((SUM(IF((CkDJ[Ofc Code]=(TRIM(T$7)))*(CkDJ[Account Code]=(TRIM($D23))),CkDJ[Debit])))+(SUM(IF((CsDJ[Ofc Code]=(TRIM(T$7)))*(CsDJ[Account Code]=(TRIM($D23))),CsDJ[Debit])))+(SUM(IF((CRDJ[Ofc Code]=(TRIM(T$7)))*(CRDJ[Account Code]=(TRIM($D23))),CRDJ[Debit])))+(SUM(IF((GJ[Ofc Code]=(TRIM(T$7)))*(GJ[Account Code]=(TRIM($D23))),GJ[Debit]))))</f>
        <v>0</v>
      </c>
      <c r="U23" s="211">
        <f t="shared" si="3"/>
        <v>0</v>
      </c>
      <c r="V23" s="211">
        <f t="shared" si="4"/>
        <v>0</v>
      </c>
    </row>
    <row r="24" spans="1:22" ht="15">
      <c r="A24" s="212">
        <f t="shared" si="5"/>
        <v>16</v>
      </c>
      <c r="B24" s="214"/>
      <c r="C24" s="194" t="str">
        <f t="shared" si="0"/>
        <v>Equipment Rental - Internal (BA)</v>
      </c>
      <c r="D24" s="207" t="s">
        <v>148</v>
      </c>
      <c r="E24" s="211">
        <f t="array" ref="E24">((SUM(IF((CkDJ[Ofc Code]=(TRIM(E$7)))*(CkDJ[Account Code]=(TRIM($D24))),CkDJ[Credit])))+(SUM(IF((CsDJ[Ofc Code]=(TRIM(E$7)))*(CsDJ[Account Code]=(TRIM($D24))),CsDJ[Credit])))+(SUM(IF((CRDJ[Ofc Code]=(TRIM(E$7)))*(CRDJ[Account Code]=(TRIM($D24))),CRDJ[Credit])))+(SUM(IF((GJ[Ofc Code]=(TRIM(E$7)))*(GJ[Account Code]=(TRIM($D24))),GJ[Credit]))))-((SUM(IF((CkDJ[Ofc Code]=(TRIM(E$7)))*(CkDJ[Account Code]=(TRIM($D24))),CkDJ[Debit])))+(SUM(IF((CsDJ[Ofc Code]=(TRIM(E$7)))*(CsDJ[Account Code]=(TRIM($D24))),CsDJ[Debit])))+(SUM(IF((CRDJ[Ofc Code]=(TRIM(E$7)))*(CRDJ[Account Code]=(TRIM($D24))),CRDJ[Debit])))+(SUM(IF((GJ[Ofc Code]=(TRIM(E$7)))*(GJ[Account Code]=(TRIM($D24))),GJ[Debit]))))</f>
        <v>0</v>
      </c>
      <c r="F24" s="211">
        <f t="array" ref="F24">((SUM(IF((CkDJ[Ofc Code]=(TRIM(F$7)))*(CkDJ[Account Code]=(TRIM($D24))),CkDJ[Credit])))+(SUM(IF((CsDJ[Ofc Code]=(TRIM(F$7)))*(CsDJ[Account Code]=(TRIM($D24))),CsDJ[Credit])))+(SUM(IF((CRDJ[Ofc Code]=(TRIM(F$7)))*(CRDJ[Account Code]=(TRIM($D24))),CRDJ[Credit])))+(SUM(IF((GJ[Ofc Code]=(TRIM(F$7)))*(GJ[Account Code]=(TRIM($D24))),GJ[Credit]))))-((SUM(IF((CkDJ[Ofc Code]=(TRIM(F$7)))*(CkDJ[Account Code]=(TRIM($D24))),CkDJ[Debit])))+(SUM(IF((CsDJ[Ofc Code]=(TRIM(F$7)))*(CsDJ[Account Code]=(TRIM($D24))),CsDJ[Debit])))+(SUM(IF((CRDJ[Ofc Code]=(TRIM(F$7)))*(CRDJ[Account Code]=(TRIM($D24))),CRDJ[Debit])))+(SUM(IF((GJ[Ofc Code]=(TRIM(F$7)))*(GJ[Account Code]=(TRIM($D24))),GJ[Debit]))))</f>
        <v>0</v>
      </c>
      <c r="G24" s="211">
        <f t="array" ref="G24">((SUM(IF((CkDJ[Ofc Code]=(TRIM(G$7)))*(CkDJ[Account Code]=(TRIM($D24))),CkDJ[Credit])))+(SUM(IF((CsDJ[Ofc Code]=(TRIM(G$7)))*(CsDJ[Account Code]=(TRIM($D24))),CsDJ[Credit])))+(SUM(IF((CRDJ[Ofc Code]=(TRIM(G$7)))*(CRDJ[Account Code]=(TRIM($D24))),CRDJ[Credit])))+(SUM(IF((GJ[Ofc Code]=(TRIM(G$7)))*(GJ[Account Code]=(TRIM($D24))),GJ[Credit]))))-((SUM(IF((CkDJ[Ofc Code]=(TRIM(G$7)))*(CkDJ[Account Code]=(TRIM($D24))),CkDJ[Debit])))+(SUM(IF((CsDJ[Ofc Code]=(TRIM(G$7)))*(CsDJ[Account Code]=(TRIM($D24))),CsDJ[Debit])))+(SUM(IF((CRDJ[Ofc Code]=(TRIM(G$7)))*(CRDJ[Account Code]=(TRIM($D24))),CRDJ[Debit])))+(SUM(IF((GJ[Ofc Code]=(TRIM(G$7)))*(GJ[Account Code]=(TRIM($D24))),GJ[Debit]))))</f>
        <v>0</v>
      </c>
      <c r="H24" s="211">
        <f t="array" ref="H24">((SUM(IF((CkDJ[Ofc Code]=(TRIM(H$7)))*(CkDJ[Account Code]=(TRIM($D24))),CkDJ[Credit])))+(SUM(IF((CsDJ[Ofc Code]=(TRIM(H$7)))*(CsDJ[Account Code]=(TRIM($D24))),CsDJ[Credit])))+(SUM(IF((CRDJ[Ofc Code]=(TRIM(H$7)))*(CRDJ[Account Code]=(TRIM($D24))),CRDJ[Credit])))+(SUM(IF((GJ[Ofc Code]=(TRIM(H$7)))*(GJ[Account Code]=(TRIM($D24))),GJ[Credit]))))-((SUM(IF((CkDJ[Ofc Code]=(TRIM(H$7)))*(CkDJ[Account Code]=(TRIM($D24))),CkDJ[Debit])))+(SUM(IF((CsDJ[Ofc Code]=(TRIM(H$7)))*(CsDJ[Account Code]=(TRIM($D24))),CsDJ[Debit])))+(SUM(IF((CRDJ[Ofc Code]=(TRIM(H$7)))*(CRDJ[Account Code]=(TRIM($D24))),CRDJ[Debit])))+(SUM(IF((GJ[Ofc Code]=(TRIM(H$7)))*(GJ[Account Code]=(TRIM($D24))),GJ[Debit]))))</f>
        <v>0</v>
      </c>
      <c r="I24" s="211">
        <f t="array" ref="I24">((SUM(IF((CkDJ[Ofc Code]=(TRIM(I$7)))*(CkDJ[Account Code]=(TRIM($D24))),CkDJ[Credit])))+(SUM(IF((CsDJ[Ofc Code]=(TRIM(I$7)))*(CsDJ[Account Code]=(TRIM($D24))),CsDJ[Credit])))+(SUM(IF((CRDJ[Ofc Code]=(TRIM(I$7)))*(CRDJ[Account Code]=(TRIM($D24))),CRDJ[Credit])))+(SUM(IF((GJ[Ofc Code]=(TRIM(I$7)))*(GJ[Account Code]=(TRIM($D24))),GJ[Credit]))))-((SUM(IF((CkDJ[Ofc Code]=(TRIM(I$7)))*(CkDJ[Account Code]=(TRIM($D24))),CkDJ[Debit])))+(SUM(IF((CsDJ[Ofc Code]=(TRIM(I$7)))*(CsDJ[Account Code]=(TRIM($D24))),CsDJ[Debit])))+(SUM(IF((CRDJ[Ofc Code]=(TRIM(I$7)))*(CRDJ[Account Code]=(TRIM($D24))),CRDJ[Debit])))+(SUM(IF((GJ[Ofc Code]=(TRIM(I$7)))*(GJ[Account Code]=(TRIM($D24))),GJ[Debit]))))</f>
        <v>0</v>
      </c>
      <c r="J24" s="211">
        <f t="shared" si="1"/>
        <v>0</v>
      </c>
      <c r="K24" s="211">
        <f t="array" ref="K24">((SUM(IF((CkDJ[Ofc Code]=(TRIM(K$7)))*(CkDJ[Account Code]=(TRIM($D24))),CkDJ[Credit])))+(SUM(IF((CsDJ[Ofc Code]=(TRIM(K$7)))*(CsDJ[Account Code]=(TRIM($D24))),CsDJ[Credit])))+(SUM(IF((CRDJ[Ofc Code]=(TRIM(K$7)))*(CRDJ[Account Code]=(TRIM($D24))),CRDJ[Credit])))+(SUM(IF((GJ[Ofc Code]=(TRIM(K$7)))*(GJ[Account Code]=(TRIM($D24))),GJ[Credit]))))-((SUM(IF((CkDJ[Ofc Code]=(TRIM(K$7)))*(CkDJ[Account Code]=(TRIM($D24))),CkDJ[Debit])))+(SUM(IF((CsDJ[Ofc Code]=(TRIM(K$7)))*(CsDJ[Account Code]=(TRIM($D24))),CsDJ[Debit])))+(SUM(IF((CRDJ[Ofc Code]=(TRIM(K$7)))*(CRDJ[Account Code]=(TRIM($D24))),CRDJ[Debit])))+(SUM(IF((GJ[Ofc Code]=(TRIM(K$7)))*(GJ[Account Code]=(TRIM($D24))),GJ[Debit]))))</f>
        <v>0</v>
      </c>
      <c r="L24" s="211">
        <f t="array" ref="L24">((SUM(IF((CkDJ[Ofc Code]=(TRIM(L$7)))*(CkDJ[Account Code]=(TRIM($D24))),CkDJ[Credit])))+(SUM(IF((CsDJ[Ofc Code]=(TRIM(L$7)))*(CsDJ[Account Code]=(TRIM($D24))),CsDJ[Credit])))+(SUM(IF((CRDJ[Ofc Code]=(TRIM(L$7)))*(CRDJ[Account Code]=(TRIM($D24))),CRDJ[Credit])))+(SUM(IF((GJ[Ofc Code]=(TRIM(L$7)))*(GJ[Account Code]=(TRIM($D24))),GJ[Credit]))))-((SUM(IF((CkDJ[Ofc Code]=(TRIM(L$7)))*(CkDJ[Account Code]=(TRIM($D24))),CkDJ[Debit])))+(SUM(IF((CsDJ[Ofc Code]=(TRIM(L$7)))*(CsDJ[Account Code]=(TRIM($D24))),CsDJ[Debit])))+(SUM(IF((CRDJ[Ofc Code]=(TRIM(L$7)))*(CRDJ[Account Code]=(TRIM($D24))),CRDJ[Debit])))+(SUM(IF((GJ[Ofc Code]=(TRIM(L$7)))*(GJ[Account Code]=(TRIM($D24))),GJ[Debit]))))</f>
        <v>0</v>
      </c>
      <c r="M24" s="211">
        <f t="array" ref="M24">((SUM(IF((CkDJ[Ofc Code]=(TRIM(M$7)))*(CkDJ[Account Code]=(TRIM($D24))),CkDJ[Credit])))+(SUM(IF((CsDJ[Ofc Code]=(TRIM(M$7)))*(CsDJ[Account Code]=(TRIM($D24))),CsDJ[Credit])))+(SUM(IF((CRDJ[Ofc Code]=(TRIM(M$7)))*(CRDJ[Account Code]=(TRIM($D24))),CRDJ[Credit])))+(SUM(IF((GJ[Ofc Code]=(TRIM(M$7)))*(GJ[Account Code]=(TRIM($D24))),GJ[Credit]))))-((SUM(IF((CkDJ[Ofc Code]=(TRIM(M$7)))*(CkDJ[Account Code]=(TRIM($D24))),CkDJ[Debit])))+(SUM(IF((CsDJ[Ofc Code]=(TRIM(M$7)))*(CsDJ[Account Code]=(TRIM($D24))),CsDJ[Debit])))+(SUM(IF((CRDJ[Ofc Code]=(TRIM(M$7)))*(CRDJ[Account Code]=(TRIM($D24))),CRDJ[Debit])))+(SUM(IF((GJ[Ofc Code]=(TRIM(M$7)))*(GJ[Account Code]=(TRIM($D24))),GJ[Debit]))))</f>
        <v>0</v>
      </c>
      <c r="N24" s="211">
        <f t="array" ref="N24">((SUM(IF((CkDJ[Ofc Code]=(TRIM(N$7)))*(CkDJ[Account Code]=(TRIM($D24))),CkDJ[Credit])))+(SUM(IF((CsDJ[Ofc Code]=(TRIM(N$7)))*(CsDJ[Account Code]=(TRIM($D24))),CsDJ[Credit])))+(SUM(IF((CRDJ[Ofc Code]=(TRIM(N$7)))*(CRDJ[Account Code]=(TRIM($D24))),CRDJ[Credit])))+(SUM(IF((GJ[Ofc Code]=(TRIM(N$7)))*(GJ[Account Code]=(TRIM($D24))),GJ[Credit]))))-((SUM(IF((CkDJ[Ofc Code]=(TRIM(N$7)))*(CkDJ[Account Code]=(TRIM($D24))),CkDJ[Debit])))+(SUM(IF((CsDJ[Ofc Code]=(TRIM(N$7)))*(CsDJ[Account Code]=(TRIM($D24))),CsDJ[Debit])))+(SUM(IF((CRDJ[Ofc Code]=(TRIM(N$7)))*(CRDJ[Account Code]=(TRIM($D24))),CRDJ[Debit])))+(SUM(IF((GJ[Ofc Code]=(TRIM(N$7)))*(GJ[Account Code]=(TRIM($D24))),GJ[Debit]))))</f>
        <v>0</v>
      </c>
      <c r="O24" s="211">
        <f t="shared" si="2"/>
        <v>0</v>
      </c>
      <c r="P24" s="211">
        <f t="array" ref="P24">((SUM(IF((CkDJ[Ofc Code]=(TRIM(P$7)))*(CkDJ[Account Code]=(TRIM($D24))),CkDJ[Credit])))+(SUM(IF((CsDJ[Ofc Code]=(TRIM(P$7)))*(CsDJ[Account Code]=(TRIM($D24))),CsDJ[Credit])))+(SUM(IF((CRDJ[Ofc Code]=(TRIM(P$7)))*(CRDJ[Account Code]=(TRIM($D24))),CRDJ[Credit])))+(SUM(IF((GJ[Ofc Code]=(TRIM(P$7)))*(GJ[Account Code]=(TRIM($D24))),GJ[Credit]))))-((SUM(IF((CkDJ[Ofc Code]=(TRIM(P$7)))*(CkDJ[Account Code]=(TRIM($D24))),CkDJ[Debit])))+(SUM(IF((CsDJ[Ofc Code]=(TRIM(P$7)))*(CsDJ[Account Code]=(TRIM($D24))),CsDJ[Debit])))+(SUM(IF((CRDJ[Ofc Code]=(TRIM(P$7)))*(CRDJ[Account Code]=(TRIM($D24))),CRDJ[Debit])))+(SUM(IF((GJ[Ofc Code]=(TRIM(P$7)))*(GJ[Account Code]=(TRIM($D24))),GJ[Debit]))))</f>
        <v>0</v>
      </c>
      <c r="Q24" s="211">
        <f t="array" ref="Q24">((SUM(IF((CkDJ[Ofc Code]=(TRIM(Q$7)))*(CkDJ[Account Code]=(TRIM($D24))),CkDJ[Credit])))+(SUM(IF((CsDJ[Ofc Code]=(TRIM(Q$7)))*(CsDJ[Account Code]=(TRIM($D24))),CsDJ[Credit])))+(SUM(IF((CRDJ[Ofc Code]=(TRIM(Q$7)))*(CRDJ[Account Code]=(TRIM($D24))),CRDJ[Credit])))+(SUM(IF((GJ[Ofc Code]=(TRIM(Q$7)))*(GJ[Account Code]=(TRIM($D24))),GJ[Credit]))))-((SUM(IF((CkDJ[Ofc Code]=(TRIM(Q$7)))*(CkDJ[Account Code]=(TRIM($D24))),CkDJ[Debit])))+(SUM(IF((CsDJ[Ofc Code]=(TRIM(Q$7)))*(CsDJ[Account Code]=(TRIM($D24))),CsDJ[Debit])))+(SUM(IF((CRDJ[Ofc Code]=(TRIM(Q$7)))*(CRDJ[Account Code]=(TRIM($D24))),CRDJ[Debit])))+(SUM(IF((GJ[Ofc Code]=(TRIM(Q$7)))*(GJ[Account Code]=(TRIM($D24))),GJ[Debit]))))</f>
        <v>0</v>
      </c>
      <c r="R24" s="211">
        <f t="array" ref="R24">((SUM(IF((CkDJ[Ofc Code]=(TRIM(R$7)))*(CkDJ[Account Code]=(TRIM($D24))),CkDJ[Credit])))+(SUM(IF((CsDJ[Ofc Code]=(TRIM(R$7)))*(CsDJ[Account Code]=(TRIM($D24))),CsDJ[Credit])))+(SUM(IF((CRDJ[Ofc Code]=(TRIM(R$7)))*(CRDJ[Account Code]=(TRIM($D24))),CRDJ[Credit])))+(SUM(IF((GJ[Ofc Code]=(TRIM(R$7)))*(GJ[Account Code]=(TRIM($D24))),GJ[Credit]))))-((SUM(IF((CkDJ[Ofc Code]=(TRIM(R$7)))*(CkDJ[Account Code]=(TRIM($D24))),CkDJ[Debit])))+(SUM(IF((CsDJ[Ofc Code]=(TRIM(R$7)))*(CsDJ[Account Code]=(TRIM($D24))),CsDJ[Debit])))+(SUM(IF((CRDJ[Ofc Code]=(TRIM(R$7)))*(CRDJ[Account Code]=(TRIM($D24))),CRDJ[Debit])))+(SUM(IF((GJ[Ofc Code]=(TRIM(R$7)))*(GJ[Account Code]=(TRIM($D24))),GJ[Debit]))))</f>
        <v>0</v>
      </c>
      <c r="S24" s="211">
        <f t="array" ref="S24">((SUM(IF((CkDJ[Ofc Code]=(TRIM(S$7)))*(CkDJ[Account Code]=(TRIM($D24))),CkDJ[Credit])))+(SUM(IF((CsDJ[Ofc Code]=(TRIM(S$7)))*(CsDJ[Account Code]=(TRIM($D24))),CsDJ[Credit])))+(SUM(IF((CRDJ[Ofc Code]=(TRIM(S$7)))*(CRDJ[Account Code]=(TRIM($D24))),CRDJ[Credit])))+(SUM(IF((GJ[Ofc Code]=(TRIM(S$7)))*(GJ[Account Code]=(TRIM($D24))),GJ[Credit]))))-((SUM(IF((CkDJ[Ofc Code]=(TRIM(S$7)))*(CkDJ[Account Code]=(TRIM($D24))),CkDJ[Debit])))+(SUM(IF((CsDJ[Ofc Code]=(TRIM(S$7)))*(CsDJ[Account Code]=(TRIM($D24))),CsDJ[Debit])))+(SUM(IF((CRDJ[Ofc Code]=(TRIM(S$7)))*(CRDJ[Account Code]=(TRIM($D24))),CRDJ[Debit])))+(SUM(IF((GJ[Ofc Code]=(TRIM(S$7)))*(GJ[Account Code]=(TRIM($D24))),GJ[Debit]))))</f>
        <v>0</v>
      </c>
      <c r="T24" s="211">
        <f t="array" ref="T24">((SUM(IF((CkDJ[Ofc Code]=(TRIM(T$7)))*(CkDJ[Account Code]=(TRIM($D24))),CkDJ[Credit])))+(SUM(IF((CsDJ[Ofc Code]=(TRIM(T$7)))*(CsDJ[Account Code]=(TRIM($D24))),CsDJ[Credit])))+(SUM(IF((CRDJ[Ofc Code]=(TRIM(T$7)))*(CRDJ[Account Code]=(TRIM($D24))),CRDJ[Credit])))+(SUM(IF((GJ[Ofc Code]=(TRIM(T$7)))*(GJ[Account Code]=(TRIM($D24))),GJ[Credit]))))-((SUM(IF((CkDJ[Ofc Code]=(TRIM(T$7)))*(CkDJ[Account Code]=(TRIM($D24))),CkDJ[Debit])))+(SUM(IF((CsDJ[Ofc Code]=(TRIM(T$7)))*(CsDJ[Account Code]=(TRIM($D24))),CsDJ[Debit])))+(SUM(IF((CRDJ[Ofc Code]=(TRIM(T$7)))*(CRDJ[Account Code]=(TRIM($D24))),CRDJ[Debit])))+(SUM(IF((GJ[Ofc Code]=(TRIM(T$7)))*(GJ[Account Code]=(TRIM($D24))),GJ[Debit]))))</f>
        <v>0</v>
      </c>
      <c r="U24" s="211">
        <f t="shared" si="3"/>
        <v>0</v>
      </c>
      <c r="V24" s="211">
        <f t="shared" si="4"/>
        <v>0</v>
      </c>
    </row>
    <row r="25" spans="1:22" ht="15">
      <c r="A25" s="212">
        <f t="shared" si="5"/>
        <v>17</v>
      </c>
      <c r="B25" s="194"/>
      <c r="C25" s="194" t="str">
        <f t="shared" si="0"/>
        <v>Income from Hostels/Dormitories and Other Like Facilities</v>
      </c>
      <c r="D25" s="207" t="s">
        <v>150</v>
      </c>
      <c r="E25" s="211">
        <f t="array" ref="E25">((SUM(IF((CkDJ[Ofc Code]=(TRIM(E$7)))*(CkDJ[Account Code]=(TRIM($D25))),CkDJ[Credit])))+(SUM(IF((CsDJ[Ofc Code]=(TRIM(E$7)))*(CsDJ[Account Code]=(TRIM($D25))),CsDJ[Credit])))+(SUM(IF((CRDJ[Ofc Code]=(TRIM(E$7)))*(CRDJ[Account Code]=(TRIM($D25))),CRDJ[Credit])))+(SUM(IF((GJ[Ofc Code]=(TRIM(E$7)))*(GJ[Account Code]=(TRIM($D25))),GJ[Credit]))))-((SUM(IF((CkDJ[Ofc Code]=(TRIM(E$7)))*(CkDJ[Account Code]=(TRIM($D25))),CkDJ[Debit])))+(SUM(IF((CsDJ[Ofc Code]=(TRIM(E$7)))*(CsDJ[Account Code]=(TRIM($D25))),CsDJ[Debit])))+(SUM(IF((CRDJ[Ofc Code]=(TRIM(E$7)))*(CRDJ[Account Code]=(TRIM($D25))),CRDJ[Debit])))+(SUM(IF((GJ[Ofc Code]=(TRIM(E$7)))*(GJ[Account Code]=(TRIM($D25))),GJ[Debit]))))</f>
        <v>0</v>
      </c>
      <c r="F25" s="211">
        <f t="array" ref="F25">((SUM(IF((CkDJ[Ofc Code]=(TRIM(F$7)))*(CkDJ[Account Code]=(TRIM($D25))),CkDJ[Credit])))+(SUM(IF((CsDJ[Ofc Code]=(TRIM(F$7)))*(CsDJ[Account Code]=(TRIM($D25))),CsDJ[Credit])))+(SUM(IF((CRDJ[Ofc Code]=(TRIM(F$7)))*(CRDJ[Account Code]=(TRIM($D25))),CRDJ[Credit])))+(SUM(IF((GJ[Ofc Code]=(TRIM(F$7)))*(GJ[Account Code]=(TRIM($D25))),GJ[Credit]))))-((SUM(IF((CkDJ[Ofc Code]=(TRIM(F$7)))*(CkDJ[Account Code]=(TRIM($D25))),CkDJ[Debit])))+(SUM(IF((CsDJ[Ofc Code]=(TRIM(F$7)))*(CsDJ[Account Code]=(TRIM($D25))),CsDJ[Debit])))+(SUM(IF((CRDJ[Ofc Code]=(TRIM(F$7)))*(CRDJ[Account Code]=(TRIM($D25))),CRDJ[Debit])))+(SUM(IF((GJ[Ofc Code]=(TRIM(F$7)))*(GJ[Account Code]=(TRIM($D25))),GJ[Debit]))))</f>
        <v>0</v>
      </c>
      <c r="G25" s="211">
        <f t="array" ref="G25">((SUM(IF((CkDJ[Ofc Code]=(TRIM(G$7)))*(CkDJ[Account Code]=(TRIM($D25))),CkDJ[Credit])))+(SUM(IF((CsDJ[Ofc Code]=(TRIM(G$7)))*(CsDJ[Account Code]=(TRIM($D25))),CsDJ[Credit])))+(SUM(IF((CRDJ[Ofc Code]=(TRIM(G$7)))*(CRDJ[Account Code]=(TRIM($D25))),CRDJ[Credit])))+(SUM(IF((GJ[Ofc Code]=(TRIM(G$7)))*(GJ[Account Code]=(TRIM($D25))),GJ[Credit]))))-((SUM(IF((CkDJ[Ofc Code]=(TRIM(G$7)))*(CkDJ[Account Code]=(TRIM($D25))),CkDJ[Debit])))+(SUM(IF((CsDJ[Ofc Code]=(TRIM(G$7)))*(CsDJ[Account Code]=(TRIM($D25))),CsDJ[Debit])))+(SUM(IF((CRDJ[Ofc Code]=(TRIM(G$7)))*(CRDJ[Account Code]=(TRIM($D25))),CRDJ[Debit])))+(SUM(IF((GJ[Ofc Code]=(TRIM(G$7)))*(GJ[Account Code]=(TRIM($D25))),GJ[Debit]))))</f>
        <v>0</v>
      </c>
      <c r="H25" s="211">
        <f t="array" ref="H25">((SUM(IF((CkDJ[Ofc Code]=(TRIM(H$7)))*(CkDJ[Account Code]=(TRIM($D25))),CkDJ[Credit])))+(SUM(IF((CsDJ[Ofc Code]=(TRIM(H$7)))*(CsDJ[Account Code]=(TRIM($D25))),CsDJ[Credit])))+(SUM(IF((CRDJ[Ofc Code]=(TRIM(H$7)))*(CRDJ[Account Code]=(TRIM($D25))),CRDJ[Credit])))+(SUM(IF((GJ[Ofc Code]=(TRIM(H$7)))*(GJ[Account Code]=(TRIM($D25))),GJ[Credit]))))-((SUM(IF((CkDJ[Ofc Code]=(TRIM(H$7)))*(CkDJ[Account Code]=(TRIM($D25))),CkDJ[Debit])))+(SUM(IF((CsDJ[Ofc Code]=(TRIM(H$7)))*(CsDJ[Account Code]=(TRIM($D25))),CsDJ[Debit])))+(SUM(IF((CRDJ[Ofc Code]=(TRIM(H$7)))*(CRDJ[Account Code]=(TRIM($D25))),CRDJ[Debit])))+(SUM(IF((GJ[Ofc Code]=(TRIM(H$7)))*(GJ[Account Code]=(TRIM($D25))),GJ[Debit]))))</f>
        <v>0</v>
      </c>
      <c r="I25" s="211">
        <f t="array" ref="I25">((SUM(IF((CkDJ[Ofc Code]=(TRIM(I$7)))*(CkDJ[Account Code]=(TRIM($D25))),CkDJ[Credit])))+(SUM(IF((CsDJ[Ofc Code]=(TRIM(I$7)))*(CsDJ[Account Code]=(TRIM($D25))),CsDJ[Credit])))+(SUM(IF((CRDJ[Ofc Code]=(TRIM(I$7)))*(CRDJ[Account Code]=(TRIM($D25))),CRDJ[Credit])))+(SUM(IF((GJ[Ofc Code]=(TRIM(I$7)))*(GJ[Account Code]=(TRIM($D25))),GJ[Credit]))))-((SUM(IF((CkDJ[Ofc Code]=(TRIM(I$7)))*(CkDJ[Account Code]=(TRIM($D25))),CkDJ[Debit])))+(SUM(IF((CsDJ[Ofc Code]=(TRIM(I$7)))*(CsDJ[Account Code]=(TRIM($D25))),CsDJ[Debit])))+(SUM(IF((CRDJ[Ofc Code]=(TRIM(I$7)))*(CRDJ[Account Code]=(TRIM($D25))),CRDJ[Debit])))+(SUM(IF((GJ[Ofc Code]=(TRIM(I$7)))*(GJ[Account Code]=(TRIM($D25))),GJ[Debit]))))</f>
        <v>0</v>
      </c>
      <c r="J25" s="211">
        <f t="shared" si="1"/>
        <v>0</v>
      </c>
      <c r="K25" s="211">
        <f t="array" ref="K25">((SUM(IF((CkDJ[Ofc Code]=(TRIM(K$7)))*(CkDJ[Account Code]=(TRIM($D25))),CkDJ[Credit])))+(SUM(IF((CsDJ[Ofc Code]=(TRIM(K$7)))*(CsDJ[Account Code]=(TRIM($D25))),CsDJ[Credit])))+(SUM(IF((CRDJ[Ofc Code]=(TRIM(K$7)))*(CRDJ[Account Code]=(TRIM($D25))),CRDJ[Credit])))+(SUM(IF((GJ[Ofc Code]=(TRIM(K$7)))*(GJ[Account Code]=(TRIM($D25))),GJ[Credit]))))-((SUM(IF((CkDJ[Ofc Code]=(TRIM(K$7)))*(CkDJ[Account Code]=(TRIM($D25))),CkDJ[Debit])))+(SUM(IF((CsDJ[Ofc Code]=(TRIM(K$7)))*(CsDJ[Account Code]=(TRIM($D25))),CsDJ[Debit])))+(SUM(IF((CRDJ[Ofc Code]=(TRIM(K$7)))*(CRDJ[Account Code]=(TRIM($D25))),CRDJ[Debit])))+(SUM(IF((GJ[Ofc Code]=(TRIM(K$7)))*(GJ[Account Code]=(TRIM($D25))),GJ[Debit]))))</f>
        <v>0</v>
      </c>
      <c r="L25" s="211">
        <f t="array" ref="L25">((SUM(IF((CkDJ[Ofc Code]=(TRIM(L$7)))*(CkDJ[Account Code]=(TRIM($D25))),CkDJ[Credit])))+(SUM(IF((CsDJ[Ofc Code]=(TRIM(L$7)))*(CsDJ[Account Code]=(TRIM($D25))),CsDJ[Credit])))+(SUM(IF((CRDJ[Ofc Code]=(TRIM(L$7)))*(CRDJ[Account Code]=(TRIM($D25))),CRDJ[Credit])))+(SUM(IF((GJ[Ofc Code]=(TRIM(L$7)))*(GJ[Account Code]=(TRIM($D25))),GJ[Credit]))))-((SUM(IF((CkDJ[Ofc Code]=(TRIM(L$7)))*(CkDJ[Account Code]=(TRIM($D25))),CkDJ[Debit])))+(SUM(IF((CsDJ[Ofc Code]=(TRIM(L$7)))*(CsDJ[Account Code]=(TRIM($D25))),CsDJ[Debit])))+(SUM(IF((CRDJ[Ofc Code]=(TRIM(L$7)))*(CRDJ[Account Code]=(TRIM($D25))),CRDJ[Debit])))+(SUM(IF((GJ[Ofc Code]=(TRIM(L$7)))*(GJ[Account Code]=(TRIM($D25))),GJ[Debit]))))</f>
        <v>0</v>
      </c>
      <c r="M25" s="211">
        <f t="array" ref="M25">((SUM(IF((CkDJ[Ofc Code]=(TRIM(M$7)))*(CkDJ[Account Code]=(TRIM($D25))),CkDJ[Credit])))+(SUM(IF((CsDJ[Ofc Code]=(TRIM(M$7)))*(CsDJ[Account Code]=(TRIM($D25))),CsDJ[Credit])))+(SUM(IF((CRDJ[Ofc Code]=(TRIM(M$7)))*(CRDJ[Account Code]=(TRIM($D25))),CRDJ[Credit])))+(SUM(IF((GJ[Ofc Code]=(TRIM(M$7)))*(GJ[Account Code]=(TRIM($D25))),GJ[Credit]))))-((SUM(IF((CkDJ[Ofc Code]=(TRIM(M$7)))*(CkDJ[Account Code]=(TRIM($D25))),CkDJ[Debit])))+(SUM(IF((CsDJ[Ofc Code]=(TRIM(M$7)))*(CsDJ[Account Code]=(TRIM($D25))),CsDJ[Debit])))+(SUM(IF((CRDJ[Ofc Code]=(TRIM(M$7)))*(CRDJ[Account Code]=(TRIM($D25))),CRDJ[Debit])))+(SUM(IF((GJ[Ofc Code]=(TRIM(M$7)))*(GJ[Account Code]=(TRIM($D25))),GJ[Debit]))))</f>
        <v>0</v>
      </c>
      <c r="N25" s="211">
        <f t="array" ref="N25">((SUM(IF((CkDJ[Ofc Code]=(TRIM(N$7)))*(CkDJ[Account Code]=(TRIM($D25))),CkDJ[Credit])))+(SUM(IF((CsDJ[Ofc Code]=(TRIM(N$7)))*(CsDJ[Account Code]=(TRIM($D25))),CsDJ[Credit])))+(SUM(IF((CRDJ[Ofc Code]=(TRIM(N$7)))*(CRDJ[Account Code]=(TRIM($D25))),CRDJ[Credit])))+(SUM(IF((GJ[Ofc Code]=(TRIM(N$7)))*(GJ[Account Code]=(TRIM($D25))),GJ[Credit]))))-((SUM(IF((CkDJ[Ofc Code]=(TRIM(N$7)))*(CkDJ[Account Code]=(TRIM($D25))),CkDJ[Debit])))+(SUM(IF((CsDJ[Ofc Code]=(TRIM(N$7)))*(CsDJ[Account Code]=(TRIM($D25))),CsDJ[Debit])))+(SUM(IF((CRDJ[Ofc Code]=(TRIM(N$7)))*(CRDJ[Account Code]=(TRIM($D25))),CRDJ[Debit])))+(SUM(IF((GJ[Ofc Code]=(TRIM(N$7)))*(GJ[Account Code]=(TRIM($D25))),GJ[Debit]))))</f>
        <v>0</v>
      </c>
      <c r="O25" s="211">
        <f t="shared" si="2"/>
        <v>0</v>
      </c>
      <c r="P25" s="211">
        <f t="array" ref="P25">((SUM(IF((CkDJ[Ofc Code]=(TRIM(P$7)))*(CkDJ[Account Code]=(TRIM($D25))),CkDJ[Credit])))+(SUM(IF((CsDJ[Ofc Code]=(TRIM(P$7)))*(CsDJ[Account Code]=(TRIM($D25))),CsDJ[Credit])))+(SUM(IF((CRDJ[Ofc Code]=(TRIM(P$7)))*(CRDJ[Account Code]=(TRIM($D25))),CRDJ[Credit])))+(SUM(IF((GJ[Ofc Code]=(TRIM(P$7)))*(GJ[Account Code]=(TRIM($D25))),GJ[Credit]))))-((SUM(IF((CkDJ[Ofc Code]=(TRIM(P$7)))*(CkDJ[Account Code]=(TRIM($D25))),CkDJ[Debit])))+(SUM(IF((CsDJ[Ofc Code]=(TRIM(P$7)))*(CsDJ[Account Code]=(TRIM($D25))),CsDJ[Debit])))+(SUM(IF((CRDJ[Ofc Code]=(TRIM(P$7)))*(CRDJ[Account Code]=(TRIM($D25))),CRDJ[Debit])))+(SUM(IF((GJ[Ofc Code]=(TRIM(P$7)))*(GJ[Account Code]=(TRIM($D25))),GJ[Debit]))))</f>
        <v>0</v>
      </c>
      <c r="Q25" s="211">
        <f t="array" ref="Q25">((SUM(IF((CkDJ[Ofc Code]=(TRIM(Q$7)))*(CkDJ[Account Code]=(TRIM($D25))),CkDJ[Credit])))+(SUM(IF((CsDJ[Ofc Code]=(TRIM(Q$7)))*(CsDJ[Account Code]=(TRIM($D25))),CsDJ[Credit])))+(SUM(IF((CRDJ[Ofc Code]=(TRIM(Q$7)))*(CRDJ[Account Code]=(TRIM($D25))),CRDJ[Credit])))+(SUM(IF((GJ[Ofc Code]=(TRIM(Q$7)))*(GJ[Account Code]=(TRIM($D25))),GJ[Credit]))))-((SUM(IF((CkDJ[Ofc Code]=(TRIM(Q$7)))*(CkDJ[Account Code]=(TRIM($D25))),CkDJ[Debit])))+(SUM(IF((CsDJ[Ofc Code]=(TRIM(Q$7)))*(CsDJ[Account Code]=(TRIM($D25))),CsDJ[Debit])))+(SUM(IF((CRDJ[Ofc Code]=(TRIM(Q$7)))*(CRDJ[Account Code]=(TRIM($D25))),CRDJ[Debit])))+(SUM(IF((GJ[Ofc Code]=(TRIM(Q$7)))*(GJ[Account Code]=(TRIM($D25))),GJ[Debit]))))</f>
        <v>0</v>
      </c>
      <c r="R25" s="211">
        <f t="array" ref="R25">((SUM(IF((CkDJ[Ofc Code]=(TRIM(R$7)))*(CkDJ[Account Code]=(TRIM($D25))),CkDJ[Credit])))+(SUM(IF((CsDJ[Ofc Code]=(TRIM(R$7)))*(CsDJ[Account Code]=(TRIM($D25))),CsDJ[Credit])))+(SUM(IF((CRDJ[Ofc Code]=(TRIM(R$7)))*(CRDJ[Account Code]=(TRIM($D25))),CRDJ[Credit])))+(SUM(IF((GJ[Ofc Code]=(TRIM(R$7)))*(GJ[Account Code]=(TRIM($D25))),GJ[Credit]))))-((SUM(IF((CkDJ[Ofc Code]=(TRIM(R$7)))*(CkDJ[Account Code]=(TRIM($D25))),CkDJ[Debit])))+(SUM(IF((CsDJ[Ofc Code]=(TRIM(R$7)))*(CsDJ[Account Code]=(TRIM($D25))),CsDJ[Debit])))+(SUM(IF((CRDJ[Ofc Code]=(TRIM(R$7)))*(CRDJ[Account Code]=(TRIM($D25))),CRDJ[Debit])))+(SUM(IF((GJ[Ofc Code]=(TRIM(R$7)))*(GJ[Account Code]=(TRIM($D25))),GJ[Debit]))))</f>
        <v>0</v>
      </c>
      <c r="S25" s="211">
        <f t="array" ref="S25">((SUM(IF((CkDJ[Ofc Code]=(TRIM(S$7)))*(CkDJ[Account Code]=(TRIM($D25))),CkDJ[Credit])))+(SUM(IF((CsDJ[Ofc Code]=(TRIM(S$7)))*(CsDJ[Account Code]=(TRIM($D25))),CsDJ[Credit])))+(SUM(IF((CRDJ[Ofc Code]=(TRIM(S$7)))*(CRDJ[Account Code]=(TRIM($D25))),CRDJ[Credit])))+(SUM(IF((GJ[Ofc Code]=(TRIM(S$7)))*(GJ[Account Code]=(TRIM($D25))),GJ[Credit]))))-((SUM(IF((CkDJ[Ofc Code]=(TRIM(S$7)))*(CkDJ[Account Code]=(TRIM($D25))),CkDJ[Debit])))+(SUM(IF((CsDJ[Ofc Code]=(TRIM(S$7)))*(CsDJ[Account Code]=(TRIM($D25))),CsDJ[Debit])))+(SUM(IF((CRDJ[Ofc Code]=(TRIM(S$7)))*(CRDJ[Account Code]=(TRIM($D25))),CRDJ[Debit])))+(SUM(IF((GJ[Ofc Code]=(TRIM(S$7)))*(GJ[Account Code]=(TRIM($D25))),GJ[Debit]))))</f>
        <v>0</v>
      </c>
      <c r="T25" s="211">
        <f t="array" ref="T25">((SUM(IF((CkDJ[Ofc Code]=(TRIM(T$7)))*(CkDJ[Account Code]=(TRIM($D25))),CkDJ[Credit])))+(SUM(IF((CsDJ[Ofc Code]=(TRIM(T$7)))*(CsDJ[Account Code]=(TRIM($D25))),CsDJ[Credit])))+(SUM(IF((CRDJ[Ofc Code]=(TRIM(T$7)))*(CRDJ[Account Code]=(TRIM($D25))),CRDJ[Credit])))+(SUM(IF((GJ[Ofc Code]=(TRIM(T$7)))*(GJ[Account Code]=(TRIM($D25))),GJ[Credit]))))-((SUM(IF((CkDJ[Ofc Code]=(TRIM(T$7)))*(CkDJ[Account Code]=(TRIM($D25))),CkDJ[Debit])))+(SUM(IF((CsDJ[Ofc Code]=(TRIM(T$7)))*(CsDJ[Account Code]=(TRIM($D25))),CsDJ[Debit])))+(SUM(IF((CRDJ[Ofc Code]=(TRIM(T$7)))*(CRDJ[Account Code]=(TRIM($D25))),CRDJ[Debit])))+(SUM(IF((GJ[Ofc Code]=(TRIM(T$7)))*(GJ[Account Code]=(TRIM($D25))),GJ[Debit]))))</f>
        <v>0</v>
      </c>
      <c r="U25" s="211">
        <f t="shared" si="3"/>
        <v>0</v>
      </c>
      <c r="V25" s="211">
        <f t="shared" si="4"/>
        <v>0</v>
      </c>
    </row>
    <row r="26" spans="1:22" ht="15">
      <c r="A26" s="212">
        <f t="shared" si="5"/>
        <v>18</v>
      </c>
      <c r="B26" s="194"/>
      <c r="C26" s="194" t="e">
        <f t="shared" si="0"/>
        <v>#N/A</v>
      </c>
      <c r="D26" s="207">
        <v>662</v>
      </c>
      <c r="E26" s="211">
        <f t="array" ref="E26">((SUM(IF((CkDJ[Ofc Code]=(TRIM(E$7)))*(CkDJ[Account Code]=(TRIM($D26))),CkDJ[Credit])))+(SUM(IF((CsDJ[Ofc Code]=(TRIM(E$7)))*(CsDJ[Account Code]=(TRIM($D26))),CsDJ[Credit])))+(SUM(IF((CRDJ[Ofc Code]=(TRIM(E$7)))*(CRDJ[Account Code]=(TRIM($D26))),CRDJ[Credit])))+(SUM(IF((GJ[Ofc Code]=(TRIM(E$7)))*(GJ[Account Code]=(TRIM($D26))),GJ[Credit]))))-((SUM(IF((CkDJ[Ofc Code]=(TRIM(E$7)))*(CkDJ[Account Code]=(TRIM($D26))),CkDJ[Debit])))+(SUM(IF((CsDJ[Ofc Code]=(TRIM(E$7)))*(CsDJ[Account Code]=(TRIM($D26))),CsDJ[Debit])))+(SUM(IF((CRDJ[Ofc Code]=(TRIM(E$7)))*(CRDJ[Account Code]=(TRIM($D26))),CRDJ[Debit])))+(SUM(IF((GJ[Ofc Code]=(TRIM(E$7)))*(GJ[Account Code]=(TRIM($D26))),GJ[Debit]))))</f>
        <v>0</v>
      </c>
      <c r="F26" s="211">
        <f t="array" ref="F26">((SUM(IF((CkDJ[Ofc Code]=(TRIM(F$7)))*(CkDJ[Account Code]=(TRIM($D26))),CkDJ[Credit])))+(SUM(IF((CsDJ[Ofc Code]=(TRIM(F$7)))*(CsDJ[Account Code]=(TRIM($D26))),CsDJ[Credit])))+(SUM(IF((CRDJ[Ofc Code]=(TRIM(F$7)))*(CRDJ[Account Code]=(TRIM($D26))),CRDJ[Credit])))+(SUM(IF((GJ[Ofc Code]=(TRIM(F$7)))*(GJ[Account Code]=(TRIM($D26))),GJ[Credit]))))-((SUM(IF((CkDJ[Ofc Code]=(TRIM(F$7)))*(CkDJ[Account Code]=(TRIM($D26))),CkDJ[Debit])))+(SUM(IF((CsDJ[Ofc Code]=(TRIM(F$7)))*(CsDJ[Account Code]=(TRIM($D26))),CsDJ[Debit])))+(SUM(IF((CRDJ[Ofc Code]=(TRIM(F$7)))*(CRDJ[Account Code]=(TRIM($D26))),CRDJ[Debit])))+(SUM(IF((GJ[Ofc Code]=(TRIM(F$7)))*(GJ[Account Code]=(TRIM($D26))),GJ[Debit]))))</f>
        <v>0</v>
      </c>
      <c r="G26" s="211">
        <f t="array" ref="G26">((SUM(IF((CkDJ[Ofc Code]=(TRIM(G$7)))*(CkDJ[Account Code]=(TRIM($D26))),CkDJ[Credit])))+(SUM(IF((CsDJ[Ofc Code]=(TRIM(G$7)))*(CsDJ[Account Code]=(TRIM($D26))),CsDJ[Credit])))+(SUM(IF((CRDJ[Ofc Code]=(TRIM(G$7)))*(CRDJ[Account Code]=(TRIM($D26))),CRDJ[Credit])))+(SUM(IF((GJ[Ofc Code]=(TRIM(G$7)))*(GJ[Account Code]=(TRIM($D26))),GJ[Credit]))))-((SUM(IF((CkDJ[Ofc Code]=(TRIM(G$7)))*(CkDJ[Account Code]=(TRIM($D26))),CkDJ[Debit])))+(SUM(IF((CsDJ[Ofc Code]=(TRIM(G$7)))*(CsDJ[Account Code]=(TRIM($D26))),CsDJ[Debit])))+(SUM(IF((CRDJ[Ofc Code]=(TRIM(G$7)))*(CRDJ[Account Code]=(TRIM($D26))),CRDJ[Debit])))+(SUM(IF((GJ[Ofc Code]=(TRIM(G$7)))*(GJ[Account Code]=(TRIM($D26))),GJ[Debit]))))</f>
        <v>0</v>
      </c>
      <c r="H26" s="211">
        <f t="array" ref="H26">((SUM(IF((CkDJ[Ofc Code]=(TRIM(H$7)))*(CkDJ[Account Code]=(TRIM($D26))),CkDJ[Credit])))+(SUM(IF((CsDJ[Ofc Code]=(TRIM(H$7)))*(CsDJ[Account Code]=(TRIM($D26))),CsDJ[Credit])))+(SUM(IF((CRDJ[Ofc Code]=(TRIM(H$7)))*(CRDJ[Account Code]=(TRIM($D26))),CRDJ[Credit])))+(SUM(IF((GJ[Ofc Code]=(TRIM(H$7)))*(GJ[Account Code]=(TRIM($D26))),GJ[Credit]))))-((SUM(IF((CkDJ[Ofc Code]=(TRIM(H$7)))*(CkDJ[Account Code]=(TRIM($D26))),CkDJ[Debit])))+(SUM(IF((CsDJ[Ofc Code]=(TRIM(H$7)))*(CsDJ[Account Code]=(TRIM($D26))),CsDJ[Debit])))+(SUM(IF((CRDJ[Ofc Code]=(TRIM(H$7)))*(CRDJ[Account Code]=(TRIM($D26))),CRDJ[Debit])))+(SUM(IF((GJ[Ofc Code]=(TRIM(H$7)))*(GJ[Account Code]=(TRIM($D26))),GJ[Debit]))))</f>
        <v>0</v>
      </c>
      <c r="I26" s="211">
        <f t="array" ref="I26">((SUM(IF((CkDJ[Ofc Code]=(TRIM(I$7)))*(CkDJ[Account Code]=(TRIM($D26))),CkDJ[Credit])))+(SUM(IF((CsDJ[Ofc Code]=(TRIM(I$7)))*(CsDJ[Account Code]=(TRIM($D26))),CsDJ[Credit])))+(SUM(IF((CRDJ[Ofc Code]=(TRIM(I$7)))*(CRDJ[Account Code]=(TRIM($D26))),CRDJ[Credit])))+(SUM(IF((GJ[Ofc Code]=(TRIM(I$7)))*(GJ[Account Code]=(TRIM($D26))),GJ[Credit]))))-((SUM(IF((CkDJ[Ofc Code]=(TRIM(I$7)))*(CkDJ[Account Code]=(TRIM($D26))),CkDJ[Debit])))+(SUM(IF((CsDJ[Ofc Code]=(TRIM(I$7)))*(CsDJ[Account Code]=(TRIM($D26))),CsDJ[Debit])))+(SUM(IF((CRDJ[Ofc Code]=(TRIM(I$7)))*(CRDJ[Account Code]=(TRIM($D26))),CRDJ[Debit])))+(SUM(IF((GJ[Ofc Code]=(TRIM(I$7)))*(GJ[Account Code]=(TRIM($D26))),GJ[Debit]))))</f>
        <v>0</v>
      </c>
      <c r="J26" s="211">
        <f t="shared" si="1"/>
        <v>0</v>
      </c>
      <c r="K26" s="211">
        <f t="array" ref="K26">((SUM(IF((CkDJ[Ofc Code]=(TRIM(K$7)))*(CkDJ[Account Code]=(TRIM($D26))),CkDJ[Credit])))+(SUM(IF((CsDJ[Ofc Code]=(TRIM(K$7)))*(CsDJ[Account Code]=(TRIM($D26))),CsDJ[Credit])))+(SUM(IF((CRDJ[Ofc Code]=(TRIM(K$7)))*(CRDJ[Account Code]=(TRIM($D26))),CRDJ[Credit])))+(SUM(IF((GJ[Ofc Code]=(TRIM(K$7)))*(GJ[Account Code]=(TRIM($D26))),GJ[Credit]))))-((SUM(IF((CkDJ[Ofc Code]=(TRIM(K$7)))*(CkDJ[Account Code]=(TRIM($D26))),CkDJ[Debit])))+(SUM(IF((CsDJ[Ofc Code]=(TRIM(K$7)))*(CsDJ[Account Code]=(TRIM($D26))),CsDJ[Debit])))+(SUM(IF((CRDJ[Ofc Code]=(TRIM(K$7)))*(CRDJ[Account Code]=(TRIM($D26))),CRDJ[Debit])))+(SUM(IF((GJ[Ofc Code]=(TRIM(K$7)))*(GJ[Account Code]=(TRIM($D26))),GJ[Debit]))))</f>
        <v>0</v>
      </c>
      <c r="L26" s="211">
        <f t="array" ref="L26">((SUM(IF((CkDJ[Ofc Code]=(TRIM(L$7)))*(CkDJ[Account Code]=(TRIM($D26))),CkDJ[Credit])))+(SUM(IF((CsDJ[Ofc Code]=(TRIM(L$7)))*(CsDJ[Account Code]=(TRIM($D26))),CsDJ[Credit])))+(SUM(IF((CRDJ[Ofc Code]=(TRIM(L$7)))*(CRDJ[Account Code]=(TRIM($D26))),CRDJ[Credit])))+(SUM(IF((GJ[Ofc Code]=(TRIM(L$7)))*(GJ[Account Code]=(TRIM($D26))),GJ[Credit]))))-((SUM(IF((CkDJ[Ofc Code]=(TRIM(L$7)))*(CkDJ[Account Code]=(TRIM($D26))),CkDJ[Debit])))+(SUM(IF((CsDJ[Ofc Code]=(TRIM(L$7)))*(CsDJ[Account Code]=(TRIM($D26))),CsDJ[Debit])))+(SUM(IF((CRDJ[Ofc Code]=(TRIM(L$7)))*(CRDJ[Account Code]=(TRIM($D26))),CRDJ[Debit])))+(SUM(IF((GJ[Ofc Code]=(TRIM(L$7)))*(GJ[Account Code]=(TRIM($D26))),GJ[Debit]))))</f>
        <v>0</v>
      </c>
      <c r="M26" s="211">
        <f t="array" ref="M26">((SUM(IF((CkDJ[Ofc Code]=(TRIM(M$7)))*(CkDJ[Account Code]=(TRIM($D26))),CkDJ[Credit])))+(SUM(IF((CsDJ[Ofc Code]=(TRIM(M$7)))*(CsDJ[Account Code]=(TRIM($D26))),CsDJ[Credit])))+(SUM(IF((CRDJ[Ofc Code]=(TRIM(M$7)))*(CRDJ[Account Code]=(TRIM($D26))),CRDJ[Credit])))+(SUM(IF((GJ[Ofc Code]=(TRIM(M$7)))*(GJ[Account Code]=(TRIM($D26))),GJ[Credit]))))-((SUM(IF((CkDJ[Ofc Code]=(TRIM(M$7)))*(CkDJ[Account Code]=(TRIM($D26))),CkDJ[Debit])))+(SUM(IF((CsDJ[Ofc Code]=(TRIM(M$7)))*(CsDJ[Account Code]=(TRIM($D26))),CsDJ[Debit])))+(SUM(IF((CRDJ[Ofc Code]=(TRIM(M$7)))*(CRDJ[Account Code]=(TRIM($D26))),CRDJ[Debit])))+(SUM(IF((GJ[Ofc Code]=(TRIM(M$7)))*(GJ[Account Code]=(TRIM($D26))),GJ[Debit]))))</f>
        <v>0</v>
      </c>
      <c r="N26" s="211">
        <f t="array" ref="N26">((SUM(IF((CkDJ[Ofc Code]=(TRIM(N$7)))*(CkDJ[Account Code]=(TRIM($D26))),CkDJ[Credit])))+(SUM(IF((CsDJ[Ofc Code]=(TRIM(N$7)))*(CsDJ[Account Code]=(TRIM($D26))),CsDJ[Credit])))+(SUM(IF((CRDJ[Ofc Code]=(TRIM(N$7)))*(CRDJ[Account Code]=(TRIM($D26))),CRDJ[Credit])))+(SUM(IF((GJ[Ofc Code]=(TRIM(N$7)))*(GJ[Account Code]=(TRIM($D26))),GJ[Credit]))))-((SUM(IF((CkDJ[Ofc Code]=(TRIM(N$7)))*(CkDJ[Account Code]=(TRIM($D26))),CkDJ[Debit])))+(SUM(IF((CsDJ[Ofc Code]=(TRIM(N$7)))*(CsDJ[Account Code]=(TRIM($D26))),CsDJ[Debit])))+(SUM(IF((CRDJ[Ofc Code]=(TRIM(N$7)))*(CRDJ[Account Code]=(TRIM($D26))),CRDJ[Debit])))+(SUM(IF((GJ[Ofc Code]=(TRIM(N$7)))*(GJ[Account Code]=(TRIM($D26))),GJ[Debit]))))</f>
        <v>0</v>
      </c>
      <c r="O26" s="211">
        <f t="shared" si="2"/>
        <v>0</v>
      </c>
      <c r="P26" s="211">
        <f t="array" ref="P26">((SUM(IF((CkDJ[Ofc Code]=(TRIM(P$7)))*(CkDJ[Account Code]=(TRIM($D26))),CkDJ[Credit])))+(SUM(IF((CsDJ[Ofc Code]=(TRIM(P$7)))*(CsDJ[Account Code]=(TRIM($D26))),CsDJ[Credit])))+(SUM(IF((CRDJ[Ofc Code]=(TRIM(P$7)))*(CRDJ[Account Code]=(TRIM($D26))),CRDJ[Credit])))+(SUM(IF((GJ[Ofc Code]=(TRIM(P$7)))*(GJ[Account Code]=(TRIM($D26))),GJ[Credit]))))-((SUM(IF((CkDJ[Ofc Code]=(TRIM(P$7)))*(CkDJ[Account Code]=(TRIM($D26))),CkDJ[Debit])))+(SUM(IF((CsDJ[Ofc Code]=(TRIM(P$7)))*(CsDJ[Account Code]=(TRIM($D26))),CsDJ[Debit])))+(SUM(IF((CRDJ[Ofc Code]=(TRIM(P$7)))*(CRDJ[Account Code]=(TRIM($D26))),CRDJ[Debit])))+(SUM(IF((GJ[Ofc Code]=(TRIM(P$7)))*(GJ[Account Code]=(TRIM($D26))),GJ[Debit]))))</f>
        <v>0</v>
      </c>
      <c r="Q26" s="211">
        <f t="array" ref="Q26">((SUM(IF((CkDJ[Ofc Code]=(TRIM(Q$7)))*(CkDJ[Account Code]=(TRIM($D26))),CkDJ[Credit])))+(SUM(IF((CsDJ[Ofc Code]=(TRIM(Q$7)))*(CsDJ[Account Code]=(TRIM($D26))),CsDJ[Credit])))+(SUM(IF((CRDJ[Ofc Code]=(TRIM(Q$7)))*(CRDJ[Account Code]=(TRIM($D26))),CRDJ[Credit])))+(SUM(IF((GJ[Ofc Code]=(TRIM(Q$7)))*(GJ[Account Code]=(TRIM($D26))),GJ[Credit]))))-((SUM(IF((CkDJ[Ofc Code]=(TRIM(Q$7)))*(CkDJ[Account Code]=(TRIM($D26))),CkDJ[Debit])))+(SUM(IF((CsDJ[Ofc Code]=(TRIM(Q$7)))*(CsDJ[Account Code]=(TRIM($D26))),CsDJ[Debit])))+(SUM(IF((CRDJ[Ofc Code]=(TRIM(Q$7)))*(CRDJ[Account Code]=(TRIM($D26))),CRDJ[Debit])))+(SUM(IF((GJ[Ofc Code]=(TRIM(Q$7)))*(GJ[Account Code]=(TRIM($D26))),GJ[Debit]))))</f>
        <v>0</v>
      </c>
      <c r="R26" s="211">
        <f t="array" ref="R26">((SUM(IF((CkDJ[Ofc Code]=(TRIM(R$7)))*(CkDJ[Account Code]=(TRIM($D26))),CkDJ[Credit])))+(SUM(IF((CsDJ[Ofc Code]=(TRIM(R$7)))*(CsDJ[Account Code]=(TRIM($D26))),CsDJ[Credit])))+(SUM(IF((CRDJ[Ofc Code]=(TRIM(R$7)))*(CRDJ[Account Code]=(TRIM($D26))),CRDJ[Credit])))+(SUM(IF((GJ[Ofc Code]=(TRIM(R$7)))*(GJ[Account Code]=(TRIM($D26))),GJ[Credit]))))-((SUM(IF((CkDJ[Ofc Code]=(TRIM(R$7)))*(CkDJ[Account Code]=(TRIM($D26))),CkDJ[Debit])))+(SUM(IF((CsDJ[Ofc Code]=(TRIM(R$7)))*(CsDJ[Account Code]=(TRIM($D26))),CsDJ[Debit])))+(SUM(IF((CRDJ[Ofc Code]=(TRIM(R$7)))*(CRDJ[Account Code]=(TRIM($D26))),CRDJ[Debit])))+(SUM(IF((GJ[Ofc Code]=(TRIM(R$7)))*(GJ[Account Code]=(TRIM($D26))),GJ[Debit]))))</f>
        <v>0</v>
      </c>
      <c r="S26" s="211">
        <f t="array" ref="S26">((SUM(IF((CkDJ[Ofc Code]=(TRIM(S$7)))*(CkDJ[Account Code]=(TRIM($D26))),CkDJ[Credit])))+(SUM(IF((CsDJ[Ofc Code]=(TRIM(S$7)))*(CsDJ[Account Code]=(TRIM($D26))),CsDJ[Credit])))+(SUM(IF((CRDJ[Ofc Code]=(TRIM(S$7)))*(CRDJ[Account Code]=(TRIM($D26))),CRDJ[Credit])))+(SUM(IF((GJ[Ofc Code]=(TRIM(S$7)))*(GJ[Account Code]=(TRIM($D26))),GJ[Credit]))))-((SUM(IF((CkDJ[Ofc Code]=(TRIM(S$7)))*(CkDJ[Account Code]=(TRIM($D26))),CkDJ[Debit])))+(SUM(IF((CsDJ[Ofc Code]=(TRIM(S$7)))*(CsDJ[Account Code]=(TRIM($D26))),CsDJ[Debit])))+(SUM(IF((CRDJ[Ofc Code]=(TRIM(S$7)))*(CRDJ[Account Code]=(TRIM($D26))),CRDJ[Debit])))+(SUM(IF((GJ[Ofc Code]=(TRIM(S$7)))*(GJ[Account Code]=(TRIM($D26))),GJ[Debit]))))</f>
        <v>0</v>
      </c>
      <c r="T26" s="211">
        <f t="array" ref="T26">((SUM(IF((CkDJ[Ofc Code]=(TRIM(T$7)))*(CkDJ[Account Code]=(TRIM($D26))),CkDJ[Credit])))+(SUM(IF((CsDJ[Ofc Code]=(TRIM(T$7)))*(CsDJ[Account Code]=(TRIM($D26))),CsDJ[Credit])))+(SUM(IF((CRDJ[Ofc Code]=(TRIM(T$7)))*(CRDJ[Account Code]=(TRIM($D26))),CRDJ[Credit])))+(SUM(IF((GJ[Ofc Code]=(TRIM(T$7)))*(GJ[Account Code]=(TRIM($D26))),GJ[Credit]))))-((SUM(IF((CkDJ[Ofc Code]=(TRIM(T$7)))*(CkDJ[Account Code]=(TRIM($D26))),CkDJ[Debit])))+(SUM(IF((CsDJ[Ofc Code]=(TRIM(T$7)))*(CsDJ[Account Code]=(TRIM($D26))),CsDJ[Debit])))+(SUM(IF((CRDJ[Ofc Code]=(TRIM(T$7)))*(CRDJ[Account Code]=(TRIM($D26))),CRDJ[Debit])))+(SUM(IF((GJ[Ofc Code]=(TRIM(T$7)))*(GJ[Account Code]=(TRIM($D26))),GJ[Debit]))))</f>
        <v>0</v>
      </c>
      <c r="U26" s="211">
        <f t="shared" si="3"/>
        <v>0</v>
      </c>
      <c r="V26" s="211">
        <f t="shared" si="4"/>
        <v>0</v>
      </c>
    </row>
    <row r="27" spans="1:22" ht="15">
      <c r="A27" s="212">
        <f t="shared" si="5"/>
        <v>19</v>
      </c>
      <c r="B27" s="194"/>
      <c r="C27" s="194" t="str">
        <f t="shared" si="0"/>
        <v>Interest Income</v>
      </c>
      <c r="D27" s="207" t="s">
        <v>154</v>
      </c>
      <c r="E27" s="211">
        <f t="array" ref="E27">((SUM(IF((CkDJ[Ofc Code]=(TRIM(E$7)))*(CkDJ[Account Code]=(TRIM($D27))),CkDJ[Credit])))+(SUM(IF((CsDJ[Ofc Code]=(TRIM(E$7)))*(CsDJ[Account Code]=(TRIM($D27))),CsDJ[Credit])))+(SUM(IF((CRDJ[Ofc Code]=(TRIM(E$7)))*(CRDJ[Account Code]=(TRIM($D27))),CRDJ[Credit])))+(SUM(IF((GJ[Ofc Code]=(TRIM(E$7)))*(GJ[Account Code]=(TRIM($D27))),GJ[Credit]))))-((SUM(IF((CkDJ[Ofc Code]=(TRIM(E$7)))*(CkDJ[Account Code]=(TRIM($D27))),CkDJ[Debit])))+(SUM(IF((CsDJ[Ofc Code]=(TRIM(E$7)))*(CsDJ[Account Code]=(TRIM($D27))),CsDJ[Debit])))+(SUM(IF((CRDJ[Ofc Code]=(TRIM(E$7)))*(CRDJ[Account Code]=(TRIM($D27))),CRDJ[Debit])))+(SUM(IF((GJ[Ofc Code]=(TRIM(E$7)))*(GJ[Account Code]=(TRIM($D27))),GJ[Debit]))))</f>
        <v>0</v>
      </c>
      <c r="F27" s="211">
        <f t="array" ref="F27">((SUM(IF((CkDJ[Ofc Code]=(TRIM(F$7)))*(CkDJ[Account Code]=(TRIM($D27))),CkDJ[Credit])))+(SUM(IF((CsDJ[Ofc Code]=(TRIM(F$7)))*(CsDJ[Account Code]=(TRIM($D27))),CsDJ[Credit])))+(SUM(IF((CRDJ[Ofc Code]=(TRIM(F$7)))*(CRDJ[Account Code]=(TRIM($D27))),CRDJ[Credit])))+(SUM(IF((GJ[Ofc Code]=(TRIM(F$7)))*(GJ[Account Code]=(TRIM($D27))),GJ[Credit]))))-((SUM(IF((CkDJ[Ofc Code]=(TRIM(F$7)))*(CkDJ[Account Code]=(TRIM($D27))),CkDJ[Debit])))+(SUM(IF((CsDJ[Ofc Code]=(TRIM(F$7)))*(CsDJ[Account Code]=(TRIM($D27))),CsDJ[Debit])))+(SUM(IF((CRDJ[Ofc Code]=(TRIM(F$7)))*(CRDJ[Account Code]=(TRIM($D27))),CRDJ[Debit])))+(SUM(IF((GJ[Ofc Code]=(TRIM(F$7)))*(GJ[Account Code]=(TRIM($D27))),GJ[Debit]))))</f>
        <v>0</v>
      </c>
      <c r="G27" s="211">
        <f t="array" ref="G27">((SUM(IF((CkDJ[Ofc Code]=(TRIM(G$7)))*(CkDJ[Account Code]=(TRIM($D27))),CkDJ[Credit])))+(SUM(IF((CsDJ[Ofc Code]=(TRIM(G$7)))*(CsDJ[Account Code]=(TRIM($D27))),CsDJ[Credit])))+(SUM(IF((CRDJ[Ofc Code]=(TRIM(G$7)))*(CRDJ[Account Code]=(TRIM($D27))),CRDJ[Credit])))+(SUM(IF((GJ[Ofc Code]=(TRIM(G$7)))*(GJ[Account Code]=(TRIM($D27))),GJ[Credit]))))-((SUM(IF((CkDJ[Ofc Code]=(TRIM(G$7)))*(CkDJ[Account Code]=(TRIM($D27))),CkDJ[Debit])))+(SUM(IF((CsDJ[Ofc Code]=(TRIM(G$7)))*(CsDJ[Account Code]=(TRIM($D27))),CsDJ[Debit])))+(SUM(IF((CRDJ[Ofc Code]=(TRIM(G$7)))*(CRDJ[Account Code]=(TRIM($D27))),CRDJ[Debit])))+(SUM(IF((GJ[Ofc Code]=(TRIM(G$7)))*(GJ[Account Code]=(TRIM($D27))),GJ[Debit]))))</f>
        <v>0</v>
      </c>
      <c r="H27" s="211">
        <f t="array" ref="H27">((SUM(IF((CkDJ[Ofc Code]=(TRIM(H$7)))*(CkDJ[Account Code]=(TRIM($D27))),CkDJ[Credit])))+(SUM(IF((CsDJ[Ofc Code]=(TRIM(H$7)))*(CsDJ[Account Code]=(TRIM($D27))),CsDJ[Credit])))+(SUM(IF((CRDJ[Ofc Code]=(TRIM(H$7)))*(CRDJ[Account Code]=(TRIM($D27))),CRDJ[Credit])))+(SUM(IF((GJ[Ofc Code]=(TRIM(H$7)))*(GJ[Account Code]=(TRIM($D27))),GJ[Credit]))))-((SUM(IF((CkDJ[Ofc Code]=(TRIM(H$7)))*(CkDJ[Account Code]=(TRIM($D27))),CkDJ[Debit])))+(SUM(IF((CsDJ[Ofc Code]=(TRIM(H$7)))*(CsDJ[Account Code]=(TRIM($D27))),CsDJ[Debit])))+(SUM(IF((CRDJ[Ofc Code]=(TRIM(H$7)))*(CRDJ[Account Code]=(TRIM($D27))),CRDJ[Debit])))+(SUM(IF((GJ[Ofc Code]=(TRIM(H$7)))*(GJ[Account Code]=(TRIM($D27))),GJ[Debit]))))</f>
        <v>0</v>
      </c>
      <c r="I27" s="211">
        <f t="array" ref="I27">((SUM(IF((CkDJ[Ofc Code]=(TRIM(I$7)))*(CkDJ[Account Code]=(TRIM($D27))),CkDJ[Credit])))+(SUM(IF((CsDJ[Ofc Code]=(TRIM(I$7)))*(CsDJ[Account Code]=(TRIM($D27))),CsDJ[Credit])))+(SUM(IF((CRDJ[Ofc Code]=(TRIM(I$7)))*(CRDJ[Account Code]=(TRIM($D27))),CRDJ[Credit])))+(SUM(IF((GJ[Ofc Code]=(TRIM(I$7)))*(GJ[Account Code]=(TRIM($D27))),GJ[Credit]))))-((SUM(IF((CkDJ[Ofc Code]=(TRIM(I$7)))*(CkDJ[Account Code]=(TRIM($D27))),CkDJ[Debit])))+(SUM(IF((CsDJ[Ofc Code]=(TRIM(I$7)))*(CsDJ[Account Code]=(TRIM($D27))),CsDJ[Debit])))+(SUM(IF((CRDJ[Ofc Code]=(TRIM(I$7)))*(CRDJ[Account Code]=(TRIM($D27))),CRDJ[Debit])))+(SUM(IF((GJ[Ofc Code]=(TRIM(I$7)))*(GJ[Account Code]=(TRIM($D27))),GJ[Debit]))))</f>
        <v>0</v>
      </c>
      <c r="J27" s="211">
        <f t="shared" si="1"/>
        <v>0</v>
      </c>
      <c r="K27" s="211">
        <f t="array" ref="K27">((SUM(IF((CkDJ[Ofc Code]=(TRIM(K$7)))*(CkDJ[Account Code]=(TRIM($D27))),CkDJ[Credit])))+(SUM(IF((CsDJ[Ofc Code]=(TRIM(K$7)))*(CsDJ[Account Code]=(TRIM($D27))),CsDJ[Credit])))+(SUM(IF((CRDJ[Ofc Code]=(TRIM(K$7)))*(CRDJ[Account Code]=(TRIM($D27))),CRDJ[Credit])))+(SUM(IF((GJ[Ofc Code]=(TRIM(K$7)))*(GJ[Account Code]=(TRIM($D27))),GJ[Credit]))))-((SUM(IF((CkDJ[Ofc Code]=(TRIM(K$7)))*(CkDJ[Account Code]=(TRIM($D27))),CkDJ[Debit])))+(SUM(IF((CsDJ[Ofc Code]=(TRIM(K$7)))*(CsDJ[Account Code]=(TRIM($D27))),CsDJ[Debit])))+(SUM(IF((CRDJ[Ofc Code]=(TRIM(K$7)))*(CRDJ[Account Code]=(TRIM($D27))),CRDJ[Debit])))+(SUM(IF((GJ[Ofc Code]=(TRIM(K$7)))*(GJ[Account Code]=(TRIM($D27))),GJ[Debit]))))</f>
        <v>0</v>
      </c>
      <c r="L27" s="211">
        <f t="array" ref="L27">((SUM(IF((CkDJ[Ofc Code]=(TRIM(L$7)))*(CkDJ[Account Code]=(TRIM($D27))),CkDJ[Credit])))+(SUM(IF((CsDJ[Ofc Code]=(TRIM(L$7)))*(CsDJ[Account Code]=(TRIM($D27))),CsDJ[Credit])))+(SUM(IF((CRDJ[Ofc Code]=(TRIM(L$7)))*(CRDJ[Account Code]=(TRIM($D27))),CRDJ[Credit])))+(SUM(IF((GJ[Ofc Code]=(TRIM(L$7)))*(GJ[Account Code]=(TRIM($D27))),GJ[Credit]))))-((SUM(IF((CkDJ[Ofc Code]=(TRIM(L$7)))*(CkDJ[Account Code]=(TRIM($D27))),CkDJ[Debit])))+(SUM(IF((CsDJ[Ofc Code]=(TRIM(L$7)))*(CsDJ[Account Code]=(TRIM($D27))),CsDJ[Debit])))+(SUM(IF((CRDJ[Ofc Code]=(TRIM(L$7)))*(CRDJ[Account Code]=(TRIM($D27))),CRDJ[Debit])))+(SUM(IF((GJ[Ofc Code]=(TRIM(L$7)))*(GJ[Account Code]=(TRIM($D27))),GJ[Debit]))))</f>
        <v>0</v>
      </c>
      <c r="M27" s="211">
        <f t="array" ref="M27">((SUM(IF((CkDJ[Ofc Code]=(TRIM(M$7)))*(CkDJ[Account Code]=(TRIM($D27))),CkDJ[Credit])))+(SUM(IF((CsDJ[Ofc Code]=(TRIM(M$7)))*(CsDJ[Account Code]=(TRIM($D27))),CsDJ[Credit])))+(SUM(IF((CRDJ[Ofc Code]=(TRIM(M$7)))*(CRDJ[Account Code]=(TRIM($D27))),CRDJ[Credit])))+(SUM(IF((GJ[Ofc Code]=(TRIM(M$7)))*(GJ[Account Code]=(TRIM($D27))),GJ[Credit]))))-((SUM(IF((CkDJ[Ofc Code]=(TRIM(M$7)))*(CkDJ[Account Code]=(TRIM($D27))),CkDJ[Debit])))+(SUM(IF((CsDJ[Ofc Code]=(TRIM(M$7)))*(CsDJ[Account Code]=(TRIM($D27))),CsDJ[Debit])))+(SUM(IF((CRDJ[Ofc Code]=(TRIM(M$7)))*(CRDJ[Account Code]=(TRIM($D27))),CRDJ[Debit])))+(SUM(IF((GJ[Ofc Code]=(TRIM(M$7)))*(GJ[Account Code]=(TRIM($D27))),GJ[Debit]))))</f>
        <v>0</v>
      </c>
      <c r="N27" s="211">
        <f t="array" ref="N27">((SUM(IF((CkDJ[Ofc Code]=(TRIM(N$7)))*(CkDJ[Account Code]=(TRIM($D27))),CkDJ[Credit])))+(SUM(IF((CsDJ[Ofc Code]=(TRIM(N$7)))*(CsDJ[Account Code]=(TRIM($D27))),CsDJ[Credit])))+(SUM(IF((CRDJ[Ofc Code]=(TRIM(N$7)))*(CRDJ[Account Code]=(TRIM($D27))),CRDJ[Credit])))+(SUM(IF((GJ[Ofc Code]=(TRIM(N$7)))*(GJ[Account Code]=(TRIM($D27))),GJ[Credit]))))-((SUM(IF((CkDJ[Ofc Code]=(TRIM(N$7)))*(CkDJ[Account Code]=(TRIM($D27))),CkDJ[Debit])))+(SUM(IF((CsDJ[Ofc Code]=(TRIM(N$7)))*(CsDJ[Account Code]=(TRIM($D27))),CsDJ[Debit])))+(SUM(IF((CRDJ[Ofc Code]=(TRIM(N$7)))*(CRDJ[Account Code]=(TRIM($D27))),CRDJ[Debit])))+(SUM(IF((GJ[Ofc Code]=(TRIM(N$7)))*(GJ[Account Code]=(TRIM($D27))),GJ[Debit]))))</f>
        <v>0</v>
      </c>
      <c r="O27" s="211">
        <f t="shared" si="2"/>
        <v>0</v>
      </c>
      <c r="P27" s="211">
        <f t="array" ref="P27">((SUM(IF((CkDJ[Ofc Code]=(TRIM(P$7)))*(CkDJ[Account Code]=(TRIM($D27))),CkDJ[Credit])))+(SUM(IF((CsDJ[Ofc Code]=(TRIM(P$7)))*(CsDJ[Account Code]=(TRIM($D27))),CsDJ[Credit])))+(SUM(IF((CRDJ[Ofc Code]=(TRIM(P$7)))*(CRDJ[Account Code]=(TRIM($D27))),CRDJ[Credit])))+(SUM(IF((GJ[Ofc Code]=(TRIM(P$7)))*(GJ[Account Code]=(TRIM($D27))),GJ[Credit]))))-((SUM(IF((CkDJ[Ofc Code]=(TRIM(P$7)))*(CkDJ[Account Code]=(TRIM($D27))),CkDJ[Debit])))+(SUM(IF((CsDJ[Ofc Code]=(TRIM(P$7)))*(CsDJ[Account Code]=(TRIM($D27))),CsDJ[Debit])))+(SUM(IF((CRDJ[Ofc Code]=(TRIM(P$7)))*(CRDJ[Account Code]=(TRIM($D27))),CRDJ[Debit])))+(SUM(IF((GJ[Ofc Code]=(TRIM(P$7)))*(GJ[Account Code]=(TRIM($D27))),GJ[Debit]))))</f>
        <v>0</v>
      </c>
      <c r="Q27" s="211">
        <f t="array" ref="Q27">((SUM(IF((CkDJ[Ofc Code]=(TRIM(Q$7)))*(CkDJ[Account Code]=(TRIM($D27))),CkDJ[Credit])))+(SUM(IF((CsDJ[Ofc Code]=(TRIM(Q$7)))*(CsDJ[Account Code]=(TRIM($D27))),CsDJ[Credit])))+(SUM(IF((CRDJ[Ofc Code]=(TRIM(Q$7)))*(CRDJ[Account Code]=(TRIM($D27))),CRDJ[Credit])))+(SUM(IF((GJ[Ofc Code]=(TRIM(Q$7)))*(GJ[Account Code]=(TRIM($D27))),GJ[Credit]))))-((SUM(IF((CkDJ[Ofc Code]=(TRIM(Q$7)))*(CkDJ[Account Code]=(TRIM($D27))),CkDJ[Debit])))+(SUM(IF((CsDJ[Ofc Code]=(TRIM(Q$7)))*(CsDJ[Account Code]=(TRIM($D27))),CsDJ[Debit])))+(SUM(IF((CRDJ[Ofc Code]=(TRIM(Q$7)))*(CRDJ[Account Code]=(TRIM($D27))),CRDJ[Debit])))+(SUM(IF((GJ[Ofc Code]=(TRIM(Q$7)))*(GJ[Account Code]=(TRIM($D27))),GJ[Debit]))))</f>
        <v>0</v>
      </c>
      <c r="R27" s="211">
        <f t="array" ref="R27">((SUM(IF((CkDJ[Ofc Code]=(TRIM(R$7)))*(CkDJ[Account Code]=(TRIM($D27))),CkDJ[Credit])))+(SUM(IF((CsDJ[Ofc Code]=(TRIM(R$7)))*(CsDJ[Account Code]=(TRIM($D27))),CsDJ[Credit])))+(SUM(IF((CRDJ[Ofc Code]=(TRIM(R$7)))*(CRDJ[Account Code]=(TRIM($D27))),CRDJ[Credit])))+(SUM(IF((GJ[Ofc Code]=(TRIM(R$7)))*(GJ[Account Code]=(TRIM($D27))),GJ[Credit]))))-((SUM(IF((CkDJ[Ofc Code]=(TRIM(R$7)))*(CkDJ[Account Code]=(TRIM($D27))),CkDJ[Debit])))+(SUM(IF((CsDJ[Ofc Code]=(TRIM(R$7)))*(CsDJ[Account Code]=(TRIM($D27))),CsDJ[Debit])))+(SUM(IF((CRDJ[Ofc Code]=(TRIM(R$7)))*(CRDJ[Account Code]=(TRIM($D27))),CRDJ[Debit])))+(SUM(IF((GJ[Ofc Code]=(TRIM(R$7)))*(GJ[Account Code]=(TRIM($D27))),GJ[Debit]))))</f>
        <v>0</v>
      </c>
      <c r="S27" s="211">
        <f t="array" ref="S27">((SUM(IF((CkDJ[Ofc Code]=(TRIM(S$7)))*(CkDJ[Account Code]=(TRIM($D27))),CkDJ[Credit])))+(SUM(IF((CsDJ[Ofc Code]=(TRIM(S$7)))*(CsDJ[Account Code]=(TRIM($D27))),CsDJ[Credit])))+(SUM(IF((CRDJ[Ofc Code]=(TRIM(S$7)))*(CRDJ[Account Code]=(TRIM($D27))),CRDJ[Credit])))+(SUM(IF((GJ[Ofc Code]=(TRIM(S$7)))*(GJ[Account Code]=(TRIM($D27))),GJ[Credit]))))-((SUM(IF((CkDJ[Ofc Code]=(TRIM(S$7)))*(CkDJ[Account Code]=(TRIM($D27))),CkDJ[Debit])))+(SUM(IF((CsDJ[Ofc Code]=(TRIM(S$7)))*(CsDJ[Account Code]=(TRIM($D27))),CsDJ[Debit])))+(SUM(IF((CRDJ[Ofc Code]=(TRIM(S$7)))*(CRDJ[Account Code]=(TRIM($D27))),CRDJ[Debit])))+(SUM(IF((GJ[Ofc Code]=(TRIM(S$7)))*(GJ[Account Code]=(TRIM($D27))),GJ[Debit]))))</f>
        <v>0</v>
      </c>
      <c r="T27" s="211">
        <f t="array" ref="T27">((SUM(IF((CkDJ[Ofc Code]=(TRIM(T$7)))*(CkDJ[Account Code]=(TRIM($D27))),CkDJ[Credit])))+(SUM(IF((CsDJ[Ofc Code]=(TRIM(T$7)))*(CsDJ[Account Code]=(TRIM($D27))),CsDJ[Credit])))+(SUM(IF((CRDJ[Ofc Code]=(TRIM(T$7)))*(CRDJ[Account Code]=(TRIM($D27))),CRDJ[Credit])))+(SUM(IF((GJ[Ofc Code]=(TRIM(T$7)))*(GJ[Account Code]=(TRIM($D27))),GJ[Credit]))))-((SUM(IF((CkDJ[Ofc Code]=(TRIM(T$7)))*(CkDJ[Account Code]=(TRIM($D27))),CkDJ[Debit])))+(SUM(IF((CsDJ[Ofc Code]=(TRIM(T$7)))*(CsDJ[Account Code]=(TRIM($D27))),CsDJ[Debit])))+(SUM(IF((CRDJ[Ofc Code]=(TRIM(T$7)))*(CRDJ[Account Code]=(TRIM($D27))),CRDJ[Debit])))+(SUM(IF((GJ[Ofc Code]=(TRIM(T$7)))*(GJ[Account Code]=(TRIM($D27))),GJ[Debit]))))</f>
        <v>0</v>
      </c>
      <c r="U27" s="211">
        <f t="shared" si="3"/>
        <v>0</v>
      </c>
      <c r="V27" s="211">
        <f t="shared" si="4"/>
        <v>0</v>
      </c>
    </row>
    <row r="28" spans="1:22" ht="15">
      <c r="A28" s="212">
        <f t="shared" si="5"/>
        <v>20</v>
      </c>
      <c r="B28" s="194"/>
      <c r="C28" s="194" t="str">
        <f t="shared" si="0"/>
        <v>Miscellaneous Income (Bid Documents)</v>
      </c>
      <c r="D28" s="207" t="s">
        <v>155</v>
      </c>
      <c r="E28" s="211">
        <f t="array" ref="E28">((SUM(IF((CkDJ[Ofc Code]=(TRIM(E$7)))*(CkDJ[Account Code]=(TRIM($D28))),CkDJ[Credit])))+(SUM(IF((CsDJ[Ofc Code]=(TRIM(E$7)))*(CsDJ[Account Code]=(TRIM($D28))),CsDJ[Credit])))+(SUM(IF((CRDJ[Ofc Code]=(TRIM(E$7)))*(CRDJ[Account Code]=(TRIM($D28))),CRDJ[Credit])))+(SUM(IF((GJ[Ofc Code]=(TRIM(E$7)))*(GJ[Account Code]=(TRIM($D28))),GJ[Credit]))))-((SUM(IF((CkDJ[Ofc Code]=(TRIM(E$7)))*(CkDJ[Account Code]=(TRIM($D28))),CkDJ[Debit])))+(SUM(IF((CsDJ[Ofc Code]=(TRIM(E$7)))*(CsDJ[Account Code]=(TRIM($D28))),CsDJ[Debit])))+(SUM(IF((CRDJ[Ofc Code]=(TRIM(E$7)))*(CRDJ[Account Code]=(TRIM($D28))),CRDJ[Debit])))+(SUM(IF((GJ[Ofc Code]=(TRIM(E$7)))*(GJ[Account Code]=(TRIM($D28))),GJ[Debit]))))</f>
        <v>0</v>
      </c>
      <c r="F28" s="211">
        <f t="array" ref="F28">((SUM(IF((CkDJ[Ofc Code]=(TRIM(F$7)))*(CkDJ[Account Code]=(TRIM($D28))),CkDJ[Credit])))+(SUM(IF((CsDJ[Ofc Code]=(TRIM(F$7)))*(CsDJ[Account Code]=(TRIM($D28))),CsDJ[Credit])))+(SUM(IF((CRDJ[Ofc Code]=(TRIM(F$7)))*(CRDJ[Account Code]=(TRIM($D28))),CRDJ[Credit])))+(SUM(IF((GJ[Ofc Code]=(TRIM(F$7)))*(GJ[Account Code]=(TRIM($D28))),GJ[Credit]))))-((SUM(IF((CkDJ[Ofc Code]=(TRIM(F$7)))*(CkDJ[Account Code]=(TRIM($D28))),CkDJ[Debit])))+(SUM(IF((CsDJ[Ofc Code]=(TRIM(F$7)))*(CsDJ[Account Code]=(TRIM($D28))),CsDJ[Debit])))+(SUM(IF((CRDJ[Ofc Code]=(TRIM(F$7)))*(CRDJ[Account Code]=(TRIM($D28))),CRDJ[Debit])))+(SUM(IF((GJ[Ofc Code]=(TRIM(F$7)))*(GJ[Account Code]=(TRIM($D28))),GJ[Debit]))))</f>
        <v>0</v>
      </c>
      <c r="G28" s="211">
        <f t="array" ref="G28">((SUM(IF((CkDJ[Ofc Code]=(TRIM(G$7)))*(CkDJ[Account Code]=(TRIM($D28))),CkDJ[Credit])))+(SUM(IF((CsDJ[Ofc Code]=(TRIM(G$7)))*(CsDJ[Account Code]=(TRIM($D28))),CsDJ[Credit])))+(SUM(IF((CRDJ[Ofc Code]=(TRIM(G$7)))*(CRDJ[Account Code]=(TRIM($D28))),CRDJ[Credit])))+(SUM(IF((GJ[Ofc Code]=(TRIM(G$7)))*(GJ[Account Code]=(TRIM($D28))),GJ[Credit]))))-((SUM(IF((CkDJ[Ofc Code]=(TRIM(G$7)))*(CkDJ[Account Code]=(TRIM($D28))),CkDJ[Debit])))+(SUM(IF((CsDJ[Ofc Code]=(TRIM(G$7)))*(CsDJ[Account Code]=(TRIM($D28))),CsDJ[Debit])))+(SUM(IF((CRDJ[Ofc Code]=(TRIM(G$7)))*(CRDJ[Account Code]=(TRIM($D28))),CRDJ[Debit])))+(SUM(IF((GJ[Ofc Code]=(TRIM(G$7)))*(GJ[Account Code]=(TRIM($D28))),GJ[Debit]))))</f>
        <v>0</v>
      </c>
      <c r="H28" s="211">
        <f t="array" ref="H28">((SUM(IF((CkDJ[Ofc Code]=(TRIM(H$7)))*(CkDJ[Account Code]=(TRIM($D28))),CkDJ[Credit])))+(SUM(IF((CsDJ[Ofc Code]=(TRIM(H$7)))*(CsDJ[Account Code]=(TRIM($D28))),CsDJ[Credit])))+(SUM(IF((CRDJ[Ofc Code]=(TRIM(H$7)))*(CRDJ[Account Code]=(TRIM($D28))),CRDJ[Credit])))+(SUM(IF((GJ[Ofc Code]=(TRIM(H$7)))*(GJ[Account Code]=(TRIM($D28))),GJ[Credit]))))-((SUM(IF((CkDJ[Ofc Code]=(TRIM(H$7)))*(CkDJ[Account Code]=(TRIM($D28))),CkDJ[Debit])))+(SUM(IF((CsDJ[Ofc Code]=(TRIM(H$7)))*(CsDJ[Account Code]=(TRIM($D28))),CsDJ[Debit])))+(SUM(IF((CRDJ[Ofc Code]=(TRIM(H$7)))*(CRDJ[Account Code]=(TRIM($D28))),CRDJ[Debit])))+(SUM(IF((GJ[Ofc Code]=(TRIM(H$7)))*(GJ[Account Code]=(TRIM($D28))),GJ[Debit]))))</f>
        <v>0</v>
      </c>
      <c r="I28" s="211">
        <f t="array" ref="I28">((SUM(IF((CkDJ[Ofc Code]=(TRIM(I$7)))*(CkDJ[Account Code]=(TRIM($D28))),CkDJ[Credit])))+(SUM(IF((CsDJ[Ofc Code]=(TRIM(I$7)))*(CsDJ[Account Code]=(TRIM($D28))),CsDJ[Credit])))+(SUM(IF((CRDJ[Ofc Code]=(TRIM(I$7)))*(CRDJ[Account Code]=(TRIM($D28))),CRDJ[Credit])))+(SUM(IF((GJ[Ofc Code]=(TRIM(I$7)))*(GJ[Account Code]=(TRIM($D28))),GJ[Credit]))))-((SUM(IF((CkDJ[Ofc Code]=(TRIM(I$7)))*(CkDJ[Account Code]=(TRIM($D28))),CkDJ[Debit])))+(SUM(IF((CsDJ[Ofc Code]=(TRIM(I$7)))*(CsDJ[Account Code]=(TRIM($D28))),CsDJ[Debit])))+(SUM(IF((CRDJ[Ofc Code]=(TRIM(I$7)))*(CRDJ[Account Code]=(TRIM($D28))),CRDJ[Debit])))+(SUM(IF((GJ[Ofc Code]=(TRIM(I$7)))*(GJ[Account Code]=(TRIM($D28))),GJ[Debit]))))</f>
        <v>0</v>
      </c>
      <c r="J28" s="211">
        <f t="shared" si="1"/>
        <v>0</v>
      </c>
      <c r="K28" s="211">
        <f t="array" ref="K28">((SUM(IF((CkDJ[Ofc Code]=(TRIM(K$7)))*(CkDJ[Account Code]=(TRIM($D28))),CkDJ[Credit])))+(SUM(IF((CsDJ[Ofc Code]=(TRIM(K$7)))*(CsDJ[Account Code]=(TRIM($D28))),CsDJ[Credit])))+(SUM(IF((CRDJ[Ofc Code]=(TRIM(K$7)))*(CRDJ[Account Code]=(TRIM($D28))),CRDJ[Credit])))+(SUM(IF((GJ[Ofc Code]=(TRIM(K$7)))*(GJ[Account Code]=(TRIM($D28))),GJ[Credit]))))-((SUM(IF((CkDJ[Ofc Code]=(TRIM(K$7)))*(CkDJ[Account Code]=(TRIM($D28))),CkDJ[Debit])))+(SUM(IF((CsDJ[Ofc Code]=(TRIM(K$7)))*(CsDJ[Account Code]=(TRIM($D28))),CsDJ[Debit])))+(SUM(IF((CRDJ[Ofc Code]=(TRIM(K$7)))*(CRDJ[Account Code]=(TRIM($D28))),CRDJ[Debit])))+(SUM(IF((GJ[Ofc Code]=(TRIM(K$7)))*(GJ[Account Code]=(TRIM($D28))),GJ[Debit]))))</f>
        <v>0</v>
      </c>
      <c r="L28" s="211">
        <f t="array" ref="L28">((SUM(IF((CkDJ[Ofc Code]=(TRIM(L$7)))*(CkDJ[Account Code]=(TRIM($D28))),CkDJ[Credit])))+(SUM(IF((CsDJ[Ofc Code]=(TRIM(L$7)))*(CsDJ[Account Code]=(TRIM($D28))),CsDJ[Credit])))+(SUM(IF((CRDJ[Ofc Code]=(TRIM(L$7)))*(CRDJ[Account Code]=(TRIM($D28))),CRDJ[Credit])))+(SUM(IF((GJ[Ofc Code]=(TRIM(L$7)))*(GJ[Account Code]=(TRIM($D28))),GJ[Credit]))))-((SUM(IF((CkDJ[Ofc Code]=(TRIM(L$7)))*(CkDJ[Account Code]=(TRIM($D28))),CkDJ[Debit])))+(SUM(IF((CsDJ[Ofc Code]=(TRIM(L$7)))*(CsDJ[Account Code]=(TRIM($D28))),CsDJ[Debit])))+(SUM(IF((CRDJ[Ofc Code]=(TRIM(L$7)))*(CRDJ[Account Code]=(TRIM($D28))),CRDJ[Debit])))+(SUM(IF((GJ[Ofc Code]=(TRIM(L$7)))*(GJ[Account Code]=(TRIM($D28))),GJ[Debit]))))</f>
        <v>0</v>
      </c>
      <c r="M28" s="211">
        <f t="array" ref="M28">((SUM(IF((CkDJ[Ofc Code]=(TRIM(M$7)))*(CkDJ[Account Code]=(TRIM($D28))),CkDJ[Credit])))+(SUM(IF((CsDJ[Ofc Code]=(TRIM(M$7)))*(CsDJ[Account Code]=(TRIM($D28))),CsDJ[Credit])))+(SUM(IF((CRDJ[Ofc Code]=(TRIM(M$7)))*(CRDJ[Account Code]=(TRIM($D28))),CRDJ[Credit])))+(SUM(IF((GJ[Ofc Code]=(TRIM(M$7)))*(GJ[Account Code]=(TRIM($D28))),GJ[Credit]))))-((SUM(IF((CkDJ[Ofc Code]=(TRIM(M$7)))*(CkDJ[Account Code]=(TRIM($D28))),CkDJ[Debit])))+(SUM(IF((CsDJ[Ofc Code]=(TRIM(M$7)))*(CsDJ[Account Code]=(TRIM($D28))),CsDJ[Debit])))+(SUM(IF((CRDJ[Ofc Code]=(TRIM(M$7)))*(CRDJ[Account Code]=(TRIM($D28))),CRDJ[Debit])))+(SUM(IF((GJ[Ofc Code]=(TRIM(M$7)))*(GJ[Account Code]=(TRIM($D28))),GJ[Debit]))))</f>
        <v>0</v>
      </c>
      <c r="N28" s="211">
        <f t="array" ref="N28">((SUM(IF((CkDJ[Ofc Code]=(TRIM(N$7)))*(CkDJ[Account Code]=(TRIM($D28))),CkDJ[Credit])))+(SUM(IF((CsDJ[Ofc Code]=(TRIM(N$7)))*(CsDJ[Account Code]=(TRIM($D28))),CsDJ[Credit])))+(SUM(IF((CRDJ[Ofc Code]=(TRIM(N$7)))*(CRDJ[Account Code]=(TRIM($D28))),CRDJ[Credit])))+(SUM(IF((GJ[Ofc Code]=(TRIM(N$7)))*(GJ[Account Code]=(TRIM($D28))),GJ[Credit]))))-((SUM(IF((CkDJ[Ofc Code]=(TRIM(N$7)))*(CkDJ[Account Code]=(TRIM($D28))),CkDJ[Debit])))+(SUM(IF((CsDJ[Ofc Code]=(TRIM(N$7)))*(CsDJ[Account Code]=(TRIM($D28))),CsDJ[Debit])))+(SUM(IF((CRDJ[Ofc Code]=(TRIM(N$7)))*(CRDJ[Account Code]=(TRIM($D28))),CRDJ[Debit])))+(SUM(IF((GJ[Ofc Code]=(TRIM(N$7)))*(GJ[Account Code]=(TRIM($D28))),GJ[Debit]))))</f>
        <v>0</v>
      </c>
      <c r="O28" s="211">
        <f t="shared" si="2"/>
        <v>0</v>
      </c>
      <c r="P28" s="211">
        <f t="array" ref="P28">((SUM(IF((CkDJ[Ofc Code]=(TRIM(P$7)))*(CkDJ[Account Code]=(TRIM($D28))),CkDJ[Credit])))+(SUM(IF((CsDJ[Ofc Code]=(TRIM(P$7)))*(CsDJ[Account Code]=(TRIM($D28))),CsDJ[Credit])))+(SUM(IF((CRDJ[Ofc Code]=(TRIM(P$7)))*(CRDJ[Account Code]=(TRIM($D28))),CRDJ[Credit])))+(SUM(IF((GJ[Ofc Code]=(TRIM(P$7)))*(GJ[Account Code]=(TRIM($D28))),GJ[Credit]))))-((SUM(IF((CkDJ[Ofc Code]=(TRIM(P$7)))*(CkDJ[Account Code]=(TRIM($D28))),CkDJ[Debit])))+(SUM(IF((CsDJ[Ofc Code]=(TRIM(P$7)))*(CsDJ[Account Code]=(TRIM($D28))),CsDJ[Debit])))+(SUM(IF((CRDJ[Ofc Code]=(TRIM(P$7)))*(CRDJ[Account Code]=(TRIM($D28))),CRDJ[Debit])))+(SUM(IF((GJ[Ofc Code]=(TRIM(P$7)))*(GJ[Account Code]=(TRIM($D28))),GJ[Debit]))))</f>
        <v>0</v>
      </c>
      <c r="Q28" s="211">
        <f t="array" ref="Q28">((SUM(IF((CkDJ[Ofc Code]=(TRIM(Q$7)))*(CkDJ[Account Code]=(TRIM($D28))),CkDJ[Credit])))+(SUM(IF((CsDJ[Ofc Code]=(TRIM(Q$7)))*(CsDJ[Account Code]=(TRIM($D28))),CsDJ[Credit])))+(SUM(IF((CRDJ[Ofc Code]=(TRIM(Q$7)))*(CRDJ[Account Code]=(TRIM($D28))),CRDJ[Credit])))+(SUM(IF((GJ[Ofc Code]=(TRIM(Q$7)))*(GJ[Account Code]=(TRIM($D28))),GJ[Credit]))))-((SUM(IF((CkDJ[Ofc Code]=(TRIM(Q$7)))*(CkDJ[Account Code]=(TRIM($D28))),CkDJ[Debit])))+(SUM(IF((CsDJ[Ofc Code]=(TRIM(Q$7)))*(CsDJ[Account Code]=(TRIM($D28))),CsDJ[Debit])))+(SUM(IF((CRDJ[Ofc Code]=(TRIM(Q$7)))*(CRDJ[Account Code]=(TRIM($D28))),CRDJ[Debit])))+(SUM(IF((GJ[Ofc Code]=(TRIM(Q$7)))*(GJ[Account Code]=(TRIM($D28))),GJ[Debit]))))</f>
        <v>0</v>
      </c>
      <c r="R28" s="211">
        <f t="array" ref="R28">((SUM(IF((CkDJ[Ofc Code]=(TRIM(R$7)))*(CkDJ[Account Code]=(TRIM($D28))),CkDJ[Credit])))+(SUM(IF((CsDJ[Ofc Code]=(TRIM(R$7)))*(CsDJ[Account Code]=(TRIM($D28))),CsDJ[Credit])))+(SUM(IF((CRDJ[Ofc Code]=(TRIM(R$7)))*(CRDJ[Account Code]=(TRIM($D28))),CRDJ[Credit])))+(SUM(IF((GJ[Ofc Code]=(TRIM(R$7)))*(GJ[Account Code]=(TRIM($D28))),GJ[Credit]))))-((SUM(IF((CkDJ[Ofc Code]=(TRIM(R$7)))*(CkDJ[Account Code]=(TRIM($D28))),CkDJ[Debit])))+(SUM(IF((CsDJ[Ofc Code]=(TRIM(R$7)))*(CsDJ[Account Code]=(TRIM($D28))),CsDJ[Debit])))+(SUM(IF((CRDJ[Ofc Code]=(TRIM(R$7)))*(CRDJ[Account Code]=(TRIM($D28))),CRDJ[Debit])))+(SUM(IF((GJ[Ofc Code]=(TRIM(R$7)))*(GJ[Account Code]=(TRIM($D28))),GJ[Debit]))))</f>
        <v>0</v>
      </c>
      <c r="S28" s="211">
        <f t="array" ref="S28">((SUM(IF((CkDJ[Ofc Code]=(TRIM(S$7)))*(CkDJ[Account Code]=(TRIM($D28))),CkDJ[Credit])))+(SUM(IF((CsDJ[Ofc Code]=(TRIM(S$7)))*(CsDJ[Account Code]=(TRIM($D28))),CsDJ[Credit])))+(SUM(IF((CRDJ[Ofc Code]=(TRIM(S$7)))*(CRDJ[Account Code]=(TRIM($D28))),CRDJ[Credit])))+(SUM(IF((GJ[Ofc Code]=(TRIM(S$7)))*(GJ[Account Code]=(TRIM($D28))),GJ[Credit]))))-((SUM(IF((CkDJ[Ofc Code]=(TRIM(S$7)))*(CkDJ[Account Code]=(TRIM($D28))),CkDJ[Debit])))+(SUM(IF((CsDJ[Ofc Code]=(TRIM(S$7)))*(CsDJ[Account Code]=(TRIM($D28))),CsDJ[Debit])))+(SUM(IF((CRDJ[Ofc Code]=(TRIM(S$7)))*(CRDJ[Account Code]=(TRIM($D28))),CRDJ[Debit])))+(SUM(IF((GJ[Ofc Code]=(TRIM(S$7)))*(GJ[Account Code]=(TRIM($D28))),GJ[Debit]))))</f>
        <v>0</v>
      </c>
      <c r="T28" s="211">
        <f t="array" ref="T28">((SUM(IF((CkDJ[Ofc Code]=(TRIM(T$7)))*(CkDJ[Account Code]=(TRIM($D28))),CkDJ[Credit])))+(SUM(IF((CsDJ[Ofc Code]=(TRIM(T$7)))*(CsDJ[Account Code]=(TRIM($D28))),CsDJ[Credit])))+(SUM(IF((CRDJ[Ofc Code]=(TRIM(T$7)))*(CRDJ[Account Code]=(TRIM($D28))),CRDJ[Credit])))+(SUM(IF((GJ[Ofc Code]=(TRIM(T$7)))*(GJ[Account Code]=(TRIM($D28))),GJ[Credit]))))-((SUM(IF((CkDJ[Ofc Code]=(TRIM(T$7)))*(CkDJ[Account Code]=(TRIM($D28))),CkDJ[Debit])))+(SUM(IF((CsDJ[Ofc Code]=(TRIM(T$7)))*(CsDJ[Account Code]=(TRIM($D28))),CsDJ[Debit])))+(SUM(IF((CRDJ[Ofc Code]=(TRIM(T$7)))*(CRDJ[Account Code]=(TRIM($D28))),CRDJ[Debit])))+(SUM(IF((GJ[Ofc Code]=(TRIM(T$7)))*(GJ[Account Code]=(TRIM($D28))),GJ[Debit]))))</f>
        <v>0</v>
      </c>
      <c r="U28" s="211">
        <f t="shared" si="3"/>
        <v>0</v>
      </c>
      <c r="V28" s="211">
        <f t="shared" si="4"/>
        <v>0</v>
      </c>
    </row>
    <row r="29" spans="1:22" ht="15">
      <c r="A29" s="212">
        <f t="shared" si="5"/>
        <v>21</v>
      </c>
      <c r="B29" s="194"/>
      <c r="C29" s="194" t="str">
        <f>IF(D29=0,"",(VLOOKUP((TRIM(D29)),Code,2,)))</f>
        <v>Sale of Unserviceable Property</v>
      </c>
      <c r="D29" s="207" t="s">
        <v>156</v>
      </c>
      <c r="E29" s="211">
        <f t="array" ref="E29">((SUM(IF((CkDJ[Ofc Code]=(TRIM(E$7)))*(CkDJ[Account Code]=(TRIM($D29))),CkDJ[Credit])))+(SUM(IF((CsDJ[Ofc Code]=(TRIM(E$7)))*(CsDJ[Account Code]=(TRIM($D29))),CsDJ[Credit])))+(SUM(IF((CRDJ[Ofc Code]=(TRIM(E$7)))*(CRDJ[Account Code]=(TRIM($D29))),CRDJ[Credit])))+(SUM(IF((GJ[Ofc Code]=(TRIM(E$7)))*(GJ[Account Code]=(TRIM($D29))),GJ[Credit]))))-((SUM(IF((CkDJ[Ofc Code]=(TRIM(E$7)))*(CkDJ[Account Code]=(TRIM($D29))),CkDJ[Debit])))+(SUM(IF((CsDJ[Ofc Code]=(TRIM(E$7)))*(CsDJ[Account Code]=(TRIM($D29))),CsDJ[Debit])))+(SUM(IF((CRDJ[Ofc Code]=(TRIM(E$7)))*(CRDJ[Account Code]=(TRIM($D29))),CRDJ[Debit])))+(SUM(IF((GJ[Ofc Code]=(TRIM(E$7)))*(GJ[Account Code]=(TRIM($D29))),GJ[Debit]))))</f>
        <v>0</v>
      </c>
      <c r="F29" s="211">
        <f t="array" ref="F29">((SUM(IF((CkDJ[Ofc Code]=(TRIM(F$7)))*(CkDJ[Account Code]=(TRIM($D29))),CkDJ[Credit])))+(SUM(IF((CsDJ[Ofc Code]=(TRIM(F$7)))*(CsDJ[Account Code]=(TRIM($D29))),CsDJ[Credit])))+(SUM(IF((CRDJ[Ofc Code]=(TRIM(F$7)))*(CRDJ[Account Code]=(TRIM($D29))),CRDJ[Credit])))+(SUM(IF((GJ[Ofc Code]=(TRIM(F$7)))*(GJ[Account Code]=(TRIM($D29))),GJ[Credit]))))-((SUM(IF((CkDJ[Ofc Code]=(TRIM(F$7)))*(CkDJ[Account Code]=(TRIM($D29))),CkDJ[Debit])))+(SUM(IF((CsDJ[Ofc Code]=(TRIM(F$7)))*(CsDJ[Account Code]=(TRIM($D29))),CsDJ[Debit])))+(SUM(IF((CRDJ[Ofc Code]=(TRIM(F$7)))*(CRDJ[Account Code]=(TRIM($D29))),CRDJ[Debit])))+(SUM(IF((GJ[Ofc Code]=(TRIM(F$7)))*(GJ[Account Code]=(TRIM($D29))),GJ[Debit]))))</f>
        <v>0</v>
      </c>
      <c r="G29" s="211">
        <f t="array" ref="G29">((SUM(IF((CkDJ[Ofc Code]=(TRIM(G$7)))*(CkDJ[Account Code]=(TRIM($D29))),CkDJ[Credit])))+(SUM(IF((CsDJ[Ofc Code]=(TRIM(G$7)))*(CsDJ[Account Code]=(TRIM($D29))),CsDJ[Credit])))+(SUM(IF((CRDJ[Ofc Code]=(TRIM(G$7)))*(CRDJ[Account Code]=(TRIM($D29))),CRDJ[Credit])))+(SUM(IF((GJ[Ofc Code]=(TRIM(G$7)))*(GJ[Account Code]=(TRIM($D29))),GJ[Credit]))))-((SUM(IF((CkDJ[Ofc Code]=(TRIM(G$7)))*(CkDJ[Account Code]=(TRIM($D29))),CkDJ[Debit])))+(SUM(IF((CsDJ[Ofc Code]=(TRIM(G$7)))*(CsDJ[Account Code]=(TRIM($D29))),CsDJ[Debit])))+(SUM(IF((CRDJ[Ofc Code]=(TRIM(G$7)))*(CRDJ[Account Code]=(TRIM($D29))),CRDJ[Debit])))+(SUM(IF((GJ[Ofc Code]=(TRIM(G$7)))*(GJ[Account Code]=(TRIM($D29))),GJ[Debit]))))</f>
        <v>0</v>
      </c>
      <c r="H29" s="211">
        <f t="array" ref="H29">((SUM(IF((CkDJ[Ofc Code]=(TRIM(H$7)))*(CkDJ[Account Code]=(TRIM($D29))),CkDJ[Credit])))+(SUM(IF((CsDJ[Ofc Code]=(TRIM(H$7)))*(CsDJ[Account Code]=(TRIM($D29))),CsDJ[Credit])))+(SUM(IF((CRDJ[Ofc Code]=(TRIM(H$7)))*(CRDJ[Account Code]=(TRIM($D29))),CRDJ[Credit])))+(SUM(IF((GJ[Ofc Code]=(TRIM(H$7)))*(GJ[Account Code]=(TRIM($D29))),GJ[Credit]))))-((SUM(IF((CkDJ[Ofc Code]=(TRIM(H$7)))*(CkDJ[Account Code]=(TRIM($D29))),CkDJ[Debit])))+(SUM(IF((CsDJ[Ofc Code]=(TRIM(H$7)))*(CsDJ[Account Code]=(TRIM($D29))),CsDJ[Debit])))+(SUM(IF((CRDJ[Ofc Code]=(TRIM(H$7)))*(CRDJ[Account Code]=(TRIM($D29))),CRDJ[Debit])))+(SUM(IF((GJ[Ofc Code]=(TRIM(H$7)))*(GJ[Account Code]=(TRIM($D29))),GJ[Debit]))))</f>
        <v>0</v>
      </c>
      <c r="I29" s="211">
        <f t="array" ref="I29">((SUM(IF((CkDJ[Ofc Code]=(TRIM(I$7)))*(CkDJ[Account Code]=(TRIM($D29))),CkDJ[Credit])))+(SUM(IF((CsDJ[Ofc Code]=(TRIM(I$7)))*(CsDJ[Account Code]=(TRIM($D29))),CsDJ[Credit])))+(SUM(IF((CRDJ[Ofc Code]=(TRIM(I$7)))*(CRDJ[Account Code]=(TRIM($D29))),CRDJ[Credit])))+(SUM(IF((GJ[Ofc Code]=(TRIM(I$7)))*(GJ[Account Code]=(TRIM($D29))),GJ[Credit]))))-((SUM(IF((CkDJ[Ofc Code]=(TRIM(I$7)))*(CkDJ[Account Code]=(TRIM($D29))),CkDJ[Debit])))+(SUM(IF((CsDJ[Ofc Code]=(TRIM(I$7)))*(CsDJ[Account Code]=(TRIM($D29))),CsDJ[Debit])))+(SUM(IF((CRDJ[Ofc Code]=(TRIM(I$7)))*(CRDJ[Account Code]=(TRIM($D29))),CRDJ[Debit])))+(SUM(IF((GJ[Ofc Code]=(TRIM(I$7)))*(GJ[Account Code]=(TRIM($D29))),GJ[Debit]))))</f>
        <v>0</v>
      </c>
      <c r="J29" s="211">
        <f>SUM(F29:I29)</f>
        <v>0</v>
      </c>
      <c r="K29" s="211">
        <f t="array" ref="K29">((SUM(IF((CkDJ[Ofc Code]=(TRIM(K$7)))*(CkDJ[Account Code]=(TRIM($D29))),CkDJ[Credit])))+(SUM(IF((CsDJ[Ofc Code]=(TRIM(K$7)))*(CsDJ[Account Code]=(TRIM($D29))),CsDJ[Credit])))+(SUM(IF((CRDJ[Ofc Code]=(TRIM(K$7)))*(CRDJ[Account Code]=(TRIM($D29))),CRDJ[Credit])))+(SUM(IF((GJ[Ofc Code]=(TRIM(K$7)))*(GJ[Account Code]=(TRIM($D29))),GJ[Credit]))))-((SUM(IF((CkDJ[Ofc Code]=(TRIM(K$7)))*(CkDJ[Account Code]=(TRIM($D29))),CkDJ[Debit])))+(SUM(IF((CsDJ[Ofc Code]=(TRIM(K$7)))*(CsDJ[Account Code]=(TRIM($D29))),CsDJ[Debit])))+(SUM(IF((CRDJ[Ofc Code]=(TRIM(K$7)))*(CRDJ[Account Code]=(TRIM($D29))),CRDJ[Debit])))+(SUM(IF((GJ[Ofc Code]=(TRIM(K$7)))*(GJ[Account Code]=(TRIM($D29))),GJ[Debit]))))</f>
        <v>0</v>
      </c>
      <c r="L29" s="211">
        <f t="array" ref="L29">((SUM(IF((CkDJ[Ofc Code]=(TRIM(L$7)))*(CkDJ[Account Code]=(TRIM($D29))),CkDJ[Credit])))+(SUM(IF((CsDJ[Ofc Code]=(TRIM(L$7)))*(CsDJ[Account Code]=(TRIM($D29))),CsDJ[Credit])))+(SUM(IF((CRDJ[Ofc Code]=(TRIM(L$7)))*(CRDJ[Account Code]=(TRIM($D29))),CRDJ[Credit])))+(SUM(IF((GJ[Ofc Code]=(TRIM(L$7)))*(GJ[Account Code]=(TRIM($D29))),GJ[Credit]))))-((SUM(IF((CkDJ[Ofc Code]=(TRIM(L$7)))*(CkDJ[Account Code]=(TRIM($D29))),CkDJ[Debit])))+(SUM(IF((CsDJ[Ofc Code]=(TRIM(L$7)))*(CsDJ[Account Code]=(TRIM($D29))),CsDJ[Debit])))+(SUM(IF((CRDJ[Ofc Code]=(TRIM(L$7)))*(CRDJ[Account Code]=(TRIM($D29))),CRDJ[Debit])))+(SUM(IF((GJ[Ofc Code]=(TRIM(L$7)))*(GJ[Account Code]=(TRIM($D29))),GJ[Debit]))))</f>
        <v>0</v>
      </c>
      <c r="M29" s="211">
        <f t="array" ref="M29">((SUM(IF((CkDJ[Ofc Code]=(TRIM(M$7)))*(CkDJ[Account Code]=(TRIM($D29))),CkDJ[Credit])))+(SUM(IF((CsDJ[Ofc Code]=(TRIM(M$7)))*(CsDJ[Account Code]=(TRIM($D29))),CsDJ[Credit])))+(SUM(IF((CRDJ[Ofc Code]=(TRIM(M$7)))*(CRDJ[Account Code]=(TRIM($D29))),CRDJ[Credit])))+(SUM(IF((GJ[Ofc Code]=(TRIM(M$7)))*(GJ[Account Code]=(TRIM($D29))),GJ[Credit]))))-((SUM(IF((CkDJ[Ofc Code]=(TRIM(M$7)))*(CkDJ[Account Code]=(TRIM($D29))),CkDJ[Debit])))+(SUM(IF((CsDJ[Ofc Code]=(TRIM(M$7)))*(CsDJ[Account Code]=(TRIM($D29))),CsDJ[Debit])))+(SUM(IF((CRDJ[Ofc Code]=(TRIM(M$7)))*(CRDJ[Account Code]=(TRIM($D29))),CRDJ[Debit])))+(SUM(IF((GJ[Ofc Code]=(TRIM(M$7)))*(GJ[Account Code]=(TRIM($D29))),GJ[Debit]))))</f>
        <v>0</v>
      </c>
      <c r="N29" s="211">
        <f t="array" ref="N29">((SUM(IF((CkDJ[Ofc Code]=(TRIM(N$7)))*(CkDJ[Account Code]=(TRIM($D29))),CkDJ[Credit])))+(SUM(IF((CsDJ[Ofc Code]=(TRIM(N$7)))*(CsDJ[Account Code]=(TRIM($D29))),CsDJ[Credit])))+(SUM(IF((CRDJ[Ofc Code]=(TRIM(N$7)))*(CRDJ[Account Code]=(TRIM($D29))),CRDJ[Credit])))+(SUM(IF((GJ[Ofc Code]=(TRIM(N$7)))*(GJ[Account Code]=(TRIM($D29))),GJ[Credit]))))-((SUM(IF((CkDJ[Ofc Code]=(TRIM(N$7)))*(CkDJ[Account Code]=(TRIM($D29))),CkDJ[Debit])))+(SUM(IF((CsDJ[Ofc Code]=(TRIM(N$7)))*(CsDJ[Account Code]=(TRIM($D29))),CsDJ[Debit])))+(SUM(IF((CRDJ[Ofc Code]=(TRIM(N$7)))*(CRDJ[Account Code]=(TRIM($D29))),CRDJ[Debit])))+(SUM(IF((GJ[Ofc Code]=(TRIM(N$7)))*(GJ[Account Code]=(TRIM($D29))),GJ[Debit]))))</f>
        <v>0</v>
      </c>
      <c r="O29" s="211">
        <f>SUM(K29:N29)</f>
        <v>0</v>
      </c>
      <c r="P29" s="211">
        <f t="array" ref="P29">((SUM(IF((CkDJ[Ofc Code]=(TRIM(P$7)))*(CkDJ[Account Code]=(TRIM($D29))),CkDJ[Credit])))+(SUM(IF((CsDJ[Ofc Code]=(TRIM(P$7)))*(CsDJ[Account Code]=(TRIM($D29))),CsDJ[Credit])))+(SUM(IF((CRDJ[Ofc Code]=(TRIM(P$7)))*(CRDJ[Account Code]=(TRIM($D29))),CRDJ[Credit])))+(SUM(IF((GJ[Ofc Code]=(TRIM(P$7)))*(GJ[Account Code]=(TRIM($D29))),GJ[Credit]))))-((SUM(IF((CkDJ[Ofc Code]=(TRIM(P$7)))*(CkDJ[Account Code]=(TRIM($D29))),CkDJ[Debit])))+(SUM(IF((CsDJ[Ofc Code]=(TRIM(P$7)))*(CsDJ[Account Code]=(TRIM($D29))),CsDJ[Debit])))+(SUM(IF((CRDJ[Ofc Code]=(TRIM(P$7)))*(CRDJ[Account Code]=(TRIM($D29))),CRDJ[Debit])))+(SUM(IF((GJ[Ofc Code]=(TRIM(P$7)))*(GJ[Account Code]=(TRIM($D29))),GJ[Debit]))))</f>
        <v>0</v>
      </c>
      <c r="Q29" s="211">
        <f t="array" ref="Q29">((SUM(IF((CkDJ[Ofc Code]=(TRIM(Q$7)))*(CkDJ[Account Code]=(TRIM($D29))),CkDJ[Credit])))+(SUM(IF((CsDJ[Ofc Code]=(TRIM(Q$7)))*(CsDJ[Account Code]=(TRIM($D29))),CsDJ[Credit])))+(SUM(IF((CRDJ[Ofc Code]=(TRIM(Q$7)))*(CRDJ[Account Code]=(TRIM($D29))),CRDJ[Credit])))+(SUM(IF((GJ[Ofc Code]=(TRIM(Q$7)))*(GJ[Account Code]=(TRIM($D29))),GJ[Credit]))))-((SUM(IF((CkDJ[Ofc Code]=(TRIM(Q$7)))*(CkDJ[Account Code]=(TRIM($D29))),CkDJ[Debit])))+(SUM(IF((CsDJ[Ofc Code]=(TRIM(Q$7)))*(CsDJ[Account Code]=(TRIM($D29))),CsDJ[Debit])))+(SUM(IF((CRDJ[Ofc Code]=(TRIM(Q$7)))*(CRDJ[Account Code]=(TRIM($D29))),CRDJ[Debit])))+(SUM(IF((GJ[Ofc Code]=(TRIM(Q$7)))*(GJ[Account Code]=(TRIM($D29))),GJ[Debit]))))</f>
        <v>0</v>
      </c>
      <c r="R29" s="211">
        <f t="array" ref="R29">((SUM(IF((CkDJ[Ofc Code]=(TRIM(R$7)))*(CkDJ[Account Code]=(TRIM($D29))),CkDJ[Credit])))+(SUM(IF((CsDJ[Ofc Code]=(TRIM(R$7)))*(CsDJ[Account Code]=(TRIM($D29))),CsDJ[Credit])))+(SUM(IF((CRDJ[Ofc Code]=(TRIM(R$7)))*(CRDJ[Account Code]=(TRIM($D29))),CRDJ[Credit])))+(SUM(IF((GJ[Ofc Code]=(TRIM(R$7)))*(GJ[Account Code]=(TRIM($D29))),GJ[Credit]))))-((SUM(IF((CkDJ[Ofc Code]=(TRIM(R$7)))*(CkDJ[Account Code]=(TRIM($D29))),CkDJ[Debit])))+(SUM(IF((CsDJ[Ofc Code]=(TRIM(R$7)))*(CsDJ[Account Code]=(TRIM($D29))),CsDJ[Debit])))+(SUM(IF((CRDJ[Ofc Code]=(TRIM(R$7)))*(CRDJ[Account Code]=(TRIM($D29))),CRDJ[Debit])))+(SUM(IF((GJ[Ofc Code]=(TRIM(R$7)))*(GJ[Account Code]=(TRIM($D29))),GJ[Debit]))))</f>
        <v>0</v>
      </c>
      <c r="S29" s="211">
        <f t="array" ref="S29">((SUM(IF((CkDJ[Ofc Code]=(TRIM(S$7)))*(CkDJ[Account Code]=(TRIM($D29))),CkDJ[Credit])))+(SUM(IF((CsDJ[Ofc Code]=(TRIM(S$7)))*(CsDJ[Account Code]=(TRIM($D29))),CsDJ[Credit])))+(SUM(IF((CRDJ[Ofc Code]=(TRIM(S$7)))*(CRDJ[Account Code]=(TRIM($D29))),CRDJ[Credit])))+(SUM(IF((GJ[Ofc Code]=(TRIM(S$7)))*(GJ[Account Code]=(TRIM($D29))),GJ[Credit]))))-((SUM(IF((CkDJ[Ofc Code]=(TRIM(S$7)))*(CkDJ[Account Code]=(TRIM($D29))),CkDJ[Debit])))+(SUM(IF((CsDJ[Ofc Code]=(TRIM(S$7)))*(CsDJ[Account Code]=(TRIM($D29))),CsDJ[Debit])))+(SUM(IF((CRDJ[Ofc Code]=(TRIM(S$7)))*(CRDJ[Account Code]=(TRIM($D29))),CRDJ[Debit])))+(SUM(IF((GJ[Ofc Code]=(TRIM(S$7)))*(GJ[Account Code]=(TRIM($D29))),GJ[Debit]))))</f>
        <v>0</v>
      </c>
      <c r="T29" s="211">
        <f t="array" ref="T29">((SUM(IF((CkDJ[Ofc Code]=(TRIM(T$7)))*(CkDJ[Account Code]=(TRIM($D29))),CkDJ[Credit])))+(SUM(IF((CsDJ[Ofc Code]=(TRIM(T$7)))*(CsDJ[Account Code]=(TRIM($D29))),CsDJ[Credit])))+(SUM(IF((CRDJ[Ofc Code]=(TRIM(T$7)))*(CRDJ[Account Code]=(TRIM($D29))),CRDJ[Credit])))+(SUM(IF((GJ[Ofc Code]=(TRIM(T$7)))*(GJ[Account Code]=(TRIM($D29))),GJ[Credit]))))-((SUM(IF((CkDJ[Ofc Code]=(TRIM(T$7)))*(CkDJ[Account Code]=(TRIM($D29))),CkDJ[Debit])))+(SUM(IF((CsDJ[Ofc Code]=(TRIM(T$7)))*(CsDJ[Account Code]=(TRIM($D29))),CsDJ[Debit])))+(SUM(IF((CRDJ[Ofc Code]=(TRIM(T$7)))*(CRDJ[Account Code]=(TRIM($D29))),CRDJ[Debit])))+(SUM(IF((GJ[Ofc Code]=(TRIM(T$7)))*(GJ[Account Code]=(TRIM($D29))),GJ[Debit]))))</f>
        <v>0</v>
      </c>
      <c r="U29" s="211">
        <f>SUM(P29:T29)</f>
        <v>0</v>
      </c>
      <c r="V29" s="211">
        <f>E29+J29+O29+U29</f>
        <v>0</v>
      </c>
    </row>
    <row r="30" spans="1:22" ht="15">
      <c r="A30" s="212">
        <f t="shared" si="5"/>
        <v>22</v>
      </c>
      <c r="B30" s="194"/>
      <c r="C30" s="194" t="e">
        <f t="shared" si="0"/>
        <v>#N/A</v>
      </c>
      <c r="D30" s="207" t="s">
        <v>157</v>
      </c>
      <c r="E30" s="211">
        <f t="array" ref="E30">((SUM(IF((CkDJ[Ofc Code]=(TRIM(E$7)))*(CkDJ[Account Code]=(TRIM($D30))),CkDJ[Credit])))+(SUM(IF((CsDJ[Ofc Code]=(TRIM(E$7)))*(CsDJ[Account Code]=(TRIM($D30))),CsDJ[Credit])))+(SUM(IF((CRDJ[Ofc Code]=(TRIM(E$7)))*(CRDJ[Account Code]=(TRIM($D30))),CRDJ[Credit])))+(SUM(IF((GJ[Ofc Code]=(TRIM(E$7)))*(GJ[Account Code]=(TRIM($D30))),GJ[Credit]))))-((SUM(IF((CkDJ[Ofc Code]=(TRIM(E$7)))*(CkDJ[Account Code]=(TRIM($D30))),CkDJ[Debit])))+(SUM(IF((CsDJ[Ofc Code]=(TRIM(E$7)))*(CsDJ[Account Code]=(TRIM($D30))),CsDJ[Debit])))+(SUM(IF((CRDJ[Ofc Code]=(TRIM(E$7)))*(CRDJ[Account Code]=(TRIM($D30))),CRDJ[Debit])))+(SUM(IF((GJ[Ofc Code]=(TRIM(E$7)))*(GJ[Account Code]=(TRIM($D30))),GJ[Debit]))))</f>
        <v>0</v>
      </c>
      <c r="F30" s="211">
        <f t="array" ref="F30">((SUM(IF((CkDJ[Ofc Code]=(TRIM(F$7)))*(CkDJ[Account Code]=(TRIM($D30))),CkDJ[Credit])))+(SUM(IF((CsDJ[Ofc Code]=(TRIM(F$7)))*(CsDJ[Account Code]=(TRIM($D30))),CsDJ[Credit])))+(SUM(IF((CRDJ[Ofc Code]=(TRIM(F$7)))*(CRDJ[Account Code]=(TRIM($D30))),CRDJ[Credit])))+(SUM(IF((GJ[Ofc Code]=(TRIM(F$7)))*(GJ[Account Code]=(TRIM($D30))),GJ[Credit]))))-((SUM(IF((CkDJ[Ofc Code]=(TRIM(F$7)))*(CkDJ[Account Code]=(TRIM($D30))),CkDJ[Debit])))+(SUM(IF((CsDJ[Ofc Code]=(TRIM(F$7)))*(CsDJ[Account Code]=(TRIM($D30))),CsDJ[Debit])))+(SUM(IF((CRDJ[Ofc Code]=(TRIM(F$7)))*(CRDJ[Account Code]=(TRIM($D30))),CRDJ[Debit])))+(SUM(IF((GJ[Ofc Code]=(TRIM(F$7)))*(GJ[Account Code]=(TRIM($D30))),GJ[Debit]))))</f>
        <v>0</v>
      </c>
      <c r="G30" s="211">
        <f t="array" ref="G30">((SUM(IF((CkDJ[Ofc Code]=(TRIM(G$7)))*(CkDJ[Account Code]=(TRIM($D30))),CkDJ[Credit])))+(SUM(IF((CsDJ[Ofc Code]=(TRIM(G$7)))*(CsDJ[Account Code]=(TRIM($D30))),CsDJ[Credit])))+(SUM(IF((CRDJ[Ofc Code]=(TRIM(G$7)))*(CRDJ[Account Code]=(TRIM($D30))),CRDJ[Credit])))+(SUM(IF((GJ[Ofc Code]=(TRIM(G$7)))*(GJ[Account Code]=(TRIM($D30))),GJ[Credit]))))-((SUM(IF((CkDJ[Ofc Code]=(TRIM(G$7)))*(CkDJ[Account Code]=(TRIM($D30))),CkDJ[Debit])))+(SUM(IF((CsDJ[Ofc Code]=(TRIM(G$7)))*(CsDJ[Account Code]=(TRIM($D30))),CsDJ[Debit])))+(SUM(IF((CRDJ[Ofc Code]=(TRIM(G$7)))*(CRDJ[Account Code]=(TRIM($D30))),CRDJ[Debit])))+(SUM(IF((GJ[Ofc Code]=(TRIM(G$7)))*(GJ[Account Code]=(TRIM($D30))),GJ[Debit]))))</f>
        <v>0</v>
      </c>
      <c r="H30" s="211">
        <f t="array" ref="H30">((SUM(IF((CkDJ[Ofc Code]=(TRIM(H$7)))*(CkDJ[Account Code]=(TRIM($D30))),CkDJ[Credit])))+(SUM(IF((CsDJ[Ofc Code]=(TRIM(H$7)))*(CsDJ[Account Code]=(TRIM($D30))),CsDJ[Credit])))+(SUM(IF((CRDJ[Ofc Code]=(TRIM(H$7)))*(CRDJ[Account Code]=(TRIM($D30))),CRDJ[Credit])))+(SUM(IF((GJ[Ofc Code]=(TRIM(H$7)))*(GJ[Account Code]=(TRIM($D30))),GJ[Credit]))))-((SUM(IF((CkDJ[Ofc Code]=(TRIM(H$7)))*(CkDJ[Account Code]=(TRIM($D30))),CkDJ[Debit])))+(SUM(IF((CsDJ[Ofc Code]=(TRIM(H$7)))*(CsDJ[Account Code]=(TRIM($D30))),CsDJ[Debit])))+(SUM(IF((CRDJ[Ofc Code]=(TRIM(H$7)))*(CRDJ[Account Code]=(TRIM($D30))),CRDJ[Debit])))+(SUM(IF((GJ[Ofc Code]=(TRIM(H$7)))*(GJ[Account Code]=(TRIM($D30))),GJ[Debit]))))</f>
        <v>0</v>
      </c>
      <c r="I30" s="211">
        <f t="array" ref="I30">((SUM(IF((CkDJ[Ofc Code]=(TRIM(I$7)))*(CkDJ[Account Code]=(TRIM($D30))),CkDJ[Credit])))+(SUM(IF((CsDJ[Ofc Code]=(TRIM(I$7)))*(CsDJ[Account Code]=(TRIM($D30))),CsDJ[Credit])))+(SUM(IF((CRDJ[Ofc Code]=(TRIM(I$7)))*(CRDJ[Account Code]=(TRIM($D30))),CRDJ[Credit])))+(SUM(IF((GJ[Ofc Code]=(TRIM(I$7)))*(GJ[Account Code]=(TRIM($D30))),GJ[Credit]))))-((SUM(IF((CkDJ[Ofc Code]=(TRIM(I$7)))*(CkDJ[Account Code]=(TRIM($D30))),CkDJ[Debit])))+(SUM(IF((CsDJ[Ofc Code]=(TRIM(I$7)))*(CsDJ[Account Code]=(TRIM($D30))),CsDJ[Debit])))+(SUM(IF((CRDJ[Ofc Code]=(TRIM(I$7)))*(CRDJ[Account Code]=(TRIM($D30))),CRDJ[Debit])))+(SUM(IF((GJ[Ofc Code]=(TRIM(I$7)))*(GJ[Account Code]=(TRIM($D30))),GJ[Debit]))))</f>
        <v>0</v>
      </c>
      <c r="J30" s="211">
        <f>SUM(F30:I30)</f>
        <v>0</v>
      </c>
      <c r="K30" s="211">
        <f t="array" ref="K30">((SUM(IF((CkDJ[Ofc Code]=(TRIM(K$7)))*(CkDJ[Account Code]=(TRIM($D30))),CkDJ[Credit])))+(SUM(IF((CsDJ[Ofc Code]=(TRIM(K$7)))*(CsDJ[Account Code]=(TRIM($D30))),CsDJ[Credit])))+(SUM(IF((CRDJ[Ofc Code]=(TRIM(K$7)))*(CRDJ[Account Code]=(TRIM($D30))),CRDJ[Credit])))+(SUM(IF((GJ[Ofc Code]=(TRIM(K$7)))*(GJ[Account Code]=(TRIM($D30))),GJ[Credit]))))-((SUM(IF((CkDJ[Ofc Code]=(TRIM(K$7)))*(CkDJ[Account Code]=(TRIM($D30))),CkDJ[Debit])))+(SUM(IF((CsDJ[Ofc Code]=(TRIM(K$7)))*(CsDJ[Account Code]=(TRIM($D30))),CsDJ[Debit])))+(SUM(IF((CRDJ[Ofc Code]=(TRIM(K$7)))*(CRDJ[Account Code]=(TRIM($D30))),CRDJ[Debit])))+(SUM(IF((GJ[Ofc Code]=(TRIM(K$7)))*(GJ[Account Code]=(TRIM($D30))),GJ[Debit]))))</f>
        <v>0</v>
      </c>
      <c r="L30" s="211">
        <f t="array" ref="L30">((SUM(IF((CkDJ[Ofc Code]=(TRIM(L$7)))*(CkDJ[Account Code]=(TRIM($D30))),CkDJ[Credit])))+(SUM(IF((CsDJ[Ofc Code]=(TRIM(L$7)))*(CsDJ[Account Code]=(TRIM($D30))),CsDJ[Credit])))+(SUM(IF((CRDJ[Ofc Code]=(TRIM(L$7)))*(CRDJ[Account Code]=(TRIM($D30))),CRDJ[Credit])))+(SUM(IF((GJ[Ofc Code]=(TRIM(L$7)))*(GJ[Account Code]=(TRIM($D30))),GJ[Credit]))))-((SUM(IF((CkDJ[Ofc Code]=(TRIM(L$7)))*(CkDJ[Account Code]=(TRIM($D30))),CkDJ[Debit])))+(SUM(IF((CsDJ[Ofc Code]=(TRIM(L$7)))*(CsDJ[Account Code]=(TRIM($D30))),CsDJ[Debit])))+(SUM(IF((CRDJ[Ofc Code]=(TRIM(L$7)))*(CRDJ[Account Code]=(TRIM($D30))),CRDJ[Debit])))+(SUM(IF((GJ[Ofc Code]=(TRIM(L$7)))*(GJ[Account Code]=(TRIM($D30))),GJ[Debit]))))</f>
        <v>0</v>
      </c>
      <c r="M30" s="211">
        <f t="array" ref="M30">((SUM(IF((CkDJ[Ofc Code]=(TRIM(M$7)))*(CkDJ[Account Code]=(TRIM($D30))),CkDJ[Credit])))+(SUM(IF((CsDJ[Ofc Code]=(TRIM(M$7)))*(CsDJ[Account Code]=(TRIM($D30))),CsDJ[Credit])))+(SUM(IF((CRDJ[Ofc Code]=(TRIM(M$7)))*(CRDJ[Account Code]=(TRIM($D30))),CRDJ[Credit])))+(SUM(IF((GJ[Ofc Code]=(TRIM(M$7)))*(GJ[Account Code]=(TRIM($D30))),GJ[Credit]))))-((SUM(IF((CkDJ[Ofc Code]=(TRIM(M$7)))*(CkDJ[Account Code]=(TRIM($D30))),CkDJ[Debit])))+(SUM(IF((CsDJ[Ofc Code]=(TRIM(M$7)))*(CsDJ[Account Code]=(TRIM($D30))),CsDJ[Debit])))+(SUM(IF((CRDJ[Ofc Code]=(TRIM(M$7)))*(CRDJ[Account Code]=(TRIM($D30))),CRDJ[Debit])))+(SUM(IF((GJ[Ofc Code]=(TRIM(M$7)))*(GJ[Account Code]=(TRIM($D30))),GJ[Debit]))))</f>
        <v>0</v>
      </c>
      <c r="N30" s="211">
        <f t="array" ref="N30">((SUM(IF((CkDJ[Ofc Code]=(TRIM(N$7)))*(CkDJ[Account Code]=(TRIM($D30))),CkDJ[Credit])))+(SUM(IF((CsDJ[Ofc Code]=(TRIM(N$7)))*(CsDJ[Account Code]=(TRIM($D30))),CsDJ[Credit])))+(SUM(IF((CRDJ[Ofc Code]=(TRIM(N$7)))*(CRDJ[Account Code]=(TRIM($D30))),CRDJ[Credit])))+(SUM(IF((GJ[Ofc Code]=(TRIM(N$7)))*(GJ[Account Code]=(TRIM($D30))),GJ[Credit]))))-((SUM(IF((CkDJ[Ofc Code]=(TRIM(N$7)))*(CkDJ[Account Code]=(TRIM($D30))),CkDJ[Debit])))+(SUM(IF((CsDJ[Ofc Code]=(TRIM(N$7)))*(CsDJ[Account Code]=(TRIM($D30))),CsDJ[Debit])))+(SUM(IF((CRDJ[Ofc Code]=(TRIM(N$7)))*(CRDJ[Account Code]=(TRIM($D30))),CRDJ[Debit])))+(SUM(IF((GJ[Ofc Code]=(TRIM(N$7)))*(GJ[Account Code]=(TRIM($D30))),GJ[Debit]))))</f>
        <v>0</v>
      </c>
      <c r="O30" s="211">
        <f>SUM(K30:N30)</f>
        <v>0</v>
      </c>
      <c r="P30" s="211">
        <f t="array" ref="P30">((SUM(IF((CkDJ[Ofc Code]=(TRIM(P$7)))*(CkDJ[Account Code]=(TRIM($D30))),CkDJ[Credit])))+(SUM(IF((CsDJ[Ofc Code]=(TRIM(P$7)))*(CsDJ[Account Code]=(TRIM($D30))),CsDJ[Credit])))+(SUM(IF((CRDJ[Ofc Code]=(TRIM(P$7)))*(CRDJ[Account Code]=(TRIM($D30))),CRDJ[Credit])))+(SUM(IF((GJ[Ofc Code]=(TRIM(P$7)))*(GJ[Account Code]=(TRIM($D30))),GJ[Credit]))))-((SUM(IF((CkDJ[Ofc Code]=(TRIM(P$7)))*(CkDJ[Account Code]=(TRIM($D30))),CkDJ[Debit])))+(SUM(IF((CsDJ[Ofc Code]=(TRIM(P$7)))*(CsDJ[Account Code]=(TRIM($D30))),CsDJ[Debit])))+(SUM(IF((CRDJ[Ofc Code]=(TRIM(P$7)))*(CRDJ[Account Code]=(TRIM($D30))),CRDJ[Debit])))+(SUM(IF((GJ[Ofc Code]=(TRIM(P$7)))*(GJ[Account Code]=(TRIM($D30))),GJ[Debit]))))</f>
        <v>0</v>
      </c>
      <c r="Q30" s="211">
        <f t="array" ref="Q30">((SUM(IF((CkDJ[Ofc Code]=(TRIM(Q$7)))*(CkDJ[Account Code]=(TRIM($D30))),CkDJ[Credit])))+(SUM(IF((CsDJ[Ofc Code]=(TRIM(Q$7)))*(CsDJ[Account Code]=(TRIM($D30))),CsDJ[Credit])))+(SUM(IF((CRDJ[Ofc Code]=(TRIM(Q$7)))*(CRDJ[Account Code]=(TRIM($D30))),CRDJ[Credit])))+(SUM(IF((GJ[Ofc Code]=(TRIM(Q$7)))*(GJ[Account Code]=(TRIM($D30))),GJ[Credit]))))-((SUM(IF((CkDJ[Ofc Code]=(TRIM(Q$7)))*(CkDJ[Account Code]=(TRIM($D30))),CkDJ[Debit])))+(SUM(IF((CsDJ[Ofc Code]=(TRIM(Q$7)))*(CsDJ[Account Code]=(TRIM($D30))),CsDJ[Debit])))+(SUM(IF((CRDJ[Ofc Code]=(TRIM(Q$7)))*(CRDJ[Account Code]=(TRIM($D30))),CRDJ[Debit])))+(SUM(IF((GJ[Ofc Code]=(TRIM(Q$7)))*(GJ[Account Code]=(TRIM($D30))),GJ[Debit]))))</f>
        <v>0</v>
      </c>
      <c r="R30" s="211">
        <f t="array" ref="R30">((SUM(IF((CkDJ[Ofc Code]=(TRIM(R$7)))*(CkDJ[Account Code]=(TRIM($D30))),CkDJ[Credit])))+(SUM(IF((CsDJ[Ofc Code]=(TRIM(R$7)))*(CsDJ[Account Code]=(TRIM($D30))),CsDJ[Credit])))+(SUM(IF((CRDJ[Ofc Code]=(TRIM(R$7)))*(CRDJ[Account Code]=(TRIM($D30))),CRDJ[Credit])))+(SUM(IF((GJ[Ofc Code]=(TRIM(R$7)))*(GJ[Account Code]=(TRIM($D30))),GJ[Credit]))))-((SUM(IF((CkDJ[Ofc Code]=(TRIM(R$7)))*(CkDJ[Account Code]=(TRIM($D30))),CkDJ[Debit])))+(SUM(IF((CsDJ[Ofc Code]=(TRIM(R$7)))*(CsDJ[Account Code]=(TRIM($D30))),CsDJ[Debit])))+(SUM(IF((CRDJ[Ofc Code]=(TRIM(R$7)))*(CRDJ[Account Code]=(TRIM($D30))),CRDJ[Debit])))+(SUM(IF((GJ[Ofc Code]=(TRIM(R$7)))*(GJ[Account Code]=(TRIM($D30))),GJ[Debit]))))</f>
        <v>0</v>
      </c>
      <c r="S30" s="211">
        <f t="array" ref="S30">((SUM(IF((CkDJ[Ofc Code]=(TRIM(S$7)))*(CkDJ[Account Code]=(TRIM($D30))),CkDJ[Credit])))+(SUM(IF((CsDJ[Ofc Code]=(TRIM(S$7)))*(CsDJ[Account Code]=(TRIM($D30))),CsDJ[Credit])))+(SUM(IF((CRDJ[Ofc Code]=(TRIM(S$7)))*(CRDJ[Account Code]=(TRIM($D30))),CRDJ[Credit])))+(SUM(IF((GJ[Ofc Code]=(TRIM(S$7)))*(GJ[Account Code]=(TRIM($D30))),GJ[Credit]))))-((SUM(IF((CkDJ[Ofc Code]=(TRIM(S$7)))*(CkDJ[Account Code]=(TRIM($D30))),CkDJ[Debit])))+(SUM(IF((CsDJ[Ofc Code]=(TRIM(S$7)))*(CsDJ[Account Code]=(TRIM($D30))),CsDJ[Debit])))+(SUM(IF((CRDJ[Ofc Code]=(TRIM(S$7)))*(CRDJ[Account Code]=(TRIM($D30))),CRDJ[Debit])))+(SUM(IF((GJ[Ofc Code]=(TRIM(S$7)))*(GJ[Account Code]=(TRIM($D30))),GJ[Debit]))))</f>
        <v>0</v>
      </c>
      <c r="T30" s="211">
        <f t="array" ref="T30">((SUM(IF((CkDJ[Ofc Code]=(TRIM(T$7)))*(CkDJ[Account Code]=(TRIM($D30))),CkDJ[Credit])))+(SUM(IF((CsDJ[Ofc Code]=(TRIM(T$7)))*(CsDJ[Account Code]=(TRIM($D30))),CsDJ[Credit])))+(SUM(IF((CRDJ[Ofc Code]=(TRIM(T$7)))*(CRDJ[Account Code]=(TRIM($D30))),CRDJ[Credit])))+(SUM(IF((GJ[Ofc Code]=(TRIM(T$7)))*(GJ[Account Code]=(TRIM($D30))),GJ[Credit]))))-((SUM(IF((CkDJ[Ofc Code]=(TRIM(T$7)))*(CkDJ[Account Code]=(TRIM($D30))),CkDJ[Debit])))+(SUM(IF((CsDJ[Ofc Code]=(TRIM(T$7)))*(CsDJ[Account Code]=(TRIM($D30))),CsDJ[Debit])))+(SUM(IF((CRDJ[Ofc Code]=(TRIM(T$7)))*(CRDJ[Account Code]=(TRIM($D30))),CRDJ[Debit])))+(SUM(IF((GJ[Ofc Code]=(TRIM(T$7)))*(GJ[Account Code]=(TRIM($D30))),GJ[Debit]))))</f>
        <v>0</v>
      </c>
      <c r="U30" s="211">
        <f>SUM(P30:T30)</f>
        <v>0</v>
      </c>
      <c r="V30" s="211">
        <f>E30+J30+O30+U30</f>
        <v>0</v>
      </c>
    </row>
    <row r="31" spans="1:22" ht="15">
      <c r="A31" s="212">
        <f t="shared" si="5"/>
        <v>23</v>
      </c>
      <c r="B31" s="194"/>
      <c r="C31" s="194" t="str">
        <f t="shared" si="0"/>
        <v>Miscellaneous Income (Scrap of Fixed Assets)</v>
      </c>
      <c r="D31" s="207" t="s">
        <v>159</v>
      </c>
      <c r="E31" s="211">
        <f t="array" ref="E31">((SUM(IF((CkDJ[Ofc Code]=(TRIM(E$7)))*(CkDJ[Account Code]=(TRIM($D31))),CkDJ[Credit])))+(SUM(IF((CsDJ[Ofc Code]=(TRIM(E$7)))*(CsDJ[Account Code]=(TRIM($D31))),CsDJ[Credit])))+(SUM(IF((CRDJ[Ofc Code]=(TRIM(E$7)))*(CRDJ[Account Code]=(TRIM($D31))),CRDJ[Credit])))+(SUM(IF((GJ[Ofc Code]=(TRIM(E$7)))*(GJ[Account Code]=(TRIM($D31))),GJ[Credit]))))-((SUM(IF((CkDJ[Ofc Code]=(TRIM(E$7)))*(CkDJ[Account Code]=(TRIM($D31))),CkDJ[Debit])))+(SUM(IF((CsDJ[Ofc Code]=(TRIM(E$7)))*(CsDJ[Account Code]=(TRIM($D31))),CsDJ[Debit])))+(SUM(IF((CRDJ[Ofc Code]=(TRIM(E$7)))*(CRDJ[Account Code]=(TRIM($D31))),CRDJ[Debit])))+(SUM(IF((GJ[Ofc Code]=(TRIM(E$7)))*(GJ[Account Code]=(TRIM($D31))),GJ[Debit]))))</f>
        <v>0</v>
      </c>
      <c r="F31" s="211">
        <f t="array" ref="F31">((SUM(IF((CkDJ[Ofc Code]=(TRIM(F$7)))*(CkDJ[Account Code]=(TRIM($D31))),CkDJ[Credit])))+(SUM(IF((CsDJ[Ofc Code]=(TRIM(F$7)))*(CsDJ[Account Code]=(TRIM($D31))),CsDJ[Credit])))+(SUM(IF((CRDJ[Ofc Code]=(TRIM(F$7)))*(CRDJ[Account Code]=(TRIM($D31))),CRDJ[Credit])))+(SUM(IF((GJ[Ofc Code]=(TRIM(F$7)))*(GJ[Account Code]=(TRIM($D31))),GJ[Credit]))))-((SUM(IF((CkDJ[Ofc Code]=(TRIM(F$7)))*(CkDJ[Account Code]=(TRIM($D31))),CkDJ[Debit])))+(SUM(IF((CsDJ[Ofc Code]=(TRIM(F$7)))*(CsDJ[Account Code]=(TRIM($D31))),CsDJ[Debit])))+(SUM(IF((CRDJ[Ofc Code]=(TRIM(F$7)))*(CRDJ[Account Code]=(TRIM($D31))),CRDJ[Debit])))+(SUM(IF((GJ[Ofc Code]=(TRIM(F$7)))*(GJ[Account Code]=(TRIM($D31))),GJ[Debit]))))</f>
        <v>0</v>
      </c>
      <c r="G31" s="211">
        <f t="array" ref="G31">((SUM(IF((CkDJ[Ofc Code]=(TRIM(G$7)))*(CkDJ[Account Code]=(TRIM($D31))),CkDJ[Credit])))+(SUM(IF((CsDJ[Ofc Code]=(TRIM(G$7)))*(CsDJ[Account Code]=(TRIM($D31))),CsDJ[Credit])))+(SUM(IF((CRDJ[Ofc Code]=(TRIM(G$7)))*(CRDJ[Account Code]=(TRIM($D31))),CRDJ[Credit])))+(SUM(IF((GJ[Ofc Code]=(TRIM(G$7)))*(GJ[Account Code]=(TRIM($D31))),GJ[Credit]))))-((SUM(IF((CkDJ[Ofc Code]=(TRIM(G$7)))*(CkDJ[Account Code]=(TRIM($D31))),CkDJ[Debit])))+(SUM(IF((CsDJ[Ofc Code]=(TRIM(G$7)))*(CsDJ[Account Code]=(TRIM($D31))),CsDJ[Debit])))+(SUM(IF((CRDJ[Ofc Code]=(TRIM(G$7)))*(CRDJ[Account Code]=(TRIM($D31))),CRDJ[Debit])))+(SUM(IF((GJ[Ofc Code]=(TRIM(G$7)))*(GJ[Account Code]=(TRIM($D31))),GJ[Debit]))))</f>
        <v>0</v>
      </c>
      <c r="H31" s="211">
        <f t="array" ref="H31">((SUM(IF((CkDJ[Ofc Code]=(TRIM(H$7)))*(CkDJ[Account Code]=(TRIM($D31))),CkDJ[Credit])))+(SUM(IF((CsDJ[Ofc Code]=(TRIM(H$7)))*(CsDJ[Account Code]=(TRIM($D31))),CsDJ[Credit])))+(SUM(IF((CRDJ[Ofc Code]=(TRIM(H$7)))*(CRDJ[Account Code]=(TRIM($D31))),CRDJ[Credit])))+(SUM(IF((GJ[Ofc Code]=(TRIM(H$7)))*(GJ[Account Code]=(TRIM($D31))),GJ[Credit]))))-((SUM(IF((CkDJ[Ofc Code]=(TRIM(H$7)))*(CkDJ[Account Code]=(TRIM($D31))),CkDJ[Debit])))+(SUM(IF((CsDJ[Ofc Code]=(TRIM(H$7)))*(CsDJ[Account Code]=(TRIM($D31))),CsDJ[Debit])))+(SUM(IF((CRDJ[Ofc Code]=(TRIM(H$7)))*(CRDJ[Account Code]=(TRIM($D31))),CRDJ[Debit])))+(SUM(IF((GJ[Ofc Code]=(TRIM(H$7)))*(GJ[Account Code]=(TRIM($D31))),GJ[Debit]))))</f>
        <v>0</v>
      </c>
      <c r="I31" s="211">
        <f t="array" ref="I31">((SUM(IF((CkDJ[Ofc Code]=(TRIM(I$7)))*(CkDJ[Account Code]=(TRIM($D31))),CkDJ[Credit])))+(SUM(IF((CsDJ[Ofc Code]=(TRIM(I$7)))*(CsDJ[Account Code]=(TRIM($D31))),CsDJ[Credit])))+(SUM(IF((CRDJ[Ofc Code]=(TRIM(I$7)))*(CRDJ[Account Code]=(TRIM($D31))),CRDJ[Credit])))+(SUM(IF((GJ[Ofc Code]=(TRIM(I$7)))*(GJ[Account Code]=(TRIM($D31))),GJ[Credit]))))-((SUM(IF((CkDJ[Ofc Code]=(TRIM(I$7)))*(CkDJ[Account Code]=(TRIM($D31))),CkDJ[Debit])))+(SUM(IF((CsDJ[Ofc Code]=(TRIM(I$7)))*(CsDJ[Account Code]=(TRIM($D31))),CsDJ[Debit])))+(SUM(IF((CRDJ[Ofc Code]=(TRIM(I$7)))*(CRDJ[Account Code]=(TRIM($D31))),CRDJ[Debit])))+(SUM(IF((GJ[Ofc Code]=(TRIM(I$7)))*(GJ[Account Code]=(TRIM($D31))),GJ[Debit]))))</f>
        <v>0</v>
      </c>
      <c r="J31" s="211">
        <f t="shared" si="1"/>
        <v>0</v>
      </c>
      <c r="K31" s="211">
        <f t="array" ref="K31">((SUM(IF((CkDJ[Ofc Code]=(TRIM(K$7)))*(CkDJ[Account Code]=(TRIM($D31))),CkDJ[Credit])))+(SUM(IF((CsDJ[Ofc Code]=(TRIM(K$7)))*(CsDJ[Account Code]=(TRIM($D31))),CsDJ[Credit])))+(SUM(IF((CRDJ[Ofc Code]=(TRIM(K$7)))*(CRDJ[Account Code]=(TRIM($D31))),CRDJ[Credit])))+(SUM(IF((GJ[Ofc Code]=(TRIM(K$7)))*(GJ[Account Code]=(TRIM($D31))),GJ[Credit]))))-((SUM(IF((CkDJ[Ofc Code]=(TRIM(K$7)))*(CkDJ[Account Code]=(TRIM($D31))),CkDJ[Debit])))+(SUM(IF((CsDJ[Ofc Code]=(TRIM(K$7)))*(CsDJ[Account Code]=(TRIM($D31))),CsDJ[Debit])))+(SUM(IF((CRDJ[Ofc Code]=(TRIM(K$7)))*(CRDJ[Account Code]=(TRIM($D31))),CRDJ[Debit])))+(SUM(IF((GJ[Ofc Code]=(TRIM(K$7)))*(GJ[Account Code]=(TRIM($D31))),GJ[Debit]))))</f>
        <v>0</v>
      </c>
      <c r="L31" s="211">
        <f t="array" ref="L31">((SUM(IF((CkDJ[Ofc Code]=(TRIM(L$7)))*(CkDJ[Account Code]=(TRIM($D31))),CkDJ[Credit])))+(SUM(IF((CsDJ[Ofc Code]=(TRIM(L$7)))*(CsDJ[Account Code]=(TRIM($D31))),CsDJ[Credit])))+(SUM(IF((CRDJ[Ofc Code]=(TRIM(L$7)))*(CRDJ[Account Code]=(TRIM($D31))),CRDJ[Credit])))+(SUM(IF((GJ[Ofc Code]=(TRIM(L$7)))*(GJ[Account Code]=(TRIM($D31))),GJ[Credit]))))-((SUM(IF((CkDJ[Ofc Code]=(TRIM(L$7)))*(CkDJ[Account Code]=(TRIM($D31))),CkDJ[Debit])))+(SUM(IF((CsDJ[Ofc Code]=(TRIM(L$7)))*(CsDJ[Account Code]=(TRIM($D31))),CsDJ[Debit])))+(SUM(IF((CRDJ[Ofc Code]=(TRIM(L$7)))*(CRDJ[Account Code]=(TRIM($D31))),CRDJ[Debit])))+(SUM(IF((GJ[Ofc Code]=(TRIM(L$7)))*(GJ[Account Code]=(TRIM($D31))),GJ[Debit]))))</f>
        <v>0</v>
      </c>
      <c r="M31" s="211">
        <f t="array" ref="M31">((SUM(IF((CkDJ[Ofc Code]=(TRIM(M$7)))*(CkDJ[Account Code]=(TRIM($D31))),CkDJ[Credit])))+(SUM(IF((CsDJ[Ofc Code]=(TRIM(M$7)))*(CsDJ[Account Code]=(TRIM($D31))),CsDJ[Credit])))+(SUM(IF((CRDJ[Ofc Code]=(TRIM(M$7)))*(CRDJ[Account Code]=(TRIM($D31))),CRDJ[Credit])))+(SUM(IF((GJ[Ofc Code]=(TRIM(M$7)))*(GJ[Account Code]=(TRIM($D31))),GJ[Credit]))))-((SUM(IF((CkDJ[Ofc Code]=(TRIM(M$7)))*(CkDJ[Account Code]=(TRIM($D31))),CkDJ[Debit])))+(SUM(IF((CsDJ[Ofc Code]=(TRIM(M$7)))*(CsDJ[Account Code]=(TRIM($D31))),CsDJ[Debit])))+(SUM(IF((CRDJ[Ofc Code]=(TRIM(M$7)))*(CRDJ[Account Code]=(TRIM($D31))),CRDJ[Debit])))+(SUM(IF((GJ[Ofc Code]=(TRIM(M$7)))*(GJ[Account Code]=(TRIM($D31))),GJ[Debit]))))</f>
        <v>0</v>
      </c>
      <c r="N31" s="211">
        <f t="array" ref="N31">((SUM(IF((CkDJ[Ofc Code]=(TRIM(N$7)))*(CkDJ[Account Code]=(TRIM($D31))),CkDJ[Credit])))+(SUM(IF((CsDJ[Ofc Code]=(TRIM(N$7)))*(CsDJ[Account Code]=(TRIM($D31))),CsDJ[Credit])))+(SUM(IF((CRDJ[Ofc Code]=(TRIM(N$7)))*(CRDJ[Account Code]=(TRIM($D31))),CRDJ[Credit])))+(SUM(IF((GJ[Ofc Code]=(TRIM(N$7)))*(GJ[Account Code]=(TRIM($D31))),GJ[Credit]))))-((SUM(IF((CkDJ[Ofc Code]=(TRIM(N$7)))*(CkDJ[Account Code]=(TRIM($D31))),CkDJ[Debit])))+(SUM(IF((CsDJ[Ofc Code]=(TRIM(N$7)))*(CsDJ[Account Code]=(TRIM($D31))),CsDJ[Debit])))+(SUM(IF((CRDJ[Ofc Code]=(TRIM(N$7)))*(CRDJ[Account Code]=(TRIM($D31))),CRDJ[Debit])))+(SUM(IF((GJ[Ofc Code]=(TRIM(N$7)))*(GJ[Account Code]=(TRIM($D31))),GJ[Debit]))))</f>
        <v>0</v>
      </c>
      <c r="O31" s="211">
        <f t="shared" si="2"/>
        <v>0</v>
      </c>
      <c r="P31" s="211">
        <f t="array" ref="P31">((SUM(IF((CkDJ[Ofc Code]=(TRIM(P$7)))*(CkDJ[Account Code]=(TRIM($D31))),CkDJ[Credit])))+(SUM(IF((CsDJ[Ofc Code]=(TRIM(P$7)))*(CsDJ[Account Code]=(TRIM($D31))),CsDJ[Credit])))+(SUM(IF((CRDJ[Ofc Code]=(TRIM(P$7)))*(CRDJ[Account Code]=(TRIM($D31))),CRDJ[Credit])))+(SUM(IF((GJ[Ofc Code]=(TRIM(P$7)))*(GJ[Account Code]=(TRIM($D31))),GJ[Credit]))))-((SUM(IF((CkDJ[Ofc Code]=(TRIM(P$7)))*(CkDJ[Account Code]=(TRIM($D31))),CkDJ[Debit])))+(SUM(IF((CsDJ[Ofc Code]=(TRIM(P$7)))*(CsDJ[Account Code]=(TRIM($D31))),CsDJ[Debit])))+(SUM(IF((CRDJ[Ofc Code]=(TRIM(P$7)))*(CRDJ[Account Code]=(TRIM($D31))),CRDJ[Debit])))+(SUM(IF((GJ[Ofc Code]=(TRIM(P$7)))*(GJ[Account Code]=(TRIM($D31))),GJ[Debit]))))</f>
        <v>0</v>
      </c>
      <c r="Q31" s="211">
        <f t="array" ref="Q31">((SUM(IF((CkDJ[Ofc Code]=(TRIM(Q$7)))*(CkDJ[Account Code]=(TRIM($D31))),CkDJ[Credit])))+(SUM(IF((CsDJ[Ofc Code]=(TRIM(Q$7)))*(CsDJ[Account Code]=(TRIM($D31))),CsDJ[Credit])))+(SUM(IF((CRDJ[Ofc Code]=(TRIM(Q$7)))*(CRDJ[Account Code]=(TRIM($D31))),CRDJ[Credit])))+(SUM(IF((GJ[Ofc Code]=(TRIM(Q$7)))*(GJ[Account Code]=(TRIM($D31))),GJ[Credit]))))-((SUM(IF((CkDJ[Ofc Code]=(TRIM(Q$7)))*(CkDJ[Account Code]=(TRIM($D31))),CkDJ[Debit])))+(SUM(IF((CsDJ[Ofc Code]=(TRIM(Q$7)))*(CsDJ[Account Code]=(TRIM($D31))),CsDJ[Debit])))+(SUM(IF((CRDJ[Ofc Code]=(TRIM(Q$7)))*(CRDJ[Account Code]=(TRIM($D31))),CRDJ[Debit])))+(SUM(IF((GJ[Ofc Code]=(TRIM(Q$7)))*(GJ[Account Code]=(TRIM($D31))),GJ[Debit]))))</f>
        <v>0</v>
      </c>
      <c r="R31" s="211">
        <f t="array" ref="R31">((SUM(IF((CkDJ[Ofc Code]=(TRIM(R$7)))*(CkDJ[Account Code]=(TRIM($D31))),CkDJ[Credit])))+(SUM(IF((CsDJ[Ofc Code]=(TRIM(R$7)))*(CsDJ[Account Code]=(TRIM($D31))),CsDJ[Credit])))+(SUM(IF((CRDJ[Ofc Code]=(TRIM(R$7)))*(CRDJ[Account Code]=(TRIM($D31))),CRDJ[Credit])))+(SUM(IF((GJ[Ofc Code]=(TRIM(R$7)))*(GJ[Account Code]=(TRIM($D31))),GJ[Credit]))))-((SUM(IF((CkDJ[Ofc Code]=(TRIM(R$7)))*(CkDJ[Account Code]=(TRIM($D31))),CkDJ[Debit])))+(SUM(IF((CsDJ[Ofc Code]=(TRIM(R$7)))*(CsDJ[Account Code]=(TRIM($D31))),CsDJ[Debit])))+(SUM(IF((CRDJ[Ofc Code]=(TRIM(R$7)))*(CRDJ[Account Code]=(TRIM($D31))),CRDJ[Debit])))+(SUM(IF((GJ[Ofc Code]=(TRIM(R$7)))*(GJ[Account Code]=(TRIM($D31))),GJ[Debit]))))</f>
        <v>0</v>
      </c>
      <c r="S31" s="211">
        <f t="array" ref="S31">((SUM(IF((CkDJ[Ofc Code]=(TRIM(S$7)))*(CkDJ[Account Code]=(TRIM($D31))),CkDJ[Credit])))+(SUM(IF((CsDJ[Ofc Code]=(TRIM(S$7)))*(CsDJ[Account Code]=(TRIM($D31))),CsDJ[Credit])))+(SUM(IF((CRDJ[Ofc Code]=(TRIM(S$7)))*(CRDJ[Account Code]=(TRIM($D31))),CRDJ[Credit])))+(SUM(IF((GJ[Ofc Code]=(TRIM(S$7)))*(GJ[Account Code]=(TRIM($D31))),GJ[Credit]))))-((SUM(IF((CkDJ[Ofc Code]=(TRIM(S$7)))*(CkDJ[Account Code]=(TRIM($D31))),CkDJ[Debit])))+(SUM(IF((CsDJ[Ofc Code]=(TRIM(S$7)))*(CsDJ[Account Code]=(TRIM($D31))),CsDJ[Debit])))+(SUM(IF((CRDJ[Ofc Code]=(TRIM(S$7)))*(CRDJ[Account Code]=(TRIM($D31))),CRDJ[Debit])))+(SUM(IF((GJ[Ofc Code]=(TRIM(S$7)))*(GJ[Account Code]=(TRIM($D31))),GJ[Debit]))))</f>
        <v>0</v>
      </c>
      <c r="T31" s="211">
        <f t="array" ref="T31">((SUM(IF((CkDJ[Ofc Code]=(TRIM(T$7)))*(CkDJ[Account Code]=(TRIM($D31))),CkDJ[Credit])))+(SUM(IF((CsDJ[Ofc Code]=(TRIM(T$7)))*(CsDJ[Account Code]=(TRIM($D31))),CsDJ[Credit])))+(SUM(IF((CRDJ[Ofc Code]=(TRIM(T$7)))*(CRDJ[Account Code]=(TRIM($D31))),CRDJ[Credit])))+(SUM(IF((GJ[Ofc Code]=(TRIM(T$7)))*(GJ[Account Code]=(TRIM($D31))),GJ[Credit]))))-((SUM(IF((CkDJ[Ofc Code]=(TRIM(T$7)))*(CkDJ[Account Code]=(TRIM($D31))),CkDJ[Debit])))+(SUM(IF((CsDJ[Ofc Code]=(TRIM(T$7)))*(CsDJ[Account Code]=(TRIM($D31))),CsDJ[Debit])))+(SUM(IF((CRDJ[Ofc Code]=(TRIM(T$7)))*(CRDJ[Account Code]=(TRIM($D31))),CRDJ[Debit])))+(SUM(IF((GJ[Ofc Code]=(TRIM(T$7)))*(GJ[Account Code]=(TRIM($D31))),GJ[Debit]))))</f>
        <v>0</v>
      </c>
      <c r="U31" s="211">
        <f t="shared" si="3"/>
        <v>0</v>
      </c>
      <c r="V31" s="211">
        <f t="shared" si="4"/>
        <v>0</v>
      </c>
    </row>
    <row r="32" spans="1:22" ht="15">
      <c r="A32" s="212">
        <f t="shared" si="5"/>
        <v>24</v>
      </c>
      <c r="B32" s="194"/>
      <c r="C32" s="194" t="str">
        <f t="shared" si="0"/>
        <v>Miscellaneous Income (Others)</v>
      </c>
      <c r="D32" s="207" t="s">
        <v>160</v>
      </c>
      <c r="E32" s="211">
        <f t="array" ref="E32">((SUM(IF((CkDJ[Ofc Code]=(TRIM(E$7)))*(CkDJ[Account Code]=(TRIM($D32))),CkDJ[Credit])))+(SUM(IF((CsDJ[Ofc Code]=(TRIM(E$7)))*(CsDJ[Account Code]=(TRIM($D32))),CsDJ[Credit])))+(SUM(IF((CRDJ[Ofc Code]=(TRIM(E$7)))*(CRDJ[Account Code]=(TRIM($D32))),CRDJ[Credit])))+(SUM(IF((GJ[Ofc Code]=(TRIM(E$7)))*(GJ[Account Code]=(TRIM($D32))),GJ[Credit]))))-((SUM(IF((CkDJ[Ofc Code]=(TRIM(E$7)))*(CkDJ[Account Code]=(TRIM($D32))),CkDJ[Debit])))+(SUM(IF((CsDJ[Ofc Code]=(TRIM(E$7)))*(CsDJ[Account Code]=(TRIM($D32))),CsDJ[Debit])))+(SUM(IF((CRDJ[Ofc Code]=(TRIM(E$7)))*(CRDJ[Account Code]=(TRIM($D32))),CRDJ[Debit])))+(SUM(IF((GJ[Ofc Code]=(TRIM(E$7)))*(GJ[Account Code]=(TRIM($D32))),GJ[Debit]))))</f>
        <v>0</v>
      </c>
      <c r="F32" s="211">
        <f t="array" ref="F32">((SUM(IF((CkDJ[Ofc Code]=(TRIM(F$7)))*(CkDJ[Account Code]=(TRIM($D32))),CkDJ[Credit])))+(SUM(IF((CsDJ[Ofc Code]=(TRIM(F$7)))*(CsDJ[Account Code]=(TRIM($D32))),CsDJ[Credit])))+(SUM(IF((CRDJ[Ofc Code]=(TRIM(F$7)))*(CRDJ[Account Code]=(TRIM($D32))),CRDJ[Credit])))+(SUM(IF((GJ[Ofc Code]=(TRIM(F$7)))*(GJ[Account Code]=(TRIM($D32))),GJ[Credit]))))-((SUM(IF((CkDJ[Ofc Code]=(TRIM(F$7)))*(CkDJ[Account Code]=(TRIM($D32))),CkDJ[Debit])))+(SUM(IF((CsDJ[Ofc Code]=(TRIM(F$7)))*(CsDJ[Account Code]=(TRIM($D32))),CsDJ[Debit])))+(SUM(IF((CRDJ[Ofc Code]=(TRIM(F$7)))*(CRDJ[Account Code]=(TRIM($D32))),CRDJ[Debit])))+(SUM(IF((GJ[Ofc Code]=(TRIM(F$7)))*(GJ[Account Code]=(TRIM($D32))),GJ[Debit]))))</f>
        <v>0</v>
      </c>
      <c r="G32" s="211">
        <f t="array" ref="G32">((SUM(IF((CkDJ[Ofc Code]=(TRIM(G$7)))*(CkDJ[Account Code]=(TRIM($D32))),CkDJ[Credit])))+(SUM(IF((CsDJ[Ofc Code]=(TRIM(G$7)))*(CsDJ[Account Code]=(TRIM($D32))),CsDJ[Credit])))+(SUM(IF((CRDJ[Ofc Code]=(TRIM(G$7)))*(CRDJ[Account Code]=(TRIM($D32))),CRDJ[Credit])))+(SUM(IF((GJ[Ofc Code]=(TRIM(G$7)))*(GJ[Account Code]=(TRIM($D32))),GJ[Credit]))))-((SUM(IF((CkDJ[Ofc Code]=(TRIM(G$7)))*(CkDJ[Account Code]=(TRIM($D32))),CkDJ[Debit])))+(SUM(IF((CsDJ[Ofc Code]=(TRIM(G$7)))*(CsDJ[Account Code]=(TRIM($D32))),CsDJ[Debit])))+(SUM(IF((CRDJ[Ofc Code]=(TRIM(G$7)))*(CRDJ[Account Code]=(TRIM($D32))),CRDJ[Debit])))+(SUM(IF((GJ[Ofc Code]=(TRIM(G$7)))*(GJ[Account Code]=(TRIM($D32))),GJ[Debit]))))</f>
        <v>0</v>
      </c>
      <c r="H32" s="211">
        <f t="array" ref="H32">((SUM(IF((CkDJ[Ofc Code]=(TRIM(H$7)))*(CkDJ[Account Code]=(TRIM($D32))),CkDJ[Credit])))+(SUM(IF((CsDJ[Ofc Code]=(TRIM(H$7)))*(CsDJ[Account Code]=(TRIM($D32))),CsDJ[Credit])))+(SUM(IF((CRDJ[Ofc Code]=(TRIM(H$7)))*(CRDJ[Account Code]=(TRIM($D32))),CRDJ[Credit])))+(SUM(IF((GJ[Ofc Code]=(TRIM(H$7)))*(GJ[Account Code]=(TRIM($D32))),GJ[Credit]))))-((SUM(IF((CkDJ[Ofc Code]=(TRIM(H$7)))*(CkDJ[Account Code]=(TRIM($D32))),CkDJ[Debit])))+(SUM(IF((CsDJ[Ofc Code]=(TRIM(H$7)))*(CsDJ[Account Code]=(TRIM($D32))),CsDJ[Debit])))+(SUM(IF((CRDJ[Ofc Code]=(TRIM(H$7)))*(CRDJ[Account Code]=(TRIM($D32))),CRDJ[Debit])))+(SUM(IF((GJ[Ofc Code]=(TRIM(H$7)))*(GJ[Account Code]=(TRIM($D32))),GJ[Debit]))))</f>
        <v>0</v>
      </c>
      <c r="I32" s="211">
        <f t="array" ref="I32">((SUM(IF((CkDJ[Ofc Code]=(TRIM(I$7)))*(CkDJ[Account Code]=(TRIM($D32))),CkDJ[Credit])))+(SUM(IF((CsDJ[Ofc Code]=(TRIM(I$7)))*(CsDJ[Account Code]=(TRIM($D32))),CsDJ[Credit])))+(SUM(IF((CRDJ[Ofc Code]=(TRIM(I$7)))*(CRDJ[Account Code]=(TRIM($D32))),CRDJ[Credit])))+(SUM(IF((GJ[Ofc Code]=(TRIM(I$7)))*(GJ[Account Code]=(TRIM($D32))),GJ[Credit]))))-((SUM(IF((CkDJ[Ofc Code]=(TRIM(I$7)))*(CkDJ[Account Code]=(TRIM($D32))),CkDJ[Debit])))+(SUM(IF((CsDJ[Ofc Code]=(TRIM(I$7)))*(CsDJ[Account Code]=(TRIM($D32))),CsDJ[Debit])))+(SUM(IF((CRDJ[Ofc Code]=(TRIM(I$7)))*(CRDJ[Account Code]=(TRIM($D32))),CRDJ[Debit])))+(SUM(IF((GJ[Ofc Code]=(TRIM(I$7)))*(GJ[Account Code]=(TRIM($D32))),GJ[Debit]))))</f>
        <v>0</v>
      </c>
      <c r="J32" s="211">
        <f t="shared" si="1"/>
        <v>0</v>
      </c>
      <c r="K32" s="211">
        <f t="array" ref="K32">((SUM(IF((CkDJ[Ofc Code]=(TRIM(K$7)))*(CkDJ[Account Code]=(TRIM($D32))),CkDJ[Credit])))+(SUM(IF((CsDJ[Ofc Code]=(TRIM(K$7)))*(CsDJ[Account Code]=(TRIM($D32))),CsDJ[Credit])))+(SUM(IF((CRDJ[Ofc Code]=(TRIM(K$7)))*(CRDJ[Account Code]=(TRIM($D32))),CRDJ[Credit])))+(SUM(IF((GJ[Ofc Code]=(TRIM(K$7)))*(GJ[Account Code]=(TRIM($D32))),GJ[Credit]))))-((SUM(IF((CkDJ[Ofc Code]=(TRIM(K$7)))*(CkDJ[Account Code]=(TRIM($D32))),CkDJ[Debit])))+(SUM(IF((CsDJ[Ofc Code]=(TRIM(K$7)))*(CsDJ[Account Code]=(TRIM($D32))),CsDJ[Debit])))+(SUM(IF((CRDJ[Ofc Code]=(TRIM(K$7)))*(CRDJ[Account Code]=(TRIM($D32))),CRDJ[Debit])))+(SUM(IF((GJ[Ofc Code]=(TRIM(K$7)))*(GJ[Account Code]=(TRIM($D32))),GJ[Debit]))))</f>
        <v>0</v>
      </c>
      <c r="L32" s="211">
        <f t="array" ref="L32">((SUM(IF((CkDJ[Ofc Code]=(TRIM(L$7)))*(CkDJ[Account Code]=(TRIM($D32))),CkDJ[Credit])))+(SUM(IF((CsDJ[Ofc Code]=(TRIM(L$7)))*(CsDJ[Account Code]=(TRIM($D32))),CsDJ[Credit])))+(SUM(IF((CRDJ[Ofc Code]=(TRIM(L$7)))*(CRDJ[Account Code]=(TRIM($D32))),CRDJ[Credit])))+(SUM(IF((GJ[Ofc Code]=(TRIM(L$7)))*(GJ[Account Code]=(TRIM($D32))),GJ[Credit]))))-((SUM(IF((CkDJ[Ofc Code]=(TRIM(L$7)))*(CkDJ[Account Code]=(TRIM($D32))),CkDJ[Debit])))+(SUM(IF((CsDJ[Ofc Code]=(TRIM(L$7)))*(CsDJ[Account Code]=(TRIM($D32))),CsDJ[Debit])))+(SUM(IF((CRDJ[Ofc Code]=(TRIM(L$7)))*(CRDJ[Account Code]=(TRIM($D32))),CRDJ[Debit])))+(SUM(IF((GJ[Ofc Code]=(TRIM(L$7)))*(GJ[Account Code]=(TRIM($D32))),GJ[Debit]))))</f>
        <v>0</v>
      </c>
      <c r="M32" s="211">
        <f t="array" ref="M32">((SUM(IF((CkDJ[Ofc Code]=(TRIM(M$7)))*(CkDJ[Account Code]=(TRIM($D32))),CkDJ[Credit])))+(SUM(IF((CsDJ[Ofc Code]=(TRIM(M$7)))*(CsDJ[Account Code]=(TRIM($D32))),CsDJ[Credit])))+(SUM(IF((CRDJ[Ofc Code]=(TRIM(M$7)))*(CRDJ[Account Code]=(TRIM($D32))),CRDJ[Credit])))+(SUM(IF((GJ[Ofc Code]=(TRIM(M$7)))*(GJ[Account Code]=(TRIM($D32))),GJ[Credit]))))-((SUM(IF((CkDJ[Ofc Code]=(TRIM(M$7)))*(CkDJ[Account Code]=(TRIM($D32))),CkDJ[Debit])))+(SUM(IF((CsDJ[Ofc Code]=(TRIM(M$7)))*(CsDJ[Account Code]=(TRIM($D32))),CsDJ[Debit])))+(SUM(IF((CRDJ[Ofc Code]=(TRIM(M$7)))*(CRDJ[Account Code]=(TRIM($D32))),CRDJ[Debit])))+(SUM(IF((GJ[Ofc Code]=(TRIM(M$7)))*(GJ[Account Code]=(TRIM($D32))),GJ[Debit]))))</f>
        <v>0</v>
      </c>
      <c r="N32" s="211">
        <f t="array" ref="N32">((SUM(IF((CkDJ[Ofc Code]=(TRIM(N$7)))*(CkDJ[Account Code]=(TRIM($D32))),CkDJ[Credit])))+(SUM(IF((CsDJ[Ofc Code]=(TRIM(N$7)))*(CsDJ[Account Code]=(TRIM($D32))),CsDJ[Credit])))+(SUM(IF((CRDJ[Ofc Code]=(TRIM(N$7)))*(CRDJ[Account Code]=(TRIM($D32))),CRDJ[Credit])))+(SUM(IF((GJ[Ofc Code]=(TRIM(N$7)))*(GJ[Account Code]=(TRIM($D32))),GJ[Credit]))))-((SUM(IF((CkDJ[Ofc Code]=(TRIM(N$7)))*(CkDJ[Account Code]=(TRIM($D32))),CkDJ[Debit])))+(SUM(IF((CsDJ[Ofc Code]=(TRIM(N$7)))*(CsDJ[Account Code]=(TRIM($D32))),CsDJ[Debit])))+(SUM(IF((CRDJ[Ofc Code]=(TRIM(N$7)))*(CRDJ[Account Code]=(TRIM($D32))),CRDJ[Debit])))+(SUM(IF((GJ[Ofc Code]=(TRIM(N$7)))*(GJ[Account Code]=(TRIM($D32))),GJ[Debit]))))</f>
        <v>0</v>
      </c>
      <c r="O32" s="211">
        <f t="shared" si="2"/>
        <v>0</v>
      </c>
      <c r="P32" s="211">
        <f t="array" ref="P32">((SUM(IF((CkDJ[Ofc Code]=(TRIM(P$7)))*(CkDJ[Account Code]=(TRIM($D32))),CkDJ[Credit])))+(SUM(IF((CsDJ[Ofc Code]=(TRIM(P$7)))*(CsDJ[Account Code]=(TRIM($D32))),CsDJ[Credit])))+(SUM(IF((CRDJ[Ofc Code]=(TRIM(P$7)))*(CRDJ[Account Code]=(TRIM($D32))),CRDJ[Credit])))+(SUM(IF((GJ[Ofc Code]=(TRIM(P$7)))*(GJ[Account Code]=(TRIM($D32))),GJ[Credit]))))-((SUM(IF((CkDJ[Ofc Code]=(TRIM(P$7)))*(CkDJ[Account Code]=(TRIM($D32))),CkDJ[Debit])))+(SUM(IF((CsDJ[Ofc Code]=(TRIM(P$7)))*(CsDJ[Account Code]=(TRIM($D32))),CsDJ[Debit])))+(SUM(IF((CRDJ[Ofc Code]=(TRIM(P$7)))*(CRDJ[Account Code]=(TRIM($D32))),CRDJ[Debit])))+(SUM(IF((GJ[Ofc Code]=(TRIM(P$7)))*(GJ[Account Code]=(TRIM($D32))),GJ[Debit]))))</f>
        <v>0</v>
      </c>
      <c r="Q32" s="211">
        <f t="array" ref="Q32">((SUM(IF((CkDJ[Ofc Code]=(TRIM(Q$7)))*(CkDJ[Account Code]=(TRIM($D32))),CkDJ[Credit])))+(SUM(IF((CsDJ[Ofc Code]=(TRIM(Q$7)))*(CsDJ[Account Code]=(TRIM($D32))),CsDJ[Credit])))+(SUM(IF((CRDJ[Ofc Code]=(TRIM(Q$7)))*(CRDJ[Account Code]=(TRIM($D32))),CRDJ[Credit])))+(SUM(IF((GJ[Ofc Code]=(TRIM(Q$7)))*(GJ[Account Code]=(TRIM($D32))),GJ[Credit]))))-((SUM(IF((CkDJ[Ofc Code]=(TRIM(Q$7)))*(CkDJ[Account Code]=(TRIM($D32))),CkDJ[Debit])))+(SUM(IF((CsDJ[Ofc Code]=(TRIM(Q$7)))*(CsDJ[Account Code]=(TRIM($D32))),CsDJ[Debit])))+(SUM(IF((CRDJ[Ofc Code]=(TRIM(Q$7)))*(CRDJ[Account Code]=(TRIM($D32))),CRDJ[Debit])))+(SUM(IF((GJ[Ofc Code]=(TRIM(Q$7)))*(GJ[Account Code]=(TRIM($D32))),GJ[Debit]))))</f>
        <v>0</v>
      </c>
      <c r="R32" s="211">
        <f t="array" ref="R32">((SUM(IF((CkDJ[Ofc Code]=(TRIM(R$7)))*(CkDJ[Account Code]=(TRIM($D32))),CkDJ[Credit])))+(SUM(IF((CsDJ[Ofc Code]=(TRIM(R$7)))*(CsDJ[Account Code]=(TRIM($D32))),CsDJ[Credit])))+(SUM(IF((CRDJ[Ofc Code]=(TRIM(R$7)))*(CRDJ[Account Code]=(TRIM($D32))),CRDJ[Credit])))+(SUM(IF((GJ[Ofc Code]=(TRIM(R$7)))*(GJ[Account Code]=(TRIM($D32))),GJ[Credit]))))-((SUM(IF((CkDJ[Ofc Code]=(TRIM(R$7)))*(CkDJ[Account Code]=(TRIM($D32))),CkDJ[Debit])))+(SUM(IF((CsDJ[Ofc Code]=(TRIM(R$7)))*(CsDJ[Account Code]=(TRIM($D32))),CsDJ[Debit])))+(SUM(IF((CRDJ[Ofc Code]=(TRIM(R$7)))*(CRDJ[Account Code]=(TRIM($D32))),CRDJ[Debit])))+(SUM(IF((GJ[Ofc Code]=(TRIM(R$7)))*(GJ[Account Code]=(TRIM($D32))),GJ[Debit]))))</f>
        <v>0</v>
      </c>
      <c r="S32" s="211">
        <f t="array" ref="S32">((SUM(IF((CkDJ[Ofc Code]=(TRIM(S$7)))*(CkDJ[Account Code]=(TRIM($D32))),CkDJ[Credit])))+(SUM(IF((CsDJ[Ofc Code]=(TRIM(S$7)))*(CsDJ[Account Code]=(TRIM($D32))),CsDJ[Credit])))+(SUM(IF((CRDJ[Ofc Code]=(TRIM(S$7)))*(CRDJ[Account Code]=(TRIM($D32))),CRDJ[Credit])))+(SUM(IF((GJ[Ofc Code]=(TRIM(S$7)))*(GJ[Account Code]=(TRIM($D32))),GJ[Credit]))))-((SUM(IF((CkDJ[Ofc Code]=(TRIM(S$7)))*(CkDJ[Account Code]=(TRIM($D32))),CkDJ[Debit])))+(SUM(IF((CsDJ[Ofc Code]=(TRIM(S$7)))*(CsDJ[Account Code]=(TRIM($D32))),CsDJ[Debit])))+(SUM(IF((CRDJ[Ofc Code]=(TRIM(S$7)))*(CRDJ[Account Code]=(TRIM($D32))),CRDJ[Debit])))+(SUM(IF((GJ[Ofc Code]=(TRIM(S$7)))*(GJ[Account Code]=(TRIM($D32))),GJ[Debit]))))</f>
        <v>0</v>
      </c>
      <c r="T32" s="211">
        <f t="array" ref="T32">((SUM(IF((CkDJ[Ofc Code]=(TRIM(T$7)))*(CkDJ[Account Code]=(TRIM($D32))),CkDJ[Credit])))+(SUM(IF((CsDJ[Ofc Code]=(TRIM(T$7)))*(CsDJ[Account Code]=(TRIM($D32))),CsDJ[Credit])))+(SUM(IF((CRDJ[Ofc Code]=(TRIM(T$7)))*(CRDJ[Account Code]=(TRIM($D32))),CRDJ[Credit])))+(SUM(IF((GJ[Ofc Code]=(TRIM(T$7)))*(GJ[Account Code]=(TRIM($D32))),GJ[Credit]))))-((SUM(IF((CkDJ[Ofc Code]=(TRIM(T$7)))*(CkDJ[Account Code]=(TRIM($D32))),CkDJ[Debit])))+(SUM(IF((CsDJ[Ofc Code]=(TRIM(T$7)))*(CsDJ[Account Code]=(TRIM($D32))),CsDJ[Debit])))+(SUM(IF((CRDJ[Ofc Code]=(TRIM(T$7)))*(CRDJ[Account Code]=(TRIM($D32))),CRDJ[Debit])))+(SUM(IF((GJ[Ofc Code]=(TRIM(T$7)))*(GJ[Account Code]=(TRIM($D32))),GJ[Debit]))))</f>
        <v>0</v>
      </c>
      <c r="U32" s="211">
        <f t="shared" si="3"/>
        <v>0</v>
      </c>
      <c r="V32" s="211">
        <f t="shared" si="4"/>
        <v>0</v>
      </c>
    </row>
    <row r="33" spans="1:22" ht="15">
      <c r="A33" s="212">
        <f t="shared" si="5"/>
        <v>25</v>
      </c>
      <c r="B33" s="194"/>
      <c r="C33" s="194" t="str">
        <f t="shared" si="0"/>
        <v>Miscellaneous Income (Power)</v>
      </c>
      <c r="D33" s="207" t="s">
        <v>352</v>
      </c>
      <c r="E33" s="211">
        <f t="array" ref="E33">((SUM(IF((CkDJ[Ofc Code]=(TRIM(E$7)))*(CkDJ[Account Code]=(TRIM($D33))),CkDJ[Credit])))+(SUM(IF((CsDJ[Ofc Code]=(TRIM(E$7)))*(CsDJ[Account Code]=(TRIM($D33))),CsDJ[Credit])))+(SUM(IF((CRDJ[Ofc Code]=(TRIM(E$7)))*(CRDJ[Account Code]=(TRIM($D33))),CRDJ[Credit])))+(SUM(IF((GJ[Ofc Code]=(TRIM(E$7)))*(GJ[Account Code]=(TRIM($D33))),GJ[Credit]))))-((SUM(IF((CkDJ[Ofc Code]=(TRIM(E$7)))*(CkDJ[Account Code]=(TRIM($D33))),CkDJ[Debit])))+(SUM(IF((CsDJ[Ofc Code]=(TRIM(E$7)))*(CsDJ[Account Code]=(TRIM($D33))),CsDJ[Debit])))+(SUM(IF((CRDJ[Ofc Code]=(TRIM(E$7)))*(CRDJ[Account Code]=(TRIM($D33))),CRDJ[Debit])))+(SUM(IF((GJ[Ofc Code]=(TRIM(E$7)))*(GJ[Account Code]=(TRIM($D33))),GJ[Debit]))))</f>
        <v>0</v>
      </c>
      <c r="F33" s="211">
        <f t="array" ref="F33">((SUM(IF((CkDJ[Ofc Code]=(TRIM(F$7)))*(CkDJ[Account Code]=(TRIM($D33))),CkDJ[Credit])))+(SUM(IF((CsDJ[Ofc Code]=(TRIM(F$7)))*(CsDJ[Account Code]=(TRIM($D33))),CsDJ[Credit])))+(SUM(IF((CRDJ[Ofc Code]=(TRIM(F$7)))*(CRDJ[Account Code]=(TRIM($D33))),CRDJ[Credit])))+(SUM(IF((GJ[Ofc Code]=(TRIM(F$7)))*(GJ[Account Code]=(TRIM($D33))),GJ[Credit]))))-((SUM(IF((CkDJ[Ofc Code]=(TRIM(F$7)))*(CkDJ[Account Code]=(TRIM($D33))),CkDJ[Debit])))+(SUM(IF((CsDJ[Ofc Code]=(TRIM(F$7)))*(CsDJ[Account Code]=(TRIM($D33))),CsDJ[Debit])))+(SUM(IF((CRDJ[Ofc Code]=(TRIM(F$7)))*(CRDJ[Account Code]=(TRIM($D33))),CRDJ[Debit])))+(SUM(IF((GJ[Ofc Code]=(TRIM(F$7)))*(GJ[Account Code]=(TRIM($D33))),GJ[Debit]))))</f>
        <v>0</v>
      </c>
      <c r="G33" s="211">
        <f t="array" ref="G33">((SUM(IF((CkDJ[Ofc Code]=(TRIM(G$7)))*(CkDJ[Account Code]=(TRIM($D33))),CkDJ[Credit])))+(SUM(IF((CsDJ[Ofc Code]=(TRIM(G$7)))*(CsDJ[Account Code]=(TRIM($D33))),CsDJ[Credit])))+(SUM(IF((CRDJ[Ofc Code]=(TRIM(G$7)))*(CRDJ[Account Code]=(TRIM($D33))),CRDJ[Credit])))+(SUM(IF((GJ[Ofc Code]=(TRIM(G$7)))*(GJ[Account Code]=(TRIM($D33))),GJ[Credit]))))-((SUM(IF((CkDJ[Ofc Code]=(TRIM(G$7)))*(CkDJ[Account Code]=(TRIM($D33))),CkDJ[Debit])))+(SUM(IF((CsDJ[Ofc Code]=(TRIM(G$7)))*(CsDJ[Account Code]=(TRIM($D33))),CsDJ[Debit])))+(SUM(IF((CRDJ[Ofc Code]=(TRIM(G$7)))*(CRDJ[Account Code]=(TRIM($D33))),CRDJ[Debit])))+(SUM(IF((GJ[Ofc Code]=(TRIM(G$7)))*(GJ[Account Code]=(TRIM($D33))),GJ[Debit]))))</f>
        <v>0</v>
      </c>
      <c r="H33" s="211">
        <f t="array" ref="H33">((SUM(IF((CkDJ[Ofc Code]=(TRIM(H$7)))*(CkDJ[Account Code]=(TRIM($D33))),CkDJ[Credit])))+(SUM(IF((CsDJ[Ofc Code]=(TRIM(H$7)))*(CsDJ[Account Code]=(TRIM($D33))),CsDJ[Credit])))+(SUM(IF((CRDJ[Ofc Code]=(TRIM(H$7)))*(CRDJ[Account Code]=(TRIM($D33))),CRDJ[Credit])))+(SUM(IF((GJ[Ofc Code]=(TRIM(H$7)))*(GJ[Account Code]=(TRIM($D33))),GJ[Credit]))))-((SUM(IF((CkDJ[Ofc Code]=(TRIM(H$7)))*(CkDJ[Account Code]=(TRIM($D33))),CkDJ[Debit])))+(SUM(IF((CsDJ[Ofc Code]=(TRIM(H$7)))*(CsDJ[Account Code]=(TRIM($D33))),CsDJ[Debit])))+(SUM(IF((CRDJ[Ofc Code]=(TRIM(H$7)))*(CRDJ[Account Code]=(TRIM($D33))),CRDJ[Debit])))+(SUM(IF((GJ[Ofc Code]=(TRIM(H$7)))*(GJ[Account Code]=(TRIM($D33))),GJ[Debit]))))</f>
        <v>0</v>
      </c>
      <c r="I33" s="211">
        <f t="array" ref="I33">((SUM(IF((CkDJ[Ofc Code]=(TRIM(I$7)))*(CkDJ[Account Code]=(TRIM($D33))),CkDJ[Credit])))+(SUM(IF((CsDJ[Ofc Code]=(TRIM(I$7)))*(CsDJ[Account Code]=(TRIM($D33))),CsDJ[Credit])))+(SUM(IF((CRDJ[Ofc Code]=(TRIM(I$7)))*(CRDJ[Account Code]=(TRIM($D33))),CRDJ[Credit])))+(SUM(IF((GJ[Ofc Code]=(TRIM(I$7)))*(GJ[Account Code]=(TRIM($D33))),GJ[Credit]))))-((SUM(IF((CkDJ[Ofc Code]=(TRIM(I$7)))*(CkDJ[Account Code]=(TRIM($D33))),CkDJ[Debit])))+(SUM(IF((CsDJ[Ofc Code]=(TRIM(I$7)))*(CsDJ[Account Code]=(TRIM($D33))),CsDJ[Debit])))+(SUM(IF((CRDJ[Ofc Code]=(TRIM(I$7)))*(CRDJ[Account Code]=(TRIM($D33))),CRDJ[Debit])))+(SUM(IF((GJ[Ofc Code]=(TRIM(I$7)))*(GJ[Account Code]=(TRIM($D33))),GJ[Debit]))))</f>
        <v>0</v>
      </c>
      <c r="J33" s="211">
        <f t="shared" si="1"/>
        <v>0</v>
      </c>
      <c r="K33" s="211">
        <f t="array" ref="K33">((SUM(IF((CkDJ[Ofc Code]=(TRIM(K$7)))*(CkDJ[Account Code]=(TRIM($D33))),CkDJ[Credit])))+(SUM(IF((CsDJ[Ofc Code]=(TRIM(K$7)))*(CsDJ[Account Code]=(TRIM($D33))),CsDJ[Credit])))+(SUM(IF((CRDJ[Ofc Code]=(TRIM(K$7)))*(CRDJ[Account Code]=(TRIM($D33))),CRDJ[Credit])))+(SUM(IF((GJ[Ofc Code]=(TRIM(K$7)))*(GJ[Account Code]=(TRIM($D33))),GJ[Credit]))))-((SUM(IF((CkDJ[Ofc Code]=(TRIM(K$7)))*(CkDJ[Account Code]=(TRIM($D33))),CkDJ[Debit])))+(SUM(IF((CsDJ[Ofc Code]=(TRIM(K$7)))*(CsDJ[Account Code]=(TRIM($D33))),CsDJ[Debit])))+(SUM(IF((CRDJ[Ofc Code]=(TRIM(K$7)))*(CRDJ[Account Code]=(TRIM($D33))),CRDJ[Debit])))+(SUM(IF((GJ[Ofc Code]=(TRIM(K$7)))*(GJ[Account Code]=(TRIM($D33))),GJ[Debit]))))</f>
        <v>0</v>
      </c>
      <c r="L33" s="211">
        <f t="array" ref="L33">((SUM(IF((CkDJ[Ofc Code]=(TRIM(L$7)))*(CkDJ[Account Code]=(TRIM($D33))),CkDJ[Credit])))+(SUM(IF((CsDJ[Ofc Code]=(TRIM(L$7)))*(CsDJ[Account Code]=(TRIM($D33))),CsDJ[Credit])))+(SUM(IF((CRDJ[Ofc Code]=(TRIM(L$7)))*(CRDJ[Account Code]=(TRIM($D33))),CRDJ[Credit])))+(SUM(IF((GJ[Ofc Code]=(TRIM(L$7)))*(GJ[Account Code]=(TRIM($D33))),GJ[Credit]))))-((SUM(IF((CkDJ[Ofc Code]=(TRIM(L$7)))*(CkDJ[Account Code]=(TRIM($D33))),CkDJ[Debit])))+(SUM(IF((CsDJ[Ofc Code]=(TRIM(L$7)))*(CsDJ[Account Code]=(TRIM($D33))),CsDJ[Debit])))+(SUM(IF((CRDJ[Ofc Code]=(TRIM(L$7)))*(CRDJ[Account Code]=(TRIM($D33))),CRDJ[Debit])))+(SUM(IF((GJ[Ofc Code]=(TRIM(L$7)))*(GJ[Account Code]=(TRIM($D33))),GJ[Debit]))))</f>
        <v>0</v>
      </c>
      <c r="M33" s="211">
        <f t="array" ref="M33">((SUM(IF((CkDJ[Ofc Code]=(TRIM(M$7)))*(CkDJ[Account Code]=(TRIM($D33))),CkDJ[Credit])))+(SUM(IF((CsDJ[Ofc Code]=(TRIM(M$7)))*(CsDJ[Account Code]=(TRIM($D33))),CsDJ[Credit])))+(SUM(IF((CRDJ[Ofc Code]=(TRIM(M$7)))*(CRDJ[Account Code]=(TRIM($D33))),CRDJ[Credit])))+(SUM(IF((GJ[Ofc Code]=(TRIM(M$7)))*(GJ[Account Code]=(TRIM($D33))),GJ[Credit]))))-((SUM(IF((CkDJ[Ofc Code]=(TRIM(M$7)))*(CkDJ[Account Code]=(TRIM($D33))),CkDJ[Debit])))+(SUM(IF((CsDJ[Ofc Code]=(TRIM(M$7)))*(CsDJ[Account Code]=(TRIM($D33))),CsDJ[Debit])))+(SUM(IF((CRDJ[Ofc Code]=(TRIM(M$7)))*(CRDJ[Account Code]=(TRIM($D33))),CRDJ[Debit])))+(SUM(IF((GJ[Ofc Code]=(TRIM(M$7)))*(GJ[Account Code]=(TRIM($D33))),GJ[Debit]))))</f>
        <v>0</v>
      </c>
      <c r="N33" s="211">
        <f t="array" ref="N33">((SUM(IF((CkDJ[Ofc Code]=(TRIM(N$7)))*(CkDJ[Account Code]=(TRIM($D33))),CkDJ[Credit])))+(SUM(IF((CsDJ[Ofc Code]=(TRIM(N$7)))*(CsDJ[Account Code]=(TRIM($D33))),CsDJ[Credit])))+(SUM(IF((CRDJ[Ofc Code]=(TRIM(N$7)))*(CRDJ[Account Code]=(TRIM($D33))),CRDJ[Credit])))+(SUM(IF((GJ[Ofc Code]=(TRIM(N$7)))*(GJ[Account Code]=(TRIM($D33))),GJ[Credit]))))-((SUM(IF((CkDJ[Ofc Code]=(TRIM(N$7)))*(CkDJ[Account Code]=(TRIM($D33))),CkDJ[Debit])))+(SUM(IF((CsDJ[Ofc Code]=(TRIM(N$7)))*(CsDJ[Account Code]=(TRIM($D33))),CsDJ[Debit])))+(SUM(IF((CRDJ[Ofc Code]=(TRIM(N$7)))*(CRDJ[Account Code]=(TRIM($D33))),CRDJ[Debit])))+(SUM(IF((GJ[Ofc Code]=(TRIM(N$7)))*(GJ[Account Code]=(TRIM($D33))),GJ[Debit]))))</f>
        <v>0</v>
      </c>
      <c r="O33" s="211">
        <f t="shared" si="2"/>
        <v>0</v>
      </c>
      <c r="P33" s="211">
        <f t="array" ref="P33">((SUM(IF((CkDJ[Ofc Code]=(TRIM(P$7)))*(CkDJ[Account Code]=(TRIM($D33))),CkDJ[Credit])))+(SUM(IF((CsDJ[Ofc Code]=(TRIM(P$7)))*(CsDJ[Account Code]=(TRIM($D33))),CsDJ[Credit])))+(SUM(IF((CRDJ[Ofc Code]=(TRIM(P$7)))*(CRDJ[Account Code]=(TRIM($D33))),CRDJ[Credit])))+(SUM(IF((GJ[Ofc Code]=(TRIM(P$7)))*(GJ[Account Code]=(TRIM($D33))),GJ[Credit]))))-((SUM(IF((CkDJ[Ofc Code]=(TRIM(P$7)))*(CkDJ[Account Code]=(TRIM($D33))),CkDJ[Debit])))+(SUM(IF((CsDJ[Ofc Code]=(TRIM(P$7)))*(CsDJ[Account Code]=(TRIM($D33))),CsDJ[Debit])))+(SUM(IF((CRDJ[Ofc Code]=(TRIM(P$7)))*(CRDJ[Account Code]=(TRIM($D33))),CRDJ[Debit])))+(SUM(IF((GJ[Ofc Code]=(TRIM(P$7)))*(GJ[Account Code]=(TRIM($D33))),GJ[Debit]))))</f>
        <v>0</v>
      </c>
      <c r="Q33" s="211">
        <f t="array" ref="Q33">((SUM(IF((CkDJ[Ofc Code]=(TRIM(Q$7)))*(CkDJ[Account Code]=(TRIM($D33))),CkDJ[Credit])))+(SUM(IF((CsDJ[Ofc Code]=(TRIM(Q$7)))*(CsDJ[Account Code]=(TRIM($D33))),CsDJ[Credit])))+(SUM(IF((CRDJ[Ofc Code]=(TRIM(Q$7)))*(CRDJ[Account Code]=(TRIM($D33))),CRDJ[Credit])))+(SUM(IF((GJ[Ofc Code]=(TRIM(Q$7)))*(GJ[Account Code]=(TRIM($D33))),GJ[Credit]))))-((SUM(IF((CkDJ[Ofc Code]=(TRIM(Q$7)))*(CkDJ[Account Code]=(TRIM($D33))),CkDJ[Debit])))+(SUM(IF((CsDJ[Ofc Code]=(TRIM(Q$7)))*(CsDJ[Account Code]=(TRIM($D33))),CsDJ[Debit])))+(SUM(IF((CRDJ[Ofc Code]=(TRIM(Q$7)))*(CRDJ[Account Code]=(TRIM($D33))),CRDJ[Debit])))+(SUM(IF((GJ[Ofc Code]=(TRIM(Q$7)))*(GJ[Account Code]=(TRIM($D33))),GJ[Debit]))))</f>
        <v>0</v>
      </c>
      <c r="R33" s="211">
        <f t="array" ref="R33">((SUM(IF((CkDJ[Ofc Code]=(TRIM(R$7)))*(CkDJ[Account Code]=(TRIM($D33))),CkDJ[Credit])))+(SUM(IF((CsDJ[Ofc Code]=(TRIM(R$7)))*(CsDJ[Account Code]=(TRIM($D33))),CsDJ[Credit])))+(SUM(IF((CRDJ[Ofc Code]=(TRIM(R$7)))*(CRDJ[Account Code]=(TRIM($D33))),CRDJ[Credit])))+(SUM(IF((GJ[Ofc Code]=(TRIM(R$7)))*(GJ[Account Code]=(TRIM($D33))),GJ[Credit]))))-((SUM(IF((CkDJ[Ofc Code]=(TRIM(R$7)))*(CkDJ[Account Code]=(TRIM($D33))),CkDJ[Debit])))+(SUM(IF((CsDJ[Ofc Code]=(TRIM(R$7)))*(CsDJ[Account Code]=(TRIM($D33))),CsDJ[Debit])))+(SUM(IF((CRDJ[Ofc Code]=(TRIM(R$7)))*(CRDJ[Account Code]=(TRIM($D33))),CRDJ[Debit])))+(SUM(IF((GJ[Ofc Code]=(TRIM(R$7)))*(GJ[Account Code]=(TRIM($D33))),GJ[Debit]))))</f>
        <v>0</v>
      </c>
      <c r="S33" s="211">
        <f t="array" ref="S33">((SUM(IF((CkDJ[Ofc Code]=(TRIM(S$7)))*(CkDJ[Account Code]=(TRIM($D33))),CkDJ[Credit])))+(SUM(IF((CsDJ[Ofc Code]=(TRIM(S$7)))*(CsDJ[Account Code]=(TRIM($D33))),CsDJ[Credit])))+(SUM(IF((CRDJ[Ofc Code]=(TRIM(S$7)))*(CRDJ[Account Code]=(TRIM($D33))),CRDJ[Credit])))+(SUM(IF((GJ[Ofc Code]=(TRIM(S$7)))*(GJ[Account Code]=(TRIM($D33))),GJ[Credit]))))-((SUM(IF((CkDJ[Ofc Code]=(TRIM(S$7)))*(CkDJ[Account Code]=(TRIM($D33))),CkDJ[Debit])))+(SUM(IF((CsDJ[Ofc Code]=(TRIM(S$7)))*(CsDJ[Account Code]=(TRIM($D33))),CsDJ[Debit])))+(SUM(IF((CRDJ[Ofc Code]=(TRIM(S$7)))*(CRDJ[Account Code]=(TRIM($D33))),CRDJ[Debit])))+(SUM(IF((GJ[Ofc Code]=(TRIM(S$7)))*(GJ[Account Code]=(TRIM($D33))),GJ[Debit]))))</f>
        <v>0</v>
      </c>
      <c r="T33" s="211">
        <f t="array" ref="T33">((SUM(IF((CkDJ[Ofc Code]=(TRIM(T$7)))*(CkDJ[Account Code]=(TRIM($D33))),CkDJ[Credit])))+(SUM(IF((CsDJ[Ofc Code]=(TRIM(T$7)))*(CsDJ[Account Code]=(TRIM($D33))),CsDJ[Credit])))+(SUM(IF((CRDJ[Ofc Code]=(TRIM(T$7)))*(CRDJ[Account Code]=(TRIM($D33))),CRDJ[Credit])))+(SUM(IF((GJ[Ofc Code]=(TRIM(T$7)))*(GJ[Account Code]=(TRIM($D33))),GJ[Credit]))))-((SUM(IF((CkDJ[Ofc Code]=(TRIM(T$7)))*(CkDJ[Account Code]=(TRIM($D33))),CkDJ[Debit])))+(SUM(IF((CsDJ[Ofc Code]=(TRIM(T$7)))*(CsDJ[Account Code]=(TRIM($D33))),CsDJ[Debit])))+(SUM(IF((CRDJ[Ofc Code]=(TRIM(T$7)))*(CRDJ[Account Code]=(TRIM($D33))),CRDJ[Debit])))+(SUM(IF((GJ[Ofc Code]=(TRIM(T$7)))*(GJ[Account Code]=(TRIM($D33))),GJ[Debit]))))</f>
        <v>0</v>
      </c>
      <c r="U33" s="211">
        <f t="shared" si="3"/>
        <v>0</v>
      </c>
      <c r="V33" s="211">
        <f t="shared" si="4"/>
        <v>0</v>
      </c>
    </row>
    <row r="34" spans="1:22" ht="15">
      <c r="A34" s="212">
        <f t="shared" si="5"/>
        <v>26</v>
      </c>
      <c r="B34" s="194"/>
      <c r="C34" s="194" t="e">
        <f>IF(D34=0,"",(VLOOKUP((TRIM(D34)),Code,2,)))</f>
        <v>#N/A</v>
      </c>
      <c r="D34" s="207" t="s">
        <v>158</v>
      </c>
      <c r="E34" s="211">
        <f t="array" ref="E34">((SUM(IF((CkDJ[Ofc Code]=(TRIM(E$7)))*(CkDJ[Account Code]=(TRIM($D34))),CkDJ[Credit])))+(SUM(IF((CsDJ[Ofc Code]=(TRIM(E$7)))*(CsDJ[Account Code]=(TRIM($D34))),CsDJ[Credit])))+(SUM(IF((CRDJ[Ofc Code]=(TRIM(E$7)))*(CRDJ[Account Code]=(TRIM($D34))),CRDJ[Credit])))+(SUM(IF((GJ[Ofc Code]=(TRIM(E$7)))*(GJ[Account Code]=(TRIM($D34))),GJ[Credit]))))-((SUM(IF((CkDJ[Ofc Code]=(TRIM(E$7)))*(CkDJ[Account Code]=(TRIM($D34))),CkDJ[Debit])))+(SUM(IF((CsDJ[Ofc Code]=(TRIM(E$7)))*(CsDJ[Account Code]=(TRIM($D34))),CsDJ[Debit])))+(SUM(IF((CRDJ[Ofc Code]=(TRIM(E$7)))*(CRDJ[Account Code]=(TRIM($D34))),CRDJ[Debit])))+(SUM(IF((GJ[Ofc Code]=(TRIM(E$7)))*(GJ[Account Code]=(TRIM($D34))),GJ[Debit]))))</f>
        <v>0</v>
      </c>
      <c r="F34" s="211">
        <f t="array" ref="F34">((SUM(IF((CkDJ[Ofc Code]=(TRIM(F$7)))*(CkDJ[Account Code]=(TRIM($D34))),CkDJ[Credit])))+(SUM(IF((CsDJ[Ofc Code]=(TRIM(F$7)))*(CsDJ[Account Code]=(TRIM($D34))),CsDJ[Credit])))+(SUM(IF((CRDJ[Ofc Code]=(TRIM(F$7)))*(CRDJ[Account Code]=(TRIM($D34))),CRDJ[Credit])))+(SUM(IF((GJ[Ofc Code]=(TRIM(F$7)))*(GJ[Account Code]=(TRIM($D34))),GJ[Credit]))))-((SUM(IF((CkDJ[Ofc Code]=(TRIM(F$7)))*(CkDJ[Account Code]=(TRIM($D34))),CkDJ[Debit])))+(SUM(IF((CsDJ[Ofc Code]=(TRIM(F$7)))*(CsDJ[Account Code]=(TRIM($D34))),CsDJ[Debit])))+(SUM(IF((CRDJ[Ofc Code]=(TRIM(F$7)))*(CRDJ[Account Code]=(TRIM($D34))),CRDJ[Debit])))+(SUM(IF((GJ[Ofc Code]=(TRIM(F$7)))*(GJ[Account Code]=(TRIM($D34))),GJ[Debit]))))</f>
        <v>0</v>
      </c>
      <c r="G34" s="211">
        <f t="array" ref="G34">((SUM(IF((CkDJ[Ofc Code]=(TRIM(G$7)))*(CkDJ[Account Code]=(TRIM($D34))),CkDJ[Credit])))+(SUM(IF((CsDJ[Ofc Code]=(TRIM(G$7)))*(CsDJ[Account Code]=(TRIM($D34))),CsDJ[Credit])))+(SUM(IF((CRDJ[Ofc Code]=(TRIM(G$7)))*(CRDJ[Account Code]=(TRIM($D34))),CRDJ[Credit])))+(SUM(IF((GJ[Ofc Code]=(TRIM(G$7)))*(GJ[Account Code]=(TRIM($D34))),GJ[Credit]))))-((SUM(IF((CkDJ[Ofc Code]=(TRIM(G$7)))*(CkDJ[Account Code]=(TRIM($D34))),CkDJ[Debit])))+(SUM(IF((CsDJ[Ofc Code]=(TRIM(G$7)))*(CsDJ[Account Code]=(TRIM($D34))),CsDJ[Debit])))+(SUM(IF((CRDJ[Ofc Code]=(TRIM(G$7)))*(CRDJ[Account Code]=(TRIM($D34))),CRDJ[Debit])))+(SUM(IF((GJ[Ofc Code]=(TRIM(G$7)))*(GJ[Account Code]=(TRIM($D34))),GJ[Debit]))))</f>
        <v>0</v>
      </c>
      <c r="H34" s="211">
        <f t="array" ref="H34">((SUM(IF((CkDJ[Ofc Code]=(TRIM(H$7)))*(CkDJ[Account Code]=(TRIM($D34))),CkDJ[Credit])))+(SUM(IF((CsDJ[Ofc Code]=(TRIM(H$7)))*(CsDJ[Account Code]=(TRIM($D34))),CsDJ[Credit])))+(SUM(IF((CRDJ[Ofc Code]=(TRIM(H$7)))*(CRDJ[Account Code]=(TRIM($D34))),CRDJ[Credit])))+(SUM(IF((GJ[Ofc Code]=(TRIM(H$7)))*(GJ[Account Code]=(TRIM($D34))),GJ[Credit]))))-((SUM(IF((CkDJ[Ofc Code]=(TRIM(H$7)))*(CkDJ[Account Code]=(TRIM($D34))),CkDJ[Debit])))+(SUM(IF((CsDJ[Ofc Code]=(TRIM(H$7)))*(CsDJ[Account Code]=(TRIM($D34))),CsDJ[Debit])))+(SUM(IF((CRDJ[Ofc Code]=(TRIM(H$7)))*(CRDJ[Account Code]=(TRIM($D34))),CRDJ[Debit])))+(SUM(IF((GJ[Ofc Code]=(TRIM(H$7)))*(GJ[Account Code]=(TRIM($D34))),GJ[Debit]))))</f>
        <v>0</v>
      </c>
      <c r="I34" s="211">
        <f t="array" ref="I34">((SUM(IF((CkDJ[Ofc Code]=(TRIM(I$7)))*(CkDJ[Account Code]=(TRIM($D34))),CkDJ[Credit])))+(SUM(IF((CsDJ[Ofc Code]=(TRIM(I$7)))*(CsDJ[Account Code]=(TRIM($D34))),CsDJ[Credit])))+(SUM(IF((CRDJ[Ofc Code]=(TRIM(I$7)))*(CRDJ[Account Code]=(TRIM($D34))),CRDJ[Credit])))+(SUM(IF((GJ[Ofc Code]=(TRIM(I$7)))*(GJ[Account Code]=(TRIM($D34))),GJ[Credit]))))-((SUM(IF((CkDJ[Ofc Code]=(TRIM(I$7)))*(CkDJ[Account Code]=(TRIM($D34))),CkDJ[Debit])))+(SUM(IF((CsDJ[Ofc Code]=(TRIM(I$7)))*(CsDJ[Account Code]=(TRIM($D34))),CsDJ[Debit])))+(SUM(IF((CRDJ[Ofc Code]=(TRIM(I$7)))*(CRDJ[Account Code]=(TRIM($D34))),CRDJ[Debit])))+(SUM(IF((GJ[Ofc Code]=(TRIM(I$7)))*(GJ[Account Code]=(TRIM($D34))),GJ[Debit]))))</f>
        <v>0</v>
      </c>
      <c r="J34" s="211">
        <f>SUM(F34:I34)</f>
        <v>0</v>
      </c>
      <c r="K34" s="211">
        <f t="array" ref="K34">((SUM(IF((CkDJ[Ofc Code]=(TRIM(K$7)))*(CkDJ[Account Code]=(TRIM($D34))),CkDJ[Credit])))+(SUM(IF((CsDJ[Ofc Code]=(TRIM(K$7)))*(CsDJ[Account Code]=(TRIM($D34))),CsDJ[Credit])))+(SUM(IF((CRDJ[Ofc Code]=(TRIM(K$7)))*(CRDJ[Account Code]=(TRIM($D34))),CRDJ[Credit])))+(SUM(IF((GJ[Ofc Code]=(TRIM(K$7)))*(GJ[Account Code]=(TRIM($D34))),GJ[Credit]))))-((SUM(IF((CkDJ[Ofc Code]=(TRIM(K$7)))*(CkDJ[Account Code]=(TRIM($D34))),CkDJ[Debit])))+(SUM(IF((CsDJ[Ofc Code]=(TRIM(K$7)))*(CsDJ[Account Code]=(TRIM($D34))),CsDJ[Debit])))+(SUM(IF((CRDJ[Ofc Code]=(TRIM(K$7)))*(CRDJ[Account Code]=(TRIM($D34))),CRDJ[Debit])))+(SUM(IF((GJ[Ofc Code]=(TRIM(K$7)))*(GJ[Account Code]=(TRIM($D34))),GJ[Debit]))))</f>
        <v>0</v>
      </c>
      <c r="L34" s="211">
        <f t="array" ref="L34">((SUM(IF((CkDJ[Ofc Code]=(TRIM(L$7)))*(CkDJ[Account Code]=(TRIM($D34))),CkDJ[Credit])))+(SUM(IF((CsDJ[Ofc Code]=(TRIM(L$7)))*(CsDJ[Account Code]=(TRIM($D34))),CsDJ[Credit])))+(SUM(IF((CRDJ[Ofc Code]=(TRIM(L$7)))*(CRDJ[Account Code]=(TRIM($D34))),CRDJ[Credit])))+(SUM(IF((GJ[Ofc Code]=(TRIM(L$7)))*(GJ[Account Code]=(TRIM($D34))),GJ[Credit]))))-((SUM(IF((CkDJ[Ofc Code]=(TRIM(L$7)))*(CkDJ[Account Code]=(TRIM($D34))),CkDJ[Debit])))+(SUM(IF((CsDJ[Ofc Code]=(TRIM(L$7)))*(CsDJ[Account Code]=(TRIM($D34))),CsDJ[Debit])))+(SUM(IF((CRDJ[Ofc Code]=(TRIM(L$7)))*(CRDJ[Account Code]=(TRIM($D34))),CRDJ[Debit])))+(SUM(IF((GJ[Ofc Code]=(TRIM(L$7)))*(GJ[Account Code]=(TRIM($D34))),GJ[Debit]))))</f>
        <v>0</v>
      </c>
      <c r="M34" s="211">
        <f t="array" ref="M34">((SUM(IF((CkDJ[Ofc Code]=(TRIM(M$7)))*(CkDJ[Account Code]=(TRIM($D34))),CkDJ[Credit])))+(SUM(IF((CsDJ[Ofc Code]=(TRIM(M$7)))*(CsDJ[Account Code]=(TRIM($D34))),CsDJ[Credit])))+(SUM(IF((CRDJ[Ofc Code]=(TRIM(M$7)))*(CRDJ[Account Code]=(TRIM($D34))),CRDJ[Credit])))+(SUM(IF((GJ[Ofc Code]=(TRIM(M$7)))*(GJ[Account Code]=(TRIM($D34))),GJ[Credit]))))-((SUM(IF((CkDJ[Ofc Code]=(TRIM(M$7)))*(CkDJ[Account Code]=(TRIM($D34))),CkDJ[Debit])))+(SUM(IF((CsDJ[Ofc Code]=(TRIM(M$7)))*(CsDJ[Account Code]=(TRIM($D34))),CsDJ[Debit])))+(SUM(IF((CRDJ[Ofc Code]=(TRIM(M$7)))*(CRDJ[Account Code]=(TRIM($D34))),CRDJ[Debit])))+(SUM(IF((GJ[Ofc Code]=(TRIM(M$7)))*(GJ[Account Code]=(TRIM($D34))),GJ[Debit]))))</f>
        <v>0</v>
      </c>
      <c r="N34" s="211">
        <f t="array" ref="N34">((SUM(IF((CkDJ[Ofc Code]=(TRIM(N$7)))*(CkDJ[Account Code]=(TRIM($D34))),CkDJ[Credit])))+(SUM(IF((CsDJ[Ofc Code]=(TRIM(N$7)))*(CsDJ[Account Code]=(TRIM($D34))),CsDJ[Credit])))+(SUM(IF((CRDJ[Ofc Code]=(TRIM(N$7)))*(CRDJ[Account Code]=(TRIM($D34))),CRDJ[Credit])))+(SUM(IF((GJ[Ofc Code]=(TRIM(N$7)))*(GJ[Account Code]=(TRIM($D34))),GJ[Credit]))))-((SUM(IF((CkDJ[Ofc Code]=(TRIM(N$7)))*(CkDJ[Account Code]=(TRIM($D34))),CkDJ[Debit])))+(SUM(IF((CsDJ[Ofc Code]=(TRIM(N$7)))*(CsDJ[Account Code]=(TRIM($D34))),CsDJ[Debit])))+(SUM(IF((CRDJ[Ofc Code]=(TRIM(N$7)))*(CRDJ[Account Code]=(TRIM($D34))),CRDJ[Debit])))+(SUM(IF((GJ[Ofc Code]=(TRIM(N$7)))*(GJ[Account Code]=(TRIM($D34))),GJ[Debit]))))</f>
        <v>0</v>
      </c>
      <c r="O34" s="211">
        <f>SUM(K34:N34)</f>
        <v>0</v>
      </c>
      <c r="P34" s="211">
        <f t="array" ref="P34">((SUM(IF((CkDJ[Ofc Code]=(TRIM(P$7)))*(CkDJ[Account Code]=(TRIM($D34))),CkDJ[Credit])))+(SUM(IF((CsDJ[Ofc Code]=(TRIM(P$7)))*(CsDJ[Account Code]=(TRIM($D34))),CsDJ[Credit])))+(SUM(IF((CRDJ[Ofc Code]=(TRIM(P$7)))*(CRDJ[Account Code]=(TRIM($D34))),CRDJ[Credit])))+(SUM(IF((GJ[Ofc Code]=(TRIM(P$7)))*(GJ[Account Code]=(TRIM($D34))),GJ[Credit]))))-((SUM(IF((CkDJ[Ofc Code]=(TRIM(P$7)))*(CkDJ[Account Code]=(TRIM($D34))),CkDJ[Debit])))+(SUM(IF((CsDJ[Ofc Code]=(TRIM(P$7)))*(CsDJ[Account Code]=(TRIM($D34))),CsDJ[Debit])))+(SUM(IF((CRDJ[Ofc Code]=(TRIM(P$7)))*(CRDJ[Account Code]=(TRIM($D34))),CRDJ[Debit])))+(SUM(IF((GJ[Ofc Code]=(TRIM(P$7)))*(GJ[Account Code]=(TRIM($D34))),GJ[Debit]))))</f>
        <v>0</v>
      </c>
      <c r="Q34" s="211">
        <f t="array" ref="Q34">((SUM(IF((CkDJ[Ofc Code]=(TRIM(Q$7)))*(CkDJ[Account Code]=(TRIM($D34))),CkDJ[Credit])))+(SUM(IF((CsDJ[Ofc Code]=(TRIM(Q$7)))*(CsDJ[Account Code]=(TRIM($D34))),CsDJ[Credit])))+(SUM(IF((CRDJ[Ofc Code]=(TRIM(Q$7)))*(CRDJ[Account Code]=(TRIM($D34))),CRDJ[Credit])))+(SUM(IF((GJ[Ofc Code]=(TRIM(Q$7)))*(GJ[Account Code]=(TRIM($D34))),GJ[Credit]))))-((SUM(IF((CkDJ[Ofc Code]=(TRIM(Q$7)))*(CkDJ[Account Code]=(TRIM($D34))),CkDJ[Debit])))+(SUM(IF((CsDJ[Ofc Code]=(TRIM(Q$7)))*(CsDJ[Account Code]=(TRIM($D34))),CsDJ[Debit])))+(SUM(IF((CRDJ[Ofc Code]=(TRIM(Q$7)))*(CRDJ[Account Code]=(TRIM($D34))),CRDJ[Debit])))+(SUM(IF((GJ[Ofc Code]=(TRIM(Q$7)))*(GJ[Account Code]=(TRIM($D34))),GJ[Debit]))))</f>
        <v>0</v>
      </c>
      <c r="R34" s="211">
        <f t="array" ref="R34">((SUM(IF((CkDJ[Ofc Code]=(TRIM(R$7)))*(CkDJ[Account Code]=(TRIM($D34))),CkDJ[Credit])))+(SUM(IF((CsDJ[Ofc Code]=(TRIM(R$7)))*(CsDJ[Account Code]=(TRIM($D34))),CsDJ[Credit])))+(SUM(IF((CRDJ[Ofc Code]=(TRIM(R$7)))*(CRDJ[Account Code]=(TRIM($D34))),CRDJ[Credit])))+(SUM(IF((GJ[Ofc Code]=(TRIM(R$7)))*(GJ[Account Code]=(TRIM($D34))),GJ[Credit]))))-((SUM(IF((CkDJ[Ofc Code]=(TRIM(R$7)))*(CkDJ[Account Code]=(TRIM($D34))),CkDJ[Debit])))+(SUM(IF((CsDJ[Ofc Code]=(TRIM(R$7)))*(CsDJ[Account Code]=(TRIM($D34))),CsDJ[Debit])))+(SUM(IF((CRDJ[Ofc Code]=(TRIM(R$7)))*(CRDJ[Account Code]=(TRIM($D34))),CRDJ[Debit])))+(SUM(IF((GJ[Ofc Code]=(TRIM(R$7)))*(GJ[Account Code]=(TRIM($D34))),GJ[Debit]))))</f>
        <v>0</v>
      </c>
      <c r="S34" s="211">
        <f t="array" ref="S34">((SUM(IF((CkDJ[Ofc Code]=(TRIM(S$7)))*(CkDJ[Account Code]=(TRIM($D34))),CkDJ[Credit])))+(SUM(IF((CsDJ[Ofc Code]=(TRIM(S$7)))*(CsDJ[Account Code]=(TRIM($D34))),CsDJ[Credit])))+(SUM(IF((CRDJ[Ofc Code]=(TRIM(S$7)))*(CRDJ[Account Code]=(TRIM($D34))),CRDJ[Credit])))+(SUM(IF((GJ[Ofc Code]=(TRIM(S$7)))*(GJ[Account Code]=(TRIM($D34))),GJ[Credit]))))-((SUM(IF((CkDJ[Ofc Code]=(TRIM(S$7)))*(CkDJ[Account Code]=(TRIM($D34))),CkDJ[Debit])))+(SUM(IF((CsDJ[Ofc Code]=(TRIM(S$7)))*(CsDJ[Account Code]=(TRIM($D34))),CsDJ[Debit])))+(SUM(IF((CRDJ[Ofc Code]=(TRIM(S$7)))*(CRDJ[Account Code]=(TRIM($D34))),CRDJ[Debit])))+(SUM(IF((GJ[Ofc Code]=(TRIM(S$7)))*(GJ[Account Code]=(TRIM($D34))),GJ[Debit]))))</f>
        <v>0</v>
      </c>
      <c r="T34" s="211">
        <f t="array" ref="T34">((SUM(IF((CkDJ[Ofc Code]=(TRIM(T$7)))*(CkDJ[Account Code]=(TRIM($D34))),CkDJ[Credit])))+(SUM(IF((CsDJ[Ofc Code]=(TRIM(T$7)))*(CsDJ[Account Code]=(TRIM($D34))),CsDJ[Credit])))+(SUM(IF((CRDJ[Ofc Code]=(TRIM(T$7)))*(CRDJ[Account Code]=(TRIM($D34))),CRDJ[Credit])))+(SUM(IF((GJ[Ofc Code]=(TRIM(T$7)))*(GJ[Account Code]=(TRIM($D34))),GJ[Credit]))))-((SUM(IF((CkDJ[Ofc Code]=(TRIM(T$7)))*(CkDJ[Account Code]=(TRIM($D34))),CkDJ[Debit])))+(SUM(IF((CsDJ[Ofc Code]=(TRIM(T$7)))*(CsDJ[Account Code]=(TRIM($D34))),CsDJ[Debit])))+(SUM(IF((CRDJ[Ofc Code]=(TRIM(T$7)))*(CRDJ[Account Code]=(TRIM($D34))),CRDJ[Debit])))+(SUM(IF((GJ[Ofc Code]=(TRIM(T$7)))*(GJ[Account Code]=(TRIM($D34))),GJ[Debit]))))</f>
        <v>0</v>
      </c>
      <c r="U34" s="211">
        <f>SUM(P34:T34)</f>
        <v>0</v>
      </c>
      <c r="V34" s="211">
        <f>E34+J34+O34+U34</f>
        <v>0</v>
      </c>
    </row>
    <row r="35" spans="1:22" ht="15">
      <c r="A35" s="212">
        <f t="shared" si="5"/>
        <v>27</v>
      </c>
      <c r="B35" s="194"/>
      <c r="C35" s="194" t="e">
        <f t="shared" si="0"/>
        <v>#N/A</v>
      </c>
      <c r="D35" s="207" t="s">
        <v>161</v>
      </c>
      <c r="E35" s="211">
        <f t="array" ref="E35">((SUM(IF((CkDJ[Ofc Code]=(TRIM(E$7)))*(CkDJ[Account Code]=(TRIM($D35))),CkDJ[Credit])))+(SUM(IF((CsDJ[Ofc Code]=(TRIM(E$7)))*(CsDJ[Account Code]=(TRIM($D35))),CsDJ[Credit])))+(SUM(IF((CRDJ[Ofc Code]=(TRIM(E$7)))*(CRDJ[Account Code]=(TRIM($D35))),CRDJ[Credit])))+(SUM(IF((GJ[Ofc Code]=(TRIM(E$7)))*(GJ[Account Code]=(TRIM($D35))),GJ[Credit]))))-((SUM(IF((CkDJ[Ofc Code]=(TRIM(E$7)))*(CkDJ[Account Code]=(TRIM($D35))),CkDJ[Debit])))+(SUM(IF((CsDJ[Ofc Code]=(TRIM(E$7)))*(CsDJ[Account Code]=(TRIM($D35))),CsDJ[Debit])))+(SUM(IF((CRDJ[Ofc Code]=(TRIM(E$7)))*(CRDJ[Account Code]=(TRIM($D35))),CRDJ[Debit])))+(SUM(IF((GJ[Ofc Code]=(TRIM(E$7)))*(GJ[Account Code]=(TRIM($D35))),GJ[Debit]))))</f>
        <v>0</v>
      </c>
      <c r="F35" s="211">
        <f t="array" ref="F35">((SUM(IF((CkDJ[Ofc Code]=(TRIM(F$7)))*(CkDJ[Account Code]=(TRIM($D35))),CkDJ[Credit])))+(SUM(IF((CsDJ[Ofc Code]=(TRIM(F$7)))*(CsDJ[Account Code]=(TRIM($D35))),CsDJ[Credit])))+(SUM(IF((CRDJ[Ofc Code]=(TRIM(F$7)))*(CRDJ[Account Code]=(TRIM($D35))),CRDJ[Credit])))+(SUM(IF((GJ[Ofc Code]=(TRIM(F$7)))*(GJ[Account Code]=(TRIM($D35))),GJ[Credit]))))-((SUM(IF((CkDJ[Ofc Code]=(TRIM(F$7)))*(CkDJ[Account Code]=(TRIM($D35))),CkDJ[Debit])))+(SUM(IF((CsDJ[Ofc Code]=(TRIM(F$7)))*(CsDJ[Account Code]=(TRIM($D35))),CsDJ[Debit])))+(SUM(IF((CRDJ[Ofc Code]=(TRIM(F$7)))*(CRDJ[Account Code]=(TRIM($D35))),CRDJ[Debit])))+(SUM(IF((GJ[Ofc Code]=(TRIM(F$7)))*(GJ[Account Code]=(TRIM($D35))),GJ[Debit]))))</f>
        <v>0</v>
      </c>
      <c r="G35" s="211">
        <f t="array" ref="G35">((SUM(IF((CkDJ[Ofc Code]=(TRIM(G$7)))*(CkDJ[Account Code]=(TRIM($D35))),CkDJ[Credit])))+(SUM(IF((CsDJ[Ofc Code]=(TRIM(G$7)))*(CsDJ[Account Code]=(TRIM($D35))),CsDJ[Credit])))+(SUM(IF((CRDJ[Ofc Code]=(TRIM(G$7)))*(CRDJ[Account Code]=(TRIM($D35))),CRDJ[Credit])))+(SUM(IF((GJ[Ofc Code]=(TRIM(G$7)))*(GJ[Account Code]=(TRIM($D35))),GJ[Credit]))))-((SUM(IF((CkDJ[Ofc Code]=(TRIM(G$7)))*(CkDJ[Account Code]=(TRIM($D35))),CkDJ[Debit])))+(SUM(IF((CsDJ[Ofc Code]=(TRIM(G$7)))*(CsDJ[Account Code]=(TRIM($D35))),CsDJ[Debit])))+(SUM(IF((CRDJ[Ofc Code]=(TRIM(G$7)))*(CRDJ[Account Code]=(TRIM($D35))),CRDJ[Debit])))+(SUM(IF((GJ[Ofc Code]=(TRIM(G$7)))*(GJ[Account Code]=(TRIM($D35))),GJ[Debit]))))</f>
        <v>0</v>
      </c>
      <c r="H35" s="211">
        <f t="array" ref="H35">((SUM(IF((CkDJ[Ofc Code]=(TRIM(H$7)))*(CkDJ[Account Code]=(TRIM($D35))),CkDJ[Credit])))+(SUM(IF((CsDJ[Ofc Code]=(TRIM(H$7)))*(CsDJ[Account Code]=(TRIM($D35))),CsDJ[Credit])))+(SUM(IF((CRDJ[Ofc Code]=(TRIM(H$7)))*(CRDJ[Account Code]=(TRIM($D35))),CRDJ[Credit])))+(SUM(IF((GJ[Ofc Code]=(TRIM(H$7)))*(GJ[Account Code]=(TRIM($D35))),GJ[Credit]))))-((SUM(IF((CkDJ[Ofc Code]=(TRIM(H$7)))*(CkDJ[Account Code]=(TRIM($D35))),CkDJ[Debit])))+(SUM(IF((CsDJ[Ofc Code]=(TRIM(H$7)))*(CsDJ[Account Code]=(TRIM($D35))),CsDJ[Debit])))+(SUM(IF((CRDJ[Ofc Code]=(TRIM(H$7)))*(CRDJ[Account Code]=(TRIM($D35))),CRDJ[Debit])))+(SUM(IF((GJ[Ofc Code]=(TRIM(H$7)))*(GJ[Account Code]=(TRIM($D35))),GJ[Debit]))))</f>
        <v>0</v>
      </c>
      <c r="I35" s="211">
        <f t="array" ref="I35">((SUM(IF((CkDJ[Ofc Code]=(TRIM(I$7)))*(CkDJ[Account Code]=(TRIM($D35))),CkDJ[Credit])))+(SUM(IF((CsDJ[Ofc Code]=(TRIM(I$7)))*(CsDJ[Account Code]=(TRIM($D35))),CsDJ[Credit])))+(SUM(IF((CRDJ[Ofc Code]=(TRIM(I$7)))*(CRDJ[Account Code]=(TRIM($D35))),CRDJ[Credit])))+(SUM(IF((GJ[Ofc Code]=(TRIM(I$7)))*(GJ[Account Code]=(TRIM($D35))),GJ[Credit]))))-((SUM(IF((CkDJ[Ofc Code]=(TRIM(I$7)))*(CkDJ[Account Code]=(TRIM($D35))),CkDJ[Debit])))+(SUM(IF((CsDJ[Ofc Code]=(TRIM(I$7)))*(CsDJ[Account Code]=(TRIM($D35))),CsDJ[Debit])))+(SUM(IF((CRDJ[Ofc Code]=(TRIM(I$7)))*(CRDJ[Account Code]=(TRIM($D35))),CRDJ[Debit])))+(SUM(IF((GJ[Ofc Code]=(TRIM(I$7)))*(GJ[Account Code]=(TRIM($D35))),GJ[Debit]))))</f>
        <v>0</v>
      </c>
      <c r="J35" s="211">
        <f t="shared" si="1"/>
        <v>0</v>
      </c>
      <c r="K35" s="211">
        <f t="array" ref="K35">((SUM(IF((CkDJ[Ofc Code]=(TRIM(K$7)))*(CkDJ[Account Code]=(TRIM($D35))),CkDJ[Credit])))+(SUM(IF((CsDJ[Ofc Code]=(TRIM(K$7)))*(CsDJ[Account Code]=(TRIM($D35))),CsDJ[Credit])))+(SUM(IF((CRDJ[Ofc Code]=(TRIM(K$7)))*(CRDJ[Account Code]=(TRIM($D35))),CRDJ[Credit])))+(SUM(IF((GJ[Ofc Code]=(TRIM(K$7)))*(GJ[Account Code]=(TRIM($D35))),GJ[Credit]))))-((SUM(IF((CkDJ[Ofc Code]=(TRIM(K$7)))*(CkDJ[Account Code]=(TRIM($D35))),CkDJ[Debit])))+(SUM(IF((CsDJ[Ofc Code]=(TRIM(K$7)))*(CsDJ[Account Code]=(TRIM($D35))),CsDJ[Debit])))+(SUM(IF((CRDJ[Ofc Code]=(TRIM(K$7)))*(CRDJ[Account Code]=(TRIM($D35))),CRDJ[Debit])))+(SUM(IF((GJ[Ofc Code]=(TRIM(K$7)))*(GJ[Account Code]=(TRIM($D35))),GJ[Debit]))))</f>
        <v>0</v>
      </c>
      <c r="L35" s="211">
        <f t="array" ref="L35">((SUM(IF((CkDJ[Ofc Code]=(TRIM(L$7)))*(CkDJ[Account Code]=(TRIM($D35))),CkDJ[Credit])))+(SUM(IF((CsDJ[Ofc Code]=(TRIM(L$7)))*(CsDJ[Account Code]=(TRIM($D35))),CsDJ[Credit])))+(SUM(IF((CRDJ[Ofc Code]=(TRIM(L$7)))*(CRDJ[Account Code]=(TRIM($D35))),CRDJ[Credit])))+(SUM(IF((GJ[Ofc Code]=(TRIM(L$7)))*(GJ[Account Code]=(TRIM($D35))),GJ[Credit]))))-((SUM(IF((CkDJ[Ofc Code]=(TRIM(L$7)))*(CkDJ[Account Code]=(TRIM($D35))),CkDJ[Debit])))+(SUM(IF((CsDJ[Ofc Code]=(TRIM(L$7)))*(CsDJ[Account Code]=(TRIM($D35))),CsDJ[Debit])))+(SUM(IF((CRDJ[Ofc Code]=(TRIM(L$7)))*(CRDJ[Account Code]=(TRIM($D35))),CRDJ[Debit])))+(SUM(IF((GJ[Ofc Code]=(TRIM(L$7)))*(GJ[Account Code]=(TRIM($D35))),GJ[Debit]))))</f>
        <v>0</v>
      </c>
      <c r="M35" s="211">
        <f t="array" ref="M35">((SUM(IF((CkDJ[Ofc Code]=(TRIM(M$7)))*(CkDJ[Account Code]=(TRIM($D35))),CkDJ[Credit])))+(SUM(IF((CsDJ[Ofc Code]=(TRIM(M$7)))*(CsDJ[Account Code]=(TRIM($D35))),CsDJ[Credit])))+(SUM(IF((CRDJ[Ofc Code]=(TRIM(M$7)))*(CRDJ[Account Code]=(TRIM($D35))),CRDJ[Credit])))+(SUM(IF((GJ[Ofc Code]=(TRIM(M$7)))*(GJ[Account Code]=(TRIM($D35))),GJ[Credit]))))-((SUM(IF((CkDJ[Ofc Code]=(TRIM(M$7)))*(CkDJ[Account Code]=(TRIM($D35))),CkDJ[Debit])))+(SUM(IF((CsDJ[Ofc Code]=(TRIM(M$7)))*(CsDJ[Account Code]=(TRIM($D35))),CsDJ[Debit])))+(SUM(IF((CRDJ[Ofc Code]=(TRIM(M$7)))*(CRDJ[Account Code]=(TRIM($D35))),CRDJ[Debit])))+(SUM(IF((GJ[Ofc Code]=(TRIM(M$7)))*(GJ[Account Code]=(TRIM($D35))),GJ[Debit]))))</f>
        <v>0</v>
      </c>
      <c r="N35" s="211">
        <f t="array" ref="N35">((SUM(IF((CkDJ[Ofc Code]=(TRIM(N$7)))*(CkDJ[Account Code]=(TRIM($D35))),CkDJ[Credit])))+(SUM(IF((CsDJ[Ofc Code]=(TRIM(N$7)))*(CsDJ[Account Code]=(TRIM($D35))),CsDJ[Credit])))+(SUM(IF((CRDJ[Ofc Code]=(TRIM(N$7)))*(CRDJ[Account Code]=(TRIM($D35))),CRDJ[Credit])))+(SUM(IF((GJ[Ofc Code]=(TRIM(N$7)))*(GJ[Account Code]=(TRIM($D35))),GJ[Credit]))))-((SUM(IF((CkDJ[Ofc Code]=(TRIM(N$7)))*(CkDJ[Account Code]=(TRIM($D35))),CkDJ[Debit])))+(SUM(IF((CsDJ[Ofc Code]=(TRIM(N$7)))*(CsDJ[Account Code]=(TRIM($D35))),CsDJ[Debit])))+(SUM(IF((CRDJ[Ofc Code]=(TRIM(N$7)))*(CRDJ[Account Code]=(TRIM($D35))),CRDJ[Debit])))+(SUM(IF((GJ[Ofc Code]=(TRIM(N$7)))*(GJ[Account Code]=(TRIM($D35))),GJ[Debit]))))</f>
        <v>0</v>
      </c>
      <c r="O35" s="211">
        <f t="shared" si="2"/>
        <v>0</v>
      </c>
      <c r="P35" s="211">
        <f t="array" ref="P35">((SUM(IF((CkDJ[Ofc Code]=(TRIM(P$7)))*(CkDJ[Account Code]=(TRIM($D35))),CkDJ[Credit])))+(SUM(IF((CsDJ[Ofc Code]=(TRIM(P$7)))*(CsDJ[Account Code]=(TRIM($D35))),CsDJ[Credit])))+(SUM(IF((CRDJ[Ofc Code]=(TRIM(P$7)))*(CRDJ[Account Code]=(TRIM($D35))),CRDJ[Credit])))+(SUM(IF((GJ[Ofc Code]=(TRIM(P$7)))*(GJ[Account Code]=(TRIM($D35))),GJ[Credit]))))-((SUM(IF((CkDJ[Ofc Code]=(TRIM(P$7)))*(CkDJ[Account Code]=(TRIM($D35))),CkDJ[Debit])))+(SUM(IF((CsDJ[Ofc Code]=(TRIM(P$7)))*(CsDJ[Account Code]=(TRIM($D35))),CsDJ[Debit])))+(SUM(IF((CRDJ[Ofc Code]=(TRIM(P$7)))*(CRDJ[Account Code]=(TRIM($D35))),CRDJ[Debit])))+(SUM(IF((GJ[Ofc Code]=(TRIM(P$7)))*(GJ[Account Code]=(TRIM($D35))),GJ[Debit]))))</f>
        <v>0</v>
      </c>
      <c r="Q35" s="211">
        <f t="array" ref="Q35">((SUM(IF((CkDJ[Ofc Code]=(TRIM(Q$7)))*(CkDJ[Account Code]=(TRIM($D35))),CkDJ[Credit])))+(SUM(IF((CsDJ[Ofc Code]=(TRIM(Q$7)))*(CsDJ[Account Code]=(TRIM($D35))),CsDJ[Credit])))+(SUM(IF((CRDJ[Ofc Code]=(TRIM(Q$7)))*(CRDJ[Account Code]=(TRIM($D35))),CRDJ[Credit])))+(SUM(IF((GJ[Ofc Code]=(TRIM(Q$7)))*(GJ[Account Code]=(TRIM($D35))),GJ[Credit]))))-((SUM(IF((CkDJ[Ofc Code]=(TRIM(Q$7)))*(CkDJ[Account Code]=(TRIM($D35))),CkDJ[Debit])))+(SUM(IF((CsDJ[Ofc Code]=(TRIM(Q$7)))*(CsDJ[Account Code]=(TRIM($D35))),CsDJ[Debit])))+(SUM(IF((CRDJ[Ofc Code]=(TRIM(Q$7)))*(CRDJ[Account Code]=(TRIM($D35))),CRDJ[Debit])))+(SUM(IF((GJ[Ofc Code]=(TRIM(Q$7)))*(GJ[Account Code]=(TRIM($D35))),GJ[Debit]))))</f>
        <v>0</v>
      </c>
      <c r="R35" s="211">
        <f t="array" ref="R35">((SUM(IF((CkDJ[Ofc Code]=(TRIM(R$7)))*(CkDJ[Account Code]=(TRIM($D35))),CkDJ[Credit])))+(SUM(IF((CsDJ[Ofc Code]=(TRIM(R$7)))*(CsDJ[Account Code]=(TRIM($D35))),CsDJ[Credit])))+(SUM(IF((CRDJ[Ofc Code]=(TRIM(R$7)))*(CRDJ[Account Code]=(TRIM($D35))),CRDJ[Credit])))+(SUM(IF((GJ[Ofc Code]=(TRIM(R$7)))*(GJ[Account Code]=(TRIM($D35))),GJ[Credit]))))-((SUM(IF((CkDJ[Ofc Code]=(TRIM(R$7)))*(CkDJ[Account Code]=(TRIM($D35))),CkDJ[Debit])))+(SUM(IF((CsDJ[Ofc Code]=(TRIM(R$7)))*(CsDJ[Account Code]=(TRIM($D35))),CsDJ[Debit])))+(SUM(IF((CRDJ[Ofc Code]=(TRIM(R$7)))*(CRDJ[Account Code]=(TRIM($D35))),CRDJ[Debit])))+(SUM(IF((GJ[Ofc Code]=(TRIM(R$7)))*(GJ[Account Code]=(TRIM($D35))),GJ[Debit]))))</f>
        <v>0</v>
      </c>
      <c r="S35" s="211">
        <f t="array" ref="S35">((SUM(IF((CkDJ[Ofc Code]=(TRIM(S$7)))*(CkDJ[Account Code]=(TRIM($D35))),CkDJ[Credit])))+(SUM(IF((CsDJ[Ofc Code]=(TRIM(S$7)))*(CsDJ[Account Code]=(TRIM($D35))),CsDJ[Credit])))+(SUM(IF((CRDJ[Ofc Code]=(TRIM(S$7)))*(CRDJ[Account Code]=(TRIM($D35))),CRDJ[Credit])))+(SUM(IF((GJ[Ofc Code]=(TRIM(S$7)))*(GJ[Account Code]=(TRIM($D35))),GJ[Credit]))))-((SUM(IF((CkDJ[Ofc Code]=(TRIM(S$7)))*(CkDJ[Account Code]=(TRIM($D35))),CkDJ[Debit])))+(SUM(IF((CsDJ[Ofc Code]=(TRIM(S$7)))*(CsDJ[Account Code]=(TRIM($D35))),CsDJ[Debit])))+(SUM(IF((CRDJ[Ofc Code]=(TRIM(S$7)))*(CRDJ[Account Code]=(TRIM($D35))),CRDJ[Debit])))+(SUM(IF((GJ[Ofc Code]=(TRIM(S$7)))*(GJ[Account Code]=(TRIM($D35))),GJ[Debit]))))</f>
        <v>0</v>
      </c>
      <c r="T35" s="211">
        <f t="array" ref="T35">((SUM(IF((CkDJ[Ofc Code]=(TRIM(T$7)))*(CkDJ[Account Code]=(TRIM($D35))),CkDJ[Credit])))+(SUM(IF((CsDJ[Ofc Code]=(TRIM(T$7)))*(CsDJ[Account Code]=(TRIM($D35))),CsDJ[Credit])))+(SUM(IF((CRDJ[Ofc Code]=(TRIM(T$7)))*(CRDJ[Account Code]=(TRIM($D35))),CRDJ[Credit])))+(SUM(IF((GJ[Ofc Code]=(TRIM(T$7)))*(GJ[Account Code]=(TRIM($D35))),GJ[Credit]))))-((SUM(IF((CkDJ[Ofc Code]=(TRIM(T$7)))*(CkDJ[Account Code]=(TRIM($D35))),CkDJ[Debit])))+(SUM(IF((CsDJ[Ofc Code]=(TRIM(T$7)))*(CsDJ[Account Code]=(TRIM($D35))),CsDJ[Debit])))+(SUM(IF((CRDJ[Ofc Code]=(TRIM(T$7)))*(CRDJ[Account Code]=(TRIM($D35))),CRDJ[Debit])))+(SUM(IF((GJ[Ofc Code]=(TRIM(T$7)))*(GJ[Account Code]=(TRIM($D35))),GJ[Debit]))))</f>
        <v>0</v>
      </c>
      <c r="U35" s="211">
        <f t="shared" si="3"/>
        <v>0</v>
      </c>
      <c r="V35" s="211">
        <f t="shared" si="4"/>
        <v>0</v>
      </c>
    </row>
    <row r="36" spans="1:22" ht="15">
      <c r="A36" s="1326" t="s">
        <v>760</v>
      </c>
      <c r="B36" s="1327"/>
      <c r="C36" s="1327"/>
      <c r="D36" s="209"/>
      <c r="E36" s="208">
        <f t="shared" ref="E36:V36" si="6">SUM(E9:E35)</f>
        <v>0</v>
      </c>
      <c r="F36" s="208">
        <f t="shared" si="6"/>
        <v>0</v>
      </c>
      <c r="G36" s="208">
        <f>SUM(G9:G35)</f>
        <v>0</v>
      </c>
      <c r="H36" s="208">
        <f t="shared" si="6"/>
        <v>0</v>
      </c>
      <c r="I36" s="208">
        <f t="shared" si="6"/>
        <v>0</v>
      </c>
      <c r="J36" s="208">
        <f t="shared" si="6"/>
        <v>0</v>
      </c>
      <c r="K36" s="208">
        <f t="shared" si="6"/>
        <v>0</v>
      </c>
      <c r="L36" s="208">
        <f t="shared" si="6"/>
        <v>0</v>
      </c>
      <c r="M36" s="208">
        <f t="shared" si="6"/>
        <v>0</v>
      </c>
      <c r="N36" s="208">
        <f t="shared" si="6"/>
        <v>0</v>
      </c>
      <c r="O36" s="208">
        <f t="shared" si="6"/>
        <v>0</v>
      </c>
      <c r="P36" s="208">
        <f t="shared" si="6"/>
        <v>0</v>
      </c>
      <c r="Q36" s="208">
        <f t="shared" si="6"/>
        <v>0</v>
      </c>
      <c r="R36" s="208">
        <f t="shared" si="6"/>
        <v>0</v>
      </c>
      <c r="S36" s="208">
        <f t="shared" si="6"/>
        <v>0</v>
      </c>
      <c r="T36" s="208">
        <f t="shared" si="6"/>
        <v>0</v>
      </c>
      <c r="U36" s="208">
        <f t="shared" si="6"/>
        <v>0</v>
      </c>
      <c r="V36" s="208">
        <f t="shared" si="6"/>
        <v>0</v>
      </c>
    </row>
    <row r="37" spans="1:22" ht="15">
      <c r="A37" s="1324" t="s">
        <v>759</v>
      </c>
      <c r="B37" s="1325"/>
      <c r="C37" s="1325"/>
      <c r="D37" s="207"/>
      <c r="E37" s="211"/>
      <c r="F37" s="211"/>
      <c r="G37" s="211"/>
      <c r="H37" s="211"/>
      <c r="I37" s="211"/>
      <c r="J37" s="221"/>
      <c r="K37" s="220"/>
      <c r="L37" s="219"/>
      <c r="M37" s="218"/>
      <c r="N37" s="217"/>
      <c r="O37" s="216"/>
      <c r="P37" s="211"/>
      <c r="Q37" s="211"/>
      <c r="R37" s="211"/>
      <c r="S37" s="211"/>
      <c r="T37" s="211"/>
      <c r="U37" s="211"/>
      <c r="V37" s="211"/>
    </row>
    <row r="38" spans="1:22" ht="15">
      <c r="A38" s="212">
        <v>1</v>
      </c>
      <c r="B38" s="214" t="s">
        <v>756</v>
      </c>
      <c r="C38" s="194" t="str">
        <f t="shared" ref="C38:C60" si="7">IF(D38=0,"",(VLOOKUP((TRIM(D38)),Code,2,)))</f>
        <v>Salaries and Wages-Regular</v>
      </c>
      <c r="D38" s="215">
        <v>701</v>
      </c>
      <c r="E38" s="211">
        <f t="array" ref="E38">((SUM(IF((CkDJ[Ofc Code]=(TRIM(E$7)))*(CkDJ[Account Code]=(TRIM($D38))),CkDJ[Debit])))+(SUM(IF((CsDJ[Ofc Code]=(TRIM(E$7)))*(CsDJ[Account Code]=(TRIM($D38))),CsDJ[Debit])))+(SUM(IF((CRDJ[Ofc Code]=(TRIM(E$7)))*(CRDJ[Account Code]=(TRIM($D38))),CRDJ[Debit])))+(SUM(IF((GJ[Ofc Code]=(TRIM(E$7)))*(GJ[Account Code]=(TRIM($D38))),GJ[Debit]))))-((SUM(IF((CkDJ[Ofc Code]=(TRIM(E$7)))*(CkDJ[Account Code]=(TRIM($D38))),CkDJ[Credit])))+(SUM(IF((CsDJ[Ofc Code]=(TRIM(E$7)))*(CsDJ[Account Code]=(TRIM($D38))),CsDJ[Credit])))+(SUM(IF((CRDJ[Ofc Code]=(TRIM(E$7)))*(CRDJ[Account Code]=(TRIM($D38))),CRDJ[Credit])))+(SUM(IF((GJ[Ofc Code]=(TRIM(E$7)))*(GJ[Account Code]=(TRIM($D38))),GJ[Credit]))))</f>
        <v>0</v>
      </c>
      <c r="F38" s="211">
        <f t="array" ref="F38">((SUM(IF((CkDJ[Ofc Code]=(TRIM(F$7)))*(CkDJ[Account Code]=(TRIM($D38))),CkDJ[Debit])))+(SUM(IF((CsDJ[Ofc Code]=(TRIM(F$7)))*(CsDJ[Account Code]=(TRIM($D38))),CsDJ[Debit])))+(SUM(IF((CRDJ[Ofc Code]=(TRIM(F$7)))*(CRDJ[Account Code]=(TRIM($D38))),CRDJ[Debit])))+(SUM(IF((GJ[Ofc Code]=(TRIM(F$7)))*(GJ[Account Code]=(TRIM($D38))),GJ[Debit]))))-((SUM(IF((CkDJ[Ofc Code]=(TRIM(F$7)))*(CkDJ[Account Code]=(TRIM($D38))),CkDJ[Credit])))+(SUM(IF((CsDJ[Ofc Code]=(TRIM(F$7)))*(CsDJ[Account Code]=(TRIM($D38))),CsDJ[Credit])))+(SUM(IF((CRDJ[Ofc Code]=(TRIM(F$7)))*(CRDJ[Account Code]=(TRIM($D38))),CRDJ[Credit])))+(SUM(IF((GJ[Ofc Code]=(TRIM(F$7)))*(GJ[Account Code]=(TRIM($D38))),GJ[Credit]))))</f>
        <v>0</v>
      </c>
      <c r="G38" s="211">
        <f t="array" ref="G38">((SUM(IF((CkDJ[Ofc Code]=(TRIM(G$7)))*(CkDJ[Account Code]=(TRIM($D38))),CkDJ[Debit])))+(SUM(IF((CsDJ[Ofc Code]=(TRIM(G$7)))*(CsDJ[Account Code]=(TRIM($D38))),CsDJ[Debit])))+(SUM(IF((CRDJ[Ofc Code]=(TRIM(G$7)))*(CRDJ[Account Code]=(TRIM($D38))),CRDJ[Debit])))+(SUM(IF((GJ[Ofc Code]=(TRIM(G$7)))*(GJ[Account Code]=(TRIM($D38))),GJ[Debit]))))-((SUM(IF((CkDJ[Ofc Code]=(TRIM(G$7)))*(CkDJ[Account Code]=(TRIM($D38))),CkDJ[Credit])))+(SUM(IF((CsDJ[Ofc Code]=(TRIM(G$7)))*(CsDJ[Account Code]=(TRIM($D38))),CsDJ[Credit])))+(SUM(IF((CRDJ[Ofc Code]=(TRIM(G$7)))*(CRDJ[Account Code]=(TRIM($D38))),CRDJ[Credit])))+(SUM(IF((GJ[Ofc Code]=(TRIM(G$7)))*(GJ[Account Code]=(TRIM($D38))),GJ[Credit]))))</f>
        <v>0</v>
      </c>
      <c r="H38" s="211">
        <f t="array" ref="H38">((SUM(IF((CkDJ[Ofc Code]=(TRIM(H$7)))*(CkDJ[Account Code]=(TRIM($D38))),CkDJ[Debit])))+(SUM(IF((CsDJ[Ofc Code]=(TRIM(H$7)))*(CsDJ[Account Code]=(TRIM($D38))),CsDJ[Debit])))+(SUM(IF((CRDJ[Ofc Code]=(TRIM(H$7)))*(CRDJ[Account Code]=(TRIM($D38))),CRDJ[Debit])))+(SUM(IF((GJ[Ofc Code]=(TRIM(H$7)))*(GJ[Account Code]=(TRIM($D38))),GJ[Debit]))))-((SUM(IF((CkDJ[Ofc Code]=(TRIM(H$7)))*(CkDJ[Account Code]=(TRIM($D38))),CkDJ[Credit])))+(SUM(IF((CsDJ[Ofc Code]=(TRIM(H$7)))*(CsDJ[Account Code]=(TRIM($D38))),CsDJ[Credit])))+(SUM(IF((CRDJ[Ofc Code]=(TRIM(H$7)))*(CRDJ[Account Code]=(TRIM($D38))),CRDJ[Credit])))+(SUM(IF((GJ[Ofc Code]=(TRIM(H$7)))*(GJ[Account Code]=(TRIM($D38))),GJ[Credit]))))</f>
        <v>0</v>
      </c>
      <c r="I38" s="211">
        <f t="array" ref="I38">((SUM(IF((CkDJ[Ofc Code]=(TRIM(I$7)))*(CkDJ[Account Code]=(TRIM($D38))),CkDJ[Debit])))+(SUM(IF((CsDJ[Ofc Code]=(TRIM(I$7)))*(CsDJ[Account Code]=(TRIM($D38))),CsDJ[Debit])))+(SUM(IF((CRDJ[Ofc Code]=(TRIM(I$7)))*(CRDJ[Account Code]=(TRIM($D38))),CRDJ[Debit])))+(SUM(IF((GJ[Ofc Code]=(TRIM(I$7)))*(GJ[Account Code]=(TRIM($D38))),GJ[Debit]))))-((SUM(IF((CkDJ[Ofc Code]=(TRIM(I$7)))*(CkDJ[Account Code]=(TRIM($D38))),CkDJ[Credit])))+(SUM(IF((CsDJ[Ofc Code]=(TRIM(I$7)))*(CsDJ[Account Code]=(TRIM($D38))),CsDJ[Credit])))+(SUM(IF((CRDJ[Ofc Code]=(TRIM(I$7)))*(CRDJ[Account Code]=(TRIM($D38))),CRDJ[Credit])))+(SUM(IF((GJ[Ofc Code]=(TRIM(I$7)))*(GJ[Account Code]=(TRIM($D38))),GJ[Credit]))))</f>
        <v>0</v>
      </c>
      <c r="J38" s="211">
        <f t="shared" ref="J38:J60" si="8">SUM(F38:I38)</f>
        <v>0</v>
      </c>
      <c r="K38" s="211">
        <f t="array" ref="K38">((SUM(IF((CkDJ[Ofc Code]=(TRIM(K$7)))*(CkDJ[Account Code]=(TRIM($D38))),CkDJ[Debit])))+(SUM(IF((CsDJ[Ofc Code]=(TRIM(K$7)))*(CsDJ[Account Code]=(TRIM($D38))),CsDJ[Debit])))+(SUM(IF((CRDJ[Ofc Code]=(TRIM(K$7)))*(CRDJ[Account Code]=(TRIM($D38))),CRDJ[Debit])))+(SUM(IF((GJ[Ofc Code]=(TRIM(K$7)))*(GJ[Account Code]=(TRIM($D38))),GJ[Debit]))))-((SUM(IF((CkDJ[Ofc Code]=(TRIM(K$7)))*(CkDJ[Account Code]=(TRIM($D38))),CkDJ[Credit])))+(SUM(IF((CsDJ[Ofc Code]=(TRIM(K$7)))*(CsDJ[Account Code]=(TRIM($D38))),CsDJ[Credit])))+(SUM(IF((CRDJ[Ofc Code]=(TRIM(K$7)))*(CRDJ[Account Code]=(TRIM($D38))),CRDJ[Credit])))+(SUM(IF((GJ[Ofc Code]=(TRIM(K$7)))*(GJ[Account Code]=(TRIM($D38))),GJ[Credit]))))</f>
        <v>0</v>
      </c>
      <c r="L38" s="211">
        <f t="array" ref="L38">((SUM(IF((CkDJ[Ofc Code]=(TRIM(L$7)))*(CkDJ[Account Code]=(TRIM($D38))),CkDJ[Debit])))+(SUM(IF((CsDJ[Ofc Code]=(TRIM(L$7)))*(CsDJ[Account Code]=(TRIM($D38))),CsDJ[Debit])))+(SUM(IF((CRDJ[Ofc Code]=(TRIM(L$7)))*(CRDJ[Account Code]=(TRIM($D38))),CRDJ[Debit])))+(SUM(IF((GJ[Ofc Code]=(TRIM(L$7)))*(GJ[Account Code]=(TRIM($D38))),GJ[Debit]))))-((SUM(IF((CkDJ[Ofc Code]=(TRIM(L$7)))*(CkDJ[Account Code]=(TRIM($D38))),CkDJ[Credit])))+(SUM(IF((CsDJ[Ofc Code]=(TRIM(L$7)))*(CsDJ[Account Code]=(TRIM($D38))),CsDJ[Credit])))+(SUM(IF((CRDJ[Ofc Code]=(TRIM(L$7)))*(CRDJ[Account Code]=(TRIM($D38))),CRDJ[Credit])))+(SUM(IF((GJ[Ofc Code]=(TRIM(L$7)))*(GJ[Account Code]=(TRIM($D38))),GJ[Credit]))))</f>
        <v>0</v>
      </c>
      <c r="M38" s="211">
        <f t="array" ref="M38">((SUM(IF((CkDJ[Ofc Code]=(TRIM(M$7)))*(CkDJ[Account Code]=(TRIM($D38))),CkDJ[Debit])))+(SUM(IF((CsDJ[Ofc Code]=(TRIM(M$7)))*(CsDJ[Account Code]=(TRIM($D38))),CsDJ[Debit])))+(SUM(IF((CRDJ[Ofc Code]=(TRIM(M$7)))*(CRDJ[Account Code]=(TRIM($D38))),CRDJ[Debit])))+(SUM(IF((GJ[Ofc Code]=(TRIM(M$7)))*(GJ[Account Code]=(TRIM($D38))),GJ[Debit]))))-((SUM(IF((CkDJ[Ofc Code]=(TRIM(M$7)))*(CkDJ[Account Code]=(TRIM($D38))),CkDJ[Credit])))+(SUM(IF((CsDJ[Ofc Code]=(TRIM(M$7)))*(CsDJ[Account Code]=(TRIM($D38))),CsDJ[Credit])))+(SUM(IF((CRDJ[Ofc Code]=(TRIM(M$7)))*(CRDJ[Account Code]=(TRIM($D38))),CRDJ[Credit])))+(SUM(IF((GJ[Ofc Code]=(TRIM(M$7)))*(GJ[Account Code]=(TRIM($D38))),GJ[Credit]))))</f>
        <v>0</v>
      </c>
      <c r="N38" s="211">
        <f t="array" ref="N38">((SUM(IF((CkDJ[Ofc Code]=(TRIM(N$7)))*(CkDJ[Account Code]=(TRIM($D38))),CkDJ[Debit])))+(SUM(IF((CsDJ[Ofc Code]=(TRIM(N$7)))*(CsDJ[Account Code]=(TRIM($D38))),CsDJ[Debit])))+(SUM(IF((CRDJ[Ofc Code]=(TRIM(N$7)))*(CRDJ[Account Code]=(TRIM($D38))),CRDJ[Debit])))+(SUM(IF((GJ[Ofc Code]=(TRIM(N$7)))*(GJ[Account Code]=(TRIM($D38))),GJ[Debit]))))-((SUM(IF((CkDJ[Ofc Code]=(TRIM(N$7)))*(CkDJ[Account Code]=(TRIM($D38))),CkDJ[Credit])))+(SUM(IF((CsDJ[Ofc Code]=(TRIM(N$7)))*(CsDJ[Account Code]=(TRIM($D38))),CsDJ[Credit])))+(SUM(IF((CRDJ[Ofc Code]=(TRIM(N$7)))*(CRDJ[Account Code]=(TRIM($D38))),CRDJ[Credit])))+(SUM(IF((GJ[Ofc Code]=(TRIM(N$7)))*(GJ[Account Code]=(TRIM($D38))),GJ[Credit]))))</f>
        <v>0</v>
      </c>
      <c r="O38" s="211">
        <f t="shared" ref="O38:O60" si="9">SUM(K38:N38)</f>
        <v>0</v>
      </c>
      <c r="P38" s="211">
        <f t="array" ref="P38">((SUM(IF((CkDJ[Ofc Code]=(TRIM(P$7)))*(CkDJ[Account Code]=(TRIM($D38))),CkDJ[Debit])))+(SUM(IF((CsDJ[Ofc Code]=(TRIM(P$7)))*(CsDJ[Account Code]=(TRIM($D38))),CsDJ[Debit])))+(SUM(IF((CRDJ[Ofc Code]=(TRIM(P$7)))*(CRDJ[Account Code]=(TRIM($D38))),CRDJ[Debit])))+(SUM(IF((GJ[Ofc Code]=(TRIM(P$7)))*(GJ[Account Code]=(TRIM($D38))),GJ[Debit]))))-((SUM(IF((CkDJ[Ofc Code]=(TRIM(P$7)))*(CkDJ[Account Code]=(TRIM($D38))),CkDJ[Credit])))+(SUM(IF((CsDJ[Ofc Code]=(TRIM(P$7)))*(CsDJ[Account Code]=(TRIM($D38))),CsDJ[Credit])))+(SUM(IF((CRDJ[Ofc Code]=(TRIM(P$7)))*(CRDJ[Account Code]=(TRIM($D38))),CRDJ[Credit])))+(SUM(IF((GJ[Ofc Code]=(TRIM(P$7)))*(GJ[Account Code]=(TRIM($D38))),GJ[Credit]))))</f>
        <v>0</v>
      </c>
      <c r="Q38" s="211">
        <f t="array" ref="Q38">((SUM(IF((CkDJ[Ofc Code]=(TRIM(Q$7)))*(CkDJ[Account Code]=(TRIM($D38))),CkDJ[Debit])))+(SUM(IF((CsDJ[Ofc Code]=(TRIM(Q$7)))*(CsDJ[Account Code]=(TRIM($D38))),CsDJ[Debit])))+(SUM(IF((CRDJ[Ofc Code]=(TRIM(Q$7)))*(CRDJ[Account Code]=(TRIM($D38))),CRDJ[Debit])))+(SUM(IF((GJ[Ofc Code]=(TRIM(Q$7)))*(GJ[Account Code]=(TRIM($D38))),GJ[Debit]))))-((SUM(IF((CkDJ[Ofc Code]=(TRIM(Q$7)))*(CkDJ[Account Code]=(TRIM($D38))),CkDJ[Credit])))+(SUM(IF((CsDJ[Ofc Code]=(TRIM(Q$7)))*(CsDJ[Account Code]=(TRIM($D38))),CsDJ[Credit])))+(SUM(IF((CRDJ[Ofc Code]=(TRIM(Q$7)))*(CRDJ[Account Code]=(TRIM($D38))),CRDJ[Credit])))+(SUM(IF((GJ[Ofc Code]=(TRIM(Q$7)))*(GJ[Account Code]=(TRIM($D38))),GJ[Credit]))))</f>
        <v>0</v>
      </c>
      <c r="R38" s="211">
        <f t="array" ref="R38">((SUM(IF((CkDJ[Ofc Code]=(TRIM(R$7)))*(CkDJ[Account Code]=(TRIM($D38))),CkDJ[Debit])))+(SUM(IF((CsDJ[Ofc Code]=(TRIM(R$7)))*(CsDJ[Account Code]=(TRIM($D38))),CsDJ[Debit])))+(SUM(IF((CRDJ[Ofc Code]=(TRIM(R$7)))*(CRDJ[Account Code]=(TRIM($D38))),CRDJ[Debit])))+(SUM(IF((GJ[Ofc Code]=(TRIM(R$7)))*(GJ[Account Code]=(TRIM($D38))),GJ[Debit]))))-((SUM(IF((CkDJ[Ofc Code]=(TRIM(R$7)))*(CkDJ[Account Code]=(TRIM($D38))),CkDJ[Credit])))+(SUM(IF((CsDJ[Ofc Code]=(TRIM(R$7)))*(CsDJ[Account Code]=(TRIM($D38))),CsDJ[Credit])))+(SUM(IF((CRDJ[Ofc Code]=(TRIM(R$7)))*(CRDJ[Account Code]=(TRIM($D38))),CRDJ[Credit])))+(SUM(IF((GJ[Ofc Code]=(TRIM(R$7)))*(GJ[Account Code]=(TRIM($D38))),GJ[Credit]))))</f>
        <v>0</v>
      </c>
      <c r="S38" s="211">
        <f t="array" ref="S38">((SUM(IF((CkDJ[Ofc Code]=(TRIM(S$7)))*(CkDJ[Account Code]=(TRIM($D38))),CkDJ[Debit])))+(SUM(IF((CsDJ[Ofc Code]=(TRIM(S$7)))*(CsDJ[Account Code]=(TRIM($D38))),CsDJ[Debit])))+(SUM(IF((CRDJ[Ofc Code]=(TRIM(S$7)))*(CRDJ[Account Code]=(TRIM($D38))),CRDJ[Debit])))+(SUM(IF((GJ[Ofc Code]=(TRIM(S$7)))*(GJ[Account Code]=(TRIM($D38))),GJ[Debit]))))-((SUM(IF((CkDJ[Ofc Code]=(TRIM(S$7)))*(CkDJ[Account Code]=(TRIM($D38))),CkDJ[Credit])))+(SUM(IF((CsDJ[Ofc Code]=(TRIM(S$7)))*(CsDJ[Account Code]=(TRIM($D38))),CsDJ[Credit])))+(SUM(IF((CRDJ[Ofc Code]=(TRIM(S$7)))*(CRDJ[Account Code]=(TRIM($D38))),CRDJ[Credit])))+(SUM(IF((GJ[Ofc Code]=(TRIM(S$7)))*(GJ[Account Code]=(TRIM($D38))),GJ[Credit]))))</f>
        <v>0</v>
      </c>
      <c r="T38" s="211">
        <f t="array" ref="T38">((SUM(IF((CkDJ[Ofc Code]=(TRIM(T$7)))*(CkDJ[Account Code]=(TRIM($D38))),CkDJ[Debit])))+(SUM(IF((CsDJ[Ofc Code]=(TRIM(T$7)))*(CsDJ[Account Code]=(TRIM($D38))),CsDJ[Debit])))+(SUM(IF((CRDJ[Ofc Code]=(TRIM(T$7)))*(CRDJ[Account Code]=(TRIM($D38))),CRDJ[Debit])))+(SUM(IF((GJ[Ofc Code]=(TRIM(T$7)))*(GJ[Account Code]=(TRIM($D38))),GJ[Debit]))))-((SUM(IF((CkDJ[Ofc Code]=(TRIM(T$7)))*(CkDJ[Account Code]=(TRIM($D38))),CkDJ[Credit])))+(SUM(IF((CsDJ[Ofc Code]=(TRIM(T$7)))*(CsDJ[Account Code]=(TRIM($D38))),CsDJ[Credit])))+(SUM(IF((CRDJ[Ofc Code]=(TRIM(T$7)))*(CRDJ[Account Code]=(TRIM($D38))),CRDJ[Credit])))+(SUM(IF((GJ[Ofc Code]=(TRIM(T$7)))*(GJ[Account Code]=(TRIM($D38))),GJ[Credit]))))</f>
        <v>0</v>
      </c>
      <c r="U38" s="211">
        <f t="shared" ref="U38:U60" si="10">SUM(P38:T38)</f>
        <v>0</v>
      </c>
      <c r="V38" s="211">
        <f t="shared" ref="V38:V60" si="11">E38+J38+O38+U38</f>
        <v>0</v>
      </c>
    </row>
    <row r="39" spans="1:22" ht="15">
      <c r="A39" s="212">
        <f t="shared" ref="A39:A59" si="12">1+A38</f>
        <v>2</v>
      </c>
      <c r="B39" s="214" t="s">
        <v>756</v>
      </c>
      <c r="C39" s="194" t="str">
        <f t="shared" si="7"/>
        <v>Salaries and Wages-Casual/Contractual</v>
      </c>
      <c r="D39" s="215">
        <v>705</v>
      </c>
      <c r="E39" s="211">
        <f t="array" ref="E39">((SUM(IF((CkDJ[Ofc Code]=(TRIM(E$7)))*(CkDJ[Account Code]=(TRIM($D39))),CkDJ[Debit])))+(SUM(IF((CsDJ[Ofc Code]=(TRIM(E$7)))*(CsDJ[Account Code]=(TRIM($D39))),CsDJ[Debit])))+(SUM(IF((CRDJ[Ofc Code]=(TRIM(E$7)))*(CRDJ[Account Code]=(TRIM($D39))),CRDJ[Debit])))+(SUM(IF((GJ[Ofc Code]=(TRIM(E$7)))*(GJ[Account Code]=(TRIM($D39))),GJ[Debit]))))-((SUM(IF((CkDJ[Ofc Code]=(TRIM(E$7)))*(CkDJ[Account Code]=(TRIM($D39))),CkDJ[Credit])))+(SUM(IF((CsDJ[Ofc Code]=(TRIM(E$7)))*(CsDJ[Account Code]=(TRIM($D39))),CsDJ[Credit])))+(SUM(IF((CRDJ[Ofc Code]=(TRIM(E$7)))*(CRDJ[Account Code]=(TRIM($D39))),CRDJ[Credit])))+(SUM(IF((GJ[Ofc Code]=(TRIM(E$7)))*(GJ[Account Code]=(TRIM($D39))),GJ[Credit]))))</f>
        <v>0</v>
      </c>
      <c r="F39" s="211">
        <f t="array" ref="F39">((SUM(IF((CkDJ[Ofc Code]=(TRIM(F$7)))*(CkDJ[Account Code]=(TRIM($D39))),CkDJ[Debit])))+(SUM(IF((CsDJ[Ofc Code]=(TRIM(F$7)))*(CsDJ[Account Code]=(TRIM($D39))),CsDJ[Debit])))+(SUM(IF((CRDJ[Ofc Code]=(TRIM(F$7)))*(CRDJ[Account Code]=(TRIM($D39))),CRDJ[Debit])))+(SUM(IF((GJ[Ofc Code]=(TRIM(F$7)))*(GJ[Account Code]=(TRIM($D39))),GJ[Debit]))))-((SUM(IF((CkDJ[Ofc Code]=(TRIM(F$7)))*(CkDJ[Account Code]=(TRIM($D39))),CkDJ[Credit])))+(SUM(IF((CsDJ[Ofc Code]=(TRIM(F$7)))*(CsDJ[Account Code]=(TRIM($D39))),CsDJ[Credit])))+(SUM(IF((CRDJ[Ofc Code]=(TRIM(F$7)))*(CRDJ[Account Code]=(TRIM($D39))),CRDJ[Credit])))+(SUM(IF((GJ[Ofc Code]=(TRIM(F$7)))*(GJ[Account Code]=(TRIM($D39))),GJ[Credit]))))</f>
        <v>0</v>
      </c>
      <c r="G39" s="211">
        <f t="array" ref="G39">((SUM(IF((CkDJ[Ofc Code]=(TRIM(G$7)))*(CkDJ[Account Code]=(TRIM($D39))),CkDJ[Debit])))+(SUM(IF((CsDJ[Ofc Code]=(TRIM(G$7)))*(CsDJ[Account Code]=(TRIM($D39))),CsDJ[Debit])))+(SUM(IF((CRDJ[Ofc Code]=(TRIM(G$7)))*(CRDJ[Account Code]=(TRIM($D39))),CRDJ[Debit])))+(SUM(IF((GJ[Ofc Code]=(TRIM(G$7)))*(GJ[Account Code]=(TRIM($D39))),GJ[Debit]))))-((SUM(IF((CkDJ[Ofc Code]=(TRIM(G$7)))*(CkDJ[Account Code]=(TRIM($D39))),CkDJ[Credit])))+(SUM(IF((CsDJ[Ofc Code]=(TRIM(G$7)))*(CsDJ[Account Code]=(TRIM($D39))),CsDJ[Credit])))+(SUM(IF((CRDJ[Ofc Code]=(TRIM(G$7)))*(CRDJ[Account Code]=(TRIM($D39))),CRDJ[Credit])))+(SUM(IF((GJ[Ofc Code]=(TRIM(G$7)))*(GJ[Account Code]=(TRIM($D39))),GJ[Credit]))))</f>
        <v>0</v>
      </c>
      <c r="H39" s="211">
        <f t="array" ref="H39">((SUM(IF((CkDJ[Ofc Code]=(TRIM(H$7)))*(CkDJ[Account Code]=(TRIM($D39))),CkDJ[Debit])))+(SUM(IF((CsDJ[Ofc Code]=(TRIM(H$7)))*(CsDJ[Account Code]=(TRIM($D39))),CsDJ[Debit])))+(SUM(IF((CRDJ[Ofc Code]=(TRIM(H$7)))*(CRDJ[Account Code]=(TRIM($D39))),CRDJ[Debit])))+(SUM(IF((GJ[Ofc Code]=(TRIM(H$7)))*(GJ[Account Code]=(TRIM($D39))),GJ[Debit]))))-((SUM(IF((CkDJ[Ofc Code]=(TRIM(H$7)))*(CkDJ[Account Code]=(TRIM($D39))),CkDJ[Credit])))+(SUM(IF((CsDJ[Ofc Code]=(TRIM(H$7)))*(CsDJ[Account Code]=(TRIM($D39))),CsDJ[Credit])))+(SUM(IF((CRDJ[Ofc Code]=(TRIM(H$7)))*(CRDJ[Account Code]=(TRIM($D39))),CRDJ[Credit])))+(SUM(IF((GJ[Ofc Code]=(TRIM(H$7)))*(GJ[Account Code]=(TRIM($D39))),GJ[Credit]))))</f>
        <v>0</v>
      </c>
      <c r="I39" s="211">
        <f t="array" ref="I39">((SUM(IF((CkDJ[Ofc Code]=(TRIM(I$7)))*(CkDJ[Account Code]=(TRIM($D39))),CkDJ[Debit])))+(SUM(IF((CsDJ[Ofc Code]=(TRIM(I$7)))*(CsDJ[Account Code]=(TRIM($D39))),CsDJ[Debit])))+(SUM(IF((CRDJ[Ofc Code]=(TRIM(I$7)))*(CRDJ[Account Code]=(TRIM($D39))),CRDJ[Debit])))+(SUM(IF((GJ[Ofc Code]=(TRIM(I$7)))*(GJ[Account Code]=(TRIM($D39))),GJ[Debit]))))-((SUM(IF((CkDJ[Ofc Code]=(TRIM(I$7)))*(CkDJ[Account Code]=(TRIM($D39))),CkDJ[Credit])))+(SUM(IF((CsDJ[Ofc Code]=(TRIM(I$7)))*(CsDJ[Account Code]=(TRIM($D39))),CsDJ[Credit])))+(SUM(IF((CRDJ[Ofc Code]=(TRIM(I$7)))*(CRDJ[Account Code]=(TRIM($D39))),CRDJ[Credit])))+(SUM(IF((GJ[Ofc Code]=(TRIM(I$7)))*(GJ[Account Code]=(TRIM($D39))),GJ[Credit]))))</f>
        <v>0</v>
      </c>
      <c r="J39" s="211">
        <f t="shared" si="8"/>
        <v>0</v>
      </c>
      <c r="K39" s="211">
        <f t="array" ref="K39">((SUM(IF((CkDJ[Ofc Code]=(TRIM(K$7)))*(CkDJ[Account Code]=(TRIM($D39))),CkDJ[Debit])))+(SUM(IF((CsDJ[Ofc Code]=(TRIM(K$7)))*(CsDJ[Account Code]=(TRIM($D39))),CsDJ[Debit])))+(SUM(IF((CRDJ[Ofc Code]=(TRIM(K$7)))*(CRDJ[Account Code]=(TRIM($D39))),CRDJ[Debit])))+(SUM(IF((GJ[Ofc Code]=(TRIM(K$7)))*(GJ[Account Code]=(TRIM($D39))),GJ[Debit]))))-((SUM(IF((CkDJ[Ofc Code]=(TRIM(K$7)))*(CkDJ[Account Code]=(TRIM($D39))),CkDJ[Credit])))+(SUM(IF((CsDJ[Ofc Code]=(TRIM(K$7)))*(CsDJ[Account Code]=(TRIM($D39))),CsDJ[Credit])))+(SUM(IF((CRDJ[Ofc Code]=(TRIM(K$7)))*(CRDJ[Account Code]=(TRIM($D39))),CRDJ[Credit])))+(SUM(IF((GJ[Ofc Code]=(TRIM(K$7)))*(GJ[Account Code]=(TRIM($D39))),GJ[Credit]))))</f>
        <v>0</v>
      </c>
      <c r="L39" s="211">
        <f t="array" ref="L39">((SUM(IF((CkDJ[Ofc Code]=(TRIM(L$7)))*(CkDJ[Account Code]=(TRIM($D39))),CkDJ[Debit])))+(SUM(IF((CsDJ[Ofc Code]=(TRIM(L$7)))*(CsDJ[Account Code]=(TRIM($D39))),CsDJ[Debit])))+(SUM(IF((CRDJ[Ofc Code]=(TRIM(L$7)))*(CRDJ[Account Code]=(TRIM($D39))),CRDJ[Debit])))+(SUM(IF((GJ[Ofc Code]=(TRIM(L$7)))*(GJ[Account Code]=(TRIM($D39))),GJ[Debit]))))-((SUM(IF((CkDJ[Ofc Code]=(TRIM(L$7)))*(CkDJ[Account Code]=(TRIM($D39))),CkDJ[Credit])))+(SUM(IF((CsDJ[Ofc Code]=(TRIM(L$7)))*(CsDJ[Account Code]=(TRIM($D39))),CsDJ[Credit])))+(SUM(IF((CRDJ[Ofc Code]=(TRIM(L$7)))*(CRDJ[Account Code]=(TRIM($D39))),CRDJ[Credit])))+(SUM(IF((GJ[Ofc Code]=(TRIM(L$7)))*(GJ[Account Code]=(TRIM($D39))),GJ[Credit]))))</f>
        <v>0</v>
      </c>
      <c r="M39" s="211">
        <f t="array" ref="M39">((SUM(IF((CkDJ[Ofc Code]=(TRIM(M$7)))*(CkDJ[Account Code]=(TRIM($D39))),CkDJ[Debit])))+(SUM(IF((CsDJ[Ofc Code]=(TRIM(M$7)))*(CsDJ[Account Code]=(TRIM($D39))),CsDJ[Debit])))+(SUM(IF((CRDJ[Ofc Code]=(TRIM(M$7)))*(CRDJ[Account Code]=(TRIM($D39))),CRDJ[Debit])))+(SUM(IF((GJ[Ofc Code]=(TRIM(M$7)))*(GJ[Account Code]=(TRIM($D39))),GJ[Debit]))))-((SUM(IF((CkDJ[Ofc Code]=(TRIM(M$7)))*(CkDJ[Account Code]=(TRIM($D39))),CkDJ[Credit])))+(SUM(IF((CsDJ[Ofc Code]=(TRIM(M$7)))*(CsDJ[Account Code]=(TRIM($D39))),CsDJ[Credit])))+(SUM(IF((CRDJ[Ofc Code]=(TRIM(M$7)))*(CRDJ[Account Code]=(TRIM($D39))),CRDJ[Credit])))+(SUM(IF((GJ[Ofc Code]=(TRIM(M$7)))*(GJ[Account Code]=(TRIM($D39))),GJ[Credit]))))</f>
        <v>0</v>
      </c>
      <c r="N39" s="211">
        <f t="array" ref="N39">((SUM(IF((CkDJ[Ofc Code]=(TRIM(N$7)))*(CkDJ[Account Code]=(TRIM($D39))),CkDJ[Debit])))+(SUM(IF((CsDJ[Ofc Code]=(TRIM(N$7)))*(CsDJ[Account Code]=(TRIM($D39))),CsDJ[Debit])))+(SUM(IF((CRDJ[Ofc Code]=(TRIM(N$7)))*(CRDJ[Account Code]=(TRIM($D39))),CRDJ[Debit])))+(SUM(IF((GJ[Ofc Code]=(TRIM(N$7)))*(GJ[Account Code]=(TRIM($D39))),GJ[Debit]))))-((SUM(IF((CkDJ[Ofc Code]=(TRIM(N$7)))*(CkDJ[Account Code]=(TRIM($D39))),CkDJ[Credit])))+(SUM(IF((CsDJ[Ofc Code]=(TRIM(N$7)))*(CsDJ[Account Code]=(TRIM($D39))),CsDJ[Credit])))+(SUM(IF((CRDJ[Ofc Code]=(TRIM(N$7)))*(CRDJ[Account Code]=(TRIM($D39))),CRDJ[Credit])))+(SUM(IF((GJ[Ofc Code]=(TRIM(N$7)))*(GJ[Account Code]=(TRIM($D39))),GJ[Credit]))))</f>
        <v>0</v>
      </c>
      <c r="O39" s="211">
        <f t="shared" si="9"/>
        <v>0</v>
      </c>
      <c r="P39" s="211">
        <f t="array" ref="P39">((SUM(IF((CkDJ[Ofc Code]=(TRIM(P$7)))*(CkDJ[Account Code]=(TRIM($D39))),CkDJ[Debit])))+(SUM(IF((CsDJ[Ofc Code]=(TRIM(P$7)))*(CsDJ[Account Code]=(TRIM($D39))),CsDJ[Debit])))+(SUM(IF((CRDJ[Ofc Code]=(TRIM(P$7)))*(CRDJ[Account Code]=(TRIM($D39))),CRDJ[Debit])))+(SUM(IF((GJ[Ofc Code]=(TRIM(P$7)))*(GJ[Account Code]=(TRIM($D39))),GJ[Debit]))))-((SUM(IF((CkDJ[Ofc Code]=(TRIM(P$7)))*(CkDJ[Account Code]=(TRIM($D39))),CkDJ[Credit])))+(SUM(IF((CsDJ[Ofc Code]=(TRIM(P$7)))*(CsDJ[Account Code]=(TRIM($D39))),CsDJ[Credit])))+(SUM(IF((CRDJ[Ofc Code]=(TRIM(P$7)))*(CRDJ[Account Code]=(TRIM($D39))),CRDJ[Credit])))+(SUM(IF((GJ[Ofc Code]=(TRIM(P$7)))*(GJ[Account Code]=(TRIM($D39))),GJ[Credit]))))</f>
        <v>0</v>
      </c>
      <c r="Q39" s="211">
        <f t="array" ref="Q39">((SUM(IF((CkDJ[Ofc Code]=(TRIM(Q$7)))*(CkDJ[Account Code]=(TRIM($D39))),CkDJ[Debit])))+(SUM(IF((CsDJ[Ofc Code]=(TRIM(Q$7)))*(CsDJ[Account Code]=(TRIM($D39))),CsDJ[Debit])))+(SUM(IF((CRDJ[Ofc Code]=(TRIM(Q$7)))*(CRDJ[Account Code]=(TRIM($D39))),CRDJ[Debit])))+(SUM(IF((GJ[Ofc Code]=(TRIM(Q$7)))*(GJ[Account Code]=(TRIM($D39))),GJ[Debit]))))-((SUM(IF((CkDJ[Ofc Code]=(TRIM(Q$7)))*(CkDJ[Account Code]=(TRIM($D39))),CkDJ[Credit])))+(SUM(IF((CsDJ[Ofc Code]=(TRIM(Q$7)))*(CsDJ[Account Code]=(TRIM($D39))),CsDJ[Credit])))+(SUM(IF((CRDJ[Ofc Code]=(TRIM(Q$7)))*(CRDJ[Account Code]=(TRIM($D39))),CRDJ[Credit])))+(SUM(IF((GJ[Ofc Code]=(TRIM(Q$7)))*(GJ[Account Code]=(TRIM($D39))),GJ[Credit]))))</f>
        <v>0</v>
      </c>
      <c r="R39" s="211">
        <f t="array" ref="R39">((SUM(IF((CkDJ[Ofc Code]=(TRIM(R$7)))*(CkDJ[Account Code]=(TRIM($D39))),CkDJ[Debit])))+(SUM(IF((CsDJ[Ofc Code]=(TRIM(R$7)))*(CsDJ[Account Code]=(TRIM($D39))),CsDJ[Debit])))+(SUM(IF((CRDJ[Ofc Code]=(TRIM(R$7)))*(CRDJ[Account Code]=(TRIM($D39))),CRDJ[Debit])))+(SUM(IF((GJ[Ofc Code]=(TRIM(R$7)))*(GJ[Account Code]=(TRIM($D39))),GJ[Debit]))))-((SUM(IF((CkDJ[Ofc Code]=(TRIM(R$7)))*(CkDJ[Account Code]=(TRIM($D39))),CkDJ[Credit])))+(SUM(IF((CsDJ[Ofc Code]=(TRIM(R$7)))*(CsDJ[Account Code]=(TRIM($D39))),CsDJ[Credit])))+(SUM(IF((CRDJ[Ofc Code]=(TRIM(R$7)))*(CRDJ[Account Code]=(TRIM($D39))),CRDJ[Credit])))+(SUM(IF((GJ[Ofc Code]=(TRIM(R$7)))*(GJ[Account Code]=(TRIM($D39))),GJ[Credit]))))</f>
        <v>0</v>
      </c>
      <c r="S39" s="211">
        <f t="array" ref="S39">((SUM(IF((CkDJ[Ofc Code]=(TRIM(S$7)))*(CkDJ[Account Code]=(TRIM($D39))),CkDJ[Debit])))+(SUM(IF((CsDJ[Ofc Code]=(TRIM(S$7)))*(CsDJ[Account Code]=(TRIM($D39))),CsDJ[Debit])))+(SUM(IF((CRDJ[Ofc Code]=(TRIM(S$7)))*(CRDJ[Account Code]=(TRIM($D39))),CRDJ[Debit])))+(SUM(IF((GJ[Ofc Code]=(TRIM(S$7)))*(GJ[Account Code]=(TRIM($D39))),GJ[Debit]))))-((SUM(IF((CkDJ[Ofc Code]=(TRIM(S$7)))*(CkDJ[Account Code]=(TRIM($D39))),CkDJ[Credit])))+(SUM(IF((CsDJ[Ofc Code]=(TRIM(S$7)))*(CsDJ[Account Code]=(TRIM($D39))),CsDJ[Credit])))+(SUM(IF((CRDJ[Ofc Code]=(TRIM(S$7)))*(CRDJ[Account Code]=(TRIM($D39))),CRDJ[Credit])))+(SUM(IF((GJ[Ofc Code]=(TRIM(S$7)))*(GJ[Account Code]=(TRIM($D39))),GJ[Credit]))))</f>
        <v>0</v>
      </c>
      <c r="T39" s="211">
        <f t="array" ref="T39">((SUM(IF((CkDJ[Ofc Code]=(TRIM(T$7)))*(CkDJ[Account Code]=(TRIM($D39))),CkDJ[Debit])))+(SUM(IF((CsDJ[Ofc Code]=(TRIM(T$7)))*(CsDJ[Account Code]=(TRIM($D39))),CsDJ[Debit])))+(SUM(IF((CRDJ[Ofc Code]=(TRIM(T$7)))*(CRDJ[Account Code]=(TRIM($D39))),CRDJ[Debit])))+(SUM(IF((GJ[Ofc Code]=(TRIM(T$7)))*(GJ[Account Code]=(TRIM($D39))),GJ[Debit]))))-((SUM(IF((CkDJ[Ofc Code]=(TRIM(T$7)))*(CkDJ[Account Code]=(TRIM($D39))),CkDJ[Credit])))+(SUM(IF((CsDJ[Ofc Code]=(TRIM(T$7)))*(CsDJ[Account Code]=(TRIM($D39))),CsDJ[Credit])))+(SUM(IF((CRDJ[Ofc Code]=(TRIM(T$7)))*(CRDJ[Account Code]=(TRIM($D39))),CRDJ[Credit])))+(SUM(IF((GJ[Ofc Code]=(TRIM(T$7)))*(GJ[Account Code]=(TRIM($D39))),GJ[Credit]))))</f>
        <v>0</v>
      </c>
      <c r="U39" s="211">
        <f t="shared" si="10"/>
        <v>0</v>
      </c>
      <c r="V39" s="211">
        <f t="shared" si="11"/>
        <v>0</v>
      </c>
    </row>
    <row r="40" spans="1:22" ht="15">
      <c r="A40" s="212">
        <f t="shared" si="12"/>
        <v>3</v>
      </c>
      <c r="B40" s="214" t="s">
        <v>756</v>
      </c>
      <c r="C40" s="194" t="str">
        <f t="shared" si="7"/>
        <v>Personal Economic Relief Allowance (PERA)</v>
      </c>
      <c r="D40" s="215">
        <v>711</v>
      </c>
      <c r="E40" s="211">
        <f t="array" ref="E40">((SUM(IF((CkDJ[Ofc Code]=(TRIM(E$7)))*(CkDJ[Account Code]=(TRIM($D40))),CkDJ[Debit])))+(SUM(IF((CsDJ[Ofc Code]=(TRIM(E$7)))*(CsDJ[Account Code]=(TRIM($D40))),CsDJ[Debit])))+(SUM(IF((CRDJ[Ofc Code]=(TRIM(E$7)))*(CRDJ[Account Code]=(TRIM($D40))),CRDJ[Debit])))+(SUM(IF((GJ[Ofc Code]=(TRIM(E$7)))*(GJ[Account Code]=(TRIM($D40))),GJ[Debit]))))-((SUM(IF((CkDJ[Ofc Code]=(TRIM(E$7)))*(CkDJ[Account Code]=(TRIM($D40))),CkDJ[Credit])))+(SUM(IF((CsDJ[Ofc Code]=(TRIM(E$7)))*(CsDJ[Account Code]=(TRIM($D40))),CsDJ[Credit])))+(SUM(IF((CRDJ[Ofc Code]=(TRIM(E$7)))*(CRDJ[Account Code]=(TRIM($D40))),CRDJ[Credit])))+(SUM(IF((GJ[Ofc Code]=(TRIM(E$7)))*(GJ[Account Code]=(TRIM($D40))),GJ[Credit]))))</f>
        <v>0</v>
      </c>
      <c r="F40" s="211">
        <f t="array" ref="F40">((SUM(IF((CkDJ[Ofc Code]=(TRIM(F$7)))*(CkDJ[Account Code]=(TRIM($D40))),CkDJ[Debit])))+(SUM(IF((CsDJ[Ofc Code]=(TRIM(F$7)))*(CsDJ[Account Code]=(TRIM($D40))),CsDJ[Debit])))+(SUM(IF((CRDJ[Ofc Code]=(TRIM(F$7)))*(CRDJ[Account Code]=(TRIM($D40))),CRDJ[Debit])))+(SUM(IF((GJ[Ofc Code]=(TRIM(F$7)))*(GJ[Account Code]=(TRIM($D40))),GJ[Debit]))))-((SUM(IF((CkDJ[Ofc Code]=(TRIM(F$7)))*(CkDJ[Account Code]=(TRIM($D40))),CkDJ[Credit])))+(SUM(IF((CsDJ[Ofc Code]=(TRIM(F$7)))*(CsDJ[Account Code]=(TRIM($D40))),CsDJ[Credit])))+(SUM(IF((CRDJ[Ofc Code]=(TRIM(F$7)))*(CRDJ[Account Code]=(TRIM($D40))),CRDJ[Credit])))+(SUM(IF((GJ[Ofc Code]=(TRIM(F$7)))*(GJ[Account Code]=(TRIM($D40))),GJ[Credit]))))</f>
        <v>0</v>
      </c>
      <c r="G40" s="211">
        <f t="array" ref="G40">((SUM(IF((CkDJ[Ofc Code]=(TRIM(G$7)))*(CkDJ[Account Code]=(TRIM($D40))),CkDJ[Debit])))+(SUM(IF((CsDJ[Ofc Code]=(TRIM(G$7)))*(CsDJ[Account Code]=(TRIM($D40))),CsDJ[Debit])))+(SUM(IF((CRDJ[Ofc Code]=(TRIM(G$7)))*(CRDJ[Account Code]=(TRIM($D40))),CRDJ[Debit])))+(SUM(IF((GJ[Ofc Code]=(TRIM(G$7)))*(GJ[Account Code]=(TRIM($D40))),GJ[Debit]))))-((SUM(IF((CkDJ[Ofc Code]=(TRIM(G$7)))*(CkDJ[Account Code]=(TRIM($D40))),CkDJ[Credit])))+(SUM(IF((CsDJ[Ofc Code]=(TRIM(G$7)))*(CsDJ[Account Code]=(TRIM($D40))),CsDJ[Credit])))+(SUM(IF((CRDJ[Ofc Code]=(TRIM(G$7)))*(CRDJ[Account Code]=(TRIM($D40))),CRDJ[Credit])))+(SUM(IF((GJ[Ofc Code]=(TRIM(G$7)))*(GJ[Account Code]=(TRIM($D40))),GJ[Credit]))))</f>
        <v>0</v>
      </c>
      <c r="H40" s="211">
        <f t="array" ref="H40">((SUM(IF((CkDJ[Ofc Code]=(TRIM(H$7)))*(CkDJ[Account Code]=(TRIM($D40))),CkDJ[Debit])))+(SUM(IF((CsDJ[Ofc Code]=(TRIM(H$7)))*(CsDJ[Account Code]=(TRIM($D40))),CsDJ[Debit])))+(SUM(IF((CRDJ[Ofc Code]=(TRIM(H$7)))*(CRDJ[Account Code]=(TRIM($D40))),CRDJ[Debit])))+(SUM(IF((GJ[Ofc Code]=(TRIM(H$7)))*(GJ[Account Code]=(TRIM($D40))),GJ[Debit]))))-((SUM(IF((CkDJ[Ofc Code]=(TRIM(H$7)))*(CkDJ[Account Code]=(TRIM($D40))),CkDJ[Credit])))+(SUM(IF((CsDJ[Ofc Code]=(TRIM(H$7)))*(CsDJ[Account Code]=(TRIM($D40))),CsDJ[Credit])))+(SUM(IF((CRDJ[Ofc Code]=(TRIM(H$7)))*(CRDJ[Account Code]=(TRIM($D40))),CRDJ[Credit])))+(SUM(IF((GJ[Ofc Code]=(TRIM(H$7)))*(GJ[Account Code]=(TRIM($D40))),GJ[Credit]))))</f>
        <v>0</v>
      </c>
      <c r="I40" s="211">
        <f t="array" ref="I40">((SUM(IF((CkDJ[Ofc Code]=(TRIM(I$7)))*(CkDJ[Account Code]=(TRIM($D40))),CkDJ[Debit])))+(SUM(IF((CsDJ[Ofc Code]=(TRIM(I$7)))*(CsDJ[Account Code]=(TRIM($D40))),CsDJ[Debit])))+(SUM(IF((CRDJ[Ofc Code]=(TRIM(I$7)))*(CRDJ[Account Code]=(TRIM($D40))),CRDJ[Debit])))+(SUM(IF((GJ[Ofc Code]=(TRIM(I$7)))*(GJ[Account Code]=(TRIM($D40))),GJ[Debit]))))-((SUM(IF((CkDJ[Ofc Code]=(TRIM(I$7)))*(CkDJ[Account Code]=(TRIM($D40))),CkDJ[Credit])))+(SUM(IF((CsDJ[Ofc Code]=(TRIM(I$7)))*(CsDJ[Account Code]=(TRIM($D40))),CsDJ[Credit])))+(SUM(IF((CRDJ[Ofc Code]=(TRIM(I$7)))*(CRDJ[Account Code]=(TRIM($D40))),CRDJ[Credit])))+(SUM(IF((GJ[Ofc Code]=(TRIM(I$7)))*(GJ[Account Code]=(TRIM($D40))),GJ[Credit]))))</f>
        <v>0</v>
      </c>
      <c r="J40" s="211">
        <f t="shared" si="8"/>
        <v>0</v>
      </c>
      <c r="K40" s="211">
        <f t="array" ref="K40">((SUM(IF((CkDJ[Ofc Code]=(TRIM(K$7)))*(CkDJ[Account Code]=(TRIM($D40))),CkDJ[Debit])))+(SUM(IF((CsDJ[Ofc Code]=(TRIM(K$7)))*(CsDJ[Account Code]=(TRIM($D40))),CsDJ[Debit])))+(SUM(IF((CRDJ[Ofc Code]=(TRIM(K$7)))*(CRDJ[Account Code]=(TRIM($D40))),CRDJ[Debit])))+(SUM(IF((GJ[Ofc Code]=(TRIM(K$7)))*(GJ[Account Code]=(TRIM($D40))),GJ[Debit]))))-((SUM(IF((CkDJ[Ofc Code]=(TRIM(K$7)))*(CkDJ[Account Code]=(TRIM($D40))),CkDJ[Credit])))+(SUM(IF((CsDJ[Ofc Code]=(TRIM(K$7)))*(CsDJ[Account Code]=(TRIM($D40))),CsDJ[Credit])))+(SUM(IF((CRDJ[Ofc Code]=(TRIM(K$7)))*(CRDJ[Account Code]=(TRIM($D40))),CRDJ[Credit])))+(SUM(IF((GJ[Ofc Code]=(TRIM(K$7)))*(GJ[Account Code]=(TRIM($D40))),GJ[Credit]))))</f>
        <v>0</v>
      </c>
      <c r="L40" s="211">
        <f t="array" ref="L40">((SUM(IF((CkDJ[Ofc Code]=(TRIM(L$7)))*(CkDJ[Account Code]=(TRIM($D40))),CkDJ[Debit])))+(SUM(IF((CsDJ[Ofc Code]=(TRIM(L$7)))*(CsDJ[Account Code]=(TRIM($D40))),CsDJ[Debit])))+(SUM(IF((CRDJ[Ofc Code]=(TRIM(L$7)))*(CRDJ[Account Code]=(TRIM($D40))),CRDJ[Debit])))+(SUM(IF((GJ[Ofc Code]=(TRIM(L$7)))*(GJ[Account Code]=(TRIM($D40))),GJ[Debit]))))-((SUM(IF((CkDJ[Ofc Code]=(TRIM(L$7)))*(CkDJ[Account Code]=(TRIM($D40))),CkDJ[Credit])))+(SUM(IF((CsDJ[Ofc Code]=(TRIM(L$7)))*(CsDJ[Account Code]=(TRIM($D40))),CsDJ[Credit])))+(SUM(IF((CRDJ[Ofc Code]=(TRIM(L$7)))*(CRDJ[Account Code]=(TRIM($D40))),CRDJ[Credit])))+(SUM(IF((GJ[Ofc Code]=(TRIM(L$7)))*(GJ[Account Code]=(TRIM($D40))),GJ[Credit]))))</f>
        <v>0</v>
      </c>
      <c r="M40" s="211">
        <f t="array" ref="M40">((SUM(IF((CkDJ[Ofc Code]=(TRIM(M$7)))*(CkDJ[Account Code]=(TRIM($D40))),CkDJ[Debit])))+(SUM(IF((CsDJ[Ofc Code]=(TRIM(M$7)))*(CsDJ[Account Code]=(TRIM($D40))),CsDJ[Debit])))+(SUM(IF((CRDJ[Ofc Code]=(TRIM(M$7)))*(CRDJ[Account Code]=(TRIM($D40))),CRDJ[Debit])))+(SUM(IF((GJ[Ofc Code]=(TRIM(M$7)))*(GJ[Account Code]=(TRIM($D40))),GJ[Debit]))))-((SUM(IF((CkDJ[Ofc Code]=(TRIM(M$7)))*(CkDJ[Account Code]=(TRIM($D40))),CkDJ[Credit])))+(SUM(IF((CsDJ[Ofc Code]=(TRIM(M$7)))*(CsDJ[Account Code]=(TRIM($D40))),CsDJ[Credit])))+(SUM(IF((CRDJ[Ofc Code]=(TRIM(M$7)))*(CRDJ[Account Code]=(TRIM($D40))),CRDJ[Credit])))+(SUM(IF((GJ[Ofc Code]=(TRIM(M$7)))*(GJ[Account Code]=(TRIM($D40))),GJ[Credit]))))</f>
        <v>0</v>
      </c>
      <c r="N40" s="211">
        <f t="array" ref="N40">((SUM(IF((CkDJ[Ofc Code]=(TRIM(N$7)))*(CkDJ[Account Code]=(TRIM($D40))),CkDJ[Debit])))+(SUM(IF((CsDJ[Ofc Code]=(TRIM(N$7)))*(CsDJ[Account Code]=(TRIM($D40))),CsDJ[Debit])))+(SUM(IF((CRDJ[Ofc Code]=(TRIM(N$7)))*(CRDJ[Account Code]=(TRIM($D40))),CRDJ[Debit])))+(SUM(IF((GJ[Ofc Code]=(TRIM(N$7)))*(GJ[Account Code]=(TRIM($D40))),GJ[Debit]))))-((SUM(IF((CkDJ[Ofc Code]=(TRIM(N$7)))*(CkDJ[Account Code]=(TRIM($D40))),CkDJ[Credit])))+(SUM(IF((CsDJ[Ofc Code]=(TRIM(N$7)))*(CsDJ[Account Code]=(TRIM($D40))),CsDJ[Credit])))+(SUM(IF((CRDJ[Ofc Code]=(TRIM(N$7)))*(CRDJ[Account Code]=(TRIM($D40))),CRDJ[Credit])))+(SUM(IF((GJ[Ofc Code]=(TRIM(N$7)))*(GJ[Account Code]=(TRIM($D40))),GJ[Credit]))))</f>
        <v>0</v>
      </c>
      <c r="O40" s="211">
        <f t="shared" si="9"/>
        <v>0</v>
      </c>
      <c r="P40" s="211">
        <f t="array" ref="P40">((SUM(IF((CkDJ[Ofc Code]=(TRIM(P$7)))*(CkDJ[Account Code]=(TRIM($D40))),CkDJ[Debit])))+(SUM(IF((CsDJ[Ofc Code]=(TRIM(P$7)))*(CsDJ[Account Code]=(TRIM($D40))),CsDJ[Debit])))+(SUM(IF((CRDJ[Ofc Code]=(TRIM(P$7)))*(CRDJ[Account Code]=(TRIM($D40))),CRDJ[Debit])))+(SUM(IF((GJ[Ofc Code]=(TRIM(P$7)))*(GJ[Account Code]=(TRIM($D40))),GJ[Debit]))))-((SUM(IF((CkDJ[Ofc Code]=(TRIM(P$7)))*(CkDJ[Account Code]=(TRIM($D40))),CkDJ[Credit])))+(SUM(IF((CsDJ[Ofc Code]=(TRIM(P$7)))*(CsDJ[Account Code]=(TRIM($D40))),CsDJ[Credit])))+(SUM(IF((CRDJ[Ofc Code]=(TRIM(P$7)))*(CRDJ[Account Code]=(TRIM($D40))),CRDJ[Credit])))+(SUM(IF((GJ[Ofc Code]=(TRIM(P$7)))*(GJ[Account Code]=(TRIM($D40))),GJ[Credit]))))</f>
        <v>0</v>
      </c>
      <c r="Q40" s="211">
        <f t="array" ref="Q40">((SUM(IF((CkDJ[Ofc Code]=(TRIM(Q$7)))*(CkDJ[Account Code]=(TRIM($D40))),CkDJ[Debit])))+(SUM(IF((CsDJ[Ofc Code]=(TRIM(Q$7)))*(CsDJ[Account Code]=(TRIM($D40))),CsDJ[Debit])))+(SUM(IF((CRDJ[Ofc Code]=(TRIM(Q$7)))*(CRDJ[Account Code]=(TRIM($D40))),CRDJ[Debit])))+(SUM(IF((GJ[Ofc Code]=(TRIM(Q$7)))*(GJ[Account Code]=(TRIM($D40))),GJ[Debit]))))-((SUM(IF((CkDJ[Ofc Code]=(TRIM(Q$7)))*(CkDJ[Account Code]=(TRIM($D40))),CkDJ[Credit])))+(SUM(IF((CsDJ[Ofc Code]=(TRIM(Q$7)))*(CsDJ[Account Code]=(TRIM($D40))),CsDJ[Credit])))+(SUM(IF((CRDJ[Ofc Code]=(TRIM(Q$7)))*(CRDJ[Account Code]=(TRIM($D40))),CRDJ[Credit])))+(SUM(IF((GJ[Ofc Code]=(TRIM(Q$7)))*(GJ[Account Code]=(TRIM($D40))),GJ[Credit]))))</f>
        <v>0</v>
      </c>
      <c r="R40" s="211">
        <f t="array" ref="R40">((SUM(IF((CkDJ[Ofc Code]=(TRIM(R$7)))*(CkDJ[Account Code]=(TRIM($D40))),CkDJ[Debit])))+(SUM(IF((CsDJ[Ofc Code]=(TRIM(R$7)))*(CsDJ[Account Code]=(TRIM($D40))),CsDJ[Debit])))+(SUM(IF((CRDJ[Ofc Code]=(TRIM(R$7)))*(CRDJ[Account Code]=(TRIM($D40))),CRDJ[Debit])))+(SUM(IF((GJ[Ofc Code]=(TRIM(R$7)))*(GJ[Account Code]=(TRIM($D40))),GJ[Debit]))))-((SUM(IF((CkDJ[Ofc Code]=(TRIM(R$7)))*(CkDJ[Account Code]=(TRIM($D40))),CkDJ[Credit])))+(SUM(IF((CsDJ[Ofc Code]=(TRIM(R$7)))*(CsDJ[Account Code]=(TRIM($D40))),CsDJ[Credit])))+(SUM(IF((CRDJ[Ofc Code]=(TRIM(R$7)))*(CRDJ[Account Code]=(TRIM($D40))),CRDJ[Credit])))+(SUM(IF((GJ[Ofc Code]=(TRIM(R$7)))*(GJ[Account Code]=(TRIM($D40))),GJ[Credit]))))</f>
        <v>0</v>
      </c>
      <c r="S40" s="211">
        <f t="array" ref="S40">((SUM(IF((CkDJ[Ofc Code]=(TRIM(S$7)))*(CkDJ[Account Code]=(TRIM($D40))),CkDJ[Debit])))+(SUM(IF((CsDJ[Ofc Code]=(TRIM(S$7)))*(CsDJ[Account Code]=(TRIM($D40))),CsDJ[Debit])))+(SUM(IF((CRDJ[Ofc Code]=(TRIM(S$7)))*(CRDJ[Account Code]=(TRIM($D40))),CRDJ[Debit])))+(SUM(IF((GJ[Ofc Code]=(TRIM(S$7)))*(GJ[Account Code]=(TRIM($D40))),GJ[Debit]))))-((SUM(IF((CkDJ[Ofc Code]=(TRIM(S$7)))*(CkDJ[Account Code]=(TRIM($D40))),CkDJ[Credit])))+(SUM(IF((CsDJ[Ofc Code]=(TRIM(S$7)))*(CsDJ[Account Code]=(TRIM($D40))),CsDJ[Credit])))+(SUM(IF((CRDJ[Ofc Code]=(TRIM(S$7)))*(CRDJ[Account Code]=(TRIM($D40))),CRDJ[Credit])))+(SUM(IF((GJ[Ofc Code]=(TRIM(S$7)))*(GJ[Account Code]=(TRIM($D40))),GJ[Credit]))))</f>
        <v>0</v>
      </c>
      <c r="T40" s="211">
        <f t="array" ref="T40">((SUM(IF((CkDJ[Ofc Code]=(TRIM(T$7)))*(CkDJ[Account Code]=(TRIM($D40))),CkDJ[Debit])))+(SUM(IF((CsDJ[Ofc Code]=(TRIM(T$7)))*(CsDJ[Account Code]=(TRIM($D40))),CsDJ[Debit])))+(SUM(IF((CRDJ[Ofc Code]=(TRIM(T$7)))*(CRDJ[Account Code]=(TRIM($D40))),CRDJ[Debit])))+(SUM(IF((GJ[Ofc Code]=(TRIM(T$7)))*(GJ[Account Code]=(TRIM($D40))),GJ[Debit]))))-((SUM(IF((CkDJ[Ofc Code]=(TRIM(T$7)))*(CkDJ[Account Code]=(TRIM($D40))),CkDJ[Credit])))+(SUM(IF((CsDJ[Ofc Code]=(TRIM(T$7)))*(CsDJ[Account Code]=(TRIM($D40))),CsDJ[Credit])))+(SUM(IF((CRDJ[Ofc Code]=(TRIM(T$7)))*(CRDJ[Account Code]=(TRIM($D40))),CRDJ[Credit])))+(SUM(IF((GJ[Ofc Code]=(TRIM(T$7)))*(GJ[Account Code]=(TRIM($D40))),GJ[Credit]))))</f>
        <v>0</v>
      </c>
      <c r="U40" s="211">
        <f t="shared" si="10"/>
        <v>0</v>
      </c>
      <c r="V40" s="211">
        <f t="shared" si="11"/>
        <v>0</v>
      </c>
    </row>
    <row r="41" spans="1:22" ht="15">
      <c r="A41" s="212">
        <f t="shared" si="12"/>
        <v>4</v>
      </c>
      <c r="B41" s="214" t="s">
        <v>756</v>
      </c>
      <c r="C41" s="194" t="str">
        <f t="shared" si="7"/>
        <v>Representation Allowance (RA)</v>
      </c>
      <c r="D41" s="215">
        <v>713</v>
      </c>
      <c r="E41" s="211">
        <f t="array" ref="E41">((SUM(IF((CkDJ[Ofc Code]=(TRIM(E$7)))*(CkDJ[Account Code]=(TRIM($D41))),CkDJ[Debit])))+(SUM(IF((CsDJ[Ofc Code]=(TRIM(E$7)))*(CsDJ[Account Code]=(TRIM($D41))),CsDJ[Debit])))+(SUM(IF((CRDJ[Ofc Code]=(TRIM(E$7)))*(CRDJ[Account Code]=(TRIM($D41))),CRDJ[Debit])))+(SUM(IF((GJ[Ofc Code]=(TRIM(E$7)))*(GJ[Account Code]=(TRIM($D41))),GJ[Debit]))))-((SUM(IF((CkDJ[Ofc Code]=(TRIM(E$7)))*(CkDJ[Account Code]=(TRIM($D41))),CkDJ[Credit])))+(SUM(IF((CsDJ[Ofc Code]=(TRIM(E$7)))*(CsDJ[Account Code]=(TRIM($D41))),CsDJ[Credit])))+(SUM(IF((CRDJ[Ofc Code]=(TRIM(E$7)))*(CRDJ[Account Code]=(TRIM($D41))),CRDJ[Credit])))+(SUM(IF((GJ[Ofc Code]=(TRIM(E$7)))*(GJ[Account Code]=(TRIM($D41))),GJ[Credit]))))</f>
        <v>0</v>
      </c>
      <c r="F41" s="211">
        <f t="array" ref="F41">((SUM(IF((CkDJ[Ofc Code]=(TRIM(F$7)))*(CkDJ[Account Code]=(TRIM($D41))),CkDJ[Debit])))+(SUM(IF((CsDJ[Ofc Code]=(TRIM(F$7)))*(CsDJ[Account Code]=(TRIM($D41))),CsDJ[Debit])))+(SUM(IF((CRDJ[Ofc Code]=(TRIM(F$7)))*(CRDJ[Account Code]=(TRIM($D41))),CRDJ[Debit])))+(SUM(IF((GJ[Ofc Code]=(TRIM(F$7)))*(GJ[Account Code]=(TRIM($D41))),GJ[Debit]))))-((SUM(IF((CkDJ[Ofc Code]=(TRIM(F$7)))*(CkDJ[Account Code]=(TRIM($D41))),CkDJ[Credit])))+(SUM(IF((CsDJ[Ofc Code]=(TRIM(F$7)))*(CsDJ[Account Code]=(TRIM($D41))),CsDJ[Credit])))+(SUM(IF((CRDJ[Ofc Code]=(TRIM(F$7)))*(CRDJ[Account Code]=(TRIM($D41))),CRDJ[Credit])))+(SUM(IF((GJ[Ofc Code]=(TRIM(F$7)))*(GJ[Account Code]=(TRIM($D41))),GJ[Credit]))))</f>
        <v>0</v>
      </c>
      <c r="G41" s="211">
        <f t="array" ref="G41">((SUM(IF((CkDJ[Ofc Code]=(TRIM(G$7)))*(CkDJ[Account Code]=(TRIM($D41))),CkDJ[Debit])))+(SUM(IF((CsDJ[Ofc Code]=(TRIM(G$7)))*(CsDJ[Account Code]=(TRIM($D41))),CsDJ[Debit])))+(SUM(IF((CRDJ[Ofc Code]=(TRIM(G$7)))*(CRDJ[Account Code]=(TRIM($D41))),CRDJ[Debit])))+(SUM(IF((GJ[Ofc Code]=(TRIM(G$7)))*(GJ[Account Code]=(TRIM($D41))),GJ[Debit]))))-((SUM(IF((CkDJ[Ofc Code]=(TRIM(G$7)))*(CkDJ[Account Code]=(TRIM($D41))),CkDJ[Credit])))+(SUM(IF((CsDJ[Ofc Code]=(TRIM(G$7)))*(CsDJ[Account Code]=(TRIM($D41))),CsDJ[Credit])))+(SUM(IF((CRDJ[Ofc Code]=(TRIM(G$7)))*(CRDJ[Account Code]=(TRIM($D41))),CRDJ[Credit])))+(SUM(IF((GJ[Ofc Code]=(TRIM(G$7)))*(GJ[Account Code]=(TRIM($D41))),GJ[Credit]))))</f>
        <v>0</v>
      </c>
      <c r="H41" s="211">
        <f t="array" ref="H41">((SUM(IF((CkDJ[Ofc Code]=(TRIM(H$7)))*(CkDJ[Account Code]=(TRIM($D41))),CkDJ[Debit])))+(SUM(IF((CsDJ[Ofc Code]=(TRIM(H$7)))*(CsDJ[Account Code]=(TRIM($D41))),CsDJ[Debit])))+(SUM(IF((CRDJ[Ofc Code]=(TRIM(H$7)))*(CRDJ[Account Code]=(TRIM($D41))),CRDJ[Debit])))+(SUM(IF((GJ[Ofc Code]=(TRIM(H$7)))*(GJ[Account Code]=(TRIM($D41))),GJ[Debit]))))-((SUM(IF((CkDJ[Ofc Code]=(TRIM(H$7)))*(CkDJ[Account Code]=(TRIM($D41))),CkDJ[Credit])))+(SUM(IF((CsDJ[Ofc Code]=(TRIM(H$7)))*(CsDJ[Account Code]=(TRIM($D41))),CsDJ[Credit])))+(SUM(IF((CRDJ[Ofc Code]=(TRIM(H$7)))*(CRDJ[Account Code]=(TRIM($D41))),CRDJ[Credit])))+(SUM(IF((GJ[Ofc Code]=(TRIM(H$7)))*(GJ[Account Code]=(TRIM($D41))),GJ[Credit]))))</f>
        <v>0</v>
      </c>
      <c r="I41" s="211">
        <f t="array" ref="I41">((SUM(IF((CkDJ[Ofc Code]=(TRIM(I$7)))*(CkDJ[Account Code]=(TRIM($D41))),CkDJ[Debit])))+(SUM(IF((CsDJ[Ofc Code]=(TRIM(I$7)))*(CsDJ[Account Code]=(TRIM($D41))),CsDJ[Debit])))+(SUM(IF((CRDJ[Ofc Code]=(TRIM(I$7)))*(CRDJ[Account Code]=(TRIM($D41))),CRDJ[Debit])))+(SUM(IF((GJ[Ofc Code]=(TRIM(I$7)))*(GJ[Account Code]=(TRIM($D41))),GJ[Debit]))))-((SUM(IF((CkDJ[Ofc Code]=(TRIM(I$7)))*(CkDJ[Account Code]=(TRIM($D41))),CkDJ[Credit])))+(SUM(IF((CsDJ[Ofc Code]=(TRIM(I$7)))*(CsDJ[Account Code]=(TRIM($D41))),CsDJ[Credit])))+(SUM(IF((CRDJ[Ofc Code]=(TRIM(I$7)))*(CRDJ[Account Code]=(TRIM($D41))),CRDJ[Credit])))+(SUM(IF((GJ[Ofc Code]=(TRIM(I$7)))*(GJ[Account Code]=(TRIM($D41))),GJ[Credit]))))</f>
        <v>0</v>
      </c>
      <c r="J41" s="211">
        <f t="shared" si="8"/>
        <v>0</v>
      </c>
      <c r="K41" s="211">
        <f t="array" ref="K41">((SUM(IF((CkDJ[Ofc Code]=(TRIM(K$7)))*(CkDJ[Account Code]=(TRIM($D41))),CkDJ[Debit])))+(SUM(IF((CsDJ[Ofc Code]=(TRIM(K$7)))*(CsDJ[Account Code]=(TRIM($D41))),CsDJ[Debit])))+(SUM(IF((CRDJ[Ofc Code]=(TRIM(K$7)))*(CRDJ[Account Code]=(TRIM($D41))),CRDJ[Debit])))+(SUM(IF((GJ[Ofc Code]=(TRIM(K$7)))*(GJ[Account Code]=(TRIM($D41))),GJ[Debit]))))-((SUM(IF((CkDJ[Ofc Code]=(TRIM(K$7)))*(CkDJ[Account Code]=(TRIM($D41))),CkDJ[Credit])))+(SUM(IF((CsDJ[Ofc Code]=(TRIM(K$7)))*(CsDJ[Account Code]=(TRIM($D41))),CsDJ[Credit])))+(SUM(IF((CRDJ[Ofc Code]=(TRIM(K$7)))*(CRDJ[Account Code]=(TRIM($D41))),CRDJ[Credit])))+(SUM(IF((GJ[Ofc Code]=(TRIM(K$7)))*(GJ[Account Code]=(TRIM($D41))),GJ[Credit]))))</f>
        <v>0</v>
      </c>
      <c r="L41" s="211">
        <f t="array" ref="L41">((SUM(IF((CkDJ[Ofc Code]=(TRIM(L$7)))*(CkDJ[Account Code]=(TRIM($D41))),CkDJ[Debit])))+(SUM(IF((CsDJ[Ofc Code]=(TRIM(L$7)))*(CsDJ[Account Code]=(TRIM($D41))),CsDJ[Debit])))+(SUM(IF((CRDJ[Ofc Code]=(TRIM(L$7)))*(CRDJ[Account Code]=(TRIM($D41))),CRDJ[Debit])))+(SUM(IF((GJ[Ofc Code]=(TRIM(L$7)))*(GJ[Account Code]=(TRIM($D41))),GJ[Debit]))))-((SUM(IF((CkDJ[Ofc Code]=(TRIM(L$7)))*(CkDJ[Account Code]=(TRIM($D41))),CkDJ[Credit])))+(SUM(IF((CsDJ[Ofc Code]=(TRIM(L$7)))*(CsDJ[Account Code]=(TRIM($D41))),CsDJ[Credit])))+(SUM(IF((CRDJ[Ofc Code]=(TRIM(L$7)))*(CRDJ[Account Code]=(TRIM($D41))),CRDJ[Credit])))+(SUM(IF((GJ[Ofc Code]=(TRIM(L$7)))*(GJ[Account Code]=(TRIM($D41))),GJ[Credit]))))</f>
        <v>0</v>
      </c>
      <c r="M41" s="211">
        <f t="array" ref="M41">((SUM(IF((CkDJ[Ofc Code]=(TRIM(M$7)))*(CkDJ[Account Code]=(TRIM($D41))),CkDJ[Debit])))+(SUM(IF((CsDJ[Ofc Code]=(TRIM(M$7)))*(CsDJ[Account Code]=(TRIM($D41))),CsDJ[Debit])))+(SUM(IF((CRDJ[Ofc Code]=(TRIM(M$7)))*(CRDJ[Account Code]=(TRIM($D41))),CRDJ[Debit])))+(SUM(IF((GJ[Ofc Code]=(TRIM(M$7)))*(GJ[Account Code]=(TRIM($D41))),GJ[Debit]))))-((SUM(IF((CkDJ[Ofc Code]=(TRIM(M$7)))*(CkDJ[Account Code]=(TRIM($D41))),CkDJ[Credit])))+(SUM(IF((CsDJ[Ofc Code]=(TRIM(M$7)))*(CsDJ[Account Code]=(TRIM($D41))),CsDJ[Credit])))+(SUM(IF((CRDJ[Ofc Code]=(TRIM(M$7)))*(CRDJ[Account Code]=(TRIM($D41))),CRDJ[Credit])))+(SUM(IF((GJ[Ofc Code]=(TRIM(M$7)))*(GJ[Account Code]=(TRIM($D41))),GJ[Credit]))))</f>
        <v>0</v>
      </c>
      <c r="N41" s="211">
        <f t="array" ref="N41">((SUM(IF((CkDJ[Ofc Code]=(TRIM(N$7)))*(CkDJ[Account Code]=(TRIM($D41))),CkDJ[Debit])))+(SUM(IF((CsDJ[Ofc Code]=(TRIM(N$7)))*(CsDJ[Account Code]=(TRIM($D41))),CsDJ[Debit])))+(SUM(IF((CRDJ[Ofc Code]=(TRIM(N$7)))*(CRDJ[Account Code]=(TRIM($D41))),CRDJ[Debit])))+(SUM(IF((GJ[Ofc Code]=(TRIM(N$7)))*(GJ[Account Code]=(TRIM($D41))),GJ[Debit]))))-((SUM(IF((CkDJ[Ofc Code]=(TRIM(N$7)))*(CkDJ[Account Code]=(TRIM($D41))),CkDJ[Credit])))+(SUM(IF((CsDJ[Ofc Code]=(TRIM(N$7)))*(CsDJ[Account Code]=(TRIM($D41))),CsDJ[Credit])))+(SUM(IF((CRDJ[Ofc Code]=(TRIM(N$7)))*(CRDJ[Account Code]=(TRIM($D41))),CRDJ[Credit])))+(SUM(IF((GJ[Ofc Code]=(TRIM(N$7)))*(GJ[Account Code]=(TRIM($D41))),GJ[Credit]))))</f>
        <v>0</v>
      </c>
      <c r="O41" s="211">
        <f t="shared" si="9"/>
        <v>0</v>
      </c>
      <c r="P41" s="211">
        <f t="array" ref="P41">((SUM(IF((CkDJ[Ofc Code]=(TRIM(P$7)))*(CkDJ[Account Code]=(TRIM($D41))),CkDJ[Debit])))+(SUM(IF((CsDJ[Ofc Code]=(TRIM(P$7)))*(CsDJ[Account Code]=(TRIM($D41))),CsDJ[Debit])))+(SUM(IF((CRDJ[Ofc Code]=(TRIM(P$7)))*(CRDJ[Account Code]=(TRIM($D41))),CRDJ[Debit])))+(SUM(IF((GJ[Ofc Code]=(TRIM(P$7)))*(GJ[Account Code]=(TRIM($D41))),GJ[Debit]))))-((SUM(IF((CkDJ[Ofc Code]=(TRIM(P$7)))*(CkDJ[Account Code]=(TRIM($D41))),CkDJ[Credit])))+(SUM(IF((CsDJ[Ofc Code]=(TRIM(P$7)))*(CsDJ[Account Code]=(TRIM($D41))),CsDJ[Credit])))+(SUM(IF((CRDJ[Ofc Code]=(TRIM(P$7)))*(CRDJ[Account Code]=(TRIM($D41))),CRDJ[Credit])))+(SUM(IF((GJ[Ofc Code]=(TRIM(P$7)))*(GJ[Account Code]=(TRIM($D41))),GJ[Credit]))))</f>
        <v>0</v>
      </c>
      <c r="Q41" s="211">
        <f t="array" ref="Q41">((SUM(IF((CkDJ[Ofc Code]=(TRIM(Q$7)))*(CkDJ[Account Code]=(TRIM($D41))),CkDJ[Debit])))+(SUM(IF((CsDJ[Ofc Code]=(TRIM(Q$7)))*(CsDJ[Account Code]=(TRIM($D41))),CsDJ[Debit])))+(SUM(IF((CRDJ[Ofc Code]=(TRIM(Q$7)))*(CRDJ[Account Code]=(TRIM($D41))),CRDJ[Debit])))+(SUM(IF((GJ[Ofc Code]=(TRIM(Q$7)))*(GJ[Account Code]=(TRIM($D41))),GJ[Debit]))))-((SUM(IF((CkDJ[Ofc Code]=(TRIM(Q$7)))*(CkDJ[Account Code]=(TRIM($D41))),CkDJ[Credit])))+(SUM(IF((CsDJ[Ofc Code]=(TRIM(Q$7)))*(CsDJ[Account Code]=(TRIM($D41))),CsDJ[Credit])))+(SUM(IF((CRDJ[Ofc Code]=(TRIM(Q$7)))*(CRDJ[Account Code]=(TRIM($D41))),CRDJ[Credit])))+(SUM(IF((GJ[Ofc Code]=(TRIM(Q$7)))*(GJ[Account Code]=(TRIM($D41))),GJ[Credit]))))</f>
        <v>0</v>
      </c>
      <c r="R41" s="211">
        <f t="array" ref="R41">((SUM(IF((CkDJ[Ofc Code]=(TRIM(R$7)))*(CkDJ[Account Code]=(TRIM($D41))),CkDJ[Debit])))+(SUM(IF((CsDJ[Ofc Code]=(TRIM(R$7)))*(CsDJ[Account Code]=(TRIM($D41))),CsDJ[Debit])))+(SUM(IF((CRDJ[Ofc Code]=(TRIM(R$7)))*(CRDJ[Account Code]=(TRIM($D41))),CRDJ[Debit])))+(SUM(IF((GJ[Ofc Code]=(TRIM(R$7)))*(GJ[Account Code]=(TRIM($D41))),GJ[Debit]))))-((SUM(IF((CkDJ[Ofc Code]=(TRIM(R$7)))*(CkDJ[Account Code]=(TRIM($D41))),CkDJ[Credit])))+(SUM(IF((CsDJ[Ofc Code]=(TRIM(R$7)))*(CsDJ[Account Code]=(TRIM($D41))),CsDJ[Credit])))+(SUM(IF((CRDJ[Ofc Code]=(TRIM(R$7)))*(CRDJ[Account Code]=(TRIM($D41))),CRDJ[Credit])))+(SUM(IF((GJ[Ofc Code]=(TRIM(R$7)))*(GJ[Account Code]=(TRIM($D41))),GJ[Credit]))))</f>
        <v>0</v>
      </c>
      <c r="S41" s="211">
        <f t="array" ref="S41">((SUM(IF((CkDJ[Ofc Code]=(TRIM(S$7)))*(CkDJ[Account Code]=(TRIM($D41))),CkDJ[Debit])))+(SUM(IF((CsDJ[Ofc Code]=(TRIM(S$7)))*(CsDJ[Account Code]=(TRIM($D41))),CsDJ[Debit])))+(SUM(IF((CRDJ[Ofc Code]=(TRIM(S$7)))*(CRDJ[Account Code]=(TRIM($D41))),CRDJ[Debit])))+(SUM(IF((GJ[Ofc Code]=(TRIM(S$7)))*(GJ[Account Code]=(TRIM($D41))),GJ[Debit]))))-((SUM(IF((CkDJ[Ofc Code]=(TRIM(S$7)))*(CkDJ[Account Code]=(TRIM($D41))),CkDJ[Credit])))+(SUM(IF((CsDJ[Ofc Code]=(TRIM(S$7)))*(CsDJ[Account Code]=(TRIM($D41))),CsDJ[Credit])))+(SUM(IF((CRDJ[Ofc Code]=(TRIM(S$7)))*(CRDJ[Account Code]=(TRIM($D41))),CRDJ[Credit])))+(SUM(IF((GJ[Ofc Code]=(TRIM(S$7)))*(GJ[Account Code]=(TRIM($D41))),GJ[Credit]))))</f>
        <v>0</v>
      </c>
      <c r="T41" s="211">
        <f t="array" ref="T41">((SUM(IF((CkDJ[Ofc Code]=(TRIM(T$7)))*(CkDJ[Account Code]=(TRIM($D41))),CkDJ[Debit])))+(SUM(IF((CsDJ[Ofc Code]=(TRIM(T$7)))*(CsDJ[Account Code]=(TRIM($D41))),CsDJ[Debit])))+(SUM(IF((CRDJ[Ofc Code]=(TRIM(T$7)))*(CRDJ[Account Code]=(TRIM($D41))),CRDJ[Debit])))+(SUM(IF((GJ[Ofc Code]=(TRIM(T$7)))*(GJ[Account Code]=(TRIM($D41))),GJ[Debit]))))-((SUM(IF((CkDJ[Ofc Code]=(TRIM(T$7)))*(CkDJ[Account Code]=(TRIM($D41))),CkDJ[Credit])))+(SUM(IF((CsDJ[Ofc Code]=(TRIM(T$7)))*(CsDJ[Account Code]=(TRIM($D41))),CsDJ[Credit])))+(SUM(IF((CRDJ[Ofc Code]=(TRIM(T$7)))*(CRDJ[Account Code]=(TRIM($D41))),CRDJ[Credit])))+(SUM(IF((GJ[Ofc Code]=(TRIM(T$7)))*(GJ[Account Code]=(TRIM($D41))),GJ[Credit]))))</f>
        <v>0</v>
      </c>
      <c r="U41" s="211">
        <f t="shared" si="10"/>
        <v>0</v>
      </c>
      <c r="V41" s="211">
        <f t="shared" si="11"/>
        <v>0</v>
      </c>
    </row>
    <row r="42" spans="1:22" ht="15">
      <c r="A42" s="212">
        <f t="shared" si="12"/>
        <v>5</v>
      </c>
      <c r="B42" s="214" t="s">
        <v>756</v>
      </c>
      <c r="C42" s="194" t="str">
        <f t="shared" si="7"/>
        <v>Transportation Allowance (TA)</v>
      </c>
      <c r="D42" s="215">
        <v>714</v>
      </c>
      <c r="E42" s="211">
        <f t="array" ref="E42">((SUM(IF((CkDJ[Ofc Code]=(TRIM(E$7)))*(CkDJ[Account Code]=(TRIM($D42))),CkDJ[Debit])))+(SUM(IF((CsDJ[Ofc Code]=(TRIM(E$7)))*(CsDJ[Account Code]=(TRIM($D42))),CsDJ[Debit])))+(SUM(IF((CRDJ[Ofc Code]=(TRIM(E$7)))*(CRDJ[Account Code]=(TRIM($D42))),CRDJ[Debit])))+(SUM(IF((GJ[Ofc Code]=(TRIM(E$7)))*(GJ[Account Code]=(TRIM($D42))),GJ[Debit]))))-((SUM(IF((CkDJ[Ofc Code]=(TRIM(E$7)))*(CkDJ[Account Code]=(TRIM($D42))),CkDJ[Credit])))+(SUM(IF((CsDJ[Ofc Code]=(TRIM(E$7)))*(CsDJ[Account Code]=(TRIM($D42))),CsDJ[Credit])))+(SUM(IF((CRDJ[Ofc Code]=(TRIM(E$7)))*(CRDJ[Account Code]=(TRIM($D42))),CRDJ[Credit])))+(SUM(IF((GJ[Ofc Code]=(TRIM(E$7)))*(GJ[Account Code]=(TRIM($D42))),GJ[Credit]))))</f>
        <v>0</v>
      </c>
      <c r="F42" s="211">
        <f t="array" ref="F42">((SUM(IF((CkDJ[Ofc Code]=(TRIM(F$7)))*(CkDJ[Account Code]=(TRIM($D42))),CkDJ[Debit])))+(SUM(IF((CsDJ[Ofc Code]=(TRIM(F$7)))*(CsDJ[Account Code]=(TRIM($D42))),CsDJ[Debit])))+(SUM(IF((CRDJ[Ofc Code]=(TRIM(F$7)))*(CRDJ[Account Code]=(TRIM($D42))),CRDJ[Debit])))+(SUM(IF((GJ[Ofc Code]=(TRIM(F$7)))*(GJ[Account Code]=(TRIM($D42))),GJ[Debit]))))-((SUM(IF((CkDJ[Ofc Code]=(TRIM(F$7)))*(CkDJ[Account Code]=(TRIM($D42))),CkDJ[Credit])))+(SUM(IF((CsDJ[Ofc Code]=(TRIM(F$7)))*(CsDJ[Account Code]=(TRIM($D42))),CsDJ[Credit])))+(SUM(IF((CRDJ[Ofc Code]=(TRIM(F$7)))*(CRDJ[Account Code]=(TRIM($D42))),CRDJ[Credit])))+(SUM(IF((GJ[Ofc Code]=(TRIM(F$7)))*(GJ[Account Code]=(TRIM($D42))),GJ[Credit]))))</f>
        <v>0</v>
      </c>
      <c r="G42" s="211">
        <f t="array" ref="G42">((SUM(IF((CkDJ[Ofc Code]=(TRIM(G$7)))*(CkDJ[Account Code]=(TRIM($D42))),CkDJ[Debit])))+(SUM(IF((CsDJ[Ofc Code]=(TRIM(G$7)))*(CsDJ[Account Code]=(TRIM($D42))),CsDJ[Debit])))+(SUM(IF((CRDJ[Ofc Code]=(TRIM(G$7)))*(CRDJ[Account Code]=(TRIM($D42))),CRDJ[Debit])))+(SUM(IF((GJ[Ofc Code]=(TRIM(G$7)))*(GJ[Account Code]=(TRIM($D42))),GJ[Debit]))))-((SUM(IF((CkDJ[Ofc Code]=(TRIM(G$7)))*(CkDJ[Account Code]=(TRIM($D42))),CkDJ[Credit])))+(SUM(IF((CsDJ[Ofc Code]=(TRIM(G$7)))*(CsDJ[Account Code]=(TRIM($D42))),CsDJ[Credit])))+(SUM(IF((CRDJ[Ofc Code]=(TRIM(G$7)))*(CRDJ[Account Code]=(TRIM($D42))),CRDJ[Credit])))+(SUM(IF((GJ[Ofc Code]=(TRIM(G$7)))*(GJ[Account Code]=(TRIM($D42))),GJ[Credit]))))</f>
        <v>0</v>
      </c>
      <c r="H42" s="211">
        <f t="array" ref="H42">((SUM(IF((CkDJ[Ofc Code]=(TRIM(H$7)))*(CkDJ[Account Code]=(TRIM($D42))),CkDJ[Debit])))+(SUM(IF((CsDJ[Ofc Code]=(TRIM(H$7)))*(CsDJ[Account Code]=(TRIM($D42))),CsDJ[Debit])))+(SUM(IF((CRDJ[Ofc Code]=(TRIM(H$7)))*(CRDJ[Account Code]=(TRIM($D42))),CRDJ[Debit])))+(SUM(IF((GJ[Ofc Code]=(TRIM(H$7)))*(GJ[Account Code]=(TRIM($D42))),GJ[Debit]))))-((SUM(IF((CkDJ[Ofc Code]=(TRIM(H$7)))*(CkDJ[Account Code]=(TRIM($D42))),CkDJ[Credit])))+(SUM(IF((CsDJ[Ofc Code]=(TRIM(H$7)))*(CsDJ[Account Code]=(TRIM($D42))),CsDJ[Credit])))+(SUM(IF((CRDJ[Ofc Code]=(TRIM(H$7)))*(CRDJ[Account Code]=(TRIM($D42))),CRDJ[Credit])))+(SUM(IF((GJ[Ofc Code]=(TRIM(H$7)))*(GJ[Account Code]=(TRIM($D42))),GJ[Credit]))))</f>
        <v>0</v>
      </c>
      <c r="I42" s="211">
        <f t="array" ref="I42">((SUM(IF((CkDJ[Ofc Code]=(TRIM(I$7)))*(CkDJ[Account Code]=(TRIM($D42))),CkDJ[Debit])))+(SUM(IF((CsDJ[Ofc Code]=(TRIM(I$7)))*(CsDJ[Account Code]=(TRIM($D42))),CsDJ[Debit])))+(SUM(IF((CRDJ[Ofc Code]=(TRIM(I$7)))*(CRDJ[Account Code]=(TRIM($D42))),CRDJ[Debit])))+(SUM(IF((GJ[Ofc Code]=(TRIM(I$7)))*(GJ[Account Code]=(TRIM($D42))),GJ[Debit]))))-((SUM(IF((CkDJ[Ofc Code]=(TRIM(I$7)))*(CkDJ[Account Code]=(TRIM($D42))),CkDJ[Credit])))+(SUM(IF((CsDJ[Ofc Code]=(TRIM(I$7)))*(CsDJ[Account Code]=(TRIM($D42))),CsDJ[Credit])))+(SUM(IF((CRDJ[Ofc Code]=(TRIM(I$7)))*(CRDJ[Account Code]=(TRIM($D42))),CRDJ[Credit])))+(SUM(IF((GJ[Ofc Code]=(TRIM(I$7)))*(GJ[Account Code]=(TRIM($D42))),GJ[Credit]))))</f>
        <v>0</v>
      </c>
      <c r="J42" s="211">
        <f t="shared" si="8"/>
        <v>0</v>
      </c>
      <c r="K42" s="211">
        <f t="array" ref="K42">((SUM(IF((CkDJ[Ofc Code]=(TRIM(K$7)))*(CkDJ[Account Code]=(TRIM($D42))),CkDJ[Debit])))+(SUM(IF((CsDJ[Ofc Code]=(TRIM(K$7)))*(CsDJ[Account Code]=(TRIM($D42))),CsDJ[Debit])))+(SUM(IF((CRDJ[Ofc Code]=(TRIM(K$7)))*(CRDJ[Account Code]=(TRIM($D42))),CRDJ[Debit])))+(SUM(IF((GJ[Ofc Code]=(TRIM(K$7)))*(GJ[Account Code]=(TRIM($D42))),GJ[Debit]))))-((SUM(IF((CkDJ[Ofc Code]=(TRIM(K$7)))*(CkDJ[Account Code]=(TRIM($D42))),CkDJ[Credit])))+(SUM(IF((CsDJ[Ofc Code]=(TRIM(K$7)))*(CsDJ[Account Code]=(TRIM($D42))),CsDJ[Credit])))+(SUM(IF((CRDJ[Ofc Code]=(TRIM(K$7)))*(CRDJ[Account Code]=(TRIM($D42))),CRDJ[Credit])))+(SUM(IF((GJ[Ofc Code]=(TRIM(K$7)))*(GJ[Account Code]=(TRIM($D42))),GJ[Credit]))))</f>
        <v>0</v>
      </c>
      <c r="L42" s="211">
        <f t="array" ref="L42">((SUM(IF((CkDJ[Ofc Code]=(TRIM(L$7)))*(CkDJ[Account Code]=(TRIM($D42))),CkDJ[Debit])))+(SUM(IF((CsDJ[Ofc Code]=(TRIM(L$7)))*(CsDJ[Account Code]=(TRIM($D42))),CsDJ[Debit])))+(SUM(IF((CRDJ[Ofc Code]=(TRIM(L$7)))*(CRDJ[Account Code]=(TRIM($D42))),CRDJ[Debit])))+(SUM(IF((GJ[Ofc Code]=(TRIM(L$7)))*(GJ[Account Code]=(TRIM($D42))),GJ[Debit]))))-((SUM(IF((CkDJ[Ofc Code]=(TRIM(L$7)))*(CkDJ[Account Code]=(TRIM($D42))),CkDJ[Credit])))+(SUM(IF((CsDJ[Ofc Code]=(TRIM(L$7)))*(CsDJ[Account Code]=(TRIM($D42))),CsDJ[Credit])))+(SUM(IF((CRDJ[Ofc Code]=(TRIM(L$7)))*(CRDJ[Account Code]=(TRIM($D42))),CRDJ[Credit])))+(SUM(IF((GJ[Ofc Code]=(TRIM(L$7)))*(GJ[Account Code]=(TRIM($D42))),GJ[Credit]))))</f>
        <v>0</v>
      </c>
      <c r="M42" s="211">
        <f t="array" ref="M42">((SUM(IF((CkDJ[Ofc Code]=(TRIM(M$7)))*(CkDJ[Account Code]=(TRIM($D42))),CkDJ[Debit])))+(SUM(IF((CsDJ[Ofc Code]=(TRIM(M$7)))*(CsDJ[Account Code]=(TRIM($D42))),CsDJ[Debit])))+(SUM(IF((CRDJ[Ofc Code]=(TRIM(M$7)))*(CRDJ[Account Code]=(TRIM($D42))),CRDJ[Debit])))+(SUM(IF((GJ[Ofc Code]=(TRIM(M$7)))*(GJ[Account Code]=(TRIM($D42))),GJ[Debit]))))-((SUM(IF((CkDJ[Ofc Code]=(TRIM(M$7)))*(CkDJ[Account Code]=(TRIM($D42))),CkDJ[Credit])))+(SUM(IF((CsDJ[Ofc Code]=(TRIM(M$7)))*(CsDJ[Account Code]=(TRIM($D42))),CsDJ[Credit])))+(SUM(IF((CRDJ[Ofc Code]=(TRIM(M$7)))*(CRDJ[Account Code]=(TRIM($D42))),CRDJ[Credit])))+(SUM(IF((GJ[Ofc Code]=(TRIM(M$7)))*(GJ[Account Code]=(TRIM($D42))),GJ[Credit]))))</f>
        <v>0</v>
      </c>
      <c r="N42" s="211">
        <f t="array" ref="N42">((SUM(IF((CkDJ[Ofc Code]=(TRIM(N$7)))*(CkDJ[Account Code]=(TRIM($D42))),CkDJ[Debit])))+(SUM(IF((CsDJ[Ofc Code]=(TRIM(N$7)))*(CsDJ[Account Code]=(TRIM($D42))),CsDJ[Debit])))+(SUM(IF((CRDJ[Ofc Code]=(TRIM(N$7)))*(CRDJ[Account Code]=(TRIM($D42))),CRDJ[Debit])))+(SUM(IF((GJ[Ofc Code]=(TRIM(N$7)))*(GJ[Account Code]=(TRIM($D42))),GJ[Debit]))))-((SUM(IF((CkDJ[Ofc Code]=(TRIM(N$7)))*(CkDJ[Account Code]=(TRIM($D42))),CkDJ[Credit])))+(SUM(IF((CsDJ[Ofc Code]=(TRIM(N$7)))*(CsDJ[Account Code]=(TRIM($D42))),CsDJ[Credit])))+(SUM(IF((CRDJ[Ofc Code]=(TRIM(N$7)))*(CRDJ[Account Code]=(TRIM($D42))),CRDJ[Credit])))+(SUM(IF((GJ[Ofc Code]=(TRIM(N$7)))*(GJ[Account Code]=(TRIM($D42))),GJ[Credit]))))</f>
        <v>0</v>
      </c>
      <c r="O42" s="211">
        <f t="shared" si="9"/>
        <v>0</v>
      </c>
      <c r="P42" s="211">
        <f t="array" ref="P42">((SUM(IF((CkDJ[Ofc Code]=(TRIM(P$7)))*(CkDJ[Account Code]=(TRIM($D42))),CkDJ[Debit])))+(SUM(IF((CsDJ[Ofc Code]=(TRIM(P$7)))*(CsDJ[Account Code]=(TRIM($D42))),CsDJ[Debit])))+(SUM(IF((CRDJ[Ofc Code]=(TRIM(P$7)))*(CRDJ[Account Code]=(TRIM($D42))),CRDJ[Debit])))+(SUM(IF((GJ[Ofc Code]=(TRIM(P$7)))*(GJ[Account Code]=(TRIM($D42))),GJ[Debit]))))-((SUM(IF((CkDJ[Ofc Code]=(TRIM(P$7)))*(CkDJ[Account Code]=(TRIM($D42))),CkDJ[Credit])))+(SUM(IF((CsDJ[Ofc Code]=(TRIM(P$7)))*(CsDJ[Account Code]=(TRIM($D42))),CsDJ[Credit])))+(SUM(IF((CRDJ[Ofc Code]=(TRIM(P$7)))*(CRDJ[Account Code]=(TRIM($D42))),CRDJ[Credit])))+(SUM(IF((GJ[Ofc Code]=(TRIM(P$7)))*(GJ[Account Code]=(TRIM($D42))),GJ[Credit]))))</f>
        <v>0</v>
      </c>
      <c r="Q42" s="211">
        <f t="array" ref="Q42">((SUM(IF((CkDJ[Ofc Code]=(TRIM(Q$7)))*(CkDJ[Account Code]=(TRIM($D42))),CkDJ[Debit])))+(SUM(IF((CsDJ[Ofc Code]=(TRIM(Q$7)))*(CsDJ[Account Code]=(TRIM($D42))),CsDJ[Debit])))+(SUM(IF((CRDJ[Ofc Code]=(TRIM(Q$7)))*(CRDJ[Account Code]=(TRIM($D42))),CRDJ[Debit])))+(SUM(IF((GJ[Ofc Code]=(TRIM(Q$7)))*(GJ[Account Code]=(TRIM($D42))),GJ[Debit]))))-((SUM(IF((CkDJ[Ofc Code]=(TRIM(Q$7)))*(CkDJ[Account Code]=(TRIM($D42))),CkDJ[Credit])))+(SUM(IF((CsDJ[Ofc Code]=(TRIM(Q$7)))*(CsDJ[Account Code]=(TRIM($D42))),CsDJ[Credit])))+(SUM(IF((CRDJ[Ofc Code]=(TRIM(Q$7)))*(CRDJ[Account Code]=(TRIM($D42))),CRDJ[Credit])))+(SUM(IF((GJ[Ofc Code]=(TRIM(Q$7)))*(GJ[Account Code]=(TRIM($D42))),GJ[Credit]))))</f>
        <v>0</v>
      </c>
      <c r="R42" s="211">
        <f t="array" ref="R42">((SUM(IF((CkDJ[Ofc Code]=(TRIM(R$7)))*(CkDJ[Account Code]=(TRIM($D42))),CkDJ[Debit])))+(SUM(IF((CsDJ[Ofc Code]=(TRIM(R$7)))*(CsDJ[Account Code]=(TRIM($D42))),CsDJ[Debit])))+(SUM(IF((CRDJ[Ofc Code]=(TRIM(R$7)))*(CRDJ[Account Code]=(TRIM($D42))),CRDJ[Debit])))+(SUM(IF((GJ[Ofc Code]=(TRIM(R$7)))*(GJ[Account Code]=(TRIM($D42))),GJ[Debit]))))-((SUM(IF((CkDJ[Ofc Code]=(TRIM(R$7)))*(CkDJ[Account Code]=(TRIM($D42))),CkDJ[Credit])))+(SUM(IF((CsDJ[Ofc Code]=(TRIM(R$7)))*(CsDJ[Account Code]=(TRIM($D42))),CsDJ[Credit])))+(SUM(IF((CRDJ[Ofc Code]=(TRIM(R$7)))*(CRDJ[Account Code]=(TRIM($D42))),CRDJ[Credit])))+(SUM(IF((GJ[Ofc Code]=(TRIM(R$7)))*(GJ[Account Code]=(TRIM($D42))),GJ[Credit]))))</f>
        <v>0</v>
      </c>
      <c r="S42" s="211">
        <f t="array" ref="S42">((SUM(IF((CkDJ[Ofc Code]=(TRIM(S$7)))*(CkDJ[Account Code]=(TRIM($D42))),CkDJ[Debit])))+(SUM(IF((CsDJ[Ofc Code]=(TRIM(S$7)))*(CsDJ[Account Code]=(TRIM($D42))),CsDJ[Debit])))+(SUM(IF((CRDJ[Ofc Code]=(TRIM(S$7)))*(CRDJ[Account Code]=(TRIM($D42))),CRDJ[Debit])))+(SUM(IF((GJ[Ofc Code]=(TRIM(S$7)))*(GJ[Account Code]=(TRIM($D42))),GJ[Debit]))))-((SUM(IF((CkDJ[Ofc Code]=(TRIM(S$7)))*(CkDJ[Account Code]=(TRIM($D42))),CkDJ[Credit])))+(SUM(IF((CsDJ[Ofc Code]=(TRIM(S$7)))*(CsDJ[Account Code]=(TRIM($D42))),CsDJ[Credit])))+(SUM(IF((CRDJ[Ofc Code]=(TRIM(S$7)))*(CRDJ[Account Code]=(TRIM($D42))),CRDJ[Credit])))+(SUM(IF((GJ[Ofc Code]=(TRIM(S$7)))*(GJ[Account Code]=(TRIM($D42))),GJ[Credit]))))</f>
        <v>0</v>
      </c>
      <c r="T42" s="211">
        <f t="array" ref="T42">((SUM(IF((CkDJ[Ofc Code]=(TRIM(T$7)))*(CkDJ[Account Code]=(TRIM($D42))),CkDJ[Debit])))+(SUM(IF((CsDJ[Ofc Code]=(TRIM(T$7)))*(CsDJ[Account Code]=(TRIM($D42))),CsDJ[Debit])))+(SUM(IF((CRDJ[Ofc Code]=(TRIM(T$7)))*(CRDJ[Account Code]=(TRIM($D42))),CRDJ[Debit])))+(SUM(IF((GJ[Ofc Code]=(TRIM(T$7)))*(GJ[Account Code]=(TRIM($D42))),GJ[Debit]))))-((SUM(IF((CkDJ[Ofc Code]=(TRIM(T$7)))*(CkDJ[Account Code]=(TRIM($D42))),CkDJ[Credit])))+(SUM(IF((CsDJ[Ofc Code]=(TRIM(T$7)))*(CsDJ[Account Code]=(TRIM($D42))),CsDJ[Credit])))+(SUM(IF((CRDJ[Ofc Code]=(TRIM(T$7)))*(CRDJ[Account Code]=(TRIM($D42))),CRDJ[Credit])))+(SUM(IF((GJ[Ofc Code]=(TRIM(T$7)))*(GJ[Account Code]=(TRIM($D42))),GJ[Credit]))))</f>
        <v>0</v>
      </c>
      <c r="U42" s="211">
        <f t="shared" si="10"/>
        <v>0</v>
      </c>
      <c r="V42" s="211">
        <f t="shared" si="11"/>
        <v>0</v>
      </c>
    </row>
    <row r="43" spans="1:22" ht="15">
      <c r="A43" s="212">
        <f t="shared" si="12"/>
        <v>6</v>
      </c>
      <c r="B43" s="214" t="s">
        <v>756</v>
      </c>
      <c r="C43" s="194" t="str">
        <f t="shared" si="7"/>
        <v>Clothing/Uniform Allowance</v>
      </c>
      <c r="D43" s="215">
        <v>715</v>
      </c>
      <c r="E43" s="211">
        <f t="array" ref="E43">((SUM(IF((CkDJ[Ofc Code]=(TRIM(E$7)))*(CkDJ[Account Code]=(TRIM($D43))),CkDJ[Debit])))+(SUM(IF((CsDJ[Ofc Code]=(TRIM(E$7)))*(CsDJ[Account Code]=(TRIM($D43))),CsDJ[Debit])))+(SUM(IF((CRDJ[Ofc Code]=(TRIM(E$7)))*(CRDJ[Account Code]=(TRIM($D43))),CRDJ[Debit])))+(SUM(IF((GJ[Ofc Code]=(TRIM(E$7)))*(GJ[Account Code]=(TRIM($D43))),GJ[Debit]))))-((SUM(IF((CkDJ[Ofc Code]=(TRIM(E$7)))*(CkDJ[Account Code]=(TRIM($D43))),CkDJ[Credit])))+(SUM(IF((CsDJ[Ofc Code]=(TRIM(E$7)))*(CsDJ[Account Code]=(TRIM($D43))),CsDJ[Credit])))+(SUM(IF((CRDJ[Ofc Code]=(TRIM(E$7)))*(CRDJ[Account Code]=(TRIM($D43))),CRDJ[Credit])))+(SUM(IF((GJ[Ofc Code]=(TRIM(E$7)))*(GJ[Account Code]=(TRIM($D43))),GJ[Credit]))))</f>
        <v>0</v>
      </c>
      <c r="F43" s="211">
        <f t="array" ref="F43">((SUM(IF((CkDJ[Ofc Code]=(TRIM(F$7)))*(CkDJ[Account Code]=(TRIM($D43))),CkDJ[Debit])))+(SUM(IF((CsDJ[Ofc Code]=(TRIM(F$7)))*(CsDJ[Account Code]=(TRIM($D43))),CsDJ[Debit])))+(SUM(IF((CRDJ[Ofc Code]=(TRIM(F$7)))*(CRDJ[Account Code]=(TRIM($D43))),CRDJ[Debit])))+(SUM(IF((GJ[Ofc Code]=(TRIM(F$7)))*(GJ[Account Code]=(TRIM($D43))),GJ[Debit]))))-((SUM(IF((CkDJ[Ofc Code]=(TRIM(F$7)))*(CkDJ[Account Code]=(TRIM($D43))),CkDJ[Credit])))+(SUM(IF((CsDJ[Ofc Code]=(TRIM(F$7)))*(CsDJ[Account Code]=(TRIM($D43))),CsDJ[Credit])))+(SUM(IF((CRDJ[Ofc Code]=(TRIM(F$7)))*(CRDJ[Account Code]=(TRIM($D43))),CRDJ[Credit])))+(SUM(IF((GJ[Ofc Code]=(TRIM(F$7)))*(GJ[Account Code]=(TRIM($D43))),GJ[Credit]))))</f>
        <v>0</v>
      </c>
      <c r="G43" s="211">
        <f t="array" ref="G43">((SUM(IF((CkDJ[Ofc Code]=(TRIM(G$7)))*(CkDJ[Account Code]=(TRIM($D43))),CkDJ[Debit])))+(SUM(IF((CsDJ[Ofc Code]=(TRIM(G$7)))*(CsDJ[Account Code]=(TRIM($D43))),CsDJ[Debit])))+(SUM(IF((CRDJ[Ofc Code]=(TRIM(G$7)))*(CRDJ[Account Code]=(TRIM($D43))),CRDJ[Debit])))+(SUM(IF((GJ[Ofc Code]=(TRIM(G$7)))*(GJ[Account Code]=(TRIM($D43))),GJ[Debit]))))-((SUM(IF((CkDJ[Ofc Code]=(TRIM(G$7)))*(CkDJ[Account Code]=(TRIM($D43))),CkDJ[Credit])))+(SUM(IF((CsDJ[Ofc Code]=(TRIM(G$7)))*(CsDJ[Account Code]=(TRIM($D43))),CsDJ[Credit])))+(SUM(IF((CRDJ[Ofc Code]=(TRIM(G$7)))*(CRDJ[Account Code]=(TRIM($D43))),CRDJ[Credit])))+(SUM(IF((GJ[Ofc Code]=(TRIM(G$7)))*(GJ[Account Code]=(TRIM($D43))),GJ[Credit]))))</f>
        <v>0</v>
      </c>
      <c r="H43" s="211">
        <f t="array" ref="H43">((SUM(IF((CkDJ[Ofc Code]=(TRIM(H$7)))*(CkDJ[Account Code]=(TRIM($D43))),CkDJ[Debit])))+(SUM(IF((CsDJ[Ofc Code]=(TRIM(H$7)))*(CsDJ[Account Code]=(TRIM($D43))),CsDJ[Debit])))+(SUM(IF((CRDJ[Ofc Code]=(TRIM(H$7)))*(CRDJ[Account Code]=(TRIM($D43))),CRDJ[Debit])))+(SUM(IF((GJ[Ofc Code]=(TRIM(H$7)))*(GJ[Account Code]=(TRIM($D43))),GJ[Debit]))))-((SUM(IF((CkDJ[Ofc Code]=(TRIM(H$7)))*(CkDJ[Account Code]=(TRIM($D43))),CkDJ[Credit])))+(SUM(IF((CsDJ[Ofc Code]=(TRIM(H$7)))*(CsDJ[Account Code]=(TRIM($D43))),CsDJ[Credit])))+(SUM(IF((CRDJ[Ofc Code]=(TRIM(H$7)))*(CRDJ[Account Code]=(TRIM($D43))),CRDJ[Credit])))+(SUM(IF((GJ[Ofc Code]=(TRIM(H$7)))*(GJ[Account Code]=(TRIM($D43))),GJ[Credit]))))</f>
        <v>0</v>
      </c>
      <c r="I43" s="211">
        <f t="array" ref="I43">((SUM(IF((CkDJ[Ofc Code]=(TRIM(I$7)))*(CkDJ[Account Code]=(TRIM($D43))),CkDJ[Debit])))+(SUM(IF((CsDJ[Ofc Code]=(TRIM(I$7)))*(CsDJ[Account Code]=(TRIM($D43))),CsDJ[Debit])))+(SUM(IF((CRDJ[Ofc Code]=(TRIM(I$7)))*(CRDJ[Account Code]=(TRIM($D43))),CRDJ[Debit])))+(SUM(IF((GJ[Ofc Code]=(TRIM(I$7)))*(GJ[Account Code]=(TRIM($D43))),GJ[Debit]))))-((SUM(IF((CkDJ[Ofc Code]=(TRIM(I$7)))*(CkDJ[Account Code]=(TRIM($D43))),CkDJ[Credit])))+(SUM(IF((CsDJ[Ofc Code]=(TRIM(I$7)))*(CsDJ[Account Code]=(TRIM($D43))),CsDJ[Credit])))+(SUM(IF((CRDJ[Ofc Code]=(TRIM(I$7)))*(CRDJ[Account Code]=(TRIM($D43))),CRDJ[Credit])))+(SUM(IF((GJ[Ofc Code]=(TRIM(I$7)))*(GJ[Account Code]=(TRIM($D43))),GJ[Credit]))))</f>
        <v>0</v>
      </c>
      <c r="J43" s="211">
        <f t="shared" si="8"/>
        <v>0</v>
      </c>
      <c r="K43" s="211">
        <f t="array" ref="K43">((SUM(IF((CkDJ[Ofc Code]=(TRIM(K$7)))*(CkDJ[Account Code]=(TRIM($D43))),CkDJ[Debit])))+(SUM(IF((CsDJ[Ofc Code]=(TRIM(K$7)))*(CsDJ[Account Code]=(TRIM($D43))),CsDJ[Debit])))+(SUM(IF((CRDJ[Ofc Code]=(TRIM(K$7)))*(CRDJ[Account Code]=(TRIM($D43))),CRDJ[Debit])))+(SUM(IF((GJ[Ofc Code]=(TRIM(K$7)))*(GJ[Account Code]=(TRIM($D43))),GJ[Debit]))))-((SUM(IF((CkDJ[Ofc Code]=(TRIM(K$7)))*(CkDJ[Account Code]=(TRIM($D43))),CkDJ[Credit])))+(SUM(IF((CsDJ[Ofc Code]=(TRIM(K$7)))*(CsDJ[Account Code]=(TRIM($D43))),CsDJ[Credit])))+(SUM(IF((CRDJ[Ofc Code]=(TRIM(K$7)))*(CRDJ[Account Code]=(TRIM($D43))),CRDJ[Credit])))+(SUM(IF((GJ[Ofc Code]=(TRIM(K$7)))*(GJ[Account Code]=(TRIM($D43))),GJ[Credit]))))</f>
        <v>0</v>
      </c>
      <c r="L43" s="211">
        <f t="array" ref="L43">((SUM(IF((CkDJ[Ofc Code]=(TRIM(L$7)))*(CkDJ[Account Code]=(TRIM($D43))),CkDJ[Debit])))+(SUM(IF((CsDJ[Ofc Code]=(TRIM(L$7)))*(CsDJ[Account Code]=(TRIM($D43))),CsDJ[Debit])))+(SUM(IF((CRDJ[Ofc Code]=(TRIM(L$7)))*(CRDJ[Account Code]=(TRIM($D43))),CRDJ[Debit])))+(SUM(IF((GJ[Ofc Code]=(TRIM(L$7)))*(GJ[Account Code]=(TRIM($D43))),GJ[Debit]))))-((SUM(IF((CkDJ[Ofc Code]=(TRIM(L$7)))*(CkDJ[Account Code]=(TRIM($D43))),CkDJ[Credit])))+(SUM(IF((CsDJ[Ofc Code]=(TRIM(L$7)))*(CsDJ[Account Code]=(TRIM($D43))),CsDJ[Credit])))+(SUM(IF((CRDJ[Ofc Code]=(TRIM(L$7)))*(CRDJ[Account Code]=(TRIM($D43))),CRDJ[Credit])))+(SUM(IF((GJ[Ofc Code]=(TRIM(L$7)))*(GJ[Account Code]=(TRIM($D43))),GJ[Credit]))))</f>
        <v>0</v>
      </c>
      <c r="M43" s="211">
        <f t="array" ref="M43">((SUM(IF((CkDJ[Ofc Code]=(TRIM(M$7)))*(CkDJ[Account Code]=(TRIM($D43))),CkDJ[Debit])))+(SUM(IF((CsDJ[Ofc Code]=(TRIM(M$7)))*(CsDJ[Account Code]=(TRIM($D43))),CsDJ[Debit])))+(SUM(IF((CRDJ[Ofc Code]=(TRIM(M$7)))*(CRDJ[Account Code]=(TRIM($D43))),CRDJ[Debit])))+(SUM(IF((GJ[Ofc Code]=(TRIM(M$7)))*(GJ[Account Code]=(TRIM($D43))),GJ[Debit]))))-((SUM(IF((CkDJ[Ofc Code]=(TRIM(M$7)))*(CkDJ[Account Code]=(TRIM($D43))),CkDJ[Credit])))+(SUM(IF((CsDJ[Ofc Code]=(TRIM(M$7)))*(CsDJ[Account Code]=(TRIM($D43))),CsDJ[Credit])))+(SUM(IF((CRDJ[Ofc Code]=(TRIM(M$7)))*(CRDJ[Account Code]=(TRIM($D43))),CRDJ[Credit])))+(SUM(IF((GJ[Ofc Code]=(TRIM(M$7)))*(GJ[Account Code]=(TRIM($D43))),GJ[Credit]))))</f>
        <v>0</v>
      </c>
      <c r="N43" s="211">
        <f t="array" ref="N43">((SUM(IF((CkDJ[Ofc Code]=(TRIM(N$7)))*(CkDJ[Account Code]=(TRIM($D43))),CkDJ[Debit])))+(SUM(IF((CsDJ[Ofc Code]=(TRIM(N$7)))*(CsDJ[Account Code]=(TRIM($D43))),CsDJ[Debit])))+(SUM(IF((CRDJ[Ofc Code]=(TRIM(N$7)))*(CRDJ[Account Code]=(TRIM($D43))),CRDJ[Debit])))+(SUM(IF((GJ[Ofc Code]=(TRIM(N$7)))*(GJ[Account Code]=(TRIM($D43))),GJ[Debit]))))-((SUM(IF((CkDJ[Ofc Code]=(TRIM(N$7)))*(CkDJ[Account Code]=(TRIM($D43))),CkDJ[Credit])))+(SUM(IF((CsDJ[Ofc Code]=(TRIM(N$7)))*(CsDJ[Account Code]=(TRIM($D43))),CsDJ[Credit])))+(SUM(IF((CRDJ[Ofc Code]=(TRIM(N$7)))*(CRDJ[Account Code]=(TRIM($D43))),CRDJ[Credit])))+(SUM(IF((GJ[Ofc Code]=(TRIM(N$7)))*(GJ[Account Code]=(TRIM($D43))),GJ[Credit]))))</f>
        <v>0</v>
      </c>
      <c r="O43" s="211">
        <f t="shared" si="9"/>
        <v>0</v>
      </c>
      <c r="P43" s="211">
        <f t="array" ref="P43">((SUM(IF((CkDJ[Ofc Code]=(TRIM(P$7)))*(CkDJ[Account Code]=(TRIM($D43))),CkDJ[Debit])))+(SUM(IF((CsDJ[Ofc Code]=(TRIM(P$7)))*(CsDJ[Account Code]=(TRIM($D43))),CsDJ[Debit])))+(SUM(IF((CRDJ[Ofc Code]=(TRIM(P$7)))*(CRDJ[Account Code]=(TRIM($D43))),CRDJ[Debit])))+(SUM(IF((GJ[Ofc Code]=(TRIM(P$7)))*(GJ[Account Code]=(TRIM($D43))),GJ[Debit]))))-((SUM(IF((CkDJ[Ofc Code]=(TRIM(P$7)))*(CkDJ[Account Code]=(TRIM($D43))),CkDJ[Credit])))+(SUM(IF((CsDJ[Ofc Code]=(TRIM(P$7)))*(CsDJ[Account Code]=(TRIM($D43))),CsDJ[Credit])))+(SUM(IF((CRDJ[Ofc Code]=(TRIM(P$7)))*(CRDJ[Account Code]=(TRIM($D43))),CRDJ[Credit])))+(SUM(IF((GJ[Ofc Code]=(TRIM(P$7)))*(GJ[Account Code]=(TRIM($D43))),GJ[Credit]))))</f>
        <v>0</v>
      </c>
      <c r="Q43" s="211">
        <f t="array" ref="Q43">((SUM(IF((CkDJ[Ofc Code]=(TRIM(Q$7)))*(CkDJ[Account Code]=(TRIM($D43))),CkDJ[Debit])))+(SUM(IF((CsDJ[Ofc Code]=(TRIM(Q$7)))*(CsDJ[Account Code]=(TRIM($D43))),CsDJ[Debit])))+(SUM(IF((CRDJ[Ofc Code]=(TRIM(Q$7)))*(CRDJ[Account Code]=(TRIM($D43))),CRDJ[Debit])))+(SUM(IF((GJ[Ofc Code]=(TRIM(Q$7)))*(GJ[Account Code]=(TRIM($D43))),GJ[Debit]))))-((SUM(IF((CkDJ[Ofc Code]=(TRIM(Q$7)))*(CkDJ[Account Code]=(TRIM($D43))),CkDJ[Credit])))+(SUM(IF((CsDJ[Ofc Code]=(TRIM(Q$7)))*(CsDJ[Account Code]=(TRIM($D43))),CsDJ[Credit])))+(SUM(IF((CRDJ[Ofc Code]=(TRIM(Q$7)))*(CRDJ[Account Code]=(TRIM($D43))),CRDJ[Credit])))+(SUM(IF((GJ[Ofc Code]=(TRIM(Q$7)))*(GJ[Account Code]=(TRIM($D43))),GJ[Credit]))))</f>
        <v>0</v>
      </c>
      <c r="R43" s="211">
        <f t="array" ref="R43">((SUM(IF((CkDJ[Ofc Code]=(TRIM(R$7)))*(CkDJ[Account Code]=(TRIM($D43))),CkDJ[Debit])))+(SUM(IF((CsDJ[Ofc Code]=(TRIM(R$7)))*(CsDJ[Account Code]=(TRIM($D43))),CsDJ[Debit])))+(SUM(IF((CRDJ[Ofc Code]=(TRIM(R$7)))*(CRDJ[Account Code]=(TRIM($D43))),CRDJ[Debit])))+(SUM(IF((GJ[Ofc Code]=(TRIM(R$7)))*(GJ[Account Code]=(TRIM($D43))),GJ[Debit]))))-((SUM(IF((CkDJ[Ofc Code]=(TRIM(R$7)))*(CkDJ[Account Code]=(TRIM($D43))),CkDJ[Credit])))+(SUM(IF((CsDJ[Ofc Code]=(TRIM(R$7)))*(CsDJ[Account Code]=(TRIM($D43))),CsDJ[Credit])))+(SUM(IF((CRDJ[Ofc Code]=(TRIM(R$7)))*(CRDJ[Account Code]=(TRIM($D43))),CRDJ[Credit])))+(SUM(IF((GJ[Ofc Code]=(TRIM(R$7)))*(GJ[Account Code]=(TRIM($D43))),GJ[Credit]))))</f>
        <v>0</v>
      </c>
      <c r="S43" s="211">
        <f t="array" ref="S43">((SUM(IF((CkDJ[Ofc Code]=(TRIM(S$7)))*(CkDJ[Account Code]=(TRIM($D43))),CkDJ[Debit])))+(SUM(IF((CsDJ[Ofc Code]=(TRIM(S$7)))*(CsDJ[Account Code]=(TRIM($D43))),CsDJ[Debit])))+(SUM(IF((CRDJ[Ofc Code]=(TRIM(S$7)))*(CRDJ[Account Code]=(TRIM($D43))),CRDJ[Debit])))+(SUM(IF((GJ[Ofc Code]=(TRIM(S$7)))*(GJ[Account Code]=(TRIM($D43))),GJ[Debit]))))-((SUM(IF((CkDJ[Ofc Code]=(TRIM(S$7)))*(CkDJ[Account Code]=(TRIM($D43))),CkDJ[Credit])))+(SUM(IF((CsDJ[Ofc Code]=(TRIM(S$7)))*(CsDJ[Account Code]=(TRIM($D43))),CsDJ[Credit])))+(SUM(IF((CRDJ[Ofc Code]=(TRIM(S$7)))*(CRDJ[Account Code]=(TRIM($D43))),CRDJ[Credit])))+(SUM(IF((GJ[Ofc Code]=(TRIM(S$7)))*(GJ[Account Code]=(TRIM($D43))),GJ[Credit]))))</f>
        <v>0</v>
      </c>
      <c r="T43" s="211">
        <f t="array" ref="T43">((SUM(IF((CkDJ[Ofc Code]=(TRIM(T$7)))*(CkDJ[Account Code]=(TRIM($D43))),CkDJ[Debit])))+(SUM(IF((CsDJ[Ofc Code]=(TRIM(T$7)))*(CsDJ[Account Code]=(TRIM($D43))),CsDJ[Debit])))+(SUM(IF((CRDJ[Ofc Code]=(TRIM(T$7)))*(CRDJ[Account Code]=(TRIM($D43))),CRDJ[Debit])))+(SUM(IF((GJ[Ofc Code]=(TRIM(T$7)))*(GJ[Account Code]=(TRIM($D43))),GJ[Debit]))))-((SUM(IF((CkDJ[Ofc Code]=(TRIM(T$7)))*(CkDJ[Account Code]=(TRIM($D43))),CkDJ[Credit])))+(SUM(IF((CsDJ[Ofc Code]=(TRIM(T$7)))*(CsDJ[Account Code]=(TRIM($D43))),CsDJ[Credit])))+(SUM(IF((CRDJ[Ofc Code]=(TRIM(T$7)))*(CRDJ[Account Code]=(TRIM($D43))),CRDJ[Credit])))+(SUM(IF((GJ[Ofc Code]=(TRIM(T$7)))*(GJ[Account Code]=(TRIM($D43))),GJ[Credit]))))</f>
        <v>0</v>
      </c>
      <c r="U43" s="211">
        <f t="shared" si="10"/>
        <v>0</v>
      </c>
      <c r="V43" s="211">
        <f t="shared" si="11"/>
        <v>0</v>
      </c>
    </row>
    <row r="44" spans="1:22" ht="15">
      <c r="A44" s="212">
        <f t="shared" si="12"/>
        <v>7</v>
      </c>
      <c r="B44" s="214" t="s">
        <v>756</v>
      </c>
      <c r="C44" s="194" t="str">
        <f t="shared" si="7"/>
        <v>Productivity Incentive Allowance</v>
      </c>
      <c r="D44" s="215">
        <v>717</v>
      </c>
      <c r="E44" s="211">
        <f t="array" ref="E44">((SUM(IF((CkDJ[Ofc Code]=(TRIM(E$7)))*(CkDJ[Account Code]=(TRIM($D44))),CkDJ[Debit])))+(SUM(IF((CsDJ[Ofc Code]=(TRIM(E$7)))*(CsDJ[Account Code]=(TRIM($D44))),CsDJ[Debit])))+(SUM(IF((CRDJ[Ofc Code]=(TRIM(E$7)))*(CRDJ[Account Code]=(TRIM($D44))),CRDJ[Debit])))+(SUM(IF((GJ[Ofc Code]=(TRIM(E$7)))*(GJ[Account Code]=(TRIM($D44))),GJ[Debit]))))-((SUM(IF((CkDJ[Ofc Code]=(TRIM(E$7)))*(CkDJ[Account Code]=(TRIM($D44))),CkDJ[Credit])))+(SUM(IF((CsDJ[Ofc Code]=(TRIM(E$7)))*(CsDJ[Account Code]=(TRIM($D44))),CsDJ[Credit])))+(SUM(IF((CRDJ[Ofc Code]=(TRIM(E$7)))*(CRDJ[Account Code]=(TRIM($D44))),CRDJ[Credit])))+(SUM(IF((GJ[Ofc Code]=(TRIM(E$7)))*(GJ[Account Code]=(TRIM($D44))),GJ[Credit]))))</f>
        <v>0</v>
      </c>
      <c r="F44" s="211">
        <f t="array" ref="F44">((SUM(IF((CkDJ[Ofc Code]=(TRIM(F$7)))*(CkDJ[Account Code]=(TRIM($D44))),CkDJ[Debit])))+(SUM(IF((CsDJ[Ofc Code]=(TRIM(F$7)))*(CsDJ[Account Code]=(TRIM($D44))),CsDJ[Debit])))+(SUM(IF((CRDJ[Ofc Code]=(TRIM(F$7)))*(CRDJ[Account Code]=(TRIM($D44))),CRDJ[Debit])))+(SUM(IF((GJ[Ofc Code]=(TRIM(F$7)))*(GJ[Account Code]=(TRIM($D44))),GJ[Debit]))))-((SUM(IF((CkDJ[Ofc Code]=(TRIM(F$7)))*(CkDJ[Account Code]=(TRIM($D44))),CkDJ[Credit])))+(SUM(IF((CsDJ[Ofc Code]=(TRIM(F$7)))*(CsDJ[Account Code]=(TRIM($D44))),CsDJ[Credit])))+(SUM(IF((CRDJ[Ofc Code]=(TRIM(F$7)))*(CRDJ[Account Code]=(TRIM($D44))),CRDJ[Credit])))+(SUM(IF((GJ[Ofc Code]=(TRIM(F$7)))*(GJ[Account Code]=(TRIM($D44))),GJ[Credit]))))</f>
        <v>0</v>
      </c>
      <c r="G44" s="211">
        <f t="array" ref="G44">((SUM(IF((CkDJ[Ofc Code]=(TRIM(G$7)))*(CkDJ[Account Code]=(TRIM($D44))),CkDJ[Debit])))+(SUM(IF((CsDJ[Ofc Code]=(TRIM(G$7)))*(CsDJ[Account Code]=(TRIM($D44))),CsDJ[Debit])))+(SUM(IF((CRDJ[Ofc Code]=(TRIM(G$7)))*(CRDJ[Account Code]=(TRIM($D44))),CRDJ[Debit])))+(SUM(IF((GJ[Ofc Code]=(TRIM(G$7)))*(GJ[Account Code]=(TRIM($D44))),GJ[Debit]))))-((SUM(IF((CkDJ[Ofc Code]=(TRIM(G$7)))*(CkDJ[Account Code]=(TRIM($D44))),CkDJ[Credit])))+(SUM(IF((CsDJ[Ofc Code]=(TRIM(G$7)))*(CsDJ[Account Code]=(TRIM($D44))),CsDJ[Credit])))+(SUM(IF((CRDJ[Ofc Code]=(TRIM(G$7)))*(CRDJ[Account Code]=(TRIM($D44))),CRDJ[Credit])))+(SUM(IF((GJ[Ofc Code]=(TRIM(G$7)))*(GJ[Account Code]=(TRIM($D44))),GJ[Credit]))))</f>
        <v>0</v>
      </c>
      <c r="H44" s="211">
        <f t="array" ref="H44">((SUM(IF((CkDJ[Ofc Code]=(TRIM(H$7)))*(CkDJ[Account Code]=(TRIM($D44))),CkDJ[Debit])))+(SUM(IF((CsDJ[Ofc Code]=(TRIM(H$7)))*(CsDJ[Account Code]=(TRIM($D44))),CsDJ[Debit])))+(SUM(IF((CRDJ[Ofc Code]=(TRIM(H$7)))*(CRDJ[Account Code]=(TRIM($D44))),CRDJ[Debit])))+(SUM(IF((GJ[Ofc Code]=(TRIM(H$7)))*(GJ[Account Code]=(TRIM($D44))),GJ[Debit]))))-((SUM(IF((CkDJ[Ofc Code]=(TRIM(H$7)))*(CkDJ[Account Code]=(TRIM($D44))),CkDJ[Credit])))+(SUM(IF((CsDJ[Ofc Code]=(TRIM(H$7)))*(CsDJ[Account Code]=(TRIM($D44))),CsDJ[Credit])))+(SUM(IF((CRDJ[Ofc Code]=(TRIM(H$7)))*(CRDJ[Account Code]=(TRIM($D44))),CRDJ[Credit])))+(SUM(IF((GJ[Ofc Code]=(TRIM(H$7)))*(GJ[Account Code]=(TRIM($D44))),GJ[Credit]))))</f>
        <v>0</v>
      </c>
      <c r="I44" s="211">
        <f t="array" ref="I44">((SUM(IF((CkDJ[Ofc Code]=(TRIM(I$7)))*(CkDJ[Account Code]=(TRIM($D44))),CkDJ[Debit])))+(SUM(IF((CsDJ[Ofc Code]=(TRIM(I$7)))*(CsDJ[Account Code]=(TRIM($D44))),CsDJ[Debit])))+(SUM(IF((CRDJ[Ofc Code]=(TRIM(I$7)))*(CRDJ[Account Code]=(TRIM($D44))),CRDJ[Debit])))+(SUM(IF((GJ[Ofc Code]=(TRIM(I$7)))*(GJ[Account Code]=(TRIM($D44))),GJ[Debit]))))-((SUM(IF((CkDJ[Ofc Code]=(TRIM(I$7)))*(CkDJ[Account Code]=(TRIM($D44))),CkDJ[Credit])))+(SUM(IF((CsDJ[Ofc Code]=(TRIM(I$7)))*(CsDJ[Account Code]=(TRIM($D44))),CsDJ[Credit])))+(SUM(IF((CRDJ[Ofc Code]=(TRIM(I$7)))*(CRDJ[Account Code]=(TRIM($D44))),CRDJ[Credit])))+(SUM(IF((GJ[Ofc Code]=(TRIM(I$7)))*(GJ[Account Code]=(TRIM($D44))),GJ[Credit]))))</f>
        <v>0</v>
      </c>
      <c r="J44" s="211">
        <f t="shared" si="8"/>
        <v>0</v>
      </c>
      <c r="K44" s="211">
        <f t="array" ref="K44">((SUM(IF((CkDJ[Ofc Code]=(TRIM(K$7)))*(CkDJ[Account Code]=(TRIM($D44))),CkDJ[Debit])))+(SUM(IF((CsDJ[Ofc Code]=(TRIM(K$7)))*(CsDJ[Account Code]=(TRIM($D44))),CsDJ[Debit])))+(SUM(IF((CRDJ[Ofc Code]=(TRIM(K$7)))*(CRDJ[Account Code]=(TRIM($D44))),CRDJ[Debit])))+(SUM(IF((GJ[Ofc Code]=(TRIM(K$7)))*(GJ[Account Code]=(TRIM($D44))),GJ[Debit]))))-((SUM(IF((CkDJ[Ofc Code]=(TRIM(K$7)))*(CkDJ[Account Code]=(TRIM($D44))),CkDJ[Credit])))+(SUM(IF((CsDJ[Ofc Code]=(TRIM(K$7)))*(CsDJ[Account Code]=(TRIM($D44))),CsDJ[Credit])))+(SUM(IF((CRDJ[Ofc Code]=(TRIM(K$7)))*(CRDJ[Account Code]=(TRIM($D44))),CRDJ[Credit])))+(SUM(IF((GJ[Ofc Code]=(TRIM(K$7)))*(GJ[Account Code]=(TRIM($D44))),GJ[Credit]))))</f>
        <v>0</v>
      </c>
      <c r="L44" s="211">
        <f t="array" ref="L44">((SUM(IF((CkDJ[Ofc Code]=(TRIM(L$7)))*(CkDJ[Account Code]=(TRIM($D44))),CkDJ[Debit])))+(SUM(IF((CsDJ[Ofc Code]=(TRIM(L$7)))*(CsDJ[Account Code]=(TRIM($D44))),CsDJ[Debit])))+(SUM(IF((CRDJ[Ofc Code]=(TRIM(L$7)))*(CRDJ[Account Code]=(TRIM($D44))),CRDJ[Debit])))+(SUM(IF((GJ[Ofc Code]=(TRIM(L$7)))*(GJ[Account Code]=(TRIM($D44))),GJ[Debit]))))-((SUM(IF((CkDJ[Ofc Code]=(TRIM(L$7)))*(CkDJ[Account Code]=(TRIM($D44))),CkDJ[Credit])))+(SUM(IF((CsDJ[Ofc Code]=(TRIM(L$7)))*(CsDJ[Account Code]=(TRIM($D44))),CsDJ[Credit])))+(SUM(IF((CRDJ[Ofc Code]=(TRIM(L$7)))*(CRDJ[Account Code]=(TRIM($D44))),CRDJ[Credit])))+(SUM(IF((GJ[Ofc Code]=(TRIM(L$7)))*(GJ[Account Code]=(TRIM($D44))),GJ[Credit]))))</f>
        <v>0</v>
      </c>
      <c r="M44" s="211">
        <f t="array" ref="M44">((SUM(IF((CkDJ[Ofc Code]=(TRIM(M$7)))*(CkDJ[Account Code]=(TRIM($D44))),CkDJ[Debit])))+(SUM(IF((CsDJ[Ofc Code]=(TRIM(M$7)))*(CsDJ[Account Code]=(TRIM($D44))),CsDJ[Debit])))+(SUM(IF((CRDJ[Ofc Code]=(TRIM(M$7)))*(CRDJ[Account Code]=(TRIM($D44))),CRDJ[Debit])))+(SUM(IF((GJ[Ofc Code]=(TRIM(M$7)))*(GJ[Account Code]=(TRIM($D44))),GJ[Debit]))))-((SUM(IF((CkDJ[Ofc Code]=(TRIM(M$7)))*(CkDJ[Account Code]=(TRIM($D44))),CkDJ[Credit])))+(SUM(IF((CsDJ[Ofc Code]=(TRIM(M$7)))*(CsDJ[Account Code]=(TRIM($D44))),CsDJ[Credit])))+(SUM(IF((CRDJ[Ofc Code]=(TRIM(M$7)))*(CRDJ[Account Code]=(TRIM($D44))),CRDJ[Credit])))+(SUM(IF((GJ[Ofc Code]=(TRIM(M$7)))*(GJ[Account Code]=(TRIM($D44))),GJ[Credit]))))</f>
        <v>0</v>
      </c>
      <c r="N44" s="211">
        <f t="array" ref="N44">((SUM(IF((CkDJ[Ofc Code]=(TRIM(N$7)))*(CkDJ[Account Code]=(TRIM($D44))),CkDJ[Debit])))+(SUM(IF((CsDJ[Ofc Code]=(TRIM(N$7)))*(CsDJ[Account Code]=(TRIM($D44))),CsDJ[Debit])))+(SUM(IF((CRDJ[Ofc Code]=(TRIM(N$7)))*(CRDJ[Account Code]=(TRIM($D44))),CRDJ[Debit])))+(SUM(IF((GJ[Ofc Code]=(TRIM(N$7)))*(GJ[Account Code]=(TRIM($D44))),GJ[Debit]))))-((SUM(IF((CkDJ[Ofc Code]=(TRIM(N$7)))*(CkDJ[Account Code]=(TRIM($D44))),CkDJ[Credit])))+(SUM(IF((CsDJ[Ofc Code]=(TRIM(N$7)))*(CsDJ[Account Code]=(TRIM($D44))),CsDJ[Credit])))+(SUM(IF((CRDJ[Ofc Code]=(TRIM(N$7)))*(CRDJ[Account Code]=(TRIM($D44))),CRDJ[Credit])))+(SUM(IF((GJ[Ofc Code]=(TRIM(N$7)))*(GJ[Account Code]=(TRIM($D44))),GJ[Credit]))))</f>
        <v>0</v>
      </c>
      <c r="O44" s="211">
        <f t="shared" si="9"/>
        <v>0</v>
      </c>
      <c r="P44" s="211">
        <f t="array" ref="P44">((SUM(IF((CkDJ[Ofc Code]=(TRIM(P$7)))*(CkDJ[Account Code]=(TRIM($D44))),CkDJ[Debit])))+(SUM(IF((CsDJ[Ofc Code]=(TRIM(P$7)))*(CsDJ[Account Code]=(TRIM($D44))),CsDJ[Debit])))+(SUM(IF((CRDJ[Ofc Code]=(TRIM(P$7)))*(CRDJ[Account Code]=(TRIM($D44))),CRDJ[Debit])))+(SUM(IF((GJ[Ofc Code]=(TRIM(P$7)))*(GJ[Account Code]=(TRIM($D44))),GJ[Debit]))))-((SUM(IF((CkDJ[Ofc Code]=(TRIM(P$7)))*(CkDJ[Account Code]=(TRIM($D44))),CkDJ[Credit])))+(SUM(IF((CsDJ[Ofc Code]=(TRIM(P$7)))*(CsDJ[Account Code]=(TRIM($D44))),CsDJ[Credit])))+(SUM(IF((CRDJ[Ofc Code]=(TRIM(P$7)))*(CRDJ[Account Code]=(TRIM($D44))),CRDJ[Credit])))+(SUM(IF((GJ[Ofc Code]=(TRIM(P$7)))*(GJ[Account Code]=(TRIM($D44))),GJ[Credit]))))</f>
        <v>0</v>
      </c>
      <c r="Q44" s="211">
        <f t="array" ref="Q44">((SUM(IF((CkDJ[Ofc Code]=(TRIM(Q$7)))*(CkDJ[Account Code]=(TRIM($D44))),CkDJ[Debit])))+(SUM(IF((CsDJ[Ofc Code]=(TRIM(Q$7)))*(CsDJ[Account Code]=(TRIM($D44))),CsDJ[Debit])))+(SUM(IF((CRDJ[Ofc Code]=(TRIM(Q$7)))*(CRDJ[Account Code]=(TRIM($D44))),CRDJ[Debit])))+(SUM(IF((GJ[Ofc Code]=(TRIM(Q$7)))*(GJ[Account Code]=(TRIM($D44))),GJ[Debit]))))-((SUM(IF((CkDJ[Ofc Code]=(TRIM(Q$7)))*(CkDJ[Account Code]=(TRIM($D44))),CkDJ[Credit])))+(SUM(IF((CsDJ[Ofc Code]=(TRIM(Q$7)))*(CsDJ[Account Code]=(TRIM($D44))),CsDJ[Credit])))+(SUM(IF((CRDJ[Ofc Code]=(TRIM(Q$7)))*(CRDJ[Account Code]=(TRIM($D44))),CRDJ[Credit])))+(SUM(IF((GJ[Ofc Code]=(TRIM(Q$7)))*(GJ[Account Code]=(TRIM($D44))),GJ[Credit]))))</f>
        <v>0</v>
      </c>
      <c r="R44" s="211">
        <f t="array" ref="R44">((SUM(IF((CkDJ[Ofc Code]=(TRIM(R$7)))*(CkDJ[Account Code]=(TRIM($D44))),CkDJ[Debit])))+(SUM(IF((CsDJ[Ofc Code]=(TRIM(R$7)))*(CsDJ[Account Code]=(TRIM($D44))),CsDJ[Debit])))+(SUM(IF((CRDJ[Ofc Code]=(TRIM(R$7)))*(CRDJ[Account Code]=(TRIM($D44))),CRDJ[Debit])))+(SUM(IF((GJ[Ofc Code]=(TRIM(R$7)))*(GJ[Account Code]=(TRIM($D44))),GJ[Debit]))))-((SUM(IF((CkDJ[Ofc Code]=(TRIM(R$7)))*(CkDJ[Account Code]=(TRIM($D44))),CkDJ[Credit])))+(SUM(IF((CsDJ[Ofc Code]=(TRIM(R$7)))*(CsDJ[Account Code]=(TRIM($D44))),CsDJ[Credit])))+(SUM(IF((CRDJ[Ofc Code]=(TRIM(R$7)))*(CRDJ[Account Code]=(TRIM($D44))),CRDJ[Credit])))+(SUM(IF((GJ[Ofc Code]=(TRIM(R$7)))*(GJ[Account Code]=(TRIM($D44))),GJ[Credit]))))</f>
        <v>0</v>
      </c>
      <c r="S44" s="211">
        <f t="array" ref="S44">((SUM(IF((CkDJ[Ofc Code]=(TRIM(S$7)))*(CkDJ[Account Code]=(TRIM($D44))),CkDJ[Debit])))+(SUM(IF((CsDJ[Ofc Code]=(TRIM(S$7)))*(CsDJ[Account Code]=(TRIM($D44))),CsDJ[Debit])))+(SUM(IF((CRDJ[Ofc Code]=(TRIM(S$7)))*(CRDJ[Account Code]=(TRIM($D44))),CRDJ[Debit])))+(SUM(IF((GJ[Ofc Code]=(TRIM(S$7)))*(GJ[Account Code]=(TRIM($D44))),GJ[Debit]))))-((SUM(IF((CkDJ[Ofc Code]=(TRIM(S$7)))*(CkDJ[Account Code]=(TRIM($D44))),CkDJ[Credit])))+(SUM(IF((CsDJ[Ofc Code]=(TRIM(S$7)))*(CsDJ[Account Code]=(TRIM($D44))),CsDJ[Credit])))+(SUM(IF((CRDJ[Ofc Code]=(TRIM(S$7)))*(CRDJ[Account Code]=(TRIM($D44))),CRDJ[Credit])))+(SUM(IF((GJ[Ofc Code]=(TRIM(S$7)))*(GJ[Account Code]=(TRIM($D44))),GJ[Credit]))))</f>
        <v>0</v>
      </c>
      <c r="T44" s="211">
        <f t="array" ref="T44">((SUM(IF((CkDJ[Ofc Code]=(TRIM(T$7)))*(CkDJ[Account Code]=(TRIM($D44))),CkDJ[Debit])))+(SUM(IF((CsDJ[Ofc Code]=(TRIM(T$7)))*(CsDJ[Account Code]=(TRIM($D44))),CsDJ[Debit])))+(SUM(IF((CRDJ[Ofc Code]=(TRIM(T$7)))*(CRDJ[Account Code]=(TRIM($D44))),CRDJ[Debit])))+(SUM(IF((GJ[Ofc Code]=(TRIM(T$7)))*(GJ[Account Code]=(TRIM($D44))),GJ[Debit]))))-((SUM(IF((CkDJ[Ofc Code]=(TRIM(T$7)))*(CkDJ[Account Code]=(TRIM($D44))),CkDJ[Credit])))+(SUM(IF((CsDJ[Ofc Code]=(TRIM(T$7)))*(CsDJ[Account Code]=(TRIM($D44))),CsDJ[Credit])))+(SUM(IF((CRDJ[Ofc Code]=(TRIM(T$7)))*(CRDJ[Account Code]=(TRIM($D44))),CRDJ[Credit])))+(SUM(IF((GJ[Ofc Code]=(TRIM(T$7)))*(GJ[Account Code]=(TRIM($D44))),GJ[Credit]))))</f>
        <v>0</v>
      </c>
      <c r="U44" s="211">
        <f t="shared" si="10"/>
        <v>0</v>
      </c>
      <c r="V44" s="211">
        <f t="shared" si="11"/>
        <v>0</v>
      </c>
    </row>
    <row r="45" spans="1:22" ht="15">
      <c r="A45" s="212">
        <f t="shared" si="12"/>
        <v>8</v>
      </c>
      <c r="B45" s="214" t="s">
        <v>756</v>
      </c>
      <c r="C45" s="194" t="str">
        <f t="shared" si="7"/>
        <v>Other Bonuses and Allowances - Medical Allowance</v>
      </c>
      <c r="D45" s="215" t="s">
        <v>5</v>
      </c>
      <c r="E45" s="211">
        <f t="array" ref="E45">((SUM(IF((CkDJ[Ofc Code]=(TRIM(E$7)))*(CkDJ[Account Code]=(TRIM($D45))),CkDJ[Debit])))+(SUM(IF((CsDJ[Ofc Code]=(TRIM(E$7)))*(CsDJ[Account Code]=(TRIM($D45))),CsDJ[Debit])))+(SUM(IF((CRDJ[Ofc Code]=(TRIM(E$7)))*(CRDJ[Account Code]=(TRIM($D45))),CRDJ[Debit])))+(SUM(IF((GJ[Ofc Code]=(TRIM(E$7)))*(GJ[Account Code]=(TRIM($D45))),GJ[Debit]))))-((SUM(IF((CkDJ[Ofc Code]=(TRIM(E$7)))*(CkDJ[Account Code]=(TRIM($D45))),CkDJ[Credit])))+(SUM(IF((CsDJ[Ofc Code]=(TRIM(E$7)))*(CsDJ[Account Code]=(TRIM($D45))),CsDJ[Credit])))+(SUM(IF((CRDJ[Ofc Code]=(TRIM(E$7)))*(CRDJ[Account Code]=(TRIM($D45))),CRDJ[Credit])))+(SUM(IF((GJ[Ofc Code]=(TRIM(E$7)))*(GJ[Account Code]=(TRIM($D45))),GJ[Credit]))))</f>
        <v>0</v>
      </c>
      <c r="F45" s="211">
        <f t="array" ref="F45">((SUM(IF((CkDJ[Ofc Code]=(TRIM(F$7)))*(CkDJ[Account Code]=(TRIM($D45))),CkDJ[Debit])))+(SUM(IF((CsDJ[Ofc Code]=(TRIM(F$7)))*(CsDJ[Account Code]=(TRIM($D45))),CsDJ[Debit])))+(SUM(IF((CRDJ[Ofc Code]=(TRIM(F$7)))*(CRDJ[Account Code]=(TRIM($D45))),CRDJ[Debit])))+(SUM(IF((GJ[Ofc Code]=(TRIM(F$7)))*(GJ[Account Code]=(TRIM($D45))),GJ[Debit]))))-((SUM(IF((CkDJ[Ofc Code]=(TRIM(F$7)))*(CkDJ[Account Code]=(TRIM($D45))),CkDJ[Credit])))+(SUM(IF((CsDJ[Ofc Code]=(TRIM(F$7)))*(CsDJ[Account Code]=(TRIM($D45))),CsDJ[Credit])))+(SUM(IF((CRDJ[Ofc Code]=(TRIM(F$7)))*(CRDJ[Account Code]=(TRIM($D45))),CRDJ[Credit])))+(SUM(IF((GJ[Ofc Code]=(TRIM(F$7)))*(GJ[Account Code]=(TRIM($D45))),GJ[Credit]))))</f>
        <v>0</v>
      </c>
      <c r="G45" s="211">
        <f t="array" ref="G45">((SUM(IF((CkDJ[Ofc Code]=(TRIM(G$7)))*(CkDJ[Account Code]=(TRIM($D45))),CkDJ[Debit])))+(SUM(IF((CsDJ[Ofc Code]=(TRIM(G$7)))*(CsDJ[Account Code]=(TRIM($D45))),CsDJ[Debit])))+(SUM(IF((CRDJ[Ofc Code]=(TRIM(G$7)))*(CRDJ[Account Code]=(TRIM($D45))),CRDJ[Debit])))+(SUM(IF((GJ[Ofc Code]=(TRIM(G$7)))*(GJ[Account Code]=(TRIM($D45))),GJ[Debit]))))-((SUM(IF((CkDJ[Ofc Code]=(TRIM(G$7)))*(CkDJ[Account Code]=(TRIM($D45))),CkDJ[Credit])))+(SUM(IF((CsDJ[Ofc Code]=(TRIM(G$7)))*(CsDJ[Account Code]=(TRIM($D45))),CsDJ[Credit])))+(SUM(IF((CRDJ[Ofc Code]=(TRIM(G$7)))*(CRDJ[Account Code]=(TRIM($D45))),CRDJ[Credit])))+(SUM(IF((GJ[Ofc Code]=(TRIM(G$7)))*(GJ[Account Code]=(TRIM($D45))),GJ[Credit]))))</f>
        <v>0</v>
      </c>
      <c r="H45" s="211">
        <f t="array" ref="H45">((SUM(IF((CkDJ[Ofc Code]=(TRIM(H$7)))*(CkDJ[Account Code]=(TRIM($D45))),CkDJ[Debit])))+(SUM(IF((CsDJ[Ofc Code]=(TRIM(H$7)))*(CsDJ[Account Code]=(TRIM($D45))),CsDJ[Debit])))+(SUM(IF((CRDJ[Ofc Code]=(TRIM(H$7)))*(CRDJ[Account Code]=(TRIM($D45))),CRDJ[Debit])))+(SUM(IF((GJ[Ofc Code]=(TRIM(H$7)))*(GJ[Account Code]=(TRIM($D45))),GJ[Debit]))))-((SUM(IF((CkDJ[Ofc Code]=(TRIM(H$7)))*(CkDJ[Account Code]=(TRIM($D45))),CkDJ[Credit])))+(SUM(IF((CsDJ[Ofc Code]=(TRIM(H$7)))*(CsDJ[Account Code]=(TRIM($D45))),CsDJ[Credit])))+(SUM(IF((CRDJ[Ofc Code]=(TRIM(H$7)))*(CRDJ[Account Code]=(TRIM($D45))),CRDJ[Credit])))+(SUM(IF((GJ[Ofc Code]=(TRIM(H$7)))*(GJ[Account Code]=(TRIM($D45))),GJ[Credit]))))</f>
        <v>0</v>
      </c>
      <c r="I45" s="211">
        <f t="array" ref="I45">((SUM(IF((CkDJ[Ofc Code]=(TRIM(I$7)))*(CkDJ[Account Code]=(TRIM($D45))),CkDJ[Debit])))+(SUM(IF((CsDJ[Ofc Code]=(TRIM(I$7)))*(CsDJ[Account Code]=(TRIM($D45))),CsDJ[Debit])))+(SUM(IF((CRDJ[Ofc Code]=(TRIM(I$7)))*(CRDJ[Account Code]=(TRIM($D45))),CRDJ[Debit])))+(SUM(IF((GJ[Ofc Code]=(TRIM(I$7)))*(GJ[Account Code]=(TRIM($D45))),GJ[Debit]))))-((SUM(IF((CkDJ[Ofc Code]=(TRIM(I$7)))*(CkDJ[Account Code]=(TRIM($D45))),CkDJ[Credit])))+(SUM(IF((CsDJ[Ofc Code]=(TRIM(I$7)))*(CsDJ[Account Code]=(TRIM($D45))),CsDJ[Credit])))+(SUM(IF((CRDJ[Ofc Code]=(TRIM(I$7)))*(CRDJ[Account Code]=(TRIM($D45))),CRDJ[Credit])))+(SUM(IF((GJ[Ofc Code]=(TRIM(I$7)))*(GJ[Account Code]=(TRIM($D45))),GJ[Credit]))))</f>
        <v>0</v>
      </c>
      <c r="J45" s="211">
        <f t="shared" si="8"/>
        <v>0</v>
      </c>
      <c r="K45" s="211">
        <f t="array" ref="K45">((SUM(IF((CkDJ[Ofc Code]=(TRIM(K$7)))*(CkDJ[Account Code]=(TRIM($D45))),CkDJ[Debit])))+(SUM(IF((CsDJ[Ofc Code]=(TRIM(K$7)))*(CsDJ[Account Code]=(TRIM($D45))),CsDJ[Debit])))+(SUM(IF((CRDJ[Ofc Code]=(TRIM(K$7)))*(CRDJ[Account Code]=(TRIM($D45))),CRDJ[Debit])))+(SUM(IF((GJ[Ofc Code]=(TRIM(K$7)))*(GJ[Account Code]=(TRIM($D45))),GJ[Debit]))))-((SUM(IF((CkDJ[Ofc Code]=(TRIM(K$7)))*(CkDJ[Account Code]=(TRIM($D45))),CkDJ[Credit])))+(SUM(IF((CsDJ[Ofc Code]=(TRIM(K$7)))*(CsDJ[Account Code]=(TRIM($D45))),CsDJ[Credit])))+(SUM(IF((CRDJ[Ofc Code]=(TRIM(K$7)))*(CRDJ[Account Code]=(TRIM($D45))),CRDJ[Credit])))+(SUM(IF((GJ[Ofc Code]=(TRIM(K$7)))*(GJ[Account Code]=(TRIM($D45))),GJ[Credit]))))</f>
        <v>0</v>
      </c>
      <c r="L45" s="211">
        <f t="array" ref="L45">((SUM(IF((CkDJ[Ofc Code]=(TRIM(L$7)))*(CkDJ[Account Code]=(TRIM($D45))),CkDJ[Debit])))+(SUM(IF((CsDJ[Ofc Code]=(TRIM(L$7)))*(CsDJ[Account Code]=(TRIM($D45))),CsDJ[Debit])))+(SUM(IF((CRDJ[Ofc Code]=(TRIM(L$7)))*(CRDJ[Account Code]=(TRIM($D45))),CRDJ[Debit])))+(SUM(IF((GJ[Ofc Code]=(TRIM(L$7)))*(GJ[Account Code]=(TRIM($D45))),GJ[Debit]))))-((SUM(IF((CkDJ[Ofc Code]=(TRIM(L$7)))*(CkDJ[Account Code]=(TRIM($D45))),CkDJ[Credit])))+(SUM(IF((CsDJ[Ofc Code]=(TRIM(L$7)))*(CsDJ[Account Code]=(TRIM($D45))),CsDJ[Credit])))+(SUM(IF((CRDJ[Ofc Code]=(TRIM(L$7)))*(CRDJ[Account Code]=(TRIM($D45))),CRDJ[Credit])))+(SUM(IF((GJ[Ofc Code]=(TRIM(L$7)))*(GJ[Account Code]=(TRIM($D45))),GJ[Credit]))))</f>
        <v>0</v>
      </c>
      <c r="M45" s="211">
        <f t="array" ref="M45">((SUM(IF((CkDJ[Ofc Code]=(TRIM(M$7)))*(CkDJ[Account Code]=(TRIM($D45))),CkDJ[Debit])))+(SUM(IF((CsDJ[Ofc Code]=(TRIM(M$7)))*(CsDJ[Account Code]=(TRIM($D45))),CsDJ[Debit])))+(SUM(IF((CRDJ[Ofc Code]=(TRIM(M$7)))*(CRDJ[Account Code]=(TRIM($D45))),CRDJ[Debit])))+(SUM(IF((GJ[Ofc Code]=(TRIM(M$7)))*(GJ[Account Code]=(TRIM($D45))),GJ[Debit]))))-((SUM(IF((CkDJ[Ofc Code]=(TRIM(M$7)))*(CkDJ[Account Code]=(TRIM($D45))),CkDJ[Credit])))+(SUM(IF((CsDJ[Ofc Code]=(TRIM(M$7)))*(CsDJ[Account Code]=(TRIM($D45))),CsDJ[Credit])))+(SUM(IF((CRDJ[Ofc Code]=(TRIM(M$7)))*(CRDJ[Account Code]=(TRIM($D45))),CRDJ[Credit])))+(SUM(IF((GJ[Ofc Code]=(TRIM(M$7)))*(GJ[Account Code]=(TRIM($D45))),GJ[Credit]))))</f>
        <v>0</v>
      </c>
      <c r="N45" s="211">
        <f t="array" ref="N45">((SUM(IF((CkDJ[Ofc Code]=(TRIM(N$7)))*(CkDJ[Account Code]=(TRIM($D45))),CkDJ[Debit])))+(SUM(IF((CsDJ[Ofc Code]=(TRIM(N$7)))*(CsDJ[Account Code]=(TRIM($D45))),CsDJ[Debit])))+(SUM(IF((CRDJ[Ofc Code]=(TRIM(N$7)))*(CRDJ[Account Code]=(TRIM($D45))),CRDJ[Debit])))+(SUM(IF((GJ[Ofc Code]=(TRIM(N$7)))*(GJ[Account Code]=(TRIM($D45))),GJ[Debit]))))-((SUM(IF((CkDJ[Ofc Code]=(TRIM(N$7)))*(CkDJ[Account Code]=(TRIM($D45))),CkDJ[Credit])))+(SUM(IF((CsDJ[Ofc Code]=(TRIM(N$7)))*(CsDJ[Account Code]=(TRIM($D45))),CsDJ[Credit])))+(SUM(IF((CRDJ[Ofc Code]=(TRIM(N$7)))*(CRDJ[Account Code]=(TRIM($D45))),CRDJ[Credit])))+(SUM(IF((GJ[Ofc Code]=(TRIM(N$7)))*(GJ[Account Code]=(TRIM($D45))),GJ[Credit]))))</f>
        <v>0</v>
      </c>
      <c r="O45" s="211">
        <f t="shared" si="9"/>
        <v>0</v>
      </c>
      <c r="P45" s="211">
        <f t="array" ref="P45">((SUM(IF((CkDJ[Ofc Code]=(TRIM(P$7)))*(CkDJ[Account Code]=(TRIM($D45))),CkDJ[Debit])))+(SUM(IF((CsDJ[Ofc Code]=(TRIM(P$7)))*(CsDJ[Account Code]=(TRIM($D45))),CsDJ[Debit])))+(SUM(IF((CRDJ[Ofc Code]=(TRIM(P$7)))*(CRDJ[Account Code]=(TRIM($D45))),CRDJ[Debit])))+(SUM(IF((GJ[Ofc Code]=(TRIM(P$7)))*(GJ[Account Code]=(TRIM($D45))),GJ[Debit]))))-((SUM(IF((CkDJ[Ofc Code]=(TRIM(P$7)))*(CkDJ[Account Code]=(TRIM($D45))),CkDJ[Credit])))+(SUM(IF((CsDJ[Ofc Code]=(TRIM(P$7)))*(CsDJ[Account Code]=(TRIM($D45))),CsDJ[Credit])))+(SUM(IF((CRDJ[Ofc Code]=(TRIM(P$7)))*(CRDJ[Account Code]=(TRIM($D45))),CRDJ[Credit])))+(SUM(IF((GJ[Ofc Code]=(TRIM(P$7)))*(GJ[Account Code]=(TRIM($D45))),GJ[Credit]))))</f>
        <v>0</v>
      </c>
      <c r="Q45" s="211">
        <f t="array" ref="Q45">((SUM(IF((CkDJ[Ofc Code]=(TRIM(Q$7)))*(CkDJ[Account Code]=(TRIM($D45))),CkDJ[Debit])))+(SUM(IF((CsDJ[Ofc Code]=(TRIM(Q$7)))*(CsDJ[Account Code]=(TRIM($D45))),CsDJ[Debit])))+(SUM(IF((CRDJ[Ofc Code]=(TRIM(Q$7)))*(CRDJ[Account Code]=(TRIM($D45))),CRDJ[Debit])))+(SUM(IF((GJ[Ofc Code]=(TRIM(Q$7)))*(GJ[Account Code]=(TRIM($D45))),GJ[Debit]))))-((SUM(IF((CkDJ[Ofc Code]=(TRIM(Q$7)))*(CkDJ[Account Code]=(TRIM($D45))),CkDJ[Credit])))+(SUM(IF((CsDJ[Ofc Code]=(TRIM(Q$7)))*(CsDJ[Account Code]=(TRIM($D45))),CsDJ[Credit])))+(SUM(IF((CRDJ[Ofc Code]=(TRIM(Q$7)))*(CRDJ[Account Code]=(TRIM($D45))),CRDJ[Credit])))+(SUM(IF((GJ[Ofc Code]=(TRIM(Q$7)))*(GJ[Account Code]=(TRIM($D45))),GJ[Credit]))))</f>
        <v>0</v>
      </c>
      <c r="R45" s="211">
        <f t="array" ref="R45">((SUM(IF((CkDJ[Ofc Code]=(TRIM(R$7)))*(CkDJ[Account Code]=(TRIM($D45))),CkDJ[Debit])))+(SUM(IF((CsDJ[Ofc Code]=(TRIM(R$7)))*(CsDJ[Account Code]=(TRIM($D45))),CsDJ[Debit])))+(SUM(IF((CRDJ[Ofc Code]=(TRIM(R$7)))*(CRDJ[Account Code]=(TRIM($D45))),CRDJ[Debit])))+(SUM(IF((GJ[Ofc Code]=(TRIM(R$7)))*(GJ[Account Code]=(TRIM($D45))),GJ[Debit]))))-((SUM(IF((CkDJ[Ofc Code]=(TRIM(R$7)))*(CkDJ[Account Code]=(TRIM($D45))),CkDJ[Credit])))+(SUM(IF((CsDJ[Ofc Code]=(TRIM(R$7)))*(CsDJ[Account Code]=(TRIM($D45))),CsDJ[Credit])))+(SUM(IF((CRDJ[Ofc Code]=(TRIM(R$7)))*(CRDJ[Account Code]=(TRIM($D45))),CRDJ[Credit])))+(SUM(IF((GJ[Ofc Code]=(TRIM(R$7)))*(GJ[Account Code]=(TRIM($D45))),GJ[Credit]))))</f>
        <v>0</v>
      </c>
      <c r="S45" s="211">
        <f t="array" ref="S45">((SUM(IF((CkDJ[Ofc Code]=(TRIM(S$7)))*(CkDJ[Account Code]=(TRIM($D45))),CkDJ[Debit])))+(SUM(IF((CsDJ[Ofc Code]=(TRIM(S$7)))*(CsDJ[Account Code]=(TRIM($D45))),CsDJ[Debit])))+(SUM(IF((CRDJ[Ofc Code]=(TRIM(S$7)))*(CRDJ[Account Code]=(TRIM($D45))),CRDJ[Debit])))+(SUM(IF((GJ[Ofc Code]=(TRIM(S$7)))*(GJ[Account Code]=(TRIM($D45))),GJ[Debit]))))-((SUM(IF((CkDJ[Ofc Code]=(TRIM(S$7)))*(CkDJ[Account Code]=(TRIM($D45))),CkDJ[Credit])))+(SUM(IF((CsDJ[Ofc Code]=(TRIM(S$7)))*(CsDJ[Account Code]=(TRIM($D45))),CsDJ[Credit])))+(SUM(IF((CRDJ[Ofc Code]=(TRIM(S$7)))*(CRDJ[Account Code]=(TRIM($D45))),CRDJ[Credit])))+(SUM(IF((GJ[Ofc Code]=(TRIM(S$7)))*(GJ[Account Code]=(TRIM($D45))),GJ[Credit]))))</f>
        <v>0</v>
      </c>
      <c r="T45" s="211">
        <f t="array" ref="T45">((SUM(IF((CkDJ[Ofc Code]=(TRIM(T$7)))*(CkDJ[Account Code]=(TRIM($D45))),CkDJ[Debit])))+(SUM(IF((CsDJ[Ofc Code]=(TRIM(T$7)))*(CsDJ[Account Code]=(TRIM($D45))),CsDJ[Debit])))+(SUM(IF((CRDJ[Ofc Code]=(TRIM(T$7)))*(CRDJ[Account Code]=(TRIM($D45))),CRDJ[Debit])))+(SUM(IF((GJ[Ofc Code]=(TRIM(T$7)))*(GJ[Account Code]=(TRIM($D45))),GJ[Debit]))))-((SUM(IF((CkDJ[Ofc Code]=(TRIM(T$7)))*(CkDJ[Account Code]=(TRIM($D45))),CkDJ[Credit])))+(SUM(IF((CsDJ[Ofc Code]=(TRIM(T$7)))*(CsDJ[Account Code]=(TRIM($D45))),CsDJ[Credit])))+(SUM(IF((CRDJ[Ofc Code]=(TRIM(T$7)))*(CRDJ[Account Code]=(TRIM($D45))),CRDJ[Credit])))+(SUM(IF((GJ[Ofc Code]=(TRIM(T$7)))*(GJ[Account Code]=(TRIM($D45))),GJ[Credit]))))</f>
        <v>0</v>
      </c>
      <c r="U45" s="211">
        <f t="shared" si="10"/>
        <v>0</v>
      </c>
      <c r="V45" s="211">
        <f t="shared" si="11"/>
        <v>0</v>
      </c>
    </row>
    <row r="46" spans="1:22" ht="15">
      <c r="A46" s="212">
        <f t="shared" si="12"/>
        <v>9</v>
      </c>
      <c r="B46" s="214" t="s">
        <v>756</v>
      </c>
      <c r="C46" s="194" t="str">
        <f t="shared" si="7"/>
        <v>Other Bonuses and Allowances - Meal Allowance</v>
      </c>
      <c r="D46" s="215" t="s">
        <v>6</v>
      </c>
      <c r="E46" s="211">
        <f t="array" ref="E46">((SUM(IF((CkDJ[Ofc Code]=(TRIM(E$7)))*(CkDJ[Account Code]=(TRIM($D46))),CkDJ[Debit])))+(SUM(IF((CsDJ[Ofc Code]=(TRIM(E$7)))*(CsDJ[Account Code]=(TRIM($D46))),CsDJ[Debit])))+(SUM(IF((CRDJ[Ofc Code]=(TRIM(E$7)))*(CRDJ[Account Code]=(TRIM($D46))),CRDJ[Debit])))+(SUM(IF((GJ[Ofc Code]=(TRIM(E$7)))*(GJ[Account Code]=(TRIM($D46))),GJ[Debit]))))-((SUM(IF((CkDJ[Ofc Code]=(TRIM(E$7)))*(CkDJ[Account Code]=(TRIM($D46))),CkDJ[Credit])))+(SUM(IF((CsDJ[Ofc Code]=(TRIM(E$7)))*(CsDJ[Account Code]=(TRIM($D46))),CsDJ[Credit])))+(SUM(IF((CRDJ[Ofc Code]=(TRIM(E$7)))*(CRDJ[Account Code]=(TRIM($D46))),CRDJ[Credit])))+(SUM(IF((GJ[Ofc Code]=(TRIM(E$7)))*(GJ[Account Code]=(TRIM($D46))),GJ[Credit]))))</f>
        <v>0</v>
      </c>
      <c r="F46" s="211">
        <f t="array" ref="F46">((SUM(IF((CkDJ[Ofc Code]=(TRIM(F$7)))*(CkDJ[Account Code]=(TRIM($D46))),CkDJ[Debit])))+(SUM(IF((CsDJ[Ofc Code]=(TRIM(F$7)))*(CsDJ[Account Code]=(TRIM($D46))),CsDJ[Debit])))+(SUM(IF((CRDJ[Ofc Code]=(TRIM(F$7)))*(CRDJ[Account Code]=(TRIM($D46))),CRDJ[Debit])))+(SUM(IF((GJ[Ofc Code]=(TRIM(F$7)))*(GJ[Account Code]=(TRIM($D46))),GJ[Debit]))))-((SUM(IF((CkDJ[Ofc Code]=(TRIM(F$7)))*(CkDJ[Account Code]=(TRIM($D46))),CkDJ[Credit])))+(SUM(IF((CsDJ[Ofc Code]=(TRIM(F$7)))*(CsDJ[Account Code]=(TRIM($D46))),CsDJ[Credit])))+(SUM(IF((CRDJ[Ofc Code]=(TRIM(F$7)))*(CRDJ[Account Code]=(TRIM($D46))),CRDJ[Credit])))+(SUM(IF((GJ[Ofc Code]=(TRIM(F$7)))*(GJ[Account Code]=(TRIM($D46))),GJ[Credit]))))</f>
        <v>0</v>
      </c>
      <c r="G46" s="211">
        <f t="array" ref="G46">((SUM(IF((CkDJ[Ofc Code]=(TRIM(G$7)))*(CkDJ[Account Code]=(TRIM($D46))),CkDJ[Debit])))+(SUM(IF((CsDJ[Ofc Code]=(TRIM(G$7)))*(CsDJ[Account Code]=(TRIM($D46))),CsDJ[Debit])))+(SUM(IF((CRDJ[Ofc Code]=(TRIM(G$7)))*(CRDJ[Account Code]=(TRIM($D46))),CRDJ[Debit])))+(SUM(IF((GJ[Ofc Code]=(TRIM(G$7)))*(GJ[Account Code]=(TRIM($D46))),GJ[Debit]))))-((SUM(IF((CkDJ[Ofc Code]=(TRIM(G$7)))*(CkDJ[Account Code]=(TRIM($D46))),CkDJ[Credit])))+(SUM(IF((CsDJ[Ofc Code]=(TRIM(G$7)))*(CsDJ[Account Code]=(TRIM($D46))),CsDJ[Credit])))+(SUM(IF((CRDJ[Ofc Code]=(TRIM(G$7)))*(CRDJ[Account Code]=(TRIM($D46))),CRDJ[Credit])))+(SUM(IF((GJ[Ofc Code]=(TRIM(G$7)))*(GJ[Account Code]=(TRIM($D46))),GJ[Credit]))))</f>
        <v>0</v>
      </c>
      <c r="H46" s="211">
        <f t="array" ref="H46">((SUM(IF((CkDJ[Ofc Code]=(TRIM(H$7)))*(CkDJ[Account Code]=(TRIM($D46))),CkDJ[Debit])))+(SUM(IF((CsDJ[Ofc Code]=(TRIM(H$7)))*(CsDJ[Account Code]=(TRIM($D46))),CsDJ[Debit])))+(SUM(IF((CRDJ[Ofc Code]=(TRIM(H$7)))*(CRDJ[Account Code]=(TRIM($D46))),CRDJ[Debit])))+(SUM(IF((GJ[Ofc Code]=(TRIM(H$7)))*(GJ[Account Code]=(TRIM($D46))),GJ[Debit]))))-((SUM(IF((CkDJ[Ofc Code]=(TRIM(H$7)))*(CkDJ[Account Code]=(TRIM($D46))),CkDJ[Credit])))+(SUM(IF((CsDJ[Ofc Code]=(TRIM(H$7)))*(CsDJ[Account Code]=(TRIM($D46))),CsDJ[Credit])))+(SUM(IF((CRDJ[Ofc Code]=(TRIM(H$7)))*(CRDJ[Account Code]=(TRIM($D46))),CRDJ[Credit])))+(SUM(IF((GJ[Ofc Code]=(TRIM(H$7)))*(GJ[Account Code]=(TRIM($D46))),GJ[Credit]))))</f>
        <v>0</v>
      </c>
      <c r="I46" s="211">
        <f t="array" ref="I46">((SUM(IF((CkDJ[Ofc Code]=(TRIM(I$7)))*(CkDJ[Account Code]=(TRIM($D46))),CkDJ[Debit])))+(SUM(IF((CsDJ[Ofc Code]=(TRIM(I$7)))*(CsDJ[Account Code]=(TRIM($D46))),CsDJ[Debit])))+(SUM(IF((CRDJ[Ofc Code]=(TRIM(I$7)))*(CRDJ[Account Code]=(TRIM($D46))),CRDJ[Debit])))+(SUM(IF((GJ[Ofc Code]=(TRIM(I$7)))*(GJ[Account Code]=(TRIM($D46))),GJ[Debit]))))-((SUM(IF((CkDJ[Ofc Code]=(TRIM(I$7)))*(CkDJ[Account Code]=(TRIM($D46))),CkDJ[Credit])))+(SUM(IF((CsDJ[Ofc Code]=(TRIM(I$7)))*(CsDJ[Account Code]=(TRIM($D46))),CsDJ[Credit])))+(SUM(IF((CRDJ[Ofc Code]=(TRIM(I$7)))*(CRDJ[Account Code]=(TRIM($D46))),CRDJ[Credit])))+(SUM(IF((GJ[Ofc Code]=(TRIM(I$7)))*(GJ[Account Code]=(TRIM($D46))),GJ[Credit]))))</f>
        <v>0</v>
      </c>
      <c r="J46" s="211">
        <f t="shared" si="8"/>
        <v>0</v>
      </c>
      <c r="K46" s="211">
        <f t="array" ref="K46">((SUM(IF((CkDJ[Ofc Code]=(TRIM(K$7)))*(CkDJ[Account Code]=(TRIM($D46))),CkDJ[Debit])))+(SUM(IF((CsDJ[Ofc Code]=(TRIM(K$7)))*(CsDJ[Account Code]=(TRIM($D46))),CsDJ[Debit])))+(SUM(IF((CRDJ[Ofc Code]=(TRIM(K$7)))*(CRDJ[Account Code]=(TRIM($D46))),CRDJ[Debit])))+(SUM(IF((GJ[Ofc Code]=(TRIM(K$7)))*(GJ[Account Code]=(TRIM($D46))),GJ[Debit]))))-((SUM(IF((CkDJ[Ofc Code]=(TRIM(K$7)))*(CkDJ[Account Code]=(TRIM($D46))),CkDJ[Credit])))+(SUM(IF((CsDJ[Ofc Code]=(TRIM(K$7)))*(CsDJ[Account Code]=(TRIM($D46))),CsDJ[Credit])))+(SUM(IF((CRDJ[Ofc Code]=(TRIM(K$7)))*(CRDJ[Account Code]=(TRIM($D46))),CRDJ[Credit])))+(SUM(IF((GJ[Ofc Code]=(TRIM(K$7)))*(GJ[Account Code]=(TRIM($D46))),GJ[Credit]))))</f>
        <v>0</v>
      </c>
      <c r="L46" s="211">
        <f t="array" ref="L46">((SUM(IF((CkDJ[Ofc Code]=(TRIM(L$7)))*(CkDJ[Account Code]=(TRIM($D46))),CkDJ[Debit])))+(SUM(IF((CsDJ[Ofc Code]=(TRIM(L$7)))*(CsDJ[Account Code]=(TRIM($D46))),CsDJ[Debit])))+(SUM(IF((CRDJ[Ofc Code]=(TRIM(L$7)))*(CRDJ[Account Code]=(TRIM($D46))),CRDJ[Debit])))+(SUM(IF((GJ[Ofc Code]=(TRIM(L$7)))*(GJ[Account Code]=(TRIM($D46))),GJ[Debit]))))-((SUM(IF((CkDJ[Ofc Code]=(TRIM(L$7)))*(CkDJ[Account Code]=(TRIM($D46))),CkDJ[Credit])))+(SUM(IF((CsDJ[Ofc Code]=(TRIM(L$7)))*(CsDJ[Account Code]=(TRIM($D46))),CsDJ[Credit])))+(SUM(IF((CRDJ[Ofc Code]=(TRIM(L$7)))*(CRDJ[Account Code]=(TRIM($D46))),CRDJ[Credit])))+(SUM(IF((GJ[Ofc Code]=(TRIM(L$7)))*(GJ[Account Code]=(TRIM($D46))),GJ[Credit]))))</f>
        <v>0</v>
      </c>
      <c r="M46" s="211">
        <f t="array" ref="M46">((SUM(IF((CkDJ[Ofc Code]=(TRIM(M$7)))*(CkDJ[Account Code]=(TRIM($D46))),CkDJ[Debit])))+(SUM(IF((CsDJ[Ofc Code]=(TRIM(M$7)))*(CsDJ[Account Code]=(TRIM($D46))),CsDJ[Debit])))+(SUM(IF((CRDJ[Ofc Code]=(TRIM(M$7)))*(CRDJ[Account Code]=(TRIM($D46))),CRDJ[Debit])))+(SUM(IF((GJ[Ofc Code]=(TRIM(M$7)))*(GJ[Account Code]=(TRIM($D46))),GJ[Debit]))))-((SUM(IF((CkDJ[Ofc Code]=(TRIM(M$7)))*(CkDJ[Account Code]=(TRIM($D46))),CkDJ[Credit])))+(SUM(IF((CsDJ[Ofc Code]=(TRIM(M$7)))*(CsDJ[Account Code]=(TRIM($D46))),CsDJ[Credit])))+(SUM(IF((CRDJ[Ofc Code]=(TRIM(M$7)))*(CRDJ[Account Code]=(TRIM($D46))),CRDJ[Credit])))+(SUM(IF((GJ[Ofc Code]=(TRIM(M$7)))*(GJ[Account Code]=(TRIM($D46))),GJ[Credit]))))</f>
        <v>0</v>
      </c>
      <c r="N46" s="211">
        <f t="array" ref="N46">((SUM(IF((CkDJ[Ofc Code]=(TRIM(N$7)))*(CkDJ[Account Code]=(TRIM($D46))),CkDJ[Debit])))+(SUM(IF((CsDJ[Ofc Code]=(TRIM(N$7)))*(CsDJ[Account Code]=(TRIM($D46))),CsDJ[Debit])))+(SUM(IF((CRDJ[Ofc Code]=(TRIM(N$7)))*(CRDJ[Account Code]=(TRIM($D46))),CRDJ[Debit])))+(SUM(IF((GJ[Ofc Code]=(TRIM(N$7)))*(GJ[Account Code]=(TRIM($D46))),GJ[Debit]))))-((SUM(IF((CkDJ[Ofc Code]=(TRIM(N$7)))*(CkDJ[Account Code]=(TRIM($D46))),CkDJ[Credit])))+(SUM(IF((CsDJ[Ofc Code]=(TRIM(N$7)))*(CsDJ[Account Code]=(TRIM($D46))),CsDJ[Credit])))+(SUM(IF((CRDJ[Ofc Code]=(TRIM(N$7)))*(CRDJ[Account Code]=(TRIM($D46))),CRDJ[Credit])))+(SUM(IF((GJ[Ofc Code]=(TRIM(N$7)))*(GJ[Account Code]=(TRIM($D46))),GJ[Credit]))))</f>
        <v>0</v>
      </c>
      <c r="O46" s="211">
        <f t="shared" si="9"/>
        <v>0</v>
      </c>
      <c r="P46" s="211">
        <f t="array" ref="P46">((SUM(IF((CkDJ[Ofc Code]=(TRIM(P$7)))*(CkDJ[Account Code]=(TRIM($D46))),CkDJ[Debit])))+(SUM(IF((CsDJ[Ofc Code]=(TRIM(P$7)))*(CsDJ[Account Code]=(TRIM($D46))),CsDJ[Debit])))+(SUM(IF((CRDJ[Ofc Code]=(TRIM(P$7)))*(CRDJ[Account Code]=(TRIM($D46))),CRDJ[Debit])))+(SUM(IF((GJ[Ofc Code]=(TRIM(P$7)))*(GJ[Account Code]=(TRIM($D46))),GJ[Debit]))))-((SUM(IF((CkDJ[Ofc Code]=(TRIM(P$7)))*(CkDJ[Account Code]=(TRIM($D46))),CkDJ[Credit])))+(SUM(IF((CsDJ[Ofc Code]=(TRIM(P$7)))*(CsDJ[Account Code]=(TRIM($D46))),CsDJ[Credit])))+(SUM(IF((CRDJ[Ofc Code]=(TRIM(P$7)))*(CRDJ[Account Code]=(TRIM($D46))),CRDJ[Credit])))+(SUM(IF((GJ[Ofc Code]=(TRIM(P$7)))*(GJ[Account Code]=(TRIM($D46))),GJ[Credit]))))</f>
        <v>0</v>
      </c>
      <c r="Q46" s="211">
        <f t="array" ref="Q46">((SUM(IF((CkDJ[Ofc Code]=(TRIM(Q$7)))*(CkDJ[Account Code]=(TRIM($D46))),CkDJ[Debit])))+(SUM(IF((CsDJ[Ofc Code]=(TRIM(Q$7)))*(CsDJ[Account Code]=(TRIM($D46))),CsDJ[Debit])))+(SUM(IF((CRDJ[Ofc Code]=(TRIM(Q$7)))*(CRDJ[Account Code]=(TRIM($D46))),CRDJ[Debit])))+(SUM(IF((GJ[Ofc Code]=(TRIM(Q$7)))*(GJ[Account Code]=(TRIM($D46))),GJ[Debit]))))-((SUM(IF((CkDJ[Ofc Code]=(TRIM(Q$7)))*(CkDJ[Account Code]=(TRIM($D46))),CkDJ[Credit])))+(SUM(IF((CsDJ[Ofc Code]=(TRIM(Q$7)))*(CsDJ[Account Code]=(TRIM($D46))),CsDJ[Credit])))+(SUM(IF((CRDJ[Ofc Code]=(TRIM(Q$7)))*(CRDJ[Account Code]=(TRIM($D46))),CRDJ[Credit])))+(SUM(IF((GJ[Ofc Code]=(TRIM(Q$7)))*(GJ[Account Code]=(TRIM($D46))),GJ[Credit]))))</f>
        <v>0</v>
      </c>
      <c r="R46" s="211">
        <f t="array" ref="R46">((SUM(IF((CkDJ[Ofc Code]=(TRIM(R$7)))*(CkDJ[Account Code]=(TRIM($D46))),CkDJ[Debit])))+(SUM(IF((CsDJ[Ofc Code]=(TRIM(R$7)))*(CsDJ[Account Code]=(TRIM($D46))),CsDJ[Debit])))+(SUM(IF((CRDJ[Ofc Code]=(TRIM(R$7)))*(CRDJ[Account Code]=(TRIM($D46))),CRDJ[Debit])))+(SUM(IF((GJ[Ofc Code]=(TRIM(R$7)))*(GJ[Account Code]=(TRIM($D46))),GJ[Debit]))))-((SUM(IF((CkDJ[Ofc Code]=(TRIM(R$7)))*(CkDJ[Account Code]=(TRIM($D46))),CkDJ[Credit])))+(SUM(IF((CsDJ[Ofc Code]=(TRIM(R$7)))*(CsDJ[Account Code]=(TRIM($D46))),CsDJ[Credit])))+(SUM(IF((CRDJ[Ofc Code]=(TRIM(R$7)))*(CRDJ[Account Code]=(TRIM($D46))),CRDJ[Credit])))+(SUM(IF((GJ[Ofc Code]=(TRIM(R$7)))*(GJ[Account Code]=(TRIM($D46))),GJ[Credit]))))</f>
        <v>0</v>
      </c>
      <c r="S46" s="211">
        <f t="array" ref="S46">((SUM(IF((CkDJ[Ofc Code]=(TRIM(S$7)))*(CkDJ[Account Code]=(TRIM($D46))),CkDJ[Debit])))+(SUM(IF((CsDJ[Ofc Code]=(TRIM(S$7)))*(CsDJ[Account Code]=(TRIM($D46))),CsDJ[Debit])))+(SUM(IF((CRDJ[Ofc Code]=(TRIM(S$7)))*(CRDJ[Account Code]=(TRIM($D46))),CRDJ[Debit])))+(SUM(IF((GJ[Ofc Code]=(TRIM(S$7)))*(GJ[Account Code]=(TRIM($D46))),GJ[Debit]))))-((SUM(IF((CkDJ[Ofc Code]=(TRIM(S$7)))*(CkDJ[Account Code]=(TRIM($D46))),CkDJ[Credit])))+(SUM(IF((CsDJ[Ofc Code]=(TRIM(S$7)))*(CsDJ[Account Code]=(TRIM($D46))),CsDJ[Credit])))+(SUM(IF((CRDJ[Ofc Code]=(TRIM(S$7)))*(CRDJ[Account Code]=(TRIM($D46))),CRDJ[Credit])))+(SUM(IF((GJ[Ofc Code]=(TRIM(S$7)))*(GJ[Account Code]=(TRIM($D46))),GJ[Credit]))))</f>
        <v>0</v>
      </c>
      <c r="T46" s="211">
        <f t="array" ref="T46">((SUM(IF((CkDJ[Ofc Code]=(TRIM(T$7)))*(CkDJ[Account Code]=(TRIM($D46))),CkDJ[Debit])))+(SUM(IF((CsDJ[Ofc Code]=(TRIM(T$7)))*(CsDJ[Account Code]=(TRIM($D46))),CsDJ[Debit])))+(SUM(IF((CRDJ[Ofc Code]=(TRIM(T$7)))*(CRDJ[Account Code]=(TRIM($D46))),CRDJ[Debit])))+(SUM(IF((GJ[Ofc Code]=(TRIM(T$7)))*(GJ[Account Code]=(TRIM($D46))),GJ[Debit]))))-((SUM(IF((CkDJ[Ofc Code]=(TRIM(T$7)))*(CkDJ[Account Code]=(TRIM($D46))),CkDJ[Credit])))+(SUM(IF((CsDJ[Ofc Code]=(TRIM(T$7)))*(CsDJ[Account Code]=(TRIM($D46))),CsDJ[Credit])))+(SUM(IF((CRDJ[Ofc Code]=(TRIM(T$7)))*(CRDJ[Account Code]=(TRIM($D46))),CRDJ[Credit])))+(SUM(IF((GJ[Ofc Code]=(TRIM(T$7)))*(GJ[Account Code]=(TRIM($D46))),GJ[Credit]))))</f>
        <v>0</v>
      </c>
      <c r="U46" s="211">
        <f t="shared" si="10"/>
        <v>0</v>
      </c>
      <c r="V46" s="211">
        <f t="shared" si="11"/>
        <v>0</v>
      </c>
    </row>
    <row r="47" spans="1:22" ht="15">
      <c r="A47" s="212">
        <f t="shared" si="12"/>
        <v>10</v>
      </c>
      <c r="B47" s="214" t="s">
        <v>756</v>
      </c>
      <c r="C47" s="194" t="str">
        <f t="shared" si="7"/>
        <v>Other Bonuses and Allowances - Children Allowance</v>
      </c>
      <c r="D47" s="215" t="s">
        <v>7</v>
      </c>
      <c r="E47" s="211">
        <f t="array" ref="E47">((SUM(IF((CkDJ[Ofc Code]=(TRIM(E$7)))*(CkDJ[Account Code]=(TRIM($D47))),CkDJ[Debit])))+(SUM(IF((CsDJ[Ofc Code]=(TRIM(E$7)))*(CsDJ[Account Code]=(TRIM($D47))),CsDJ[Debit])))+(SUM(IF((CRDJ[Ofc Code]=(TRIM(E$7)))*(CRDJ[Account Code]=(TRIM($D47))),CRDJ[Debit])))+(SUM(IF((GJ[Ofc Code]=(TRIM(E$7)))*(GJ[Account Code]=(TRIM($D47))),GJ[Debit]))))-((SUM(IF((CkDJ[Ofc Code]=(TRIM(E$7)))*(CkDJ[Account Code]=(TRIM($D47))),CkDJ[Credit])))+(SUM(IF((CsDJ[Ofc Code]=(TRIM(E$7)))*(CsDJ[Account Code]=(TRIM($D47))),CsDJ[Credit])))+(SUM(IF((CRDJ[Ofc Code]=(TRIM(E$7)))*(CRDJ[Account Code]=(TRIM($D47))),CRDJ[Credit])))+(SUM(IF((GJ[Ofc Code]=(TRIM(E$7)))*(GJ[Account Code]=(TRIM($D47))),GJ[Credit]))))</f>
        <v>0</v>
      </c>
      <c r="F47" s="211">
        <f t="array" ref="F47">((SUM(IF((CkDJ[Ofc Code]=(TRIM(F$7)))*(CkDJ[Account Code]=(TRIM($D47))),CkDJ[Debit])))+(SUM(IF((CsDJ[Ofc Code]=(TRIM(F$7)))*(CsDJ[Account Code]=(TRIM($D47))),CsDJ[Debit])))+(SUM(IF((CRDJ[Ofc Code]=(TRIM(F$7)))*(CRDJ[Account Code]=(TRIM($D47))),CRDJ[Debit])))+(SUM(IF((GJ[Ofc Code]=(TRIM(F$7)))*(GJ[Account Code]=(TRIM($D47))),GJ[Debit]))))-((SUM(IF((CkDJ[Ofc Code]=(TRIM(F$7)))*(CkDJ[Account Code]=(TRIM($D47))),CkDJ[Credit])))+(SUM(IF((CsDJ[Ofc Code]=(TRIM(F$7)))*(CsDJ[Account Code]=(TRIM($D47))),CsDJ[Credit])))+(SUM(IF((CRDJ[Ofc Code]=(TRIM(F$7)))*(CRDJ[Account Code]=(TRIM($D47))),CRDJ[Credit])))+(SUM(IF((GJ[Ofc Code]=(TRIM(F$7)))*(GJ[Account Code]=(TRIM($D47))),GJ[Credit]))))</f>
        <v>0</v>
      </c>
      <c r="G47" s="211">
        <f t="array" ref="G47">((SUM(IF((CkDJ[Ofc Code]=(TRIM(G$7)))*(CkDJ[Account Code]=(TRIM($D47))),CkDJ[Debit])))+(SUM(IF((CsDJ[Ofc Code]=(TRIM(G$7)))*(CsDJ[Account Code]=(TRIM($D47))),CsDJ[Debit])))+(SUM(IF((CRDJ[Ofc Code]=(TRIM(G$7)))*(CRDJ[Account Code]=(TRIM($D47))),CRDJ[Debit])))+(SUM(IF((GJ[Ofc Code]=(TRIM(G$7)))*(GJ[Account Code]=(TRIM($D47))),GJ[Debit]))))-((SUM(IF((CkDJ[Ofc Code]=(TRIM(G$7)))*(CkDJ[Account Code]=(TRIM($D47))),CkDJ[Credit])))+(SUM(IF((CsDJ[Ofc Code]=(TRIM(G$7)))*(CsDJ[Account Code]=(TRIM($D47))),CsDJ[Credit])))+(SUM(IF((CRDJ[Ofc Code]=(TRIM(G$7)))*(CRDJ[Account Code]=(TRIM($D47))),CRDJ[Credit])))+(SUM(IF((GJ[Ofc Code]=(TRIM(G$7)))*(GJ[Account Code]=(TRIM($D47))),GJ[Credit]))))</f>
        <v>0</v>
      </c>
      <c r="H47" s="211">
        <f t="array" ref="H47">((SUM(IF((CkDJ[Ofc Code]=(TRIM(H$7)))*(CkDJ[Account Code]=(TRIM($D47))),CkDJ[Debit])))+(SUM(IF((CsDJ[Ofc Code]=(TRIM(H$7)))*(CsDJ[Account Code]=(TRIM($D47))),CsDJ[Debit])))+(SUM(IF((CRDJ[Ofc Code]=(TRIM(H$7)))*(CRDJ[Account Code]=(TRIM($D47))),CRDJ[Debit])))+(SUM(IF((GJ[Ofc Code]=(TRIM(H$7)))*(GJ[Account Code]=(TRIM($D47))),GJ[Debit]))))-((SUM(IF((CkDJ[Ofc Code]=(TRIM(H$7)))*(CkDJ[Account Code]=(TRIM($D47))),CkDJ[Credit])))+(SUM(IF((CsDJ[Ofc Code]=(TRIM(H$7)))*(CsDJ[Account Code]=(TRIM($D47))),CsDJ[Credit])))+(SUM(IF((CRDJ[Ofc Code]=(TRIM(H$7)))*(CRDJ[Account Code]=(TRIM($D47))),CRDJ[Credit])))+(SUM(IF((GJ[Ofc Code]=(TRIM(H$7)))*(GJ[Account Code]=(TRIM($D47))),GJ[Credit]))))</f>
        <v>0</v>
      </c>
      <c r="I47" s="211">
        <f t="array" ref="I47">((SUM(IF((CkDJ[Ofc Code]=(TRIM(I$7)))*(CkDJ[Account Code]=(TRIM($D47))),CkDJ[Debit])))+(SUM(IF((CsDJ[Ofc Code]=(TRIM(I$7)))*(CsDJ[Account Code]=(TRIM($D47))),CsDJ[Debit])))+(SUM(IF((CRDJ[Ofc Code]=(TRIM(I$7)))*(CRDJ[Account Code]=(TRIM($D47))),CRDJ[Debit])))+(SUM(IF((GJ[Ofc Code]=(TRIM(I$7)))*(GJ[Account Code]=(TRIM($D47))),GJ[Debit]))))-((SUM(IF((CkDJ[Ofc Code]=(TRIM(I$7)))*(CkDJ[Account Code]=(TRIM($D47))),CkDJ[Credit])))+(SUM(IF((CsDJ[Ofc Code]=(TRIM(I$7)))*(CsDJ[Account Code]=(TRIM($D47))),CsDJ[Credit])))+(SUM(IF((CRDJ[Ofc Code]=(TRIM(I$7)))*(CRDJ[Account Code]=(TRIM($D47))),CRDJ[Credit])))+(SUM(IF((GJ[Ofc Code]=(TRIM(I$7)))*(GJ[Account Code]=(TRIM($D47))),GJ[Credit]))))</f>
        <v>0</v>
      </c>
      <c r="J47" s="211">
        <f t="shared" si="8"/>
        <v>0</v>
      </c>
      <c r="K47" s="211">
        <f t="array" ref="K47">((SUM(IF((CkDJ[Ofc Code]=(TRIM(K$7)))*(CkDJ[Account Code]=(TRIM($D47))),CkDJ[Debit])))+(SUM(IF((CsDJ[Ofc Code]=(TRIM(K$7)))*(CsDJ[Account Code]=(TRIM($D47))),CsDJ[Debit])))+(SUM(IF((CRDJ[Ofc Code]=(TRIM(K$7)))*(CRDJ[Account Code]=(TRIM($D47))),CRDJ[Debit])))+(SUM(IF((GJ[Ofc Code]=(TRIM(K$7)))*(GJ[Account Code]=(TRIM($D47))),GJ[Debit]))))-((SUM(IF((CkDJ[Ofc Code]=(TRIM(K$7)))*(CkDJ[Account Code]=(TRIM($D47))),CkDJ[Credit])))+(SUM(IF((CsDJ[Ofc Code]=(TRIM(K$7)))*(CsDJ[Account Code]=(TRIM($D47))),CsDJ[Credit])))+(SUM(IF((CRDJ[Ofc Code]=(TRIM(K$7)))*(CRDJ[Account Code]=(TRIM($D47))),CRDJ[Credit])))+(SUM(IF((GJ[Ofc Code]=(TRIM(K$7)))*(GJ[Account Code]=(TRIM($D47))),GJ[Credit]))))</f>
        <v>0</v>
      </c>
      <c r="L47" s="211">
        <f t="array" ref="L47">((SUM(IF((CkDJ[Ofc Code]=(TRIM(L$7)))*(CkDJ[Account Code]=(TRIM($D47))),CkDJ[Debit])))+(SUM(IF((CsDJ[Ofc Code]=(TRIM(L$7)))*(CsDJ[Account Code]=(TRIM($D47))),CsDJ[Debit])))+(SUM(IF((CRDJ[Ofc Code]=(TRIM(L$7)))*(CRDJ[Account Code]=(TRIM($D47))),CRDJ[Debit])))+(SUM(IF((GJ[Ofc Code]=(TRIM(L$7)))*(GJ[Account Code]=(TRIM($D47))),GJ[Debit]))))-((SUM(IF((CkDJ[Ofc Code]=(TRIM(L$7)))*(CkDJ[Account Code]=(TRIM($D47))),CkDJ[Credit])))+(SUM(IF((CsDJ[Ofc Code]=(TRIM(L$7)))*(CsDJ[Account Code]=(TRIM($D47))),CsDJ[Credit])))+(SUM(IF((CRDJ[Ofc Code]=(TRIM(L$7)))*(CRDJ[Account Code]=(TRIM($D47))),CRDJ[Credit])))+(SUM(IF((GJ[Ofc Code]=(TRIM(L$7)))*(GJ[Account Code]=(TRIM($D47))),GJ[Credit]))))</f>
        <v>0</v>
      </c>
      <c r="M47" s="211">
        <f t="array" ref="M47">((SUM(IF((CkDJ[Ofc Code]=(TRIM(M$7)))*(CkDJ[Account Code]=(TRIM($D47))),CkDJ[Debit])))+(SUM(IF((CsDJ[Ofc Code]=(TRIM(M$7)))*(CsDJ[Account Code]=(TRIM($D47))),CsDJ[Debit])))+(SUM(IF((CRDJ[Ofc Code]=(TRIM(M$7)))*(CRDJ[Account Code]=(TRIM($D47))),CRDJ[Debit])))+(SUM(IF((GJ[Ofc Code]=(TRIM(M$7)))*(GJ[Account Code]=(TRIM($D47))),GJ[Debit]))))-((SUM(IF((CkDJ[Ofc Code]=(TRIM(M$7)))*(CkDJ[Account Code]=(TRIM($D47))),CkDJ[Credit])))+(SUM(IF((CsDJ[Ofc Code]=(TRIM(M$7)))*(CsDJ[Account Code]=(TRIM($D47))),CsDJ[Credit])))+(SUM(IF((CRDJ[Ofc Code]=(TRIM(M$7)))*(CRDJ[Account Code]=(TRIM($D47))),CRDJ[Credit])))+(SUM(IF((GJ[Ofc Code]=(TRIM(M$7)))*(GJ[Account Code]=(TRIM($D47))),GJ[Credit]))))</f>
        <v>0</v>
      </c>
      <c r="N47" s="211">
        <f t="array" ref="N47">((SUM(IF((CkDJ[Ofc Code]=(TRIM(N$7)))*(CkDJ[Account Code]=(TRIM($D47))),CkDJ[Debit])))+(SUM(IF((CsDJ[Ofc Code]=(TRIM(N$7)))*(CsDJ[Account Code]=(TRIM($D47))),CsDJ[Debit])))+(SUM(IF((CRDJ[Ofc Code]=(TRIM(N$7)))*(CRDJ[Account Code]=(TRIM($D47))),CRDJ[Debit])))+(SUM(IF((GJ[Ofc Code]=(TRIM(N$7)))*(GJ[Account Code]=(TRIM($D47))),GJ[Debit]))))-((SUM(IF((CkDJ[Ofc Code]=(TRIM(N$7)))*(CkDJ[Account Code]=(TRIM($D47))),CkDJ[Credit])))+(SUM(IF((CsDJ[Ofc Code]=(TRIM(N$7)))*(CsDJ[Account Code]=(TRIM($D47))),CsDJ[Credit])))+(SUM(IF((CRDJ[Ofc Code]=(TRIM(N$7)))*(CRDJ[Account Code]=(TRIM($D47))),CRDJ[Credit])))+(SUM(IF((GJ[Ofc Code]=(TRIM(N$7)))*(GJ[Account Code]=(TRIM($D47))),GJ[Credit]))))</f>
        <v>0</v>
      </c>
      <c r="O47" s="211">
        <f t="shared" si="9"/>
        <v>0</v>
      </c>
      <c r="P47" s="211">
        <f t="array" ref="P47">((SUM(IF((CkDJ[Ofc Code]=(TRIM(P$7)))*(CkDJ[Account Code]=(TRIM($D47))),CkDJ[Debit])))+(SUM(IF((CsDJ[Ofc Code]=(TRIM(P$7)))*(CsDJ[Account Code]=(TRIM($D47))),CsDJ[Debit])))+(SUM(IF((CRDJ[Ofc Code]=(TRIM(P$7)))*(CRDJ[Account Code]=(TRIM($D47))),CRDJ[Debit])))+(SUM(IF((GJ[Ofc Code]=(TRIM(P$7)))*(GJ[Account Code]=(TRIM($D47))),GJ[Debit]))))-((SUM(IF((CkDJ[Ofc Code]=(TRIM(P$7)))*(CkDJ[Account Code]=(TRIM($D47))),CkDJ[Credit])))+(SUM(IF((CsDJ[Ofc Code]=(TRIM(P$7)))*(CsDJ[Account Code]=(TRIM($D47))),CsDJ[Credit])))+(SUM(IF((CRDJ[Ofc Code]=(TRIM(P$7)))*(CRDJ[Account Code]=(TRIM($D47))),CRDJ[Credit])))+(SUM(IF((GJ[Ofc Code]=(TRIM(P$7)))*(GJ[Account Code]=(TRIM($D47))),GJ[Credit]))))</f>
        <v>0</v>
      </c>
      <c r="Q47" s="211">
        <f t="array" ref="Q47">((SUM(IF((CkDJ[Ofc Code]=(TRIM(Q$7)))*(CkDJ[Account Code]=(TRIM($D47))),CkDJ[Debit])))+(SUM(IF((CsDJ[Ofc Code]=(TRIM(Q$7)))*(CsDJ[Account Code]=(TRIM($D47))),CsDJ[Debit])))+(SUM(IF((CRDJ[Ofc Code]=(TRIM(Q$7)))*(CRDJ[Account Code]=(TRIM($D47))),CRDJ[Debit])))+(SUM(IF((GJ[Ofc Code]=(TRIM(Q$7)))*(GJ[Account Code]=(TRIM($D47))),GJ[Debit]))))-((SUM(IF((CkDJ[Ofc Code]=(TRIM(Q$7)))*(CkDJ[Account Code]=(TRIM($D47))),CkDJ[Credit])))+(SUM(IF((CsDJ[Ofc Code]=(TRIM(Q$7)))*(CsDJ[Account Code]=(TRIM($D47))),CsDJ[Credit])))+(SUM(IF((CRDJ[Ofc Code]=(TRIM(Q$7)))*(CRDJ[Account Code]=(TRIM($D47))),CRDJ[Credit])))+(SUM(IF((GJ[Ofc Code]=(TRIM(Q$7)))*(GJ[Account Code]=(TRIM($D47))),GJ[Credit]))))</f>
        <v>0</v>
      </c>
      <c r="R47" s="211">
        <f t="array" ref="R47">((SUM(IF((CkDJ[Ofc Code]=(TRIM(R$7)))*(CkDJ[Account Code]=(TRIM($D47))),CkDJ[Debit])))+(SUM(IF((CsDJ[Ofc Code]=(TRIM(R$7)))*(CsDJ[Account Code]=(TRIM($D47))),CsDJ[Debit])))+(SUM(IF((CRDJ[Ofc Code]=(TRIM(R$7)))*(CRDJ[Account Code]=(TRIM($D47))),CRDJ[Debit])))+(SUM(IF((GJ[Ofc Code]=(TRIM(R$7)))*(GJ[Account Code]=(TRIM($D47))),GJ[Debit]))))-((SUM(IF((CkDJ[Ofc Code]=(TRIM(R$7)))*(CkDJ[Account Code]=(TRIM($D47))),CkDJ[Credit])))+(SUM(IF((CsDJ[Ofc Code]=(TRIM(R$7)))*(CsDJ[Account Code]=(TRIM($D47))),CsDJ[Credit])))+(SUM(IF((CRDJ[Ofc Code]=(TRIM(R$7)))*(CRDJ[Account Code]=(TRIM($D47))),CRDJ[Credit])))+(SUM(IF((GJ[Ofc Code]=(TRIM(R$7)))*(GJ[Account Code]=(TRIM($D47))),GJ[Credit]))))</f>
        <v>0</v>
      </c>
      <c r="S47" s="211">
        <f t="array" ref="S47">((SUM(IF((CkDJ[Ofc Code]=(TRIM(S$7)))*(CkDJ[Account Code]=(TRIM($D47))),CkDJ[Debit])))+(SUM(IF((CsDJ[Ofc Code]=(TRIM(S$7)))*(CsDJ[Account Code]=(TRIM($D47))),CsDJ[Debit])))+(SUM(IF((CRDJ[Ofc Code]=(TRIM(S$7)))*(CRDJ[Account Code]=(TRIM($D47))),CRDJ[Debit])))+(SUM(IF((GJ[Ofc Code]=(TRIM(S$7)))*(GJ[Account Code]=(TRIM($D47))),GJ[Debit]))))-((SUM(IF((CkDJ[Ofc Code]=(TRIM(S$7)))*(CkDJ[Account Code]=(TRIM($D47))),CkDJ[Credit])))+(SUM(IF((CsDJ[Ofc Code]=(TRIM(S$7)))*(CsDJ[Account Code]=(TRIM($D47))),CsDJ[Credit])))+(SUM(IF((CRDJ[Ofc Code]=(TRIM(S$7)))*(CRDJ[Account Code]=(TRIM($D47))),CRDJ[Credit])))+(SUM(IF((GJ[Ofc Code]=(TRIM(S$7)))*(GJ[Account Code]=(TRIM($D47))),GJ[Credit]))))</f>
        <v>0</v>
      </c>
      <c r="T47" s="211">
        <f t="array" ref="T47">((SUM(IF((CkDJ[Ofc Code]=(TRIM(T$7)))*(CkDJ[Account Code]=(TRIM($D47))),CkDJ[Debit])))+(SUM(IF((CsDJ[Ofc Code]=(TRIM(T$7)))*(CsDJ[Account Code]=(TRIM($D47))),CsDJ[Debit])))+(SUM(IF((CRDJ[Ofc Code]=(TRIM(T$7)))*(CRDJ[Account Code]=(TRIM($D47))),CRDJ[Debit])))+(SUM(IF((GJ[Ofc Code]=(TRIM(T$7)))*(GJ[Account Code]=(TRIM($D47))),GJ[Debit]))))-((SUM(IF((CkDJ[Ofc Code]=(TRIM(T$7)))*(CkDJ[Account Code]=(TRIM($D47))),CkDJ[Credit])))+(SUM(IF((CsDJ[Ofc Code]=(TRIM(T$7)))*(CsDJ[Account Code]=(TRIM($D47))),CsDJ[Credit])))+(SUM(IF((CRDJ[Ofc Code]=(TRIM(T$7)))*(CRDJ[Account Code]=(TRIM($D47))),CRDJ[Credit])))+(SUM(IF((GJ[Ofc Code]=(TRIM(T$7)))*(GJ[Account Code]=(TRIM($D47))),GJ[Credit]))))</f>
        <v>0</v>
      </c>
      <c r="U47" s="211">
        <f t="shared" si="10"/>
        <v>0</v>
      </c>
      <c r="V47" s="211">
        <f t="shared" si="11"/>
        <v>0</v>
      </c>
    </row>
    <row r="48" spans="1:22" ht="15">
      <c r="A48" s="212">
        <f t="shared" si="12"/>
        <v>11</v>
      </c>
      <c r="B48" s="214" t="s">
        <v>756</v>
      </c>
      <c r="C48" s="194" t="str">
        <f t="shared" si="7"/>
        <v>Other Bonuses and Allowances - Collective Negotiation Agreement Incentive-Civilian</v>
      </c>
      <c r="D48" s="215" t="s">
        <v>168</v>
      </c>
      <c r="E48" s="211">
        <f t="array" ref="E48">((SUM(IF((CkDJ[Ofc Code]=(TRIM(E$7)))*(CkDJ[Account Code]=(TRIM($D48))),CkDJ[Debit])))+(SUM(IF((CsDJ[Ofc Code]=(TRIM(E$7)))*(CsDJ[Account Code]=(TRIM($D48))),CsDJ[Debit])))+(SUM(IF((CRDJ[Ofc Code]=(TRIM(E$7)))*(CRDJ[Account Code]=(TRIM($D48))),CRDJ[Debit])))+(SUM(IF((GJ[Ofc Code]=(TRIM(E$7)))*(GJ[Account Code]=(TRIM($D48))),GJ[Debit]))))-((SUM(IF((CkDJ[Ofc Code]=(TRIM(E$7)))*(CkDJ[Account Code]=(TRIM($D48))),CkDJ[Credit])))+(SUM(IF((CsDJ[Ofc Code]=(TRIM(E$7)))*(CsDJ[Account Code]=(TRIM($D48))),CsDJ[Credit])))+(SUM(IF((CRDJ[Ofc Code]=(TRIM(E$7)))*(CRDJ[Account Code]=(TRIM($D48))),CRDJ[Credit])))+(SUM(IF((GJ[Ofc Code]=(TRIM(E$7)))*(GJ[Account Code]=(TRIM($D48))),GJ[Credit]))))</f>
        <v>0</v>
      </c>
      <c r="F48" s="211">
        <f t="array" ref="F48">((SUM(IF((CkDJ[Ofc Code]=(TRIM(F$7)))*(CkDJ[Account Code]=(TRIM($D48))),CkDJ[Debit])))+(SUM(IF((CsDJ[Ofc Code]=(TRIM(F$7)))*(CsDJ[Account Code]=(TRIM($D48))),CsDJ[Debit])))+(SUM(IF((CRDJ[Ofc Code]=(TRIM(F$7)))*(CRDJ[Account Code]=(TRIM($D48))),CRDJ[Debit])))+(SUM(IF((GJ[Ofc Code]=(TRIM(F$7)))*(GJ[Account Code]=(TRIM($D48))),GJ[Debit]))))-((SUM(IF((CkDJ[Ofc Code]=(TRIM(F$7)))*(CkDJ[Account Code]=(TRIM($D48))),CkDJ[Credit])))+(SUM(IF((CsDJ[Ofc Code]=(TRIM(F$7)))*(CsDJ[Account Code]=(TRIM($D48))),CsDJ[Credit])))+(SUM(IF((CRDJ[Ofc Code]=(TRIM(F$7)))*(CRDJ[Account Code]=(TRIM($D48))),CRDJ[Credit])))+(SUM(IF((GJ[Ofc Code]=(TRIM(F$7)))*(GJ[Account Code]=(TRIM($D48))),GJ[Credit]))))</f>
        <v>0</v>
      </c>
      <c r="G48" s="211">
        <f t="array" ref="G48">((SUM(IF((CkDJ[Ofc Code]=(TRIM(G$7)))*(CkDJ[Account Code]=(TRIM($D48))),CkDJ[Debit])))+(SUM(IF((CsDJ[Ofc Code]=(TRIM(G$7)))*(CsDJ[Account Code]=(TRIM($D48))),CsDJ[Debit])))+(SUM(IF((CRDJ[Ofc Code]=(TRIM(G$7)))*(CRDJ[Account Code]=(TRIM($D48))),CRDJ[Debit])))+(SUM(IF((GJ[Ofc Code]=(TRIM(G$7)))*(GJ[Account Code]=(TRIM($D48))),GJ[Debit]))))-((SUM(IF((CkDJ[Ofc Code]=(TRIM(G$7)))*(CkDJ[Account Code]=(TRIM($D48))),CkDJ[Credit])))+(SUM(IF((CsDJ[Ofc Code]=(TRIM(G$7)))*(CsDJ[Account Code]=(TRIM($D48))),CsDJ[Credit])))+(SUM(IF((CRDJ[Ofc Code]=(TRIM(G$7)))*(CRDJ[Account Code]=(TRIM($D48))),CRDJ[Credit])))+(SUM(IF((GJ[Ofc Code]=(TRIM(G$7)))*(GJ[Account Code]=(TRIM($D48))),GJ[Credit]))))</f>
        <v>0</v>
      </c>
      <c r="H48" s="211">
        <f t="array" ref="H48">((SUM(IF((CkDJ[Ofc Code]=(TRIM(H$7)))*(CkDJ[Account Code]=(TRIM($D48))),CkDJ[Debit])))+(SUM(IF((CsDJ[Ofc Code]=(TRIM(H$7)))*(CsDJ[Account Code]=(TRIM($D48))),CsDJ[Debit])))+(SUM(IF((CRDJ[Ofc Code]=(TRIM(H$7)))*(CRDJ[Account Code]=(TRIM($D48))),CRDJ[Debit])))+(SUM(IF((GJ[Ofc Code]=(TRIM(H$7)))*(GJ[Account Code]=(TRIM($D48))),GJ[Debit]))))-((SUM(IF((CkDJ[Ofc Code]=(TRIM(H$7)))*(CkDJ[Account Code]=(TRIM($D48))),CkDJ[Credit])))+(SUM(IF((CsDJ[Ofc Code]=(TRIM(H$7)))*(CsDJ[Account Code]=(TRIM($D48))),CsDJ[Credit])))+(SUM(IF((CRDJ[Ofc Code]=(TRIM(H$7)))*(CRDJ[Account Code]=(TRIM($D48))),CRDJ[Credit])))+(SUM(IF((GJ[Ofc Code]=(TRIM(H$7)))*(GJ[Account Code]=(TRIM($D48))),GJ[Credit]))))</f>
        <v>0</v>
      </c>
      <c r="I48" s="211">
        <f t="array" ref="I48">((SUM(IF((CkDJ[Ofc Code]=(TRIM(I$7)))*(CkDJ[Account Code]=(TRIM($D48))),CkDJ[Debit])))+(SUM(IF((CsDJ[Ofc Code]=(TRIM(I$7)))*(CsDJ[Account Code]=(TRIM($D48))),CsDJ[Debit])))+(SUM(IF((CRDJ[Ofc Code]=(TRIM(I$7)))*(CRDJ[Account Code]=(TRIM($D48))),CRDJ[Debit])))+(SUM(IF((GJ[Ofc Code]=(TRIM(I$7)))*(GJ[Account Code]=(TRIM($D48))),GJ[Debit]))))-((SUM(IF((CkDJ[Ofc Code]=(TRIM(I$7)))*(CkDJ[Account Code]=(TRIM($D48))),CkDJ[Credit])))+(SUM(IF((CsDJ[Ofc Code]=(TRIM(I$7)))*(CsDJ[Account Code]=(TRIM($D48))),CsDJ[Credit])))+(SUM(IF((CRDJ[Ofc Code]=(TRIM(I$7)))*(CRDJ[Account Code]=(TRIM($D48))),CRDJ[Credit])))+(SUM(IF((GJ[Ofc Code]=(TRIM(I$7)))*(GJ[Account Code]=(TRIM($D48))),GJ[Credit]))))</f>
        <v>0</v>
      </c>
      <c r="J48" s="211">
        <f t="shared" si="8"/>
        <v>0</v>
      </c>
      <c r="K48" s="211">
        <f t="array" ref="K48">((SUM(IF((CkDJ[Ofc Code]=(TRIM(K$7)))*(CkDJ[Account Code]=(TRIM($D48))),CkDJ[Debit])))+(SUM(IF((CsDJ[Ofc Code]=(TRIM(K$7)))*(CsDJ[Account Code]=(TRIM($D48))),CsDJ[Debit])))+(SUM(IF((CRDJ[Ofc Code]=(TRIM(K$7)))*(CRDJ[Account Code]=(TRIM($D48))),CRDJ[Debit])))+(SUM(IF((GJ[Ofc Code]=(TRIM(K$7)))*(GJ[Account Code]=(TRIM($D48))),GJ[Debit]))))-((SUM(IF((CkDJ[Ofc Code]=(TRIM(K$7)))*(CkDJ[Account Code]=(TRIM($D48))),CkDJ[Credit])))+(SUM(IF((CsDJ[Ofc Code]=(TRIM(K$7)))*(CsDJ[Account Code]=(TRIM($D48))),CsDJ[Credit])))+(SUM(IF((CRDJ[Ofc Code]=(TRIM(K$7)))*(CRDJ[Account Code]=(TRIM($D48))),CRDJ[Credit])))+(SUM(IF((GJ[Ofc Code]=(TRIM(K$7)))*(GJ[Account Code]=(TRIM($D48))),GJ[Credit]))))</f>
        <v>0</v>
      </c>
      <c r="L48" s="211">
        <f t="array" ref="L48">((SUM(IF((CkDJ[Ofc Code]=(TRIM(L$7)))*(CkDJ[Account Code]=(TRIM($D48))),CkDJ[Debit])))+(SUM(IF((CsDJ[Ofc Code]=(TRIM(L$7)))*(CsDJ[Account Code]=(TRIM($D48))),CsDJ[Debit])))+(SUM(IF((CRDJ[Ofc Code]=(TRIM(L$7)))*(CRDJ[Account Code]=(TRIM($D48))),CRDJ[Debit])))+(SUM(IF((GJ[Ofc Code]=(TRIM(L$7)))*(GJ[Account Code]=(TRIM($D48))),GJ[Debit]))))-((SUM(IF((CkDJ[Ofc Code]=(TRIM(L$7)))*(CkDJ[Account Code]=(TRIM($D48))),CkDJ[Credit])))+(SUM(IF((CsDJ[Ofc Code]=(TRIM(L$7)))*(CsDJ[Account Code]=(TRIM($D48))),CsDJ[Credit])))+(SUM(IF((CRDJ[Ofc Code]=(TRIM(L$7)))*(CRDJ[Account Code]=(TRIM($D48))),CRDJ[Credit])))+(SUM(IF((GJ[Ofc Code]=(TRIM(L$7)))*(GJ[Account Code]=(TRIM($D48))),GJ[Credit]))))</f>
        <v>0</v>
      </c>
      <c r="M48" s="211">
        <f t="array" ref="M48">((SUM(IF((CkDJ[Ofc Code]=(TRIM(M$7)))*(CkDJ[Account Code]=(TRIM($D48))),CkDJ[Debit])))+(SUM(IF((CsDJ[Ofc Code]=(TRIM(M$7)))*(CsDJ[Account Code]=(TRIM($D48))),CsDJ[Debit])))+(SUM(IF((CRDJ[Ofc Code]=(TRIM(M$7)))*(CRDJ[Account Code]=(TRIM($D48))),CRDJ[Debit])))+(SUM(IF((GJ[Ofc Code]=(TRIM(M$7)))*(GJ[Account Code]=(TRIM($D48))),GJ[Debit]))))-((SUM(IF((CkDJ[Ofc Code]=(TRIM(M$7)))*(CkDJ[Account Code]=(TRIM($D48))),CkDJ[Credit])))+(SUM(IF((CsDJ[Ofc Code]=(TRIM(M$7)))*(CsDJ[Account Code]=(TRIM($D48))),CsDJ[Credit])))+(SUM(IF((CRDJ[Ofc Code]=(TRIM(M$7)))*(CRDJ[Account Code]=(TRIM($D48))),CRDJ[Credit])))+(SUM(IF((GJ[Ofc Code]=(TRIM(M$7)))*(GJ[Account Code]=(TRIM($D48))),GJ[Credit]))))</f>
        <v>0</v>
      </c>
      <c r="N48" s="211">
        <f t="array" ref="N48">((SUM(IF((CkDJ[Ofc Code]=(TRIM(N$7)))*(CkDJ[Account Code]=(TRIM($D48))),CkDJ[Debit])))+(SUM(IF((CsDJ[Ofc Code]=(TRIM(N$7)))*(CsDJ[Account Code]=(TRIM($D48))),CsDJ[Debit])))+(SUM(IF((CRDJ[Ofc Code]=(TRIM(N$7)))*(CRDJ[Account Code]=(TRIM($D48))),CRDJ[Debit])))+(SUM(IF((GJ[Ofc Code]=(TRIM(N$7)))*(GJ[Account Code]=(TRIM($D48))),GJ[Debit]))))-((SUM(IF((CkDJ[Ofc Code]=(TRIM(N$7)))*(CkDJ[Account Code]=(TRIM($D48))),CkDJ[Credit])))+(SUM(IF((CsDJ[Ofc Code]=(TRIM(N$7)))*(CsDJ[Account Code]=(TRIM($D48))),CsDJ[Credit])))+(SUM(IF((CRDJ[Ofc Code]=(TRIM(N$7)))*(CRDJ[Account Code]=(TRIM($D48))),CRDJ[Credit])))+(SUM(IF((GJ[Ofc Code]=(TRIM(N$7)))*(GJ[Account Code]=(TRIM($D48))),GJ[Credit]))))</f>
        <v>0</v>
      </c>
      <c r="O48" s="211">
        <f t="shared" si="9"/>
        <v>0</v>
      </c>
      <c r="P48" s="211">
        <f t="array" ref="P48">((SUM(IF((CkDJ[Ofc Code]=(TRIM(P$7)))*(CkDJ[Account Code]=(TRIM($D48))),CkDJ[Debit])))+(SUM(IF((CsDJ[Ofc Code]=(TRIM(P$7)))*(CsDJ[Account Code]=(TRIM($D48))),CsDJ[Debit])))+(SUM(IF((CRDJ[Ofc Code]=(TRIM(P$7)))*(CRDJ[Account Code]=(TRIM($D48))),CRDJ[Debit])))+(SUM(IF((GJ[Ofc Code]=(TRIM(P$7)))*(GJ[Account Code]=(TRIM($D48))),GJ[Debit]))))-((SUM(IF((CkDJ[Ofc Code]=(TRIM(P$7)))*(CkDJ[Account Code]=(TRIM($D48))),CkDJ[Credit])))+(SUM(IF((CsDJ[Ofc Code]=(TRIM(P$7)))*(CsDJ[Account Code]=(TRIM($D48))),CsDJ[Credit])))+(SUM(IF((CRDJ[Ofc Code]=(TRIM(P$7)))*(CRDJ[Account Code]=(TRIM($D48))),CRDJ[Credit])))+(SUM(IF((GJ[Ofc Code]=(TRIM(P$7)))*(GJ[Account Code]=(TRIM($D48))),GJ[Credit]))))</f>
        <v>0</v>
      </c>
      <c r="Q48" s="211">
        <f t="array" ref="Q48">((SUM(IF((CkDJ[Ofc Code]=(TRIM(Q$7)))*(CkDJ[Account Code]=(TRIM($D48))),CkDJ[Debit])))+(SUM(IF((CsDJ[Ofc Code]=(TRIM(Q$7)))*(CsDJ[Account Code]=(TRIM($D48))),CsDJ[Debit])))+(SUM(IF((CRDJ[Ofc Code]=(TRIM(Q$7)))*(CRDJ[Account Code]=(TRIM($D48))),CRDJ[Debit])))+(SUM(IF((GJ[Ofc Code]=(TRIM(Q$7)))*(GJ[Account Code]=(TRIM($D48))),GJ[Debit]))))-((SUM(IF((CkDJ[Ofc Code]=(TRIM(Q$7)))*(CkDJ[Account Code]=(TRIM($D48))),CkDJ[Credit])))+(SUM(IF((CsDJ[Ofc Code]=(TRIM(Q$7)))*(CsDJ[Account Code]=(TRIM($D48))),CsDJ[Credit])))+(SUM(IF((CRDJ[Ofc Code]=(TRIM(Q$7)))*(CRDJ[Account Code]=(TRIM($D48))),CRDJ[Credit])))+(SUM(IF((GJ[Ofc Code]=(TRIM(Q$7)))*(GJ[Account Code]=(TRIM($D48))),GJ[Credit]))))</f>
        <v>0</v>
      </c>
      <c r="R48" s="211">
        <f t="array" ref="R48">((SUM(IF((CkDJ[Ofc Code]=(TRIM(R$7)))*(CkDJ[Account Code]=(TRIM($D48))),CkDJ[Debit])))+(SUM(IF((CsDJ[Ofc Code]=(TRIM(R$7)))*(CsDJ[Account Code]=(TRIM($D48))),CsDJ[Debit])))+(SUM(IF((CRDJ[Ofc Code]=(TRIM(R$7)))*(CRDJ[Account Code]=(TRIM($D48))),CRDJ[Debit])))+(SUM(IF((GJ[Ofc Code]=(TRIM(R$7)))*(GJ[Account Code]=(TRIM($D48))),GJ[Debit]))))-((SUM(IF((CkDJ[Ofc Code]=(TRIM(R$7)))*(CkDJ[Account Code]=(TRIM($D48))),CkDJ[Credit])))+(SUM(IF((CsDJ[Ofc Code]=(TRIM(R$7)))*(CsDJ[Account Code]=(TRIM($D48))),CsDJ[Credit])))+(SUM(IF((CRDJ[Ofc Code]=(TRIM(R$7)))*(CRDJ[Account Code]=(TRIM($D48))),CRDJ[Credit])))+(SUM(IF((GJ[Ofc Code]=(TRIM(R$7)))*(GJ[Account Code]=(TRIM($D48))),GJ[Credit]))))</f>
        <v>0</v>
      </c>
      <c r="S48" s="211">
        <f t="array" ref="S48">((SUM(IF((CkDJ[Ofc Code]=(TRIM(S$7)))*(CkDJ[Account Code]=(TRIM($D48))),CkDJ[Debit])))+(SUM(IF((CsDJ[Ofc Code]=(TRIM(S$7)))*(CsDJ[Account Code]=(TRIM($D48))),CsDJ[Debit])))+(SUM(IF((CRDJ[Ofc Code]=(TRIM(S$7)))*(CRDJ[Account Code]=(TRIM($D48))),CRDJ[Debit])))+(SUM(IF((GJ[Ofc Code]=(TRIM(S$7)))*(GJ[Account Code]=(TRIM($D48))),GJ[Debit]))))-((SUM(IF((CkDJ[Ofc Code]=(TRIM(S$7)))*(CkDJ[Account Code]=(TRIM($D48))),CkDJ[Credit])))+(SUM(IF((CsDJ[Ofc Code]=(TRIM(S$7)))*(CsDJ[Account Code]=(TRIM($D48))),CsDJ[Credit])))+(SUM(IF((CRDJ[Ofc Code]=(TRIM(S$7)))*(CRDJ[Account Code]=(TRIM($D48))),CRDJ[Credit])))+(SUM(IF((GJ[Ofc Code]=(TRIM(S$7)))*(GJ[Account Code]=(TRIM($D48))),GJ[Credit]))))</f>
        <v>0</v>
      </c>
      <c r="T48" s="211">
        <f t="array" ref="T48">((SUM(IF((CkDJ[Ofc Code]=(TRIM(T$7)))*(CkDJ[Account Code]=(TRIM($D48))),CkDJ[Debit])))+(SUM(IF((CsDJ[Ofc Code]=(TRIM(T$7)))*(CsDJ[Account Code]=(TRIM($D48))),CsDJ[Debit])))+(SUM(IF((CRDJ[Ofc Code]=(TRIM(T$7)))*(CRDJ[Account Code]=(TRIM($D48))),CRDJ[Debit])))+(SUM(IF((GJ[Ofc Code]=(TRIM(T$7)))*(GJ[Account Code]=(TRIM($D48))),GJ[Debit]))))-((SUM(IF((CkDJ[Ofc Code]=(TRIM(T$7)))*(CkDJ[Account Code]=(TRIM($D48))),CkDJ[Credit])))+(SUM(IF((CsDJ[Ofc Code]=(TRIM(T$7)))*(CsDJ[Account Code]=(TRIM($D48))),CsDJ[Credit])))+(SUM(IF((CRDJ[Ofc Code]=(TRIM(T$7)))*(CRDJ[Account Code]=(TRIM($D48))),CRDJ[Credit])))+(SUM(IF((GJ[Ofc Code]=(TRIM(T$7)))*(GJ[Account Code]=(TRIM($D48))),GJ[Credit]))))</f>
        <v>0</v>
      </c>
      <c r="U48" s="211">
        <f t="shared" si="10"/>
        <v>0</v>
      </c>
      <c r="V48" s="211">
        <f t="shared" si="11"/>
        <v>0</v>
      </c>
    </row>
    <row r="49" spans="1:22" ht="15">
      <c r="A49" s="212">
        <f t="shared" si="12"/>
        <v>12</v>
      </c>
      <c r="B49" s="214" t="s">
        <v>756</v>
      </c>
      <c r="C49" s="194" t="str">
        <f t="shared" si="7"/>
        <v>Other Bonuses and Allowances - Productivity Enhancement Incentive-Civilian</v>
      </c>
      <c r="D49" s="215" t="s">
        <v>170</v>
      </c>
      <c r="E49" s="211">
        <f t="array" ref="E49">((SUM(IF((CkDJ[Ofc Code]=(TRIM(E$7)))*(CkDJ[Account Code]=(TRIM($D49))),CkDJ[Debit])))+(SUM(IF((CsDJ[Ofc Code]=(TRIM(E$7)))*(CsDJ[Account Code]=(TRIM($D49))),CsDJ[Debit])))+(SUM(IF((CRDJ[Ofc Code]=(TRIM(E$7)))*(CRDJ[Account Code]=(TRIM($D49))),CRDJ[Debit])))+(SUM(IF((GJ[Ofc Code]=(TRIM(E$7)))*(GJ[Account Code]=(TRIM($D49))),GJ[Debit]))))-((SUM(IF((CkDJ[Ofc Code]=(TRIM(E$7)))*(CkDJ[Account Code]=(TRIM($D49))),CkDJ[Credit])))+(SUM(IF((CsDJ[Ofc Code]=(TRIM(E$7)))*(CsDJ[Account Code]=(TRIM($D49))),CsDJ[Credit])))+(SUM(IF((CRDJ[Ofc Code]=(TRIM(E$7)))*(CRDJ[Account Code]=(TRIM($D49))),CRDJ[Credit])))+(SUM(IF((GJ[Ofc Code]=(TRIM(E$7)))*(GJ[Account Code]=(TRIM($D49))),GJ[Credit]))))</f>
        <v>0</v>
      </c>
      <c r="F49" s="211">
        <f t="array" ref="F49">((SUM(IF((CkDJ[Ofc Code]=(TRIM(F$7)))*(CkDJ[Account Code]=(TRIM($D49))),CkDJ[Debit])))+(SUM(IF((CsDJ[Ofc Code]=(TRIM(F$7)))*(CsDJ[Account Code]=(TRIM($D49))),CsDJ[Debit])))+(SUM(IF((CRDJ[Ofc Code]=(TRIM(F$7)))*(CRDJ[Account Code]=(TRIM($D49))),CRDJ[Debit])))+(SUM(IF((GJ[Ofc Code]=(TRIM(F$7)))*(GJ[Account Code]=(TRIM($D49))),GJ[Debit]))))-((SUM(IF((CkDJ[Ofc Code]=(TRIM(F$7)))*(CkDJ[Account Code]=(TRIM($D49))),CkDJ[Credit])))+(SUM(IF((CsDJ[Ofc Code]=(TRIM(F$7)))*(CsDJ[Account Code]=(TRIM($D49))),CsDJ[Credit])))+(SUM(IF((CRDJ[Ofc Code]=(TRIM(F$7)))*(CRDJ[Account Code]=(TRIM($D49))),CRDJ[Credit])))+(SUM(IF((GJ[Ofc Code]=(TRIM(F$7)))*(GJ[Account Code]=(TRIM($D49))),GJ[Credit]))))</f>
        <v>0</v>
      </c>
      <c r="G49" s="211">
        <f t="array" ref="G49">((SUM(IF((CkDJ[Ofc Code]=(TRIM(G$7)))*(CkDJ[Account Code]=(TRIM($D49))),CkDJ[Debit])))+(SUM(IF((CsDJ[Ofc Code]=(TRIM(G$7)))*(CsDJ[Account Code]=(TRIM($D49))),CsDJ[Debit])))+(SUM(IF((CRDJ[Ofc Code]=(TRIM(G$7)))*(CRDJ[Account Code]=(TRIM($D49))),CRDJ[Debit])))+(SUM(IF((GJ[Ofc Code]=(TRIM(G$7)))*(GJ[Account Code]=(TRIM($D49))),GJ[Debit]))))-((SUM(IF((CkDJ[Ofc Code]=(TRIM(G$7)))*(CkDJ[Account Code]=(TRIM($D49))),CkDJ[Credit])))+(SUM(IF((CsDJ[Ofc Code]=(TRIM(G$7)))*(CsDJ[Account Code]=(TRIM($D49))),CsDJ[Credit])))+(SUM(IF((CRDJ[Ofc Code]=(TRIM(G$7)))*(CRDJ[Account Code]=(TRIM($D49))),CRDJ[Credit])))+(SUM(IF((GJ[Ofc Code]=(TRIM(G$7)))*(GJ[Account Code]=(TRIM($D49))),GJ[Credit]))))</f>
        <v>0</v>
      </c>
      <c r="H49" s="211">
        <f t="array" ref="H49">((SUM(IF((CkDJ[Ofc Code]=(TRIM(H$7)))*(CkDJ[Account Code]=(TRIM($D49))),CkDJ[Debit])))+(SUM(IF((CsDJ[Ofc Code]=(TRIM(H$7)))*(CsDJ[Account Code]=(TRIM($D49))),CsDJ[Debit])))+(SUM(IF((CRDJ[Ofc Code]=(TRIM(H$7)))*(CRDJ[Account Code]=(TRIM($D49))),CRDJ[Debit])))+(SUM(IF((GJ[Ofc Code]=(TRIM(H$7)))*(GJ[Account Code]=(TRIM($D49))),GJ[Debit]))))-((SUM(IF((CkDJ[Ofc Code]=(TRIM(H$7)))*(CkDJ[Account Code]=(TRIM($D49))),CkDJ[Credit])))+(SUM(IF((CsDJ[Ofc Code]=(TRIM(H$7)))*(CsDJ[Account Code]=(TRIM($D49))),CsDJ[Credit])))+(SUM(IF((CRDJ[Ofc Code]=(TRIM(H$7)))*(CRDJ[Account Code]=(TRIM($D49))),CRDJ[Credit])))+(SUM(IF((GJ[Ofc Code]=(TRIM(H$7)))*(GJ[Account Code]=(TRIM($D49))),GJ[Credit]))))</f>
        <v>0</v>
      </c>
      <c r="I49" s="211">
        <f t="array" ref="I49">((SUM(IF((CkDJ[Ofc Code]=(TRIM(I$7)))*(CkDJ[Account Code]=(TRIM($D49))),CkDJ[Debit])))+(SUM(IF((CsDJ[Ofc Code]=(TRIM(I$7)))*(CsDJ[Account Code]=(TRIM($D49))),CsDJ[Debit])))+(SUM(IF((CRDJ[Ofc Code]=(TRIM(I$7)))*(CRDJ[Account Code]=(TRIM($D49))),CRDJ[Debit])))+(SUM(IF((GJ[Ofc Code]=(TRIM(I$7)))*(GJ[Account Code]=(TRIM($D49))),GJ[Debit]))))-((SUM(IF((CkDJ[Ofc Code]=(TRIM(I$7)))*(CkDJ[Account Code]=(TRIM($D49))),CkDJ[Credit])))+(SUM(IF((CsDJ[Ofc Code]=(TRIM(I$7)))*(CsDJ[Account Code]=(TRIM($D49))),CsDJ[Credit])))+(SUM(IF((CRDJ[Ofc Code]=(TRIM(I$7)))*(CRDJ[Account Code]=(TRIM($D49))),CRDJ[Credit])))+(SUM(IF((GJ[Ofc Code]=(TRIM(I$7)))*(GJ[Account Code]=(TRIM($D49))),GJ[Credit]))))</f>
        <v>0</v>
      </c>
      <c r="J49" s="211">
        <f t="shared" si="8"/>
        <v>0</v>
      </c>
      <c r="K49" s="211">
        <f t="array" ref="K49">((SUM(IF((CkDJ[Ofc Code]=(TRIM(K$7)))*(CkDJ[Account Code]=(TRIM($D49))),CkDJ[Debit])))+(SUM(IF((CsDJ[Ofc Code]=(TRIM(K$7)))*(CsDJ[Account Code]=(TRIM($D49))),CsDJ[Debit])))+(SUM(IF((CRDJ[Ofc Code]=(TRIM(K$7)))*(CRDJ[Account Code]=(TRIM($D49))),CRDJ[Debit])))+(SUM(IF((GJ[Ofc Code]=(TRIM(K$7)))*(GJ[Account Code]=(TRIM($D49))),GJ[Debit]))))-((SUM(IF((CkDJ[Ofc Code]=(TRIM(K$7)))*(CkDJ[Account Code]=(TRIM($D49))),CkDJ[Credit])))+(SUM(IF((CsDJ[Ofc Code]=(TRIM(K$7)))*(CsDJ[Account Code]=(TRIM($D49))),CsDJ[Credit])))+(SUM(IF((CRDJ[Ofc Code]=(TRIM(K$7)))*(CRDJ[Account Code]=(TRIM($D49))),CRDJ[Credit])))+(SUM(IF((GJ[Ofc Code]=(TRIM(K$7)))*(GJ[Account Code]=(TRIM($D49))),GJ[Credit]))))</f>
        <v>0</v>
      </c>
      <c r="L49" s="211">
        <f t="array" ref="L49">((SUM(IF((CkDJ[Ofc Code]=(TRIM(L$7)))*(CkDJ[Account Code]=(TRIM($D49))),CkDJ[Debit])))+(SUM(IF((CsDJ[Ofc Code]=(TRIM(L$7)))*(CsDJ[Account Code]=(TRIM($D49))),CsDJ[Debit])))+(SUM(IF((CRDJ[Ofc Code]=(TRIM(L$7)))*(CRDJ[Account Code]=(TRIM($D49))),CRDJ[Debit])))+(SUM(IF((GJ[Ofc Code]=(TRIM(L$7)))*(GJ[Account Code]=(TRIM($D49))),GJ[Debit]))))-((SUM(IF((CkDJ[Ofc Code]=(TRIM(L$7)))*(CkDJ[Account Code]=(TRIM($D49))),CkDJ[Credit])))+(SUM(IF((CsDJ[Ofc Code]=(TRIM(L$7)))*(CsDJ[Account Code]=(TRIM($D49))),CsDJ[Credit])))+(SUM(IF((CRDJ[Ofc Code]=(TRIM(L$7)))*(CRDJ[Account Code]=(TRIM($D49))),CRDJ[Credit])))+(SUM(IF((GJ[Ofc Code]=(TRIM(L$7)))*(GJ[Account Code]=(TRIM($D49))),GJ[Credit]))))</f>
        <v>0</v>
      </c>
      <c r="M49" s="211">
        <f t="array" ref="M49">((SUM(IF((CkDJ[Ofc Code]=(TRIM(M$7)))*(CkDJ[Account Code]=(TRIM($D49))),CkDJ[Debit])))+(SUM(IF((CsDJ[Ofc Code]=(TRIM(M$7)))*(CsDJ[Account Code]=(TRIM($D49))),CsDJ[Debit])))+(SUM(IF((CRDJ[Ofc Code]=(TRIM(M$7)))*(CRDJ[Account Code]=(TRIM($D49))),CRDJ[Debit])))+(SUM(IF((GJ[Ofc Code]=(TRIM(M$7)))*(GJ[Account Code]=(TRIM($D49))),GJ[Debit]))))-((SUM(IF((CkDJ[Ofc Code]=(TRIM(M$7)))*(CkDJ[Account Code]=(TRIM($D49))),CkDJ[Credit])))+(SUM(IF((CsDJ[Ofc Code]=(TRIM(M$7)))*(CsDJ[Account Code]=(TRIM($D49))),CsDJ[Credit])))+(SUM(IF((CRDJ[Ofc Code]=(TRIM(M$7)))*(CRDJ[Account Code]=(TRIM($D49))),CRDJ[Credit])))+(SUM(IF((GJ[Ofc Code]=(TRIM(M$7)))*(GJ[Account Code]=(TRIM($D49))),GJ[Credit]))))</f>
        <v>0</v>
      </c>
      <c r="N49" s="211">
        <f t="array" ref="N49">((SUM(IF((CkDJ[Ofc Code]=(TRIM(N$7)))*(CkDJ[Account Code]=(TRIM($D49))),CkDJ[Debit])))+(SUM(IF((CsDJ[Ofc Code]=(TRIM(N$7)))*(CsDJ[Account Code]=(TRIM($D49))),CsDJ[Debit])))+(SUM(IF((CRDJ[Ofc Code]=(TRIM(N$7)))*(CRDJ[Account Code]=(TRIM($D49))),CRDJ[Debit])))+(SUM(IF((GJ[Ofc Code]=(TRIM(N$7)))*(GJ[Account Code]=(TRIM($D49))),GJ[Debit]))))-((SUM(IF((CkDJ[Ofc Code]=(TRIM(N$7)))*(CkDJ[Account Code]=(TRIM($D49))),CkDJ[Credit])))+(SUM(IF((CsDJ[Ofc Code]=(TRIM(N$7)))*(CsDJ[Account Code]=(TRIM($D49))),CsDJ[Credit])))+(SUM(IF((CRDJ[Ofc Code]=(TRIM(N$7)))*(CRDJ[Account Code]=(TRIM($D49))),CRDJ[Credit])))+(SUM(IF((GJ[Ofc Code]=(TRIM(N$7)))*(GJ[Account Code]=(TRIM($D49))),GJ[Credit]))))</f>
        <v>0</v>
      </c>
      <c r="O49" s="211">
        <f t="shared" si="9"/>
        <v>0</v>
      </c>
      <c r="P49" s="211">
        <f t="array" ref="P49">((SUM(IF((CkDJ[Ofc Code]=(TRIM(P$7)))*(CkDJ[Account Code]=(TRIM($D49))),CkDJ[Debit])))+(SUM(IF((CsDJ[Ofc Code]=(TRIM(P$7)))*(CsDJ[Account Code]=(TRIM($D49))),CsDJ[Debit])))+(SUM(IF((CRDJ[Ofc Code]=(TRIM(P$7)))*(CRDJ[Account Code]=(TRIM($D49))),CRDJ[Debit])))+(SUM(IF((GJ[Ofc Code]=(TRIM(P$7)))*(GJ[Account Code]=(TRIM($D49))),GJ[Debit]))))-((SUM(IF((CkDJ[Ofc Code]=(TRIM(P$7)))*(CkDJ[Account Code]=(TRIM($D49))),CkDJ[Credit])))+(SUM(IF((CsDJ[Ofc Code]=(TRIM(P$7)))*(CsDJ[Account Code]=(TRIM($D49))),CsDJ[Credit])))+(SUM(IF((CRDJ[Ofc Code]=(TRIM(P$7)))*(CRDJ[Account Code]=(TRIM($D49))),CRDJ[Credit])))+(SUM(IF((GJ[Ofc Code]=(TRIM(P$7)))*(GJ[Account Code]=(TRIM($D49))),GJ[Credit]))))</f>
        <v>0</v>
      </c>
      <c r="Q49" s="211">
        <f t="array" ref="Q49">((SUM(IF((CkDJ[Ofc Code]=(TRIM(Q$7)))*(CkDJ[Account Code]=(TRIM($D49))),CkDJ[Debit])))+(SUM(IF((CsDJ[Ofc Code]=(TRIM(Q$7)))*(CsDJ[Account Code]=(TRIM($D49))),CsDJ[Debit])))+(SUM(IF((CRDJ[Ofc Code]=(TRIM(Q$7)))*(CRDJ[Account Code]=(TRIM($D49))),CRDJ[Debit])))+(SUM(IF((GJ[Ofc Code]=(TRIM(Q$7)))*(GJ[Account Code]=(TRIM($D49))),GJ[Debit]))))-((SUM(IF((CkDJ[Ofc Code]=(TRIM(Q$7)))*(CkDJ[Account Code]=(TRIM($D49))),CkDJ[Credit])))+(SUM(IF((CsDJ[Ofc Code]=(TRIM(Q$7)))*(CsDJ[Account Code]=(TRIM($D49))),CsDJ[Credit])))+(SUM(IF((CRDJ[Ofc Code]=(TRIM(Q$7)))*(CRDJ[Account Code]=(TRIM($D49))),CRDJ[Credit])))+(SUM(IF((GJ[Ofc Code]=(TRIM(Q$7)))*(GJ[Account Code]=(TRIM($D49))),GJ[Credit]))))</f>
        <v>0</v>
      </c>
      <c r="R49" s="211">
        <f t="array" ref="R49">((SUM(IF((CkDJ[Ofc Code]=(TRIM(R$7)))*(CkDJ[Account Code]=(TRIM($D49))),CkDJ[Debit])))+(SUM(IF((CsDJ[Ofc Code]=(TRIM(R$7)))*(CsDJ[Account Code]=(TRIM($D49))),CsDJ[Debit])))+(SUM(IF((CRDJ[Ofc Code]=(TRIM(R$7)))*(CRDJ[Account Code]=(TRIM($D49))),CRDJ[Debit])))+(SUM(IF((GJ[Ofc Code]=(TRIM(R$7)))*(GJ[Account Code]=(TRIM($D49))),GJ[Debit]))))-((SUM(IF((CkDJ[Ofc Code]=(TRIM(R$7)))*(CkDJ[Account Code]=(TRIM($D49))),CkDJ[Credit])))+(SUM(IF((CsDJ[Ofc Code]=(TRIM(R$7)))*(CsDJ[Account Code]=(TRIM($D49))),CsDJ[Credit])))+(SUM(IF((CRDJ[Ofc Code]=(TRIM(R$7)))*(CRDJ[Account Code]=(TRIM($D49))),CRDJ[Credit])))+(SUM(IF((GJ[Ofc Code]=(TRIM(R$7)))*(GJ[Account Code]=(TRIM($D49))),GJ[Credit]))))</f>
        <v>0</v>
      </c>
      <c r="S49" s="211">
        <f t="array" ref="S49">((SUM(IF((CkDJ[Ofc Code]=(TRIM(S$7)))*(CkDJ[Account Code]=(TRIM($D49))),CkDJ[Debit])))+(SUM(IF((CsDJ[Ofc Code]=(TRIM(S$7)))*(CsDJ[Account Code]=(TRIM($D49))),CsDJ[Debit])))+(SUM(IF((CRDJ[Ofc Code]=(TRIM(S$7)))*(CRDJ[Account Code]=(TRIM($D49))),CRDJ[Debit])))+(SUM(IF((GJ[Ofc Code]=(TRIM(S$7)))*(GJ[Account Code]=(TRIM($D49))),GJ[Debit]))))-((SUM(IF((CkDJ[Ofc Code]=(TRIM(S$7)))*(CkDJ[Account Code]=(TRIM($D49))),CkDJ[Credit])))+(SUM(IF((CsDJ[Ofc Code]=(TRIM(S$7)))*(CsDJ[Account Code]=(TRIM($D49))),CsDJ[Credit])))+(SUM(IF((CRDJ[Ofc Code]=(TRIM(S$7)))*(CRDJ[Account Code]=(TRIM($D49))),CRDJ[Credit])))+(SUM(IF((GJ[Ofc Code]=(TRIM(S$7)))*(GJ[Account Code]=(TRIM($D49))),GJ[Credit]))))</f>
        <v>0</v>
      </c>
      <c r="T49" s="211">
        <f t="array" ref="T49">((SUM(IF((CkDJ[Ofc Code]=(TRIM(T$7)))*(CkDJ[Account Code]=(TRIM($D49))),CkDJ[Debit])))+(SUM(IF((CsDJ[Ofc Code]=(TRIM(T$7)))*(CsDJ[Account Code]=(TRIM($D49))),CsDJ[Debit])))+(SUM(IF((CRDJ[Ofc Code]=(TRIM(T$7)))*(CRDJ[Account Code]=(TRIM($D49))),CRDJ[Debit])))+(SUM(IF((GJ[Ofc Code]=(TRIM(T$7)))*(GJ[Account Code]=(TRIM($D49))),GJ[Debit]))))-((SUM(IF((CkDJ[Ofc Code]=(TRIM(T$7)))*(CkDJ[Account Code]=(TRIM($D49))),CkDJ[Credit])))+(SUM(IF((CsDJ[Ofc Code]=(TRIM(T$7)))*(CsDJ[Account Code]=(TRIM($D49))),CsDJ[Credit])))+(SUM(IF((CRDJ[Ofc Code]=(TRIM(T$7)))*(CRDJ[Account Code]=(TRIM($D49))),CRDJ[Credit])))+(SUM(IF((GJ[Ofc Code]=(TRIM(T$7)))*(GJ[Account Code]=(TRIM($D49))),GJ[Credit]))))</f>
        <v>0</v>
      </c>
      <c r="U49" s="211">
        <f t="shared" si="10"/>
        <v>0</v>
      </c>
      <c r="V49" s="211">
        <f t="shared" si="11"/>
        <v>0</v>
      </c>
    </row>
    <row r="50" spans="1:22" ht="15">
      <c r="A50" s="212">
        <f t="shared" si="12"/>
        <v>13</v>
      </c>
      <c r="B50" s="214" t="s">
        <v>756</v>
      </c>
      <c r="C50" s="194" t="str">
        <f t="shared" si="7"/>
        <v>Honoraria</v>
      </c>
      <c r="D50" s="215">
        <v>720</v>
      </c>
      <c r="E50" s="211">
        <f t="array" ref="E50">((SUM(IF((CkDJ[Ofc Code]=(TRIM(E$7)))*(CkDJ[Account Code]=(TRIM($D50))),CkDJ[Debit])))+(SUM(IF((CsDJ[Ofc Code]=(TRIM(E$7)))*(CsDJ[Account Code]=(TRIM($D50))),CsDJ[Debit])))+(SUM(IF((CRDJ[Ofc Code]=(TRIM(E$7)))*(CRDJ[Account Code]=(TRIM($D50))),CRDJ[Debit])))+(SUM(IF((GJ[Ofc Code]=(TRIM(E$7)))*(GJ[Account Code]=(TRIM($D50))),GJ[Debit]))))-((SUM(IF((CkDJ[Ofc Code]=(TRIM(E$7)))*(CkDJ[Account Code]=(TRIM($D50))),CkDJ[Credit])))+(SUM(IF((CsDJ[Ofc Code]=(TRIM(E$7)))*(CsDJ[Account Code]=(TRIM($D50))),CsDJ[Credit])))+(SUM(IF((CRDJ[Ofc Code]=(TRIM(E$7)))*(CRDJ[Account Code]=(TRIM($D50))),CRDJ[Credit])))+(SUM(IF((GJ[Ofc Code]=(TRIM(E$7)))*(GJ[Account Code]=(TRIM($D50))),GJ[Credit]))))</f>
        <v>0</v>
      </c>
      <c r="F50" s="211">
        <f t="array" ref="F50">((SUM(IF((CkDJ[Ofc Code]=(TRIM(F$7)))*(CkDJ[Account Code]=(TRIM($D50))),CkDJ[Debit])))+(SUM(IF((CsDJ[Ofc Code]=(TRIM(F$7)))*(CsDJ[Account Code]=(TRIM($D50))),CsDJ[Debit])))+(SUM(IF((CRDJ[Ofc Code]=(TRIM(F$7)))*(CRDJ[Account Code]=(TRIM($D50))),CRDJ[Debit])))+(SUM(IF((GJ[Ofc Code]=(TRIM(F$7)))*(GJ[Account Code]=(TRIM($D50))),GJ[Debit]))))-((SUM(IF((CkDJ[Ofc Code]=(TRIM(F$7)))*(CkDJ[Account Code]=(TRIM($D50))),CkDJ[Credit])))+(SUM(IF((CsDJ[Ofc Code]=(TRIM(F$7)))*(CsDJ[Account Code]=(TRIM($D50))),CsDJ[Credit])))+(SUM(IF((CRDJ[Ofc Code]=(TRIM(F$7)))*(CRDJ[Account Code]=(TRIM($D50))),CRDJ[Credit])))+(SUM(IF((GJ[Ofc Code]=(TRIM(F$7)))*(GJ[Account Code]=(TRIM($D50))),GJ[Credit]))))</f>
        <v>0</v>
      </c>
      <c r="G50" s="211">
        <f t="array" ref="G50">((SUM(IF((CkDJ[Ofc Code]=(TRIM(G$7)))*(CkDJ[Account Code]=(TRIM($D50))),CkDJ[Debit])))+(SUM(IF((CsDJ[Ofc Code]=(TRIM(G$7)))*(CsDJ[Account Code]=(TRIM($D50))),CsDJ[Debit])))+(SUM(IF((CRDJ[Ofc Code]=(TRIM(G$7)))*(CRDJ[Account Code]=(TRIM($D50))),CRDJ[Debit])))+(SUM(IF((GJ[Ofc Code]=(TRIM(G$7)))*(GJ[Account Code]=(TRIM($D50))),GJ[Debit]))))-((SUM(IF((CkDJ[Ofc Code]=(TRIM(G$7)))*(CkDJ[Account Code]=(TRIM($D50))),CkDJ[Credit])))+(SUM(IF((CsDJ[Ofc Code]=(TRIM(G$7)))*(CsDJ[Account Code]=(TRIM($D50))),CsDJ[Credit])))+(SUM(IF((CRDJ[Ofc Code]=(TRIM(G$7)))*(CRDJ[Account Code]=(TRIM($D50))),CRDJ[Credit])))+(SUM(IF((GJ[Ofc Code]=(TRIM(G$7)))*(GJ[Account Code]=(TRIM($D50))),GJ[Credit]))))</f>
        <v>0</v>
      </c>
      <c r="H50" s="211">
        <f t="array" ref="H50">((SUM(IF((CkDJ[Ofc Code]=(TRIM(H$7)))*(CkDJ[Account Code]=(TRIM($D50))),CkDJ[Debit])))+(SUM(IF((CsDJ[Ofc Code]=(TRIM(H$7)))*(CsDJ[Account Code]=(TRIM($D50))),CsDJ[Debit])))+(SUM(IF((CRDJ[Ofc Code]=(TRIM(H$7)))*(CRDJ[Account Code]=(TRIM($D50))),CRDJ[Debit])))+(SUM(IF((GJ[Ofc Code]=(TRIM(H$7)))*(GJ[Account Code]=(TRIM($D50))),GJ[Debit]))))-((SUM(IF((CkDJ[Ofc Code]=(TRIM(H$7)))*(CkDJ[Account Code]=(TRIM($D50))),CkDJ[Credit])))+(SUM(IF((CsDJ[Ofc Code]=(TRIM(H$7)))*(CsDJ[Account Code]=(TRIM($D50))),CsDJ[Credit])))+(SUM(IF((CRDJ[Ofc Code]=(TRIM(H$7)))*(CRDJ[Account Code]=(TRIM($D50))),CRDJ[Credit])))+(SUM(IF((GJ[Ofc Code]=(TRIM(H$7)))*(GJ[Account Code]=(TRIM($D50))),GJ[Credit]))))</f>
        <v>0</v>
      </c>
      <c r="I50" s="211">
        <f t="array" ref="I50">((SUM(IF((CkDJ[Ofc Code]=(TRIM(I$7)))*(CkDJ[Account Code]=(TRIM($D50))),CkDJ[Debit])))+(SUM(IF((CsDJ[Ofc Code]=(TRIM(I$7)))*(CsDJ[Account Code]=(TRIM($D50))),CsDJ[Debit])))+(SUM(IF((CRDJ[Ofc Code]=(TRIM(I$7)))*(CRDJ[Account Code]=(TRIM($D50))),CRDJ[Debit])))+(SUM(IF((GJ[Ofc Code]=(TRIM(I$7)))*(GJ[Account Code]=(TRIM($D50))),GJ[Debit]))))-((SUM(IF((CkDJ[Ofc Code]=(TRIM(I$7)))*(CkDJ[Account Code]=(TRIM($D50))),CkDJ[Credit])))+(SUM(IF((CsDJ[Ofc Code]=(TRIM(I$7)))*(CsDJ[Account Code]=(TRIM($D50))),CsDJ[Credit])))+(SUM(IF((CRDJ[Ofc Code]=(TRIM(I$7)))*(CRDJ[Account Code]=(TRIM($D50))),CRDJ[Credit])))+(SUM(IF((GJ[Ofc Code]=(TRIM(I$7)))*(GJ[Account Code]=(TRIM($D50))),GJ[Credit]))))</f>
        <v>0</v>
      </c>
      <c r="J50" s="211">
        <f t="shared" si="8"/>
        <v>0</v>
      </c>
      <c r="K50" s="211">
        <f t="array" ref="K50">((SUM(IF((CkDJ[Ofc Code]=(TRIM(K$7)))*(CkDJ[Account Code]=(TRIM($D50))),CkDJ[Debit])))+(SUM(IF((CsDJ[Ofc Code]=(TRIM(K$7)))*(CsDJ[Account Code]=(TRIM($D50))),CsDJ[Debit])))+(SUM(IF((CRDJ[Ofc Code]=(TRIM(K$7)))*(CRDJ[Account Code]=(TRIM($D50))),CRDJ[Debit])))+(SUM(IF((GJ[Ofc Code]=(TRIM(K$7)))*(GJ[Account Code]=(TRIM($D50))),GJ[Debit]))))-((SUM(IF((CkDJ[Ofc Code]=(TRIM(K$7)))*(CkDJ[Account Code]=(TRIM($D50))),CkDJ[Credit])))+(SUM(IF((CsDJ[Ofc Code]=(TRIM(K$7)))*(CsDJ[Account Code]=(TRIM($D50))),CsDJ[Credit])))+(SUM(IF((CRDJ[Ofc Code]=(TRIM(K$7)))*(CRDJ[Account Code]=(TRIM($D50))),CRDJ[Credit])))+(SUM(IF((GJ[Ofc Code]=(TRIM(K$7)))*(GJ[Account Code]=(TRIM($D50))),GJ[Credit]))))</f>
        <v>0</v>
      </c>
      <c r="L50" s="211">
        <f t="array" ref="L50">((SUM(IF((CkDJ[Ofc Code]=(TRIM(L$7)))*(CkDJ[Account Code]=(TRIM($D50))),CkDJ[Debit])))+(SUM(IF((CsDJ[Ofc Code]=(TRIM(L$7)))*(CsDJ[Account Code]=(TRIM($D50))),CsDJ[Debit])))+(SUM(IF((CRDJ[Ofc Code]=(TRIM(L$7)))*(CRDJ[Account Code]=(TRIM($D50))),CRDJ[Debit])))+(SUM(IF((GJ[Ofc Code]=(TRIM(L$7)))*(GJ[Account Code]=(TRIM($D50))),GJ[Debit]))))-((SUM(IF((CkDJ[Ofc Code]=(TRIM(L$7)))*(CkDJ[Account Code]=(TRIM($D50))),CkDJ[Credit])))+(SUM(IF((CsDJ[Ofc Code]=(TRIM(L$7)))*(CsDJ[Account Code]=(TRIM($D50))),CsDJ[Credit])))+(SUM(IF((CRDJ[Ofc Code]=(TRIM(L$7)))*(CRDJ[Account Code]=(TRIM($D50))),CRDJ[Credit])))+(SUM(IF((GJ[Ofc Code]=(TRIM(L$7)))*(GJ[Account Code]=(TRIM($D50))),GJ[Credit]))))</f>
        <v>0</v>
      </c>
      <c r="M50" s="211">
        <f t="array" ref="M50">((SUM(IF((CkDJ[Ofc Code]=(TRIM(M$7)))*(CkDJ[Account Code]=(TRIM($D50))),CkDJ[Debit])))+(SUM(IF((CsDJ[Ofc Code]=(TRIM(M$7)))*(CsDJ[Account Code]=(TRIM($D50))),CsDJ[Debit])))+(SUM(IF((CRDJ[Ofc Code]=(TRIM(M$7)))*(CRDJ[Account Code]=(TRIM($D50))),CRDJ[Debit])))+(SUM(IF((GJ[Ofc Code]=(TRIM(M$7)))*(GJ[Account Code]=(TRIM($D50))),GJ[Debit]))))-((SUM(IF((CkDJ[Ofc Code]=(TRIM(M$7)))*(CkDJ[Account Code]=(TRIM($D50))),CkDJ[Credit])))+(SUM(IF((CsDJ[Ofc Code]=(TRIM(M$7)))*(CsDJ[Account Code]=(TRIM($D50))),CsDJ[Credit])))+(SUM(IF((CRDJ[Ofc Code]=(TRIM(M$7)))*(CRDJ[Account Code]=(TRIM($D50))),CRDJ[Credit])))+(SUM(IF((GJ[Ofc Code]=(TRIM(M$7)))*(GJ[Account Code]=(TRIM($D50))),GJ[Credit]))))</f>
        <v>0</v>
      </c>
      <c r="N50" s="211">
        <f t="array" ref="N50">((SUM(IF((CkDJ[Ofc Code]=(TRIM(N$7)))*(CkDJ[Account Code]=(TRIM($D50))),CkDJ[Debit])))+(SUM(IF((CsDJ[Ofc Code]=(TRIM(N$7)))*(CsDJ[Account Code]=(TRIM($D50))),CsDJ[Debit])))+(SUM(IF((CRDJ[Ofc Code]=(TRIM(N$7)))*(CRDJ[Account Code]=(TRIM($D50))),CRDJ[Debit])))+(SUM(IF((GJ[Ofc Code]=(TRIM(N$7)))*(GJ[Account Code]=(TRIM($D50))),GJ[Debit]))))-((SUM(IF((CkDJ[Ofc Code]=(TRIM(N$7)))*(CkDJ[Account Code]=(TRIM($D50))),CkDJ[Credit])))+(SUM(IF((CsDJ[Ofc Code]=(TRIM(N$7)))*(CsDJ[Account Code]=(TRIM($D50))),CsDJ[Credit])))+(SUM(IF((CRDJ[Ofc Code]=(TRIM(N$7)))*(CRDJ[Account Code]=(TRIM($D50))),CRDJ[Credit])))+(SUM(IF((GJ[Ofc Code]=(TRIM(N$7)))*(GJ[Account Code]=(TRIM($D50))),GJ[Credit]))))</f>
        <v>0</v>
      </c>
      <c r="O50" s="211">
        <f t="shared" si="9"/>
        <v>0</v>
      </c>
      <c r="P50" s="211">
        <f t="array" ref="P50">((SUM(IF((CkDJ[Ofc Code]=(TRIM(P$7)))*(CkDJ[Account Code]=(TRIM($D50))),CkDJ[Debit])))+(SUM(IF((CsDJ[Ofc Code]=(TRIM(P$7)))*(CsDJ[Account Code]=(TRIM($D50))),CsDJ[Debit])))+(SUM(IF((CRDJ[Ofc Code]=(TRIM(P$7)))*(CRDJ[Account Code]=(TRIM($D50))),CRDJ[Debit])))+(SUM(IF((GJ[Ofc Code]=(TRIM(P$7)))*(GJ[Account Code]=(TRIM($D50))),GJ[Debit]))))-((SUM(IF((CkDJ[Ofc Code]=(TRIM(P$7)))*(CkDJ[Account Code]=(TRIM($D50))),CkDJ[Credit])))+(SUM(IF((CsDJ[Ofc Code]=(TRIM(P$7)))*(CsDJ[Account Code]=(TRIM($D50))),CsDJ[Credit])))+(SUM(IF((CRDJ[Ofc Code]=(TRIM(P$7)))*(CRDJ[Account Code]=(TRIM($D50))),CRDJ[Credit])))+(SUM(IF((GJ[Ofc Code]=(TRIM(P$7)))*(GJ[Account Code]=(TRIM($D50))),GJ[Credit]))))</f>
        <v>0</v>
      </c>
      <c r="Q50" s="211">
        <f t="array" ref="Q50">((SUM(IF((CkDJ[Ofc Code]=(TRIM(Q$7)))*(CkDJ[Account Code]=(TRIM($D50))),CkDJ[Debit])))+(SUM(IF((CsDJ[Ofc Code]=(TRIM(Q$7)))*(CsDJ[Account Code]=(TRIM($D50))),CsDJ[Debit])))+(SUM(IF((CRDJ[Ofc Code]=(TRIM(Q$7)))*(CRDJ[Account Code]=(TRIM($D50))),CRDJ[Debit])))+(SUM(IF((GJ[Ofc Code]=(TRIM(Q$7)))*(GJ[Account Code]=(TRIM($D50))),GJ[Debit]))))-((SUM(IF((CkDJ[Ofc Code]=(TRIM(Q$7)))*(CkDJ[Account Code]=(TRIM($D50))),CkDJ[Credit])))+(SUM(IF((CsDJ[Ofc Code]=(TRIM(Q$7)))*(CsDJ[Account Code]=(TRIM($D50))),CsDJ[Credit])))+(SUM(IF((CRDJ[Ofc Code]=(TRIM(Q$7)))*(CRDJ[Account Code]=(TRIM($D50))),CRDJ[Credit])))+(SUM(IF((GJ[Ofc Code]=(TRIM(Q$7)))*(GJ[Account Code]=(TRIM($D50))),GJ[Credit]))))</f>
        <v>0</v>
      </c>
      <c r="R50" s="211">
        <f t="array" ref="R50">((SUM(IF((CkDJ[Ofc Code]=(TRIM(R$7)))*(CkDJ[Account Code]=(TRIM($D50))),CkDJ[Debit])))+(SUM(IF((CsDJ[Ofc Code]=(TRIM(R$7)))*(CsDJ[Account Code]=(TRIM($D50))),CsDJ[Debit])))+(SUM(IF((CRDJ[Ofc Code]=(TRIM(R$7)))*(CRDJ[Account Code]=(TRIM($D50))),CRDJ[Debit])))+(SUM(IF((GJ[Ofc Code]=(TRIM(R$7)))*(GJ[Account Code]=(TRIM($D50))),GJ[Debit]))))-((SUM(IF((CkDJ[Ofc Code]=(TRIM(R$7)))*(CkDJ[Account Code]=(TRIM($D50))),CkDJ[Credit])))+(SUM(IF((CsDJ[Ofc Code]=(TRIM(R$7)))*(CsDJ[Account Code]=(TRIM($D50))),CsDJ[Credit])))+(SUM(IF((CRDJ[Ofc Code]=(TRIM(R$7)))*(CRDJ[Account Code]=(TRIM($D50))),CRDJ[Credit])))+(SUM(IF((GJ[Ofc Code]=(TRIM(R$7)))*(GJ[Account Code]=(TRIM($D50))),GJ[Credit]))))</f>
        <v>0</v>
      </c>
      <c r="S50" s="211">
        <f t="array" ref="S50">((SUM(IF((CkDJ[Ofc Code]=(TRIM(S$7)))*(CkDJ[Account Code]=(TRIM($D50))),CkDJ[Debit])))+(SUM(IF((CsDJ[Ofc Code]=(TRIM(S$7)))*(CsDJ[Account Code]=(TRIM($D50))),CsDJ[Debit])))+(SUM(IF((CRDJ[Ofc Code]=(TRIM(S$7)))*(CRDJ[Account Code]=(TRIM($D50))),CRDJ[Debit])))+(SUM(IF((GJ[Ofc Code]=(TRIM(S$7)))*(GJ[Account Code]=(TRIM($D50))),GJ[Debit]))))-((SUM(IF((CkDJ[Ofc Code]=(TRIM(S$7)))*(CkDJ[Account Code]=(TRIM($D50))),CkDJ[Credit])))+(SUM(IF((CsDJ[Ofc Code]=(TRIM(S$7)))*(CsDJ[Account Code]=(TRIM($D50))),CsDJ[Credit])))+(SUM(IF((CRDJ[Ofc Code]=(TRIM(S$7)))*(CRDJ[Account Code]=(TRIM($D50))),CRDJ[Credit])))+(SUM(IF((GJ[Ofc Code]=(TRIM(S$7)))*(GJ[Account Code]=(TRIM($D50))),GJ[Credit]))))</f>
        <v>0</v>
      </c>
      <c r="T50" s="211">
        <f t="array" ref="T50">((SUM(IF((CkDJ[Ofc Code]=(TRIM(T$7)))*(CkDJ[Account Code]=(TRIM($D50))),CkDJ[Debit])))+(SUM(IF((CsDJ[Ofc Code]=(TRIM(T$7)))*(CsDJ[Account Code]=(TRIM($D50))),CsDJ[Debit])))+(SUM(IF((CRDJ[Ofc Code]=(TRIM(T$7)))*(CRDJ[Account Code]=(TRIM($D50))),CRDJ[Debit])))+(SUM(IF((GJ[Ofc Code]=(TRIM(T$7)))*(GJ[Account Code]=(TRIM($D50))),GJ[Debit]))))-((SUM(IF((CkDJ[Ofc Code]=(TRIM(T$7)))*(CkDJ[Account Code]=(TRIM($D50))),CkDJ[Credit])))+(SUM(IF((CsDJ[Ofc Code]=(TRIM(T$7)))*(CsDJ[Account Code]=(TRIM($D50))),CsDJ[Credit])))+(SUM(IF((CRDJ[Ofc Code]=(TRIM(T$7)))*(CRDJ[Account Code]=(TRIM($D50))),CRDJ[Credit])))+(SUM(IF((GJ[Ofc Code]=(TRIM(T$7)))*(GJ[Account Code]=(TRIM($D50))),GJ[Credit]))))</f>
        <v>0</v>
      </c>
      <c r="U50" s="211">
        <f t="shared" si="10"/>
        <v>0</v>
      </c>
      <c r="V50" s="211">
        <f t="shared" si="11"/>
        <v>0</v>
      </c>
    </row>
    <row r="51" spans="1:22" ht="15">
      <c r="A51" s="212">
        <f t="shared" si="12"/>
        <v>14</v>
      </c>
      <c r="B51" s="214" t="s">
        <v>756</v>
      </c>
      <c r="C51" s="194" t="str">
        <f t="shared" si="7"/>
        <v>Longevity Pay</v>
      </c>
      <c r="D51" s="215">
        <v>722</v>
      </c>
      <c r="E51" s="211">
        <f t="array" ref="E51">((SUM(IF((CkDJ[Ofc Code]=(TRIM(E$7)))*(CkDJ[Account Code]=(TRIM($D51))),CkDJ[Debit])))+(SUM(IF((CsDJ[Ofc Code]=(TRIM(E$7)))*(CsDJ[Account Code]=(TRIM($D51))),CsDJ[Debit])))+(SUM(IF((CRDJ[Ofc Code]=(TRIM(E$7)))*(CRDJ[Account Code]=(TRIM($D51))),CRDJ[Debit])))+(SUM(IF((GJ[Ofc Code]=(TRIM(E$7)))*(GJ[Account Code]=(TRIM($D51))),GJ[Debit]))))-((SUM(IF((CkDJ[Ofc Code]=(TRIM(E$7)))*(CkDJ[Account Code]=(TRIM($D51))),CkDJ[Credit])))+(SUM(IF((CsDJ[Ofc Code]=(TRIM(E$7)))*(CsDJ[Account Code]=(TRIM($D51))),CsDJ[Credit])))+(SUM(IF((CRDJ[Ofc Code]=(TRIM(E$7)))*(CRDJ[Account Code]=(TRIM($D51))),CRDJ[Credit])))+(SUM(IF((GJ[Ofc Code]=(TRIM(E$7)))*(GJ[Account Code]=(TRIM($D51))),GJ[Credit]))))</f>
        <v>0</v>
      </c>
      <c r="F51" s="211">
        <f t="array" ref="F51">((SUM(IF((CkDJ[Ofc Code]=(TRIM(F$7)))*(CkDJ[Account Code]=(TRIM($D51))),CkDJ[Debit])))+(SUM(IF((CsDJ[Ofc Code]=(TRIM(F$7)))*(CsDJ[Account Code]=(TRIM($D51))),CsDJ[Debit])))+(SUM(IF((CRDJ[Ofc Code]=(TRIM(F$7)))*(CRDJ[Account Code]=(TRIM($D51))),CRDJ[Debit])))+(SUM(IF((GJ[Ofc Code]=(TRIM(F$7)))*(GJ[Account Code]=(TRIM($D51))),GJ[Debit]))))-((SUM(IF((CkDJ[Ofc Code]=(TRIM(F$7)))*(CkDJ[Account Code]=(TRIM($D51))),CkDJ[Credit])))+(SUM(IF((CsDJ[Ofc Code]=(TRIM(F$7)))*(CsDJ[Account Code]=(TRIM($D51))),CsDJ[Credit])))+(SUM(IF((CRDJ[Ofc Code]=(TRIM(F$7)))*(CRDJ[Account Code]=(TRIM($D51))),CRDJ[Credit])))+(SUM(IF((GJ[Ofc Code]=(TRIM(F$7)))*(GJ[Account Code]=(TRIM($D51))),GJ[Credit]))))</f>
        <v>0</v>
      </c>
      <c r="G51" s="211">
        <f t="array" ref="G51">((SUM(IF((CkDJ[Ofc Code]=(TRIM(G$7)))*(CkDJ[Account Code]=(TRIM($D51))),CkDJ[Debit])))+(SUM(IF((CsDJ[Ofc Code]=(TRIM(G$7)))*(CsDJ[Account Code]=(TRIM($D51))),CsDJ[Debit])))+(SUM(IF((CRDJ[Ofc Code]=(TRIM(G$7)))*(CRDJ[Account Code]=(TRIM($D51))),CRDJ[Debit])))+(SUM(IF((GJ[Ofc Code]=(TRIM(G$7)))*(GJ[Account Code]=(TRIM($D51))),GJ[Debit]))))-((SUM(IF((CkDJ[Ofc Code]=(TRIM(G$7)))*(CkDJ[Account Code]=(TRIM($D51))),CkDJ[Credit])))+(SUM(IF((CsDJ[Ofc Code]=(TRIM(G$7)))*(CsDJ[Account Code]=(TRIM($D51))),CsDJ[Credit])))+(SUM(IF((CRDJ[Ofc Code]=(TRIM(G$7)))*(CRDJ[Account Code]=(TRIM($D51))),CRDJ[Credit])))+(SUM(IF((GJ[Ofc Code]=(TRIM(G$7)))*(GJ[Account Code]=(TRIM($D51))),GJ[Credit]))))</f>
        <v>0</v>
      </c>
      <c r="H51" s="211">
        <f t="array" ref="H51">((SUM(IF((CkDJ[Ofc Code]=(TRIM(H$7)))*(CkDJ[Account Code]=(TRIM($D51))),CkDJ[Debit])))+(SUM(IF((CsDJ[Ofc Code]=(TRIM(H$7)))*(CsDJ[Account Code]=(TRIM($D51))),CsDJ[Debit])))+(SUM(IF((CRDJ[Ofc Code]=(TRIM(H$7)))*(CRDJ[Account Code]=(TRIM($D51))),CRDJ[Debit])))+(SUM(IF((GJ[Ofc Code]=(TRIM(H$7)))*(GJ[Account Code]=(TRIM($D51))),GJ[Debit]))))-((SUM(IF((CkDJ[Ofc Code]=(TRIM(H$7)))*(CkDJ[Account Code]=(TRIM($D51))),CkDJ[Credit])))+(SUM(IF((CsDJ[Ofc Code]=(TRIM(H$7)))*(CsDJ[Account Code]=(TRIM($D51))),CsDJ[Credit])))+(SUM(IF((CRDJ[Ofc Code]=(TRIM(H$7)))*(CRDJ[Account Code]=(TRIM($D51))),CRDJ[Credit])))+(SUM(IF((GJ[Ofc Code]=(TRIM(H$7)))*(GJ[Account Code]=(TRIM($D51))),GJ[Credit]))))</f>
        <v>0</v>
      </c>
      <c r="I51" s="211">
        <f t="array" ref="I51">((SUM(IF((CkDJ[Ofc Code]=(TRIM(I$7)))*(CkDJ[Account Code]=(TRIM($D51))),CkDJ[Debit])))+(SUM(IF((CsDJ[Ofc Code]=(TRIM(I$7)))*(CsDJ[Account Code]=(TRIM($D51))),CsDJ[Debit])))+(SUM(IF((CRDJ[Ofc Code]=(TRIM(I$7)))*(CRDJ[Account Code]=(TRIM($D51))),CRDJ[Debit])))+(SUM(IF((GJ[Ofc Code]=(TRIM(I$7)))*(GJ[Account Code]=(TRIM($D51))),GJ[Debit]))))-((SUM(IF((CkDJ[Ofc Code]=(TRIM(I$7)))*(CkDJ[Account Code]=(TRIM($D51))),CkDJ[Credit])))+(SUM(IF((CsDJ[Ofc Code]=(TRIM(I$7)))*(CsDJ[Account Code]=(TRIM($D51))),CsDJ[Credit])))+(SUM(IF((CRDJ[Ofc Code]=(TRIM(I$7)))*(CRDJ[Account Code]=(TRIM($D51))),CRDJ[Credit])))+(SUM(IF((GJ[Ofc Code]=(TRIM(I$7)))*(GJ[Account Code]=(TRIM($D51))),GJ[Credit]))))</f>
        <v>0</v>
      </c>
      <c r="J51" s="211">
        <f t="shared" si="8"/>
        <v>0</v>
      </c>
      <c r="K51" s="211">
        <f t="array" ref="K51">((SUM(IF((CkDJ[Ofc Code]=(TRIM(K$7)))*(CkDJ[Account Code]=(TRIM($D51))),CkDJ[Debit])))+(SUM(IF((CsDJ[Ofc Code]=(TRIM(K$7)))*(CsDJ[Account Code]=(TRIM($D51))),CsDJ[Debit])))+(SUM(IF((CRDJ[Ofc Code]=(TRIM(K$7)))*(CRDJ[Account Code]=(TRIM($D51))),CRDJ[Debit])))+(SUM(IF((GJ[Ofc Code]=(TRIM(K$7)))*(GJ[Account Code]=(TRIM($D51))),GJ[Debit]))))-((SUM(IF((CkDJ[Ofc Code]=(TRIM(K$7)))*(CkDJ[Account Code]=(TRIM($D51))),CkDJ[Credit])))+(SUM(IF((CsDJ[Ofc Code]=(TRIM(K$7)))*(CsDJ[Account Code]=(TRIM($D51))),CsDJ[Credit])))+(SUM(IF((CRDJ[Ofc Code]=(TRIM(K$7)))*(CRDJ[Account Code]=(TRIM($D51))),CRDJ[Credit])))+(SUM(IF((GJ[Ofc Code]=(TRIM(K$7)))*(GJ[Account Code]=(TRIM($D51))),GJ[Credit]))))</f>
        <v>0</v>
      </c>
      <c r="L51" s="211">
        <f t="array" ref="L51">((SUM(IF((CkDJ[Ofc Code]=(TRIM(L$7)))*(CkDJ[Account Code]=(TRIM($D51))),CkDJ[Debit])))+(SUM(IF((CsDJ[Ofc Code]=(TRIM(L$7)))*(CsDJ[Account Code]=(TRIM($D51))),CsDJ[Debit])))+(SUM(IF((CRDJ[Ofc Code]=(TRIM(L$7)))*(CRDJ[Account Code]=(TRIM($D51))),CRDJ[Debit])))+(SUM(IF((GJ[Ofc Code]=(TRIM(L$7)))*(GJ[Account Code]=(TRIM($D51))),GJ[Debit]))))-((SUM(IF((CkDJ[Ofc Code]=(TRIM(L$7)))*(CkDJ[Account Code]=(TRIM($D51))),CkDJ[Credit])))+(SUM(IF((CsDJ[Ofc Code]=(TRIM(L$7)))*(CsDJ[Account Code]=(TRIM($D51))),CsDJ[Credit])))+(SUM(IF((CRDJ[Ofc Code]=(TRIM(L$7)))*(CRDJ[Account Code]=(TRIM($D51))),CRDJ[Credit])))+(SUM(IF((GJ[Ofc Code]=(TRIM(L$7)))*(GJ[Account Code]=(TRIM($D51))),GJ[Credit]))))</f>
        <v>0</v>
      </c>
      <c r="M51" s="211">
        <f t="array" ref="M51">((SUM(IF((CkDJ[Ofc Code]=(TRIM(M$7)))*(CkDJ[Account Code]=(TRIM($D51))),CkDJ[Debit])))+(SUM(IF((CsDJ[Ofc Code]=(TRIM(M$7)))*(CsDJ[Account Code]=(TRIM($D51))),CsDJ[Debit])))+(SUM(IF((CRDJ[Ofc Code]=(TRIM(M$7)))*(CRDJ[Account Code]=(TRIM($D51))),CRDJ[Debit])))+(SUM(IF((GJ[Ofc Code]=(TRIM(M$7)))*(GJ[Account Code]=(TRIM($D51))),GJ[Debit]))))-((SUM(IF((CkDJ[Ofc Code]=(TRIM(M$7)))*(CkDJ[Account Code]=(TRIM($D51))),CkDJ[Credit])))+(SUM(IF((CsDJ[Ofc Code]=(TRIM(M$7)))*(CsDJ[Account Code]=(TRIM($D51))),CsDJ[Credit])))+(SUM(IF((CRDJ[Ofc Code]=(TRIM(M$7)))*(CRDJ[Account Code]=(TRIM($D51))),CRDJ[Credit])))+(SUM(IF((GJ[Ofc Code]=(TRIM(M$7)))*(GJ[Account Code]=(TRIM($D51))),GJ[Credit]))))</f>
        <v>0</v>
      </c>
      <c r="N51" s="211">
        <f t="array" ref="N51">((SUM(IF((CkDJ[Ofc Code]=(TRIM(N$7)))*(CkDJ[Account Code]=(TRIM($D51))),CkDJ[Debit])))+(SUM(IF((CsDJ[Ofc Code]=(TRIM(N$7)))*(CsDJ[Account Code]=(TRIM($D51))),CsDJ[Debit])))+(SUM(IF((CRDJ[Ofc Code]=(TRIM(N$7)))*(CRDJ[Account Code]=(TRIM($D51))),CRDJ[Debit])))+(SUM(IF((GJ[Ofc Code]=(TRIM(N$7)))*(GJ[Account Code]=(TRIM($D51))),GJ[Debit]))))-((SUM(IF((CkDJ[Ofc Code]=(TRIM(N$7)))*(CkDJ[Account Code]=(TRIM($D51))),CkDJ[Credit])))+(SUM(IF((CsDJ[Ofc Code]=(TRIM(N$7)))*(CsDJ[Account Code]=(TRIM($D51))),CsDJ[Credit])))+(SUM(IF((CRDJ[Ofc Code]=(TRIM(N$7)))*(CRDJ[Account Code]=(TRIM($D51))),CRDJ[Credit])))+(SUM(IF((GJ[Ofc Code]=(TRIM(N$7)))*(GJ[Account Code]=(TRIM($D51))),GJ[Credit]))))</f>
        <v>0</v>
      </c>
      <c r="O51" s="211">
        <f t="shared" si="9"/>
        <v>0</v>
      </c>
      <c r="P51" s="211">
        <f t="array" ref="P51">((SUM(IF((CkDJ[Ofc Code]=(TRIM(P$7)))*(CkDJ[Account Code]=(TRIM($D51))),CkDJ[Debit])))+(SUM(IF((CsDJ[Ofc Code]=(TRIM(P$7)))*(CsDJ[Account Code]=(TRIM($D51))),CsDJ[Debit])))+(SUM(IF((CRDJ[Ofc Code]=(TRIM(P$7)))*(CRDJ[Account Code]=(TRIM($D51))),CRDJ[Debit])))+(SUM(IF((GJ[Ofc Code]=(TRIM(P$7)))*(GJ[Account Code]=(TRIM($D51))),GJ[Debit]))))-((SUM(IF((CkDJ[Ofc Code]=(TRIM(P$7)))*(CkDJ[Account Code]=(TRIM($D51))),CkDJ[Credit])))+(SUM(IF((CsDJ[Ofc Code]=(TRIM(P$7)))*(CsDJ[Account Code]=(TRIM($D51))),CsDJ[Credit])))+(SUM(IF((CRDJ[Ofc Code]=(TRIM(P$7)))*(CRDJ[Account Code]=(TRIM($D51))),CRDJ[Credit])))+(SUM(IF((GJ[Ofc Code]=(TRIM(P$7)))*(GJ[Account Code]=(TRIM($D51))),GJ[Credit]))))</f>
        <v>0</v>
      </c>
      <c r="Q51" s="211">
        <f t="array" ref="Q51">((SUM(IF((CkDJ[Ofc Code]=(TRIM(Q$7)))*(CkDJ[Account Code]=(TRIM($D51))),CkDJ[Debit])))+(SUM(IF((CsDJ[Ofc Code]=(TRIM(Q$7)))*(CsDJ[Account Code]=(TRIM($D51))),CsDJ[Debit])))+(SUM(IF((CRDJ[Ofc Code]=(TRIM(Q$7)))*(CRDJ[Account Code]=(TRIM($D51))),CRDJ[Debit])))+(SUM(IF((GJ[Ofc Code]=(TRIM(Q$7)))*(GJ[Account Code]=(TRIM($D51))),GJ[Debit]))))-((SUM(IF((CkDJ[Ofc Code]=(TRIM(Q$7)))*(CkDJ[Account Code]=(TRIM($D51))),CkDJ[Credit])))+(SUM(IF((CsDJ[Ofc Code]=(TRIM(Q$7)))*(CsDJ[Account Code]=(TRIM($D51))),CsDJ[Credit])))+(SUM(IF((CRDJ[Ofc Code]=(TRIM(Q$7)))*(CRDJ[Account Code]=(TRIM($D51))),CRDJ[Credit])))+(SUM(IF((GJ[Ofc Code]=(TRIM(Q$7)))*(GJ[Account Code]=(TRIM($D51))),GJ[Credit]))))</f>
        <v>0</v>
      </c>
      <c r="R51" s="211">
        <f t="array" ref="R51">((SUM(IF((CkDJ[Ofc Code]=(TRIM(R$7)))*(CkDJ[Account Code]=(TRIM($D51))),CkDJ[Debit])))+(SUM(IF((CsDJ[Ofc Code]=(TRIM(R$7)))*(CsDJ[Account Code]=(TRIM($D51))),CsDJ[Debit])))+(SUM(IF((CRDJ[Ofc Code]=(TRIM(R$7)))*(CRDJ[Account Code]=(TRIM($D51))),CRDJ[Debit])))+(SUM(IF((GJ[Ofc Code]=(TRIM(R$7)))*(GJ[Account Code]=(TRIM($D51))),GJ[Debit]))))-((SUM(IF((CkDJ[Ofc Code]=(TRIM(R$7)))*(CkDJ[Account Code]=(TRIM($D51))),CkDJ[Credit])))+(SUM(IF((CsDJ[Ofc Code]=(TRIM(R$7)))*(CsDJ[Account Code]=(TRIM($D51))),CsDJ[Credit])))+(SUM(IF((CRDJ[Ofc Code]=(TRIM(R$7)))*(CRDJ[Account Code]=(TRIM($D51))),CRDJ[Credit])))+(SUM(IF((GJ[Ofc Code]=(TRIM(R$7)))*(GJ[Account Code]=(TRIM($D51))),GJ[Credit]))))</f>
        <v>0</v>
      </c>
      <c r="S51" s="211">
        <f t="array" ref="S51">((SUM(IF((CkDJ[Ofc Code]=(TRIM(S$7)))*(CkDJ[Account Code]=(TRIM($D51))),CkDJ[Debit])))+(SUM(IF((CsDJ[Ofc Code]=(TRIM(S$7)))*(CsDJ[Account Code]=(TRIM($D51))),CsDJ[Debit])))+(SUM(IF((CRDJ[Ofc Code]=(TRIM(S$7)))*(CRDJ[Account Code]=(TRIM($D51))),CRDJ[Debit])))+(SUM(IF((GJ[Ofc Code]=(TRIM(S$7)))*(GJ[Account Code]=(TRIM($D51))),GJ[Debit]))))-((SUM(IF((CkDJ[Ofc Code]=(TRIM(S$7)))*(CkDJ[Account Code]=(TRIM($D51))),CkDJ[Credit])))+(SUM(IF((CsDJ[Ofc Code]=(TRIM(S$7)))*(CsDJ[Account Code]=(TRIM($D51))),CsDJ[Credit])))+(SUM(IF((CRDJ[Ofc Code]=(TRIM(S$7)))*(CRDJ[Account Code]=(TRIM($D51))),CRDJ[Credit])))+(SUM(IF((GJ[Ofc Code]=(TRIM(S$7)))*(GJ[Account Code]=(TRIM($D51))),GJ[Credit]))))</f>
        <v>0</v>
      </c>
      <c r="T51" s="211">
        <f t="array" ref="T51">((SUM(IF((CkDJ[Ofc Code]=(TRIM(T$7)))*(CkDJ[Account Code]=(TRIM($D51))),CkDJ[Debit])))+(SUM(IF((CsDJ[Ofc Code]=(TRIM(T$7)))*(CsDJ[Account Code]=(TRIM($D51))),CsDJ[Debit])))+(SUM(IF((CRDJ[Ofc Code]=(TRIM(T$7)))*(CRDJ[Account Code]=(TRIM($D51))),CRDJ[Debit])))+(SUM(IF((GJ[Ofc Code]=(TRIM(T$7)))*(GJ[Account Code]=(TRIM($D51))),GJ[Debit]))))-((SUM(IF((CkDJ[Ofc Code]=(TRIM(T$7)))*(CkDJ[Account Code]=(TRIM($D51))),CkDJ[Credit])))+(SUM(IF((CsDJ[Ofc Code]=(TRIM(T$7)))*(CsDJ[Account Code]=(TRIM($D51))),CsDJ[Credit])))+(SUM(IF((CRDJ[Ofc Code]=(TRIM(T$7)))*(CRDJ[Account Code]=(TRIM($D51))),CRDJ[Credit])))+(SUM(IF((GJ[Ofc Code]=(TRIM(T$7)))*(GJ[Account Code]=(TRIM($D51))),GJ[Credit]))))</f>
        <v>0</v>
      </c>
      <c r="U51" s="211">
        <f t="shared" si="10"/>
        <v>0</v>
      </c>
      <c r="V51" s="211">
        <f t="shared" si="11"/>
        <v>0</v>
      </c>
    </row>
    <row r="52" spans="1:22" ht="15">
      <c r="A52" s="212">
        <f t="shared" si="12"/>
        <v>15</v>
      </c>
      <c r="B52" s="214" t="s">
        <v>756</v>
      </c>
      <c r="C52" s="194" t="str">
        <f t="shared" si="7"/>
        <v>Overtime and Night Pay</v>
      </c>
      <c r="D52" s="215">
        <v>723</v>
      </c>
      <c r="E52" s="211">
        <f t="array" ref="E52">((SUM(IF((CkDJ[Ofc Code]=(TRIM(E$7)))*(CkDJ[Account Code]=(TRIM($D52))),CkDJ[Debit])))+(SUM(IF((CsDJ[Ofc Code]=(TRIM(E$7)))*(CsDJ[Account Code]=(TRIM($D52))),CsDJ[Debit])))+(SUM(IF((CRDJ[Ofc Code]=(TRIM(E$7)))*(CRDJ[Account Code]=(TRIM($D52))),CRDJ[Debit])))+(SUM(IF((GJ[Ofc Code]=(TRIM(E$7)))*(GJ[Account Code]=(TRIM($D52))),GJ[Debit]))))-((SUM(IF((CkDJ[Ofc Code]=(TRIM(E$7)))*(CkDJ[Account Code]=(TRIM($D52))),CkDJ[Credit])))+(SUM(IF((CsDJ[Ofc Code]=(TRIM(E$7)))*(CsDJ[Account Code]=(TRIM($D52))),CsDJ[Credit])))+(SUM(IF((CRDJ[Ofc Code]=(TRIM(E$7)))*(CRDJ[Account Code]=(TRIM($D52))),CRDJ[Credit])))+(SUM(IF((GJ[Ofc Code]=(TRIM(E$7)))*(GJ[Account Code]=(TRIM($D52))),GJ[Credit]))))</f>
        <v>0</v>
      </c>
      <c r="F52" s="211">
        <f t="array" ref="F52">((SUM(IF((CkDJ[Ofc Code]=(TRIM(F$7)))*(CkDJ[Account Code]=(TRIM($D52))),CkDJ[Debit])))+(SUM(IF((CsDJ[Ofc Code]=(TRIM(F$7)))*(CsDJ[Account Code]=(TRIM($D52))),CsDJ[Debit])))+(SUM(IF((CRDJ[Ofc Code]=(TRIM(F$7)))*(CRDJ[Account Code]=(TRIM($D52))),CRDJ[Debit])))+(SUM(IF((GJ[Ofc Code]=(TRIM(F$7)))*(GJ[Account Code]=(TRIM($D52))),GJ[Debit]))))-((SUM(IF((CkDJ[Ofc Code]=(TRIM(F$7)))*(CkDJ[Account Code]=(TRIM($D52))),CkDJ[Credit])))+(SUM(IF((CsDJ[Ofc Code]=(TRIM(F$7)))*(CsDJ[Account Code]=(TRIM($D52))),CsDJ[Credit])))+(SUM(IF((CRDJ[Ofc Code]=(TRIM(F$7)))*(CRDJ[Account Code]=(TRIM($D52))),CRDJ[Credit])))+(SUM(IF((GJ[Ofc Code]=(TRIM(F$7)))*(GJ[Account Code]=(TRIM($D52))),GJ[Credit]))))</f>
        <v>0</v>
      </c>
      <c r="G52" s="211">
        <f t="array" ref="G52">((SUM(IF((CkDJ[Ofc Code]=(TRIM(G$7)))*(CkDJ[Account Code]=(TRIM($D52))),CkDJ[Debit])))+(SUM(IF((CsDJ[Ofc Code]=(TRIM(G$7)))*(CsDJ[Account Code]=(TRIM($D52))),CsDJ[Debit])))+(SUM(IF((CRDJ[Ofc Code]=(TRIM(G$7)))*(CRDJ[Account Code]=(TRIM($D52))),CRDJ[Debit])))+(SUM(IF((GJ[Ofc Code]=(TRIM(G$7)))*(GJ[Account Code]=(TRIM($D52))),GJ[Debit]))))-((SUM(IF((CkDJ[Ofc Code]=(TRIM(G$7)))*(CkDJ[Account Code]=(TRIM($D52))),CkDJ[Credit])))+(SUM(IF((CsDJ[Ofc Code]=(TRIM(G$7)))*(CsDJ[Account Code]=(TRIM($D52))),CsDJ[Credit])))+(SUM(IF((CRDJ[Ofc Code]=(TRIM(G$7)))*(CRDJ[Account Code]=(TRIM($D52))),CRDJ[Credit])))+(SUM(IF((GJ[Ofc Code]=(TRIM(G$7)))*(GJ[Account Code]=(TRIM($D52))),GJ[Credit]))))</f>
        <v>0</v>
      </c>
      <c r="H52" s="211">
        <f t="array" ref="H52">((SUM(IF((CkDJ[Ofc Code]=(TRIM(H$7)))*(CkDJ[Account Code]=(TRIM($D52))),CkDJ[Debit])))+(SUM(IF((CsDJ[Ofc Code]=(TRIM(H$7)))*(CsDJ[Account Code]=(TRIM($D52))),CsDJ[Debit])))+(SUM(IF((CRDJ[Ofc Code]=(TRIM(H$7)))*(CRDJ[Account Code]=(TRIM($D52))),CRDJ[Debit])))+(SUM(IF((GJ[Ofc Code]=(TRIM(H$7)))*(GJ[Account Code]=(TRIM($D52))),GJ[Debit]))))-((SUM(IF((CkDJ[Ofc Code]=(TRIM(H$7)))*(CkDJ[Account Code]=(TRIM($D52))),CkDJ[Credit])))+(SUM(IF((CsDJ[Ofc Code]=(TRIM(H$7)))*(CsDJ[Account Code]=(TRIM($D52))),CsDJ[Credit])))+(SUM(IF((CRDJ[Ofc Code]=(TRIM(H$7)))*(CRDJ[Account Code]=(TRIM($D52))),CRDJ[Credit])))+(SUM(IF((GJ[Ofc Code]=(TRIM(H$7)))*(GJ[Account Code]=(TRIM($D52))),GJ[Credit]))))</f>
        <v>0</v>
      </c>
      <c r="I52" s="211">
        <f t="array" ref="I52">((SUM(IF((CkDJ[Ofc Code]=(TRIM(I$7)))*(CkDJ[Account Code]=(TRIM($D52))),CkDJ[Debit])))+(SUM(IF((CsDJ[Ofc Code]=(TRIM(I$7)))*(CsDJ[Account Code]=(TRIM($D52))),CsDJ[Debit])))+(SUM(IF((CRDJ[Ofc Code]=(TRIM(I$7)))*(CRDJ[Account Code]=(TRIM($D52))),CRDJ[Debit])))+(SUM(IF((GJ[Ofc Code]=(TRIM(I$7)))*(GJ[Account Code]=(TRIM($D52))),GJ[Debit]))))-((SUM(IF((CkDJ[Ofc Code]=(TRIM(I$7)))*(CkDJ[Account Code]=(TRIM($D52))),CkDJ[Credit])))+(SUM(IF((CsDJ[Ofc Code]=(TRIM(I$7)))*(CsDJ[Account Code]=(TRIM($D52))),CsDJ[Credit])))+(SUM(IF((CRDJ[Ofc Code]=(TRIM(I$7)))*(CRDJ[Account Code]=(TRIM($D52))),CRDJ[Credit])))+(SUM(IF((GJ[Ofc Code]=(TRIM(I$7)))*(GJ[Account Code]=(TRIM($D52))),GJ[Credit]))))</f>
        <v>0</v>
      </c>
      <c r="J52" s="211">
        <f t="shared" si="8"/>
        <v>0</v>
      </c>
      <c r="K52" s="211">
        <f t="array" ref="K52">((SUM(IF((CkDJ[Ofc Code]=(TRIM(K$7)))*(CkDJ[Account Code]=(TRIM($D52))),CkDJ[Debit])))+(SUM(IF((CsDJ[Ofc Code]=(TRIM(K$7)))*(CsDJ[Account Code]=(TRIM($D52))),CsDJ[Debit])))+(SUM(IF((CRDJ[Ofc Code]=(TRIM(K$7)))*(CRDJ[Account Code]=(TRIM($D52))),CRDJ[Debit])))+(SUM(IF((GJ[Ofc Code]=(TRIM(K$7)))*(GJ[Account Code]=(TRIM($D52))),GJ[Debit]))))-((SUM(IF((CkDJ[Ofc Code]=(TRIM(K$7)))*(CkDJ[Account Code]=(TRIM($D52))),CkDJ[Credit])))+(SUM(IF((CsDJ[Ofc Code]=(TRIM(K$7)))*(CsDJ[Account Code]=(TRIM($D52))),CsDJ[Credit])))+(SUM(IF((CRDJ[Ofc Code]=(TRIM(K$7)))*(CRDJ[Account Code]=(TRIM($D52))),CRDJ[Credit])))+(SUM(IF((GJ[Ofc Code]=(TRIM(K$7)))*(GJ[Account Code]=(TRIM($D52))),GJ[Credit]))))</f>
        <v>0</v>
      </c>
      <c r="L52" s="211">
        <f t="array" ref="L52">((SUM(IF((CkDJ[Ofc Code]=(TRIM(L$7)))*(CkDJ[Account Code]=(TRIM($D52))),CkDJ[Debit])))+(SUM(IF((CsDJ[Ofc Code]=(TRIM(L$7)))*(CsDJ[Account Code]=(TRIM($D52))),CsDJ[Debit])))+(SUM(IF((CRDJ[Ofc Code]=(TRIM(L$7)))*(CRDJ[Account Code]=(TRIM($D52))),CRDJ[Debit])))+(SUM(IF((GJ[Ofc Code]=(TRIM(L$7)))*(GJ[Account Code]=(TRIM($D52))),GJ[Debit]))))-((SUM(IF((CkDJ[Ofc Code]=(TRIM(L$7)))*(CkDJ[Account Code]=(TRIM($D52))),CkDJ[Credit])))+(SUM(IF((CsDJ[Ofc Code]=(TRIM(L$7)))*(CsDJ[Account Code]=(TRIM($D52))),CsDJ[Credit])))+(SUM(IF((CRDJ[Ofc Code]=(TRIM(L$7)))*(CRDJ[Account Code]=(TRIM($D52))),CRDJ[Credit])))+(SUM(IF((GJ[Ofc Code]=(TRIM(L$7)))*(GJ[Account Code]=(TRIM($D52))),GJ[Credit]))))</f>
        <v>0</v>
      </c>
      <c r="M52" s="211">
        <f t="array" ref="M52">((SUM(IF((CkDJ[Ofc Code]=(TRIM(M$7)))*(CkDJ[Account Code]=(TRIM($D52))),CkDJ[Debit])))+(SUM(IF((CsDJ[Ofc Code]=(TRIM(M$7)))*(CsDJ[Account Code]=(TRIM($D52))),CsDJ[Debit])))+(SUM(IF((CRDJ[Ofc Code]=(TRIM(M$7)))*(CRDJ[Account Code]=(TRIM($D52))),CRDJ[Debit])))+(SUM(IF((GJ[Ofc Code]=(TRIM(M$7)))*(GJ[Account Code]=(TRIM($D52))),GJ[Debit]))))-((SUM(IF((CkDJ[Ofc Code]=(TRIM(M$7)))*(CkDJ[Account Code]=(TRIM($D52))),CkDJ[Credit])))+(SUM(IF((CsDJ[Ofc Code]=(TRIM(M$7)))*(CsDJ[Account Code]=(TRIM($D52))),CsDJ[Credit])))+(SUM(IF((CRDJ[Ofc Code]=(TRIM(M$7)))*(CRDJ[Account Code]=(TRIM($D52))),CRDJ[Credit])))+(SUM(IF((GJ[Ofc Code]=(TRIM(M$7)))*(GJ[Account Code]=(TRIM($D52))),GJ[Credit]))))</f>
        <v>0</v>
      </c>
      <c r="N52" s="211">
        <f t="array" ref="N52">((SUM(IF((CkDJ[Ofc Code]=(TRIM(N$7)))*(CkDJ[Account Code]=(TRIM($D52))),CkDJ[Debit])))+(SUM(IF((CsDJ[Ofc Code]=(TRIM(N$7)))*(CsDJ[Account Code]=(TRIM($D52))),CsDJ[Debit])))+(SUM(IF((CRDJ[Ofc Code]=(TRIM(N$7)))*(CRDJ[Account Code]=(TRIM($D52))),CRDJ[Debit])))+(SUM(IF((GJ[Ofc Code]=(TRIM(N$7)))*(GJ[Account Code]=(TRIM($D52))),GJ[Debit]))))-((SUM(IF((CkDJ[Ofc Code]=(TRIM(N$7)))*(CkDJ[Account Code]=(TRIM($D52))),CkDJ[Credit])))+(SUM(IF((CsDJ[Ofc Code]=(TRIM(N$7)))*(CsDJ[Account Code]=(TRIM($D52))),CsDJ[Credit])))+(SUM(IF((CRDJ[Ofc Code]=(TRIM(N$7)))*(CRDJ[Account Code]=(TRIM($D52))),CRDJ[Credit])))+(SUM(IF((GJ[Ofc Code]=(TRIM(N$7)))*(GJ[Account Code]=(TRIM($D52))),GJ[Credit]))))</f>
        <v>0</v>
      </c>
      <c r="O52" s="211">
        <f t="shared" si="9"/>
        <v>0</v>
      </c>
      <c r="P52" s="211">
        <f t="array" ref="P52">((SUM(IF((CkDJ[Ofc Code]=(TRIM(P$7)))*(CkDJ[Account Code]=(TRIM($D52))),CkDJ[Debit])))+(SUM(IF((CsDJ[Ofc Code]=(TRIM(P$7)))*(CsDJ[Account Code]=(TRIM($D52))),CsDJ[Debit])))+(SUM(IF((CRDJ[Ofc Code]=(TRIM(P$7)))*(CRDJ[Account Code]=(TRIM($D52))),CRDJ[Debit])))+(SUM(IF((GJ[Ofc Code]=(TRIM(P$7)))*(GJ[Account Code]=(TRIM($D52))),GJ[Debit]))))-((SUM(IF((CkDJ[Ofc Code]=(TRIM(P$7)))*(CkDJ[Account Code]=(TRIM($D52))),CkDJ[Credit])))+(SUM(IF((CsDJ[Ofc Code]=(TRIM(P$7)))*(CsDJ[Account Code]=(TRIM($D52))),CsDJ[Credit])))+(SUM(IF((CRDJ[Ofc Code]=(TRIM(P$7)))*(CRDJ[Account Code]=(TRIM($D52))),CRDJ[Credit])))+(SUM(IF((GJ[Ofc Code]=(TRIM(P$7)))*(GJ[Account Code]=(TRIM($D52))),GJ[Credit]))))</f>
        <v>0</v>
      </c>
      <c r="Q52" s="211">
        <f t="array" ref="Q52">((SUM(IF((CkDJ[Ofc Code]=(TRIM(Q$7)))*(CkDJ[Account Code]=(TRIM($D52))),CkDJ[Debit])))+(SUM(IF((CsDJ[Ofc Code]=(TRIM(Q$7)))*(CsDJ[Account Code]=(TRIM($D52))),CsDJ[Debit])))+(SUM(IF((CRDJ[Ofc Code]=(TRIM(Q$7)))*(CRDJ[Account Code]=(TRIM($D52))),CRDJ[Debit])))+(SUM(IF((GJ[Ofc Code]=(TRIM(Q$7)))*(GJ[Account Code]=(TRIM($D52))),GJ[Debit]))))-((SUM(IF((CkDJ[Ofc Code]=(TRIM(Q$7)))*(CkDJ[Account Code]=(TRIM($D52))),CkDJ[Credit])))+(SUM(IF((CsDJ[Ofc Code]=(TRIM(Q$7)))*(CsDJ[Account Code]=(TRIM($D52))),CsDJ[Credit])))+(SUM(IF((CRDJ[Ofc Code]=(TRIM(Q$7)))*(CRDJ[Account Code]=(TRIM($D52))),CRDJ[Credit])))+(SUM(IF((GJ[Ofc Code]=(TRIM(Q$7)))*(GJ[Account Code]=(TRIM($D52))),GJ[Credit]))))</f>
        <v>0</v>
      </c>
      <c r="R52" s="211">
        <f t="array" ref="R52">((SUM(IF((CkDJ[Ofc Code]=(TRIM(R$7)))*(CkDJ[Account Code]=(TRIM($D52))),CkDJ[Debit])))+(SUM(IF((CsDJ[Ofc Code]=(TRIM(R$7)))*(CsDJ[Account Code]=(TRIM($D52))),CsDJ[Debit])))+(SUM(IF((CRDJ[Ofc Code]=(TRIM(R$7)))*(CRDJ[Account Code]=(TRIM($D52))),CRDJ[Debit])))+(SUM(IF((GJ[Ofc Code]=(TRIM(R$7)))*(GJ[Account Code]=(TRIM($D52))),GJ[Debit]))))-((SUM(IF((CkDJ[Ofc Code]=(TRIM(R$7)))*(CkDJ[Account Code]=(TRIM($D52))),CkDJ[Credit])))+(SUM(IF((CsDJ[Ofc Code]=(TRIM(R$7)))*(CsDJ[Account Code]=(TRIM($D52))),CsDJ[Credit])))+(SUM(IF((CRDJ[Ofc Code]=(TRIM(R$7)))*(CRDJ[Account Code]=(TRIM($D52))),CRDJ[Credit])))+(SUM(IF((GJ[Ofc Code]=(TRIM(R$7)))*(GJ[Account Code]=(TRIM($D52))),GJ[Credit]))))</f>
        <v>0</v>
      </c>
      <c r="S52" s="211">
        <f t="array" ref="S52">((SUM(IF((CkDJ[Ofc Code]=(TRIM(S$7)))*(CkDJ[Account Code]=(TRIM($D52))),CkDJ[Debit])))+(SUM(IF((CsDJ[Ofc Code]=(TRIM(S$7)))*(CsDJ[Account Code]=(TRIM($D52))),CsDJ[Debit])))+(SUM(IF((CRDJ[Ofc Code]=(TRIM(S$7)))*(CRDJ[Account Code]=(TRIM($D52))),CRDJ[Debit])))+(SUM(IF((GJ[Ofc Code]=(TRIM(S$7)))*(GJ[Account Code]=(TRIM($D52))),GJ[Debit]))))-((SUM(IF((CkDJ[Ofc Code]=(TRIM(S$7)))*(CkDJ[Account Code]=(TRIM($D52))),CkDJ[Credit])))+(SUM(IF((CsDJ[Ofc Code]=(TRIM(S$7)))*(CsDJ[Account Code]=(TRIM($D52))),CsDJ[Credit])))+(SUM(IF((CRDJ[Ofc Code]=(TRIM(S$7)))*(CRDJ[Account Code]=(TRIM($D52))),CRDJ[Credit])))+(SUM(IF((GJ[Ofc Code]=(TRIM(S$7)))*(GJ[Account Code]=(TRIM($D52))),GJ[Credit]))))</f>
        <v>0</v>
      </c>
      <c r="T52" s="211">
        <f t="array" ref="T52">((SUM(IF((CkDJ[Ofc Code]=(TRIM(T$7)))*(CkDJ[Account Code]=(TRIM($D52))),CkDJ[Debit])))+(SUM(IF((CsDJ[Ofc Code]=(TRIM(T$7)))*(CsDJ[Account Code]=(TRIM($D52))),CsDJ[Debit])))+(SUM(IF((CRDJ[Ofc Code]=(TRIM(T$7)))*(CRDJ[Account Code]=(TRIM($D52))),CRDJ[Debit])))+(SUM(IF((GJ[Ofc Code]=(TRIM(T$7)))*(GJ[Account Code]=(TRIM($D52))),GJ[Debit]))))-((SUM(IF((CkDJ[Ofc Code]=(TRIM(T$7)))*(CkDJ[Account Code]=(TRIM($D52))),CkDJ[Credit])))+(SUM(IF((CsDJ[Ofc Code]=(TRIM(T$7)))*(CsDJ[Account Code]=(TRIM($D52))),CsDJ[Credit])))+(SUM(IF((CRDJ[Ofc Code]=(TRIM(T$7)))*(CRDJ[Account Code]=(TRIM($D52))),CRDJ[Credit])))+(SUM(IF((GJ[Ofc Code]=(TRIM(T$7)))*(GJ[Account Code]=(TRIM($D52))),GJ[Credit]))))</f>
        <v>0</v>
      </c>
      <c r="U52" s="211">
        <f t="shared" si="10"/>
        <v>0</v>
      </c>
      <c r="V52" s="211">
        <f t="shared" si="11"/>
        <v>0</v>
      </c>
    </row>
    <row r="53" spans="1:22" ht="15">
      <c r="A53" s="212">
        <f t="shared" si="12"/>
        <v>16</v>
      </c>
      <c r="B53" s="214" t="s">
        <v>756</v>
      </c>
      <c r="C53" s="194" t="str">
        <f t="shared" si="7"/>
        <v>Cash Gift</v>
      </c>
      <c r="D53" s="215">
        <v>724</v>
      </c>
      <c r="E53" s="211">
        <f t="array" ref="E53">((SUM(IF((CkDJ[Ofc Code]=(TRIM(E$7)))*(CkDJ[Account Code]=(TRIM($D53))),CkDJ[Debit])))+(SUM(IF((CsDJ[Ofc Code]=(TRIM(E$7)))*(CsDJ[Account Code]=(TRIM($D53))),CsDJ[Debit])))+(SUM(IF((CRDJ[Ofc Code]=(TRIM(E$7)))*(CRDJ[Account Code]=(TRIM($D53))),CRDJ[Debit])))+(SUM(IF((GJ[Ofc Code]=(TRIM(E$7)))*(GJ[Account Code]=(TRIM($D53))),GJ[Debit]))))-((SUM(IF((CkDJ[Ofc Code]=(TRIM(E$7)))*(CkDJ[Account Code]=(TRIM($D53))),CkDJ[Credit])))+(SUM(IF((CsDJ[Ofc Code]=(TRIM(E$7)))*(CsDJ[Account Code]=(TRIM($D53))),CsDJ[Credit])))+(SUM(IF((CRDJ[Ofc Code]=(TRIM(E$7)))*(CRDJ[Account Code]=(TRIM($D53))),CRDJ[Credit])))+(SUM(IF((GJ[Ofc Code]=(TRIM(E$7)))*(GJ[Account Code]=(TRIM($D53))),GJ[Credit]))))</f>
        <v>0</v>
      </c>
      <c r="F53" s="211">
        <f t="array" ref="F53">((SUM(IF((CkDJ[Ofc Code]=(TRIM(F$7)))*(CkDJ[Account Code]=(TRIM($D53))),CkDJ[Debit])))+(SUM(IF((CsDJ[Ofc Code]=(TRIM(F$7)))*(CsDJ[Account Code]=(TRIM($D53))),CsDJ[Debit])))+(SUM(IF((CRDJ[Ofc Code]=(TRIM(F$7)))*(CRDJ[Account Code]=(TRIM($D53))),CRDJ[Debit])))+(SUM(IF((GJ[Ofc Code]=(TRIM(F$7)))*(GJ[Account Code]=(TRIM($D53))),GJ[Debit]))))-((SUM(IF((CkDJ[Ofc Code]=(TRIM(F$7)))*(CkDJ[Account Code]=(TRIM($D53))),CkDJ[Credit])))+(SUM(IF((CsDJ[Ofc Code]=(TRIM(F$7)))*(CsDJ[Account Code]=(TRIM($D53))),CsDJ[Credit])))+(SUM(IF((CRDJ[Ofc Code]=(TRIM(F$7)))*(CRDJ[Account Code]=(TRIM($D53))),CRDJ[Credit])))+(SUM(IF((GJ[Ofc Code]=(TRIM(F$7)))*(GJ[Account Code]=(TRIM($D53))),GJ[Credit]))))</f>
        <v>0</v>
      </c>
      <c r="G53" s="211">
        <f t="array" ref="G53">((SUM(IF((CkDJ[Ofc Code]=(TRIM(G$7)))*(CkDJ[Account Code]=(TRIM($D53))),CkDJ[Debit])))+(SUM(IF((CsDJ[Ofc Code]=(TRIM(G$7)))*(CsDJ[Account Code]=(TRIM($D53))),CsDJ[Debit])))+(SUM(IF((CRDJ[Ofc Code]=(TRIM(G$7)))*(CRDJ[Account Code]=(TRIM($D53))),CRDJ[Debit])))+(SUM(IF((GJ[Ofc Code]=(TRIM(G$7)))*(GJ[Account Code]=(TRIM($D53))),GJ[Debit]))))-((SUM(IF((CkDJ[Ofc Code]=(TRIM(G$7)))*(CkDJ[Account Code]=(TRIM($D53))),CkDJ[Credit])))+(SUM(IF((CsDJ[Ofc Code]=(TRIM(G$7)))*(CsDJ[Account Code]=(TRIM($D53))),CsDJ[Credit])))+(SUM(IF((CRDJ[Ofc Code]=(TRIM(G$7)))*(CRDJ[Account Code]=(TRIM($D53))),CRDJ[Credit])))+(SUM(IF((GJ[Ofc Code]=(TRIM(G$7)))*(GJ[Account Code]=(TRIM($D53))),GJ[Credit]))))</f>
        <v>0</v>
      </c>
      <c r="H53" s="211">
        <f t="array" ref="H53">((SUM(IF((CkDJ[Ofc Code]=(TRIM(H$7)))*(CkDJ[Account Code]=(TRIM($D53))),CkDJ[Debit])))+(SUM(IF((CsDJ[Ofc Code]=(TRIM(H$7)))*(CsDJ[Account Code]=(TRIM($D53))),CsDJ[Debit])))+(SUM(IF((CRDJ[Ofc Code]=(TRIM(H$7)))*(CRDJ[Account Code]=(TRIM($D53))),CRDJ[Debit])))+(SUM(IF((GJ[Ofc Code]=(TRIM(H$7)))*(GJ[Account Code]=(TRIM($D53))),GJ[Debit]))))-((SUM(IF((CkDJ[Ofc Code]=(TRIM(H$7)))*(CkDJ[Account Code]=(TRIM($D53))),CkDJ[Credit])))+(SUM(IF((CsDJ[Ofc Code]=(TRIM(H$7)))*(CsDJ[Account Code]=(TRIM($D53))),CsDJ[Credit])))+(SUM(IF((CRDJ[Ofc Code]=(TRIM(H$7)))*(CRDJ[Account Code]=(TRIM($D53))),CRDJ[Credit])))+(SUM(IF((GJ[Ofc Code]=(TRIM(H$7)))*(GJ[Account Code]=(TRIM($D53))),GJ[Credit]))))</f>
        <v>0</v>
      </c>
      <c r="I53" s="211">
        <f t="array" ref="I53">((SUM(IF((CkDJ[Ofc Code]=(TRIM(I$7)))*(CkDJ[Account Code]=(TRIM($D53))),CkDJ[Debit])))+(SUM(IF((CsDJ[Ofc Code]=(TRIM(I$7)))*(CsDJ[Account Code]=(TRIM($D53))),CsDJ[Debit])))+(SUM(IF((CRDJ[Ofc Code]=(TRIM(I$7)))*(CRDJ[Account Code]=(TRIM($D53))),CRDJ[Debit])))+(SUM(IF((GJ[Ofc Code]=(TRIM(I$7)))*(GJ[Account Code]=(TRIM($D53))),GJ[Debit]))))-((SUM(IF((CkDJ[Ofc Code]=(TRIM(I$7)))*(CkDJ[Account Code]=(TRIM($D53))),CkDJ[Credit])))+(SUM(IF((CsDJ[Ofc Code]=(TRIM(I$7)))*(CsDJ[Account Code]=(TRIM($D53))),CsDJ[Credit])))+(SUM(IF((CRDJ[Ofc Code]=(TRIM(I$7)))*(CRDJ[Account Code]=(TRIM($D53))),CRDJ[Credit])))+(SUM(IF((GJ[Ofc Code]=(TRIM(I$7)))*(GJ[Account Code]=(TRIM($D53))),GJ[Credit]))))</f>
        <v>0</v>
      </c>
      <c r="J53" s="211">
        <f t="shared" si="8"/>
        <v>0</v>
      </c>
      <c r="K53" s="211">
        <f t="array" ref="K53">((SUM(IF((CkDJ[Ofc Code]=(TRIM(K$7)))*(CkDJ[Account Code]=(TRIM($D53))),CkDJ[Debit])))+(SUM(IF((CsDJ[Ofc Code]=(TRIM(K$7)))*(CsDJ[Account Code]=(TRIM($D53))),CsDJ[Debit])))+(SUM(IF((CRDJ[Ofc Code]=(TRIM(K$7)))*(CRDJ[Account Code]=(TRIM($D53))),CRDJ[Debit])))+(SUM(IF((GJ[Ofc Code]=(TRIM(K$7)))*(GJ[Account Code]=(TRIM($D53))),GJ[Debit]))))-((SUM(IF((CkDJ[Ofc Code]=(TRIM(K$7)))*(CkDJ[Account Code]=(TRIM($D53))),CkDJ[Credit])))+(SUM(IF((CsDJ[Ofc Code]=(TRIM(K$7)))*(CsDJ[Account Code]=(TRIM($D53))),CsDJ[Credit])))+(SUM(IF((CRDJ[Ofc Code]=(TRIM(K$7)))*(CRDJ[Account Code]=(TRIM($D53))),CRDJ[Credit])))+(SUM(IF((GJ[Ofc Code]=(TRIM(K$7)))*(GJ[Account Code]=(TRIM($D53))),GJ[Credit]))))</f>
        <v>0</v>
      </c>
      <c r="L53" s="211">
        <f t="array" ref="L53">((SUM(IF((CkDJ[Ofc Code]=(TRIM(L$7)))*(CkDJ[Account Code]=(TRIM($D53))),CkDJ[Debit])))+(SUM(IF((CsDJ[Ofc Code]=(TRIM(L$7)))*(CsDJ[Account Code]=(TRIM($D53))),CsDJ[Debit])))+(SUM(IF((CRDJ[Ofc Code]=(TRIM(L$7)))*(CRDJ[Account Code]=(TRIM($D53))),CRDJ[Debit])))+(SUM(IF((GJ[Ofc Code]=(TRIM(L$7)))*(GJ[Account Code]=(TRIM($D53))),GJ[Debit]))))-((SUM(IF((CkDJ[Ofc Code]=(TRIM(L$7)))*(CkDJ[Account Code]=(TRIM($D53))),CkDJ[Credit])))+(SUM(IF((CsDJ[Ofc Code]=(TRIM(L$7)))*(CsDJ[Account Code]=(TRIM($D53))),CsDJ[Credit])))+(SUM(IF((CRDJ[Ofc Code]=(TRIM(L$7)))*(CRDJ[Account Code]=(TRIM($D53))),CRDJ[Credit])))+(SUM(IF((GJ[Ofc Code]=(TRIM(L$7)))*(GJ[Account Code]=(TRIM($D53))),GJ[Credit]))))</f>
        <v>0</v>
      </c>
      <c r="M53" s="211">
        <f t="array" ref="M53">((SUM(IF((CkDJ[Ofc Code]=(TRIM(M$7)))*(CkDJ[Account Code]=(TRIM($D53))),CkDJ[Debit])))+(SUM(IF((CsDJ[Ofc Code]=(TRIM(M$7)))*(CsDJ[Account Code]=(TRIM($D53))),CsDJ[Debit])))+(SUM(IF((CRDJ[Ofc Code]=(TRIM(M$7)))*(CRDJ[Account Code]=(TRIM($D53))),CRDJ[Debit])))+(SUM(IF((GJ[Ofc Code]=(TRIM(M$7)))*(GJ[Account Code]=(TRIM($D53))),GJ[Debit]))))-((SUM(IF((CkDJ[Ofc Code]=(TRIM(M$7)))*(CkDJ[Account Code]=(TRIM($D53))),CkDJ[Credit])))+(SUM(IF((CsDJ[Ofc Code]=(TRIM(M$7)))*(CsDJ[Account Code]=(TRIM($D53))),CsDJ[Credit])))+(SUM(IF((CRDJ[Ofc Code]=(TRIM(M$7)))*(CRDJ[Account Code]=(TRIM($D53))),CRDJ[Credit])))+(SUM(IF((GJ[Ofc Code]=(TRIM(M$7)))*(GJ[Account Code]=(TRIM($D53))),GJ[Credit]))))</f>
        <v>0</v>
      </c>
      <c r="N53" s="211">
        <f t="array" ref="N53">((SUM(IF((CkDJ[Ofc Code]=(TRIM(N$7)))*(CkDJ[Account Code]=(TRIM($D53))),CkDJ[Debit])))+(SUM(IF((CsDJ[Ofc Code]=(TRIM(N$7)))*(CsDJ[Account Code]=(TRIM($D53))),CsDJ[Debit])))+(SUM(IF((CRDJ[Ofc Code]=(TRIM(N$7)))*(CRDJ[Account Code]=(TRIM($D53))),CRDJ[Debit])))+(SUM(IF((GJ[Ofc Code]=(TRIM(N$7)))*(GJ[Account Code]=(TRIM($D53))),GJ[Debit]))))-((SUM(IF((CkDJ[Ofc Code]=(TRIM(N$7)))*(CkDJ[Account Code]=(TRIM($D53))),CkDJ[Credit])))+(SUM(IF((CsDJ[Ofc Code]=(TRIM(N$7)))*(CsDJ[Account Code]=(TRIM($D53))),CsDJ[Credit])))+(SUM(IF((CRDJ[Ofc Code]=(TRIM(N$7)))*(CRDJ[Account Code]=(TRIM($D53))),CRDJ[Credit])))+(SUM(IF((GJ[Ofc Code]=(TRIM(N$7)))*(GJ[Account Code]=(TRIM($D53))),GJ[Credit]))))</f>
        <v>0</v>
      </c>
      <c r="O53" s="211">
        <f t="shared" si="9"/>
        <v>0</v>
      </c>
      <c r="P53" s="211">
        <f t="array" ref="P53">((SUM(IF((CkDJ[Ofc Code]=(TRIM(P$7)))*(CkDJ[Account Code]=(TRIM($D53))),CkDJ[Debit])))+(SUM(IF((CsDJ[Ofc Code]=(TRIM(P$7)))*(CsDJ[Account Code]=(TRIM($D53))),CsDJ[Debit])))+(SUM(IF((CRDJ[Ofc Code]=(TRIM(P$7)))*(CRDJ[Account Code]=(TRIM($D53))),CRDJ[Debit])))+(SUM(IF((GJ[Ofc Code]=(TRIM(P$7)))*(GJ[Account Code]=(TRIM($D53))),GJ[Debit]))))-((SUM(IF((CkDJ[Ofc Code]=(TRIM(P$7)))*(CkDJ[Account Code]=(TRIM($D53))),CkDJ[Credit])))+(SUM(IF((CsDJ[Ofc Code]=(TRIM(P$7)))*(CsDJ[Account Code]=(TRIM($D53))),CsDJ[Credit])))+(SUM(IF((CRDJ[Ofc Code]=(TRIM(P$7)))*(CRDJ[Account Code]=(TRIM($D53))),CRDJ[Credit])))+(SUM(IF((GJ[Ofc Code]=(TRIM(P$7)))*(GJ[Account Code]=(TRIM($D53))),GJ[Credit]))))</f>
        <v>0</v>
      </c>
      <c r="Q53" s="211">
        <f t="array" ref="Q53">((SUM(IF((CkDJ[Ofc Code]=(TRIM(Q$7)))*(CkDJ[Account Code]=(TRIM($D53))),CkDJ[Debit])))+(SUM(IF((CsDJ[Ofc Code]=(TRIM(Q$7)))*(CsDJ[Account Code]=(TRIM($D53))),CsDJ[Debit])))+(SUM(IF((CRDJ[Ofc Code]=(TRIM(Q$7)))*(CRDJ[Account Code]=(TRIM($D53))),CRDJ[Debit])))+(SUM(IF((GJ[Ofc Code]=(TRIM(Q$7)))*(GJ[Account Code]=(TRIM($D53))),GJ[Debit]))))-((SUM(IF((CkDJ[Ofc Code]=(TRIM(Q$7)))*(CkDJ[Account Code]=(TRIM($D53))),CkDJ[Credit])))+(SUM(IF((CsDJ[Ofc Code]=(TRIM(Q$7)))*(CsDJ[Account Code]=(TRIM($D53))),CsDJ[Credit])))+(SUM(IF((CRDJ[Ofc Code]=(TRIM(Q$7)))*(CRDJ[Account Code]=(TRIM($D53))),CRDJ[Credit])))+(SUM(IF((GJ[Ofc Code]=(TRIM(Q$7)))*(GJ[Account Code]=(TRIM($D53))),GJ[Credit]))))</f>
        <v>0</v>
      </c>
      <c r="R53" s="211">
        <f t="array" ref="R53">((SUM(IF((CkDJ[Ofc Code]=(TRIM(R$7)))*(CkDJ[Account Code]=(TRIM($D53))),CkDJ[Debit])))+(SUM(IF((CsDJ[Ofc Code]=(TRIM(R$7)))*(CsDJ[Account Code]=(TRIM($D53))),CsDJ[Debit])))+(SUM(IF((CRDJ[Ofc Code]=(TRIM(R$7)))*(CRDJ[Account Code]=(TRIM($D53))),CRDJ[Debit])))+(SUM(IF((GJ[Ofc Code]=(TRIM(R$7)))*(GJ[Account Code]=(TRIM($D53))),GJ[Debit]))))-((SUM(IF((CkDJ[Ofc Code]=(TRIM(R$7)))*(CkDJ[Account Code]=(TRIM($D53))),CkDJ[Credit])))+(SUM(IF((CsDJ[Ofc Code]=(TRIM(R$7)))*(CsDJ[Account Code]=(TRIM($D53))),CsDJ[Credit])))+(SUM(IF((CRDJ[Ofc Code]=(TRIM(R$7)))*(CRDJ[Account Code]=(TRIM($D53))),CRDJ[Credit])))+(SUM(IF((GJ[Ofc Code]=(TRIM(R$7)))*(GJ[Account Code]=(TRIM($D53))),GJ[Credit]))))</f>
        <v>0</v>
      </c>
      <c r="S53" s="211">
        <f t="array" ref="S53">((SUM(IF((CkDJ[Ofc Code]=(TRIM(S$7)))*(CkDJ[Account Code]=(TRIM($D53))),CkDJ[Debit])))+(SUM(IF((CsDJ[Ofc Code]=(TRIM(S$7)))*(CsDJ[Account Code]=(TRIM($D53))),CsDJ[Debit])))+(SUM(IF((CRDJ[Ofc Code]=(TRIM(S$7)))*(CRDJ[Account Code]=(TRIM($D53))),CRDJ[Debit])))+(SUM(IF((GJ[Ofc Code]=(TRIM(S$7)))*(GJ[Account Code]=(TRIM($D53))),GJ[Debit]))))-((SUM(IF((CkDJ[Ofc Code]=(TRIM(S$7)))*(CkDJ[Account Code]=(TRIM($D53))),CkDJ[Credit])))+(SUM(IF((CsDJ[Ofc Code]=(TRIM(S$7)))*(CsDJ[Account Code]=(TRIM($D53))),CsDJ[Credit])))+(SUM(IF((CRDJ[Ofc Code]=(TRIM(S$7)))*(CRDJ[Account Code]=(TRIM($D53))),CRDJ[Credit])))+(SUM(IF((GJ[Ofc Code]=(TRIM(S$7)))*(GJ[Account Code]=(TRIM($D53))),GJ[Credit]))))</f>
        <v>0</v>
      </c>
      <c r="T53" s="211">
        <f t="array" ref="T53">((SUM(IF((CkDJ[Ofc Code]=(TRIM(T$7)))*(CkDJ[Account Code]=(TRIM($D53))),CkDJ[Debit])))+(SUM(IF((CsDJ[Ofc Code]=(TRIM(T$7)))*(CsDJ[Account Code]=(TRIM($D53))),CsDJ[Debit])))+(SUM(IF((CRDJ[Ofc Code]=(TRIM(T$7)))*(CRDJ[Account Code]=(TRIM($D53))),CRDJ[Debit])))+(SUM(IF((GJ[Ofc Code]=(TRIM(T$7)))*(GJ[Account Code]=(TRIM($D53))),GJ[Debit]))))-((SUM(IF((CkDJ[Ofc Code]=(TRIM(T$7)))*(CkDJ[Account Code]=(TRIM($D53))),CkDJ[Credit])))+(SUM(IF((CsDJ[Ofc Code]=(TRIM(T$7)))*(CsDJ[Account Code]=(TRIM($D53))),CsDJ[Credit])))+(SUM(IF((CRDJ[Ofc Code]=(TRIM(T$7)))*(CRDJ[Account Code]=(TRIM($D53))),CRDJ[Credit])))+(SUM(IF((GJ[Ofc Code]=(TRIM(T$7)))*(GJ[Account Code]=(TRIM($D53))),GJ[Credit]))))</f>
        <v>0</v>
      </c>
      <c r="U53" s="211">
        <f t="shared" si="10"/>
        <v>0</v>
      </c>
      <c r="V53" s="211">
        <f t="shared" si="11"/>
        <v>0</v>
      </c>
    </row>
    <row r="54" spans="1:22" ht="15">
      <c r="A54" s="212">
        <f t="shared" si="12"/>
        <v>17</v>
      </c>
      <c r="B54" s="214" t="s">
        <v>756</v>
      </c>
      <c r="C54" s="194" t="str">
        <f t="shared" si="7"/>
        <v>Mid-Year/Year End Bonus</v>
      </c>
      <c r="D54" s="215">
        <v>725</v>
      </c>
      <c r="E54" s="211">
        <f t="array" ref="E54">((SUM(IF((CkDJ[Ofc Code]=(TRIM(E$7)))*(CkDJ[Account Code]=(TRIM($D54))),CkDJ[Debit])))+(SUM(IF((CsDJ[Ofc Code]=(TRIM(E$7)))*(CsDJ[Account Code]=(TRIM($D54))),CsDJ[Debit])))+(SUM(IF((CRDJ[Ofc Code]=(TRIM(E$7)))*(CRDJ[Account Code]=(TRIM($D54))),CRDJ[Debit])))+(SUM(IF((GJ[Ofc Code]=(TRIM(E$7)))*(GJ[Account Code]=(TRIM($D54))),GJ[Debit]))))-((SUM(IF((CkDJ[Ofc Code]=(TRIM(E$7)))*(CkDJ[Account Code]=(TRIM($D54))),CkDJ[Credit])))+(SUM(IF((CsDJ[Ofc Code]=(TRIM(E$7)))*(CsDJ[Account Code]=(TRIM($D54))),CsDJ[Credit])))+(SUM(IF((CRDJ[Ofc Code]=(TRIM(E$7)))*(CRDJ[Account Code]=(TRIM($D54))),CRDJ[Credit])))+(SUM(IF((GJ[Ofc Code]=(TRIM(E$7)))*(GJ[Account Code]=(TRIM($D54))),GJ[Credit]))))</f>
        <v>0</v>
      </c>
      <c r="F54" s="211">
        <f t="array" ref="F54">((SUM(IF((CkDJ[Ofc Code]=(TRIM(F$7)))*(CkDJ[Account Code]=(TRIM($D54))),CkDJ[Debit])))+(SUM(IF((CsDJ[Ofc Code]=(TRIM(F$7)))*(CsDJ[Account Code]=(TRIM($D54))),CsDJ[Debit])))+(SUM(IF((CRDJ[Ofc Code]=(TRIM(F$7)))*(CRDJ[Account Code]=(TRIM($D54))),CRDJ[Debit])))+(SUM(IF((GJ[Ofc Code]=(TRIM(F$7)))*(GJ[Account Code]=(TRIM($D54))),GJ[Debit]))))-((SUM(IF((CkDJ[Ofc Code]=(TRIM(F$7)))*(CkDJ[Account Code]=(TRIM($D54))),CkDJ[Credit])))+(SUM(IF((CsDJ[Ofc Code]=(TRIM(F$7)))*(CsDJ[Account Code]=(TRIM($D54))),CsDJ[Credit])))+(SUM(IF((CRDJ[Ofc Code]=(TRIM(F$7)))*(CRDJ[Account Code]=(TRIM($D54))),CRDJ[Credit])))+(SUM(IF((GJ[Ofc Code]=(TRIM(F$7)))*(GJ[Account Code]=(TRIM($D54))),GJ[Credit]))))</f>
        <v>0</v>
      </c>
      <c r="G54" s="211">
        <f t="array" ref="G54">((SUM(IF((CkDJ[Ofc Code]=(TRIM(G$7)))*(CkDJ[Account Code]=(TRIM($D54))),CkDJ[Debit])))+(SUM(IF((CsDJ[Ofc Code]=(TRIM(G$7)))*(CsDJ[Account Code]=(TRIM($D54))),CsDJ[Debit])))+(SUM(IF((CRDJ[Ofc Code]=(TRIM(G$7)))*(CRDJ[Account Code]=(TRIM($D54))),CRDJ[Debit])))+(SUM(IF((GJ[Ofc Code]=(TRIM(G$7)))*(GJ[Account Code]=(TRIM($D54))),GJ[Debit]))))-((SUM(IF((CkDJ[Ofc Code]=(TRIM(G$7)))*(CkDJ[Account Code]=(TRIM($D54))),CkDJ[Credit])))+(SUM(IF((CsDJ[Ofc Code]=(TRIM(G$7)))*(CsDJ[Account Code]=(TRIM($D54))),CsDJ[Credit])))+(SUM(IF((CRDJ[Ofc Code]=(TRIM(G$7)))*(CRDJ[Account Code]=(TRIM($D54))),CRDJ[Credit])))+(SUM(IF((GJ[Ofc Code]=(TRIM(G$7)))*(GJ[Account Code]=(TRIM($D54))),GJ[Credit]))))</f>
        <v>0</v>
      </c>
      <c r="H54" s="211">
        <f t="array" ref="H54">((SUM(IF((CkDJ[Ofc Code]=(TRIM(H$7)))*(CkDJ[Account Code]=(TRIM($D54))),CkDJ[Debit])))+(SUM(IF((CsDJ[Ofc Code]=(TRIM(H$7)))*(CsDJ[Account Code]=(TRIM($D54))),CsDJ[Debit])))+(SUM(IF((CRDJ[Ofc Code]=(TRIM(H$7)))*(CRDJ[Account Code]=(TRIM($D54))),CRDJ[Debit])))+(SUM(IF((GJ[Ofc Code]=(TRIM(H$7)))*(GJ[Account Code]=(TRIM($D54))),GJ[Debit]))))-((SUM(IF((CkDJ[Ofc Code]=(TRIM(H$7)))*(CkDJ[Account Code]=(TRIM($D54))),CkDJ[Credit])))+(SUM(IF((CsDJ[Ofc Code]=(TRIM(H$7)))*(CsDJ[Account Code]=(TRIM($D54))),CsDJ[Credit])))+(SUM(IF((CRDJ[Ofc Code]=(TRIM(H$7)))*(CRDJ[Account Code]=(TRIM($D54))),CRDJ[Credit])))+(SUM(IF((GJ[Ofc Code]=(TRIM(H$7)))*(GJ[Account Code]=(TRIM($D54))),GJ[Credit]))))</f>
        <v>0</v>
      </c>
      <c r="I54" s="211">
        <f t="array" ref="I54">((SUM(IF((CkDJ[Ofc Code]=(TRIM(I$7)))*(CkDJ[Account Code]=(TRIM($D54))),CkDJ[Debit])))+(SUM(IF((CsDJ[Ofc Code]=(TRIM(I$7)))*(CsDJ[Account Code]=(TRIM($D54))),CsDJ[Debit])))+(SUM(IF((CRDJ[Ofc Code]=(TRIM(I$7)))*(CRDJ[Account Code]=(TRIM($D54))),CRDJ[Debit])))+(SUM(IF((GJ[Ofc Code]=(TRIM(I$7)))*(GJ[Account Code]=(TRIM($D54))),GJ[Debit]))))-((SUM(IF((CkDJ[Ofc Code]=(TRIM(I$7)))*(CkDJ[Account Code]=(TRIM($D54))),CkDJ[Credit])))+(SUM(IF((CsDJ[Ofc Code]=(TRIM(I$7)))*(CsDJ[Account Code]=(TRIM($D54))),CsDJ[Credit])))+(SUM(IF((CRDJ[Ofc Code]=(TRIM(I$7)))*(CRDJ[Account Code]=(TRIM($D54))),CRDJ[Credit])))+(SUM(IF((GJ[Ofc Code]=(TRIM(I$7)))*(GJ[Account Code]=(TRIM($D54))),GJ[Credit]))))</f>
        <v>0</v>
      </c>
      <c r="J54" s="211">
        <f t="shared" si="8"/>
        <v>0</v>
      </c>
      <c r="K54" s="211">
        <f t="array" ref="K54">((SUM(IF((CkDJ[Ofc Code]=(TRIM(K$7)))*(CkDJ[Account Code]=(TRIM($D54))),CkDJ[Debit])))+(SUM(IF((CsDJ[Ofc Code]=(TRIM(K$7)))*(CsDJ[Account Code]=(TRIM($D54))),CsDJ[Debit])))+(SUM(IF((CRDJ[Ofc Code]=(TRIM(K$7)))*(CRDJ[Account Code]=(TRIM($D54))),CRDJ[Debit])))+(SUM(IF((GJ[Ofc Code]=(TRIM(K$7)))*(GJ[Account Code]=(TRIM($D54))),GJ[Debit]))))-((SUM(IF((CkDJ[Ofc Code]=(TRIM(K$7)))*(CkDJ[Account Code]=(TRIM($D54))),CkDJ[Credit])))+(SUM(IF((CsDJ[Ofc Code]=(TRIM(K$7)))*(CsDJ[Account Code]=(TRIM($D54))),CsDJ[Credit])))+(SUM(IF((CRDJ[Ofc Code]=(TRIM(K$7)))*(CRDJ[Account Code]=(TRIM($D54))),CRDJ[Credit])))+(SUM(IF((GJ[Ofc Code]=(TRIM(K$7)))*(GJ[Account Code]=(TRIM($D54))),GJ[Credit]))))</f>
        <v>0</v>
      </c>
      <c r="L54" s="211">
        <f t="array" ref="L54">((SUM(IF((CkDJ[Ofc Code]=(TRIM(L$7)))*(CkDJ[Account Code]=(TRIM($D54))),CkDJ[Debit])))+(SUM(IF((CsDJ[Ofc Code]=(TRIM(L$7)))*(CsDJ[Account Code]=(TRIM($D54))),CsDJ[Debit])))+(SUM(IF((CRDJ[Ofc Code]=(TRIM(L$7)))*(CRDJ[Account Code]=(TRIM($D54))),CRDJ[Debit])))+(SUM(IF((GJ[Ofc Code]=(TRIM(L$7)))*(GJ[Account Code]=(TRIM($D54))),GJ[Debit]))))-((SUM(IF((CkDJ[Ofc Code]=(TRIM(L$7)))*(CkDJ[Account Code]=(TRIM($D54))),CkDJ[Credit])))+(SUM(IF((CsDJ[Ofc Code]=(TRIM(L$7)))*(CsDJ[Account Code]=(TRIM($D54))),CsDJ[Credit])))+(SUM(IF((CRDJ[Ofc Code]=(TRIM(L$7)))*(CRDJ[Account Code]=(TRIM($D54))),CRDJ[Credit])))+(SUM(IF((GJ[Ofc Code]=(TRIM(L$7)))*(GJ[Account Code]=(TRIM($D54))),GJ[Credit]))))</f>
        <v>0</v>
      </c>
      <c r="M54" s="211">
        <f t="array" ref="M54">((SUM(IF((CkDJ[Ofc Code]=(TRIM(M$7)))*(CkDJ[Account Code]=(TRIM($D54))),CkDJ[Debit])))+(SUM(IF((CsDJ[Ofc Code]=(TRIM(M$7)))*(CsDJ[Account Code]=(TRIM($D54))),CsDJ[Debit])))+(SUM(IF((CRDJ[Ofc Code]=(TRIM(M$7)))*(CRDJ[Account Code]=(TRIM($D54))),CRDJ[Debit])))+(SUM(IF((GJ[Ofc Code]=(TRIM(M$7)))*(GJ[Account Code]=(TRIM($D54))),GJ[Debit]))))-((SUM(IF((CkDJ[Ofc Code]=(TRIM(M$7)))*(CkDJ[Account Code]=(TRIM($D54))),CkDJ[Credit])))+(SUM(IF((CsDJ[Ofc Code]=(TRIM(M$7)))*(CsDJ[Account Code]=(TRIM($D54))),CsDJ[Credit])))+(SUM(IF((CRDJ[Ofc Code]=(TRIM(M$7)))*(CRDJ[Account Code]=(TRIM($D54))),CRDJ[Credit])))+(SUM(IF((GJ[Ofc Code]=(TRIM(M$7)))*(GJ[Account Code]=(TRIM($D54))),GJ[Credit]))))</f>
        <v>0</v>
      </c>
      <c r="N54" s="211">
        <f t="array" ref="N54">((SUM(IF((CkDJ[Ofc Code]=(TRIM(N$7)))*(CkDJ[Account Code]=(TRIM($D54))),CkDJ[Debit])))+(SUM(IF((CsDJ[Ofc Code]=(TRIM(N$7)))*(CsDJ[Account Code]=(TRIM($D54))),CsDJ[Debit])))+(SUM(IF((CRDJ[Ofc Code]=(TRIM(N$7)))*(CRDJ[Account Code]=(TRIM($D54))),CRDJ[Debit])))+(SUM(IF((GJ[Ofc Code]=(TRIM(N$7)))*(GJ[Account Code]=(TRIM($D54))),GJ[Debit]))))-((SUM(IF((CkDJ[Ofc Code]=(TRIM(N$7)))*(CkDJ[Account Code]=(TRIM($D54))),CkDJ[Credit])))+(SUM(IF((CsDJ[Ofc Code]=(TRIM(N$7)))*(CsDJ[Account Code]=(TRIM($D54))),CsDJ[Credit])))+(SUM(IF((CRDJ[Ofc Code]=(TRIM(N$7)))*(CRDJ[Account Code]=(TRIM($D54))),CRDJ[Credit])))+(SUM(IF((GJ[Ofc Code]=(TRIM(N$7)))*(GJ[Account Code]=(TRIM($D54))),GJ[Credit]))))</f>
        <v>0</v>
      </c>
      <c r="O54" s="211">
        <f t="shared" si="9"/>
        <v>0</v>
      </c>
      <c r="P54" s="211">
        <f t="array" ref="P54">((SUM(IF((CkDJ[Ofc Code]=(TRIM(P$7)))*(CkDJ[Account Code]=(TRIM($D54))),CkDJ[Debit])))+(SUM(IF((CsDJ[Ofc Code]=(TRIM(P$7)))*(CsDJ[Account Code]=(TRIM($D54))),CsDJ[Debit])))+(SUM(IF((CRDJ[Ofc Code]=(TRIM(P$7)))*(CRDJ[Account Code]=(TRIM($D54))),CRDJ[Debit])))+(SUM(IF((GJ[Ofc Code]=(TRIM(P$7)))*(GJ[Account Code]=(TRIM($D54))),GJ[Debit]))))-((SUM(IF((CkDJ[Ofc Code]=(TRIM(P$7)))*(CkDJ[Account Code]=(TRIM($D54))),CkDJ[Credit])))+(SUM(IF((CsDJ[Ofc Code]=(TRIM(P$7)))*(CsDJ[Account Code]=(TRIM($D54))),CsDJ[Credit])))+(SUM(IF((CRDJ[Ofc Code]=(TRIM(P$7)))*(CRDJ[Account Code]=(TRIM($D54))),CRDJ[Credit])))+(SUM(IF((GJ[Ofc Code]=(TRIM(P$7)))*(GJ[Account Code]=(TRIM($D54))),GJ[Credit]))))</f>
        <v>0</v>
      </c>
      <c r="Q54" s="211">
        <f t="array" ref="Q54">((SUM(IF((CkDJ[Ofc Code]=(TRIM(Q$7)))*(CkDJ[Account Code]=(TRIM($D54))),CkDJ[Debit])))+(SUM(IF((CsDJ[Ofc Code]=(TRIM(Q$7)))*(CsDJ[Account Code]=(TRIM($D54))),CsDJ[Debit])))+(SUM(IF((CRDJ[Ofc Code]=(TRIM(Q$7)))*(CRDJ[Account Code]=(TRIM($D54))),CRDJ[Debit])))+(SUM(IF((GJ[Ofc Code]=(TRIM(Q$7)))*(GJ[Account Code]=(TRIM($D54))),GJ[Debit]))))-((SUM(IF((CkDJ[Ofc Code]=(TRIM(Q$7)))*(CkDJ[Account Code]=(TRIM($D54))),CkDJ[Credit])))+(SUM(IF((CsDJ[Ofc Code]=(TRIM(Q$7)))*(CsDJ[Account Code]=(TRIM($D54))),CsDJ[Credit])))+(SUM(IF((CRDJ[Ofc Code]=(TRIM(Q$7)))*(CRDJ[Account Code]=(TRIM($D54))),CRDJ[Credit])))+(SUM(IF((GJ[Ofc Code]=(TRIM(Q$7)))*(GJ[Account Code]=(TRIM($D54))),GJ[Credit]))))</f>
        <v>0</v>
      </c>
      <c r="R54" s="211">
        <f t="array" ref="R54">((SUM(IF((CkDJ[Ofc Code]=(TRIM(R$7)))*(CkDJ[Account Code]=(TRIM($D54))),CkDJ[Debit])))+(SUM(IF((CsDJ[Ofc Code]=(TRIM(R$7)))*(CsDJ[Account Code]=(TRIM($D54))),CsDJ[Debit])))+(SUM(IF((CRDJ[Ofc Code]=(TRIM(R$7)))*(CRDJ[Account Code]=(TRIM($D54))),CRDJ[Debit])))+(SUM(IF((GJ[Ofc Code]=(TRIM(R$7)))*(GJ[Account Code]=(TRIM($D54))),GJ[Debit]))))-((SUM(IF((CkDJ[Ofc Code]=(TRIM(R$7)))*(CkDJ[Account Code]=(TRIM($D54))),CkDJ[Credit])))+(SUM(IF((CsDJ[Ofc Code]=(TRIM(R$7)))*(CsDJ[Account Code]=(TRIM($D54))),CsDJ[Credit])))+(SUM(IF((CRDJ[Ofc Code]=(TRIM(R$7)))*(CRDJ[Account Code]=(TRIM($D54))),CRDJ[Credit])))+(SUM(IF((GJ[Ofc Code]=(TRIM(R$7)))*(GJ[Account Code]=(TRIM($D54))),GJ[Credit]))))</f>
        <v>0</v>
      </c>
      <c r="S54" s="211">
        <f t="array" ref="S54">((SUM(IF((CkDJ[Ofc Code]=(TRIM(S$7)))*(CkDJ[Account Code]=(TRIM($D54))),CkDJ[Debit])))+(SUM(IF((CsDJ[Ofc Code]=(TRIM(S$7)))*(CsDJ[Account Code]=(TRIM($D54))),CsDJ[Debit])))+(SUM(IF((CRDJ[Ofc Code]=(TRIM(S$7)))*(CRDJ[Account Code]=(TRIM($D54))),CRDJ[Debit])))+(SUM(IF((GJ[Ofc Code]=(TRIM(S$7)))*(GJ[Account Code]=(TRIM($D54))),GJ[Debit]))))-((SUM(IF((CkDJ[Ofc Code]=(TRIM(S$7)))*(CkDJ[Account Code]=(TRIM($D54))),CkDJ[Credit])))+(SUM(IF((CsDJ[Ofc Code]=(TRIM(S$7)))*(CsDJ[Account Code]=(TRIM($D54))),CsDJ[Credit])))+(SUM(IF((CRDJ[Ofc Code]=(TRIM(S$7)))*(CRDJ[Account Code]=(TRIM($D54))),CRDJ[Credit])))+(SUM(IF((GJ[Ofc Code]=(TRIM(S$7)))*(GJ[Account Code]=(TRIM($D54))),GJ[Credit]))))</f>
        <v>0</v>
      </c>
      <c r="T54" s="211">
        <f t="array" ref="T54">((SUM(IF((CkDJ[Ofc Code]=(TRIM(T$7)))*(CkDJ[Account Code]=(TRIM($D54))),CkDJ[Debit])))+(SUM(IF((CsDJ[Ofc Code]=(TRIM(T$7)))*(CsDJ[Account Code]=(TRIM($D54))),CsDJ[Debit])))+(SUM(IF((CRDJ[Ofc Code]=(TRIM(T$7)))*(CRDJ[Account Code]=(TRIM($D54))),CRDJ[Debit])))+(SUM(IF((GJ[Ofc Code]=(TRIM(T$7)))*(GJ[Account Code]=(TRIM($D54))),GJ[Debit]))))-((SUM(IF((CkDJ[Ofc Code]=(TRIM(T$7)))*(CkDJ[Account Code]=(TRIM($D54))),CkDJ[Credit])))+(SUM(IF((CsDJ[Ofc Code]=(TRIM(T$7)))*(CsDJ[Account Code]=(TRIM($D54))),CsDJ[Credit])))+(SUM(IF((CRDJ[Ofc Code]=(TRIM(T$7)))*(CRDJ[Account Code]=(TRIM($D54))),CRDJ[Credit])))+(SUM(IF((GJ[Ofc Code]=(TRIM(T$7)))*(GJ[Account Code]=(TRIM($D54))),GJ[Credit]))))</f>
        <v>0</v>
      </c>
      <c r="U54" s="211">
        <f t="shared" si="10"/>
        <v>0</v>
      </c>
      <c r="V54" s="211">
        <f t="shared" si="11"/>
        <v>0</v>
      </c>
    </row>
    <row r="55" spans="1:22" ht="15">
      <c r="A55" s="212">
        <f t="shared" si="12"/>
        <v>18</v>
      </c>
      <c r="B55" s="214" t="s">
        <v>756</v>
      </c>
      <c r="C55" s="194" t="str">
        <f t="shared" si="7"/>
        <v>Retirement and Life Insurance Premiums</v>
      </c>
      <c r="D55" s="215">
        <v>731</v>
      </c>
      <c r="E55" s="211">
        <f t="array" ref="E55">((SUM(IF((CkDJ[Ofc Code]=(TRIM(E$7)))*(CkDJ[Account Code]=(TRIM($D55))),CkDJ[Debit])))+(SUM(IF((CsDJ[Ofc Code]=(TRIM(E$7)))*(CsDJ[Account Code]=(TRIM($D55))),CsDJ[Debit])))+(SUM(IF((CRDJ[Ofc Code]=(TRIM(E$7)))*(CRDJ[Account Code]=(TRIM($D55))),CRDJ[Debit])))+(SUM(IF((GJ[Ofc Code]=(TRIM(E$7)))*(GJ[Account Code]=(TRIM($D55))),GJ[Debit]))))-((SUM(IF((CkDJ[Ofc Code]=(TRIM(E$7)))*(CkDJ[Account Code]=(TRIM($D55))),CkDJ[Credit])))+(SUM(IF((CsDJ[Ofc Code]=(TRIM(E$7)))*(CsDJ[Account Code]=(TRIM($D55))),CsDJ[Credit])))+(SUM(IF((CRDJ[Ofc Code]=(TRIM(E$7)))*(CRDJ[Account Code]=(TRIM($D55))),CRDJ[Credit])))+(SUM(IF((GJ[Ofc Code]=(TRIM(E$7)))*(GJ[Account Code]=(TRIM($D55))),GJ[Credit]))))</f>
        <v>0</v>
      </c>
      <c r="F55" s="211">
        <f t="array" ref="F55">((SUM(IF((CkDJ[Ofc Code]=(TRIM(F$7)))*(CkDJ[Account Code]=(TRIM($D55))),CkDJ[Debit])))+(SUM(IF((CsDJ[Ofc Code]=(TRIM(F$7)))*(CsDJ[Account Code]=(TRIM($D55))),CsDJ[Debit])))+(SUM(IF((CRDJ[Ofc Code]=(TRIM(F$7)))*(CRDJ[Account Code]=(TRIM($D55))),CRDJ[Debit])))+(SUM(IF((GJ[Ofc Code]=(TRIM(F$7)))*(GJ[Account Code]=(TRIM($D55))),GJ[Debit]))))-((SUM(IF((CkDJ[Ofc Code]=(TRIM(F$7)))*(CkDJ[Account Code]=(TRIM($D55))),CkDJ[Credit])))+(SUM(IF((CsDJ[Ofc Code]=(TRIM(F$7)))*(CsDJ[Account Code]=(TRIM($D55))),CsDJ[Credit])))+(SUM(IF((CRDJ[Ofc Code]=(TRIM(F$7)))*(CRDJ[Account Code]=(TRIM($D55))),CRDJ[Credit])))+(SUM(IF((GJ[Ofc Code]=(TRIM(F$7)))*(GJ[Account Code]=(TRIM($D55))),GJ[Credit]))))</f>
        <v>0</v>
      </c>
      <c r="G55" s="211">
        <f t="array" ref="G55">((SUM(IF((CkDJ[Ofc Code]=(TRIM(G$7)))*(CkDJ[Account Code]=(TRIM($D55))),CkDJ[Debit])))+(SUM(IF((CsDJ[Ofc Code]=(TRIM(G$7)))*(CsDJ[Account Code]=(TRIM($D55))),CsDJ[Debit])))+(SUM(IF((CRDJ[Ofc Code]=(TRIM(G$7)))*(CRDJ[Account Code]=(TRIM($D55))),CRDJ[Debit])))+(SUM(IF((GJ[Ofc Code]=(TRIM(G$7)))*(GJ[Account Code]=(TRIM($D55))),GJ[Debit]))))-((SUM(IF((CkDJ[Ofc Code]=(TRIM(G$7)))*(CkDJ[Account Code]=(TRIM($D55))),CkDJ[Credit])))+(SUM(IF((CsDJ[Ofc Code]=(TRIM(G$7)))*(CsDJ[Account Code]=(TRIM($D55))),CsDJ[Credit])))+(SUM(IF((CRDJ[Ofc Code]=(TRIM(G$7)))*(CRDJ[Account Code]=(TRIM($D55))),CRDJ[Credit])))+(SUM(IF((GJ[Ofc Code]=(TRIM(G$7)))*(GJ[Account Code]=(TRIM($D55))),GJ[Credit]))))</f>
        <v>0</v>
      </c>
      <c r="H55" s="211">
        <f t="array" ref="H55">((SUM(IF((CkDJ[Ofc Code]=(TRIM(H$7)))*(CkDJ[Account Code]=(TRIM($D55))),CkDJ[Debit])))+(SUM(IF((CsDJ[Ofc Code]=(TRIM(H$7)))*(CsDJ[Account Code]=(TRIM($D55))),CsDJ[Debit])))+(SUM(IF((CRDJ[Ofc Code]=(TRIM(H$7)))*(CRDJ[Account Code]=(TRIM($D55))),CRDJ[Debit])))+(SUM(IF((GJ[Ofc Code]=(TRIM(H$7)))*(GJ[Account Code]=(TRIM($D55))),GJ[Debit]))))-((SUM(IF((CkDJ[Ofc Code]=(TRIM(H$7)))*(CkDJ[Account Code]=(TRIM($D55))),CkDJ[Credit])))+(SUM(IF((CsDJ[Ofc Code]=(TRIM(H$7)))*(CsDJ[Account Code]=(TRIM($D55))),CsDJ[Credit])))+(SUM(IF((CRDJ[Ofc Code]=(TRIM(H$7)))*(CRDJ[Account Code]=(TRIM($D55))),CRDJ[Credit])))+(SUM(IF((GJ[Ofc Code]=(TRIM(H$7)))*(GJ[Account Code]=(TRIM($D55))),GJ[Credit]))))</f>
        <v>0</v>
      </c>
      <c r="I55" s="211">
        <f t="array" ref="I55">((SUM(IF((CkDJ[Ofc Code]=(TRIM(I$7)))*(CkDJ[Account Code]=(TRIM($D55))),CkDJ[Debit])))+(SUM(IF((CsDJ[Ofc Code]=(TRIM(I$7)))*(CsDJ[Account Code]=(TRIM($D55))),CsDJ[Debit])))+(SUM(IF((CRDJ[Ofc Code]=(TRIM(I$7)))*(CRDJ[Account Code]=(TRIM($D55))),CRDJ[Debit])))+(SUM(IF((GJ[Ofc Code]=(TRIM(I$7)))*(GJ[Account Code]=(TRIM($D55))),GJ[Debit]))))-((SUM(IF((CkDJ[Ofc Code]=(TRIM(I$7)))*(CkDJ[Account Code]=(TRIM($D55))),CkDJ[Credit])))+(SUM(IF((CsDJ[Ofc Code]=(TRIM(I$7)))*(CsDJ[Account Code]=(TRIM($D55))),CsDJ[Credit])))+(SUM(IF((CRDJ[Ofc Code]=(TRIM(I$7)))*(CRDJ[Account Code]=(TRIM($D55))),CRDJ[Credit])))+(SUM(IF((GJ[Ofc Code]=(TRIM(I$7)))*(GJ[Account Code]=(TRIM($D55))),GJ[Credit]))))</f>
        <v>0</v>
      </c>
      <c r="J55" s="211">
        <f t="shared" si="8"/>
        <v>0</v>
      </c>
      <c r="K55" s="211">
        <f t="array" ref="K55">((SUM(IF((CkDJ[Ofc Code]=(TRIM(K$7)))*(CkDJ[Account Code]=(TRIM($D55))),CkDJ[Debit])))+(SUM(IF((CsDJ[Ofc Code]=(TRIM(K$7)))*(CsDJ[Account Code]=(TRIM($D55))),CsDJ[Debit])))+(SUM(IF((CRDJ[Ofc Code]=(TRIM(K$7)))*(CRDJ[Account Code]=(TRIM($D55))),CRDJ[Debit])))+(SUM(IF((GJ[Ofc Code]=(TRIM(K$7)))*(GJ[Account Code]=(TRIM($D55))),GJ[Debit]))))-((SUM(IF((CkDJ[Ofc Code]=(TRIM(K$7)))*(CkDJ[Account Code]=(TRIM($D55))),CkDJ[Credit])))+(SUM(IF((CsDJ[Ofc Code]=(TRIM(K$7)))*(CsDJ[Account Code]=(TRIM($D55))),CsDJ[Credit])))+(SUM(IF((CRDJ[Ofc Code]=(TRIM(K$7)))*(CRDJ[Account Code]=(TRIM($D55))),CRDJ[Credit])))+(SUM(IF((GJ[Ofc Code]=(TRIM(K$7)))*(GJ[Account Code]=(TRIM($D55))),GJ[Credit]))))</f>
        <v>0</v>
      </c>
      <c r="L55" s="211">
        <f t="array" ref="L55">((SUM(IF((CkDJ[Ofc Code]=(TRIM(L$7)))*(CkDJ[Account Code]=(TRIM($D55))),CkDJ[Debit])))+(SUM(IF((CsDJ[Ofc Code]=(TRIM(L$7)))*(CsDJ[Account Code]=(TRIM($D55))),CsDJ[Debit])))+(SUM(IF((CRDJ[Ofc Code]=(TRIM(L$7)))*(CRDJ[Account Code]=(TRIM($D55))),CRDJ[Debit])))+(SUM(IF((GJ[Ofc Code]=(TRIM(L$7)))*(GJ[Account Code]=(TRIM($D55))),GJ[Debit]))))-((SUM(IF((CkDJ[Ofc Code]=(TRIM(L$7)))*(CkDJ[Account Code]=(TRIM($D55))),CkDJ[Credit])))+(SUM(IF((CsDJ[Ofc Code]=(TRIM(L$7)))*(CsDJ[Account Code]=(TRIM($D55))),CsDJ[Credit])))+(SUM(IF((CRDJ[Ofc Code]=(TRIM(L$7)))*(CRDJ[Account Code]=(TRIM($D55))),CRDJ[Credit])))+(SUM(IF((GJ[Ofc Code]=(TRIM(L$7)))*(GJ[Account Code]=(TRIM($D55))),GJ[Credit]))))</f>
        <v>0</v>
      </c>
      <c r="M55" s="211">
        <f t="array" ref="M55">((SUM(IF((CkDJ[Ofc Code]=(TRIM(M$7)))*(CkDJ[Account Code]=(TRIM($D55))),CkDJ[Debit])))+(SUM(IF((CsDJ[Ofc Code]=(TRIM(M$7)))*(CsDJ[Account Code]=(TRIM($D55))),CsDJ[Debit])))+(SUM(IF((CRDJ[Ofc Code]=(TRIM(M$7)))*(CRDJ[Account Code]=(TRIM($D55))),CRDJ[Debit])))+(SUM(IF((GJ[Ofc Code]=(TRIM(M$7)))*(GJ[Account Code]=(TRIM($D55))),GJ[Debit]))))-((SUM(IF((CkDJ[Ofc Code]=(TRIM(M$7)))*(CkDJ[Account Code]=(TRIM($D55))),CkDJ[Credit])))+(SUM(IF((CsDJ[Ofc Code]=(TRIM(M$7)))*(CsDJ[Account Code]=(TRIM($D55))),CsDJ[Credit])))+(SUM(IF((CRDJ[Ofc Code]=(TRIM(M$7)))*(CRDJ[Account Code]=(TRIM($D55))),CRDJ[Credit])))+(SUM(IF((GJ[Ofc Code]=(TRIM(M$7)))*(GJ[Account Code]=(TRIM($D55))),GJ[Credit]))))</f>
        <v>0</v>
      </c>
      <c r="N55" s="211">
        <f t="array" ref="N55">((SUM(IF((CkDJ[Ofc Code]=(TRIM(N$7)))*(CkDJ[Account Code]=(TRIM($D55))),CkDJ[Debit])))+(SUM(IF((CsDJ[Ofc Code]=(TRIM(N$7)))*(CsDJ[Account Code]=(TRIM($D55))),CsDJ[Debit])))+(SUM(IF((CRDJ[Ofc Code]=(TRIM(N$7)))*(CRDJ[Account Code]=(TRIM($D55))),CRDJ[Debit])))+(SUM(IF((GJ[Ofc Code]=(TRIM(N$7)))*(GJ[Account Code]=(TRIM($D55))),GJ[Debit]))))-((SUM(IF((CkDJ[Ofc Code]=(TRIM(N$7)))*(CkDJ[Account Code]=(TRIM($D55))),CkDJ[Credit])))+(SUM(IF((CsDJ[Ofc Code]=(TRIM(N$7)))*(CsDJ[Account Code]=(TRIM($D55))),CsDJ[Credit])))+(SUM(IF((CRDJ[Ofc Code]=(TRIM(N$7)))*(CRDJ[Account Code]=(TRIM($D55))),CRDJ[Credit])))+(SUM(IF((GJ[Ofc Code]=(TRIM(N$7)))*(GJ[Account Code]=(TRIM($D55))),GJ[Credit]))))</f>
        <v>0</v>
      </c>
      <c r="O55" s="211">
        <f t="shared" si="9"/>
        <v>0</v>
      </c>
      <c r="P55" s="211">
        <f t="array" ref="P55">((SUM(IF((CkDJ[Ofc Code]=(TRIM(P$7)))*(CkDJ[Account Code]=(TRIM($D55))),CkDJ[Debit])))+(SUM(IF((CsDJ[Ofc Code]=(TRIM(P$7)))*(CsDJ[Account Code]=(TRIM($D55))),CsDJ[Debit])))+(SUM(IF((CRDJ[Ofc Code]=(TRIM(P$7)))*(CRDJ[Account Code]=(TRIM($D55))),CRDJ[Debit])))+(SUM(IF((GJ[Ofc Code]=(TRIM(P$7)))*(GJ[Account Code]=(TRIM($D55))),GJ[Debit]))))-((SUM(IF((CkDJ[Ofc Code]=(TRIM(P$7)))*(CkDJ[Account Code]=(TRIM($D55))),CkDJ[Credit])))+(SUM(IF((CsDJ[Ofc Code]=(TRIM(P$7)))*(CsDJ[Account Code]=(TRIM($D55))),CsDJ[Credit])))+(SUM(IF((CRDJ[Ofc Code]=(TRIM(P$7)))*(CRDJ[Account Code]=(TRIM($D55))),CRDJ[Credit])))+(SUM(IF((GJ[Ofc Code]=(TRIM(P$7)))*(GJ[Account Code]=(TRIM($D55))),GJ[Credit]))))</f>
        <v>0</v>
      </c>
      <c r="Q55" s="211">
        <f t="array" ref="Q55">((SUM(IF((CkDJ[Ofc Code]=(TRIM(Q$7)))*(CkDJ[Account Code]=(TRIM($D55))),CkDJ[Debit])))+(SUM(IF((CsDJ[Ofc Code]=(TRIM(Q$7)))*(CsDJ[Account Code]=(TRIM($D55))),CsDJ[Debit])))+(SUM(IF((CRDJ[Ofc Code]=(TRIM(Q$7)))*(CRDJ[Account Code]=(TRIM($D55))),CRDJ[Debit])))+(SUM(IF((GJ[Ofc Code]=(TRIM(Q$7)))*(GJ[Account Code]=(TRIM($D55))),GJ[Debit]))))-((SUM(IF((CkDJ[Ofc Code]=(TRIM(Q$7)))*(CkDJ[Account Code]=(TRIM($D55))),CkDJ[Credit])))+(SUM(IF((CsDJ[Ofc Code]=(TRIM(Q$7)))*(CsDJ[Account Code]=(TRIM($D55))),CsDJ[Credit])))+(SUM(IF((CRDJ[Ofc Code]=(TRIM(Q$7)))*(CRDJ[Account Code]=(TRIM($D55))),CRDJ[Credit])))+(SUM(IF((GJ[Ofc Code]=(TRIM(Q$7)))*(GJ[Account Code]=(TRIM($D55))),GJ[Credit]))))</f>
        <v>0</v>
      </c>
      <c r="R55" s="211">
        <f t="array" ref="R55">((SUM(IF((CkDJ[Ofc Code]=(TRIM(R$7)))*(CkDJ[Account Code]=(TRIM($D55))),CkDJ[Debit])))+(SUM(IF((CsDJ[Ofc Code]=(TRIM(R$7)))*(CsDJ[Account Code]=(TRIM($D55))),CsDJ[Debit])))+(SUM(IF((CRDJ[Ofc Code]=(TRIM(R$7)))*(CRDJ[Account Code]=(TRIM($D55))),CRDJ[Debit])))+(SUM(IF((GJ[Ofc Code]=(TRIM(R$7)))*(GJ[Account Code]=(TRIM($D55))),GJ[Debit]))))-((SUM(IF((CkDJ[Ofc Code]=(TRIM(R$7)))*(CkDJ[Account Code]=(TRIM($D55))),CkDJ[Credit])))+(SUM(IF((CsDJ[Ofc Code]=(TRIM(R$7)))*(CsDJ[Account Code]=(TRIM($D55))),CsDJ[Credit])))+(SUM(IF((CRDJ[Ofc Code]=(TRIM(R$7)))*(CRDJ[Account Code]=(TRIM($D55))),CRDJ[Credit])))+(SUM(IF((GJ[Ofc Code]=(TRIM(R$7)))*(GJ[Account Code]=(TRIM($D55))),GJ[Credit]))))</f>
        <v>0</v>
      </c>
      <c r="S55" s="211">
        <f t="array" ref="S55">((SUM(IF((CkDJ[Ofc Code]=(TRIM(S$7)))*(CkDJ[Account Code]=(TRIM($D55))),CkDJ[Debit])))+(SUM(IF((CsDJ[Ofc Code]=(TRIM(S$7)))*(CsDJ[Account Code]=(TRIM($D55))),CsDJ[Debit])))+(SUM(IF((CRDJ[Ofc Code]=(TRIM(S$7)))*(CRDJ[Account Code]=(TRIM($D55))),CRDJ[Debit])))+(SUM(IF((GJ[Ofc Code]=(TRIM(S$7)))*(GJ[Account Code]=(TRIM($D55))),GJ[Debit]))))-((SUM(IF((CkDJ[Ofc Code]=(TRIM(S$7)))*(CkDJ[Account Code]=(TRIM($D55))),CkDJ[Credit])))+(SUM(IF((CsDJ[Ofc Code]=(TRIM(S$7)))*(CsDJ[Account Code]=(TRIM($D55))),CsDJ[Credit])))+(SUM(IF((CRDJ[Ofc Code]=(TRIM(S$7)))*(CRDJ[Account Code]=(TRIM($D55))),CRDJ[Credit])))+(SUM(IF((GJ[Ofc Code]=(TRIM(S$7)))*(GJ[Account Code]=(TRIM($D55))),GJ[Credit]))))</f>
        <v>0</v>
      </c>
      <c r="T55" s="211">
        <f t="array" ref="T55">((SUM(IF((CkDJ[Ofc Code]=(TRIM(T$7)))*(CkDJ[Account Code]=(TRIM($D55))),CkDJ[Debit])))+(SUM(IF((CsDJ[Ofc Code]=(TRIM(T$7)))*(CsDJ[Account Code]=(TRIM($D55))),CsDJ[Debit])))+(SUM(IF((CRDJ[Ofc Code]=(TRIM(T$7)))*(CRDJ[Account Code]=(TRIM($D55))),CRDJ[Debit])))+(SUM(IF((GJ[Ofc Code]=(TRIM(T$7)))*(GJ[Account Code]=(TRIM($D55))),GJ[Debit]))))-((SUM(IF((CkDJ[Ofc Code]=(TRIM(T$7)))*(CkDJ[Account Code]=(TRIM($D55))),CkDJ[Credit])))+(SUM(IF((CsDJ[Ofc Code]=(TRIM(T$7)))*(CsDJ[Account Code]=(TRIM($D55))),CsDJ[Credit])))+(SUM(IF((CRDJ[Ofc Code]=(TRIM(T$7)))*(CRDJ[Account Code]=(TRIM($D55))),CRDJ[Credit])))+(SUM(IF((GJ[Ofc Code]=(TRIM(T$7)))*(GJ[Account Code]=(TRIM($D55))),GJ[Credit]))))</f>
        <v>0</v>
      </c>
      <c r="U55" s="211">
        <f t="shared" si="10"/>
        <v>0</v>
      </c>
      <c r="V55" s="211">
        <f t="shared" si="11"/>
        <v>0</v>
      </c>
    </row>
    <row r="56" spans="1:22" ht="15">
      <c r="A56" s="212">
        <f t="shared" si="12"/>
        <v>19</v>
      </c>
      <c r="B56" s="214" t="s">
        <v>756</v>
      </c>
      <c r="C56" s="194" t="str">
        <f t="shared" si="7"/>
        <v>Pag-IBIG Contributions</v>
      </c>
      <c r="D56" s="215">
        <v>732</v>
      </c>
      <c r="E56" s="211">
        <f t="array" ref="E56">((SUM(IF((CkDJ[Ofc Code]=(TRIM(E$7)))*(CkDJ[Account Code]=(TRIM($D56))),CkDJ[Debit])))+(SUM(IF((CsDJ[Ofc Code]=(TRIM(E$7)))*(CsDJ[Account Code]=(TRIM($D56))),CsDJ[Debit])))+(SUM(IF((CRDJ[Ofc Code]=(TRIM(E$7)))*(CRDJ[Account Code]=(TRIM($D56))),CRDJ[Debit])))+(SUM(IF((GJ[Ofc Code]=(TRIM(E$7)))*(GJ[Account Code]=(TRIM($D56))),GJ[Debit]))))-((SUM(IF((CkDJ[Ofc Code]=(TRIM(E$7)))*(CkDJ[Account Code]=(TRIM($D56))),CkDJ[Credit])))+(SUM(IF((CsDJ[Ofc Code]=(TRIM(E$7)))*(CsDJ[Account Code]=(TRIM($D56))),CsDJ[Credit])))+(SUM(IF((CRDJ[Ofc Code]=(TRIM(E$7)))*(CRDJ[Account Code]=(TRIM($D56))),CRDJ[Credit])))+(SUM(IF((GJ[Ofc Code]=(TRIM(E$7)))*(GJ[Account Code]=(TRIM($D56))),GJ[Credit]))))</f>
        <v>0</v>
      </c>
      <c r="F56" s="211">
        <f t="array" ref="F56">((SUM(IF((CkDJ[Ofc Code]=(TRIM(F$7)))*(CkDJ[Account Code]=(TRIM($D56))),CkDJ[Debit])))+(SUM(IF((CsDJ[Ofc Code]=(TRIM(F$7)))*(CsDJ[Account Code]=(TRIM($D56))),CsDJ[Debit])))+(SUM(IF((CRDJ[Ofc Code]=(TRIM(F$7)))*(CRDJ[Account Code]=(TRIM($D56))),CRDJ[Debit])))+(SUM(IF((GJ[Ofc Code]=(TRIM(F$7)))*(GJ[Account Code]=(TRIM($D56))),GJ[Debit]))))-((SUM(IF((CkDJ[Ofc Code]=(TRIM(F$7)))*(CkDJ[Account Code]=(TRIM($D56))),CkDJ[Credit])))+(SUM(IF((CsDJ[Ofc Code]=(TRIM(F$7)))*(CsDJ[Account Code]=(TRIM($D56))),CsDJ[Credit])))+(SUM(IF((CRDJ[Ofc Code]=(TRIM(F$7)))*(CRDJ[Account Code]=(TRIM($D56))),CRDJ[Credit])))+(SUM(IF((GJ[Ofc Code]=(TRIM(F$7)))*(GJ[Account Code]=(TRIM($D56))),GJ[Credit]))))</f>
        <v>0</v>
      </c>
      <c r="G56" s="211">
        <f t="array" ref="G56">((SUM(IF((CkDJ[Ofc Code]=(TRIM(G$7)))*(CkDJ[Account Code]=(TRIM($D56))),CkDJ[Debit])))+(SUM(IF((CsDJ[Ofc Code]=(TRIM(G$7)))*(CsDJ[Account Code]=(TRIM($D56))),CsDJ[Debit])))+(SUM(IF((CRDJ[Ofc Code]=(TRIM(G$7)))*(CRDJ[Account Code]=(TRIM($D56))),CRDJ[Debit])))+(SUM(IF((GJ[Ofc Code]=(TRIM(G$7)))*(GJ[Account Code]=(TRIM($D56))),GJ[Debit]))))-((SUM(IF((CkDJ[Ofc Code]=(TRIM(G$7)))*(CkDJ[Account Code]=(TRIM($D56))),CkDJ[Credit])))+(SUM(IF((CsDJ[Ofc Code]=(TRIM(G$7)))*(CsDJ[Account Code]=(TRIM($D56))),CsDJ[Credit])))+(SUM(IF((CRDJ[Ofc Code]=(TRIM(G$7)))*(CRDJ[Account Code]=(TRIM($D56))),CRDJ[Credit])))+(SUM(IF((GJ[Ofc Code]=(TRIM(G$7)))*(GJ[Account Code]=(TRIM($D56))),GJ[Credit]))))</f>
        <v>0</v>
      </c>
      <c r="H56" s="211">
        <f t="array" ref="H56">((SUM(IF((CkDJ[Ofc Code]=(TRIM(H$7)))*(CkDJ[Account Code]=(TRIM($D56))),CkDJ[Debit])))+(SUM(IF((CsDJ[Ofc Code]=(TRIM(H$7)))*(CsDJ[Account Code]=(TRIM($D56))),CsDJ[Debit])))+(SUM(IF((CRDJ[Ofc Code]=(TRIM(H$7)))*(CRDJ[Account Code]=(TRIM($D56))),CRDJ[Debit])))+(SUM(IF((GJ[Ofc Code]=(TRIM(H$7)))*(GJ[Account Code]=(TRIM($D56))),GJ[Debit]))))-((SUM(IF((CkDJ[Ofc Code]=(TRIM(H$7)))*(CkDJ[Account Code]=(TRIM($D56))),CkDJ[Credit])))+(SUM(IF((CsDJ[Ofc Code]=(TRIM(H$7)))*(CsDJ[Account Code]=(TRIM($D56))),CsDJ[Credit])))+(SUM(IF((CRDJ[Ofc Code]=(TRIM(H$7)))*(CRDJ[Account Code]=(TRIM($D56))),CRDJ[Credit])))+(SUM(IF((GJ[Ofc Code]=(TRIM(H$7)))*(GJ[Account Code]=(TRIM($D56))),GJ[Credit]))))</f>
        <v>0</v>
      </c>
      <c r="I56" s="211">
        <f t="array" ref="I56">((SUM(IF((CkDJ[Ofc Code]=(TRIM(I$7)))*(CkDJ[Account Code]=(TRIM($D56))),CkDJ[Debit])))+(SUM(IF((CsDJ[Ofc Code]=(TRIM(I$7)))*(CsDJ[Account Code]=(TRIM($D56))),CsDJ[Debit])))+(SUM(IF((CRDJ[Ofc Code]=(TRIM(I$7)))*(CRDJ[Account Code]=(TRIM($D56))),CRDJ[Debit])))+(SUM(IF((GJ[Ofc Code]=(TRIM(I$7)))*(GJ[Account Code]=(TRIM($D56))),GJ[Debit]))))-((SUM(IF((CkDJ[Ofc Code]=(TRIM(I$7)))*(CkDJ[Account Code]=(TRIM($D56))),CkDJ[Credit])))+(SUM(IF((CsDJ[Ofc Code]=(TRIM(I$7)))*(CsDJ[Account Code]=(TRIM($D56))),CsDJ[Credit])))+(SUM(IF((CRDJ[Ofc Code]=(TRIM(I$7)))*(CRDJ[Account Code]=(TRIM($D56))),CRDJ[Credit])))+(SUM(IF((GJ[Ofc Code]=(TRIM(I$7)))*(GJ[Account Code]=(TRIM($D56))),GJ[Credit]))))</f>
        <v>0</v>
      </c>
      <c r="J56" s="211">
        <f t="shared" si="8"/>
        <v>0</v>
      </c>
      <c r="K56" s="211">
        <f t="array" ref="K56">((SUM(IF((CkDJ[Ofc Code]=(TRIM(K$7)))*(CkDJ[Account Code]=(TRIM($D56))),CkDJ[Debit])))+(SUM(IF((CsDJ[Ofc Code]=(TRIM(K$7)))*(CsDJ[Account Code]=(TRIM($D56))),CsDJ[Debit])))+(SUM(IF((CRDJ[Ofc Code]=(TRIM(K$7)))*(CRDJ[Account Code]=(TRIM($D56))),CRDJ[Debit])))+(SUM(IF((GJ[Ofc Code]=(TRIM(K$7)))*(GJ[Account Code]=(TRIM($D56))),GJ[Debit]))))-((SUM(IF((CkDJ[Ofc Code]=(TRIM(K$7)))*(CkDJ[Account Code]=(TRIM($D56))),CkDJ[Credit])))+(SUM(IF((CsDJ[Ofc Code]=(TRIM(K$7)))*(CsDJ[Account Code]=(TRIM($D56))),CsDJ[Credit])))+(SUM(IF((CRDJ[Ofc Code]=(TRIM(K$7)))*(CRDJ[Account Code]=(TRIM($D56))),CRDJ[Credit])))+(SUM(IF((GJ[Ofc Code]=(TRIM(K$7)))*(GJ[Account Code]=(TRIM($D56))),GJ[Credit]))))</f>
        <v>0</v>
      </c>
      <c r="L56" s="211">
        <f t="array" ref="L56">((SUM(IF((CkDJ[Ofc Code]=(TRIM(L$7)))*(CkDJ[Account Code]=(TRIM($D56))),CkDJ[Debit])))+(SUM(IF((CsDJ[Ofc Code]=(TRIM(L$7)))*(CsDJ[Account Code]=(TRIM($D56))),CsDJ[Debit])))+(SUM(IF((CRDJ[Ofc Code]=(TRIM(L$7)))*(CRDJ[Account Code]=(TRIM($D56))),CRDJ[Debit])))+(SUM(IF((GJ[Ofc Code]=(TRIM(L$7)))*(GJ[Account Code]=(TRIM($D56))),GJ[Debit]))))-((SUM(IF((CkDJ[Ofc Code]=(TRIM(L$7)))*(CkDJ[Account Code]=(TRIM($D56))),CkDJ[Credit])))+(SUM(IF((CsDJ[Ofc Code]=(TRIM(L$7)))*(CsDJ[Account Code]=(TRIM($D56))),CsDJ[Credit])))+(SUM(IF((CRDJ[Ofc Code]=(TRIM(L$7)))*(CRDJ[Account Code]=(TRIM($D56))),CRDJ[Credit])))+(SUM(IF((GJ[Ofc Code]=(TRIM(L$7)))*(GJ[Account Code]=(TRIM($D56))),GJ[Credit]))))</f>
        <v>0</v>
      </c>
      <c r="M56" s="211">
        <f t="array" ref="M56">((SUM(IF((CkDJ[Ofc Code]=(TRIM(M$7)))*(CkDJ[Account Code]=(TRIM($D56))),CkDJ[Debit])))+(SUM(IF((CsDJ[Ofc Code]=(TRIM(M$7)))*(CsDJ[Account Code]=(TRIM($D56))),CsDJ[Debit])))+(SUM(IF((CRDJ[Ofc Code]=(TRIM(M$7)))*(CRDJ[Account Code]=(TRIM($D56))),CRDJ[Debit])))+(SUM(IF((GJ[Ofc Code]=(TRIM(M$7)))*(GJ[Account Code]=(TRIM($D56))),GJ[Debit]))))-((SUM(IF((CkDJ[Ofc Code]=(TRIM(M$7)))*(CkDJ[Account Code]=(TRIM($D56))),CkDJ[Credit])))+(SUM(IF((CsDJ[Ofc Code]=(TRIM(M$7)))*(CsDJ[Account Code]=(TRIM($D56))),CsDJ[Credit])))+(SUM(IF((CRDJ[Ofc Code]=(TRIM(M$7)))*(CRDJ[Account Code]=(TRIM($D56))),CRDJ[Credit])))+(SUM(IF((GJ[Ofc Code]=(TRIM(M$7)))*(GJ[Account Code]=(TRIM($D56))),GJ[Credit]))))</f>
        <v>0</v>
      </c>
      <c r="N56" s="211">
        <f t="array" ref="N56">((SUM(IF((CkDJ[Ofc Code]=(TRIM(N$7)))*(CkDJ[Account Code]=(TRIM($D56))),CkDJ[Debit])))+(SUM(IF((CsDJ[Ofc Code]=(TRIM(N$7)))*(CsDJ[Account Code]=(TRIM($D56))),CsDJ[Debit])))+(SUM(IF((CRDJ[Ofc Code]=(TRIM(N$7)))*(CRDJ[Account Code]=(TRIM($D56))),CRDJ[Debit])))+(SUM(IF((GJ[Ofc Code]=(TRIM(N$7)))*(GJ[Account Code]=(TRIM($D56))),GJ[Debit]))))-((SUM(IF((CkDJ[Ofc Code]=(TRIM(N$7)))*(CkDJ[Account Code]=(TRIM($D56))),CkDJ[Credit])))+(SUM(IF((CsDJ[Ofc Code]=(TRIM(N$7)))*(CsDJ[Account Code]=(TRIM($D56))),CsDJ[Credit])))+(SUM(IF((CRDJ[Ofc Code]=(TRIM(N$7)))*(CRDJ[Account Code]=(TRIM($D56))),CRDJ[Credit])))+(SUM(IF((GJ[Ofc Code]=(TRIM(N$7)))*(GJ[Account Code]=(TRIM($D56))),GJ[Credit]))))</f>
        <v>0</v>
      </c>
      <c r="O56" s="211">
        <f t="shared" si="9"/>
        <v>0</v>
      </c>
      <c r="P56" s="211">
        <f t="array" ref="P56">((SUM(IF((CkDJ[Ofc Code]=(TRIM(P$7)))*(CkDJ[Account Code]=(TRIM($D56))),CkDJ[Debit])))+(SUM(IF((CsDJ[Ofc Code]=(TRIM(P$7)))*(CsDJ[Account Code]=(TRIM($D56))),CsDJ[Debit])))+(SUM(IF((CRDJ[Ofc Code]=(TRIM(P$7)))*(CRDJ[Account Code]=(TRIM($D56))),CRDJ[Debit])))+(SUM(IF((GJ[Ofc Code]=(TRIM(P$7)))*(GJ[Account Code]=(TRIM($D56))),GJ[Debit]))))-((SUM(IF((CkDJ[Ofc Code]=(TRIM(P$7)))*(CkDJ[Account Code]=(TRIM($D56))),CkDJ[Credit])))+(SUM(IF((CsDJ[Ofc Code]=(TRIM(P$7)))*(CsDJ[Account Code]=(TRIM($D56))),CsDJ[Credit])))+(SUM(IF((CRDJ[Ofc Code]=(TRIM(P$7)))*(CRDJ[Account Code]=(TRIM($D56))),CRDJ[Credit])))+(SUM(IF((GJ[Ofc Code]=(TRIM(P$7)))*(GJ[Account Code]=(TRIM($D56))),GJ[Credit]))))</f>
        <v>0</v>
      </c>
      <c r="Q56" s="211">
        <f t="array" ref="Q56">((SUM(IF((CkDJ[Ofc Code]=(TRIM(Q$7)))*(CkDJ[Account Code]=(TRIM($D56))),CkDJ[Debit])))+(SUM(IF((CsDJ[Ofc Code]=(TRIM(Q$7)))*(CsDJ[Account Code]=(TRIM($D56))),CsDJ[Debit])))+(SUM(IF((CRDJ[Ofc Code]=(TRIM(Q$7)))*(CRDJ[Account Code]=(TRIM($D56))),CRDJ[Debit])))+(SUM(IF((GJ[Ofc Code]=(TRIM(Q$7)))*(GJ[Account Code]=(TRIM($D56))),GJ[Debit]))))-((SUM(IF((CkDJ[Ofc Code]=(TRIM(Q$7)))*(CkDJ[Account Code]=(TRIM($D56))),CkDJ[Credit])))+(SUM(IF((CsDJ[Ofc Code]=(TRIM(Q$7)))*(CsDJ[Account Code]=(TRIM($D56))),CsDJ[Credit])))+(SUM(IF((CRDJ[Ofc Code]=(TRIM(Q$7)))*(CRDJ[Account Code]=(TRIM($D56))),CRDJ[Credit])))+(SUM(IF((GJ[Ofc Code]=(TRIM(Q$7)))*(GJ[Account Code]=(TRIM($D56))),GJ[Credit]))))</f>
        <v>0</v>
      </c>
      <c r="R56" s="211">
        <f t="array" ref="R56">((SUM(IF((CkDJ[Ofc Code]=(TRIM(R$7)))*(CkDJ[Account Code]=(TRIM($D56))),CkDJ[Debit])))+(SUM(IF((CsDJ[Ofc Code]=(TRIM(R$7)))*(CsDJ[Account Code]=(TRIM($D56))),CsDJ[Debit])))+(SUM(IF((CRDJ[Ofc Code]=(TRIM(R$7)))*(CRDJ[Account Code]=(TRIM($D56))),CRDJ[Debit])))+(SUM(IF((GJ[Ofc Code]=(TRIM(R$7)))*(GJ[Account Code]=(TRIM($D56))),GJ[Debit]))))-((SUM(IF((CkDJ[Ofc Code]=(TRIM(R$7)))*(CkDJ[Account Code]=(TRIM($D56))),CkDJ[Credit])))+(SUM(IF((CsDJ[Ofc Code]=(TRIM(R$7)))*(CsDJ[Account Code]=(TRIM($D56))),CsDJ[Credit])))+(SUM(IF((CRDJ[Ofc Code]=(TRIM(R$7)))*(CRDJ[Account Code]=(TRIM($D56))),CRDJ[Credit])))+(SUM(IF((GJ[Ofc Code]=(TRIM(R$7)))*(GJ[Account Code]=(TRIM($D56))),GJ[Credit]))))</f>
        <v>0</v>
      </c>
      <c r="S56" s="211">
        <f t="array" ref="S56">((SUM(IF((CkDJ[Ofc Code]=(TRIM(S$7)))*(CkDJ[Account Code]=(TRIM($D56))),CkDJ[Debit])))+(SUM(IF((CsDJ[Ofc Code]=(TRIM(S$7)))*(CsDJ[Account Code]=(TRIM($D56))),CsDJ[Debit])))+(SUM(IF((CRDJ[Ofc Code]=(TRIM(S$7)))*(CRDJ[Account Code]=(TRIM($D56))),CRDJ[Debit])))+(SUM(IF((GJ[Ofc Code]=(TRIM(S$7)))*(GJ[Account Code]=(TRIM($D56))),GJ[Debit]))))-((SUM(IF((CkDJ[Ofc Code]=(TRIM(S$7)))*(CkDJ[Account Code]=(TRIM($D56))),CkDJ[Credit])))+(SUM(IF((CsDJ[Ofc Code]=(TRIM(S$7)))*(CsDJ[Account Code]=(TRIM($D56))),CsDJ[Credit])))+(SUM(IF((CRDJ[Ofc Code]=(TRIM(S$7)))*(CRDJ[Account Code]=(TRIM($D56))),CRDJ[Credit])))+(SUM(IF((GJ[Ofc Code]=(TRIM(S$7)))*(GJ[Account Code]=(TRIM($D56))),GJ[Credit]))))</f>
        <v>0</v>
      </c>
      <c r="T56" s="211">
        <f t="array" ref="T56">((SUM(IF((CkDJ[Ofc Code]=(TRIM(T$7)))*(CkDJ[Account Code]=(TRIM($D56))),CkDJ[Debit])))+(SUM(IF((CsDJ[Ofc Code]=(TRIM(T$7)))*(CsDJ[Account Code]=(TRIM($D56))),CsDJ[Debit])))+(SUM(IF((CRDJ[Ofc Code]=(TRIM(T$7)))*(CRDJ[Account Code]=(TRIM($D56))),CRDJ[Debit])))+(SUM(IF((GJ[Ofc Code]=(TRIM(T$7)))*(GJ[Account Code]=(TRIM($D56))),GJ[Debit]))))-((SUM(IF((CkDJ[Ofc Code]=(TRIM(T$7)))*(CkDJ[Account Code]=(TRIM($D56))),CkDJ[Credit])))+(SUM(IF((CsDJ[Ofc Code]=(TRIM(T$7)))*(CsDJ[Account Code]=(TRIM($D56))),CsDJ[Credit])))+(SUM(IF((CRDJ[Ofc Code]=(TRIM(T$7)))*(CRDJ[Account Code]=(TRIM($D56))),CRDJ[Credit])))+(SUM(IF((GJ[Ofc Code]=(TRIM(T$7)))*(GJ[Account Code]=(TRIM($D56))),GJ[Credit]))))</f>
        <v>0</v>
      </c>
      <c r="U56" s="211">
        <f t="shared" si="10"/>
        <v>0</v>
      </c>
      <c r="V56" s="211">
        <f t="shared" si="11"/>
        <v>0</v>
      </c>
    </row>
    <row r="57" spans="1:22" ht="15">
      <c r="A57" s="212">
        <f t="shared" si="12"/>
        <v>20</v>
      </c>
      <c r="B57" s="214" t="s">
        <v>756</v>
      </c>
      <c r="C57" s="194" t="str">
        <f t="shared" si="7"/>
        <v>PhilHealth Contributions</v>
      </c>
      <c r="D57" s="215">
        <v>733</v>
      </c>
      <c r="E57" s="211">
        <f t="array" ref="E57">((SUM(IF((CkDJ[Ofc Code]=(TRIM(E$7)))*(CkDJ[Account Code]=(TRIM($D57))),CkDJ[Debit])))+(SUM(IF((CsDJ[Ofc Code]=(TRIM(E$7)))*(CsDJ[Account Code]=(TRIM($D57))),CsDJ[Debit])))+(SUM(IF((CRDJ[Ofc Code]=(TRIM(E$7)))*(CRDJ[Account Code]=(TRIM($D57))),CRDJ[Debit])))+(SUM(IF((GJ[Ofc Code]=(TRIM(E$7)))*(GJ[Account Code]=(TRIM($D57))),GJ[Debit]))))-((SUM(IF((CkDJ[Ofc Code]=(TRIM(E$7)))*(CkDJ[Account Code]=(TRIM($D57))),CkDJ[Credit])))+(SUM(IF((CsDJ[Ofc Code]=(TRIM(E$7)))*(CsDJ[Account Code]=(TRIM($D57))),CsDJ[Credit])))+(SUM(IF((CRDJ[Ofc Code]=(TRIM(E$7)))*(CRDJ[Account Code]=(TRIM($D57))),CRDJ[Credit])))+(SUM(IF((GJ[Ofc Code]=(TRIM(E$7)))*(GJ[Account Code]=(TRIM($D57))),GJ[Credit]))))</f>
        <v>0</v>
      </c>
      <c r="F57" s="211">
        <f t="array" ref="F57">((SUM(IF((CkDJ[Ofc Code]=(TRIM(F$7)))*(CkDJ[Account Code]=(TRIM($D57))),CkDJ[Debit])))+(SUM(IF((CsDJ[Ofc Code]=(TRIM(F$7)))*(CsDJ[Account Code]=(TRIM($D57))),CsDJ[Debit])))+(SUM(IF((CRDJ[Ofc Code]=(TRIM(F$7)))*(CRDJ[Account Code]=(TRIM($D57))),CRDJ[Debit])))+(SUM(IF((GJ[Ofc Code]=(TRIM(F$7)))*(GJ[Account Code]=(TRIM($D57))),GJ[Debit]))))-((SUM(IF((CkDJ[Ofc Code]=(TRIM(F$7)))*(CkDJ[Account Code]=(TRIM($D57))),CkDJ[Credit])))+(SUM(IF((CsDJ[Ofc Code]=(TRIM(F$7)))*(CsDJ[Account Code]=(TRIM($D57))),CsDJ[Credit])))+(SUM(IF((CRDJ[Ofc Code]=(TRIM(F$7)))*(CRDJ[Account Code]=(TRIM($D57))),CRDJ[Credit])))+(SUM(IF((GJ[Ofc Code]=(TRIM(F$7)))*(GJ[Account Code]=(TRIM($D57))),GJ[Credit]))))</f>
        <v>0</v>
      </c>
      <c r="G57" s="211">
        <f t="array" ref="G57">((SUM(IF((CkDJ[Ofc Code]=(TRIM(G$7)))*(CkDJ[Account Code]=(TRIM($D57))),CkDJ[Debit])))+(SUM(IF((CsDJ[Ofc Code]=(TRIM(G$7)))*(CsDJ[Account Code]=(TRIM($D57))),CsDJ[Debit])))+(SUM(IF((CRDJ[Ofc Code]=(TRIM(G$7)))*(CRDJ[Account Code]=(TRIM($D57))),CRDJ[Debit])))+(SUM(IF((GJ[Ofc Code]=(TRIM(G$7)))*(GJ[Account Code]=(TRIM($D57))),GJ[Debit]))))-((SUM(IF((CkDJ[Ofc Code]=(TRIM(G$7)))*(CkDJ[Account Code]=(TRIM($D57))),CkDJ[Credit])))+(SUM(IF((CsDJ[Ofc Code]=(TRIM(G$7)))*(CsDJ[Account Code]=(TRIM($D57))),CsDJ[Credit])))+(SUM(IF((CRDJ[Ofc Code]=(TRIM(G$7)))*(CRDJ[Account Code]=(TRIM($D57))),CRDJ[Credit])))+(SUM(IF((GJ[Ofc Code]=(TRIM(G$7)))*(GJ[Account Code]=(TRIM($D57))),GJ[Credit]))))</f>
        <v>0</v>
      </c>
      <c r="H57" s="211">
        <f t="array" ref="H57">((SUM(IF((CkDJ[Ofc Code]=(TRIM(H$7)))*(CkDJ[Account Code]=(TRIM($D57))),CkDJ[Debit])))+(SUM(IF((CsDJ[Ofc Code]=(TRIM(H$7)))*(CsDJ[Account Code]=(TRIM($D57))),CsDJ[Debit])))+(SUM(IF((CRDJ[Ofc Code]=(TRIM(H$7)))*(CRDJ[Account Code]=(TRIM($D57))),CRDJ[Debit])))+(SUM(IF((GJ[Ofc Code]=(TRIM(H$7)))*(GJ[Account Code]=(TRIM($D57))),GJ[Debit]))))-((SUM(IF((CkDJ[Ofc Code]=(TRIM(H$7)))*(CkDJ[Account Code]=(TRIM($D57))),CkDJ[Credit])))+(SUM(IF((CsDJ[Ofc Code]=(TRIM(H$7)))*(CsDJ[Account Code]=(TRIM($D57))),CsDJ[Credit])))+(SUM(IF((CRDJ[Ofc Code]=(TRIM(H$7)))*(CRDJ[Account Code]=(TRIM($D57))),CRDJ[Credit])))+(SUM(IF((GJ[Ofc Code]=(TRIM(H$7)))*(GJ[Account Code]=(TRIM($D57))),GJ[Credit]))))</f>
        <v>0</v>
      </c>
      <c r="I57" s="211">
        <f t="array" ref="I57">((SUM(IF((CkDJ[Ofc Code]=(TRIM(I$7)))*(CkDJ[Account Code]=(TRIM($D57))),CkDJ[Debit])))+(SUM(IF((CsDJ[Ofc Code]=(TRIM(I$7)))*(CsDJ[Account Code]=(TRIM($D57))),CsDJ[Debit])))+(SUM(IF((CRDJ[Ofc Code]=(TRIM(I$7)))*(CRDJ[Account Code]=(TRIM($D57))),CRDJ[Debit])))+(SUM(IF((GJ[Ofc Code]=(TRIM(I$7)))*(GJ[Account Code]=(TRIM($D57))),GJ[Debit]))))-((SUM(IF((CkDJ[Ofc Code]=(TRIM(I$7)))*(CkDJ[Account Code]=(TRIM($D57))),CkDJ[Credit])))+(SUM(IF((CsDJ[Ofc Code]=(TRIM(I$7)))*(CsDJ[Account Code]=(TRIM($D57))),CsDJ[Credit])))+(SUM(IF((CRDJ[Ofc Code]=(TRIM(I$7)))*(CRDJ[Account Code]=(TRIM($D57))),CRDJ[Credit])))+(SUM(IF((GJ[Ofc Code]=(TRIM(I$7)))*(GJ[Account Code]=(TRIM($D57))),GJ[Credit]))))</f>
        <v>0</v>
      </c>
      <c r="J57" s="211">
        <f t="shared" si="8"/>
        <v>0</v>
      </c>
      <c r="K57" s="211">
        <f t="array" ref="K57">((SUM(IF((CkDJ[Ofc Code]=(TRIM(K$7)))*(CkDJ[Account Code]=(TRIM($D57))),CkDJ[Debit])))+(SUM(IF((CsDJ[Ofc Code]=(TRIM(K$7)))*(CsDJ[Account Code]=(TRIM($D57))),CsDJ[Debit])))+(SUM(IF((CRDJ[Ofc Code]=(TRIM(K$7)))*(CRDJ[Account Code]=(TRIM($D57))),CRDJ[Debit])))+(SUM(IF((GJ[Ofc Code]=(TRIM(K$7)))*(GJ[Account Code]=(TRIM($D57))),GJ[Debit]))))-((SUM(IF((CkDJ[Ofc Code]=(TRIM(K$7)))*(CkDJ[Account Code]=(TRIM($D57))),CkDJ[Credit])))+(SUM(IF((CsDJ[Ofc Code]=(TRIM(K$7)))*(CsDJ[Account Code]=(TRIM($D57))),CsDJ[Credit])))+(SUM(IF((CRDJ[Ofc Code]=(TRIM(K$7)))*(CRDJ[Account Code]=(TRIM($D57))),CRDJ[Credit])))+(SUM(IF((GJ[Ofc Code]=(TRIM(K$7)))*(GJ[Account Code]=(TRIM($D57))),GJ[Credit]))))</f>
        <v>0</v>
      </c>
      <c r="L57" s="211">
        <f t="array" ref="L57">((SUM(IF((CkDJ[Ofc Code]=(TRIM(L$7)))*(CkDJ[Account Code]=(TRIM($D57))),CkDJ[Debit])))+(SUM(IF((CsDJ[Ofc Code]=(TRIM(L$7)))*(CsDJ[Account Code]=(TRIM($D57))),CsDJ[Debit])))+(SUM(IF((CRDJ[Ofc Code]=(TRIM(L$7)))*(CRDJ[Account Code]=(TRIM($D57))),CRDJ[Debit])))+(SUM(IF((GJ[Ofc Code]=(TRIM(L$7)))*(GJ[Account Code]=(TRIM($D57))),GJ[Debit]))))-((SUM(IF((CkDJ[Ofc Code]=(TRIM(L$7)))*(CkDJ[Account Code]=(TRIM($D57))),CkDJ[Credit])))+(SUM(IF((CsDJ[Ofc Code]=(TRIM(L$7)))*(CsDJ[Account Code]=(TRIM($D57))),CsDJ[Credit])))+(SUM(IF((CRDJ[Ofc Code]=(TRIM(L$7)))*(CRDJ[Account Code]=(TRIM($D57))),CRDJ[Credit])))+(SUM(IF((GJ[Ofc Code]=(TRIM(L$7)))*(GJ[Account Code]=(TRIM($D57))),GJ[Credit]))))</f>
        <v>0</v>
      </c>
      <c r="M57" s="211">
        <f t="array" ref="M57">((SUM(IF((CkDJ[Ofc Code]=(TRIM(M$7)))*(CkDJ[Account Code]=(TRIM($D57))),CkDJ[Debit])))+(SUM(IF((CsDJ[Ofc Code]=(TRIM(M$7)))*(CsDJ[Account Code]=(TRIM($D57))),CsDJ[Debit])))+(SUM(IF((CRDJ[Ofc Code]=(TRIM(M$7)))*(CRDJ[Account Code]=(TRIM($D57))),CRDJ[Debit])))+(SUM(IF((GJ[Ofc Code]=(TRIM(M$7)))*(GJ[Account Code]=(TRIM($D57))),GJ[Debit]))))-((SUM(IF((CkDJ[Ofc Code]=(TRIM(M$7)))*(CkDJ[Account Code]=(TRIM($D57))),CkDJ[Credit])))+(SUM(IF((CsDJ[Ofc Code]=(TRIM(M$7)))*(CsDJ[Account Code]=(TRIM($D57))),CsDJ[Credit])))+(SUM(IF((CRDJ[Ofc Code]=(TRIM(M$7)))*(CRDJ[Account Code]=(TRIM($D57))),CRDJ[Credit])))+(SUM(IF((GJ[Ofc Code]=(TRIM(M$7)))*(GJ[Account Code]=(TRIM($D57))),GJ[Credit]))))</f>
        <v>0</v>
      </c>
      <c r="N57" s="211">
        <f t="array" ref="N57">((SUM(IF((CkDJ[Ofc Code]=(TRIM(N$7)))*(CkDJ[Account Code]=(TRIM($D57))),CkDJ[Debit])))+(SUM(IF((CsDJ[Ofc Code]=(TRIM(N$7)))*(CsDJ[Account Code]=(TRIM($D57))),CsDJ[Debit])))+(SUM(IF((CRDJ[Ofc Code]=(TRIM(N$7)))*(CRDJ[Account Code]=(TRIM($D57))),CRDJ[Debit])))+(SUM(IF((GJ[Ofc Code]=(TRIM(N$7)))*(GJ[Account Code]=(TRIM($D57))),GJ[Debit]))))-((SUM(IF((CkDJ[Ofc Code]=(TRIM(N$7)))*(CkDJ[Account Code]=(TRIM($D57))),CkDJ[Credit])))+(SUM(IF((CsDJ[Ofc Code]=(TRIM(N$7)))*(CsDJ[Account Code]=(TRIM($D57))),CsDJ[Credit])))+(SUM(IF((CRDJ[Ofc Code]=(TRIM(N$7)))*(CRDJ[Account Code]=(TRIM($D57))),CRDJ[Credit])))+(SUM(IF((GJ[Ofc Code]=(TRIM(N$7)))*(GJ[Account Code]=(TRIM($D57))),GJ[Credit]))))</f>
        <v>0</v>
      </c>
      <c r="O57" s="211">
        <f t="shared" si="9"/>
        <v>0</v>
      </c>
      <c r="P57" s="211">
        <f t="array" ref="P57">((SUM(IF((CkDJ[Ofc Code]=(TRIM(P$7)))*(CkDJ[Account Code]=(TRIM($D57))),CkDJ[Debit])))+(SUM(IF((CsDJ[Ofc Code]=(TRIM(P$7)))*(CsDJ[Account Code]=(TRIM($D57))),CsDJ[Debit])))+(SUM(IF((CRDJ[Ofc Code]=(TRIM(P$7)))*(CRDJ[Account Code]=(TRIM($D57))),CRDJ[Debit])))+(SUM(IF((GJ[Ofc Code]=(TRIM(P$7)))*(GJ[Account Code]=(TRIM($D57))),GJ[Debit]))))-((SUM(IF((CkDJ[Ofc Code]=(TRIM(P$7)))*(CkDJ[Account Code]=(TRIM($D57))),CkDJ[Credit])))+(SUM(IF((CsDJ[Ofc Code]=(TRIM(P$7)))*(CsDJ[Account Code]=(TRIM($D57))),CsDJ[Credit])))+(SUM(IF((CRDJ[Ofc Code]=(TRIM(P$7)))*(CRDJ[Account Code]=(TRIM($D57))),CRDJ[Credit])))+(SUM(IF((GJ[Ofc Code]=(TRIM(P$7)))*(GJ[Account Code]=(TRIM($D57))),GJ[Credit]))))</f>
        <v>0</v>
      </c>
      <c r="Q57" s="211">
        <f t="array" ref="Q57">((SUM(IF((CkDJ[Ofc Code]=(TRIM(Q$7)))*(CkDJ[Account Code]=(TRIM($D57))),CkDJ[Debit])))+(SUM(IF((CsDJ[Ofc Code]=(TRIM(Q$7)))*(CsDJ[Account Code]=(TRIM($D57))),CsDJ[Debit])))+(SUM(IF((CRDJ[Ofc Code]=(TRIM(Q$7)))*(CRDJ[Account Code]=(TRIM($D57))),CRDJ[Debit])))+(SUM(IF((GJ[Ofc Code]=(TRIM(Q$7)))*(GJ[Account Code]=(TRIM($D57))),GJ[Debit]))))-((SUM(IF((CkDJ[Ofc Code]=(TRIM(Q$7)))*(CkDJ[Account Code]=(TRIM($D57))),CkDJ[Credit])))+(SUM(IF((CsDJ[Ofc Code]=(TRIM(Q$7)))*(CsDJ[Account Code]=(TRIM($D57))),CsDJ[Credit])))+(SUM(IF((CRDJ[Ofc Code]=(TRIM(Q$7)))*(CRDJ[Account Code]=(TRIM($D57))),CRDJ[Credit])))+(SUM(IF((GJ[Ofc Code]=(TRIM(Q$7)))*(GJ[Account Code]=(TRIM($D57))),GJ[Credit]))))</f>
        <v>0</v>
      </c>
      <c r="R57" s="211">
        <f t="array" ref="R57">((SUM(IF((CkDJ[Ofc Code]=(TRIM(R$7)))*(CkDJ[Account Code]=(TRIM($D57))),CkDJ[Debit])))+(SUM(IF((CsDJ[Ofc Code]=(TRIM(R$7)))*(CsDJ[Account Code]=(TRIM($D57))),CsDJ[Debit])))+(SUM(IF((CRDJ[Ofc Code]=(TRIM(R$7)))*(CRDJ[Account Code]=(TRIM($D57))),CRDJ[Debit])))+(SUM(IF((GJ[Ofc Code]=(TRIM(R$7)))*(GJ[Account Code]=(TRIM($D57))),GJ[Debit]))))-((SUM(IF((CkDJ[Ofc Code]=(TRIM(R$7)))*(CkDJ[Account Code]=(TRIM($D57))),CkDJ[Credit])))+(SUM(IF((CsDJ[Ofc Code]=(TRIM(R$7)))*(CsDJ[Account Code]=(TRIM($D57))),CsDJ[Credit])))+(SUM(IF((CRDJ[Ofc Code]=(TRIM(R$7)))*(CRDJ[Account Code]=(TRIM($D57))),CRDJ[Credit])))+(SUM(IF((GJ[Ofc Code]=(TRIM(R$7)))*(GJ[Account Code]=(TRIM($D57))),GJ[Credit]))))</f>
        <v>0</v>
      </c>
      <c r="S57" s="211">
        <f t="array" ref="S57">((SUM(IF((CkDJ[Ofc Code]=(TRIM(S$7)))*(CkDJ[Account Code]=(TRIM($D57))),CkDJ[Debit])))+(SUM(IF((CsDJ[Ofc Code]=(TRIM(S$7)))*(CsDJ[Account Code]=(TRIM($D57))),CsDJ[Debit])))+(SUM(IF((CRDJ[Ofc Code]=(TRIM(S$7)))*(CRDJ[Account Code]=(TRIM($D57))),CRDJ[Debit])))+(SUM(IF((GJ[Ofc Code]=(TRIM(S$7)))*(GJ[Account Code]=(TRIM($D57))),GJ[Debit]))))-((SUM(IF((CkDJ[Ofc Code]=(TRIM(S$7)))*(CkDJ[Account Code]=(TRIM($D57))),CkDJ[Credit])))+(SUM(IF((CsDJ[Ofc Code]=(TRIM(S$7)))*(CsDJ[Account Code]=(TRIM($D57))),CsDJ[Credit])))+(SUM(IF((CRDJ[Ofc Code]=(TRIM(S$7)))*(CRDJ[Account Code]=(TRIM($D57))),CRDJ[Credit])))+(SUM(IF((GJ[Ofc Code]=(TRIM(S$7)))*(GJ[Account Code]=(TRIM($D57))),GJ[Credit]))))</f>
        <v>0</v>
      </c>
      <c r="T57" s="211">
        <f t="array" ref="T57">((SUM(IF((CkDJ[Ofc Code]=(TRIM(T$7)))*(CkDJ[Account Code]=(TRIM($D57))),CkDJ[Debit])))+(SUM(IF((CsDJ[Ofc Code]=(TRIM(T$7)))*(CsDJ[Account Code]=(TRIM($D57))),CsDJ[Debit])))+(SUM(IF((CRDJ[Ofc Code]=(TRIM(T$7)))*(CRDJ[Account Code]=(TRIM($D57))),CRDJ[Debit])))+(SUM(IF((GJ[Ofc Code]=(TRIM(T$7)))*(GJ[Account Code]=(TRIM($D57))),GJ[Debit]))))-((SUM(IF((CkDJ[Ofc Code]=(TRIM(T$7)))*(CkDJ[Account Code]=(TRIM($D57))),CkDJ[Credit])))+(SUM(IF((CsDJ[Ofc Code]=(TRIM(T$7)))*(CsDJ[Account Code]=(TRIM($D57))),CsDJ[Credit])))+(SUM(IF((CRDJ[Ofc Code]=(TRIM(T$7)))*(CRDJ[Account Code]=(TRIM($D57))),CRDJ[Credit])))+(SUM(IF((GJ[Ofc Code]=(TRIM(T$7)))*(GJ[Account Code]=(TRIM($D57))),GJ[Credit]))))</f>
        <v>0</v>
      </c>
      <c r="U57" s="211">
        <f t="shared" si="10"/>
        <v>0</v>
      </c>
      <c r="V57" s="211">
        <f t="shared" si="11"/>
        <v>0</v>
      </c>
    </row>
    <row r="58" spans="1:22" ht="15">
      <c r="A58" s="212">
        <f t="shared" si="12"/>
        <v>21</v>
      </c>
      <c r="B58" s="214" t="s">
        <v>756</v>
      </c>
      <c r="C58" s="194" t="str">
        <f t="shared" si="7"/>
        <v>Employees Compensation Insurance Premiums</v>
      </c>
      <c r="D58" s="215">
        <v>734</v>
      </c>
      <c r="E58" s="211">
        <f t="array" ref="E58">((SUM(IF((CkDJ[Ofc Code]=(TRIM(E$7)))*(CkDJ[Account Code]=(TRIM($D58))),CkDJ[Debit])))+(SUM(IF((CsDJ[Ofc Code]=(TRIM(E$7)))*(CsDJ[Account Code]=(TRIM($D58))),CsDJ[Debit])))+(SUM(IF((CRDJ[Ofc Code]=(TRIM(E$7)))*(CRDJ[Account Code]=(TRIM($D58))),CRDJ[Debit])))+(SUM(IF((GJ[Ofc Code]=(TRIM(E$7)))*(GJ[Account Code]=(TRIM($D58))),GJ[Debit]))))-((SUM(IF((CkDJ[Ofc Code]=(TRIM(E$7)))*(CkDJ[Account Code]=(TRIM($D58))),CkDJ[Credit])))+(SUM(IF((CsDJ[Ofc Code]=(TRIM(E$7)))*(CsDJ[Account Code]=(TRIM($D58))),CsDJ[Credit])))+(SUM(IF((CRDJ[Ofc Code]=(TRIM(E$7)))*(CRDJ[Account Code]=(TRIM($D58))),CRDJ[Credit])))+(SUM(IF((GJ[Ofc Code]=(TRIM(E$7)))*(GJ[Account Code]=(TRIM($D58))),GJ[Credit]))))</f>
        <v>0</v>
      </c>
      <c r="F58" s="211">
        <f t="array" ref="F58">((SUM(IF((CkDJ[Ofc Code]=(TRIM(F$7)))*(CkDJ[Account Code]=(TRIM($D58))),CkDJ[Debit])))+(SUM(IF((CsDJ[Ofc Code]=(TRIM(F$7)))*(CsDJ[Account Code]=(TRIM($D58))),CsDJ[Debit])))+(SUM(IF((CRDJ[Ofc Code]=(TRIM(F$7)))*(CRDJ[Account Code]=(TRIM($D58))),CRDJ[Debit])))+(SUM(IF((GJ[Ofc Code]=(TRIM(F$7)))*(GJ[Account Code]=(TRIM($D58))),GJ[Debit]))))-((SUM(IF((CkDJ[Ofc Code]=(TRIM(F$7)))*(CkDJ[Account Code]=(TRIM($D58))),CkDJ[Credit])))+(SUM(IF((CsDJ[Ofc Code]=(TRIM(F$7)))*(CsDJ[Account Code]=(TRIM($D58))),CsDJ[Credit])))+(SUM(IF((CRDJ[Ofc Code]=(TRIM(F$7)))*(CRDJ[Account Code]=(TRIM($D58))),CRDJ[Credit])))+(SUM(IF((GJ[Ofc Code]=(TRIM(F$7)))*(GJ[Account Code]=(TRIM($D58))),GJ[Credit]))))</f>
        <v>0</v>
      </c>
      <c r="G58" s="211">
        <f t="array" ref="G58">((SUM(IF((CkDJ[Ofc Code]=(TRIM(G$7)))*(CkDJ[Account Code]=(TRIM($D58))),CkDJ[Debit])))+(SUM(IF((CsDJ[Ofc Code]=(TRIM(G$7)))*(CsDJ[Account Code]=(TRIM($D58))),CsDJ[Debit])))+(SUM(IF((CRDJ[Ofc Code]=(TRIM(G$7)))*(CRDJ[Account Code]=(TRIM($D58))),CRDJ[Debit])))+(SUM(IF((GJ[Ofc Code]=(TRIM(G$7)))*(GJ[Account Code]=(TRIM($D58))),GJ[Debit]))))-((SUM(IF((CkDJ[Ofc Code]=(TRIM(G$7)))*(CkDJ[Account Code]=(TRIM($D58))),CkDJ[Credit])))+(SUM(IF((CsDJ[Ofc Code]=(TRIM(G$7)))*(CsDJ[Account Code]=(TRIM($D58))),CsDJ[Credit])))+(SUM(IF((CRDJ[Ofc Code]=(TRIM(G$7)))*(CRDJ[Account Code]=(TRIM($D58))),CRDJ[Credit])))+(SUM(IF((GJ[Ofc Code]=(TRIM(G$7)))*(GJ[Account Code]=(TRIM($D58))),GJ[Credit]))))</f>
        <v>0</v>
      </c>
      <c r="H58" s="211">
        <f t="array" ref="H58">((SUM(IF((CkDJ[Ofc Code]=(TRIM(H$7)))*(CkDJ[Account Code]=(TRIM($D58))),CkDJ[Debit])))+(SUM(IF((CsDJ[Ofc Code]=(TRIM(H$7)))*(CsDJ[Account Code]=(TRIM($D58))),CsDJ[Debit])))+(SUM(IF((CRDJ[Ofc Code]=(TRIM(H$7)))*(CRDJ[Account Code]=(TRIM($D58))),CRDJ[Debit])))+(SUM(IF((GJ[Ofc Code]=(TRIM(H$7)))*(GJ[Account Code]=(TRIM($D58))),GJ[Debit]))))-((SUM(IF((CkDJ[Ofc Code]=(TRIM(H$7)))*(CkDJ[Account Code]=(TRIM($D58))),CkDJ[Credit])))+(SUM(IF((CsDJ[Ofc Code]=(TRIM(H$7)))*(CsDJ[Account Code]=(TRIM($D58))),CsDJ[Credit])))+(SUM(IF((CRDJ[Ofc Code]=(TRIM(H$7)))*(CRDJ[Account Code]=(TRIM($D58))),CRDJ[Credit])))+(SUM(IF((GJ[Ofc Code]=(TRIM(H$7)))*(GJ[Account Code]=(TRIM($D58))),GJ[Credit]))))</f>
        <v>0</v>
      </c>
      <c r="I58" s="211">
        <f t="array" ref="I58">((SUM(IF((CkDJ[Ofc Code]=(TRIM(I$7)))*(CkDJ[Account Code]=(TRIM($D58))),CkDJ[Debit])))+(SUM(IF((CsDJ[Ofc Code]=(TRIM(I$7)))*(CsDJ[Account Code]=(TRIM($D58))),CsDJ[Debit])))+(SUM(IF((CRDJ[Ofc Code]=(TRIM(I$7)))*(CRDJ[Account Code]=(TRIM($D58))),CRDJ[Debit])))+(SUM(IF((GJ[Ofc Code]=(TRIM(I$7)))*(GJ[Account Code]=(TRIM($D58))),GJ[Debit]))))-((SUM(IF((CkDJ[Ofc Code]=(TRIM(I$7)))*(CkDJ[Account Code]=(TRIM($D58))),CkDJ[Credit])))+(SUM(IF((CsDJ[Ofc Code]=(TRIM(I$7)))*(CsDJ[Account Code]=(TRIM($D58))),CsDJ[Credit])))+(SUM(IF((CRDJ[Ofc Code]=(TRIM(I$7)))*(CRDJ[Account Code]=(TRIM($D58))),CRDJ[Credit])))+(SUM(IF((GJ[Ofc Code]=(TRIM(I$7)))*(GJ[Account Code]=(TRIM($D58))),GJ[Credit]))))</f>
        <v>0</v>
      </c>
      <c r="J58" s="211">
        <f t="shared" si="8"/>
        <v>0</v>
      </c>
      <c r="K58" s="211">
        <f t="array" ref="K58">((SUM(IF((CkDJ[Ofc Code]=(TRIM(K$7)))*(CkDJ[Account Code]=(TRIM($D58))),CkDJ[Debit])))+(SUM(IF((CsDJ[Ofc Code]=(TRIM(K$7)))*(CsDJ[Account Code]=(TRIM($D58))),CsDJ[Debit])))+(SUM(IF((CRDJ[Ofc Code]=(TRIM(K$7)))*(CRDJ[Account Code]=(TRIM($D58))),CRDJ[Debit])))+(SUM(IF((GJ[Ofc Code]=(TRIM(K$7)))*(GJ[Account Code]=(TRIM($D58))),GJ[Debit]))))-((SUM(IF((CkDJ[Ofc Code]=(TRIM(K$7)))*(CkDJ[Account Code]=(TRIM($D58))),CkDJ[Credit])))+(SUM(IF((CsDJ[Ofc Code]=(TRIM(K$7)))*(CsDJ[Account Code]=(TRIM($D58))),CsDJ[Credit])))+(SUM(IF((CRDJ[Ofc Code]=(TRIM(K$7)))*(CRDJ[Account Code]=(TRIM($D58))),CRDJ[Credit])))+(SUM(IF((GJ[Ofc Code]=(TRIM(K$7)))*(GJ[Account Code]=(TRIM($D58))),GJ[Credit]))))</f>
        <v>0</v>
      </c>
      <c r="L58" s="211">
        <f t="array" ref="L58">((SUM(IF((CkDJ[Ofc Code]=(TRIM(L$7)))*(CkDJ[Account Code]=(TRIM($D58))),CkDJ[Debit])))+(SUM(IF((CsDJ[Ofc Code]=(TRIM(L$7)))*(CsDJ[Account Code]=(TRIM($D58))),CsDJ[Debit])))+(SUM(IF((CRDJ[Ofc Code]=(TRIM(L$7)))*(CRDJ[Account Code]=(TRIM($D58))),CRDJ[Debit])))+(SUM(IF((GJ[Ofc Code]=(TRIM(L$7)))*(GJ[Account Code]=(TRIM($D58))),GJ[Debit]))))-((SUM(IF((CkDJ[Ofc Code]=(TRIM(L$7)))*(CkDJ[Account Code]=(TRIM($D58))),CkDJ[Credit])))+(SUM(IF((CsDJ[Ofc Code]=(TRIM(L$7)))*(CsDJ[Account Code]=(TRIM($D58))),CsDJ[Credit])))+(SUM(IF((CRDJ[Ofc Code]=(TRIM(L$7)))*(CRDJ[Account Code]=(TRIM($D58))),CRDJ[Credit])))+(SUM(IF((GJ[Ofc Code]=(TRIM(L$7)))*(GJ[Account Code]=(TRIM($D58))),GJ[Credit]))))</f>
        <v>0</v>
      </c>
      <c r="M58" s="211">
        <f t="array" ref="M58">((SUM(IF((CkDJ[Ofc Code]=(TRIM(M$7)))*(CkDJ[Account Code]=(TRIM($D58))),CkDJ[Debit])))+(SUM(IF((CsDJ[Ofc Code]=(TRIM(M$7)))*(CsDJ[Account Code]=(TRIM($D58))),CsDJ[Debit])))+(SUM(IF((CRDJ[Ofc Code]=(TRIM(M$7)))*(CRDJ[Account Code]=(TRIM($D58))),CRDJ[Debit])))+(SUM(IF((GJ[Ofc Code]=(TRIM(M$7)))*(GJ[Account Code]=(TRIM($D58))),GJ[Debit]))))-((SUM(IF((CkDJ[Ofc Code]=(TRIM(M$7)))*(CkDJ[Account Code]=(TRIM($D58))),CkDJ[Credit])))+(SUM(IF((CsDJ[Ofc Code]=(TRIM(M$7)))*(CsDJ[Account Code]=(TRIM($D58))),CsDJ[Credit])))+(SUM(IF((CRDJ[Ofc Code]=(TRIM(M$7)))*(CRDJ[Account Code]=(TRIM($D58))),CRDJ[Credit])))+(SUM(IF((GJ[Ofc Code]=(TRIM(M$7)))*(GJ[Account Code]=(TRIM($D58))),GJ[Credit]))))</f>
        <v>0</v>
      </c>
      <c r="N58" s="211">
        <f t="array" ref="N58">((SUM(IF((CkDJ[Ofc Code]=(TRIM(N$7)))*(CkDJ[Account Code]=(TRIM($D58))),CkDJ[Debit])))+(SUM(IF((CsDJ[Ofc Code]=(TRIM(N$7)))*(CsDJ[Account Code]=(TRIM($D58))),CsDJ[Debit])))+(SUM(IF((CRDJ[Ofc Code]=(TRIM(N$7)))*(CRDJ[Account Code]=(TRIM($D58))),CRDJ[Debit])))+(SUM(IF((GJ[Ofc Code]=(TRIM(N$7)))*(GJ[Account Code]=(TRIM($D58))),GJ[Debit]))))-((SUM(IF((CkDJ[Ofc Code]=(TRIM(N$7)))*(CkDJ[Account Code]=(TRIM($D58))),CkDJ[Credit])))+(SUM(IF((CsDJ[Ofc Code]=(TRIM(N$7)))*(CsDJ[Account Code]=(TRIM($D58))),CsDJ[Credit])))+(SUM(IF((CRDJ[Ofc Code]=(TRIM(N$7)))*(CRDJ[Account Code]=(TRIM($D58))),CRDJ[Credit])))+(SUM(IF((GJ[Ofc Code]=(TRIM(N$7)))*(GJ[Account Code]=(TRIM($D58))),GJ[Credit]))))</f>
        <v>0</v>
      </c>
      <c r="O58" s="211">
        <f t="shared" si="9"/>
        <v>0</v>
      </c>
      <c r="P58" s="211">
        <f t="array" ref="P58">((SUM(IF((CkDJ[Ofc Code]=(TRIM(P$7)))*(CkDJ[Account Code]=(TRIM($D58))),CkDJ[Debit])))+(SUM(IF((CsDJ[Ofc Code]=(TRIM(P$7)))*(CsDJ[Account Code]=(TRIM($D58))),CsDJ[Debit])))+(SUM(IF((CRDJ[Ofc Code]=(TRIM(P$7)))*(CRDJ[Account Code]=(TRIM($D58))),CRDJ[Debit])))+(SUM(IF((GJ[Ofc Code]=(TRIM(P$7)))*(GJ[Account Code]=(TRIM($D58))),GJ[Debit]))))-((SUM(IF((CkDJ[Ofc Code]=(TRIM(P$7)))*(CkDJ[Account Code]=(TRIM($D58))),CkDJ[Credit])))+(SUM(IF((CsDJ[Ofc Code]=(TRIM(P$7)))*(CsDJ[Account Code]=(TRIM($D58))),CsDJ[Credit])))+(SUM(IF((CRDJ[Ofc Code]=(TRIM(P$7)))*(CRDJ[Account Code]=(TRIM($D58))),CRDJ[Credit])))+(SUM(IF((GJ[Ofc Code]=(TRIM(P$7)))*(GJ[Account Code]=(TRIM($D58))),GJ[Credit]))))</f>
        <v>0</v>
      </c>
      <c r="Q58" s="211">
        <f t="array" ref="Q58">((SUM(IF((CkDJ[Ofc Code]=(TRIM(Q$7)))*(CkDJ[Account Code]=(TRIM($D58))),CkDJ[Debit])))+(SUM(IF((CsDJ[Ofc Code]=(TRIM(Q$7)))*(CsDJ[Account Code]=(TRIM($D58))),CsDJ[Debit])))+(SUM(IF((CRDJ[Ofc Code]=(TRIM(Q$7)))*(CRDJ[Account Code]=(TRIM($D58))),CRDJ[Debit])))+(SUM(IF((GJ[Ofc Code]=(TRIM(Q$7)))*(GJ[Account Code]=(TRIM($D58))),GJ[Debit]))))-((SUM(IF((CkDJ[Ofc Code]=(TRIM(Q$7)))*(CkDJ[Account Code]=(TRIM($D58))),CkDJ[Credit])))+(SUM(IF((CsDJ[Ofc Code]=(TRIM(Q$7)))*(CsDJ[Account Code]=(TRIM($D58))),CsDJ[Credit])))+(SUM(IF((CRDJ[Ofc Code]=(TRIM(Q$7)))*(CRDJ[Account Code]=(TRIM($D58))),CRDJ[Credit])))+(SUM(IF((GJ[Ofc Code]=(TRIM(Q$7)))*(GJ[Account Code]=(TRIM($D58))),GJ[Credit]))))</f>
        <v>0</v>
      </c>
      <c r="R58" s="211">
        <f t="array" ref="R58">((SUM(IF((CkDJ[Ofc Code]=(TRIM(R$7)))*(CkDJ[Account Code]=(TRIM($D58))),CkDJ[Debit])))+(SUM(IF((CsDJ[Ofc Code]=(TRIM(R$7)))*(CsDJ[Account Code]=(TRIM($D58))),CsDJ[Debit])))+(SUM(IF((CRDJ[Ofc Code]=(TRIM(R$7)))*(CRDJ[Account Code]=(TRIM($D58))),CRDJ[Debit])))+(SUM(IF((GJ[Ofc Code]=(TRIM(R$7)))*(GJ[Account Code]=(TRIM($D58))),GJ[Debit]))))-((SUM(IF((CkDJ[Ofc Code]=(TRIM(R$7)))*(CkDJ[Account Code]=(TRIM($D58))),CkDJ[Credit])))+(SUM(IF((CsDJ[Ofc Code]=(TRIM(R$7)))*(CsDJ[Account Code]=(TRIM($D58))),CsDJ[Credit])))+(SUM(IF((CRDJ[Ofc Code]=(TRIM(R$7)))*(CRDJ[Account Code]=(TRIM($D58))),CRDJ[Credit])))+(SUM(IF((GJ[Ofc Code]=(TRIM(R$7)))*(GJ[Account Code]=(TRIM($D58))),GJ[Credit]))))</f>
        <v>0</v>
      </c>
      <c r="S58" s="211">
        <f t="array" ref="S58">((SUM(IF((CkDJ[Ofc Code]=(TRIM(S$7)))*(CkDJ[Account Code]=(TRIM($D58))),CkDJ[Debit])))+(SUM(IF((CsDJ[Ofc Code]=(TRIM(S$7)))*(CsDJ[Account Code]=(TRIM($D58))),CsDJ[Debit])))+(SUM(IF((CRDJ[Ofc Code]=(TRIM(S$7)))*(CRDJ[Account Code]=(TRIM($D58))),CRDJ[Debit])))+(SUM(IF((GJ[Ofc Code]=(TRIM(S$7)))*(GJ[Account Code]=(TRIM($D58))),GJ[Debit]))))-((SUM(IF((CkDJ[Ofc Code]=(TRIM(S$7)))*(CkDJ[Account Code]=(TRIM($D58))),CkDJ[Credit])))+(SUM(IF((CsDJ[Ofc Code]=(TRIM(S$7)))*(CsDJ[Account Code]=(TRIM($D58))),CsDJ[Credit])))+(SUM(IF((CRDJ[Ofc Code]=(TRIM(S$7)))*(CRDJ[Account Code]=(TRIM($D58))),CRDJ[Credit])))+(SUM(IF((GJ[Ofc Code]=(TRIM(S$7)))*(GJ[Account Code]=(TRIM($D58))),GJ[Credit]))))</f>
        <v>0</v>
      </c>
      <c r="T58" s="211">
        <f t="array" ref="T58">((SUM(IF((CkDJ[Ofc Code]=(TRIM(T$7)))*(CkDJ[Account Code]=(TRIM($D58))),CkDJ[Debit])))+(SUM(IF((CsDJ[Ofc Code]=(TRIM(T$7)))*(CsDJ[Account Code]=(TRIM($D58))),CsDJ[Debit])))+(SUM(IF((CRDJ[Ofc Code]=(TRIM(T$7)))*(CRDJ[Account Code]=(TRIM($D58))),CRDJ[Debit])))+(SUM(IF((GJ[Ofc Code]=(TRIM(T$7)))*(GJ[Account Code]=(TRIM($D58))),GJ[Debit]))))-((SUM(IF((CkDJ[Ofc Code]=(TRIM(T$7)))*(CkDJ[Account Code]=(TRIM($D58))),CkDJ[Credit])))+(SUM(IF((CsDJ[Ofc Code]=(TRIM(T$7)))*(CsDJ[Account Code]=(TRIM($D58))),CsDJ[Credit])))+(SUM(IF((CRDJ[Ofc Code]=(TRIM(T$7)))*(CRDJ[Account Code]=(TRIM($D58))),CRDJ[Credit])))+(SUM(IF((GJ[Ofc Code]=(TRIM(T$7)))*(GJ[Account Code]=(TRIM($D58))),GJ[Credit]))))</f>
        <v>0</v>
      </c>
      <c r="U58" s="211">
        <f t="shared" si="10"/>
        <v>0</v>
      </c>
      <c r="V58" s="211">
        <f t="shared" si="11"/>
        <v>0</v>
      </c>
    </row>
    <row r="59" spans="1:22" ht="15">
      <c r="A59" s="212">
        <f t="shared" si="12"/>
        <v>22</v>
      </c>
      <c r="B59" s="214" t="s">
        <v>756</v>
      </c>
      <c r="C59" s="194" t="str">
        <f>IF(D59=0,"",(VLOOKUP((TRIM(D59)),Code,2,)))</f>
        <v>Terminal Leave Benefits</v>
      </c>
      <c r="D59" s="215">
        <v>742</v>
      </c>
      <c r="E59" s="211">
        <f t="array" ref="E59">((SUM(IF((CkDJ[Ofc Code]=(TRIM(E$7)))*(CkDJ[Account Code]=(TRIM($D59))),CkDJ[Debit])))+(SUM(IF((CsDJ[Ofc Code]=(TRIM(E$7)))*(CsDJ[Account Code]=(TRIM($D59))),CsDJ[Debit])))+(SUM(IF((CRDJ[Ofc Code]=(TRIM(E$7)))*(CRDJ[Account Code]=(TRIM($D59))),CRDJ[Debit])))+(SUM(IF((GJ[Ofc Code]=(TRIM(E$7)))*(GJ[Account Code]=(TRIM($D59))),GJ[Debit]))))-((SUM(IF((CkDJ[Ofc Code]=(TRIM(E$7)))*(CkDJ[Account Code]=(TRIM($D59))),CkDJ[Credit])))+(SUM(IF((CsDJ[Ofc Code]=(TRIM(E$7)))*(CsDJ[Account Code]=(TRIM($D59))),CsDJ[Credit])))+(SUM(IF((CRDJ[Ofc Code]=(TRIM(E$7)))*(CRDJ[Account Code]=(TRIM($D59))),CRDJ[Credit])))+(SUM(IF((GJ[Ofc Code]=(TRIM(E$7)))*(GJ[Account Code]=(TRIM($D59))),GJ[Credit]))))</f>
        <v>0</v>
      </c>
      <c r="F59" s="211">
        <f t="array" ref="F59">((SUM(IF((CkDJ[Ofc Code]=(TRIM(F$7)))*(CkDJ[Account Code]=(TRIM($D59))),CkDJ[Debit])))+(SUM(IF((CsDJ[Ofc Code]=(TRIM(F$7)))*(CsDJ[Account Code]=(TRIM($D59))),CsDJ[Debit])))+(SUM(IF((CRDJ[Ofc Code]=(TRIM(F$7)))*(CRDJ[Account Code]=(TRIM($D59))),CRDJ[Debit])))+(SUM(IF((GJ[Ofc Code]=(TRIM(F$7)))*(GJ[Account Code]=(TRIM($D59))),GJ[Debit]))))-((SUM(IF((CkDJ[Ofc Code]=(TRIM(F$7)))*(CkDJ[Account Code]=(TRIM($D59))),CkDJ[Credit])))+(SUM(IF((CsDJ[Ofc Code]=(TRIM(F$7)))*(CsDJ[Account Code]=(TRIM($D59))),CsDJ[Credit])))+(SUM(IF((CRDJ[Ofc Code]=(TRIM(F$7)))*(CRDJ[Account Code]=(TRIM($D59))),CRDJ[Credit])))+(SUM(IF((GJ[Ofc Code]=(TRIM(F$7)))*(GJ[Account Code]=(TRIM($D59))),GJ[Credit]))))</f>
        <v>0</v>
      </c>
      <c r="G59" s="211">
        <f t="array" ref="G59">((SUM(IF((CkDJ[Ofc Code]=(TRIM(G$7)))*(CkDJ[Account Code]=(TRIM($D59))),CkDJ[Debit])))+(SUM(IF((CsDJ[Ofc Code]=(TRIM(G$7)))*(CsDJ[Account Code]=(TRIM($D59))),CsDJ[Debit])))+(SUM(IF((CRDJ[Ofc Code]=(TRIM(G$7)))*(CRDJ[Account Code]=(TRIM($D59))),CRDJ[Debit])))+(SUM(IF((GJ[Ofc Code]=(TRIM(G$7)))*(GJ[Account Code]=(TRIM($D59))),GJ[Debit]))))-((SUM(IF((CkDJ[Ofc Code]=(TRIM(G$7)))*(CkDJ[Account Code]=(TRIM($D59))),CkDJ[Credit])))+(SUM(IF((CsDJ[Ofc Code]=(TRIM(G$7)))*(CsDJ[Account Code]=(TRIM($D59))),CsDJ[Credit])))+(SUM(IF((CRDJ[Ofc Code]=(TRIM(G$7)))*(CRDJ[Account Code]=(TRIM($D59))),CRDJ[Credit])))+(SUM(IF((GJ[Ofc Code]=(TRIM(G$7)))*(GJ[Account Code]=(TRIM($D59))),GJ[Credit]))))</f>
        <v>0</v>
      </c>
      <c r="H59" s="211">
        <f t="array" ref="H59">((SUM(IF((CkDJ[Ofc Code]=(TRIM(H$7)))*(CkDJ[Account Code]=(TRIM($D59))),CkDJ[Debit])))+(SUM(IF((CsDJ[Ofc Code]=(TRIM(H$7)))*(CsDJ[Account Code]=(TRIM($D59))),CsDJ[Debit])))+(SUM(IF((CRDJ[Ofc Code]=(TRIM(H$7)))*(CRDJ[Account Code]=(TRIM($D59))),CRDJ[Debit])))+(SUM(IF((GJ[Ofc Code]=(TRIM(H$7)))*(GJ[Account Code]=(TRIM($D59))),GJ[Debit]))))-((SUM(IF((CkDJ[Ofc Code]=(TRIM(H$7)))*(CkDJ[Account Code]=(TRIM($D59))),CkDJ[Credit])))+(SUM(IF((CsDJ[Ofc Code]=(TRIM(H$7)))*(CsDJ[Account Code]=(TRIM($D59))),CsDJ[Credit])))+(SUM(IF((CRDJ[Ofc Code]=(TRIM(H$7)))*(CRDJ[Account Code]=(TRIM($D59))),CRDJ[Credit])))+(SUM(IF((GJ[Ofc Code]=(TRIM(H$7)))*(GJ[Account Code]=(TRIM($D59))),GJ[Credit]))))</f>
        <v>0</v>
      </c>
      <c r="I59" s="211">
        <f t="array" ref="I59">((SUM(IF((CkDJ[Ofc Code]=(TRIM(I$7)))*(CkDJ[Account Code]=(TRIM($D59))),CkDJ[Debit])))+(SUM(IF((CsDJ[Ofc Code]=(TRIM(I$7)))*(CsDJ[Account Code]=(TRIM($D59))),CsDJ[Debit])))+(SUM(IF((CRDJ[Ofc Code]=(TRIM(I$7)))*(CRDJ[Account Code]=(TRIM($D59))),CRDJ[Debit])))+(SUM(IF((GJ[Ofc Code]=(TRIM(I$7)))*(GJ[Account Code]=(TRIM($D59))),GJ[Debit]))))-((SUM(IF((CkDJ[Ofc Code]=(TRIM(I$7)))*(CkDJ[Account Code]=(TRIM($D59))),CkDJ[Credit])))+(SUM(IF((CsDJ[Ofc Code]=(TRIM(I$7)))*(CsDJ[Account Code]=(TRIM($D59))),CsDJ[Credit])))+(SUM(IF((CRDJ[Ofc Code]=(TRIM(I$7)))*(CRDJ[Account Code]=(TRIM($D59))),CRDJ[Credit])))+(SUM(IF((GJ[Ofc Code]=(TRIM(I$7)))*(GJ[Account Code]=(TRIM($D59))),GJ[Credit]))))</f>
        <v>0</v>
      </c>
      <c r="J59" s="211">
        <f>SUM(F59:I59)</f>
        <v>0</v>
      </c>
      <c r="K59" s="211">
        <f t="array" ref="K59">((SUM(IF((CkDJ[Ofc Code]=(TRIM(K$7)))*(CkDJ[Account Code]=(TRIM($D59))),CkDJ[Debit])))+(SUM(IF((CsDJ[Ofc Code]=(TRIM(K$7)))*(CsDJ[Account Code]=(TRIM($D59))),CsDJ[Debit])))+(SUM(IF((CRDJ[Ofc Code]=(TRIM(K$7)))*(CRDJ[Account Code]=(TRIM($D59))),CRDJ[Debit])))+(SUM(IF((GJ[Ofc Code]=(TRIM(K$7)))*(GJ[Account Code]=(TRIM($D59))),GJ[Debit]))))-((SUM(IF((CkDJ[Ofc Code]=(TRIM(K$7)))*(CkDJ[Account Code]=(TRIM($D59))),CkDJ[Credit])))+(SUM(IF((CsDJ[Ofc Code]=(TRIM(K$7)))*(CsDJ[Account Code]=(TRIM($D59))),CsDJ[Credit])))+(SUM(IF((CRDJ[Ofc Code]=(TRIM(K$7)))*(CRDJ[Account Code]=(TRIM($D59))),CRDJ[Credit])))+(SUM(IF((GJ[Ofc Code]=(TRIM(K$7)))*(GJ[Account Code]=(TRIM($D59))),GJ[Credit]))))</f>
        <v>0</v>
      </c>
      <c r="L59" s="211">
        <f t="array" ref="L59">((SUM(IF((CkDJ[Ofc Code]=(TRIM(L$7)))*(CkDJ[Account Code]=(TRIM($D59))),CkDJ[Debit])))+(SUM(IF((CsDJ[Ofc Code]=(TRIM(L$7)))*(CsDJ[Account Code]=(TRIM($D59))),CsDJ[Debit])))+(SUM(IF((CRDJ[Ofc Code]=(TRIM(L$7)))*(CRDJ[Account Code]=(TRIM($D59))),CRDJ[Debit])))+(SUM(IF((GJ[Ofc Code]=(TRIM(L$7)))*(GJ[Account Code]=(TRIM($D59))),GJ[Debit]))))-((SUM(IF((CkDJ[Ofc Code]=(TRIM(L$7)))*(CkDJ[Account Code]=(TRIM($D59))),CkDJ[Credit])))+(SUM(IF((CsDJ[Ofc Code]=(TRIM(L$7)))*(CsDJ[Account Code]=(TRIM($D59))),CsDJ[Credit])))+(SUM(IF((CRDJ[Ofc Code]=(TRIM(L$7)))*(CRDJ[Account Code]=(TRIM($D59))),CRDJ[Credit])))+(SUM(IF((GJ[Ofc Code]=(TRIM(L$7)))*(GJ[Account Code]=(TRIM($D59))),GJ[Credit]))))</f>
        <v>0</v>
      </c>
      <c r="M59" s="211">
        <f t="array" ref="M59">((SUM(IF((CkDJ[Ofc Code]=(TRIM(M$7)))*(CkDJ[Account Code]=(TRIM($D59))),CkDJ[Debit])))+(SUM(IF((CsDJ[Ofc Code]=(TRIM(M$7)))*(CsDJ[Account Code]=(TRIM($D59))),CsDJ[Debit])))+(SUM(IF((CRDJ[Ofc Code]=(TRIM(M$7)))*(CRDJ[Account Code]=(TRIM($D59))),CRDJ[Debit])))+(SUM(IF((GJ[Ofc Code]=(TRIM(M$7)))*(GJ[Account Code]=(TRIM($D59))),GJ[Debit]))))-((SUM(IF((CkDJ[Ofc Code]=(TRIM(M$7)))*(CkDJ[Account Code]=(TRIM($D59))),CkDJ[Credit])))+(SUM(IF((CsDJ[Ofc Code]=(TRIM(M$7)))*(CsDJ[Account Code]=(TRIM($D59))),CsDJ[Credit])))+(SUM(IF((CRDJ[Ofc Code]=(TRIM(M$7)))*(CRDJ[Account Code]=(TRIM($D59))),CRDJ[Credit])))+(SUM(IF((GJ[Ofc Code]=(TRIM(M$7)))*(GJ[Account Code]=(TRIM($D59))),GJ[Credit]))))</f>
        <v>0</v>
      </c>
      <c r="N59" s="211">
        <f t="array" ref="N59">((SUM(IF((CkDJ[Ofc Code]=(TRIM(N$7)))*(CkDJ[Account Code]=(TRIM($D59))),CkDJ[Debit])))+(SUM(IF((CsDJ[Ofc Code]=(TRIM(N$7)))*(CsDJ[Account Code]=(TRIM($D59))),CsDJ[Debit])))+(SUM(IF((CRDJ[Ofc Code]=(TRIM(N$7)))*(CRDJ[Account Code]=(TRIM($D59))),CRDJ[Debit])))+(SUM(IF((GJ[Ofc Code]=(TRIM(N$7)))*(GJ[Account Code]=(TRIM($D59))),GJ[Debit]))))-((SUM(IF((CkDJ[Ofc Code]=(TRIM(N$7)))*(CkDJ[Account Code]=(TRIM($D59))),CkDJ[Credit])))+(SUM(IF((CsDJ[Ofc Code]=(TRIM(N$7)))*(CsDJ[Account Code]=(TRIM($D59))),CsDJ[Credit])))+(SUM(IF((CRDJ[Ofc Code]=(TRIM(N$7)))*(CRDJ[Account Code]=(TRIM($D59))),CRDJ[Credit])))+(SUM(IF((GJ[Ofc Code]=(TRIM(N$7)))*(GJ[Account Code]=(TRIM($D59))),GJ[Credit]))))</f>
        <v>0</v>
      </c>
      <c r="O59" s="211">
        <f>SUM(K59:N59)</f>
        <v>0</v>
      </c>
      <c r="P59" s="211">
        <f t="array" ref="P59">((SUM(IF((CkDJ[Ofc Code]=(TRIM(P$7)))*(CkDJ[Account Code]=(TRIM($D59))),CkDJ[Debit])))+(SUM(IF((CsDJ[Ofc Code]=(TRIM(P$7)))*(CsDJ[Account Code]=(TRIM($D59))),CsDJ[Debit])))+(SUM(IF((CRDJ[Ofc Code]=(TRIM(P$7)))*(CRDJ[Account Code]=(TRIM($D59))),CRDJ[Debit])))+(SUM(IF((GJ[Ofc Code]=(TRIM(P$7)))*(GJ[Account Code]=(TRIM($D59))),GJ[Debit]))))-((SUM(IF((CkDJ[Ofc Code]=(TRIM(P$7)))*(CkDJ[Account Code]=(TRIM($D59))),CkDJ[Credit])))+(SUM(IF((CsDJ[Ofc Code]=(TRIM(P$7)))*(CsDJ[Account Code]=(TRIM($D59))),CsDJ[Credit])))+(SUM(IF((CRDJ[Ofc Code]=(TRIM(P$7)))*(CRDJ[Account Code]=(TRIM($D59))),CRDJ[Credit])))+(SUM(IF((GJ[Ofc Code]=(TRIM(P$7)))*(GJ[Account Code]=(TRIM($D59))),GJ[Credit]))))</f>
        <v>0</v>
      </c>
      <c r="Q59" s="211">
        <f t="array" ref="Q59">((SUM(IF((CkDJ[Ofc Code]=(TRIM(Q$7)))*(CkDJ[Account Code]=(TRIM($D59))),CkDJ[Debit])))+(SUM(IF((CsDJ[Ofc Code]=(TRIM(Q$7)))*(CsDJ[Account Code]=(TRIM($D59))),CsDJ[Debit])))+(SUM(IF((CRDJ[Ofc Code]=(TRIM(Q$7)))*(CRDJ[Account Code]=(TRIM($D59))),CRDJ[Debit])))+(SUM(IF((GJ[Ofc Code]=(TRIM(Q$7)))*(GJ[Account Code]=(TRIM($D59))),GJ[Debit]))))-((SUM(IF((CkDJ[Ofc Code]=(TRIM(Q$7)))*(CkDJ[Account Code]=(TRIM($D59))),CkDJ[Credit])))+(SUM(IF((CsDJ[Ofc Code]=(TRIM(Q$7)))*(CsDJ[Account Code]=(TRIM($D59))),CsDJ[Credit])))+(SUM(IF((CRDJ[Ofc Code]=(TRIM(Q$7)))*(CRDJ[Account Code]=(TRIM($D59))),CRDJ[Credit])))+(SUM(IF((GJ[Ofc Code]=(TRIM(Q$7)))*(GJ[Account Code]=(TRIM($D59))),GJ[Credit]))))</f>
        <v>0</v>
      </c>
      <c r="R59" s="211">
        <f t="array" ref="R59">((SUM(IF((CkDJ[Ofc Code]=(TRIM(R$7)))*(CkDJ[Account Code]=(TRIM($D59))),CkDJ[Debit])))+(SUM(IF((CsDJ[Ofc Code]=(TRIM(R$7)))*(CsDJ[Account Code]=(TRIM($D59))),CsDJ[Debit])))+(SUM(IF((CRDJ[Ofc Code]=(TRIM(R$7)))*(CRDJ[Account Code]=(TRIM($D59))),CRDJ[Debit])))+(SUM(IF((GJ[Ofc Code]=(TRIM(R$7)))*(GJ[Account Code]=(TRIM($D59))),GJ[Debit]))))-((SUM(IF((CkDJ[Ofc Code]=(TRIM(R$7)))*(CkDJ[Account Code]=(TRIM($D59))),CkDJ[Credit])))+(SUM(IF((CsDJ[Ofc Code]=(TRIM(R$7)))*(CsDJ[Account Code]=(TRIM($D59))),CsDJ[Credit])))+(SUM(IF((CRDJ[Ofc Code]=(TRIM(R$7)))*(CRDJ[Account Code]=(TRIM($D59))),CRDJ[Credit])))+(SUM(IF((GJ[Ofc Code]=(TRIM(R$7)))*(GJ[Account Code]=(TRIM($D59))),GJ[Credit]))))</f>
        <v>0</v>
      </c>
      <c r="S59" s="211">
        <f t="array" ref="S59">((SUM(IF((CkDJ[Ofc Code]=(TRIM(S$7)))*(CkDJ[Account Code]=(TRIM($D59))),CkDJ[Debit])))+(SUM(IF((CsDJ[Ofc Code]=(TRIM(S$7)))*(CsDJ[Account Code]=(TRIM($D59))),CsDJ[Debit])))+(SUM(IF((CRDJ[Ofc Code]=(TRIM(S$7)))*(CRDJ[Account Code]=(TRIM($D59))),CRDJ[Debit])))+(SUM(IF((GJ[Ofc Code]=(TRIM(S$7)))*(GJ[Account Code]=(TRIM($D59))),GJ[Debit]))))-((SUM(IF((CkDJ[Ofc Code]=(TRIM(S$7)))*(CkDJ[Account Code]=(TRIM($D59))),CkDJ[Credit])))+(SUM(IF((CsDJ[Ofc Code]=(TRIM(S$7)))*(CsDJ[Account Code]=(TRIM($D59))),CsDJ[Credit])))+(SUM(IF((CRDJ[Ofc Code]=(TRIM(S$7)))*(CRDJ[Account Code]=(TRIM($D59))),CRDJ[Credit])))+(SUM(IF((GJ[Ofc Code]=(TRIM(S$7)))*(GJ[Account Code]=(TRIM($D59))),GJ[Credit]))))</f>
        <v>0</v>
      </c>
      <c r="T59" s="211">
        <f t="array" ref="T59">((SUM(IF((CkDJ[Ofc Code]=(TRIM(T$7)))*(CkDJ[Account Code]=(TRIM($D59))),CkDJ[Debit])))+(SUM(IF((CsDJ[Ofc Code]=(TRIM(T$7)))*(CsDJ[Account Code]=(TRIM($D59))),CsDJ[Debit])))+(SUM(IF((CRDJ[Ofc Code]=(TRIM(T$7)))*(CRDJ[Account Code]=(TRIM($D59))),CRDJ[Debit])))+(SUM(IF((GJ[Ofc Code]=(TRIM(T$7)))*(GJ[Account Code]=(TRIM($D59))),GJ[Debit]))))-((SUM(IF((CkDJ[Ofc Code]=(TRIM(T$7)))*(CkDJ[Account Code]=(TRIM($D59))),CkDJ[Credit])))+(SUM(IF((CsDJ[Ofc Code]=(TRIM(T$7)))*(CsDJ[Account Code]=(TRIM($D59))),CsDJ[Credit])))+(SUM(IF((CRDJ[Ofc Code]=(TRIM(T$7)))*(CRDJ[Account Code]=(TRIM($D59))),CRDJ[Credit])))+(SUM(IF((GJ[Ofc Code]=(TRIM(T$7)))*(GJ[Account Code]=(TRIM($D59))),GJ[Credit]))))</f>
        <v>0</v>
      </c>
      <c r="U59" s="211">
        <f>SUM(P59:T59)</f>
        <v>0</v>
      </c>
      <c r="V59" s="211">
        <f>E59+J59+O59+U59</f>
        <v>0</v>
      </c>
    </row>
    <row r="60" spans="1:22" ht="15">
      <c r="A60" s="212">
        <v>24</v>
      </c>
      <c r="B60" s="214" t="s">
        <v>756</v>
      </c>
      <c r="C60" s="194" t="str">
        <f t="shared" si="7"/>
        <v>Other Personnel Benefits</v>
      </c>
      <c r="D60" s="215">
        <v>749</v>
      </c>
      <c r="E60" s="211">
        <f t="array" ref="E60">((SUM(IF((CkDJ[Ofc Code]=(TRIM(E$7)))*(CkDJ[Account Code]=(TRIM($D60))),CkDJ[Debit])))+(SUM(IF((CsDJ[Ofc Code]=(TRIM(E$7)))*(CsDJ[Account Code]=(TRIM($D60))),CsDJ[Debit])))+(SUM(IF((CRDJ[Ofc Code]=(TRIM(E$7)))*(CRDJ[Account Code]=(TRIM($D60))),CRDJ[Debit])))+(SUM(IF((GJ[Ofc Code]=(TRIM(E$7)))*(GJ[Account Code]=(TRIM($D60))),GJ[Debit]))))-((SUM(IF((CkDJ[Ofc Code]=(TRIM(E$7)))*(CkDJ[Account Code]=(TRIM($D60))),CkDJ[Credit])))+(SUM(IF((CsDJ[Ofc Code]=(TRIM(E$7)))*(CsDJ[Account Code]=(TRIM($D60))),CsDJ[Credit])))+(SUM(IF((CRDJ[Ofc Code]=(TRIM(E$7)))*(CRDJ[Account Code]=(TRIM($D60))),CRDJ[Credit])))+(SUM(IF((GJ[Ofc Code]=(TRIM(E$7)))*(GJ[Account Code]=(TRIM($D60))),GJ[Credit]))))</f>
        <v>0</v>
      </c>
      <c r="F60" s="211">
        <f t="array" ref="F60">((SUM(IF((CkDJ[Ofc Code]=(TRIM(F$7)))*(CkDJ[Account Code]=(TRIM($D60))),CkDJ[Debit])))+(SUM(IF((CsDJ[Ofc Code]=(TRIM(F$7)))*(CsDJ[Account Code]=(TRIM($D60))),CsDJ[Debit])))+(SUM(IF((CRDJ[Ofc Code]=(TRIM(F$7)))*(CRDJ[Account Code]=(TRIM($D60))),CRDJ[Debit])))+(SUM(IF((GJ[Ofc Code]=(TRIM(F$7)))*(GJ[Account Code]=(TRIM($D60))),GJ[Debit]))))-((SUM(IF((CkDJ[Ofc Code]=(TRIM(F$7)))*(CkDJ[Account Code]=(TRIM($D60))),CkDJ[Credit])))+(SUM(IF((CsDJ[Ofc Code]=(TRIM(F$7)))*(CsDJ[Account Code]=(TRIM($D60))),CsDJ[Credit])))+(SUM(IF((CRDJ[Ofc Code]=(TRIM(F$7)))*(CRDJ[Account Code]=(TRIM($D60))),CRDJ[Credit])))+(SUM(IF((GJ[Ofc Code]=(TRIM(F$7)))*(GJ[Account Code]=(TRIM($D60))),GJ[Credit]))))</f>
        <v>0</v>
      </c>
      <c r="G60" s="211">
        <f t="array" ref="G60">((SUM(IF((CkDJ[Ofc Code]=(TRIM(G$7)))*(CkDJ[Account Code]=(TRIM($D60))),CkDJ[Debit])))+(SUM(IF((CsDJ[Ofc Code]=(TRIM(G$7)))*(CsDJ[Account Code]=(TRIM($D60))),CsDJ[Debit])))+(SUM(IF((CRDJ[Ofc Code]=(TRIM(G$7)))*(CRDJ[Account Code]=(TRIM($D60))),CRDJ[Debit])))+(SUM(IF((GJ[Ofc Code]=(TRIM(G$7)))*(GJ[Account Code]=(TRIM($D60))),GJ[Debit]))))-((SUM(IF((CkDJ[Ofc Code]=(TRIM(G$7)))*(CkDJ[Account Code]=(TRIM($D60))),CkDJ[Credit])))+(SUM(IF((CsDJ[Ofc Code]=(TRIM(G$7)))*(CsDJ[Account Code]=(TRIM($D60))),CsDJ[Credit])))+(SUM(IF((CRDJ[Ofc Code]=(TRIM(G$7)))*(CRDJ[Account Code]=(TRIM($D60))),CRDJ[Credit])))+(SUM(IF((GJ[Ofc Code]=(TRIM(G$7)))*(GJ[Account Code]=(TRIM($D60))),GJ[Credit]))))</f>
        <v>0</v>
      </c>
      <c r="H60" s="211">
        <f t="array" ref="H60">((SUM(IF((CkDJ[Ofc Code]=(TRIM(H$7)))*(CkDJ[Account Code]=(TRIM($D60))),CkDJ[Debit])))+(SUM(IF((CsDJ[Ofc Code]=(TRIM(H$7)))*(CsDJ[Account Code]=(TRIM($D60))),CsDJ[Debit])))+(SUM(IF((CRDJ[Ofc Code]=(TRIM(H$7)))*(CRDJ[Account Code]=(TRIM($D60))),CRDJ[Debit])))+(SUM(IF((GJ[Ofc Code]=(TRIM(H$7)))*(GJ[Account Code]=(TRIM($D60))),GJ[Debit]))))-((SUM(IF((CkDJ[Ofc Code]=(TRIM(H$7)))*(CkDJ[Account Code]=(TRIM($D60))),CkDJ[Credit])))+(SUM(IF((CsDJ[Ofc Code]=(TRIM(H$7)))*(CsDJ[Account Code]=(TRIM($D60))),CsDJ[Credit])))+(SUM(IF((CRDJ[Ofc Code]=(TRIM(H$7)))*(CRDJ[Account Code]=(TRIM($D60))),CRDJ[Credit])))+(SUM(IF((GJ[Ofc Code]=(TRIM(H$7)))*(GJ[Account Code]=(TRIM($D60))),GJ[Credit]))))</f>
        <v>0</v>
      </c>
      <c r="I60" s="211">
        <f t="array" ref="I60">((SUM(IF((CkDJ[Ofc Code]=(TRIM(I$7)))*(CkDJ[Account Code]=(TRIM($D60))),CkDJ[Debit])))+(SUM(IF((CsDJ[Ofc Code]=(TRIM(I$7)))*(CsDJ[Account Code]=(TRIM($D60))),CsDJ[Debit])))+(SUM(IF((CRDJ[Ofc Code]=(TRIM(I$7)))*(CRDJ[Account Code]=(TRIM($D60))),CRDJ[Debit])))+(SUM(IF((GJ[Ofc Code]=(TRIM(I$7)))*(GJ[Account Code]=(TRIM($D60))),GJ[Debit]))))-((SUM(IF((CkDJ[Ofc Code]=(TRIM(I$7)))*(CkDJ[Account Code]=(TRIM($D60))),CkDJ[Credit])))+(SUM(IF((CsDJ[Ofc Code]=(TRIM(I$7)))*(CsDJ[Account Code]=(TRIM($D60))),CsDJ[Credit])))+(SUM(IF((CRDJ[Ofc Code]=(TRIM(I$7)))*(CRDJ[Account Code]=(TRIM($D60))),CRDJ[Credit])))+(SUM(IF((GJ[Ofc Code]=(TRIM(I$7)))*(GJ[Account Code]=(TRIM($D60))),GJ[Credit]))))</f>
        <v>0</v>
      </c>
      <c r="J60" s="211">
        <f t="shared" si="8"/>
        <v>0</v>
      </c>
      <c r="K60" s="211">
        <f t="array" ref="K60">((SUM(IF((CkDJ[Ofc Code]=(TRIM(K$7)))*(CkDJ[Account Code]=(TRIM($D60))),CkDJ[Debit])))+(SUM(IF((CsDJ[Ofc Code]=(TRIM(K$7)))*(CsDJ[Account Code]=(TRIM($D60))),CsDJ[Debit])))+(SUM(IF((CRDJ[Ofc Code]=(TRIM(K$7)))*(CRDJ[Account Code]=(TRIM($D60))),CRDJ[Debit])))+(SUM(IF((GJ[Ofc Code]=(TRIM(K$7)))*(GJ[Account Code]=(TRIM($D60))),GJ[Debit]))))-((SUM(IF((CkDJ[Ofc Code]=(TRIM(K$7)))*(CkDJ[Account Code]=(TRIM($D60))),CkDJ[Credit])))+(SUM(IF((CsDJ[Ofc Code]=(TRIM(K$7)))*(CsDJ[Account Code]=(TRIM($D60))),CsDJ[Credit])))+(SUM(IF((CRDJ[Ofc Code]=(TRIM(K$7)))*(CRDJ[Account Code]=(TRIM($D60))),CRDJ[Credit])))+(SUM(IF((GJ[Ofc Code]=(TRIM(K$7)))*(GJ[Account Code]=(TRIM($D60))),GJ[Credit]))))</f>
        <v>0</v>
      </c>
      <c r="L60" s="211">
        <f t="array" ref="L60">((SUM(IF((CkDJ[Ofc Code]=(TRIM(L$7)))*(CkDJ[Account Code]=(TRIM($D60))),CkDJ[Debit])))+(SUM(IF((CsDJ[Ofc Code]=(TRIM(L$7)))*(CsDJ[Account Code]=(TRIM($D60))),CsDJ[Debit])))+(SUM(IF((CRDJ[Ofc Code]=(TRIM(L$7)))*(CRDJ[Account Code]=(TRIM($D60))),CRDJ[Debit])))+(SUM(IF((GJ[Ofc Code]=(TRIM(L$7)))*(GJ[Account Code]=(TRIM($D60))),GJ[Debit]))))-((SUM(IF((CkDJ[Ofc Code]=(TRIM(L$7)))*(CkDJ[Account Code]=(TRIM($D60))),CkDJ[Credit])))+(SUM(IF((CsDJ[Ofc Code]=(TRIM(L$7)))*(CsDJ[Account Code]=(TRIM($D60))),CsDJ[Credit])))+(SUM(IF((CRDJ[Ofc Code]=(TRIM(L$7)))*(CRDJ[Account Code]=(TRIM($D60))),CRDJ[Credit])))+(SUM(IF((GJ[Ofc Code]=(TRIM(L$7)))*(GJ[Account Code]=(TRIM($D60))),GJ[Credit]))))</f>
        <v>0</v>
      </c>
      <c r="M60" s="211">
        <f t="array" ref="M60">((SUM(IF((CkDJ[Ofc Code]=(TRIM(M$7)))*(CkDJ[Account Code]=(TRIM($D60))),CkDJ[Debit])))+(SUM(IF((CsDJ[Ofc Code]=(TRIM(M$7)))*(CsDJ[Account Code]=(TRIM($D60))),CsDJ[Debit])))+(SUM(IF((CRDJ[Ofc Code]=(TRIM(M$7)))*(CRDJ[Account Code]=(TRIM($D60))),CRDJ[Debit])))+(SUM(IF((GJ[Ofc Code]=(TRIM(M$7)))*(GJ[Account Code]=(TRIM($D60))),GJ[Debit]))))-((SUM(IF((CkDJ[Ofc Code]=(TRIM(M$7)))*(CkDJ[Account Code]=(TRIM($D60))),CkDJ[Credit])))+(SUM(IF((CsDJ[Ofc Code]=(TRIM(M$7)))*(CsDJ[Account Code]=(TRIM($D60))),CsDJ[Credit])))+(SUM(IF((CRDJ[Ofc Code]=(TRIM(M$7)))*(CRDJ[Account Code]=(TRIM($D60))),CRDJ[Credit])))+(SUM(IF((GJ[Ofc Code]=(TRIM(M$7)))*(GJ[Account Code]=(TRIM($D60))),GJ[Credit]))))</f>
        <v>0</v>
      </c>
      <c r="N60" s="211">
        <f t="array" ref="N60">((SUM(IF((CkDJ[Ofc Code]=(TRIM(N$7)))*(CkDJ[Account Code]=(TRIM($D60))),CkDJ[Debit])))+(SUM(IF((CsDJ[Ofc Code]=(TRIM(N$7)))*(CsDJ[Account Code]=(TRIM($D60))),CsDJ[Debit])))+(SUM(IF((CRDJ[Ofc Code]=(TRIM(N$7)))*(CRDJ[Account Code]=(TRIM($D60))),CRDJ[Debit])))+(SUM(IF((GJ[Ofc Code]=(TRIM(N$7)))*(GJ[Account Code]=(TRIM($D60))),GJ[Debit]))))-((SUM(IF((CkDJ[Ofc Code]=(TRIM(N$7)))*(CkDJ[Account Code]=(TRIM($D60))),CkDJ[Credit])))+(SUM(IF((CsDJ[Ofc Code]=(TRIM(N$7)))*(CsDJ[Account Code]=(TRIM($D60))),CsDJ[Credit])))+(SUM(IF((CRDJ[Ofc Code]=(TRIM(N$7)))*(CRDJ[Account Code]=(TRIM($D60))),CRDJ[Credit])))+(SUM(IF((GJ[Ofc Code]=(TRIM(N$7)))*(GJ[Account Code]=(TRIM($D60))),GJ[Credit]))))</f>
        <v>0</v>
      </c>
      <c r="O60" s="211">
        <f t="shared" si="9"/>
        <v>0</v>
      </c>
      <c r="P60" s="211">
        <f t="array" ref="P60">((SUM(IF((CkDJ[Ofc Code]=(TRIM(P$7)))*(CkDJ[Account Code]=(TRIM($D60))),CkDJ[Debit])))+(SUM(IF((CsDJ[Ofc Code]=(TRIM(P$7)))*(CsDJ[Account Code]=(TRIM($D60))),CsDJ[Debit])))+(SUM(IF((CRDJ[Ofc Code]=(TRIM(P$7)))*(CRDJ[Account Code]=(TRIM($D60))),CRDJ[Debit])))+(SUM(IF((GJ[Ofc Code]=(TRIM(P$7)))*(GJ[Account Code]=(TRIM($D60))),GJ[Debit]))))-((SUM(IF((CkDJ[Ofc Code]=(TRIM(P$7)))*(CkDJ[Account Code]=(TRIM($D60))),CkDJ[Credit])))+(SUM(IF((CsDJ[Ofc Code]=(TRIM(P$7)))*(CsDJ[Account Code]=(TRIM($D60))),CsDJ[Credit])))+(SUM(IF((CRDJ[Ofc Code]=(TRIM(P$7)))*(CRDJ[Account Code]=(TRIM($D60))),CRDJ[Credit])))+(SUM(IF((GJ[Ofc Code]=(TRIM(P$7)))*(GJ[Account Code]=(TRIM($D60))),GJ[Credit]))))</f>
        <v>0</v>
      </c>
      <c r="Q60" s="211">
        <f t="array" ref="Q60">((SUM(IF((CkDJ[Ofc Code]=(TRIM(Q$7)))*(CkDJ[Account Code]=(TRIM($D60))),CkDJ[Debit])))+(SUM(IF((CsDJ[Ofc Code]=(TRIM(Q$7)))*(CsDJ[Account Code]=(TRIM($D60))),CsDJ[Debit])))+(SUM(IF((CRDJ[Ofc Code]=(TRIM(Q$7)))*(CRDJ[Account Code]=(TRIM($D60))),CRDJ[Debit])))+(SUM(IF((GJ[Ofc Code]=(TRIM(Q$7)))*(GJ[Account Code]=(TRIM($D60))),GJ[Debit]))))-((SUM(IF((CkDJ[Ofc Code]=(TRIM(Q$7)))*(CkDJ[Account Code]=(TRIM($D60))),CkDJ[Credit])))+(SUM(IF((CsDJ[Ofc Code]=(TRIM(Q$7)))*(CsDJ[Account Code]=(TRIM($D60))),CsDJ[Credit])))+(SUM(IF((CRDJ[Ofc Code]=(TRIM(Q$7)))*(CRDJ[Account Code]=(TRIM($D60))),CRDJ[Credit])))+(SUM(IF((GJ[Ofc Code]=(TRIM(Q$7)))*(GJ[Account Code]=(TRIM($D60))),GJ[Credit]))))</f>
        <v>0</v>
      </c>
      <c r="R60" s="211">
        <f t="array" ref="R60">((SUM(IF((CkDJ[Ofc Code]=(TRIM(R$7)))*(CkDJ[Account Code]=(TRIM($D60))),CkDJ[Debit])))+(SUM(IF((CsDJ[Ofc Code]=(TRIM(R$7)))*(CsDJ[Account Code]=(TRIM($D60))),CsDJ[Debit])))+(SUM(IF((CRDJ[Ofc Code]=(TRIM(R$7)))*(CRDJ[Account Code]=(TRIM($D60))),CRDJ[Debit])))+(SUM(IF((GJ[Ofc Code]=(TRIM(R$7)))*(GJ[Account Code]=(TRIM($D60))),GJ[Debit]))))-((SUM(IF((CkDJ[Ofc Code]=(TRIM(R$7)))*(CkDJ[Account Code]=(TRIM($D60))),CkDJ[Credit])))+(SUM(IF((CsDJ[Ofc Code]=(TRIM(R$7)))*(CsDJ[Account Code]=(TRIM($D60))),CsDJ[Credit])))+(SUM(IF((CRDJ[Ofc Code]=(TRIM(R$7)))*(CRDJ[Account Code]=(TRIM($D60))),CRDJ[Credit])))+(SUM(IF((GJ[Ofc Code]=(TRIM(R$7)))*(GJ[Account Code]=(TRIM($D60))),GJ[Credit]))))</f>
        <v>0</v>
      </c>
      <c r="S60" s="211">
        <f t="array" ref="S60">((SUM(IF((CkDJ[Ofc Code]=(TRIM(S$7)))*(CkDJ[Account Code]=(TRIM($D60))),CkDJ[Debit])))+(SUM(IF((CsDJ[Ofc Code]=(TRIM(S$7)))*(CsDJ[Account Code]=(TRIM($D60))),CsDJ[Debit])))+(SUM(IF((CRDJ[Ofc Code]=(TRIM(S$7)))*(CRDJ[Account Code]=(TRIM($D60))),CRDJ[Debit])))+(SUM(IF((GJ[Ofc Code]=(TRIM(S$7)))*(GJ[Account Code]=(TRIM($D60))),GJ[Debit]))))-((SUM(IF((CkDJ[Ofc Code]=(TRIM(S$7)))*(CkDJ[Account Code]=(TRIM($D60))),CkDJ[Credit])))+(SUM(IF((CsDJ[Ofc Code]=(TRIM(S$7)))*(CsDJ[Account Code]=(TRIM($D60))),CsDJ[Credit])))+(SUM(IF((CRDJ[Ofc Code]=(TRIM(S$7)))*(CRDJ[Account Code]=(TRIM($D60))),CRDJ[Credit])))+(SUM(IF((GJ[Ofc Code]=(TRIM(S$7)))*(GJ[Account Code]=(TRIM($D60))),GJ[Credit]))))</f>
        <v>0</v>
      </c>
      <c r="T60" s="211">
        <f t="array" ref="T60">((SUM(IF((CkDJ[Ofc Code]=(TRIM(T$7)))*(CkDJ[Account Code]=(TRIM($D60))),CkDJ[Debit])))+(SUM(IF((CsDJ[Ofc Code]=(TRIM(T$7)))*(CsDJ[Account Code]=(TRIM($D60))),CsDJ[Debit])))+(SUM(IF((CRDJ[Ofc Code]=(TRIM(T$7)))*(CRDJ[Account Code]=(TRIM($D60))),CRDJ[Debit])))+(SUM(IF((GJ[Ofc Code]=(TRIM(T$7)))*(GJ[Account Code]=(TRIM($D60))),GJ[Debit]))))-((SUM(IF((CkDJ[Ofc Code]=(TRIM(T$7)))*(CkDJ[Account Code]=(TRIM($D60))),CkDJ[Credit])))+(SUM(IF((CsDJ[Ofc Code]=(TRIM(T$7)))*(CsDJ[Account Code]=(TRIM($D60))),CsDJ[Credit])))+(SUM(IF((CRDJ[Ofc Code]=(TRIM(T$7)))*(CRDJ[Account Code]=(TRIM($D60))),CRDJ[Credit])))+(SUM(IF((GJ[Ofc Code]=(TRIM(T$7)))*(GJ[Account Code]=(TRIM($D60))),GJ[Credit]))))</f>
        <v>0</v>
      </c>
      <c r="U60" s="211">
        <f t="shared" si="10"/>
        <v>0</v>
      </c>
      <c r="V60" s="211">
        <f t="shared" si="11"/>
        <v>0</v>
      </c>
    </row>
    <row r="61" spans="1:22" ht="15">
      <c r="A61" s="1326" t="s">
        <v>758</v>
      </c>
      <c r="B61" s="1327"/>
      <c r="C61" s="1327"/>
      <c r="D61" s="209"/>
      <c r="E61" s="208">
        <f t="shared" ref="E61:V61" si="13">SUM(E38:E60)</f>
        <v>0</v>
      </c>
      <c r="F61" s="208">
        <f t="shared" si="13"/>
        <v>0</v>
      </c>
      <c r="G61" s="208">
        <f>SUM(G38:G60)</f>
        <v>0</v>
      </c>
      <c r="H61" s="208">
        <f t="shared" si="13"/>
        <v>0</v>
      </c>
      <c r="I61" s="208">
        <f t="shared" si="13"/>
        <v>0</v>
      </c>
      <c r="J61" s="208">
        <f t="shared" si="13"/>
        <v>0</v>
      </c>
      <c r="K61" s="208">
        <f t="shared" si="13"/>
        <v>0</v>
      </c>
      <c r="L61" s="208">
        <f t="shared" si="13"/>
        <v>0</v>
      </c>
      <c r="M61" s="208">
        <f t="shared" si="13"/>
        <v>0</v>
      </c>
      <c r="N61" s="208">
        <f t="shared" si="13"/>
        <v>0</v>
      </c>
      <c r="O61" s="208">
        <f t="shared" si="13"/>
        <v>0</v>
      </c>
      <c r="P61" s="208">
        <f t="shared" si="13"/>
        <v>0</v>
      </c>
      <c r="Q61" s="208">
        <f t="shared" si="13"/>
        <v>0</v>
      </c>
      <c r="R61" s="208">
        <f t="shared" si="13"/>
        <v>0</v>
      </c>
      <c r="S61" s="208">
        <f t="shared" si="13"/>
        <v>0</v>
      </c>
      <c r="T61" s="208">
        <f t="shared" si="13"/>
        <v>0</v>
      </c>
      <c r="U61" s="208">
        <f t="shared" si="13"/>
        <v>0</v>
      </c>
      <c r="V61" s="208">
        <f t="shared" si="13"/>
        <v>0</v>
      </c>
    </row>
    <row r="62" spans="1:22" ht="15">
      <c r="A62" s="1324" t="s">
        <v>757</v>
      </c>
      <c r="B62" s="1325"/>
      <c r="C62" s="1325"/>
      <c r="D62" s="207"/>
      <c r="E62" s="211"/>
      <c r="F62" s="211"/>
      <c r="G62" s="211"/>
      <c r="H62" s="211"/>
      <c r="I62" s="211"/>
      <c r="J62" s="211"/>
      <c r="K62" s="211"/>
      <c r="L62" s="211"/>
      <c r="M62" s="211"/>
      <c r="N62" s="211"/>
      <c r="O62" s="211"/>
      <c r="P62" s="211"/>
      <c r="Q62" s="211"/>
      <c r="R62" s="211"/>
      <c r="S62" s="211"/>
      <c r="T62" s="211"/>
      <c r="U62" s="211"/>
      <c r="V62" s="211"/>
    </row>
    <row r="63" spans="1:22" ht="15">
      <c r="A63" s="212">
        <v>1</v>
      </c>
      <c r="B63" s="214"/>
      <c r="C63" s="194" t="str">
        <f t="shared" ref="C63:C109" si="14">IF(D63=0,"",(VLOOKUP((TRIM(D63)),Code,2,)))</f>
        <v>Traveling Expenses-Local</v>
      </c>
      <c r="D63" s="207">
        <v>751</v>
      </c>
      <c r="E63" s="211">
        <f t="array" ref="E63">((SUM(IF((CkDJ[Ofc Code]=(TRIM(E$7)))*(CkDJ[Account Code]=(TRIM($D63))),CkDJ[Debit])))+(SUM(IF((CsDJ[Ofc Code]=(TRIM(E$7)))*(CsDJ[Account Code]=(TRIM($D63))),CsDJ[Debit])))+(SUM(IF((CRDJ[Ofc Code]=(TRIM(E$7)))*(CRDJ[Account Code]=(TRIM($D63))),CRDJ[Debit])))+(SUM(IF((GJ[Ofc Code]=(TRIM(E$7)))*(GJ[Account Code]=(TRIM($D63))),GJ[Debit]))))-((SUM(IF((CkDJ[Ofc Code]=(TRIM(E$7)))*(CkDJ[Account Code]=(TRIM($D63))),CkDJ[Credit])))+(SUM(IF((CsDJ[Ofc Code]=(TRIM(E$7)))*(CsDJ[Account Code]=(TRIM($D63))),CsDJ[Credit])))+(SUM(IF((CRDJ[Ofc Code]=(TRIM(E$7)))*(CRDJ[Account Code]=(TRIM($D63))),CRDJ[Credit])))+(SUM(IF((GJ[Ofc Code]=(TRIM(E$7)))*(GJ[Account Code]=(TRIM($D63))),GJ[Credit]))))</f>
        <v>0</v>
      </c>
      <c r="F63" s="211">
        <f t="array" ref="F63">((SUM(IF((CkDJ[Ofc Code]=(TRIM(F$7)))*(CkDJ[Account Code]=(TRIM($D63))),CkDJ[Debit])))+(SUM(IF((CsDJ[Ofc Code]=(TRIM(F$7)))*(CsDJ[Account Code]=(TRIM($D63))),CsDJ[Debit])))+(SUM(IF((CRDJ[Ofc Code]=(TRIM(F$7)))*(CRDJ[Account Code]=(TRIM($D63))),CRDJ[Debit])))+(SUM(IF((GJ[Ofc Code]=(TRIM(F$7)))*(GJ[Account Code]=(TRIM($D63))),GJ[Debit]))))-((SUM(IF((CkDJ[Ofc Code]=(TRIM(F$7)))*(CkDJ[Account Code]=(TRIM($D63))),CkDJ[Credit])))+(SUM(IF((CsDJ[Ofc Code]=(TRIM(F$7)))*(CsDJ[Account Code]=(TRIM($D63))),CsDJ[Credit])))+(SUM(IF((CRDJ[Ofc Code]=(TRIM(F$7)))*(CRDJ[Account Code]=(TRIM($D63))),CRDJ[Credit])))+(SUM(IF((GJ[Ofc Code]=(TRIM(F$7)))*(GJ[Account Code]=(TRIM($D63))),GJ[Credit]))))</f>
        <v>0</v>
      </c>
      <c r="G63" s="211">
        <f t="array" ref="G63">((SUM(IF((CkDJ[Ofc Code]=(TRIM(G$7)))*(CkDJ[Account Code]=(TRIM($D63))),CkDJ[Debit])))+(SUM(IF((CsDJ[Ofc Code]=(TRIM(G$7)))*(CsDJ[Account Code]=(TRIM($D63))),CsDJ[Debit])))+(SUM(IF((CRDJ[Ofc Code]=(TRIM(G$7)))*(CRDJ[Account Code]=(TRIM($D63))),CRDJ[Debit])))+(SUM(IF((GJ[Ofc Code]=(TRIM(G$7)))*(GJ[Account Code]=(TRIM($D63))),GJ[Debit]))))-((SUM(IF((CkDJ[Ofc Code]=(TRIM(G$7)))*(CkDJ[Account Code]=(TRIM($D63))),CkDJ[Credit])))+(SUM(IF((CsDJ[Ofc Code]=(TRIM(G$7)))*(CsDJ[Account Code]=(TRIM($D63))),CsDJ[Credit])))+(SUM(IF((CRDJ[Ofc Code]=(TRIM(G$7)))*(CRDJ[Account Code]=(TRIM($D63))),CRDJ[Credit])))+(SUM(IF((GJ[Ofc Code]=(TRIM(G$7)))*(GJ[Account Code]=(TRIM($D63))),GJ[Credit]))))</f>
        <v>0</v>
      </c>
      <c r="H63" s="211">
        <f t="array" ref="H63">((SUM(IF((CkDJ[Ofc Code]=(TRIM(H$7)))*(CkDJ[Account Code]=(TRIM($D63))),CkDJ[Debit])))+(SUM(IF((CsDJ[Ofc Code]=(TRIM(H$7)))*(CsDJ[Account Code]=(TRIM($D63))),CsDJ[Debit])))+(SUM(IF((CRDJ[Ofc Code]=(TRIM(H$7)))*(CRDJ[Account Code]=(TRIM($D63))),CRDJ[Debit])))+(SUM(IF((GJ[Ofc Code]=(TRIM(H$7)))*(GJ[Account Code]=(TRIM($D63))),GJ[Debit]))))-((SUM(IF((CkDJ[Ofc Code]=(TRIM(H$7)))*(CkDJ[Account Code]=(TRIM($D63))),CkDJ[Credit])))+(SUM(IF((CsDJ[Ofc Code]=(TRIM(H$7)))*(CsDJ[Account Code]=(TRIM($D63))),CsDJ[Credit])))+(SUM(IF((CRDJ[Ofc Code]=(TRIM(H$7)))*(CRDJ[Account Code]=(TRIM($D63))),CRDJ[Credit])))+(SUM(IF((GJ[Ofc Code]=(TRIM(H$7)))*(GJ[Account Code]=(TRIM($D63))),GJ[Credit]))))</f>
        <v>0</v>
      </c>
      <c r="I63" s="211">
        <f t="array" ref="I63">((SUM(IF((CkDJ[Ofc Code]=(TRIM(I$7)))*(CkDJ[Account Code]=(TRIM($D63))),CkDJ[Debit])))+(SUM(IF((CsDJ[Ofc Code]=(TRIM(I$7)))*(CsDJ[Account Code]=(TRIM($D63))),CsDJ[Debit])))+(SUM(IF((CRDJ[Ofc Code]=(TRIM(I$7)))*(CRDJ[Account Code]=(TRIM($D63))),CRDJ[Debit])))+(SUM(IF((GJ[Ofc Code]=(TRIM(I$7)))*(GJ[Account Code]=(TRIM($D63))),GJ[Debit]))))-((SUM(IF((CkDJ[Ofc Code]=(TRIM(I$7)))*(CkDJ[Account Code]=(TRIM($D63))),CkDJ[Credit])))+(SUM(IF((CsDJ[Ofc Code]=(TRIM(I$7)))*(CsDJ[Account Code]=(TRIM($D63))),CsDJ[Credit])))+(SUM(IF((CRDJ[Ofc Code]=(TRIM(I$7)))*(CRDJ[Account Code]=(TRIM($D63))),CRDJ[Credit])))+(SUM(IF((GJ[Ofc Code]=(TRIM(I$7)))*(GJ[Account Code]=(TRIM($D63))),GJ[Credit]))))</f>
        <v>0</v>
      </c>
      <c r="J63" s="211">
        <f t="shared" ref="J63:J109" si="15">SUM(F63:I63)</f>
        <v>0</v>
      </c>
      <c r="K63" s="211">
        <f t="array" ref="K63">((SUM(IF((CkDJ[Ofc Code]=(TRIM(K$7)))*(CkDJ[Account Code]=(TRIM($D63))),CkDJ[Debit])))+(SUM(IF((CsDJ[Ofc Code]=(TRIM(K$7)))*(CsDJ[Account Code]=(TRIM($D63))),CsDJ[Debit])))+(SUM(IF((CRDJ[Ofc Code]=(TRIM(K$7)))*(CRDJ[Account Code]=(TRIM($D63))),CRDJ[Debit])))+(SUM(IF((GJ[Ofc Code]=(TRIM(K$7)))*(GJ[Account Code]=(TRIM($D63))),GJ[Debit]))))-((SUM(IF((CkDJ[Ofc Code]=(TRIM(K$7)))*(CkDJ[Account Code]=(TRIM($D63))),CkDJ[Credit])))+(SUM(IF((CsDJ[Ofc Code]=(TRIM(K$7)))*(CsDJ[Account Code]=(TRIM($D63))),CsDJ[Credit])))+(SUM(IF((CRDJ[Ofc Code]=(TRIM(K$7)))*(CRDJ[Account Code]=(TRIM($D63))),CRDJ[Credit])))+(SUM(IF((GJ[Ofc Code]=(TRIM(K$7)))*(GJ[Account Code]=(TRIM($D63))),GJ[Credit]))))</f>
        <v>0</v>
      </c>
      <c r="L63" s="211">
        <f t="array" ref="L63">((SUM(IF((CkDJ[Ofc Code]=(TRIM(L$7)))*(CkDJ[Account Code]=(TRIM($D63))),CkDJ[Debit])))+(SUM(IF((CsDJ[Ofc Code]=(TRIM(L$7)))*(CsDJ[Account Code]=(TRIM($D63))),CsDJ[Debit])))+(SUM(IF((CRDJ[Ofc Code]=(TRIM(L$7)))*(CRDJ[Account Code]=(TRIM($D63))),CRDJ[Debit])))+(SUM(IF((GJ[Ofc Code]=(TRIM(L$7)))*(GJ[Account Code]=(TRIM($D63))),GJ[Debit]))))-((SUM(IF((CkDJ[Ofc Code]=(TRIM(L$7)))*(CkDJ[Account Code]=(TRIM($D63))),CkDJ[Credit])))+(SUM(IF((CsDJ[Ofc Code]=(TRIM(L$7)))*(CsDJ[Account Code]=(TRIM($D63))),CsDJ[Credit])))+(SUM(IF((CRDJ[Ofc Code]=(TRIM(L$7)))*(CRDJ[Account Code]=(TRIM($D63))),CRDJ[Credit])))+(SUM(IF((GJ[Ofc Code]=(TRIM(L$7)))*(GJ[Account Code]=(TRIM($D63))),GJ[Credit]))))</f>
        <v>0</v>
      </c>
      <c r="M63" s="211">
        <f t="array" ref="M63">((SUM(IF((CkDJ[Ofc Code]=(TRIM(M$7)))*(CkDJ[Account Code]=(TRIM($D63))),CkDJ[Debit])))+(SUM(IF((CsDJ[Ofc Code]=(TRIM(M$7)))*(CsDJ[Account Code]=(TRIM($D63))),CsDJ[Debit])))+(SUM(IF((CRDJ[Ofc Code]=(TRIM(M$7)))*(CRDJ[Account Code]=(TRIM($D63))),CRDJ[Debit])))+(SUM(IF((GJ[Ofc Code]=(TRIM(M$7)))*(GJ[Account Code]=(TRIM($D63))),GJ[Debit]))))-((SUM(IF((CkDJ[Ofc Code]=(TRIM(M$7)))*(CkDJ[Account Code]=(TRIM($D63))),CkDJ[Credit])))+(SUM(IF((CsDJ[Ofc Code]=(TRIM(M$7)))*(CsDJ[Account Code]=(TRIM($D63))),CsDJ[Credit])))+(SUM(IF((CRDJ[Ofc Code]=(TRIM(M$7)))*(CRDJ[Account Code]=(TRIM($D63))),CRDJ[Credit])))+(SUM(IF((GJ[Ofc Code]=(TRIM(M$7)))*(GJ[Account Code]=(TRIM($D63))),GJ[Credit]))))</f>
        <v>0</v>
      </c>
      <c r="N63" s="211">
        <f t="array" ref="N63">((SUM(IF((CkDJ[Ofc Code]=(TRIM(N$7)))*(CkDJ[Account Code]=(TRIM($D63))),CkDJ[Debit])))+(SUM(IF((CsDJ[Ofc Code]=(TRIM(N$7)))*(CsDJ[Account Code]=(TRIM($D63))),CsDJ[Debit])))+(SUM(IF((CRDJ[Ofc Code]=(TRIM(N$7)))*(CRDJ[Account Code]=(TRIM($D63))),CRDJ[Debit])))+(SUM(IF((GJ[Ofc Code]=(TRIM(N$7)))*(GJ[Account Code]=(TRIM($D63))),GJ[Debit]))))-((SUM(IF((CkDJ[Ofc Code]=(TRIM(N$7)))*(CkDJ[Account Code]=(TRIM($D63))),CkDJ[Credit])))+(SUM(IF((CsDJ[Ofc Code]=(TRIM(N$7)))*(CsDJ[Account Code]=(TRIM($D63))),CsDJ[Credit])))+(SUM(IF((CRDJ[Ofc Code]=(TRIM(N$7)))*(CRDJ[Account Code]=(TRIM($D63))),CRDJ[Credit])))+(SUM(IF((GJ[Ofc Code]=(TRIM(N$7)))*(GJ[Account Code]=(TRIM($D63))),GJ[Credit]))))</f>
        <v>0</v>
      </c>
      <c r="O63" s="211">
        <f t="shared" ref="O63:O109" si="16">SUM(K63:N63)</f>
        <v>0</v>
      </c>
      <c r="P63" s="211">
        <f t="array" ref="P63">((SUM(IF((CkDJ[Ofc Code]=(TRIM(P$7)))*(CkDJ[Account Code]=(TRIM($D63))),CkDJ[Debit])))+(SUM(IF((CsDJ[Ofc Code]=(TRIM(P$7)))*(CsDJ[Account Code]=(TRIM($D63))),CsDJ[Debit])))+(SUM(IF((CRDJ[Ofc Code]=(TRIM(P$7)))*(CRDJ[Account Code]=(TRIM($D63))),CRDJ[Debit])))+(SUM(IF((GJ[Ofc Code]=(TRIM(P$7)))*(GJ[Account Code]=(TRIM($D63))),GJ[Debit]))))-((SUM(IF((CkDJ[Ofc Code]=(TRIM(P$7)))*(CkDJ[Account Code]=(TRIM($D63))),CkDJ[Credit])))+(SUM(IF((CsDJ[Ofc Code]=(TRIM(P$7)))*(CsDJ[Account Code]=(TRIM($D63))),CsDJ[Credit])))+(SUM(IF((CRDJ[Ofc Code]=(TRIM(P$7)))*(CRDJ[Account Code]=(TRIM($D63))),CRDJ[Credit])))+(SUM(IF((GJ[Ofc Code]=(TRIM(P$7)))*(GJ[Account Code]=(TRIM($D63))),GJ[Credit]))))</f>
        <v>0</v>
      </c>
      <c r="Q63" s="211">
        <f t="array" ref="Q63">((SUM(IF((CkDJ[Ofc Code]=(TRIM(Q$7)))*(CkDJ[Account Code]=(TRIM($D63))),CkDJ[Debit])))+(SUM(IF((CsDJ[Ofc Code]=(TRIM(Q$7)))*(CsDJ[Account Code]=(TRIM($D63))),CsDJ[Debit])))+(SUM(IF((CRDJ[Ofc Code]=(TRIM(Q$7)))*(CRDJ[Account Code]=(TRIM($D63))),CRDJ[Debit])))+(SUM(IF((GJ[Ofc Code]=(TRIM(Q$7)))*(GJ[Account Code]=(TRIM($D63))),GJ[Debit]))))-((SUM(IF((CkDJ[Ofc Code]=(TRIM(Q$7)))*(CkDJ[Account Code]=(TRIM($D63))),CkDJ[Credit])))+(SUM(IF((CsDJ[Ofc Code]=(TRIM(Q$7)))*(CsDJ[Account Code]=(TRIM($D63))),CsDJ[Credit])))+(SUM(IF((CRDJ[Ofc Code]=(TRIM(Q$7)))*(CRDJ[Account Code]=(TRIM($D63))),CRDJ[Credit])))+(SUM(IF((GJ[Ofc Code]=(TRIM(Q$7)))*(GJ[Account Code]=(TRIM($D63))),GJ[Credit]))))</f>
        <v>0</v>
      </c>
      <c r="R63" s="211">
        <f t="array" ref="R63">((SUM(IF((CkDJ[Ofc Code]=(TRIM(R$7)))*(CkDJ[Account Code]=(TRIM($D63))),CkDJ[Debit])))+(SUM(IF((CsDJ[Ofc Code]=(TRIM(R$7)))*(CsDJ[Account Code]=(TRIM($D63))),CsDJ[Debit])))+(SUM(IF((CRDJ[Ofc Code]=(TRIM(R$7)))*(CRDJ[Account Code]=(TRIM($D63))),CRDJ[Debit])))+(SUM(IF((GJ[Ofc Code]=(TRIM(R$7)))*(GJ[Account Code]=(TRIM($D63))),GJ[Debit]))))-((SUM(IF((CkDJ[Ofc Code]=(TRIM(R$7)))*(CkDJ[Account Code]=(TRIM($D63))),CkDJ[Credit])))+(SUM(IF((CsDJ[Ofc Code]=(TRIM(R$7)))*(CsDJ[Account Code]=(TRIM($D63))),CsDJ[Credit])))+(SUM(IF((CRDJ[Ofc Code]=(TRIM(R$7)))*(CRDJ[Account Code]=(TRIM($D63))),CRDJ[Credit])))+(SUM(IF((GJ[Ofc Code]=(TRIM(R$7)))*(GJ[Account Code]=(TRIM($D63))),GJ[Credit]))))</f>
        <v>0</v>
      </c>
      <c r="S63" s="211">
        <f t="array" ref="S63">((SUM(IF((CkDJ[Ofc Code]=(TRIM(S$7)))*(CkDJ[Account Code]=(TRIM($D63))),CkDJ[Debit])))+(SUM(IF((CsDJ[Ofc Code]=(TRIM(S$7)))*(CsDJ[Account Code]=(TRIM($D63))),CsDJ[Debit])))+(SUM(IF((CRDJ[Ofc Code]=(TRIM(S$7)))*(CRDJ[Account Code]=(TRIM($D63))),CRDJ[Debit])))+(SUM(IF((GJ[Ofc Code]=(TRIM(S$7)))*(GJ[Account Code]=(TRIM($D63))),GJ[Debit]))))-((SUM(IF((CkDJ[Ofc Code]=(TRIM(S$7)))*(CkDJ[Account Code]=(TRIM($D63))),CkDJ[Credit])))+(SUM(IF((CsDJ[Ofc Code]=(TRIM(S$7)))*(CsDJ[Account Code]=(TRIM($D63))),CsDJ[Credit])))+(SUM(IF((CRDJ[Ofc Code]=(TRIM(S$7)))*(CRDJ[Account Code]=(TRIM($D63))),CRDJ[Credit])))+(SUM(IF((GJ[Ofc Code]=(TRIM(S$7)))*(GJ[Account Code]=(TRIM($D63))),GJ[Credit]))))</f>
        <v>0</v>
      </c>
      <c r="T63" s="211">
        <f t="array" ref="T63">((SUM(IF((CkDJ[Ofc Code]=(TRIM(T$7)))*(CkDJ[Account Code]=(TRIM($D63))),CkDJ[Debit])))+(SUM(IF((CsDJ[Ofc Code]=(TRIM(T$7)))*(CsDJ[Account Code]=(TRIM($D63))),CsDJ[Debit])))+(SUM(IF((CRDJ[Ofc Code]=(TRIM(T$7)))*(CRDJ[Account Code]=(TRIM($D63))),CRDJ[Debit])))+(SUM(IF((GJ[Ofc Code]=(TRIM(T$7)))*(GJ[Account Code]=(TRIM($D63))),GJ[Debit]))))-((SUM(IF((CkDJ[Ofc Code]=(TRIM(T$7)))*(CkDJ[Account Code]=(TRIM($D63))),CkDJ[Credit])))+(SUM(IF((CsDJ[Ofc Code]=(TRIM(T$7)))*(CsDJ[Account Code]=(TRIM($D63))),CsDJ[Credit])))+(SUM(IF((CRDJ[Ofc Code]=(TRIM(T$7)))*(CRDJ[Account Code]=(TRIM($D63))),CRDJ[Credit])))+(SUM(IF((GJ[Ofc Code]=(TRIM(T$7)))*(GJ[Account Code]=(TRIM($D63))),GJ[Credit]))))</f>
        <v>0</v>
      </c>
      <c r="U63" s="211">
        <f t="shared" ref="U63:U109" si="17">SUM(P63:T63)</f>
        <v>0</v>
      </c>
      <c r="V63" s="211">
        <f t="shared" ref="V63:V109" si="18">E63+J63+O63+U63</f>
        <v>0</v>
      </c>
    </row>
    <row r="64" spans="1:22" ht="15">
      <c r="A64" s="212">
        <f t="shared" ref="A64:A109" si="19">1+A63</f>
        <v>2</v>
      </c>
      <c r="B64" s="214"/>
      <c r="C64" s="194" t="str">
        <f t="shared" si="14"/>
        <v>Training Expenses</v>
      </c>
      <c r="D64" s="207">
        <v>753</v>
      </c>
      <c r="E64" s="211">
        <f t="array" ref="E64">((SUM(IF((CkDJ[Ofc Code]=(TRIM(E$7)))*(CkDJ[Account Code]=(TRIM($D64))),CkDJ[Debit])))+(SUM(IF((CsDJ[Ofc Code]=(TRIM(E$7)))*(CsDJ[Account Code]=(TRIM($D64))),CsDJ[Debit])))+(SUM(IF((CRDJ[Ofc Code]=(TRIM(E$7)))*(CRDJ[Account Code]=(TRIM($D64))),CRDJ[Debit])))+(SUM(IF((GJ[Ofc Code]=(TRIM(E$7)))*(GJ[Account Code]=(TRIM($D64))),GJ[Debit]))))-((SUM(IF((CkDJ[Ofc Code]=(TRIM(E$7)))*(CkDJ[Account Code]=(TRIM($D64))),CkDJ[Credit])))+(SUM(IF((CsDJ[Ofc Code]=(TRIM(E$7)))*(CsDJ[Account Code]=(TRIM($D64))),CsDJ[Credit])))+(SUM(IF((CRDJ[Ofc Code]=(TRIM(E$7)))*(CRDJ[Account Code]=(TRIM($D64))),CRDJ[Credit])))+(SUM(IF((GJ[Ofc Code]=(TRIM(E$7)))*(GJ[Account Code]=(TRIM($D64))),GJ[Credit]))))</f>
        <v>0</v>
      </c>
      <c r="F64" s="211">
        <f t="array" ref="F64">((SUM(IF((CkDJ[Ofc Code]=(TRIM(F$7)))*(CkDJ[Account Code]=(TRIM($D64))),CkDJ[Debit])))+(SUM(IF((CsDJ[Ofc Code]=(TRIM(F$7)))*(CsDJ[Account Code]=(TRIM($D64))),CsDJ[Debit])))+(SUM(IF((CRDJ[Ofc Code]=(TRIM(F$7)))*(CRDJ[Account Code]=(TRIM($D64))),CRDJ[Debit])))+(SUM(IF((GJ[Ofc Code]=(TRIM(F$7)))*(GJ[Account Code]=(TRIM($D64))),GJ[Debit]))))-((SUM(IF((CkDJ[Ofc Code]=(TRIM(F$7)))*(CkDJ[Account Code]=(TRIM($D64))),CkDJ[Credit])))+(SUM(IF((CsDJ[Ofc Code]=(TRIM(F$7)))*(CsDJ[Account Code]=(TRIM($D64))),CsDJ[Credit])))+(SUM(IF((CRDJ[Ofc Code]=(TRIM(F$7)))*(CRDJ[Account Code]=(TRIM($D64))),CRDJ[Credit])))+(SUM(IF((GJ[Ofc Code]=(TRIM(F$7)))*(GJ[Account Code]=(TRIM($D64))),GJ[Credit]))))</f>
        <v>0</v>
      </c>
      <c r="G64" s="211">
        <f t="array" ref="G64">((SUM(IF((CkDJ[Ofc Code]=(TRIM(G$7)))*(CkDJ[Account Code]=(TRIM($D64))),CkDJ[Debit])))+(SUM(IF((CsDJ[Ofc Code]=(TRIM(G$7)))*(CsDJ[Account Code]=(TRIM($D64))),CsDJ[Debit])))+(SUM(IF((CRDJ[Ofc Code]=(TRIM(G$7)))*(CRDJ[Account Code]=(TRIM($D64))),CRDJ[Debit])))+(SUM(IF((GJ[Ofc Code]=(TRIM(G$7)))*(GJ[Account Code]=(TRIM($D64))),GJ[Debit]))))-((SUM(IF((CkDJ[Ofc Code]=(TRIM(G$7)))*(CkDJ[Account Code]=(TRIM($D64))),CkDJ[Credit])))+(SUM(IF((CsDJ[Ofc Code]=(TRIM(G$7)))*(CsDJ[Account Code]=(TRIM($D64))),CsDJ[Credit])))+(SUM(IF((CRDJ[Ofc Code]=(TRIM(G$7)))*(CRDJ[Account Code]=(TRIM($D64))),CRDJ[Credit])))+(SUM(IF((GJ[Ofc Code]=(TRIM(G$7)))*(GJ[Account Code]=(TRIM($D64))),GJ[Credit]))))</f>
        <v>0</v>
      </c>
      <c r="H64" s="211">
        <f t="array" ref="H64">((SUM(IF((CkDJ[Ofc Code]=(TRIM(H$7)))*(CkDJ[Account Code]=(TRIM($D64))),CkDJ[Debit])))+(SUM(IF((CsDJ[Ofc Code]=(TRIM(H$7)))*(CsDJ[Account Code]=(TRIM($D64))),CsDJ[Debit])))+(SUM(IF((CRDJ[Ofc Code]=(TRIM(H$7)))*(CRDJ[Account Code]=(TRIM($D64))),CRDJ[Debit])))+(SUM(IF((GJ[Ofc Code]=(TRIM(H$7)))*(GJ[Account Code]=(TRIM($D64))),GJ[Debit]))))-((SUM(IF((CkDJ[Ofc Code]=(TRIM(H$7)))*(CkDJ[Account Code]=(TRIM($D64))),CkDJ[Credit])))+(SUM(IF((CsDJ[Ofc Code]=(TRIM(H$7)))*(CsDJ[Account Code]=(TRIM($D64))),CsDJ[Credit])))+(SUM(IF((CRDJ[Ofc Code]=(TRIM(H$7)))*(CRDJ[Account Code]=(TRIM($D64))),CRDJ[Credit])))+(SUM(IF((GJ[Ofc Code]=(TRIM(H$7)))*(GJ[Account Code]=(TRIM($D64))),GJ[Credit]))))</f>
        <v>0</v>
      </c>
      <c r="I64" s="211">
        <f t="array" ref="I64">((SUM(IF((CkDJ[Ofc Code]=(TRIM(I$7)))*(CkDJ[Account Code]=(TRIM($D64))),CkDJ[Debit])))+(SUM(IF((CsDJ[Ofc Code]=(TRIM(I$7)))*(CsDJ[Account Code]=(TRIM($D64))),CsDJ[Debit])))+(SUM(IF((CRDJ[Ofc Code]=(TRIM(I$7)))*(CRDJ[Account Code]=(TRIM($D64))),CRDJ[Debit])))+(SUM(IF((GJ[Ofc Code]=(TRIM(I$7)))*(GJ[Account Code]=(TRIM($D64))),GJ[Debit]))))-((SUM(IF((CkDJ[Ofc Code]=(TRIM(I$7)))*(CkDJ[Account Code]=(TRIM($D64))),CkDJ[Credit])))+(SUM(IF((CsDJ[Ofc Code]=(TRIM(I$7)))*(CsDJ[Account Code]=(TRIM($D64))),CsDJ[Credit])))+(SUM(IF((CRDJ[Ofc Code]=(TRIM(I$7)))*(CRDJ[Account Code]=(TRIM($D64))),CRDJ[Credit])))+(SUM(IF((GJ[Ofc Code]=(TRIM(I$7)))*(GJ[Account Code]=(TRIM($D64))),GJ[Credit]))))</f>
        <v>0</v>
      </c>
      <c r="J64" s="211">
        <f t="shared" si="15"/>
        <v>0</v>
      </c>
      <c r="K64" s="211">
        <f t="array" ref="K64">((SUM(IF((CkDJ[Ofc Code]=(TRIM(K$7)))*(CkDJ[Account Code]=(TRIM($D64))),CkDJ[Debit])))+(SUM(IF((CsDJ[Ofc Code]=(TRIM(K$7)))*(CsDJ[Account Code]=(TRIM($D64))),CsDJ[Debit])))+(SUM(IF((CRDJ[Ofc Code]=(TRIM(K$7)))*(CRDJ[Account Code]=(TRIM($D64))),CRDJ[Debit])))+(SUM(IF((GJ[Ofc Code]=(TRIM(K$7)))*(GJ[Account Code]=(TRIM($D64))),GJ[Debit]))))-((SUM(IF((CkDJ[Ofc Code]=(TRIM(K$7)))*(CkDJ[Account Code]=(TRIM($D64))),CkDJ[Credit])))+(SUM(IF((CsDJ[Ofc Code]=(TRIM(K$7)))*(CsDJ[Account Code]=(TRIM($D64))),CsDJ[Credit])))+(SUM(IF((CRDJ[Ofc Code]=(TRIM(K$7)))*(CRDJ[Account Code]=(TRIM($D64))),CRDJ[Credit])))+(SUM(IF((GJ[Ofc Code]=(TRIM(K$7)))*(GJ[Account Code]=(TRIM($D64))),GJ[Credit]))))</f>
        <v>0</v>
      </c>
      <c r="L64" s="211">
        <f t="array" ref="L64">((SUM(IF((CkDJ[Ofc Code]=(TRIM(L$7)))*(CkDJ[Account Code]=(TRIM($D64))),CkDJ[Debit])))+(SUM(IF((CsDJ[Ofc Code]=(TRIM(L$7)))*(CsDJ[Account Code]=(TRIM($D64))),CsDJ[Debit])))+(SUM(IF((CRDJ[Ofc Code]=(TRIM(L$7)))*(CRDJ[Account Code]=(TRIM($D64))),CRDJ[Debit])))+(SUM(IF((GJ[Ofc Code]=(TRIM(L$7)))*(GJ[Account Code]=(TRIM($D64))),GJ[Debit]))))-((SUM(IF((CkDJ[Ofc Code]=(TRIM(L$7)))*(CkDJ[Account Code]=(TRIM($D64))),CkDJ[Credit])))+(SUM(IF((CsDJ[Ofc Code]=(TRIM(L$7)))*(CsDJ[Account Code]=(TRIM($D64))),CsDJ[Credit])))+(SUM(IF((CRDJ[Ofc Code]=(TRIM(L$7)))*(CRDJ[Account Code]=(TRIM($D64))),CRDJ[Credit])))+(SUM(IF((GJ[Ofc Code]=(TRIM(L$7)))*(GJ[Account Code]=(TRIM($D64))),GJ[Credit]))))</f>
        <v>0</v>
      </c>
      <c r="M64" s="211">
        <f t="array" ref="M64">((SUM(IF((CkDJ[Ofc Code]=(TRIM(M$7)))*(CkDJ[Account Code]=(TRIM($D64))),CkDJ[Debit])))+(SUM(IF((CsDJ[Ofc Code]=(TRIM(M$7)))*(CsDJ[Account Code]=(TRIM($D64))),CsDJ[Debit])))+(SUM(IF((CRDJ[Ofc Code]=(TRIM(M$7)))*(CRDJ[Account Code]=(TRIM($D64))),CRDJ[Debit])))+(SUM(IF((GJ[Ofc Code]=(TRIM(M$7)))*(GJ[Account Code]=(TRIM($D64))),GJ[Debit]))))-((SUM(IF((CkDJ[Ofc Code]=(TRIM(M$7)))*(CkDJ[Account Code]=(TRIM($D64))),CkDJ[Credit])))+(SUM(IF((CsDJ[Ofc Code]=(TRIM(M$7)))*(CsDJ[Account Code]=(TRIM($D64))),CsDJ[Credit])))+(SUM(IF((CRDJ[Ofc Code]=(TRIM(M$7)))*(CRDJ[Account Code]=(TRIM($D64))),CRDJ[Credit])))+(SUM(IF((GJ[Ofc Code]=(TRIM(M$7)))*(GJ[Account Code]=(TRIM($D64))),GJ[Credit]))))</f>
        <v>0</v>
      </c>
      <c r="N64" s="211">
        <f t="array" ref="N64">((SUM(IF((CkDJ[Ofc Code]=(TRIM(N$7)))*(CkDJ[Account Code]=(TRIM($D64))),CkDJ[Debit])))+(SUM(IF((CsDJ[Ofc Code]=(TRIM(N$7)))*(CsDJ[Account Code]=(TRIM($D64))),CsDJ[Debit])))+(SUM(IF((CRDJ[Ofc Code]=(TRIM(N$7)))*(CRDJ[Account Code]=(TRIM($D64))),CRDJ[Debit])))+(SUM(IF((GJ[Ofc Code]=(TRIM(N$7)))*(GJ[Account Code]=(TRIM($D64))),GJ[Debit]))))-((SUM(IF((CkDJ[Ofc Code]=(TRIM(N$7)))*(CkDJ[Account Code]=(TRIM($D64))),CkDJ[Credit])))+(SUM(IF((CsDJ[Ofc Code]=(TRIM(N$7)))*(CsDJ[Account Code]=(TRIM($D64))),CsDJ[Credit])))+(SUM(IF((CRDJ[Ofc Code]=(TRIM(N$7)))*(CRDJ[Account Code]=(TRIM($D64))),CRDJ[Credit])))+(SUM(IF((GJ[Ofc Code]=(TRIM(N$7)))*(GJ[Account Code]=(TRIM($D64))),GJ[Credit]))))</f>
        <v>0</v>
      </c>
      <c r="O64" s="211">
        <f t="shared" si="16"/>
        <v>0</v>
      </c>
      <c r="P64" s="211">
        <f t="array" ref="P64">((SUM(IF((CkDJ[Ofc Code]=(TRIM(P$7)))*(CkDJ[Account Code]=(TRIM($D64))),CkDJ[Debit])))+(SUM(IF((CsDJ[Ofc Code]=(TRIM(P$7)))*(CsDJ[Account Code]=(TRIM($D64))),CsDJ[Debit])))+(SUM(IF((CRDJ[Ofc Code]=(TRIM(P$7)))*(CRDJ[Account Code]=(TRIM($D64))),CRDJ[Debit])))+(SUM(IF((GJ[Ofc Code]=(TRIM(P$7)))*(GJ[Account Code]=(TRIM($D64))),GJ[Debit]))))-((SUM(IF((CkDJ[Ofc Code]=(TRIM(P$7)))*(CkDJ[Account Code]=(TRIM($D64))),CkDJ[Credit])))+(SUM(IF((CsDJ[Ofc Code]=(TRIM(P$7)))*(CsDJ[Account Code]=(TRIM($D64))),CsDJ[Credit])))+(SUM(IF((CRDJ[Ofc Code]=(TRIM(P$7)))*(CRDJ[Account Code]=(TRIM($D64))),CRDJ[Credit])))+(SUM(IF((GJ[Ofc Code]=(TRIM(P$7)))*(GJ[Account Code]=(TRIM($D64))),GJ[Credit]))))</f>
        <v>0</v>
      </c>
      <c r="Q64" s="211">
        <f t="array" ref="Q64">((SUM(IF((CkDJ[Ofc Code]=(TRIM(Q$7)))*(CkDJ[Account Code]=(TRIM($D64))),CkDJ[Debit])))+(SUM(IF((CsDJ[Ofc Code]=(TRIM(Q$7)))*(CsDJ[Account Code]=(TRIM($D64))),CsDJ[Debit])))+(SUM(IF((CRDJ[Ofc Code]=(TRIM(Q$7)))*(CRDJ[Account Code]=(TRIM($D64))),CRDJ[Debit])))+(SUM(IF((GJ[Ofc Code]=(TRIM(Q$7)))*(GJ[Account Code]=(TRIM($D64))),GJ[Debit]))))-((SUM(IF((CkDJ[Ofc Code]=(TRIM(Q$7)))*(CkDJ[Account Code]=(TRIM($D64))),CkDJ[Credit])))+(SUM(IF((CsDJ[Ofc Code]=(TRIM(Q$7)))*(CsDJ[Account Code]=(TRIM($D64))),CsDJ[Credit])))+(SUM(IF((CRDJ[Ofc Code]=(TRIM(Q$7)))*(CRDJ[Account Code]=(TRIM($D64))),CRDJ[Credit])))+(SUM(IF((GJ[Ofc Code]=(TRIM(Q$7)))*(GJ[Account Code]=(TRIM($D64))),GJ[Credit]))))</f>
        <v>0</v>
      </c>
      <c r="R64" s="211">
        <f t="array" ref="R64">((SUM(IF((CkDJ[Ofc Code]=(TRIM(R$7)))*(CkDJ[Account Code]=(TRIM($D64))),CkDJ[Debit])))+(SUM(IF((CsDJ[Ofc Code]=(TRIM(R$7)))*(CsDJ[Account Code]=(TRIM($D64))),CsDJ[Debit])))+(SUM(IF((CRDJ[Ofc Code]=(TRIM(R$7)))*(CRDJ[Account Code]=(TRIM($D64))),CRDJ[Debit])))+(SUM(IF((GJ[Ofc Code]=(TRIM(R$7)))*(GJ[Account Code]=(TRIM($D64))),GJ[Debit]))))-((SUM(IF((CkDJ[Ofc Code]=(TRIM(R$7)))*(CkDJ[Account Code]=(TRIM($D64))),CkDJ[Credit])))+(SUM(IF((CsDJ[Ofc Code]=(TRIM(R$7)))*(CsDJ[Account Code]=(TRIM($D64))),CsDJ[Credit])))+(SUM(IF((CRDJ[Ofc Code]=(TRIM(R$7)))*(CRDJ[Account Code]=(TRIM($D64))),CRDJ[Credit])))+(SUM(IF((GJ[Ofc Code]=(TRIM(R$7)))*(GJ[Account Code]=(TRIM($D64))),GJ[Credit]))))</f>
        <v>0</v>
      </c>
      <c r="S64" s="211">
        <f t="array" ref="S64">((SUM(IF((CkDJ[Ofc Code]=(TRIM(S$7)))*(CkDJ[Account Code]=(TRIM($D64))),CkDJ[Debit])))+(SUM(IF((CsDJ[Ofc Code]=(TRIM(S$7)))*(CsDJ[Account Code]=(TRIM($D64))),CsDJ[Debit])))+(SUM(IF((CRDJ[Ofc Code]=(TRIM(S$7)))*(CRDJ[Account Code]=(TRIM($D64))),CRDJ[Debit])))+(SUM(IF((GJ[Ofc Code]=(TRIM(S$7)))*(GJ[Account Code]=(TRIM($D64))),GJ[Debit]))))-((SUM(IF((CkDJ[Ofc Code]=(TRIM(S$7)))*(CkDJ[Account Code]=(TRIM($D64))),CkDJ[Credit])))+(SUM(IF((CsDJ[Ofc Code]=(TRIM(S$7)))*(CsDJ[Account Code]=(TRIM($D64))),CsDJ[Credit])))+(SUM(IF((CRDJ[Ofc Code]=(TRIM(S$7)))*(CRDJ[Account Code]=(TRIM($D64))),CRDJ[Credit])))+(SUM(IF((GJ[Ofc Code]=(TRIM(S$7)))*(GJ[Account Code]=(TRIM($D64))),GJ[Credit]))))</f>
        <v>0</v>
      </c>
      <c r="T64" s="211">
        <f t="array" ref="T64">((SUM(IF((CkDJ[Ofc Code]=(TRIM(T$7)))*(CkDJ[Account Code]=(TRIM($D64))),CkDJ[Debit])))+(SUM(IF((CsDJ[Ofc Code]=(TRIM(T$7)))*(CsDJ[Account Code]=(TRIM($D64))),CsDJ[Debit])))+(SUM(IF((CRDJ[Ofc Code]=(TRIM(T$7)))*(CRDJ[Account Code]=(TRIM($D64))),CRDJ[Debit])))+(SUM(IF((GJ[Ofc Code]=(TRIM(T$7)))*(GJ[Account Code]=(TRIM($D64))),GJ[Debit]))))-((SUM(IF((CkDJ[Ofc Code]=(TRIM(T$7)))*(CkDJ[Account Code]=(TRIM($D64))),CkDJ[Credit])))+(SUM(IF((CsDJ[Ofc Code]=(TRIM(T$7)))*(CsDJ[Account Code]=(TRIM($D64))),CsDJ[Credit])))+(SUM(IF((CRDJ[Ofc Code]=(TRIM(T$7)))*(CRDJ[Account Code]=(TRIM($D64))),CRDJ[Credit])))+(SUM(IF((GJ[Ofc Code]=(TRIM(T$7)))*(GJ[Account Code]=(TRIM($D64))),GJ[Credit]))))</f>
        <v>0</v>
      </c>
      <c r="U64" s="211">
        <f t="shared" si="17"/>
        <v>0</v>
      </c>
      <c r="V64" s="211">
        <f t="shared" si="18"/>
        <v>0</v>
      </c>
    </row>
    <row r="65" spans="1:22" ht="15">
      <c r="A65" s="212">
        <f t="shared" si="19"/>
        <v>3</v>
      </c>
      <c r="B65" s="214"/>
      <c r="C65" s="194" t="str">
        <f t="shared" si="14"/>
        <v>Office Supplies Expenses</v>
      </c>
      <c r="D65" s="207">
        <v>755</v>
      </c>
      <c r="E65" s="211">
        <f t="array" ref="E65">((SUM(IF((CkDJ[Ofc Code]=(TRIM(E$7)))*(CkDJ[Account Code]=(TRIM($D65))),CkDJ[Debit])))+(SUM(IF((CsDJ[Ofc Code]=(TRIM(E$7)))*(CsDJ[Account Code]=(TRIM($D65))),CsDJ[Debit])))+(SUM(IF((CRDJ[Ofc Code]=(TRIM(E$7)))*(CRDJ[Account Code]=(TRIM($D65))),CRDJ[Debit])))+(SUM(IF((GJ[Ofc Code]=(TRIM(E$7)))*(GJ[Account Code]=(TRIM($D65))),GJ[Debit]))))-((SUM(IF((CkDJ[Ofc Code]=(TRIM(E$7)))*(CkDJ[Account Code]=(TRIM($D65))),CkDJ[Credit])))+(SUM(IF((CsDJ[Ofc Code]=(TRIM(E$7)))*(CsDJ[Account Code]=(TRIM($D65))),CsDJ[Credit])))+(SUM(IF((CRDJ[Ofc Code]=(TRIM(E$7)))*(CRDJ[Account Code]=(TRIM($D65))),CRDJ[Credit])))+(SUM(IF((GJ[Ofc Code]=(TRIM(E$7)))*(GJ[Account Code]=(TRIM($D65))),GJ[Credit]))))</f>
        <v>0</v>
      </c>
      <c r="F65" s="211">
        <f t="array" ref="F65">((SUM(IF((CkDJ[Ofc Code]=(TRIM(F$7)))*(CkDJ[Account Code]=(TRIM($D65))),CkDJ[Debit])))+(SUM(IF((CsDJ[Ofc Code]=(TRIM(F$7)))*(CsDJ[Account Code]=(TRIM($D65))),CsDJ[Debit])))+(SUM(IF((CRDJ[Ofc Code]=(TRIM(F$7)))*(CRDJ[Account Code]=(TRIM($D65))),CRDJ[Debit])))+(SUM(IF((GJ[Ofc Code]=(TRIM(F$7)))*(GJ[Account Code]=(TRIM($D65))),GJ[Debit]))))-((SUM(IF((CkDJ[Ofc Code]=(TRIM(F$7)))*(CkDJ[Account Code]=(TRIM($D65))),CkDJ[Credit])))+(SUM(IF((CsDJ[Ofc Code]=(TRIM(F$7)))*(CsDJ[Account Code]=(TRIM($D65))),CsDJ[Credit])))+(SUM(IF((CRDJ[Ofc Code]=(TRIM(F$7)))*(CRDJ[Account Code]=(TRIM($D65))),CRDJ[Credit])))+(SUM(IF((GJ[Ofc Code]=(TRIM(F$7)))*(GJ[Account Code]=(TRIM($D65))),GJ[Credit]))))</f>
        <v>0</v>
      </c>
      <c r="G65" s="211">
        <f t="array" ref="G65">((SUM(IF((CkDJ[Ofc Code]=(TRIM(G$7)))*(CkDJ[Account Code]=(TRIM($D65))),CkDJ[Debit])))+(SUM(IF((CsDJ[Ofc Code]=(TRIM(G$7)))*(CsDJ[Account Code]=(TRIM($D65))),CsDJ[Debit])))+(SUM(IF((CRDJ[Ofc Code]=(TRIM(G$7)))*(CRDJ[Account Code]=(TRIM($D65))),CRDJ[Debit])))+(SUM(IF((GJ[Ofc Code]=(TRIM(G$7)))*(GJ[Account Code]=(TRIM($D65))),GJ[Debit]))))-((SUM(IF((CkDJ[Ofc Code]=(TRIM(G$7)))*(CkDJ[Account Code]=(TRIM($D65))),CkDJ[Credit])))+(SUM(IF((CsDJ[Ofc Code]=(TRIM(G$7)))*(CsDJ[Account Code]=(TRIM($D65))),CsDJ[Credit])))+(SUM(IF((CRDJ[Ofc Code]=(TRIM(G$7)))*(CRDJ[Account Code]=(TRIM($D65))),CRDJ[Credit])))+(SUM(IF((GJ[Ofc Code]=(TRIM(G$7)))*(GJ[Account Code]=(TRIM($D65))),GJ[Credit]))))</f>
        <v>0</v>
      </c>
      <c r="H65" s="211">
        <f t="array" ref="H65">((SUM(IF((CkDJ[Ofc Code]=(TRIM(H$7)))*(CkDJ[Account Code]=(TRIM($D65))),CkDJ[Debit])))+(SUM(IF((CsDJ[Ofc Code]=(TRIM(H$7)))*(CsDJ[Account Code]=(TRIM($D65))),CsDJ[Debit])))+(SUM(IF((CRDJ[Ofc Code]=(TRIM(H$7)))*(CRDJ[Account Code]=(TRIM($D65))),CRDJ[Debit])))+(SUM(IF((GJ[Ofc Code]=(TRIM(H$7)))*(GJ[Account Code]=(TRIM($D65))),GJ[Debit]))))-((SUM(IF((CkDJ[Ofc Code]=(TRIM(H$7)))*(CkDJ[Account Code]=(TRIM($D65))),CkDJ[Credit])))+(SUM(IF((CsDJ[Ofc Code]=(TRIM(H$7)))*(CsDJ[Account Code]=(TRIM($D65))),CsDJ[Credit])))+(SUM(IF((CRDJ[Ofc Code]=(TRIM(H$7)))*(CRDJ[Account Code]=(TRIM($D65))),CRDJ[Credit])))+(SUM(IF((GJ[Ofc Code]=(TRIM(H$7)))*(GJ[Account Code]=(TRIM($D65))),GJ[Credit]))))</f>
        <v>0</v>
      </c>
      <c r="I65" s="211">
        <f t="array" ref="I65">((SUM(IF((CkDJ[Ofc Code]=(TRIM(I$7)))*(CkDJ[Account Code]=(TRIM($D65))),CkDJ[Debit])))+(SUM(IF((CsDJ[Ofc Code]=(TRIM(I$7)))*(CsDJ[Account Code]=(TRIM($D65))),CsDJ[Debit])))+(SUM(IF((CRDJ[Ofc Code]=(TRIM(I$7)))*(CRDJ[Account Code]=(TRIM($D65))),CRDJ[Debit])))+(SUM(IF((GJ[Ofc Code]=(TRIM(I$7)))*(GJ[Account Code]=(TRIM($D65))),GJ[Debit]))))-((SUM(IF((CkDJ[Ofc Code]=(TRIM(I$7)))*(CkDJ[Account Code]=(TRIM($D65))),CkDJ[Credit])))+(SUM(IF((CsDJ[Ofc Code]=(TRIM(I$7)))*(CsDJ[Account Code]=(TRIM($D65))),CsDJ[Credit])))+(SUM(IF((CRDJ[Ofc Code]=(TRIM(I$7)))*(CRDJ[Account Code]=(TRIM($D65))),CRDJ[Credit])))+(SUM(IF((GJ[Ofc Code]=(TRIM(I$7)))*(GJ[Account Code]=(TRIM($D65))),GJ[Credit]))))</f>
        <v>0</v>
      </c>
      <c r="J65" s="211">
        <f t="shared" si="15"/>
        <v>0</v>
      </c>
      <c r="K65" s="211">
        <f t="array" ref="K65">((SUM(IF((CkDJ[Ofc Code]=(TRIM(K$7)))*(CkDJ[Account Code]=(TRIM($D65))),CkDJ[Debit])))+(SUM(IF((CsDJ[Ofc Code]=(TRIM(K$7)))*(CsDJ[Account Code]=(TRIM($D65))),CsDJ[Debit])))+(SUM(IF((CRDJ[Ofc Code]=(TRIM(K$7)))*(CRDJ[Account Code]=(TRIM($D65))),CRDJ[Debit])))+(SUM(IF((GJ[Ofc Code]=(TRIM(K$7)))*(GJ[Account Code]=(TRIM($D65))),GJ[Debit]))))-((SUM(IF((CkDJ[Ofc Code]=(TRIM(K$7)))*(CkDJ[Account Code]=(TRIM($D65))),CkDJ[Credit])))+(SUM(IF((CsDJ[Ofc Code]=(TRIM(K$7)))*(CsDJ[Account Code]=(TRIM($D65))),CsDJ[Credit])))+(SUM(IF((CRDJ[Ofc Code]=(TRIM(K$7)))*(CRDJ[Account Code]=(TRIM($D65))),CRDJ[Credit])))+(SUM(IF((GJ[Ofc Code]=(TRIM(K$7)))*(GJ[Account Code]=(TRIM($D65))),GJ[Credit]))))</f>
        <v>0</v>
      </c>
      <c r="L65" s="211">
        <f t="array" ref="L65">((SUM(IF((CkDJ[Ofc Code]=(TRIM(L$7)))*(CkDJ[Account Code]=(TRIM($D65))),CkDJ[Debit])))+(SUM(IF((CsDJ[Ofc Code]=(TRIM(L$7)))*(CsDJ[Account Code]=(TRIM($D65))),CsDJ[Debit])))+(SUM(IF((CRDJ[Ofc Code]=(TRIM(L$7)))*(CRDJ[Account Code]=(TRIM($D65))),CRDJ[Debit])))+(SUM(IF((GJ[Ofc Code]=(TRIM(L$7)))*(GJ[Account Code]=(TRIM($D65))),GJ[Debit]))))-((SUM(IF((CkDJ[Ofc Code]=(TRIM(L$7)))*(CkDJ[Account Code]=(TRIM($D65))),CkDJ[Credit])))+(SUM(IF((CsDJ[Ofc Code]=(TRIM(L$7)))*(CsDJ[Account Code]=(TRIM($D65))),CsDJ[Credit])))+(SUM(IF((CRDJ[Ofc Code]=(TRIM(L$7)))*(CRDJ[Account Code]=(TRIM($D65))),CRDJ[Credit])))+(SUM(IF((GJ[Ofc Code]=(TRIM(L$7)))*(GJ[Account Code]=(TRIM($D65))),GJ[Credit]))))</f>
        <v>0</v>
      </c>
      <c r="M65" s="211">
        <f t="array" ref="M65">((SUM(IF((CkDJ[Ofc Code]=(TRIM(M$7)))*(CkDJ[Account Code]=(TRIM($D65))),CkDJ[Debit])))+(SUM(IF((CsDJ[Ofc Code]=(TRIM(M$7)))*(CsDJ[Account Code]=(TRIM($D65))),CsDJ[Debit])))+(SUM(IF((CRDJ[Ofc Code]=(TRIM(M$7)))*(CRDJ[Account Code]=(TRIM($D65))),CRDJ[Debit])))+(SUM(IF((GJ[Ofc Code]=(TRIM(M$7)))*(GJ[Account Code]=(TRIM($D65))),GJ[Debit]))))-((SUM(IF((CkDJ[Ofc Code]=(TRIM(M$7)))*(CkDJ[Account Code]=(TRIM($D65))),CkDJ[Credit])))+(SUM(IF((CsDJ[Ofc Code]=(TRIM(M$7)))*(CsDJ[Account Code]=(TRIM($D65))),CsDJ[Credit])))+(SUM(IF((CRDJ[Ofc Code]=(TRIM(M$7)))*(CRDJ[Account Code]=(TRIM($D65))),CRDJ[Credit])))+(SUM(IF((GJ[Ofc Code]=(TRIM(M$7)))*(GJ[Account Code]=(TRIM($D65))),GJ[Credit]))))</f>
        <v>0</v>
      </c>
      <c r="N65" s="211">
        <f t="array" ref="N65">((SUM(IF((CkDJ[Ofc Code]=(TRIM(N$7)))*(CkDJ[Account Code]=(TRIM($D65))),CkDJ[Debit])))+(SUM(IF((CsDJ[Ofc Code]=(TRIM(N$7)))*(CsDJ[Account Code]=(TRIM($D65))),CsDJ[Debit])))+(SUM(IF((CRDJ[Ofc Code]=(TRIM(N$7)))*(CRDJ[Account Code]=(TRIM($D65))),CRDJ[Debit])))+(SUM(IF((GJ[Ofc Code]=(TRIM(N$7)))*(GJ[Account Code]=(TRIM($D65))),GJ[Debit]))))-((SUM(IF((CkDJ[Ofc Code]=(TRIM(N$7)))*(CkDJ[Account Code]=(TRIM($D65))),CkDJ[Credit])))+(SUM(IF((CsDJ[Ofc Code]=(TRIM(N$7)))*(CsDJ[Account Code]=(TRIM($D65))),CsDJ[Credit])))+(SUM(IF((CRDJ[Ofc Code]=(TRIM(N$7)))*(CRDJ[Account Code]=(TRIM($D65))),CRDJ[Credit])))+(SUM(IF((GJ[Ofc Code]=(TRIM(N$7)))*(GJ[Account Code]=(TRIM($D65))),GJ[Credit]))))</f>
        <v>0</v>
      </c>
      <c r="O65" s="211">
        <f t="shared" si="16"/>
        <v>0</v>
      </c>
      <c r="P65" s="211">
        <f t="array" ref="P65">((SUM(IF((CkDJ[Ofc Code]=(TRIM(P$7)))*(CkDJ[Account Code]=(TRIM($D65))),CkDJ[Debit])))+(SUM(IF((CsDJ[Ofc Code]=(TRIM(P$7)))*(CsDJ[Account Code]=(TRIM($D65))),CsDJ[Debit])))+(SUM(IF((CRDJ[Ofc Code]=(TRIM(P$7)))*(CRDJ[Account Code]=(TRIM($D65))),CRDJ[Debit])))+(SUM(IF((GJ[Ofc Code]=(TRIM(P$7)))*(GJ[Account Code]=(TRIM($D65))),GJ[Debit]))))-((SUM(IF((CkDJ[Ofc Code]=(TRIM(P$7)))*(CkDJ[Account Code]=(TRIM($D65))),CkDJ[Credit])))+(SUM(IF((CsDJ[Ofc Code]=(TRIM(P$7)))*(CsDJ[Account Code]=(TRIM($D65))),CsDJ[Credit])))+(SUM(IF((CRDJ[Ofc Code]=(TRIM(P$7)))*(CRDJ[Account Code]=(TRIM($D65))),CRDJ[Credit])))+(SUM(IF((GJ[Ofc Code]=(TRIM(P$7)))*(GJ[Account Code]=(TRIM($D65))),GJ[Credit]))))</f>
        <v>0</v>
      </c>
      <c r="Q65" s="211">
        <f t="array" ref="Q65">((SUM(IF((CkDJ[Ofc Code]=(TRIM(Q$7)))*(CkDJ[Account Code]=(TRIM($D65))),CkDJ[Debit])))+(SUM(IF((CsDJ[Ofc Code]=(TRIM(Q$7)))*(CsDJ[Account Code]=(TRIM($D65))),CsDJ[Debit])))+(SUM(IF((CRDJ[Ofc Code]=(TRIM(Q$7)))*(CRDJ[Account Code]=(TRIM($D65))),CRDJ[Debit])))+(SUM(IF((GJ[Ofc Code]=(TRIM(Q$7)))*(GJ[Account Code]=(TRIM($D65))),GJ[Debit]))))-((SUM(IF((CkDJ[Ofc Code]=(TRIM(Q$7)))*(CkDJ[Account Code]=(TRIM($D65))),CkDJ[Credit])))+(SUM(IF((CsDJ[Ofc Code]=(TRIM(Q$7)))*(CsDJ[Account Code]=(TRIM($D65))),CsDJ[Credit])))+(SUM(IF((CRDJ[Ofc Code]=(TRIM(Q$7)))*(CRDJ[Account Code]=(TRIM($D65))),CRDJ[Credit])))+(SUM(IF((GJ[Ofc Code]=(TRIM(Q$7)))*(GJ[Account Code]=(TRIM($D65))),GJ[Credit]))))</f>
        <v>0</v>
      </c>
      <c r="R65" s="211">
        <f t="array" ref="R65">((SUM(IF((CkDJ[Ofc Code]=(TRIM(R$7)))*(CkDJ[Account Code]=(TRIM($D65))),CkDJ[Debit])))+(SUM(IF((CsDJ[Ofc Code]=(TRIM(R$7)))*(CsDJ[Account Code]=(TRIM($D65))),CsDJ[Debit])))+(SUM(IF((CRDJ[Ofc Code]=(TRIM(R$7)))*(CRDJ[Account Code]=(TRIM($D65))),CRDJ[Debit])))+(SUM(IF((GJ[Ofc Code]=(TRIM(R$7)))*(GJ[Account Code]=(TRIM($D65))),GJ[Debit]))))-((SUM(IF((CkDJ[Ofc Code]=(TRIM(R$7)))*(CkDJ[Account Code]=(TRIM($D65))),CkDJ[Credit])))+(SUM(IF((CsDJ[Ofc Code]=(TRIM(R$7)))*(CsDJ[Account Code]=(TRIM($D65))),CsDJ[Credit])))+(SUM(IF((CRDJ[Ofc Code]=(TRIM(R$7)))*(CRDJ[Account Code]=(TRIM($D65))),CRDJ[Credit])))+(SUM(IF((GJ[Ofc Code]=(TRIM(R$7)))*(GJ[Account Code]=(TRIM($D65))),GJ[Credit]))))</f>
        <v>0</v>
      </c>
      <c r="S65" s="211">
        <f t="array" ref="S65">((SUM(IF((CkDJ[Ofc Code]=(TRIM(S$7)))*(CkDJ[Account Code]=(TRIM($D65))),CkDJ[Debit])))+(SUM(IF((CsDJ[Ofc Code]=(TRIM(S$7)))*(CsDJ[Account Code]=(TRIM($D65))),CsDJ[Debit])))+(SUM(IF((CRDJ[Ofc Code]=(TRIM(S$7)))*(CRDJ[Account Code]=(TRIM($D65))),CRDJ[Debit])))+(SUM(IF((GJ[Ofc Code]=(TRIM(S$7)))*(GJ[Account Code]=(TRIM($D65))),GJ[Debit]))))-((SUM(IF((CkDJ[Ofc Code]=(TRIM(S$7)))*(CkDJ[Account Code]=(TRIM($D65))),CkDJ[Credit])))+(SUM(IF((CsDJ[Ofc Code]=(TRIM(S$7)))*(CsDJ[Account Code]=(TRIM($D65))),CsDJ[Credit])))+(SUM(IF((CRDJ[Ofc Code]=(TRIM(S$7)))*(CRDJ[Account Code]=(TRIM($D65))),CRDJ[Credit])))+(SUM(IF((GJ[Ofc Code]=(TRIM(S$7)))*(GJ[Account Code]=(TRIM($D65))),GJ[Credit]))))</f>
        <v>0</v>
      </c>
      <c r="T65" s="211">
        <f t="array" ref="T65">((SUM(IF((CkDJ[Ofc Code]=(TRIM(T$7)))*(CkDJ[Account Code]=(TRIM($D65))),CkDJ[Debit])))+(SUM(IF((CsDJ[Ofc Code]=(TRIM(T$7)))*(CsDJ[Account Code]=(TRIM($D65))),CsDJ[Debit])))+(SUM(IF((CRDJ[Ofc Code]=(TRIM(T$7)))*(CRDJ[Account Code]=(TRIM($D65))),CRDJ[Debit])))+(SUM(IF((GJ[Ofc Code]=(TRIM(T$7)))*(GJ[Account Code]=(TRIM($D65))),GJ[Debit]))))-((SUM(IF((CkDJ[Ofc Code]=(TRIM(T$7)))*(CkDJ[Account Code]=(TRIM($D65))),CkDJ[Credit])))+(SUM(IF((CsDJ[Ofc Code]=(TRIM(T$7)))*(CsDJ[Account Code]=(TRIM($D65))),CsDJ[Credit])))+(SUM(IF((CRDJ[Ofc Code]=(TRIM(T$7)))*(CRDJ[Account Code]=(TRIM($D65))),CRDJ[Credit])))+(SUM(IF((GJ[Ofc Code]=(TRIM(T$7)))*(GJ[Account Code]=(TRIM($D65))),GJ[Credit]))))</f>
        <v>0</v>
      </c>
      <c r="U65" s="211">
        <f t="shared" si="17"/>
        <v>0</v>
      </c>
      <c r="V65" s="211">
        <f t="shared" si="18"/>
        <v>0</v>
      </c>
    </row>
    <row r="66" spans="1:22" ht="15">
      <c r="A66" s="212">
        <f t="shared" si="19"/>
        <v>4</v>
      </c>
      <c r="B66" s="214"/>
      <c r="C66" s="194" t="str">
        <f t="shared" si="14"/>
        <v>Accountable Forms Expenses</v>
      </c>
      <c r="D66" s="207">
        <v>756</v>
      </c>
      <c r="E66" s="211">
        <f t="array" ref="E66">((SUM(IF((CkDJ[Ofc Code]=(TRIM(E$7)))*(CkDJ[Account Code]=(TRIM($D66))),CkDJ[Debit])))+(SUM(IF((CsDJ[Ofc Code]=(TRIM(E$7)))*(CsDJ[Account Code]=(TRIM($D66))),CsDJ[Debit])))+(SUM(IF((CRDJ[Ofc Code]=(TRIM(E$7)))*(CRDJ[Account Code]=(TRIM($D66))),CRDJ[Debit])))+(SUM(IF((GJ[Ofc Code]=(TRIM(E$7)))*(GJ[Account Code]=(TRIM($D66))),GJ[Debit]))))-((SUM(IF((CkDJ[Ofc Code]=(TRIM(E$7)))*(CkDJ[Account Code]=(TRIM($D66))),CkDJ[Credit])))+(SUM(IF((CsDJ[Ofc Code]=(TRIM(E$7)))*(CsDJ[Account Code]=(TRIM($D66))),CsDJ[Credit])))+(SUM(IF((CRDJ[Ofc Code]=(TRIM(E$7)))*(CRDJ[Account Code]=(TRIM($D66))),CRDJ[Credit])))+(SUM(IF((GJ[Ofc Code]=(TRIM(E$7)))*(GJ[Account Code]=(TRIM($D66))),GJ[Credit]))))</f>
        <v>0</v>
      </c>
      <c r="F66" s="211">
        <f t="array" ref="F66">((SUM(IF((CkDJ[Ofc Code]=(TRIM(F$7)))*(CkDJ[Account Code]=(TRIM($D66))),CkDJ[Debit])))+(SUM(IF((CsDJ[Ofc Code]=(TRIM(F$7)))*(CsDJ[Account Code]=(TRIM($D66))),CsDJ[Debit])))+(SUM(IF((CRDJ[Ofc Code]=(TRIM(F$7)))*(CRDJ[Account Code]=(TRIM($D66))),CRDJ[Debit])))+(SUM(IF((GJ[Ofc Code]=(TRIM(F$7)))*(GJ[Account Code]=(TRIM($D66))),GJ[Debit]))))-((SUM(IF((CkDJ[Ofc Code]=(TRIM(F$7)))*(CkDJ[Account Code]=(TRIM($D66))),CkDJ[Credit])))+(SUM(IF((CsDJ[Ofc Code]=(TRIM(F$7)))*(CsDJ[Account Code]=(TRIM($D66))),CsDJ[Credit])))+(SUM(IF((CRDJ[Ofc Code]=(TRIM(F$7)))*(CRDJ[Account Code]=(TRIM($D66))),CRDJ[Credit])))+(SUM(IF((GJ[Ofc Code]=(TRIM(F$7)))*(GJ[Account Code]=(TRIM($D66))),GJ[Credit]))))</f>
        <v>0</v>
      </c>
      <c r="G66" s="211">
        <f t="array" ref="G66">((SUM(IF((CkDJ[Ofc Code]=(TRIM(G$7)))*(CkDJ[Account Code]=(TRIM($D66))),CkDJ[Debit])))+(SUM(IF((CsDJ[Ofc Code]=(TRIM(G$7)))*(CsDJ[Account Code]=(TRIM($D66))),CsDJ[Debit])))+(SUM(IF((CRDJ[Ofc Code]=(TRIM(G$7)))*(CRDJ[Account Code]=(TRIM($D66))),CRDJ[Debit])))+(SUM(IF((GJ[Ofc Code]=(TRIM(G$7)))*(GJ[Account Code]=(TRIM($D66))),GJ[Debit]))))-((SUM(IF((CkDJ[Ofc Code]=(TRIM(G$7)))*(CkDJ[Account Code]=(TRIM($D66))),CkDJ[Credit])))+(SUM(IF((CsDJ[Ofc Code]=(TRIM(G$7)))*(CsDJ[Account Code]=(TRIM($D66))),CsDJ[Credit])))+(SUM(IF((CRDJ[Ofc Code]=(TRIM(G$7)))*(CRDJ[Account Code]=(TRIM($D66))),CRDJ[Credit])))+(SUM(IF((GJ[Ofc Code]=(TRIM(G$7)))*(GJ[Account Code]=(TRIM($D66))),GJ[Credit]))))</f>
        <v>0</v>
      </c>
      <c r="H66" s="211">
        <f t="array" ref="H66">((SUM(IF((CkDJ[Ofc Code]=(TRIM(H$7)))*(CkDJ[Account Code]=(TRIM($D66))),CkDJ[Debit])))+(SUM(IF((CsDJ[Ofc Code]=(TRIM(H$7)))*(CsDJ[Account Code]=(TRIM($D66))),CsDJ[Debit])))+(SUM(IF((CRDJ[Ofc Code]=(TRIM(H$7)))*(CRDJ[Account Code]=(TRIM($D66))),CRDJ[Debit])))+(SUM(IF((GJ[Ofc Code]=(TRIM(H$7)))*(GJ[Account Code]=(TRIM($D66))),GJ[Debit]))))-((SUM(IF((CkDJ[Ofc Code]=(TRIM(H$7)))*(CkDJ[Account Code]=(TRIM($D66))),CkDJ[Credit])))+(SUM(IF((CsDJ[Ofc Code]=(TRIM(H$7)))*(CsDJ[Account Code]=(TRIM($D66))),CsDJ[Credit])))+(SUM(IF((CRDJ[Ofc Code]=(TRIM(H$7)))*(CRDJ[Account Code]=(TRIM($D66))),CRDJ[Credit])))+(SUM(IF((GJ[Ofc Code]=(TRIM(H$7)))*(GJ[Account Code]=(TRIM($D66))),GJ[Credit]))))</f>
        <v>0</v>
      </c>
      <c r="I66" s="211">
        <f t="array" ref="I66">((SUM(IF((CkDJ[Ofc Code]=(TRIM(I$7)))*(CkDJ[Account Code]=(TRIM($D66))),CkDJ[Debit])))+(SUM(IF((CsDJ[Ofc Code]=(TRIM(I$7)))*(CsDJ[Account Code]=(TRIM($D66))),CsDJ[Debit])))+(SUM(IF((CRDJ[Ofc Code]=(TRIM(I$7)))*(CRDJ[Account Code]=(TRIM($D66))),CRDJ[Debit])))+(SUM(IF((GJ[Ofc Code]=(TRIM(I$7)))*(GJ[Account Code]=(TRIM($D66))),GJ[Debit]))))-((SUM(IF((CkDJ[Ofc Code]=(TRIM(I$7)))*(CkDJ[Account Code]=(TRIM($D66))),CkDJ[Credit])))+(SUM(IF((CsDJ[Ofc Code]=(TRIM(I$7)))*(CsDJ[Account Code]=(TRIM($D66))),CsDJ[Credit])))+(SUM(IF((CRDJ[Ofc Code]=(TRIM(I$7)))*(CRDJ[Account Code]=(TRIM($D66))),CRDJ[Credit])))+(SUM(IF((GJ[Ofc Code]=(TRIM(I$7)))*(GJ[Account Code]=(TRIM($D66))),GJ[Credit]))))</f>
        <v>0</v>
      </c>
      <c r="J66" s="211">
        <f t="shared" si="15"/>
        <v>0</v>
      </c>
      <c r="K66" s="211">
        <f t="array" ref="K66">((SUM(IF((CkDJ[Ofc Code]=(TRIM(K$7)))*(CkDJ[Account Code]=(TRIM($D66))),CkDJ[Debit])))+(SUM(IF((CsDJ[Ofc Code]=(TRIM(K$7)))*(CsDJ[Account Code]=(TRIM($D66))),CsDJ[Debit])))+(SUM(IF((CRDJ[Ofc Code]=(TRIM(K$7)))*(CRDJ[Account Code]=(TRIM($D66))),CRDJ[Debit])))+(SUM(IF((GJ[Ofc Code]=(TRIM(K$7)))*(GJ[Account Code]=(TRIM($D66))),GJ[Debit]))))-((SUM(IF((CkDJ[Ofc Code]=(TRIM(K$7)))*(CkDJ[Account Code]=(TRIM($D66))),CkDJ[Credit])))+(SUM(IF((CsDJ[Ofc Code]=(TRIM(K$7)))*(CsDJ[Account Code]=(TRIM($D66))),CsDJ[Credit])))+(SUM(IF((CRDJ[Ofc Code]=(TRIM(K$7)))*(CRDJ[Account Code]=(TRIM($D66))),CRDJ[Credit])))+(SUM(IF((GJ[Ofc Code]=(TRIM(K$7)))*(GJ[Account Code]=(TRIM($D66))),GJ[Credit]))))</f>
        <v>0</v>
      </c>
      <c r="L66" s="211">
        <f t="array" ref="L66">((SUM(IF((CkDJ[Ofc Code]=(TRIM(L$7)))*(CkDJ[Account Code]=(TRIM($D66))),CkDJ[Debit])))+(SUM(IF((CsDJ[Ofc Code]=(TRIM(L$7)))*(CsDJ[Account Code]=(TRIM($D66))),CsDJ[Debit])))+(SUM(IF((CRDJ[Ofc Code]=(TRIM(L$7)))*(CRDJ[Account Code]=(TRIM($D66))),CRDJ[Debit])))+(SUM(IF((GJ[Ofc Code]=(TRIM(L$7)))*(GJ[Account Code]=(TRIM($D66))),GJ[Debit]))))-((SUM(IF((CkDJ[Ofc Code]=(TRIM(L$7)))*(CkDJ[Account Code]=(TRIM($D66))),CkDJ[Credit])))+(SUM(IF((CsDJ[Ofc Code]=(TRIM(L$7)))*(CsDJ[Account Code]=(TRIM($D66))),CsDJ[Credit])))+(SUM(IF((CRDJ[Ofc Code]=(TRIM(L$7)))*(CRDJ[Account Code]=(TRIM($D66))),CRDJ[Credit])))+(SUM(IF((GJ[Ofc Code]=(TRIM(L$7)))*(GJ[Account Code]=(TRIM($D66))),GJ[Credit]))))</f>
        <v>0</v>
      </c>
      <c r="M66" s="211">
        <f t="array" ref="M66">((SUM(IF((CkDJ[Ofc Code]=(TRIM(M$7)))*(CkDJ[Account Code]=(TRIM($D66))),CkDJ[Debit])))+(SUM(IF((CsDJ[Ofc Code]=(TRIM(M$7)))*(CsDJ[Account Code]=(TRIM($D66))),CsDJ[Debit])))+(SUM(IF((CRDJ[Ofc Code]=(TRIM(M$7)))*(CRDJ[Account Code]=(TRIM($D66))),CRDJ[Debit])))+(SUM(IF((GJ[Ofc Code]=(TRIM(M$7)))*(GJ[Account Code]=(TRIM($D66))),GJ[Debit]))))-((SUM(IF((CkDJ[Ofc Code]=(TRIM(M$7)))*(CkDJ[Account Code]=(TRIM($D66))),CkDJ[Credit])))+(SUM(IF((CsDJ[Ofc Code]=(TRIM(M$7)))*(CsDJ[Account Code]=(TRIM($D66))),CsDJ[Credit])))+(SUM(IF((CRDJ[Ofc Code]=(TRIM(M$7)))*(CRDJ[Account Code]=(TRIM($D66))),CRDJ[Credit])))+(SUM(IF((GJ[Ofc Code]=(TRIM(M$7)))*(GJ[Account Code]=(TRIM($D66))),GJ[Credit]))))</f>
        <v>0</v>
      </c>
      <c r="N66" s="211">
        <f t="array" ref="N66">((SUM(IF((CkDJ[Ofc Code]=(TRIM(N$7)))*(CkDJ[Account Code]=(TRIM($D66))),CkDJ[Debit])))+(SUM(IF((CsDJ[Ofc Code]=(TRIM(N$7)))*(CsDJ[Account Code]=(TRIM($D66))),CsDJ[Debit])))+(SUM(IF((CRDJ[Ofc Code]=(TRIM(N$7)))*(CRDJ[Account Code]=(TRIM($D66))),CRDJ[Debit])))+(SUM(IF((GJ[Ofc Code]=(TRIM(N$7)))*(GJ[Account Code]=(TRIM($D66))),GJ[Debit]))))-((SUM(IF((CkDJ[Ofc Code]=(TRIM(N$7)))*(CkDJ[Account Code]=(TRIM($D66))),CkDJ[Credit])))+(SUM(IF((CsDJ[Ofc Code]=(TRIM(N$7)))*(CsDJ[Account Code]=(TRIM($D66))),CsDJ[Credit])))+(SUM(IF((CRDJ[Ofc Code]=(TRIM(N$7)))*(CRDJ[Account Code]=(TRIM($D66))),CRDJ[Credit])))+(SUM(IF((GJ[Ofc Code]=(TRIM(N$7)))*(GJ[Account Code]=(TRIM($D66))),GJ[Credit]))))</f>
        <v>0</v>
      </c>
      <c r="O66" s="211">
        <f t="shared" si="16"/>
        <v>0</v>
      </c>
      <c r="P66" s="211">
        <f t="array" ref="P66">((SUM(IF((CkDJ[Ofc Code]=(TRIM(P$7)))*(CkDJ[Account Code]=(TRIM($D66))),CkDJ[Debit])))+(SUM(IF((CsDJ[Ofc Code]=(TRIM(P$7)))*(CsDJ[Account Code]=(TRIM($D66))),CsDJ[Debit])))+(SUM(IF((CRDJ[Ofc Code]=(TRIM(P$7)))*(CRDJ[Account Code]=(TRIM($D66))),CRDJ[Debit])))+(SUM(IF((GJ[Ofc Code]=(TRIM(P$7)))*(GJ[Account Code]=(TRIM($D66))),GJ[Debit]))))-((SUM(IF((CkDJ[Ofc Code]=(TRIM(P$7)))*(CkDJ[Account Code]=(TRIM($D66))),CkDJ[Credit])))+(SUM(IF((CsDJ[Ofc Code]=(TRIM(P$7)))*(CsDJ[Account Code]=(TRIM($D66))),CsDJ[Credit])))+(SUM(IF((CRDJ[Ofc Code]=(TRIM(P$7)))*(CRDJ[Account Code]=(TRIM($D66))),CRDJ[Credit])))+(SUM(IF((GJ[Ofc Code]=(TRIM(P$7)))*(GJ[Account Code]=(TRIM($D66))),GJ[Credit]))))</f>
        <v>0</v>
      </c>
      <c r="Q66" s="211">
        <f t="array" ref="Q66">((SUM(IF((CkDJ[Ofc Code]=(TRIM(Q$7)))*(CkDJ[Account Code]=(TRIM($D66))),CkDJ[Debit])))+(SUM(IF((CsDJ[Ofc Code]=(TRIM(Q$7)))*(CsDJ[Account Code]=(TRIM($D66))),CsDJ[Debit])))+(SUM(IF((CRDJ[Ofc Code]=(TRIM(Q$7)))*(CRDJ[Account Code]=(TRIM($D66))),CRDJ[Debit])))+(SUM(IF((GJ[Ofc Code]=(TRIM(Q$7)))*(GJ[Account Code]=(TRIM($D66))),GJ[Debit]))))-((SUM(IF((CkDJ[Ofc Code]=(TRIM(Q$7)))*(CkDJ[Account Code]=(TRIM($D66))),CkDJ[Credit])))+(SUM(IF((CsDJ[Ofc Code]=(TRIM(Q$7)))*(CsDJ[Account Code]=(TRIM($D66))),CsDJ[Credit])))+(SUM(IF((CRDJ[Ofc Code]=(TRIM(Q$7)))*(CRDJ[Account Code]=(TRIM($D66))),CRDJ[Credit])))+(SUM(IF((GJ[Ofc Code]=(TRIM(Q$7)))*(GJ[Account Code]=(TRIM($D66))),GJ[Credit]))))</f>
        <v>0</v>
      </c>
      <c r="R66" s="211">
        <f t="array" ref="R66">((SUM(IF((CkDJ[Ofc Code]=(TRIM(R$7)))*(CkDJ[Account Code]=(TRIM($D66))),CkDJ[Debit])))+(SUM(IF((CsDJ[Ofc Code]=(TRIM(R$7)))*(CsDJ[Account Code]=(TRIM($D66))),CsDJ[Debit])))+(SUM(IF((CRDJ[Ofc Code]=(TRIM(R$7)))*(CRDJ[Account Code]=(TRIM($D66))),CRDJ[Debit])))+(SUM(IF((GJ[Ofc Code]=(TRIM(R$7)))*(GJ[Account Code]=(TRIM($D66))),GJ[Debit]))))-((SUM(IF((CkDJ[Ofc Code]=(TRIM(R$7)))*(CkDJ[Account Code]=(TRIM($D66))),CkDJ[Credit])))+(SUM(IF((CsDJ[Ofc Code]=(TRIM(R$7)))*(CsDJ[Account Code]=(TRIM($D66))),CsDJ[Credit])))+(SUM(IF((CRDJ[Ofc Code]=(TRIM(R$7)))*(CRDJ[Account Code]=(TRIM($D66))),CRDJ[Credit])))+(SUM(IF((GJ[Ofc Code]=(TRIM(R$7)))*(GJ[Account Code]=(TRIM($D66))),GJ[Credit]))))</f>
        <v>0</v>
      </c>
      <c r="S66" s="211">
        <f t="array" ref="S66">((SUM(IF((CkDJ[Ofc Code]=(TRIM(S$7)))*(CkDJ[Account Code]=(TRIM($D66))),CkDJ[Debit])))+(SUM(IF((CsDJ[Ofc Code]=(TRIM(S$7)))*(CsDJ[Account Code]=(TRIM($D66))),CsDJ[Debit])))+(SUM(IF((CRDJ[Ofc Code]=(TRIM(S$7)))*(CRDJ[Account Code]=(TRIM($D66))),CRDJ[Debit])))+(SUM(IF((GJ[Ofc Code]=(TRIM(S$7)))*(GJ[Account Code]=(TRIM($D66))),GJ[Debit]))))-((SUM(IF((CkDJ[Ofc Code]=(TRIM(S$7)))*(CkDJ[Account Code]=(TRIM($D66))),CkDJ[Credit])))+(SUM(IF((CsDJ[Ofc Code]=(TRIM(S$7)))*(CsDJ[Account Code]=(TRIM($D66))),CsDJ[Credit])))+(SUM(IF((CRDJ[Ofc Code]=(TRIM(S$7)))*(CRDJ[Account Code]=(TRIM($D66))),CRDJ[Credit])))+(SUM(IF((GJ[Ofc Code]=(TRIM(S$7)))*(GJ[Account Code]=(TRIM($D66))),GJ[Credit]))))</f>
        <v>0</v>
      </c>
      <c r="T66" s="211">
        <f t="array" ref="T66">((SUM(IF((CkDJ[Ofc Code]=(TRIM(T$7)))*(CkDJ[Account Code]=(TRIM($D66))),CkDJ[Debit])))+(SUM(IF((CsDJ[Ofc Code]=(TRIM(T$7)))*(CsDJ[Account Code]=(TRIM($D66))),CsDJ[Debit])))+(SUM(IF((CRDJ[Ofc Code]=(TRIM(T$7)))*(CRDJ[Account Code]=(TRIM($D66))),CRDJ[Debit])))+(SUM(IF((GJ[Ofc Code]=(TRIM(T$7)))*(GJ[Account Code]=(TRIM($D66))),GJ[Debit]))))-((SUM(IF((CkDJ[Ofc Code]=(TRIM(T$7)))*(CkDJ[Account Code]=(TRIM($D66))),CkDJ[Credit])))+(SUM(IF((CsDJ[Ofc Code]=(TRIM(T$7)))*(CsDJ[Account Code]=(TRIM($D66))),CsDJ[Credit])))+(SUM(IF((CRDJ[Ofc Code]=(TRIM(T$7)))*(CRDJ[Account Code]=(TRIM($D66))),CRDJ[Credit])))+(SUM(IF((GJ[Ofc Code]=(TRIM(T$7)))*(GJ[Account Code]=(TRIM($D66))),GJ[Credit]))))</f>
        <v>0</v>
      </c>
      <c r="U66" s="211">
        <f t="shared" si="17"/>
        <v>0</v>
      </c>
      <c r="V66" s="211">
        <f t="shared" si="18"/>
        <v>0</v>
      </c>
    </row>
    <row r="67" spans="1:22" ht="15">
      <c r="A67" s="212">
        <f t="shared" si="19"/>
        <v>5</v>
      </c>
      <c r="B67" s="214"/>
      <c r="C67" s="194" t="str">
        <f t="shared" si="14"/>
        <v>Drugs and Medicines Expenses</v>
      </c>
      <c r="D67" s="207" t="s">
        <v>227</v>
      </c>
      <c r="E67" s="211">
        <f t="array" ref="E67">((SUM(IF((CkDJ[Ofc Code]=(TRIM(E$7)))*(CkDJ[Account Code]=(TRIM($D67))),CkDJ[Debit])))+(SUM(IF((CsDJ[Ofc Code]=(TRIM(E$7)))*(CsDJ[Account Code]=(TRIM($D67))),CsDJ[Debit])))+(SUM(IF((CRDJ[Ofc Code]=(TRIM(E$7)))*(CRDJ[Account Code]=(TRIM($D67))),CRDJ[Debit])))+(SUM(IF((GJ[Ofc Code]=(TRIM(E$7)))*(GJ[Account Code]=(TRIM($D67))),GJ[Debit]))))-((SUM(IF((CkDJ[Ofc Code]=(TRIM(E$7)))*(CkDJ[Account Code]=(TRIM($D67))),CkDJ[Credit])))+(SUM(IF((CsDJ[Ofc Code]=(TRIM(E$7)))*(CsDJ[Account Code]=(TRIM($D67))),CsDJ[Credit])))+(SUM(IF((CRDJ[Ofc Code]=(TRIM(E$7)))*(CRDJ[Account Code]=(TRIM($D67))),CRDJ[Credit])))+(SUM(IF((GJ[Ofc Code]=(TRIM(E$7)))*(GJ[Account Code]=(TRIM($D67))),GJ[Credit]))))</f>
        <v>0</v>
      </c>
      <c r="F67" s="211">
        <f t="array" ref="F67">((SUM(IF((CkDJ[Ofc Code]=(TRIM(F$7)))*(CkDJ[Account Code]=(TRIM($D67))),CkDJ[Debit])))+(SUM(IF((CsDJ[Ofc Code]=(TRIM(F$7)))*(CsDJ[Account Code]=(TRIM($D67))),CsDJ[Debit])))+(SUM(IF((CRDJ[Ofc Code]=(TRIM(F$7)))*(CRDJ[Account Code]=(TRIM($D67))),CRDJ[Debit])))+(SUM(IF((GJ[Ofc Code]=(TRIM(F$7)))*(GJ[Account Code]=(TRIM($D67))),GJ[Debit]))))-((SUM(IF((CkDJ[Ofc Code]=(TRIM(F$7)))*(CkDJ[Account Code]=(TRIM($D67))),CkDJ[Credit])))+(SUM(IF((CsDJ[Ofc Code]=(TRIM(F$7)))*(CsDJ[Account Code]=(TRIM($D67))),CsDJ[Credit])))+(SUM(IF((CRDJ[Ofc Code]=(TRIM(F$7)))*(CRDJ[Account Code]=(TRIM($D67))),CRDJ[Credit])))+(SUM(IF((GJ[Ofc Code]=(TRIM(F$7)))*(GJ[Account Code]=(TRIM($D67))),GJ[Credit]))))</f>
        <v>0</v>
      </c>
      <c r="G67" s="211">
        <f t="array" ref="G67">((SUM(IF((CkDJ[Ofc Code]=(TRIM(G$7)))*(CkDJ[Account Code]=(TRIM($D67))),CkDJ[Debit])))+(SUM(IF((CsDJ[Ofc Code]=(TRIM(G$7)))*(CsDJ[Account Code]=(TRIM($D67))),CsDJ[Debit])))+(SUM(IF((CRDJ[Ofc Code]=(TRIM(G$7)))*(CRDJ[Account Code]=(TRIM($D67))),CRDJ[Debit])))+(SUM(IF((GJ[Ofc Code]=(TRIM(G$7)))*(GJ[Account Code]=(TRIM($D67))),GJ[Debit]))))-((SUM(IF((CkDJ[Ofc Code]=(TRIM(G$7)))*(CkDJ[Account Code]=(TRIM($D67))),CkDJ[Credit])))+(SUM(IF((CsDJ[Ofc Code]=(TRIM(G$7)))*(CsDJ[Account Code]=(TRIM($D67))),CsDJ[Credit])))+(SUM(IF((CRDJ[Ofc Code]=(TRIM(G$7)))*(CRDJ[Account Code]=(TRIM($D67))),CRDJ[Credit])))+(SUM(IF((GJ[Ofc Code]=(TRIM(G$7)))*(GJ[Account Code]=(TRIM($D67))),GJ[Credit]))))</f>
        <v>0</v>
      </c>
      <c r="H67" s="211">
        <f t="array" ref="H67">((SUM(IF((CkDJ[Ofc Code]=(TRIM(H$7)))*(CkDJ[Account Code]=(TRIM($D67))),CkDJ[Debit])))+(SUM(IF((CsDJ[Ofc Code]=(TRIM(H$7)))*(CsDJ[Account Code]=(TRIM($D67))),CsDJ[Debit])))+(SUM(IF((CRDJ[Ofc Code]=(TRIM(H$7)))*(CRDJ[Account Code]=(TRIM($D67))),CRDJ[Debit])))+(SUM(IF((GJ[Ofc Code]=(TRIM(H$7)))*(GJ[Account Code]=(TRIM($D67))),GJ[Debit]))))-((SUM(IF((CkDJ[Ofc Code]=(TRIM(H$7)))*(CkDJ[Account Code]=(TRIM($D67))),CkDJ[Credit])))+(SUM(IF((CsDJ[Ofc Code]=(TRIM(H$7)))*(CsDJ[Account Code]=(TRIM($D67))),CsDJ[Credit])))+(SUM(IF((CRDJ[Ofc Code]=(TRIM(H$7)))*(CRDJ[Account Code]=(TRIM($D67))),CRDJ[Credit])))+(SUM(IF((GJ[Ofc Code]=(TRIM(H$7)))*(GJ[Account Code]=(TRIM($D67))),GJ[Credit]))))</f>
        <v>0</v>
      </c>
      <c r="I67" s="211">
        <f t="array" ref="I67">((SUM(IF((CkDJ[Ofc Code]=(TRIM(I$7)))*(CkDJ[Account Code]=(TRIM($D67))),CkDJ[Debit])))+(SUM(IF((CsDJ[Ofc Code]=(TRIM(I$7)))*(CsDJ[Account Code]=(TRIM($D67))),CsDJ[Debit])))+(SUM(IF((CRDJ[Ofc Code]=(TRIM(I$7)))*(CRDJ[Account Code]=(TRIM($D67))),CRDJ[Debit])))+(SUM(IF((GJ[Ofc Code]=(TRIM(I$7)))*(GJ[Account Code]=(TRIM($D67))),GJ[Debit]))))-((SUM(IF((CkDJ[Ofc Code]=(TRIM(I$7)))*(CkDJ[Account Code]=(TRIM($D67))),CkDJ[Credit])))+(SUM(IF((CsDJ[Ofc Code]=(TRIM(I$7)))*(CsDJ[Account Code]=(TRIM($D67))),CsDJ[Credit])))+(SUM(IF((CRDJ[Ofc Code]=(TRIM(I$7)))*(CRDJ[Account Code]=(TRIM($D67))),CRDJ[Credit])))+(SUM(IF((GJ[Ofc Code]=(TRIM(I$7)))*(GJ[Account Code]=(TRIM($D67))),GJ[Credit]))))</f>
        <v>0</v>
      </c>
      <c r="J67" s="211">
        <f t="shared" si="15"/>
        <v>0</v>
      </c>
      <c r="K67" s="211">
        <f t="array" ref="K67">((SUM(IF((CkDJ[Ofc Code]=(TRIM(K$7)))*(CkDJ[Account Code]=(TRIM($D67))),CkDJ[Debit])))+(SUM(IF((CsDJ[Ofc Code]=(TRIM(K$7)))*(CsDJ[Account Code]=(TRIM($D67))),CsDJ[Debit])))+(SUM(IF((CRDJ[Ofc Code]=(TRIM(K$7)))*(CRDJ[Account Code]=(TRIM($D67))),CRDJ[Debit])))+(SUM(IF((GJ[Ofc Code]=(TRIM(K$7)))*(GJ[Account Code]=(TRIM($D67))),GJ[Debit]))))-((SUM(IF((CkDJ[Ofc Code]=(TRIM(K$7)))*(CkDJ[Account Code]=(TRIM($D67))),CkDJ[Credit])))+(SUM(IF((CsDJ[Ofc Code]=(TRIM(K$7)))*(CsDJ[Account Code]=(TRIM($D67))),CsDJ[Credit])))+(SUM(IF((CRDJ[Ofc Code]=(TRIM(K$7)))*(CRDJ[Account Code]=(TRIM($D67))),CRDJ[Credit])))+(SUM(IF((GJ[Ofc Code]=(TRIM(K$7)))*(GJ[Account Code]=(TRIM($D67))),GJ[Credit]))))</f>
        <v>0</v>
      </c>
      <c r="L67" s="211">
        <f t="array" ref="L67">((SUM(IF((CkDJ[Ofc Code]=(TRIM(L$7)))*(CkDJ[Account Code]=(TRIM($D67))),CkDJ[Debit])))+(SUM(IF((CsDJ[Ofc Code]=(TRIM(L$7)))*(CsDJ[Account Code]=(TRIM($D67))),CsDJ[Debit])))+(SUM(IF((CRDJ[Ofc Code]=(TRIM(L$7)))*(CRDJ[Account Code]=(TRIM($D67))),CRDJ[Debit])))+(SUM(IF((GJ[Ofc Code]=(TRIM(L$7)))*(GJ[Account Code]=(TRIM($D67))),GJ[Debit]))))-((SUM(IF((CkDJ[Ofc Code]=(TRIM(L$7)))*(CkDJ[Account Code]=(TRIM($D67))),CkDJ[Credit])))+(SUM(IF((CsDJ[Ofc Code]=(TRIM(L$7)))*(CsDJ[Account Code]=(TRIM($D67))),CsDJ[Credit])))+(SUM(IF((CRDJ[Ofc Code]=(TRIM(L$7)))*(CRDJ[Account Code]=(TRIM($D67))),CRDJ[Credit])))+(SUM(IF((GJ[Ofc Code]=(TRIM(L$7)))*(GJ[Account Code]=(TRIM($D67))),GJ[Credit]))))</f>
        <v>0</v>
      </c>
      <c r="M67" s="211">
        <f t="array" ref="M67">((SUM(IF((CkDJ[Ofc Code]=(TRIM(M$7)))*(CkDJ[Account Code]=(TRIM($D67))),CkDJ[Debit])))+(SUM(IF((CsDJ[Ofc Code]=(TRIM(M$7)))*(CsDJ[Account Code]=(TRIM($D67))),CsDJ[Debit])))+(SUM(IF((CRDJ[Ofc Code]=(TRIM(M$7)))*(CRDJ[Account Code]=(TRIM($D67))),CRDJ[Debit])))+(SUM(IF((GJ[Ofc Code]=(TRIM(M$7)))*(GJ[Account Code]=(TRIM($D67))),GJ[Debit]))))-((SUM(IF((CkDJ[Ofc Code]=(TRIM(M$7)))*(CkDJ[Account Code]=(TRIM($D67))),CkDJ[Credit])))+(SUM(IF((CsDJ[Ofc Code]=(TRIM(M$7)))*(CsDJ[Account Code]=(TRIM($D67))),CsDJ[Credit])))+(SUM(IF((CRDJ[Ofc Code]=(TRIM(M$7)))*(CRDJ[Account Code]=(TRIM($D67))),CRDJ[Credit])))+(SUM(IF((GJ[Ofc Code]=(TRIM(M$7)))*(GJ[Account Code]=(TRIM($D67))),GJ[Credit]))))</f>
        <v>0</v>
      </c>
      <c r="N67" s="211">
        <f t="array" ref="N67">((SUM(IF((CkDJ[Ofc Code]=(TRIM(N$7)))*(CkDJ[Account Code]=(TRIM($D67))),CkDJ[Debit])))+(SUM(IF((CsDJ[Ofc Code]=(TRIM(N$7)))*(CsDJ[Account Code]=(TRIM($D67))),CsDJ[Debit])))+(SUM(IF((CRDJ[Ofc Code]=(TRIM(N$7)))*(CRDJ[Account Code]=(TRIM($D67))),CRDJ[Debit])))+(SUM(IF((GJ[Ofc Code]=(TRIM(N$7)))*(GJ[Account Code]=(TRIM($D67))),GJ[Debit]))))-((SUM(IF((CkDJ[Ofc Code]=(TRIM(N$7)))*(CkDJ[Account Code]=(TRIM($D67))),CkDJ[Credit])))+(SUM(IF((CsDJ[Ofc Code]=(TRIM(N$7)))*(CsDJ[Account Code]=(TRIM($D67))),CsDJ[Credit])))+(SUM(IF((CRDJ[Ofc Code]=(TRIM(N$7)))*(CRDJ[Account Code]=(TRIM($D67))),CRDJ[Credit])))+(SUM(IF((GJ[Ofc Code]=(TRIM(N$7)))*(GJ[Account Code]=(TRIM($D67))),GJ[Credit]))))</f>
        <v>0</v>
      </c>
      <c r="O67" s="211">
        <f t="shared" si="16"/>
        <v>0</v>
      </c>
      <c r="P67" s="211">
        <f t="array" ref="P67">((SUM(IF((CkDJ[Ofc Code]=(TRIM(P$7)))*(CkDJ[Account Code]=(TRIM($D67))),CkDJ[Debit])))+(SUM(IF((CsDJ[Ofc Code]=(TRIM(P$7)))*(CsDJ[Account Code]=(TRIM($D67))),CsDJ[Debit])))+(SUM(IF((CRDJ[Ofc Code]=(TRIM(P$7)))*(CRDJ[Account Code]=(TRIM($D67))),CRDJ[Debit])))+(SUM(IF((GJ[Ofc Code]=(TRIM(P$7)))*(GJ[Account Code]=(TRIM($D67))),GJ[Debit]))))-((SUM(IF((CkDJ[Ofc Code]=(TRIM(P$7)))*(CkDJ[Account Code]=(TRIM($D67))),CkDJ[Credit])))+(SUM(IF((CsDJ[Ofc Code]=(TRIM(P$7)))*(CsDJ[Account Code]=(TRIM($D67))),CsDJ[Credit])))+(SUM(IF((CRDJ[Ofc Code]=(TRIM(P$7)))*(CRDJ[Account Code]=(TRIM($D67))),CRDJ[Credit])))+(SUM(IF((GJ[Ofc Code]=(TRIM(P$7)))*(GJ[Account Code]=(TRIM($D67))),GJ[Credit]))))</f>
        <v>0</v>
      </c>
      <c r="Q67" s="211">
        <f t="array" ref="Q67">((SUM(IF((CkDJ[Ofc Code]=(TRIM(Q$7)))*(CkDJ[Account Code]=(TRIM($D67))),CkDJ[Debit])))+(SUM(IF((CsDJ[Ofc Code]=(TRIM(Q$7)))*(CsDJ[Account Code]=(TRIM($D67))),CsDJ[Debit])))+(SUM(IF((CRDJ[Ofc Code]=(TRIM(Q$7)))*(CRDJ[Account Code]=(TRIM($D67))),CRDJ[Debit])))+(SUM(IF((GJ[Ofc Code]=(TRIM(Q$7)))*(GJ[Account Code]=(TRIM($D67))),GJ[Debit]))))-((SUM(IF((CkDJ[Ofc Code]=(TRIM(Q$7)))*(CkDJ[Account Code]=(TRIM($D67))),CkDJ[Credit])))+(SUM(IF((CsDJ[Ofc Code]=(TRIM(Q$7)))*(CsDJ[Account Code]=(TRIM($D67))),CsDJ[Credit])))+(SUM(IF((CRDJ[Ofc Code]=(TRIM(Q$7)))*(CRDJ[Account Code]=(TRIM($D67))),CRDJ[Credit])))+(SUM(IF((GJ[Ofc Code]=(TRIM(Q$7)))*(GJ[Account Code]=(TRIM($D67))),GJ[Credit]))))</f>
        <v>0</v>
      </c>
      <c r="R67" s="211">
        <f t="array" ref="R67">((SUM(IF((CkDJ[Ofc Code]=(TRIM(R$7)))*(CkDJ[Account Code]=(TRIM($D67))),CkDJ[Debit])))+(SUM(IF((CsDJ[Ofc Code]=(TRIM(R$7)))*(CsDJ[Account Code]=(TRIM($D67))),CsDJ[Debit])))+(SUM(IF((CRDJ[Ofc Code]=(TRIM(R$7)))*(CRDJ[Account Code]=(TRIM($D67))),CRDJ[Debit])))+(SUM(IF((GJ[Ofc Code]=(TRIM(R$7)))*(GJ[Account Code]=(TRIM($D67))),GJ[Debit]))))-((SUM(IF((CkDJ[Ofc Code]=(TRIM(R$7)))*(CkDJ[Account Code]=(TRIM($D67))),CkDJ[Credit])))+(SUM(IF((CsDJ[Ofc Code]=(TRIM(R$7)))*(CsDJ[Account Code]=(TRIM($D67))),CsDJ[Credit])))+(SUM(IF((CRDJ[Ofc Code]=(TRIM(R$7)))*(CRDJ[Account Code]=(TRIM($D67))),CRDJ[Credit])))+(SUM(IF((GJ[Ofc Code]=(TRIM(R$7)))*(GJ[Account Code]=(TRIM($D67))),GJ[Credit]))))</f>
        <v>0</v>
      </c>
      <c r="S67" s="211">
        <f t="array" ref="S67">((SUM(IF((CkDJ[Ofc Code]=(TRIM(S$7)))*(CkDJ[Account Code]=(TRIM($D67))),CkDJ[Debit])))+(SUM(IF((CsDJ[Ofc Code]=(TRIM(S$7)))*(CsDJ[Account Code]=(TRIM($D67))),CsDJ[Debit])))+(SUM(IF((CRDJ[Ofc Code]=(TRIM(S$7)))*(CRDJ[Account Code]=(TRIM($D67))),CRDJ[Debit])))+(SUM(IF((GJ[Ofc Code]=(TRIM(S$7)))*(GJ[Account Code]=(TRIM($D67))),GJ[Debit]))))-((SUM(IF((CkDJ[Ofc Code]=(TRIM(S$7)))*(CkDJ[Account Code]=(TRIM($D67))),CkDJ[Credit])))+(SUM(IF((CsDJ[Ofc Code]=(TRIM(S$7)))*(CsDJ[Account Code]=(TRIM($D67))),CsDJ[Credit])))+(SUM(IF((CRDJ[Ofc Code]=(TRIM(S$7)))*(CRDJ[Account Code]=(TRIM($D67))),CRDJ[Credit])))+(SUM(IF((GJ[Ofc Code]=(TRIM(S$7)))*(GJ[Account Code]=(TRIM($D67))),GJ[Credit]))))</f>
        <v>0</v>
      </c>
      <c r="T67" s="211">
        <f t="array" ref="T67">((SUM(IF((CkDJ[Ofc Code]=(TRIM(T$7)))*(CkDJ[Account Code]=(TRIM($D67))),CkDJ[Debit])))+(SUM(IF((CsDJ[Ofc Code]=(TRIM(T$7)))*(CsDJ[Account Code]=(TRIM($D67))),CsDJ[Debit])))+(SUM(IF((CRDJ[Ofc Code]=(TRIM(T$7)))*(CRDJ[Account Code]=(TRIM($D67))),CRDJ[Debit])))+(SUM(IF((GJ[Ofc Code]=(TRIM(T$7)))*(GJ[Account Code]=(TRIM($D67))),GJ[Debit]))))-((SUM(IF((CkDJ[Ofc Code]=(TRIM(T$7)))*(CkDJ[Account Code]=(TRIM($D67))),CkDJ[Credit])))+(SUM(IF((CsDJ[Ofc Code]=(TRIM(T$7)))*(CsDJ[Account Code]=(TRIM($D67))),CsDJ[Credit])))+(SUM(IF((CRDJ[Ofc Code]=(TRIM(T$7)))*(CRDJ[Account Code]=(TRIM($D67))),CRDJ[Credit])))+(SUM(IF((GJ[Ofc Code]=(TRIM(T$7)))*(GJ[Account Code]=(TRIM($D67))),GJ[Credit]))))</f>
        <v>0</v>
      </c>
      <c r="U67" s="211">
        <f t="shared" si="17"/>
        <v>0</v>
      </c>
      <c r="V67" s="211">
        <f t="shared" si="18"/>
        <v>0</v>
      </c>
    </row>
    <row r="68" spans="1:22" ht="15">
      <c r="A68" s="212">
        <f t="shared" si="19"/>
        <v>6</v>
      </c>
      <c r="B68" s="214"/>
      <c r="C68" s="194" t="str">
        <f>IF(D68=0,"",(VLOOKUP((TRIM(D68)),Code,2,)))</f>
        <v>Medical, Dental and Laboratory Supplies Expenses</v>
      </c>
      <c r="D68" s="207" t="s">
        <v>228</v>
      </c>
      <c r="E68" s="211">
        <f t="array" ref="E68">((SUM(IF((CkDJ[Ofc Code]=(TRIM(E$7)))*(CkDJ[Account Code]=(TRIM($D68))),CkDJ[Debit])))+(SUM(IF((CsDJ[Ofc Code]=(TRIM(E$7)))*(CsDJ[Account Code]=(TRIM($D68))),CsDJ[Debit])))+(SUM(IF((CRDJ[Ofc Code]=(TRIM(E$7)))*(CRDJ[Account Code]=(TRIM($D68))),CRDJ[Debit])))+(SUM(IF((GJ[Ofc Code]=(TRIM(E$7)))*(GJ[Account Code]=(TRIM($D68))),GJ[Debit]))))-((SUM(IF((CkDJ[Ofc Code]=(TRIM(E$7)))*(CkDJ[Account Code]=(TRIM($D68))),CkDJ[Credit])))+(SUM(IF((CsDJ[Ofc Code]=(TRIM(E$7)))*(CsDJ[Account Code]=(TRIM($D68))),CsDJ[Credit])))+(SUM(IF((CRDJ[Ofc Code]=(TRIM(E$7)))*(CRDJ[Account Code]=(TRIM($D68))),CRDJ[Credit])))+(SUM(IF((GJ[Ofc Code]=(TRIM(E$7)))*(GJ[Account Code]=(TRIM($D68))),GJ[Credit]))))</f>
        <v>0</v>
      </c>
      <c r="F68" s="211">
        <f t="array" ref="F68">((SUM(IF((CkDJ[Ofc Code]=(TRIM(F$7)))*(CkDJ[Account Code]=(TRIM($D68))),CkDJ[Debit])))+(SUM(IF((CsDJ[Ofc Code]=(TRIM(F$7)))*(CsDJ[Account Code]=(TRIM($D68))),CsDJ[Debit])))+(SUM(IF((CRDJ[Ofc Code]=(TRIM(F$7)))*(CRDJ[Account Code]=(TRIM($D68))),CRDJ[Debit])))+(SUM(IF((GJ[Ofc Code]=(TRIM(F$7)))*(GJ[Account Code]=(TRIM($D68))),GJ[Debit]))))-((SUM(IF((CkDJ[Ofc Code]=(TRIM(F$7)))*(CkDJ[Account Code]=(TRIM($D68))),CkDJ[Credit])))+(SUM(IF((CsDJ[Ofc Code]=(TRIM(F$7)))*(CsDJ[Account Code]=(TRIM($D68))),CsDJ[Credit])))+(SUM(IF((CRDJ[Ofc Code]=(TRIM(F$7)))*(CRDJ[Account Code]=(TRIM($D68))),CRDJ[Credit])))+(SUM(IF((GJ[Ofc Code]=(TRIM(F$7)))*(GJ[Account Code]=(TRIM($D68))),GJ[Credit]))))</f>
        <v>0</v>
      </c>
      <c r="G68" s="211">
        <f t="array" ref="G68">((SUM(IF((CkDJ[Ofc Code]=(TRIM(G$7)))*(CkDJ[Account Code]=(TRIM($D68))),CkDJ[Debit])))+(SUM(IF((CsDJ[Ofc Code]=(TRIM(G$7)))*(CsDJ[Account Code]=(TRIM($D68))),CsDJ[Debit])))+(SUM(IF((CRDJ[Ofc Code]=(TRIM(G$7)))*(CRDJ[Account Code]=(TRIM($D68))),CRDJ[Debit])))+(SUM(IF((GJ[Ofc Code]=(TRIM(G$7)))*(GJ[Account Code]=(TRIM($D68))),GJ[Debit]))))-((SUM(IF((CkDJ[Ofc Code]=(TRIM(G$7)))*(CkDJ[Account Code]=(TRIM($D68))),CkDJ[Credit])))+(SUM(IF((CsDJ[Ofc Code]=(TRIM(G$7)))*(CsDJ[Account Code]=(TRIM($D68))),CsDJ[Credit])))+(SUM(IF((CRDJ[Ofc Code]=(TRIM(G$7)))*(CRDJ[Account Code]=(TRIM($D68))),CRDJ[Credit])))+(SUM(IF((GJ[Ofc Code]=(TRIM(G$7)))*(GJ[Account Code]=(TRIM($D68))),GJ[Credit]))))</f>
        <v>0</v>
      </c>
      <c r="H68" s="211">
        <f t="array" ref="H68">((SUM(IF((CkDJ[Ofc Code]=(TRIM(H$7)))*(CkDJ[Account Code]=(TRIM($D68))),CkDJ[Debit])))+(SUM(IF((CsDJ[Ofc Code]=(TRIM(H$7)))*(CsDJ[Account Code]=(TRIM($D68))),CsDJ[Debit])))+(SUM(IF((CRDJ[Ofc Code]=(TRIM(H$7)))*(CRDJ[Account Code]=(TRIM($D68))),CRDJ[Debit])))+(SUM(IF((GJ[Ofc Code]=(TRIM(H$7)))*(GJ[Account Code]=(TRIM($D68))),GJ[Debit]))))-((SUM(IF((CkDJ[Ofc Code]=(TRIM(H$7)))*(CkDJ[Account Code]=(TRIM($D68))),CkDJ[Credit])))+(SUM(IF((CsDJ[Ofc Code]=(TRIM(H$7)))*(CsDJ[Account Code]=(TRIM($D68))),CsDJ[Credit])))+(SUM(IF((CRDJ[Ofc Code]=(TRIM(H$7)))*(CRDJ[Account Code]=(TRIM($D68))),CRDJ[Credit])))+(SUM(IF((GJ[Ofc Code]=(TRIM(H$7)))*(GJ[Account Code]=(TRIM($D68))),GJ[Credit]))))</f>
        <v>0</v>
      </c>
      <c r="I68" s="211">
        <f t="array" ref="I68">((SUM(IF((CkDJ[Ofc Code]=(TRIM(I$7)))*(CkDJ[Account Code]=(TRIM($D68))),CkDJ[Debit])))+(SUM(IF((CsDJ[Ofc Code]=(TRIM(I$7)))*(CsDJ[Account Code]=(TRIM($D68))),CsDJ[Debit])))+(SUM(IF((CRDJ[Ofc Code]=(TRIM(I$7)))*(CRDJ[Account Code]=(TRIM($D68))),CRDJ[Debit])))+(SUM(IF((GJ[Ofc Code]=(TRIM(I$7)))*(GJ[Account Code]=(TRIM($D68))),GJ[Debit]))))-((SUM(IF((CkDJ[Ofc Code]=(TRIM(I$7)))*(CkDJ[Account Code]=(TRIM($D68))),CkDJ[Credit])))+(SUM(IF((CsDJ[Ofc Code]=(TRIM(I$7)))*(CsDJ[Account Code]=(TRIM($D68))),CsDJ[Credit])))+(SUM(IF((CRDJ[Ofc Code]=(TRIM(I$7)))*(CRDJ[Account Code]=(TRIM($D68))),CRDJ[Credit])))+(SUM(IF((GJ[Ofc Code]=(TRIM(I$7)))*(GJ[Account Code]=(TRIM($D68))),GJ[Credit]))))</f>
        <v>0</v>
      </c>
      <c r="J68" s="211">
        <f>SUM(F68:I68)</f>
        <v>0</v>
      </c>
      <c r="K68" s="211">
        <f t="array" ref="K68">((SUM(IF((CkDJ[Ofc Code]=(TRIM(K$7)))*(CkDJ[Account Code]=(TRIM($D68))),CkDJ[Debit])))+(SUM(IF((CsDJ[Ofc Code]=(TRIM(K$7)))*(CsDJ[Account Code]=(TRIM($D68))),CsDJ[Debit])))+(SUM(IF((CRDJ[Ofc Code]=(TRIM(K$7)))*(CRDJ[Account Code]=(TRIM($D68))),CRDJ[Debit])))+(SUM(IF((GJ[Ofc Code]=(TRIM(K$7)))*(GJ[Account Code]=(TRIM($D68))),GJ[Debit]))))-((SUM(IF((CkDJ[Ofc Code]=(TRIM(K$7)))*(CkDJ[Account Code]=(TRIM($D68))),CkDJ[Credit])))+(SUM(IF((CsDJ[Ofc Code]=(TRIM(K$7)))*(CsDJ[Account Code]=(TRIM($D68))),CsDJ[Credit])))+(SUM(IF((CRDJ[Ofc Code]=(TRIM(K$7)))*(CRDJ[Account Code]=(TRIM($D68))),CRDJ[Credit])))+(SUM(IF((GJ[Ofc Code]=(TRIM(K$7)))*(GJ[Account Code]=(TRIM($D68))),GJ[Credit]))))</f>
        <v>0</v>
      </c>
      <c r="L68" s="211">
        <f t="array" ref="L68">((SUM(IF((CkDJ[Ofc Code]=(TRIM(L$7)))*(CkDJ[Account Code]=(TRIM($D68))),CkDJ[Debit])))+(SUM(IF((CsDJ[Ofc Code]=(TRIM(L$7)))*(CsDJ[Account Code]=(TRIM($D68))),CsDJ[Debit])))+(SUM(IF((CRDJ[Ofc Code]=(TRIM(L$7)))*(CRDJ[Account Code]=(TRIM($D68))),CRDJ[Debit])))+(SUM(IF((GJ[Ofc Code]=(TRIM(L$7)))*(GJ[Account Code]=(TRIM($D68))),GJ[Debit]))))-((SUM(IF((CkDJ[Ofc Code]=(TRIM(L$7)))*(CkDJ[Account Code]=(TRIM($D68))),CkDJ[Credit])))+(SUM(IF((CsDJ[Ofc Code]=(TRIM(L$7)))*(CsDJ[Account Code]=(TRIM($D68))),CsDJ[Credit])))+(SUM(IF((CRDJ[Ofc Code]=(TRIM(L$7)))*(CRDJ[Account Code]=(TRIM($D68))),CRDJ[Credit])))+(SUM(IF((GJ[Ofc Code]=(TRIM(L$7)))*(GJ[Account Code]=(TRIM($D68))),GJ[Credit]))))</f>
        <v>0</v>
      </c>
      <c r="M68" s="211">
        <f t="array" ref="M68">((SUM(IF((CkDJ[Ofc Code]=(TRIM(M$7)))*(CkDJ[Account Code]=(TRIM($D68))),CkDJ[Debit])))+(SUM(IF((CsDJ[Ofc Code]=(TRIM(M$7)))*(CsDJ[Account Code]=(TRIM($D68))),CsDJ[Debit])))+(SUM(IF((CRDJ[Ofc Code]=(TRIM(M$7)))*(CRDJ[Account Code]=(TRIM($D68))),CRDJ[Debit])))+(SUM(IF((GJ[Ofc Code]=(TRIM(M$7)))*(GJ[Account Code]=(TRIM($D68))),GJ[Debit]))))-((SUM(IF((CkDJ[Ofc Code]=(TRIM(M$7)))*(CkDJ[Account Code]=(TRIM($D68))),CkDJ[Credit])))+(SUM(IF((CsDJ[Ofc Code]=(TRIM(M$7)))*(CsDJ[Account Code]=(TRIM($D68))),CsDJ[Credit])))+(SUM(IF((CRDJ[Ofc Code]=(TRIM(M$7)))*(CRDJ[Account Code]=(TRIM($D68))),CRDJ[Credit])))+(SUM(IF((GJ[Ofc Code]=(TRIM(M$7)))*(GJ[Account Code]=(TRIM($D68))),GJ[Credit]))))</f>
        <v>0</v>
      </c>
      <c r="N68" s="211">
        <f t="array" ref="N68">((SUM(IF((CkDJ[Ofc Code]=(TRIM(N$7)))*(CkDJ[Account Code]=(TRIM($D68))),CkDJ[Debit])))+(SUM(IF((CsDJ[Ofc Code]=(TRIM(N$7)))*(CsDJ[Account Code]=(TRIM($D68))),CsDJ[Debit])))+(SUM(IF((CRDJ[Ofc Code]=(TRIM(N$7)))*(CRDJ[Account Code]=(TRIM($D68))),CRDJ[Debit])))+(SUM(IF((GJ[Ofc Code]=(TRIM(N$7)))*(GJ[Account Code]=(TRIM($D68))),GJ[Debit]))))-((SUM(IF((CkDJ[Ofc Code]=(TRIM(N$7)))*(CkDJ[Account Code]=(TRIM($D68))),CkDJ[Credit])))+(SUM(IF((CsDJ[Ofc Code]=(TRIM(N$7)))*(CsDJ[Account Code]=(TRIM($D68))),CsDJ[Credit])))+(SUM(IF((CRDJ[Ofc Code]=(TRIM(N$7)))*(CRDJ[Account Code]=(TRIM($D68))),CRDJ[Credit])))+(SUM(IF((GJ[Ofc Code]=(TRIM(N$7)))*(GJ[Account Code]=(TRIM($D68))),GJ[Credit]))))</f>
        <v>0</v>
      </c>
      <c r="O68" s="211">
        <f>SUM(K68:N68)</f>
        <v>0</v>
      </c>
      <c r="P68" s="211">
        <f t="array" ref="P68">((SUM(IF((CkDJ[Ofc Code]=(TRIM(P$7)))*(CkDJ[Account Code]=(TRIM($D68))),CkDJ[Debit])))+(SUM(IF((CsDJ[Ofc Code]=(TRIM(P$7)))*(CsDJ[Account Code]=(TRIM($D68))),CsDJ[Debit])))+(SUM(IF((CRDJ[Ofc Code]=(TRIM(P$7)))*(CRDJ[Account Code]=(TRIM($D68))),CRDJ[Debit])))+(SUM(IF((GJ[Ofc Code]=(TRIM(P$7)))*(GJ[Account Code]=(TRIM($D68))),GJ[Debit]))))-((SUM(IF((CkDJ[Ofc Code]=(TRIM(P$7)))*(CkDJ[Account Code]=(TRIM($D68))),CkDJ[Credit])))+(SUM(IF((CsDJ[Ofc Code]=(TRIM(P$7)))*(CsDJ[Account Code]=(TRIM($D68))),CsDJ[Credit])))+(SUM(IF((CRDJ[Ofc Code]=(TRIM(P$7)))*(CRDJ[Account Code]=(TRIM($D68))),CRDJ[Credit])))+(SUM(IF((GJ[Ofc Code]=(TRIM(P$7)))*(GJ[Account Code]=(TRIM($D68))),GJ[Credit]))))</f>
        <v>0</v>
      </c>
      <c r="Q68" s="211">
        <f t="array" ref="Q68">((SUM(IF((CkDJ[Ofc Code]=(TRIM(Q$7)))*(CkDJ[Account Code]=(TRIM($D68))),CkDJ[Debit])))+(SUM(IF((CsDJ[Ofc Code]=(TRIM(Q$7)))*(CsDJ[Account Code]=(TRIM($D68))),CsDJ[Debit])))+(SUM(IF((CRDJ[Ofc Code]=(TRIM(Q$7)))*(CRDJ[Account Code]=(TRIM($D68))),CRDJ[Debit])))+(SUM(IF((GJ[Ofc Code]=(TRIM(Q$7)))*(GJ[Account Code]=(TRIM($D68))),GJ[Debit]))))-((SUM(IF((CkDJ[Ofc Code]=(TRIM(Q$7)))*(CkDJ[Account Code]=(TRIM($D68))),CkDJ[Credit])))+(SUM(IF((CsDJ[Ofc Code]=(TRIM(Q$7)))*(CsDJ[Account Code]=(TRIM($D68))),CsDJ[Credit])))+(SUM(IF((CRDJ[Ofc Code]=(TRIM(Q$7)))*(CRDJ[Account Code]=(TRIM($D68))),CRDJ[Credit])))+(SUM(IF((GJ[Ofc Code]=(TRIM(Q$7)))*(GJ[Account Code]=(TRIM($D68))),GJ[Credit]))))</f>
        <v>0</v>
      </c>
      <c r="R68" s="211">
        <f t="array" ref="R68">((SUM(IF((CkDJ[Ofc Code]=(TRIM(R$7)))*(CkDJ[Account Code]=(TRIM($D68))),CkDJ[Debit])))+(SUM(IF((CsDJ[Ofc Code]=(TRIM(R$7)))*(CsDJ[Account Code]=(TRIM($D68))),CsDJ[Debit])))+(SUM(IF((CRDJ[Ofc Code]=(TRIM(R$7)))*(CRDJ[Account Code]=(TRIM($D68))),CRDJ[Debit])))+(SUM(IF((GJ[Ofc Code]=(TRIM(R$7)))*(GJ[Account Code]=(TRIM($D68))),GJ[Debit]))))-((SUM(IF((CkDJ[Ofc Code]=(TRIM(R$7)))*(CkDJ[Account Code]=(TRIM($D68))),CkDJ[Credit])))+(SUM(IF((CsDJ[Ofc Code]=(TRIM(R$7)))*(CsDJ[Account Code]=(TRIM($D68))),CsDJ[Credit])))+(SUM(IF((CRDJ[Ofc Code]=(TRIM(R$7)))*(CRDJ[Account Code]=(TRIM($D68))),CRDJ[Credit])))+(SUM(IF((GJ[Ofc Code]=(TRIM(R$7)))*(GJ[Account Code]=(TRIM($D68))),GJ[Credit]))))</f>
        <v>0</v>
      </c>
      <c r="S68" s="211">
        <f t="array" ref="S68">((SUM(IF((CkDJ[Ofc Code]=(TRIM(S$7)))*(CkDJ[Account Code]=(TRIM($D68))),CkDJ[Debit])))+(SUM(IF((CsDJ[Ofc Code]=(TRIM(S$7)))*(CsDJ[Account Code]=(TRIM($D68))),CsDJ[Debit])))+(SUM(IF((CRDJ[Ofc Code]=(TRIM(S$7)))*(CRDJ[Account Code]=(TRIM($D68))),CRDJ[Debit])))+(SUM(IF((GJ[Ofc Code]=(TRIM(S$7)))*(GJ[Account Code]=(TRIM($D68))),GJ[Debit]))))-((SUM(IF((CkDJ[Ofc Code]=(TRIM(S$7)))*(CkDJ[Account Code]=(TRIM($D68))),CkDJ[Credit])))+(SUM(IF((CsDJ[Ofc Code]=(TRIM(S$7)))*(CsDJ[Account Code]=(TRIM($D68))),CsDJ[Credit])))+(SUM(IF((CRDJ[Ofc Code]=(TRIM(S$7)))*(CRDJ[Account Code]=(TRIM($D68))),CRDJ[Credit])))+(SUM(IF((GJ[Ofc Code]=(TRIM(S$7)))*(GJ[Account Code]=(TRIM($D68))),GJ[Credit]))))</f>
        <v>0</v>
      </c>
      <c r="T68" s="211">
        <f t="array" ref="T68">((SUM(IF((CkDJ[Ofc Code]=(TRIM(T$7)))*(CkDJ[Account Code]=(TRIM($D68))),CkDJ[Debit])))+(SUM(IF((CsDJ[Ofc Code]=(TRIM(T$7)))*(CsDJ[Account Code]=(TRIM($D68))),CsDJ[Debit])))+(SUM(IF((CRDJ[Ofc Code]=(TRIM(T$7)))*(CRDJ[Account Code]=(TRIM($D68))),CRDJ[Debit])))+(SUM(IF((GJ[Ofc Code]=(TRIM(T$7)))*(GJ[Account Code]=(TRIM($D68))),GJ[Debit]))))-((SUM(IF((CkDJ[Ofc Code]=(TRIM(T$7)))*(CkDJ[Account Code]=(TRIM($D68))),CkDJ[Credit])))+(SUM(IF((CsDJ[Ofc Code]=(TRIM(T$7)))*(CsDJ[Account Code]=(TRIM($D68))),CsDJ[Credit])))+(SUM(IF((CRDJ[Ofc Code]=(TRIM(T$7)))*(CRDJ[Account Code]=(TRIM($D68))),CRDJ[Credit])))+(SUM(IF((GJ[Ofc Code]=(TRIM(T$7)))*(GJ[Account Code]=(TRIM($D68))),GJ[Credit]))))</f>
        <v>0</v>
      </c>
      <c r="U68" s="211">
        <f>SUM(P68:T68)</f>
        <v>0</v>
      </c>
      <c r="V68" s="211">
        <f>E68+J68+O68+U68</f>
        <v>0</v>
      </c>
    </row>
    <row r="69" spans="1:22" ht="15">
      <c r="A69" s="212">
        <f t="shared" si="19"/>
        <v>7</v>
      </c>
      <c r="B69" s="214"/>
      <c r="C69" s="194" t="str">
        <f t="shared" si="14"/>
        <v>Fuel, Oil and Lubricants Expenses</v>
      </c>
      <c r="D69" s="207">
        <v>761</v>
      </c>
      <c r="E69" s="211">
        <f t="array" ref="E69">((SUM(IF((CkDJ[Ofc Code]=(TRIM(E$7)))*(CkDJ[Account Code]=(TRIM($D69))),CkDJ[Debit])))+(SUM(IF((CsDJ[Ofc Code]=(TRIM(E$7)))*(CsDJ[Account Code]=(TRIM($D69))),CsDJ[Debit])))+(SUM(IF((CRDJ[Ofc Code]=(TRIM(E$7)))*(CRDJ[Account Code]=(TRIM($D69))),CRDJ[Debit])))+(SUM(IF((GJ[Ofc Code]=(TRIM(E$7)))*(GJ[Account Code]=(TRIM($D69))),GJ[Debit]))))-((SUM(IF((CkDJ[Ofc Code]=(TRIM(E$7)))*(CkDJ[Account Code]=(TRIM($D69))),CkDJ[Credit])))+(SUM(IF((CsDJ[Ofc Code]=(TRIM(E$7)))*(CsDJ[Account Code]=(TRIM($D69))),CsDJ[Credit])))+(SUM(IF((CRDJ[Ofc Code]=(TRIM(E$7)))*(CRDJ[Account Code]=(TRIM($D69))),CRDJ[Credit])))+(SUM(IF((GJ[Ofc Code]=(TRIM(E$7)))*(GJ[Account Code]=(TRIM($D69))),GJ[Credit]))))</f>
        <v>0</v>
      </c>
      <c r="F69" s="211">
        <f t="array" ref="F69">((SUM(IF((CkDJ[Ofc Code]=(TRIM(F$7)))*(CkDJ[Account Code]=(TRIM($D69))),CkDJ[Debit])))+(SUM(IF((CsDJ[Ofc Code]=(TRIM(F$7)))*(CsDJ[Account Code]=(TRIM($D69))),CsDJ[Debit])))+(SUM(IF((CRDJ[Ofc Code]=(TRIM(F$7)))*(CRDJ[Account Code]=(TRIM($D69))),CRDJ[Debit])))+(SUM(IF((GJ[Ofc Code]=(TRIM(F$7)))*(GJ[Account Code]=(TRIM($D69))),GJ[Debit]))))-((SUM(IF((CkDJ[Ofc Code]=(TRIM(F$7)))*(CkDJ[Account Code]=(TRIM($D69))),CkDJ[Credit])))+(SUM(IF((CsDJ[Ofc Code]=(TRIM(F$7)))*(CsDJ[Account Code]=(TRIM($D69))),CsDJ[Credit])))+(SUM(IF((CRDJ[Ofc Code]=(TRIM(F$7)))*(CRDJ[Account Code]=(TRIM($D69))),CRDJ[Credit])))+(SUM(IF((GJ[Ofc Code]=(TRIM(F$7)))*(GJ[Account Code]=(TRIM($D69))),GJ[Credit]))))</f>
        <v>0</v>
      </c>
      <c r="G69" s="211">
        <f t="array" ref="G69">((SUM(IF((CkDJ[Ofc Code]=(TRIM(G$7)))*(CkDJ[Account Code]=(TRIM($D69))),CkDJ[Debit])))+(SUM(IF((CsDJ[Ofc Code]=(TRIM(G$7)))*(CsDJ[Account Code]=(TRIM($D69))),CsDJ[Debit])))+(SUM(IF((CRDJ[Ofc Code]=(TRIM(G$7)))*(CRDJ[Account Code]=(TRIM($D69))),CRDJ[Debit])))+(SUM(IF((GJ[Ofc Code]=(TRIM(G$7)))*(GJ[Account Code]=(TRIM($D69))),GJ[Debit]))))-((SUM(IF((CkDJ[Ofc Code]=(TRIM(G$7)))*(CkDJ[Account Code]=(TRIM($D69))),CkDJ[Credit])))+(SUM(IF((CsDJ[Ofc Code]=(TRIM(G$7)))*(CsDJ[Account Code]=(TRIM($D69))),CsDJ[Credit])))+(SUM(IF((CRDJ[Ofc Code]=(TRIM(G$7)))*(CRDJ[Account Code]=(TRIM($D69))),CRDJ[Credit])))+(SUM(IF((GJ[Ofc Code]=(TRIM(G$7)))*(GJ[Account Code]=(TRIM($D69))),GJ[Credit]))))</f>
        <v>0</v>
      </c>
      <c r="H69" s="211">
        <f t="array" ref="H69">((SUM(IF((CkDJ[Ofc Code]=(TRIM(H$7)))*(CkDJ[Account Code]=(TRIM($D69))),CkDJ[Debit])))+(SUM(IF((CsDJ[Ofc Code]=(TRIM(H$7)))*(CsDJ[Account Code]=(TRIM($D69))),CsDJ[Debit])))+(SUM(IF((CRDJ[Ofc Code]=(TRIM(H$7)))*(CRDJ[Account Code]=(TRIM($D69))),CRDJ[Debit])))+(SUM(IF((GJ[Ofc Code]=(TRIM(H$7)))*(GJ[Account Code]=(TRIM($D69))),GJ[Debit]))))-((SUM(IF((CkDJ[Ofc Code]=(TRIM(H$7)))*(CkDJ[Account Code]=(TRIM($D69))),CkDJ[Credit])))+(SUM(IF((CsDJ[Ofc Code]=(TRIM(H$7)))*(CsDJ[Account Code]=(TRIM($D69))),CsDJ[Credit])))+(SUM(IF((CRDJ[Ofc Code]=(TRIM(H$7)))*(CRDJ[Account Code]=(TRIM($D69))),CRDJ[Credit])))+(SUM(IF((GJ[Ofc Code]=(TRIM(H$7)))*(GJ[Account Code]=(TRIM($D69))),GJ[Credit]))))</f>
        <v>0</v>
      </c>
      <c r="I69" s="211">
        <f t="array" ref="I69">((SUM(IF((CkDJ[Ofc Code]=(TRIM(I$7)))*(CkDJ[Account Code]=(TRIM($D69))),CkDJ[Debit])))+(SUM(IF((CsDJ[Ofc Code]=(TRIM(I$7)))*(CsDJ[Account Code]=(TRIM($D69))),CsDJ[Debit])))+(SUM(IF((CRDJ[Ofc Code]=(TRIM(I$7)))*(CRDJ[Account Code]=(TRIM($D69))),CRDJ[Debit])))+(SUM(IF((GJ[Ofc Code]=(TRIM(I$7)))*(GJ[Account Code]=(TRIM($D69))),GJ[Debit]))))-((SUM(IF((CkDJ[Ofc Code]=(TRIM(I$7)))*(CkDJ[Account Code]=(TRIM($D69))),CkDJ[Credit])))+(SUM(IF((CsDJ[Ofc Code]=(TRIM(I$7)))*(CsDJ[Account Code]=(TRIM($D69))),CsDJ[Credit])))+(SUM(IF((CRDJ[Ofc Code]=(TRIM(I$7)))*(CRDJ[Account Code]=(TRIM($D69))),CRDJ[Credit])))+(SUM(IF((GJ[Ofc Code]=(TRIM(I$7)))*(GJ[Account Code]=(TRIM($D69))),GJ[Credit]))))</f>
        <v>0</v>
      </c>
      <c r="J69" s="211">
        <f t="shared" si="15"/>
        <v>0</v>
      </c>
      <c r="K69" s="211">
        <f t="array" ref="K69">((SUM(IF((CkDJ[Ofc Code]=(TRIM(K$7)))*(CkDJ[Account Code]=(TRIM($D69))),CkDJ[Debit])))+(SUM(IF((CsDJ[Ofc Code]=(TRIM(K$7)))*(CsDJ[Account Code]=(TRIM($D69))),CsDJ[Debit])))+(SUM(IF((CRDJ[Ofc Code]=(TRIM(K$7)))*(CRDJ[Account Code]=(TRIM($D69))),CRDJ[Debit])))+(SUM(IF((GJ[Ofc Code]=(TRIM(K$7)))*(GJ[Account Code]=(TRIM($D69))),GJ[Debit]))))-((SUM(IF((CkDJ[Ofc Code]=(TRIM(K$7)))*(CkDJ[Account Code]=(TRIM($D69))),CkDJ[Credit])))+(SUM(IF((CsDJ[Ofc Code]=(TRIM(K$7)))*(CsDJ[Account Code]=(TRIM($D69))),CsDJ[Credit])))+(SUM(IF((CRDJ[Ofc Code]=(TRIM(K$7)))*(CRDJ[Account Code]=(TRIM($D69))),CRDJ[Credit])))+(SUM(IF((GJ[Ofc Code]=(TRIM(K$7)))*(GJ[Account Code]=(TRIM($D69))),GJ[Credit]))))</f>
        <v>0</v>
      </c>
      <c r="L69" s="211">
        <f t="array" ref="L69">((SUM(IF((CkDJ[Ofc Code]=(TRIM(L$7)))*(CkDJ[Account Code]=(TRIM($D69))),CkDJ[Debit])))+(SUM(IF((CsDJ[Ofc Code]=(TRIM(L$7)))*(CsDJ[Account Code]=(TRIM($D69))),CsDJ[Debit])))+(SUM(IF((CRDJ[Ofc Code]=(TRIM(L$7)))*(CRDJ[Account Code]=(TRIM($D69))),CRDJ[Debit])))+(SUM(IF((GJ[Ofc Code]=(TRIM(L$7)))*(GJ[Account Code]=(TRIM($D69))),GJ[Debit]))))-((SUM(IF((CkDJ[Ofc Code]=(TRIM(L$7)))*(CkDJ[Account Code]=(TRIM($D69))),CkDJ[Credit])))+(SUM(IF((CsDJ[Ofc Code]=(TRIM(L$7)))*(CsDJ[Account Code]=(TRIM($D69))),CsDJ[Credit])))+(SUM(IF((CRDJ[Ofc Code]=(TRIM(L$7)))*(CRDJ[Account Code]=(TRIM($D69))),CRDJ[Credit])))+(SUM(IF((GJ[Ofc Code]=(TRIM(L$7)))*(GJ[Account Code]=(TRIM($D69))),GJ[Credit]))))</f>
        <v>0</v>
      </c>
      <c r="M69" s="211">
        <f t="array" ref="M69">((SUM(IF((CkDJ[Ofc Code]=(TRIM(M$7)))*(CkDJ[Account Code]=(TRIM($D69))),CkDJ[Debit])))+(SUM(IF((CsDJ[Ofc Code]=(TRIM(M$7)))*(CsDJ[Account Code]=(TRIM($D69))),CsDJ[Debit])))+(SUM(IF((CRDJ[Ofc Code]=(TRIM(M$7)))*(CRDJ[Account Code]=(TRIM($D69))),CRDJ[Debit])))+(SUM(IF((GJ[Ofc Code]=(TRIM(M$7)))*(GJ[Account Code]=(TRIM($D69))),GJ[Debit]))))-((SUM(IF((CkDJ[Ofc Code]=(TRIM(M$7)))*(CkDJ[Account Code]=(TRIM($D69))),CkDJ[Credit])))+(SUM(IF((CsDJ[Ofc Code]=(TRIM(M$7)))*(CsDJ[Account Code]=(TRIM($D69))),CsDJ[Credit])))+(SUM(IF((CRDJ[Ofc Code]=(TRIM(M$7)))*(CRDJ[Account Code]=(TRIM($D69))),CRDJ[Credit])))+(SUM(IF((GJ[Ofc Code]=(TRIM(M$7)))*(GJ[Account Code]=(TRIM($D69))),GJ[Credit]))))</f>
        <v>0</v>
      </c>
      <c r="N69" s="211">
        <f t="array" ref="N69">((SUM(IF((CkDJ[Ofc Code]=(TRIM(N$7)))*(CkDJ[Account Code]=(TRIM($D69))),CkDJ[Debit])))+(SUM(IF((CsDJ[Ofc Code]=(TRIM(N$7)))*(CsDJ[Account Code]=(TRIM($D69))),CsDJ[Debit])))+(SUM(IF((CRDJ[Ofc Code]=(TRIM(N$7)))*(CRDJ[Account Code]=(TRIM($D69))),CRDJ[Debit])))+(SUM(IF((GJ[Ofc Code]=(TRIM(N$7)))*(GJ[Account Code]=(TRIM($D69))),GJ[Debit]))))-((SUM(IF((CkDJ[Ofc Code]=(TRIM(N$7)))*(CkDJ[Account Code]=(TRIM($D69))),CkDJ[Credit])))+(SUM(IF((CsDJ[Ofc Code]=(TRIM(N$7)))*(CsDJ[Account Code]=(TRIM($D69))),CsDJ[Credit])))+(SUM(IF((CRDJ[Ofc Code]=(TRIM(N$7)))*(CRDJ[Account Code]=(TRIM($D69))),CRDJ[Credit])))+(SUM(IF((GJ[Ofc Code]=(TRIM(N$7)))*(GJ[Account Code]=(TRIM($D69))),GJ[Credit]))))</f>
        <v>0</v>
      </c>
      <c r="O69" s="211">
        <f t="shared" si="16"/>
        <v>0</v>
      </c>
      <c r="P69" s="211">
        <f t="array" ref="P69">((SUM(IF((CkDJ[Ofc Code]=(TRIM(P$7)))*(CkDJ[Account Code]=(TRIM($D69))),CkDJ[Debit])))+(SUM(IF((CsDJ[Ofc Code]=(TRIM(P$7)))*(CsDJ[Account Code]=(TRIM($D69))),CsDJ[Debit])))+(SUM(IF((CRDJ[Ofc Code]=(TRIM(P$7)))*(CRDJ[Account Code]=(TRIM($D69))),CRDJ[Debit])))+(SUM(IF((GJ[Ofc Code]=(TRIM(P$7)))*(GJ[Account Code]=(TRIM($D69))),GJ[Debit]))))-((SUM(IF((CkDJ[Ofc Code]=(TRIM(P$7)))*(CkDJ[Account Code]=(TRIM($D69))),CkDJ[Credit])))+(SUM(IF((CsDJ[Ofc Code]=(TRIM(P$7)))*(CsDJ[Account Code]=(TRIM($D69))),CsDJ[Credit])))+(SUM(IF((CRDJ[Ofc Code]=(TRIM(P$7)))*(CRDJ[Account Code]=(TRIM($D69))),CRDJ[Credit])))+(SUM(IF((GJ[Ofc Code]=(TRIM(P$7)))*(GJ[Account Code]=(TRIM($D69))),GJ[Credit]))))</f>
        <v>0</v>
      </c>
      <c r="Q69" s="211">
        <f t="array" ref="Q69">((SUM(IF((CkDJ[Ofc Code]=(TRIM(Q$7)))*(CkDJ[Account Code]=(TRIM($D69))),CkDJ[Debit])))+(SUM(IF((CsDJ[Ofc Code]=(TRIM(Q$7)))*(CsDJ[Account Code]=(TRIM($D69))),CsDJ[Debit])))+(SUM(IF((CRDJ[Ofc Code]=(TRIM(Q$7)))*(CRDJ[Account Code]=(TRIM($D69))),CRDJ[Debit])))+(SUM(IF((GJ[Ofc Code]=(TRIM(Q$7)))*(GJ[Account Code]=(TRIM($D69))),GJ[Debit]))))-((SUM(IF((CkDJ[Ofc Code]=(TRIM(Q$7)))*(CkDJ[Account Code]=(TRIM($D69))),CkDJ[Credit])))+(SUM(IF((CsDJ[Ofc Code]=(TRIM(Q$7)))*(CsDJ[Account Code]=(TRIM($D69))),CsDJ[Credit])))+(SUM(IF((CRDJ[Ofc Code]=(TRIM(Q$7)))*(CRDJ[Account Code]=(TRIM($D69))),CRDJ[Credit])))+(SUM(IF((GJ[Ofc Code]=(TRIM(Q$7)))*(GJ[Account Code]=(TRIM($D69))),GJ[Credit]))))</f>
        <v>0</v>
      </c>
      <c r="R69" s="211">
        <f t="array" ref="R69">((SUM(IF((CkDJ[Ofc Code]=(TRIM(R$7)))*(CkDJ[Account Code]=(TRIM($D69))),CkDJ[Debit])))+(SUM(IF((CsDJ[Ofc Code]=(TRIM(R$7)))*(CsDJ[Account Code]=(TRIM($D69))),CsDJ[Debit])))+(SUM(IF((CRDJ[Ofc Code]=(TRIM(R$7)))*(CRDJ[Account Code]=(TRIM($D69))),CRDJ[Debit])))+(SUM(IF((GJ[Ofc Code]=(TRIM(R$7)))*(GJ[Account Code]=(TRIM($D69))),GJ[Debit]))))-((SUM(IF((CkDJ[Ofc Code]=(TRIM(R$7)))*(CkDJ[Account Code]=(TRIM($D69))),CkDJ[Credit])))+(SUM(IF((CsDJ[Ofc Code]=(TRIM(R$7)))*(CsDJ[Account Code]=(TRIM($D69))),CsDJ[Credit])))+(SUM(IF((CRDJ[Ofc Code]=(TRIM(R$7)))*(CRDJ[Account Code]=(TRIM($D69))),CRDJ[Credit])))+(SUM(IF((GJ[Ofc Code]=(TRIM(R$7)))*(GJ[Account Code]=(TRIM($D69))),GJ[Credit]))))</f>
        <v>0</v>
      </c>
      <c r="S69" s="211">
        <f t="array" ref="S69">((SUM(IF((CkDJ[Ofc Code]=(TRIM(S$7)))*(CkDJ[Account Code]=(TRIM($D69))),CkDJ[Debit])))+(SUM(IF((CsDJ[Ofc Code]=(TRIM(S$7)))*(CsDJ[Account Code]=(TRIM($D69))),CsDJ[Debit])))+(SUM(IF((CRDJ[Ofc Code]=(TRIM(S$7)))*(CRDJ[Account Code]=(TRIM($D69))),CRDJ[Debit])))+(SUM(IF((GJ[Ofc Code]=(TRIM(S$7)))*(GJ[Account Code]=(TRIM($D69))),GJ[Debit]))))-((SUM(IF((CkDJ[Ofc Code]=(TRIM(S$7)))*(CkDJ[Account Code]=(TRIM($D69))),CkDJ[Credit])))+(SUM(IF((CsDJ[Ofc Code]=(TRIM(S$7)))*(CsDJ[Account Code]=(TRIM($D69))),CsDJ[Credit])))+(SUM(IF((CRDJ[Ofc Code]=(TRIM(S$7)))*(CRDJ[Account Code]=(TRIM($D69))),CRDJ[Credit])))+(SUM(IF((GJ[Ofc Code]=(TRIM(S$7)))*(GJ[Account Code]=(TRIM($D69))),GJ[Credit]))))</f>
        <v>0</v>
      </c>
      <c r="T69" s="211">
        <f t="array" ref="T69">((SUM(IF((CkDJ[Ofc Code]=(TRIM(T$7)))*(CkDJ[Account Code]=(TRIM($D69))),CkDJ[Debit])))+(SUM(IF((CsDJ[Ofc Code]=(TRIM(T$7)))*(CsDJ[Account Code]=(TRIM($D69))),CsDJ[Debit])))+(SUM(IF((CRDJ[Ofc Code]=(TRIM(T$7)))*(CRDJ[Account Code]=(TRIM($D69))),CRDJ[Debit])))+(SUM(IF((GJ[Ofc Code]=(TRIM(T$7)))*(GJ[Account Code]=(TRIM($D69))),GJ[Debit]))))-((SUM(IF((CkDJ[Ofc Code]=(TRIM(T$7)))*(CkDJ[Account Code]=(TRIM($D69))),CkDJ[Credit])))+(SUM(IF((CsDJ[Ofc Code]=(TRIM(T$7)))*(CsDJ[Account Code]=(TRIM($D69))),CsDJ[Credit])))+(SUM(IF((CRDJ[Ofc Code]=(TRIM(T$7)))*(CRDJ[Account Code]=(TRIM($D69))),CRDJ[Credit])))+(SUM(IF((GJ[Ofc Code]=(TRIM(T$7)))*(GJ[Account Code]=(TRIM($D69))),GJ[Credit]))))</f>
        <v>0</v>
      </c>
      <c r="U69" s="211">
        <f t="shared" si="17"/>
        <v>0</v>
      </c>
      <c r="V69" s="211">
        <f t="shared" si="18"/>
        <v>0</v>
      </c>
    </row>
    <row r="70" spans="1:22" ht="15">
      <c r="A70" s="212">
        <f t="shared" si="19"/>
        <v>8</v>
      </c>
      <c r="B70" s="214"/>
      <c r="C70" s="194" t="str">
        <f t="shared" si="14"/>
        <v>Textbooks and Instructional Materials Expenses</v>
      </c>
      <c r="D70" s="207">
        <v>763</v>
      </c>
      <c r="E70" s="211">
        <f t="array" ref="E70">((SUM(IF((CkDJ[Ofc Code]=(TRIM(E$7)))*(CkDJ[Account Code]=(TRIM($D70))),CkDJ[Debit])))+(SUM(IF((CsDJ[Ofc Code]=(TRIM(E$7)))*(CsDJ[Account Code]=(TRIM($D70))),CsDJ[Debit])))+(SUM(IF((CRDJ[Ofc Code]=(TRIM(E$7)))*(CRDJ[Account Code]=(TRIM($D70))),CRDJ[Debit])))+(SUM(IF((GJ[Ofc Code]=(TRIM(E$7)))*(GJ[Account Code]=(TRIM($D70))),GJ[Debit]))))-((SUM(IF((CkDJ[Ofc Code]=(TRIM(E$7)))*(CkDJ[Account Code]=(TRIM($D70))),CkDJ[Credit])))+(SUM(IF((CsDJ[Ofc Code]=(TRIM(E$7)))*(CsDJ[Account Code]=(TRIM($D70))),CsDJ[Credit])))+(SUM(IF((CRDJ[Ofc Code]=(TRIM(E$7)))*(CRDJ[Account Code]=(TRIM($D70))),CRDJ[Credit])))+(SUM(IF((GJ[Ofc Code]=(TRIM(E$7)))*(GJ[Account Code]=(TRIM($D70))),GJ[Credit]))))</f>
        <v>0</v>
      </c>
      <c r="F70" s="211">
        <f t="array" ref="F70">((SUM(IF((CkDJ[Ofc Code]=(TRIM(F$7)))*(CkDJ[Account Code]=(TRIM($D70))),CkDJ[Debit])))+(SUM(IF((CsDJ[Ofc Code]=(TRIM(F$7)))*(CsDJ[Account Code]=(TRIM($D70))),CsDJ[Debit])))+(SUM(IF((CRDJ[Ofc Code]=(TRIM(F$7)))*(CRDJ[Account Code]=(TRIM($D70))),CRDJ[Debit])))+(SUM(IF((GJ[Ofc Code]=(TRIM(F$7)))*(GJ[Account Code]=(TRIM($D70))),GJ[Debit]))))-((SUM(IF((CkDJ[Ofc Code]=(TRIM(F$7)))*(CkDJ[Account Code]=(TRIM($D70))),CkDJ[Credit])))+(SUM(IF((CsDJ[Ofc Code]=(TRIM(F$7)))*(CsDJ[Account Code]=(TRIM($D70))),CsDJ[Credit])))+(SUM(IF((CRDJ[Ofc Code]=(TRIM(F$7)))*(CRDJ[Account Code]=(TRIM($D70))),CRDJ[Credit])))+(SUM(IF((GJ[Ofc Code]=(TRIM(F$7)))*(GJ[Account Code]=(TRIM($D70))),GJ[Credit]))))</f>
        <v>0</v>
      </c>
      <c r="G70" s="211">
        <f t="array" ref="G70">((SUM(IF((CkDJ[Ofc Code]=(TRIM(G$7)))*(CkDJ[Account Code]=(TRIM($D70))),CkDJ[Debit])))+(SUM(IF((CsDJ[Ofc Code]=(TRIM(G$7)))*(CsDJ[Account Code]=(TRIM($D70))),CsDJ[Debit])))+(SUM(IF((CRDJ[Ofc Code]=(TRIM(G$7)))*(CRDJ[Account Code]=(TRIM($D70))),CRDJ[Debit])))+(SUM(IF((GJ[Ofc Code]=(TRIM(G$7)))*(GJ[Account Code]=(TRIM($D70))),GJ[Debit]))))-((SUM(IF((CkDJ[Ofc Code]=(TRIM(G$7)))*(CkDJ[Account Code]=(TRIM($D70))),CkDJ[Credit])))+(SUM(IF((CsDJ[Ofc Code]=(TRIM(G$7)))*(CsDJ[Account Code]=(TRIM($D70))),CsDJ[Credit])))+(SUM(IF((CRDJ[Ofc Code]=(TRIM(G$7)))*(CRDJ[Account Code]=(TRIM($D70))),CRDJ[Credit])))+(SUM(IF((GJ[Ofc Code]=(TRIM(G$7)))*(GJ[Account Code]=(TRIM($D70))),GJ[Credit]))))</f>
        <v>0</v>
      </c>
      <c r="H70" s="211">
        <f t="array" ref="H70">((SUM(IF((CkDJ[Ofc Code]=(TRIM(H$7)))*(CkDJ[Account Code]=(TRIM($D70))),CkDJ[Debit])))+(SUM(IF((CsDJ[Ofc Code]=(TRIM(H$7)))*(CsDJ[Account Code]=(TRIM($D70))),CsDJ[Debit])))+(SUM(IF((CRDJ[Ofc Code]=(TRIM(H$7)))*(CRDJ[Account Code]=(TRIM($D70))),CRDJ[Debit])))+(SUM(IF((GJ[Ofc Code]=(TRIM(H$7)))*(GJ[Account Code]=(TRIM($D70))),GJ[Debit]))))-((SUM(IF((CkDJ[Ofc Code]=(TRIM(H$7)))*(CkDJ[Account Code]=(TRIM($D70))),CkDJ[Credit])))+(SUM(IF((CsDJ[Ofc Code]=(TRIM(H$7)))*(CsDJ[Account Code]=(TRIM($D70))),CsDJ[Credit])))+(SUM(IF((CRDJ[Ofc Code]=(TRIM(H$7)))*(CRDJ[Account Code]=(TRIM($D70))),CRDJ[Credit])))+(SUM(IF((GJ[Ofc Code]=(TRIM(H$7)))*(GJ[Account Code]=(TRIM($D70))),GJ[Credit]))))</f>
        <v>0</v>
      </c>
      <c r="I70" s="211">
        <f t="array" ref="I70">((SUM(IF((CkDJ[Ofc Code]=(TRIM(I$7)))*(CkDJ[Account Code]=(TRIM($D70))),CkDJ[Debit])))+(SUM(IF((CsDJ[Ofc Code]=(TRIM(I$7)))*(CsDJ[Account Code]=(TRIM($D70))),CsDJ[Debit])))+(SUM(IF((CRDJ[Ofc Code]=(TRIM(I$7)))*(CRDJ[Account Code]=(TRIM($D70))),CRDJ[Debit])))+(SUM(IF((GJ[Ofc Code]=(TRIM(I$7)))*(GJ[Account Code]=(TRIM($D70))),GJ[Debit]))))-((SUM(IF((CkDJ[Ofc Code]=(TRIM(I$7)))*(CkDJ[Account Code]=(TRIM($D70))),CkDJ[Credit])))+(SUM(IF((CsDJ[Ofc Code]=(TRIM(I$7)))*(CsDJ[Account Code]=(TRIM($D70))),CsDJ[Credit])))+(SUM(IF((CRDJ[Ofc Code]=(TRIM(I$7)))*(CRDJ[Account Code]=(TRIM($D70))),CRDJ[Credit])))+(SUM(IF((GJ[Ofc Code]=(TRIM(I$7)))*(GJ[Account Code]=(TRIM($D70))),GJ[Credit]))))</f>
        <v>0</v>
      </c>
      <c r="J70" s="211">
        <f t="shared" si="15"/>
        <v>0</v>
      </c>
      <c r="K70" s="211">
        <f t="array" ref="K70">((SUM(IF((CkDJ[Ofc Code]=(TRIM(K$7)))*(CkDJ[Account Code]=(TRIM($D70))),CkDJ[Debit])))+(SUM(IF((CsDJ[Ofc Code]=(TRIM(K$7)))*(CsDJ[Account Code]=(TRIM($D70))),CsDJ[Debit])))+(SUM(IF((CRDJ[Ofc Code]=(TRIM(K$7)))*(CRDJ[Account Code]=(TRIM($D70))),CRDJ[Debit])))+(SUM(IF((GJ[Ofc Code]=(TRIM(K$7)))*(GJ[Account Code]=(TRIM($D70))),GJ[Debit]))))-((SUM(IF((CkDJ[Ofc Code]=(TRIM(K$7)))*(CkDJ[Account Code]=(TRIM($D70))),CkDJ[Credit])))+(SUM(IF((CsDJ[Ofc Code]=(TRIM(K$7)))*(CsDJ[Account Code]=(TRIM($D70))),CsDJ[Credit])))+(SUM(IF((CRDJ[Ofc Code]=(TRIM(K$7)))*(CRDJ[Account Code]=(TRIM($D70))),CRDJ[Credit])))+(SUM(IF((GJ[Ofc Code]=(TRIM(K$7)))*(GJ[Account Code]=(TRIM($D70))),GJ[Credit]))))</f>
        <v>0</v>
      </c>
      <c r="L70" s="211">
        <f t="array" ref="L70">((SUM(IF((CkDJ[Ofc Code]=(TRIM(L$7)))*(CkDJ[Account Code]=(TRIM($D70))),CkDJ[Debit])))+(SUM(IF((CsDJ[Ofc Code]=(TRIM(L$7)))*(CsDJ[Account Code]=(TRIM($D70))),CsDJ[Debit])))+(SUM(IF((CRDJ[Ofc Code]=(TRIM(L$7)))*(CRDJ[Account Code]=(TRIM($D70))),CRDJ[Debit])))+(SUM(IF((GJ[Ofc Code]=(TRIM(L$7)))*(GJ[Account Code]=(TRIM($D70))),GJ[Debit]))))-((SUM(IF((CkDJ[Ofc Code]=(TRIM(L$7)))*(CkDJ[Account Code]=(TRIM($D70))),CkDJ[Credit])))+(SUM(IF((CsDJ[Ofc Code]=(TRIM(L$7)))*(CsDJ[Account Code]=(TRIM($D70))),CsDJ[Credit])))+(SUM(IF((CRDJ[Ofc Code]=(TRIM(L$7)))*(CRDJ[Account Code]=(TRIM($D70))),CRDJ[Credit])))+(SUM(IF((GJ[Ofc Code]=(TRIM(L$7)))*(GJ[Account Code]=(TRIM($D70))),GJ[Credit]))))</f>
        <v>0</v>
      </c>
      <c r="M70" s="211">
        <f t="array" ref="M70">((SUM(IF((CkDJ[Ofc Code]=(TRIM(M$7)))*(CkDJ[Account Code]=(TRIM($D70))),CkDJ[Debit])))+(SUM(IF((CsDJ[Ofc Code]=(TRIM(M$7)))*(CsDJ[Account Code]=(TRIM($D70))),CsDJ[Debit])))+(SUM(IF((CRDJ[Ofc Code]=(TRIM(M$7)))*(CRDJ[Account Code]=(TRIM($D70))),CRDJ[Debit])))+(SUM(IF((GJ[Ofc Code]=(TRIM(M$7)))*(GJ[Account Code]=(TRIM($D70))),GJ[Debit]))))-((SUM(IF((CkDJ[Ofc Code]=(TRIM(M$7)))*(CkDJ[Account Code]=(TRIM($D70))),CkDJ[Credit])))+(SUM(IF((CsDJ[Ofc Code]=(TRIM(M$7)))*(CsDJ[Account Code]=(TRIM($D70))),CsDJ[Credit])))+(SUM(IF((CRDJ[Ofc Code]=(TRIM(M$7)))*(CRDJ[Account Code]=(TRIM($D70))),CRDJ[Credit])))+(SUM(IF((GJ[Ofc Code]=(TRIM(M$7)))*(GJ[Account Code]=(TRIM($D70))),GJ[Credit]))))</f>
        <v>0</v>
      </c>
      <c r="N70" s="211">
        <f t="array" ref="N70">((SUM(IF((CkDJ[Ofc Code]=(TRIM(N$7)))*(CkDJ[Account Code]=(TRIM($D70))),CkDJ[Debit])))+(SUM(IF((CsDJ[Ofc Code]=(TRIM(N$7)))*(CsDJ[Account Code]=(TRIM($D70))),CsDJ[Debit])))+(SUM(IF((CRDJ[Ofc Code]=(TRIM(N$7)))*(CRDJ[Account Code]=(TRIM($D70))),CRDJ[Debit])))+(SUM(IF((GJ[Ofc Code]=(TRIM(N$7)))*(GJ[Account Code]=(TRIM($D70))),GJ[Debit]))))-((SUM(IF((CkDJ[Ofc Code]=(TRIM(N$7)))*(CkDJ[Account Code]=(TRIM($D70))),CkDJ[Credit])))+(SUM(IF((CsDJ[Ofc Code]=(TRIM(N$7)))*(CsDJ[Account Code]=(TRIM($D70))),CsDJ[Credit])))+(SUM(IF((CRDJ[Ofc Code]=(TRIM(N$7)))*(CRDJ[Account Code]=(TRIM($D70))),CRDJ[Credit])))+(SUM(IF((GJ[Ofc Code]=(TRIM(N$7)))*(GJ[Account Code]=(TRIM($D70))),GJ[Credit]))))</f>
        <v>0</v>
      </c>
      <c r="O70" s="211">
        <f t="shared" si="16"/>
        <v>0</v>
      </c>
      <c r="P70" s="211">
        <f t="array" ref="P70">((SUM(IF((CkDJ[Ofc Code]=(TRIM(P$7)))*(CkDJ[Account Code]=(TRIM($D70))),CkDJ[Debit])))+(SUM(IF((CsDJ[Ofc Code]=(TRIM(P$7)))*(CsDJ[Account Code]=(TRIM($D70))),CsDJ[Debit])))+(SUM(IF((CRDJ[Ofc Code]=(TRIM(P$7)))*(CRDJ[Account Code]=(TRIM($D70))),CRDJ[Debit])))+(SUM(IF((GJ[Ofc Code]=(TRIM(P$7)))*(GJ[Account Code]=(TRIM($D70))),GJ[Debit]))))-((SUM(IF((CkDJ[Ofc Code]=(TRIM(P$7)))*(CkDJ[Account Code]=(TRIM($D70))),CkDJ[Credit])))+(SUM(IF((CsDJ[Ofc Code]=(TRIM(P$7)))*(CsDJ[Account Code]=(TRIM($D70))),CsDJ[Credit])))+(SUM(IF((CRDJ[Ofc Code]=(TRIM(P$7)))*(CRDJ[Account Code]=(TRIM($D70))),CRDJ[Credit])))+(SUM(IF((GJ[Ofc Code]=(TRIM(P$7)))*(GJ[Account Code]=(TRIM($D70))),GJ[Credit]))))</f>
        <v>0</v>
      </c>
      <c r="Q70" s="211">
        <f t="array" ref="Q70">((SUM(IF((CkDJ[Ofc Code]=(TRIM(Q$7)))*(CkDJ[Account Code]=(TRIM($D70))),CkDJ[Debit])))+(SUM(IF((CsDJ[Ofc Code]=(TRIM(Q$7)))*(CsDJ[Account Code]=(TRIM($D70))),CsDJ[Debit])))+(SUM(IF((CRDJ[Ofc Code]=(TRIM(Q$7)))*(CRDJ[Account Code]=(TRIM($D70))),CRDJ[Debit])))+(SUM(IF((GJ[Ofc Code]=(TRIM(Q$7)))*(GJ[Account Code]=(TRIM($D70))),GJ[Debit]))))-((SUM(IF((CkDJ[Ofc Code]=(TRIM(Q$7)))*(CkDJ[Account Code]=(TRIM($D70))),CkDJ[Credit])))+(SUM(IF((CsDJ[Ofc Code]=(TRIM(Q$7)))*(CsDJ[Account Code]=(TRIM($D70))),CsDJ[Credit])))+(SUM(IF((CRDJ[Ofc Code]=(TRIM(Q$7)))*(CRDJ[Account Code]=(TRIM($D70))),CRDJ[Credit])))+(SUM(IF((GJ[Ofc Code]=(TRIM(Q$7)))*(GJ[Account Code]=(TRIM($D70))),GJ[Credit]))))</f>
        <v>0</v>
      </c>
      <c r="R70" s="211">
        <f t="array" ref="R70">((SUM(IF((CkDJ[Ofc Code]=(TRIM(R$7)))*(CkDJ[Account Code]=(TRIM($D70))),CkDJ[Debit])))+(SUM(IF((CsDJ[Ofc Code]=(TRIM(R$7)))*(CsDJ[Account Code]=(TRIM($D70))),CsDJ[Debit])))+(SUM(IF((CRDJ[Ofc Code]=(TRIM(R$7)))*(CRDJ[Account Code]=(TRIM($D70))),CRDJ[Debit])))+(SUM(IF((GJ[Ofc Code]=(TRIM(R$7)))*(GJ[Account Code]=(TRIM($D70))),GJ[Debit]))))-((SUM(IF((CkDJ[Ofc Code]=(TRIM(R$7)))*(CkDJ[Account Code]=(TRIM($D70))),CkDJ[Credit])))+(SUM(IF((CsDJ[Ofc Code]=(TRIM(R$7)))*(CsDJ[Account Code]=(TRIM($D70))),CsDJ[Credit])))+(SUM(IF((CRDJ[Ofc Code]=(TRIM(R$7)))*(CRDJ[Account Code]=(TRIM($D70))),CRDJ[Credit])))+(SUM(IF((GJ[Ofc Code]=(TRIM(R$7)))*(GJ[Account Code]=(TRIM($D70))),GJ[Credit]))))</f>
        <v>0</v>
      </c>
      <c r="S70" s="211">
        <f t="array" ref="S70">((SUM(IF((CkDJ[Ofc Code]=(TRIM(S$7)))*(CkDJ[Account Code]=(TRIM($D70))),CkDJ[Debit])))+(SUM(IF((CsDJ[Ofc Code]=(TRIM(S$7)))*(CsDJ[Account Code]=(TRIM($D70))),CsDJ[Debit])))+(SUM(IF((CRDJ[Ofc Code]=(TRIM(S$7)))*(CRDJ[Account Code]=(TRIM($D70))),CRDJ[Debit])))+(SUM(IF((GJ[Ofc Code]=(TRIM(S$7)))*(GJ[Account Code]=(TRIM($D70))),GJ[Debit]))))-((SUM(IF((CkDJ[Ofc Code]=(TRIM(S$7)))*(CkDJ[Account Code]=(TRIM($D70))),CkDJ[Credit])))+(SUM(IF((CsDJ[Ofc Code]=(TRIM(S$7)))*(CsDJ[Account Code]=(TRIM($D70))),CsDJ[Credit])))+(SUM(IF((CRDJ[Ofc Code]=(TRIM(S$7)))*(CRDJ[Account Code]=(TRIM($D70))),CRDJ[Credit])))+(SUM(IF((GJ[Ofc Code]=(TRIM(S$7)))*(GJ[Account Code]=(TRIM($D70))),GJ[Credit]))))</f>
        <v>0</v>
      </c>
      <c r="T70" s="211">
        <f t="array" ref="T70">((SUM(IF((CkDJ[Ofc Code]=(TRIM(T$7)))*(CkDJ[Account Code]=(TRIM($D70))),CkDJ[Debit])))+(SUM(IF((CsDJ[Ofc Code]=(TRIM(T$7)))*(CsDJ[Account Code]=(TRIM($D70))),CsDJ[Debit])))+(SUM(IF((CRDJ[Ofc Code]=(TRIM(T$7)))*(CRDJ[Account Code]=(TRIM($D70))),CRDJ[Debit])))+(SUM(IF((GJ[Ofc Code]=(TRIM(T$7)))*(GJ[Account Code]=(TRIM($D70))),GJ[Debit]))))-((SUM(IF((CkDJ[Ofc Code]=(TRIM(T$7)))*(CkDJ[Account Code]=(TRIM($D70))),CkDJ[Credit])))+(SUM(IF((CsDJ[Ofc Code]=(TRIM(T$7)))*(CsDJ[Account Code]=(TRIM($D70))),CsDJ[Credit])))+(SUM(IF((CRDJ[Ofc Code]=(TRIM(T$7)))*(CRDJ[Account Code]=(TRIM($D70))),CRDJ[Credit])))+(SUM(IF((GJ[Ofc Code]=(TRIM(T$7)))*(GJ[Account Code]=(TRIM($D70))),GJ[Credit]))))</f>
        <v>0</v>
      </c>
      <c r="U70" s="211">
        <f t="shared" si="17"/>
        <v>0</v>
      </c>
      <c r="V70" s="211">
        <f t="shared" si="18"/>
        <v>0</v>
      </c>
    </row>
    <row r="71" spans="1:22" ht="15">
      <c r="A71" s="212">
        <f t="shared" si="19"/>
        <v>9</v>
      </c>
      <c r="B71" s="214"/>
      <c r="C71" s="194" t="str">
        <f t="shared" si="14"/>
        <v>Other Supplies and Materials Expenses</v>
      </c>
      <c r="D71" s="207">
        <v>765</v>
      </c>
      <c r="E71" s="211">
        <f t="array" ref="E71">((SUM(IF((CkDJ[Ofc Code]=(TRIM(E$7)))*(CkDJ[Account Code]=(TRIM($D71))),CkDJ[Debit])))+(SUM(IF((CsDJ[Ofc Code]=(TRIM(E$7)))*(CsDJ[Account Code]=(TRIM($D71))),CsDJ[Debit])))+(SUM(IF((CRDJ[Ofc Code]=(TRIM(E$7)))*(CRDJ[Account Code]=(TRIM($D71))),CRDJ[Debit])))+(SUM(IF((GJ[Ofc Code]=(TRIM(E$7)))*(GJ[Account Code]=(TRIM($D71))),GJ[Debit]))))-((SUM(IF((CkDJ[Ofc Code]=(TRIM(E$7)))*(CkDJ[Account Code]=(TRIM($D71))),CkDJ[Credit])))+(SUM(IF((CsDJ[Ofc Code]=(TRIM(E$7)))*(CsDJ[Account Code]=(TRIM($D71))),CsDJ[Credit])))+(SUM(IF((CRDJ[Ofc Code]=(TRIM(E$7)))*(CRDJ[Account Code]=(TRIM($D71))),CRDJ[Credit])))+(SUM(IF((GJ[Ofc Code]=(TRIM(E$7)))*(GJ[Account Code]=(TRIM($D71))),GJ[Credit]))))</f>
        <v>0</v>
      </c>
      <c r="F71" s="211">
        <f t="array" ref="F71">((SUM(IF((CkDJ[Ofc Code]=(TRIM(F$7)))*(CkDJ[Account Code]=(TRIM($D71))),CkDJ[Debit])))+(SUM(IF((CsDJ[Ofc Code]=(TRIM(F$7)))*(CsDJ[Account Code]=(TRIM($D71))),CsDJ[Debit])))+(SUM(IF((CRDJ[Ofc Code]=(TRIM(F$7)))*(CRDJ[Account Code]=(TRIM($D71))),CRDJ[Debit])))+(SUM(IF((GJ[Ofc Code]=(TRIM(F$7)))*(GJ[Account Code]=(TRIM($D71))),GJ[Debit]))))-((SUM(IF((CkDJ[Ofc Code]=(TRIM(F$7)))*(CkDJ[Account Code]=(TRIM($D71))),CkDJ[Credit])))+(SUM(IF((CsDJ[Ofc Code]=(TRIM(F$7)))*(CsDJ[Account Code]=(TRIM($D71))),CsDJ[Credit])))+(SUM(IF((CRDJ[Ofc Code]=(TRIM(F$7)))*(CRDJ[Account Code]=(TRIM($D71))),CRDJ[Credit])))+(SUM(IF((GJ[Ofc Code]=(TRIM(F$7)))*(GJ[Account Code]=(TRIM($D71))),GJ[Credit]))))</f>
        <v>0</v>
      </c>
      <c r="G71" s="211">
        <f t="array" ref="G71">((SUM(IF((CkDJ[Ofc Code]=(TRIM(G$7)))*(CkDJ[Account Code]=(TRIM($D71))),CkDJ[Debit])))+(SUM(IF((CsDJ[Ofc Code]=(TRIM(G$7)))*(CsDJ[Account Code]=(TRIM($D71))),CsDJ[Debit])))+(SUM(IF((CRDJ[Ofc Code]=(TRIM(G$7)))*(CRDJ[Account Code]=(TRIM($D71))),CRDJ[Debit])))+(SUM(IF((GJ[Ofc Code]=(TRIM(G$7)))*(GJ[Account Code]=(TRIM($D71))),GJ[Debit]))))-((SUM(IF((CkDJ[Ofc Code]=(TRIM(G$7)))*(CkDJ[Account Code]=(TRIM($D71))),CkDJ[Credit])))+(SUM(IF((CsDJ[Ofc Code]=(TRIM(G$7)))*(CsDJ[Account Code]=(TRIM($D71))),CsDJ[Credit])))+(SUM(IF((CRDJ[Ofc Code]=(TRIM(G$7)))*(CRDJ[Account Code]=(TRIM($D71))),CRDJ[Credit])))+(SUM(IF((GJ[Ofc Code]=(TRIM(G$7)))*(GJ[Account Code]=(TRIM($D71))),GJ[Credit]))))</f>
        <v>0</v>
      </c>
      <c r="H71" s="211">
        <f t="array" ref="H71">((SUM(IF((CkDJ[Ofc Code]=(TRIM(H$7)))*(CkDJ[Account Code]=(TRIM($D71))),CkDJ[Debit])))+(SUM(IF((CsDJ[Ofc Code]=(TRIM(H$7)))*(CsDJ[Account Code]=(TRIM($D71))),CsDJ[Debit])))+(SUM(IF((CRDJ[Ofc Code]=(TRIM(H$7)))*(CRDJ[Account Code]=(TRIM($D71))),CRDJ[Debit])))+(SUM(IF((GJ[Ofc Code]=(TRIM(H$7)))*(GJ[Account Code]=(TRIM($D71))),GJ[Debit]))))-((SUM(IF((CkDJ[Ofc Code]=(TRIM(H$7)))*(CkDJ[Account Code]=(TRIM($D71))),CkDJ[Credit])))+(SUM(IF((CsDJ[Ofc Code]=(TRIM(H$7)))*(CsDJ[Account Code]=(TRIM($D71))),CsDJ[Credit])))+(SUM(IF((CRDJ[Ofc Code]=(TRIM(H$7)))*(CRDJ[Account Code]=(TRIM($D71))),CRDJ[Credit])))+(SUM(IF((GJ[Ofc Code]=(TRIM(H$7)))*(GJ[Account Code]=(TRIM($D71))),GJ[Credit]))))</f>
        <v>0</v>
      </c>
      <c r="I71" s="211">
        <f t="array" ref="I71">((SUM(IF((CkDJ[Ofc Code]=(TRIM(I$7)))*(CkDJ[Account Code]=(TRIM($D71))),CkDJ[Debit])))+(SUM(IF((CsDJ[Ofc Code]=(TRIM(I$7)))*(CsDJ[Account Code]=(TRIM($D71))),CsDJ[Debit])))+(SUM(IF((CRDJ[Ofc Code]=(TRIM(I$7)))*(CRDJ[Account Code]=(TRIM($D71))),CRDJ[Debit])))+(SUM(IF((GJ[Ofc Code]=(TRIM(I$7)))*(GJ[Account Code]=(TRIM($D71))),GJ[Debit]))))-((SUM(IF((CkDJ[Ofc Code]=(TRIM(I$7)))*(CkDJ[Account Code]=(TRIM($D71))),CkDJ[Credit])))+(SUM(IF((CsDJ[Ofc Code]=(TRIM(I$7)))*(CsDJ[Account Code]=(TRIM($D71))),CsDJ[Credit])))+(SUM(IF((CRDJ[Ofc Code]=(TRIM(I$7)))*(CRDJ[Account Code]=(TRIM($D71))),CRDJ[Credit])))+(SUM(IF((GJ[Ofc Code]=(TRIM(I$7)))*(GJ[Account Code]=(TRIM($D71))),GJ[Credit]))))</f>
        <v>0</v>
      </c>
      <c r="J71" s="211">
        <f t="shared" si="15"/>
        <v>0</v>
      </c>
      <c r="K71" s="211">
        <f t="array" ref="K71">((SUM(IF((CkDJ[Ofc Code]=(TRIM(K$7)))*(CkDJ[Account Code]=(TRIM($D71))),CkDJ[Debit])))+(SUM(IF((CsDJ[Ofc Code]=(TRIM(K$7)))*(CsDJ[Account Code]=(TRIM($D71))),CsDJ[Debit])))+(SUM(IF((CRDJ[Ofc Code]=(TRIM(K$7)))*(CRDJ[Account Code]=(TRIM($D71))),CRDJ[Debit])))+(SUM(IF((GJ[Ofc Code]=(TRIM(K$7)))*(GJ[Account Code]=(TRIM($D71))),GJ[Debit]))))-((SUM(IF((CkDJ[Ofc Code]=(TRIM(K$7)))*(CkDJ[Account Code]=(TRIM($D71))),CkDJ[Credit])))+(SUM(IF((CsDJ[Ofc Code]=(TRIM(K$7)))*(CsDJ[Account Code]=(TRIM($D71))),CsDJ[Credit])))+(SUM(IF((CRDJ[Ofc Code]=(TRIM(K$7)))*(CRDJ[Account Code]=(TRIM($D71))),CRDJ[Credit])))+(SUM(IF((GJ[Ofc Code]=(TRIM(K$7)))*(GJ[Account Code]=(TRIM($D71))),GJ[Credit]))))</f>
        <v>0</v>
      </c>
      <c r="L71" s="211">
        <f t="array" ref="L71">((SUM(IF((CkDJ[Ofc Code]=(TRIM(L$7)))*(CkDJ[Account Code]=(TRIM($D71))),CkDJ[Debit])))+(SUM(IF((CsDJ[Ofc Code]=(TRIM(L$7)))*(CsDJ[Account Code]=(TRIM($D71))),CsDJ[Debit])))+(SUM(IF((CRDJ[Ofc Code]=(TRIM(L$7)))*(CRDJ[Account Code]=(TRIM($D71))),CRDJ[Debit])))+(SUM(IF((GJ[Ofc Code]=(TRIM(L$7)))*(GJ[Account Code]=(TRIM($D71))),GJ[Debit]))))-((SUM(IF((CkDJ[Ofc Code]=(TRIM(L$7)))*(CkDJ[Account Code]=(TRIM($D71))),CkDJ[Credit])))+(SUM(IF((CsDJ[Ofc Code]=(TRIM(L$7)))*(CsDJ[Account Code]=(TRIM($D71))),CsDJ[Credit])))+(SUM(IF((CRDJ[Ofc Code]=(TRIM(L$7)))*(CRDJ[Account Code]=(TRIM($D71))),CRDJ[Credit])))+(SUM(IF((GJ[Ofc Code]=(TRIM(L$7)))*(GJ[Account Code]=(TRIM($D71))),GJ[Credit]))))</f>
        <v>0</v>
      </c>
      <c r="M71" s="211">
        <f t="array" ref="M71">((SUM(IF((CkDJ[Ofc Code]=(TRIM(M$7)))*(CkDJ[Account Code]=(TRIM($D71))),CkDJ[Debit])))+(SUM(IF((CsDJ[Ofc Code]=(TRIM(M$7)))*(CsDJ[Account Code]=(TRIM($D71))),CsDJ[Debit])))+(SUM(IF((CRDJ[Ofc Code]=(TRIM(M$7)))*(CRDJ[Account Code]=(TRIM($D71))),CRDJ[Debit])))+(SUM(IF((GJ[Ofc Code]=(TRIM(M$7)))*(GJ[Account Code]=(TRIM($D71))),GJ[Debit]))))-((SUM(IF((CkDJ[Ofc Code]=(TRIM(M$7)))*(CkDJ[Account Code]=(TRIM($D71))),CkDJ[Credit])))+(SUM(IF((CsDJ[Ofc Code]=(TRIM(M$7)))*(CsDJ[Account Code]=(TRIM($D71))),CsDJ[Credit])))+(SUM(IF((CRDJ[Ofc Code]=(TRIM(M$7)))*(CRDJ[Account Code]=(TRIM($D71))),CRDJ[Credit])))+(SUM(IF((GJ[Ofc Code]=(TRIM(M$7)))*(GJ[Account Code]=(TRIM($D71))),GJ[Credit]))))</f>
        <v>0</v>
      </c>
      <c r="N71" s="211">
        <f t="array" ref="N71">((SUM(IF((CkDJ[Ofc Code]=(TRIM(N$7)))*(CkDJ[Account Code]=(TRIM($D71))),CkDJ[Debit])))+(SUM(IF((CsDJ[Ofc Code]=(TRIM(N$7)))*(CsDJ[Account Code]=(TRIM($D71))),CsDJ[Debit])))+(SUM(IF((CRDJ[Ofc Code]=(TRIM(N$7)))*(CRDJ[Account Code]=(TRIM($D71))),CRDJ[Debit])))+(SUM(IF((GJ[Ofc Code]=(TRIM(N$7)))*(GJ[Account Code]=(TRIM($D71))),GJ[Debit]))))-((SUM(IF((CkDJ[Ofc Code]=(TRIM(N$7)))*(CkDJ[Account Code]=(TRIM($D71))),CkDJ[Credit])))+(SUM(IF((CsDJ[Ofc Code]=(TRIM(N$7)))*(CsDJ[Account Code]=(TRIM($D71))),CsDJ[Credit])))+(SUM(IF((CRDJ[Ofc Code]=(TRIM(N$7)))*(CRDJ[Account Code]=(TRIM($D71))),CRDJ[Credit])))+(SUM(IF((GJ[Ofc Code]=(TRIM(N$7)))*(GJ[Account Code]=(TRIM($D71))),GJ[Credit]))))</f>
        <v>0</v>
      </c>
      <c r="O71" s="211">
        <f t="shared" si="16"/>
        <v>0</v>
      </c>
      <c r="P71" s="211">
        <f t="array" ref="P71">((SUM(IF((CkDJ[Ofc Code]=(TRIM(P$7)))*(CkDJ[Account Code]=(TRIM($D71))),CkDJ[Debit])))+(SUM(IF((CsDJ[Ofc Code]=(TRIM(P$7)))*(CsDJ[Account Code]=(TRIM($D71))),CsDJ[Debit])))+(SUM(IF((CRDJ[Ofc Code]=(TRIM(P$7)))*(CRDJ[Account Code]=(TRIM($D71))),CRDJ[Debit])))+(SUM(IF((GJ[Ofc Code]=(TRIM(P$7)))*(GJ[Account Code]=(TRIM($D71))),GJ[Debit]))))-((SUM(IF((CkDJ[Ofc Code]=(TRIM(P$7)))*(CkDJ[Account Code]=(TRIM($D71))),CkDJ[Credit])))+(SUM(IF((CsDJ[Ofc Code]=(TRIM(P$7)))*(CsDJ[Account Code]=(TRIM($D71))),CsDJ[Credit])))+(SUM(IF((CRDJ[Ofc Code]=(TRIM(P$7)))*(CRDJ[Account Code]=(TRIM($D71))),CRDJ[Credit])))+(SUM(IF((GJ[Ofc Code]=(TRIM(P$7)))*(GJ[Account Code]=(TRIM($D71))),GJ[Credit]))))</f>
        <v>0</v>
      </c>
      <c r="Q71" s="211">
        <f t="array" ref="Q71">((SUM(IF((CkDJ[Ofc Code]=(TRIM(Q$7)))*(CkDJ[Account Code]=(TRIM($D71))),CkDJ[Debit])))+(SUM(IF((CsDJ[Ofc Code]=(TRIM(Q$7)))*(CsDJ[Account Code]=(TRIM($D71))),CsDJ[Debit])))+(SUM(IF((CRDJ[Ofc Code]=(TRIM(Q$7)))*(CRDJ[Account Code]=(TRIM($D71))),CRDJ[Debit])))+(SUM(IF((GJ[Ofc Code]=(TRIM(Q$7)))*(GJ[Account Code]=(TRIM($D71))),GJ[Debit]))))-((SUM(IF((CkDJ[Ofc Code]=(TRIM(Q$7)))*(CkDJ[Account Code]=(TRIM($D71))),CkDJ[Credit])))+(SUM(IF((CsDJ[Ofc Code]=(TRIM(Q$7)))*(CsDJ[Account Code]=(TRIM($D71))),CsDJ[Credit])))+(SUM(IF((CRDJ[Ofc Code]=(TRIM(Q$7)))*(CRDJ[Account Code]=(TRIM($D71))),CRDJ[Credit])))+(SUM(IF((GJ[Ofc Code]=(TRIM(Q$7)))*(GJ[Account Code]=(TRIM($D71))),GJ[Credit]))))</f>
        <v>0</v>
      </c>
      <c r="R71" s="211">
        <f t="array" ref="R71">((SUM(IF((CkDJ[Ofc Code]=(TRIM(R$7)))*(CkDJ[Account Code]=(TRIM($D71))),CkDJ[Debit])))+(SUM(IF((CsDJ[Ofc Code]=(TRIM(R$7)))*(CsDJ[Account Code]=(TRIM($D71))),CsDJ[Debit])))+(SUM(IF((CRDJ[Ofc Code]=(TRIM(R$7)))*(CRDJ[Account Code]=(TRIM($D71))),CRDJ[Debit])))+(SUM(IF((GJ[Ofc Code]=(TRIM(R$7)))*(GJ[Account Code]=(TRIM($D71))),GJ[Debit]))))-((SUM(IF((CkDJ[Ofc Code]=(TRIM(R$7)))*(CkDJ[Account Code]=(TRIM($D71))),CkDJ[Credit])))+(SUM(IF((CsDJ[Ofc Code]=(TRIM(R$7)))*(CsDJ[Account Code]=(TRIM($D71))),CsDJ[Credit])))+(SUM(IF((CRDJ[Ofc Code]=(TRIM(R$7)))*(CRDJ[Account Code]=(TRIM($D71))),CRDJ[Credit])))+(SUM(IF((GJ[Ofc Code]=(TRIM(R$7)))*(GJ[Account Code]=(TRIM($D71))),GJ[Credit]))))</f>
        <v>0</v>
      </c>
      <c r="S71" s="211">
        <f t="array" ref="S71">((SUM(IF((CkDJ[Ofc Code]=(TRIM(S$7)))*(CkDJ[Account Code]=(TRIM($D71))),CkDJ[Debit])))+(SUM(IF((CsDJ[Ofc Code]=(TRIM(S$7)))*(CsDJ[Account Code]=(TRIM($D71))),CsDJ[Debit])))+(SUM(IF((CRDJ[Ofc Code]=(TRIM(S$7)))*(CRDJ[Account Code]=(TRIM($D71))),CRDJ[Debit])))+(SUM(IF((GJ[Ofc Code]=(TRIM(S$7)))*(GJ[Account Code]=(TRIM($D71))),GJ[Debit]))))-((SUM(IF((CkDJ[Ofc Code]=(TRIM(S$7)))*(CkDJ[Account Code]=(TRIM($D71))),CkDJ[Credit])))+(SUM(IF((CsDJ[Ofc Code]=(TRIM(S$7)))*(CsDJ[Account Code]=(TRIM($D71))),CsDJ[Credit])))+(SUM(IF((CRDJ[Ofc Code]=(TRIM(S$7)))*(CRDJ[Account Code]=(TRIM($D71))),CRDJ[Credit])))+(SUM(IF((GJ[Ofc Code]=(TRIM(S$7)))*(GJ[Account Code]=(TRIM($D71))),GJ[Credit]))))</f>
        <v>0</v>
      </c>
      <c r="T71" s="211">
        <f t="array" ref="T71">((SUM(IF((CkDJ[Ofc Code]=(TRIM(T$7)))*(CkDJ[Account Code]=(TRIM($D71))),CkDJ[Debit])))+(SUM(IF((CsDJ[Ofc Code]=(TRIM(T$7)))*(CsDJ[Account Code]=(TRIM($D71))),CsDJ[Debit])))+(SUM(IF((CRDJ[Ofc Code]=(TRIM(T$7)))*(CRDJ[Account Code]=(TRIM($D71))),CRDJ[Debit])))+(SUM(IF((GJ[Ofc Code]=(TRIM(T$7)))*(GJ[Account Code]=(TRIM($D71))),GJ[Debit]))))-((SUM(IF((CkDJ[Ofc Code]=(TRIM(T$7)))*(CkDJ[Account Code]=(TRIM($D71))),CkDJ[Credit])))+(SUM(IF((CsDJ[Ofc Code]=(TRIM(T$7)))*(CsDJ[Account Code]=(TRIM($D71))),CsDJ[Credit])))+(SUM(IF((CRDJ[Ofc Code]=(TRIM(T$7)))*(CRDJ[Account Code]=(TRIM($D71))),CRDJ[Credit])))+(SUM(IF((GJ[Ofc Code]=(TRIM(T$7)))*(GJ[Account Code]=(TRIM($D71))),GJ[Credit]))))</f>
        <v>0</v>
      </c>
      <c r="U71" s="211">
        <f t="shared" si="17"/>
        <v>0</v>
      </c>
      <c r="V71" s="211">
        <f t="shared" si="18"/>
        <v>0</v>
      </c>
    </row>
    <row r="72" spans="1:22" ht="15">
      <c r="A72" s="212">
        <f t="shared" si="19"/>
        <v>10</v>
      </c>
      <c r="B72" s="214"/>
      <c r="C72" s="194" t="str">
        <f t="shared" si="14"/>
        <v>Water Expenses</v>
      </c>
      <c r="D72" s="207">
        <v>766</v>
      </c>
      <c r="E72" s="211">
        <f t="array" ref="E72">((SUM(IF((CkDJ[Ofc Code]=(TRIM(E$7)))*(CkDJ[Account Code]=(TRIM($D72))),CkDJ[Debit])))+(SUM(IF((CsDJ[Ofc Code]=(TRIM(E$7)))*(CsDJ[Account Code]=(TRIM($D72))),CsDJ[Debit])))+(SUM(IF((CRDJ[Ofc Code]=(TRIM(E$7)))*(CRDJ[Account Code]=(TRIM($D72))),CRDJ[Debit])))+(SUM(IF((GJ[Ofc Code]=(TRIM(E$7)))*(GJ[Account Code]=(TRIM($D72))),GJ[Debit]))))-((SUM(IF((CkDJ[Ofc Code]=(TRIM(E$7)))*(CkDJ[Account Code]=(TRIM($D72))),CkDJ[Credit])))+(SUM(IF((CsDJ[Ofc Code]=(TRIM(E$7)))*(CsDJ[Account Code]=(TRIM($D72))),CsDJ[Credit])))+(SUM(IF((CRDJ[Ofc Code]=(TRIM(E$7)))*(CRDJ[Account Code]=(TRIM($D72))),CRDJ[Credit])))+(SUM(IF((GJ[Ofc Code]=(TRIM(E$7)))*(GJ[Account Code]=(TRIM($D72))),GJ[Credit]))))</f>
        <v>0</v>
      </c>
      <c r="F72" s="211">
        <f t="array" ref="F72">((SUM(IF((CkDJ[Ofc Code]=(TRIM(F$7)))*(CkDJ[Account Code]=(TRIM($D72))),CkDJ[Debit])))+(SUM(IF((CsDJ[Ofc Code]=(TRIM(F$7)))*(CsDJ[Account Code]=(TRIM($D72))),CsDJ[Debit])))+(SUM(IF((CRDJ[Ofc Code]=(TRIM(F$7)))*(CRDJ[Account Code]=(TRIM($D72))),CRDJ[Debit])))+(SUM(IF((GJ[Ofc Code]=(TRIM(F$7)))*(GJ[Account Code]=(TRIM($D72))),GJ[Debit]))))-((SUM(IF((CkDJ[Ofc Code]=(TRIM(F$7)))*(CkDJ[Account Code]=(TRIM($D72))),CkDJ[Credit])))+(SUM(IF((CsDJ[Ofc Code]=(TRIM(F$7)))*(CsDJ[Account Code]=(TRIM($D72))),CsDJ[Credit])))+(SUM(IF((CRDJ[Ofc Code]=(TRIM(F$7)))*(CRDJ[Account Code]=(TRIM($D72))),CRDJ[Credit])))+(SUM(IF((GJ[Ofc Code]=(TRIM(F$7)))*(GJ[Account Code]=(TRIM($D72))),GJ[Credit]))))</f>
        <v>0</v>
      </c>
      <c r="G72" s="211">
        <f t="array" ref="G72">((SUM(IF((CkDJ[Ofc Code]=(TRIM(G$7)))*(CkDJ[Account Code]=(TRIM($D72))),CkDJ[Debit])))+(SUM(IF((CsDJ[Ofc Code]=(TRIM(G$7)))*(CsDJ[Account Code]=(TRIM($D72))),CsDJ[Debit])))+(SUM(IF((CRDJ[Ofc Code]=(TRIM(G$7)))*(CRDJ[Account Code]=(TRIM($D72))),CRDJ[Debit])))+(SUM(IF((GJ[Ofc Code]=(TRIM(G$7)))*(GJ[Account Code]=(TRIM($D72))),GJ[Debit]))))-((SUM(IF((CkDJ[Ofc Code]=(TRIM(G$7)))*(CkDJ[Account Code]=(TRIM($D72))),CkDJ[Credit])))+(SUM(IF((CsDJ[Ofc Code]=(TRIM(G$7)))*(CsDJ[Account Code]=(TRIM($D72))),CsDJ[Credit])))+(SUM(IF((CRDJ[Ofc Code]=(TRIM(G$7)))*(CRDJ[Account Code]=(TRIM($D72))),CRDJ[Credit])))+(SUM(IF((GJ[Ofc Code]=(TRIM(G$7)))*(GJ[Account Code]=(TRIM($D72))),GJ[Credit]))))</f>
        <v>0</v>
      </c>
      <c r="H72" s="211">
        <f t="array" ref="H72">((SUM(IF((CkDJ[Ofc Code]=(TRIM(H$7)))*(CkDJ[Account Code]=(TRIM($D72))),CkDJ[Debit])))+(SUM(IF((CsDJ[Ofc Code]=(TRIM(H$7)))*(CsDJ[Account Code]=(TRIM($D72))),CsDJ[Debit])))+(SUM(IF((CRDJ[Ofc Code]=(TRIM(H$7)))*(CRDJ[Account Code]=(TRIM($D72))),CRDJ[Debit])))+(SUM(IF((GJ[Ofc Code]=(TRIM(H$7)))*(GJ[Account Code]=(TRIM($D72))),GJ[Debit]))))-((SUM(IF((CkDJ[Ofc Code]=(TRIM(H$7)))*(CkDJ[Account Code]=(TRIM($D72))),CkDJ[Credit])))+(SUM(IF((CsDJ[Ofc Code]=(TRIM(H$7)))*(CsDJ[Account Code]=(TRIM($D72))),CsDJ[Credit])))+(SUM(IF((CRDJ[Ofc Code]=(TRIM(H$7)))*(CRDJ[Account Code]=(TRIM($D72))),CRDJ[Credit])))+(SUM(IF((GJ[Ofc Code]=(TRIM(H$7)))*(GJ[Account Code]=(TRIM($D72))),GJ[Credit]))))</f>
        <v>0</v>
      </c>
      <c r="I72" s="211">
        <f t="array" ref="I72">((SUM(IF((CkDJ[Ofc Code]=(TRIM(I$7)))*(CkDJ[Account Code]=(TRIM($D72))),CkDJ[Debit])))+(SUM(IF((CsDJ[Ofc Code]=(TRIM(I$7)))*(CsDJ[Account Code]=(TRIM($D72))),CsDJ[Debit])))+(SUM(IF((CRDJ[Ofc Code]=(TRIM(I$7)))*(CRDJ[Account Code]=(TRIM($D72))),CRDJ[Debit])))+(SUM(IF((GJ[Ofc Code]=(TRIM(I$7)))*(GJ[Account Code]=(TRIM($D72))),GJ[Debit]))))-((SUM(IF((CkDJ[Ofc Code]=(TRIM(I$7)))*(CkDJ[Account Code]=(TRIM($D72))),CkDJ[Credit])))+(SUM(IF((CsDJ[Ofc Code]=(TRIM(I$7)))*(CsDJ[Account Code]=(TRIM($D72))),CsDJ[Credit])))+(SUM(IF((CRDJ[Ofc Code]=(TRIM(I$7)))*(CRDJ[Account Code]=(TRIM($D72))),CRDJ[Credit])))+(SUM(IF((GJ[Ofc Code]=(TRIM(I$7)))*(GJ[Account Code]=(TRIM($D72))),GJ[Credit]))))</f>
        <v>0</v>
      </c>
      <c r="J72" s="211">
        <f t="shared" si="15"/>
        <v>0</v>
      </c>
      <c r="K72" s="211">
        <f t="array" ref="K72">((SUM(IF((CkDJ[Ofc Code]=(TRIM(K$7)))*(CkDJ[Account Code]=(TRIM($D72))),CkDJ[Debit])))+(SUM(IF((CsDJ[Ofc Code]=(TRIM(K$7)))*(CsDJ[Account Code]=(TRIM($D72))),CsDJ[Debit])))+(SUM(IF((CRDJ[Ofc Code]=(TRIM(K$7)))*(CRDJ[Account Code]=(TRIM($D72))),CRDJ[Debit])))+(SUM(IF((GJ[Ofc Code]=(TRIM(K$7)))*(GJ[Account Code]=(TRIM($D72))),GJ[Debit]))))-((SUM(IF((CkDJ[Ofc Code]=(TRIM(K$7)))*(CkDJ[Account Code]=(TRIM($D72))),CkDJ[Credit])))+(SUM(IF((CsDJ[Ofc Code]=(TRIM(K$7)))*(CsDJ[Account Code]=(TRIM($D72))),CsDJ[Credit])))+(SUM(IF((CRDJ[Ofc Code]=(TRIM(K$7)))*(CRDJ[Account Code]=(TRIM($D72))),CRDJ[Credit])))+(SUM(IF((GJ[Ofc Code]=(TRIM(K$7)))*(GJ[Account Code]=(TRIM($D72))),GJ[Credit]))))</f>
        <v>0</v>
      </c>
      <c r="L72" s="211">
        <f t="array" ref="L72">((SUM(IF((CkDJ[Ofc Code]=(TRIM(L$7)))*(CkDJ[Account Code]=(TRIM($D72))),CkDJ[Debit])))+(SUM(IF((CsDJ[Ofc Code]=(TRIM(L$7)))*(CsDJ[Account Code]=(TRIM($D72))),CsDJ[Debit])))+(SUM(IF((CRDJ[Ofc Code]=(TRIM(L$7)))*(CRDJ[Account Code]=(TRIM($D72))),CRDJ[Debit])))+(SUM(IF((GJ[Ofc Code]=(TRIM(L$7)))*(GJ[Account Code]=(TRIM($D72))),GJ[Debit]))))-((SUM(IF((CkDJ[Ofc Code]=(TRIM(L$7)))*(CkDJ[Account Code]=(TRIM($D72))),CkDJ[Credit])))+(SUM(IF((CsDJ[Ofc Code]=(TRIM(L$7)))*(CsDJ[Account Code]=(TRIM($D72))),CsDJ[Credit])))+(SUM(IF((CRDJ[Ofc Code]=(TRIM(L$7)))*(CRDJ[Account Code]=(TRIM($D72))),CRDJ[Credit])))+(SUM(IF((GJ[Ofc Code]=(TRIM(L$7)))*(GJ[Account Code]=(TRIM($D72))),GJ[Credit]))))</f>
        <v>0</v>
      </c>
      <c r="M72" s="211">
        <f t="array" ref="M72">((SUM(IF((CkDJ[Ofc Code]=(TRIM(M$7)))*(CkDJ[Account Code]=(TRIM($D72))),CkDJ[Debit])))+(SUM(IF((CsDJ[Ofc Code]=(TRIM(M$7)))*(CsDJ[Account Code]=(TRIM($D72))),CsDJ[Debit])))+(SUM(IF((CRDJ[Ofc Code]=(TRIM(M$7)))*(CRDJ[Account Code]=(TRIM($D72))),CRDJ[Debit])))+(SUM(IF((GJ[Ofc Code]=(TRIM(M$7)))*(GJ[Account Code]=(TRIM($D72))),GJ[Debit]))))-((SUM(IF((CkDJ[Ofc Code]=(TRIM(M$7)))*(CkDJ[Account Code]=(TRIM($D72))),CkDJ[Credit])))+(SUM(IF((CsDJ[Ofc Code]=(TRIM(M$7)))*(CsDJ[Account Code]=(TRIM($D72))),CsDJ[Credit])))+(SUM(IF((CRDJ[Ofc Code]=(TRIM(M$7)))*(CRDJ[Account Code]=(TRIM($D72))),CRDJ[Credit])))+(SUM(IF((GJ[Ofc Code]=(TRIM(M$7)))*(GJ[Account Code]=(TRIM($D72))),GJ[Credit]))))</f>
        <v>0</v>
      </c>
      <c r="N72" s="211">
        <f t="array" ref="N72">((SUM(IF((CkDJ[Ofc Code]=(TRIM(N$7)))*(CkDJ[Account Code]=(TRIM($D72))),CkDJ[Debit])))+(SUM(IF((CsDJ[Ofc Code]=(TRIM(N$7)))*(CsDJ[Account Code]=(TRIM($D72))),CsDJ[Debit])))+(SUM(IF((CRDJ[Ofc Code]=(TRIM(N$7)))*(CRDJ[Account Code]=(TRIM($D72))),CRDJ[Debit])))+(SUM(IF((GJ[Ofc Code]=(TRIM(N$7)))*(GJ[Account Code]=(TRIM($D72))),GJ[Debit]))))-((SUM(IF((CkDJ[Ofc Code]=(TRIM(N$7)))*(CkDJ[Account Code]=(TRIM($D72))),CkDJ[Credit])))+(SUM(IF((CsDJ[Ofc Code]=(TRIM(N$7)))*(CsDJ[Account Code]=(TRIM($D72))),CsDJ[Credit])))+(SUM(IF((CRDJ[Ofc Code]=(TRIM(N$7)))*(CRDJ[Account Code]=(TRIM($D72))),CRDJ[Credit])))+(SUM(IF((GJ[Ofc Code]=(TRIM(N$7)))*(GJ[Account Code]=(TRIM($D72))),GJ[Credit]))))</f>
        <v>0</v>
      </c>
      <c r="O72" s="211">
        <f t="shared" si="16"/>
        <v>0</v>
      </c>
      <c r="P72" s="211">
        <f t="array" ref="P72">((SUM(IF((CkDJ[Ofc Code]=(TRIM(P$7)))*(CkDJ[Account Code]=(TRIM($D72))),CkDJ[Debit])))+(SUM(IF((CsDJ[Ofc Code]=(TRIM(P$7)))*(CsDJ[Account Code]=(TRIM($D72))),CsDJ[Debit])))+(SUM(IF((CRDJ[Ofc Code]=(TRIM(P$7)))*(CRDJ[Account Code]=(TRIM($D72))),CRDJ[Debit])))+(SUM(IF((GJ[Ofc Code]=(TRIM(P$7)))*(GJ[Account Code]=(TRIM($D72))),GJ[Debit]))))-((SUM(IF((CkDJ[Ofc Code]=(TRIM(P$7)))*(CkDJ[Account Code]=(TRIM($D72))),CkDJ[Credit])))+(SUM(IF((CsDJ[Ofc Code]=(TRIM(P$7)))*(CsDJ[Account Code]=(TRIM($D72))),CsDJ[Credit])))+(SUM(IF((CRDJ[Ofc Code]=(TRIM(P$7)))*(CRDJ[Account Code]=(TRIM($D72))),CRDJ[Credit])))+(SUM(IF((GJ[Ofc Code]=(TRIM(P$7)))*(GJ[Account Code]=(TRIM($D72))),GJ[Credit]))))</f>
        <v>0</v>
      </c>
      <c r="Q72" s="211">
        <f t="array" ref="Q72">((SUM(IF((CkDJ[Ofc Code]=(TRIM(Q$7)))*(CkDJ[Account Code]=(TRIM($D72))),CkDJ[Debit])))+(SUM(IF((CsDJ[Ofc Code]=(TRIM(Q$7)))*(CsDJ[Account Code]=(TRIM($D72))),CsDJ[Debit])))+(SUM(IF((CRDJ[Ofc Code]=(TRIM(Q$7)))*(CRDJ[Account Code]=(TRIM($D72))),CRDJ[Debit])))+(SUM(IF((GJ[Ofc Code]=(TRIM(Q$7)))*(GJ[Account Code]=(TRIM($D72))),GJ[Debit]))))-((SUM(IF((CkDJ[Ofc Code]=(TRIM(Q$7)))*(CkDJ[Account Code]=(TRIM($D72))),CkDJ[Credit])))+(SUM(IF((CsDJ[Ofc Code]=(TRIM(Q$7)))*(CsDJ[Account Code]=(TRIM($D72))),CsDJ[Credit])))+(SUM(IF((CRDJ[Ofc Code]=(TRIM(Q$7)))*(CRDJ[Account Code]=(TRIM($D72))),CRDJ[Credit])))+(SUM(IF((GJ[Ofc Code]=(TRIM(Q$7)))*(GJ[Account Code]=(TRIM($D72))),GJ[Credit]))))</f>
        <v>0</v>
      </c>
      <c r="R72" s="211">
        <f t="array" ref="R72">((SUM(IF((CkDJ[Ofc Code]=(TRIM(R$7)))*(CkDJ[Account Code]=(TRIM($D72))),CkDJ[Debit])))+(SUM(IF((CsDJ[Ofc Code]=(TRIM(R$7)))*(CsDJ[Account Code]=(TRIM($D72))),CsDJ[Debit])))+(SUM(IF((CRDJ[Ofc Code]=(TRIM(R$7)))*(CRDJ[Account Code]=(TRIM($D72))),CRDJ[Debit])))+(SUM(IF((GJ[Ofc Code]=(TRIM(R$7)))*(GJ[Account Code]=(TRIM($D72))),GJ[Debit]))))-((SUM(IF((CkDJ[Ofc Code]=(TRIM(R$7)))*(CkDJ[Account Code]=(TRIM($D72))),CkDJ[Credit])))+(SUM(IF((CsDJ[Ofc Code]=(TRIM(R$7)))*(CsDJ[Account Code]=(TRIM($D72))),CsDJ[Credit])))+(SUM(IF((CRDJ[Ofc Code]=(TRIM(R$7)))*(CRDJ[Account Code]=(TRIM($D72))),CRDJ[Credit])))+(SUM(IF((GJ[Ofc Code]=(TRIM(R$7)))*(GJ[Account Code]=(TRIM($D72))),GJ[Credit]))))</f>
        <v>0</v>
      </c>
      <c r="S72" s="211">
        <f t="array" ref="S72">((SUM(IF((CkDJ[Ofc Code]=(TRIM(S$7)))*(CkDJ[Account Code]=(TRIM($D72))),CkDJ[Debit])))+(SUM(IF((CsDJ[Ofc Code]=(TRIM(S$7)))*(CsDJ[Account Code]=(TRIM($D72))),CsDJ[Debit])))+(SUM(IF((CRDJ[Ofc Code]=(TRIM(S$7)))*(CRDJ[Account Code]=(TRIM($D72))),CRDJ[Debit])))+(SUM(IF((GJ[Ofc Code]=(TRIM(S$7)))*(GJ[Account Code]=(TRIM($D72))),GJ[Debit]))))-((SUM(IF((CkDJ[Ofc Code]=(TRIM(S$7)))*(CkDJ[Account Code]=(TRIM($D72))),CkDJ[Credit])))+(SUM(IF((CsDJ[Ofc Code]=(TRIM(S$7)))*(CsDJ[Account Code]=(TRIM($D72))),CsDJ[Credit])))+(SUM(IF((CRDJ[Ofc Code]=(TRIM(S$7)))*(CRDJ[Account Code]=(TRIM($D72))),CRDJ[Credit])))+(SUM(IF((GJ[Ofc Code]=(TRIM(S$7)))*(GJ[Account Code]=(TRIM($D72))),GJ[Credit]))))</f>
        <v>0</v>
      </c>
      <c r="T72" s="211">
        <f t="array" ref="T72">((SUM(IF((CkDJ[Ofc Code]=(TRIM(T$7)))*(CkDJ[Account Code]=(TRIM($D72))),CkDJ[Debit])))+(SUM(IF((CsDJ[Ofc Code]=(TRIM(T$7)))*(CsDJ[Account Code]=(TRIM($D72))),CsDJ[Debit])))+(SUM(IF((CRDJ[Ofc Code]=(TRIM(T$7)))*(CRDJ[Account Code]=(TRIM($D72))),CRDJ[Debit])))+(SUM(IF((GJ[Ofc Code]=(TRIM(T$7)))*(GJ[Account Code]=(TRIM($D72))),GJ[Debit]))))-((SUM(IF((CkDJ[Ofc Code]=(TRIM(T$7)))*(CkDJ[Account Code]=(TRIM($D72))),CkDJ[Credit])))+(SUM(IF((CsDJ[Ofc Code]=(TRIM(T$7)))*(CsDJ[Account Code]=(TRIM($D72))),CsDJ[Credit])))+(SUM(IF((CRDJ[Ofc Code]=(TRIM(T$7)))*(CRDJ[Account Code]=(TRIM($D72))),CRDJ[Credit])))+(SUM(IF((GJ[Ofc Code]=(TRIM(T$7)))*(GJ[Account Code]=(TRIM($D72))),GJ[Credit]))))</f>
        <v>0</v>
      </c>
      <c r="U72" s="211">
        <f t="shared" si="17"/>
        <v>0</v>
      </c>
      <c r="V72" s="211">
        <f t="shared" si="18"/>
        <v>0</v>
      </c>
    </row>
    <row r="73" spans="1:22" ht="15">
      <c r="A73" s="212">
        <f t="shared" si="19"/>
        <v>11</v>
      </c>
      <c r="B73" s="214"/>
      <c r="C73" s="194" t="str">
        <f t="shared" si="14"/>
        <v>Electricity Expenses</v>
      </c>
      <c r="D73" s="207">
        <v>767</v>
      </c>
      <c r="E73" s="211">
        <f t="array" ref="E73">((SUM(IF((CkDJ[Ofc Code]=(TRIM(E$7)))*(CkDJ[Account Code]=(TRIM($D73))),CkDJ[Debit])))+(SUM(IF((CsDJ[Ofc Code]=(TRIM(E$7)))*(CsDJ[Account Code]=(TRIM($D73))),CsDJ[Debit])))+(SUM(IF((CRDJ[Ofc Code]=(TRIM(E$7)))*(CRDJ[Account Code]=(TRIM($D73))),CRDJ[Debit])))+(SUM(IF((GJ[Ofc Code]=(TRIM(E$7)))*(GJ[Account Code]=(TRIM($D73))),GJ[Debit]))))-((SUM(IF((CkDJ[Ofc Code]=(TRIM(E$7)))*(CkDJ[Account Code]=(TRIM($D73))),CkDJ[Credit])))+(SUM(IF((CsDJ[Ofc Code]=(TRIM(E$7)))*(CsDJ[Account Code]=(TRIM($D73))),CsDJ[Credit])))+(SUM(IF((CRDJ[Ofc Code]=(TRIM(E$7)))*(CRDJ[Account Code]=(TRIM($D73))),CRDJ[Credit])))+(SUM(IF((GJ[Ofc Code]=(TRIM(E$7)))*(GJ[Account Code]=(TRIM($D73))),GJ[Credit]))))</f>
        <v>0</v>
      </c>
      <c r="F73" s="211">
        <f t="array" ref="F73">((SUM(IF((CkDJ[Ofc Code]=(TRIM(F$7)))*(CkDJ[Account Code]=(TRIM($D73))),CkDJ[Debit])))+(SUM(IF((CsDJ[Ofc Code]=(TRIM(F$7)))*(CsDJ[Account Code]=(TRIM($D73))),CsDJ[Debit])))+(SUM(IF((CRDJ[Ofc Code]=(TRIM(F$7)))*(CRDJ[Account Code]=(TRIM($D73))),CRDJ[Debit])))+(SUM(IF((GJ[Ofc Code]=(TRIM(F$7)))*(GJ[Account Code]=(TRIM($D73))),GJ[Debit]))))-((SUM(IF((CkDJ[Ofc Code]=(TRIM(F$7)))*(CkDJ[Account Code]=(TRIM($D73))),CkDJ[Credit])))+(SUM(IF((CsDJ[Ofc Code]=(TRIM(F$7)))*(CsDJ[Account Code]=(TRIM($D73))),CsDJ[Credit])))+(SUM(IF((CRDJ[Ofc Code]=(TRIM(F$7)))*(CRDJ[Account Code]=(TRIM($D73))),CRDJ[Credit])))+(SUM(IF((GJ[Ofc Code]=(TRIM(F$7)))*(GJ[Account Code]=(TRIM($D73))),GJ[Credit]))))</f>
        <v>0</v>
      </c>
      <c r="G73" s="211">
        <f t="array" ref="G73">((SUM(IF((CkDJ[Ofc Code]=(TRIM(G$7)))*(CkDJ[Account Code]=(TRIM($D73))),CkDJ[Debit])))+(SUM(IF((CsDJ[Ofc Code]=(TRIM(G$7)))*(CsDJ[Account Code]=(TRIM($D73))),CsDJ[Debit])))+(SUM(IF((CRDJ[Ofc Code]=(TRIM(G$7)))*(CRDJ[Account Code]=(TRIM($D73))),CRDJ[Debit])))+(SUM(IF((GJ[Ofc Code]=(TRIM(G$7)))*(GJ[Account Code]=(TRIM($D73))),GJ[Debit]))))-((SUM(IF((CkDJ[Ofc Code]=(TRIM(G$7)))*(CkDJ[Account Code]=(TRIM($D73))),CkDJ[Credit])))+(SUM(IF((CsDJ[Ofc Code]=(TRIM(G$7)))*(CsDJ[Account Code]=(TRIM($D73))),CsDJ[Credit])))+(SUM(IF((CRDJ[Ofc Code]=(TRIM(G$7)))*(CRDJ[Account Code]=(TRIM($D73))),CRDJ[Credit])))+(SUM(IF((GJ[Ofc Code]=(TRIM(G$7)))*(GJ[Account Code]=(TRIM($D73))),GJ[Credit]))))</f>
        <v>0</v>
      </c>
      <c r="H73" s="211">
        <f t="array" ref="H73">((SUM(IF((CkDJ[Ofc Code]=(TRIM(H$7)))*(CkDJ[Account Code]=(TRIM($D73))),CkDJ[Debit])))+(SUM(IF((CsDJ[Ofc Code]=(TRIM(H$7)))*(CsDJ[Account Code]=(TRIM($D73))),CsDJ[Debit])))+(SUM(IF((CRDJ[Ofc Code]=(TRIM(H$7)))*(CRDJ[Account Code]=(TRIM($D73))),CRDJ[Debit])))+(SUM(IF((GJ[Ofc Code]=(TRIM(H$7)))*(GJ[Account Code]=(TRIM($D73))),GJ[Debit]))))-((SUM(IF((CkDJ[Ofc Code]=(TRIM(H$7)))*(CkDJ[Account Code]=(TRIM($D73))),CkDJ[Credit])))+(SUM(IF((CsDJ[Ofc Code]=(TRIM(H$7)))*(CsDJ[Account Code]=(TRIM($D73))),CsDJ[Credit])))+(SUM(IF((CRDJ[Ofc Code]=(TRIM(H$7)))*(CRDJ[Account Code]=(TRIM($D73))),CRDJ[Credit])))+(SUM(IF((GJ[Ofc Code]=(TRIM(H$7)))*(GJ[Account Code]=(TRIM($D73))),GJ[Credit]))))</f>
        <v>0</v>
      </c>
      <c r="I73" s="211">
        <f t="array" ref="I73">((SUM(IF((CkDJ[Ofc Code]=(TRIM(I$7)))*(CkDJ[Account Code]=(TRIM($D73))),CkDJ[Debit])))+(SUM(IF((CsDJ[Ofc Code]=(TRIM(I$7)))*(CsDJ[Account Code]=(TRIM($D73))),CsDJ[Debit])))+(SUM(IF((CRDJ[Ofc Code]=(TRIM(I$7)))*(CRDJ[Account Code]=(TRIM($D73))),CRDJ[Debit])))+(SUM(IF((GJ[Ofc Code]=(TRIM(I$7)))*(GJ[Account Code]=(TRIM($D73))),GJ[Debit]))))-((SUM(IF((CkDJ[Ofc Code]=(TRIM(I$7)))*(CkDJ[Account Code]=(TRIM($D73))),CkDJ[Credit])))+(SUM(IF((CsDJ[Ofc Code]=(TRIM(I$7)))*(CsDJ[Account Code]=(TRIM($D73))),CsDJ[Credit])))+(SUM(IF((CRDJ[Ofc Code]=(TRIM(I$7)))*(CRDJ[Account Code]=(TRIM($D73))),CRDJ[Credit])))+(SUM(IF((GJ[Ofc Code]=(TRIM(I$7)))*(GJ[Account Code]=(TRIM($D73))),GJ[Credit]))))</f>
        <v>0</v>
      </c>
      <c r="J73" s="211">
        <f t="shared" si="15"/>
        <v>0</v>
      </c>
      <c r="K73" s="211">
        <f t="array" ref="K73">((SUM(IF((CkDJ[Ofc Code]=(TRIM(K$7)))*(CkDJ[Account Code]=(TRIM($D73))),CkDJ[Debit])))+(SUM(IF((CsDJ[Ofc Code]=(TRIM(K$7)))*(CsDJ[Account Code]=(TRIM($D73))),CsDJ[Debit])))+(SUM(IF((CRDJ[Ofc Code]=(TRIM(K$7)))*(CRDJ[Account Code]=(TRIM($D73))),CRDJ[Debit])))+(SUM(IF((GJ[Ofc Code]=(TRIM(K$7)))*(GJ[Account Code]=(TRIM($D73))),GJ[Debit]))))-((SUM(IF((CkDJ[Ofc Code]=(TRIM(K$7)))*(CkDJ[Account Code]=(TRIM($D73))),CkDJ[Credit])))+(SUM(IF((CsDJ[Ofc Code]=(TRIM(K$7)))*(CsDJ[Account Code]=(TRIM($D73))),CsDJ[Credit])))+(SUM(IF((CRDJ[Ofc Code]=(TRIM(K$7)))*(CRDJ[Account Code]=(TRIM($D73))),CRDJ[Credit])))+(SUM(IF((GJ[Ofc Code]=(TRIM(K$7)))*(GJ[Account Code]=(TRIM($D73))),GJ[Credit]))))</f>
        <v>0</v>
      </c>
      <c r="L73" s="211">
        <f t="array" ref="L73">((SUM(IF((CkDJ[Ofc Code]=(TRIM(L$7)))*(CkDJ[Account Code]=(TRIM($D73))),CkDJ[Debit])))+(SUM(IF((CsDJ[Ofc Code]=(TRIM(L$7)))*(CsDJ[Account Code]=(TRIM($D73))),CsDJ[Debit])))+(SUM(IF((CRDJ[Ofc Code]=(TRIM(L$7)))*(CRDJ[Account Code]=(TRIM($D73))),CRDJ[Debit])))+(SUM(IF((GJ[Ofc Code]=(TRIM(L$7)))*(GJ[Account Code]=(TRIM($D73))),GJ[Debit]))))-((SUM(IF((CkDJ[Ofc Code]=(TRIM(L$7)))*(CkDJ[Account Code]=(TRIM($D73))),CkDJ[Credit])))+(SUM(IF((CsDJ[Ofc Code]=(TRIM(L$7)))*(CsDJ[Account Code]=(TRIM($D73))),CsDJ[Credit])))+(SUM(IF((CRDJ[Ofc Code]=(TRIM(L$7)))*(CRDJ[Account Code]=(TRIM($D73))),CRDJ[Credit])))+(SUM(IF((GJ[Ofc Code]=(TRIM(L$7)))*(GJ[Account Code]=(TRIM($D73))),GJ[Credit]))))</f>
        <v>0</v>
      </c>
      <c r="M73" s="211">
        <f t="array" ref="M73">((SUM(IF((CkDJ[Ofc Code]=(TRIM(M$7)))*(CkDJ[Account Code]=(TRIM($D73))),CkDJ[Debit])))+(SUM(IF((CsDJ[Ofc Code]=(TRIM(M$7)))*(CsDJ[Account Code]=(TRIM($D73))),CsDJ[Debit])))+(SUM(IF((CRDJ[Ofc Code]=(TRIM(M$7)))*(CRDJ[Account Code]=(TRIM($D73))),CRDJ[Debit])))+(SUM(IF((GJ[Ofc Code]=(TRIM(M$7)))*(GJ[Account Code]=(TRIM($D73))),GJ[Debit]))))-((SUM(IF((CkDJ[Ofc Code]=(TRIM(M$7)))*(CkDJ[Account Code]=(TRIM($D73))),CkDJ[Credit])))+(SUM(IF((CsDJ[Ofc Code]=(TRIM(M$7)))*(CsDJ[Account Code]=(TRIM($D73))),CsDJ[Credit])))+(SUM(IF((CRDJ[Ofc Code]=(TRIM(M$7)))*(CRDJ[Account Code]=(TRIM($D73))),CRDJ[Credit])))+(SUM(IF((GJ[Ofc Code]=(TRIM(M$7)))*(GJ[Account Code]=(TRIM($D73))),GJ[Credit]))))</f>
        <v>0</v>
      </c>
      <c r="N73" s="211">
        <f t="array" ref="N73">((SUM(IF((CkDJ[Ofc Code]=(TRIM(N$7)))*(CkDJ[Account Code]=(TRIM($D73))),CkDJ[Debit])))+(SUM(IF((CsDJ[Ofc Code]=(TRIM(N$7)))*(CsDJ[Account Code]=(TRIM($D73))),CsDJ[Debit])))+(SUM(IF((CRDJ[Ofc Code]=(TRIM(N$7)))*(CRDJ[Account Code]=(TRIM($D73))),CRDJ[Debit])))+(SUM(IF((GJ[Ofc Code]=(TRIM(N$7)))*(GJ[Account Code]=(TRIM($D73))),GJ[Debit]))))-((SUM(IF((CkDJ[Ofc Code]=(TRIM(N$7)))*(CkDJ[Account Code]=(TRIM($D73))),CkDJ[Credit])))+(SUM(IF((CsDJ[Ofc Code]=(TRIM(N$7)))*(CsDJ[Account Code]=(TRIM($D73))),CsDJ[Credit])))+(SUM(IF((CRDJ[Ofc Code]=(TRIM(N$7)))*(CRDJ[Account Code]=(TRIM($D73))),CRDJ[Credit])))+(SUM(IF((GJ[Ofc Code]=(TRIM(N$7)))*(GJ[Account Code]=(TRIM($D73))),GJ[Credit]))))</f>
        <v>0</v>
      </c>
      <c r="O73" s="211">
        <f t="shared" si="16"/>
        <v>0</v>
      </c>
      <c r="P73" s="211">
        <f t="array" ref="P73">((SUM(IF((CkDJ[Ofc Code]=(TRIM(P$7)))*(CkDJ[Account Code]=(TRIM($D73))),CkDJ[Debit])))+(SUM(IF((CsDJ[Ofc Code]=(TRIM(P$7)))*(CsDJ[Account Code]=(TRIM($D73))),CsDJ[Debit])))+(SUM(IF((CRDJ[Ofc Code]=(TRIM(P$7)))*(CRDJ[Account Code]=(TRIM($D73))),CRDJ[Debit])))+(SUM(IF((GJ[Ofc Code]=(TRIM(P$7)))*(GJ[Account Code]=(TRIM($D73))),GJ[Debit]))))-((SUM(IF((CkDJ[Ofc Code]=(TRIM(P$7)))*(CkDJ[Account Code]=(TRIM($D73))),CkDJ[Credit])))+(SUM(IF((CsDJ[Ofc Code]=(TRIM(P$7)))*(CsDJ[Account Code]=(TRIM($D73))),CsDJ[Credit])))+(SUM(IF((CRDJ[Ofc Code]=(TRIM(P$7)))*(CRDJ[Account Code]=(TRIM($D73))),CRDJ[Credit])))+(SUM(IF((GJ[Ofc Code]=(TRIM(P$7)))*(GJ[Account Code]=(TRIM($D73))),GJ[Credit]))))</f>
        <v>0</v>
      </c>
      <c r="Q73" s="211">
        <f t="array" ref="Q73">((SUM(IF((CkDJ[Ofc Code]=(TRIM(Q$7)))*(CkDJ[Account Code]=(TRIM($D73))),CkDJ[Debit])))+(SUM(IF((CsDJ[Ofc Code]=(TRIM(Q$7)))*(CsDJ[Account Code]=(TRIM($D73))),CsDJ[Debit])))+(SUM(IF((CRDJ[Ofc Code]=(TRIM(Q$7)))*(CRDJ[Account Code]=(TRIM($D73))),CRDJ[Debit])))+(SUM(IF((GJ[Ofc Code]=(TRIM(Q$7)))*(GJ[Account Code]=(TRIM($D73))),GJ[Debit]))))-((SUM(IF((CkDJ[Ofc Code]=(TRIM(Q$7)))*(CkDJ[Account Code]=(TRIM($D73))),CkDJ[Credit])))+(SUM(IF((CsDJ[Ofc Code]=(TRIM(Q$7)))*(CsDJ[Account Code]=(TRIM($D73))),CsDJ[Credit])))+(SUM(IF((CRDJ[Ofc Code]=(TRIM(Q$7)))*(CRDJ[Account Code]=(TRIM($D73))),CRDJ[Credit])))+(SUM(IF((GJ[Ofc Code]=(TRIM(Q$7)))*(GJ[Account Code]=(TRIM($D73))),GJ[Credit]))))</f>
        <v>0</v>
      </c>
      <c r="R73" s="211">
        <f t="array" ref="R73">((SUM(IF((CkDJ[Ofc Code]=(TRIM(R$7)))*(CkDJ[Account Code]=(TRIM($D73))),CkDJ[Debit])))+(SUM(IF((CsDJ[Ofc Code]=(TRIM(R$7)))*(CsDJ[Account Code]=(TRIM($D73))),CsDJ[Debit])))+(SUM(IF((CRDJ[Ofc Code]=(TRIM(R$7)))*(CRDJ[Account Code]=(TRIM($D73))),CRDJ[Debit])))+(SUM(IF((GJ[Ofc Code]=(TRIM(R$7)))*(GJ[Account Code]=(TRIM($D73))),GJ[Debit]))))-((SUM(IF((CkDJ[Ofc Code]=(TRIM(R$7)))*(CkDJ[Account Code]=(TRIM($D73))),CkDJ[Credit])))+(SUM(IF((CsDJ[Ofc Code]=(TRIM(R$7)))*(CsDJ[Account Code]=(TRIM($D73))),CsDJ[Credit])))+(SUM(IF((CRDJ[Ofc Code]=(TRIM(R$7)))*(CRDJ[Account Code]=(TRIM($D73))),CRDJ[Credit])))+(SUM(IF((GJ[Ofc Code]=(TRIM(R$7)))*(GJ[Account Code]=(TRIM($D73))),GJ[Credit]))))</f>
        <v>0</v>
      </c>
      <c r="S73" s="211">
        <f t="array" ref="S73">((SUM(IF((CkDJ[Ofc Code]=(TRIM(S$7)))*(CkDJ[Account Code]=(TRIM($D73))),CkDJ[Debit])))+(SUM(IF((CsDJ[Ofc Code]=(TRIM(S$7)))*(CsDJ[Account Code]=(TRIM($D73))),CsDJ[Debit])))+(SUM(IF((CRDJ[Ofc Code]=(TRIM(S$7)))*(CRDJ[Account Code]=(TRIM($D73))),CRDJ[Debit])))+(SUM(IF((GJ[Ofc Code]=(TRIM(S$7)))*(GJ[Account Code]=(TRIM($D73))),GJ[Debit]))))-((SUM(IF((CkDJ[Ofc Code]=(TRIM(S$7)))*(CkDJ[Account Code]=(TRIM($D73))),CkDJ[Credit])))+(SUM(IF((CsDJ[Ofc Code]=(TRIM(S$7)))*(CsDJ[Account Code]=(TRIM($D73))),CsDJ[Credit])))+(SUM(IF((CRDJ[Ofc Code]=(TRIM(S$7)))*(CRDJ[Account Code]=(TRIM($D73))),CRDJ[Credit])))+(SUM(IF((GJ[Ofc Code]=(TRIM(S$7)))*(GJ[Account Code]=(TRIM($D73))),GJ[Credit]))))</f>
        <v>0</v>
      </c>
      <c r="T73" s="211">
        <f t="array" ref="T73">((SUM(IF((CkDJ[Ofc Code]=(TRIM(T$7)))*(CkDJ[Account Code]=(TRIM($D73))),CkDJ[Debit])))+(SUM(IF((CsDJ[Ofc Code]=(TRIM(T$7)))*(CsDJ[Account Code]=(TRIM($D73))),CsDJ[Debit])))+(SUM(IF((CRDJ[Ofc Code]=(TRIM(T$7)))*(CRDJ[Account Code]=(TRIM($D73))),CRDJ[Debit])))+(SUM(IF((GJ[Ofc Code]=(TRIM(T$7)))*(GJ[Account Code]=(TRIM($D73))),GJ[Debit]))))-((SUM(IF((CkDJ[Ofc Code]=(TRIM(T$7)))*(CkDJ[Account Code]=(TRIM($D73))),CkDJ[Credit])))+(SUM(IF((CsDJ[Ofc Code]=(TRIM(T$7)))*(CsDJ[Account Code]=(TRIM($D73))),CsDJ[Credit])))+(SUM(IF((CRDJ[Ofc Code]=(TRIM(T$7)))*(CRDJ[Account Code]=(TRIM($D73))),CRDJ[Credit])))+(SUM(IF((GJ[Ofc Code]=(TRIM(T$7)))*(GJ[Account Code]=(TRIM($D73))),GJ[Credit]))))</f>
        <v>0</v>
      </c>
      <c r="U73" s="211">
        <f t="shared" si="17"/>
        <v>0</v>
      </c>
      <c r="V73" s="211">
        <f t="shared" si="18"/>
        <v>0</v>
      </c>
    </row>
    <row r="74" spans="1:22" ht="15">
      <c r="A74" s="212">
        <f t="shared" si="19"/>
        <v>12</v>
      </c>
      <c r="B74" s="214"/>
      <c r="C74" s="194" t="str">
        <f t="shared" si="14"/>
        <v>Postage and Courier Expenses</v>
      </c>
      <c r="D74" s="207" t="s">
        <v>234</v>
      </c>
      <c r="E74" s="211">
        <f t="array" ref="E74">((SUM(IF((CkDJ[Ofc Code]=(TRIM(E$7)))*(CkDJ[Account Code]=(TRIM($D74))),CkDJ[Debit])))+(SUM(IF((CsDJ[Ofc Code]=(TRIM(E$7)))*(CsDJ[Account Code]=(TRIM($D74))),CsDJ[Debit])))+(SUM(IF((CRDJ[Ofc Code]=(TRIM(E$7)))*(CRDJ[Account Code]=(TRIM($D74))),CRDJ[Debit])))+(SUM(IF((GJ[Ofc Code]=(TRIM(E$7)))*(GJ[Account Code]=(TRIM($D74))),GJ[Debit]))))-((SUM(IF((CkDJ[Ofc Code]=(TRIM(E$7)))*(CkDJ[Account Code]=(TRIM($D74))),CkDJ[Credit])))+(SUM(IF((CsDJ[Ofc Code]=(TRIM(E$7)))*(CsDJ[Account Code]=(TRIM($D74))),CsDJ[Credit])))+(SUM(IF((CRDJ[Ofc Code]=(TRIM(E$7)))*(CRDJ[Account Code]=(TRIM($D74))),CRDJ[Credit])))+(SUM(IF((GJ[Ofc Code]=(TRIM(E$7)))*(GJ[Account Code]=(TRIM($D74))),GJ[Credit]))))</f>
        <v>0</v>
      </c>
      <c r="F74" s="211">
        <f t="array" ref="F74">((SUM(IF((CkDJ[Ofc Code]=(TRIM(F$7)))*(CkDJ[Account Code]=(TRIM($D74))),CkDJ[Debit])))+(SUM(IF((CsDJ[Ofc Code]=(TRIM(F$7)))*(CsDJ[Account Code]=(TRIM($D74))),CsDJ[Debit])))+(SUM(IF((CRDJ[Ofc Code]=(TRIM(F$7)))*(CRDJ[Account Code]=(TRIM($D74))),CRDJ[Debit])))+(SUM(IF((GJ[Ofc Code]=(TRIM(F$7)))*(GJ[Account Code]=(TRIM($D74))),GJ[Debit]))))-((SUM(IF((CkDJ[Ofc Code]=(TRIM(F$7)))*(CkDJ[Account Code]=(TRIM($D74))),CkDJ[Credit])))+(SUM(IF((CsDJ[Ofc Code]=(TRIM(F$7)))*(CsDJ[Account Code]=(TRIM($D74))),CsDJ[Credit])))+(SUM(IF((CRDJ[Ofc Code]=(TRIM(F$7)))*(CRDJ[Account Code]=(TRIM($D74))),CRDJ[Credit])))+(SUM(IF((GJ[Ofc Code]=(TRIM(F$7)))*(GJ[Account Code]=(TRIM($D74))),GJ[Credit]))))</f>
        <v>0</v>
      </c>
      <c r="G74" s="211">
        <f t="array" ref="G74">((SUM(IF((CkDJ[Ofc Code]=(TRIM(G$7)))*(CkDJ[Account Code]=(TRIM($D74))),CkDJ[Debit])))+(SUM(IF((CsDJ[Ofc Code]=(TRIM(G$7)))*(CsDJ[Account Code]=(TRIM($D74))),CsDJ[Debit])))+(SUM(IF((CRDJ[Ofc Code]=(TRIM(G$7)))*(CRDJ[Account Code]=(TRIM($D74))),CRDJ[Debit])))+(SUM(IF((GJ[Ofc Code]=(TRIM(G$7)))*(GJ[Account Code]=(TRIM($D74))),GJ[Debit]))))-((SUM(IF((CkDJ[Ofc Code]=(TRIM(G$7)))*(CkDJ[Account Code]=(TRIM($D74))),CkDJ[Credit])))+(SUM(IF((CsDJ[Ofc Code]=(TRIM(G$7)))*(CsDJ[Account Code]=(TRIM($D74))),CsDJ[Credit])))+(SUM(IF((CRDJ[Ofc Code]=(TRIM(G$7)))*(CRDJ[Account Code]=(TRIM($D74))),CRDJ[Credit])))+(SUM(IF((GJ[Ofc Code]=(TRIM(G$7)))*(GJ[Account Code]=(TRIM($D74))),GJ[Credit]))))</f>
        <v>0</v>
      </c>
      <c r="H74" s="211">
        <f t="array" ref="H74">((SUM(IF((CkDJ[Ofc Code]=(TRIM(H$7)))*(CkDJ[Account Code]=(TRIM($D74))),CkDJ[Debit])))+(SUM(IF((CsDJ[Ofc Code]=(TRIM(H$7)))*(CsDJ[Account Code]=(TRIM($D74))),CsDJ[Debit])))+(SUM(IF((CRDJ[Ofc Code]=(TRIM(H$7)))*(CRDJ[Account Code]=(TRIM($D74))),CRDJ[Debit])))+(SUM(IF((GJ[Ofc Code]=(TRIM(H$7)))*(GJ[Account Code]=(TRIM($D74))),GJ[Debit]))))-((SUM(IF((CkDJ[Ofc Code]=(TRIM(H$7)))*(CkDJ[Account Code]=(TRIM($D74))),CkDJ[Credit])))+(SUM(IF((CsDJ[Ofc Code]=(TRIM(H$7)))*(CsDJ[Account Code]=(TRIM($D74))),CsDJ[Credit])))+(SUM(IF((CRDJ[Ofc Code]=(TRIM(H$7)))*(CRDJ[Account Code]=(TRIM($D74))),CRDJ[Credit])))+(SUM(IF((GJ[Ofc Code]=(TRIM(H$7)))*(GJ[Account Code]=(TRIM($D74))),GJ[Credit]))))</f>
        <v>0</v>
      </c>
      <c r="I74" s="211">
        <f t="array" ref="I74">((SUM(IF((CkDJ[Ofc Code]=(TRIM(I$7)))*(CkDJ[Account Code]=(TRIM($D74))),CkDJ[Debit])))+(SUM(IF((CsDJ[Ofc Code]=(TRIM(I$7)))*(CsDJ[Account Code]=(TRIM($D74))),CsDJ[Debit])))+(SUM(IF((CRDJ[Ofc Code]=(TRIM(I$7)))*(CRDJ[Account Code]=(TRIM($D74))),CRDJ[Debit])))+(SUM(IF((GJ[Ofc Code]=(TRIM(I$7)))*(GJ[Account Code]=(TRIM($D74))),GJ[Debit]))))-((SUM(IF((CkDJ[Ofc Code]=(TRIM(I$7)))*(CkDJ[Account Code]=(TRIM($D74))),CkDJ[Credit])))+(SUM(IF((CsDJ[Ofc Code]=(TRIM(I$7)))*(CsDJ[Account Code]=(TRIM($D74))),CsDJ[Credit])))+(SUM(IF((CRDJ[Ofc Code]=(TRIM(I$7)))*(CRDJ[Account Code]=(TRIM($D74))),CRDJ[Credit])))+(SUM(IF((GJ[Ofc Code]=(TRIM(I$7)))*(GJ[Account Code]=(TRIM($D74))),GJ[Credit]))))</f>
        <v>0</v>
      </c>
      <c r="J74" s="211">
        <f>SUM(F74:I74)</f>
        <v>0</v>
      </c>
      <c r="K74" s="211">
        <f t="array" ref="K74">((SUM(IF((CkDJ[Ofc Code]=(TRIM(K$7)))*(CkDJ[Account Code]=(TRIM($D74))),CkDJ[Debit])))+(SUM(IF((CsDJ[Ofc Code]=(TRIM(K$7)))*(CsDJ[Account Code]=(TRIM($D74))),CsDJ[Debit])))+(SUM(IF((CRDJ[Ofc Code]=(TRIM(K$7)))*(CRDJ[Account Code]=(TRIM($D74))),CRDJ[Debit])))+(SUM(IF((GJ[Ofc Code]=(TRIM(K$7)))*(GJ[Account Code]=(TRIM($D74))),GJ[Debit]))))-((SUM(IF((CkDJ[Ofc Code]=(TRIM(K$7)))*(CkDJ[Account Code]=(TRIM($D74))),CkDJ[Credit])))+(SUM(IF((CsDJ[Ofc Code]=(TRIM(K$7)))*(CsDJ[Account Code]=(TRIM($D74))),CsDJ[Credit])))+(SUM(IF((CRDJ[Ofc Code]=(TRIM(K$7)))*(CRDJ[Account Code]=(TRIM($D74))),CRDJ[Credit])))+(SUM(IF((GJ[Ofc Code]=(TRIM(K$7)))*(GJ[Account Code]=(TRIM($D74))),GJ[Credit]))))</f>
        <v>0</v>
      </c>
      <c r="L74" s="211">
        <f t="array" ref="L74">((SUM(IF((CkDJ[Ofc Code]=(TRIM(L$7)))*(CkDJ[Account Code]=(TRIM($D74))),CkDJ[Debit])))+(SUM(IF((CsDJ[Ofc Code]=(TRIM(L$7)))*(CsDJ[Account Code]=(TRIM($D74))),CsDJ[Debit])))+(SUM(IF((CRDJ[Ofc Code]=(TRIM(L$7)))*(CRDJ[Account Code]=(TRIM($D74))),CRDJ[Debit])))+(SUM(IF((GJ[Ofc Code]=(TRIM(L$7)))*(GJ[Account Code]=(TRIM($D74))),GJ[Debit]))))-((SUM(IF((CkDJ[Ofc Code]=(TRIM(L$7)))*(CkDJ[Account Code]=(TRIM($D74))),CkDJ[Credit])))+(SUM(IF((CsDJ[Ofc Code]=(TRIM(L$7)))*(CsDJ[Account Code]=(TRIM($D74))),CsDJ[Credit])))+(SUM(IF((CRDJ[Ofc Code]=(TRIM(L$7)))*(CRDJ[Account Code]=(TRIM($D74))),CRDJ[Credit])))+(SUM(IF((GJ[Ofc Code]=(TRIM(L$7)))*(GJ[Account Code]=(TRIM($D74))),GJ[Credit]))))</f>
        <v>0</v>
      </c>
      <c r="M74" s="211">
        <f t="array" ref="M74">((SUM(IF((CkDJ[Ofc Code]=(TRIM(M$7)))*(CkDJ[Account Code]=(TRIM($D74))),CkDJ[Debit])))+(SUM(IF((CsDJ[Ofc Code]=(TRIM(M$7)))*(CsDJ[Account Code]=(TRIM($D74))),CsDJ[Debit])))+(SUM(IF((CRDJ[Ofc Code]=(TRIM(M$7)))*(CRDJ[Account Code]=(TRIM($D74))),CRDJ[Debit])))+(SUM(IF((GJ[Ofc Code]=(TRIM(M$7)))*(GJ[Account Code]=(TRIM($D74))),GJ[Debit]))))-((SUM(IF((CkDJ[Ofc Code]=(TRIM(M$7)))*(CkDJ[Account Code]=(TRIM($D74))),CkDJ[Credit])))+(SUM(IF((CsDJ[Ofc Code]=(TRIM(M$7)))*(CsDJ[Account Code]=(TRIM($D74))),CsDJ[Credit])))+(SUM(IF((CRDJ[Ofc Code]=(TRIM(M$7)))*(CRDJ[Account Code]=(TRIM($D74))),CRDJ[Credit])))+(SUM(IF((GJ[Ofc Code]=(TRIM(M$7)))*(GJ[Account Code]=(TRIM($D74))),GJ[Credit]))))</f>
        <v>0</v>
      </c>
      <c r="N74" s="211">
        <f t="array" ref="N74">((SUM(IF((CkDJ[Ofc Code]=(TRIM(N$7)))*(CkDJ[Account Code]=(TRIM($D74))),CkDJ[Debit])))+(SUM(IF((CsDJ[Ofc Code]=(TRIM(N$7)))*(CsDJ[Account Code]=(TRIM($D74))),CsDJ[Debit])))+(SUM(IF((CRDJ[Ofc Code]=(TRIM(N$7)))*(CRDJ[Account Code]=(TRIM($D74))),CRDJ[Debit])))+(SUM(IF((GJ[Ofc Code]=(TRIM(N$7)))*(GJ[Account Code]=(TRIM($D74))),GJ[Debit]))))-((SUM(IF((CkDJ[Ofc Code]=(TRIM(N$7)))*(CkDJ[Account Code]=(TRIM($D74))),CkDJ[Credit])))+(SUM(IF((CsDJ[Ofc Code]=(TRIM(N$7)))*(CsDJ[Account Code]=(TRIM($D74))),CsDJ[Credit])))+(SUM(IF((CRDJ[Ofc Code]=(TRIM(N$7)))*(CRDJ[Account Code]=(TRIM($D74))),CRDJ[Credit])))+(SUM(IF((GJ[Ofc Code]=(TRIM(N$7)))*(GJ[Account Code]=(TRIM($D74))),GJ[Credit]))))</f>
        <v>0</v>
      </c>
      <c r="O74" s="211">
        <f>SUM(K74:N74)</f>
        <v>0</v>
      </c>
      <c r="P74" s="211">
        <f t="array" ref="P74">((SUM(IF((CkDJ[Ofc Code]=(TRIM(P$7)))*(CkDJ[Account Code]=(TRIM($D74))),CkDJ[Debit])))+(SUM(IF((CsDJ[Ofc Code]=(TRIM(P$7)))*(CsDJ[Account Code]=(TRIM($D74))),CsDJ[Debit])))+(SUM(IF((CRDJ[Ofc Code]=(TRIM(P$7)))*(CRDJ[Account Code]=(TRIM($D74))),CRDJ[Debit])))+(SUM(IF((GJ[Ofc Code]=(TRIM(P$7)))*(GJ[Account Code]=(TRIM($D74))),GJ[Debit]))))-((SUM(IF((CkDJ[Ofc Code]=(TRIM(P$7)))*(CkDJ[Account Code]=(TRIM($D74))),CkDJ[Credit])))+(SUM(IF((CsDJ[Ofc Code]=(TRIM(P$7)))*(CsDJ[Account Code]=(TRIM($D74))),CsDJ[Credit])))+(SUM(IF((CRDJ[Ofc Code]=(TRIM(P$7)))*(CRDJ[Account Code]=(TRIM($D74))),CRDJ[Credit])))+(SUM(IF((GJ[Ofc Code]=(TRIM(P$7)))*(GJ[Account Code]=(TRIM($D74))),GJ[Credit]))))</f>
        <v>0</v>
      </c>
      <c r="Q74" s="211">
        <f t="array" ref="Q74">((SUM(IF((CkDJ[Ofc Code]=(TRIM(Q$7)))*(CkDJ[Account Code]=(TRIM($D74))),CkDJ[Debit])))+(SUM(IF((CsDJ[Ofc Code]=(TRIM(Q$7)))*(CsDJ[Account Code]=(TRIM($D74))),CsDJ[Debit])))+(SUM(IF((CRDJ[Ofc Code]=(TRIM(Q$7)))*(CRDJ[Account Code]=(TRIM($D74))),CRDJ[Debit])))+(SUM(IF((GJ[Ofc Code]=(TRIM(Q$7)))*(GJ[Account Code]=(TRIM($D74))),GJ[Debit]))))-((SUM(IF((CkDJ[Ofc Code]=(TRIM(Q$7)))*(CkDJ[Account Code]=(TRIM($D74))),CkDJ[Credit])))+(SUM(IF((CsDJ[Ofc Code]=(TRIM(Q$7)))*(CsDJ[Account Code]=(TRIM($D74))),CsDJ[Credit])))+(SUM(IF((CRDJ[Ofc Code]=(TRIM(Q$7)))*(CRDJ[Account Code]=(TRIM($D74))),CRDJ[Credit])))+(SUM(IF((GJ[Ofc Code]=(TRIM(Q$7)))*(GJ[Account Code]=(TRIM($D74))),GJ[Credit]))))</f>
        <v>0</v>
      </c>
      <c r="R74" s="211">
        <f t="array" ref="R74">((SUM(IF((CkDJ[Ofc Code]=(TRIM(R$7)))*(CkDJ[Account Code]=(TRIM($D74))),CkDJ[Debit])))+(SUM(IF((CsDJ[Ofc Code]=(TRIM(R$7)))*(CsDJ[Account Code]=(TRIM($D74))),CsDJ[Debit])))+(SUM(IF((CRDJ[Ofc Code]=(TRIM(R$7)))*(CRDJ[Account Code]=(TRIM($D74))),CRDJ[Debit])))+(SUM(IF((GJ[Ofc Code]=(TRIM(R$7)))*(GJ[Account Code]=(TRIM($D74))),GJ[Debit]))))-((SUM(IF((CkDJ[Ofc Code]=(TRIM(R$7)))*(CkDJ[Account Code]=(TRIM($D74))),CkDJ[Credit])))+(SUM(IF((CsDJ[Ofc Code]=(TRIM(R$7)))*(CsDJ[Account Code]=(TRIM($D74))),CsDJ[Credit])))+(SUM(IF((CRDJ[Ofc Code]=(TRIM(R$7)))*(CRDJ[Account Code]=(TRIM($D74))),CRDJ[Credit])))+(SUM(IF((GJ[Ofc Code]=(TRIM(R$7)))*(GJ[Account Code]=(TRIM($D74))),GJ[Credit]))))</f>
        <v>0</v>
      </c>
      <c r="S74" s="211">
        <f t="array" ref="S74">((SUM(IF((CkDJ[Ofc Code]=(TRIM(S$7)))*(CkDJ[Account Code]=(TRIM($D74))),CkDJ[Debit])))+(SUM(IF((CsDJ[Ofc Code]=(TRIM(S$7)))*(CsDJ[Account Code]=(TRIM($D74))),CsDJ[Debit])))+(SUM(IF((CRDJ[Ofc Code]=(TRIM(S$7)))*(CRDJ[Account Code]=(TRIM($D74))),CRDJ[Debit])))+(SUM(IF((GJ[Ofc Code]=(TRIM(S$7)))*(GJ[Account Code]=(TRIM($D74))),GJ[Debit]))))-((SUM(IF((CkDJ[Ofc Code]=(TRIM(S$7)))*(CkDJ[Account Code]=(TRIM($D74))),CkDJ[Credit])))+(SUM(IF((CsDJ[Ofc Code]=(TRIM(S$7)))*(CsDJ[Account Code]=(TRIM($D74))),CsDJ[Credit])))+(SUM(IF((CRDJ[Ofc Code]=(TRIM(S$7)))*(CRDJ[Account Code]=(TRIM($D74))),CRDJ[Credit])))+(SUM(IF((GJ[Ofc Code]=(TRIM(S$7)))*(GJ[Account Code]=(TRIM($D74))),GJ[Credit]))))</f>
        <v>0</v>
      </c>
      <c r="T74" s="211">
        <f t="array" ref="T74">((SUM(IF((CkDJ[Ofc Code]=(TRIM(T$7)))*(CkDJ[Account Code]=(TRIM($D74))),CkDJ[Debit])))+(SUM(IF((CsDJ[Ofc Code]=(TRIM(T$7)))*(CsDJ[Account Code]=(TRIM($D74))),CsDJ[Debit])))+(SUM(IF((CRDJ[Ofc Code]=(TRIM(T$7)))*(CRDJ[Account Code]=(TRIM($D74))),CRDJ[Debit])))+(SUM(IF((GJ[Ofc Code]=(TRIM(T$7)))*(GJ[Account Code]=(TRIM($D74))),GJ[Debit]))))-((SUM(IF((CkDJ[Ofc Code]=(TRIM(T$7)))*(CkDJ[Account Code]=(TRIM($D74))),CkDJ[Credit])))+(SUM(IF((CsDJ[Ofc Code]=(TRIM(T$7)))*(CsDJ[Account Code]=(TRIM($D74))),CsDJ[Credit])))+(SUM(IF((CRDJ[Ofc Code]=(TRIM(T$7)))*(CRDJ[Account Code]=(TRIM($D74))),CRDJ[Credit])))+(SUM(IF((GJ[Ofc Code]=(TRIM(T$7)))*(GJ[Account Code]=(TRIM($D74))),GJ[Credit]))))</f>
        <v>0</v>
      </c>
      <c r="U74" s="211">
        <f>SUM(P74:T74)</f>
        <v>0</v>
      </c>
      <c r="V74" s="211">
        <f>E74+J74+O74+U74</f>
        <v>0</v>
      </c>
    </row>
    <row r="75" spans="1:22" ht="15">
      <c r="A75" s="212">
        <f t="shared" si="19"/>
        <v>13</v>
      </c>
      <c r="B75" s="214"/>
      <c r="C75" s="194" t="str">
        <f t="shared" si="14"/>
        <v>Telephone Expenses - Landline</v>
      </c>
      <c r="D75" s="207">
        <v>772</v>
      </c>
      <c r="E75" s="211">
        <f t="array" ref="E75">((SUM(IF((CkDJ[Ofc Code]=(TRIM(E$7)))*(CkDJ[Account Code]=(TRIM($D75))),CkDJ[Debit])))+(SUM(IF((CsDJ[Ofc Code]=(TRIM(E$7)))*(CsDJ[Account Code]=(TRIM($D75))),CsDJ[Debit])))+(SUM(IF((CRDJ[Ofc Code]=(TRIM(E$7)))*(CRDJ[Account Code]=(TRIM($D75))),CRDJ[Debit])))+(SUM(IF((GJ[Ofc Code]=(TRIM(E$7)))*(GJ[Account Code]=(TRIM($D75))),GJ[Debit]))))-((SUM(IF((CkDJ[Ofc Code]=(TRIM(E$7)))*(CkDJ[Account Code]=(TRIM($D75))),CkDJ[Credit])))+(SUM(IF((CsDJ[Ofc Code]=(TRIM(E$7)))*(CsDJ[Account Code]=(TRIM($D75))),CsDJ[Credit])))+(SUM(IF((CRDJ[Ofc Code]=(TRIM(E$7)))*(CRDJ[Account Code]=(TRIM($D75))),CRDJ[Credit])))+(SUM(IF((GJ[Ofc Code]=(TRIM(E$7)))*(GJ[Account Code]=(TRIM($D75))),GJ[Credit]))))</f>
        <v>0</v>
      </c>
      <c r="F75" s="211">
        <f t="array" ref="F75">((SUM(IF((CkDJ[Ofc Code]=(TRIM(F$7)))*(CkDJ[Account Code]=(TRIM($D75))),CkDJ[Debit])))+(SUM(IF((CsDJ[Ofc Code]=(TRIM(F$7)))*(CsDJ[Account Code]=(TRIM($D75))),CsDJ[Debit])))+(SUM(IF((CRDJ[Ofc Code]=(TRIM(F$7)))*(CRDJ[Account Code]=(TRIM($D75))),CRDJ[Debit])))+(SUM(IF((GJ[Ofc Code]=(TRIM(F$7)))*(GJ[Account Code]=(TRIM($D75))),GJ[Debit]))))-((SUM(IF((CkDJ[Ofc Code]=(TRIM(F$7)))*(CkDJ[Account Code]=(TRIM($D75))),CkDJ[Credit])))+(SUM(IF((CsDJ[Ofc Code]=(TRIM(F$7)))*(CsDJ[Account Code]=(TRIM($D75))),CsDJ[Credit])))+(SUM(IF((CRDJ[Ofc Code]=(TRIM(F$7)))*(CRDJ[Account Code]=(TRIM($D75))),CRDJ[Credit])))+(SUM(IF((GJ[Ofc Code]=(TRIM(F$7)))*(GJ[Account Code]=(TRIM($D75))),GJ[Credit]))))</f>
        <v>0</v>
      </c>
      <c r="G75" s="211">
        <f t="array" ref="G75">((SUM(IF((CkDJ[Ofc Code]=(TRIM(G$7)))*(CkDJ[Account Code]=(TRIM($D75))),CkDJ[Debit])))+(SUM(IF((CsDJ[Ofc Code]=(TRIM(G$7)))*(CsDJ[Account Code]=(TRIM($D75))),CsDJ[Debit])))+(SUM(IF((CRDJ[Ofc Code]=(TRIM(G$7)))*(CRDJ[Account Code]=(TRIM($D75))),CRDJ[Debit])))+(SUM(IF((GJ[Ofc Code]=(TRIM(G$7)))*(GJ[Account Code]=(TRIM($D75))),GJ[Debit]))))-((SUM(IF((CkDJ[Ofc Code]=(TRIM(G$7)))*(CkDJ[Account Code]=(TRIM($D75))),CkDJ[Credit])))+(SUM(IF((CsDJ[Ofc Code]=(TRIM(G$7)))*(CsDJ[Account Code]=(TRIM($D75))),CsDJ[Credit])))+(SUM(IF((CRDJ[Ofc Code]=(TRIM(G$7)))*(CRDJ[Account Code]=(TRIM($D75))),CRDJ[Credit])))+(SUM(IF((GJ[Ofc Code]=(TRIM(G$7)))*(GJ[Account Code]=(TRIM($D75))),GJ[Credit]))))</f>
        <v>0</v>
      </c>
      <c r="H75" s="211">
        <f t="array" ref="H75">((SUM(IF((CkDJ[Ofc Code]=(TRIM(H$7)))*(CkDJ[Account Code]=(TRIM($D75))),CkDJ[Debit])))+(SUM(IF((CsDJ[Ofc Code]=(TRIM(H$7)))*(CsDJ[Account Code]=(TRIM($D75))),CsDJ[Debit])))+(SUM(IF((CRDJ[Ofc Code]=(TRIM(H$7)))*(CRDJ[Account Code]=(TRIM($D75))),CRDJ[Debit])))+(SUM(IF((GJ[Ofc Code]=(TRIM(H$7)))*(GJ[Account Code]=(TRIM($D75))),GJ[Debit]))))-((SUM(IF((CkDJ[Ofc Code]=(TRIM(H$7)))*(CkDJ[Account Code]=(TRIM($D75))),CkDJ[Credit])))+(SUM(IF((CsDJ[Ofc Code]=(TRIM(H$7)))*(CsDJ[Account Code]=(TRIM($D75))),CsDJ[Credit])))+(SUM(IF((CRDJ[Ofc Code]=(TRIM(H$7)))*(CRDJ[Account Code]=(TRIM($D75))),CRDJ[Credit])))+(SUM(IF((GJ[Ofc Code]=(TRIM(H$7)))*(GJ[Account Code]=(TRIM($D75))),GJ[Credit]))))</f>
        <v>0</v>
      </c>
      <c r="I75" s="211">
        <f t="array" ref="I75">((SUM(IF((CkDJ[Ofc Code]=(TRIM(I$7)))*(CkDJ[Account Code]=(TRIM($D75))),CkDJ[Debit])))+(SUM(IF((CsDJ[Ofc Code]=(TRIM(I$7)))*(CsDJ[Account Code]=(TRIM($D75))),CsDJ[Debit])))+(SUM(IF((CRDJ[Ofc Code]=(TRIM(I$7)))*(CRDJ[Account Code]=(TRIM($D75))),CRDJ[Debit])))+(SUM(IF((GJ[Ofc Code]=(TRIM(I$7)))*(GJ[Account Code]=(TRIM($D75))),GJ[Debit]))))-((SUM(IF((CkDJ[Ofc Code]=(TRIM(I$7)))*(CkDJ[Account Code]=(TRIM($D75))),CkDJ[Credit])))+(SUM(IF((CsDJ[Ofc Code]=(TRIM(I$7)))*(CsDJ[Account Code]=(TRIM($D75))),CsDJ[Credit])))+(SUM(IF((CRDJ[Ofc Code]=(TRIM(I$7)))*(CRDJ[Account Code]=(TRIM($D75))),CRDJ[Credit])))+(SUM(IF((GJ[Ofc Code]=(TRIM(I$7)))*(GJ[Account Code]=(TRIM($D75))),GJ[Credit]))))</f>
        <v>0</v>
      </c>
      <c r="J75" s="211">
        <f t="shared" si="15"/>
        <v>0</v>
      </c>
      <c r="K75" s="211">
        <f t="array" ref="K75">((SUM(IF((CkDJ[Ofc Code]=(TRIM(K$7)))*(CkDJ[Account Code]=(TRIM($D75))),CkDJ[Debit])))+(SUM(IF((CsDJ[Ofc Code]=(TRIM(K$7)))*(CsDJ[Account Code]=(TRIM($D75))),CsDJ[Debit])))+(SUM(IF((CRDJ[Ofc Code]=(TRIM(K$7)))*(CRDJ[Account Code]=(TRIM($D75))),CRDJ[Debit])))+(SUM(IF((GJ[Ofc Code]=(TRIM(K$7)))*(GJ[Account Code]=(TRIM($D75))),GJ[Debit]))))-((SUM(IF((CkDJ[Ofc Code]=(TRIM(K$7)))*(CkDJ[Account Code]=(TRIM($D75))),CkDJ[Credit])))+(SUM(IF((CsDJ[Ofc Code]=(TRIM(K$7)))*(CsDJ[Account Code]=(TRIM($D75))),CsDJ[Credit])))+(SUM(IF((CRDJ[Ofc Code]=(TRIM(K$7)))*(CRDJ[Account Code]=(TRIM($D75))),CRDJ[Credit])))+(SUM(IF((GJ[Ofc Code]=(TRIM(K$7)))*(GJ[Account Code]=(TRIM($D75))),GJ[Credit]))))</f>
        <v>0</v>
      </c>
      <c r="L75" s="211">
        <f t="array" ref="L75">((SUM(IF((CkDJ[Ofc Code]=(TRIM(L$7)))*(CkDJ[Account Code]=(TRIM($D75))),CkDJ[Debit])))+(SUM(IF((CsDJ[Ofc Code]=(TRIM(L$7)))*(CsDJ[Account Code]=(TRIM($D75))),CsDJ[Debit])))+(SUM(IF((CRDJ[Ofc Code]=(TRIM(L$7)))*(CRDJ[Account Code]=(TRIM($D75))),CRDJ[Debit])))+(SUM(IF((GJ[Ofc Code]=(TRIM(L$7)))*(GJ[Account Code]=(TRIM($D75))),GJ[Debit]))))-((SUM(IF((CkDJ[Ofc Code]=(TRIM(L$7)))*(CkDJ[Account Code]=(TRIM($D75))),CkDJ[Credit])))+(SUM(IF((CsDJ[Ofc Code]=(TRIM(L$7)))*(CsDJ[Account Code]=(TRIM($D75))),CsDJ[Credit])))+(SUM(IF((CRDJ[Ofc Code]=(TRIM(L$7)))*(CRDJ[Account Code]=(TRIM($D75))),CRDJ[Credit])))+(SUM(IF((GJ[Ofc Code]=(TRIM(L$7)))*(GJ[Account Code]=(TRIM($D75))),GJ[Credit]))))</f>
        <v>0</v>
      </c>
      <c r="M75" s="211">
        <f t="array" ref="M75">((SUM(IF((CkDJ[Ofc Code]=(TRIM(M$7)))*(CkDJ[Account Code]=(TRIM($D75))),CkDJ[Debit])))+(SUM(IF((CsDJ[Ofc Code]=(TRIM(M$7)))*(CsDJ[Account Code]=(TRIM($D75))),CsDJ[Debit])))+(SUM(IF((CRDJ[Ofc Code]=(TRIM(M$7)))*(CRDJ[Account Code]=(TRIM($D75))),CRDJ[Debit])))+(SUM(IF((GJ[Ofc Code]=(TRIM(M$7)))*(GJ[Account Code]=(TRIM($D75))),GJ[Debit]))))-((SUM(IF((CkDJ[Ofc Code]=(TRIM(M$7)))*(CkDJ[Account Code]=(TRIM($D75))),CkDJ[Credit])))+(SUM(IF((CsDJ[Ofc Code]=(TRIM(M$7)))*(CsDJ[Account Code]=(TRIM($D75))),CsDJ[Credit])))+(SUM(IF((CRDJ[Ofc Code]=(TRIM(M$7)))*(CRDJ[Account Code]=(TRIM($D75))),CRDJ[Credit])))+(SUM(IF((GJ[Ofc Code]=(TRIM(M$7)))*(GJ[Account Code]=(TRIM($D75))),GJ[Credit]))))</f>
        <v>0</v>
      </c>
      <c r="N75" s="211">
        <f t="array" ref="N75">((SUM(IF((CkDJ[Ofc Code]=(TRIM(N$7)))*(CkDJ[Account Code]=(TRIM($D75))),CkDJ[Debit])))+(SUM(IF((CsDJ[Ofc Code]=(TRIM(N$7)))*(CsDJ[Account Code]=(TRIM($D75))),CsDJ[Debit])))+(SUM(IF((CRDJ[Ofc Code]=(TRIM(N$7)))*(CRDJ[Account Code]=(TRIM($D75))),CRDJ[Debit])))+(SUM(IF((GJ[Ofc Code]=(TRIM(N$7)))*(GJ[Account Code]=(TRIM($D75))),GJ[Debit]))))-((SUM(IF((CkDJ[Ofc Code]=(TRIM(N$7)))*(CkDJ[Account Code]=(TRIM($D75))),CkDJ[Credit])))+(SUM(IF((CsDJ[Ofc Code]=(TRIM(N$7)))*(CsDJ[Account Code]=(TRIM($D75))),CsDJ[Credit])))+(SUM(IF((CRDJ[Ofc Code]=(TRIM(N$7)))*(CRDJ[Account Code]=(TRIM($D75))),CRDJ[Credit])))+(SUM(IF((GJ[Ofc Code]=(TRIM(N$7)))*(GJ[Account Code]=(TRIM($D75))),GJ[Credit]))))</f>
        <v>0</v>
      </c>
      <c r="O75" s="211">
        <f t="shared" si="16"/>
        <v>0</v>
      </c>
      <c r="P75" s="211">
        <f t="array" ref="P75">((SUM(IF((CkDJ[Ofc Code]=(TRIM(P$7)))*(CkDJ[Account Code]=(TRIM($D75))),CkDJ[Debit])))+(SUM(IF((CsDJ[Ofc Code]=(TRIM(P$7)))*(CsDJ[Account Code]=(TRIM($D75))),CsDJ[Debit])))+(SUM(IF((CRDJ[Ofc Code]=(TRIM(P$7)))*(CRDJ[Account Code]=(TRIM($D75))),CRDJ[Debit])))+(SUM(IF((GJ[Ofc Code]=(TRIM(P$7)))*(GJ[Account Code]=(TRIM($D75))),GJ[Debit]))))-((SUM(IF((CkDJ[Ofc Code]=(TRIM(P$7)))*(CkDJ[Account Code]=(TRIM($D75))),CkDJ[Credit])))+(SUM(IF((CsDJ[Ofc Code]=(TRIM(P$7)))*(CsDJ[Account Code]=(TRIM($D75))),CsDJ[Credit])))+(SUM(IF((CRDJ[Ofc Code]=(TRIM(P$7)))*(CRDJ[Account Code]=(TRIM($D75))),CRDJ[Credit])))+(SUM(IF((GJ[Ofc Code]=(TRIM(P$7)))*(GJ[Account Code]=(TRIM($D75))),GJ[Credit]))))</f>
        <v>0</v>
      </c>
      <c r="Q75" s="211">
        <f t="array" ref="Q75">((SUM(IF((CkDJ[Ofc Code]=(TRIM(Q$7)))*(CkDJ[Account Code]=(TRIM($D75))),CkDJ[Debit])))+(SUM(IF((CsDJ[Ofc Code]=(TRIM(Q$7)))*(CsDJ[Account Code]=(TRIM($D75))),CsDJ[Debit])))+(SUM(IF((CRDJ[Ofc Code]=(TRIM(Q$7)))*(CRDJ[Account Code]=(TRIM($D75))),CRDJ[Debit])))+(SUM(IF((GJ[Ofc Code]=(TRIM(Q$7)))*(GJ[Account Code]=(TRIM($D75))),GJ[Debit]))))-((SUM(IF((CkDJ[Ofc Code]=(TRIM(Q$7)))*(CkDJ[Account Code]=(TRIM($D75))),CkDJ[Credit])))+(SUM(IF((CsDJ[Ofc Code]=(TRIM(Q$7)))*(CsDJ[Account Code]=(TRIM($D75))),CsDJ[Credit])))+(SUM(IF((CRDJ[Ofc Code]=(TRIM(Q$7)))*(CRDJ[Account Code]=(TRIM($D75))),CRDJ[Credit])))+(SUM(IF((GJ[Ofc Code]=(TRIM(Q$7)))*(GJ[Account Code]=(TRIM($D75))),GJ[Credit]))))</f>
        <v>0</v>
      </c>
      <c r="R75" s="211">
        <f t="array" ref="R75">((SUM(IF((CkDJ[Ofc Code]=(TRIM(R$7)))*(CkDJ[Account Code]=(TRIM($D75))),CkDJ[Debit])))+(SUM(IF((CsDJ[Ofc Code]=(TRIM(R$7)))*(CsDJ[Account Code]=(TRIM($D75))),CsDJ[Debit])))+(SUM(IF((CRDJ[Ofc Code]=(TRIM(R$7)))*(CRDJ[Account Code]=(TRIM($D75))),CRDJ[Debit])))+(SUM(IF((GJ[Ofc Code]=(TRIM(R$7)))*(GJ[Account Code]=(TRIM($D75))),GJ[Debit]))))-((SUM(IF((CkDJ[Ofc Code]=(TRIM(R$7)))*(CkDJ[Account Code]=(TRIM($D75))),CkDJ[Credit])))+(SUM(IF((CsDJ[Ofc Code]=(TRIM(R$7)))*(CsDJ[Account Code]=(TRIM($D75))),CsDJ[Credit])))+(SUM(IF((CRDJ[Ofc Code]=(TRIM(R$7)))*(CRDJ[Account Code]=(TRIM($D75))),CRDJ[Credit])))+(SUM(IF((GJ[Ofc Code]=(TRIM(R$7)))*(GJ[Account Code]=(TRIM($D75))),GJ[Credit]))))</f>
        <v>0</v>
      </c>
      <c r="S75" s="211">
        <f t="array" ref="S75">((SUM(IF((CkDJ[Ofc Code]=(TRIM(S$7)))*(CkDJ[Account Code]=(TRIM($D75))),CkDJ[Debit])))+(SUM(IF((CsDJ[Ofc Code]=(TRIM(S$7)))*(CsDJ[Account Code]=(TRIM($D75))),CsDJ[Debit])))+(SUM(IF((CRDJ[Ofc Code]=(TRIM(S$7)))*(CRDJ[Account Code]=(TRIM($D75))),CRDJ[Debit])))+(SUM(IF((GJ[Ofc Code]=(TRIM(S$7)))*(GJ[Account Code]=(TRIM($D75))),GJ[Debit]))))-((SUM(IF((CkDJ[Ofc Code]=(TRIM(S$7)))*(CkDJ[Account Code]=(TRIM($D75))),CkDJ[Credit])))+(SUM(IF((CsDJ[Ofc Code]=(TRIM(S$7)))*(CsDJ[Account Code]=(TRIM($D75))),CsDJ[Credit])))+(SUM(IF((CRDJ[Ofc Code]=(TRIM(S$7)))*(CRDJ[Account Code]=(TRIM($D75))),CRDJ[Credit])))+(SUM(IF((GJ[Ofc Code]=(TRIM(S$7)))*(GJ[Account Code]=(TRIM($D75))),GJ[Credit]))))</f>
        <v>0</v>
      </c>
      <c r="T75" s="211">
        <f t="array" ref="T75">((SUM(IF((CkDJ[Ofc Code]=(TRIM(T$7)))*(CkDJ[Account Code]=(TRIM($D75))),CkDJ[Debit])))+(SUM(IF((CsDJ[Ofc Code]=(TRIM(T$7)))*(CsDJ[Account Code]=(TRIM($D75))),CsDJ[Debit])))+(SUM(IF((CRDJ[Ofc Code]=(TRIM(T$7)))*(CRDJ[Account Code]=(TRIM($D75))),CRDJ[Debit])))+(SUM(IF((GJ[Ofc Code]=(TRIM(T$7)))*(GJ[Account Code]=(TRIM($D75))),GJ[Debit]))))-((SUM(IF((CkDJ[Ofc Code]=(TRIM(T$7)))*(CkDJ[Account Code]=(TRIM($D75))),CkDJ[Credit])))+(SUM(IF((CsDJ[Ofc Code]=(TRIM(T$7)))*(CsDJ[Account Code]=(TRIM($D75))),CsDJ[Credit])))+(SUM(IF((CRDJ[Ofc Code]=(TRIM(T$7)))*(CRDJ[Account Code]=(TRIM($D75))),CRDJ[Credit])))+(SUM(IF((GJ[Ofc Code]=(TRIM(T$7)))*(GJ[Account Code]=(TRIM($D75))),GJ[Credit]))))</f>
        <v>0</v>
      </c>
      <c r="U75" s="211">
        <f t="shared" si="17"/>
        <v>0</v>
      </c>
      <c r="V75" s="211">
        <f t="shared" si="18"/>
        <v>0</v>
      </c>
    </row>
    <row r="76" spans="1:22" ht="15">
      <c r="A76" s="212">
        <f t="shared" si="19"/>
        <v>14</v>
      </c>
      <c r="B76" s="214"/>
      <c r="C76" s="194" t="str">
        <f t="shared" si="14"/>
        <v>Telephone Expenses - Mobile</v>
      </c>
      <c r="D76" s="207">
        <v>773</v>
      </c>
      <c r="E76" s="211">
        <f t="array" ref="E76">((SUM(IF((CkDJ[Ofc Code]=(TRIM(E$7)))*(CkDJ[Account Code]=(TRIM($D76))),CkDJ[Debit])))+(SUM(IF((CsDJ[Ofc Code]=(TRIM(E$7)))*(CsDJ[Account Code]=(TRIM($D76))),CsDJ[Debit])))+(SUM(IF((CRDJ[Ofc Code]=(TRIM(E$7)))*(CRDJ[Account Code]=(TRIM($D76))),CRDJ[Debit])))+(SUM(IF((GJ[Ofc Code]=(TRIM(E$7)))*(GJ[Account Code]=(TRIM($D76))),GJ[Debit]))))-((SUM(IF((CkDJ[Ofc Code]=(TRIM(E$7)))*(CkDJ[Account Code]=(TRIM($D76))),CkDJ[Credit])))+(SUM(IF((CsDJ[Ofc Code]=(TRIM(E$7)))*(CsDJ[Account Code]=(TRIM($D76))),CsDJ[Credit])))+(SUM(IF((CRDJ[Ofc Code]=(TRIM(E$7)))*(CRDJ[Account Code]=(TRIM($D76))),CRDJ[Credit])))+(SUM(IF((GJ[Ofc Code]=(TRIM(E$7)))*(GJ[Account Code]=(TRIM($D76))),GJ[Credit]))))</f>
        <v>0</v>
      </c>
      <c r="F76" s="211">
        <f t="array" ref="F76">((SUM(IF((CkDJ[Ofc Code]=(TRIM(F$7)))*(CkDJ[Account Code]=(TRIM($D76))),CkDJ[Debit])))+(SUM(IF((CsDJ[Ofc Code]=(TRIM(F$7)))*(CsDJ[Account Code]=(TRIM($D76))),CsDJ[Debit])))+(SUM(IF((CRDJ[Ofc Code]=(TRIM(F$7)))*(CRDJ[Account Code]=(TRIM($D76))),CRDJ[Debit])))+(SUM(IF((GJ[Ofc Code]=(TRIM(F$7)))*(GJ[Account Code]=(TRIM($D76))),GJ[Debit]))))-((SUM(IF((CkDJ[Ofc Code]=(TRIM(F$7)))*(CkDJ[Account Code]=(TRIM($D76))),CkDJ[Credit])))+(SUM(IF((CsDJ[Ofc Code]=(TRIM(F$7)))*(CsDJ[Account Code]=(TRIM($D76))),CsDJ[Credit])))+(SUM(IF((CRDJ[Ofc Code]=(TRIM(F$7)))*(CRDJ[Account Code]=(TRIM($D76))),CRDJ[Credit])))+(SUM(IF((GJ[Ofc Code]=(TRIM(F$7)))*(GJ[Account Code]=(TRIM($D76))),GJ[Credit]))))</f>
        <v>0</v>
      </c>
      <c r="G76" s="211">
        <f t="array" ref="G76">((SUM(IF((CkDJ[Ofc Code]=(TRIM(G$7)))*(CkDJ[Account Code]=(TRIM($D76))),CkDJ[Debit])))+(SUM(IF((CsDJ[Ofc Code]=(TRIM(G$7)))*(CsDJ[Account Code]=(TRIM($D76))),CsDJ[Debit])))+(SUM(IF((CRDJ[Ofc Code]=(TRIM(G$7)))*(CRDJ[Account Code]=(TRIM($D76))),CRDJ[Debit])))+(SUM(IF((GJ[Ofc Code]=(TRIM(G$7)))*(GJ[Account Code]=(TRIM($D76))),GJ[Debit]))))-((SUM(IF((CkDJ[Ofc Code]=(TRIM(G$7)))*(CkDJ[Account Code]=(TRIM($D76))),CkDJ[Credit])))+(SUM(IF((CsDJ[Ofc Code]=(TRIM(G$7)))*(CsDJ[Account Code]=(TRIM($D76))),CsDJ[Credit])))+(SUM(IF((CRDJ[Ofc Code]=(TRIM(G$7)))*(CRDJ[Account Code]=(TRIM($D76))),CRDJ[Credit])))+(SUM(IF((GJ[Ofc Code]=(TRIM(G$7)))*(GJ[Account Code]=(TRIM($D76))),GJ[Credit]))))</f>
        <v>0</v>
      </c>
      <c r="H76" s="211">
        <f t="array" ref="H76">((SUM(IF((CkDJ[Ofc Code]=(TRIM(H$7)))*(CkDJ[Account Code]=(TRIM($D76))),CkDJ[Debit])))+(SUM(IF((CsDJ[Ofc Code]=(TRIM(H$7)))*(CsDJ[Account Code]=(TRIM($D76))),CsDJ[Debit])))+(SUM(IF((CRDJ[Ofc Code]=(TRIM(H$7)))*(CRDJ[Account Code]=(TRIM($D76))),CRDJ[Debit])))+(SUM(IF((GJ[Ofc Code]=(TRIM(H$7)))*(GJ[Account Code]=(TRIM($D76))),GJ[Debit]))))-((SUM(IF((CkDJ[Ofc Code]=(TRIM(H$7)))*(CkDJ[Account Code]=(TRIM($D76))),CkDJ[Credit])))+(SUM(IF((CsDJ[Ofc Code]=(TRIM(H$7)))*(CsDJ[Account Code]=(TRIM($D76))),CsDJ[Credit])))+(SUM(IF((CRDJ[Ofc Code]=(TRIM(H$7)))*(CRDJ[Account Code]=(TRIM($D76))),CRDJ[Credit])))+(SUM(IF((GJ[Ofc Code]=(TRIM(H$7)))*(GJ[Account Code]=(TRIM($D76))),GJ[Credit]))))</f>
        <v>0</v>
      </c>
      <c r="I76" s="211">
        <f t="array" ref="I76">((SUM(IF((CkDJ[Ofc Code]=(TRIM(I$7)))*(CkDJ[Account Code]=(TRIM($D76))),CkDJ[Debit])))+(SUM(IF((CsDJ[Ofc Code]=(TRIM(I$7)))*(CsDJ[Account Code]=(TRIM($D76))),CsDJ[Debit])))+(SUM(IF((CRDJ[Ofc Code]=(TRIM(I$7)))*(CRDJ[Account Code]=(TRIM($D76))),CRDJ[Debit])))+(SUM(IF((GJ[Ofc Code]=(TRIM(I$7)))*(GJ[Account Code]=(TRIM($D76))),GJ[Debit]))))-((SUM(IF((CkDJ[Ofc Code]=(TRIM(I$7)))*(CkDJ[Account Code]=(TRIM($D76))),CkDJ[Credit])))+(SUM(IF((CsDJ[Ofc Code]=(TRIM(I$7)))*(CsDJ[Account Code]=(TRIM($D76))),CsDJ[Credit])))+(SUM(IF((CRDJ[Ofc Code]=(TRIM(I$7)))*(CRDJ[Account Code]=(TRIM($D76))),CRDJ[Credit])))+(SUM(IF((GJ[Ofc Code]=(TRIM(I$7)))*(GJ[Account Code]=(TRIM($D76))),GJ[Credit]))))</f>
        <v>0</v>
      </c>
      <c r="J76" s="211">
        <f t="shared" si="15"/>
        <v>0</v>
      </c>
      <c r="K76" s="211">
        <f t="array" ref="K76">((SUM(IF((CkDJ[Ofc Code]=(TRIM(K$7)))*(CkDJ[Account Code]=(TRIM($D76))),CkDJ[Debit])))+(SUM(IF((CsDJ[Ofc Code]=(TRIM(K$7)))*(CsDJ[Account Code]=(TRIM($D76))),CsDJ[Debit])))+(SUM(IF((CRDJ[Ofc Code]=(TRIM(K$7)))*(CRDJ[Account Code]=(TRIM($D76))),CRDJ[Debit])))+(SUM(IF((GJ[Ofc Code]=(TRIM(K$7)))*(GJ[Account Code]=(TRIM($D76))),GJ[Debit]))))-((SUM(IF((CkDJ[Ofc Code]=(TRIM(K$7)))*(CkDJ[Account Code]=(TRIM($D76))),CkDJ[Credit])))+(SUM(IF((CsDJ[Ofc Code]=(TRIM(K$7)))*(CsDJ[Account Code]=(TRIM($D76))),CsDJ[Credit])))+(SUM(IF((CRDJ[Ofc Code]=(TRIM(K$7)))*(CRDJ[Account Code]=(TRIM($D76))),CRDJ[Credit])))+(SUM(IF((GJ[Ofc Code]=(TRIM(K$7)))*(GJ[Account Code]=(TRIM($D76))),GJ[Credit]))))</f>
        <v>0</v>
      </c>
      <c r="L76" s="211">
        <f t="array" ref="L76">((SUM(IF((CkDJ[Ofc Code]=(TRIM(L$7)))*(CkDJ[Account Code]=(TRIM($D76))),CkDJ[Debit])))+(SUM(IF((CsDJ[Ofc Code]=(TRIM(L$7)))*(CsDJ[Account Code]=(TRIM($D76))),CsDJ[Debit])))+(SUM(IF((CRDJ[Ofc Code]=(TRIM(L$7)))*(CRDJ[Account Code]=(TRIM($D76))),CRDJ[Debit])))+(SUM(IF((GJ[Ofc Code]=(TRIM(L$7)))*(GJ[Account Code]=(TRIM($D76))),GJ[Debit]))))-((SUM(IF((CkDJ[Ofc Code]=(TRIM(L$7)))*(CkDJ[Account Code]=(TRIM($D76))),CkDJ[Credit])))+(SUM(IF((CsDJ[Ofc Code]=(TRIM(L$7)))*(CsDJ[Account Code]=(TRIM($D76))),CsDJ[Credit])))+(SUM(IF((CRDJ[Ofc Code]=(TRIM(L$7)))*(CRDJ[Account Code]=(TRIM($D76))),CRDJ[Credit])))+(SUM(IF((GJ[Ofc Code]=(TRIM(L$7)))*(GJ[Account Code]=(TRIM($D76))),GJ[Credit]))))</f>
        <v>0</v>
      </c>
      <c r="M76" s="211">
        <f t="array" ref="M76">((SUM(IF((CkDJ[Ofc Code]=(TRIM(M$7)))*(CkDJ[Account Code]=(TRIM($D76))),CkDJ[Debit])))+(SUM(IF((CsDJ[Ofc Code]=(TRIM(M$7)))*(CsDJ[Account Code]=(TRIM($D76))),CsDJ[Debit])))+(SUM(IF((CRDJ[Ofc Code]=(TRIM(M$7)))*(CRDJ[Account Code]=(TRIM($D76))),CRDJ[Debit])))+(SUM(IF((GJ[Ofc Code]=(TRIM(M$7)))*(GJ[Account Code]=(TRIM($D76))),GJ[Debit]))))-((SUM(IF((CkDJ[Ofc Code]=(TRIM(M$7)))*(CkDJ[Account Code]=(TRIM($D76))),CkDJ[Credit])))+(SUM(IF((CsDJ[Ofc Code]=(TRIM(M$7)))*(CsDJ[Account Code]=(TRIM($D76))),CsDJ[Credit])))+(SUM(IF((CRDJ[Ofc Code]=(TRIM(M$7)))*(CRDJ[Account Code]=(TRIM($D76))),CRDJ[Credit])))+(SUM(IF((GJ[Ofc Code]=(TRIM(M$7)))*(GJ[Account Code]=(TRIM($D76))),GJ[Credit]))))</f>
        <v>0</v>
      </c>
      <c r="N76" s="211">
        <f t="array" ref="N76">((SUM(IF((CkDJ[Ofc Code]=(TRIM(N$7)))*(CkDJ[Account Code]=(TRIM($D76))),CkDJ[Debit])))+(SUM(IF((CsDJ[Ofc Code]=(TRIM(N$7)))*(CsDJ[Account Code]=(TRIM($D76))),CsDJ[Debit])))+(SUM(IF((CRDJ[Ofc Code]=(TRIM(N$7)))*(CRDJ[Account Code]=(TRIM($D76))),CRDJ[Debit])))+(SUM(IF((GJ[Ofc Code]=(TRIM(N$7)))*(GJ[Account Code]=(TRIM($D76))),GJ[Debit]))))-((SUM(IF((CkDJ[Ofc Code]=(TRIM(N$7)))*(CkDJ[Account Code]=(TRIM($D76))),CkDJ[Credit])))+(SUM(IF((CsDJ[Ofc Code]=(TRIM(N$7)))*(CsDJ[Account Code]=(TRIM($D76))),CsDJ[Credit])))+(SUM(IF((CRDJ[Ofc Code]=(TRIM(N$7)))*(CRDJ[Account Code]=(TRIM($D76))),CRDJ[Credit])))+(SUM(IF((GJ[Ofc Code]=(TRIM(N$7)))*(GJ[Account Code]=(TRIM($D76))),GJ[Credit]))))</f>
        <v>0</v>
      </c>
      <c r="O76" s="211">
        <f t="shared" si="16"/>
        <v>0</v>
      </c>
      <c r="P76" s="211">
        <f t="array" ref="P76">((SUM(IF((CkDJ[Ofc Code]=(TRIM(P$7)))*(CkDJ[Account Code]=(TRIM($D76))),CkDJ[Debit])))+(SUM(IF((CsDJ[Ofc Code]=(TRIM(P$7)))*(CsDJ[Account Code]=(TRIM($D76))),CsDJ[Debit])))+(SUM(IF((CRDJ[Ofc Code]=(TRIM(P$7)))*(CRDJ[Account Code]=(TRIM($D76))),CRDJ[Debit])))+(SUM(IF((GJ[Ofc Code]=(TRIM(P$7)))*(GJ[Account Code]=(TRIM($D76))),GJ[Debit]))))-((SUM(IF((CkDJ[Ofc Code]=(TRIM(P$7)))*(CkDJ[Account Code]=(TRIM($D76))),CkDJ[Credit])))+(SUM(IF((CsDJ[Ofc Code]=(TRIM(P$7)))*(CsDJ[Account Code]=(TRIM($D76))),CsDJ[Credit])))+(SUM(IF((CRDJ[Ofc Code]=(TRIM(P$7)))*(CRDJ[Account Code]=(TRIM($D76))),CRDJ[Credit])))+(SUM(IF((GJ[Ofc Code]=(TRIM(P$7)))*(GJ[Account Code]=(TRIM($D76))),GJ[Credit]))))</f>
        <v>0</v>
      </c>
      <c r="Q76" s="211">
        <f t="array" ref="Q76">((SUM(IF((CkDJ[Ofc Code]=(TRIM(Q$7)))*(CkDJ[Account Code]=(TRIM($D76))),CkDJ[Debit])))+(SUM(IF((CsDJ[Ofc Code]=(TRIM(Q$7)))*(CsDJ[Account Code]=(TRIM($D76))),CsDJ[Debit])))+(SUM(IF((CRDJ[Ofc Code]=(TRIM(Q$7)))*(CRDJ[Account Code]=(TRIM($D76))),CRDJ[Debit])))+(SUM(IF((GJ[Ofc Code]=(TRIM(Q$7)))*(GJ[Account Code]=(TRIM($D76))),GJ[Debit]))))-((SUM(IF((CkDJ[Ofc Code]=(TRIM(Q$7)))*(CkDJ[Account Code]=(TRIM($D76))),CkDJ[Credit])))+(SUM(IF((CsDJ[Ofc Code]=(TRIM(Q$7)))*(CsDJ[Account Code]=(TRIM($D76))),CsDJ[Credit])))+(SUM(IF((CRDJ[Ofc Code]=(TRIM(Q$7)))*(CRDJ[Account Code]=(TRIM($D76))),CRDJ[Credit])))+(SUM(IF((GJ[Ofc Code]=(TRIM(Q$7)))*(GJ[Account Code]=(TRIM($D76))),GJ[Credit]))))</f>
        <v>0</v>
      </c>
      <c r="R76" s="211">
        <f t="array" ref="R76">((SUM(IF((CkDJ[Ofc Code]=(TRIM(R$7)))*(CkDJ[Account Code]=(TRIM($D76))),CkDJ[Debit])))+(SUM(IF((CsDJ[Ofc Code]=(TRIM(R$7)))*(CsDJ[Account Code]=(TRIM($D76))),CsDJ[Debit])))+(SUM(IF((CRDJ[Ofc Code]=(TRIM(R$7)))*(CRDJ[Account Code]=(TRIM($D76))),CRDJ[Debit])))+(SUM(IF((GJ[Ofc Code]=(TRIM(R$7)))*(GJ[Account Code]=(TRIM($D76))),GJ[Debit]))))-((SUM(IF((CkDJ[Ofc Code]=(TRIM(R$7)))*(CkDJ[Account Code]=(TRIM($D76))),CkDJ[Credit])))+(SUM(IF((CsDJ[Ofc Code]=(TRIM(R$7)))*(CsDJ[Account Code]=(TRIM($D76))),CsDJ[Credit])))+(SUM(IF((CRDJ[Ofc Code]=(TRIM(R$7)))*(CRDJ[Account Code]=(TRIM($D76))),CRDJ[Credit])))+(SUM(IF((GJ[Ofc Code]=(TRIM(R$7)))*(GJ[Account Code]=(TRIM($D76))),GJ[Credit]))))</f>
        <v>0</v>
      </c>
      <c r="S76" s="211">
        <f t="array" ref="S76">((SUM(IF((CkDJ[Ofc Code]=(TRIM(S$7)))*(CkDJ[Account Code]=(TRIM($D76))),CkDJ[Debit])))+(SUM(IF((CsDJ[Ofc Code]=(TRIM(S$7)))*(CsDJ[Account Code]=(TRIM($D76))),CsDJ[Debit])))+(SUM(IF((CRDJ[Ofc Code]=(TRIM(S$7)))*(CRDJ[Account Code]=(TRIM($D76))),CRDJ[Debit])))+(SUM(IF((GJ[Ofc Code]=(TRIM(S$7)))*(GJ[Account Code]=(TRIM($D76))),GJ[Debit]))))-((SUM(IF((CkDJ[Ofc Code]=(TRIM(S$7)))*(CkDJ[Account Code]=(TRIM($D76))),CkDJ[Credit])))+(SUM(IF((CsDJ[Ofc Code]=(TRIM(S$7)))*(CsDJ[Account Code]=(TRIM($D76))),CsDJ[Credit])))+(SUM(IF((CRDJ[Ofc Code]=(TRIM(S$7)))*(CRDJ[Account Code]=(TRIM($D76))),CRDJ[Credit])))+(SUM(IF((GJ[Ofc Code]=(TRIM(S$7)))*(GJ[Account Code]=(TRIM($D76))),GJ[Credit]))))</f>
        <v>0</v>
      </c>
      <c r="T76" s="211">
        <f t="array" ref="T76">((SUM(IF((CkDJ[Ofc Code]=(TRIM(T$7)))*(CkDJ[Account Code]=(TRIM($D76))),CkDJ[Debit])))+(SUM(IF((CsDJ[Ofc Code]=(TRIM(T$7)))*(CsDJ[Account Code]=(TRIM($D76))),CsDJ[Debit])))+(SUM(IF((CRDJ[Ofc Code]=(TRIM(T$7)))*(CRDJ[Account Code]=(TRIM($D76))),CRDJ[Debit])))+(SUM(IF((GJ[Ofc Code]=(TRIM(T$7)))*(GJ[Account Code]=(TRIM($D76))),GJ[Debit]))))-((SUM(IF((CkDJ[Ofc Code]=(TRIM(T$7)))*(CkDJ[Account Code]=(TRIM($D76))),CkDJ[Credit])))+(SUM(IF((CsDJ[Ofc Code]=(TRIM(T$7)))*(CsDJ[Account Code]=(TRIM($D76))),CsDJ[Credit])))+(SUM(IF((CRDJ[Ofc Code]=(TRIM(T$7)))*(CRDJ[Account Code]=(TRIM($D76))),CRDJ[Credit])))+(SUM(IF((GJ[Ofc Code]=(TRIM(T$7)))*(GJ[Account Code]=(TRIM($D76))),GJ[Credit]))))</f>
        <v>0</v>
      </c>
      <c r="U76" s="211">
        <f t="shared" si="17"/>
        <v>0</v>
      </c>
      <c r="V76" s="211">
        <f t="shared" si="18"/>
        <v>0</v>
      </c>
    </row>
    <row r="77" spans="1:22" ht="15">
      <c r="A77" s="212">
        <f t="shared" si="19"/>
        <v>15</v>
      </c>
      <c r="B77" s="214"/>
      <c r="C77" s="194" t="str">
        <f t="shared" si="14"/>
        <v>Internet Subscription Expenses</v>
      </c>
      <c r="D77" s="207">
        <v>774</v>
      </c>
      <c r="E77" s="211">
        <f t="array" ref="E77">((SUM(IF((CkDJ[Ofc Code]=(TRIM(E$7)))*(CkDJ[Account Code]=(TRIM($D77))),CkDJ[Debit])))+(SUM(IF((CsDJ[Ofc Code]=(TRIM(E$7)))*(CsDJ[Account Code]=(TRIM($D77))),CsDJ[Debit])))+(SUM(IF((CRDJ[Ofc Code]=(TRIM(E$7)))*(CRDJ[Account Code]=(TRIM($D77))),CRDJ[Debit])))+(SUM(IF((GJ[Ofc Code]=(TRIM(E$7)))*(GJ[Account Code]=(TRIM($D77))),GJ[Debit]))))-((SUM(IF((CkDJ[Ofc Code]=(TRIM(E$7)))*(CkDJ[Account Code]=(TRIM($D77))),CkDJ[Credit])))+(SUM(IF((CsDJ[Ofc Code]=(TRIM(E$7)))*(CsDJ[Account Code]=(TRIM($D77))),CsDJ[Credit])))+(SUM(IF((CRDJ[Ofc Code]=(TRIM(E$7)))*(CRDJ[Account Code]=(TRIM($D77))),CRDJ[Credit])))+(SUM(IF((GJ[Ofc Code]=(TRIM(E$7)))*(GJ[Account Code]=(TRIM($D77))),GJ[Credit]))))</f>
        <v>0</v>
      </c>
      <c r="F77" s="211">
        <f t="array" ref="F77">((SUM(IF((CkDJ[Ofc Code]=(TRIM(F$7)))*(CkDJ[Account Code]=(TRIM($D77))),CkDJ[Debit])))+(SUM(IF((CsDJ[Ofc Code]=(TRIM(F$7)))*(CsDJ[Account Code]=(TRIM($D77))),CsDJ[Debit])))+(SUM(IF((CRDJ[Ofc Code]=(TRIM(F$7)))*(CRDJ[Account Code]=(TRIM($D77))),CRDJ[Debit])))+(SUM(IF((GJ[Ofc Code]=(TRIM(F$7)))*(GJ[Account Code]=(TRIM($D77))),GJ[Debit]))))-((SUM(IF((CkDJ[Ofc Code]=(TRIM(F$7)))*(CkDJ[Account Code]=(TRIM($D77))),CkDJ[Credit])))+(SUM(IF((CsDJ[Ofc Code]=(TRIM(F$7)))*(CsDJ[Account Code]=(TRIM($D77))),CsDJ[Credit])))+(SUM(IF((CRDJ[Ofc Code]=(TRIM(F$7)))*(CRDJ[Account Code]=(TRIM($D77))),CRDJ[Credit])))+(SUM(IF((GJ[Ofc Code]=(TRIM(F$7)))*(GJ[Account Code]=(TRIM($D77))),GJ[Credit]))))</f>
        <v>0</v>
      </c>
      <c r="G77" s="211">
        <f t="array" ref="G77">((SUM(IF((CkDJ[Ofc Code]=(TRIM(G$7)))*(CkDJ[Account Code]=(TRIM($D77))),CkDJ[Debit])))+(SUM(IF((CsDJ[Ofc Code]=(TRIM(G$7)))*(CsDJ[Account Code]=(TRIM($D77))),CsDJ[Debit])))+(SUM(IF((CRDJ[Ofc Code]=(TRIM(G$7)))*(CRDJ[Account Code]=(TRIM($D77))),CRDJ[Debit])))+(SUM(IF((GJ[Ofc Code]=(TRIM(G$7)))*(GJ[Account Code]=(TRIM($D77))),GJ[Debit]))))-((SUM(IF((CkDJ[Ofc Code]=(TRIM(G$7)))*(CkDJ[Account Code]=(TRIM($D77))),CkDJ[Credit])))+(SUM(IF((CsDJ[Ofc Code]=(TRIM(G$7)))*(CsDJ[Account Code]=(TRIM($D77))),CsDJ[Credit])))+(SUM(IF((CRDJ[Ofc Code]=(TRIM(G$7)))*(CRDJ[Account Code]=(TRIM($D77))),CRDJ[Credit])))+(SUM(IF((GJ[Ofc Code]=(TRIM(G$7)))*(GJ[Account Code]=(TRIM($D77))),GJ[Credit]))))</f>
        <v>0</v>
      </c>
      <c r="H77" s="211">
        <f t="array" ref="H77">((SUM(IF((CkDJ[Ofc Code]=(TRIM(H$7)))*(CkDJ[Account Code]=(TRIM($D77))),CkDJ[Debit])))+(SUM(IF((CsDJ[Ofc Code]=(TRIM(H$7)))*(CsDJ[Account Code]=(TRIM($D77))),CsDJ[Debit])))+(SUM(IF((CRDJ[Ofc Code]=(TRIM(H$7)))*(CRDJ[Account Code]=(TRIM($D77))),CRDJ[Debit])))+(SUM(IF((GJ[Ofc Code]=(TRIM(H$7)))*(GJ[Account Code]=(TRIM($D77))),GJ[Debit]))))-((SUM(IF((CkDJ[Ofc Code]=(TRIM(H$7)))*(CkDJ[Account Code]=(TRIM($D77))),CkDJ[Credit])))+(SUM(IF((CsDJ[Ofc Code]=(TRIM(H$7)))*(CsDJ[Account Code]=(TRIM($D77))),CsDJ[Credit])))+(SUM(IF((CRDJ[Ofc Code]=(TRIM(H$7)))*(CRDJ[Account Code]=(TRIM($D77))),CRDJ[Credit])))+(SUM(IF((GJ[Ofc Code]=(TRIM(H$7)))*(GJ[Account Code]=(TRIM($D77))),GJ[Credit]))))</f>
        <v>0</v>
      </c>
      <c r="I77" s="211">
        <f t="array" ref="I77">((SUM(IF((CkDJ[Ofc Code]=(TRIM(I$7)))*(CkDJ[Account Code]=(TRIM($D77))),CkDJ[Debit])))+(SUM(IF((CsDJ[Ofc Code]=(TRIM(I$7)))*(CsDJ[Account Code]=(TRIM($D77))),CsDJ[Debit])))+(SUM(IF((CRDJ[Ofc Code]=(TRIM(I$7)))*(CRDJ[Account Code]=(TRIM($D77))),CRDJ[Debit])))+(SUM(IF((GJ[Ofc Code]=(TRIM(I$7)))*(GJ[Account Code]=(TRIM($D77))),GJ[Debit]))))-((SUM(IF((CkDJ[Ofc Code]=(TRIM(I$7)))*(CkDJ[Account Code]=(TRIM($D77))),CkDJ[Credit])))+(SUM(IF((CsDJ[Ofc Code]=(TRIM(I$7)))*(CsDJ[Account Code]=(TRIM($D77))),CsDJ[Credit])))+(SUM(IF((CRDJ[Ofc Code]=(TRIM(I$7)))*(CRDJ[Account Code]=(TRIM($D77))),CRDJ[Credit])))+(SUM(IF((GJ[Ofc Code]=(TRIM(I$7)))*(GJ[Account Code]=(TRIM($D77))),GJ[Credit]))))</f>
        <v>0</v>
      </c>
      <c r="J77" s="211">
        <f t="shared" si="15"/>
        <v>0</v>
      </c>
      <c r="K77" s="211">
        <f t="array" ref="K77">((SUM(IF((CkDJ[Ofc Code]=(TRIM(K$7)))*(CkDJ[Account Code]=(TRIM($D77))),CkDJ[Debit])))+(SUM(IF((CsDJ[Ofc Code]=(TRIM(K$7)))*(CsDJ[Account Code]=(TRIM($D77))),CsDJ[Debit])))+(SUM(IF((CRDJ[Ofc Code]=(TRIM(K$7)))*(CRDJ[Account Code]=(TRIM($D77))),CRDJ[Debit])))+(SUM(IF((GJ[Ofc Code]=(TRIM(K$7)))*(GJ[Account Code]=(TRIM($D77))),GJ[Debit]))))-((SUM(IF((CkDJ[Ofc Code]=(TRIM(K$7)))*(CkDJ[Account Code]=(TRIM($D77))),CkDJ[Credit])))+(SUM(IF((CsDJ[Ofc Code]=(TRIM(K$7)))*(CsDJ[Account Code]=(TRIM($D77))),CsDJ[Credit])))+(SUM(IF((CRDJ[Ofc Code]=(TRIM(K$7)))*(CRDJ[Account Code]=(TRIM($D77))),CRDJ[Credit])))+(SUM(IF((GJ[Ofc Code]=(TRIM(K$7)))*(GJ[Account Code]=(TRIM($D77))),GJ[Credit]))))</f>
        <v>0</v>
      </c>
      <c r="L77" s="211">
        <f t="array" ref="L77">((SUM(IF((CkDJ[Ofc Code]=(TRIM(L$7)))*(CkDJ[Account Code]=(TRIM($D77))),CkDJ[Debit])))+(SUM(IF((CsDJ[Ofc Code]=(TRIM(L$7)))*(CsDJ[Account Code]=(TRIM($D77))),CsDJ[Debit])))+(SUM(IF((CRDJ[Ofc Code]=(TRIM(L$7)))*(CRDJ[Account Code]=(TRIM($D77))),CRDJ[Debit])))+(SUM(IF((GJ[Ofc Code]=(TRIM(L$7)))*(GJ[Account Code]=(TRIM($D77))),GJ[Debit]))))-((SUM(IF((CkDJ[Ofc Code]=(TRIM(L$7)))*(CkDJ[Account Code]=(TRIM($D77))),CkDJ[Credit])))+(SUM(IF((CsDJ[Ofc Code]=(TRIM(L$7)))*(CsDJ[Account Code]=(TRIM($D77))),CsDJ[Credit])))+(SUM(IF((CRDJ[Ofc Code]=(TRIM(L$7)))*(CRDJ[Account Code]=(TRIM($D77))),CRDJ[Credit])))+(SUM(IF((GJ[Ofc Code]=(TRIM(L$7)))*(GJ[Account Code]=(TRIM($D77))),GJ[Credit]))))</f>
        <v>0</v>
      </c>
      <c r="M77" s="211">
        <f t="array" ref="M77">((SUM(IF((CkDJ[Ofc Code]=(TRIM(M$7)))*(CkDJ[Account Code]=(TRIM($D77))),CkDJ[Debit])))+(SUM(IF((CsDJ[Ofc Code]=(TRIM(M$7)))*(CsDJ[Account Code]=(TRIM($D77))),CsDJ[Debit])))+(SUM(IF((CRDJ[Ofc Code]=(TRIM(M$7)))*(CRDJ[Account Code]=(TRIM($D77))),CRDJ[Debit])))+(SUM(IF((GJ[Ofc Code]=(TRIM(M$7)))*(GJ[Account Code]=(TRIM($D77))),GJ[Debit]))))-((SUM(IF((CkDJ[Ofc Code]=(TRIM(M$7)))*(CkDJ[Account Code]=(TRIM($D77))),CkDJ[Credit])))+(SUM(IF((CsDJ[Ofc Code]=(TRIM(M$7)))*(CsDJ[Account Code]=(TRIM($D77))),CsDJ[Credit])))+(SUM(IF((CRDJ[Ofc Code]=(TRIM(M$7)))*(CRDJ[Account Code]=(TRIM($D77))),CRDJ[Credit])))+(SUM(IF((GJ[Ofc Code]=(TRIM(M$7)))*(GJ[Account Code]=(TRIM($D77))),GJ[Credit]))))</f>
        <v>0</v>
      </c>
      <c r="N77" s="211">
        <f t="array" ref="N77">((SUM(IF((CkDJ[Ofc Code]=(TRIM(N$7)))*(CkDJ[Account Code]=(TRIM($D77))),CkDJ[Debit])))+(SUM(IF((CsDJ[Ofc Code]=(TRIM(N$7)))*(CsDJ[Account Code]=(TRIM($D77))),CsDJ[Debit])))+(SUM(IF((CRDJ[Ofc Code]=(TRIM(N$7)))*(CRDJ[Account Code]=(TRIM($D77))),CRDJ[Debit])))+(SUM(IF((GJ[Ofc Code]=(TRIM(N$7)))*(GJ[Account Code]=(TRIM($D77))),GJ[Debit]))))-((SUM(IF((CkDJ[Ofc Code]=(TRIM(N$7)))*(CkDJ[Account Code]=(TRIM($D77))),CkDJ[Credit])))+(SUM(IF((CsDJ[Ofc Code]=(TRIM(N$7)))*(CsDJ[Account Code]=(TRIM($D77))),CsDJ[Credit])))+(SUM(IF((CRDJ[Ofc Code]=(TRIM(N$7)))*(CRDJ[Account Code]=(TRIM($D77))),CRDJ[Credit])))+(SUM(IF((GJ[Ofc Code]=(TRIM(N$7)))*(GJ[Account Code]=(TRIM($D77))),GJ[Credit]))))</f>
        <v>0</v>
      </c>
      <c r="O77" s="211">
        <f t="shared" si="16"/>
        <v>0</v>
      </c>
      <c r="P77" s="211">
        <f t="array" ref="P77">((SUM(IF((CkDJ[Ofc Code]=(TRIM(P$7)))*(CkDJ[Account Code]=(TRIM($D77))),CkDJ[Debit])))+(SUM(IF((CsDJ[Ofc Code]=(TRIM(P$7)))*(CsDJ[Account Code]=(TRIM($D77))),CsDJ[Debit])))+(SUM(IF((CRDJ[Ofc Code]=(TRIM(P$7)))*(CRDJ[Account Code]=(TRIM($D77))),CRDJ[Debit])))+(SUM(IF((GJ[Ofc Code]=(TRIM(P$7)))*(GJ[Account Code]=(TRIM($D77))),GJ[Debit]))))-((SUM(IF((CkDJ[Ofc Code]=(TRIM(P$7)))*(CkDJ[Account Code]=(TRIM($D77))),CkDJ[Credit])))+(SUM(IF((CsDJ[Ofc Code]=(TRIM(P$7)))*(CsDJ[Account Code]=(TRIM($D77))),CsDJ[Credit])))+(SUM(IF((CRDJ[Ofc Code]=(TRIM(P$7)))*(CRDJ[Account Code]=(TRIM($D77))),CRDJ[Credit])))+(SUM(IF((GJ[Ofc Code]=(TRIM(P$7)))*(GJ[Account Code]=(TRIM($D77))),GJ[Credit]))))</f>
        <v>0</v>
      </c>
      <c r="Q77" s="211">
        <f t="array" ref="Q77">((SUM(IF((CkDJ[Ofc Code]=(TRIM(Q$7)))*(CkDJ[Account Code]=(TRIM($D77))),CkDJ[Debit])))+(SUM(IF((CsDJ[Ofc Code]=(TRIM(Q$7)))*(CsDJ[Account Code]=(TRIM($D77))),CsDJ[Debit])))+(SUM(IF((CRDJ[Ofc Code]=(TRIM(Q$7)))*(CRDJ[Account Code]=(TRIM($D77))),CRDJ[Debit])))+(SUM(IF((GJ[Ofc Code]=(TRIM(Q$7)))*(GJ[Account Code]=(TRIM($D77))),GJ[Debit]))))-((SUM(IF((CkDJ[Ofc Code]=(TRIM(Q$7)))*(CkDJ[Account Code]=(TRIM($D77))),CkDJ[Credit])))+(SUM(IF((CsDJ[Ofc Code]=(TRIM(Q$7)))*(CsDJ[Account Code]=(TRIM($D77))),CsDJ[Credit])))+(SUM(IF((CRDJ[Ofc Code]=(TRIM(Q$7)))*(CRDJ[Account Code]=(TRIM($D77))),CRDJ[Credit])))+(SUM(IF((GJ[Ofc Code]=(TRIM(Q$7)))*(GJ[Account Code]=(TRIM($D77))),GJ[Credit]))))</f>
        <v>0</v>
      </c>
      <c r="R77" s="211">
        <f t="array" ref="R77">((SUM(IF((CkDJ[Ofc Code]=(TRIM(R$7)))*(CkDJ[Account Code]=(TRIM($D77))),CkDJ[Debit])))+(SUM(IF((CsDJ[Ofc Code]=(TRIM(R$7)))*(CsDJ[Account Code]=(TRIM($D77))),CsDJ[Debit])))+(SUM(IF((CRDJ[Ofc Code]=(TRIM(R$7)))*(CRDJ[Account Code]=(TRIM($D77))),CRDJ[Debit])))+(SUM(IF((GJ[Ofc Code]=(TRIM(R$7)))*(GJ[Account Code]=(TRIM($D77))),GJ[Debit]))))-((SUM(IF((CkDJ[Ofc Code]=(TRIM(R$7)))*(CkDJ[Account Code]=(TRIM($D77))),CkDJ[Credit])))+(SUM(IF((CsDJ[Ofc Code]=(TRIM(R$7)))*(CsDJ[Account Code]=(TRIM($D77))),CsDJ[Credit])))+(SUM(IF((CRDJ[Ofc Code]=(TRIM(R$7)))*(CRDJ[Account Code]=(TRIM($D77))),CRDJ[Credit])))+(SUM(IF((GJ[Ofc Code]=(TRIM(R$7)))*(GJ[Account Code]=(TRIM($D77))),GJ[Credit]))))</f>
        <v>0</v>
      </c>
      <c r="S77" s="211">
        <f t="array" ref="S77">((SUM(IF((CkDJ[Ofc Code]=(TRIM(S$7)))*(CkDJ[Account Code]=(TRIM($D77))),CkDJ[Debit])))+(SUM(IF((CsDJ[Ofc Code]=(TRIM(S$7)))*(CsDJ[Account Code]=(TRIM($D77))),CsDJ[Debit])))+(SUM(IF((CRDJ[Ofc Code]=(TRIM(S$7)))*(CRDJ[Account Code]=(TRIM($D77))),CRDJ[Debit])))+(SUM(IF((GJ[Ofc Code]=(TRIM(S$7)))*(GJ[Account Code]=(TRIM($D77))),GJ[Debit]))))-((SUM(IF((CkDJ[Ofc Code]=(TRIM(S$7)))*(CkDJ[Account Code]=(TRIM($D77))),CkDJ[Credit])))+(SUM(IF((CsDJ[Ofc Code]=(TRIM(S$7)))*(CsDJ[Account Code]=(TRIM($D77))),CsDJ[Credit])))+(SUM(IF((CRDJ[Ofc Code]=(TRIM(S$7)))*(CRDJ[Account Code]=(TRIM($D77))),CRDJ[Credit])))+(SUM(IF((GJ[Ofc Code]=(TRIM(S$7)))*(GJ[Account Code]=(TRIM($D77))),GJ[Credit]))))</f>
        <v>0</v>
      </c>
      <c r="T77" s="211">
        <f t="array" ref="T77">((SUM(IF((CkDJ[Ofc Code]=(TRIM(T$7)))*(CkDJ[Account Code]=(TRIM($D77))),CkDJ[Debit])))+(SUM(IF((CsDJ[Ofc Code]=(TRIM(T$7)))*(CsDJ[Account Code]=(TRIM($D77))),CsDJ[Debit])))+(SUM(IF((CRDJ[Ofc Code]=(TRIM(T$7)))*(CRDJ[Account Code]=(TRIM($D77))),CRDJ[Debit])))+(SUM(IF((GJ[Ofc Code]=(TRIM(T$7)))*(GJ[Account Code]=(TRIM($D77))),GJ[Debit]))))-((SUM(IF((CkDJ[Ofc Code]=(TRIM(T$7)))*(CkDJ[Account Code]=(TRIM($D77))),CkDJ[Credit])))+(SUM(IF((CsDJ[Ofc Code]=(TRIM(T$7)))*(CsDJ[Account Code]=(TRIM($D77))),CsDJ[Credit])))+(SUM(IF((CRDJ[Ofc Code]=(TRIM(T$7)))*(CRDJ[Account Code]=(TRIM($D77))),CRDJ[Credit])))+(SUM(IF((GJ[Ofc Code]=(TRIM(T$7)))*(GJ[Account Code]=(TRIM($D77))),GJ[Credit]))))</f>
        <v>0</v>
      </c>
      <c r="U77" s="211">
        <f t="shared" si="17"/>
        <v>0</v>
      </c>
      <c r="V77" s="211">
        <f t="shared" si="18"/>
        <v>0</v>
      </c>
    </row>
    <row r="78" spans="1:22" ht="15">
      <c r="A78" s="212">
        <f t="shared" si="19"/>
        <v>16</v>
      </c>
      <c r="B78" s="214"/>
      <c r="C78" s="194" t="str">
        <f t="shared" si="14"/>
        <v>Membership Dues and Contributions to Organizations</v>
      </c>
      <c r="D78" s="207" t="s">
        <v>239</v>
      </c>
      <c r="E78" s="211">
        <f t="array" ref="E78">((SUM(IF((CkDJ[Ofc Code]=(TRIM(E$7)))*(CkDJ[Account Code]=(TRIM($D78))),CkDJ[Debit])))+(SUM(IF((CsDJ[Ofc Code]=(TRIM(E$7)))*(CsDJ[Account Code]=(TRIM($D78))),CsDJ[Debit])))+(SUM(IF((CRDJ[Ofc Code]=(TRIM(E$7)))*(CRDJ[Account Code]=(TRIM($D78))),CRDJ[Debit])))+(SUM(IF((GJ[Ofc Code]=(TRIM(E$7)))*(GJ[Account Code]=(TRIM($D78))),GJ[Debit]))))-((SUM(IF((CkDJ[Ofc Code]=(TRIM(E$7)))*(CkDJ[Account Code]=(TRIM($D78))),CkDJ[Credit])))+(SUM(IF((CsDJ[Ofc Code]=(TRIM(E$7)))*(CsDJ[Account Code]=(TRIM($D78))),CsDJ[Credit])))+(SUM(IF((CRDJ[Ofc Code]=(TRIM(E$7)))*(CRDJ[Account Code]=(TRIM($D78))),CRDJ[Credit])))+(SUM(IF((GJ[Ofc Code]=(TRIM(E$7)))*(GJ[Account Code]=(TRIM($D78))),GJ[Credit]))))</f>
        <v>0</v>
      </c>
      <c r="F78" s="211">
        <f t="array" ref="F78">((SUM(IF((CkDJ[Ofc Code]=(TRIM(F$7)))*(CkDJ[Account Code]=(TRIM($D78))),CkDJ[Debit])))+(SUM(IF((CsDJ[Ofc Code]=(TRIM(F$7)))*(CsDJ[Account Code]=(TRIM($D78))),CsDJ[Debit])))+(SUM(IF((CRDJ[Ofc Code]=(TRIM(F$7)))*(CRDJ[Account Code]=(TRIM($D78))),CRDJ[Debit])))+(SUM(IF((GJ[Ofc Code]=(TRIM(F$7)))*(GJ[Account Code]=(TRIM($D78))),GJ[Debit]))))-((SUM(IF((CkDJ[Ofc Code]=(TRIM(F$7)))*(CkDJ[Account Code]=(TRIM($D78))),CkDJ[Credit])))+(SUM(IF((CsDJ[Ofc Code]=(TRIM(F$7)))*(CsDJ[Account Code]=(TRIM($D78))),CsDJ[Credit])))+(SUM(IF((CRDJ[Ofc Code]=(TRIM(F$7)))*(CRDJ[Account Code]=(TRIM($D78))),CRDJ[Credit])))+(SUM(IF((GJ[Ofc Code]=(TRIM(F$7)))*(GJ[Account Code]=(TRIM($D78))),GJ[Credit]))))</f>
        <v>0</v>
      </c>
      <c r="G78" s="211">
        <f t="array" ref="G78">((SUM(IF((CkDJ[Ofc Code]=(TRIM(G$7)))*(CkDJ[Account Code]=(TRIM($D78))),CkDJ[Debit])))+(SUM(IF((CsDJ[Ofc Code]=(TRIM(G$7)))*(CsDJ[Account Code]=(TRIM($D78))),CsDJ[Debit])))+(SUM(IF((CRDJ[Ofc Code]=(TRIM(G$7)))*(CRDJ[Account Code]=(TRIM($D78))),CRDJ[Debit])))+(SUM(IF((GJ[Ofc Code]=(TRIM(G$7)))*(GJ[Account Code]=(TRIM($D78))),GJ[Debit]))))-((SUM(IF((CkDJ[Ofc Code]=(TRIM(G$7)))*(CkDJ[Account Code]=(TRIM($D78))),CkDJ[Credit])))+(SUM(IF((CsDJ[Ofc Code]=(TRIM(G$7)))*(CsDJ[Account Code]=(TRIM($D78))),CsDJ[Credit])))+(SUM(IF((CRDJ[Ofc Code]=(TRIM(G$7)))*(CRDJ[Account Code]=(TRIM($D78))),CRDJ[Credit])))+(SUM(IF((GJ[Ofc Code]=(TRIM(G$7)))*(GJ[Account Code]=(TRIM($D78))),GJ[Credit]))))</f>
        <v>0</v>
      </c>
      <c r="H78" s="211">
        <f t="array" ref="H78">((SUM(IF((CkDJ[Ofc Code]=(TRIM(H$7)))*(CkDJ[Account Code]=(TRIM($D78))),CkDJ[Debit])))+(SUM(IF((CsDJ[Ofc Code]=(TRIM(H$7)))*(CsDJ[Account Code]=(TRIM($D78))),CsDJ[Debit])))+(SUM(IF((CRDJ[Ofc Code]=(TRIM(H$7)))*(CRDJ[Account Code]=(TRIM($D78))),CRDJ[Debit])))+(SUM(IF((GJ[Ofc Code]=(TRIM(H$7)))*(GJ[Account Code]=(TRIM($D78))),GJ[Debit]))))-((SUM(IF((CkDJ[Ofc Code]=(TRIM(H$7)))*(CkDJ[Account Code]=(TRIM($D78))),CkDJ[Credit])))+(SUM(IF((CsDJ[Ofc Code]=(TRIM(H$7)))*(CsDJ[Account Code]=(TRIM($D78))),CsDJ[Credit])))+(SUM(IF((CRDJ[Ofc Code]=(TRIM(H$7)))*(CRDJ[Account Code]=(TRIM($D78))),CRDJ[Credit])))+(SUM(IF((GJ[Ofc Code]=(TRIM(H$7)))*(GJ[Account Code]=(TRIM($D78))),GJ[Credit]))))</f>
        <v>0</v>
      </c>
      <c r="I78" s="211">
        <f t="array" ref="I78">((SUM(IF((CkDJ[Ofc Code]=(TRIM(I$7)))*(CkDJ[Account Code]=(TRIM($D78))),CkDJ[Debit])))+(SUM(IF((CsDJ[Ofc Code]=(TRIM(I$7)))*(CsDJ[Account Code]=(TRIM($D78))),CsDJ[Debit])))+(SUM(IF((CRDJ[Ofc Code]=(TRIM(I$7)))*(CRDJ[Account Code]=(TRIM($D78))),CRDJ[Debit])))+(SUM(IF((GJ[Ofc Code]=(TRIM(I$7)))*(GJ[Account Code]=(TRIM($D78))),GJ[Debit]))))-((SUM(IF((CkDJ[Ofc Code]=(TRIM(I$7)))*(CkDJ[Account Code]=(TRIM($D78))),CkDJ[Credit])))+(SUM(IF((CsDJ[Ofc Code]=(TRIM(I$7)))*(CsDJ[Account Code]=(TRIM($D78))),CsDJ[Credit])))+(SUM(IF((CRDJ[Ofc Code]=(TRIM(I$7)))*(CRDJ[Account Code]=(TRIM($D78))),CRDJ[Credit])))+(SUM(IF((GJ[Ofc Code]=(TRIM(I$7)))*(GJ[Account Code]=(TRIM($D78))),GJ[Credit]))))</f>
        <v>0</v>
      </c>
      <c r="J78" s="211">
        <f>SUM(F78:I78)</f>
        <v>0</v>
      </c>
      <c r="K78" s="211">
        <f t="array" ref="K78">((SUM(IF((CkDJ[Ofc Code]=(TRIM(K$7)))*(CkDJ[Account Code]=(TRIM($D78))),CkDJ[Debit])))+(SUM(IF((CsDJ[Ofc Code]=(TRIM(K$7)))*(CsDJ[Account Code]=(TRIM($D78))),CsDJ[Debit])))+(SUM(IF((CRDJ[Ofc Code]=(TRIM(K$7)))*(CRDJ[Account Code]=(TRIM($D78))),CRDJ[Debit])))+(SUM(IF((GJ[Ofc Code]=(TRIM(K$7)))*(GJ[Account Code]=(TRIM($D78))),GJ[Debit]))))-((SUM(IF((CkDJ[Ofc Code]=(TRIM(K$7)))*(CkDJ[Account Code]=(TRIM($D78))),CkDJ[Credit])))+(SUM(IF((CsDJ[Ofc Code]=(TRIM(K$7)))*(CsDJ[Account Code]=(TRIM($D78))),CsDJ[Credit])))+(SUM(IF((CRDJ[Ofc Code]=(TRIM(K$7)))*(CRDJ[Account Code]=(TRIM($D78))),CRDJ[Credit])))+(SUM(IF((GJ[Ofc Code]=(TRIM(K$7)))*(GJ[Account Code]=(TRIM($D78))),GJ[Credit]))))</f>
        <v>0</v>
      </c>
      <c r="L78" s="211">
        <f t="array" ref="L78">((SUM(IF((CkDJ[Ofc Code]=(TRIM(L$7)))*(CkDJ[Account Code]=(TRIM($D78))),CkDJ[Debit])))+(SUM(IF((CsDJ[Ofc Code]=(TRIM(L$7)))*(CsDJ[Account Code]=(TRIM($D78))),CsDJ[Debit])))+(SUM(IF((CRDJ[Ofc Code]=(TRIM(L$7)))*(CRDJ[Account Code]=(TRIM($D78))),CRDJ[Debit])))+(SUM(IF((GJ[Ofc Code]=(TRIM(L$7)))*(GJ[Account Code]=(TRIM($D78))),GJ[Debit]))))-((SUM(IF((CkDJ[Ofc Code]=(TRIM(L$7)))*(CkDJ[Account Code]=(TRIM($D78))),CkDJ[Credit])))+(SUM(IF((CsDJ[Ofc Code]=(TRIM(L$7)))*(CsDJ[Account Code]=(TRIM($D78))),CsDJ[Credit])))+(SUM(IF((CRDJ[Ofc Code]=(TRIM(L$7)))*(CRDJ[Account Code]=(TRIM($D78))),CRDJ[Credit])))+(SUM(IF((GJ[Ofc Code]=(TRIM(L$7)))*(GJ[Account Code]=(TRIM($D78))),GJ[Credit]))))</f>
        <v>0</v>
      </c>
      <c r="M78" s="211">
        <f t="array" ref="M78">((SUM(IF((CkDJ[Ofc Code]=(TRIM(M$7)))*(CkDJ[Account Code]=(TRIM($D78))),CkDJ[Debit])))+(SUM(IF((CsDJ[Ofc Code]=(TRIM(M$7)))*(CsDJ[Account Code]=(TRIM($D78))),CsDJ[Debit])))+(SUM(IF((CRDJ[Ofc Code]=(TRIM(M$7)))*(CRDJ[Account Code]=(TRIM($D78))),CRDJ[Debit])))+(SUM(IF((GJ[Ofc Code]=(TRIM(M$7)))*(GJ[Account Code]=(TRIM($D78))),GJ[Debit]))))-((SUM(IF((CkDJ[Ofc Code]=(TRIM(M$7)))*(CkDJ[Account Code]=(TRIM($D78))),CkDJ[Credit])))+(SUM(IF((CsDJ[Ofc Code]=(TRIM(M$7)))*(CsDJ[Account Code]=(TRIM($D78))),CsDJ[Credit])))+(SUM(IF((CRDJ[Ofc Code]=(TRIM(M$7)))*(CRDJ[Account Code]=(TRIM($D78))),CRDJ[Credit])))+(SUM(IF((GJ[Ofc Code]=(TRIM(M$7)))*(GJ[Account Code]=(TRIM($D78))),GJ[Credit]))))</f>
        <v>0</v>
      </c>
      <c r="N78" s="211">
        <f t="array" ref="N78">((SUM(IF((CkDJ[Ofc Code]=(TRIM(N$7)))*(CkDJ[Account Code]=(TRIM($D78))),CkDJ[Debit])))+(SUM(IF((CsDJ[Ofc Code]=(TRIM(N$7)))*(CsDJ[Account Code]=(TRIM($D78))),CsDJ[Debit])))+(SUM(IF((CRDJ[Ofc Code]=(TRIM(N$7)))*(CRDJ[Account Code]=(TRIM($D78))),CRDJ[Debit])))+(SUM(IF((GJ[Ofc Code]=(TRIM(N$7)))*(GJ[Account Code]=(TRIM($D78))),GJ[Debit]))))-((SUM(IF((CkDJ[Ofc Code]=(TRIM(N$7)))*(CkDJ[Account Code]=(TRIM($D78))),CkDJ[Credit])))+(SUM(IF((CsDJ[Ofc Code]=(TRIM(N$7)))*(CsDJ[Account Code]=(TRIM($D78))),CsDJ[Credit])))+(SUM(IF((CRDJ[Ofc Code]=(TRIM(N$7)))*(CRDJ[Account Code]=(TRIM($D78))),CRDJ[Credit])))+(SUM(IF((GJ[Ofc Code]=(TRIM(N$7)))*(GJ[Account Code]=(TRIM($D78))),GJ[Credit]))))</f>
        <v>0</v>
      </c>
      <c r="O78" s="211">
        <f>SUM(K78:N78)</f>
        <v>0</v>
      </c>
      <c r="P78" s="211">
        <f t="array" ref="P78">((SUM(IF((CkDJ[Ofc Code]=(TRIM(P$7)))*(CkDJ[Account Code]=(TRIM($D78))),CkDJ[Debit])))+(SUM(IF((CsDJ[Ofc Code]=(TRIM(P$7)))*(CsDJ[Account Code]=(TRIM($D78))),CsDJ[Debit])))+(SUM(IF((CRDJ[Ofc Code]=(TRIM(P$7)))*(CRDJ[Account Code]=(TRIM($D78))),CRDJ[Debit])))+(SUM(IF((GJ[Ofc Code]=(TRIM(P$7)))*(GJ[Account Code]=(TRIM($D78))),GJ[Debit]))))-((SUM(IF((CkDJ[Ofc Code]=(TRIM(P$7)))*(CkDJ[Account Code]=(TRIM($D78))),CkDJ[Credit])))+(SUM(IF((CsDJ[Ofc Code]=(TRIM(P$7)))*(CsDJ[Account Code]=(TRIM($D78))),CsDJ[Credit])))+(SUM(IF((CRDJ[Ofc Code]=(TRIM(P$7)))*(CRDJ[Account Code]=(TRIM($D78))),CRDJ[Credit])))+(SUM(IF((GJ[Ofc Code]=(TRIM(P$7)))*(GJ[Account Code]=(TRIM($D78))),GJ[Credit]))))</f>
        <v>0</v>
      </c>
      <c r="Q78" s="211">
        <f t="array" ref="Q78">((SUM(IF((CkDJ[Ofc Code]=(TRIM(Q$7)))*(CkDJ[Account Code]=(TRIM($D78))),CkDJ[Debit])))+(SUM(IF((CsDJ[Ofc Code]=(TRIM(Q$7)))*(CsDJ[Account Code]=(TRIM($D78))),CsDJ[Debit])))+(SUM(IF((CRDJ[Ofc Code]=(TRIM(Q$7)))*(CRDJ[Account Code]=(TRIM($D78))),CRDJ[Debit])))+(SUM(IF((GJ[Ofc Code]=(TRIM(Q$7)))*(GJ[Account Code]=(TRIM($D78))),GJ[Debit]))))-((SUM(IF((CkDJ[Ofc Code]=(TRIM(Q$7)))*(CkDJ[Account Code]=(TRIM($D78))),CkDJ[Credit])))+(SUM(IF((CsDJ[Ofc Code]=(TRIM(Q$7)))*(CsDJ[Account Code]=(TRIM($D78))),CsDJ[Credit])))+(SUM(IF((CRDJ[Ofc Code]=(TRIM(Q$7)))*(CRDJ[Account Code]=(TRIM($D78))),CRDJ[Credit])))+(SUM(IF((GJ[Ofc Code]=(TRIM(Q$7)))*(GJ[Account Code]=(TRIM($D78))),GJ[Credit]))))</f>
        <v>0</v>
      </c>
      <c r="R78" s="211">
        <f t="array" ref="R78">((SUM(IF((CkDJ[Ofc Code]=(TRIM(R$7)))*(CkDJ[Account Code]=(TRIM($D78))),CkDJ[Debit])))+(SUM(IF((CsDJ[Ofc Code]=(TRIM(R$7)))*(CsDJ[Account Code]=(TRIM($D78))),CsDJ[Debit])))+(SUM(IF((CRDJ[Ofc Code]=(TRIM(R$7)))*(CRDJ[Account Code]=(TRIM($D78))),CRDJ[Debit])))+(SUM(IF((GJ[Ofc Code]=(TRIM(R$7)))*(GJ[Account Code]=(TRIM($D78))),GJ[Debit]))))-((SUM(IF((CkDJ[Ofc Code]=(TRIM(R$7)))*(CkDJ[Account Code]=(TRIM($D78))),CkDJ[Credit])))+(SUM(IF((CsDJ[Ofc Code]=(TRIM(R$7)))*(CsDJ[Account Code]=(TRIM($D78))),CsDJ[Credit])))+(SUM(IF((CRDJ[Ofc Code]=(TRIM(R$7)))*(CRDJ[Account Code]=(TRIM($D78))),CRDJ[Credit])))+(SUM(IF((GJ[Ofc Code]=(TRIM(R$7)))*(GJ[Account Code]=(TRIM($D78))),GJ[Credit]))))</f>
        <v>0</v>
      </c>
      <c r="S78" s="211">
        <f t="array" ref="S78">((SUM(IF((CkDJ[Ofc Code]=(TRIM(S$7)))*(CkDJ[Account Code]=(TRIM($D78))),CkDJ[Debit])))+(SUM(IF((CsDJ[Ofc Code]=(TRIM(S$7)))*(CsDJ[Account Code]=(TRIM($D78))),CsDJ[Debit])))+(SUM(IF((CRDJ[Ofc Code]=(TRIM(S$7)))*(CRDJ[Account Code]=(TRIM($D78))),CRDJ[Debit])))+(SUM(IF((GJ[Ofc Code]=(TRIM(S$7)))*(GJ[Account Code]=(TRIM($D78))),GJ[Debit]))))-((SUM(IF((CkDJ[Ofc Code]=(TRIM(S$7)))*(CkDJ[Account Code]=(TRIM($D78))),CkDJ[Credit])))+(SUM(IF((CsDJ[Ofc Code]=(TRIM(S$7)))*(CsDJ[Account Code]=(TRIM($D78))),CsDJ[Credit])))+(SUM(IF((CRDJ[Ofc Code]=(TRIM(S$7)))*(CRDJ[Account Code]=(TRIM($D78))),CRDJ[Credit])))+(SUM(IF((GJ[Ofc Code]=(TRIM(S$7)))*(GJ[Account Code]=(TRIM($D78))),GJ[Credit]))))</f>
        <v>0</v>
      </c>
      <c r="T78" s="211">
        <f t="array" ref="T78">((SUM(IF((CkDJ[Ofc Code]=(TRIM(T$7)))*(CkDJ[Account Code]=(TRIM($D78))),CkDJ[Debit])))+(SUM(IF((CsDJ[Ofc Code]=(TRIM(T$7)))*(CsDJ[Account Code]=(TRIM($D78))),CsDJ[Debit])))+(SUM(IF((CRDJ[Ofc Code]=(TRIM(T$7)))*(CRDJ[Account Code]=(TRIM($D78))),CRDJ[Debit])))+(SUM(IF((GJ[Ofc Code]=(TRIM(T$7)))*(GJ[Account Code]=(TRIM($D78))),GJ[Debit]))))-((SUM(IF((CkDJ[Ofc Code]=(TRIM(T$7)))*(CkDJ[Account Code]=(TRIM($D78))),CkDJ[Credit])))+(SUM(IF((CsDJ[Ofc Code]=(TRIM(T$7)))*(CsDJ[Account Code]=(TRIM($D78))),CsDJ[Credit])))+(SUM(IF((CRDJ[Ofc Code]=(TRIM(T$7)))*(CRDJ[Account Code]=(TRIM($D78))),CRDJ[Credit])))+(SUM(IF((GJ[Ofc Code]=(TRIM(T$7)))*(GJ[Account Code]=(TRIM($D78))),GJ[Credit]))))</f>
        <v>0</v>
      </c>
      <c r="U78" s="211">
        <f>SUM(P78:T78)</f>
        <v>0</v>
      </c>
      <c r="V78" s="211">
        <f>E78+J78+O78+U78</f>
        <v>0</v>
      </c>
    </row>
    <row r="79" spans="1:22" ht="15">
      <c r="A79" s="212">
        <f t="shared" si="19"/>
        <v>17</v>
      </c>
      <c r="B79" s="214"/>
      <c r="C79" s="194" t="str">
        <f t="shared" si="14"/>
        <v>Printing and Publication Expenses</v>
      </c>
      <c r="D79" s="207" t="s">
        <v>241</v>
      </c>
      <c r="E79" s="211">
        <f t="array" ref="E79">((SUM(IF((CkDJ[Ofc Code]=(TRIM(E$7)))*(CkDJ[Account Code]=(TRIM($D79))),CkDJ[Debit])))+(SUM(IF((CsDJ[Ofc Code]=(TRIM(E$7)))*(CsDJ[Account Code]=(TRIM($D79))),CsDJ[Debit])))+(SUM(IF((CRDJ[Ofc Code]=(TRIM(E$7)))*(CRDJ[Account Code]=(TRIM($D79))),CRDJ[Debit])))+(SUM(IF((GJ[Ofc Code]=(TRIM(E$7)))*(GJ[Account Code]=(TRIM($D79))),GJ[Debit]))))-((SUM(IF((CkDJ[Ofc Code]=(TRIM(E$7)))*(CkDJ[Account Code]=(TRIM($D79))),CkDJ[Credit])))+(SUM(IF((CsDJ[Ofc Code]=(TRIM(E$7)))*(CsDJ[Account Code]=(TRIM($D79))),CsDJ[Credit])))+(SUM(IF((CRDJ[Ofc Code]=(TRIM(E$7)))*(CRDJ[Account Code]=(TRIM($D79))),CRDJ[Credit])))+(SUM(IF((GJ[Ofc Code]=(TRIM(E$7)))*(GJ[Account Code]=(TRIM($D79))),GJ[Credit]))))</f>
        <v>0</v>
      </c>
      <c r="F79" s="211">
        <f t="array" ref="F79">((SUM(IF((CkDJ[Ofc Code]=(TRIM(F$7)))*(CkDJ[Account Code]=(TRIM($D79))),CkDJ[Debit])))+(SUM(IF((CsDJ[Ofc Code]=(TRIM(F$7)))*(CsDJ[Account Code]=(TRIM($D79))),CsDJ[Debit])))+(SUM(IF((CRDJ[Ofc Code]=(TRIM(F$7)))*(CRDJ[Account Code]=(TRIM($D79))),CRDJ[Debit])))+(SUM(IF((GJ[Ofc Code]=(TRIM(F$7)))*(GJ[Account Code]=(TRIM($D79))),GJ[Debit]))))-((SUM(IF((CkDJ[Ofc Code]=(TRIM(F$7)))*(CkDJ[Account Code]=(TRIM($D79))),CkDJ[Credit])))+(SUM(IF((CsDJ[Ofc Code]=(TRIM(F$7)))*(CsDJ[Account Code]=(TRIM($D79))),CsDJ[Credit])))+(SUM(IF((CRDJ[Ofc Code]=(TRIM(F$7)))*(CRDJ[Account Code]=(TRIM($D79))),CRDJ[Credit])))+(SUM(IF((GJ[Ofc Code]=(TRIM(F$7)))*(GJ[Account Code]=(TRIM($D79))),GJ[Credit]))))</f>
        <v>0</v>
      </c>
      <c r="G79" s="211">
        <f t="array" ref="G79">((SUM(IF((CkDJ[Ofc Code]=(TRIM(G$7)))*(CkDJ[Account Code]=(TRIM($D79))),CkDJ[Debit])))+(SUM(IF((CsDJ[Ofc Code]=(TRIM(G$7)))*(CsDJ[Account Code]=(TRIM($D79))),CsDJ[Debit])))+(SUM(IF((CRDJ[Ofc Code]=(TRIM(G$7)))*(CRDJ[Account Code]=(TRIM($D79))),CRDJ[Debit])))+(SUM(IF((GJ[Ofc Code]=(TRIM(G$7)))*(GJ[Account Code]=(TRIM($D79))),GJ[Debit]))))-((SUM(IF((CkDJ[Ofc Code]=(TRIM(G$7)))*(CkDJ[Account Code]=(TRIM($D79))),CkDJ[Credit])))+(SUM(IF((CsDJ[Ofc Code]=(TRIM(G$7)))*(CsDJ[Account Code]=(TRIM($D79))),CsDJ[Credit])))+(SUM(IF((CRDJ[Ofc Code]=(TRIM(G$7)))*(CRDJ[Account Code]=(TRIM($D79))),CRDJ[Credit])))+(SUM(IF((GJ[Ofc Code]=(TRIM(G$7)))*(GJ[Account Code]=(TRIM($D79))),GJ[Credit]))))</f>
        <v>0</v>
      </c>
      <c r="H79" s="211">
        <f t="array" ref="H79">((SUM(IF((CkDJ[Ofc Code]=(TRIM(H$7)))*(CkDJ[Account Code]=(TRIM($D79))),CkDJ[Debit])))+(SUM(IF((CsDJ[Ofc Code]=(TRIM(H$7)))*(CsDJ[Account Code]=(TRIM($D79))),CsDJ[Debit])))+(SUM(IF((CRDJ[Ofc Code]=(TRIM(H$7)))*(CRDJ[Account Code]=(TRIM($D79))),CRDJ[Debit])))+(SUM(IF((GJ[Ofc Code]=(TRIM(H$7)))*(GJ[Account Code]=(TRIM($D79))),GJ[Debit]))))-((SUM(IF((CkDJ[Ofc Code]=(TRIM(H$7)))*(CkDJ[Account Code]=(TRIM($D79))),CkDJ[Credit])))+(SUM(IF((CsDJ[Ofc Code]=(TRIM(H$7)))*(CsDJ[Account Code]=(TRIM($D79))),CsDJ[Credit])))+(SUM(IF((CRDJ[Ofc Code]=(TRIM(H$7)))*(CRDJ[Account Code]=(TRIM($D79))),CRDJ[Credit])))+(SUM(IF((GJ[Ofc Code]=(TRIM(H$7)))*(GJ[Account Code]=(TRIM($D79))),GJ[Credit]))))</f>
        <v>0</v>
      </c>
      <c r="I79" s="211">
        <f t="array" ref="I79">((SUM(IF((CkDJ[Ofc Code]=(TRIM(I$7)))*(CkDJ[Account Code]=(TRIM($D79))),CkDJ[Debit])))+(SUM(IF((CsDJ[Ofc Code]=(TRIM(I$7)))*(CsDJ[Account Code]=(TRIM($D79))),CsDJ[Debit])))+(SUM(IF((CRDJ[Ofc Code]=(TRIM(I$7)))*(CRDJ[Account Code]=(TRIM($D79))),CRDJ[Debit])))+(SUM(IF((GJ[Ofc Code]=(TRIM(I$7)))*(GJ[Account Code]=(TRIM($D79))),GJ[Debit]))))-((SUM(IF((CkDJ[Ofc Code]=(TRIM(I$7)))*(CkDJ[Account Code]=(TRIM($D79))),CkDJ[Credit])))+(SUM(IF((CsDJ[Ofc Code]=(TRIM(I$7)))*(CsDJ[Account Code]=(TRIM($D79))),CsDJ[Credit])))+(SUM(IF((CRDJ[Ofc Code]=(TRIM(I$7)))*(CRDJ[Account Code]=(TRIM($D79))),CRDJ[Credit])))+(SUM(IF((GJ[Ofc Code]=(TRIM(I$7)))*(GJ[Account Code]=(TRIM($D79))),GJ[Credit]))))</f>
        <v>0</v>
      </c>
      <c r="J79" s="211">
        <f t="shared" si="15"/>
        <v>0</v>
      </c>
      <c r="K79" s="211">
        <f t="array" ref="K79">((SUM(IF((CkDJ[Ofc Code]=(TRIM(K$7)))*(CkDJ[Account Code]=(TRIM($D79))),CkDJ[Debit])))+(SUM(IF((CsDJ[Ofc Code]=(TRIM(K$7)))*(CsDJ[Account Code]=(TRIM($D79))),CsDJ[Debit])))+(SUM(IF((CRDJ[Ofc Code]=(TRIM(K$7)))*(CRDJ[Account Code]=(TRIM($D79))),CRDJ[Debit])))+(SUM(IF((GJ[Ofc Code]=(TRIM(K$7)))*(GJ[Account Code]=(TRIM($D79))),GJ[Debit]))))-((SUM(IF((CkDJ[Ofc Code]=(TRIM(K$7)))*(CkDJ[Account Code]=(TRIM($D79))),CkDJ[Credit])))+(SUM(IF((CsDJ[Ofc Code]=(TRIM(K$7)))*(CsDJ[Account Code]=(TRIM($D79))),CsDJ[Credit])))+(SUM(IF((CRDJ[Ofc Code]=(TRIM(K$7)))*(CRDJ[Account Code]=(TRIM($D79))),CRDJ[Credit])))+(SUM(IF((GJ[Ofc Code]=(TRIM(K$7)))*(GJ[Account Code]=(TRIM($D79))),GJ[Credit]))))</f>
        <v>0</v>
      </c>
      <c r="L79" s="211">
        <f t="array" ref="L79">((SUM(IF((CkDJ[Ofc Code]=(TRIM(L$7)))*(CkDJ[Account Code]=(TRIM($D79))),CkDJ[Debit])))+(SUM(IF((CsDJ[Ofc Code]=(TRIM(L$7)))*(CsDJ[Account Code]=(TRIM($D79))),CsDJ[Debit])))+(SUM(IF((CRDJ[Ofc Code]=(TRIM(L$7)))*(CRDJ[Account Code]=(TRIM($D79))),CRDJ[Debit])))+(SUM(IF((GJ[Ofc Code]=(TRIM(L$7)))*(GJ[Account Code]=(TRIM($D79))),GJ[Debit]))))-((SUM(IF((CkDJ[Ofc Code]=(TRIM(L$7)))*(CkDJ[Account Code]=(TRIM($D79))),CkDJ[Credit])))+(SUM(IF((CsDJ[Ofc Code]=(TRIM(L$7)))*(CsDJ[Account Code]=(TRIM($D79))),CsDJ[Credit])))+(SUM(IF((CRDJ[Ofc Code]=(TRIM(L$7)))*(CRDJ[Account Code]=(TRIM($D79))),CRDJ[Credit])))+(SUM(IF((GJ[Ofc Code]=(TRIM(L$7)))*(GJ[Account Code]=(TRIM($D79))),GJ[Credit]))))</f>
        <v>0</v>
      </c>
      <c r="M79" s="211">
        <f t="array" ref="M79">((SUM(IF((CkDJ[Ofc Code]=(TRIM(M$7)))*(CkDJ[Account Code]=(TRIM($D79))),CkDJ[Debit])))+(SUM(IF((CsDJ[Ofc Code]=(TRIM(M$7)))*(CsDJ[Account Code]=(TRIM($D79))),CsDJ[Debit])))+(SUM(IF((CRDJ[Ofc Code]=(TRIM(M$7)))*(CRDJ[Account Code]=(TRIM($D79))),CRDJ[Debit])))+(SUM(IF((GJ[Ofc Code]=(TRIM(M$7)))*(GJ[Account Code]=(TRIM($D79))),GJ[Debit]))))-((SUM(IF((CkDJ[Ofc Code]=(TRIM(M$7)))*(CkDJ[Account Code]=(TRIM($D79))),CkDJ[Credit])))+(SUM(IF((CsDJ[Ofc Code]=(TRIM(M$7)))*(CsDJ[Account Code]=(TRIM($D79))),CsDJ[Credit])))+(SUM(IF((CRDJ[Ofc Code]=(TRIM(M$7)))*(CRDJ[Account Code]=(TRIM($D79))),CRDJ[Credit])))+(SUM(IF((GJ[Ofc Code]=(TRIM(M$7)))*(GJ[Account Code]=(TRIM($D79))),GJ[Credit]))))</f>
        <v>0</v>
      </c>
      <c r="N79" s="211">
        <f t="array" ref="N79">((SUM(IF((CkDJ[Ofc Code]=(TRIM(N$7)))*(CkDJ[Account Code]=(TRIM($D79))),CkDJ[Debit])))+(SUM(IF((CsDJ[Ofc Code]=(TRIM(N$7)))*(CsDJ[Account Code]=(TRIM($D79))),CsDJ[Debit])))+(SUM(IF((CRDJ[Ofc Code]=(TRIM(N$7)))*(CRDJ[Account Code]=(TRIM($D79))),CRDJ[Debit])))+(SUM(IF((GJ[Ofc Code]=(TRIM(N$7)))*(GJ[Account Code]=(TRIM($D79))),GJ[Debit]))))-((SUM(IF((CkDJ[Ofc Code]=(TRIM(N$7)))*(CkDJ[Account Code]=(TRIM($D79))),CkDJ[Credit])))+(SUM(IF((CsDJ[Ofc Code]=(TRIM(N$7)))*(CsDJ[Account Code]=(TRIM($D79))),CsDJ[Credit])))+(SUM(IF((CRDJ[Ofc Code]=(TRIM(N$7)))*(CRDJ[Account Code]=(TRIM($D79))),CRDJ[Credit])))+(SUM(IF((GJ[Ofc Code]=(TRIM(N$7)))*(GJ[Account Code]=(TRIM($D79))),GJ[Credit]))))</f>
        <v>0</v>
      </c>
      <c r="O79" s="211">
        <f t="shared" si="16"/>
        <v>0</v>
      </c>
      <c r="P79" s="211">
        <f t="array" ref="P79">((SUM(IF((CkDJ[Ofc Code]=(TRIM(P$7)))*(CkDJ[Account Code]=(TRIM($D79))),CkDJ[Debit])))+(SUM(IF((CsDJ[Ofc Code]=(TRIM(P$7)))*(CsDJ[Account Code]=(TRIM($D79))),CsDJ[Debit])))+(SUM(IF((CRDJ[Ofc Code]=(TRIM(P$7)))*(CRDJ[Account Code]=(TRIM($D79))),CRDJ[Debit])))+(SUM(IF((GJ[Ofc Code]=(TRIM(P$7)))*(GJ[Account Code]=(TRIM($D79))),GJ[Debit]))))-((SUM(IF((CkDJ[Ofc Code]=(TRIM(P$7)))*(CkDJ[Account Code]=(TRIM($D79))),CkDJ[Credit])))+(SUM(IF((CsDJ[Ofc Code]=(TRIM(P$7)))*(CsDJ[Account Code]=(TRIM($D79))),CsDJ[Credit])))+(SUM(IF((CRDJ[Ofc Code]=(TRIM(P$7)))*(CRDJ[Account Code]=(TRIM($D79))),CRDJ[Credit])))+(SUM(IF((GJ[Ofc Code]=(TRIM(P$7)))*(GJ[Account Code]=(TRIM($D79))),GJ[Credit]))))</f>
        <v>0</v>
      </c>
      <c r="Q79" s="211">
        <f t="array" ref="Q79">((SUM(IF((CkDJ[Ofc Code]=(TRIM(Q$7)))*(CkDJ[Account Code]=(TRIM($D79))),CkDJ[Debit])))+(SUM(IF((CsDJ[Ofc Code]=(TRIM(Q$7)))*(CsDJ[Account Code]=(TRIM($D79))),CsDJ[Debit])))+(SUM(IF((CRDJ[Ofc Code]=(TRIM(Q$7)))*(CRDJ[Account Code]=(TRIM($D79))),CRDJ[Debit])))+(SUM(IF((GJ[Ofc Code]=(TRIM(Q$7)))*(GJ[Account Code]=(TRIM($D79))),GJ[Debit]))))-((SUM(IF((CkDJ[Ofc Code]=(TRIM(Q$7)))*(CkDJ[Account Code]=(TRIM($D79))),CkDJ[Credit])))+(SUM(IF((CsDJ[Ofc Code]=(TRIM(Q$7)))*(CsDJ[Account Code]=(TRIM($D79))),CsDJ[Credit])))+(SUM(IF((CRDJ[Ofc Code]=(TRIM(Q$7)))*(CRDJ[Account Code]=(TRIM($D79))),CRDJ[Credit])))+(SUM(IF((GJ[Ofc Code]=(TRIM(Q$7)))*(GJ[Account Code]=(TRIM($D79))),GJ[Credit]))))</f>
        <v>0</v>
      </c>
      <c r="R79" s="211">
        <f t="array" ref="R79">((SUM(IF((CkDJ[Ofc Code]=(TRIM(R$7)))*(CkDJ[Account Code]=(TRIM($D79))),CkDJ[Debit])))+(SUM(IF((CsDJ[Ofc Code]=(TRIM(R$7)))*(CsDJ[Account Code]=(TRIM($D79))),CsDJ[Debit])))+(SUM(IF((CRDJ[Ofc Code]=(TRIM(R$7)))*(CRDJ[Account Code]=(TRIM($D79))),CRDJ[Debit])))+(SUM(IF((GJ[Ofc Code]=(TRIM(R$7)))*(GJ[Account Code]=(TRIM($D79))),GJ[Debit]))))-((SUM(IF((CkDJ[Ofc Code]=(TRIM(R$7)))*(CkDJ[Account Code]=(TRIM($D79))),CkDJ[Credit])))+(SUM(IF((CsDJ[Ofc Code]=(TRIM(R$7)))*(CsDJ[Account Code]=(TRIM($D79))),CsDJ[Credit])))+(SUM(IF((CRDJ[Ofc Code]=(TRIM(R$7)))*(CRDJ[Account Code]=(TRIM($D79))),CRDJ[Credit])))+(SUM(IF((GJ[Ofc Code]=(TRIM(R$7)))*(GJ[Account Code]=(TRIM($D79))),GJ[Credit]))))</f>
        <v>0</v>
      </c>
      <c r="S79" s="211">
        <f t="array" ref="S79">((SUM(IF((CkDJ[Ofc Code]=(TRIM(S$7)))*(CkDJ[Account Code]=(TRIM($D79))),CkDJ[Debit])))+(SUM(IF((CsDJ[Ofc Code]=(TRIM(S$7)))*(CsDJ[Account Code]=(TRIM($D79))),CsDJ[Debit])))+(SUM(IF((CRDJ[Ofc Code]=(TRIM(S$7)))*(CRDJ[Account Code]=(TRIM($D79))),CRDJ[Debit])))+(SUM(IF((GJ[Ofc Code]=(TRIM(S$7)))*(GJ[Account Code]=(TRIM($D79))),GJ[Debit]))))-((SUM(IF((CkDJ[Ofc Code]=(TRIM(S$7)))*(CkDJ[Account Code]=(TRIM($D79))),CkDJ[Credit])))+(SUM(IF((CsDJ[Ofc Code]=(TRIM(S$7)))*(CsDJ[Account Code]=(TRIM($D79))),CsDJ[Credit])))+(SUM(IF((CRDJ[Ofc Code]=(TRIM(S$7)))*(CRDJ[Account Code]=(TRIM($D79))),CRDJ[Credit])))+(SUM(IF((GJ[Ofc Code]=(TRIM(S$7)))*(GJ[Account Code]=(TRIM($D79))),GJ[Credit]))))</f>
        <v>0</v>
      </c>
      <c r="T79" s="211">
        <f t="array" ref="T79">((SUM(IF((CkDJ[Ofc Code]=(TRIM(T$7)))*(CkDJ[Account Code]=(TRIM($D79))),CkDJ[Debit])))+(SUM(IF((CsDJ[Ofc Code]=(TRIM(T$7)))*(CsDJ[Account Code]=(TRIM($D79))),CsDJ[Debit])))+(SUM(IF((CRDJ[Ofc Code]=(TRIM(T$7)))*(CRDJ[Account Code]=(TRIM($D79))),CRDJ[Debit])))+(SUM(IF((GJ[Ofc Code]=(TRIM(T$7)))*(GJ[Account Code]=(TRIM($D79))),GJ[Debit]))))-((SUM(IF((CkDJ[Ofc Code]=(TRIM(T$7)))*(CkDJ[Account Code]=(TRIM($D79))),CkDJ[Credit])))+(SUM(IF((CsDJ[Ofc Code]=(TRIM(T$7)))*(CsDJ[Account Code]=(TRIM($D79))),CsDJ[Credit])))+(SUM(IF((CRDJ[Ofc Code]=(TRIM(T$7)))*(CRDJ[Account Code]=(TRIM($D79))),CRDJ[Credit])))+(SUM(IF((GJ[Ofc Code]=(TRIM(T$7)))*(GJ[Account Code]=(TRIM($D79))),GJ[Credit]))))</f>
        <v>0</v>
      </c>
      <c r="U79" s="211">
        <f t="shared" si="17"/>
        <v>0</v>
      </c>
      <c r="V79" s="211">
        <f t="shared" si="18"/>
        <v>0</v>
      </c>
    </row>
    <row r="80" spans="1:22" ht="15">
      <c r="A80" s="212">
        <f t="shared" si="19"/>
        <v>18</v>
      </c>
      <c r="B80" s="214"/>
      <c r="C80" s="194" t="str">
        <f t="shared" si="14"/>
        <v>Rent/Lease Expenses</v>
      </c>
      <c r="D80" s="207" t="s">
        <v>242</v>
      </c>
      <c r="E80" s="211">
        <f t="array" ref="E80">((SUM(IF((CkDJ[Ofc Code]=(TRIM(E$7)))*(CkDJ[Account Code]=(TRIM($D80))),CkDJ[Debit])))+(SUM(IF((CsDJ[Ofc Code]=(TRIM(E$7)))*(CsDJ[Account Code]=(TRIM($D80))),CsDJ[Debit])))+(SUM(IF((CRDJ[Ofc Code]=(TRIM(E$7)))*(CRDJ[Account Code]=(TRIM($D80))),CRDJ[Debit])))+(SUM(IF((GJ[Ofc Code]=(TRIM(E$7)))*(GJ[Account Code]=(TRIM($D80))),GJ[Debit]))))-((SUM(IF((CkDJ[Ofc Code]=(TRIM(E$7)))*(CkDJ[Account Code]=(TRIM($D80))),CkDJ[Credit])))+(SUM(IF((CsDJ[Ofc Code]=(TRIM(E$7)))*(CsDJ[Account Code]=(TRIM($D80))),CsDJ[Credit])))+(SUM(IF((CRDJ[Ofc Code]=(TRIM(E$7)))*(CRDJ[Account Code]=(TRIM($D80))),CRDJ[Credit])))+(SUM(IF((GJ[Ofc Code]=(TRIM(E$7)))*(GJ[Account Code]=(TRIM($D80))),GJ[Credit]))))</f>
        <v>0</v>
      </c>
      <c r="F80" s="211">
        <f t="array" ref="F80">((SUM(IF((CkDJ[Ofc Code]=(TRIM(F$7)))*(CkDJ[Account Code]=(TRIM($D80))),CkDJ[Debit])))+(SUM(IF((CsDJ[Ofc Code]=(TRIM(F$7)))*(CsDJ[Account Code]=(TRIM($D80))),CsDJ[Debit])))+(SUM(IF((CRDJ[Ofc Code]=(TRIM(F$7)))*(CRDJ[Account Code]=(TRIM($D80))),CRDJ[Debit])))+(SUM(IF((GJ[Ofc Code]=(TRIM(F$7)))*(GJ[Account Code]=(TRIM($D80))),GJ[Debit]))))-((SUM(IF((CkDJ[Ofc Code]=(TRIM(F$7)))*(CkDJ[Account Code]=(TRIM($D80))),CkDJ[Credit])))+(SUM(IF((CsDJ[Ofc Code]=(TRIM(F$7)))*(CsDJ[Account Code]=(TRIM($D80))),CsDJ[Credit])))+(SUM(IF((CRDJ[Ofc Code]=(TRIM(F$7)))*(CRDJ[Account Code]=(TRIM($D80))),CRDJ[Credit])))+(SUM(IF((GJ[Ofc Code]=(TRIM(F$7)))*(GJ[Account Code]=(TRIM($D80))),GJ[Credit]))))</f>
        <v>0</v>
      </c>
      <c r="G80" s="211">
        <f t="array" ref="G80">((SUM(IF((CkDJ[Ofc Code]=(TRIM(G$7)))*(CkDJ[Account Code]=(TRIM($D80))),CkDJ[Debit])))+(SUM(IF((CsDJ[Ofc Code]=(TRIM(G$7)))*(CsDJ[Account Code]=(TRIM($D80))),CsDJ[Debit])))+(SUM(IF((CRDJ[Ofc Code]=(TRIM(G$7)))*(CRDJ[Account Code]=(TRIM($D80))),CRDJ[Debit])))+(SUM(IF((GJ[Ofc Code]=(TRIM(G$7)))*(GJ[Account Code]=(TRIM($D80))),GJ[Debit]))))-((SUM(IF((CkDJ[Ofc Code]=(TRIM(G$7)))*(CkDJ[Account Code]=(TRIM($D80))),CkDJ[Credit])))+(SUM(IF((CsDJ[Ofc Code]=(TRIM(G$7)))*(CsDJ[Account Code]=(TRIM($D80))),CsDJ[Credit])))+(SUM(IF((CRDJ[Ofc Code]=(TRIM(G$7)))*(CRDJ[Account Code]=(TRIM($D80))),CRDJ[Credit])))+(SUM(IF((GJ[Ofc Code]=(TRIM(G$7)))*(GJ[Account Code]=(TRIM($D80))),GJ[Credit]))))</f>
        <v>0</v>
      </c>
      <c r="H80" s="211">
        <f t="array" ref="H80">((SUM(IF((CkDJ[Ofc Code]=(TRIM(H$7)))*(CkDJ[Account Code]=(TRIM($D80))),CkDJ[Debit])))+(SUM(IF((CsDJ[Ofc Code]=(TRIM(H$7)))*(CsDJ[Account Code]=(TRIM($D80))),CsDJ[Debit])))+(SUM(IF((CRDJ[Ofc Code]=(TRIM(H$7)))*(CRDJ[Account Code]=(TRIM($D80))),CRDJ[Debit])))+(SUM(IF((GJ[Ofc Code]=(TRIM(H$7)))*(GJ[Account Code]=(TRIM($D80))),GJ[Debit]))))-((SUM(IF((CkDJ[Ofc Code]=(TRIM(H$7)))*(CkDJ[Account Code]=(TRIM($D80))),CkDJ[Credit])))+(SUM(IF((CsDJ[Ofc Code]=(TRIM(H$7)))*(CsDJ[Account Code]=(TRIM($D80))),CsDJ[Credit])))+(SUM(IF((CRDJ[Ofc Code]=(TRIM(H$7)))*(CRDJ[Account Code]=(TRIM($D80))),CRDJ[Credit])))+(SUM(IF((GJ[Ofc Code]=(TRIM(H$7)))*(GJ[Account Code]=(TRIM($D80))),GJ[Credit]))))</f>
        <v>0</v>
      </c>
      <c r="I80" s="211">
        <f t="array" ref="I80">((SUM(IF((CkDJ[Ofc Code]=(TRIM(I$7)))*(CkDJ[Account Code]=(TRIM($D80))),CkDJ[Debit])))+(SUM(IF((CsDJ[Ofc Code]=(TRIM(I$7)))*(CsDJ[Account Code]=(TRIM($D80))),CsDJ[Debit])))+(SUM(IF((CRDJ[Ofc Code]=(TRIM(I$7)))*(CRDJ[Account Code]=(TRIM($D80))),CRDJ[Debit])))+(SUM(IF((GJ[Ofc Code]=(TRIM(I$7)))*(GJ[Account Code]=(TRIM($D80))),GJ[Debit]))))-((SUM(IF((CkDJ[Ofc Code]=(TRIM(I$7)))*(CkDJ[Account Code]=(TRIM($D80))),CkDJ[Credit])))+(SUM(IF((CsDJ[Ofc Code]=(TRIM(I$7)))*(CsDJ[Account Code]=(TRIM($D80))),CsDJ[Credit])))+(SUM(IF((CRDJ[Ofc Code]=(TRIM(I$7)))*(CRDJ[Account Code]=(TRIM($D80))),CRDJ[Credit])))+(SUM(IF((GJ[Ofc Code]=(TRIM(I$7)))*(GJ[Account Code]=(TRIM($D80))),GJ[Credit]))))</f>
        <v>0</v>
      </c>
      <c r="J80" s="211">
        <f t="shared" si="15"/>
        <v>0</v>
      </c>
      <c r="K80" s="211">
        <f t="array" ref="K80">((SUM(IF((CkDJ[Ofc Code]=(TRIM(K$7)))*(CkDJ[Account Code]=(TRIM($D80))),CkDJ[Debit])))+(SUM(IF((CsDJ[Ofc Code]=(TRIM(K$7)))*(CsDJ[Account Code]=(TRIM($D80))),CsDJ[Debit])))+(SUM(IF((CRDJ[Ofc Code]=(TRIM(K$7)))*(CRDJ[Account Code]=(TRIM($D80))),CRDJ[Debit])))+(SUM(IF((GJ[Ofc Code]=(TRIM(K$7)))*(GJ[Account Code]=(TRIM($D80))),GJ[Debit]))))-((SUM(IF((CkDJ[Ofc Code]=(TRIM(K$7)))*(CkDJ[Account Code]=(TRIM($D80))),CkDJ[Credit])))+(SUM(IF((CsDJ[Ofc Code]=(TRIM(K$7)))*(CsDJ[Account Code]=(TRIM($D80))),CsDJ[Credit])))+(SUM(IF((CRDJ[Ofc Code]=(TRIM(K$7)))*(CRDJ[Account Code]=(TRIM($D80))),CRDJ[Credit])))+(SUM(IF((GJ[Ofc Code]=(TRIM(K$7)))*(GJ[Account Code]=(TRIM($D80))),GJ[Credit]))))</f>
        <v>0</v>
      </c>
      <c r="L80" s="211">
        <f t="array" ref="L80">((SUM(IF((CkDJ[Ofc Code]=(TRIM(L$7)))*(CkDJ[Account Code]=(TRIM($D80))),CkDJ[Debit])))+(SUM(IF((CsDJ[Ofc Code]=(TRIM(L$7)))*(CsDJ[Account Code]=(TRIM($D80))),CsDJ[Debit])))+(SUM(IF((CRDJ[Ofc Code]=(TRIM(L$7)))*(CRDJ[Account Code]=(TRIM($D80))),CRDJ[Debit])))+(SUM(IF((GJ[Ofc Code]=(TRIM(L$7)))*(GJ[Account Code]=(TRIM($D80))),GJ[Debit]))))-((SUM(IF((CkDJ[Ofc Code]=(TRIM(L$7)))*(CkDJ[Account Code]=(TRIM($D80))),CkDJ[Credit])))+(SUM(IF((CsDJ[Ofc Code]=(TRIM(L$7)))*(CsDJ[Account Code]=(TRIM($D80))),CsDJ[Credit])))+(SUM(IF((CRDJ[Ofc Code]=(TRIM(L$7)))*(CRDJ[Account Code]=(TRIM($D80))),CRDJ[Credit])))+(SUM(IF((GJ[Ofc Code]=(TRIM(L$7)))*(GJ[Account Code]=(TRIM($D80))),GJ[Credit]))))</f>
        <v>0</v>
      </c>
      <c r="M80" s="211">
        <f t="array" ref="M80">((SUM(IF((CkDJ[Ofc Code]=(TRIM(M$7)))*(CkDJ[Account Code]=(TRIM($D80))),CkDJ[Debit])))+(SUM(IF((CsDJ[Ofc Code]=(TRIM(M$7)))*(CsDJ[Account Code]=(TRIM($D80))),CsDJ[Debit])))+(SUM(IF((CRDJ[Ofc Code]=(TRIM(M$7)))*(CRDJ[Account Code]=(TRIM($D80))),CRDJ[Debit])))+(SUM(IF((GJ[Ofc Code]=(TRIM(M$7)))*(GJ[Account Code]=(TRIM($D80))),GJ[Debit]))))-((SUM(IF((CkDJ[Ofc Code]=(TRIM(M$7)))*(CkDJ[Account Code]=(TRIM($D80))),CkDJ[Credit])))+(SUM(IF((CsDJ[Ofc Code]=(TRIM(M$7)))*(CsDJ[Account Code]=(TRIM($D80))),CsDJ[Credit])))+(SUM(IF((CRDJ[Ofc Code]=(TRIM(M$7)))*(CRDJ[Account Code]=(TRIM($D80))),CRDJ[Credit])))+(SUM(IF((GJ[Ofc Code]=(TRIM(M$7)))*(GJ[Account Code]=(TRIM($D80))),GJ[Credit]))))</f>
        <v>0</v>
      </c>
      <c r="N80" s="211">
        <f t="array" ref="N80">((SUM(IF((CkDJ[Ofc Code]=(TRIM(N$7)))*(CkDJ[Account Code]=(TRIM($D80))),CkDJ[Debit])))+(SUM(IF((CsDJ[Ofc Code]=(TRIM(N$7)))*(CsDJ[Account Code]=(TRIM($D80))),CsDJ[Debit])))+(SUM(IF((CRDJ[Ofc Code]=(TRIM(N$7)))*(CRDJ[Account Code]=(TRIM($D80))),CRDJ[Debit])))+(SUM(IF((GJ[Ofc Code]=(TRIM(N$7)))*(GJ[Account Code]=(TRIM($D80))),GJ[Debit]))))-((SUM(IF((CkDJ[Ofc Code]=(TRIM(N$7)))*(CkDJ[Account Code]=(TRIM($D80))),CkDJ[Credit])))+(SUM(IF((CsDJ[Ofc Code]=(TRIM(N$7)))*(CsDJ[Account Code]=(TRIM($D80))),CsDJ[Credit])))+(SUM(IF((CRDJ[Ofc Code]=(TRIM(N$7)))*(CRDJ[Account Code]=(TRIM($D80))),CRDJ[Credit])))+(SUM(IF((GJ[Ofc Code]=(TRIM(N$7)))*(GJ[Account Code]=(TRIM($D80))),GJ[Credit]))))</f>
        <v>0</v>
      </c>
      <c r="O80" s="211">
        <f t="shared" si="16"/>
        <v>0</v>
      </c>
      <c r="P80" s="211">
        <f t="array" ref="P80">((SUM(IF((CkDJ[Ofc Code]=(TRIM(P$7)))*(CkDJ[Account Code]=(TRIM($D80))),CkDJ[Debit])))+(SUM(IF((CsDJ[Ofc Code]=(TRIM(P$7)))*(CsDJ[Account Code]=(TRIM($D80))),CsDJ[Debit])))+(SUM(IF((CRDJ[Ofc Code]=(TRIM(P$7)))*(CRDJ[Account Code]=(TRIM($D80))),CRDJ[Debit])))+(SUM(IF((GJ[Ofc Code]=(TRIM(P$7)))*(GJ[Account Code]=(TRIM($D80))),GJ[Debit]))))-((SUM(IF((CkDJ[Ofc Code]=(TRIM(P$7)))*(CkDJ[Account Code]=(TRIM($D80))),CkDJ[Credit])))+(SUM(IF((CsDJ[Ofc Code]=(TRIM(P$7)))*(CsDJ[Account Code]=(TRIM($D80))),CsDJ[Credit])))+(SUM(IF((CRDJ[Ofc Code]=(TRIM(P$7)))*(CRDJ[Account Code]=(TRIM($D80))),CRDJ[Credit])))+(SUM(IF((GJ[Ofc Code]=(TRIM(P$7)))*(GJ[Account Code]=(TRIM($D80))),GJ[Credit]))))</f>
        <v>0</v>
      </c>
      <c r="Q80" s="211">
        <f t="array" ref="Q80">((SUM(IF((CkDJ[Ofc Code]=(TRIM(Q$7)))*(CkDJ[Account Code]=(TRIM($D80))),CkDJ[Debit])))+(SUM(IF((CsDJ[Ofc Code]=(TRIM(Q$7)))*(CsDJ[Account Code]=(TRIM($D80))),CsDJ[Debit])))+(SUM(IF((CRDJ[Ofc Code]=(TRIM(Q$7)))*(CRDJ[Account Code]=(TRIM($D80))),CRDJ[Debit])))+(SUM(IF((GJ[Ofc Code]=(TRIM(Q$7)))*(GJ[Account Code]=(TRIM($D80))),GJ[Debit]))))-((SUM(IF((CkDJ[Ofc Code]=(TRIM(Q$7)))*(CkDJ[Account Code]=(TRIM($D80))),CkDJ[Credit])))+(SUM(IF((CsDJ[Ofc Code]=(TRIM(Q$7)))*(CsDJ[Account Code]=(TRIM($D80))),CsDJ[Credit])))+(SUM(IF((CRDJ[Ofc Code]=(TRIM(Q$7)))*(CRDJ[Account Code]=(TRIM($D80))),CRDJ[Credit])))+(SUM(IF((GJ[Ofc Code]=(TRIM(Q$7)))*(GJ[Account Code]=(TRIM($D80))),GJ[Credit]))))</f>
        <v>0</v>
      </c>
      <c r="R80" s="211">
        <f t="array" ref="R80">((SUM(IF((CkDJ[Ofc Code]=(TRIM(R$7)))*(CkDJ[Account Code]=(TRIM($D80))),CkDJ[Debit])))+(SUM(IF((CsDJ[Ofc Code]=(TRIM(R$7)))*(CsDJ[Account Code]=(TRIM($D80))),CsDJ[Debit])))+(SUM(IF((CRDJ[Ofc Code]=(TRIM(R$7)))*(CRDJ[Account Code]=(TRIM($D80))),CRDJ[Debit])))+(SUM(IF((GJ[Ofc Code]=(TRIM(R$7)))*(GJ[Account Code]=(TRIM($D80))),GJ[Debit]))))-((SUM(IF((CkDJ[Ofc Code]=(TRIM(R$7)))*(CkDJ[Account Code]=(TRIM($D80))),CkDJ[Credit])))+(SUM(IF((CsDJ[Ofc Code]=(TRIM(R$7)))*(CsDJ[Account Code]=(TRIM($D80))),CsDJ[Credit])))+(SUM(IF((CRDJ[Ofc Code]=(TRIM(R$7)))*(CRDJ[Account Code]=(TRIM($D80))),CRDJ[Credit])))+(SUM(IF((GJ[Ofc Code]=(TRIM(R$7)))*(GJ[Account Code]=(TRIM($D80))),GJ[Credit]))))</f>
        <v>0</v>
      </c>
      <c r="S80" s="211">
        <f t="array" ref="S80">((SUM(IF((CkDJ[Ofc Code]=(TRIM(S$7)))*(CkDJ[Account Code]=(TRIM($D80))),CkDJ[Debit])))+(SUM(IF((CsDJ[Ofc Code]=(TRIM(S$7)))*(CsDJ[Account Code]=(TRIM($D80))),CsDJ[Debit])))+(SUM(IF((CRDJ[Ofc Code]=(TRIM(S$7)))*(CRDJ[Account Code]=(TRIM($D80))),CRDJ[Debit])))+(SUM(IF((GJ[Ofc Code]=(TRIM(S$7)))*(GJ[Account Code]=(TRIM($D80))),GJ[Debit]))))-((SUM(IF((CkDJ[Ofc Code]=(TRIM(S$7)))*(CkDJ[Account Code]=(TRIM($D80))),CkDJ[Credit])))+(SUM(IF((CsDJ[Ofc Code]=(TRIM(S$7)))*(CsDJ[Account Code]=(TRIM($D80))),CsDJ[Credit])))+(SUM(IF((CRDJ[Ofc Code]=(TRIM(S$7)))*(CRDJ[Account Code]=(TRIM($D80))),CRDJ[Credit])))+(SUM(IF((GJ[Ofc Code]=(TRIM(S$7)))*(GJ[Account Code]=(TRIM($D80))),GJ[Credit]))))</f>
        <v>0</v>
      </c>
      <c r="T80" s="211">
        <f t="array" ref="T80">((SUM(IF((CkDJ[Ofc Code]=(TRIM(T$7)))*(CkDJ[Account Code]=(TRIM($D80))),CkDJ[Debit])))+(SUM(IF((CsDJ[Ofc Code]=(TRIM(T$7)))*(CsDJ[Account Code]=(TRIM($D80))),CsDJ[Debit])))+(SUM(IF((CRDJ[Ofc Code]=(TRIM(T$7)))*(CRDJ[Account Code]=(TRIM($D80))),CRDJ[Debit])))+(SUM(IF((GJ[Ofc Code]=(TRIM(T$7)))*(GJ[Account Code]=(TRIM($D80))),GJ[Debit]))))-((SUM(IF((CkDJ[Ofc Code]=(TRIM(T$7)))*(CkDJ[Account Code]=(TRIM($D80))),CkDJ[Credit])))+(SUM(IF((CsDJ[Ofc Code]=(TRIM(T$7)))*(CsDJ[Account Code]=(TRIM($D80))),CsDJ[Credit])))+(SUM(IF((CRDJ[Ofc Code]=(TRIM(T$7)))*(CRDJ[Account Code]=(TRIM($D80))),CRDJ[Credit])))+(SUM(IF((GJ[Ofc Code]=(TRIM(T$7)))*(GJ[Account Code]=(TRIM($D80))),GJ[Credit]))))</f>
        <v>0</v>
      </c>
      <c r="U80" s="211">
        <f t="shared" si="17"/>
        <v>0</v>
      </c>
      <c r="V80" s="211">
        <f t="shared" si="18"/>
        <v>0</v>
      </c>
    </row>
    <row r="81" spans="1:22" ht="15">
      <c r="A81" s="212">
        <f t="shared" si="19"/>
        <v>19</v>
      </c>
      <c r="B81" s="214"/>
      <c r="C81" s="194" t="str">
        <f t="shared" si="14"/>
        <v>Representation Expenses</v>
      </c>
      <c r="D81" s="207">
        <v>783</v>
      </c>
      <c r="E81" s="211">
        <f t="array" ref="E81">((SUM(IF((CkDJ[Ofc Code]=(TRIM(E$7)))*(CkDJ[Account Code]=(TRIM($D81))),CkDJ[Debit])))+(SUM(IF((CsDJ[Ofc Code]=(TRIM(E$7)))*(CsDJ[Account Code]=(TRIM($D81))),CsDJ[Debit])))+(SUM(IF((CRDJ[Ofc Code]=(TRIM(E$7)))*(CRDJ[Account Code]=(TRIM($D81))),CRDJ[Debit])))+(SUM(IF((GJ[Ofc Code]=(TRIM(E$7)))*(GJ[Account Code]=(TRIM($D81))),GJ[Debit]))))-((SUM(IF((CkDJ[Ofc Code]=(TRIM(E$7)))*(CkDJ[Account Code]=(TRIM($D81))),CkDJ[Credit])))+(SUM(IF((CsDJ[Ofc Code]=(TRIM(E$7)))*(CsDJ[Account Code]=(TRIM($D81))),CsDJ[Credit])))+(SUM(IF((CRDJ[Ofc Code]=(TRIM(E$7)))*(CRDJ[Account Code]=(TRIM($D81))),CRDJ[Credit])))+(SUM(IF((GJ[Ofc Code]=(TRIM(E$7)))*(GJ[Account Code]=(TRIM($D81))),GJ[Credit]))))</f>
        <v>0</v>
      </c>
      <c r="F81" s="211">
        <f t="array" ref="F81">((SUM(IF((CkDJ[Ofc Code]=(TRIM(F$7)))*(CkDJ[Account Code]=(TRIM($D81))),CkDJ[Debit])))+(SUM(IF((CsDJ[Ofc Code]=(TRIM(F$7)))*(CsDJ[Account Code]=(TRIM($D81))),CsDJ[Debit])))+(SUM(IF((CRDJ[Ofc Code]=(TRIM(F$7)))*(CRDJ[Account Code]=(TRIM($D81))),CRDJ[Debit])))+(SUM(IF((GJ[Ofc Code]=(TRIM(F$7)))*(GJ[Account Code]=(TRIM($D81))),GJ[Debit]))))-((SUM(IF((CkDJ[Ofc Code]=(TRIM(F$7)))*(CkDJ[Account Code]=(TRIM($D81))),CkDJ[Credit])))+(SUM(IF((CsDJ[Ofc Code]=(TRIM(F$7)))*(CsDJ[Account Code]=(TRIM($D81))),CsDJ[Credit])))+(SUM(IF((CRDJ[Ofc Code]=(TRIM(F$7)))*(CRDJ[Account Code]=(TRIM($D81))),CRDJ[Credit])))+(SUM(IF((GJ[Ofc Code]=(TRIM(F$7)))*(GJ[Account Code]=(TRIM($D81))),GJ[Credit]))))</f>
        <v>0</v>
      </c>
      <c r="G81" s="211">
        <f t="array" ref="G81">((SUM(IF((CkDJ[Ofc Code]=(TRIM(G$7)))*(CkDJ[Account Code]=(TRIM($D81))),CkDJ[Debit])))+(SUM(IF((CsDJ[Ofc Code]=(TRIM(G$7)))*(CsDJ[Account Code]=(TRIM($D81))),CsDJ[Debit])))+(SUM(IF((CRDJ[Ofc Code]=(TRIM(G$7)))*(CRDJ[Account Code]=(TRIM($D81))),CRDJ[Debit])))+(SUM(IF((GJ[Ofc Code]=(TRIM(G$7)))*(GJ[Account Code]=(TRIM($D81))),GJ[Debit]))))-((SUM(IF((CkDJ[Ofc Code]=(TRIM(G$7)))*(CkDJ[Account Code]=(TRIM($D81))),CkDJ[Credit])))+(SUM(IF((CsDJ[Ofc Code]=(TRIM(G$7)))*(CsDJ[Account Code]=(TRIM($D81))),CsDJ[Credit])))+(SUM(IF((CRDJ[Ofc Code]=(TRIM(G$7)))*(CRDJ[Account Code]=(TRIM($D81))),CRDJ[Credit])))+(SUM(IF((GJ[Ofc Code]=(TRIM(G$7)))*(GJ[Account Code]=(TRIM($D81))),GJ[Credit]))))</f>
        <v>0</v>
      </c>
      <c r="H81" s="211">
        <f t="array" ref="H81">((SUM(IF((CkDJ[Ofc Code]=(TRIM(H$7)))*(CkDJ[Account Code]=(TRIM($D81))),CkDJ[Debit])))+(SUM(IF((CsDJ[Ofc Code]=(TRIM(H$7)))*(CsDJ[Account Code]=(TRIM($D81))),CsDJ[Debit])))+(SUM(IF((CRDJ[Ofc Code]=(TRIM(H$7)))*(CRDJ[Account Code]=(TRIM($D81))),CRDJ[Debit])))+(SUM(IF((GJ[Ofc Code]=(TRIM(H$7)))*(GJ[Account Code]=(TRIM($D81))),GJ[Debit]))))-((SUM(IF((CkDJ[Ofc Code]=(TRIM(H$7)))*(CkDJ[Account Code]=(TRIM($D81))),CkDJ[Credit])))+(SUM(IF((CsDJ[Ofc Code]=(TRIM(H$7)))*(CsDJ[Account Code]=(TRIM($D81))),CsDJ[Credit])))+(SUM(IF((CRDJ[Ofc Code]=(TRIM(H$7)))*(CRDJ[Account Code]=(TRIM($D81))),CRDJ[Credit])))+(SUM(IF((GJ[Ofc Code]=(TRIM(H$7)))*(GJ[Account Code]=(TRIM($D81))),GJ[Credit]))))</f>
        <v>0</v>
      </c>
      <c r="I81" s="211">
        <f t="array" ref="I81">((SUM(IF((CkDJ[Ofc Code]=(TRIM(I$7)))*(CkDJ[Account Code]=(TRIM($D81))),CkDJ[Debit])))+(SUM(IF((CsDJ[Ofc Code]=(TRIM(I$7)))*(CsDJ[Account Code]=(TRIM($D81))),CsDJ[Debit])))+(SUM(IF((CRDJ[Ofc Code]=(TRIM(I$7)))*(CRDJ[Account Code]=(TRIM($D81))),CRDJ[Debit])))+(SUM(IF((GJ[Ofc Code]=(TRIM(I$7)))*(GJ[Account Code]=(TRIM($D81))),GJ[Debit]))))-((SUM(IF((CkDJ[Ofc Code]=(TRIM(I$7)))*(CkDJ[Account Code]=(TRIM($D81))),CkDJ[Credit])))+(SUM(IF((CsDJ[Ofc Code]=(TRIM(I$7)))*(CsDJ[Account Code]=(TRIM($D81))),CsDJ[Credit])))+(SUM(IF((CRDJ[Ofc Code]=(TRIM(I$7)))*(CRDJ[Account Code]=(TRIM($D81))),CRDJ[Credit])))+(SUM(IF((GJ[Ofc Code]=(TRIM(I$7)))*(GJ[Account Code]=(TRIM($D81))),GJ[Credit]))))</f>
        <v>0</v>
      </c>
      <c r="J81" s="211">
        <f t="shared" si="15"/>
        <v>0</v>
      </c>
      <c r="K81" s="211">
        <f t="array" ref="K81">((SUM(IF((CkDJ[Ofc Code]=(TRIM(K$7)))*(CkDJ[Account Code]=(TRIM($D81))),CkDJ[Debit])))+(SUM(IF((CsDJ[Ofc Code]=(TRIM(K$7)))*(CsDJ[Account Code]=(TRIM($D81))),CsDJ[Debit])))+(SUM(IF((CRDJ[Ofc Code]=(TRIM(K$7)))*(CRDJ[Account Code]=(TRIM($D81))),CRDJ[Debit])))+(SUM(IF((GJ[Ofc Code]=(TRIM(K$7)))*(GJ[Account Code]=(TRIM($D81))),GJ[Debit]))))-((SUM(IF((CkDJ[Ofc Code]=(TRIM(K$7)))*(CkDJ[Account Code]=(TRIM($D81))),CkDJ[Credit])))+(SUM(IF((CsDJ[Ofc Code]=(TRIM(K$7)))*(CsDJ[Account Code]=(TRIM($D81))),CsDJ[Credit])))+(SUM(IF((CRDJ[Ofc Code]=(TRIM(K$7)))*(CRDJ[Account Code]=(TRIM($D81))),CRDJ[Credit])))+(SUM(IF((GJ[Ofc Code]=(TRIM(K$7)))*(GJ[Account Code]=(TRIM($D81))),GJ[Credit]))))</f>
        <v>0</v>
      </c>
      <c r="L81" s="211">
        <f t="array" ref="L81">((SUM(IF((CkDJ[Ofc Code]=(TRIM(L$7)))*(CkDJ[Account Code]=(TRIM($D81))),CkDJ[Debit])))+(SUM(IF((CsDJ[Ofc Code]=(TRIM(L$7)))*(CsDJ[Account Code]=(TRIM($D81))),CsDJ[Debit])))+(SUM(IF((CRDJ[Ofc Code]=(TRIM(L$7)))*(CRDJ[Account Code]=(TRIM($D81))),CRDJ[Debit])))+(SUM(IF((GJ[Ofc Code]=(TRIM(L$7)))*(GJ[Account Code]=(TRIM($D81))),GJ[Debit]))))-((SUM(IF((CkDJ[Ofc Code]=(TRIM(L$7)))*(CkDJ[Account Code]=(TRIM($D81))),CkDJ[Credit])))+(SUM(IF((CsDJ[Ofc Code]=(TRIM(L$7)))*(CsDJ[Account Code]=(TRIM($D81))),CsDJ[Credit])))+(SUM(IF((CRDJ[Ofc Code]=(TRIM(L$7)))*(CRDJ[Account Code]=(TRIM($D81))),CRDJ[Credit])))+(SUM(IF((GJ[Ofc Code]=(TRIM(L$7)))*(GJ[Account Code]=(TRIM($D81))),GJ[Credit]))))</f>
        <v>0</v>
      </c>
      <c r="M81" s="211">
        <f t="array" ref="M81">((SUM(IF((CkDJ[Ofc Code]=(TRIM(M$7)))*(CkDJ[Account Code]=(TRIM($D81))),CkDJ[Debit])))+(SUM(IF((CsDJ[Ofc Code]=(TRIM(M$7)))*(CsDJ[Account Code]=(TRIM($D81))),CsDJ[Debit])))+(SUM(IF((CRDJ[Ofc Code]=(TRIM(M$7)))*(CRDJ[Account Code]=(TRIM($D81))),CRDJ[Debit])))+(SUM(IF((GJ[Ofc Code]=(TRIM(M$7)))*(GJ[Account Code]=(TRIM($D81))),GJ[Debit]))))-((SUM(IF((CkDJ[Ofc Code]=(TRIM(M$7)))*(CkDJ[Account Code]=(TRIM($D81))),CkDJ[Credit])))+(SUM(IF((CsDJ[Ofc Code]=(TRIM(M$7)))*(CsDJ[Account Code]=(TRIM($D81))),CsDJ[Credit])))+(SUM(IF((CRDJ[Ofc Code]=(TRIM(M$7)))*(CRDJ[Account Code]=(TRIM($D81))),CRDJ[Credit])))+(SUM(IF((GJ[Ofc Code]=(TRIM(M$7)))*(GJ[Account Code]=(TRIM($D81))),GJ[Credit]))))</f>
        <v>0</v>
      </c>
      <c r="N81" s="211">
        <f t="array" ref="N81">((SUM(IF((CkDJ[Ofc Code]=(TRIM(N$7)))*(CkDJ[Account Code]=(TRIM($D81))),CkDJ[Debit])))+(SUM(IF((CsDJ[Ofc Code]=(TRIM(N$7)))*(CsDJ[Account Code]=(TRIM($D81))),CsDJ[Debit])))+(SUM(IF((CRDJ[Ofc Code]=(TRIM(N$7)))*(CRDJ[Account Code]=(TRIM($D81))),CRDJ[Debit])))+(SUM(IF((GJ[Ofc Code]=(TRIM(N$7)))*(GJ[Account Code]=(TRIM($D81))),GJ[Debit]))))-((SUM(IF((CkDJ[Ofc Code]=(TRIM(N$7)))*(CkDJ[Account Code]=(TRIM($D81))),CkDJ[Credit])))+(SUM(IF((CsDJ[Ofc Code]=(TRIM(N$7)))*(CsDJ[Account Code]=(TRIM($D81))),CsDJ[Credit])))+(SUM(IF((CRDJ[Ofc Code]=(TRIM(N$7)))*(CRDJ[Account Code]=(TRIM($D81))),CRDJ[Credit])))+(SUM(IF((GJ[Ofc Code]=(TRIM(N$7)))*(GJ[Account Code]=(TRIM($D81))),GJ[Credit]))))</f>
        <v>0</v>
      </c>
      <c r="O81" s="211">
        <f t="shared" si="16"/>
        <v>0</v>
      </c>
      <c r="P81" s="211">
        <f t="array" ref="P81">((SUM(IF((CkDJ[Ofc Code]=(TRIM(P$7)))*(CkDJ[Account Code]=(TRIM($D81))),CkDJ[Debit])))+(SUM(IF((CsDJ[Ofc Code]=(TRIM(P$7)))*(CsDJ[Account Code]=(TRIM($D81))),CsDJ[Debit])))+(SUM(IF((CRDJ[Ofc Code]=(TRIM(P$7)))*(CRDJ[Account Code]=(TRIM($D81))),CRDJ[Debit])))+(SUM(IF((GJ[Ofc Code]=(TRIM(P$7)))*(GJ[Account Code]=(TRIM($D81))),GJ[Debit]))))-((SUM(IF((CkDJ[Ofc Code]=(TRIM(P$7)))*(CkDJ[Account Code]=(TRIM($D81))),CkDJ[Credit])))+(SUM(IF((CsDJ[Ofc Code]=(TRIM(P$7)))*(CsDJ[Account Code]=(TRIM($D81))),CsDJ[Credit])))+(SUM(IF((CRDJ[Ofc Code]=(TRIM(P$7)))*(CRDJ[Account Code]=(TRIM($D81))),CRDJ[Credit])))+(SUM(IF((GJ[Ofc Code]=(TRIM(P$7)))*(GJ[Account Code]=(TRIM($D81))),GJ[Credit]))))</f>
        <v>0</v>
      </c>
      <c r="Q81" s="211">
        <f t="array" ref="Q81">((SUM(IF((CkDJ[Ofc Code]=(TRIM(Q$7)))*(CkDJ[Account Code]=(TRIM($D81))),CkDJ[Debit])))+(SUM(IF((CsDJ[Ofc Code]=(TRIM(Q$7)))*(CsDJ[Account Code]=(TRIM($D81))),CsDJ[Debit])))+(SUM(IF((CRDJ[Ofc Code]=(TRIM(Q$7)))*(CRDJ[Account Code]=(TRIM($D81))),CRDJ[Debit])))+(SUM(IF((GJ[Ofc Code]=(TRIM(Q$7)))*(GJ[Account Code]=(TRIM($D81))),GJ[Debit]))))-((SUM(IF((CkDJ[Ofc Code]=(TRIM(Q$7)))*(CkDJ[Account Code]=(TRIM($D81))),CkDJ[Credit])))+(SUM(IF((CsDJ[Ofc Code]=(TRIM(Q$7)))*(CsDJ[Account Code]=(TRIM($D81))),CsDJ[Credit])))+(SUM(IF((CRDJ[Ofc Code]=(TRIM(Q$7)))*(CRDJ[Account Code]=(TRIM($D81))),CRDJ[Credit])))+(SUM(IF((GJ[Ofc Code]=(TRIM(Q$7)))*(GJ[Account Code]=(TRIM($D81))),GJ[Credit]))))</f>
        <v>0</v>
      </c>
      <c r="R81" s="211">
        <f t="array" ref="R81">((SUM(IF((CkDJ[Ofc Code]=(TRIM(R$7)))*(CkDJ[Account Code]=(TRIM($D81))),CkDJ[Debit])))+(SUM(IF((CsDJ[Ofc Code]=(TRIM(R$7)))*(CsDJ[Account Code]=(TRIM($D81))),CsDJ[Debit])))+(SUM(IF((CRDJ[Ofc Code]=(TRIM(R$7)))*(CRDJ[Account Code]=(TRIM($D81))),CRDJ[Debit])))+(SUM(IF((GJ[Ofc Code]=(TRIM(R$7)))*(GJ[Account Code]=(TRIM($D81))),GJ[Debit]))))-((SUM(IF((CkDJ[Ofc Code]=(TRIM(R$7)))*(CkDJ[Account Code]=(TRIM($D81))),CkDJ[Credit])))+(SUM(IF((CsDJ[Ofc Code]=(TRIM(R$7)))*(CsDJ[Account Code]=(TRIM($D81))),CsDJ[Credit])))+(SUM(IF((CRDJ[Ofc Code]=(TRIM(R$7)))*(CRDJ[Account Code]=(TRIM($D81))),CRDJ[Credit])))+(SUM(IF((GJ[Ofc Code]=(TRIM(R$7)))*(GJ[Account Code]=(TRIM($D81))),GJ[Credit]))))</f>
        <v>0</v>
      </c>
      <c r="S81" s="211">
        <f t="array" ref="S81">((SUM(IF((CkDJ[Ofc Code]=(TRIM(S$7)))*(CkDJ[Account Code]=(TRIM($D81))),CkDJ[Debit])))+(SUM(IF((CsDJ[Ofc Code]=(TRIM(S$7)))*(CsDJ[Account Code]=(TRIM($D81))),CsDJ[Debit])))+(SUM(IF((CRDJ[Ofc Code]=(TRIM(S$7)))*(CRDJ[Account Code]=(TRIM($D81))),CRDJ[Debit])))+(SUM(IF((GJ[Ofc Code]=(TRIM(S$7)))*(GJ[Account Code]=(TRIM($D81))),GJ[Debit]))))-((SUM(IF((CkDJ[Ofc Code]=(TRIM(S$7)))*(CkDJ[Account Code]=(TRIM($D81))),CkDJ[Credit])))+(SUM(IF((CsDJ[Ofc Code]=(TRIM(S$7)))*(CsDJ[Account Code]=(TRIM($D81))),CsDJ[Credit])))+(SUM(IF((CRDJ[Ofc Code]=(TRIM(S$7)))*(CRDJ[Account Code]=(TRIM($D81))),CRDJ[Credit])))+(SUM(IF((GJ[Ofc Code]=(TRIM(S$7)))*(GJ[Account Code]=(TRIM($D81))),GJ[Credit]))))</f>
        <v>0</v>
      </c>
      <c r="T81" s="211">
        <f t="array" ref="T81">((SUM(IF((CkDJ[Ofc Code]=(TRIM(T$7)))*(CkDJ[Account Code]=(TRIM($D81))),CkDJ[Debit])))+(SUM(IF((CsDJ[Ofc Code]=(TRIM(T$7)))*(CsDJ[Account Code]=(TRIM($D81))),CsDJ[Debit])))+(SUM(IF((CRDJ[Ofc Code]=(TRIM(T$7)))*(CRDJ[Account Code]=(TRIM($D81))),CRDJ[Debit])))+(SUM(IF((GJ[Ofc Code]=(TRIM(T$7)))*(GJ[Account Code]=(TRIM($D81))),GJ[Debit]))))-((SUM(IF((CkDJ[Ofc Code]=(TRIM(T$7)))*(CkDJ[Account Code]=(TRIM($D81))),CkDJ[Credit])))+(SUM(IF((CsDJ[Ofc Code]=(TRIM(T$7)))*(CsDJ[Account Code]=(TRIM($D81))),CsDJ[Credit])))+(SUM(IF((CRDJ[Ofc Code]=(TRIM(T$7)))*(CRDJ[Account Code]=(TRIM($D81))),CRDJ[Credit])))+(SUM(IF((GJ[Ofc Code]=(TRIM(T$7)))*(GJ[Account Code]=(TRIM($D81))),GJ[Credit]))))</f>
        <v>0</v>
      </c>
      <c r="U81" s="211">
        <f t="shared" si="17"/>
        <v>0</v>
      </c>
      <c r="V81" s="211">
        <f t="shared" si="18"/>
        <v>0</v>
      </c>
    </row>
    <row r="82" spans="1:22" ht="15">
      <c r="A82" s="212">
        <f t="shared" si="19"/>
        <v>20</v>
      </c>
      <c r="B82" s="214"/>
      <c r="C82" s="194" t="str">
        <f t="shared" si="14"/>
        <v>Transportation and Delivery Expenses</v>
      </c>
      <c r="D82" s="207">
        <v>784</v>
      </c>
      <c r="E82" s="211">
        <f t="array" ref="E82">((SUM(IF((CkDJ[Ofc Code]=(TRIM(E$7)))*(CkDJ[Account Code]=(TRIM($D82))),CkDJ[Debit])))+(SUM(IF((CsDJ[Ofc Code]=(TRIM(E$7)))*(CsDJ[Account Code]=(TRIM($D82))),CsDJ[Debit])))+(SUM(IF((CRDJ[Ofc Code]=(TRIM(E$7)))*(CRDJ[Account Code]=(TRIM($D82))),CRDJ[Debit])))+(SUM(IF((GJ[Ofc Code]=(TRIM(E$7)))*(GJ[Account Code]=(TRIM($D82))),GJ[Debit]))))-((SUM(IF((CkDJ[Ofc Code]=(TRIM(E$7)))*(CkDJ[Account Code]=(TRIM($D82))),CkDJ[Credit])))+(SUM(IF((CsDJ[Ofc Code]=(TRIM(E$7)))*(CsDJ[Account Code]=(TRIM($D82))),CsDJ[Credit])))+(SUM(IF((CRDJ[Ofc Code]=(TRIM(E$7)))*(CRDJ[Account Code]=(TRIM($D82))),CRDJ[Credit])))+(SUM(IF((GJ[Ofc Code]=(TRIM(E$7)))*(GJ[Account Code]=(TRIM($D82))),GJ[Credit]))))</f>
        <v>0</v>
      </c>
      <c r="F82" s="211">
        <f t="array" ref="F82">((SUM(IF((CkDJ[Ofc Code]=(TRIM(F$7)))*(CkDJ[Account Code]=(TRIM($D82))),CkDJ[Debit])))+(SUM(IF((CsDJ[Ofc Code]=(TRIM(F$7)))*(CsDJ[Account Code]=(TRIM($D82))),CsDJ[Debit])))+(SUM(IF((CRDJ[Ofc Code]=(TRIM(F$7)))*(CRDJ[Account Code]=(TRIM($D82))),CRDJ[Debit])))+(SUM(IF((GJ[Ofc Code]=(TRIM(F$7)))*(GJ[Account Code]=(TRIM($D82))),GJ[Debit]))))-((SUM(IF((CkDJ[Ofc Code]=(TRIM(F$7)))*(CkDJ[Account Code]=(TRIM($D82))),CkDJ[Credit])))+(SUM(IF((CsDJ[Ofc Code]=(TRIM(F$7)))*(CsDJ[Account Code]=(TRIM($D82))),CsDJ[Credit])))+(SUM(IF((CRDJ[Ofc Code]=(TRIM(F$7)))*(CRDJ[Account Code]=(TRIM($D82))),CRDJ[Credit])))+(SUM(IF((GJ[Ofc Code]=(TRIM(F$7)))*(GJ[Account Code]=(TRIM($D82))),GJ[Credit]))))</f>
        <v>0</v>
      </c>
      <c r="G82" s="211">
        <f t="array" ref="G82">((SUM(IF((CkDJ[Ofc Code]=(TRIM(G$7)))*(CkDJ[Account Code]=(TRIM($D82))),CkDJ[Debit])))+(SUM(IF((CsDJ[Ofc Code]=(TRIM(G$7)))*(CsDJ[Account Code]=(TRIM($D82))),CsDJ[Debit])))+(SUM(IF((CRDJ[Ofc Code]=(TRIM(G$7)))*(CRDJ[Account Code]=(TRIM($D82))),CRDJ[Debit])))+(SUM(IF((GJ[Ofc Code]=(TRIM(G$7)))*(GJ[Account Code]=(TRIM($D82))),GJ[Debit]))))-((SUM(IF((CkDJ[Ofc Code]=(TRIM(G$7)))*(CkDJ[Account Code]=(TRIM($D82))),CkDJ[Credit])))+(SUM(IF((CsDJ[Ofc Code]=(TRIM(G$7)))*(CsDJ[Account Code]=(TRIM($D82))),CsDJ[Credit])))+(SUM(IF((CRDJ[Ofc Code]=(TRIM(G$7)))*(CRDJ[Account Code]=(TRIM($D82))),CRDJ[Credit])))+(SUM(IF((GJ[Ofc Code]=(TRIM(G$7)))*(GJ[Account Code]=(TRIM($D82))),GJ[Credit]))))</f>
        <v>0</v>
      </c>
      <c r="H82" s="211">
        <f t="array" ref="H82">((SUM(IF((CkDJ[Ofc Code]=(TRIM(H$7)))*(CkDJ[Account Code]=(TRIM($D82))),CkDJ[Debit])))+(SUM(IF((CsDJ[Ofc Code]=(TRIM(H$7)))*(CsDJ[Account Code]=(TRIM($D82))),CsDJ[Debit])))+(SUM(IF((CRDJ[Ofc Code]=(TRIM(H$7)))*(CRDJ[Account Code]=(TRIM($D82))),CRDJ[Debit])))+(SUM(IF((GJ[Ofc Code]=(TRIM(H$7)))*(GJ[Account Code]=(TRIM($D82))),GJ[Debit]))))-((SUM(IF((CkDJ[Ofc Code]=(TRIM(H$7)))*(CkDJ[Account Code]=(TRIM($D82))),CkDJ[Credit])))+(SUM(IF((CsDJ[Ofc Code]=(TRIM(H$7)))*(CsDJ[Account Code]=(TRIM($D82))),CsDJ[Credit])))+(SUM(IF((CRDJ[Ofc Code]=(TRIM(H$7)))*(CRDJ[Account Code]=(TRIM($D82))),CRDJ[Credit])))+(SUM(IF((GJ[Ofc Code]=(TRIM(H$7)))*(GJ[Account Code]=(TRIM($D82))),GJ[Credit]))))</f>
        <v>0</v>
      </c>
      <c r="I82" s="211">
        <f t="array" ref="I82">((SUM(IF((CkDJ[Ofc Code]=(TRIM(I$7)))*(CkDJ[Account Code]=(TRIM($D82))),CkDJ[Debit])))+(SUM(IF((CsDJ[Ofc Code]=(TRIM(I$7)))*(CsDJ[Account Code]=(TRIM($D82))),CsDJ[Debit])))+(SUM(IF((CRDJ[Ofc Code]=(TRIM(I$7)))*(CRDJ[Account Code]=(TRIM($D82))),CRDJ[Debit])))+(SUM(IF((GJ[Ofc Code]=(TRIM(I$7)))*(GJ[Account Code]=(TRIM($D82))),GJ[Debit]))))-((SUM(IF((CkDJ[Ofc Code]=(TRIM(I$7)))*(CkDJ[Account Code]=(TRIM($D82))),CkDJ[Credit])))+(SUM(IF((CsDJ[Ofc Code]=(TRIM(I$7)))*(CsDJ[Account Code]=(TRIM($D82))),CsDJ[Credit])))+(SUM(IF((CRDJ[Ofc Code]=(TRIM(I$7)))*(CRDJ[Account Code]=(TRIM($D82))),CRDJ[Credit])))+(SUM(IF((GJ[Ofc Code]=(TRIM(I$7)))*(GJ[Account Code]=(TRIM($D82))),GJ[Credit]))))</f>
        <v>0</v>
      </c>
      <c r="J82" s="211">
        <f t="shared" si="15"/>
        <v>0</v>
      </c>
      <c r="K82" s="211">
        <f t="array" ref="K82">((SUM(IF((CkDJ[Ofc Code]=(TRIM(K$7)))*(CkDJ[Account Code]=(TRIM($D82))),CkDJ[Debit])))+(SUM(IF((CsDJ[Ofc Code]=(TRIM(K$7)))*(CsDJ[Account Code]=(TRIM($D82))),CsDJ[Debit])))+(SUM(IF((CRDJ[Ofc Code]=(TRIM(K$7)))*(CRDJ[Account Code]=(TRIM($D82))),CRDJ[Debit])))+(SUM(IF((GJ[Ofc Code]=(TRIM(K$7)))*(GJ[Account Code]=(TRIM($D82))),GJ[Debit]))))-((SUM(IF((CkDJ[Ofc Code]=(TRIM(K$7)))*(CkDJ[Account Code]=(TRIM($D82))),CkDJ[Credit])))+(SUM(IF((CsDJ[Ofc Code]=(TRIM(K$7)))*(CsDJ[Account Code]=(TRIM($D82))),CsDJ[Credit])))+(SUM(IF((CRDJ[Ofc Code]=(TRIM(K$7)))*(CRDJ[Account Code]=(TRIM($D82))),CRDJ[Credit])))+(SUM(IF((GJ[Ofc Code]=(TRIM(K$7)))*(GJ[Account Code]=(TRIM($D82))),GJ[Credit]))))</f>
        <v>0</v>
      </c>
      <c r="L82" s="211">
        <f t="array" ref="L82">((SUM(IF((CkDJ[Ofc Code]=(TRIM(L$7)))*(CkDJ[Account Code]=(TRIM($D82))),CkDJ[Debit])))+(SUM(IF((CsDJ[Ofc Code]=(TRIM(L$7)))*(CsDJ[Account Code]=(TRIM($D82))),CsDJ[Debit])))+(SUM(IF((CRDJ[Ofc Code]=(TRIM(L$7)))*(CRDJ[Account Code]=(TRIM($D82))),CRDJ[Debit])))+(SUM(IF((GJ[Ofc Code]=(TRIM(L$7)))*(GJ[Account Code]=(TRIM($D82))),GJ[Debit]))))-((SUM(IF((CkDJ[Ofc Code]=(TRIM(L$7)))*(CkDJ[Account Code]=(TRIM($D82))),CkDJ[Credit])))+(SUM(IF((CsDJ[Ofc Code]=(TRIM(L$7)))*(CsDJ[Account Code]=(TRIM($D82))),CsDJ[Credit])))+(SUM(IF((CRDJ[Ofc Code]=(TRIM(L$7)))*(CRDJ[Account Code]=(TRIM($D82))),CRDJ[Credit])))+(SUM(IF((GJ[Ofc Code]=(TRIM(L$7)))*(GJ[Account Code]=(TRIM($D82))),GJ[Credit]))))</f>
        <v>0</v>
      </c>
      <c r="M82" s="211">
        <f t="array" ref="M82">((SUM(IF((CkDJ[Ofc Code]=(TRIM(M$7)))*(CkDJ[Account Code]=(TRIM($D82))),CkDJ[Debit])))+(SUM(IF((CsDJ[Ofc Code]=(TRIM(M$7)))*(CsDJ[Account Code]=(TRIM($D82))),CsDJ[Debit])))+(SUM(IF((CRDJ[Ofc Code]=(TRIM(M$7)))*(CRDJ[Account Code]=(TRIM($D82))),CRDJ[Debit])))+(SUM(IF((GJ[Ofc Code]=(TRIM(M$7)))*(GJ[Account Code]=(TRIM($D82))),GJ[Debit]))))-((SUM(IF((CkDJ[Ofc Code]=(TRIM(M$7)))*(CkDJ[Account Code]=(TRIM($D82))),CkDJ[Credit])))+(SUM(IF((CsDJ[Ofc Code]=(TRIM(M$7)))*(CsDJ[Account Code]=(TRIM($D82))),CsDJ[Credit])))+(SUM(IF((CRDJ[Ofc Code]=(TRIM(M$7)))*(CRDJ[Account Code]=(TRIM($D82))),CRDJ[Credit])))+(SUM(IF((GJ[Ofc Code]=(TRIM(M$7)))*(GJ[Account Code]=(TRIM($D82))),GJ[Credit]))))</f>
        <v>0</v>
      </c>
      <c r="N82" s="211">
        <f t="array" ref="N82">((SUM(IF((CkDJ[Ofc Code]=(TRIM(N$7)))*(CkDJ[Account Code]=(TRIM($D82))),CkDJ[Debit])))+(SUM(IF((CsDJ[Ofc Code]=(TRIM(N$7)))*(CsDJ[Account Code]=(TRIM($D82))),CsDJ[Debit])))+(SUM(IF((CRDJ[Ofc Code]=(TRIM(N$7)))*(CRDJ[Account Code]=(TRIM($D82))),CRDJ[Debit])))+(SUM(IF((GJ[Ofc Code]=(TRIM(N$7)))*(GJ[Account Code]=(TRIM($D82))),GJ[Debit]))))-((SUM(IF((CkDJ[Ofc Code]=(TRIM(N$7)))*(CkDJ[Account Code]=(TRIM($D82))),CkDJ[Credit])))+(SUM(IF((CsDJ[Ofc Code]=(TRIM(N$7)))*(CsDJ[Account Code]=(TRIM($D82))),CsDJ[Credit])))+(SUM(IF((CRDJ[Ofc Code]=(TRIM(N$7)))*(CRDJ[Account Code]=(TRIM($D82))),CRDJ[Credit])))+(SUM(IF((GJ[Ofc Code]=(TRIM(N$7)))*(GJ[Account Code]=(TRIM($D82))),GJ[Credit]))))</f>
        <v>0</v>
      </c>
      <c r="O82" s="211">
        <f t="shared" si="16"/>
        <v>0</v>
      </c>
      <c r="P82" s="211">
        <f t="array" ref="P82">((SUM(IF((CkDJ[Ofc Code]=(TRIM(P$7)))*(CkDJ[Account Code]=(TRIM($D82))),CkDJ[Debit])))+(SUM(IF((CsDJ[Ofc Code]=(TRIM(P$7)))*(CsDJ[Account Code]=(TRIM($D82))),CsDJ[Debit])))+(SUM(IF((CRDJ[Ofc Code]=(TRIM(P$7)))*(CRDJ[Account Code]=(TRIM($D82))),CRDJ[Debit])))+(SUM(IF((GJ[Ofc Code]=(TRIM(P$7)))*(GJ[Account Code]=(TRIM($D82))),GJ[Debit]))))-((SUM(IF((CkDJ[Ofc Code]=(TRIM(P$7)))*(CkDJ[Account Code]=(TRIM($D82))),CkDJ[Credit])))+(SUM(IF((CsDJ[Ofc Code]=(TRIM(P$7)))*(CsDJ[Account Code]=(TRIM($D82))),CsDJ[Credit])))+(SUM(IF((CRDJ[Ofc Code]=(TRIM(P$7)))*(CRDJ[Account Code]=(TRIM($D82))),CRDJ[Credit])))+(SUM(IF((GJ[Ofc Code]=(TRIM(P$7)))*(GJ[Account Code]=(TRIM($D82))),GJ[Credit]))))</f>
        <v>0</v>
      </c>
      <c r="Q82" s="211">
        <f t="array" ref="Q82">((SUM(IF((CkDJ[Ofc Code]=(TRIM(Q$7)))*(CkDJ[Account Code]=(TRIM($D82))),CkDJ[Debit])))+(SUM(IF((CsDJ[Ofc Code]=(TRIM(Q$7)))*(CsDJ[Account Code]=(TRIM($D82))),CsDJ[Debit])))+(SUM(IF((CRDJ[Ofc Code]=(TRIM(Q$7)))*(CRDJ[Account Code]=(TRIM($D82))),CRDJ[Debit])))+(SUM(IF((GJ[Ofc Code]=(TRIM(Q$7)))*(GJ[Account Code]=(TRIM($D82))),GJ[Debit]))))-((SUM(IF((CkDJ[Ofc Code]=(TRIM(Q$7)))*(CkDJ[Account Code]=(TRIM($D82))),CkDJ[Credit])))+(SUM(IF((CsDJ[Ofc Code]=(TRIM(Q$7)))*(CsDJ[Account Code]=(TRIM($D82))),CsDJ[Credit])))+(SUM(IF((CRDJ[Ofc Code]=(TRIM(Q$7)))*(CRDJ[Account Code]=(TRIM($D82))),CRDJ[Credit])))+(SUM(IF((GJ[Ofc Code]=(TRIM(Q$7)))*(GJ[Account Code]=(TRIM($D82))),GJ[Credit]))))</f>
        <v>0</v>
      </c>
      <c r="R82" s="211">
        <f t="array" ref="R82">((SUM(IF((CkDJ[Ofc Code]=(TRIM(R$7)))*(CkDJ[Account Code]=(TRIM($D82))),CkDJ[Debit])))+(SUM(IF((CsDJ[Ofc Code]=(TRIM(R$7)))*(CsDJ[Account Code]=(TRIM($D82))),CsDJ[Debit])))+(SUM(IF((CRDJ[Ofc Code]=(TRIM(R$7)))*(CRDJ[Account Code]=(TRIM($D82))),CRDJ[Debit])))+(SUM(IF((GJ[Ofc Code]=(TRIM(R$7)))*(GJ[Account Code]=(TRIM($D82))),GJ[Debit]))))-((SUM(IF((CkDJ[Ofc Code]=(TRIM(R$7)))*(CkDJ[Account Code]=(TRIM($D82))),CkDJ[Credit])))+(SUM(IF((CsDJ[Ofc Code]=(TRIM(R$7)))*(CsDJ[Account Code]=(TRIM($D82))),CsDJ[Credit])))+(SUM(IF((CRDJ[Ofc Code]=(TRIM(R$7)))*(CRDJ[Account Code]=(TRIM($D82))),CRDJ[Credit])))+(SUM(IF((GJ[Ofc Code]=(TRIM(R$7)))*(GJ[Account Code]=(TRIM($D82))),GJ[Credit]))))</f>
        <v>0</v>
      </c>
      <c r="S82" s="211">
        <f t="array" ref="S82">((SUM(IF((CkDJ[Ofc Code]=(TRIM(S$7)))*(CkDJ[Account Code]=(TRIM($D82))),CkDJ[Debit])))+(SUM(IF((CsDJ[Ofc Code]=(TRIM(S$7)))*(CsDJ[Account Code]=(TRIM($D82))),CsDJ[Debit])))+(SUM(IF((CRDJ[Ofc Code]=(TRIM(S$7)))*(CRDJ[Account Code]=(TRIM($D82))),CRDJ[Debit])))+(SUM(IF((GJ[Ofc Code]=(TRIM(S$7)))*(GJ[Account Code]=(TRIM($D82))),GJ[Debit]))))-((SUM(IF((CkDJ[Ofc Code]=(TRIM(S$7)))*(CkDJ[Account Code]=(TRIM($D82))),CkDJ[Credit])))+(SUM(IF((CsDJ[Ofc Code]=(TRIM(S$7)))*(CsDJ[Account Code]=(TRIM($D82))),CsDJ[Credit])))+(SUM(IF((CRDJ[Ofc Code]=(TRIM(S$7)))*(CRDJ[Account Code]=(TRIM($D82))),CRDJ[Credit])))+(SUM(IF((GJ[Ofc Code]=(TRIM(S$7)))*(GJ[Account Code]=(TRIM($D82))),GJ[Credit]))))</f>
        <v>0</v>
      </c>
      <c r="T82" s="211">
        <f t="array" ref="T82">((SUM(IF((CkDJ[Ofc Code]=(TRIM(T$7)))*(CkDJ[Account Code]=(TRIM($D82))),CkDJ[Debit])))+(SUM(IF((CsDJ[Ofc Code]=(TRIM(T$7)))*(CsDJ[Account Code]=(TRIM($D82))),CsDJ[Debit])))+(SUM(IF((CRDJ[Ofc Code]=(TRIM(T$7)))*(CRDJ[Account Code]=(TRIM($D82))),CRDJ[Debit])))+(SUM(IF((GJ[Ofc Code]=(TRIM(T$7)))*(GJ[Account Code]=(TRIM($D82))),GJ[Debit]))))-((SUM(IF((CkDJ[Ofc Code]=(TRIM(T$7)))*(CkDJ[Account Code]=(TRIM($D82))),CkDJ[Credit])))+(SUM(IF((CsDJ[Ofc Code]=(TRIM(T$7)))*(CsDJ[Account Code]=(TRIM($D82))),CsDJ[Credit])))+(SUM(IF((CRDJ[Ofc Code]=(TRIM(T$7)))*(CRDJ[Account Code]=(TRIM($D82))),CRDJ[Credit])))+(SUM(IF((GJ[Ofc Code]=(TRIM(T$7)))*(GJ[Account Code]=(TRIM($D82))),GJ[Credit]))))</f>
        <v>0</v>
      </c>
      <c r="U82" s="211">
        <f t="shared" si="17"/>
        <v>0</v>
      </c>
      <c r="V82" s="211">
        <f t="shared" si="18"/>
        <v>0</v>
      </c>
    </row>
    <row r="83" spans="1:22" ht="15">
      <c r="A83" s="212">
        <f t="shared" si="19"/>
        <v>21</v>
      </c>
      <c r="B83" s="214"/>
      <c r="C83" s="194" t="str">
        <f t="shared" si="14"/>
        <v>Auditing Services</v>
      </c>
      <c r="D83" s="207">
        <v>792</v>
      </c>
      <c r="E83" s="211">
        <f t="array" ref="E83">((SUM(IF((CkDJ[Ofc Code]=(TRIM(E$7)))*(CkDJ[Account Code]=(TRIM($D83))),CkDJ[Debit])))+(SUM(IF((CsDJ[Ofc Code]=(TRIM(E$7)))*(CsDJ[Account Code]=(TRIM($D83))),CsDJ[Debit])))+(SUM(IF((CRDJ[Ofc Code]=(TRIM(E$7)))*(CRDJ[Account Code]=(TRIM($D83))),CRDJ[Debit])))+(SUM(IF((GJ[Ofc Code]=(TRIM(E$7)))*(GJ[Account Code]=(TRIM($D83))),GJ[Debit]))))-((SUM(IF((CkDJ[Ofc Code]=(TRIM(E$7)))*(CkDJ[Account Code]=(TRIM($D83))),CkDJ[Credit])))+(SUM(IF((CsDJ[Ofc Code]=(TRIM(E$7)))*(CsDJ[Account Code]=(TRIM($D83))),CsDJ[Credit])))+(SUM(IF((CRDJ[Ofc Code]=(TRIM(E$7)))*(CRDJ[Account Code]=(TRIM($D83))),CRDJ[Credit])))+(SUM(IF((GJ[Ofc Code]=(TRIM(E$7)))*(GJ[Account Code]=(TRIM($D83))),GJ[Credit]))))</f>
        <v>0</v>
      </c>
      <c r="F83" s="211">
        <f t="array" ref="F83">((SUM(IF((CkDJ[Ofc Code]=(TRIM(F$7)))*(CkDJ[Account Code]=(TRIM($D83))),CkDJ[Debit])))+(SUM(IF((CsDJ[Ofc Code]=(TRIM(F$7)))*(CsDJ[Account Code]=(TRIM($D83))),CsDJ[Debit])))+(SUM(IF((CRDJ[Ofc Code]=(TRIM(F$7)))*(CRDJ[Account Code]=(TRIM($D83))),CRDJ[Debit])))+(SUM(IF((GJ[Ofc Code]=(TRIM(F$7)))*(GJ[Account Code]=(TRIM($D83))),GJ[Debit]))))-((SUM(IF((CkDJ[Ofc Code]=(TRIM(F$7)))*(CkDJ[Account Code]=(TRIM($D83))),CkDJ[Credit])))+(SUM(IF((CsDJ[Ofc Code]=(TRIM(F$7)))*(CsDJ[Account Code]=(TRIM($D83))),CsDJ[Credit])))+(SUM(IF((CRDJ[Ofc Code]=(TRIM(F$7)))*(CRDJ[Account Code]=(TRIM($D83))),CRDJ[Credit])))+(SUM(IF((GJ[Ofc Code]=(TRIM(F$7)))*(GJ[Account Code]=(TRIM($D83))),GJ[Credit]))))</f>
        <v>0</v>
      </c>
      <c r="G83" s="211">
        <f t="array" ref="G83">((SUM(IF((CkDJ[Ofc Code]=(TRIM(G$7)))*(CkDJ[Account Code]=(TRIM($D83))),CkDJ[Debit])))+(SUM(IF((CsDJ[Ofc Code]=(TRIM(G$7)))*(CsDJ[Account Code]=(TRIM($D83))),CsDJ[Debit])))+(SUM(IF((CRDJ[Ofc Code]=(TRIM(G$7)))*(CRDJ[Account Code]=(TRIM($D83))),CRDJ[Debit])))+(SUM(IF((GJ[Ofc Code]=(TRIM(G$7)))*(GJ[Account Code]=(TRIM($D83))),GJ[Debit]))))-((SUM(IF((CkDJ[Ofc Code]=(TRIM(G$7)))*(CkDJ[Account Code]=(TRIM($D83))),CkDJ[Credit])))+(SUM(IF((CsDJ[Ofc Code]=(TRIM(G$7)))*(CsDJ[Account Code]=(TRIM($D83))),CsDJ[Credit])))+(SUM(IF((CRDJ[Ofc Code]=(TRIM(G$7)))*(CRDJ[Account Code]=(TRIM($D83))),CRDJ[Credit])))+(SUM(IF((GJ[Ofc Code]=(TRIM(G$7)))*(GJ[Account Code]=(TRIM($D83))),GJ[Credit]))))</f>
        <v>0</v>
      </c>
      <c r="H83" s="211">
        <f t="array" ref="H83">((SUM(IF((CkDJ[Ofc Code]=(TRIM(H$7)))*(CkDJ[Account Code]=(TRIM($D83))),CkDJ[Debit])))+(SUM(IF((CsDJ[Ofc Code]=(TRIM(H$7)))*(CsDJ[Account Code]=(TRIM($D83))),CsDJ[Debit])))+(SUM(IF((CRDJ[Ofc Code]=(TRIM(H$7)))*(CRDJ[Account Code]=(TRIM($D83))),CRDJ[Debit])))+(SUM(IF((GJ[Ofc Code]=(TRIM(H$7)))*(GJ[Account Code]=(TRIM($D83))),GJ[Debit]))))-((SUM(IF((CkDJ[Ofc Code]=(TRIM(H$7)))*(CkDJ[Account Code]=(TRIM($D83))),CkDJ[Credit])))+(SUM(IF((CsDJ[Ofc Code]=(TRIM(H$7)))*(CsDJ[Account Code]=(TRIM($D83))),CsDJ[Credit])))+(SUM(IF((CRDJ[Ofc Code]=(TRIM(H$7)))*(CRDJ[Account Code]=(TRIM($D83))),CRDJ[Credit])))+(SUM(IF((GJ[Ofc Code]=(TRIM(H$7)))*(GJ[Account Code]=(TRIM($D83))),GJ[Credit]))))</f>
        <v>0</v>
      </c>
      <c r="I83" s="211">
        <f t="array" ref="I83">((SUM(IF((CkDJ[Ofc Code]=(TRIM(I$7)))*(CkDJ[Account Code]=(TRIM($D83))),CkDJ[Debit])))+(SUM(IF((CsDJ[Ofc Code]=(TRIM(I$7)))*(CsDJ[Account Code]=(TRIM($D83))),CsDJ[Debit])))+(SUM(IF((CRDJ[Ofc Code]=(TRIM(I$7)))*(CRDJ[Account Code]=(TRIM($D83))),CRDJ[Debit])))+(SUM(IF((GJ[Ofc Code]=(TRIM(I$7)))*(GJ[Account Code]=(TRIM($D83))),GJ[Debit]))))-((SUM(IF((CkDJ[Ofc Code]=(TRIM(I$7)))*(CkDJ[Account Code]=(TRIM($D83))),CkDJ[Credit])))+(SUM(IF((CsDJ[Ofc Code]=(TRIM(I$7)))*(CsDJ[Account Code]=(TRIM($D83))),CsDJ[Credit])))+(SUM(IF((CRDJ[Ofc Code]=(TRIM(I$7)))*(CRDJ[Account Code]=(TRIM($D83))),CRDJ[Credit])))+(SUM(IF((GJ[Ofc Code]=(TRIM(I$7)))*(GJ[Account Code]=(TRIM($D83))),GJ[Credit]))))</f>
        <v>0</v>
      </c>
      <c r="J83" s="211">
        <f t="shared" si="15"/>
        <v>0</v>
      </c>
      <c r="K83" s="211">
        <f t="array" ref="K83">((SUM(IF((CkDJ[Ofc Code]=(TRIM(K$7)))*(CkDJ[Account Code]=(TRIM($D83))),CkDJ[Debit])))+(SUM(IF((CsDJ[Ofc Code]=(TRIM(K$7)))*(CsDJ[Account Code]=(TRIM($D83))),CsDJ[Debit])))+(SUM(IF((CRDJ[Ofc Code]=(TRIM(K$7)))*(CRDJ[Account Code]=(TRIM($D83))),CRDJ[Debit])))+(SUM(IF((GJ[Ofc Code]=(TRIM(K$7)))*(GJ[Account Code]=(TRIM($D83))),GJ[Debit]))))-((SUM(IF((CkDJ[Ofc Code]=(TRIM(K$7)))*(CkDJ[Account Code]=(TRIM($D83))),CkDJ[Credit])))+(SUM(IF((CsDJ[Ofc Code]=(TRIM(K$7)))*(CsDJ[Account Code]=(TRIM($D83))),CsDJ[Credit])))+(SUM(IF((CRDJ[Ofc Code]=(TRIM(K$7)))*(CRDJ[Account Code]=(TRIM($D83))),CRDJ[Credit])))+(SUM(IF((GJ[Ofc Code]=(TRIM(K$7)))*(GJ[Account Code]=(TRIM($D83))),GJ[Credit]))))</f>
        <v>0</v>
      </c>
      <c r="L83" s="211">
        <f t="array" ref="L83">((SUM(IF((CkDJ[Ofc Code]=(TRIM(L$7)))*(CkDJ[Account Code]=(TRIM($D83))),CkDJ[Debit])))+(SUM(IF((CsDJ[Ofc Code]=(TRIM(L$7)))*(CsDJ[Account Code]=(TRIM($D83))),CsDJ[Debit])))+(SUM(IF((CRDJ[Ofc Code]=(TRIM(L$7)))*(CRDJ[Account Code]=(TRIM($D83))),CRDJ[Debit])))+(SUM(IF((GJ[Ofc Code]=(TRIM(L$7)))*(GJ[Account Code]=(TRIM($D83))),GJ[Debit]))))-((SUM(IF((CkDJ[Ofc Code]=(TRIM(L$7)))*(CkDJ[Account Code]=(TRIM($D83))),CkDJ[Credit])))+(SUM(IF((CsDJ[Ofc Code]=(TRIM(L$7)))*(CsDJ[Account Code]=(TRIM($D83))),CsDJ[Credit])))+(SUM(IF((CRDJ[Ofc Code]=(TRIM(L$7)))*(CRDJ[Account Code]=(TRIM($D83))),CRDJ[Credit])))+(SUM(IF((GJ[Ofc Code]=(TRIM(L$7)))*(GJ[Account Code]=(TRIM($D83))),GJ[Credit]))))</f>
        <v>0</v>
      </c>
      <c r="M83" s="211">
        <f t="array" ref="M83">((SUM(IF((CkDJ[Ofc Code]=(TRIM(M$7)))*(CkDJ[Account Code]=(TRIM($D83))),CkDJ[Debit])))+(SUM(IF((CsDJ[Ofc Code]=(TRIM(M$7)))*(CsDJ[Account Code]=(TRIM($D83))),CsDJ[Debit])))+(SUM(IF((CRDJ[Ofc Code]=(TRIM(M$7)))*(CRDJ[Account Code]=(TRIM($D83))),CRDJ[Debit])))+(SUM(IF((GJ[Ofc Code]=(TRIM(M$7)))*(GJ[Account Code]=(TRIM($D83))),GJ[Debit]))))-((SUM(IF((CkDJ[Ofc Code]=(TRIM(M$7)))*(CkDJ[Account Code]=(TRIM($D83))),CkDJ[Credit])))+(SUM(IF((CsDJ[Ofc Code]=(TRIM(M$7)))*(CsDJ[Account Code]=(TRIM($D83))),CsDJ[Credit])))+(SUM(IF((CRDJ[Ofc Code]=(TRIM(M$7)))*(CRDJ[Account Code]=(TRIM($D83))),CRDJ[Credit])))+(SUM(IF((GJ[Ofc Code]=(TRIM(M$7)))*(GJ[Account Code]=(TRIM($D83))),GJ[Credit]))))</f>
        <v>0</v>
      </c>
      <c r="N83" s="211">
        <f t="array" ref="N83">((SUM(IF((CkDJ[Ofc Code]=(TRIM(N$7)))*(CkDJ[Account Code]=(TRIM($D83))),CkDJ[Debit])))+(SUM(IF((CsDJ[Ofc Code]=(TRIM(N$7)))*(CsDJ[Account Code]=(TRIM($D83))),CsDJ[Debit])))+(SUM(IF((CRDJ[Ofc Code]=(TRIM(N$7)))*(CRDJ[Account Code]=(TRIM($D83))),CRDJ[Debit])))+(SUM(IF((GJ[Ofc Code]=(TRIM(N$7)))*(GJ[Account Code]=(TRIM($D83))),GJ[Debit]))))-((SUM(IF((CkDJ[Ofc Code]=(TRIM(N$7)))*(CkDJ[Account Code]=(TRIM($D83))),CkDJ[Credit])))+(SUM(IF((CsDJ[Ofc Code]=(TRIM(N$7)))*(CsDJ[Account Code]=(TRIM($D83))),CsDJ[Credit])))+(SUM(IF((CRDJ[Ofc Code]=(TRIM(N$7)))*(CRDJ[Account Code]=(TRIM($D83))),CRDJ[Credit])))+(SUM(IF((GJ[Ofc Code]=(TRIM(N$7)))*(GJ[Account Code]=(TRIM($D83))),GJ[Credit]))))</f>
        <v>0</v>
      </c>
      <c r="O83" s="211">
        <f t="shared" si="16"/>
        <v>0</v>
      </c>
      <c r="P83" s="211">
        <f t="array" ref="P83">((SUM(IF((CkDJ[Ofc Code]=(TRIM(P$7)))*(CkDJ[Account Code]=(TRIM($D83))),CkDJ[Debit])))+(SUM(IF((CsDJ[Ofc Code]=(TRIM(P$7)))*(CsDJ[Account Code]=(TRIM($D83))),CsDJ[Debit])))+(SUM(IF((CRDJ[Ofc Code]=(TRIM(P$7)))*(CRDJ[Account Code]=(TRIM($D83))),CRDJ[Debit])))+(SUM(IF((GJ[Ofc Code]=(TRIM(P$7)))*(GJ[Account Code]=(TRIM($D83))),GJ[Debit]))))-((SUM(IF((CkDJ[Ofc Code]=(TRIM(P$7)))*(CkDJ[Account Code]=(TRIM($D83))),CkDJ[Credit])))+(SUM(IF((CsDJ[Ofc Code]=(TRIM(P$7)))*(CsDJ[Account Code]=(TRIM($D83))),CsDJ[Credit])))+(SUM(IF((CRDJ[Ofc Code]=(TRIM(P$7)))*(CRDJ[Account Code]=(TRIM($D83))),CRDJ[Credit])))+(SUM(IF((GJ[Ofc Code]=(TRIM(P$7)))*(GJ[Account Code]=(TRIM($D83))),GJ[Credit]))))</f>
        <v>0</v>
      </c>
      <c r="Q83" s="211">
        <f t="array" ref="Q83">((SUM(IF((CkDJ[Ofc Code]=(TRIM(Q$7)))*(CkDJ[Account Code]=(TRIM($D83))),CkDJ[Debit])))+(SUM(IF((CsDJ[Ofc Code]=(TRIM(Q$7)))*(CsDJ[Account Code]=(TRIM($D83))),CsDJ[Debit])))+(SUM(IF((CRDJ[Ofc Code]=(TRIM(Q$7)))*(CRDJ[Account Code]=(TRIM($D83))),CRDJ[Debit])))+(SUM(IF((GJ[Ofc Code]=(TRIM(Q$7)))*(GJ[Account Code]=(TRIM($D83))),GJ[Debit]))))-((SUM(IF((CkDJ[Ofc Code]=(TRIM(Q$7)))*(CkDJ[Account Code]=(TRIM($D83))),CkDJ[Credit])))+(SUM(IF((CsDJ[Ofc Code]=(TRIM(Q$7)))*(CsDJ[Account Code]=(TRIM($D83))),CsDJ[Credit])))+(SUM(IF((CRDJ[Ofc Code]=(TRIM(Q$7)))*(CRDJ[Account Code]=(TRIM($D83))),CRDJ[Credit])))+(SUM(IF((GJ[Ofc Code]=(TRIM(Q$7)))*(GJ[Account Code]=(TRIM($D83))),GJ[Credit]))))</f>
        <v>0</v>
      </c>
      <c r="R83" s="211">
        <f t="array" ref="R83">((SUM(IF((CkDJ[Ofc Code]=(TRIM(R$7)))*(CkDJ[Account Code]=(TRIM($D83))),CkDJ[Debit])))+(SUM(IF((CsDJ[Ofc Code]=(TRIM(R$7)))*(CsDJ[Account Code]=(TRIM($D83))),CsDJ[Debit])))+(SUM(IF((CRDJ[Ofc Code]=(TRIM(R$7)))*(CRDJ[Account Code]=(TRIM($D83))),CRDJ[Debit])))+(SUM(IF((GJ[Ofc Code]=(TRIM(R$7)))*(GJ[Account Code]=(TRIM($D83))),GJ[Debit]))))-((SUM(IF((CkDJ[Ofc Code]=(TRIM(R$7)))*(CkDJ[Account Code]=(TRIM($D83))),CkDJ[Credit])))+(SUM(IF((CsDJ[Ofc Code]=(TRIM(R$7)))*(CsDJ[Account Code]=(TRIM($D83))),CsDJ[Credit])))+(SUM(IF((CRDJ[Ofc Code]=(TRIM(R$7)))*(CRDJ[Account Code]=(TRIM($D83))),CRDJ[Credit])))+(SUM(IF((GJ[Ofc Code]=(TRIM(R$7)))*(GJ[Account Code]=(TRIM($D83))),GJ[Credit]))))</f>
        <v>0</v>
      </c>
      <c r="S83" s="211">
        <f t="array" ref="S83">((SUM(IF((CkDJ[Ofc Code]=(TRIM(S$7)))*(CkDJ[Account Code]=(TRIM($D83))),CkDJ[Debit])))+(SUM(IF((CsDJ[Ofc Code]=(TRIM(S$7)))*(CsDJ[Account Code]=(TRIM($D83))),CsDJ[Debit])))+(SUM(IF((CRDJ[Ofc Code]=(TRIM(S$7)))*(CRDJ[Account Code]=(TRIM($D83))),CRDJ[Debit])))+(SUM(IF((GJ[Ofc Code]=(TRIM(S$7)))*(GJ[Account Code]=(TRIM($D83))),GJ[Debit]))))-((SUM(IF((CkDJ[Ofc Code]=(TRIM(S$7)))*(CkDJ[Account Code]=(TRIM($D83))),CkDJ[Credit])))+(SUM(IF((CsDJ[Ofc Code]=(TRIM(S$7)))*(CsDJ[Account Code]=(TRIM($D83))),CsDJ[Credit])))+(SUM(IF((CRDJ[Ofc Code]=(TRIM(S$7)))*(CRDJ[Account Code]=(TRIM($D83))),CRDJ[Credit])))+(SUM(IF((GJ[Ofc Code]=(TRIM(S$7)))*(GJ[Account Code]=(TRIM($D83))),GJ[Credit]))))</f>
        <v>0</v>
      </c>
      <c r="T83" s="211">
        <f t="array" ref="T83">((SUM(IF((CkDJ[Ofc Code]=(TRIM(T$7)))*(CkDJ[Account Code]=(TRIM($D83))),CkDJ[Debit])))+(SUM(IF((CsDJ[Ofc Code]=(TRIM(T$7)))*(CsDJ[Account Code]=(TRIM($D83))),CsDJ[Debit])))+(SUM(IF((CRDJ[Ofc Code]=(TRIM(T$7)))*(CRDJ[Account Code]=(TRIM($D83))),CRDJ[Debit])))+(SUM(IF((GJ[Ofc Code]=(TRIM(T$7)))*(GJ[Account Code]=(TRIM($D83))),GJ[Debit]))))-((SUM(IF((CkDJ[Ofc Code]=(TRIM(T$7)))*(CkDJ[Account Code]=(TRIM($D83))),CkDJ[Credit])))+(SUM(IF((CsDJ[Ofc Code]=(TRIM(T$7)))*(CsDJ[Account Code]=(TRIM($D83))),CsDJ[Credit])))+(SUM(IF((CRDJ[Ofc Code]=(TRIM(T$7)))*(CRDJ[Account Code]=(TRIM($D83))),CRDJ[Credit])))+(SUM(IF((GJ[Ofc Code]=(TRIM(T$7)))*(GJ[Account Code]=(TRIM($D83))),GJ[Credit]))))</f>
        <v>0</v>
      </c>
      <c r="U83" s="211">
        <f t="shared" si="17"/>
        <v>0</v>
      </c>
      <c r="V83" s="211">
        <f t="shared" si="18"/>
        <v>0</v>
      </c>
    </row>
    <row r="84" spans="1:22" ht="15">
      <c r="A84" s="212">
        <f t="shared" si="19"/>
        <v>22</v>
      </c>
      <c r="B84" s="214"/>
      <c r="C84" s="194" t="str">
        <f>IF(D84=0,"",(VLOOKUP((TRIM(D84)),Code,2,)))</f>
        <v>Janitorial Services</v>
      </c>
      <c r="D84" s="207" t="s">
        <v>249</v>
      </c>
      <c r="E84" s="211">
        <f t="array" ref="E84">((SUM(IF((CkDJ[Ofc Code]=(TRIM(E$7)))*(CkDJ[Account Code]=(TRIM($D84))),CkDJ[Debit])))+(SUM(IF((CsDJ[Ofc Code]=(TRIM(E$7)))*(CsDJ[Account Code]=(TRIM($D84))),CsDJ[Debit])))+(SUM(IF((CRDJ[Ofc Code]=(TRIM(E$7)))*(CRDJ[Account Code]=(TRIM($D84))),CRDJ[Debit])))+(SUM(IF((GJ[Ofc Code]=(TRIM(E$7)))*(GJ[Account Code]=(TRIM($D84))),GJ[Debit]))))-((SUM(IF((CkDJ[Ofc Code]=(TRIM(E$7)))*(CkDJ[Account Code]=(TRIM($D84))),CkDJ[Credit])))+(SUM(IF((CsDJ[Ofc Code]=(TRIM(E$7)))*(CsDJ[Account Code]=(TRIM($D84))),CsDJ[Credit])))+(SUM(IF((CRDJ[Ofc Code]=(TRIM(E$7)))*(CRDJ[Account Code]=(TRIM($D84))),CRDJ[Credit])))+(SUM(IF((GJ[Ofc Code]=(TRIM(E$7)))*(GJ[Account Code]=(TRIM($D84))),GJ[Credit]))))</f>
        <v>0</v>
      </c>
      <c r="F84" s="211">
        <f t="array" ref="F84">((SUM(IF((CkDJ[Ofc Code]=(TRIM(F$7)))*(CkDJ[Account Code]=(TRIM($D84))),CkDJ[Debit])))+(SUM(IF((CsDJ[Ofc Code]=(TRIM(F$7)))*(CsDJ[Account Code]=(TRIM($D84))),CsDJ[Debit])))+(SUM(IF((CRDJ[Ofc Code]=(TRIM(F$7)))*(CRDJ[Account Code]=(TRIM($D84))),CRDJ[Debit])))+(SUM(IF((GJ[Ofc Code]=(TRIM(F$7)))*(GJ[Account Code]=(TRIM($D84))),GJ[Debit]))))-((SUM(IF((CkDJ[Ofc Code]=(TRIM(F$7)))*(CkDJ[Account Code]=(TRIM($D84))),CkDJ[Credit])))+(SUM(IF((CsDJ[Ofc Code]=(TRIM(F$7)))*(CsDJ[Account Code]=(TRIM($D84))),CsDJ[Credit])))+(SUM(IF((CRDJ[Ofc Code]=(TRIM(F$7)))*(CRDJ[Account Code]=(TRIM($D84))),CRDJ[Credit])))+(SUM(IF((GJ[Ofc Code]=(TRIM(F$7)))*(GJ[Account Code]=(TRIM($D84))),GJ[Credit]))))</f>
        <v>0</v>
      </c>
      <c r="G84" s="211">
        <f t="array" ref="G84">((SUM(IF((CkDJ[Ofc Code]=(TRIM(G$7)))*(CkDJ[Account Code]=(TRIM($D84))),CkDJ[Debit])))+(SUM(IF((CsDJ[Ofc Code]=(TRIM(G$7)))*(CsDJ[Account Code]=(TRIM($D84))),CsDJ[Debit])))+(SUM(IF((CRDJ[Ofc Code]=(TRIM(G$7)))*(CRDJ[Account Code]=(TRIM($D84))),CRDJ[Debit])))+(SUM(IF((GJ[Ofc Code]=(TRIM(G$7)))*(GJ[Account Code]=(TRIM($D84))),GJ[Debit]))))-((SUM(IF((CkDJ[Ofc Code]=(TRIM(G$7)))*(CkDJ[Account Code]=(TRIM($D84))),CkDJ[Credit])))+(SUM(IF((CsDJ[Ofc Code]=(TRIM(G$7)))*(CsDJ[Account Code]=(TRIM($D84))),CsDJ[Credit])))+(SUM(IF((CRDJ[Ofc Code]=(TRIM(G$7)))*(CRDJ[Account Code]=(TRIM($D84))),CRDJ[Credit])))+(SUM(IF((GJ[Ofc Code]=(TRIM(G$7)))*(GJ[Account Code]=(TRIM($D84))),GJ[Credit]))))</f>
        <v>0</v>
      </c>
      <c r="H84" s="211">
        <f t="array" ref="H84">((SUM(IF((CkDJ[Ofc Code]=(TRIM(H$7)))*(CkDJ[Account Code]=(TRIM($D84))),CkDJ[Debit])))+(SUM(IF((CsDJ[Ofc Code]=(TRIM(H$7)))*(CsDJ[Account Code]=(TRIM($D84))),CsDJ[Debit])))+(SUM(IF((CRDJ[Ofc Code]=(TRIM(H$7)))*(CRDJ[Account Code]=(TRIM($D84))),CRDJ[Debit])))+(SUM(IF((GJ[Ofc Code]=(TRIM(H$7)))*(GJ[Account Code]=(TRIM($D84))),GJ[Debit]))))-((SUM(IF((CkDJ[Ofc Code]=(TRIM(H$7)))*(CkDJ[Account Code]=(TRIM($D84))),CkDJ[Credit])))+(SUM(IF((CsDJ[Ofc Code]=(TRIM(H$7)))*(CsDJ[Account Code]=(TRIM($D84))),CsDJ[Credit])))+(SUM(IF((CRDJ[Ofc Code]=(TRIM(H$7)))*(CRDJ[Account Code]=(TRIM($D84))),CRDJ[Credit])))+(SUM(IF((GJ[Ofc Code]=(TRIM(H$7)))*(GJ[Account Code]=(TRIM($D84))),GJ[Credit]))))</f>
        <v>0</v>
      </c>
      <c r="I84" s="211">
        <f t="array" ref="I84">((SUM(IF((CkDJ[Ofc Code]=(TRIM(I$7)))*(CkDJ[Account Code]=(TRIM($D84))),CkDJ[Debit])))+(SUM(IF((CsDJ[Ofc Code]=(TRIM(I$7)))*(CsDJ[Account Code]=(TRIM($D84))),CsDJ[Debit])))+(SUM(IF((CRDJ[Ofc Code]=(TRIM(I$7)))*(CRDJ[Account Code]=(TRIM($D84))),CRDJ[Debit])))+(SUM(IF((GJ[Ofc Code]=(TRIM(I$7)))*(GJ[Account Code]=(TRIM($D84))),GJ[Debit]))))-((SUM(IF((CkDJ[Ofc Code]=(TRIM(I$7)))*(CkDJ[Account Code]=(TRIM($D84))),CkDJ[Credit])))+(SUM(IF((CsDJ[Ofc Code]=(TRIM(I$7)))*(CsDJ[Account Code]=(TRIM($D84))),CsDJ[Credit])))+(SUM(IF((CRDJ[Ofc Code]=(TRIM(I$7)))*(CRDJ[Account Code]=(TRIM($D84))),CRDJ[Credit])))+(SUM(IF((GJ[Ofc Code]=(TRIM(I$7)))*(GJ[Account Code]=(TRIM($D84))),GJ[Credit]))))</f>
        <v>0</v>
      </c>
      <c r="J84" s="211">
        <f>SUM(F84:I84)</f>
        <v>0</v>
      </c>
      <c r="K84" s="211">
        <f t="array" ref="K84">((SUM(IF((CkDJ[Ofc Code]=(TRIM(K$7)))*(CkDJ[Account Code]=(TRIM($D84))),CkDJ[Debit])))+(SUM(IF((CsDJ[Ofc Code]=(TRIM(K$7)))*(CsDJ[Account Code]=(TRIM($D84))),CsDJ[Debit])))+(SUM(IF((CRDJ[Ofc Code]=(TRIM(K$7)))*(CRDJ[Account Code]=(TRIM($D84))),CRDJ[Debit])))+(SUM(IF((GJ[Ofc Code]=(TRIM(K$7)))*(GJ[Account Code]=(TRIM($D84))),GJ[Debit]))))-((SUM(IF((CkDJ[Ofc Code]=(TRIM(K$7)))*(CkDJ[Account Code]=(TRIM($D84))),CkDJ[Credit])))+(SUM(IF((CsDJ[Ofc Code]=(TRIM(K$7)))*(CsDJ[Account Code]=(TRIM($D84))),CsDJ[Credit])))+(SUM(IF((CRDJ[Ofc Code]=(TRIM(K$7)))*(CRDJ[Account Code]=(TRIM($D84))),CRDJ[Credit])))+(SUM(IF((GJ[Ofc Code]=(TRIM(K$7)))*(GJ[Account Code]=(TRIM($D84))),GJ[Credit]))))</f>
        <v>0</v>
      </c>
      <c r="L84" s="211">
        <f t="array" ref="L84">((SUM(IF((CkDJ[Ofc Code]=(TRIM(L$7)))*(CkDJ[Account Code]=(TRIM($D84))),CkDJ[Debit])))+(SUM(IF((CsDJ[Ofc Code]=(TRIM(L$7)))*(CsDJ[Account Code]=(TRIM($D84))),CsDJ[Debit])))+(SUM(IF((CRDJ[Ofc Code]=(TRIM(L$7)))*(CRDJ[Account Code]=(TRIM($D84))),CRDJ[Debit])))+(SUM(IF((GJ[Ofc Code]=(TRIM(L$7)))*(GJ[Account Code]=(TRIM($D84))),GJ[Debit]))))-((SUM(IF((CkDJ[Ofc Code]=(TRIM(L$7)))*(CkDJ[Account Code]=(TRIM($D84))),CkDJ[Credit])))+(SUM(IF((CsDJ[Ofc Code]=(TRIM(L$7)))*(CsDJ[Account Code]=(TRIM($D84))),CsDJ[Credit])))+(SUM(IF((CRDJ[Ofc Code]=(TRIM(L$7)))*(CRDJ[Account Code]=(TRIM($D84))),CRDJ[Credit])))+(SUM(IF((GJ[Ofc Code]=(TRIM(L$7)))*(GJ[Account Code]=(TRIM($D84))),GJ[Credit]))))</f>
        <v>0</v>
      </c>
      <c r="M84" s="211">
        <f t="array" ref="M84">((SUM(IF((CkDJ[Ofc Code]=(TRIM(M$7)))*(CkDJ[Account Code]=(TRIM($D84))),CkDJ[Debit])))+(SUM(IF((CsDJ[Ofc Code]=(TRIM(M$7)))*(CsDJ[Account Code]=(TRIM($D84))),CsDJ[Debit])))+(SUM(IF((CRDJ[Ofc Code]=(TRIM(M$7)))*(CRDJ[Account Code]=(TRIM($D84))),CRDJ[Debit])))+(SUM(IF((GJ[Ofc Code]=(TRIM(M$7)))*(GJ[Account Code]=(TRIM($D84))),GJ[Debit]))))-((SUM(IF((CkDJ[Ofc Code]=(TRIM(M$7)))*(CkDJ[Account Code]=(TRIM($D84))),CkDJ[Credit])))+(SUM(IF((CsDJ[Ofc Code]=(TRIM(M$7)))*(CsDJ[Account Code]=(TRIM($D84))),CsDJ[Credit])))+(SUM(IF((CRDJ[Ofc Code]=(TRIM(M$7)))*(CRDJ[Account Code]=(TRIM($D84))),CRDJ[Credit])))+(SUM(IF((GJ[Ofc Code]=(TRIM(M$7)))*(GJ[Account Code]=(TRIM($D84))),GJ[Credit]))))</f>
        <v>0</v>
      </c>
      <c r="N84" s="211">
        <f t="array" ref="N84">((SUM(IF((CkDJ[Ofc Code]=(TRIM(N$7)))*(CkDJ[Account Code]=(TRIM($D84))),CkDJ[Debit])))+(SUM(IF((CsDJ[Ofc Code]=(TRIM(N$7)))*(CsDJ[Account Code]=(TRIM($D84))),CsDJ[Debit])))+(SUM(IF((CRDJ[Ofc Code]=(TRIM(N$7)))*(CRDJ[Account Code]=(TRIM($D84))),CRDJ[Debit])))+(SUM(IF((GJ[Ofc Code]=(TRIM(N$7)))*(GJ[Account Code]=(TRIM($D84))),GJ[Debit]))))-((SUM(IF((CkDJ[Ofc Code]=(TRIM(N$7)))*(CkDJ[Account Code]=(TRIM($D84))),CkDJ[Credit])))+(SUM(IF((CsDJ[Ofc Code]=(TRIM(N$7)))*(CsDJ[Account Code]=(TRIM($D84))),CsDJ[Credit])))+(SUM(IF((CRDJ[Ofc Code]=(TRIM(N$7)))*(CRDJ[Account Code]=(TRIM($D84))),CRDJ[Credit])))+(SUM(IF((GJ[Ofc Code]=(TRIM(N$7)))*(GJ[Account Code]=(TRIM($D84))),GJ[Credit]))))</f>
        <v>0</v>
      </c>
      <c r="O84" s="211">
        <f>SUM(K84:N84)</f>
        <v>0</v>
      </c>
      <c r="P84" s="211">
        <f t="array" ref="P84">((SUM(IF((CkDJ[Ofc Code]=(TRIM(P$7)))*(CkDJ[Account Code]=(TRIM($D84))),CkDJ[Debit])))+(SUM(IF((CsDJ[Ofc Code]=(TRIM(P$7)))*(CsDJ[Account Code]=(TRIM($D84))),CsDJ[Debit])))+(SUM(IF((CRDJ[Ofc Code]=(TRIM(P$7)))*(CRDJ[Account Code]=(TRIM($D84))),CRDJ[Debit])))+(SUM(IF((GJ[Ofc Code]=(TRIM(P$7)))*(GJ[Account Code]=(TRIM($D84))),GJ[Debit]))))-((SUM(IF((CkDJ[Ofc Code]=(TRIM(P$7)))*(CkDJ[Account Code]=(TRIM($D84))),CkDJ[Credit])))+(SUM(IF((CsDJ[Ofc Code]=(TRIM(P$7)))*(CsDJ[Account Code]=(TRIM($D84))),CsDJ[Credit])))+(SUM(IF((CRDJ[Ofc Code]=(TRIM(P$7)))*(CRDJ[Account Code]=(TRIM($D84))),CRDJ[Credit])))+(SUM(IF((GJ[Ofc Code]=(TRIM(P$7)))*(GJ[Account Code]=(TRIM($D84))),GJ[Credit]))))</f>
        <v>0</v>
      </c>
      <c r="Q84" s="211">
        <f t="array" ref="Q84">((SUM(IF((CkDJ[Ofc Code]=(TRIM(Q$7)))*(CkDJ[Account Code]=(TRIM($D84))),CkDJ[Debit])))+(SUM(IF((CsDJ[Ofc Code]=(TRIM(Q$7)))*(CsDJ[Account Code]=(TRIM($D84))),CsDJ[Debit])))+(SUM(IF((CRDJ[Ofc Code]=(TRIM(Q$7)))*(CRDJ[Account Code]=(TRIM($D84))),CRDJ[Debit])))+(SUM(IF((GJ[Ofc Code]=(TRIM(Q$7)))*(GJ[Account Code]=(TRIM($D84))),GJ[Debit]))))-((SUM(IF((CkDJ[Ofc Code]=(TRIM(Q$7)))*(CkDJ[Account Code]=(TRIM($D84))),CkDJ[Credit])))+(SUM(IF((CsDJ[Ofc Code]=(TRIM(Q$7)))*(CsDJ[Account Code]=(TRIM($D84))),CsDJ[Credit])))+(SUM(IF((CRDJ[Ofc Code]=(TRIM(Q$7)))*(CRDJ[Account Code]=(TRIM($D84))),CRDJ[Credit])))+(SUM(IF((GJ[Ofc Code]=(TRIM(Q$7)))*(GJ[Account Code]=(TRIM($D84))),GJ[Credit]))))</f>
        <v>0</v>
      </c>
      <c r="R84" s="211">
        <f t="array" ref="R84">((SUM(IF((CkDJ[Ofc Code]=(TRIM(R$7)))*(CkDJ[Account Code]=(TRIM($D84))),CkDJ[Debit])))+(SUM(IF((CsDJ[Ofc Code]=(TRIM(R$7)))*(CsDJ[Account Code]=(TRIM($D84))),CsDJ[Debit])))+(SUM(IF((CRDJ[Ofc Code]=(TRIM(R$7)))*(CRDJ[Account Code]=(TRIM($D84))),CRDJ[Debit])))+(SUM(IF((GJ[Ofc Code]=(TRIM(R$7)))*(GJ[Account Code]=(TRIM($D84))),GJ[Debit]))))-((SUM(IF((CkDJ[Ofc Code]=(TRIM(R$7)))*(CkDJ[Account Code]=(TRIM($D84))),CkDJ[Credit])))+(SUM(IF((CsDJ[Ofc Code]=(TRIM(R$7)))*(CsDJ[Account Code]=(TRIM($D84))),CsDJ[Credit])))+(SUM(IF((CRDJ[Ofc Code]=(TRIM(R$7)))*(CRDJ[Account Code]=(TRIM($D84))),CRDJ[Credit])))+(SUM(IF((GJ[Ofc Code]=(TRIM(R$7)))*(GJ[Account Code]=(TRIM($D84))),GJ[Credit]))))</f>
        <v>0</v>
      </c>
      <c r="S84" s="211">
        <f t="array" ref="S84">((SUM(IF((CkDJ[Ofc Code]=(TRIM(S$7)))*(CkDJ[Account Code]=(TRIM($D84))),CkDJ[Debit])))+(SUM(IF((CsDJ[Ofc Code]=(TRIM(S$7)))*(CsDJ[Account Code]=(TRIM($D84))),CsDJ[Debit])))+(SUM(IF((CRDJ[Ofc Code]=(TRIM(S$7)))*(CRDJ[Account Code]=(TRIM($D84))),CRDJ[Debit])))+(SUM(IF((GJ[Ofc Code]=(TRIM(S$7)))*(GJ[Account Code]=(TRIM($D84))),GJ[Debit]))))-((SUM(IF((CkDJ[Ofc Code]=(TRIM(S$7)))*(CkDJ[Account Code]=(TRIM($D84))),CkDJ[Credit])))+(SUM(IF((CsDJ[Ofc Code]=(TRIM(S$7)))*(CsDJ[Account Code]=(TRIM($D84))),CsDJ[Credit])))+(SUM(IF((CRDJ[Ofc Code]=(TRIM(S$7)))*(CRDJ[Account Code]=(TRIM($D84))),CRDJ[Credit])))+(SUM(IF((GJ[Ofc Code]=(TRIM(S$7)))*(GJ[Account Code]=(TRIM($D84))),GJ[Credit]))))</f>
        <v>0</v>
      </c>
      <c r="T84" s="211">
        <f t="array" ref="T84">((SUM(IF((CkDJ[Ofc Code]=(TRIM(T$7)))*(CkDJ[Account Code]=(TRIM($D84))),CkDJ[Debit])))+(SUM(IF((CsDJ[Ofc Code]=(TRIM(T$7)))*(CsDJ[Account Code]=(TRIM($D84))),CsDJ[Debit])))+(SUM(IF((CRDJ[Ofc Code]=(TRIM(T$7)))*(CRDJ[Account Code]=(TRIM($D84))),CRDJ[Debit])))+(SUM(IF((GJ[Ofc Code]=(TRIM(T$7)))*(GJ[Account Code]=(TRIM($D84))),GJ[Debit]))))-((SUM(IF((CkDJ[Ofc Code]=(TRIM(T$7)))*(CkDJ[Account Code]=(TRIM($D84))),CkDJ[Credit])))+(SUM(IF((CsDJ[Ofc Code]=(TRIM(T$7)))*(CsDJ[Account Code]=(TRIM($D84))),CsDJ[Credit])))+(SUM(IF((CRDJ[Ofc Code]=(TRIM(T$7)))*(CRDJ[Account Code]=(TRIM($D84))),CRDJ[Credit])))+(SUM(IF((GJ[Ofc Code]=(TRIM(T$7)))*(GJ[Account Code]=(TRIM($D84))),GJ[Credit]))))</f>
        <v>0</v>
      </c>
      <c r="U84" s="211">
        <f>SUM(P84:T84)</f>
        <v>0</v>
      </c>
      <c r="V84" s="211">
        <f>E84+J84+O84+U84</f>
        <v>0</v>
      </c>
    </row>
    <row r="85" spans="1:22" ht="15">
      <c r="A85" s="212">
        <f t="shared" si="19"/>
        <v>23</v>
      </c>
      <c r="B85" s="214"/>
      <c r="C85" s="194" t="str">
        <f>IF(D85=0,"",(VLOOKUP((TRIM(D85)),Code,2,)))</f>
        <v>Other Professional Services</v>
      </c>
      <c r="D85" s="207" t="s">
        <v>250</v>
      </c>
      <c r="E85" s="211">
        <f t="array" ref="E85">((SUM(IF((CkDJ[Ofc Code]=(TRIM(E$7)))*(CkDJ[Account Code]=(TRIM($D85))),CkDJ[Debit])))+(SUM(IF((CsDJ[Ofc Code]=(TRIM(E$7)))*(CsDJ[Account Code]=(TRIM($D85))),CsDJ[Debit])))+(SUM(IF((CRDJ[Ofc Code]=(TRIM(E$7)))*(CRDJ[Account Code]=(TRIM($D85))),CRDJ[Debit])))+(SUM(IF((GJ[Ofc Code]=(TRIM(E$7)))*(GJ[Account Code]=(TRIM($D85))),GJ[Debit]))))-((SUM(IF((CkDJ[Ofc Code]=(TRIM(E$7)))*(CkDJ[Account Code]=(TRIM($D85))),CkDJ[Credit])))+(SUM(IF((CsDJ[Ofc Code]=(TRIM(E$7)))*(CsDJ[Account Code]=(TRIM($D85))),CsDJ[Credit])))+(SUM(IF((CRDJ[Ofc Code]=(TRIM(E$7)))*(CRDJ[Account Code]=(TRIM($D85))),CRDJ[Credit])))+(SUM(IF((GJ[Ofc Code]=(TRIM(E$7)))*(GJ[Account Code]=(TRIM($D85))),GJ[Credit]))))</f>
        <v>0</v>
      </c>
      <c r="F85" s="211">
        <f t="array" ref="F85">((SUM(IF((CkDJ[Ofc Code]=(TRIM(F$7)))*(CkDJ[Account Code]=(TRIM($D85))),CkDJ[Debit])))+(SUM(IF((CsDJ[Ofc Code]=(TRIM(F$7)))*(CsDJ[Account Code]=(TRIM($D85))),CsDJ[Debit])))+(SUM(IF((CRDJ[Ofc Code]=(TRIM(F$7)))*(CRDJ[Account Code]=(TRIM($D85))),CRDJ[Debit])))+(SUM(IF((GJ[Ofc Code]=(TRIM(F$7)))*(GJ[Account Code]=(TRIM($D85))),GJ[Debit]))))-((SUM(IF((CkDJ[Ofc Code]=(TRIM(F$7)))*(CkDJ[Account Code]=(TRIM($D85))),CkDJ[Credit])))+(SUM(IF((CsDJ[Ofc Code]=(TRIM(F$7)))*(CsDJ[Account Code]=(TRIM($D85))),CsDJ[Credit])))+(SUM(IF((CRDJ[Ofc Code]=(TRIM(F$7)))*(CRDJ[Account Code]=(TRIM($D85))),CRDJ[Credit])))+(SUM(IF((GJ[Ofc Code]=(TRIM(F$7)))*(GJ[Account Code]=(TRIM($D85))),GJ[Credit]))))</f>
        <v>0</v>
      </c>
      <c r="G85" s="211">
        <f t="array" ref="G85">((SUM(IF((CkDJ[Ofc Code]=(TRIM(G$7)))*(CkDJ[Account Code]=(TRIM($D85))),CkDJ[Debit])))+(SUM(IF((CsDJ[Ofc Code]=(TRIM(G$7)))*(CsDJ[Account Code]=(TRIM($D85))),CsDJ[Debit])))+(SUM(IF((CRDJ[Ofc Code]=(TRIM(G$7)))*(CRDJ[Account Code]=(TRIM($D85))),CRDJ[Debit])))+(SUM(IF((GJ[Ofc Code]=(TRIM(G$7)))*(GJ[Account Code]=(TRIM($D85))),GJ[Debit]))))-((SUM(IF((CkDJ[Ofc Code]=(TRIM(G$7)))*(CkDJ[Account Code]=(TRIM($D85))),CkDJ[Credit])))+(SUM(IF((CsDJ[Ofc Code]=(TRIM(G$7)))*(CsDJ[Account Code]=(TRIM($D85))),CsDJ[Credit])))+(SUM(IF((CRDJ[Ofc Code]=(TRIM(G$7)))*(CRDJ[Account Code]=(TRIM($D85))),CRDJ[Credit])))+(SUM(IF((GJ[Ofc Code]=(TRIM(G$7)))*(GJ[Account Code]=(TRIM($D85))),GJ[Credit]))))</f>
        <v>0</v>
      </c>
      <c r="H85" s="211">
        <f t="array" ref="H85">((SUM(IF((CkDJ[Ofc Code]=(TRIM(H$7)))*(CkDJ[Account Code]=(TRIM($D85))),CkDJ[Debit])))+(SUM(IF((CsDJ[Ofc Code]=(TRIM(H$7)))*(CsDJ[Account Code]=(TRIM($D85))),CsDJ[Debit])))+(SUM(IF((CRDJ[Ofc Code]=(TRIM(H$7)))*(CRDJ[Account Code]=(TRIM($D85))),CRDJ[Debit])))+(SUM(IF((GJ[Ofc Code]=(TRIM(H$7)))*(GJ[Account Code]=(TRIM($D85))),GJ[Debit]))))-((SUM(IF((CkDJ[Ofc Code]=(TRIM(H$7)))*(CkDJ[Account Code]=(TRIM($D85))),CkDJ[Credit])))+(SUM(IF((CsDJ[Ofc Code]=(TRIM(H$7)))*(CsDJ[Account Code]=(TRIM($D85))),CsDJ[Credit])))+(SUM(IF((CRDJ[Ofc Code]=(TRIM(H$7)))*(CRDJ[Account Code]=(TRIM($D85))),CRDJ[Credit])))+(SUM(IF((GJ[Ofc Code]=(TRIM(H$7)))*(GJ[Account Code]=(TRIM($D85))),GJ[Credit]))))</f>
        <v>0</v>
      </c>
      <c r="I85" s="211">
        <f t="array" ref="I85">((SUM(IF((CkDJ[Ofc Code]=(TRIM(I$7)))*(CkDJ[Account Code]=(TRIM($D85))),CkDJ[Debit])))+(SUM(IF((CsDJ[Ofc Code]=(TRIM(I$7)))*(CsDJ[Account Code]=(TRIM($D85))),CsDJ[Debit])))+(SUM(IF((CRDJ[Ofc Code]=(TRIM(I$7)))*(CRDJ[Account Code]=(TRIM($D85))),CRDJ[Debit])))+(SUM(IF((GJ[Ofc Code]=(TRIM(I$7)))*(GJ[Account Code]=(TRIM($D85))),GJ[Debit]))))-((SUM(IF((CkDJ[Ofc Code]=(TRIM(I$7)))*(CkDJ[Account Code]=(TRIM($D85))),CkDJ[Credit])))+(SUM(IF((CsDJ[Ofc Code]=(TRIM(I$7)))*(CsDJ[Account Code]=(TRIM($D85))),CsDJ[Credit])))+(SUM(IF((CRDJ[Ofc Code]=(TRIM(I$7)))*(CRDJ[Account Code]=(TRIM($D85))),CRDJ[Credit])))+(SUM(IF((GJ[Ofc Code]=(TRIM(I$7)))*(GJ[Account Code]=(TRIM($D85))),GJ[Credit]))))</f>
        <v>0</v>
      </c>
      <c r="J85" s="211">
        <f>SUM(F85:I85)</f>
        <v>0</v>
      </c>
      <c r="K85" s="211">
        <f t="array" ref="K85">((SUM(IF((CkDJ[Ofc Code]=(TRIM(K$7)))*(CkDJ[Account Code]=(TRIM($D85))),CkDJ[Debit])))+(SUM(IF((CsDJ[Ofc Code]=(TRIM(K$7)))*(CsDJ[Account Code]=(TRIM($D85))),CsDJ[Debit])))+(SUM(IF((CRDJ[Ofc Code]=(TRIM(K$7)))*(CRDJ[Account Code]=(TRIM($D85))),CRDJ[Debit])))+(SUM(IF((GJ[Ofc Code]=(TRIM(K$7)))*(GJ[Account Code]=(TRIM($D85))),GJ[Debit]))))-((SUM(IF((CkDJ[Ofc Code]=(TRIM(K$7)))*(CkDJ[Account Code]=(TRIM($D85))),CkDJ[Credit])))+(SUM(IF((CsDJ[Ofc Code]=(TRIM(K$7)))*(CsDJ[Account Code]=(TRIM($D85))),CsDJ[Credit])))+(SUM(IF((CRDJ[Ofc Code]=(TRIM(K$7)))*(CRDJ[Account Code]=(TRIM($D85))),CRDJ[Credit])))+(SUM(IF((GJ[Ofc Code]=(TRIM(K$7)))*(GJ[Account Code]=(TRIM($D85))),GJ[Credit]))))</f>
        <v>0</v>
      </c>
      <c r="L85" s="211">
        <f t="array" ref="L85">((SUM(IF((CkDJ[Ofc Code]=(TRIM(L$7)))*(CkDJ[Account Code]=(TRIM($D85))),CkDJ[Debit])))+(SUM(IF((CsDJ[Ofc Code]=(TRIM(L$7)))*(CsDJ[Account Code]=(TRIM($D85))),CsDJ[Debit])))+(SUM(IF((CRDJ[Ofc Code]=(TRIM(L$7)))*(CRDJ[Account Code]=(TRIM($D85))),CRDJ[Debit])))+(SUM(IF((GJ[Ofc Code]=(TRIM(L$7)))*(GJ[Account Code]=(TRIM($D85))),GJ[Debit]))))-((SUM(IF((CkDJ[Ofc Code]=(TRIM(L$7)))*(CkDJ[Account Code]=(TRIM($D85))),CkDJ[Credit])))+(SUM(IF((CsDJ[Ofc Code]=(TRIM(L$7)))*(CsDJ[Account Code]=(TRIM($D85))),CsDJ[Credit])))+(SUM(IF((CRDJ[Ofc Code]=(TRIM(L$7)))*(CRDJ[Account Code]=(TRIM($D85))),CRDJ[Credit])))+(SUM(IF((GJ[Ofc Code]=(TRIM(L$7)))*(GJ[Account Code]=(TRIM($D85))),GJ[Credit]))))</f>
        <v>0</v>
      </c>
      <c r="M85" s="211">
        <f t="array" ref="M85">((SUM(IF((CkDJ[Ofc Code]=(TRIM(M$7)))*(CkDJ[Account Code]=(TRIM($D85))),CkDJ[Debit])))+(SUM(IF((CsDJ[Ofc Code]=(TRIM(M$7)))*(CsDJ[Account Code]=(TRIM($D85))),CsDJ[Debit])))+(SUM(IF((CRDJ[Ofc Code]=(TRIM(M$7)))*(CRDJ[Account Code]=(TRIM($D85))),CRDJ[Debit])))+(SUM(IF((GJ[Ofc Code]=(TRIM(M$7)))*(GJ[Account Code]=(TRIM($D85))),GJ[Debit]))))-((SUM(IF((CkDJ[Ofc Code]=(TRIM(M$7)))*(CkDJ[Account Code]=(TRIM($D85))),CkDJ[Credit])))+(SUM(IF((CsDJ[Ofc Code]=(TRIM(M$7)))*(CsDJ[Account Code]=(TRIM($D85))),CsDJ[Credit])))+(SUM(IF((CRDJ[Ofc Code]=(TRIM(M$7)))*(CRDJ[Account Code]=(TRIM($D85))),CRDJ[Credit])))+(SUM(IF((GJ[Ofc Code]=(TRIM(M$7)))*(GJ[Account Code]=(TRIM($D85))),GJ[Credit]))))</f>
        <v>0</v>
      </c>
      <c r="N85" s="211">
        <f t="array" ref="N85">((SUM(IF((CkDJ[Ofc Code]=(TRIM(N$7)))*(CkDJ[Account Code]=(TRIM($D85))),CkDJ[Debit])))+(SUM(IF((CsDJ[Ofc Code]=(TRIM(N$7)))*(CsDJ[Account Code]=(TRIM($D85))),CsDJ[Debit])))+(SUM(IF((CRDJ[Ofc Code]=(TRIM(N$7)))*(CRDJ[Account Code]=(TRIM($D85))),CRDJ[Debit])))+(SUM(IF((GJ[Ofc Code]=(TRIM(N$7)))*(GJ[Account Code]=(TRIM($D85))),GJ[Debit]))))-((SUM(IF((CkDJ[Ofc Code]=(TRIM(N$7)))*(CkDJ[Account Code]=(TRIM($D85))),CkDJ[Credit])))+(SUM(IF((CsDJ[Ofc Code]=(TRIM(N$7)))*(CsDJ[Account Code]=(TRIM($D85))),CsDJ[Credit])))+(SUM(IF((CRDJ[Ofc Code]=(TRIM(N$7)))*(CRDJ[Account Code]=(TRIM($D85))),CRDJ[Credit])))+(SUM(IF((GJ[Ofc Code]=(TRIM(N$7)))*(GJ[Account Code]=(TRIM($D85))),GJ[Credit]))))</f>
        <v>0</v>
      </c>
      <c r="O85" s="211">
        <f>SUM(K85:N85)</f>
        <v>0</v>
      </c>
      <c r="P85" s="211">
        <f t="array" ref="P85">((SUM(IF((CkDJ[Ofc Code]=(TRIM(P$7)))*(CkDJ[Account Code]=(TRIM($D85))),CkDJ[Debit])))+(SUM(IF((CsDJ[Ofc Code]=(TRIM(P$7)))*(CsDJ[Account Code]=(TRIM($D85))),CsDJ[Debit])))+(SUM(IF((CRDJ[Ofc Code]=(TRIM(P$7)))*(CRDJ[Account Code]=(TRIM($D85))),CRDJ[Debit])))+(SUM(IF((GJ[Ofc Code]=(TRIM(P$7)))*(GJ[Account Code]=(TRIM($D85))),GJ[Debit]))))-((SUM(IF((CkDJ[Ofc Code]=(TRIM(P$7)))*(CkDJ[Account Code]=(TRIM($D85))),CkDJ[Credit])))+(SUM(IF((CsDJ[Ofc Code]=(TRIM(P$7)))*(CsDJ[Account Code]=(TRIM($D85))),CsDJ[Credit])))+(SUM(IF((CRDJ[Ofc Code]=(TRIM(P$7)))*(CRDJ[Account Code]=(TRIM($D85))),CRDJ[Credit])))+(SUM(IF((GJ[Ofc Code]=(TRIM(P$7)))*(GJ[Account Code]=(TRIM($D85))),GJ[Credit]))))</f>
        <v>0</v>
      </c>
      <c r="Q85" s="211">
        <f t="array" ref="Q85">((SUM(IF((CkDJ[Ofc Code]=(TRIM(Q$7)))*(CkDJ[Account Code]=(TRIM($D85))),CkDJ[Debit])))+(SUM(IF((CsDJ[Ofc Code]=(TRIM(Q$7)))*(CsDJ[Account Code]=(TRIM($D85))),CsDJ[Debit])))+(SUM(IF((CRDJ[Ofc Code]=(TRIM(Q$7)))*(CRDJ[Account Code]=(TRIM($D85))),CRDJ[Debit])))+(SUM(IF((GJ[Ofc Code]=(TRIM(Q$7)))*(GJ[Account Code]=(TRIM($D85))),GJ[Debit]))))-((SUM(IF((CkDJ[Ofc Code]=(TRIM(Q$7)))*(CkDJ[Account Code]=(TRIM($D85))),CkDJ[Credit])))+(SUM(IF((CsDJ[Ofc Code]=(TRIM(Q$7)))*(CsDJ[Account Code]=(TRIM($D85))),CsDJ[Credit])))+(SUM(IF((CRDJ[Ofc Code]=(TRIM(Q$7)))*(CRDJ[Account Code]=(TRIM($D85))),CRDJ[Credit])))+(SUM(IF((GJ[Ofc Code]=(TRIM(Q$7)))*(GJ[Account Code]=(TRIM($D85))),GJ[Credit]))))</f>
        <v>0</v>
      </c>
      <c r="R85" s="211">
        <f t="array" ref="R85">((SUM(IF((CkDJ[Ofc Code]=(TRIM(R$7)))*(CkDJ[Account Code]=(TRIM($D85))),CkDJ[Debit])))+(SUM(IF((CsDJ[Ofc Code]=(TRIM(R$7)))*(CsDJ[Account Code]=(TRIM($D85))),CsDJ[Debit])))+(SUM(IF((CRDJ[Ofc Code]=(TRIM(R$7)))*(CRDJ[Account Code]=(TRIM($D85))),CRDJ[Debit])))+(SUM(IF((GJ[Ofc Code]=(TRIM(R$7)))*(GJ[Account Code]=(TRIM($D85))),GJ[Debit]))))-((SUM(IF((CkDJ[Ofc Code]=(TRIM(R$7)))*(CkDJ[Account Code]=(TRIM($D85))),CkDJ[Credit])))+(SUM(IF((CsDJ[Ofc Code]=(TRIM(R$7)))*(CsDJ[Account Code]=(TRIM($D85))),CsDJ[Credit])))+(SUM(IF((CRDJ[Ofc Code]=(TRIM(R$7)))*(CRDJ[Account Code]=(TRIM($D85))),CRDJ[Credit])))+(SUM(IF((GJ[Ofc Code]=(TRIM(R$7)))*(GJ[Account Code]=(TRIM($D85))),GJ[Credit]))))</f>
        <v>0</v>
      </c>
      <c r="S85" s="211">
        <f t="array" ref="S85">((SUM(IF((CkDJ[Ofc Code]=(TRIM(S$7)))*(CkDJ[Account Code]=(TRIM($D85))),CkDJ[Debit])))+(SUM(IF((CsDJ[Ofc Code]=(TRIM(S$7)))*(CsDJ[Account Code]=(TRIM($D85))),CsDJ[Debit])))+(SUM(IF((CRDJ[Ofc Code]=(TRIM(S$7)))*(CRDJ[Account Code]=(TRIM($D85))),CRDJ[Debit])))+(SUM(IF((GJ[Ofc Code]=(TRIM(S$7)))*(GJ[Account Code]=(TRIM($D85))),GJ[Debit]))))-((SUM(IF((CkDJ[Ofc Code]=(TRIM(S$7)))*(CkDJ[Account Code]=(TRIM($D85))),CkDJ[Credit])))+(SUM(IF((CsDJ[Ofc Code]=(TRIM(S$7)))*(CsDJ[Account Code]=(TRIM($D85))),CsDJ[Credit])))+(SUM(IF((CRDJ[Ofc Code]=(TRIM(S$7)))*(CRDJ[Account Code]=(TRIM($D85))),CRDJ[Credit])))+(SUM(IF((GJ[Ofc Code]=(TRIM(S$7)))*(GJ[Account Code]=(TRIM($D85))),GJ[Credit]))))</f>
        <v>0</v>
      </c>
      <c r="T85" s="211">
        <f t="array" ref="T85">((SUM(IF((CkDJ[Ofc Code]=(TRIM(T$7)))*(CkDJ[Account Code]=(TRIM($D85))),CkDJ[Debit])))+(SUM(IF((CsDJ[Ofc Code]=(TRIM(T$7)))*(CsDJ[Account Code]=(TRIM($D85))),CsDJ[Debit])))+(SUM(IF((CRDJ[Ofc Code]=(TRIM(T$7)))*(CRDJ[Account Code]=(TRIM($D85))),CRDJ[Debit])))+(SUM(IF((GJ[Ofc Code]=(TRIM(T$7)))*(GJ[Account Code]=(TRIM($D85))),GJ[Debit]))))-((SUM(IF((CkDJ[Ofc Code]=(TRIM(T$7)))*(CkDJ[Account Code]=(TRIM($D85))),CkDJ[Credit])))+(SUM(IF((CsDJ[Ofc Code]=(TRIM(T$7)))*(CsDJ[Account Code]=(TRIM($D85))),CsDJ[Credit])))+(SUM(IF((CRDJ[Ofc Code]=(TRIM(T$7)))*(CRDJ[Account Code]=(TRIM($D85))),CRDJ[Credit])))+(SUM(IF((GJ[Ofc Code]=(TRIM(T$7)))*(GJ[Account Code]=(TRIM($D85))),GJ[Credit]))))</f>
        <v>0</v>
      </c>
      <c r="U85" s="211">
        <f>SUM(P85:T85)</f>
        <v>0</v>
      </c>
      <c r="V85" s="211">
        <f>E85+J85+O85+U85</f>
        <v>0</v>
      </c>
    </row>
    <row r="86" spans="1:22" ht="15">
      <c r="A86" s="212">
        <f t="shared" si="19"/>
        <v>24</v>
      </c>
      <c r="B86" s="214"/>
      <c r="C86" s="194" t="str">
        <f>IF(D86=0,"",(VLOOKUP((TRIM(D86)),Code,2,)))</f>
        <v>Repairs and Maintenance-Buildings and Other Structures - Buildings</v>
      </c>
      <c r="D86" s="207" t="s">
        <v>251</v>
      </c>
      <c r="E86" s="211">
        <f t="array" ref="E86">((SUM(IF((CkDJ[Ofc Code]=(TRIM(E$7)))*(CkDJ[Account Code]=(TRIM($D86))),CkDJ[Debit])))+(SUM(IF((CsDJ[Ofc Code]=(TRIM(E$7)))*(CsDJ[Account Code]=(TRIM($D86))),CsDJ[Debit])))+(SUM(IF((CRDJ[Ofc Code]=(TRIM(E$7)))*(CRDJ[Account Code]=(TRIM($D86))),CRDJ[Debit])))+(SUM(IF((GJ[Ofc Code]=(TRIM(E$7)))*(GJ[Account Code]=(TRIM($D86))),GJ[Debit]))))-((SUM(IF((CkDJ[Ofc Code]=(TRIM(E$7)))*(CkDJ[Account Code]=(TRIM($D86))),CkDJ[Credit])))+(SUM(IF((CsDJ[Ofc Code]=(TRIM(E$7)))*(CsDJ[Account Code]=(TRIM($D86))),CsDJ[Credit])))+(SUM(IF((CRDJ[Ofc Code]=(TRIM(E$7)))*(CRDJ[Account Code]=(TRIM($D86))),CRDJ[Credit])))+(SUM(IF((GJ[Ofc Code]=(TRIM(E$7)))*(GJ[Account Code]=(TRIM($D86))),GJ[Credit]))))</f>
        <v>0</v>
      </c>
      <c r="F86" s="211">
        <f t="array" ref="F86">((SUM(IF((CkDJ[Ofc Code]=(TRIM(F$7)))*(CkDJ[Account Code]=(TRIM($D86))),CkDJ[Debit])))+(SUM(IF((CsDJ[Ofc Code]=(TRIM(F$7)))*(CsDJ[Account Code]=(TRIM($D86))),CsDJ[Debit])))+(SUM(IF((CRDJ[Ofc Code]=(TRIM(F$7)))*(CRDJ[Account Code]=(TRIM($D86))),CRDJ[Debit])))+(SUM(IF((GJ[Ofc Code]=(TRIM(F$7)))*(GJ[Account Code]=(TRIM($D86))),GJ[Debit]))))-((SUM(IF((CkDJ[Ofc Code]=(TRIM(F$7)))*(CkDJ[Account Code]=(TRIM($D86))),CkDJ[Credit])))+(SUM(IF((CsDJ[Ofc Code]=(TRIM(F$7)))*(CsDJ[Account Code]=(TRIM($D86))),CsDJ[Credit])))+(SUM(IF((CRDJ[Ofc Code]=(TRIM(F$7)))*(CRDJ[Account Code]=(TRIM($D86))),CRDJ[Credit])))+(SUM(IF((GJ[Ofc Code]=(TRIM(F$7)))*(GJ[Account Code]=(TRIM($D86))),GJ[Credit]))))</f>
        <v>0</v>
      </c>
      <c r="G86" s="211">
        <f t="array" ref="G86">((SUM(IF((CkDJ[Ofc Code]=(TRIM(G$7)))*(CkDJ[Account Code]=(TRIM($D86))),CkDJ[Debit])))+(SUM(IF((CsDJ[Ofc Code]=(TRIM(G$7)))*(CsDJ[Account Code]=(TRIM($D86))),CsDJ[Debit])))+(SUM(IF((CRDJ[Ofc Code]=(TRIM(G$7)))*(CRDJ[Account Code]=(TRIM($D86))),CRDJ[Debit])))+(SUM(IF((GJ[Ofc Code]=(TRIM(G$7)))*(GJ[Account Code]=(TRIM($D86))),GJ[Debit]))))-((SUM(IF((CkDJ[Ofc Code]=(TRIM(G$7)))*(CkDJ[Account Code]=(TRIM($D86))),CkDJ[Credit])))+(SUM(IF((CsDJ[Ofc Code]=(TRIM(G$7)))*(CsDJ[Account Code]=(TRIM($D86))),CsDJ[Credit])))+(SUM(IF((CRDJ[Ofc Code]=(TRIM(G$7)))*(CRDJ[Account Code]=(TRIM($D86))),CRDJ[Credit])))+(SUM(IF((GJ[Ofc Code]=(TRIM(G$7)))*(GJ[Account Code]=(TRIM($D86))),GJ[Credit]))))</f>
        <v>0</v>
      </c>
      <c r="H86" s="211">
        <f t="array" ref="H86">((SUM(IF((CkDJ[Ofc Code]=(TRIM(H$7)))*(CkDJ[Account Code]=(TRIM($D86))),CkDJ[Debit])))+(SUM(IF((CsDJ[Ofc Code]=(TRIM(H$7)))*(CsDJ[Account Code]=(TRIM($D86))),CsDJ[Debit])))+(SUM(IF((CRDJ[Ofc Code]=(TRIM(H$7)))*(CRDJ[Account Code]=(TRIM($D86))),CRDJ[Debit])))+(SUM(IF((GJ[Ofc Code]=(TRIM(H$7)))*(GJ[Account Code]=(TRIM($D86))),GJ[Debit]))))-((SUM(IF((CkDJ[Ofc Code]=(TRIM(H$7)))*(CkDJ[Account Code]=(TRIM($D86))),CkDJ[Credit])))+(SUM(IF((CsDJ[Ofc Code]=(TRIM(H$7)))*(CsDJ[Account Code]=(TRIM($D86))),CsDJ[Credit])))+(SUM(IF((CRDJ[Ofc Code]=(TRIM(H$7)))*(CRDJ[Account Code]=(TRIM($D86))),CRDJ[Credit])))+(SUM(IF((GJ[Ofc Code]=(TRIM(H$7)))*(GJ[Account Code]=(TRIM($D86))),GJ[Credit]))))</f>
        <v>0</v>
      </c>
      <c r="I86" s="211">
        <f t="array" ref="I86">((SUM(IF((CkDJ[Ofc Code]=(TRIM(I$7)))*(CkDJ[Account Code]=(TRIM($D86))),CkDJ[Debit])))+(SUM(IF((CsDJ[Ofc Code]=(TRIM(I$7)))*(CsDJ[Account Code]=(TRIM($D86))),CsDJ[Debit])))+(SUM(IF((CRDJ[Ofc Code]=(TRIM(I$7)))*(CRDJ[Account Code]=(TRIM($D86))),CRDJ[Debit])))+(SUM(IF((GJ[Ofc Code]=(TRIM(I$7)))*(GJ[Account Code]=(TRIM($D86))),GJ[Debit]))))-((SUM(IF((CkDJ[Ofc Code]=(TRIM(I$7)))*(CkDJ[Account Code]=(TRIM($D86))),CkDJ[Credit])))+(SUM(IF((CsDJ[Ofc Code]=(TRIM(I$7)))*(CsDJ[Account Code]=(TRIM($D86))),CsDJ[Credit])))+(SUM(IF((CRDJ[Ofc Code]=(TRIM(I$7)))*(CRDJ[Account Code]=(TRIM($D86))),CRDJ[Credit])))+(SUM(IF((GJ[Ofc Code]=(TRIM(I$7)))*(GJ[Account Code]=(TRIM($D86))),GJ[Credit]))))</f>
        <v>0</v>
      </c>
      <c r="J86" s="211">
        <f>SUM(F86:I86)</f>
        <v>0</v>
      </c>
      <c r="K86" s="211">
        <f t="array" ref="K86">((SUM(IF((CkDJ[Ofc Code]=(TRIM(K$7)))*(CkDJ[Account Code]=(TRIM($D86))),CkDJ[Debit])))+(SUM(IF((CsDJ[Ofc Code]=(TRIM(K$7)))*(CsDJ[Account Code]=(TRIM($D86))),CsDJ[Debit])))+(SUM(IF((CRDJ[Ofc Code]=(TRIM(K$7)))*(CRDJ[Account Code]=(TRIM($D86))),CRDJ[Debit])))+(SUM(IF((GJ[Ofc Code]=(TRIM(K$7)))*(GJ[Account Code]=(TRIM($D86))),GJ[Debit]))))-((SUM(IF((CkDJ[Ofc Code]=(TRIM(K$7)))*(CkDJ[Account Code]=(TRIM($D86))),CkDJ[Credit])))+(SUM(IF((CsDJ[Ofc Code]=(TRIM(K$7)))*(CsDJ[Account Code]=(TRIM($D86))),CsDJ[Credit])))+(SUM(IF((CRDJ[Ofc Code]=(TRIM(K$7)))*(CRDJ[Account Code]=(TRIM($D86))),CRDJ[Credit])))+(SUM(IF((GJ[Ofc Code]=(TRIM(K$7)))*(GJ[Account Code]=(TRIM($D86))),GJ[Credit]))))</f>
        <v>0</v>
      </c>
      <c r="L86" s="211">
        <f t="array" ref="L86">((SUM(IF((CkDJ[Ofc Code]=(TRIM(L$7)))*(CkDJ[Account Code]=(TRIM($D86))),CkDJ[Debit])))+(SUM(IF((CsDJ[Ofc Code]=(TRIM(L$7)))*(CsDJ[Account Code]=(TRIM($D86))),CsDJ[Debit])))+(SUM(IF((CRDJ[Ofc Code]=(TRIM(L$7)))*(CRDJ[Account Code]=(TRIM($D86))),CRDJ[Debit])))+(SUM(IF((GJ[Ofc Code]=(TRIM(L$7)))*(GJ[Account Code]=(TRIM($D86))),GJ[Debit]))))-((SUM(IF((CkDJ[Ofc Code]=(TRIM(L$7)))*(CkDJ[Account Code]=(TRIM($D86))),CkDJ[Credit])))+(SUM(IF((CsDJ[Ofc Code]=(TRIM(L$7)))*(CsDJ[Account Code]=(TRIM($D86))),CsDJ[Credit])))+(SUM(IF((CRDJ[Ofc Code]=(TRIM(L$7)))*(CRDJ[Account Code]=(TRIM($D86))),CRDJ[Credit])))+(SUM(IF((GJ[Ofc Code]=(TRIM(L$7)))*(GJ[Account Code]=(TRIM($D86))),GJ[Credit]))))</f>
        <v>0</v>
      </c>
      <c r="M86" s="211">
        <f t="array" ref="M86">((SUM(IF((CkDJ[Ofc Code]=(TRIM(M$7)))*(CkDJ[Account Code]=(TRIM($D86))),CkDJ[Debit])))+(SUM(IF((CsDJ[Ofc Code]=(TRIM(M$7)))*(CsDJ[Account Code]=(TRIM($D86))),CsDJ[Debit])))+(SUM(IF((CRDJ[Ofc Code]=(TRIM(M$7)))*(CRDJ[Account Code]=(TRIM($D86))),CRDJ[Debit])))+(SUM(IF((GJ[Ofc Code]=(TRIM(M$7)))*(GJ[Account Code]=(TRIM($D86))),GJ[Debit]))))-((SUM(IF((CkDJ[Ofc Code]=(TRIM(M$7)))*(CkDJ[Account Code]=(TRIM($D86))),CkDJ[Credit])))+(SUM(IF((CsDJ[Ofc Code]=(TRIM(M$7)))*(CsDJ[Account Code]=(TRIM($D86))),CsDJ[Credit])))+(SUM(IF((CRDJ[Ofc Code]=(TRIM(M$7)))*(CRDJ[Account Code]=(TRIM($D86))),CRDJ[Credit])))+(SUM(IF((GJ[Ofc Code]=(TRIM(M$7)))*(GJ[Account Code]=(TRIM($D86))),GJ[Credit]))))</f>
        <v>0</v>
      </c>
      <c r="N86" s="211">
        <f t="array" ref="N86">((SUM(IF((CkDJ[Ofc Code]=(TRIM(N$7)))*(CkDJ[Account Code]=(TRIM($D86))),CkDJ[Debit])))+(SUM(IF((CsDJ[Ofc Code]=(TRIM(N$7)))*(CsDJ[Account Code]=(TRIM($D86))),CsDJ[Debit])))+(SUM(IF((CRDJ[Ofc Code]=(TRIM(N$7)))*(CRDJ[Account Code]=(TRIM($D86))),CRDJ[Debit])))+(SUM(IF((GJ[Ofc Code]=(TRIM(N$7)))*(GJ[Account Code]=(TRIM($D86))),GJ[Debit]))))-((SUM(IF((CkDJ[Ofc Code]=(TRIM(N$7)))*(CkDJ[Account Code]=(TRIM($D86))),CkDJ[Credit])))+(SUM(IF((CsDJ[Ofc Code]=(TRIM(N$7)))*(CsDJ[Account Code]=(TRIM($D86))),CsDJ[Credit])))+(SUM(IF((CRDJ[Ofc Code]=(TRIM(N$7)))*(CRDJ[Account Code]=(TRIM($D86))),CRDJ[Credit])))+(SUM(IF((GJ[Ofc Code]=(TRIM(N$7)))*(GJ[Account Code]=(TRIM($D86))),GJ[Credit]))))</f>
        <v>0</v>
      </c>
      <c r="O86" s="211">
        <f>SUM(K86:N86)</f>
        <v>0</v>
      </c>
      <c r="P86" s="211">
        <f t="array" ref="P86">((SUM(IF((CkDJ[Ofc Code]=(TRIM(P$7)))*(CkDJ[Account Code]=(TRIM($D86))),CkDJ[Debit])))+(SUM(IF((CsDJ[Ofc Code]=(TRIM(P$7)))*(CsDJ[Account Code]=(TRIM($D86))),CsDJ[Debit])))+(SUM(IF((CRDJ[Ofc Code]=(TRIM(P$7)))*(CRDJ[Account Code]=(TRIM($D86))),CRDJ[Debit])))+(SUM(IF((GJ[Ofc Code]=(TRIM(P$7)))*(GJ[Account Code]=(TRIM($D86))),GJ[Debit]))))-((SUM(IF((CkDJ[Ofc Code]=(TRIM(P$7)))*(CkDJ[Account Code]=(TRIM($D86))),CkDJ[Credit])))+(SUM(IF((CsDJ[Ofc Code]=(TRIM(P$7)))*(CsDJ[Account Code]=(TRIM($D86))),CsDJ[Credit])))+(SUM(IF((CRDJ[Ofc Code]=(TRIM(P$7)))*(CRDJ[Account Code]=(TRIM($D86))),CRDJ[Credit])))+(SUM(IF((GJ[Ofc Code]=(TRIM(P$7)))*(GJ[Account Code]=(TRIM($D86))),GJ[Credit]))))</f>
        <v>0</v>
      </c>
      <c r="Q86" s="211">
        <f t="array" ref="Q86">((SUM(IF((CkDJ[Ofc Code]=(TRIM(Q$7)))*(CkDJ[Account Code]=(TRIM($D86))),CkDJ[Debit])))+(SUM(IF((CsDJ[Ofc Code]=(TRIM(Q$7)))*(CsDJ[Account Code]=(TRIM($D86))),CsDJ[Debit])))+(SUM(IF((CRDJ[Ofc Code]=(TRIM(Q$7)))*(CRDJ[Account Code]=(TRIM($D86))),CRDJ[Debit])))+(SUM(IF((GJ[Ofc Code]=(TRIM(Q$7)))*(GJ[Account Code]=(TRIM($D86))),GJ[Debit]))))-((SUM(IF((CkDJ[Ofc Code]=(TRIM(Q$7)))*(CkDJ[Account Code]=(TRIM($D86))),CkDJ[Credit])))+(SUM(IF((CsDJ[Ofc Code]=(TRIM(Q$7)))*(CsDJ[Account Code]=(TRIM($D86))),CsDJ[Credit])))+(SUM(IF((CRDJ[Ofc Code]=(TRIM(Q$7)))*(CRDJ[Account Code]=(TRIM($D86))),CRDJ[Credit])))+(SUM(IF((GJ[Ofc Code]=(TRIM(Q$7)))*(GJ[Account Code]=(TRIM($D86))),GJ[Credit]))))</f>
        <v>0</v>
      </c>
      <c r="R86" s="211">
        <f t="array" ref="R86">((SUM(IF((CkDJ[Ofc Code]=(TRIM(R$7)))*(CkDJ[Account Code]=(TRIM($D86))),CkDJ[Debit])))+(SUM(IF((CsDJ[Ofc Code]=(TRIM(R$7)))*(CsDJ[Account Code]=(TRIM($D86))),CsDJ[Debit])))+(SUM(IF((CRDJ[Ofc Code]=(TRIM(R$7)))*(CRDJ[Account Code]=(TRIM($D86))),CRDJ[Debit])))+(SUM(IF((GJ[Ofc Code]=(TRIM(R$7)))*(GJ[Account Code]=(TRIM($D86))),GJ[Debit]))))-((SUM(IF((CkDJ[Ofc Code]=(TRIM(R$7)))*(CkDJ[Account Code]=(TRIM($D86))),CkDJ[Credit])))+(SUM(IF((CsDJ[Ofc Code]=(TRIM(R$7)))*(CsDJ[Account Code]=(TRIM($D86))),CsDJ[Credit])))+(SUM(IF((CRDJ[Ofc Code]=(TRIM(R$7)))*(CRDJ[Account Code]=(TRIM($D86))),CRDJ[Credit])))+(SUM(IF((GJ[Ofc Code]=(TRIM(R$7)))*(GJ[Account Code]=(TRIM($D86))),GJ[Credit]))))</f>
        <v>0</v>
      </c>
      <c r="S86" s="211">
        <f t="array" ref="S86">((SUM(IF((CkDJ[Ofc Code]=(TRIM(S$7)))*(CkDJ[Account Code]=(TRIM($D86))),CkDJ[Debit])))+(SUM(IF((CsDJ[Ofc Code]=(TRIM(S$7)))*(CsDJ[Account Code]=(TRIM($D86))),CsDJ[Debit])))+(SUM(IF((CRDJ[Ofc Code]=(TRIM(S$7)))*(CRDJ[Account Code]=(TRIM($D86))),CRDJ[Debit])))+(SUM(IF((GJ[Ofc Code]=(TRIM(S$7)))*(GJ[Account Code]=(TRIM($D86))),GJ[Debit]))))-((SUM(IF((CkDJ[Ofc Code]=(TRIM(S$7)))*(CkDJ[Account Code]=(TRIM($D86))),CkDJ[Credit])))+(SUM(IF((CsDJ[Ofc Code]=(TRIM(S$7)))*(CsDJ[Account Code]=(TRIM($D86))),CsDJ[Credit])))+(SUM(IF((CRDJ[Ofc Code]=(TRIM(S$7)))*(CRDJ[Account Code]=(TRIM($D86))),CRDJ[Credit])))+(SUM(IF((GJ[Ofc Code]=(TRIM(S$7)))*(GJ[Account Code]=(TRIM($D86))),GJ[Credit]))))</f>
        <v>0</v>
      </c>
      <c r="T86" s="211">
        <f t="array" ref="T86">((SUM(IF((CkDJ[Ofc Code]=(TRIM(T$7)))*(CkDJ[Account Code]=(TRIM($D86))),CkDJ[Debit])))+(SUM(IF((CsDJ[Ofc Code]=(TRIM(T$7)))*(CsDJ[Account Code]=(TRIM($D86))),CsDJ[Debit])))+(SUM(IF((CRDJ[Ofc Code]=(TRIM(T$7)))*(CRDJ[Account Code]=(TRIM($D86))),CRDJ[Debit])))+(SUM(IF((GJ[Ofc Code]=(TRIM(T$7)))*(GJ[Account Code]=(TRIM($D86))),GJ[Debit]))))-((SUM(IF((CkDJ[Ofc Code]=(TRIM(T$7)))*(CkDJ[Account Code]=(TRIM($D86))),CkDJ[Credit])))+(SUM(IF((CsDJ[Ofc Code]=(TRIM(T$7)))*(CsDJ[Account Code]=(TRIM($D86))),CsDJ[Credit])))+(SUM(IF((CRDJ[Ofc Code]=(TRIM(T$7)))*(CRDJ[Account Code]=(TRIM($D86))),CRDJ[Credit])))+(SUM(IF((GJ[Ofc Code]=(TRIM(T$7)))*(GJ[Account Code]=(TRIM($D86))),GJ[Credit]))))</f>
        <v>0</v>
      </c>
      <c r="U86" s="211">
        <f>SUM(P86:T86)</f>
        <v>0</v>
      </c>
      <c r="V86" s="211">
        <f>E86+J86+O86+U86</f>
        <v>0</v>
      </c>
    </row>
    <row r="87" spans="1:22" ht="15">
      <c r="A87" s="212">
        <f t="shared" si="19"/>
        <v>25</v>
      </c>
      <c r="B87" s="214"/>
      <c r="C87" s="194" t="str">
        <f>IF(D87=0,"",(VLOOKUP((TRIM(D87)),Code,2,)))</f>
        <v>Repairs and Maintenance-Buildings and Other Structures - Other Structures</v>
      </c>
      <c r="D87" s="207" t="s">
        <v>252</v>
      </c>
      <c r="E87" s="211">
        <f t="array" ref="E87">((SUM(IF((CkDJ[Ofc Code]=(TRIM(E$7)))*(CkDJ[Account Code]=(TRIM($D87))),CkDJ[Debit])))+(SUM(IF((CsDJ[Ofc Code]=(TRIM(E$7)))*(CsDJ[Account Code]=(TRIM($D87))),CsDJ[Debit])))+(SUM(IF((CRDJ[Ofc Code]=(TRIM(E$7)))*(CRDJ[Account Code]=(TRIM($D87))),CRDJ[Debit])))+(SUM(IF((GJ[Ofc Code]=(TRIM(E$7)))*(GJ[Account Code]=(TRIM($D87))),GJ[Debit]))))-((SUM(IF((CkDJ[Ofc Code]=(TRIM(E$7)))*(CkDJ[Account Code]=(TRIM($D87))),CkDJ[Credit])))+(SUM(IF((CsDJ[Ofc Code]=(TRIM(E$7)))*(CsDJ[Account Code]=(TRIM($D87))),CsDJ[Credit])))+(SUM(IF((CRDJ[Ofc Code]=(TRIM(E$7)))*(CRDJ[Account Code]=(TRIM($D87))),CRDJ[Credit])))+(SUM(IF((GJ[Ofc Code]=(TRIM(E$7)))*(GJ[Account Code]=(TRIM($D87))),GJ[Credit]))))</f>
        <v>0</v>
      </c>
      <c r="F87" s="211">
        <f t="array" ref="F87">((SUM(IF((CkDJ[Ofc Code]=(TRIM(F$7)))*(CkDJ[Account Code]=(TRIM($D87))),CkDJ[Debit])))+(SUM(IF((CsDJ[Ofc Code]=(TRIM(F$7)))*(CsDJ[Account Code]=(TRIM($D87))),CsDJ[Debit])))+(SUM(IF((CRDJ[Ofc Code]=(TRIM(F$7)))*(CRDJ[Account Code]=(TRIM($D87))),CRDJ[Debit])))+(SUM(IF((GJ[Ofc Code]=(TRIM(F$7)))*(GJ[Account Code]=(TRIM($D87))),GJ[Debit]))))-((SUM(IF((CkDJ[Ofc Code]=(TRIM(F$7)))*(CkDJ[Account Code]=(TRIM($D87))),CkDJ[Credit])))+(SUM(IF((CsDJ[Ofc Code]=(TRIM(F$7)))*(CsDJ[Account Code]=(TRIM($D87))),CsDJ[Credit])))+(SUM(IF((CRDJ[Ofc Code]=(TRIM(F$7)))*(CRDJ[Account Code]=(TRIM($D87))),CRDJ[Credit])))+(SUM(IF((GJ[Ofc Code]=(TRIM(F$7)))*(GJ[Account Code]=(TRIM($D87))),GJ[Credit]))))</f>
        <v>0</v>
      </c>
      <c r="G87" s="211">
        <f t="array" ref="G87">((SUM(IF((CkDJ[Ofc Code]=(TRIM(G$7)))*(CkDJ[Account Code]=(TRIM($D87))),CkDJ[Debit])))+(SUM(IF((CsDJ[Ofc Code]=(TRIM(G$7)))*(CsDJ[Account Code]=(TRIM($D87))),CsDJ[Debit])))+(SUM(IF((CRDJ[Ofc Code]=(TRIM(G$7)))*(CRDJ[Account Code]=(TRIM($D87))),CRDJ[Debit])))+(SUM(IF((GJ[Ofc Code]=(TRIM(G$7)))*(GJ[Account Code]=(TRIM($D87))),GJ[Debit]))))-((SUM(IF((CkDJ[Ofc Code]=(TRIM(G$7)))*(CkDJ[Account Code]=(TRIM($D87))),CkDJ[Credit])))+(SUM(IF((CsDJ[Ofc Code]=(TRIM(G$7)))*(CsDJ[Account Code]=(TRIM($D87))),CsDJ[Credit])))+(SUM(IF((CRDJ[Ofc Code]=(TRIM(G$7)))*(CRDJ[Account Code]=(TRIM($D87))),CRDJ[Credit])))+(SUM(IF((GJ[Ofc Code]=(TRIM(G$7)))*(GJ[Account Code]=(TRIM($D87))),GJ[Credit]))))</f>
        <v>0</v>
      </c>
      <c r="H87" s="211">
        <f t="array" ref="H87">((SUM(IF((CkDJ[Ofc Code]=(TRIM(H$7)))*(CkDJ[Account Code]=(TRIM($D87))),CkDJ[Debit])))+(SUM(IF((CsDJ[Ofc Code]=(TRIM(H$7)))*(CsDJ[Account Code]=(TRIM($D87))),CsDJ[Debit])))+(SUM(IF((CRDJ[Ofc Code]=(TRIM(H$7)))*(CRDJ[Account Code]=(TRIM($D87))),CRDJ[Debit])))+(SUM(IF((GJ[Ofc Code]=(TRIM(H$7)))*(GJ[Account Code]=(TRIM($D87))),GJ[Debit]))))-((SUM(IF((CkDJ[Ofc Code]=(TRIM(H$7)))*(CkDJ[Account Code]=(TRIM($D87))),CkDJ[Credit])))+(SUM(IF((CsDJ[Ofc Code]=(TRIM(H$7)))*(CsDJ[Account Code]=(TRIM($D87))),CsDJ[Credit])))+(SUM(IF((CRDJ[Ofc Code]=(TRIM(H$7)))*(CRDJ[Account Code]=(TRIM($D87))),CRDJ[Credit])))+(SUM(IF((GJ[Ofc Code]=(TRIM(H$7)))*(GJ[Account Code]=(TRIM($D87))),GJ[Credit]))))</f>
        <v>0</v>
      </c>
      <c r="I87" s="211">
        <f t="array" ref="I87">((SUM(IF((CkDJ[Ofc Code]=(TRIM(I$7)))*(CkDJ[Account Code]=(TRIM($D87))),CkDJ[Debit])))+(SUM(IF((CsDJ[Ofc Code]=(TRIM(I$7)))*(CsDJ[Account Code]=(TRIM($D87))),CsDJ[Debit])))+(SUM(IF((CRDJ[Ofc Code]=(TRIM(I$7)))*(CRDJ[Account Code]=(TRIM($D87))),CRDJ[Debit])))+(SUM(IF((GJ[Ofc Code]=(TRIM(I$7)))*(GJ[Account Code]=(TRIM($D87))),GJ[Debit]))))-((SUM(IF((CkDJ[Ofc Code]=(TRIM(I$7)))*(CkDJ[Account Code]=(TRIM($D87))),CkDJ[Credit])))+(SUM(IF((CsDJ[Ofc Code]=(TRIM(I$7)))*(CsDJ[Account Code]=(TRIM($D87))),CsDJ[Credit])))+(SUM(IF((CRDJ[Ofc Code]=(TRIM(I$7)))*(CRDJ[Account Code]=(TRIM($D87))),CRDJ[Credit])))+(SUM(IF((GJ[Ofc Code]=(TRIM(I$7)))*(GJ[Account Code]=(TRIM($D87))),GJ[Credit]))))</f>
        <v>0</v>
      </c>
      <c r="J87" s="211">
        <f>SUM(F87:I87)</f>
        <v>0</v>
      </c>
      <c r="K87" s="211">
        <f t="array" ref="K87">((SUM(IF((CkDJ[Ofc Code]=(TRIM(K$7)))*(CkDJ[Account Code]=(TRIM($D87))),CkDJ[Debit])))+(SUM(IF((CsDJ[Ofc Code]=(TRIM(K$7)))*(CsDJ[Account Code]=(TRIM($D87))),CsDJ[Debit])))+(SUM(IF((CRDJ[Ofc Code]=(TRIM(K$7)))*(CRDJ[Account Code]=(TRIM($D87))),CRDJ[Debit])))+(SUM(IF((GJ[Ofc Code]=(TRIM(K$7)))*(GJ[Account Code]=(TRIM($D87))),GJ[Debit]))))-((SUM(IF((CkDJ[Ofc Code]=(TRIM(K$7)))*(CkDJ[Account Code]=(TRIM($D87))),CkDJ[Credit])))+(SUM(IF((CsDJ[Ofc Code]=(TRIM(K$7)))*(CsDJ[Account Code]=(TRIM($D87))),CsDJ[Credit])))+(SUM(IF((CRDJ[Ofc Code]=(TRIM(K$7)))*(CRDJ[Account Code]=(TRIM($D87))),CRDJ[Credit])))+(SUM(IF((GJ[Ofc Code]=(TRIM(K$7)))*(GJ[Account Code]=(TRIM($D87))),GJ[Credit]))))</f>
        <v>0</v>
      </c>
      <c r="L87" s="211">
        <f t="array" ref="L87">((SUM(IF((CkDJ[Ofc Code]=(TRIM(L$7)))*(CkDJ[Account Code]=(TRIM($D87))),CkDJ[Debit])))+(SUM(IF((CsDJ[Ofc Code]=(TRIM(L$7)))*(CsDJ[Account Code]=(TRIM($D87))),CsDJ[Debit])))+(SUM(IF((CRDJ[Ofc Code]=(TRIM(L$7)))*(CRDJ[Account Code]=(TRIM($D87))),CRDJ[Debit])))+(SUM(IF((GJ[Ofc Code]=(TRIM(L$7)))*(GJ[Account Code]=(TRIM($D87))),GJ[Debit]))))-((SUM(IF((CkDJ[Ofc Code]=(TRIM(L$7)))*(CkDJ[Account Code]=(TRIM($D87))),CkDJ[Credit])))+(SUM(IF((CsDJ[Ofc Code]=(TRIM(L$7)))*(CsDJ[Account Code]=(TRIM($D87))),CsDJ[Credit])))+(SUM(IF((CRDJ[Ofc Code]=(TRIM(L$7)))*(CRDJ[Account Code]=(TRIM($D87))),CRDJ[Credit])))+(SUM(IF((GJ[Ofc Code]=(TRIM(L$7)))*(GJ[Account Code]=(TRIM($D87))),GJ[Credit]))))</f>
        <v>0</v>
      </c>
      <c r="M87" s="211">
        <f t="array" ref="M87">((SUM(IF((CkDJ[Ofc Code]=(TRIM(M$7)))*(CkDJ[Account Code]=(TRIM($D87))),CkDJ[Debit])))+(SUM(IF((CsDJ[Ofc Code]=(TRIM(M$7)))*(CsDJ[Account Code]=(TRIM($D87))),CsDJ[Debit])))+(SUM(IF((CRDJ[Ofc Code]=(TRIM(M$7)))*(CRDJ[Account Code]=(TRIM($D87))),CRDJ[Debit])))+(SUM(IF((GJ[Ofc Code]=(TRIM(M$7)))*(GJ[Account Code]=(TRIM($D87))),GJ[Debit]))))-((SUM(IF((CkDJ[Ofc Code]=(TRIM(M$7)))*(CkDJ[Account Code]=(TRIM($D87))),CkDJ[Credit])))+(SUM(IF((CsDJ[Ofc Code]=(TRIM(M$7)))*(CsDJ[Account Code]=(TRIM($D87))),CsDJ[Credit])))+(SUM(IF((CRDJ[Ofc Code]=(TRIM(M$7)))*(CRDJ[Account Code]=(TRIM($D87))),CRDJ[Credit])))+(SUM(IF((GJ[Ofc Code]=(TRIM(M$7)))*(GJ[Account Code]=(TRIM($D87))),GJ[Credit]))))</f>
        <v>0</v>
      </c>
      <c r="N87" s="211">
        <f t="array" ref="N87">((SUM(IF((CkDJ[Ofc Code]=(TRIM(N$7)))*(CkDJ[Account Code]=(TRIM($D87))),CkDJ[Debit])))+(SUM(IF((CsDJ[Ofc Code]=(TRIM(N$7)))*(CsDJ[Account Code]=(TRIM($D87))),CsDJ[Debit])))+(SUM(IF((CRDJ[Ofc Code]=(TRIM(N$7)))*(CRDJ[Account Code]=(TRIM($D87))),CRDJ[Debit])))+(SUM(IF((GJ[Ofc Code]=(TRIM(N$7)))*(GJ[Account Code]=(TRIM($D87))),GJ[Debit]))))-((SUM(IF((CkDJ[Ofc Code]=(TRIM(N$7)))*(CkDJ[Account Code]=(TRIM($D87))),CkDJ[Credit])))+(SUM(IF((CsDJ[Ofc Code]=(TRIM(N$7)))*(CsDJ[Account Code]=(TRIM($D87))),CsDJ[Credit])))+(SUM(IF((CRDJ[Ofc Code]=(TRIM(N$7)))*(CRDJ[Account Code]=(TRIM($D87))),CRDJ[Credit])))+(SUM(IF((GJ[Ofc Code]=(TRIM(N$7)))*(GJ[Account Code]=(TRIM($D87))),GJ[Credit]))))</f>
        <v>0</v>
      </c>
      <c r="O87" s="211">
        <f>SUM(K87:N87)</f>
        <v>0</v>
      </c>
      <c r="P87" s="211">
        <f t="array" ref="P87">((SUM(IF((CkDJ[Ofc Code]=(TRIM(P$7)))*(CkDJ[Account Code]=(TRIM($D87))),CkDJ[Debit])))+(SUM(IF((CsDJ[Ofc Code]=(TRIM(P$7)))*(CsDJ[Account Code]=(TRIM($D87))),CsDJ[Debit])))+(SUM(IF((CRDJ[Ofc Code]=(TRIM(P$7)))*(CRDJ[Account Code]=(TRIM($D87))),CRDJ[Debit])))+(SUM(IF((GJ[Ofc Code]=(TRIM(P$7)))*(GJ[Account Code]=(TRIM($D87))),GJ[Debit]))))-((SUM(IF((CkDJ[Ofc Code]=(TRIM(P$7)))*(CkDJ[Account Code]=(TRIM($D87))),CkDJ[Credit])))+(SUM(IF((CsDJ[Ofc Code]=(TRIM(P$7)))*(CsDJ[Account Code]=(TRIM($D87))),CsDJ[Credit])))+(SUM(IF((CRDJ[Ofc Code]=(TRIM(P$7)))*(CRDJ[Account Code]=(TRIM($D87))),CRDJ[Credit])))+(SUM(IF((GJ[Ofc Code]=(TRIM(P$7)))*(GJ[Account Code]=(TRIM($D87))),GJ[Credit]))))</f>
        <v>0</v>
      </c>
      <c r="Q87" s="211">
        <f t="array" ref="Q87">((SUM(IF((CkDJ[Ofc Code]=(TRIM(Q$7)))*(CkDJ[Account Code]=(TRIM($D87))),CkDJ[Debit])))+(SUM(IF((CsDJ[Ofc Code]=(TRIM(Q$7)))*(CsDJ[Account Code]=(TRIM($D87))),CsDJ[Debit])))+(SUM(IF((CRDJ[Ofc Code]=(TRIM(Q$7)))*(CRDJ[Account Code]=(TRIM($D87))),CRDJ[Debit])))+(SUM(IF((GJ[Ofc Code]=(TRIM(Q$7)))*(GJ[Account Code]=(TRIM($D87))),GJ[Debit]))))-((SUM(IF((CkDJ[Ofc Code]=(TRIM(Q$7)))*(CkDJ[Account Code]=(TRIM($D87))),CkDJ[Credit])))+(SUM(IF((CsDJ[Ofc Code]=(TRIM(Q$7)))*(CsDJ[Account Code]=(TRIM($D87))),CsDJ[Credit])))+(SUM(IF((CRDJ[Ofc Code]=(TRIM(Q$7)))*(CRDJ[Account Code]=(TRIM($D87))),CRDJ[Credit])))+(SUM(IF((GJ[Ofc Code]=(TRIM(Q$7)))*(GJ[Account Code]=(TRIM($D87))),GJ[Credit]))))</f>
        <v>0</v>
      </c>
      <c r="R87" s="211">
        <f t="array" ref="R87">((SUM(IF((CkDJ[Ofc Code]=(TRIM(R$7)))*(CkDJ[Account Code]=(TRIM($D87))),CkDJ[Debit])))+(SUM(IF((CsDJ[Ofc Code]=(TRIM(R$7)))*(CsDJ[Account Code]=(TRIM($D87))),CsDJ[Debit])))+(SUM(IF((CRDJ[Ofc Code]=(TRIM(R$7)))*(CRDJ[Account Code]=(TRIM($D87))),CRDJ[Debit])))+(SUM(IF((GJ[Ofc Code]=(TRIM(R$7)))*(GJ[Account Code]=(TRIM($D87))),GJ[Debit]))))-((SUM(IF((CkDJ[Ofc Code]=(TRIM(R$7)))*(CkDJ[Account Code]=(TRIM($D87))),CkDJ[Credit])))+(SUM(IF((CsDJ[Ofc Code]=(TRIM(R$7)))*(CsDJ[Account Code]=(TRIM($D87))),CsDJ[Credit])))+(SUM(IF((CRDJ[Ofc Code]=(TRIM(R$7)))*(CRDJ[Account Code]=(TRIM($D87))),CRDJ[Credit])))+(SUM(IF((GJ[Ofc Code]=(TRIM(R$7)))*(GJ[Account Code]=(TRIM($D87))),GJ[Credit]))))</f>
        <v>0</v>
      </c>
      <c r="S87" s="211">
        <f t="array" ref="S87">((SUM(IF((CkDJ[Ofc Code]=(TRIM(S$7)))*(CkDJ[Account Code]=(TRIM($D87))),CkDJ[Debit])))+(SUM(IF((CsDJ[Ofc Code]=(TRIM(S$7)))*(CsDJ[Account Code]=(TRIM($D87))),CsDJ[Debit])))+(SUM(IF((CRDJ[Ofc Code]=(TRIM(S$7)))*(CRDJ[Account Code]=(TRIM($D87))),CRDJ[Debit])))+(SUM(IF((GJ[Ofc Code]=(TRIM(S$7)))*(GJ[Account Code]=(TRIM($D87))),GJ[Debit]))))-((SUM(IF((CkDJ[Ofc Code]=(TRIM(S$7)))*(CkDJ[Account Code]=(TRIM($D87))),CkDJ[Credit])))+(SUM(IF((CsDJ[Ofc Code]=(TRIM(S$7)))*(CsDJ[Account Code]=(TRIM($D87))),CsDJ[Credit])))+(SUM(IF((CRDJ[Ofc Code]=(TRIM(S$7)))*(CRDJ[Account Code]=(TRIM($D87))),CRDJ[Credit])))+(SUM(IF((GJ[Ofc Code]=(TRIM(S$7)))*(GJ[Account Code]=(TRIM($D87))),GJ[Credit]))))</f>
        <v>0</v>
      </c>
      <c r="T87" s="211">
        <f t="array" ref="T87">((SUM(IF((CkDJ[Ofc Code]=(TRIM(T$7)))*(CkDJ[Account Code]=(TRIM($D87))),CkDJ[Debit])))+(SUM(IF((CsDJ[Ofc Code]=(TRIM(T$7)))*(CsDJ[Account Code]=(TRIM($D87))),CsDJ[Debit])))+(SUM(IF((CRDJ[Ofc Code]=(TRIM(T$7)))*(CRDJ[Account Code]=(TRIM($D87))),CRDJ[Debit])))+(SUM(IF((GJ[Ofc Code]=(TRIM(T$7)))*(GJ[Account Code]=(TRIM($D87))),GJ[Debit]))))-((SUM(IF((CkDJ[Ofc Code]=(TRIM(T$7)))*(CkDJ[Account Code]=(TRIM($D87))),CkDJ[Credit])))+(SUM(IF((CsDJ[Ofc Code]=(TRIM(T$7)))*(CsDJ[Account Code]=(TRIM($D87))),CsDJ[Credit])))+(SUM(IF((CRDJ[Ofc Code]=(TRIM(T$7)))*(CRDJ[Account Code]=(TRIM($D87))),CRDJ[Credit])))+(SUM(IF((GJ[Ofc Code]=(TRIM(T$7)))*(GJ[Account Code]=(TRIM($D87))),GJ[Credit]))))</f>
        <v>0</v>
      </c>
      <c r="U87" s="211">
        <f>SUM(P87:T87)</f>
        <v>0</v>
      </c>
      <c r="V87" s="211">
        <f>E87+J87+O87+U87</f>
        <v>0</v>
      </c>
    </row>
    <row r="88" spans="1:22" ht="15">
      <c r="A88" s="212">
        <f t="shared" si="19"/>
        <v>26</v>
      </c>
      <c r="B88" s="214"/>
      <c r="C88" s="194" t="str">
        <f t="shared" si="14"/>
        <v>Repairs and Maintenance-Machinery and Equipment - Office Equipment</v>
      </c>
      <c r="D88" s="207" t="s">
        <v>253</v>
      </c>
      <c r="E88" s="211">
        <f t="array" ref="E88">((SUM(IF((CkDJ[Ofc Code]=(TRIM(E$7)))*(CkDJ[Account Code]=(TRIM($D88))),CkDJ[Debit])))+(SUM(IF((CsDJ[Ofc Code]=(TRIM(E$7)))*(CsDJ[Account Code]=(TRIM($D88))),CsDJ[Debit])))+(SUM(IF((CRDJ[Ofc Code]=(TRIM(E$7)))*(CRDJ[Account Code]=(TRIM($D88))),CRDJ[Debit])))+(SUM(IF((GJ[Ofc Code]=(TRIM(E$7)))*(GJ[Account Code]=(TRIM($D88))),GJ[Debit]))))-((SUM(IF((CkDJ[Ofc Code]=(TRIM(E$7)))*(CkDJ[Account Code]=(TRIM($D88))),CkDJ[Credit])))+(SUM(IF((CsDJ[Ofc Code]=(TRIM(E$7)))*(CsDJ[Account Code]=(TRIM($D88))),CsDJ[Credit])))+(SUM(IF((CRDJ[Ofc Code]=(TRIM(E$7)))*(CRDJ[Account Code]=(TRIM($D88))),CRDJ[Credit])))+(SUM(IF((GJ[Ofc Code]=(TRIM(E$7)))*(GJ[Account Code]=(TRIM($D88))),GJ[Credit]))))</f>
        <v>0</v>
      </c>
      <c r="F88" s="211">
        <f t="array" ref="F88">((SUM(IF((CkDJ[Ofc Code]=(TRIM(F$7)))*(CkDJ[Account Code]=(TRIM($D88))),CkDJ[Debit])))+(SUM(IF((CsDJ[Ofc Code]=(TRIM(F$7)))*(CsDJ[Account Code]=(TRIM($D88))),CsDJ[Debit])))+(SUM(IF((CRDJ[Ofc Code]=(TRIM(F$7)))*(CRDJ[Account Code]=(TRIM($D88))),CRDJ[Debit])))+(SUM(IF((GJ[Ofc Code]=(TRIM(F$7)))*(GJ[Account Code]=(TRIM($D88))),GJ[Debit]))))-((SUM(IF((CkDJ[Ofc Code]=(TRIM(F$7)))*(CkDJ[Account Code]=(TRIM($D88))),CkDJ[Credit])))+(SUM(IF((CsDJ[Ofc Code]=(TRIM(F$7)))*(CsDJ[Account Code]=(TRIM($D88))),CsDJ[Credit])))+(SUM(IF((CRDJ[Ofc Code]=(TRIM(F$7)))*(CRDJ[Account Code]=(TRIM($D88))),CRDJ[Credit])))+(SUM(IF((GJ[Ofc Code]=(TRIM(F$7)))*(GJ[Account Code]=(TRIM($D88))),GJ[Credit]))))</f>
        <v>0</v>
      </c>
      <c r="G88" s="211">
        <f t="array" ref="G88">((SUM(IF((CkDJ[Ofc Code]=(TRIM(G$7)))*(CkDJ[Account Code]=(TRIM($D88))),CkDJ[Debit])))+(SUM(IF((CsDJ[Ofc Code]=(TRIM(G$7)))*(CsDJ[Account Code]=(TRIM($D88))),CsDJ[Debit])))+(SUM(IF((CRDJ[Ofc Code]=(TRIM(G$7)))*(CRDJ[Account Code]=(TRIM($D88))),CRDJ[Debit])))+(SUM(IF((GJ[Ofc Code]=(TRIM(G$7)))*(GJ[Account Code]=(TRIM($D88))),GJ[Debit]))))-((SUM(IF((CkDJ[Ofc Code]=(TRIM(G$7)))*(CkDJ[Account Code]=(TRIM($D88))),CkDJ[Credit])))+(SUM(IF((CsDJ[Ofc Code]=(TRIM(G$7)))*(CsDJ[Account Code]=(TRIM($D88))),CsDJ[Credit])))+(SUM(IF((CRDJ[Ofc Code]=(TRIM(G$7)))*(CRDJ[Account Code]=(TRIM($D88))),CRDJ[Credit])))+(SUM(IF((GJ[Ofc Code]=(TRIM(G$7)))*(GJ[Account Code]=(TRIM($D88))),GJ[Credit]))))</f>
        <v>0</v>
      </c>
      <c r="H88" s="211">
        <f t="array" ref="H88">((SUM(IF((CkDJ[Ofc Code]=(TRIM(H$7)))*(CkDJ[Account Code]=(TRIM($D88))),CkDJ[Debit])))+(SUM(IF((CsDJ[Ofc Code]=(TRIM(H$7)))*(CsDJ[Account Code]=(TRIM($D88))),CsDJ[Debit])))+(SUM(IF((CRDJ[Ofc Code]=(TRIM(H$7)))*(CRDJ[Account Code]=(TRIM($D88))),CRDJ[Debit])))+(SUM(IF((GJ[Ofc Code]=(TRIM(H$7)))*(GJ[Account Code]=(TRIM($D88))),GJ[Debit]))))-((SUM(IF((CkDJ[Ofc Code]=(TRIM(H$7)))*(CkDJ[Account Code]=(TRIM($D88))),CkDJ[Credit])))+(SUM(IF((CsDJ[Ofc Code]=(TRIM(H$7)))*(CsDJ[Account Code]=(TRIM($D88))),CsDJ[Credit])))+(SUM(IF((CRDJ[Ofc Code]=(TRIM(H$7)))*(CRDJ[Account Code]=(TRIM($D88))),CRDJ[Credit])))+(SUM(IF((GJ[Ofc Code]=(TRIM(H$7)))*(GJ[Account Code]=(TRIM($D88))),GJ[Credit]))))</f>
        <v>0</v>
      </c>
      <c r="I88" s="211">
        <f t="array" ref="I88">((SUM(IF((CkDJ[Ofc Code]=(TRIM(I$7)))*(CkDJ[Account Code]=(TRIM($D88))),CkDJ[Debit])))+(SUM(IF((CsDJ[Ofc Code]=(TRIM(I$7)))*(CsDJ[Account Code]=(TRIM($D88))),CsDJ[Debit])))+(SUM(IF((CRDJ[Ofc Code]=(TRIM(I$7)))*(CRDJ[Account Code]=(TRIM($D88))),CRDJ[Debit])))+(SUM(IF((GJ[Ofc Code]=(TRIM(I$7)))*(GJ[Account Code]=(TRIM($D88))),GJ[Debit]))))-((SUM(IF((CkDJ[Ofc Code]=(TRIM(I$7)))*(CkDJ[Account Code]=(TRIM($D88))),CkDJ[Credit])))+(SUM(IF((CsDJ[Ofc Code]=(TRIM(I$7)))*(CsDJ[Account Code]=(TRIM($D88))),CsDJ[Credit])))+(SUM(IF((CRDJ[Ofc Code]=(TRIM(I$7)))*(CRDJ[Account Code]=(TRIM($D88))),CRDJ[Credit])))+(SUM(IF((GJ[Ofc Code]=(TRIM(I$7)))*(GJ[Account Code]=(TRIM($D88))),GJ[Credit]))))</f>
        <v>0</v>
      </c>
      <c r="J88" s="211">
        <f t="shared" si="15"/>
        <v>0</v>
      </c>
      <c r="K88" s="211">
        <f t="array" ref="K88">((SUM(IF((CkDJ[Ofc Code]=(TRIM(K$7)))*(CkDJ[Account Code]=(TRIM($D88))),CkDJ[Debit])))+(SUM(IF((CsDJ[Ofc Code]=(TRIM(K$7)))*(CsDJ[Account Code]=(TRIM($D88))),CsDJ[Debit])))+(SUM(IF((CRDJ[Ofc Code]=(TRIM(K$7)))*(CRDJ[Account Code]=(TRIM($D88))),CRDJ[Debit])))+(SUM(IF((GJ[Ofc Code]=(TRIM(K$7)))*(GJ[Account Code]=(TRIM($D88))),GJ[Debit]))))-((SUM(IF((CkDJ[Ofc Code]=(TRIM(K$7)))*(CkDJ[Account Code]=(TRIM($D88))),CkDJ[Credit])))+(SUM(IF((CsDJ[Ofc Code]=(TRIM(K$7)))*(CsDJ[Account Code]=(TRIM($D88))),CsDJ[Credit])))+(SUM(IF((CRDJ[Ofc Code]=(TRIM(K$7)))*(CRDJ[Account Code]=(TRIM($D88))),CRDJ[Credit])))+(SUM(IF((GJ[Ofc Code]=(TRIM(K$7)))*(GJ[Account Code]=(TRIM($D88))),GJ[Credit]))))</f>
        <v>0</v>
      </c>
      <c r="L88" s="211">
        <f t="array" ref="L88">((SUM(IF((CkDJ[Ofc Code]=(TRIM(L$7)))*(CkDJ[Account Code]=(TRIM($D88))),CkDJ[Debit])))+(SUM(IF((CsDJ[Ofc Code]=(TRIM(L$7)))*(CsDJ[Account Code]=(TRIM($D88))),CsDJ[Debit])))+(SUM(IF((CRDJ[Ofc Code]=(TRIM(L$7)))*(CRDJ[Account Code]=(TRIM($D88))),CRDJ[Debit])))+(SUM(IF((GJ[Ofc Code]=(TRIM(L$7)))*(GJ[Account Code]=(TRIM($D88))),GJ[Debit]))))-((SUM(IF((CkDJ[Ofc Code]=(TRIM(L$7)))*(CkDJ[Account Code]=(TRIM($D88))),CkDJ[Credit])))+(SUM(IF((CsDJ[Ofc Code]=(TRIM(L$7)))*(CsDJ[Account Code]=(TRIM($D88))),CsDJ[Credit])))+(SUM(IF((CRDJ[Ofc Code]=(TRIM(L$7)))*(CRDJ[Account Code]=(TRIM($D88))),CRDJ[Credit])))+(SUM(IF((GJ[Ofc Code]=(TRIM(L$7)))*(GJ[Account Code]=(TRIM($D88))),GJ[Credit]))))</f>
        <v>0</v>
      </c>
      <c r="M88" s="211">
        <f t="array" ref="M88">((SUM(IF((CkDJ[Ofc Code]=(TRIM(M$7)))*(CkDJ[Account Code]=(TRIM($D88))),CkDJ[Debit])))+(SUM(IF((CsDJ[Ofc Code]=(TRIM(M$7)))*(CsDJ[Account Code]=(TRIM($D88))),CsDJ[Debit])))+(SUM(IF((CRDJ[Ofc Code]=(TRIM(M$7)))*(CRDJ[Account Code]=(TRIM($D88))),CRDJ[Debit])))+(SUM(IF((GJ[Ofc Code]=(TRIM(M$7)))*(GJ[Account Code]=(TRIM($D88))),GJ[Debit]))))-((SUM(IF((CkDJ[Ofc Code]=(TRIM(M$7)))*(CkDJ[Account Code]=(TRIM($D88))),CkDJ[Credit])))+(SUM(IF((CsDJ[Ofc Code]=(TRIM(M$7)))*(CsDJ[Account Code]=(TRIM($D88))),CsDJ[Credit])))+(SUM(IF((CRDJ[Ofc Code]=(TRIM(M$7)))*(CRDJ[Account Code]=(TRIM($D88))),CRDJ[Credit])))+(SUM(IF((GJ[Ofc Code]=(TRIM(M$7)))*(GJ[Account Code]=(TRIM($D88))),GJ[Credit]))))</f>
        <v>0</v>
      </c>
      <c r="N88" s="211">
        <f t="array" ref="N88">((SUM(IF((CkDJ[Ofc Code]=(TRIM(N$7)))*(CkDJ[Account Code]=(TRIM($D88))),CkDJ[Debit])))+(SUM(IF((CsDJ[Ofc Code]=(TRIM(N$7)))*(CsDJ[Account Code]=(TRIM($D88))),CsDJ[Debit])))+(SUM(IF((CRDJ[Ofc Code]=(TRIM(N$7)))*(CRDJ[Account Code]=(TRIM($D88))),CRDJ[Debit])))+(SUM(IF((GJ[Ofc Code]=(TRIM(N$7)))*(GJ[Account Code]=(TRIM($D88))),GJ[Debit]))))-((SUM(IF((CkDJ[Ofc Code]=(TRIM(N$7)))*(CkDJ[Account Code]=(TRIM($D88))),CkDJ[Credit])))+(SUM(IF((CsDJ[Ofc Code]=(TRIM(N$7)))*(CsDJ[Account Code]=(TRIM($D88))),CsDJ[Credit])))+(SUM(IF((CRDJ[Ofc Code]=(TRIM(N$7)))*(CRDJ[Account Code]=(TRIM($D88))),CRDJ[Credit])))+(SUM(IF((GJ[Ofc Code]=(TRIM(N$7)))*(GJ[Account Code]=(TRIM($D88))),GJ[Credit]))))</f>
        <v>0</v>
      </c>
      <c r="O88" s="211">
        <f t="shared" si="16"/>
        <v>0</v>
      </c>
      <c r="P88" s="211">
        <f t="array" ref="P88">((SUM(IF((CkDJ[Ofc Code]=(TRIM(P$7)))*(CkDJ[Account Code]=(TRIM($D88))),CkDJ[Debit])))+(SUM(IF((CsDJ[Ofc Code]=(TRIM(P$7)))*(CsDJ[Account Code]=(TRIM($D88))),CsDJ[Debit])))+(SUM(IF((CRDJ[Ofc Code]=(TRIM(P$7)))*(CRDJ[Account Code]=(TRIM($D88))),CRDJ[Debit])))+(SUM(IF((GJ[Ofc Code]=(TRIM(P$7)))*(GJ[Account Code]=(TRIM($D88))),GJ[Debit]))))-((SUM(IF((CkDJ[Ofc Code]=(TRIM(P$7)))*(CkDJ[Account Code]=(TRIM($D88))),CkDJ[Credit])))+(SUM(IF((CsDJ[Ofc Code]=(TRIM(P$7)))*(CsDJ[Account Code]=(TRIM($D88))),CsDJ[Credit])))+(SUM(IF((CRDJ[Ofc Code]=(TRIM(P$7)))*(CRDJ[Account Code]=(TRIM($D88))),CRDJ[Credit])))+(SUM(IF((GJ[Ofc Code]=(TRIM(P$7)))*(GJ[Account Code]=(TRIM($D88))),GJ[Credit]))))</f>
        <v>0</v>
      </c>
      <c r="Q88" s="211">
        <f t="array" ref="Q88">((SUM(IF((CkDJ[Ofc Code]=(TRIM(Q$7)))*(CkDJ[Account Code]=(TRIM($D88))),CkDJ[Debit])))+(SUM(IF((CsDJ[Ofc Code]=(TRIM(Q$7)))*(CsDJ[Account Code]=(TRIM($D88))),CsDJ[Debit])))+(SUM(IF((CRDJ[Ofc Code]=(TRIM(Q$7)))*(CRDJ[Account Code]=(TRIM($D88))),CRDJ[Debit])))+(SUM(IF((GJ[Ofc Code]=(TRIM(Q$7)))*(GJ[Account Code]=(TRIM($D88))),GJ[Debit]))))-((SUM(IF((CkDJ[Ofc Code]=(TRIM(Q$7)))*(CkDJ[Account Code]=(TRIM($D88))),CkDJ[Credit])))+(SUM(IF((CsDJ[Ofc Code]=(TRIM(Q$7)))*(CsDJ[Account Code]=(TRIM($D88))),CsDJ[Credit])))+(SUM(IF((CRDJ[Ofc Code]=(TRIM(Q$7)))*(CRDJ[Account Code]=(TRIM($D88))),CRDJ[Credit])))+(SUM(IF((GJ[Ofc Code]=(TRIM(Q$7)))*(GJ[Account Code]=(TRIM($D88))),GJ[Credit]))))</f>
        <v>0</v>
      </c>
      <c r="R88" s="211">
        <f t="array" ref="R88">((SUM(IF((CkDJ[Ofc Code]=(TRIM(R$7)))*(CkDJ[Account Code]=(TRIM($D88))),CkDJ[Debit])))+(SUM(IF((CsDJ[Ofc Code]=(TRIM(R$7)))*(CsDJ[Account Code]=(TRIM($D88))),CsDJ[Debit])))+(SUM(IF((CRDJ[Ofc Code]=(TRIM(R$7)))*(CRDJ[Account Code]=(TRIM($D88))),CRDJ[Debit])))+(SUM(IF((GJ[Ofc Code]=(TRIM(R$7)))*(GJ[Account Code]=(TRIM($D88))),GJ[Debit]))))-((SUM(IF((CkDJ[Ofc Code]=(TRIM(R$7)))*(CkDJ[Account Code]=(TRIM($D88))),CkDJ[Credit])))+(SUM(IF((CsDJ[Ofc Code]=(TRIM(R$7)))*(CsDJ[Account Code]=(TRIM($D88))),CsDJ[Credit])))+(SUM(IF((CRDJ[Ofc Code]=(TRIM(R$7)))*(CRDJ[Account Code]=(TRIM($D88))),CRDJ[Credit])))+(SUM(IF((GJ[Ofc Code]=(TRIM(R$7)))*(GJ[Account Code]=(TRIM($D88))),GJ[Credit]))))</f>
        <v>0</v>
      </c>
      <c r="S88" s="211">
        <f t="array" ref="S88">((SUM(IF((CkDJ[Ofc Code]=(TRIM(S$7)))*(CkDJ[Account Code]=(TRIM($D88))),CkDJ[Debit])))+(SUM(IF((CsDJ[Ofc Code]=(TRIM(S$7)))*(CsDJ[Account Code]=(TRIM($D88))),CsDJ[Debit])))+(SUM(IF((CRDJ[Ofc Code]=(TRIM(S$7)))*(CRDJ[Account Code]=(TRIM($D88))),CRDJ[Debit])))+(SUM(IF((GJ[Ofc Code]=(TRIM(S$7)))*(GJ[Account Code]=(TRIM($D88))),GJ[Debit]))))-((SUM(IF((CkDJ[Ofc Code]=(TRIM(S$7)))*(CkDJ[Account Code]=(TRIM($D88))),CkDJ[Credit])))+(SUM(IF((CsDJ[Ofc Code]=(TRIM(S$7)))*(CsDJ[Account Code]=(TRIM($D88))),CsDJ[Credit])))+(SUM(IF((CRDJ[Ofc Code]=(TRIM(S$7)))*(CRDJ[Account Code]=(TRIM($D88))),CRDJ[Credit])))+(SUM(IF((GJ[Ofc Code]=(TRIM(S$7)))*(GJ[Account Code]=(TRIM($D88))),GJ[Credit]))))</f>
        <v>0</v>
      </c>
      <c r="T88" s="211">
        <f t="array" ref="T88">((SUM(IF((CkDJ[Ofc Code]=(TRIM(T$7)))*(CkDJ[Account Code]=(TRIM($D88))),CkDJ[Debit])))+(SUM(IF((CsDJ[Ofc Code]=(TRIM(T$7)))*(CsDJ[Account Code]=(TRIM($D88))),CsDJ[Debit])))+(SUM(IF((CRDJ[Ofc Code]=(TRIM(T$7)))*(CRDJ[Account Code]=(TRIM($D88))),CRDJ[Debit])))+(SUM(IF((GJ[Ofc Code]=(TRIM(T$7)))*(GJ[Account Code]=(TRIM($D88))),GJ[Debit]))))-((SUM(IF((CkDJ[Ofc Code]=(TRIM(T$7)))*(CkDJ[Account Code]=(TRIM($D88))),CkDJ[Credit])))+(SUM(IF((CsDJ[Ofc Code]=(TRIM(T$7)))*(CsDJ[Account Code]=(TRIM($D88))),CsDJ[Credit])))+(SUM(IF((CRDJ[Ofc Code]=(TRIM(T$7)))*(CRDJ[Account Code]=(TRIM($D88))),CRDJ[Credit])))+(SUM(IF((GJ[Ofc Code]=(TRIM(T$7)))*(GJ[Account Code]=(TRIM($D88))),GJ[Credit]))))</f>
        <v>0</v>
      </c>
      <c r="U88" s="211">
        <f t="shared" si="17"/>
        <v>0</v>
      </c>
      <c r="V88" s="211">
        <f t="shared" si="18"/>
        <v>0</v>
      </c>
    </row>
    <row r="89" spans="1:22" ht="15">
      <c r="A89" s="212">
        <f t="shared" si="19"/>
        <v>27</v>
      </c>
      <c r="B89" s="214"/>
      <c r="C89" s="194" t="str">
        <f t="shared" si="14"/>
        <v>Repairs and Maintenance-Machinery and Equipment - Machinery</v>
      </c>
      <c r="D89" s="207">
        <v>826</v>
      </c>
      <c r="E89" s="211">
        <f t="array" ref="E89">((SUM(IF((CkDJ[Ofc Code]=(TRIM(E$7)))*(CkDJ[Account Code]=(TRIM($D89))),CkDJ[Debit])))+(SUM(IF((CsDJ[Ofc Code]=(TRIM(E$7)))*(CsDJ[Account Code]=(TRIM($D89))),CsDJ[Debit])))+(SUM(IF((CRDJ[Ofc Code]=(TRIM(E$7)))*(CRDJ[Account Code]=(TRIM($D89))),CRDJ[Debit])))+(SUM(IF((GJ[Ofc Code]=(TRIM(E$7)))*(GJ[Account Code]=(TRIM($D89))),GJ[Debit]))))-((SUM(IF((CkDJ[Ofc Code]=(TRIM(E$7)))*(CkDJ[Account Code]=(TRIM($D89))),CkDJ[Credit])))+(SUM(IF((CsDJ[Ofc Code]=(TRIM(E$7)))*(CsDJ[Account Code]=(TRIM($D89))),CsDJ[Credit])))+(SUM(IF((CRDJ[Ofc Code]=(TRIM(E$7)))*(CRDJ[Account Code]=(TRIM($D89))),CRDJ[Credit])))+(SUM(IF((GJ[Ofc Code]=(TRIM(E$7)))*(GJ[Account Code]=(TRIM($D89))),GJ[Credit]))))</f>
        <v>0</v>
      </c>
      <c r="F89" s="211">
        <f t="array" ref="F89">((SUM(IF((CkDJ[Ofc Code]=(TRIM(F$7)))*(CkDJ[Account Code]=(TRIM($D89))),CkDJ[Debit])))+(SUM(IF((CsDJ[Ofc Code]=(TRIM(F$7)))*(CsDJ[Account Code]=(TRIM($D89))),CsDJ[Debit])))+(SUM(IF((CRDJ[Ofc Code]=(TRIM(F$7)))*(CRDJ[Account Code]=(TRIM($D89))),CRDJ[Debit])))+(SUM(IF((GJ[Ofc Code]=(TRIM(F$7)))*(GJ[Account Code]=(TRIM($D89))),GJ[Debit]))))-((SUM(IF((CkDJ[Ofc Code]=(TRIM(F$7)))*(CkDJ[Account Code]=(TRIM($D89))),CkDJ[Credit])))+(SUM(IF((CsDJ[Ofc Code]=(TRIM(F$7)))*(CsDJ[Account Code]=(TRIM($D89))),CsDJ[Credit])))+(SUM(IF((CRDJ[Ofc Code]=(TRIM(F$7)))*(CRDJ[Account Code]=(TRIM($D89))),CRDJ[Credit])))+(SUM(IF((GJ[Ofc Code]=(TRIM(F$7)))*(GJ[Account Code]=(TRIM($D89))),GJ[Credit]))))</f>
        <v>0</v>
      </c>
      <c r="G89" s="211">
        <f t="array" ref="G89">((SUM(IF((CkDJ[Ofc Code]=(TRIM(G$7)))*(CkDJ[Account Code]=(TRIM($D89))),CkDJ[Debit])))+(SUM(IF((CsDJ[Ofc Code]=(TRIM(G$7)))*(CsDJ[Account Code]=(TRIM($D89))),CsDJ[Debit])))+(SUM(IF((CRDJ[Ofc Code]=(TRIM(G$7)))*(CRDJ[Account Code]=(TRIM($D89))),CRDJ[Debit])))+(SUM(IF((GJ[Ofc Code]=(TRIM(G$7)))*(GJ[Account Code]=(TRIM($D89))),GJ[Debit]))))-((SUM(IF((CkDJ[Ofc Code]=(TRIM(G$7)))*(CkDJ[Account Code]=(TRIM($D89))),CkDJ[Credit])))+(SUM(IF((CsDJ[Ofc Code]=(TRIM(G$7)))*(CsDJ[Account Code]=(TRIM($D89))),CsDJ[Credit])))+(SUM(IF((CRDJ[Ofc Code]=(TRIM(G$7)))*(CRDJ[Account Code]=(TRIM($D89))),CRDJ[Credit])))+(SUM(IF((GJ[Ofc Code]=(TRIM(G$7)))*(GJ[Account Code]=(TRIM($D89))),GJ[Credit]))))</f>
        <v>0</v>
      </c>
      <c r="H89" s="211">
        <f t="array" ref="H89">((SUM(IF((CkDJ[Ofc Code]=(TRIM(H$7)))*(CkDJ[Account Code]=(TRIM($D89))),CkDJ[Debit])))+(SUM(IF((CsDJ[Ofc Code]=(TRIM(H$7)))*(CsDJ[Account Code]=(TRIM($D89))),CsDJ[Debit])))+(SUM(IF((CRDJ[Ofc Code]=(TRIM(H$7)))*(CRDJ[Account Code]=(TRIM($D89))),CRDJ[Debit])))+(SUM(IF((GJ[Ofc Code]=(TRIM(H$7)))*(GJ[Account Code]=(TRIM($D89))),GJ[Debit]))))-((SUM(IF((CkDJ[Ofc Code]=(TRIM(H$7)))*(CkDJ[Account Code]=(TRIM($D89))),CkDJ[Credit])))+(SUM(IF((CsDJ[Ofc Code]=(TRIM(H$7)))*(CsDJ[Account Code]=(TRIM($D89))),CsDJ[Credit])))+(SUM(IF((CRDJ[Ofc Code]=(TRIM(H$7)))*(CRDJ[Account Code]=(TRIM($D89))),CRDJ[Credit])))+(SUM(IF((GJ[Ofc Code]=(TRIM(H$7)))*(GJ[Account Code]=(TRIM($D89))),GJ[Credit]))))</f>
        <v>0</v>
      </c>
      <c r="I89" s="211">
        <f t="array" ref="I89">((SUM(IF((CkDJ[Ofc Code]=(TRIM(I$7)))*(CkDJ[Account Code]=(TRIM($D89))),CkDJ[Debit])))+(SUM(IF((CsDJ[Ofc Code]=(TRIM(I$7)))*(CsDJ[Account Code]=(TRIM($D89))),CsDJ[Debit])))+(SUM(IF((CRDJ[Ofc Code]=(TRIM(I$7)))*(CRDJ[Account Code]=(TRIM($D89))),CRDJ[Debit])))+(SUM(IF((GJ[Ofc Code]=(TRIM(I$7)))*(GJ[Account Code]=(TRIM($D89))),GJ[Debit]))))-((SUM(IF((CkDJ[Ofc Code]=(TRIM(I$7)))*(CkDJ[Account Code]=(TRIM($D89))),CkDJ[Credit])))+(SUM(IF((CsDJ[Ofc Code]=(TRIM(I$7)))*(CsDJ[Account Code]=(TRIM($D89))),CsDJ[Credit])))+(SUM(IF((CRDJ[Ofc Code]=(TRIM(I$7)))*(CRDJ[Account Code]=(TRIM($D89))),CRDJ[Credit])))+(SUM(IF((GJ[Ofc Code]=(TRIM(I$7)))*(GJ[Account Code]=(TRIM($D89))),GJ[Credit]))))</f>
        <v>0</v>
      </c>
      <c r="J89" s="211">
        <f t="shared" si="15"/>
        <v>0</v>
      </c>
      <c r="K89" s="211">
        <f t="array" ref="K89">((SUM(IF((CkDJ[Ofc Code]=(TRIM(K$7)))*(CkDJ[Account Code]=(TRIM($D89))),CkDJ[Debit])))+(SUM(IF((CsDJ[Ofc Code]=(TRIM(K$7)))*(CsDJ[Account Code]=(TRIM($D89))),CsDJ[Debit])))+(SUM(IF((CRDJ[Ofc Code]=(TRIM(K$7)))*(CRDJ[Account Code]=(TRIM($D89))),CRDJ[Debit])))+(SUM(IF((GJ[Ofc Code]=(TRIM(K$7)))*(GJ[Account Code]=(TRIM($D89))),GJ[Debit]))))-((SUM(IF((CkDJ[Ofc Code]=(TRIM(K$7)))*(CkDJ[Account Code]=(TRIM($D89))),CkDJ[Credit])))+(SUM(IF((CsDJ[Ofc Code]=(TRIM(K$7)))*(CsDJ[Account Code]=(TRIM($D89))),CsDJ[Credit])))+(SUM(IF((CRDJ[Ofc Code]=(TRIM(K$7)))*(CRDJ[Account Code]=(TRIM($D89))),CRDJ[Credit])))+(SUM(IF((GJ[Ofc Code]=(TRIM(K$7)))*(GJ[Account Code]=(TRIM($D89))),GJ[Credit]))))</f>
        <v>0</v>
      </c>
      <c r="L89" s="211">
        <f t="array" ref="L89">((SUM(IF((CkDJ[Ofc Code]=(TRIM(L$7)))*(CkDJ[Account Code]=(TRIM($D89))),CkDJ[Debit])))+(SUM(IF((CsDJ[Ofc Code]=(TRIM(L$7)))*(CsDJ[Account Code]=(TRIM($D89))),CsDJ[Debit])))+(SUM(IF((CRDJ[Ofc Code]=(TRIM(L$7)))*(CRDJ[Account Code]=(TRIM($D89))),CRDJ[Debit])))+(SUM(IF((GJ[Ofc Code]=(TRIM(L$7)))*(GJ[Account Code]=(TRIM($D89))),GJ[Debit]))))-((SUM(IF((CkDJ[Ofc Code]=(TRIM(L$7)))*(CkDJ[Account Code]=(TRIM($D89))),CkDJ[Credit])))+(SUM(IF((CsDJ[Ofc Code]=(TRIM(L$7)))*(CsDJ[Account Code]=(TRIM($D89))),CsDJ[Credit])))+(SUM(IF((CRDJ[Ofc Code]=(TRIM(L$7)))*(CRDJ[Account Code]=(TRIM($D89))),CRDJ[Credit])))+(SUM(IF((GJ[Ofc Code]=(TRIM(L$7)))*(GJ[Account Code]=(TRIM($D89))),GJ[Credit]))))</f>
        <v>0</v>
      </c>
      <c r="M89" s="211">
        <f t="array" ref="M89">((SUM(IF((CkDJ[Ofc Code]=(TRIM(M$7)))*(CkDJ[Account Code]=(TRIM($D89))),CkDJ[Debit])))+(SUM(IF((CsDJ[Ofc Code]=(TRIM(M$7)))*(CsDJ[Account Code]=(TRIM($D89))),CsDJ[Debit])))+(SUM(IF((CRDJ[Ofc Code]=(TRIM(M$7)))*(CRDJ[Account Code]=(TRIM($D89))),CRDJ[Debit])))+(SUM(IF((GJ[Ofc Code]=(TRIM(M$7)))*(GJ[Account Code]=(TRIM($D89))),GJ[Debit]))))-((SUM(IF((CkDJ[Ofc Code]=(TRIM(M$7)))*(CkDJ[Account Code]=(TRIM($D89))),CkDJ[Credit])))+(SUM(IF((CsDJ[Ofc Code]=(TRIM(M$7)))*(CsDJ[Account Code]=(TRIM($D89))),CsDJ[Credit])))+(SUM(IF((CRDJ[Ofc Code]=(TRIM(M$7)))*(CRDJ[Account Code]=(TRIM($D89))),CRDJ[Credit])))+(SUM(IF((GJ[Ofc Code]=(TRIM(M$7)))*(GJ[Account Code]=(TRIM($D89))),GJ[Credit]))))</f>
        <v>0</v>
      </c>
      <c r="N89" s="211">
        <f t="array" ref="N89">((SUM(IF((CkDJ[Ofc Code]=(TRIM(N$7)))*(CkDJ[Account Code]=(TRIM($D89))),CkDJ[Debit])))+(SUM(IF((CsDJ[Ofc Code]=(TRIM(N$7)))*(CsDJ[Account Code]=(TRIM($D89))),CsDJ[Debit])))+(SUM(IF((CRDJ[Ofc Code]=(TRIM(N$7)))*(CRDJ[Account Code]=(TRIM($D89))),CRDJ[Debit])))+(SUM(IF((GJ[Ofc Code]=(TRIM(N$7)))*(GJ[Account Code]=(TRIM($D89))),GJ[Debit]))))-((SUM(IF((CkDJ[Ofc Code]=(TRIM(N$7)))*(CkDJ[Account Code]=(TRIM($D89))),CkDJ[Credit])))+(SUM(IF((CsDJ[Ofc Code]=(TRIM(N$7)))*(CsDJ[Account Code]=(TRIM($D89))),CsDJ[Credit])))+(SUM(IF((CRDJ[Ofc Code]=(TRIM(N$7)))*(CRDJ[Account Code]=(TRIM($D89))),CRDJ[Credit])))+(SUM(IF((GJ[Ofc Code]=(TRIM(N$7)))*(GJ[Account Code]=(TRIM($D89))),GJ[Credit]))))</f>
        <v>0</v>
      </c>
      <c r="O89" s="211">
        <f t="shared" si="16"/>
        <v>0</v>
      </c>
      <c r="P89" s="211">
        <f t="array" ref="P89">((SUM(IF((CkDJ[Ofc Code]=(TRIM(P$7)))*(CkDJ[Account Code]=(TRIM($D89))),CkDJ[Debit])))+(SUM(IF((CsDJ[Ofc Code]=(TRIM(P$7)))*(CsDJ[Account Code]=(TRIM($D89))),CsDJ[Debit])))+(SUM(IF((CRDJ[Ofc Code]=(TRIM(P$7)))*(CRDJ[Account Code]=(TRIM($D89))),CRDJ[Debit])))+(SUM(IF((GJ[Ofc Code]=(TRIM(P$7)))*(GJ[Account Code]=(TRIM($D89))),GJ[Debit]))))-((SUM(IF((CkDJ[Ofc Code]=(TRIM(P$7)))*(CkDJ[Account Code]=(TRIM($D89))),CkDJ[Credit])))+(SUM(IF((CsDJ[Ofc Code]=(TRIM(P$7)))*(CsDJ[Account Code]=(TRIM($D89))),CsDJ[Credit])))+(SUM(IF((CRDJ[Ofc Code]=(TRIM(P$7)))*(CRDJ[Account Code]=(TRIM($D89))),CRDJ[Credit])))+(SUM(IF((GJ[Ofc Code]=(TRIM(P$7)))*(GJ[Account Code]=(TRIM($D89))),GJ[Credit]))))</f>
        <v>0</v>
      </c>
      <c r="Q89" s="211">
        <f t="array" ref="Q89">((SUM(IF((CkDJ[Ofc Code]=(TRIM(Q$7)))*(CkDJ[Account Code]=(TRIM($D89))),CkDJ[Debit])))+(SUM(IF((CsDJ[Ofc Code]=(TRIM(Q$7)))*(CsDJ[Account Code]=(TRIM($D89))),CsDJ[Debit])))+(SUM(IF((CRDJ[Ofc Code]=(TRIM(Q$7)))*(CRDJ[Account Code]=(TRIM($D89))),CRDJ[Debit])))+(SUM(IF((GJ[Ofc Code]=(TRIM(Q$7)))*(GJ[Account Code]=(TRIM($D89))),GJ[Debit]))))-((SUM(IF((CkDJ[Ofc Code]=(TRIM(Q$7)))*(CkDJ[Account Code]=(TRIM($D89))),CkDJ[Credit])))+(SUM(IF((CsDJ[Ofc Code]=(TRIM(Q$7)))*(CsDJ[Account Code]=(TRIM($D89))),CsDJ[Credit])))+(SUM(IF((CRDJ[Ofc Code]=(TRIM(Q$7)))*(CRDJ[Account Code]=(TRIM($D89))),CRDJ[Credit])))+(SUM(IF((GJ[Ofc Code]=(TRIM(Q$7)))*(GJ[Account Code]=(TRIM($D89))),GJ[Credit]))))</f>
        <v>0</v>
      </c>
      <c r="R89" s="211">
        <f t="array" ref="R89">((SUM(IF((CkDJ[Ofc Code]=(TRIM(R$7)))*(CkDJ[Account Code]=(TRIM($D89))),CkDJ[Debit])))+(SUM(IF((CsDJ[Ofc Code]=(TRIM(R$7)))*(CsDJ[Account Code]=(TRIM($D89))),CsDJ[Debit])))+(SUM(IF((CRDJ[Ofc Code]=(TRIM(R$7)))*(CRDJ[Account Code]=(TRIM($D89))),CRDJ[Debit])))+(SUM(IF((GJ[Ofc Code]=(TRIM(R$7)))*(GJ[Account Code]=(TRIM($D89))),GJ[Debit]))))-((SUM(IF((CkDJ[Ofc Code]=(TRIM(R$7)))*(CkDJ[Account Code]=(TRIM($D89))),CkDJ[Credit])))+(SUM(IF((CsDJ[Ofc Code]=(TRIM(R$7)))*(CsDJ[Account Code]=(TRIM($D89))),CsDJ[Credit])))+(SUM(IF((CRDJ[Ofc Code]=(TRIM(R$7)))*(CRDJ[Account Code]=(TRIM($D89))),CRDJ[Credit])))+(SUM(IF((GJ[Ofc Code]=(TRIM(R$7)))*(GJ[Account Code]=(TRIM($D89))),GJ[Credit]))))</f>
        <v>0</v>
      </c>
      <c r="S89" s="211">
        <f t="array" ref="S89">((SUM(IF((CkDJ[Ofc Code]=(TRIM(S$7)))*(CkDJ[Account Code]=(TRIM($D89))),CkDJ[Debit])))+(SUM(IF((CsDJ[Ofc Code]=(TRIM(S$7)))*(CsDJ[Account Code]=(TRIM($D89))),CsDJ[Debit])))+(SUM(IF((CRDJ[Ofc Code]=(TRIM(S$7)))*(CRDJ[Account Code]=(TRIM($D89))),CRDJ[Debit])))+(SUM(IF((GJ[Ofc Code]=(TRIM(S$7)))*(GJ[Account Code]=(TRIM($D89))),GJ[Debit]))))-((SUM(IF((CkDJ[Ofc Code]=(TRIM(S$7)))*(CkDJ[Account Code]=(TRIM($D89))),CkDJ[Credit])))+(SUM(IF((CsDJ[Ofc Code]=(TRIM(S$7)))*(CsDJ[Account Code]=(TRIM($D89))),CsDJ[Credit])))+(SUM(IF((CRDJ[Ofc Code]=(TRIM(S$7)))*(CRDJ[Account Code]=(TRIM($D89))),CRDJ[Credit])))+(SUM(IF((GJ[Ofc Code]=(TRIM(S$7)))*(GJ[Account Code]=(TRIM($D89))),GJ[Credit]))))</f>
        <v>0</v>
      </c>
      <c r="T89" s="211">
        <f t="array" ref="T89">((SUM(IF((CkDJ[Ofc Code]=(TRIM(T$7)))*(CkDJ[Account Code]=(TRIM($D89))),CkDJ[Debit])))+(SUM(IF((CsDJ[Ofc Code]=(TRIM(T$7)))*(CsDJ[Account Code]=(TRIM($D89))),CsDJ[Debit])))+(SUM(IF((CRDJ[Ofc Code]=(TRIM(T$7)))*(CRDJ[Account Code]=(TRIM($D89))),CRDJ[Debit])))+(SUM(IF((GJ[Ofc Code]=(TRIM(T$7)))*(GJ[Account Code]=(TRIM($D89))),GJ[Debit]))))-((SUM(IF((CkDJ[Ofc Code]=(TRIM(T$7)))*(CkDJ[Account Code]=(TRIM($D89))),CkDJ[Credit])))+(SUM(IF((CsDJ[Ofc Code]=(TRIM(T$7)))*(CsDJ[Account Code]=(TRIM($D89))),CsDJ[Credit])))+(SUM(IF((CRDJ[Ofc Code]=(TRIM(T$7)))*(CRDJ[Account Code]=(TRIM($D89))),CRDJ[Credit])))+(SUM(IF((GJ[Ofc Code]=(TRIM(T$7)))*(GJ[Account Code]=(TRIM($D89))),GJ[Credit]))))</f>
        <v>0</v>
      </c>
      <c r="U89" s="211">
        <f t="shared" si="17"/>
        <v>0</v>
      </c>
      <c r="V89" s="211">
        <f t="shared" si="18"/>
        <v>0</v>
      </c>
    </row>
    <row r="90" spans="1:22" ht="15">
      <c r="A90" s="212">
        <f t="shared" si="19"/>
        <v>28</v>
      </c>
      <c r="B90" s="214"/>
      <c r="C90" s="194" t="str">
        <f>IF(D90=0,"",(VLOOKUP((TRIM(D90)),Code,2,)))</f>
        <v>Repairs and Maintenance-Machinery and Equipment - Construction and Heavy Equipment</v>
      </c>
      <c r="D90" s="207" t="s">
        <v>258</v>
      </c>
      <c r="E90" s="211">
        <f t="array" ref="E90">((SUM(IF((CkDJ[Ofc Code]=(TRIM(E$7)))*(CkDJ[Account Code]=(TRIM($D90))),CkDJ[Debit])))+(SUM(IF((CsDJ[Ofc Code]=(TRIM(E$7)))*(CsDJ[Account Code]=(TRIM($D90))),CsDJ[Debit])))+(SUM(IF((CRDJ[Ofc Code]=(TRIM(E$7)))*(CRDJ[Account Code]=(TRIM($D90))),CRDJ[Debit])))+(SUM(IF((GJ[Ofc Code]=(TRIM(E$7)))*(GJ[Account Code]=(TRIM($D90))),GJ[Debit]))))-((SUM(IF((CkDJ[Ofc Code]=(TRIM(E$7)))*(CkDJ[Account Code]=(TRIM($D90))),CkDJ[Credit])))+(SUM(IF((CsDJ[Ofc Code]=(TRIM(E$7)))*(CsDJ[Account Code]=(TRIM($D90))),CsDJ[Credit])))+(SUM(IF((CRDJ[Ofc Code]=(TRIM(E$7)))*(CRDJ[Account Code]=(TRIM($D90))),CRDJ[Credit])))+(SUM(IF((GJ[Ofc Code]=(TRIM(E$7)))*(GJ[Account Code]=(TRIM($D90))),GJ[Credit]))))</f>
        <v>0</v>
      </c>
      <c r="F90" s="211">
        <f t="array" ref="F90">((SUM(IF((CkDJ[Ofc Code]=(TRIM(F$7)))*(CkDJ[Account Code]=(TRIM($D90))),CkDJ[Debit])))+(SUM(IF((CsDJ[Ofc Code]=(TRIM(F$7)))*(CsDJ[Account Code]=(TRIM($D90))),CsDJ[Debit])))+(SUM(IF((CRDJ[Ofc Code]=(TRIM(F$7)))*(CRDJ[Account Code]=(TRIM($D90))),CRDJ[Debit])))+(SUM(IF((GJ[Ofc Code]=(TRIM(F$7)))*(GJ[Account Code]=(TRIM($D90))),GJ[Debit]))))-((SUM(IF((CkDJ[Ofc Code]=(TRIM(F$7)))*(CkDJ[Account Code]=(TRIM($D90))),CkDJ[Credit])))+(SUM(IF((CsDJ[Ofc Code]=(TRIM(F$7)))*(CsDJ[Account Code]=(TRIM($D90))),CsDJ[Credit])))+(SUM(IF((CRDJ[Ofc Code]=(TRIM(F$7)))*(CRDJ[Account Code]=(TRIM($D90))),CRDJ[Credit])))+(SUM(IF((GJ[Ofc Code]=(TRIM(F$7)))*(GJ[Account Code]=(TRIM($D90))),GJ[Credit]))))</f>
        <v>0</v>
      </c>
      <c r="G90" s="211">
        <f t="array" ref="G90">((SUM(IF((CkDJ[Ofc Code]=(TRIM(G$7)))*(CkDJ[Account Code]=(TRIM($D90))),CkDJ[Debit])))+(SUM(IF((CsDJ[Ofc Code]=(TRIM(G$7)))*(CsDJ[Account Code]=(TRIM($D90))),CsDJ[Debit])))+(SUM(IF((CRDJ[Ofc Code]=(TRIM(G$7)))*(CRDJ[Account Code]=(TRIM($D90))),CRDJ[Debit])))+(SUM(IF((GJ[Ofc Code]=(TRIM(G$7)))*(GJ[Account Code]=(TRIM($D90))),GJ[Debit]))))-((SUM(IF((CkDJ[Ofc Code]=(TRIM(G$7)))*(CkDJ[Account Code]=(TRIM($D90))),CkDJ[Credit])))+(SUM(IF((CsDJ[Ofc Code]=(TRIM(G$7)))*(CsDJ[Account Code]=(TRIM($D90))),CsDJ[Credit])))+(SUM(IF((CRDJ[Ofc Code]=(TRIM(G$7)))*(CRDJ[Account Code]=(TRIM($D90))),CRDJ[Credit])))+(SUM(IF((GJ[Ofc Code]=(TRIM(G$7)))*(GJ[Account Code]=(TRIM($D90))),GJ[Credit]))))</f>
        <v>0</v>
      </c>
      <c r="H90" s="211">
        <f t="array" ref="H90">((SUM(IF((CkDJ[Ofc Code]=(TRIM(H$7)))*(CkDJ[Account Code]=(TRIM($D90))),CkDJ[Debit])))+(SUM(IF((CsDJ[Ofc Code]=(TRIM(H$7)))*(CsDJ[Account Code]=(TRIM($D90))),CsDJ[Debit])))+(SUM(IF((CRDJ[Ofc Code]=(TRIM(H$7)))*(CRDJ[Account Code]=(TRIM($D90))),CRDJ[Debit])))+(SUM(IF((GJ[Ofc Code]=(TRIM(H$7)))*(GJ[Account Code]=(TRIM($D90))),GJ[Debit]))))-((SUM(IF((CkDJ[Ofc Code]=(TRIM(H$7)))*(CkDJ[Account Code]=(TRIM($D90))),CkDJ[Credit])))+(SUM(IF((CsDJ[Ofc Code]=(TRIM(H$7)))*(CsDJ[Account Code]=(TRIM($D90))),CsDJ[Credit])))+(SUM(IF((CRDJ[Ofc Code]=(TRIM(H$7)))*(CRDJ[Account Code]=(TRIM($D90))),CRDJ[Credit])))+(SUM(IF((GJ[Ofc Code]=(TRIM(H$7)))*(GJ[Account Code]=(TRIM($D90))),GJ[Credit]))))</f>
        <v>0</v>
      </c>
      <c r="I90" s="211">
        <f t="array" ref="I90">((SUM(IF((CkDJ[Ofc Code]=(TRIM(I$7)))*(CkDJ[Account Code]=(TRIM($D90))),CkDJ[Debit])))+(SUM(IF((CsDJ[Ofc Code]=(TRIM(I$7)))*(CsDJ[Account Code]=(TRIM($D90))),CsDJ[Debit])))+(SUM(IF((CRDJ[Ofc Code]=(TRIM(I$7)))*(CRDJ[Account Code]=(TRIM($D90))),CRDJ[Debit])))+(SUM(IF((GJ[Ofc Code]=(TRIM(I$7)))*(GJ[Account Code]=(TRIM($D90))),GJ[Debit]))))-((SUM(IF((CkDJ[Ofc Code]=(TRIM(I$7)))*(CkDJ[Account Code]=(TRIM($D90))),CkDJ[Credit])))+(SUM(IF((CsDJ[Ofc Code]=(TRIM(I$7)))*(CsDJ[Account Code]=(TRIM($D90))),CsDJ[Credit])))+(SUM(IF((CRDJ[Ofc Code]=(TRIM(I$7)))*(CRDJ[Account Code]=(TRIM($D90))),CRDJ[Credit])))+(SUM(IF((GJ[Ofc Code]=(TRIM(I$7)))*(GJ[Account Code]=(TRIM($D90))),GJ[Credit]))))</f>
        <v>0</v>
      </c>
      <c r="J90" s="211">
        <f>SUM(F90:I90)</f>
        <v>0</v>
      </c>
      <c r="K90" s="211">
        <f t="array" ref="K90">((SUM(IF((CkDJ[Ofc Code]=(TRIM(K$7)))*(CkDJ[Account Code]=(TRIM($D90))),CkDJ[Debit])))+(SUM(IF((CsDJ[Ofc Code]=(TRIM(K$7)))*(CsDJ[Account Code]=(TRIM($D90))),CsDJ[Debit])))+(SUM(IF((CRDJ[Ofc Code]=(TRIM(K$7)))*(CRDJ[Account Code]=(TRIM($D90))),CRDJ[Debit])))+(SUM(IF((GJ[Ofc Code]=(TRIM(K$7)))*(GJ[Account Code]=(TRIM($D90))),GJ[Debit]))))-((SUM(IF((CkDJ[Ofc Code]=(TRIM(K$7)))*(CkDJ[Account Code]=(TRIM($D90))),CkDJ[Credit])))+(SUM(IF((CsDJ[Ofc Code]=(TRIM(K$7)))*(CsDJ[Account Code]=(TRIM($D90))),CsDJ[Credit])))+(SUM(IF((CRDJ[Ofc Code]=(TRIM(K$7)))*(CRDJ[Account Code]=(TRIM($D90))),CRDJ[Credit])))+(SUM(IF((GJ[Ofc Code]=(TRIM(K$7)))*(GJ[Account Code]=(TRIM($D90))),GJ[Credit]))))</f>
        <v>0</v>
      </c>
      <c r="L90" s="211">
        <f t="array" ref="L90">((SUM(IF((CkDJ[Ofc Code]=(TRIM(L$7)))*(CkDJ[Account Code]=(TRIM($D90))),CkDJ[Debit])))+(SUM(IF((CsDJ[Ofc Code]=(TRIM(L$7)))*(CsDJ[Account Code]=(TRIM($D90))),CsDJ[Debit])))+(SUM(IF((CRDJ[Ofc Code]=(TRIM(L$7)))*(CRDJ[Account Code]=(TRIM($D90))),CRDJ[Debit])))+(SUM(IF((GJ[Ofc Code]=(TRIM(L$7)))*(GJ[Account Code]=(TRIM($D90))),GJ[Debit]))))-((SUM(IF((CkDJ[Ofc Code]=(TRIM(L$7)))*(CkDJ[Account Code]=(TRIM($D90))),CkDJ[Credit])))+(SUM(IF((CsDJ[Ofc Code]=(TRIM(L$7)))*(CsDJ[Account Code]=(TRIM($D90))),CsDJ[Credit])))+(SUM(IF((CRDJ[Ofc Code]=(TRIM(L$7)))*(CRDJ[Account Code]=(TRIM($D90))),CRDJ[Credit])))+(SUM(IF((GJ[Ofc Code]=(TRIM(L$7)))*(GJ[Account Code]=(TRIM($D90))),GJ[Credit]))))</f>
        <v>0</v>
      </c>
      <c r="M90" s="211">
        <f t="array" ref="M90">((SUM(IF((CkDJ[Ofc Code]=(TRIM(M$7)))*(CkDJ[Account Code]=(TRIM($D90))),CkDJ[Debit])))+(SUM(IF((CsDJ[Ofc Code]=(TRIM(M$7)))*(CsDJ[Account Code]=(TRIM($D90))),CsDJ[Debit])))+(SUM(IF((CRDJ[Ofc Code]=(TRIM(M$7)))*(CRDJ[Account Code]=(TRIM($D90))),CRDJ[Debit])))+(SUM(IF((GJ[Ofc Code]=(TRIM(M$7)))*(GJ[Account Code]=(TRIM($D90))),GJ[Debit]))))-((SUM(IF((CkDJ[Ofc Code]=(TRIM(M$7)))*(CkDJ[Account Code]=(TRIM($D90))),CkDJ[Credit])))+(SUM(IF((CsDJ[Ofc Code]=(TRIM(M$7)))*(CsDJ[Account Code]=(TRIM($D90))),CsDJ[Credit])))+(SUM(IF((CRDJ[Ofc Code]=(TRIM(M$7)))*(CRDJ[Account Code]=(TRIM($D90))),CRDJ[Credit])))+(SUM(IF((GJ[Ofc Code]=(TRIM(M$7)))*(GJ[Account Code]=(TRIM($D90))),GJ[Credit]))))</f>
        <v>0</v>
      </c>
      <c r="N90" s="211">
        <f t="array" ref="N90">((SUM(IF((CkDJ[Ofc Code]=(TRIM(N$7)))*(CkDJ[Account Code]=(TRIM($D90))),CkDJ[Debit])))+(SUM(IF((CsDJ[Ofc Code]=(TRIM(N$7)))*(CsDJ[Account Code]=(TRIM($D90))),CsDJ[Debit])))+(SUM(IF((CRDJ[Ofc Code]=(TRIM(N$7)))*(CRDJ[Account Code]=(TRIM($D90))),CRDJ[Debit])))+(SUM(IF((GJ[Ofc Code]=(TRIM(N$7)))*(GJ[Account Code]=(TRIM($D90))),GJ[Debit]))))-((SUM(IF((CkDJ[Ofc Code]=(TRIM(N$7)))*(CkDJ[Account Code]=(TRIM($D90))),CkDJ[Credit])))+(SUM(IF((CsDJ[Ofc Code]=(TRIM(N$7)))*(CsDJ[Account Code]=(TRIM($D90))),CsDJ[Credit])))+(SUM(IF((CRDJ[Ofc Code]=(TRIM(N$7)))*(CRDJ[Account Code]=(TRIM($D90))),CRDJ[Credit])))+(SUM(IF((GJ[Ofc Code]=(TRIM(N$7)))*(GJ[Account Code]=(TRIM($D90))),GJ[Credit]))))</f>
        <v>0</v>
      </c>
      <c r="O90" s="211">
        <f>SUM(K90:N90)</f>
        <v>0</v>
      </c>
      <c r="P90" s="211">
        <f t="array" ref="P90">((SUM(IF((CkDJ[Ofc Code]=(TRIM(P$7)))*(CkDJ[Account Code]=(TRIM($D90))),CkDJ[Debit])))+(SUM(IF((CsDJ[Ofc Code]=(TRIM(P$7)))*(CsDJ[Account Code]=(TRIM($D90))),CsDJ[Debit])))+(SUM(IF((CRDJ[Ofc Code]=(TRIM(P$7)))*(CRDJ[Account Code]=(TRIM($D90))),CRDJ[Debit])))+(SUM(IF((GJ[Ofc Code]=(TRIM(P$7)))*(GJ[Account Code]=(TRIM($D90))),GJ[Debit]))))-((SUM(IF((CkDJ[Ofc Code]=(TRIM(P$7)))*(CkDJ[Account Code]=(TRIM($D90))),CkDJ[Credit])))+(SUM(IF((CsDJ[Ofc Code]=(TRIM(P$7)))*(CsDJ[Account Code]=(TRIM($D90))),CsDJ[Credit])))+(SUM(IF((CRDJ[Ofc Code]=(TRIM(P$7)))*(CRDJ[Account Code]=(TRIM($D90))),CRDJ[Credit])))+(SUM(IF((GJ[Ofc Code]=(TRIM(P$7)))*(GJ[Account Code]=(TRIM($D90))),GJ[Credit]))))</f>
        <v>0</v>
      </c>
      <c r="Q90" s="211">
        <f t="array" ref="Q90">((SUM(IF((CkDJ[Ofc Code]=(TRIM(Q$7)))*(CkDJ[Account Code]=(TRIM($D90))),CkDJ[Debit])))+(SUM(IF((CsDJ[Ofc Code]=(TRIM(Q$7)))*(CsDJ[Account Code]=(TRIM($D90))),CsDJ[Debit])))+(SUM(IF((CRDJ[Ofc Code]=(TRIM(Q$7)))*(CRDJ[Account Code]=(TRIM($D90))),CRDJ[Debit])))+(SUM(IF((GJ[Ofc Code]=(TRIM(Q$7)))*(GJ[Account Code]=(TRIM($D90))),GJ[Debit]))))-((SUM(IF((CkDJ[Ofc Code]=(TRIM(Q$7)))*(CkDJ[Account Code]=(TRIM($D90))),CkDJ[Credit])))+(SUM(IF((CsDJ[Ofc Code]=(TRIM(Q$7)))*(CsDJ[Account Code]=(TRIM($D90))),CsDJ[Credit])))+(SUM(IF((CRDJ[Ofc Code]=(TRIM(Q$7)))*(CRDJ[Account Code]=(TRIM($D90))),CRDJ[Credit])))+(SUM(IF((GJ[Ofc Code]=(TRIM(Q$7)))*(GJ[Account Code]=(TRIM($D90))),GJ[Credit]))))</f>
        <v>0</v>
      </c>
      <c r="R90" s="211">
        <f t="array" ref="R90">((SUM(IF((CkDJ[Ofc Code]=(TRIM(R$7)))*(CkDJ[Account Code]=(TRIM($D90))),CkDJ[Debit])))+(SUM(IF((CsDJ[Ofc Code]=(TRIM(R$7)))*(CsDJ[Account Code]=(TRIM($D90))),CsDJ[Debit])))+(SUM(IF((CRDJ[Ofc Code]=(TRIM(R$7)))*(CRDJ[Account Code]=(TRIM($D90))),CRDJ[Debit])))+(SUM(IF((GJ[Ofc Code]=(TRIM(R$7)))*(GJ[Account Code]=(TRIM($D90))),GJ[Debit]))))-((SUM(IF((CkDJ[Ofc Code]=(TRIM(R$7)))*(CkDJ[Account Code]=(TRIM($D90))),CkDJ[Credit])))+(SUM(IF((CsDJ[Ofc Code]=(TRIM(R$7)))*(CsDJ[Account Code]=(TRIM($D90))),CsDJ[Credit])))+(SUM(IF((CRDJ[Ofc Code]=(TRIM(R$7)))*(CRDJ[Account Code]=(TRIM($D90))),CRDJ[Credit])))+(SUM(IF((GJ[Ofc Code]=(TRIM(R$7)))*(GJ[Account Code]=(TRIM($D90))),GJ[Credit]))))</f>
        <v>0</v>
      </c>
      <c r="S90" s="211">
        <f t="array" ref="S90">((SUM(IF((CkDJ[Ofc Code]=(TRIM(S$7)))*(CkDJ[Account Code]=(TRIM($D90))),CkDJ[Debit])))+(SUM(IF((CsDJ[Ofc Code]=(TRIM(S$7)))*(CsDJ[Account Code]=(TRIM($D90))),CsDJ[Debit])))+(SUM(IF((CRDJ[Ofc Code]=(TRIM(S$7)))*(CRDJ[Account Code]=(TRIM($D90))),CRDJ[Debit])))+(SUM(IF((GJ[Ofc Code]=(TRIM(S$7)))*(GJ[Account Code]=(TRIM($D90))),GJ[Debit]))))-((SUM(IF((CkDJ[Ofc Code]=(TRIM(S$7)))*(CkDJ[Account Code]=(TRIM($D90))),CkDJ[Credit])))+(SUM(IF((CsDJ[Ofc Code]=(TRIM(S$7)))*(CsDJ[Account Code]=(TRIM($D90))),CsDJ[Credit])))+(SUM(IF((CRDJ[Ofc Code]=(TRIM(S$7)))*(CRDJ[Account Code]=(TRIM($D90))),CRDJ[Credit])))+(SUM(IF((GJ[Ofc Code]=(TRIM(S$7)))*(GJ[Account Code]=(TRIM($D90))),GJ[Credit]))))</f>
        <v>0</v>
      </c>
      <c r="T90" s="211">
        <f t="array" ref="T90">((SUM(IF((CkDJ[Ofc Code]=(TRIM(T$7)))*(CkDJ[Account Code]=(TRIM($D90))),CkDJ[Debit])))+(SUM(IF((CsDJ[Ofc Code]=(TRIM(T$7)))*(CsDJ[Account Code]=(TRIM($D90))),CsDJ[Debit])))+(SUM(IF((CRDJ[Ofc Code]=(TRIM(T$7)))*(CRDJ[Account Code]=(TRIM($D90))),CRDJ[Debit])))+(SUM(IF((GJ[Ofc Code]=(TRIM(T$7)))*(GJ[Account Code]=(TRIM($D90))),GJ[Debit]))))-((SUM(IF((CkDJ[Ofc Code]=(TRIM(T$7)))*(CkDJ[Account Code]=(TRIM($D90))),CkDJ[Credit])))+(SUM(IF((CsDJ[Ofc Code]=(TRIM(T$7)))*(CsDJ[Account Code]=(TRIM($D90))),CsDJ[Credit])))+(SUM(IF((CRDJ[Ofc Code]=(TRIM(T$7)))*(CRDJ[Account Code]=(TRIM($D90))),CRDJ[Credit])))+(SUM(IF((GJ[Ofc Code]=(TRIM(T$7)))*(GJ[Account Code]=(TRIM($D90))),GJ[Credit]))))</f>
        <v>0</v>
      </c>
      <c r="U90" s="211">
        <f>SUM(P90:T90)</f>
        <v>0</v>
      </c>
      <c r="V90" s="211">
        <f>E90+J90+O90+U90</f>
        <v>0</v>
      </c>
    </row>
    <row r="91" spans="1:22" ht="15">
      <c r="A91" s="212">
        <f t="shared" si="19"/>
        <v>29</v>
      </c>
      <c r="B91" s="214"/>
      <c r="C91" s="194" t="str">
        <f t="shared" si="14"/>
        <v>Repairs and Maintenance-Machinery and Equipment - Other Machinery and Equipment</v>
      </c>
      <c r="D91" s="207">
        <v>840</v>
      </c>
      <c r="E91" s="211">
        <f t="array" ref="E91">((SUM(IF((CkDJ[Ofc Code]=(TRIM(E$7)))*(CkDJ[Account Code]=(TRIM($D91))),CkDJ[Debit])))+(SUM(IF((CsDJ[Ofc Code]=(TRIM(E$7)))*(CsDJ[Account Code]=(TRIM($D91))),CsDJ[Debit])))+(SUM(IF((CRDJ[Ofc Code]=(TRIM(E$7)))*(CRDJ[Account Code]=(TRIM($D91))),CRDJ[Debit])))+(SUM(IF((GJ[Ofc Code]=(TRIM(E$7)))*(GJ[Account Code]=(TRIM($D91))),GJ[Debit]))))-((SUM(IF((CkDJ[Ofc Code]=(TRIM(E$7)))*(CkDJ[Account Code]=(TRIM($D91))),CkDJ[Credit])))+(SUM(IF((CsDJ[Ofc Code]=(TRIM(E$7)))*(CsDJ[Account Code]=(TRIM($D91))),CsDJ[Credit])))+(SUM(IF((CRDJ[Ofc Code]=(TRIM(E$7)))*(CRDJ[Account Code]=(TRIM($D91))),CRDJ[Credit])))+(SUM(IF((GJ[Ofc Code]=(TRIM(E$7)))*(GJ[Account Code]=(TRIM($D91))),GJ[Credit]))))</f>
        <v>0</v>
      </c>
      <c r="F91" s="211">
        <f t="array" ref="F91">((SUM(IF((CkDJ[Ofc Code]=(TRIM(F$7)))*(CkDJ[Account Code]=(TRIM($D91))),CkDJ[Debit])))+(SUM(IF((CsDJ[Ofc Code]=(TRIM(F$7)))*(CsDJ[Account Code]=(TRIM($D91))),CsDJ[Debit])))+(SUM(IF((CRDJ[Ofc Code]=(TRIM(F$7)))*(CRDJ[Account Code]=(TRIM($D91))),CRDJ[Debit])))+(SUM(IF((GJ[Ofc Code]=(TRIM(F$7)))*(GJ[Account Code]=(TRIM($D91))),GJ[Debit]))))-((SUM(IF((CkDJ[Ofc Code]=(TRIM(F$7)))*(CkDJ[Account Code]=(TRIM($D91))),CkDJ[Credit])))+(SUM(IF((CsDJ[Ofc Code]=(TRIM(F$7)))*(CsDJ[Account Code]=(TRIM($D91))),CsDJ[Credit])))+(SUM(IF((CRDJ[Ofc Code]=(TRIM(F$7)))*(CRDJ[Account Code]=(TRIM($D91))),CRDJ[Credit])))+(SUM(IF((GJ[Ofc Code]=(TRIM(F$7)))*(GJ[Account Code]=(TRIM($D91))),GJ[Credit]))))</f>
        <v>0</v>
      </c>
      <c r="G91" s="211">
        <f t="array" ref="G91">((SUM(IF((CkDJ[Ofc Code]=(TRIM(G$7)))*(CkDJ[Account Code]=(TRIM($D91))),CkDJ[Debit])))+(SUM(IF((CsDJ[Ofc Code]=(TRIM(G$7)))*(CsDJ[Account Code]=(TRIM($D91))),CsDJ[Debit])))+(SUM(IF((CRDJ[Ofc Code]=(TRIM(G$7)))*(CRDJ[Account Code]=(TRIM($D91))),CRDJ[Debit])))+(SUM(IF((GJ[Ofc Code]=(TRIM(G$7)))*(GJ[Account Code]=(TRIM($D91))),GJ[Debit]))))-((SUM(IF((CkDJ[Ofc Code]=(TRIM(G$7)))*(CkDJ[Account Code]=(TRIM($D91))),CkDJ[Credit])))+(SUM(IF((CsDJ[Ofc Code]=(TRIM(G$7)))*(CsDJ[Account Code]=(TRIM($D91))),CsDJ[Credit])))+(SUM(IF((CRDJ[Ofc Code]=(TRIM(G$7)))*(CRDJ[Account Code]=(TRIM($D91))),CRDJ[Credit])))+(SUM(IF((GJ[Ofc Code]=(TRIM(G$7)))*(GJ[Account Code]=(TRIM($D91))),GJ[Credit]))))</f>
        <v>0</v>
      </c>
      <c r="H91" s="211">
        <f t="array" ref="H91">((SUM(IF((CkDJ[Ofc Code]=(TRIM(H$7)))*(CkDJ[Account Code]=(TRIM($D91))),CkDJ[Debit])))+(SUM(IF((CsDJ[Ofc Code]=(TRIM(H$7)))*(CsDJ[Account Code]=(TRIM($D91))),CsDJ[Debit])))+(SUM(IF((CRDJ[Ofc Code]=(TRIM(H$7)))*(CRDJ[Account Code]=(TRIM($D91))),CRDJ[Debit])))+(SUM(IF((GJ[Ofc Code]=(TRIM(H$7)))*(GJ[Account Code]=(TRIM($D91))),GJ[Debit]))))-((SUM(IF((CkDJ[Ofc Code]=(TRIM(H$7)))*(CkDJ[Account Code]=(TRIM($D91))),CkDJ[Credit])))+(SUM(IF((CsDJ[Ofc Code]=(TRIM(H$7)))*(CsDJ[Account Code]=(TRIM($D91))),CsDJ[Credit])))+(SUM(IF((CRDJ[Ofc Code]=(TRIM(H$7)))*(CRDJ[Account Code]=(TRIM($D91))),CRDJ[Credit])))+(SUM(IF((GJ[Ofc Code]=(TRIM(H$7)))*(GJ[Account Code]=(TRIM($D91))),GJ[Credit]))))</f>
        <v>0</v>
      </c>
      <c r="I91" s="211">
        <f t="array" ref="I91">((SUM(IF((CkDJ[Ofc Code]=(TRIM(I$7)))*(CkDJ[Account Code]=(TRIM($D91))),CkDJ[Debit])))+(SUM(IF((CsDJ[Ofc Code]=(TRIM(I$7)))*(CsDJ[Account Code]=(TRIM($D91))),CsDJ[Debit])))+(SUM(IF((CRDJ[Ofc Code]=(TRIM(I$7)))*(CRDJ[Account Code]=(TRIM($D91))),CRDJ[Debit])))+(SUM(IF((GJ[Ofc Code]=(TRIM(I$7)))*(GJ[Account Code]=(TRIM($D91))),GJ[Debit]))))-((SUM(IF((CkDJ[Ofc Code]=(TRIM(I$7)))*(CkDJ[Account Code]=(TRIM($D91))),CkDJ[Credit])))+(SUM(IF((CsDJ[Ofc Code]=(TRIM(I$7)))*(CsDJ[Account Code]=(TRIM($D91))),CsDJ[Credit])))+(SUM(IF((CRDJ[Ofc Code]=(TRIM(I$7)))*(CRDJ[Account Code]=(TRIM($D91))),CRDJ[Credit])))+(SUM(IF((GJ[Ofc Code]=(TRIM(I$7)))*(GJ[Account Code]=(TRIM($D91))),GJ[Credit]))))</f>
        <v>0</v>
      </c>
      <c r="J91" s="211">
        <f t="shared" si="15"/>
        <v>0</v>
      </c>
      <c r="K91" s="211">
        <f t="array" ref="K91">((SUM(IF((CkDJ[Ofc Code]=(TRIM(K$7)))*(CkDJ[Account Code]=(TRIM($D91))),CkDJ[Debit])))+(SUM(IF((CsDJ[Ofc Code]=(TRIM(K$7)))*(CsDJ[Account Code]=(TRIM($D91))),CsDJ[Debit])))+(SUM(IF((CRDJ[Ofc Code]=(TRIM(K$7)))*(CRDJ[Account Code]=(TRIM($D91))),CRDJ[Debit])))+(SUM(IF((GJ[Ofc Code]=(TRIM(K$7)))*(GJ[Account Code]=(TRIM($D91))),GJ[Debit]))))-((SUM(IF((CkDJ[Ofc Code]=(TRIM(K$7)))*(CkDJ[Account Code]=(TRIM($D91))),CkDJ[Credit])))+(SUM(IF((CsDJ[Ofc Code]=(TRIM(K$7)))*(CsDJ[Account Code]=(TRIM($D91))),CsDJ[Credit])))+(SUM(IF((CRDJ[Ofc Code]=(TRIM(K$7)))*(CRDJ[Account Code]=(TRIM($D91))),CRDJ[Credit])))+(SUM(IF((GJ[Ofc Code]=(TRIM(K$7)))*(GJ[Account Code]=(TRIM($D91))),GJ[Credit]))))</f>
        <v>0</v>
      </c>
      <c r="L91" s="211">
        <f t="array" ref="L91">((SUM(IF((CkDJ[Ofc Code]=(TRIM(L$7)))*(CkDJ[Account Code]=(TRIM($D91))),CkDJ[Debit])))+(SUM(IF((CsDJ[Ofc Code]=(TRIM(L$7)))*(CsDJ[Account Code]=(TRIM($D91))),CsDJ[Debit])))+(SUM(IF((CRDJ[Ofc Code]=(TRIM(L$7)))*(CRDJ[Account Code]=(TRIM($D91))),CRDJ[Debit])))+(SUM(IF((GJ[Ofc Code]=(TRIM(L$7)))*(GJ[Account Code]=(TRIM($D91))),GJ[Debit]))))-((SUM(IF((CkDJ[Ofc Code]=(TRIM(L$7)))*(CkDJ[Account Code]=(TRIM($D91))),CkDJ[Credit])))+(SUM(IF((CsDJ[Ofc Code]=(TRIM(L$7)))*(CsDJ[Account Code]=(TRIM($D91))),CsDJ[Credit])))+(SUM(IF((CRDJ[Ofc Code]=(TRIM(L$7)))*(CRDJ[Account Code]=(TRIM($D91))),CRDJ[Credit])))+(SUM(IF((GJ[Ofc Code]=(TRIM(L$7)))*(GJ[Account Code]=(TRIM($D91))),GJ[Credit]))))</f>
        <v>0</v>
      </c>
      <c r="M91" s="211">
        <f t="array" ref="M91">((SUM(IF((CkDJ[Ofc Code]=(TRIM(M$7)))*(CkDJ[Account Code]=(TRIM($D91))),CkDJ[Debit])))+(SUM(IF((CsDJ[Ofc Code]=(TRIM(M$7)))*(CsDJ[Account Code]=(TRIM($D91))),CsDJ[Debit])))+(SUM(IF((CRDJ[Ofc Code]=(TRIM(M$7)))*(CRDJ[Account Code]=(TRIM($D91))),CRDJ[Debit])))+(SUM(IF((GJ[Ofc Code]=(TRIM(M$7)))*(GJ[Account Code]=(TRIM($D91))),GJ[Debit]))))-((SUM(IF((CkDJ[Ofc Code]=(TRIM(M$7)))*(CkDJ[Account Code]=(TRIM($D91))),CkDJ[Credit])))+(SUM(IF((CsDJ[Ofc Code]=(TRIM(M$7)))*(CsDJ[Account Code]=(TRIM($D91))),CsDJ[Credit])))+(SUM(IF((CRDJ[Ofc Code]=(TRIM(M$7)))*(CRDJ[Account Code]=(TRIM($D91))),CRDJ[Credit])))+(SUM(IF((GJ[Ofc Code]=(TRIM(M$7)))*(GJ[Account Code]=(TRIM($D91))),GJ[Credit]))))</f>
        <v>0</v>
      </c>
      <c r="N91" s="211">
        <f t="array" ref="N91">((SUM(IF((CkDJ[Ofc Code]=(TRIM(N$7)))*(CkDJ[Account Code]=(TRIM($D91))),CkDJ[Debit])))+(SUM(IF((CsDJ[Ofc Code]=(TRIM(N$7)))*(CsDJ[Account Code]=(TRIM($D91))),CsDJ[Debit])))+(SUM(IF((CRDJ[Ofc Code]=(TRIM(N$7)))*(CRDJ[Account Code]=(TRIM($D91))),CRDJ[Debit])))+(SUM(IF((GJ[Ofc Code]=(TRIM(N$7)))*(GJ[Account Code]=(TRIM($D91))),GJ[Debit]))))-((SUM(IF((CkDJ[Ofc Code]=(TRIM(N$7)))*(CkDJ[Account Code]=(TRIM($D91))),CkDJ[Credit])))+(SUM(IF((CsDJ[Ofc Code]=(TRIM(N$7)))*(CsDJ[Account Code]=(TRIM($D91))),CsDJ[Credit])))+(SUM(IF((CRDJ[Ofc Code]=(TRIM(N$7)))*(CRDJ[Account Code]=(TRIM($D91))),CRDJ[Credit])))+(SUM(IF((GJ[Ofc Code]=(TRIM(N$7)))*(GJ[Account Code]=(TRIM($D91))),GJ[Credit]))))</f>
        <v>0</v>
      </c>
      <c r="O91" s="211">
        <f t="shared" si="16"/>
        <v>0</v>
      </c>
      <c r="P91" s="211">
        <f t="array" ref="P91">((SUM(IF((CkDJ[Ofc Code]=(TRIM(P$7)))*(CkDJ[Account Code]=(TRIM($D91))),CkDJ[Debit])))+(SUM(IF((CsDJ[Ofc Code]=(TRIM(P$7)))*(CsDJ[Account Code]=(TRIM($D91))),CsDJ[Debit])))+(SUM(IF((CRDJ[Ofc Code]=(TRIM(P$7)))*(CRDJ[Account Code]=(TRIM($D91))),CRDJ[Debit])))+(SUM(IF((GJ[Ofc Code]=(TRIM(P$7)))*(GJ[Account Code]=(TRIM($D91))),GJ[Debit]))))-((SUM(IF((CkDJ[Ofc Code]=(TRIM(P$7)))*(CkDJ[Account Code]=(TRIM($D91))),CkDJ[Credit])))+(SUM(IF((CsDJ[Ofc Code]=(TRIM(P$7)))*(CsDJ[Account Code]=(TRIM($D91))),CsDJ[Credit])))+(SUM(IF((CRDJ[Ofc Code]=(TRIM(P$7)))*(CRDJ[Account Code]=(TRIM($D91))),CRDJ[Credit])))+(SUM(IF((GJ[Ofc Code]=(TRIM(P$7)))*(GJ[Account Code]=(TRIM($D91))),GJ[Credit]))))</f>
        <v>0</v>
      </c>
      <c r="Q91" s="211">
        <f t="array" ref="Q91">((SUM(IF((CkDJ[Ofc Code]=(TRIM(Q$7)))*(CkDJ[Account Code]=(TRIM($D91))),CkDJ[Debit])))+(SUM(IF((CsDJ[Ofc Code]=(TRIM(Q$7)))*(CsDJ[Account Code]=(TRIM($D91))),CsDJ[Debit])))+(SUM(IF((CRDJ[Ofc Code]=(TRIM(Q$7)))*(CRDJ[Account Code]=(TRIM($D91))),CRDJ[Debit])))+(SUM(IF((GJ[Ofc Code]=(TRIM(Q$7)))*(GJ[Account Code]=(TRIM($D91))),GJ[Debit]))))-((SUM(IF((CkDJ[Ofc Code]=(TRIM(Q$7)))*(CkDJ[Account Code]=(TRIM($D91))),CkDJ[Credit])))+(SUM(IF((CsDJ[Ofc Code]=(TRIM(Q$7)))*(CsDJ[Account Code]=(TRIM($D91))),CsDJ[Credit])))+(SUM(IF((CRDJ[Ofc Code]=(TRIM(Q$7)))*(CRDJ[Account Code]=(TRIM($D91))),CRDJ[Credit])))+(SUM(IF((GJ[Ofc Code]=(TRIM(Q$7)))*(GJ[Account Code]=(TRIM($D91))),GJ[Credit]))))</f>
        <v>0</v>
      </c>
      <c r="R91" s="211">
        <f t="array" ref="R91">((SUM(IF((CkDJ[Ofc Code]=(TRIM(R$7)))*(CkDJ[Account Code]=(TRIM($D91))),CkDJ[Debit])))+(SUM(IF((CsDJ[Ofc Code]=(TRIM(R$7)))*(CsDJ[Account Code]=(TRIM($D91))),CsDJ[Debit])))+(SUM(IF((CRDJ[Ofc Code]=(TRIM(R$7)))*(CRDJ[Account Code]=(TRIM($D91))),CRDJ[Debit])))+(SUM(IF((GJ[Ofc Code]=(TRIM(R$7)))*(GJ[Account Code]=(TRIM($D91))),GJ[Debit]))))-((SUM(IF((CkDJ[Ofc Code]=(TRIM(R$7)))*(CkDJ[Account Code]=(TRIM($D91))),CkDJ[Credit])))+(SUM(IF((CsDJ[Ofc Code]=(TRIM(R$7)))*(CsDJ[Account Code]=(TRIM($D91))),CsDJ[Credit])))+(SUM(IF((CRDJ[Ofc Code]=(TRIM(R$7)))*(CRDJ[Account Code]=(TRIM($D91))),CRDJ[Credit])))+(SUM(IF((GJ[Ofc Code]=(TRIM(R$7)))*(GJ[Account Code]=(TRIM($D91))),GJ[Credit]))))</f>
        <v>0</v>
      </c>
      <c r="S91" s="211">
        <f t="array" ref="S91">((SUM(IF((CkDJ[Ofc Code]=(TRIM(S$7)))*(CkDJ[Account Code]=(TRIM($D91))),CkDJ[Debit])))+(SUM(IF((CsDJ[Ofc Code]=(TRIM(S$7)))*(CsDJ[Account Code]=(TRIM($D91))),CsDJ[Debit])))+(SUM(IF((CRDJ[Ofc Code]=(TRIM(S$7)))*(CRDJ[Account Code]=(TRIM($D91))),CRDJ[Debit])))+(SUM(IF((GJ[Ofc Code]=(TRIM(S$7)))*(GJ[Account Code]=(TRIM($D91))),GJ[Debit]))))-((SUM(IF((CkDJ[Ofc Code]=(TRIM(S$7)))*(CkDJ[Account Code]=(TRIM($D91))),CkDJ[Credit])))+(SUM(IF((CsDJ[Ofc Code]=(TRIM(S$7)))*(CsDJ[Account Code]=(TRIM($D91))),CsDJ[Credit])))+(SUM(IF((CRDJ[Ofc Code]=(TRIM(S$7)))*(CRDJ[Account Code]=(TRIM($D91))),CRDJ[Credit])))+(SUM(IF((GJ[Ofc Code]=(TRIM(S$7)))*(GJ[Account Code]=(TRIM($D91))),GJ[Credit]))))</f>
        <v>0</v>
      </c>
      <c r="T91" s="211">
        <f t="array" ref="T91">((SUM(IF((CkDJ[Ofc Code]=(TRIM(T$7)))*(CkDJ[Account Code]=(TRIM($D91))),CkDJ[Debit])))+(SUM(IF((CsDJ[Ofc Code]=(TRIM(T$7)))*(CsDJ[Account Code]=(TRIM($D91))),CsDJ[Debit])))+(SUM(IF((CRDJ[Ofc Code]=(TRIM(T$7)))*(CRDJ[Account Code]=(TRIM($D91))),CRDJ[Debit])))+(SUM(IF((GJ[Ofc Code]=(TRIM(T$7)))*(GJ[Account Code]=(TRIM($D91))),GJ[Debit]))))-((SUM(IF((CkDJ[Ofc Code]=(TRIM(T$7)))*(CkDJ[Account Code]=(TRIM($D91))),CkDJ[Credit])))+(SUM(IF((CsDJ[Ofc Code]=(TRIM(T$7)))*(CsDJ[Account Code]=(TRIM($D91))),CsDJ[Credit])))+(SUM(IF((CRDJ[Ofc Code]=(TRIM(T$7)))*(CRDJ[Account Code]=(TRIM($D91))),CRDJ[Credit])))+(SUM(IF((GJ[Ofc Code]=(TRIM(T$7)))*(GJ[Account Code]=(TRIM($D91))),GJ[Credit]))))</f>
        <v>0</v>
      </c>
      <c r="U91" s="211">
        <f t="shared" si="17"/>
        <v>0</v>
      </c>
      <c r="V91" s="211">
        <f t="shared" si="18"/>
        <v>0</v>
      </c>
    </row>
    <row r="92" spans="1:22" ht="15">
      <c r="A92" s="212">
        <f t="shared" si="19"/>
        <v>30</v>
      </c>
      <c r="B92" s="214"/>
      <c r="C92" s="194" t="str">
        <f t="shared" si="14"/>
        <v>Repairs and Maintenance-Transportation Equipment - Motor Vehicles</v>
      </c>
      <c r="D92" s="207">
        <v>841</v>
      </c>
      <c r="E92" s="211">
        <f t="array" ref="E92">((SUM(IF((CkDJ[Ofc Code]=(TRIM(E$7)))*(CkDJ[Account Code]=(TRIM($D92))),CkDJ[Debit])))+(SUM(IF((CsDJ[Ofc Code]=(TRIM(E$7)))*(CsDJ[Account Code]=(TRIM($D92))),CsDJ[Debit])))+(SUM(IF((CRDJ[Ofc Code]=(TRIM(E$7)))*(CRDJ[Account Code]=(TRIM($D92))),CRDJ[Debit])))+(SUM(IF((GJ[Ofc Code]=(TRIM(E$7)))*(GJ[Account Code]=(TRIM($D92))),GJ[Debit]))))-((SUM(IF((CkDJ[Ofc Code]=(TRIM(E$7)))*(CkDJ[Account Code]=(TRIM($D92))),CkDJ[Credit])))+(SUM(IF((CsDJ[Ofc Code]=(TRIM(E$7)))*(CsDJ[Account Code]=(TRIM($D92))),CsDJ[Credit])))+(SUM(IF((CRDJ[Ofc Code]=(TRIM(E$7)))*(CRDJ[Account Code]=(TRIM($D92))),CRDJ[Credit])))+(SUM(IF((GJ[Ofc Code]=(TRIM(E$7)))*(GJ[Account Code]=(TRIM($D92))),GJ[Credit]))))</f>
        <v>0</v>
      </c>
      <c r="F92" s="211">
        <f t="array" ref="F92">((SUM(IF((CkDJ[Ofc Code]=(TRIM(F$7)))*(CkDJ[Account Code]=(TRIM($D92))),CkDJ[Debit])))+(SUM(IF((CsDJ[Ofc Code]=(TRIM(F$7)))*(CsDJ[Account Code]=(TRIM($D92))),CsDJ[Debit])))+(SUM(IF((CRDJ[Ofc Code]=(TRIM(F$7)))*(CRDJ[Account Code]=(TRIM($D92))),CRDJ[Debit])))+(SUM(IF((GJ[Ofc Code]=(TRIM(F$7)))*(GJ[Account Code]=(TRIM($D92))),GJ[Debit]))))-((SUM(IF((CkDJ[Ofc Code]=(TRIM(F$7)))*(CkDJ[Account Code]=(TRIM($D92))),CkDJ[Credit])))+(SUM(IF((CsDJ[Ofc Code]=(TRIM(F$7)))*(CsDJ[Account Code]=(TRIM($D92))),CsDJ[Credit])))+(SUM(IF((CRDJ[Ofc Code]=(TRIM(F$7)))*(CRDJ[Account Code]=(TRIM($D92))),CRDJ[Credit])))+(SUM(IF((GJ[Ofc Code]=(TRIM(F$7)))*(GJ[Account Code]=(TRIM($D92))),GJ[Credit]))))</f>
        <v>0</v>
      </c>
      <c r="G92" s="211">
        <f t="array" ref="G92">((SUM(IF((CkDJ[Ofc Code]=(TRIM(G$7)))*(CkDJ[Account Code]=(TRIM($D92))),CkDJ[Debit])))+(SUM(IF((CsDJ[Ofc Code]=(TRIM(G$7)))*(CsDJ[Account Code]=(TRIM($D92))),CsDJ[Debit])))+(SUM(IF((CRDJ[Ofc Code]=(TRIM(G$7)))*(CRDJ[Account Code]=(TRIM($D92))),CRDJ[Debit])))+(SUM(IF((GJ[Ofc Code]=(TRIM(G$7)))*(GJ[Account Code]=(TRIM($D92))),GJ[Debit]))))-((SUM(IF((CkDJ[Ofc Code]=(TRIM(G$7)))*(CkDJ[Account Code]=(TRIM($D92))),CkDJ[Credit])))+(SUM(IF((CsDJ[Ofc Code]=(TRIM(G$7)))*(CsDJ[Account Code]=(TRIM($D92))),CsDJ[Credit])))+(SUM(IF((CRDJ[Ofc Code]=(TRIM(G$7)))*(CRDJ[Account Code]=(TRIM($D92))),CRDJ[Credit])))+(SUM(IF((GJ[Ofc Code]=(TRIM(G$7)))*(GJ[Account Code]=(TRIM($D92))),GJ[Credit]))))</f>
        <v>0</v>
      </c>
      <c r="H92" s="211">
        <f t="array" ref="H92">((SUM(IF((CkDJ[Ofc Code]=(TRIM(H$7)))*(CkDJ[Account Code]=(TRIM($D92))),CkDJ[Debit])))+(SUM(IF((CsDJ[Ofc Code]=(TRIM(H$7)))*(CsDJ[Account Code]=(TRIM($D92))),CsDJ[Debit])))+(SUM(IF((CRDJ[Ofc Code]=(TRIM(H$7)))*(CRDJ[Account Code]=(TRIM($D92))),CRDJ[Debit])))+(SUM(IF((GJ[Ofc Code]=(TRIM(H$7)))*(GJ[Account Code]=(TRIM($D92))),GJ[Debit]))))-((SUM(IF((CkDJ[Ofc Code]=(TRIM(H$7)))*(CkDJ[Account Code]=(TRIM($D92))),CkDJ[Credit])))+(SUM(IF((CsDJ[Ofc Code]=(TRIM(H$7)))*(CsDJ[Account Code]=(TRIM($D92))),CsDJ[Credit])))+(SUM(IF((CRDJ[Ofc Code]=(TRIM(H$7)))*(CRDJ[Account Code]=(TRIM($D92))),CRDJ[Credit])))+(SUM(IF((GJ[Ofc Code]=(TRIM(H$7)))*(GJ[Account Code]=(TRIM($D92))),GJ[Credit]))))</f>
        <v>0</v>
      </c>
      <c r="I92" s="211">
        <f t="array" ref="I92">((SUM(IF((CkDJ[Ofc Code]=(TRIM(I$7)))*(CkDJ[Account Code]=(TRIM($D92))),CkDJ[Debit])))+(SUM(IF((CsDJ[Ofc Code]=(TRIM(I$7)))*(CsDJ[Account Code]=(TRIM($D92))),CsDJ[Debit])))+(SUM(IF((CRDJ[Ofc Code]=(TRIM(I$7)))*(CRDJ[Account Code]=(TRIM($D92))),CRDJ[Debit])))+(SUM(IF((GJ[Ofc Code]=(TRIM(I$7)))*(GJ[Account Code]=(TRIM($D92))),GJ[Debit]))))-((SUM(IF((CkDJ[Ofc Code]=(TRIM(I$7)))*(CkDJ[Account Code]=(TRIM($D92))),CkDJ[Credit])))+(SUM(IF((CsDJ[Ofc Code]=(TRIM(I$7)))*(CsDJ[Account Code]=(TRIM($D92))),CsDJ[Credit])))+(SUM(IF((CRDJ[Ofc Code]=(TRIM(I$7)))*(CRDJ[Account Code]=(TRIM($D92))),CRDJ[Credit])))+(SUM(IF((GJ[Ofc Code]=(TRIM(I$7)))*(GJ[Account Code]=(TRIM($D92))),GJ[Credit]))))</f>
        <v>0</v>
      </c>
      <c r="J92" s="211">
        <f t="shared" si="15"/>
        <v>0</v>
      </c>
      <c r="K92" s="211">
        <f t="array" ref="K92">((SUM(IF((CkDJ[Ofc Code]=(TRIM(K$7)))*(CkDJ[Account Code]=(TRIM($D92))),CkDJ[Debit])))+(SUM(IF((CsDJ[Ofc Code]=(TRIM(K$7)))*(CsDJ[Account Code]=(TRIM($D92))),CsDJ[Debit])))+(SUM(IF((CRDJ[Ofc Code]=(TRIM(K$7)))*(CRDJ[Account Code]=(TRIM($D92))),CRDJ[Debit])))+(SUM(IF((GJ[Ofc Code]=(TRIM(K$7)))*(GJ[Account Code]=(TRIM($D92))),GJ[Debit]))))-((SUM(IF((CkDJ[Ofc Code]=(TRIM(K$7)))*(CkDJ[Account Code]=(TRIM($D92))),CkDJ[Credit])))+(SUM(IF((CsDJ[Ofc Code]=(TRIM(K$7)))*(CsDJ[Account Code]=(TRIM($D92))),CsDJ[Credit])))+(SUM(IF((CRDJ[Ofc Code]=(TRIM(K$7)))*(CRDJ[Account Code]=(TRIM($D92))),CRDJ[Credit])))+(SUM(IF((GJ[Ofc Code]=(TRIM(K$7)))*(GJ[Account Code]=(TRIM($D92))),GJ[Credit]))))</f>
        <v>0</v>
      </c>
      <c r="L92" s="211">
        <f t="array" ref="L92">((SUM(IF((CkDJ[Ofc Code]=(TRIM(L$7)))*(CkDJ[Account Code]=(TRIM($D92))),CkDJ[Debit])))+(SUM(IF((CsDJ[Ofc Code]=(TRIM(L$7)))*(CsDJ[Account Code]=(TRIM($D92))),CsDJ[Debit])))+(SUM(IF((CRDJ[Ofc Code]=(TRIM(L$7)))*(CRDJ[Account Code]=(TRIM($D92))),CRDJ[Debit])))+(SUM(IF((GJ[Ofc Code]=(TRIM(L$7)))*(GJ[Account Code]=(TRIM($D92))),GJ[Debit]))))-((SUM(IF((CkDJ[Ofc Code]=(TRIM(L$7)))*(CkDJ[Account Code]=(TRIM($D92))),CkDJ[Credit])))+(SUM(IF((CsDJ[Ofc Code]=(TRIM(L$7)))*(CsDJ[Account Code]=(TRIM($D92))),CsDJ[Credit])))+(SUM(IF((CRDJ[Ofc Code]=(TRIM(L$7)))*(CRDJ[Account Code]=(TRIM($D92))),CRDJ[Credit])))+(SUM(IF((GJ[Ofc Code]=(TRIM(L$7)))*(GJ[Account Code]=(TRIM($D92))),GJ[Credit]))))</f>
        <v>0</v>
      </c>
      <c r="M92" s="211">
        <f t="array" ref="M92">((SUM(IF((CkDJ[Ofc Code]=(TRIM(M$7)))*(CkDJ[Account Code]=(TRIM($D92))),CkDJ[Debit])))+(SUM(IF((CsDJ[Ofc Code]=(TRIM(M$7)))*(CsDJ[Account Code]=(TRIM($D92))),CsDJ[Debit])))+(SUM(IF((CRDJ[Ofc Code]=(TRIM(M$7)))*(CRDJ[Account Code]=(TRIM($D92))),CRDJ[Debit])))+(SUM(IF((GJ[Ofc Code]=(TRIM(M$7)))*(GJ[Account Code]=(TRIM($D92))),GJ[Debit]))))-((SUM(IF((CkDJ[Ofc Code]=(TRIM(M$7)))*(CkDJ[Account Code]=(TRIM($D92))),CkDJ[Credit])))+(SUM(IF((CsDJ[Ofc Code]=(TRIM(M$7)))*(CsDJ[Account Code]=(TRIM($D92))),CsDJ[Credit])))+(SUM(IF((CRDJ[Ofc Code]=(TRIM(M$7)))*(CRDJ[Account Code]=(TRIM($D92))),CRDJ[Credit])))+(SUM(IF((GJ[Ofc Code]=(TRIM(M$7)))*(GJ[Account Code]=(TRIM($D92))),GJ[Credit]))))</f>
        <v>0</v>
      </c>
      <c r="N92" s="211">
        <f t="array" ref="N92">((SUM(IF((CkDJ[Ofc Code]=(TRIM(N$7)))*(CkDJ[Account Code]=(TRIM($D92))),CkDJ[Debit])))+(SUM(IF((CsDJ[Ofc Code]=(TRIM(N$7)))*(CsDJ[Account Code]=(TRIM($D92))),CsDJ[Debit])))+(SUM(IF((CRDJ[Ofc Code]=(TRIM(N$7)))*(CRDJ[Account Code]=(TRIM($D92))),CRDJ[Debit])))+(SUM(IF((GJ[Ofc Code]=(TRIM(N$7)))*(GJ[Account Code]=(TRIM($D92))),GJ[Debit]))))-((SUM(IF((CkDJ[Ofc Code]=(TRIM(N$7)))*(CkDJ[Account Code]=(TRIM($D92))),CkDJ[Credit])))+(SUM(IF((CsDJ[Ofc Code]=(TRIM(N$7)))*(CsDJ[Account Code]=(TRIM($D92))),CsDJ[Credit])))+(SUM(IF((CRDJ[Ofc Code]=(TRIM(N$7)))*(CRDJ[Account Code]=(TRIM($D92))),CRDJ[Credit])))+(SUM(IF((GJ[Ofc Code]=(TRIM(N$7)))*(GJ[Account Code]=(TRIM($D92))),GJ[Credit]))))</f>
        <v>0</v>
      </c>
      <c r="O92" s="211">
        <f t="shared" si="16"/>
        <v>0</v>
      </c>
      <c r="P92" s="211">
        <f t="array" ref="P92">((SUM(IF((CkDJ[Ofc Code]=(TRIM(P$7)))*(CkDJ[Account Code]=(TRIM($D92))),CkDJ[Debit])))+(SUM(IF((CsDJ[Ofc Code]=(TRIM(P$7)))*(CsDJ[Account Code]=(TRIM($D92))),CsDJ[Debit])))+(SUM(IF((CRDJ[Ofc Code]=(TRIM(P$7)))*(CRDJ[Account Code]=(TRIM($D92))),CRDJ[Debit])))+(SUM(IF((GJ[Ofc Code]=(TRIM(P$7)))*(GJ[Account Code]=(TRIM($D92))),GJ[Debit]))))-((SUM(IF((CkDJ[Ofc Code]=(TRIM(P$7)))*(CkDJ[Account Code]=(TRIM($D92))),CkDJ[Credit])))+(SUM(IF((CsDJ[Ofc Code]=(TRIM(P$7)))*(CsDJ[Account Code]=(TRIM($D92))),CsDJ[Credit])))+(SUM(IF((CRDJ[Ofc Code]=(TRIM(P$7)))*(CRDJ[Account Code]=(TRIM($D92))),CRDJ[Credit])))+(SUM(IF((GJ[Ofc Code]=(TRIM(P$7)))*(GJ[Account Code]=(TRIM($D92))),GJ[Credit]))))</f>
        <v>0</v>
      </c>
      <c r="Q92" s="211">
        <f t="array" ref="Q92">((SUM(IF((CkDJ[Ofc Code]=(TRIM(Q$7)))*(CkDJ[Account Code]=(TRIM($D92))),CkDJ[Debit])))+(SUM(IF((CsDJ[Ofc Code]=(TRIM(Q$7)))*(CsDJ[Account Code]=(TRIM($D92))),CsDJ[Debit])))+(SUM(IF((CRDJ[Ofc Code]=(TRIM(Q$7)))*(CRDJ[Account Code]=(TRIM($D92))),CRDJ[Debit])))+(SUM(IF((GJ[Ofc Code]=(TRIM(Q$7)))*(GJ[Account Code]=(TRIM($D92))),GJ[Debit]))))-((SUM(IF((CkDJ[Ofc Code]=(TRIM(Q$7)))*(CkDJ[Account Code]=(TRIM($D92))),CkDJ[Credit])))+(SUM(IF((CsDJ[Ofc Code]=(TRIM(Q$7)))*(CsDJ[Account Code]=(TRIM($D92))),CsDJ[Credit])))+(SUM(IF((CRDJ[Ofc Code]=(TRIM(Q$7)))*(CRDJ[Account Code]=(TRIM($D92))),CRDJ[Credit])))+(SUM(IF((GJ[Ofc Code]=(TRIM(Q$7)))*(GJ[Account Code]=(TRIM($D92))),GJ[Credit]))))</f>
        <v>0</v>
      </c>
      <c r="R92" s="211">
        <f t="array" ref="R92">((SUM(IF((CkDJ[Ofc Code]=(TRIM(R$7)))*(CkDJ[Account Code]=(TRIM($D92))),CkDJ[Debit])))+(SUM(IF((CsDJ[Ofc Code]=(TRIM(R$7)))*(CsDJ[Account Code]=(TRIM($D92))),CsDJ[Debit])))+(SUM(IF((CRDJ[Ofc Code]=(TRIM(R$7)))*(CRDJ[Account Code]=(TRIM($D92))),CRDJ[Debit])))+(SUM(IF((GJ[Ofc Code]=(TRIM(R$7)))*(GJ[Account Code]=(TRIM($D92))),GJ[Debit]))))-((SUM(IF((CkDJ[Ofc Code]=(TRIM(R$7)))*(CkDJ[Account Code]=(TRIM($D92))),CkDJ[Credit])))+(SUM(IF((CsDJ[Ofc Code]=(TRIM(R$7)))*(CsDJ[Account Code]=(TRIM($D92))),CsDJ[Credit])))+(SUM(IF((CRDJ[Ofc Code]=(TRIM(R$7)))*(CRDJ[Account Code]=(TRIM($D92))),CRDJ[Credit])))+(SUM(IF((GJ[Ofc Code]=(TRIM(R$7)))*(GJ[Account Code]=(TRIM($D92))),GJ[Credit]))))</f>
        <v>0</v>
      </c>
      <c r="S92" s="211">
        <f t="array" ref="S92">((SUM(IF((CkDJ[Ofc Code]=(TRIM(S$7)))*(CkDJ[Account Code]=(TRIM($D92))),CkDJ[Debit])))+(SUM(IF((CsDJ[Ofc Code]=(TRIM(S$7)))*(CsDJ[Account Code]=(TRIM($D92))),CsDJ[Debit])))+(SUM(IF((CRDJ[Ofc Code]=(TRIM(S$7)))*(CRDJ[Account Code]=(TRIM($D92))),CRDJ[Debit])))+(SUM(IF((GJ[Ofc Code]=(TRIM(S$7)))*(GJ[Account Code]=(TRIM($D92))),GJ[Debit]))))-((SUM(IF((CkDJ[Ofc Code]=(TRIM(S$7)))*(CkDJ[Account Code]=(TRIM($D92))),CkDJ[Credit])))+(SUM(IF((CsDJ[Ofc Code]=(TRIM(S$7)))*(CsDJ[Account Code]=(TRIM($D92))),CsDJ[Credit])))+(SUM(IF((CRDJ[Ofc Code]=(TRIM(S$7)))*(CRDJ[Account Code]=(TRIM($D92))),CRDJ[Credit])))+(SUM(IF((GJ[Ofc Code]=(TRIM(S$7)))*(GJ[Account Code]=(TRIM($D92))),GJ[Credit]))))</f>
        <v>0</v>
      </c>
      <c r="T92" s="211">
        <f t="array" ref="T92">((SUM(IF((CkDJ[Ofc Code]=(TRIM(T$7)))*(CkDJ[Account Code]=(TRIM($D92))),CkDJ[Debit])))+(SUM(IF((CsDJ[Ofc Code]=(TRIM(T$7)))*(CsDJ[Account Code]=(TRIM($D92))),CsDJ[Debit])))+(SUM(IF((CRDJ[Ofc Code]=(TRIM(T$7)))*(CRDJ[Account Code]=(TRIM($D92))),CRDJ[Debit])))+(SUM(IF((GJ[Ofc Code]=(TRIM(T$7)))*(GJ[Account Code]=(TRIM($D92))),GJ[Debit]))))-((SUM(IF((CkDJ[Ofc Code]=(TRIM(T$7)))*(CkDJ[Account Code]=(TRIM($D92))),CkDJ[Credit])))+(SUM(IF((CsDJ[Ofc Code]=(TRIM(T$7)))*(CsDJ[Account Code]=(TRIM($D92))),CsDJ[Credit])))+(SUM(IF((CRDJ[Ofc Code]=(TRIM(T$7)))*(CRDJ[Account Code]=(TRIM($D92))),CRDJ[Credit])))+(SUM(IF((GJ[Ofc Code]=(TRIM(T$7)))*(GJ[Account Code]=(TRIM($D92))),GJ[Credit]))))</f>
        <v>0</v>
      </c>
      <c r="U92" s="211">
        <f t="shared" si="17"/>
        <v>0</v>
      </c>
      <c r="V92" s="211">
        <f t="shared" si="18"/>
        <v>0</v>
      </c>
    </row>
    <row r="93" spans="1:22" ht="15">
      <c r="A93" s="212">
        <f t="shared" si="19"/>
        <v>31</v>
      </c>
      <c r="B93" s="214"/>
      <c r="C93" s="194" t="str">
        <f t="shared" si="14"/>
        <v>Repairs and Maintenance-Transportation Equipment - Other Transportation Equipment</v>
      </c>
      <c r="D93" s="207">
        <v>848</v>
      </c>
      <c r="E93" s="211">
        <f t="array" ref="E93">((SUM(IF((CkDJ[Ofc Code]=(TRIM(E$7)))*(CkDJ[Account Code]=(TRIM($D93))),CkDJ[Debit])))+(SUM(IF((CsDJ[Ofc Code]=(TRIM(E$7)))*(CsDJ[Account Code]=(TRIM($D93))),CsDJ[Debit])))+(SUM(IF((CRDJ[Ofc Code]=(TRIM(E$7)))*(CRDJ[Account Code]=(TRIM($D93))),CRDJ[Debit])))+(SUM(IF((GJ[Ofc Code]=(TRIM(E$7)))*(GJ[Account Code]=(TRIM($D93))),GJ[Debit]))))-((SUM(IF((CkDJ[Ofc Code]=(TRIM(E$7)))*(CkDJ[Account Code]=(TRIM($D93))),CkDJ[Credit])))+(SUM(IF((CsDJ[Ofc Code]=(TRIM(E$7)))*(CsDJ[Account Code]=(TRIM($D93))),CsDJ[Credit])))+(SUM(IF((CRDJ[Ofc Code]=(TRIM(E$7)))*(CRDJ[Account Code]=(TRIM($D93))),CRDJ[Credit])))+(SUM(IF((GJ[Ofc Code]=(TRIM(E$7)))*(GJ[Account Code]=(TRIM($D93))),GJ[Credit]))))</f>
        <v>0</v>
      </c>
      <c r="F93" s="211">
        <f t="array" ref="F93">((SUM(IF((CkDJ[Ofc Code]=(TRIM(F$7)))*(CkDJ[Account Code]=(TRIM($D93))),CkDJ[Debit])))+(SUM(IF((CsDJ[Ofc Code]=(TRIM(F$7)))*(CsDJ[Account Code]=(TRIM($D93))),CsDJ[Debit])))+(SUM(IF((CRDJ[Ofc Code]=(TRIM(F$7)))*(CRDJ[Account Code]=(TRIM($D93))),CRDJ[Debit])))+(SUM(IF((GJ[Ofc Code]=(TRIM(F$7)))*(GJ[Account Code]=(TRIM($D93))),GJ[Debit]))))-((SUM(IF((CkDJ[Ofc Code]=(TRIM(F$7)))*(CkDJ[Account Code]=(TRIM($D93))),CkDJ[Credit])))+(SUM(IF((CsDJ[Ofc Code]=(TRIM(F$7)))*(CsDJ[Account Code]=(TRIM($D93))),CsDJ[Credit])))+(SUM(IF((CRDJ[Ofc Code]=(TRIM(F$7)))*(CRDJ[Account Code]=(TRIM($D93))),CRDJ[Credit])))+(SUM(IF((GJ[Ofc Code]=(TRIM(F$7)))*(GJ[Account Code]=(TRIM($D93))),GJ[Credit]))))</f>
        <v>0</v>
      </c>
      <c r="G93" s="211">
        <f t="array" ref="G93">((SUM(IF((CkDJ[Ofc Code]=(TRIM(G$7)))*(CkDJ[Account Code]=(TRIM($D93))),CkDJ[Debit])))+(SUM(IF((CsDJ[Ofc Code]=(TRIM(G$7)))*(CsDJ[Account Code]=(TRIM($D93))),CsDJ[Debit])))+(SUM(IF((CRDJ[Ofc Code]=(TRIM(G$7)))*(CRDJ[Account Code]=(TRIM($D93))),CRDJ[Debit])))+(SUM(IF((GJ[Ofc Code]=(TRIM(G$7)))*(GJ[Account Code]=(TRIM($D93))),GJ[Debit]))))-((SUM(IF((CkDJ[Ofc Code]=(TRIM(G$7)))*(CkDJ[Account Code]=(TRIM($D93))),CkDJ[Credit])))+(SUM(IF((CsDJ[Ofc Code]=(TRIM(G$7)))*(CsDJ[Account Code]=(TRIM($D93))),CsDJ[Credit])))+(SUM(IF((CRDJ[Ofc Code]=(TRIM(G$7)))*(CRDJ[Account Code]=(TRIM($D93))),CRDJ[Credit])))+(SUM(IF((GJ[Ofc Code]=(TRIM(G$7)))*(GJ[Account Code]=(TRIM($D93))),GJ[Credit]))))</f>
        <v>0</v>
      </c>
      <c r="H93" s="211">
        <f t="array" ref="H93">((SUM(IF((CkDJ[Ofc Code]=(TRIM(H$7)))*(CkDJ[Account Code]=(TRIM($D93))),CkDJ[Debit])))+(SUM(IF((CsDJ[Ofc Code]=(TRIM(H$7)))*(CsDJ[Account Code]=(TRIM($D93))),CsDJ[Debit])))+(SUM(IF((CRDJ[Ofc Code]=(TRIM(H$7)))*(CRDJ[Account Code]=(TRIM($D93))),CRDJ[Debit])))+(SUM(IF((GJ[Ofc Code]=(TRIM(H$7)))*(GJ[Account Code]=(TRIM($D93))),GJ[Debit]))))-((SUM(IF((CkDJ[Ofc Code]=(TRIM(H$7)))*(CkDJ[Account Code]=(TRIM($D93))),CkDJ[Credit])))+(SUM(IF((CsDJ[Ofc Code]=(TRIM(H$7)))*(CsDJ[Account Code]=(TRIM($D93))),CsDJ[Credit])))+(SUM(IF((CRDJ[Ofc Code]=(TRIM(H$7)))*(CRDJ[Account Code]=(TRIM($D93))),CRDJ[Credit])))+(SUM(IF((GJ[Ofc Code]=(TRIM(H$7)))*(GJ[Account Code]=(TRIM($D93))),GJ[Credit]))))</f>
        <v>0</v>
      </c>
      <c r="I93" s="211">
        <f t="array" ref="I93">((SUM(IF((CkDJ[Ofc Code]=(TRIM(I$7)))*(CkDJ[Account Code]=(TRIM($D93))),CkDJ[Debit])))+(SUM(IF((CsDJ[Ofc Code]=(TRIM(I$7)))*(CsDJ[Account Code]=(TRIM($D93))),CsDJ[Debit])))+(SUM(IF((CRDJ[Ofc Code]=(TRIM(I$7)))*(CRDJ[Account Code]=(TRIM($D93))),CRDJ[Debit])))+(SUM(IF((GJ[Ofc Code]=(TRIM(I$7)))*(GJ[Account Code]=(TRIM($D93))),GJ[Debit]))))-((SUM(IF((CkDJ[Ofc Code]=(TRIM(I$7)))*(CkDJ[Account Code]=(TRIM($D93))),CkDJ[Credit])))+(SUM(IF((CsDJ[Ofc Code]=(TRIM(I$7)))*(CsDJ[Account Code]=(TRIM($D93))),CsDJ[Credit])))+(SUM(IF((CRDJ[Ofc Code]=(TRIM(I$7)))*(CRDJ[Account Code]=(TRIM($D93))),CRDJ[Credit])))+(SUM(IF((GJ[Ofc Code]=(TRIM(I$7)))*(GJ[Account Code]=(TRIM($D93))),GJ[Credit]))))</f>
        <v>0</v>
      </c>
      <c r="J93" s="211">
        <f t="shared" si="15"/>
        <v>0</v>
      </c>
      <c r="K93" s="211">
        <f t="array" ref="K93">((SUM(IF((CkDJ[Ofc Code]=(TRIM(K$7)))*(CkDJ[Account Code]=(TRIM($D93))),CkDJ[Debit])))+(SUM(IF((CsDJ[Ofc Code]=(TRIM(K$7)))*(CsDJ[Account Code]=(TRIM($D93))),CsDJ[Debit])))+(SUM(IF((CRDJ[Ofc Code]=(TRIM(K$7)))*(CRDJ[Account Code]=(TRIM($D93))),CRDJ[Debit])))+(SUM(IF((GJ[Ofc Code]=(TRIM(K$7)))*(GJ[Account Code]=(TRIM($D93))),GJ[Debit]))))-((SUM(IF((CkDJ[Ofc Code]=(TRIM(K$7)))*(CkDJ[Account Code]=(TRIM($D93))),CkDJ[Credit])))+(SUM(IF((CsDJ[Ofc Code]=(TRIM(K$7)))*(CsDJ[Account Code]=(TRIM($D93))),CsDJ[Credit])))+(SUM(IF((CRDJ[Ofc Code]=(TRIM(K$7)))*(CRDJ[Account Code]=(TRIM($D93))),CRDJ[Credit])))+(SUM(IF((GJ[Ofc Code]=(TRIM(K$7)))*(GJ[Account Code]=(TRIM($D93))),GJ[Credit]))))</f>
        <v>0</v>
      </c>
      <c r="L93" s="211">
        <f t="array" ref="L93">((SUM(IF((CkDJ[Ofc Code]=(TRIM(L$7)))*(CkDJ[Account Code]=(TRIM($D93))),CkDJ[Debit])))+(SUM(IF((CsDJ[Ofc Code]=(TRIM(L$7)))*(CsDJ[Account Code]=(TRIM($D93))),CsDJ[Debit])))+(SUM(IF((CRDJ[Ofc Code]=(TRIM(L$7)))*(CRDJ[Account Code]=(TRIM($D93))),CRDJ[Debit])))+(SUM(IF((GJ[Ofc Code]=(TRIM(L$7)))*(GJ[Account Code]=(TRIM($D93))),GJ[Debit]))))-((SUM(IF((CkDJ[Ofc Code]=(TRIM(L$7)))*(CkDJ[Account Code]=(TRIM($D93))),CkDJ[Credit])))+(SUM(IF((CsDJ[Ofc Code]=(TRIM(L$7)))*(CsDJ[Account Code]=(TRIM($D93))),CsDJ[Credit])))+(SUM(IF((CRDJ[Ofc Code]=(TRIM(L$7)))*(CRDJ[Account Code]=(TRIM($D93))),CRDJ[Credit])))+(SUM(IF((GJ[Ofc Code]=(TRIM(L$7)))*(GJ[Account Code]=(TRIM($D93))),GJ[Credit]))))</f>
        <v>0</v>
      </c>
      <c r="M93" s="211">
        <f t="array" ref="M93">((SUM(IF((CkDJ[Ofc Code]=(TRIM(M$7)))*(CkDJ[Account Code]=(TRIM($D93))),CkDJ[Debit])))+(SUM(IF((CsDJ[Ofc Code]=(TRIM(M$7)))*(CsDJ[Account Code]=(TRIM($D93))),CsDJ[Debit])))+(SUM(IF((CRDJ[Ofc Code]=(TRIM(M$7)))*(CRDJ[Account Code]=(TRIM($D93))),CRDJ[Debit])))+(SUM(IF((GJ[Ofc Code]=(TRIM(M$7)))*(GJ[Account Code]=(TRIM($D93))),GJ[Debit]))))-((SUM(IF((CkDJ[Ofc Code]=(TRIM(M$7)))*(CkDJ[Account Code]=(TRIM($D93))),CkDJ[Credit])))+(SUM(IF((CsDJ[Ofc Code]=(TRIM(M$7)))*(CsDJ[Account Code]=(TRIM($D93))),CsDJ[Credit])))+(SUM(IF((CRDJ[Ofc Code]=(TRIM(M$7)))*(CRDJ[Account Code]=(TRIM($D93))),CRDJ[Credit])))+(SUM(IF((GJ[Ofc Code]=(TRIM(M$7)))*(GJ[Account Code]=(TRIM($D93))),GJ[Credit]))))</f>
        <v>0</v>
      </c>
      <c r="N93" s="211">
        <f t="array" ref="N93">((SUM(IF((CkDJ[Ofc Code]=(TRIM(N$7)))*(CkDJ[Account Code]=(TRIM($D93))),CkDJ[Debit])))+(SUM(IF((CsDJ[Ofc Code]=(TRIM(N$7)))*(CsDJ[Account Code]=(TRIM($D93))),CsDJ[Debit])))+(SUM(IF((CRDJ[Ofc Code]=(TRIM(N$7)))*(CRDJ[Account Code]=(TRIM($D93))),CRDJ[Debit])))+(SUM(IF((GJ[Ofc Code]=(TRIM(N$7)))*(GJ[Account Code]=(TRIM($D93))),GJ[Debit]))))-((SUM(IF((CkDJ[Ofc Code]=(TRIM(N$7)))*(CkDJ[Account Code]=(TRIM($D93))),CkDJ[Credit])))+(SUM(IF((CsDJ[Ofc Code]=(TRIM(N$7)))*(CsDJ[Account Code]=(TRIM($D93))),CsDJ[Credit])))+(SUM(IF((CRDJ[Ofc Code]=(TRIM(N$7)))*(CRDJ[Account Code]=(TRIM($D93))),CRDJ[Credit])))+(SUM(IF((GJ[Ofc Code]=(TRIM(N$7)))*(GJ[Account Code]=(TRIM($D93))),GJ[Credit]))))</f>
        <v>0</v>
      </c>
      <c r="O93" s="211">
        <f t="shared" si="16"/>
        <v>0</v>
      </c>
      <c r="P93" s="211">
        <f t="array" ref="P93">((SUM(IF((CkDJ[Ofc Code]=(TRIM(P$7)))*(CkDJ[Account Code]=(TRIM($D93))),CkDJ[Debit])))+(SUM(IF((CsDJ[Ofc Code]=(TRIM(P$7)))*(CsDJ[Account Code]=(TRIM($D93))),CsDJ[Debit])))+(SUM(IF((CRDJ[Ofc Code]=(TRIM(P$7)))*(CRDJ[Account Code]=(TRIM($D93))),CRDJ[Debit])))+(SUM(IF((GJ[Ofc Code]=(TRIM(P$7)))*(GJ[Account Code]=(TRIM($D93))),GJ[Debit]))))-((SUM(IF((CkDJ[Ofc Code]=(TRIM(P$7)))*(CkDJ[Account Code]=(TRIM($D93))),CkDJ[Credit])))+(SUM(IF((CsDJ[Ofc Code]=(TRIM(P$7)))*(CsDJ[Account Code]=(TRIM($D93))),CsDJ[Credit])))+(SUM(IF((CRDJ[Ofc Code]=(TRIM(P$7)))*(CRDJ[Account Code]=(TRIM($D93))),CRDJ[Credit])))+(SUM(IF((GJ[Ofc Code]=(TRIM(P$7)))*(GJ[Account Code]=(TRIM($D93))),GJ[Credit]))))</f>
        <v>0</v>
      </c>
      <c r="Q93" s="211">
        <f t="array" ref="Q93">((SUM(IF((CkDJ[Ofc Code]=(TRIM(Q$7)))*(CkDJ[Account Code]=(TRIM($D93))),CkDJ[Debit])))+(SUM(IF((CsDJ[Ofc Code]=(TRIM(Q$7)))*(CsDJ[Account Code]=(TRIM($D93))),CsDJ[Debit])))+(SUM(IF((CRDJ[Ofc Code]=(TRIM(Q$7)))*(CRDJ[Account Code]=(TRIM($D93))),CRDJ[Debit])))+(SUM(IF((GJ[Ofc Code]=(TRIM(Q$7)))*(GJ[Account Code]=(TRIM($D93))),GJ[Debit]))))-((SUM(IF((CkDJ[Ofc Code]=(TRIM(Q$7)))*(CkDJ[Account Code]=(TRIM($D93))),CkDJ[Credit])))+(SUM(IF((CsDJ[Ofc Code]=(TRIM(Q$7)))*(CsDJ[Account Code]=(TRIM($D93))),CsDJ[Credit])))+(SUM(IF((CRDJ[Ofc Code]=(TRIM(Q$7)))*(CRDJ[Account Code]=(TRIM($D93))),CRDJ[Credit])))+(SUM(IF((GJ[Ofc Code]=(TRIM(Q$7)))*(GJ[Account Code]=(TRIM($D93))),GJ[Credit]))))</f>
        <v>0</v>
      </c>
      <c r="R93" s="211">
        <f t="array" ref="R93">((SUM(IF((CkDJ[Ofc Code]=(TRIM(R$7)))*(CkDJ[Account Code]=(TRIM($D93))),CkDJ[Debit])))+(SUM(IF((CsDJ[Ofc Code]=(TRIM(R$7)))*(CsDJ[Account Code]=(TRIM($D93))),CsDJ[Debit])))+(SUM(IF((CRDJ[Ofc Code]=(TRIM(R$7)))*(CRDJ[Account Code]=(TRIM($D93))),CRDJ[Debit])))+(SUM(IF((GJ[Ofc Code]=(TRIM(R$7)))*(GJ[Account Code]=(TRIM($D93))),GJ[Debit]))))-((SUM(IF((CkDJ[Ofc Code]=(TRIM(R$7)))*(CkDJ[Account Code]=(TRIM($D93))),CkDJ[Credit])))+(SUM(IF((CsDJ[Ofc Code]=(TRIM(R$7)))*(CsDJ[Account Code]=(TRIM($D93))),CsDJ[Credit])))+(SUM(IF((CRDJ[Ofc Code]=(TRIM(R$7)))*(CRDJ[Account Code]=(TRIM($D93))),CRDJ[Credit])))+(SUM(IF((GJ[Ofc Code]=(TRIM(R$7)))*(GJ[Account Code]=(TRIM($D93))),GJ[Credit]))))</f>
        <v>0</v>
      </c>
      <c r="S93" s="211">
        <f t="array" ref="S93">((SUM(IF((CkDJ[Ofc Code]=(TRIM(S$7)))*(CkDJ[Account Code]=(TRIM($D93))),CkDJ[Debit])))+(SUM(IF((CsDJ[Ofc Code]=(TRIM(S$7)))*(CsDJ[Account Code]=(TRIM($D93))),CsDJ[Debit])))+(SUM(IF((CRDJ[Ofc Code]=(TRIM(S$7)))*(CRDJ[Account Code]=(TRIM($D93))),CRDJ[Debit])))+(SUM(IF((GJ[Ofc Code]=(TRIM(S$7)))*(GJ[Account Code]=(TRIM($D93))),GJ[Debit]))))-((SUM(IF((CkDJ[Ofc Code]=(TRIM(S$7)))*(CkDJ[Account Code]=(TRIM($D93))),CkDJ[Credit])))+(SUM(IF((CsDJ[Ofc Code]=(TRIM(S$7)))*(CsDJ[Account Code]=(TRIM($D93))),CsDJ[Credit])))+(SUM(IF((CRDJ[Ofc Code]=(TRIM(S$7)))*(CRDJ[Account Code]=(TRIM($D93))),CRDJ[Credit])))+(SUM(IF((GJ[Ofc Code]=(TRIM(S$7)))*(GJ[Account Code]=(TRIM($D93))),GJ[Credit]))))</f>
        <v>0</v>
      </c>
      <c r="T93" s="211">
        <f t="array" ref="T93">((SUM(IF((CkDJ[Ofc Code]=(TRIM(T$7)))*(CkDJ[Account Code]=(TRIM($D93))),CkDJ[Debit])))+(SUM(IF((CsDJ[Ofc Code]=(TRIM(T$7)))*(CsDJ[Account Code]=(TRIM($D93))),CsDJ[Debit])))+(SUM(IF((CRDJ[Ofc Code]=(TRIM(T$7)))*(CRDJ[Account Code]=(TRIM($D93))),CRDJ[Debit])))+(SUM(IF((GJ[Ofc Code]=(TRIM(T$7)))*(GJ[Account Code]=(TRIM($D93))),GJ[Debit]))))-((SUM(IF((CkDJ[Ofc Code]=(TRIM(T$7)))*(CkDJ[Account Code]=(TRIM($D93))),CkDJ[Credit])))+(SUM(IF((CsDJ[Ofc Code]=(TRIM(T$7)))*(CsDJ[Account Code]=(TRIM($D93))),CsDJ[Credit])))+(SUM(IF((CRDJ[Ofc Code]=(TRIM(T$7)))*(CRDJ[Account Code]=(TRIM($D93))),CRDJ[Credit])))+(SUM(IF((GJ[Ofc Code]=(TRIM(T$7)))*(GJ[Account Code]=(TRIM($D93))),GJ[Credit]))))</f>
        <v>0</v>
      </c>
      <c r="U93" s="211">
        <f t="shared" si="17"/>
        <v>0</v>
      </c>
      <c r="V93" s="211">
        <f t="shared" si="18"/>
        <v>0</v>
      </c>
    </row>
    <row r="94" spans="1:22" ht="15">
      <c r="A94" s="212">
        <f t="shared" si="19"/>
        <v>32</v>
      </c>
      <c r="B94" s="214"/>
      <c r="C94" s="194" t="str">
        <f t="shared" si="14"/>
        <v>Repairs and Maintenance-Other Property, Plant and Equipment - Other Property, Plant and Equipment</v>
      </c>
      <c r="D94" s="207">
        <v>850</v>
      </c>
      <c r="E94" s="211">
        <f t="array" ref="E94">((SUM(IF((CkDJ[Ofc Code]=(TRIM(E$7)))*(CkDJ[Account Code]=(TRIM($D94))),CkDJ[Debit])))+(SUM(IF((CsDJ[Ofc Code]=(TRIM(E$7)))*(CsDJ[Account Code]=(TRIM($D94))),CsDJ[Debit])))+(SUM(IF((CRDJ[Ofc Code]=(TRIM(E$7)))*(CRDJ[Account Code]=(TRIM($D94))),CRDJ[Debit])))+(SUM(IF((GJ[Ofc Code]=(TRIM(E$7)))*(GJ[Account Code]=(TRIM($D94))),GJ[Debit]))))-((SUM(IF((CkDJ[Ofc Code]=(TRIM(E$7)))*(CkDJ[Account Code]=(TRIM($D94))),CkDJ[Credit])))+(SUM(IF((CsDJ[Ofc Code]=(TRIM(E$7)))*(CsDJ[Account Code]=(TRIM($D94))),CsDJ[Credit])))+(SUM(IF((CRDJ[Ofc Code]=(TRIM(E$7)))*(CRDJ[Account Code]=(TRIM($D94))),CRDJ[Credit])))+(SUM(IF((GJ[Ofc Code]=(TRIM(E$7)))*(GJ[Account Code]=(TRIM($D94))),GJ[Credit]))))</f>
        <v>0</v>
      </c>
      <c r="F94" s="211">
        <f t="array" ref="F94">((SUM(IF((CkDJ[Ofc Code]=(TRIM(F$7)))*(CkDJ[Account Code]=(TRIM($D94))),CkDJ[Debit])))+(SUM(IF((CsDJ[Ofc Code]=(TRIM(F$7)))*(CsDJ[Account Code]=(TRIM($D94))),CsDJ[Debit])))+(SUM(IF((CRDJ[Ofc Code]=(TRIM(F$7)))*(CRDJ[Account Code]=(TRIM($D94))),CRDJ[Debit])))+(SUM(IF((GJ[Ofc Code]=(TRIM(F$7)))*(GJ[Account Code]=(TRIM($D94))),GJ[Debit]))))-((SUM(IF((CkDJ[Ofc Code]=(TRIM(F$7)))*(CkDJ[Account Code]=(TRIM($D94))),CkDJ[Credit])))+(SUM(IF((CsDJ[Ofc Code]=(TRIM(F$7)))*(CsDJ[Account Code]=(TRIM($D94))),CsDJ[Credit])))+(SUM(IF((CRDJ[Ofc Code]=(TRIM(F$7)))*(CRDJ[Account Code]=(TRIM($D94))),CRDJ[Credit])))+(SUM(IF((GJ[Ofc Code]=(TRIM(F$7)))*(GJ[Account Code]=(TRIM($D94))),GJ[Credit]))))</f>
        <v>0</v>
      </c>
      <c r="G94" s="211">
        <f t="array" ref="G94">((SUM(IF((CkDJ[Ofc Code]=(TRIM(G$7)))*(CkDJ[Account Code]=(TRIM($D94))),CkDJ[Debit])))+(SUM(IF((CsDJ[Ofc Code]=(TRIM(G$7)))*(CsDJ[Account Code]=(TRIM($D94))),CsDJ[Debit])))+(SUM(IF((CRDJ[Ofc Code]=(TRIM(G$7)))*(CRDJ[Account Code]=(TRIM($D94))),CRDJ[Debit])))+(SUM(IF((GJ[Ofc Code]=(TRIM(G$7)))*(GJ[Account Code]=(TRIM($D94))),GJ[Debit]))))-((SUM(IF((CkDJ[Ofc Code]=(TRIM(G$7)))*(CkDJ[Account Code]=(TRIM($D94))),CkDJ[Credit])))+(SUM(IF((CsDJ[Ofc Code]=(TRIM(G$7)))*(CsDJ[Account Code]=(TRIM($D94))),CsDJ[Credit])))+(SUM(IF((CRDJ[Ofc Code]=(TRIM(G$7)))*(CRDJ[Account Code]=(TRIM($D94))),CRDJ[Credit])))+(SUM(IF((GJ[Ofc Code]=(TRIM(G$7)))*(GJ[Account Code]=(TRIM($D94))),GJ[Credit]))))</f>
        <v>0</v>
      </c>
      <c r="H94" s="211">
        <f t="array" ref="H94">((SUM(IF((CkDJ[Ofc Code]=(TRIM(H$7)))*(CkDJ[Account Code]=(TRIM($D94))),CkDJ[Debit])))+(SUM(IF((CsDJ[Ofc Code]=(TRIM(H$7)))*(CsDJ[Account Code]=(TRIM($D94))),CsDJ[Debit])))+(SUM(IF((CRDJ[Ofc Code]=(TRIM(H$7)))*(CRDJ[Account Code]=(TRIM($D94))),CRDJ[Debit])))+(SUM(IF((GJ[Ofc Code]=(TRIM(H$7)))*(GJ[Account Code]=(TRIM($D94))),GJ[Debit]))))-((SUM(IF((CkDJ[Ofc Code]=(TRIM(H$7)))*(CkDJ[Account Code]=(TRIM($D94))),CkDJ[Credit])))+(SUM(IF((CsDJ[Ofc Code]=(TRIM(H$7)))*(CsDJ[Account Code]=(TRIM($D94))),CsDJ[Credit])))+(SUM(IF((CRDJ[Ofc Code]=(TRIM(H$7)))*(CRDJ[Account Code]=(TRIM($D94))),CRDJ[Credit])))+(SUM(IF((GJ[Ofc Code]=(TRIM(H$7)))*(GJ[Account Code]=(TRIM($D94))),GJ[Credit]))))</f>
        <v>0</v>
      </c>
      <c r="I94" s="211">
        <f t="array" ref="I94">((SUM(IF((CkDJ[Ofc Code]=(TRIM(I$7)))*(CkDJ[Account Code]=(TRIM($D94))),CkDJ[Debit])))+(SUM(IF((CsDJ[Ofc Code]=(TRIM(I$7)))*(CsDJ[Account Code]=(TRIM($D94))),CsDJ[Debit])))+(SUM(IF((CRDJ[Ofc Code]=(TRIM(I$7)))*(CRDJ[Account Code]=(TRIM($D94))),CRDJ[Debit])))+(SUM(IF((GJ[Ofc Code]=(TRIM(I$7)))*(GJ[Account Code]=(TRIM($D94))),GJ[Debit]))))-((SUM(IF((CkDJ[Ofc Code]=(TRIM(I$7)))*(CkDJ[Account Code]=(TRIM($D94))),CkDJ[Credit])))+(SUM(IF((CsDJ[Ofc Code]=(TRIM(I$7)))*(CsDJ[Account Code]=(TRIM($D94))),CsDJ[Credit])))+(SUM(IF((CRDJ[Ofc Code]=(TRIM(I$7)))*(CRDJ[Account Code]=(TRIM($D94))),CRDJ[Credit])))+(SUM(IF((GJ[Ofc Code]=(TRIM(I$7)))*(GJ[Account Code]=(TRIM($D94))),GJ[Credit]))))</f>
        <v>0</v>
      </c>
      <c r="J94" s="211">
        <f t="shared" si="15"/>
        <v>0</v>
      </c>
      <c r="K94" s="211">
        <f t="array" ref="K94">((SUM(IF((CkDJ[Ofc Code]=(TRIM(K$7)))*(CkDJ[Account Code]=(TRIM($D94))),CkDJ[Debit])))+(SUM(IF((CsDJ[Ofc Code]=(TRIM(K$7)))*(CsDJ[Account Code]=(TRIM($D94))),CsDJ[Debit])))+(SUM(IF((CRDJ[Ofc Code]=(TRIM(K$7)))*(CRDJ[Account Code]=(TRIM($D94))),CRDJ[Debit])))+(SUM(IF((GJ[Ofc Code]=(TRIM(K$7)))*(GJ[Account Code]=(TRIM($D94))),GJ[Debit]))))-((SUM(IF((CkDJ[Ofc Code]=(TRIM(K$7)))*(CkDJ[Account Code]=(TRIM($D94))),CkDJ[Credit])))+(SUM(IF((CsDJ[Ofc Code]=(TRIM(K$7)))*(CsDJ[Account Code]=(TRIM($D94))),CsDJ[Credit])))+(SUM(IF((CRDJ[Ofc Code]=(TRIM(K$7)))*(CRDJ[Account Code]=(TRIM($D94))),CRDJ[Credit])))+(SUM(IF((GJ[Ofc Code]=(TRIM(K$7)))*(GJ[Account Code]=(TRIM($D94))),GJ[Credit]))))</f>
        <v>0</v>
      </c>
      <c r="L94" s="211">
        <f t="array" ref="L94">((SUM(IF((CkDJ[Ofc Code]=(TRIM(L$7)))*(CkDJ[Account Code]=(TRIM($D94))),CkDJ[Debit])))+(SUM(IF((CsDJ[Ofc Code]=(TRIM(L$7)))*(CsDJ[Account Code]=(TRIM($D94))),CsDJ[Debit])))+(SUM(IF((CRDJ[Ofc Code]=(TRIM(L$7)))*(CRDJ[Account Code]=(TRIM($D94))),CRDJ[Debit])))+(SUM(IF((GJ[Ofc Code]=(TRIM(L$7)))*(GJ[Account Code]=(TRIM($D94))),GJ[Debit]))))-((SUM(IF((CkDJ[Ofc Code]=(TRIM(L$7)))*(CkDJ[Account Code]=(TRIM($D94))),CkDJ[Credit])))+(SUM(IF((CsDJ[Ofc Code]=(TRIM(L$7)))*(CsDJ[Account Code]=(TRIM($D94))),CsDJ[Credit])))+(SUM(IF((CRDJ[Ofc Code]=(TRIM(L$7)))*(CRDJ[Account Code]=(TRIM($D94))),CRDJ[Credit])))+(SUM(IF((GJ[Ofc Code]=(TRIM(L$7)))*(GJ[Account Code]=(TRIM($D94))),GJ[Credit]))))</f>
        <v>0</v>
      </c>
      <c r="M94" s="211">
        <f t="array" ref="M94">((SUM(IF((CkDJ[Ofc Code]=(TRIM(M$7)))*(CkDJ[Account Code]=(TRIM($D94))),CkDJ[Debit])))+(SUM(IF((CsDJ[Ofc Code]=(TRIM(M$7)))*(CsDJ[Account Code]=(TRIM($D94))),CsDJ[Debit])))+(SUM(IF((CRDJ[Ofc Code]=(TRIM(M$7)))*(CRDJ[Account Code]=(TRIM($D94))),CRDJ[Debit])))+(SUM(IF((GJ[Ofc Code]=(TRIM(M$7)))*(GJ[Account Code]=(TRIM($D94))),GJ[Debit]))))-((SUM(IF((CkDJ[Ofc Code]=(TRIM(M$7)))*(CkDJ[Account Code]=(TRIM($D94))),CkDJ[Credit])))+(SUM(IF((CsDJ[Ofc Code]=(TRIM(M$7)))*(CsDJ[Account Code]=(TRIM($D94))),CsDJ[Credit])))+(SUM(IF((CRDJ[Ofc Code]=(TRIM(M$7)))*(CRDJ[Account Code]=(TRIM($D94))),CRDJ[Credit])))+(SUM(IF((GJ[Ofc Code]=(TRIM(M$7)))*(GJ[Account Code]=(TRIM($D94))),GJ[Credit]))))</f>
        <v>0</v>
      </c>
      <c r="N94" s="211">
        <f t="array" ref="N94">((SUM(IF((CkDJ[Ofc Code]=(TRIM(N$7)))*(CkDJ[Account Code]=(TRIM($D94))),CkDJ[Debit])))+(SUM(IF((CsDJ[Ofc Code]=(TRIM(N$7)))*(CsDJ[Account Code]=(TRIM($D94))),CsDJ[Debit])))+(SUM(IF((CRDJ[Ofc Code]=(TRIM(N$7)))*(CRDJ[Account Code]=(TRIM($D94))),CRDJ[Debit])))+(SUM(IF((GJ[Ofc Code]=(TRIM(N$7)))*(GJ[Account Code]=(TRIM($D94))),GJ[Debit]))))-((SUM(IF((CkDJ[Ofc Code]=(TRIM(N$7)))*(CkDJ[Account Code]=(TRIM($D94))),CkDJ[Credit])))+(SUM(IF((CsDJ[Ofc Code]=(TRIM(N$7)))*(CsDJ[Account Code]=(TRIM($D94))),CsDJ[Credit])))+(SUM(IF((CRDJ[Ofc Code]=(TRIM(N$7)))*(CRDJ[Account Code]=(TRIM($D94))),CRDJ[Credit])))+(SUM(IF((GJ[Ofc Code]=(TRIM(N$7)))*(GJ[Account Code]=(TRIM($D94))),GJ[Credit]))))</f>
        <v>0</v>
      </c>
      <c r="O94" s="211">
        <f t="shared" si="16"/>
        <v>0</v>
      </c>
      <c r="P94" s="211">
        <f t="array" ref="P94">((SUM(IF((CkDJ[Ofc Code]=(TRIM(P$7)))*(CkDJ[Account Code]=(TRIM($D94))),CkDJ[Debit])))+(SUM(IF((CsDJ[Ofc Code]=(TRIM(P$7)))*(CsDJ[Account Code]=(TRIM($D94))),CsDJ[Debit])))+(SUM(IF((CRDJ[Ofc Code]=(TRIM(P$7)))*(CRDJ[Account Code]=(TRIM($D94))),CRDJ[Debit])))+(SUM(IF((GJ[Ofc Code]=(TRIM(P$7)))*(GJ[Account Code]=(TRIM($D94))),GJ[Debit]))))-((SUM(IF((CkDJ[Ofc Code]=(TRIM(P$7)))*(CkDJ[Account Code]=(TRIM($D94))),CkDJ[Credit])))+(SUM(IF((CsDJ[Ofc Code]=(TRIM(P$7)))*(CsDJ[Account Code]=(TRIM($D94))),CsDJ[Credit])))+(SUM(IF((CRDJ[Ofc Code]=(TRIM(P$7)))*(CRDJ[Account Code]=(TRIM($D94))),CRDJ[Credit])))+(SUM(IF((GJ[Ofc Code]=(TRIM(P$7)))*(GJ[Account Code]=(TRIM($D94))),GJ[Credit]))))</f>
        <v>0</v>
      </c>
      <c r="Q94" s="211">
        <f t="array" ref="Q94">((SUM(IF((CkDJ[Ofc Code]=(TRIM(Q$7)))*(CkDJ[Account Code]=(TRIM($D94))),CkDJ[Debit])))+(SUM(IF((CsDJ[Ofc Code]=(TRIM(Q$7)))*(CsDJ[Account Code]=(TRIM($D94))),CsDJ[Debit])))+(SUM(IF((CRDJ[Ofc Code]=(TRIM(Q$7)))*(CRDJ[Account Code]=(TRIM($D94))),CRDJ[Debit])))+(SUM(IF((GJ[Ofc Code]=(TRIM(Q$7)))*(GJ[Account Code]=(TRIM($D94))),GJ[Debit]))))-((SUM(IF((CkDJ[Ofc Code]=(TRIM(Q$7)))*(CkDJ[Account Code]=(TRIM($D94))),CkDJ[Credit])))+(SUM(IF((CsDJ[Ofc Code]=(TRIM(Q$7)))*(CsDJ[Account Code]=(TRIM($D94))),CsDJ[Credit])))+(SUM(IF((CRDJ[Ofc Code]=(TRIM(Q$7)))*(CRDJ[Account Code]=(TRIM($D94))),CRDJ[Credit])))+(SUM(IF((GJ[Ofc Code]=(TRIM(Q$7)))*(GJ[Account Code]=(TRIM($D94))),GJ[Credit]))))</f>
        <v>0</v>
      </c>
      <c r="R94" s="211">
        <f t="array" ref="R94">((SUM(IF((CkDJ[Ofc Code]=(TRIM(R$7)))*(CkDJ[Account Code]=(TRIM($D94))),CkDJ[Debit])))+(SUM(IF((CsDJ[Ofc Code]=(TRIM(R$7)))*(CsDJ[Account Code]=(TRIM($D94))),CsDJ[Debit])))+(SUM(IF((CRDJ[Ofc Code]=(TRIM(R$7)))*(CRDJ[Account Code]=(TRIM($D94))),CRDJ[Debit])))+(SUM(IF((GJ[Ofc Code]=(TRIM(R$7)))*(GJ[Account Code]=(TRIM($D94))),GJ[Debit]))))-((SUM(IF((CkDJ[Ofc Code]=(TRIM(R$7)))*(CkDJ[Account Code]=(TRIM($D94))),CkDJ[Credit])))+(SUM(IF((CsDJ[Ofc Code]=(TRIM(R$7)))*(CsDJ[Account Code]=(TRIM($D94))),CsDJ[Credit])))+(SUM(IF((CRDJ[Ofc Code]=(TRIM(R$7)))*(CRDJ[Account Code]=(TRIM($D94))),CRDJ[Credit])))+(SUM(IF((GJ[Ofc Code]=(TRIM(R$7)))*(GJ[Account Code]=(TRIM($D94))),GJ[Credit]))))</f>
        <v>0</v>
      </c>
      <c r="S94" s="211">
        <f t="array" ref="S94">((SUM(IF((CkDJ[Ofc Code]=(TRIM(S$7)))*(CkDJ[Account Code]=(TRIM($D94))),CkDJ[Debit])))+(SUM(IF((CsDJ[Ofc Code]=(TRIM(S$7)))*(CsDJ[Account Code]=(TRIM($D94))),CsDJ[Debit])))+(SUM(IF((CRDJ[Ofc Code]=(TRIM(S$7)))*(CRDJ[Account Code]=(TRIM($D94))),CRDJ[Debit])))+(SUM(IF((GJ[Ofc Code]=(TRIM(S$7)))*(GJ[Account Code]=(TRIM($D94))),GJ[Debit]))))-((SUM(IF((CkDJ[Ofc Code]=(TRIM(S$7)))*(CkDJ[Account Code]=(TRIM($D94))),CkDJ[Credit])))+(SUM(IF((CsDJ[Ofc Code]=(TRIM(S$7)))*(CsDJ[Account Code]=(TRIM($D94))),CsDJ[Credit])))+(SUM(IF((CRDJ[Ofc Code]=(TRIM(S$7)))*(CRDJ[Account Code]=(TRIM($D94))),CRDJ[Credit])))+(SUM(IF((GJ[Ofc Code]=(TRIM(S$7)))*(GJ[Account Code]=(TRIM($D94))),GJ[Credit]))))</f>
        <v>0</v>
      </c>
      <c r="T94" s="211">
        <f t="array" ref="T94">((SUM(IF((CkDJ[Ofc Code]=(TRIM(T$7)))*(CkDJ[Account Code]=(TRIM($D94))),CkDJ[Debit])))+(SUM(IF((CsDJ[Ofc Code]=(TRIM(T$7)))*(CsDJ[Account Code]=(TRIM($D94))),CsDJ[Debit])))+(SUM(IF((CRDJ[Ofc Code]=(TRIM(T$7)))*(CRDJ[Account Code]=(TRIM($D94))),CRDJ[Debit])))+(SUM(IF((GJ[Ofc Code]=(TRIM(T$7)))*(GJ[Account Code]=(TRIM($D94))),GJ[Debit]))))-((SUM(IF((CkDJ[Ofc Code]=(TRIM(T$7)))*(CkDJ[Account Code]=(TRIM($D94))),CkDJ[Credit])))+(SUM(IF((CsDJ[Ofc Code]=(TRIM(T$7)))*(CsDJ[Account Code]=(TRIM($D94))),CsDJ[Credit])))+(SUM(IF((CRDJ[Ofc Code]=(TRIM(T$7)))*(CRDJ[Account Code]=(TRIM($D94))),CRDJ[Credit])))+(SUM(IF((GJ[Ofc Code]=(TRIM(T$7)))*(GJ[Account Code]=(TRIM($D94))),GJ[Credit]))))</f>
        <v>0</v>
      </c>
      <c r="U94" s="211">
        <f t="shared" si="17"/>
        <v>0</v>
      </c>
      <c r="V94" s="211">
        <f t="shared" si="18"/>
        <v>0</v>
      </c>
    </row>
    <row r="95" spans="1:22" ht="15">
      <c r="A95" s="212">
        <f t="shared" si="19"/>
        <v>33</v>
      </c>
      <c r="B95" s="194"/>
      <c r="C95" s="194" t="str">
        <f t="shared" si="14"/>
        <v>Repairs and Maintenance-Infrastructure Assets - Other Infrastructure Assets (Irrigation Canal &amp; Laterals)</v>
      </c>
      <c r="D95" s="207">
        <v>855</v>
      </c>
      <c r="E95" s="211">
        <f t="array" ref="E95">((SUM(IF((CkDJ[Ofc Code]=(TRIM(E$7)))*(CkDJ[Account Code]=(TRIM($D95))),CkDJ[Debit])))+(SUM(IF((CsDJ[Ofc Code]=(TRIM(E$7)))*(CsDJ[Account Code]=(TRIM($D95))),CsDJ[Debit])))+(SUM(IF((CRDJ[Ofc Code]=(TRIM(E$7)))*(CRDJ[Account Code]=(TRIM($D95))),CRDJ[Debit])))+(SUM(IF((GJ[Ofc Code]=(TRIM(E$7)))*(GJ[Account Code]=(TRIM($D95))),GJ[Debit]))))-((SUM(IF((CkDJ[Ofc Code]=(TRIM(E$7)))*(CkDJ[Account Code]=(TRIM($D95))),CkDJ[Credit])))+(SUM(IF((CsDJ[Ofc Code]=(TRIM(E$7)))*(CsDJ[Account Code]=(TRIM($D95))),CsDJ[Credit])))+(SUM(IF((CRDJ[Ofc Code]=(TRIM(E$7)))*(CRDJ[Account Code]=(TRIM($D95))),CRDJ[Credit])))+(SUM(IF((GJ[Ofc Code]=(TRIM(E$7)))*(GJ[Account Code]=(TRIM($D95))),GJ[Credit]))))</f>
        <v>0</v>
      </c>
      <c r="F95" s="211">
        <f t="array" ref="F95">((SUM(IF((CkDJ[Ofc Code]=(TRIM(F$7)))*(CkDJ[Account Code]=(TRIM($D95))),CkDJ[Debit])))+(SUM(IF((CsDJ[Ofc Code]=(TRIM(F$7)))*(CsDJ[Account Code]=(TRIM($D95))),CsDJ[Debit])))+(SUM(IF((CRDJ[Ofc Code]=(TRIM(F$7)))*(CRDJ[Account Code]=(TRIM($D95))),CRDJ[Debit])))+(SUM(IF((GJ[Ofc Code]=(TRIM(F$7)))*(GJ[Account Code]=(TRIM($D95))),GJ[Debit]))))-((SUM(IF((CkDJ[Ofc Code]=(TRIM(F$7)))*(CkDJ[Account Code]=(TRIM($D95))),CkDJ[Credit])))+(SUM(IF((CsDJ[Ofc Code]=(TRIM(F$7)))*(CsDJ[Account Code]=(TRIM($D95))),CsDJ[Credit])))+(SUM(IF((CRDJ[Ofc Code]=(TRIM(F$7)))*(CRDJ[Account Code]=(TRIM($D95))),CRDJ[Credit])))+(SUM(IF((GJ[Ofc Code]=(TRIM(F$7)))*(GJ[Account Code]=(TRIM($D95))),GJ[Credit]))))</f>
        <v>0</v>
      </c>
      <c r="G95" s="211">
        <f t="array" ref="G95">((SUM(IF((CkDJ[Ofc Code]=(TRIM(G$7)))*(CkDJ[Account Code]=(TRIM($D95))),CkDJ[Debit])))+(SUM(IF((CsDJ[Ofc Code]=(TRIM(G$7)))*(CsDJ[Account Code]=(TRIM($D95))),CsDJ[Debit])))+(SUM(IF((CRDJ[Ofc Code]=(TRIM(G$7)))*(CRDJ[Account Code]=(TRIM($D95))),CRDJ[Debit])))+(SUM(IF((GJ[Ofc Code]=(TRIM(G$7)))*(GJ[Account Code]=(TRIM($D95))),GJ[Debit]))))-((SUM(IF((CkDJ[Ofc Code]=(TRIM(G$7)))*(CkDJ[Account Code]=(TRIM($D95))),CkDJ[Credit])))+(SUM(IF((CsDJ[Ofc Code]=(TRIM(G$7)))*(CsDJ[Account Code]=(TRIM($D95))),CsDJ[Credit])))+(SUM(IF((CRDJ[Ofc Code]=(TRIM(G$7)))*(CRDJ[Account Code]=(TRIM($D95))),CRDJ[Credit])))+(SUM(IF((GJ[Ofc Code]=(TRIM(G$7)))*(GJ[Account Code]=(TRIM($D95))),GJ[Credit]))))</f>
        <v>0</v>
      </c>
      <c r="H95" s="211">
        <f t="array" ref="H95">((SUM(IF((CkDJ[Ofc Code]=(TRIM(H$7)))*(CkDJ[Account Code]=(TRIM($D95))),CkDJ[Debit])))+(SUM(IF((CsDJ[Ofc Code]=(TRIM(H$7)))*(CsDJ[Account Code]=(TRIM($D95))),CsDJ[Debit])))+(SUM(IF((CRDJ[Ofc Code]=(TRIM(H$7)))*(CRDJ[Account Code]=(TRIM($D95))),CRDJ[Debit])))+(SUM(IF((GJ[Ofc Code]=(TRIM(H$7)))*(GJ[Account Code]=(TRIM($D95))),GJ[Debit]))))-((SUM(IF((CkDJ[Ofc Code]=(TRIM(H$7)))*(CkDJ[Account Code]=(TRIM($D95))),CkDJ[Credit])))+(SUM(IF((CsDJ[Ofc Code]=(TRIM(H$7)))*(CsDJ[Account Code]=(TRIM($D95))),CsDJ[Credit])))+(SUM(IF((CRDJ[Ofc Code]=(TRIM(H$7)))*(CRDJ[Account Code]=(TRIM($D95))),CRDJ[Credit])))+(SUM(IF((GJ[Ofc Code]=(TRIM(H$7)))*(GJ[Account Code]=(TRIM($D95))),GJ[Credit]))))</f>
        <v>0</v>
      </c>
      <c r="I95" s="211">
        <f t="array" ref="I95">((SUM(IF((CkDJ[Ofc Code]=(TRIM(I$7)))*(CkDJ[Account Code]=(TRIM($D95))),CkDJ[Debit])))+(SUM(IF((CsDJ[Ofc Code]=(TRIM(I$7)))*(CsDJ[Account Code]=(TRIM($D95))),CsDJ[Debit])))+(SUM(IF((CRDJ[Ofc Code]=(TRIM(I$7)))*(CRDJ[Account Code]=(TRIM($D95))),CRDJ[Debit])))+(SUM(IF((GJ[Ofc Code]=(TRIM(I$7)))*(GJ[Account Code]=(TRIM($D95))),GJ[Debit]))))-((SUM(IF((CkDJ[Ofc Code]=(TRIM(I$7)))*(CkDJ[Account Code]=(TRIM($D95))),CkDJ[Credit])))+(SUM(IF((CsDJ[Ofc Code]=(TRIM(I$7)))*(CsDJ[Account Code]=(TRIM($D95))),CsDJ[Credit])))+(SUM(IF((CRDJ[Ofc Code]=(TRIM(I$7)))*(CRDJ[Account Code]=(TRIM($D95))),CRDJ[Credit])))+(SUM(IF((GJ[Ofc Code]=(TRIM(I$7)))*(GJ[Account Code]=(TRIM($D95))),GJ[Credit]))))</f>
        <v>0</v>
      </c>
      <c r="J95" s="211">
        <f t="shared" si="15"/>
        <v>0</v>
      </c>
      <c r="K95" s="211">
        <f t="array" ref="K95">((SUM(IF((CkDJ[Ofc Code]=(TRIM(K$7)))*(CkDJ[Account Code]=(TRIM($D95))),CkDJ[Debit])))+(SUM(IF((CsDJ[Ofc Code]=(TRIM(K$7)))*(CsDJ[Account Code]=(TRIM($D95))),CsDJ[Debit])))+(SUM(IF((CRDJ[Ofc Code]=(TRIM(K$7)))*(CRDJ[Account Code]=(TRIM($D95))),CRDJ[Debit])))+(SUM(IF((GJ[Ofc Code]=(TRIM(K$7)))*(GJ[Account Code]=(TRIM($D95))),GJ[Debit]))))-((SUM(IF((CkDJ[Ofc Code]=(TRIM(K$7)))*(CkDJ[Account Code]=(TRIM($D95))),CkDJ[Credit])))+(SUM(IF((CsDJ[Ofc Code]=(TRIM(K$7)))*(CsDJ[Account Code]=(TRIM($D95))),CsDJ[Credit])))+(SUM(IF((CRDJ[Ofc Code]=(TRIM(K$7)))*(CRDJ[Account Code]=(TRIM($D95))),CRDJ[Credit])))+(SUM(IF((GJ[Ofc Code]=(TRIM(K$7)))*(GJ[Account Code]=(TRIM($D95))),GJ[Credit]))))</f>
        <v>0</v>
      </c>
      <c r="L95" s="211">
        <f t="array" ref="L95">((SUM(IF((CkDJ[Ofc Code]=(TRIM(L$7)))*(CkDJ[Account Code]=(TRIM($D95))),CkDJ[Debit])))+(SUM(IF((CsDJ[Ofc Code]=(TRIM(L$7)))*(CsDJ[Account Code]=(TRIM($D95))),CsDJ[Debit])))+(SUM(IF((CRDJ[Ofc Code]=(TRIM(L$7)))*(CRDJ[Account Code]=(TRIM($D95))),CRDJ[Debit])))+(SUM(IF((GJ[Ofc Code]=(TRIM(L$7)))*(GJ[Account Code]=(TRIM($D95))),GJ[Debit]))))-((SUM(IF((CkDJ[Ofc Code]=(TRIM(L$7)))*(CkDJ[Account Code]=(TRIM($D95))),CkDJ[Credit])))+(SUM(IF((CsDJ[Ofc Code]=(TRIM(L$7)))*(CsDJ[Account Code]=(TRIM($D95))),CsDJ[Credit])))+(SUM(IF((CRDJ[Ofc Code]=(TRIM(L$7)))*(CRDJ[Account Code]=(TRIM($D95))),CRDJ[Credit])))+(SUM(IF((GJ[Ofc Code]=(TRIM(L$7)))*(GJ[Account Code]=(TRIM($D95))),GJ[Credit]))))</f>
        <v>0</v>
      </c>
      <c r="M95" s="211">
        <f t="array" ref="M95">((SUM(IF((CkDJ[Ofc Code]=(TRIM(M$7)))*(CkDJ[Account Code]=(TRIM($D95))),CkDJ[Debit])))+(SUM(IF((CsDJ[Ofc Code]=(TRIM(M$7)))*(CsDJ[Account Code]=(TRIM($D95))),CsDJ[Debit])))+(SUM(IF((CRDJ[Ofc Code]=(TRIM(M$7)))*(CRDJ[Account Code]=(TRIM($D95))),CRDJ[Debit])))+(SUM(IF((GJ[Ofc Code]=(TRIM(M$7)))*(GJ[Account Code]=(TRIM($D95))),GJ[Debit]))))-((SUM(IF((CkDJ[Ofc Code]=(TRIM(M$7)))*(CkDJ[Account Code]=(TRIM($D95))),CkDJ[Credit])))+(SUM(IF((CsDJ[Ofc Code]=(TRIM(M$7)))*(CsDJ[Account Code]=(TRIM($D95))),CsDJ[Credit])))+(SUM(IF((CRDJ[Ofc Code]=(TRIM(M$7)))*(CRDJ[Account Code]=(TRIM($D95))),CRDJ[Credit])))+(SUM(IF((GJ[Ofc Code]=(TRIM(M$7)))*(GJ[Account Code]=(TRIM($D95))),GJ[Credit]))))</f>
        <v>0</v>
      </c>
      <c r="N95" s="211">
        <f t="array" ref="N95">((SUM(IF((CkDJ[Ofc Code]=(TRIM(N$7)))*(CkDJ[Account Code]=(TRIM($D95))),CkDJ[Debit])))+(SUM(IF((CsDJ[Ofc Code]=(TRIM(N$7)))*(CsDJ[Account Code]=(TRIM($D95))),CsDJ[Debit])))+(SUM(IF((CRDJ[Ofc Code]=(TRIM(N$7)))*(CRDJ[Account Code]=(TRIM($D95))),CRDJ[Debit])))+(SUM(IF((GJ[Ofc Code]=(TRIM(N$7)))*(GJ[Account Code]=(TRIM($D95))),GJ[Debit]))))-((SUM(IF((CkDJ[Ofc Code]=(TRIM(N$7)))*(CkDJ[Account Code]=(TRIM($D95))),CkDJ[Credit])))+(SUM(IF((CsDJ[Ofc Code]=(TRIM(N$7)))*(CsDJ[Account Code]=(TRIM($D95))),CsDJ[Credit])))+(SUM(IF((CRDJ[Ofc Code]=(TRIM(N$7)))*(CRDJ[Account Code]=(TRIM($D95))),CRDJ[Credit])))+(SUM(IF((GJ[Ofc Code]=(TRIM(N$7)))*(GJ[Account Code]=(TRIM($D95))),GJ[Credit]))))</f>
        <v>0</v>
      </c>
      <c r="O95" s="211">
        <f t="shared" si="16"/>
        <v>0</v>
      </c>
      <c r="P95" s="211">
        <f t="array" ref="P95">((SUM(IF((CkDJ[Ofc Code]=(TRIM(P$7)))*(CkDJ[Account Code]=(TRIM($D95))),CkDJ[Debit])))+(SUM(IF((CsDJ[Ofc Code]=(TRIM(P$7)))*(CsDJ[Account Code]=(TRIM($D95))),CsDJ[Debit])))+(SUM(IF((CRDJ[Ofc Code]=(TRIM(P$7)))*(CRDJ[Account Code]=(TRIM($D95))),CRDJ[Debit])))+(SUM(IF((GJ[Ofc Code]=(TRIM(P$7)))*(GJ[Account Code]=(TRIM($D95))),GJ[Debit]))))-((SUM(IF((CkDJ[Ofc Code]=(TRIM(P$7)))*(CkDJ[Account Code]=(TRIM($D95))),CkDJ[Credit])))+(SUM(IF((CsDJ[Ofc Code]=(TRIM(P$7)))*(CsDJ[Account Code]=(TRIM($D95))),CsDJ[Credit])))+(SUM(IF((CRDJ[Ofc Code]=(TRIM(P$7)))*(CRDJ[Account Code]=(TRIM($D95))),CRDJ[Credit])))+(SUM(IF((GJ[Ofc Code]=(TRIM(P$7)))*(GJ[Account Code]=(TRIM($D95))),GJ[Credit]))))</f>
        <v>0</v>
      </c>
      <c r="Q95" s="211">
        <f t="array" ref="Q95">((SUM(IF((CkDJ[Ofc Code]=(TRIM(Q$7)))*(CkDJ[Account Code]=(TRIM($D95))),CkDJ[Debit])))+(SUM(IF((CsDJ[Ofc Code]=(TRIM(Q$7)))*(CsDJ[Account Code]=(TRIM($D95))),CsDJ[Debit])))+(SUM(IF((CRDJ[Ofc Code]=(TRIM(Q$7)))*(CRDJ[Account Code]=(TRIM($D95))),CRDJ[Debit])))+(SUM(IF((GJ[Ofc Code]=(TRIM(Q$7)))*(GJ[Account Code]=(TRIM($D95))),GJ[Debit]))))-((SUM(IF((CkDJ[Ofc Code]=(TRIM(Q$7)))*(CkDJ[Account Code]=(TRIM($D95))),CkDJ[Credit])))+(SUM(IF((CsDJ[Ofc Code]=(TRIM(Q$7)))*(CsDJ[Account Code]=(TRIM($D95))),CsDJ[Credit])))+(SUM(IF((CRDJ[Ofc Code]=(TRIM(Q$7)))*(CRDJ[Account Code]=(TRIM($D95))),CRDJ[Credit])))+(SUM(IF((GJ[Ofc Code]=(TRIM(Q$7)))*(GJ[Account Code]=(TRIM($D95))),GJ[Credit]))))</f>
        <v>0</v>
      </c>
      <c r="R95" s="211">
        <f t="array" ref="R95">((SUM(IF((CkDJ[Ofc Code]=(TRIM(R$7)))*(CkDJ[Account Code]=(TRIM($D95))),CkDJ[Debit])))+(SUM(IF((CsDJ[Ofc Code]=(TRIM(R$7)))*(CsDJ[Account Code]=(TRIM($D95))),CsDJ[Debit])))+(SUM(IF((CRDJ[Ofc Code]=(TRIM(R$7)))*(CRDJ[Account Code]=(TRIM($D95))),CRDJ[Debit])))+(SUM(IF((GJ[Ofc Code]=(TRIM(R$7)))*(GJ[Account Code]=(TRIM($D95))),GJ[Debit]))))-((SUM(IF((CkDJ[Ofc Code]=(TRIM(R$7)))*(CkDJ[Account Code]=(TRIM($D95))),CkDJ[Credit])))+(SUM(IF((CsDJ[Ofc Code]=(TRIM(R$7)))*(CsDJ[Account Code]=(TRIM($D95))),CsDJ[Credit])))+(SUM(IF((CRDJ[Ofc Code]=(TRIM(R$7)))*(CRDJ[Account Code]=(TRIM($D95))),CRDJ[Credit])))+(SUM(IF((GJ[Ofc Code]=(TRIM(R$7)))*(GJ[Account Code]=(TRIM($D95))),GJ[Credit]))))</f>
        <v>0</v>
      </c>
      <c r="S95" s="211">
        <f t="array" ref="S95">((SUM(IF((CkDJ[Ofc Code]=(TRIM(S$7)))*(CkDJ[Account Code]=(TRIM($D95))),CkDJ[Debit])))+(SUM(IF((CsDJ[Ofc Code]=(TRIM(S$7)))*(CsDJ[Account Code]=(TRIM($D95))),CsDJ[Debit])))+(SUM(IF((CRDJ[Ofc Code]=(TRIM(S$7)))*(CRDJ[Account Code]=(TRIM($D95))),CRDJ[Debit])))+(SUM(IF((GJ[Ofc Code]=(TRIM(S$7)))*(GJ[Account Code]=(TRIM($D95))),GJ[Debit]))))-((SUM(IF((CkDJ[Ofc Code]=(TRIM(S$7)))*(CkDJ[Account Code]=(TRIM($D95))),CkDJ[Credit])))+(SUM(IF((CsDJ[Ofc Code]=(TRIM(S$7)))*(CsDJ[Account Code]=(TRIM($D95))),CsDJ[Credit])))+(SUM(IF((CRDJ[Ofc Code]=(TRIM(S$7)))*(CRDJ[Account Code]=(TRIM($D95))),CRDJ[Credit])))+(SUM(IF((GJ[Ofc Code]=(TRIM(S$7)))*(GJ[Account Code]=(TRIM($D95))),GJ[Credit]))))</f>
        <v>0</v>
      </c>
      <c r="T95" s="211">
        <f t="array" ref="T95">((SUM(IF((CkDJ[Ofc Code]=(TRIM(T$7)))*(CkDJ[Account Code]=(TRIM($D95))),CkDJ[Debit])))+(SUM(IF((CsDJ[Ofc Code]=(TRIM(T$7)))*(CsDJ[Account Code]=(TRIM($D95))),CsDJ[Debit])))+(SUM(IF((CRDJ[Ofc Code]=(TRIM(T$7)))*(CRDJ[Account Code]=(TRIM($D95))),CRDJ[Debit])))+(SUM(IF((GJ[Ofc Code]=(TRIM(T$7)))*(GJ[Account Code]=(TRIM($D95))),GJ[Debit]))))-((SUM(IF((CkDJ[Ofc Code]=(TRIM(T$7)))*(CkDJ[Account Code]=(TRIM($D95))),CkDJ[Credit])))+(SUM(IF((CsDJ[Ofc Code]=(TRIM(T$7)))*(CsDJ[Account Code]=(TRIM($D95))),CsDJ[Credit])))+(SUM(IF((CRDJ[Ofc Code]=(TRIM(T$7)))*(CRDJ[Account Code]=(TRIM($D95))),CRDJ[Credit])))+(SUM(IF((GJ[Ofc Code]=(TRIM(T$7)))*(GJ[Account Code]=(TRIM($D95))),GJ[Credit]))))</f>
        <v>0</v>
      </c>
      <c r="U95" s="211">
        <f t="shared" si="17"/>
        <v>0</v>
      </c>
      <c r="V95" s="211">
        <f t="shared" si="18"/>
        <v>0</v>
      </c>
    </row>
    <row r="96" spans="1:22" ht="15">
      <c r="A96" s="212">
        <f>1+A95</f>
        <v>34</v>
      </c>
      <c r="B96" s="194"/>
      <c r="C96" s="194" t="str">
        <f>IF(D96=0,"",(VLOOKUP((TRIM(D96)),Code,2,)))</f>
        <v>Other Maintenance and Operating Expenses</v>
      </c>
      <c r="D96" s="207" t="s">
        <v>408</v>
      </c>
      <c r="E96" s="211">
        <f t="array" ref="E96">((SUM(IF((CkDJ[Ofc Code]=(TRIM(E$7)))*(CkDJ[Account Code]=(TRIM($D96))),CkDJ[Debit])))+(SUM(IF((CsDJ[Ofc Code]=(TRIM(E$7)))*(CsDJ[Account Code]=(TRIM($D96))),CsDJ[Debit])))+(SUM(IF((CRDJ[Ofc Code]=(TRIM(E$7)))*(CRDJ[Account Code]=(TRIM($D96))),CRDJ[Debit])))+(SUM(IF((GJ[Ofc Code]=(TRIM(E$7)))*(GJ[Account Code]=(TRIM($D96))),GJ[Debit]))))-((SUM(IF((CkDJ[Ofc Code]=(TRIM(E$7)))*(CkDJ[Account Code]=(TRIM($D96))),CkDJ[Credit])))+(SUM(IF((CsDJ[Ofc Code]=(TRIM(E$7)))*(CsDJ[Account Code]=(TRIM($D96))),CsDJ[Credit])))+(SUM(IF((CRDJ[Ofc Code]=(TRIM(E$7)))*(CRDJ[Account Code]=(TRIM($D96))),CRDJ[Credit])))+(SUM(IF((GJ[Ofc Code]=(TRIM(E$7)))*(GJ[Account Code]=(TRIM($D96))),GJ[Credit]))))</f>
        <v>0</v>
      </c>
      <c r="F96" s="211">
        <f t="array" ref="F96">((SUM(IF((CkDJ[Ofc Code]=(TRIM(F$7)))*(CkDJ[Account Code]=(TRIM($D96))),CkDJ[Debit])))+(SUM(IF((CsDJ[Ofc Code]=(TRIM(F$7)))*(CsDJ[Account Code]=(TRIM($D96))),CsDJ[Debit])))+(SUM(IF((CRDJ[Ofc Code]=(TRIM(F$7)))*(CRDJ[Account Code]=(TRIM($D96))),CRDJ[Debit])))+(SUM(IF((GJ[Ofc Code]=(TRIM(F$7)))*(GJ[Account Code]=(TRIM($D96))),GJ[Debit]))))-((SUM(IF((CkDJ[Ofc Code]=(TRIM(F$7)))*(CkDJ[Account Code]=(TRIM($D96))),CkDJ[Credit])))+(SUM(IF((CsDJ[Ofc Code]=(TRIM(F$7)))*(CsDJ[Account Code]=(TRIM($D96))),CsDJ[Credit])))+(SUM(IF((CRDJ[Ofc Code]=(TRIM(F$7)))*(CRDJ[Account Code]=(TRIM($D96))),CRDJ[Credit])))+(SUM(IF((GJ[Ofc Code]=(TRIM(F$7)))*(GJ[Account Code]=(TRIM($D96))),GJ[Credit]))))</f>
        <v>0</v>
      </c>
      <c r="G96" s="211">
        <f t="array" ref="G96">((SUM(IF((CkDJ[Ofc Code]=(TRIM(G$7)))*(CkDJ[Account Code]=(TRIM($D96))),CkDJ[Debit])))+(SUM(IF((CsDJ[Ofc Code]=(TRIM(G$7)))*(CsDJ[Account Code]=(TRIM($D96))),CsDJ[Debit])))+(SUM(IF((CRDJ[Ofc Code]=(TRIM(G$7)))*(CRDJ[Account Code]=(TRIM($D96))),CRDJ[Debit])))+(SUM(IF((GJ[Ofc Code]=(TRIM(G$7)))*(GJ[Account Code]=(TRIM($D96))),GJ[Debit]))))-((SUM(IF((CkDJ[Ofc Code]=(TRIM(G$7)))*(CkDJ[Account Code]=(TRIM($D96))),CkDJ[Credit])))+(SUM(IF((CsDJ[Ofc Code]=(TRIM(G$7)))*(CsDJ[Account Code]=(TRIM($D96))),CsDJ[Credit])))+(SUM(IF((CRDJ[Ofc Code]=(TRIM(G$7)))*(CRDJ[Account Code]=(TRIM($D96))),CRDJ[Credit])))+(SUM(IF((GJ[Ofc Code]=(TRIM(G$7)))*(GJ[Account Code]=(TRIM($D96))),GJ[Credit]))))</f>
        <v>0</v>
      </c>
      <c r="H96" s="211">
        <f t="array" ref="H96">((SUM(IF((CkDJ[Ofc Code]=(TRIM(H$7)))*(CkDJ[Account Code]=(TRIM($D96))),CkDJ[Debit])))+(SUM(IF((CsDJ[Ofc Code]=(TRIM(H$7)))*(CsDJ[Account Code]=(TRIM($D96))),CsDJ[Debit])))+(SUM(IF((CRDJ[Ofc Code]=(TRIM(H$7)))*(CRDJ[Account Code]=(TRIM($D96))),CRDJ[Debit])))+(SUM(IF((GJ[Ofc Code]=(TRIM(H$7)))*(GJ[Account Code]=(TRIM($D96))),GJ[Debit]))))-((SUM(IF((CkDJ[Ofc Code]=(TRIM(H$7)))*(CkDJ[Account Code]=(TRIM($D96))),CkDJ[Credit])))+(SUM(IF((CsDJ[Ofc Code]=(TRIM(H$7)))*(CsDJ[Account Code]=(TRIM($D96))),CsDJ[Credit])))+(SUM(IF((CRDJ[Ofc Code]=(TRIM(H$7)))*(CRDJ[Account Code]=(TRIM($D96))),CRDJ[Credit])))+(SUM(IF((GJ[Ofc Code]=(TRIM(H$7)))*(GJ[Account Code]=(TRIM($D96))),GJ[Credit]))))</f>
        <v>0</v>
      </c>
      <c r="I96" s="211">
        <f t="array" ref="I96">((SUM(IF((CkDJ[Ofc Code]=(TRIM(I$7)))*(CkDJ[Account Code]=(TRIM($D96))),CkDJ[Debit])))+(SUM(IF((CsDJ[Ofc Code]=(TRIM(I$7)))*(CsDJ[Account Code]=(TRIM($D96))),CsDJ[Debit])))+(SUM(IF((CRDJ[Ofc Code]=(TRIM(I$7)))*(CRDJ[Account Code]=(TRIM($D96))),CRDJ[Debit])))+(SUM(IF((GJ[Ofc Code]=(TRIM(I$7)))*(GJ[Account Code]=(TRIM($D96))),GJ[Debit]))))-((SUM(IF((CkDJ[Ofc Code]=(TRIM(I$7)))*(CkDJ[Account Code]=(TRIM($D96))),CkDJ[Credit])))+(SUM(IF((CsDJ[Ofc Code]=(TRIM(I$7)))*(CsDJ[Account Code]=(TRIM($D96))),CsDJ[Credit])))+(SUM(IF((CRDJ[Ofc Code]=(TRIM(I$7)))*(CRDJ[Account Code]=(TRIM($D96))),CRDJ[Credit])))+(SUM(IF((GJ[Ofc Code]=(TRIM(I$7)))*(GJ[Account Code]=(TRIM($D96))),GJ[Credit]))))</f>
        <v>0</v>
      </c>
      <c r="J96" s="211">
        <f>SUM(F96:I96)</f>
        <v>0</v>
      </c>
      <c r="K96" s="211">
        <f t="array" ref="K96">((SUM(IF((CkDJ[Ofc Code]=(TRIM(K$7)))*(CkDJ[Account Code]=(TRIM($D96))),CkDJ[Debit])))+(SUM(IF((CsDJ[Ofc Code]=(TRIM(K$7)))*(CsDJ[Account Code]=(TRIM($D96))),CsDJ[Debit])))+(SUM(IF((CRDJ[Ofc Code]=(TRIM(K$7)))*(CRDJ[Account Code]=(TRIM($D96))),CRDJ[Debit])))+(SUM(IF((GJ[Ofc Code]=(TRIM(K$7)))*(GJ[Account Code]=(TRIM($D96))),GJ[Debit]))))-((SUM(IF((CkDJ[Ofc Code]=(TRIM(K$7)))*(CkDJ[Account Code]=(TRIM($D96))),CkDJ[Credit])))+(SUM(IF((CsDJ[Ofc Code]=(TRIM(K$7)))*(CsDJ[Account Code]=(TRIM($D96))),CsDJ[Credit])))+(SUM(IF((CRDJ[Ofc Code]=(TRIM(K$7)))*(CRDJ[Account Code]=(TRIM($D96))),CRDJ[Credit])))+(SUM(IF((GJ[Ofc Code]=(TRIM(K$7)))*(GJ[Account Code]=(TRIM($D96))),GJ[Credit]))))</f>
        <v>0</v>
      </c>
      <c r="L96" s="211">
        <f t="array" ref="L96">((SUM(IF((CkDJ[Ofc Code]=(TRIM(L$7)))*(CkDJ[Account Code]=(TRIM($D96))),CkDJ[Debit])))+(SUM(IF((CsDJ[Ofc Code]=(TRIM(L$7)))*(CsDJ[Account Code]=(TRIM($D96))),CsDJ[Debit])))+(SUM(IF((CRDJ[Ofc Code]=(TRIM(L$7)))*(CRDJ[Account Code]=(TRIM($D96))),CRDJ[Debit])))+(SUM(IF((GJ[Ofc Code]=(TRIM(L$7)))*(GJ[Account Code]=(TRIM($D96))),GJ[Debit]))))-((SUM(IF((CkDJ[Ofc Code]=(TRIM(L$7)))*(CkDJ[Account Code]=(TRIM($D96))),CkDJ[Credit])))+(SUM(IF((CsDJ[Ofc Code]=(TRIM(L$7)))*(CsDJ[Account Code]=(TRIM($D96))),CsDJ[Credit])))+(SUM(IF((CRDJ[Ofc Code]=(TRIM(L$7)))*(CRDJ[Account Code]=(TRIM($D96))),CRDJ[Credit])))+(SUM(IF((GJ[Ofc Code]=(TRIM(L$7)))*(GJ[Account Code]=(TRIM($D96))),GJ[Credit]))))</f>
        <v>0</v>
      </c>
      <c r="M96" s="211">
        <f t="array" ref="M96">((SUM(IF((CkDJ[Ofc Code]=(TRIM(M$7)))*(CkDJ[Account Code]=(TRIM($D96))),CkDJ[Debit])))+(SUM(IF((CsDJ[Ofc Code]=(TRIM(M$7)))*(CsDJ[Account Code]=(TRIM($D96))),CsDJ[Debit])))+(SUM(IF((CRDJ[Ofc Code]=(TRIM(M$7)))*(CRDJ[Account Code]=(TRIM($D96))),CRDJ[Debit])))+(SUM(IF((GJ[Ofc Code]=(TRIM(M$7)))*(GJ[Account Code]=(TRIM($D96))),GJ[Debit]))))-((SUM(IF((CkDJ[Ofc Code]=(TRIM(M$7)))*(CkDJ[Account Code]=(TRIM($D96))),CkDJ[Credit])))+(SUM(IF((CsDJ[Ofc Code]=(TRIM(M$7)))*(CsDJ[Account Code]=(TRIM($D96))),CsDJ[Credit])))+(SUM(IF((CRDJ[Ofc Code]=(TRIM(M$7)))*(CRDJ[Account Code]=(TRIM($D96))),CRDJ[Credit])))+(SUM(IF((GJ[Ofc Code]=(TRIM(M$7)))*(GJ[Account Code]=(TRIM($D96))),GJ[Credit]))))</f>
        <v>0</v>
      </c>
      <c r="N96" s="211">
        <f t="array" ref="N96">((SUM(IF((CkDJ[Ofc Code]=(TRIM(N$7)))*(CkDJ[Account Code]=(TRIM($D96))),CkDJ[Debit])))+(SUM(IF((CsDJ[Ofc Code]=(TRIM(N$7)))*(CsDJ[Account Code]=(TRIM($D96))),CsDJ[Debit])))+(SUM(IF((CRDJ[Ofc Code]=(TRIM(N$7)))*(CRDJ[Account Code]=(TRIM($D96))),CRDJ[Debit])))+(SUM(IF((GJ[Ofc Code]=(TRIM(N$7)))*(GJ[Account Code]=(TRIM($D96))),GJ[Debit]))))-((SUM(IF((CkDJ[Ofc Code]=(TRIM(N$7)))*(CkDJ[Account Code]=(TRIM($D96))),CkDJ[Credit])))+(SUM(IF((CsDJ[Ofc Code]=(TRIM(N$7)))*(CsDJ[Account Code]=(TRIM($D96))),CsDJ[Credit])))+(SUM(IF((CRDJ[Ofc Code]=(TRIM(N$7)))*(CRDJ[Account Code]=(TRIM($D96))),CRDJ[Credit])))+(SUM(IF((GJ[Ofc Code]=(TRIM(N$7)))*(GJ[Account Code]=(TRIM($D96))),GJ[Credit]))))</f>
        <v>0</v>
      </c>
      <c r="O96" s="211">
        <f>SUM(K96:N96)</f>
        <v>0</v>
      </c>
      <c r="P96" s="211">
        <f t="array" ref="P96">((SUM(IF((CkDJ[Ofc Code]=(TRIM(P$7)))*(CkDJ[Account Code]=(TRIM($D96))),CkDJ[Debit])))+(SUM(IF((CsDJ[Ofc Code]=(TRIM(P$7)))*(CsDJ[Account Code]=(TRIM($D96))),CsDJ[Debit])))+(SUM(IF((CRDJ[Ofc Code]=(TRIM(P$7)))*(CRDJ[Account Code]=(TRIM($D96))),CRDJ[Debit])))+(SUM(IF((GJ[Ofc Code]=(TRIM(P$7)))*(GJ[Account Code]=(TRIM($D96))),GJ[Debit]))))-((SUM(IF((CkDJ[Ofc Code]=(TRIM(P$7)))*(CkDJ[Account Code]=(TRIM($D96))),CkDJ[Credit])))+(SUM(IF((CsDJ[Ofc Code]=(TRIM(P$7)))*(CsDJ[Account Code]=(TRIM($D96))),CsDJ[Credit])))+(SUM(IF((CRDJ[Ofc Code]=(TRIM(P$7)))*(CRDJ[Account Code]=(TRIM($D96))),CRDJ[Credit])))+(SUM(IF((GJ[Ofc Code]=(TRIM(P$7)))*(GJ[Account Code]=(TRIM($D96))),GJ[Credit]))))</f>
        <v>0</v>
      </c>
      <c r="Q96" s="211">
        <f t="array" ref="Q96">((SUM(IF((CkDJ[Ofc Code]=(TRIM(Q$7)))*(CkDJ[Account Code]=(TRIM($D96))),CkDJ[Debit])))+(SUM(IF((CsDJ[Ofc Code]=(TRIM(Q$7)))*(CsDJ[Account Code]=(TRIM($D96))),CsDJ[Debit])))+(SUM(IF((CRDJ[Ofc Code]=(TRIM(Q$7)))*(CRDJ[Account Code]=(TRIM($D96))),CRDJ[Debit])))+(SUM(IF((GJ[Ofc Code]=(TRIM(Q$7)))*(GJ[Account Code]=(TRIM($D96))),GJ[Debit]))))-((SUM(IF((CkDJ[Ofc Code]=(TRIM(Q$7)))*(CkDJ[Account Code]=(TRIM($D96))),CkDJ[Credit])))+(SUM(IF((CsDJ[Ofc Code]=(TRIM(Q$7)))*(CsDJ[Account Code]=(TRIM($D96))),CsDJ[Credit])))+(SUM(IF((CRDJ[Ofc Code]=(TRIM(Q$7)))*(CRDJ[Account Code]=(TRIM($D96))),CRDJ[Credit])))+(SUM(IF((GJ[Ofc Code]=(TRIM(Q$7)))*(GJ[Account Code]=(TRIM($D96))),GJ[Credit]))))</f>
        <v>0</v>
      </c>
      <c r="R96" s="211">
        <f t="array" ref="R96">((SUM(IF((CkDJ[Ofc Code]=(TRIM(R$7)))*(CkDJ[Account Code]=(TRIM($D96))),CkDJ[Debit])))+(SUM(IF((CsDJ[Ofc Code]=(TRIM(R$7)))*(CsDJ[Account Code]=(TRIM($D96))),CsDJ[Debit])))+(SUM(IF((CRDJ[Ofc Code]=(TRIM(R$7)))*(CRDJ[Account Code]=(TRIM($D96))),CRDJ[Debit])))+(SUM(IF((GJ[Ofc Code]=(TRIM(R$7)))*(GJ[Account Code]=(TRIM($D96))),GJ[Debit]))))-((SUM(IF((CkDJ[Ofc Code]=(TRIM(R$7)))*(CkDJ[Account Code]=(TRIM($D96))),CkDJ[Credit])))+(SUM(IF((CsDJ[Ofc Code]=(TRIM(R$7)))*(CsDJ[Account Code]=(TRIM($D96))),CsDJ[Credit])))+(SUM(IF((CRDJ[Ofc Code]=(TRIM(R$7)))*(CRDJ[Account Code]=(TRIM($D96))),CRDJ[Credit])))+(SUM(IF((GJ[Ofc Code]=(TRIM(R$7)))*(GJ[Account Code]=(TRIM($D96))),GJ[Credit]))))</f>
        <v>0</v>
      </c>
      <c r="S96" s="211">
        <f t="array" ref="S96">((SUM(IF((CkDJ[Ofc Code]=(TRIM(S$7)))*(CkDJ[Account Code]=(TRIM($D96))),CkDJ[Debit])))+(SUM(IF((CsDJ[Ofc Code]=(TRIM(S$7)))*(CsDJ[Account Code]=(TRIM($D96))),CsDJ[Debit])))+(SUM(IF((CRDJ[Ofc Code]=(TRIM(S$7)))*(CRDJ[Account Code]=(TRIM($D96))),CRDJ[Debit])))+(SUM(IF((GJ[Ofc Code]=(TRIM(S$7)))*(GJ[Account Code]=(TRIM($D96))),GJ[Debit]))))-((SUM(IF((CkDJ[Ofc Code]=(TRIM(S$7)))*(CkDJ[Account Code]=(TRIM($D96))),CkDJ[Credit])))+(SUM(IF((CsDJ[Ofc Code]=(TRIM(S$7)))*(CsDJ[Account Code]=(TRIM($D96))),CsDJ[Credit])))+(SUM(IF((CRDJ[Ofc Code]=(TRIM(S$7)))*(CRDJ[Account Code]=(TRIM($D96))),CRDJ[Credit])))+(SUM(IF((GJ[Ofc Code]=(TRIM(S$7)))*(GJ[Account Code]=(TRIM($D96))),GJ[Credit]))))</f>
        <v>0</v>
      </c>
      <c r="T96" s="211">
        <f t="array" ref="T96">((SUM(IF((CkDJ[Ofc Code]=(TRIM(T$7)))*(CkDJ[Account Code]=(TRIM($D96))),CkDJ[Debit])))+(SUM(IF((CsDJ[Ofc Code]=(TRIM(T$7)))*(CsDJ[Account Code]=(TRIM($D96))),CsDJ[Debit])))+(SUM(IF((CRDJ[Ofc Code]=(TRIM(T$7)))*(CRDJ[Account Code]=(TRIM($D96))),CRDJ[Debit])))+(SUM(IF((GJ[Ofc Code]=(TRIM(T$7)))*(GJ[Account Code]=(TRIM($D96))),GJ[Debit]))))-((SUM(IF((CkDJ[Ofc Code]=(TRIM(T$7)))*(CkDJ[Account Code]=(TRIM($D96))),CkDJ[Credit])))+(SUM(IF((CsDJ[Ofc Code]=(TRIM(T$7)))*(CsDJ[Account Code]=(TRIM($D96))),CsDJ[Credit])))+(SUM(IF((CRDJ[Ofc Code]=(TRIM(T$7)))*(CRDJ[Account Code]=(TRIM($D96))),CRDJ[Credit])))+(SUM(IF((GJ[Ofc Code]=(TRIM(T$7)))*(GJ[Account Code]=(TRIM($D96))),GJ[Credit]))))</f>
        <v>0</v>
      </c>
      <c r="U96" s="211">
        <f>SUM(P96:T96)</f>
        <v>0</v>
      </c>
      <c r="V96" s="211">
        <f>E96+J96+O96+U96</f>
        <v>0</v>
      </c>
    </row>
    <row r="97" spans="1:22" ht="15">
      <c r="A97" s="212">
        <f>1+A96</f>
        <v>35</v>
      </c>
      <c r="B97" s="194"/>
      <c r="C97" s="194" t="e">
        <f>IF(D97=0,"",(VLOOKUP((TRIM(D97)),Code,2,)))</f>
        <v>#N/A</v>
      </c>
      <c r="D97" s="207" t="s">
        <v>270</v>
      </c>
      <c r="E97" s="211">
        <f t="array" ref="E97">((SUM(IF((CkDJ[Ofc Code]=(TRIM(E$7)))*(CkDJ[Account Code]=(TRIM($D97))),CkDJ[Debit])))+(SUM(IF((CsDJ[Ofc Code]=(TRIM(E$7)))*(CsDJ[Account Code]=(TRIM($D97))),CsDJ[Debit])))+(SUM(IF((CRDJ[Ofc Code]=(TRIM(E$7)))*(CRDJ[Account Code]=(TRIM($D97))),CRDJ[Debit])))+(SUM(IF((GJ[Ofc Code]=(TRIM(E$7)))*(GJ[Account Code]=(TRIM($D97))),GJ[Debit]))))-((SUM(IF((CkDJ[Ofc Code]=(TRIM(E$7)))*(CkDJ[Account Code]=(TRIM($D97))),CkDJ[Credit])))+(SUM(IF((CsDJ[Ofc Code]=(TRIM(E$7)))*(CsDJ[Account Code]=(TRIM($D97))),CsDJ[Credit])))+(SUM(IF((CRDJ[Ofc Code]=(TRIM(E$7)))*(CRDJ[Account Code]=(TRIM($D97))),CRDJ[Credit])))+(SUM(IF((GJ[Ofc Code]=(TRIM(E$7)))*(GJ[Account Code]=(TRIM($D97))),GJ[Credit]))))</f>
        <v>0</v>
      </c>
      <c r="F97" s="211">
        <f t="array" ref="F97">((SUM(IF((CkDJ[Ofc Code]=(TRIM(F$7)))*(CkDJ[Account Code]=(TRIM($D97))),CkDJ[Debit])))+(SUM(IF((CsDJ[Ofc Code]=(TRIM(F$7)))*(CsDJ[Account Code]=(TRIM($D97))),CsDJ[Debit])))+(SUM(IF((CRDJ[Ofc Code]=(TRIM(F$7)))*(CRDJ[Account Code]=(TRIM($D97))),CRDJ[Debit])))+(SUM(IF((GJ[Ofc Code]=(TRIM(F$7)))*(GJ[Account Code]=(TRIM($D97))),GJ[Debit]))))-((SUM(IF((CkDJ[Ofc Code]=(TRIM(F$7)))*(CkDJ[Account Code]=(TRIM($D97))),CkDJ[Credit])))+(SUM(IF((CsDJ[Ofc Code]=(TRIM(F$7)))*(CsDJ[Account Code]=(TRIM($D97))),CsDJ[Credit])))+(SUM(IF((CRDJ[Ofc Code]=(TRIM(F$7)))*(CRDJ[Account Code]=(TRIM($D97))),CRDJ[Credit])))+(SUM(IF((GJ[Ofc Code]=(TRIM(F$7)))*(GJ[Account Code]=(TRIM($D97))),GJ[Credit]))))</f>
        <v>0</v>
      </c>
      <c r="G97" s="211">
        <f t="array" ref="G97">((SUM(IF((CkDJ[Ofc Code]=(TRIM(G$7)))*(CkDJ[Account Code]=(TRIM($D97))),CkDJ[Debit])))+(SUM(IF((CsDJ[Ofc Code]=(TRIM(G$7)))*(CsDJ[Account Code]=(TRIM($D97))),CsDJ[Debit])))+(SUM(IF((CRDJ[Ofc Code]=(TRIM(G$7)))*(CRDJ[Account Code]=(TRIM($D97))),CRDJ[Debit])))+(SUM(IF((GJ[Ofc Code]=(TRIM(G$7)))*(GJ[Account Code]=(TRIM($D97))),GJ[Debit]))))-((SUM(IF((CkDJ[Ofc Code]=(TRIM(G$7)))*(CkDJ[Account Code]=(TRIM($D97))),CkDJ[Credit])))+(SUM(IF((CsDJ[Ofc Code]=(TRIM(G$7)))*(CsDJ[Account Code]=(TRIM($D97))),CsDJ[Credit])))+(SUM(IF((CRDJ[Ofc Code]=(TRIM(G$7)))*(CRDJ[Account Code]=(TRIM($D97))),CRDJ[Credit])))+(SUM(IF((GJ[Ofc Code]=(TRIM(G$7)))*(GJ[Account Code]=(TRIM($D97))),GJ[Credit]))))</f>
        <v>0</v>
      </c>
      <c r="H97" s="211">
        <f t="array" ref="H97">((SUM(IF((CkDJ[Ofc Code]=(TRIM(H$7)))*(CkDJ[Account Code]=(TRIM($D97))),CkDJ[Debit])))+(SUM(IF((CsDJ[Ofc Code]=(TRIM(H$7)))*(CsDJ[Account Code]=(TRIM($D97))),CsDJ[Debit])))+(SUM(IF((CRDJ[Ofc Code]=(TRIM(H$7)))*(CRDJ[Account Code]=(TRIM($D97))),CRDJ[Debit])))+(SUM(IF((GJ[Ofc Code]=(TRIM(H$7)))*(GJ[Account Code]=(TRIM($D97))),GJ[Debit]))))-((SUM(IF((CkDJ[Ofc Code]=(TRIM(H$7)))*(CkDJ[Account Code]=(TRIM($D97))),CkDJ[Credit])))+(SUM(IF((CsDJ[Ofc Code]=(TRIM(H$7)))*(CsDJ[Account Code]=(TRIM($D97))),CsDJ[Credit])))+(SUM(IF((CRDJ[Ofc Code]=(TRIM(H$7)))*(CRDJ[Account Code]=(TRIM($D97))),CRDJ[Credit])))+(SUM(IF((GJ[Ofc Code]=(TRIM(H$7)))*(GJ[Account Code]=(TRIM($D97))),GJ[Credit]))))</f>
        <v>0</v>
      </c>
      <c r="I97" s="211">
        <f t="array" ref="I97">((SUM(IF((CkDJ[Ofc Code]=(TRIM(I$7)))*(CkDJ[Account Code]=(TRIM($D97))),CkDJ[Debit])))+(SUM(IF((CsDJ[Ofc Code]=(TRIM(I$7)))*(CsDJ[Account Code]=(TRIM($D97))),CsDJ[Debit])))+(SUM(IF((CRDJ[Ofc Code]=(TRIM(I$7)))*(CRDJ[Account Code]=(TRIM($D97))),CRDJ[Debit])))+(SUM(IF((GJ[Ofc Code]=(TRIM(I$7)))*(GJ[Account Code]=(TRIM($D97))),GJ[Debit]))))-((SUM(IF((CkDJ[Ofc Code]=(TRIM(I$7)))*(CkDJ[Account Code]=(TRIM($D97))),CkDJ[Credit])))+(SUM(IF((CsDJ[Ofc Code]=(TRIM(I$7)))*(CsDJ[Account Code]=(TRIM($D97))),CsDJ[Credit])))+(SUM(IF((CRDJ[Ofc Code]=(TRIM(I$7)))*(CRDJ[Account Code]=(TRIM($D97))),CRDJ[Credit])))+(SUM(IF((GJ[Ofc Code]=(TRIM(I$7)))*(GJ[Account Code]=(TRIM($D97))),GJ[Credit]))))</f>
        <v>0</v>
      </c>
      <c r="J97" s="211">
        <f>SUM(F97:I97)</f>
        <v>0</v>
      </c>
      <c r="K97" s="211">
        <f t="array" ref="K97">((SUM(IF((CkDJ[Ofc Code]=(TRIM(K$7)))*(CkDJ[Account Code]=(TRIM($D97))),CkDJ[Debit])))+(SUM(IF((CsDJ[Ofc Code]=(TRIM(K$7)))*(CsDJ[Account Code]=(TRIM($D97))),CsDJ[Debit])))+(SUM(IF((CRDJ[Ofc Code]=(TRIM(K$7)))*(CRDJ[Account Code]=(TRIM($D97))),CRDJ[Debit])))+(SUM(IF((GJ[Ofc Code]=(TRIM(K$7)))*(GJ[Account Code]=(TRIM($D97))),GJ[Debit]))))-((SUM(IF((CkDJ[Ofc Code]=(TRIM(K$7)))*(CkDJ[Account Code]=(TRIM($D97))),CkDJ[Credit])))+(SUM(IF((CsDJ[Ofc Code]=(TRIM(K$7)))*(CsDJ[Account Code]=(TRIM($D97))),CsDJ[Credit])))+(SUM(IF((CRDJ[Ofc Code]=(TRIM(K$7)))*(CRDJ[Account Code]=(TRIM($D97))),CRDJ[Credit])))+(SUM(IF((GJ[Ofc Code]=(TRIM(K$7)))*(GJ[Account Code]=(TRIM($D97))),GJ[Credit]))))</f>
        <v>0</v>
      </c>
      <c r="L97" s="211">
        <f t="array" ref="L97">((SUM(IF((CkDJ[Ofc Code]=(TRIM(L$7)))*(CkDJ[Account Code]=(TRIM($D97))),CkDJ[Debit])))+(SUM(IF((CsDJ[Ofc Code]=(TRIM(L$7)))*(CsDJ[Account Code]=(TRIM($D97))),CsDJ[Debit])))+(SUM(IF((CRDJ[Ofc Code]=(TRIM(L$7)))*(CRDJ[Account Code]=(TRIM($D97))),CRDJ[Debit])))+(SUM(IF((GJ[Ofc Code]=(TRIM(L$7)))*(GJ[Account Code]=(TRIM($D97))),GJ[Debit]))))-((SUM(IF((CkDJ[Ofc Code]=(TRIM(L$7)))*(CkDJ[Account Code]=(TRIM($D97))),CkDJ[Credit])))+(SUM(IF((CsDJ[Ofc Code]=(TRIM(L$7)))*(CsDJ[Account Code]=(TRIM($D97))),CsDJ[Credit])))+(SUM(IF((CRDJ[Ofc Code]=(TRIM(L$7)))*(CRDJ[Account Code]=(TRIM($D97))),CRDJ[Credit])))+(SUM(IF((GJ[Ofc Code]=(TRIM(L$7)))*(GJ[Account Code]=(TRIM($D97))),GJ[Credit]))))</f>
        <v>0</v>
      </c>
      <c r="M97" s="211">
        <f t="array" ref="M97">((SUM(IF((CkDJ[Ofc Code]=(TRIM(M$7)))*(CkDJ[Account Code]=(TRIM($D97))),CkDJ[Debit])))+(SUM(IF((CsDJ[Ofc Code]=(TRIM(M$7)))*(CsDJ[Account Code]=(TRIM($D97))),CsDJ[Debit])))+(SUM(IF((CRDJ[Ofc Code]=(TRIM(M$7)))*(CRDJ[Account Code]=(TRIM($D97))),CRDJ[Debit])))+(SUM(IF((GJ[Ofc Code]=(TRIM(M$7)))*(GJ[Account Code]=(TRIM($D97))),GJ[Debit]))))-((SUM(IF((CkDJ[Ofc Code]=(TRIM(M$7)))*(CkDJ[Account Code]=(TRIM($D97))),CkDJ[Credit])))+(SUM(IF((CsDJ[Ofc Code]=(TRIM(M$7)))*(CsDJ[Account Code]=(TRIM($D97))),CsDJ[Credit])))+(SUM(IF((CRDJ[Ofc Code]=(TRIM(M$7)))*(CRDJ[Account Code]=(TRIM($D97))),CRDJ[Credit])))+(SUM(IF((GJ[Ofc Code]=(TRIM(M$7)))*(GJ[Account Code]=(TRIM($D97))),GJ[Credit]))))</f>
        <v>0</v>
      </c>
      <c r="N97" s="211">
        <f t="array" ref="N97">((SUM(IF((CkDJ[Ofc Code]=(TRIM(N$7)))*(CkDJ[Account Code]=(TRIM($D97))),CkDJ[Debit])))+(SUM(IF((CsDJ[Ofc Code]=(TRIM(N$7)))*(CsDJ[Account Code]=(TRIM($D97))),CsDJ[Debit])))+(SUM(IF((CRDJ[Ofc Code]=(TRIM(N$7)))*(CRDJ[Account Code]=(TRIM($D97))),CRDJ[Debit])))+(SUM(IF((GJ[Ofc Code]=(TRIM(N$7)))*(GJ[Account Code]=(TRIM($D97))),GJ[Debit]))))-((SUM(IF((CkDJ[Ofc Code]=(TRIM(N$7)))*(CkDJ[Account Code]=(TRIM($D97))),CkDJ[Credit])))+(SUM(IF((CsDJ[Ofc Code]=(TRIM(N$7)))*(CsDJ[Account Code]=(TRIM($D97))),CsDJ[Credit])))+(SUM(IF((CRDJ[Ofc Code]=(TRIM(N$7)))*(CRDJ[Account Code]=(TRIM($D97))),CRDJ[Credit])))+(SUM(IF((GJ[Ofc Code]=(TRIM(N$7)))*(GJ[Account Code]=(TRIM($D97))),GJ[Credit]))))</f>
        <v>0</v>
      </c>
      <c r="O97" s="211">
        <f>SUM(K97:N97)</f>
        <v>0</v>
      </c>
      <c r="P97" s="211">
        <f t="array" ref="P97">((SUM(IF((CkDJ[Ofc Code]=(TRIM(P$7)))*(CkDJ[Account Code]=(TRIM($D97))),CkDJ[Debit])))+(SUM(IF((CsDJ[Ofc Code]=(TRIM(P$7)))*(CsDJ[Account Code]=(TRIM($D97))),CsDJ[Debit])))+(SUM(IF((CRDJ[Ofc Code]=(TRIM(P$7)))*(CRDJ[Account Code]=(TRIM($D97))),CRDJ[Debit])))+(SUM(IF((GJ[Ofc Code]=(TRIM(P$7)))*(GJ[Account Code]=(TRIM($D97))),GJ[Debit]))))-((SUM(IF((CkDJ[Ofc Code]=(TRIM(P$7)))*(CkDJ[Account Code]=(TRIM($D97))),CkDJ[Credit])))+(SUM(IF((CsDJ[Ofc Code]=(TRIM(P$7)))*(CsDJ[Account Code]=(TRIM($D97))),CsDJ[Credit])))+(SUM(IF((CRDJ[Ofc Code]=(TRIM(P$7)))*(CRDJ[Account Code]=(TRIM($D97))),CRDJ[Credit])))+(SUM(IF((GJ[Ofc Code]=(TRIM(P$7)))*(GJ[Account Code]=(TRIM($D97))),GJ[Credit]))))</f>
        <v>0</v>
      </c>
      <c r="Q97" s="211">
        <f t="array" ref="Q97">((SUM(IF((CkDJ[Ofc Code]=(TRIM(Q$7)))*(CkDJ[Account Code]=(TRIM($D97))),CkDJ[Debit])))+(SUM(IF((CsDJ[Ofc Code]=(TRIM(Q$7)))*(CsDJ[Account Code]=(TRIM($D97))),CsDJ[Debit])))+(SUM(IF((CRDJ[Ofc Code]=(TRIM(Q$7)))*(CRDJ[Account Code]=(TRIM($D97))),CRDJ[Debit])))+(SUM(IF((GJ[Ofc Code]=(TRIM(Q$7)))*(GJ[Account Code]=(TRIM($D97))),GJ[Debit]))))-((SUM(IF((CkDJ[Ofc Code]=(TRIM(Q$7)))*(CkDJ[Account Code]=(TRIM($D97))),CkDJ[Credit])))+(SUM(IF((CsDJ[Ofc Code]=(TRIM(Q$7)))*(CsDJ[Account Code]=(TRIM($D97))),CsDJ[Credit])))+(SUM(IF((CRDJ[Ofc Code]=(TRIM(Q$7)))*(CRDJ[Account Code]=(TRIM($D97))),CRDJ[Credit])))+(SUM(IF((GJ[Ofc Code]=(TRIM(Q$7)))*(GJ[Account Code]=(TRIM($D97))),GJ[Credit]))))</f>
        <v>0</v>
      </c>
      <c r="R97" s="211">
        <f t="array" ref="R97">((SUM(IF((CkDJ[Ofc Code]=(TRIM(R$7)))*(CkDJ[Account Code]=(TRIM($D97))),CkDJ[Debit])))+(SUM(IF((CsDJ[Ofc Code]=(TRIM(R$7)))*(CsDJ[Account Code]=(TRIM($D97))),CsDJ[Debit])))+(SUM(IF((CRDJ[Ofc Code]=(TRIM(R$7)))*(CRDJ[Account Code]=(TRIM($D97))),CRDJ[Debit])))+(SUM(IF((GJ[Ofc Code]=(TRIM(R$7)))*(GJ[Account Code]=(TRIM($D97))),GJ[Debit]))))-((SUM(IF((CkDJ[Ofc Code]=(TRIM(R$7)))*(CkDJ[Account Code]=(TRIM($D97))),CkDJ[Credit])))+(SUM(IF((CsDJ[Ofc Code]=(TRIM(R$7)))*(CsDJ[Account Code]=(TRIM($D97))),CsDJ[Credit])))+(SUM(IF((CRDJ[Ofc Code]=(TRIM(R$7)))*(CRDJ[Account Code]=(TRIM($D97))),CRDJ[Credit])))+(SUM(IF((GJ[Ofc Code]=(TRIM(R$7)))*(GJ[Account Code]=(TRIM($D97))),GJ[Credit]))))</f>
        <v>0</v>
      </c>
      <c r="S97" s="211">
        <f t="array" ref="S97">((SUM(IF((CkDJ[Ofc Code]=(TRIM(S$7)))*(CkDJ[Account Code]=(TRIM($D97))),CkDJ[Debit])))+(SUM(IF((CsDJ[Ofc Code]=(TRIM(S$7)))*(CsDJ[Account Code]=(TRIM($D97))),CsDJ[Debit])))+(SUM(IF((CRDJ[Ofc Code]=(TRIM(S$7)))*(CRDJ[Account Code]=(TRIM($D97))),CRDJ[Debit])))+(SUM(IF((GJ[Ofc Code]=(TRIM(S$7)))*(GJ[Account Code]=(TRIM($D97))),GJ[Debit]))))-((SUM(IF((CkDJ[Ofc Code]=(TRIM(S$7)))*(CkDJ[Account Code]=(TRIM($D97))),CkDJ[Credit])))+(SUM(IF((CsDJ[Ofc Code]=(TRIM(S$7)))*(CsDJ[Account Code]=(TRIM($D97))),CsDJ[Credit])))+(SUM(IF((CRDJ[Ofc Code]=(TRIM(S$7)))*(CRDJ[Account Code]=(TRIM($D97))),CRDJ[Credit])))+(SUM(IF((GJ[Ofc Code]=(TRIM(S$7)))*(GJ[Account Code]=(TRIM($D97))),GJ[Credit]))))</f>
        <v>0</v>
      </c>
      <c r="T97" s="211">
        <f t="array" ref="T97">((SUM(IF((CkDJ[Ofc Code]=(TRIM(T$7)))*(CkDJ[Account Code]=(TRIM($D97))),CkDJ[Debit])))+(SUM(IF((CsDJ[Ofc Code]=(TRIM(T$7)))*(CsDJ[Account Code]=(TRIM($D97))),CsDJ[Debit])))+(SUM(IF((CRDJ[Ofc Code]=(TRIM(T$7)))*(CRDJ[Account Code]=(TRIM($D97))),CRDJ[Debit])))+(SUM(IF((GJ[Ofc Code]=(TRIM(T$7)))*(GJ[Account Code]=(TRIM($D97))),GJ[Debit]))))-((SUM(IF((CkDJ[Ofc Code]=(TRIM(T$7)))*(CkDJ[Account Code]=(TRIM($D97))),CkDJ[Credit])))+(SUM(IF((CsDJ[Ofc Code]=(TRIM(T$7)))*(CsDJ[Account Code]=(TRIM($D97))),CsDJ[Credit])))+(SUM(IF((CRDJ[Ofc Code]=(TRIM(T$7)))*(CRDJ[Account Code]=(TRIM($D97))),CRDJ[Credit])))+(SUM(IF((GJ[Ofc Code]=(TRIM(T$7)))*(GJ[Account Code]=(TRIM($D97))),GJ[Credit]))))</f>
        <v>0</v>
      </c>
      <c r="U97" s="211">
        <f>SUM(P97:T97)</f>
        <v>0</v>
      </c>
      <c r="V97" s="211">
        <f>E97+J97+O97+U97</f>
        <v>0</v>
      </c>
    </row>
    <row r="98" spans="1:22" ht="15">
      <c r="A98" s="212">
        <f>1+A97</f>
        <v>36</v>
      </c>
      <c r="B98" s="194"/>
      <c r="C98" s="194" t="str">
        <f t="shared" si="14"/>
        <v>Other Maintenance and Operating Expenses - Other Maintenance and Operating Expenses</v>
      </c>
      <c r="D98" s="207" t="s">
        <v>271</v>
      </c>
      <c r="E98" s="211">
        <f t="array" ref="E98">((SUM(IF((CkDJ[Ofc Code]=(TRIM(E$7)))*(CkDJ[Account Code]=(TRIM($D98))),CkDJ[Debit])))+(SUM(IF((CsDJ[Ofc Code]=(TRIM(E$7)))*(CsDJ[Account Code]=(TRIM($D98))),CsDJ[Debit])))+(SUM(IF((CRDJ[Ofc Code]=(TRIM(E$7)))*(CRDJ[Account Code]=(TRIM($D98))),CRDJ[Debit])))+(SUM(IF((GJ[Ofc Code]=(TRIM(E$7)))*(GJ[Account Code]=(TRIM($D98))),GJ[Debit]))))-((SUM(IF((CkDJ[Ofc Code]=(TRIM(E$7)))*(CkDJ[Account Code]=(TRIM($D98))),CkDJ[Credit])))+(SUM(IF((CsDJ[Ofc Code]=(TRIM(E$7)))*(CsDJ[Account Code]=(TRIM($D98))),CsDJ[Credit])))+(SUM(IF((CRDJ[Ofc Code]=(TRIM(E$7)))*(CRDJ[Account Code]=(TRIM($D98))),CRDJ[Credit])))+(SUM(IF((GJ[Ofc Code]=(TRIM(E$7)))*(GJ[Account Code]=(TRIM($D98))),GJ[Credit]))))</f>
        <v>0</v>
      </c>
      <c r="F98" s="211">
        <f t="array" ref="F98">((SUM(IF((CkDJ[Ofc Code]=(TRIM(F$7)))*(CkDJ[Account Code]=(TRIM($D98))),CkDJ[Debit])))+(SUM(IF((CsDJ[Ofc Code]=(TRIM(F$7)))*(CsDJ[Account Code]=(TRIM($D98))),CsDJ[Debit])))+(SUM(IF((CRDJ[Ofc Code]=(TRIM(F$7)))*(CRDJ[Account Code]=(TRIM($D98))),CRDJ[Debit])))+(SUM(IF((GJ[Ofc Code]=(TRIM(F$7)))*(GJ[Account Code]=(TRIM($D98))),GJ[Debit]))))-((SUM(IF((CkDJ[Ofc Code]=(TRIM(F$7)))*(CkDJ[Account Code]=(TRIM($D98))),CkDJ[Credit])))+(SUM(IF((CsDJ[Ofc Code]=(TRIM(F$7)))*(CsDJ[Account Code]=(TRIM($D98))),CsDJ[Credit])))+(SUM(IF((CRDJ[Ofc Code]=(TRIM(F$7)))*(CRDJ[Account Code]=(TRIM($D98))),CRDJ[Credit])))+(SUM(IF((GJ[Ofc Code]=(TRIM(F$7)))*(GJ[Account Code]=(TRIM($D98))),GJ[Credit]))))</f>
        <v>0</v>
      </c>
      <c r="G98" s="211">
        <f t="array" ref="G98">((SUM(IF((CkDJ[Ofc Code]=(TRIM(G$7)))*(CkDJ[Account Code]=(TRIM($D98))),CkDJ[Debit])))+(SUM(IF((CsDJ[Ofc Code]=(TRIM(G$7)))*(CsDJ[Account Code]=(TRIM($D98))),CsDJ[Debit])))+(SUM(IF((CRDJ[Ofc Code]=(TRIM(G$7)))*(CRDJ[Account Code]=(TRIM($D98))),CRDJ[Debit])))+(SUM(IF((GJ[Ofc Code]=(TRIM(G$7)))*(GJ[Account Code]=(TRIM($D98))),GJ[Debit]))))-((SUM(IF((CkDJ[Ofc Code]=(TRIM(G$7)))*(CkDJ[Account Code]=(TRIM($D98))),CkDJ[Credit])))+(SUM(IF((CsDJ[Ofc Code]=(TRIM(G$7)))*(CsDJ[Account Code]=(TRIM($D98))),CsDJ[Credit])))+(SUM(IF((CRDJ[Ofc Code]=(TRIM(G$7)))*(CRDJ[Account Code]=(TRIM($D98))),CRDJ[Credit])))+(SUM(IF((GJ[Ofc Code]=(TRIM(G$7)))*(GJ[Account Code]=(TRIM($D98))),GJ[Credit]))))</f>
        <v>0</v>
      </c>
      <c r="H98" s="211">
        <f t="array" ref="H98">((SUM(IF((CkDJ[Ofc Code]=(TRIM(H$7)))*(CkDJ[Account Code]=(TRIM($D98))),CkDJ[Debit])))+(SUM(IF((CsDJ[Ofc Code]=(TRIM(H$7)))*(CsDJ[Account Code]=(TRIM($D98))),CsDJ[Debit])))+(SUM(IF((CRDJ[Ofc Code]=(TRIM(H$7)))*(CRDJ[Account Code]=(TRIM($D98))),CRDJ[Debit])))+(SUM(IF((GJ[Ofc Code]=(TRIM(H$7)))*(GJ[Account Code]=(TRIM($D98))),GJ[Debit]))))-((SUM(IF((CkDJ[Ofc Code]=(TRIM(H$7)))*(CkDJ[Account Code]=(TRIM($D98))),CkDJ[Credit])))+(SUM(IF((CsDJ[Ofc Code]=(TRIM(H$7)))*(CsDJ[Account Code]=(TRIM($D98))),CsDJ[Credit])))+(SUM(IF((CRDJ[Ofc Code]=(TRIM(H$7)))*(CRDJ[Account Code]=(TRIM($D98))),CRDJ[Credit])))+(SUM(IF((GJ[Ofc Code]=(TRIM(H$7)))*(GJ[Account Code]=(TRIM($D98))),GJ[Credit]))))</f>
        <v>0</v>
      </c>
      <c r="I98" s="211">
        <f t="array" ref="I98">((SUM(IF((CkDJ[Ofc Code]=(TRIM(I$7)))*(CkDJ[Account Code]=(TRIM($D98))),CkDJ[Debit])))+(SUM(IF((CsDJ[Ofc Code]=(TRIM(I$7)))*(CsDJ[Account Code]=(TRIM($D98))),CsDJ[Debit])))+(SUM(IF((CRDJ[Ofc Code]=(TRIM(I$7)))*(CRDJ[Account Code]=(TRIM($D98))),CRDJ[Debit])))+(SUM(IF((GJ[Ofc Code]=(TRIM(I$7)))*(GJ[Account Code]=(TRIM($D98))),GJ[Debit]))))-((SUM(IF((CkDJ[Ofc Code]=(TRIM(I$7)))*(CkDJ[Account Code]=(TRIM($D98))),CkDJ[Credit])))+(SUM(IF((CsDJ[Ofc Code]=(TRIM(I$7)))*(CsDJ[Account Code]=(TRIM($D98))),CsDJ[Credit])))+(SUM(IF((CRDJ[Ofc Code]=(TRIM(I$7)))*(CRDJ[Account Code]=(TRIM($D98))),CRDJ[Credit])))+(SUM(IF((GJ[Ofc Code]=(TRIM(I$7)))*(GJ[Account Code]=(TRIM($D98))),GJ[Credit]))))</f>
        <v>0</v>
      </c>
      <c r="J98" s="211">
        <f t="shared" si="15"/>
        <v>0</v>
      </c>
      <c r="K98" s="211">
        <f t="array" ref="K98">((SUM(IF((CkDJ[Ofc Code]=(TRIM(K$7)))*(CkDJ[Account Code]=(TRIM($D98))),CkDJ[Debit])))+(SUM(IF((CsDJ[Ofc Code]=(TRIM(K$7)))*(CsDJ[Account Code]=(TRIM($D98))),CsDJ[Debit])))+(SUM(IF((CRDJ[Ofc Code]=(TRIM(K$7)))*(CRDJ[Account Code]=(TRIM($D98))),CRDJ[Debit])))+(SUM(IF((GJ[Ofc Code]=(TRIM(K$7)))*(GJ[Account Code]=(TRIM($D98))),GJ[Debit]))))-((SUM(IF((CkDJ[Ofc Code]=(TRIM(K$7)))*(CkDJ[Account Code]=(TRIM($D98))),CkDJ[Credit])))+(SUM(IF((CsDJ[Ofc Code]=(TRIM(K$7)))*(CsDJ[Account Code]=(TRIM($D98))),CsDJ[Credit])))+(SUM(IF((CRDJ[Ofc Code]=(TRIM(K$7)))*(CRDJ[Account Code]=(TRIM($D98))),CRDJ[Credit])))+(SUM(IF((GJ[Ofc Code]=(TRIM(K$7)))*(GJ[Account Code]=(TRIM($D98))),GJ[Credit]))))</f>
        <v>0</v>
      </c>
      <c r="L98" s="211">
        <f t="array" ref="L98">((SUM(IF((CkDJ[Ofc Code]=(TRIM(L$7)))*(CkDJ[Account Code]=(TRIM($D98))),CkDJ[Debit])))+(SUM(IF((CsDJ[Ofc Code]=(TRIM(L$7)))*(CsDJ[Account Code]=(TRIM($D98))),CsDJ[Debit])))+(SUM(IF((CRDJ[Ofc Code]=(TRIM(L$7)))*(CRDJ[Account Code]=(TRIM($D98))),CRDJ[Debit])))+(SUM(IF((GJ[Ofc Code]=(TRIM(L$7)))*(GJ[Account Code]=(TRIM($D98))),GJ[Debit]))))-((SUM(IF((CkDJ[Ofc Code]=(TRIM(L$7)))*(CkDJ[Account Code]=(TRIM($D98))),CkDJ[Credit])))+(SUM(IF((CsDJ[Ofc Code]=(TRIM(L$7)))*(CsDJ[Account Code]=(TRIM($D98))),CsDJ[Credit])))+(SUM(IF((CRDJ[Ofc Code]=(TRIM(L$7)))*(CRDJ[Account Code]=(TRIM($D98))),CRDJ[Credit])))+(SUM(IF((GJ[Ofc Code]=(TRIM(L$7)))*(GJ[Account Code]=(TRIM($D98))),GJ[Credit]))))</f>
        <v>0</v>
      </c>
      <c r="M98" s="211">
        <f t="array" ref="M98">((SUM(IF((CkDJ[Ofc Code]=(TRIM(M$7)))*(CkDJ[Account Code]=(TRIM($D98))),CkDJ[Debit])))+(SUM(IF((CsDJ[Ofc Code]=(TRIM(M$7)))*(CsDJ[Account Code]=(TRIM($D98))),CsDJ[Debit])))+(SUM(IF((CRDJ[Ofc Code]=(TRIM(M$7)))*(CRDJ[Account Code]=(TRIM($D98))),CRDJ[Debit])))+(SUM(IF((GJ[Ofc Code]=(TRIM(M$7)))*(GJ[Account Code]=(TRIM($D98))),GJ[Debit]))))-((SUM(IF((CkDJ[Ofc Code]=(TRIM(M$7)))*(CkDJ[Account Code]=(TRIM($D98))),CkDJ[Credit])))+(SUM(IF((CsDJ[Ofc Code]=(TRIM(M$7)))*(CsDJ[Account Code]=(TRIM($D98))),CsDJ[Credit])))+(SUM(IF((CRDJ[Ofc Code]=(TRIM(M$7)))*(CRDJ[Account Code]=(TRIM($D98))),CRDJ[Credit])))+(SUM(IF((GJ[Ofc Code]=(TRIM(M$7)))*(GJ[Account Code]=(TRIM($D98))),GJ[Credit]))))</f>
        <v>0</v>
      </c>
      <c r="N98" s="211">
        <f t="array" ref="N98">((SUM(IF((CkDJ[Ofc Code]=(TRIM(N$7)))*(CkDJ[Account Code]=(TRIM($D98))),CkDJ[Debit])))+(SUM(IF((CsDJ[Ofc Code]=(TRIM(N$7)))*(CsDJ[Account Code]=(TRIM($D98))),CsDJ[Debit])))+(SUM(IF((CRDJ[Ofc Code]=(TRIM(N$7)))*(CRDJ[Account Code]=(TRIM($D98))),CRDJ[Debit])))+(SUM(IF((GJ[Ofc Code]=(TRIM(N$7)))*(GJ[Account Code]=(TRIM($D98))),GJ[Debit]))))-((SUM(IF((CkDJ[Ofc Code]=(TRIM(N$7)))*(CkDJ[Account Code]=(TRIM($D98))),CkDJ[Credit])))+(SUM(IF((CsDJ[Ofc Code]=(TRIM(N$7)))*(CsDJ[Account Code]=(TRIM($D98))),CsDJ[Credit])))+(SUM(IF((CRDJ[Ofc Code]=(TRIM(N$7)))*(CRDJ[Account Code]=(TRIM($D98))),CRDJ[Credit])))+(SUM(IF((GJ[Ofc Code]=(TRIM(N$7)))*(GJ[Account Code]=(TRIM($D98))),GJ[Credit]))))</f>
        <v>0</v>
      </c>
      <c r="O98" s="211">
        <f t="shared" si="16"/>
        <v>0</v>
      </c>
      <c r="P98" s="211">
        <f t="array" ref="P98">((SUM(IF((CkDJ[Ofc Code]=(TRIM(P$7)))*(CkDJ[Account Code]=(TRIM($D98))),CkDJ[Debit])))+(SUM(IF((CsDJ[Ofc Code]=(TRIM(P$7)))*(CsDJ[Account Code]=(TRIM($D98))),CsDJ[Debit])))+(SUM(IF((CRDJ[Ofc Code]=(TRIM(P$7)))*(CRDJ[Account Code]=(TRIM($D98))),CRDJ[Debit])))+(SUM(IF((GJ[Ofc Code]=(TRIM(P$7)))*(GJ[Account Code]=(TRIM($D98))),GJ[Debit]))))-((SUM(IF((CkDJ[Ofc Code]=(TRIM(P$7)))*(CkDJ[Account Code]=(TRIM($D98))),CkDJ[Credit])))+(SUM(IF((CsDJ[Ofc Code]=(TRIM(P$7)))*(CsDJ[Account Code]=(TRIM($D98))),CsDJ[Credit])))+(SUM(IF((CRDJ[Ofc Code]=(TRIM(P$7)))*(CRDJ[Account Code]=(TRIM($D98))),CRDJ[Credit])))+(SUM(IF((GJ[Ofc Code]=(TRIM(P$7)))*(GJ[Account Code]=(TRIM($D98))),GJ[Credit]))))</f>
        <v>0</v>
      </c>
      <c r="Q98" s="211">
        <f t="array" ref="Q98">((SUM(IF((CkDJ[Ofc Code]=(TRIM(Q$7)))*(CkDJ[Account Code]=(TRIM($D98))),CkDJ[Debit])))+(SUM(IF((CsDJ[Ofc Code]=(TRIM(Q$7)))*(CsDJ[Account Code]=(TRIM($D98))),CsDJ[Debit])))+(SUM(IF((CRDJ[Ofc Code]=(TRIM(Q$7)))*(CRDJ[Account Code]=(TRIM($D98))),CRDJ[Debit])))+(SUM(IF((GJ[Ofc Code]=(TRIM(Q$7)))*(GJ[Account Code]=(TRIM($D98))),GJ[Debit]))))-((SUM(IF((CkDJ[Ofc Code]=(TRIM(Q$7)))*(CkDJ[Account Code]=(TRIM($D98))),CkDJ[Credit])))+(SUM(IF((CsDJ[Ofc Code]=(TRIM(Q$7)))*(CsDJ[Account Code]=(TRIM($D98))),CsDJ[Credit])))+(SUM(IF((CRDJ[Ofc Code]=(TRIM(Q$7)))*(CRDJ[Account Code]=(TRIM($D98))),CRDJ[Credit])))+(SUM(IF((GJ[Ofc Code]=(TRIM(Q$7)))*(GJ[Account Code]=(TRIM($D98))),GJ[Credit]))))</f>
        <v>0</v>
      </c>
      <c r="R98" s="211">
        <f t="array" ref="R98">((SUM(IF((CkDJ[Ofc Code]=(TRIM(R$7)))*(CkDJ[Account Code]=(TRIM($D98))),CkDJ[Debit])))+(SUM(IF((CsDJ[Ofc Code]=(TRIM(R$7)))*(CsDJ[Account Code]=(TRIM($D98))),CsDJ[Debit])))+(SUM(IF((CRDJ[Ofc Code]=(TRIM(R$7)))*(CRDJ[Account Code]=(TRIM($D98))),CRDJ[Debit])))+(SUM(IF((GJ[Ofc Code]=(TRIM(R$7)))*(GJ[Account Code]=(TRIM($D98))),GJ[Debit]))))-((SUM(IF((CkDJ[Ofc Code]=(TRIM(R$7)))*(CkDJ[Account Code]=(TRIM($D98))),CkDJ[Credit])))+(SUM(IF((CsDJ[Ofc Code]=(TRIM(R$7)))*(CsDJ[Account Code]=(TRIM($D98))),CsDJ[Credit])))+(SUM(IF((CRDJ[Ofc Code]=(TRIM(R$7)))*(CRDJ[Account Code]=(TRIM($D98))),CRDJ[Credit])))+(SUM(IF((GJ[Ofc Code]=(TRIM(R$7)))*(GJ[Account Code]=(TRIM($D98))),GJ[Credit]))))</f>
        <v>0</v>
      </c>
      <c r="S98" s="211">
        <f t="array" ref="S98">((SUM(IF((CkDJ[Ofc Code]=(TRIM(S$7)))*(CkDJ[Account Code]=(TRIM($D98))),CkDJ[Debit])))+(SUM(IF((CsDJ[Ofc Code]=(TRIM(S$7)))*(CsDJ[Account Code]=(TRIM($D98))),CsDJ[Debit])))+(SUM(IF((CRDJ[Ofc Code]=(TRIM(S$7)))*(CRDJ[Account Code]=(TRIM($D98))),CRDJ[Debit])))+(SUM(IF((GJ[Ofc Code]=(TRIM(S$7)))*(GJ[Account Code]=(TRIM($D98))),GJ[Debit]))))-((SUM(IF((CkDJ[Ofc Code]=(TRIM(S$7)))*(CkDJ[Account Code]=(TRIM($D98))),CkDJ[Credit])))+(SUM(IF((CsDJ[Ofc Code]=(TRIM(S$7)))*(CsDJ[Account Code]=(TRIM($D98))),CsDJ[Credit])))+(SUM(IF((CRDJ[Ofc Code]=(TRIM(S$7)))*(CRDJ[Account Code]=(TRIM($D98))),CRDJ[Credit])))+(SUM(IF((GJ[Ofc Code]=(TRIM(S$7)))*(GJ[Account Code]=(TRIM($D98))),GJ[Credit]))))</f>
        <v>0</v>
      </c>
      <c r="T98" s="211">
        <f t="array" ref="T98">((SUM(IF((CkDJ[Ofc Code]=(TRIM(T$7)))*(CkDJ[Account Code]=(TRIM($D98))),CkDJ[Debit])))+(SUM(IF((CsDJ[Ofc Code]=(TRIM(T$7)))*(CsDJ[Account Code]=(TRIM($D98))),CsDJ[Debit])))+(SUM(IF((CRDJ[Ofc Code]=(TRIM(T$7)))*(CRDJ[Account Code]=(TRIM($D98))),CRDJ[Debit])))+(SUM(IF((GJ[Ofc Code]=(TRIM(T$7)))*(GJ[Account Code]=(TRIM($D98))),GJ[Debit]))))-((SUM(IF((CkDJ[Ofc Code]=(TRIM(T$7)))*(CkDJ[Account Code]=(TRIM($D98))),CkDJ[Credit])))+(SUM(IF((CsDJ[Ofc Code]=(TRIM(T$7)))*(CsDJ[Account Code]=(TRIM($D98))),CsDJ[Credit])))+(SUM(IF((CRDJ[Ofc Code]=(TRIM(T$7)))*(CRDJ[Account Code]=(TRIM($D98))),CRDJ[Credit])))+(SUM(IF((GJ[Ofc Code]=(TRIM(T$7)))*(GJ[Account Code]=(TRIM($D98))),GJ[Credit]))))</f>
        <v>0</v>
      </c>
      <c r="U98" s="211">
        <f t="shared" si="17"/>
        <v>0</v>
      </c>
      <c r="V98" s="211">
        <f t="shared" si="18"/>
        <v>0</v>
      </c>
    </row>
    <row r="99" spans="1:22" ht="15">
      <c r="A99" s="212">
        <f t="shared" si="19"/>
        <v>37</v>
      </c>
      <c r="B99" s="194"/>
      <c r="C99" s="194" t="str">
        <f t="shared" si="14"/>
        <v>Taxes, Duties and Licenses</v>
      </c>
      <c r="D99" s="207">
        <v>891</v>
      </c>
      <c r="E99" s="211">
        <f t="array" ref="E99">((SUM(IF((CkDJ[Ofc Code]=(TRIM(E$7)))*(CkDJ[Account Code]=(TRIM($D99))),CkDJ[Debit])))+(SUM(IF((CsDJ[Ofc Code]=(TRIM(E$7)))*(CsDJ[Account Code]=(TRIM($D99))),CsDJ[Debit])))+(SUM(IF((CRDJ[Ofc Code]=(TRIM(E$7)))*(CRDJ[Account Code]=(TRIM($D99))),CRDJ[Debit])))+(SUM(IF((GJ[Ofc Code]=(TRIM(E$7)))*(GJ[Account Code]=(TRIM($D99))),GJ[Debit]))))-((SUM(IF((CkDJ[Ofc Code]=(TRIM(E$7)))*(CkDJ[Account Code]=(TRIM($D99))),CkDJ[Credit])))+(SUM(IF((CsDJ[Ofc Code]=(TRIM(E$7)))*(CsDJ[Account Code]=(TRIM($D99))),CsDJ[Credit])))+(SUM(IF((CRDJ[Ofc Code]=(TRIM(E$7)))*(CRDJ[Account Code]=(TRIM($D99))),CRDJ[Credit])))+(SUM(IF((GJ[Ofc Code]=(TRIM(E$7)))*(GJ[Account Code]=(TRIM($D99))),GJ[Credit]))))</f>
        <v>0</v>
      </c>
      <c r="F99" s="211">
        <f t="array" ref="F99">((SUM(IF((CkDJ[Ofc Code]=(TRIM(F$7)))*(CkDJ[Account Code]=(TRIM($D99))),CkDJ[Debit])))+(SUM(IF((CsDJ[Ofc Code]=(TRIM(F$7)))*(CsDJ[Account Code]=(TRIM($D99))),CsDJ[Debit])))+(SUM(IF((CRDJ[Ofc Code]=(TRIM(F$7)))*(CRDJ[Account Code]=(TRIM($D99))),CRDJ[Debit])))+(SUM(IF((GJ[Ofc Code]=(TRIM(F$7)))*(GJ[Account Code]=(TRIM($D99))),GJ[Debit]))))-((SUM(IF((CkDJ[Ofc Code]=(TRIM(F$7)))*(CkDJ[Account Code]=(TRIM($D99))),CkDJ[Credit])))+(SUM(IF((CsDJ[Ofc Code]=(TRIM(F$7)))*(CsDJ[Account Code]=(TRIM($D99))),CsDJ[Credit])))+(SUM(IF((CRDJ[Ofc Code]=(TRIM(F$7)))*(CRDJ[Account Code]=(TRIM($D99))),CRDJ[Credit])))+(SUM(IF((GJ[Ofc Code]=(TRIM(F$7)))*(GJ[Account Code]=(TRIM($D99))),GJ[Credit]))))</f>
        <v>0</v>
      </c>
      <c r="G99" s="211">
        <f t="array" ref="G99">((SUM(IF((CkDJ[Ofc Code]=(TRIM(G$7)))*(CkDJ[Account Code]=(TRIM($D99))),CkDJ[Debit])))+(SUM(IF((CsDJ[Ofc Code]=(TRIM(G$7)))*(CsDJ[Account Code]=(TRIM($D99))),CsDJ[Debit])))+(SUM(IF((CRDJ[Ofc Code]=(TRIM(G$7)))*(CRDJ[Account Code]=(TRIM($D99))),CRDJ[Debit])))+(SUM(IF((GJ[Ofc Code]=(TRIM(G$7)))*(GJ[Account Code]=(TRIM($D99))),GJ[Debit]))))-((SUM(IF((CkDJ[Ofc Code]=(TRIM(G$7)))*(CkDJ[Account Code]=(TRIM($D99))),CkDJ[Credit])))+(SUM(IF((CsDJ[Ofc Code]=(TRIM(G$7)))*(CsDJ[Account Code]=(TRIM($D99))),CsDJ[Credit])))+(SUM(IF((CRDJ[Ofc Code]=(TRIM(G$7)))*(CRDJ[Account Code]=(TRIM($D99))),CRDJ[Credit])))+(SUM(IF((GJ[Ofc Code]=(TRIM(G$7)))*(GJ[Account Code]=(TRIM($D99))),GJ[Credit]))))</f>
        <v>0</v>
      </c>
      <c r="H99" s="211">
        <f t="array" ref="H99">((SUM(IF((CkDJ[Ofc Code]=(TRIM(H$7)))*(CkDJ[Account Code]=(TRIM($D99))),CkDJ[Debit])))+(SUM(IF((CsDJ[Ofc Code]=(TRIM(H$7)))*(CsDJ[Account Code]=(TRIM($D99))),CsDJ[Debit])))+(SUM(IF((CRDJ[Ofc Code]=(TRIM(H$7)))*(CRDJ[Account Code]=(TRIM($D99))),CRDJ[Debit])))+(SUM(IF((GJ[Ofc Code]=(TRIM(H$7)))*(GJ[Account Code]=(TRIM($D99))),GJ[Debit]))))-((SUM(IF((CkDJ[Ofc Code]=(TRIM(H$7)))*(CkDJ[Account Code]=(TRIM($D99))),CkDJ[Credit])))+(SUM(IF((CsDJ[Ofc Code]=(TRIM(H$7)))*(CsDJ[Account Code]=(TRIM($D99))),CsDJ[Credit])))+(SUM(IF((CRDJ[Ofc Code]=(TRIM(H$7)))*(CRDJ[Account Code]=(TRIM($D99))),CRDJ[Credit])))+(SUM(IF((GJ[Ofc Code]=(TRIM(H$7)))*(GJ[Account Code]=(TRIM($D99))),GJ[Credit]))))</f>
        <v>0</v>
      </c>
      <c r="I99" s="211">
        <f t="array" ref="I99">((SUM(IF((CkDJ[Ofc Code]=(TRIM(I$7)))*(CkDJ[Account Code]=(TRIM($D99))),CkDJ[Debit])))+(SUM(IF((CsDJ[Ofc Code]=(TRIM(I$7)))*(CsDJ[Account Code]=(TRIM($D99))),CsDJ[Debit])))+(SUM(IF((CRDJ[Ofc Code]=(TRIM(I$7)))*(CRDJ[Account Code]=(TRIM($D99))),CRDJ[Debit])))+(SUM(IF((GJ[Ofc Code]=(TRIM(I$7)))*(GJ[Account Code]=(TRIM($D99))),GJ[Debit]))))-((SUM(IF((CkDJ[Ofc Code]=(TRIM(I$7)))*(CkDJ[Account Code]=(TRIM($D99))),CkDJ[Credit])))+(SUM(IF((CsDJ[Ofc Code]=(TRIM(I$7)))*(CsDJ[Account Code]=(TRIM($D99))),CsDJ[Credit])))+(SUM(IF((CRDJ[Ofc Code]=(TRIM(I$7)))*(CRDJ[Account Code]=(TRIM($D99))),CRDJ[Credit])))+(SUM(IF((GJ[Ofc Code]=(TRIM(I$7)))*(GJ[Account Code]=(TRIM($D99))),GJ[Credit]))))</f>
        <v>0</v>
      </c>
      <c r="J99" s="211">
        <f t="shared" si="15"/>
        <v>0</v>
      </c>
      <c r="K99" s="211">
        <f t="array" ref="K99">((SUM(IF((CkDJ[Ofc Code]=(TRIM(K$7)))*(CkDJ[Account Code]=(TRIM($D99))),CkDJ[Debit])))+(SUM(IF((CsDJ[Ofc Code]=(TRIM(K$7)))*(CsDJ[Account Code]=(TRIM($D99))),CsDJ[Debit])))+(SUM(IF((CRDJ[Ofc Code]=(TRIM(K$7)))*(CRDJ[Account Code]=(TRIM($D99))),CRDJ[Debit])))+(SUM(IF((GJ[Ofc Code]=(TRIM(K$7)))*(GJ[Account Code]=(TRIM($D99))),GJ[Debit]))))-((SUM(IF((CkDJ[Ofc Code]=(TRIM(K$7)))*(CkDJ[Account Code]=(TRIM($D99))),CkDJ[Credit])))+(SUM(IF((CsDJ[Ofc Code]=(TRIM(K$7)))*(CsDJ[Account Code]=(TRIM($D99))),CsDJ[Credit])))+(SUM(IF((CRDJ[Ofc Code]=(TRIM(K$7)))*(CRDJ[Account Code]=(TRIM($D99))),CRDJ[Credit])))+(SUM(IF((GJ[Ofc Code]=(TRIM(K$7)))*(GJ[Account Code]=(TRIM($D99))),GJ[Credit]))))</f>
        <v>0</v>
      </c>
      <c r="L99" s="211">
        <f t="array" ref="L99">((SUM(IF((CkDJ[Ofc Code]=(TRIM(L$7)))*(CkDJ[Account Code]=(TRIM($D99))),CkDJ[Debit])))+(SUM(IF((CsDJ[Ofc Code]=(TRIM(L$7)))*(CsDJ[Account Code]=(TRIM($D99))),CsDJ[Debit])))+(SUM(IF((CRDJ[Ofc Code]=(TRIM(L$7)))*(CRDJ[Account Code]=(TRIM($D99))),CRDJ[Debit])))+(SUM(IF((GJ[Ofc Code]=(TRIM(L$7)))*(GJ[Account Code]=(TRIM($D99))),GJ[Debit]))))-((SUM(IF((CkDJ[Ofc Code]=(TRIM(L$7)))*(CkDJ[Account Code]=(TRIM($D99))),CkDJ[Credit])))+(SUM(IF((CsDJ[Ofc Code]=(TRIM(L$7)))*(CsDJ[Account Code]=(TRIM($D99))),CsDJ[Credit])))+(SUM(IF((CRDJ[Ofc Code]=(TRIM(L$7)))*(CRDJ[Account Code]=(TRIM($D99))),CRDJ[Credit])))+(SUM(IF((GJ[Ofc Code]=(TRIM(L$7)))*(GJ[Account Code]=(TRIM($D99))),GJ[Credit]))))</f>
        <v>0</v>
      </c>
      <c r="M99" s="211">
        <f t="array" ref="M99">((SUM(IF((CkDJ[Ofc Code]=(TRIM(M$7)))*(CkDJ[Account Code]=(TRIM($D99))),CkDJ[Debit])))+(SUM(IF((CsDJ[Ofc Code]=(TRIM(M$7)))*(CsDJ[Account Code]=(TRIM($D99))),CsDJ[Debit])))+(SUM(IF((CRDJ[Ofc Code]=(TRIM(M$7)))*(CRDJ[Account Code]=(TRIM($D99))),CRDJ[Debit])))+(SUM(IF((GJ[Ofc Code]=(TRIM(M$7)))*(GJ[Account Code]=(TRIM($D99))),GJ[Debit]))))-((SUM(IF((CkDJ[Ofc Code]=(TRIM(M$7)))*(CkDJ[Account Code]=(TRIM($D99))),CkDJ[Credit])))+(SUM(IF((CsDJ[Ofc Code]=(TRIM(M$7)))*(CsDJ[Account Code]=(TRIM($D99))),CsDJ[Credit])))+(SUM(IF((CRDJ[Ofc Code]=(TRIM(M$7)))*(CRDJ[Account Code]=(TRIM($D99))),CRDJ[Credit])))+(SUM(IF((GJ[Ofc Code]=(TRIM(M$7)))*(GJ[Account Code]=(TRIM($D99))),GJ[Credit]))))</f>
        <v>0</v>
      </c>
      <c r="N99" s="211">
        <f t="array" ref="N99">((SUM(IF((CkDJ[Ofc Code]=(TRIM(N$7)))*(CkDJ[Account Code]=(TRIM($D99))),CkDJ[Debit])))+(SUM(IF((CsDJ[Ofc Code]=(TRIM(N$7)))*(CsDJ[Account Code]=(TRIM($D99))),CsDJ[Debit])))+(SUM(IF((CRDJ[Ofc Code]=(TRIM(N$7)))*(CRDJ[Account Code]=(TRIM($D99))),CRDJ[Debit])))+(SUM(IF((GJ[Ofc Code]=(TRIM(N$7)))*(GJ[Account Code]=(TRIM($D99))),GJ[Debit]))))-((SUM(IF((CkDJ[Ofc Code]=(TRIM(N$7)))*(CkDJ[Account Code]=(TRIM($D99))),CkDJ[Credit])))+(SUM(IF((CsDJ[Ofc Code]=(TRIM(N$7)))*(CsDJ[Account Code]=(TRIM($D99))),CsDJ[Credit])))+(SUM(IF((CRDJ[Ofc Code]=(TRIM(N$7)))*(CRDJ[Account Code]=(TRIM($D99))),CRDJ[Credit])))+(SUM(IF((GJ[Ofc Code]=(TRIM(N$7)))*(GJ[Account Code]=(TRIM($D99))),GJ[Credit]))))</f>
        <v>0</v>
      </c>
      <c r="O99" s="211">
        <f t="shared" si="16"/>
        <v>0</v>
      </c>
      <c r="P99" s="211">
        <f t="array" ref="P99">((SUM(IF((CkDJ[Ofc Code]=(TRIM(P$7)))*(CkDJ[Account Code]=(TRIM($D99))),CkDJ[Debit])))+(SUM(IF((CsDJ[Ofc Code]=(TRIM(P$7)))*(CsDJ[Account Code]=(TRIM($D99))),CsDJ[Debit])))+(SUM(IF((CRDJ[Ofc Code]=(TRIM(P$7)))*(CRDJ[Account Code]=(TRIM($D99))),CRDJ[Debit])))+(SUM(IF((GJ[Ofc Code]=(TRIM(P$7)))*(GJ[Account Code]=(TRIM($D99))),GJ[Debit]))))-((SUM(IF((CkDJ[Ofc Code]=(TRIM(P$7)))*(CkDJ[Account Code]=(TRIM($D99))),CkDJ[Credit])))+(SUM(IF((CsDJ[Ofc Code]=(TRIM(P$7)))*(CsDJ[Account Code]=(TRIM($D99))),CsDJ[Credit])))+(SUM(IF((CRDJ[Ofc Code]=(TRIM(P$7)))*(CRDJ[Account Code]=(TRIM($D99))),CRDJ[Credit])))+(SUM(IF((GJ[Ofc Code]=(TRIM(P$7)))*(GJ[Account Code]=(TRIM($D99))),GJ[Credit]))))</f>
        <v>0</v>
      </c>
      <c r="Q99" s="211">
        <f t="array" ref="Q99">((SUM(IF((CkDJ[Ofc Code]=(TRIM(Q$7)))*(CkDJ[Account Code]=(TRIM($D99))),CkDJ[Debit])))+(SUM(IF((CsDJ[Ofc Code]=(TRIM(Q$7)))*(CsDJ[Account Code]=(TRIM($D99))),CsDJ[Debit])))+(SUM(IF((CRDJ[Ofc Code]=(TRIM(Q$7)))*(CRDJ[Account Code]=(TRIM($D99))),CRDJ[Debit])))+(SUM(IF((GJ[Ofc Code]=(TRIM(Q$7)))*(GJ[Account Code]=(TRIM($D99))),GJ[Debit]))))-((SUM(IF((CkDJ[Ofc Code]=(TRIM(Q$7)))*(CkDJ[Account Code]=(TRIM($D99))),CkDJ[Credit])))+(SUM(IF((CsDJ[Ofc Code]=(TRIM(Q$7)))*(CsDJ[Account Code]=(TRIM($D99))),CsDJ[Credit])))+(SUM(IF((CRDJ[Ofc Code]=(TRIM(Q$7)))*(CRDJ[Account Code]=(TRIM($D99))),CRDJ[Credit])))+(SUM(IF((GJ[Ofc Code]=(TRIM(Q$7)))*(GJ[Account Code]=(TRIM($D99))),GJ[Credit]))))</f>
        <v>0</v>
      </c>
      <c r="R99" s="211">
        <f t="array" ref="R99">((SUM(IF((CkDJ[Ofc Code]=(TRIM(R$7)))*(CkDJ[Account Code]=(TRIM($D99))),CkDJ[Debit])))+(SUM(IF((CsDJ[Ofc Code]=(TRIM(R$7)))*(CsDJ[Account Code]=(TRIM($D99))),CsDJ[Debit])))+(SUM(IF((CRDJ[Ofc Code]=(TRIM(R$7)))*(CRDJ[Account Code]=(TRIM($D99))),CRDJ[Debit])))+(SUM(IF((GJ[Ofc Code]=(TRIM(R$7)))*(GJ[Account Code]=(TRIM($D99))),GJ[Debit]))))-((SUM(IF((CkDJ[Ofc Code]=(TRIM(R$7)))*(CkDJ[Account Code]=(TRIM($D99))),CkDJ[Credit])))+(SUM(IF((CsDJ[Ofc Code]=(TRIM(R$7)))*(CsDJ[Account Code]=(TRIM($D99))),CsDJ[Credit])))+(SUM(IF((CRDJ[Ofc Code]=(TRIM(R$7)))*(CRDJ[Account Code]=(TRIM($D99))),CRDJ[Credit])))+(SUM(IF((GJ[Ofc Code]=(TRIM(R$7)))*(GJ[Account Code]=(TRIM($D99))),GJ[Credit]))))</f>
        <v>0</v>
      </c>
      <c r="S99" s="211">
        <f t="array" ref="S99">((SUM(IF((CkDJ[Ofc Code]=(TRIM(S$7)))*(CkDJ[Account Code]=(TRIM($D99))),CkDJ[Debit])))+(SUM(IF((CsDJ[Ofc Code]=(TRIM(S$7)))*(CsDJ[Account Code]=(TRIM($D99))),CsDJ[Debit])))+(SUM(IF((CRDJ[Ofc Code]=(TRIM(S$7)))*(CRDJ[Account Code]=(TRIM($D99))),CRDJ[Debit])))+(SUM(IF((GJ[Ofc Code]=(TRIM(S$7)))*(GJ[Account Code]=(TRIM($D99))),GJ[Debit]))))-((SUM(IF((CkDJ[Ofc Code]=(TRIM(S$7)))*(CkDJ[Account Code]=(TRIM($D99))),CkDJ[Credit])))+(SUM(IF((CsDJ[Ofc Code]=(TRIM(S$7)))*(CsDJ[Account Code]=(TRIM($D99))),CsDJ[Credit])))+(SUM(IF((CRDJ[Ofc Code]=(TRIM(S$7)))*(CRDJ[Account Code]=(TRIM($D99))),CRDJ[Credit])))+(SUM(IF((GJ[Ofc Code]=(TRIM(S$7)))*(GJ[Account Code]=(TRIM($D99))),GJ[Credit]))))</f>
        <v>0</v>
      </c>
      <c r="T99" s="211">
        <f t="array" ref="T99">((SUM(IF((CkDJ[Ofc Code]=(TRIM(T$7)))*(CkDJ[Account Code]=(TRIM($D99))),CkDJ[Debit])))+(SUM(IF((CsDJ[Ofc Code]=(TRIM(T$7)))*(CsDJ[Account Code]=(TRIM($D99))),CsDJ[Debit])))+(SUM(IF((CRDJ[Ofc Code]=(TRIM(T$7)))*(CRDJ[Account Code]=(TRIM($D99))),CRDJ[Debit])))+(SUM(IF((GJ[Ofc Code]=(TRIM(T$7)))*(GJ[Account Code]=(TRIM($D99))),GJ[Debit]))))-((SUM(IF((CkDJ[Ofc Code]=(TRIM(T$7)))*(CkDJ[Account Code]=(TRIM($D99))),CkDJ[Credit])))+(SUM(IF((CsDJ[Ofc Code]=(TRIM(T$7)))*(CsDJ[Account Code]=(TRIM($D99))),CsDJ[Credit])))+(SUM(IF((CRDJ[Ofc Code]=(TRIM(T$7)))*(CRDJ[Account Code]=(TRIM($D99))),CRDJ[Credit])))+(SUM(IF((GJ[Ofc Code]=(TRIM(T$7)))*(GJ[Account Code]=(TRIM($D99))),GJ[Credit]))))</f>
        <v>0</v>
      </c>
      <c r="U99" s="211">
        <f t="shared" si="17"/>
        <v>0</v>
      </c>
      <c r="V99" s="211">
        <f t="shared" si="18"/>
        <v>0</v>
      </c>
    </row>
    <row r="100" spans="1:22" ht="15">
      <c r="A100" s="212">
        <f t="shared" si="19"/>
        <v>38</v>
      </c>
      <c r="B100" s="194"/>
      <c r="C100" s="194" t="str">
        <f t="shared" si="14"/>
        <v>Fidelity Bond Premiums</v>
      </c>
      <c r="D100" s="207">
        <v>892</v>
      </c>
      <c r="E100" s="211">
        <f t="array" ref="E100">((SUM(IF((CkDJ[Ofc Code]=(TRIM(E$7)))*(CkDJ[Account Code]=(TRIM($D100))),CkDJ[Debit])))+(SUM(IF((CsDJ[Ofc Code]=(TRIM(E$7)))*(CsDJ[Account Code]=(TRIM($D100))),CsDJ[Debit])))+(SUM(IF((CRDJ[Ofc Code]=(TRIM(E$7)))*(CRDJ[Account Code]=(TRIM($D100))),CRDJ[Debit])))+(SUM(IF((GJ[Ofc Code]=(TRIM(E$7)))*(GJ[Account Code]=(TRIM($D100))),GJ[Debit]))))-((SUM(IF((CkDJ[Ofc Code]=(TRIM(E$7)))*(CkDJ[Account Code]=(TRIM($D100))),CkDJ[Credit])))+(SUM(IF((CsDJ[Ofc Code]=(TRIM(E$7)))*(CsDJ[Account Code]=(TRIM($D100))),CsDJ[Credit])))+(SUM(IF((CRDJ[Ofc Code]=(TRIM(E$7)))*(CRDJ[Account Code]=(TRIM($D100))),CRDJ[Credit])))+(SUM(IF((GJ[Ofc Code]=(TRIM(E$7)))*(GJ[Account Code]=(TRIM($D100))),GJ[Credit]))))</f>
        <v>0</v>
      </c>
      <c r="F100" s="211">
        <f t="array" ref="F100">((SUM(IF((CkDJ[Ofc Code]=(TRIM(F$7)))*(CkDJ[Account Code]=(TRIM($D100))),CkDJ[Debit])))+(SUM(IF((CsDJ[Ofc Code]=(TRIM(F$7)))*(CsDJ[Account Code]=(TRIM($D100))),CsDJ[Debit])))+(SUM(IF((CRDJ[Ofc Code]=(TRIM(F$7)))*(CRDJ[Account Code]=(TRIM($D100))),CRDJ[Debit])))+(SUM(IF((GJ[Ofc Code]=(TRIM(F$7)))*(GJ[Account Code]=(TRIM($D100))),GJ[Debit]))))-((SUM(IF((CkDJ[Ofc Code]=(TRIM(F$7)))*(CkDJ[Account Code]=(TRIM($D100))),CkDJ[Credit])))+(SUM(IF((CsDJ[Ofc Code]=(TRIM(F$7)))*(CsDJ[Account Code]=(TRIM($D100))),CsDJ[Credit])))+(SUM(IF((CRDJ[Ofc Code]=(TRIM(F$7)))*(CRDJ[Account Code]=(TRIM($D100))),CRDJ[Credit])))+(SUM(IF((GJ[Ofc Code]=(TRIM(F$7)))*(GJ[Account Code]=(TRIM($D100))),GJ[Credit]))))</f>
        <v>0</v>
      </c>
      <c r="G100" s="211">
        <f t="array" ref="G100">((SUM(IF((CkDJ[Ofc Code]=(TRIM(G$7)))*(CkDJ[Account Code]=(TRIM($D100))),CkDJ[Debit])))+(SUM(IF((CsDJ[Ofc Code]=(TRIM(G$7)))*(CsDJ[Account Code]=(TRIM($D100))),CsDJ[Debit])))+(SUM(IF((CRDJ[Ofc Code]=(TRIM(G$7)))*(CRDJ[Account Code]=(TRIM($D100))),CRDJ[Debit])))+(SUM(IF((GJ[Ofc Code]=(TRIM(G$7)))*(GJ[Account Code]=(TRIM($D100))),GJ[Debit]))))-((SUM(IF((CkDJ[Ofc Code]=(TRIM(G$7)))*(CkDJ[Account Code]=(TRIM($D100))),CkDJ[Credit])))+(SUM(IF((CsDJ[Ofc Code]=(TRIM(G$7)))*(CsDJ[Account Code]=(TRIM($D100))),CsDJ[Credit])))+(SUM(IF((CRDJ[Ofc Code]=(TRIM(G$7)))*(CRDJ[Account Code]=(TRIM($D100))),CRDJ[Credit])))+(SUM(IF((GJ[Ofc Code]=(TRIM(G$7)))*(GJ[Account Code]=(TRIM($D100))),GJ[Credit]))))</f>
        <v>0</v>
      </c>
      <c r="H100" s="211">
        <f t="array" ref="H100">((SUM(IF((CkDJ[Ofc Code]=(TRIM(H$7)))*(CkDJ[Account Code]=(TRIM($D100))),CkDJ[Debit])))+(SUM(IF((CsDJ[Ofc Code]=(TRIM(H$7)))*(CsDJ[Account Code]=(TRIM($D100))),CsDJ[Debit])))+(SUM(IF((CRDJ[Ofc Code]=(TRIM(H$7)))*(CRDJ[Account Code]=(TRIM($D100))),CRDJ[Debit])))+(SUM(IF((GJ[Ofc Code]=(TRIM(H$7)))*(GJ[Account Code]=(TRIM($D100))),GJ[Debit]))))-((SUM(IF((CkDJ[Ofc Code]=(TRIM(H$7)))*(CkDJ[Account Code]=(TRIM($D100))),CkDJ[Credit])))+(SUM(IF((CsDJ[Ofc Code]=(TRIM(H$7)))*(CsDJ[Account Code]=(TRIM($D100))),CsDJ[Credit])))+(SUM(IF((CRDJ[Ofc Code]=(TRIM(H$7)))*(CRDJ[Account Code]=(TRIM($D100))),CRDJ[Credit])))+(SUM(IF((GJ[Ofc Code]=(TRIM(H$7)))*(GJ[Account Code]=(TRIM($D100))),GJ[Credit]))))</f>
        <v>0</v>
      </c>
      <c r="I100" s="211">
        <f t="array" ref="I100">((SUM(IF((CkDJ[Ofc Code]=(TRIM(I$7)))*(CkDJ[Account Code]=(TRIM($D100))),CkDJ[Debit])))+(SUM(IF((CsDJ[Ofc Code]=(TRIM(I$7)))*(CsDJ[Account Code]=(TRIM($D100))),CsDJ[Debit])))+(SUM(IF((CRDJ[Ofc Code]=(TRIM(I$7)))*(CRDJ[Account Code]=(TRIM($D100))),CRDJ[Debit])))+(SUM(IF((GJ[Ofc Code]=(TRIM(I$7)))*(GJ[Account Code]=(TRIM($D100))),GJ[Debit]))))-((SUM(IF((CkDJ[Ofc Code]=(TRIM(I$7)))*(CkDJ[Account Code]=(TRIM($D100))),CkDJ[Credit])))+(SUM(IF((CsDJ[Ofc Code]=(TRIM(I$7)))*(CsDJ[Account Code]=(TRIM($D100))),CsDJ[Credit])))+(SUM(IF((CRDJ[Ofc Code]=(TRIM(I$7)))*(CRDJ[Account Code]=(TRIM($D100))),CRDJ[Credit])))+(SUM(IF((GJ[Ofc Code]=(TRIM(I$7)))*(GJ[Account Code]=(TRIM($D100))),GJ[Credit]))))</f>
        <v>0</v>
      </c>
      <c r="J100" s="211">
        <f t="shared" si="15"/>
        <v>0</v>
      </c>
      <c r="K100" s="211">
        <f t="array" ref="K100">((SUM(IF((CkDJ[Ofc Code]=(TRIM(K$7)))*(CkDJ[Account Code]=(TRIM($D100))),CkDJ[Debit])))+(SUM(IF((CsDJ[Ofc Code]=(TRIM(K$7)))*(CsDJ[Account Code]=(TRIM($D100))),CsDJ[Debit])))+(SUM(IF((CRDJ[Ofc Code]=(TRIM(K$7)))*(CRDJ[Account Code]=(TRIM($D100))),CRDJ[Debit])))+(SUM(IF((GJ[Ofc Code]=(TRIM(K$7)))*(GJ[Account Code]=(TRIM($D100))),GJ[Debit]))))-((SUM(IF((CkDJ[Ofc Code]=(TRIM(K$7)))*(CkDJ[Account Code]=(TRIM($D100))),CkDJ[Credit])))+(SUM(IF((CsDJ[Ofc Code]=(TRIM(K$7)))*(CsDJ[Account Code]=(TRIM($D100))),CsDJ[Credit])))+(SUM(IF((CRDJ[Ofc Code]=(TRIM(K$7)))*(CRDJ[Account Code]=(TRIM($D100))),CRDJ[Credit])))+(SUM(IF((GJ[Ofc Code]=(TRIM(K$7)))*(GJ[Account Code]=(TRIM($D100))),GJ[Credit]))))</f>
        <v>0</v>
      </c>
      <c r="L100" s="211">
        <f t="array" ref="L100">((SUM(IF((CkDJ[Ofc Code]=(TRIM(L$7)))*(CkDJ[Account Code]=(TRIM($D100))),CkDJ[Debit])))+(SUM(IF((CsDJ[Ofc Code]=(TRIM(L$7)))*(CsDJ[Account Code]=(TRIM($D100))),CsDJ[Debit])))+(SUM(IF((CRDJ[Ofc Code]=(TRIM(L$7)))*(CRDJ[Account Code]=(TRIM($D100))),CRDJ[Debit])))+(SUM(IF((GJ[Ofc Code]=(TRIM(L$7)))*(GJ[Account Code]=(TRIM($D100))),GJ[Debit]))))-((SUM(IF((CkDJ[Ofc Code]=(TRIM(L$7)))*(CkDJ[Account Code]=(TRIM($D100))),CkDJ[Credit])))+(SUM(IF((CsDJ[Ofc Code]=(TRIM(L$7)))*(CsDJ[Account Code]=(TRIM($D100))),CsDJ[Credit])))+(SUM(IF((CRDJ[Ofc Code]=(TRIM(L$7)))*(CRDJ[Account Code]=(TRIM($D100))),CRDJ[Credit])))+(SUM(IF((GJ[Ofc Code]=(TRIM(L$7)))*(GJ[Account Code]=(TRIM($D100))),GJ[Credit]))))</f>
        <v>0</v>
      </c>
      <c r="M100" s="211">
        <f t="array" ref="M100">((SUM(IF((CkDJ[Ofc Code]=(TRIM(M$7)))*(CkDJ[Account Code]=(TRIM($D100))),CkDJ[Debit])))+(SUM(IF((CsDJ[Ofc Code]=(TRIM(M$7)))*(CsDJ[Account Code]=(TRIM($D100))),CsDJ[Debit])))+(SUM(IF((CRDJ[Ofc Code]=(TRIM(M$7)))*(CRDJ[Account Code]=(TRIM($D100))),CRDJ[Debit])))+(SUM(IF((GJ[Ofc Code]=(TRIM(M$7)))*(GJ[Account Code]=(TRIM($D100))),GJ[Debit]))))-((SUM(IF((CkDJ[Ofc Code]=(TRIM(M$7)))*(CkDJ[Account Code]=(TRIM($D100))),CkDJ[Credit])))+(SUM(IF((CsDJ[Ofc Code]=(TRIM(M$7)))*(CsDJ[Account Code]=(TRIM($D100))),CsDJ[Credit])))+(SUM(IF((CRDJ[Ofc Code]=(TRIM(M$7)))*(CRDJ[Account Code]=(TRIM($D100))),CRDJ[Credit])))+(SUM(IF((GJ[Ofc Code]=(TRIM(M$7)))*(GJ[Account Code]=(TRIM($D100))),GJ[Credit]))))</f>
        <v>0</v>
      </c>
      <c r="N100" s="211">
        <f t="array" ref="N100">((SUM(IF((CkDJ[Ofc Code]=(TRIM(N$7)))*(CkDJ[Account Code]=(TRIM($D100))),CkDJ[Debit])))+(SUM(IF((CsDJ[Ofc Code]=(TRIM(N$7)))*(CsDJ[Account Code]=(TRIM($D100))),CsDJ[Debit])))+(SUM(IF((CRDJ[Ofc Code]=(TRIM(N$7)))*(CRDJ[Account Code]=(TRIM($D100))),CRDJ[Debit])))+(SUM(IF((GJ[Ofc Code]=(TRIM(N$7)))*(GJ[Account Code]=(TRIM($D100))),GJ[Debit]))))-((SUM(IF((CkDJ[Ofc Code]=(TRIM(N$7)))*(CkDJ[Account Code]=(TRIM($D100))),CkDJ[Credit])))+(SUM(IF((CsDJ[Ofc Code]=(TRIM(N$7)))*(CsDJ[Account Code]=(TRIM($D100))),CsDJ[Credit])))+(SUM(IF((CRDJ[Ofc Code]=(TRIM(N$7)))*(CRDJ[Account Code]=(TRIM($D100))),CRDJ[Credit])))+(SUM(IF((GJ[Ofc Code]=(TRIM(N$7)))*(GJ[Account Code]=(TRIM($D100))),GJ[Credit]))))</f>
        <v>0</v>
      </c>
      <c r="O100" s="211">
        <f t="shared" si="16"/>
        <v>0</v>
      </c>
      <c r="P100" s="211">
        <f t="array" ref="P100">((SUM(IF((CkDJ[Ofc Code]=(TRIM(P$7)))*(CkDJ[Account Code]=(TRIM($D100))),CkDJ[Debit])))+(SUM(IF((CsDJ[Ofc Code]=(TRIM(P$7)))*(CsDJ[Account Code]=(TRIM($D100))),CsDJ[Debit])))+(SUM(IF((CRDJ[Ofc Code]=(TRIM(P$7)))*(CRDJ[Account Code]=(TRIM($D100))),CRDJ[Debit])))+(SUM(IF((GJ[Ofc Code]=(TRIM(P$7)))*(GJ[Account Code]=(TRIM($D100))),GJ[Debit]))))-((SUM(IF((CkDJ[Ofc Code]=(TRIM(P$7)))*(CkDJ[Account Code]=(TRIM($D100))),CkDJ[Credit])))+(SUM(IF((CsDJ[Ofc Code]=(TRIM(P$7)))*(CsDJ[Account Code]=(TRIM($D100))),CsDJ[Credit])))+(SUM(IF((CRDJ[Ofc Code]=(TRIM(P$7)))*(CRDJ[Account Code]=(TRIM($D100))),CRDJ[Credit])))+(SUM(IF((GJ[Ofc Code]=(TRIM(P$7)))*(GJ[Account Code]=(TRIM($D100))),GJ[Credit]))))</f>
        <v>0</v>
      </c>
      <c r="Q100" s="211">
        <f t="array" ref="Q100">((SUM(IF((CkDJ[Ofc Code]=(TRIM(Q$7)))*(CkDJ[Account Code]=(TRIM($D100))),CkDJ[Debit])))+(SUM(IF((CsDJ[Ofc Code]=(TRIM(Q$7)))*(CsDJ[Account Code]=(TRIM($D100))),CsDJ[Debit])))+(SUM(IF((CRDJ[Ofc Code]=(TRIM(Q$7)))*(CRDJ[Account Code]=(TRIM($D100))),CRDJ[Debit])))+(SUM(IF((GJ[Ofc Code]=(TRIM(Q$7)))*(GJ[Account Code]=(TRIM($D100))),GJ[Debit]))))-((SUM(IF((CkDJ[Ofc Code]=(TRIM(Q$7)))*(CkDJ[Account Code]=(TRIM($D100))),CkDJ[Credit])))+(SUM(IF((CsDJ[Ofc Code]=(TRIM(Q$7)))*(CsDJ[Account Code]=(TRIM($D100))),CsDJ[Credit])))+(SUM(IF((CRDJ[Ofc Code]=(TRIM(Q$7)))*(CRDJ[Account Code]=(TRIM($D100))),CRDJ[Credit])))+(SUM(IF((GJ[Ofc Code]=(TRIM(Q$7)))*(GJ[Account Code]=(TRIM($D100))),GJ[Credit]))))</f>
        <v>0</v>
      </c>
      <c r="R100" s="211">
        <f t="array" ref="R100">((SUM(IF((CkDJ[Ofc Code]=(TRIM(R$7)))*(CkDJ[Account Code]=(TRIM($D100))),CkDJ[Debit])))+(SUM(IF((CsDJ[Ofc Code]=(TRIM(R$7)))*(CsDJ[Account Code]=(TRIM($D100))),CsDJ[Debit])))+(SUM(IF((CRDJ[Ofc Code]=(TRIM(R$7)))*(CRDJ[Account Code]=(TRIM($D100))),CRDJ[Debit])))+(SUM(IF((GJ[Ofc Code]=(TRIM(R$7)))*(GJ[Account Code]=(TRIM($D100))),GJ[Debit]))))-((SUM(IF((CkDJ[Ofc Code]=(TRIM(R$7)))*(CkDJ[Account Code]=(TRIM($D100))),CkDJ[Credit])))+(SUM(IF((CsDJ[Ofc Code]=(TRIM(R$7)))*(CsDJ[Account Code]=(TRIM($D100))),CsDJ[Credit])))+(SUM(IF((CRDJ[Ofc Code]=(TRIM(R$7)))*(CRDJ[Account Code]=(TRIM($D100))),CRDJ[Credit])))+(SUM(IF((GJ[Ofc Code]=(TRIM(R$7)))*(GJ[Account Code]=(TRIM($D100))),GJ[Credit]))))</f>
        <v>0</v>
      </c>
      <c r="S100" s="211">
        <f t="array" ref="S100">((SUM(IF((CkDJ[Ofc Code]=(TRIM(S$7)))*(CkDJ[Account Code]=(TRIM($D100))),CkDJ[Debit])))+(SUM(IF((CsDJ[Ofc Code]=(TRIM(S$7)))*(CsDJ[Account Code]=(TRIM($D100))),CsDJ[Debit])))+(SUM(IF((CRDJ[Ofc Code]=(TRIM(S$7)))*(CRDJ[Account Code]=(TRIM($D100))),CRDJ[Debit])))+(SUM(IF((GJ[Ofc Code]=(TRIM(S$7)))*(GJ[Account Code]=(TRIM($D100))),GJ[Debit]))))-((SUM(IF((CkDJ[Ofc Code]=(TRIM(S$7)))*(CkDJ[Account Code]=(TRIM($D100))),CkDJ[Credit])))+(SUM(IF((CsDJ[Ofc Code]=(TRIM(S$7)))*(CsDJ[Account Code]=(TRIM($D100))),CsDJ[Credit])))+(SUM(IF((CRDJ[Ofc Code]=(TRIM(S$7)))*(CRDJ[Account Code]=(TRIM($D100))),CRDJ[Credit])))+(SUM(IF((GJ[Ofc Code]=(TRIM(S$7)))*(GJ[Account Code]=(TRIM($D100))),GJ[Credit]))))</f>
        <v>0</v>
      </c>
      <c r="T100" s="211">
        <f t="array" ref="T100">((SUM(IF((CkDJ[Ofc Code]=(TRIM(T$7)))*(CkDJ[Account Code]=(TRIM($D100))),CkDJ[Debit])))+(SUM(IF((CsDJ[Ofc Code]=(TRIM(T$7)))*(CsDJ[Account Code]=(TRIM($D100))),CsDJ[Debit])))+(SUM(IF((CRDJ[Ofc Code]=(TRIM(T$7)))*(CRDJ[Account Code]=(TRIM($D100))),CRDJ[Debit])))+(SUM(IF((GJ[Ofc Code]=(TRIM(T$7)))*(GJ[Account Code]=(TRIM($D100))),GJ[Debit]))))-((SUM(IF((CkDJ[Ofc Code]=(TRIM(T$7)))*(CkDJ[Account Code]=(TRIM($D100))),CkDJ[Credit])))+(SUM(IF((CsDJ[Ofc Code]=(TRIM(T$7)))*(CsDJ[Account Code]=(TRIM($D100))),CsDJ[Credit])))+(SUM(IF((CRDJ[Ofc Code]=(TRIM(T$7)))*(CRDJ[Account Code]=(TRIM($D100))),CRDJ[Credit])))+(SUM(IF((GJ[Ofc Code]=(TRIM(T$7)))*(GJ[Account Code]=(TRIM($D100))),GJ[Credit]))))</f>
        <v>0</v>
      </c>
      <c r="U100" s="211">
        <f t="shared" si="17"/>
        <v>0</v>
      </c>
      <c r="V100" s="211">
        <f t="shared" si="18"/>
        <v>0</v>
      </c>
    </row>
    <row r="101" spans="1:22" ht="15">
      <c r="A101" s="212">
        <f t="shared" si="19"/>
        <v>39</v>
      </c>
      <c r="B101" s="194"/>
      <c r="C101" s="194" t="str">
        <f t="shared" si="14"/>
        <v>Insurance Expenses</v>
      </c>
      <c r="D101" s="207">
        <v>893</v>
      </c>
      <c r="E101" s="211">
        <f t="array" ref="E101">((SUM(IF((CkDJ[Ofc Code]=(TRIM(E$7)))*(CkDJ[Account Code]=(TRIM($D101))),CkDJ[Debit])))+(SUM(IF((CsDJ[Ofc Code]=(TRIM(E$7)))*(CsDJ[Account Code]=(TRIM($D101))),CsDJ[Debit])))+(SUM(IF((CRDJ[Ofc Code]=(TRIM(E$7)))*(CRDJ[Account Code]=(TRIM($D101))),CRDJ[Debit])))+(SUM(IF((GJ[Ofc Code]=(TRIM(E$7)))*(GJ[Account Code]=(TRIM($D101))),GJ[Debit]))))-((SUM(IF((CkDJ[Ofc Code]=(TRIM(E$7)))*(CkDJ[Account Code]=(TRIM($D101))),CkDJ[Credit])))+(SUM(IF((CsDJ[Ofc Code]=(TRIM(E$7)))*(CsDJ[Account Code]=(TRIM($D101))),CsDJ[Credit])))+(SUM(IF((CRDJ[Ofc Code]=(TRIM(E$7)))*(CRDJ[Account Code]=(TRIM($D101))),CRDJ[Credit])))+(SUM(IF((GJ[Ofc Code]=(TRIM(E$7)))*(GJ[Account Code]=(TRIM($D101))),GJ[Credit]))))</f>
        <v>0</v>
      </c>
      <c r="F101" s="211">
        <f t="array" ref="F101">((SUM(IF((CkDJ[Ofc Code]=(TRIM(F$7)))*(CkDJ[Account Code]=(TRIM($D101))),CkDJ[Debit])))+(SUM(IF((CsDJ[Ofc Code]=(TRIM(F$7)))*(CsDJ[Account Code]=(TRIM($D101))),CsDJ[Debit])))+(SUM(IF((CRDJ[Ofc Code]=(TRIM(F$7)))*(CRDJ[Account Code]=(TRIM($D101))),CRDJ[Debit])))+(SUM(IF((GJ[Ofc Code]=(TRIM(F$7)))*(GJ[Account Code]=(TRIM($D101))),GJ[Debit]))))-((SUM(IF((CkDJ[Ofc Code]=(TRIM(F$7)))*(CkDJ[Account Code]=(TRIM($D101))),CkDJ[Credit])))+(SUM(IF((CsDJ[Ofc Code]=(TRIM(F$7)))*(CsDJ[Account Code]=(TRIM($D101))),CsDJ[Credit])))+(SUM(IF((CRDJ[Ofc Code]=(TRIM(F$7)))*(CRDJ[Account Code]=(TRIM($D101))),CRDJ[Credit])))+(SUM(IF((GJ[Ofc Code]=(TRIM(F$7)))*(GJ[Account Code]=(TRIM($D101))),GJ[Credit]))))</f>
        <v>0</v>
      </c>
      <c r="G101" s="211">
        <f t="array" ref="G101">((SUM(IF((CkDJ[Ofc Code]=(TRIM(G$7)))*(CkDJ[Account Code]=(TRIM($D101))),CkDJ[Debit])))+(SUM(IF((CsDJ[Ofc Code]=(TRIM(G$7)))*(CsDJ[Account Code]=(TRIM($D101))),CsDJ[Debit])))+(SUM(IF((CRDJ[Ofc Code]=(TRIM(G$7)))*(CRDJ[Account Code]=(TRIM($D101))),CRDJ[Debit])))+(SUM(IF((GJ[Ofc Code]=(TRIM(G$7)))*(GJ[Account Code]=(TRIM($D101))),GJ[Debit]))))-((SUM(IF((CkDJ[Ofc Code]=(TRIM(G$7)))*(CkDJ[Account Code]=(TRIM($D101))),CkDJ[Credit])))+(SUM(IF((CsDJ[Ofc Code]=(TRIM(G$7)))*(CsDJ[Account Code]=(TRIM($D101))),CsDJ[Credit])))+(SUM(IF((CRDJ[Ofc Code]=(TRIM(G$7)))*(CRDJ[Account Code]=(TRIM($D101))),CRDJ[Credit])))+(SUM(IF((GJ[Ofc Code]=(TRIM(G$7)))*(GJ[Account Code]=(TRIM($D101))),GJ[Credit]))))</f>
        <v>0</v>
      </c>
      <c r="H101" s="211">
        <f t="array" ref="H101">((SUM(IF((CkDJ[Ofc Code]=(TRIM(H$7)))*(CkDJ[Account Code]=(TRIM($D101))),CkDJ[Debit])))+(SUM(IF((CsDJ[Ofc Code]=(TRIM(H$7)))*(CsDJ[Account Code]=(TRIM($D101))),CsDJ[Debit])))+(SUM(IF((CRDJ[Ofc Code]=(TRIM(H$7)))*(CRDJ[Account Code]=(TRIM($D101))),CRDJ[Debit])))+(SUM(IF((GJ[Ofc Code]=(TRIM(H$7)))*(GJ[Account Code]=(TRIM($D101))),GJ[Debit]))))-((SUM(IF((CkDJ[Ofc Code]=(TRIM(H$7)))*(CkDJ[Account Code]=(TRIM($D101))),CkDJ[Credit])))+(SUM(IF((CsDJ[Ofc Code]=(TRIM(H$7)))*(CsDJ[Account Code]=(TRIM($D101))),CsDJ[Credit])))+(SUM(IF((CRDJ[Ofc Code]=(TRIM(H$7)))*(CRDJ[Account Code]=(TRIM($D101))),CRDJ[Credit])))+(SUM(IF((GJ[Ofc Code]=(TRIM(H$7)))*(GJ[Account Code]=(TRIM($D101))),GJ[Credit]))))</f>
        <v>0</v>
      </c>
      <c r="I101" s="211">
        <f t="array" ref="I101">((SUM(IF((CkDJ[Ofc Code]=(TRIM(I$7)))*(CkDJ[Account Code]=(TRIM($D101))),CkDJ[Debit])))+(SUM(IF((CsDJ[Ofc Code]=(TRIM(I$7)))*(CsDJ[Account Code]=(TRIM($D101))),CsDJ[Debit])))+(SUM(IF((CRDJ[Ofc Code]=(TRIM(I$7)))*(CRDJ[Account Code]=(TRIM($D101))),CRDJ[Debit])))+(SUM(IF((GJ[Ofc Code]=(TRIM(I$7)))*(GJ[Account Code]=(TRIM($D101))),GJ[Debit]))))-((SUM(IF((CkDJ[Ofc Code]=(TRIM(I$7)))*(CkDJ[Account Code]=(TRIM($D101))),CkDJ[Credit])))+(SUM(IF((CsDJ[Ofc Code]=(TRIM(I$7)))*(CsDJ[Account Code]=(TRIM($D101))),CsDJ[Credit])))+(SUM(IF((CRDJ[Ofc Code]=(TRIM(I$7)))*(CRDJ[Account Code]=(TRIM($D101))),CRDJ[Credit])))+(SUM(IF((GJ[Ofc Code]=(TRIM(I$7)))*(GJ[Account Code]=(TRIM($D101))),GJ[Credit]))))</f>
        <v>0</v>
      </c>
      <c r="J101" s="211">
        <f t="shared" si="15"/>
        <v>0</v>
      </c>
      <c r="K101" s="211">
        <f t="array" ref="K101">((SUM(IF((CkDJ[Ofc Code]=(TRIM(K$7)))*(CkDJ[Account Code]=(TRIM($D101))),CkDJ[Debit])))+(SUM(IF((CsDJ[Ofc Code]=(TRIM(K$7)))*(CsDJ[Account Code]=(TRIM($D101))),CsDJ[Debit])))+(SUM(IF((CRDJ[Ofc Code]=(TRIM(K$7)))*(CRDJ[Account Code]=(TRIM($D101))),CRDJ[Debit])))+(SUM(IF((GJ[Ofc Code]=(TRIM(K$7)))*(GJ[Account Code]=(TRIM($D101))),GJ[Debit]))))-((SUM(IF((CkDJ[Ofc Code]=(TRIM(K$7)))*(CkDJ[Account Code]=(TRIM($D101))),CkDJ[Credit])))+(SUM(IF((CsDJ[Ofc Code]=(TRIM(K$7)))*(CsDJ[Account Code]=(TRIM($D101))),CsDJ[Credit])))+(SUM(IF((CRDJ[Ofc Code]=(TRIM(K$7)))*(CRDJ[Account Code]=(TRIM($D101))),CRDJ[Credit])))+(SUM(IF((GJ[Ofc Code]=(TRIM(K$7)))*(GJ[Account Code]=(TRIM($D101))),GJ[Credit]))))</f>
        <v>0</v>
      </c>
      <c r="L101" s="211">
        <f t="array" ref="L101">((SUM(IF((CkDJ[Ofc Code]=(TRIM(L$7)))*(CkDJ[Account Code]=(TRIM($D101))),CkDJ[Debit])))+(SUM(IF((CsDJ[Ofc Code]=(TRIM(L$7)))*(CsDJ[Account Code]=(TRIM($D101))),CsDJ[Debit])))+(SUM(IF((CRDJ[Ofc Code]=(TRIM(L$7)))*(CRDJ[Account Code]=(TRIM($D101))),CRDJ[Debit])))+(SUM(IF((GJ[Ofc Code]=(TRIM(L$7)))*(GJ[Account Code]=(TRIM($D101))),GJ[Debit]))))-((SUM(IF((CkDJ[Ofc Code]=(TRIM(L$7)))*(CkDJ[Account Code]=(TRIM($D101))),CkDJ[Credit])))+(SUM(IF((CsDJ[Ofc Code]=(TRIM(L$7)))*(CsDJ[Account Code]=(TRIM($D101))),CsDJ[Credit])))+(SUM(IF((CRDJ[Ofc Code]=(TRIM(L$7)))*(CRDJ[Account Code]=(TRIM($D101))),CRDJ[Credit])))+(SUM(IF((GJ[Ofc Code]=(TRIM(L$7)))*(GJ[Account Code]=(TRIM($D101))),GJ[Credit]))))</f>
        <v>0</v>
      </c>
      <c r="M101" s="211">
        <f t="array" ref="M101">((SUM(IF((CkDJ[Ofc Code]=(TRIM(M$7)))*(CkDJ[Account Code]=(TRIM($D101))),CkDJ[Debit])))+(SUM(IF((CsDJ[Ofc Code]=(TRIM(M$7)))*(CsDJ[Account Code]=(TRIM($D101))),CsDJ[Debit])))+(SUM(IF((CRDJ[Ofc Code]=(TRIM(M$7)))*(CRDJ[Account Code]=(TRIM($D101))),CRDJ[Debit])))+(SUM(IF((GJ[Ofc Code]=(TRIM(M$7)))*(GJ[Account Code]=(TRIM($D101))),GJ[Debit]))))-((SUM(IF((CkDJ[Ofc Code]=(TRIM(M$7)))*(CkDJ[Account Code]=(TRIM($D101))),CkDJ[Credit])))+(SUM(IF((CsDJ[Ofc Code]=(TRIM(M$7)))*(CsDJ[Account Code]=(TRIM($D101))),CsDJ[Credit])))+(SUM(IF((CRDJ[Ofc Code]=(TRIM(M$7)))*(CRDJ[Account Code]=(TRIM($D101))),CRDJ[Credit])))+(SUM(IF((GJ[Ofc Code]=(TRIM(M$7)))*(GJ[Account Code]=(TRIM($D101))),GJ[Credit]))))</f>
        <v>0</v>
      </c>
      <c r="N101" s="211">
        <f t="array" ref="N101">((SUM(IF((CkDJ[Ofc Code]=(TRIM(N$7)))*(CkDJ[Account Code]=(TRIM($D101))),CkDJ[Debit])))+(SUM(IF((CsDJ[Ofc Code]=(TRIM(N$7)))*(CsDJ[Account Code]=(TRIM($D101))),CsDJ[Debit])))+(SUM(IF((CRDJ[Ofc Code]=(TRIM(N$7)))*(CRDJ[Account Code]=(TRIM($D101))),CRDJ[Debit])))+(SUM(IF((GJ[Ofc Code]=(TRIM(N$7)))*(GJ[Account Code]=(TRIM($D101))),GJ[Debit]))))-((SUM(IF((CkDJ[Ofc Code]=(TRIM(N$7)))*(CkDJ[Account Code]=(TRIM($D101))),CkDJ[Credit])))+(SUM(IF((CsDJ[Ofc Code]=(TRIM(N$7)))*(CsDJ[Account Code]=(TRIM($D101))),CsDJ[Credit])))+(SUM(IF((CRDJ[Ofc Code]=(TRIM(N$7)))*(CRDJ[Account Code]=(TRIM($D101))),CRDJ[Credit])))+(SUM(IF((GJ[Ofc Code]=(TRIM(N$7)))*(GJ[Account Code]=(TRIM($D101))),GJ[Credit]))))</f>
        <v>0</v>
      </c>
      <c r="O101" s="211">
        <f t="shared" si="16"/>
        <v>0</v>
      </c>
      <c r="P101" s="211">
        <f t="array" ref="P101">((SUM(IF((CkDJ[Ofc Code]=(TRIM(P$7)))*(CkDJ[Account Code]=(TRIM($D101))),CkDJ[Debit])))+(SUM(IF((CsDJ[Ofc Code]=(TRIM(P$7)))*(CsDJ[Account Code]=(TRIM($D101))),CsDJ[Debit])))+(SUM(IF((CRDJ[Ofc Code]=(TRIM(P$7)))*(CRDJ[Account Code]=(TRIM($D101))),CRDJ[Debit])))+(SUM(IF((GJ[Ofc Code]=(TRIM(P$7)))*(GJ[Account Code]=(TRIM($D101))),GJ[Debit]))))-((SUM(IF((CkDJ[Ofc Code]=(TRIM(P$7)))*(CkDJ[Account Code]=(TRIM($D101))),CkDJ[Credit])))+(SUM(IF((CsDJ[Ofc Code]=(TRIM(P$7)))*(CsDJ[Account Code]=(TRIM($D101))),CsDJ[Credit])))+(SUM(IF((CRDJ[Ofc Code]=(TRIM(P$7)))*(CRDJ[Account Code]=(TRIM($D101))),CRDJ[Credit])))+(SUM(IF((GJ[Ofc Code]=(TRIM(P$7)))*(GJ[Account Code]=(TRIM($D101))),GJ[Credit]))))</f>
        <v>0</v>
      </c>
      <c r="Q101" s="211">
        <f t="array" ref="Q101">((SUM(IF((CkDJ[Ofc Code]=(TRIM(Q$7)))*(CkDJ[Account Code]=(TRIM($D101))),CkDJ[Debit])))+(SUM(IF((CsDJ[Ofc Code]=(TRIM(Q$7)))*(CsDJ[Account Code]=(TRIM($D101))),CsDJ[Debit])))+(SUM(IF((CRDJ[Ofc Code]=(TRIM(Q$7)))*(CRDJ[Account Code]=(TRIM($D101))),CRDJ[Debit])))+(SUM(IF((GJ[Ofc Code]=(TRIM(Q$7)))*(GJ[Account Code]=(TRIM($D101))),GJ[Debit]))))-((SUM(IF((CkDJ[Ofc Code]=(TRIM(Q$7)))*(CkDJ[Account Code]=(TRIM($D101))),CkDJ[Credit])))+(SUM(IF((CsDJ[Ofc Code]=(TRIM(Q$7)))*(CsDJ[Account Code]=(TRIM($D101))),CsDJ[Credit])))+(SUM(IF((CRDJ[Ofc Code]=(TRIM(Q$7)))*(CRDJ[Account Code]=(TRIM($D101))),CRDJ[Credit])))+(SUM(IF((GJ[Ofc Code]=(TRIM(Q$7)))*(GJ[Account Code]=(TRIM($D101))),GJ[Credit]))))</f>
        <v>0</v>
      </c>
      <c r="R101" s="211">
        <f t="array" ref="R101">((SUM(IF((CkDJ[Ofc Code]=(TRIM(R$7)))*(CkDJ[Account Code]=(TRIM($D101))),CkDJ[Debit])))+(SUM(IF((CsDJ[Ofc Code]=(TRIM(R$7)))*(CsDJ[Account Code]=(TRIM($D101))),CsDJ[Debit])))+(SUM(IF((CRDJ[Ofc Code]=(TRIM(R$7)))*(CRDJ[Account Code]=(TRIM($D101))),CRDJ[Debit])))+(SUM(IF((GJ[Ofc Code]=(TRIM(R$7)))*(GJ[Account Code]=(TRIM($D101))),GJ[Debit]))))-((SUM(IF((CkDJ[Ofc Code]=(TRIM(R$7)))*(CkDJ[Account Code]=(TRIM($D101))),CkDJ[Credit])))+(SUM(IF((CsDJ[Ofc Code]=(TRIM(R$7)))*(CsDJ[Account Code]=(TRIM($D101))),CsDJ[Credit])))+(SUM(IF((CRDJ[Ofc Code]=(TRIM(R$7)))*(CRDJ[Account Code]=(TRIM($D101))),CRDJ[Credit])))+(SUM(IF((GJ[Ofc Code]=(TRIM(R$7)))*(GJ[Account Code]=(TRIM($D101))),GJ[Credit]))))</f>
        <v>0</v>
      </c>
      <c r="S101" s="211">
        <f t="array" ref="S101">((SUM(IF((CkDJ[Ofc Code]=(TRIM(S$7)))*(CkDJ[Account Code]=(TRIM($D101))),CkDJ[Debit])))+(SUM(IF((CsDJ[Ofc Code]=(TRIM(S$7)))*(CsDJ[Account Code]=(TRIM($D101))),CsDJ[Debit])))+(SUM(IF((CRDJ[Ofc Code]=(TRIM(S$7)))*(CRDJ[Account Code]=(TRIM($D101))),CRDJ[Debit])))+(SUM(IF((GJ[Ofc Code]=(TRIM(S$7)))*(GJ[Account Code]=(TRIM($D101))),GJ[Debit]))))-((SUM(IF((CkDJ[Ofc Code]=(TRIM(S$7)))*(CkDJ[Account Code]=(TRIM($D101))),CkDJ[Credit])))+(SUM(IF((CsDJ[Ofc Code]=(TRIM(S$7)))*(CsDJ[Account Code]=(TRIM($D101))),CsDJ[Credit])))+(SUM(IF((CRDJ[Ofc Code]=(TRIM(S$7)))*(CRDJ[Account Code]=(TRIM($D101))),CRDJ[Credit])))+(SUM(IF((GJ[Ofc Code]=(TRIM(S$7)))*(GJ[Account Code]=(TRIM($D101))),GJ[Credit]))))</f>
        <v>0</v>
      </c>
      <c r="T101" s="211">
        <f t="array" ref="T101">((SUM(IF((CkDJ[Ofc Code]=(TRIM(T$7)))*(CkDJ[Account Code]=(TRIM($D101))),CkDJ[Debit])))+(SUM(IF((CsDJ[Ofc Code]=(TRIM(T$7)))*(CsDJ[Account Code]=(TRIM($D101))),CsDJ[Debit])))+(SUM(IF((CRDJ[Ofc Code]=(TRIM(T$7)))*(CRDJ[Account Code]=(TRIM($D101))),CRDJ[Debit])))+(SUM(IF((GJ[Ofc Code]=(TRIM(T$7)))*(GJ[Account Code]=(TRIM($D101))),GJ[Debit]))))-((SUM(IF((CkDJ[Ofc Code]=(TRIM(T$7)))*(CkDJ[Account Code]=(TRIM($D101))),CkDJ[Credit])))+(SUM(IF((CsDJ[Ofc Code]=(TRIM(T$7)))*(CsDJ[Account Code]=(TRIM($D101))),CsDJ[Credit])))+(SUM(IF((CRDJ[Ofc Code]=(TRIM(T$7)))*(CRDJ[Account Code]=(TRIM($D101))),CRDJ[Credit])))+(SUM(IF((GJ[Ofc Code]=(TRIM(T$7)))*(GJ[Account Code]=(TRIM($D101))),GJ[Credit]))))</f>
        <v>0</v>
      </c>
      <c r="U101" s="211">
        <f t="shared" si="17"/>
        <v>0</v>
      </c>
      <c r="V101" s="211">
        <f t="shared" si="18"/>
        <v>0</v>
      </c>
    </row>
    <row r="102" spans="1:22" ht="15">
      <c r="A102" s="212">
        <f t="shared" si="19"/>
        <v>40</v>
      </c>
      <c r="B102" s="194"/>
      <c r="C102" s="194" t="e">
        <f t="shared" si="14"/>
        <v>#N/A</v>
      </c>
      <c r="D102" s="207" t="s">
        <v>331</v>
      </c>
      <c r="E102" s="211">
        <f t="array" ref="E102">((SUM(IF((CkDJ[Ofc Code]=(TRIM(E$7)))*(CkDJ[Account Code]=(TRIM($D102))),CkDJ[Debit])))+(SUM(IF((CsDJ[Ofc Code]=(TRIM(E$7)))*(CsDJ[Account Code]=(TRIM($D102))),CsDJ[Debit])))+(SUM(IF((CRDJ[Ofc Code]=(TRIM(E$7)))*(CRDJ[Account Code]=(TRIM($D102))),CRDJ[Debit])))+(SUM(IF((GJ[Ofc Code]=(TRIM(E$7)))*(GJ[Account Code]=(TRIM($D102))),GJ[Debit]))))-((SUM(IF((CkDJ[Ofc Code]=(TRIM(E$7)))*(CkDJ[Account Code]=(TRIM($D102))),CkDJ[Credit])))+(SUM(IF((CsDJ[Ofc Code]=(TRIM(E$7)))*(CsDJ[Account Code]=(TRIM($D102))),CsDJ[Credit])))+(SUM(IF((CRDJ[Ofc Code]=(TRIM(E$7)))*(CRDJ[Account Code]=(TRIM($D102))),CRDJ[Credit])))+(SUM(IF((GJ[Ofc Code]=(TRIM(E$7)))*(GJ[Account Code]=(TRIM($D102))),GJ[Credit]))))</f>
        <v>0</v>
      </c>
      <c r="F102" s="211">
        <f t="array" ref="F102">((SUM(IF((CkDJ[Ofc Code]=(TRIM(F$7)))*(CkDJ[Account Code]=(TRIM($D102))),CkDJ[Debit])))+(SUM(IF((CsDJ[Ofc Code]=(TRIM(F$7)))*(CsDJ[Account Code]=(TRIM($D102))),CsDJ[Debit])))+(SUM(IF((CRDJ[Ofc Code]=(TRIM(F$7)))*(CRDJ[Account Code]=(TRIM($D102))),CRDJ[Debit])))+(SUM(IF((GJ[Ofc Code]=(TRIM(F$7)))*(GJ[Account Code]=(TRIM($D102))),GJ[Debit]))))-((SUM(IF((CkDJ[Ofc Code]=(TRIM(F$7)))*(CkDJ[Account Code]=(TRIM($D102))),CkDJ[Credit])))+(SUM(IF((CsDJ[Ofc Code]=(TRIM(F$7)))*(CsDJ[Account Code]=(TRIM($D102))),CsDJ[Credit])))+(SUM(IF((CRDJ[Ofc Code]=(TRIM(F$7)))*(CRDJ[Account Code]=(TRIM($D102))),CRDJ[Credit])))+(SUM(IF((GJ[Ofc Code]=(TRIM(F$7)))*(GJ[Account Code]=(TRIM($D102))),GJ[Credit]))))</f>
        <v>0</v>
      </c>
      <c r="G102" s="211">
        <f t="array" ref="G102">((SUM(IF((CkDJ[Ofc Code]=(TRIM(G$7)))*(CkDJ[Account Code]=(TRIM($D102))),CkDJ[Debit])))+(SUM(IF((CsDJ[Ofc Code]=(TRIM(G$7)))*(CsDJ[Account Code]=(TRIM($D102))),CsDJ[Debit])))+(SUM(IF((CRDJ[Ofc Code]=(TRIM(G$7)))*(CRDJ[Account Code]=(TRIM($D102))),CRDJ[Debit])))+(SUM(IF((GJ[Ofc Code]=(TRIM(G$7)))*(GJ[Account Code]=(TRIM($D102))),GJ[Debit]))))-((SUM(IF((CkDJ[Ofc Code]=(TRIM(G$7)))*(CkDJ[Account Code]=(TRIM($D102))),CkDJ[Credit])))+(SUM(IF((CsDJ[Ofc Code]=(TRIM(G$7)))*(CsDJ[Account Code]=(TRIM($D102))),CsDJ[Credit])))+(SUM(IF((CRDJ[Ofc Code]=(TRIM(G$7)))*(CRDJ[Account Code]=(TRIM($D102))),CRDJ[Credit])))+(SUM(IF((GJ[Ofc Code]=(TRIM(G$7)))*(GJ[Account Code]=(TRIM($D102))),GJ[Credit]))))</f>
        <v>0</v>
      </c>
      <c r="H102" s="211">
        <f t="array" ref="H102">((SUM(IF((CkDJ[Ofc Code]=(TRIM(H$7)))*(CkDJ[Account Code]=(TRIM($D102))),CkDJ[Debit])))+(SUM(IF((CsDJ[Ofc Code]=(TRIM(H$7)))*(CsDJ[Account Code]=(TRIM($D102))),CsDJ[Debit])))+(SUM(IF((CRDJ[Ofc Code]=(TRIM(H$7)))*(CRDJ[Account Code]=(TRIM($D102))),CRDJ[Debit])))+(SUM(IF((GJ[Ofc Code]=(TRIM(H$7)))*(GJ[Account Code]=(TRIM($D102))),GJ[Debit]))))-((SUM(IF((CkDJ[Ofc Code]=(TRIM(H$7)))*(CkDJ[Account Code]=(TRIM($D102))),CkDJ[Credit])))+(SUM(IF((CsDJ[Ofc Code]=(TRIM(H$7)))*(CsDJ[Account Code]=(TRIM($D102))),CsDJ[Credit])))+(SUM(IF((CRDJ[Ofc Code]=(TRIM(H$7)))*(CRDJ[Account Code]=(TRIM($D102))),CRDJ[Credit])))+(SUM(IF((GJ[Ofc Code]=(TRIM(H$7)))*(GJ[Account Code]=(TRIM($D102))),GJ[Credit]))))</f>
        <v>0</v>
      </c>
      <c r="I102" s="211">
        <f t="array" ref="I102">((SUM(IF((CkDJ[Ofc Code]=(TRIM(I$7)))*(CkDJ[Account Code]=(TRIM($D102))),CkDJ[Debit])))+(SUM(IF((CsDJ[Ofc Code]=(TRIM(I$7)))*(CsDJ[Account Code]=(TRIM($D102))),CsDJ[Debit])))+(SUM(IF((CRDJ[Ofc Code]=(TRIM(I$7)))*(CRDJ[Account Code]=(TRIM($D102))),CRDJ[Debit])))+(SUM(IF((GJ[Ofc Code]=(TRIM(I$7)))*(GJ[Account Code]=(TRIM($D102))),GJ[Debit]))))-((SUM(IF((CkDJ[Ofc Code]=(TRIM(I$7)))*(CkDJ[Account Code]=(TRIM($D102))),CkDJ[Credit])))+(SUM(IF((CsDJ[Ofc Code]=(TRIM(I$7)))*(CsDJ[Account Code]=(TRIM($D102))),CsDJ[Credit])))+(SUM(IF((CRDJ[Ofc Code]=(TRIM(I$7)))*(CRDJ[Account Code]=(TRIM($D102))),CRDJ[Credit])))+(SUM(IF((GJ[Ofc Code]=(TRIM(I$7)))*(GJ[Account Code]=(TRIM($D102))),GJ[Credit]))))</f>
        <v>0</v>
      </c>
      <c r="J102" s="211">
        <f>SUM(F102:I102)</f>
        <v>0</v>
      </c>
      <c r="K102" s="211">
        <f t="array" ref="K102">((SUM(IF((CkDJ[Ofc Code]=(TRIM(K$7)))*(CkDJ[Account Code]=(TRIM($D102))),CkDJ[Debit])))+(SUM(IF((CsDJ[Ofc Code]=(TRIM(K$7)))*(CsDJ[Account Code]=(TRIM($D102))),CsDJ[Debit])))+(SUM(IF((CRDJ[Ofc Code]=(TRIM(K$7)))*(CRDJ[Account Code]=(TRIM($D102))),CRDJ[Debit])))+(SUM(IF((GJ[Ofc Code]=(TRIM(K$7)))*(GJ[Account Code]=(TRIM($D102))),GJ[Debit]))))-((SUM(IF((CkDJ[Ofc Code]=(TRIM(K$7)))*(CkDJ[Account Code]=(TRIM($D102))),CkDJ[Credit])))+(SUM(IF((CsDJ[Ofc Code]=(TRIM(K$7)))*(CsDJ[Account Code]=(TRIM($D102))),CsDJ[Credit])))+(SUM(IF((CRDJ[Ofc Code]=(TRIM(K$7)))*(CRDJ[Account Code]=(TRIM($D102))),CRDJ[Credit])))+(SUM(IF((GJ[Ofc Code]=(TRIM(K$7)))*(GJ[Account Code]=(TRIM($D102))),GJ[Credit]))))</f>
        <v>0</v>
      </c>
      <c r="L102" s="211">
        <f t="array" ref="L102">((SUM(IF((CkDJ[Ofc Code]=(TRIM(L$7)))*(CkDJ[Account Code]=(TRIM($D102))),CkDJ[Debit])))+(SUM(IF((CsDJ[Ofc Code]=(TRIM(L$7)))*(CsDJ[Account Code]=(TRIM($D102))),CsDJ[Debit])))+(SUM(IF((CRDJ[Ofc Code]=(TRIM(L$7)))*(CRDJ[Account Code]=(TRIM($D102))),CRDJ[Debit])))+(SUM(IF((GJ[Ofc Code]=(TRIM(L$7)))*(GJ[Account Code]=(TRIM($D102))),GJ[Debit]))))-((SUM(IF((CkDJ[Ofc Code]=(TRIM(L$7)))*(CkDJ[Account Code]=(TRIM($D102))),CkDJ[Credit])))+(SUM(IF((CsDJ[Ofc Code]=(TRIM(L$7)))*(CsDJ[Account Code]=(TRIM($D102))),CsDJ[Credit])))+(SUM(IF((CRDJ[Ofc Code]=(TRIM(L$7)))*(CRDJ[Account Code]=(TRIM($D102))),CRDJ[Credit])))+(SUM(IF((GJ[Ofc Code]=(TRIM(L$7)))*(GJ[Account Code]=(TRIM($D102))),GJ[Credit]))))</f>
        <v>0</v>
      </c>
      <c r="M102" s="211">
        <f t="array" ref="M102">((SUM(IF((CkDJ[Ofc Code]=(TRIM(M$7)))*(CkDJ[Account Code]=(TRIM($D102))),CkDJ[Debit])))+(SUM(IF((CsDJ[Ofc Code]=(TRIM(M$7)))*(CsDJ[Account Code]=(TRIM($D102))),CsDJ[Debit])))+(SUM(IF((CRDJ[Ofc Code]=(TRIM(M$7)))*(CRDJ[Account Code]=(TRIM($D102))),CRDJ[Debit])))+(SUM(IF((GJ[Ofc Code]=(TRIM(M$7)))*(GJ[Account Code]=(TRIM($D102))),GJ[Debit]))))-((SUM(IF((CkDJ[Ofc Code]=(TRIM(M$7)))*(CkDJ[Account Code]=(TRIM($D102))),CkDJ[Credit])))+(SUM(IF((CsDJ[Ofc Code]=(TRIM(M$7)))*(CsDJ[Account Code]=(TRIM($D102))),CsDJ[Credit])))+(SUM(IF((CRDJ[Ofc Code]=(TRIM(M$7)))*(CRDJ[Account Code]=(TRIM($D102))),CRDJ[Credit])))+(SUM(IF((GJ[Ofc Code]=(TRIM(M$7)))*(GJ[Account Code]=(TRIM($D102))),GJ[Credit]))))</f>
        <v>0</v>
      </c>
      <c r="N102" s="211">
        <f t="array" ref="N102">((SUM(IF((CkDJ[Ofc Code]=(TRIM(N$7)))*(CkDJ[Account Code]=(TRIM($D102))),CkDJ[Debit])))+(SUM(IF((CsDJ[Ofc Code]=(TRIM(N$7)))*(CsDJ[Account Code]=(TRIM($D102))),CsDJ[Debit])))+(SUM(IF((CRDJ[Ofc Code]=(TRIM(N$7)))*(CRDJ[Account Code]=(TRIM($D102))),CRDJ[Debit])))+(SUM(IF((GJ[Ofc Code]=(TRIM(N$7)))*(GJ[Account Code]=(TRIM($D102))),GJ[Debit]))))-((SUM(IF((CkDJ[Ofc Code]=(TRIM(N$7)))*(CkDJ[Account Code]=(TRIM($D102))),CkDJ[Credit])))+(SUM(IF((CsDJ[Ofc Code]=(TRIM(N$7)))*(CsDJ[Account Code]=(TRIM($D102))),CsDJ[Credit])))+(SUM(IF((CRDJ[Ofc Code]=(TRIM(N$7)))*(CRDJ[Account Code]=(TRIM($D102))),CRDJ[Credit])))+(SUM(IF((GJ[Ofc Code]=(TRIM(N$7)))*(GJ[Account Code]=(TRIM($D102))),GJ[Credit]))))</f>
        <v>0</v>
      </c>
      <c r="O102" s="211">
        <f>SUM(K102:N102)</f>
        <v>0</v>
      </c>
      <c r="P102" s="211">
        <f t="array" ref="P102">((SUM(IF((CkDJ[Ofc Code]=(TRIM(P$7)))*(CkDJ[Account Code]=(TRIM($D102))),CkDJ[Debit])))+(SUM(IF((CsDJ[Ofc Code]=(TRIM(P$7)))*(CsDJ[Account Code]=(TRIM($D102))),CsDJ[Debit])))+(SUM(IF((CRDJ[Ofc Code]=(TRIM(P$7)))*(CRDJ[Account Code]=(TRIM($D102))),CRDJ[Debit])))+(SUM(IF((GJ[Ofc Code]=(TRIM(P$7)))*(GJ[Account Code]=(TRIM($D102))),GJ[Debit]))))-((SUM(IF((CkDJ[Ofc Code]=(TRIM(P$7)))*(CkDJ[Account Code]=(TRIM($D102))),CkDJ[Credit])))+(SUM(IF((CsDJ[Ofc Code]=(TRIM(P$7)))*(CsDJ[Account Code]=(TRIM($D102))),CsDJ[Credit])))+(SUM(IF((CRDJ[Ofc Code]=(TRIM(P$7)))*(CRDJ[Account Code]=(TRIM($D102))),CRDJ[Credit])))+(SUM(IF((GJ[Ofc Code]=(TRIM(P$7)))*(GJ[Account Code]=(TRIM($D102))),GJ[Credit]))))</f>
        <v>0</v>
      </c>
      <c r="Q102" s="211">
        <f t="array" ref="Q102">((SUM(IF((CkDJ[Ofc Code]=(TRIM(Q$7)))*(CkDJ[Account Code]=(TRIM($D102))),CkDJ[Debit])))+(SUM(IF((CsDJ[Ofc Code]=(TRIM(Q$7)))*(CsDJ[Account Code]=(TRIM($D102))),CsDJ[Debit])))+(SUM(IF((CRDJ[Ofc Code]=(TRIM(Q$7)))*(CRDJ[Account Code]=(TRIM($D102))),CRDJ[Debit])))+(SUM(IF((GJ[Ofc Code]=(TRIM(Q$7)))*(GJ[Account Code]=(TRIM($D102))),GJ[Debit]))))-((SUM(IF((CkDJ[Ofc Code]=(TRIM(Q$7)))*(CkDJ[Account Code]=(TRIM($D102))),CkDJ[Credit])))+(SUM(IF((CsDJ[Ofc Code]=(TRIM(Q$7)))*(CsDJ[Account Code]=(TRIM($D102))),CsDJ[Credit])))+(SUM(IF((CRDJ[Ofc Code]=(TRIM(Q$7)))*(CRDJ[Account Code]=(TRIM($D102))),CRDJ[Credit])))+(SUM(IF((GJ[Ofc Code]=(TRIM(Q$7)))*(GJ[Account Code]=(TRIM($D102))),GJ[Credit]))))</f>
        <v>0</v>
      </c>
      <c r="R102" s="211">
        <f t="array" ref="R102">((SUM(IF((CkDJ[Ofc Code]=(TRIM(R$7)))*(CkDJ[Account Code]=(TRIM($D102))),CkDJ[Debit])))+(SUM(IF((CsDJ[Ofc Code]=(TRIM(R$7)))*(CsDJ[Account Code]=(TRIM($D102))),CsDJ[Debit])))+(SUM(IF((CRDJ[Ofc Code]=(TRIM(R$7)))*(CRDJ[Account Code]=(TRIM($D102))),CRDJ[Debit])))+(SUM(IF((GJ[Ofc Code]=(TRIM(R$7)))*(GJ[Account Code]=(TRIM($D102))),GJ[Debit]))))-((SUM(IF((CkDJ[Ofc Code]=(TRIM(R$7)))*(CkDJ[Account Code]=(TRIM($D102))),CkDJ[Credit])))+(SUM(IF((CsDJ[Ofc Code]=(TRIM(R$7)))*(CsDJ[Account Code]=(TRIM($D102))),CsDJ[Credit])))+(SUM(IF((CRDJ[Ofc Code]=(TRIM(R$7)))*(CRDJ[Account Code]=(TRIM($D102))),CRDJ[Credit])))+(SUM(IF((GJ[Ofc Code]=(TRIM(R$7)))*(GJ[Account Code]=(TRIM($D102))),GJ[Credit]))))</f>
        <v>0</v>
      </c>
      <c r="S102" s="211">
        <f t="array" ref="S102">((SUM(IF((CkDJ[Ofc Code]=(TRIM(S$7)))*(CkDJ[Account Code]=(TRIM($D102))),CkDJ[Debit])))+(SUM(IF((CsDJ[Ofc Code]=(TRIM(S$7)))*(CsDJ[Account Code]=(TRIM($D102))),CsDJ[Debit])))+(SUM(IF((CRDJ[Ofc Code]=(TRIM(S$7)))*(CRDJ[Account Code]=(TRIM($D102))),CRDJ[Debit])))+(SUM(IF((GJ[Ofc Code]=(TRIM(S$7)))*(GJ[Account Code]=(TRIM($D102))),GJ[Debit]))))-((SUM(IF((CkDJ[Ofc Code]=(TRIM(S$7)))*(CkDJ[Account Code]=(TRIM($D102))),CkDJ[Credit])))+(SUM(IF((CsDJ[Ofc Code]=(TRIM(S$7)))*(CsDJ[Account Code]=(TRIM($D102))),CsDJ[Credit])))+(SUM(IF((CRDJ[Ofc Code]=(TRIM(S$7)))*(CRDJ[Account Code]=(TRIM($D102))),CRDJ[Credit])))+(SUM(IF((GJ[Ofc Code]=(TRIM(S$7)))*(GJ[Account Code]=(TRIM($D102))),GJ[Credit]))))</f>
        <v>0</v>
      </c>
      <c r="T102" s="211">
        <f t="array" ref="T102">((SUM(IF((CkDJ[Ofc Code]=(TRIM(T$7)))*(CkDJ[Account Code]=(TRIM($D102))),CkDJ[Debit])))+(SUM(IF((CsDJ[Ofc Code]=(TRIM(T$7)))*(CsDJ[Account Code]=(TRIM($D102))),CsDJ[Debit])))+(SUM(IF((CRDJ[Ofc Code]=(TRIM(T$7)))*(CRDJ[Account Code]=(TRIM($D102))),CRDJ[Debit])))+(SUM(IF((GJ[Ofc Code]=(TRIM(T$7)))*(GJ[Account Code]=(TRIM($D102))),GJ[Debit]))))-((SUM(IF((CkDJ[Ofc Code]=(TRIM(T$7)))*(CkDJ[Account Code]=(TRIM($D102))),CkDJ[Credit])))+(SUM(IF((CsDJ[Ofc Code]=(TRIM(T$7)))*(CsDJ[Account Code]=(TRIM($D102))),CsDJ[Credit])))+(SUM(IF((CRDJ[Ofc Code]=(TRIM(T$7)))*(CRDJ[Account Code]=(TRIM($D102))),CRDJ[Credit])))+(SUM(IF((GJ[Ofc Code]=(TRIM(T$7)))*(GJ[Account Code]=(TRIM($D102))),GJ[Credit]))))</f>
        <v>0</v>
      </c>
      <c r="U102" s="211">
        <f>SUM(P102:T102)</f>
        <v>0</v>
      </c>
      <c r="V102" s="211">
        <f>E102+J102+O102+U102</f>
        <v>0</v>
      </c>
    </row>
    <row r="103" spans="1:22" ht="15">
      <c r="A103" s="212">
        <f t="shared" si="19"/>
        <v>41</v>
      </c>
      <c r="B103" s="194"/>
      <c r="C103" s="194" t="str">
        <f t="shared" si="14"/>
        <v>Other Maintenance and Operating Expenses (Irrigator's Share/Remuneration/Subsidy)</v>
      </c>
      <c r="D103" s="207">
        <v>965</v>
      </c>
      <c r="E103" s="211">
        <f t="array" ref="E103">((SUM(IF((CkDJ[Ofc Code]=(TRIM(E$7)))*(CkDJ[Account Code]=(TRIM($D103))),CkDJ[Debit])))+(SUM(IF((CsDJ[Ofc Code]=(TRIM(E$7)))*(CsDJ[Account Code]=(TRIM($D103))),CsDJ[Debit])))+(SUM(IF((CRDJ[Ofc Code]=(TRIM(E$7)))*(CRDJ[Account Code]=(TRIM($D103))),CRDJ[Debit])))+(SUM(IF((GJ[Ofc Code]=(TRIM(E$7)))*(GJ[Account Code]=(TRIM($D103))),GJ[Debit]))))-((SUM(IF((CkDJ[Ofc Code]=(TRIM(E$7)))*(CkDJ[Account Code]=(TRIM($D103))),CkDJ[Credit])))+(SUM(IF((CsDJ[Ofc Code]=(TRIM(E$7)))*(CsDJ[Account Code]=(TRIM($D103))),CsDJ[Credit])))+(SUM(IF((CRDJ[Ofc Code]=(TRIM(E$7)))*(CRDJ[Account Code]=(TRIM($D103))),CRDJ[Credit])))+(SUM(IF((GJ[Ofc Code]=(TRIM(E$7)))*(GJ[Account Code]=(TRIM($D103))),GJ[Credit]))))</f>
        <v>0</v>
      </c>
      <c r="F103" s="211">
        <f t="array" ref="F103">((SUM(IF((CkDJ[Ofc Code]=(TRIM(F$7)))*(CkDJ[Account Code]=(TRIM($D103))),CkDJ[Debit])))+(SUM(IF((CsDJ[Ofc Code]=(TRIM(F$7)))*(CsDJ[Account Code]=(TRIM($D103))),CsDJ[Debit])))+(SUM(IF((CRDJ[Ofc Code]=(TRIM(F$7)))*(CRDJ[Account Code]=(TRIM($D103))),CRDJ[Debit])))+(SUM(IF((GJ[Ofc Code]=(TRIM(F$7)))*(GJ[Account Code]=(TRIM($D103))),GJ[Debit]))))-((SUM(IF((CkDJ[Ofc Code]=(TRIM(F$7)))*(CkDJ[Account Code]=(TRIM($D103))),CkDJ[Credit])))+(SUM(IF((CsDJ[Ofc Code]=(TRIM(F$7)))*(CsDJ[Account Code]=(TRIM($D103))),CsDJ[Credit])))+(SUM(IF((CRDJ[Ofc Code]=(TRIM(F$7)))*(CRDJ[Account Code]=(TRIM($D103))),CRDJ[Credit])))+(SUM(IF((GJ[Ofc Code]=(TRIM(F$7)))*(GJ[Account Code]=(TRIM($D103))),GJ[Credit]))))</f>
        <v>0</v>
      </c>
      <c r="G103" s="211">
        <f t="array" ref="G103">((SUM(IF((CkDJ[Ofc Code]=(TRIM(G$7)))*(CkDJ[Account Code]=(TRIM($D103))),CkDJ[Debit])))+(SUM(IF((CsDJ[Ofc Code]=(TRIM(G$7)))*(CsDJ[Account Code]=(TRIM($D103))),CsDJ[Debit])))+(SUM(IF((CRDJ[Ofc Code]=(TRIM(G$7)))*(CRDJ[Account Code]=(TRIM($D103))),CRDJ[Debit])))+(SUM(IF((GJ[Ofc Code]=(TRIM(G$7)))*(GJ[Account Code]=(TRIM($D103))),GJ[Debit]))))-((SUM(IF((CkDJ[Ofc Code]=(TRIM(G$7)))*(CkDJ[Account Code]=(TRIM($D103))),CkDJ[Credit])))+(SUM(IF((CsDJ[Ofc Code]=(TRIM(G$7)))*(CsDJ[Account Code]=(TRIM($D103))),CsDJ[Credit])))+(SUM(IF((CRDJ[Ofc Code]=(TRIM(G$7)))*(CRDJ[Account Code]=(TRIM($D103))),CRDJ[Credit])))+(SUM(IF((GJ[Ofc Code]=(TRIM(G$7)))*(GJ[Account Code]=(TRIM($D103))),GJ[Credit]))))</f>
        <v>0</v>
      </c>
      <c r="H103" s="211">
        <f t="array" ref="H103">((SUM(IF((CkDJ[Ofc Code]=(TRIM(H$7)))*(CkDJ[Account Code]=(TRIM($D103))),CkDJ[Debit])))+(SUM(IF((CsDJ[Ofc Code]=(TRIM(H$7)))*(CsDJ[Account Code]=(TRIM($D103))),CsDJ[Debit])))+(SUM(IF((CRDJ[Ofc Code]=(TRIM(H$7)))*(CRDJ[Account Code]=(TRIM($D103))),CRDJ[Debit])))+(SUM(IF((GJ[Ofc Code]=(TRIM(H$7)))*(GJ[Account Code]=(TRIM($D103))),GJ[Debit]))))-((SUM(IF((CkDJ[Ofc Code]=(TRIM(H$7)))*(CkDJ[Account Code]=(TRIM($D103))),CkDJ[Credit])))+(SUM(IF((CsDJ[Ofc Code]=(TRIM(H$7)))*(CsDJ[Account Code]=(TRIM($D103))),CsDJ[Credit])))+(SUM(IF((CRDJ[Ofc Code]=(TRIM(H$7)))*(CRDJ[Account Code]=(TRIM($D103))),CRDJ[Credit])))+(SUM(IF((GJ[Ofc Code]=(TRIM(H$7)))*(GJ[Account Code]=(TRIM($D103))),GJ[Credit]))))</f>
        <v>0</v>
      </c>
      <c r="I103" s="211">
        <f t="array" ref="I103">((SUM(IF((CkDJ[Ofc Code]=(TRIM(I$7)))*(CkDJ[Account Code]=(TRIM($D103))),CkDJ[Debit])))+(SUM(IF((CsDJ[Ofc Code]=(TRIM(I$7)))*(CsDJ[Account Code]=(TRIM($D103))),CsDJ[Debit])))+(SUM(IF((CRDJ[Ofc Code]=(TRIM(I$7)))*(CRDJ[Account Code]=(TRIM($D103))),CRDJ[Debit])))+(SUM(IF((GJ[Ofc Code]=(TRIM(I$7)))*(GJ[Account Code]=(TRIM($D103))),GJ[Debit]))))-((SUM(IF((CkDJ[Ofc Code]=(TRIM(I$7)))*(CkDJ[Account Code]=(TRIM($D103))),CkDJ[Credit])))+(SUM(IF((CsDJ[Ofc Code]=(TRIM(I$7)))*(CsDJ[Account Code]=(TRIM($D103))),CsDJ[Credit])))+(SUM(IF((CRDJ[Ofc Code]=(TRIM(I$7)))*(CRDJ[Account Code]=(TRIM($D103))),CRDJ[Credit])))+(SUM(IF((GJ[Ofc Code]=(TRIM(I$7)))*(GJ[Account Code]=(TRIM($D103))),GJ[Credit]))))</f>
        <v>0</v>
      </c>
      <c r="J103" s="211">
        <f t="shared" si="15"/>
        <v>0</v>
      </c>
      <c r="K103" s="211">
        <f t="array" ref="K103">((SUM(IF((CkDJ[Ofc Code]=(TRIM(K$7)))*(CkDJ[Account Code]=(TRIM($D103))),CkDJ[Debit])))+(SUM(IF((CsDJ[Ofc Code]=(TRIM(K$7)))*(CsDJ[Account Code]=(TRIM($D103))),CsDJ[Debit])))+(SUM(IF((CRDJ[Ofc Code]=(TRIM(K$7)))*(CRDJ[Account Code]=(TRIM($D103))),CRDJ[Debit])))+(SUM(IF((GJ[Ofc Code]=(TRIM(K$7)))*(GJ[Account Code]=(TRIM($D103))),GJ[Debit]))))-((SUM(IF((CkDJ[Ofc Code]=(TRIM(K$7)))*(CkDJ[Account Code]=(TRIM($D103))),CkDJ[Credit])))+(SUM(IF((CsDJ[Ofc Code]=(TRIM(K$7)))*(CsDJ[Account Code]=(TRIM($D103))),CsDJ[Credit])))+(SUM(IF((CRDJ[Ofc Code]=(TRIM(K$7)))*(CRDJ[Account Code]=(TRIM($D103))),CRDJ[Credit])))+(SUM(IF((GJ[Ofc Code]=(TRIM(K$7)))*(GJ[Account Code]=(TRIM($D103))),GJ[Credit]))))</f>
        <v>0</v>
      </c>
      <c r="L103" s="211">
        <f t="array" ref="L103">((SUM(IF((CkDJ[Ofc Code]=(TRIM(L$7)))*(CkDJ[Account Code]=(TRIM($D103))),CkDJ[Debit])))+(SUM(IF((CsDJ[Ofc Code]=(TRIM(L$7)))*(CsDJ[Account Code]=(TRIM($D103))),CsDJ[Debit])))+(SUM(IF((CRDJ[Ofc Code]=(TRIM(L$7)))*(CRDJ[Account Code]=(TRIM($D103))),CRDJ[Debit])))+(SUM(IF((GJ[Ofc Code]=(TRIM(L$7)))*(GJ[Account Code]=(TRIM($D103))),GJ[Debit]))))-((SUM(IF((CkDJ[Ofc Code]=(TRIM(L$7)))*(CkDJ[Account Code]=(TRIM($D103))),CkDJ[Credit])))+(SUM(IF((CsDJ[Ofc Code]=(TRIM(L$7)))*(CsDJ[Account Code]=(TRIM($D103))),CsDJ[Credit])))+(SUM(IF((CRDJ[Ofc Code]=(TRIM(L$7)))*(CRDJ[Account Code]=(TRIM($D103))),CRDJ[Credit])))+(SUM(IF((GJ[Ofc Code]=(TRIM(L$7)))*(GJ[Account Code]=(TRIM($D103))),GJ[Credit]))))</f>
        <v>0</v>
      </c>
      <c r="M103" s="211">
        <f t="array" ref="M103">((SUM(IF((CkDJ[Ofc Code]=(TRIM(M$7)))*(CkDJ[Account Code]=(TRIM($D103))),CkDJ[Debit])))+(SUM(IF((CsDJ[Ofc Code]=(TRIM(M$7)))*(CsDJ[Account Code]=(TRIM($D103))),CsDJ[Debit])))+(SUM(IF((CRDJ[Ofc Code]=(TRIM(M$7)))*(CRDJ[Account Code]=(TRIM($D103))),CRDJ[Debit])))+(SUM(IF((GJ[Ofc Code]=(TRIM(M$7)))*(GJ[Account Code]=(TRIM($D103))),GJ[Debit]))))-((SUM(IF((CkDJ[Ofc Code]=(TRIM(M$7)))*(CkDJ[Account Code]=(TRIM($D103))),CkDJ[Credit])))+(SUM(IF((CsDJ[Ofc Code]=(TRIM(M$7)))*(CsDJ[Account Code]=(TRIM($D103))),CsDJ[Credit])))+(SUM(IF((CRDJ[Ofc Code]=(TRIM(M$7)))*(CRDJ[Account Code]=(TRIM($D103))),CRDJ[Credit])))+(SUM(IF((GJ[Ofc Code]=(TRIM(M$7)))*(GJ[Account Code]=(TRIM($D103))),GJ[Credit]))))</f>
        <v>0</v>
      </c>
      <c r="N103" s="211">
        <f t="array" ref="N103">((SUM(IF((CkDJ[Ofc Code]=(TRIM(N$7)))*(CkDJ[Account Code]=(TRIM($D103))),CkDJ[Debit])))+(SUM(IF((CsDJ[Ofc Code]=(TRIM(N$7)))*(CsDJ[Account Code]=(TRIM($D103))),CsDJ[Debit])))+(SUM(IF((CRDJ[Ofc Code]=(TRIM(N$7)))*(CRDJ[Account Code]=(TRIM($D103))),CRDJ[Debit])))+(SUM(IF((GJ[Ofc Code]=(TRIM(N$7)))*(GJ[Account Code]=(TRIM($D103))),GJ[Debit]))))-((SUM(IF((CkDJ[Ofc Code]=(TRIM(N$7)))*(CkDJ[Account Code]=(TRIM($D103))),CkDJ[Credit])))+(SUM(IF((CsDJ[Ofc Code]=(TRIM(N$7)))*(CsDJ[Account Code]=(TRIM($D103))),CsDJ[Credit])))+(SUM(IF((CRDJ[Ofc Code]=(TRIM(N$7)))*(CRDJ[Account Code]=(TRIM($D103))),CRDJ[Credit])))+(SUM(IF((GJ[Ofc Code]=(TRIM(N$7)))*(GJ[Account Code]=(TRIM($D103))),GJ[Credit]))))</f>
        <v>0</v>
      </c>
      <c r="O103" s="211">
        <f t="shared" si="16"/>
        <v>0</v>
      </c>
      <c r="P103" s="211">
        <f t="array" ref="P103">((SUM(IF((CkDJ[Ofc Code]=(TRIM(P$7)))*(CkDJ[Account Code]=(TRIM($D103))),CkDJ[Debit])))+(SUM(IF((CsDJ[Ofc Code]=(TRIM(P$7)))*(CsDJ[Account Code]=(TRIM($D103))),CsDJ[Debit])))+(SUM(IF((CRDJ[Ofc Code]=(TRIM(P$7)))*(CRDJ[Account Code]=(TRIM($D103))),CRDJ[Debit])))+(SUM(IF((GJ[Ofc Code]=(TRIM(P$7)))*(GJ[Account Code]=(TRIM($D103))),GJ[Debit]))))-((SUM(IF((CkDJ[Ofc Code]=(TRIM(P$7)))*(CkDJ[Account Code]=(TRIM($D103))),CkDJ[Credit])))+(SUM(IF((CsDJ[Ofc Code]=(TRIM(P$7)))*(CsDJ[Account Code]=(TRIM($D103))),CsDJ[Credit])))+(SUM(IF((CRDJ[Ofc Code]=(TRIM(P$7)))*(CRDJ[Account Code]=(TRIM($D103))),CRDJ[Credit])))+(SUM(IF((GJ[Ofc Code]=(TRIM(P$7)))*(GJ[Account Code]=(TRIM($D103))),GJ[Credit]))))</f>
        <v>0</v>
      </c>
      <c r="Q103" s="211">
        <f t="array" ref="Q103">((SUM(IF((CkDJ[Ofc Code]=(TRIM(Q$7)))*(CkDJ[Account Code]=(TRIM($D103))),CkDJ[Debit])))+(SUM(IF((CsDJ[Ofc Code]=(TRIM(Q$7)))*(CsDJ[Account Code]=(TRIM($D103))),CsDJ[Debit])))+(SUM(IF((CRDJ[Ofc Code]=(TRIM(Q$7)))*(CRDJ[Account Code]=(TRIM($D103))),CRDJ[Debit])))+(SUM(IF((GJ[Ofc Code]=(TRIM(Q$7)))*(GJ[Account Code]=(TRIM($D103))),GJ[Debit]))))-((SUM(IF((CkDJ[Ofc Code]=(TRIM(Q$7)))*(CkDJ[Account Code]=(TRIM($D103))),CkDJ[Credit])))+(SUM(IF((CsDJ[Ofc Code]=(TRIM(Q$7)))*(CsDJ[Account Code]=(TRIM($D103))),CsDJ[Credit])))+(SUM(IF((CRDJ[Ofc Code]=(TRIM(Q$7)))*(CRDJ[Account Code]=(TRIM($D103))),CRDJ[Credit])))+(SUM(IF((GJ[Ofc Code]=(TRIM(Q$7)))*(GJ[Account Code]=(TRIM($D103))),GJ[Credit]))))</f>
        <v>0</v>
      </c>
      <c r="R103" s="211">
        <f t="array" ref="R103">((SUM(IF((CkDJ[Ofc Code]=(TRIM(R$7)))*(CkDJ[Account Code]=(TRIM($D103))),CkDJ[Debit])))+(SUM(IF((CsDJ[Ofc Code]=(TRIM(R$7)))*(CsDJ[Account Code]=(TRIM($D103))),CsDJ[Debit])))+(SUM(IF((CRDJ[Ofc Code]=(TRIM(R$7)))*(CRDJ[Account Code]=(TRIM($D103))),CRDJ[Debit])))+(SUM(IF((GJ[Ofc Code]=(TRIM(R$7)))*(GJ[Account Code]=(TRIM($D103))),GJ[Debit]))))-((SUM(IF((CkDJ[Ofc Code]=(TRIM(R$7)))*(CkDJ[Account Code]=(TRIM($D103))),CkDJ[Credit])))+(SUM(IF((CsDJ[Ofc Code]=(TRIM(R$7)))*(CsDJ[Account Code]=(TRIM($D103))),CsDJ[Credit])))+(SUM(IF((CRDJ[Ofc Code]=(TRIM(R$7)))*(CRDJ[Account Code]=(TRIM($D103))),CRDJ[Credit])))+(SUM(IF((GJ[Ofc Code]=(TRIM(R$7)))*(GJ[Account Code]=(TRIM($D103))),GJ[Credit]))))</f>
        <v>0</v>
      </c>
      <c r="S103" s="211">
        <f t="array" ref="S103">((SUM(IF((CkDJ[Ofc Code]=(TRIM(S$7)))*(CkDJ[Account Code]=(TRIM($D103))),CkDJ[Debit])))+(SUM(IF((CsDJ[Ofc Code]=(TRIM(S$7)))*(CsDJ[Account Code]=(TRIM($D103))),CsDJ[Debit])))+(SUM(IF((CRDJ[Ofc Code]=(TRIM(S$7)))*(CRDJ[Account Code]=(TRIM($D103))),CRDJ[Debit])))+(SUM(IF((GJ[Ofc Code]=(TRIM(S$7)))*(GJ[Account Code]=(TRIM($D103))),GJ[Debit]))))-((SUM(IF((CkDJ[Ofc Code]=(TRIM(S$7)))*(CkDJ[Account Code]=(TRIM($D103))),CkDJ[Credit])))+(SUM(IF((CsDJ[Ofc Code]=(TRIM(S$7)))*(CsDJ[Account Code]=(TRIM($D103))),CsDJ[Credit])))+(SUM(IF((CRDJ[Ofc Code]=(TRIM(S$7)))*(CRDJ[Account Code]=(TRIM($D103))),CRDJ[Credit])))+(SUM(IF((GJ[Ofc Code]=(TRIM(S$7)))*(GJ[Account Code]=(TRIM($D103))),GJ[Credit]))))</f>
        <v>0</v>
      </c>
      <c r="T103" s="211">
        <f t="array" ref="T103">((SUM(IF((CkDJ[Ofc Code]=(TRIM(T$7)))*(CkDJ[Account Code]=(TRIM($D103))),CkDJ[Debit])))+(SUM(IF((CsDJ[Ofc Code]=(TRIM(T$7)))*(CsDJ[Account Code]=(TRIM($D103))),CsDJ[Debit])))+(SUM(IF((CRDJ[Ofc Code]=(TRIM(T$7)))*(CRDJ[Account Code]=(TRIM($D103))),CRDJ[Debit])))+(SUM(IF((GJ[Ofc Code]=(TRIM(T$7)))*(GJ[Account Code]=(TRIM($D103))),GJ[Debit]))))-((SUM(IF((CkDJ[Ofc Code]=(TRIM(T$7)))*(CkDJ[Account Code]=(TRIM($D103))),CkDJ[Credit])))+(SUM(IF((CsDJ[Ofc Code]=(TRIM(T$7)))*(CsDJ[Account Code]=(TRIM($D103))),CsDJ[Credit])))+(SUM(IF((CRDJ[Ofc Code]=(TRIM(T$7)))*(CRDJ[Account Code]=(TRIM($D103))),CRDJ[Credit])))+(SUM(IF((GJ[Ofc Code]=(TRIM(T$7)))*(GJ[Account Code]=(TRIM($D103))),GJ[Credit]))))</f>
        <v>0</v>
      </c>
      <c r="U103" s="211">
        <f t="shared" si="17"/>
        <v>0</v>
      </c>
      <c r="V103" s="211">
        <f t="shared" si="18"/>
        <v>0</v>
      </c>
    </row>
    <row r="104" spans="1:22" ht="15">
      <c r="A104" s="212">
        <f t="shared" si="19"/>
        <v>42</v>
      </c>
      <c r="B104" s="194"/>
      <c r="C104" s="194" t="e">
        <f t="shared" si="14"/>
        <v>#N/A</v>
      </c>
      <c r="D104" s="207">
        <v>966</v>
      </c>
      <c r="E104" s="211">
        <f t="array" ref="E104">((SUM(IF((CkDJ[Ofc Code]=(TRIM(E$7)))*(CkDJ[Account Code]=(TRIM($D104))),CkDJ[Debit])))+(SUM(IF((CsDJ[Ofc Code]=(TRIM(E$7)))*(CsDJ[Account Code]=(TRIM($D104))),CsDJ[Debit])))+(SUM(IF((CRDJ[Ofc Code]=(TRIM(E$7)))*(CRDJ[Account Code]=(TRIM($D104))),CRDJ[Debit])))+(SUM(IF((GJ[Ofc Code]=(TRIM(E$7)))*(GJ[Account Code]=(TRIM($D104))),GJ[Debit]))))-((SUM(IF((CkDJ[Ofc Code]=(TRIM(E$7)))*(CkDJ[Account Code]=(TRIM($D104))),CkDJ[Credit])))+(SUM(IF((CsDJ[Ofc Code]=(TRIM(E$7)))*(CsDJ[Account Code]=(TRIM($D104))),CsDJ[Credit])))+(SUM(IF((CRDJ[Ofc Code]=(TRIM(E$7)))*(CRDJ[Account Code]=(TRIM($D104))),CRDJ[Credit])))+(SUM(IF((GJ[Ofc Code]=(TRIM(E$7)))*(GJ[Account Code]=(TRIM($D104))),GJ[Credit]))))</f>
        <v>0</v>
      </c>
      <c r="F104" s="211">
        <f t="array" ref="F104">((SUM(IF((CkDJ[Ofc Code]=(TRIM(F$7)))*(CkDJ[Account Code]=(TRIM($D104))),CkDJ[Debit])))+(SUM(IF((CsDJ[Ofc Code]=(TRIM(F$7)))*(CsDJ[Account Code]=(TRIM($D104))),CsDJ[Debit])))+(SUM(IF((CRDJ[Ofc Code]=(TRIM(F$7)))*(CRDJ[Account Code]=(TRIM($D104))),CRDJ[Debit])))+(SUM(IF((GJ[Ofc Code]=(TRIM(F$7)))*(GJ[Account Code]=(TRIM($D104))),GJ[Debit]))))-((SUM(IF((CkDJ[Ofc Code]=(TRIM(F$7)))*(CkDJ[Account Code]=(TRIM($D104))),CkDJ[Credit])))+(SUM(IF((CsDJ[Ofc Code]=(TRIM(F$7)))*(CsDJ[Account Code]=(TRIM($D104))),CsDJ[Credit])))+(SUM(IF((CRDJ[Ofc Code]=(TRIM(F$7)))*(CRDJ[Account Code]=(TRIM($D104))),CRDJ[Credit])))+(SUM(IF((GJ[Ofc Code]=(TRIM(F$7)))*(GJ[Account Code]=(TRIM($D104))),GJ[Credit]))))</f>
        <v>0</v>
      </c>
      <c r="G104" s="211">
        <f t="array" ref="G104">((SUM(IF((CkDJ[Ofc Code]=(TRIM(G$7)))*(CkDJ[Account Code]=(TRIM($D104))),CkDJ[Debit])))+(SUM(IF((CsDJ[Ofc Code]=(TRIM(G$7)))*(CsDJ[Account Code]=(TRIM($D104))),CsDJ[Debit])))+(SUM(IF((CRDJ[Ofc Code]=(TRIM(G$7)))*(CRDJ[Account Code]=(TRIM($D104))),CRDJ[Debit])))+(SUM(IF((GJ[Ofc Code]=(TRIM(G$7)))*(GJ[Account Code]=(TRIM($D104))),GJ[Debit]))))-((SUM(IF((CkDJ[Ofc Code]=(TRIM(G$7)))*(CkDJ[Account Code]=(TRIM($D104))),CkDJ[Credit])))+(SUM(IF((CsDJ[Ofc Code]=(TRIM(G$7)))*(CsDJ[Account Code]=(TRIM($D104))),CsDJ[Credit])))+(SUM(IF((CRDJ[Ofc Code]=(TRIM(G$7)))*(CRDJ[Account Code]=(TRIM($D104))),CRDJ[Credit])))+(SUM(IF((GJ[Ofc Code]=(TRIM(G$7)))*(GJ[Account Code]=(TRIM($D104))),GJ[Credit]))))</f>
        <v>0</v>
      </c>
      <c r="H104" s="211">
        <f t="array" ref="H104">((SUM(IF((CkDJ[Ofc Code]=(TRIM(H$7)))*(CkDJ[Account Code]=(TRIM($D104))),CkDJ[Debit])))+(SUM(IF((CsDJ[Ofc Code]=(TRIM(H$7)))*(CsDJ[Account Code]=(TRIM($D104))),CsDJ[Debit])))+(SUM(IF((CRDJ[Ofc Code]=(TRIM(H$7)))*(CRDJ[Account Code]=(TRIM($D104))),CRDJ[Debit])))+(SUM(IF((GJ[Ofc Code]=(TRIM(H$7)))*(GJ[Account Code]=(TRIM($D104))),GJ[Debit]))))-((SUM(IF((CkDJ[Ofc Code]=(TRIM(H$7)))*(CkDJ[Account Code]=(TRIM($D104))),CkDJ[Credit])))+(SUM(IF((CsDJ[Ofc Code]=(TRIM(H$7)))*(CsDJ[Account Code]=(TRIM($D104))),CsDJ[Credit])))+(SUM(IF((CRDJ[Ofc Code]=(TRIM(H$7)))*(CRDJ[Account Code]=(TRIM($D104))),CRDJ[Credit])))+(SUM(IF((GJ[Ofc Code]=(TRIM(H$7)))*(GJ[Account Code]=(TRIM($D104))),GJ[Credit]))))</f>
        <v>0</v>
      </c>
      <c r="I104" s="211">
        <f t="array" ref="I104">((SUM(IF((CkDJ[Ofc Code]=(TRIM(I$7)))*(CkDJ[Account Code]=(TRIM($D104))),CkDJ[Debit])))+(SUM(IF((CsDJ[Ofc Code]=(TRIM(I$7)))*(CsDJ[Account Code]=(TRIM($D104))),CsDJ[Debit])))+(SUM(IF((CRDJ[Ofc Code]=(TRIM(I$7)))*(CRDJ[Account Code]=(TRIM($D104))),CRDJ[Debit])))+(SUM(IF((GJ[Ofc Code]=(TRIM(I$7)))*(GJ[Account Code]=(TRIM($D104))),GJ[Debit]))))-((SUM(IF((CkDJ[Ofc Code]=(TRIM(I$7)))*(CkDJ[Account Code]=(TRIM($D104))),CkDJ[Credit])))+(SUM(IF((CsDJ[Ofc Code]=(TRIM(I$7)))*(CsDJ[Account Code]=(TRIM($D104))),CsDJ[Credit])))+(SUM(IF((CRDJ[Ofc Code]=(TRIM(I$7)))*(CRDJ[Account Code]=(TRIM($D104))),CRDJ[Credit])))+(SUM(IF((GJ[Ofc Code]=(TRIM(I$7)))*(GJ[Account Code]=(TRIM($D104))),GJ[Credit]))))</f>
        <v>0</v>
      </c>
      <c r="J104" s="211">
        <f t="shared" si="15"/>
        <v>0</v>
      </c>
      <c r="K104" s="211">
        <f t="array" ref="K104">((SUM(IF((CkDJ[Ofc Code]=(TRIM(K$7)))*(CkDJ[Account Code]=(TRIM($D104))),CkDJ[Debit])))+(SUM(IF((CsDJ[Ofc Code]=(TRIM(K$7)))*(CsDJ[Account Code]=(TRIM($D104))),CsDJ[Debit])))+(SUM(IF((CRDJ[Ofc Code]=(TRIM(K$7)))*(CRDJ[Account Code]=(TRIM($D104))),CRDJ[Debit])))+(SUM(IF((GJ[Ofc Code]=(TRIM(K$7)))*(GJ[Account Code]=(TRIM($D104))),GJ[Debit]))))-((SUM(IF((CkDJ[Ofc Code]=(TRIM(K$7)))*(CkDJ[Account Code]=(TRIM($D104))),CkDJ[Credit])))+(SUM(IF((CsDJ[Ofc Code]=(TRIM(K$7)))*(CsDJ[Account Code]=(TRIM($D104))),CsDJ[Credit])))+(SUM(IF((CRDJ[Ofc Code]=(TRIM(K$7)))*(CRDJ[Account Code]=(TRIM($D104))),CRDJ[Credit])))+(SUM(IF((GJ[Ofc Code]=(TRIM(K$7)))*(GJ[Account Code]=(TRIM($D104))),GJ[Credit]))))</f>
        <v>0</v>
      </c>
      <c r="L104" s="211">
        <f t="array" ref="L104">((SUM(IF((CkDJ[Ofc Code]=(TRIM(L$7)))*(CkDJ[Account Code]=(TRIM($D104))),CkDJ[Debit])))+(SUM(IF((CsDJ[Ofc Code]=(TRIM(L$7)))*(CsDJ[Account Code]=(TRIM($D104))),CsDJ[Debit])))+(SUM(IF((CRDJ[Ofc Code]=(TRIM(L$7)))*(CRDJ[Account Code]=(TRIM($D104))),CRDJ[Debit])))+(SUM(IF((GJ[Ofc Code]=(TRIM(L$7)))*(GJ[Account Code]=(TRIM($D104))),GJ[Debit]))))-((SUM(IF((CkDJ[Ofc Code]=(TRIM(L$7)))*(CkDJ[Account Code]=(TRIM($D104))),CkDJ[Credit])))+(SUM(IF((CsDJ[Ofc Code]=(TRIM(L$7)))*(CsDJ[Account Code]=(TRIM($D104))),CsDJ[Credit])))+(SUM(IF((CRDJ[Ofc Code]=(TRIM(L$7)))*(CRDJ[Account Code]=(TRIM($D104))),CRDJ[Credit])))+(SUM(IF((GJ[Ofc Code]=(TRIM(L$7)))*(GJ[Account Code]=(TRIM($D104))),GJ[Credit]))))</f>
        <v>0</v>
      </c>
      <c r="M104" s="211">
        <f t="array" ref="M104">((SUM(IF((CkDJ[Ofc Code]=(TRIM(M$7)))*(CkDJ[Account Code]=(TRIM($D104))),CkDJ[Debit])))+(SUM(IF((CsDJ[Ofc Code]=(TRIM(M$7)))*(CsDJ[Account Code]=(TRIM($D104))),CsDJ[Debit])))+(SUM(IF((CRDJ[Ofc Code]=(TRIM(M$7)))*(CRDJ[Account Code]=(TRIM($D104))),CRDJ[Debit])))+(SUM(IF((GJ[Ofc Code]=(TRIM(M$7)))*(GJ[Account Code]=(TRIM($D104))),GJ[Debit]))))-((SUM(IF((CkDJ[Ofc Code]=(TRIM(M$7)))*(CkDJ[Account Code]=(TRIM($D104))),CkDJ[Credit])))+(SUM(IF((CsDJ[Ofc Code]=(TRIM(M$7)))*(CsDJ[Account Code]=(TRIM($D104))),CsDJ[Credit])))+(SUM(IF((CRDJ[Ofc Code]=(TRIM(M$7)))*(CRDJ[Account Code]=(TRIM($D104))),CRDJ[Credit])))+(SUM(IF((GJ[Ofc Code]=(TRIM(M$7)))*(GJ[Account Code]=(TRIM($D104))),GJ[Credit]))))</f>
        <v>0</v>
      </c>
      <c r="N104" s="211">
        <f t="array" ref="N104">((SUM(IF((CkDJ[Ofc Code]=(TRIM(N$7)))*(CkDJ[Account Code]=(TRIM($D104))),CkDJ[Debit])))+(SUM(IF((CsDJ[Ofc Code]=(TRIM(N$7)))*(CsDJ[Account Code]=(TRIM($D104))),CsDJ[Debit])))+(SUM(IF((CRDJ[Ofc Code]=(TRIM(N$7)))*(CRDJ[Account Code]=(TRIM($D104))),CRDJ[Debit])))+(SUM(IF((GJ[Ofc Code]=(TRIM(N$7)))*(GJ[Account Code]=(TRIM($D104))),GJ[Debit]))))-((SUM(IF((CkDJ[Ofc Code]=(TRIM(N$7)))*(CkDJ[Account Code]=(TRIM($D104))),CkDJ[Credit])))+(SUM(IF((CsDJ[Ofc Code]=(TRIM(N$7)))*(CsDJ[Account Code]=(TRIM($D104))),CsDJ[Credit])))+(SUM(IF((CRDJ[Ofc Code]=(TRIM(N$7)))*(CRDJ[Account Code]=(TRIM($D104))),CRDJ[Credit])))+(SUM(IF((GJ[Ofc Code]=(TRIM(N$7)))*(GJ[Account Code]=(TRIM($D104))),GJ[Credit]))))</f>
        <v>0</v>
      </c>
      <c r="O104" s="211">
        <f t="shared" si="16"/>
        <v>0</v>
      </c>
      <c r="P104" s="211">
        <f t="array" ref="P104">((SUM(IF((CkDJ[Ofc Code]=(TRIM(P$7)))*(CkDJ[Account Code]=(TRIM($D104))),CkDJ[Debit])))+(SUM(IF((CsDJ[Ofc Code]=(TRIM(P$7)))*(CsDJ[Account Code]=(TRIM($D104))),CsDJ[Debit])))+(SUM(IF((CRDJ[Ofc Code]=(TRIM(P$7)))*(CRDJ[Account Code]=(TRIM($D104))),CRDJ[Debit])))+(SUM(IF((GJ[Ofc Code]=(TRIM(P$7)))*(GJ[Account Code]=(TRIM($D104))),GJ[Debit]))))-((SUM(IF((CkDJ[Ofc Code]=(TRIM(P$7)))*(CkDJ[Account Code]=(TRIM($D104))),CkDJ[Credit])))+(SUM(IF((CsDJ[Ofc Code]=(TRIM(P$7)))*(CsDJ[Account Code]=(TRIM($D104))),CsDJ[Credit])))+(SUM(IF((CRDJ[Ofc Code]=(TRIM(P$7)))*(CRDJ[Account Code]=(TRIM($D104))),CRDJ[Credit])))+(SUM(IF((GJ[Ofc Code]=(TRIM(P$7)))*(GJ[Account Code]=(TRIM($D104))),GJ[Credit]))))</f>
        <v>0</v>
      </c>
      <c r="Q104" s="211">
        <f t="array" ref="Q104">((SUM(IF((CkDJ[Ofc Code]=(TRIM(Q$7)))*(CkDJ[Account Code]=(TRIM($D104))),CkDJ[Debit])))+(SUM(IF((CsDJ[Ofc Code]=(TRIM(Q$7)))*(CsDJ[Account Code]=(TRIM($D104))),CsDJ[Debit])))+(SUM(IF((CRDJ[Ofc Code]=(TRIM(Q$7)))*(CRDJ[Account Code]=(TRIM($D104))),CRDJ[Debit])))+(SUM(IF((GJ[Ofc Code]=(TRIM(Q$7)))*(GJ[Account Code]=(TRIM($D104))),GJ[Debit]))))-((SUM(IF((CkDJ[Ofc Code]=(TRIM(Q$7)))*(CkDJ[Account Code]=(TRIM($D104))),CkDJ[Credit])))+(SUM(IF((CsDJ[Ofc Code]=(TRIM(Q$7)))*(CsDJ[Account Code]=(TRIM($D104))),CsDJ[Credit])))+(SUM(IF((CRDJ[Ofc Code]=(TRIM(Q$7)))*(CRDJ[Account Code]=(TRIM($D104))),CRDJ[Credit])))+(SUM(IF((GJ[Ofc Code]=(TRIM(Q$7)))*(GJ[Account Code]=(TRIM($D104))),GJ[Credit]))))</f>
        <v>0</v>
      </c>
      <c r="R104" s="211">
        <f t="array" ref="R104">((SUM(IF((CkDJ[Ofc Code]=(TRIM(R$7)))*(CkDJ[Account Code]=(TRIM($D104))),CkDJ[Debit])))+(SUM(IF((CsDJ[Ofc Code]=(TRIM(R$7)))*(CsDJ[Account Code]=(TRIM($D104))),CsDJ[Debit])))+(SUM(IF((CRDJ[Ofc Code]=(TRIM(R$7)))*(CRDJ[Account Code]=(TRIM($D104))),CRDJ[Debit])))+(SUM(IF((GJ[Ofc Code]=(TRIM(R$7)))*(GJ[Account Code]=(TRIM($D104))),GJ[Debit]))))-((SUM(IF((CkDJ[Ofc Code]=(TRIM(R$7)))*(CkDJ[Account Code]=(TRIM($D104))),CkDJ[Credit])))+(SUM(IF((CsDJ[Ofc Code]=(TRIM(R$7)))*(CsDJ[Account Code]=(TRIM($D104))),CsDJ[Credit])))+(SUM(IF((CRDJ[Ofc Code]=(TRIM(R$7)))*(CRDJ[Account Code]=(TRIM($D104))),CRDJ[Credit])))+(SUM(IF((GJ[Ofc Code]=(TRIM(R$7)))*(GJ[Account Code]=(TRIM($D104))),GJ[Credit]))))</f>
        <v>0</v>
      </c>
      <c r="S104" s="211">
        <f t="array" ref="S104">((SUM(IF((CkDJ[Ofc Code]=(TRIM(S$7)))*(CkDJ[Account Code]=(TRIM($D104))),CkDJ[Debit])))+(SUM(IF((CsDJ[Ofc Code]=(TRIM(S$7)))*(CsDJ[Account Code]=(TRIM($D104))),CsDJ[Debit])))+(SUM(IF((CRDJ[Ofc Code]=(TRIM(S$7)))*(CRDJ[Account Code]=(TRIM($D104))),CRDJ[Debit])))+(SUM(IF((GJ[Ofc Code]=(TRIM(S$7)))*(GJ[Account Code]=(TRIM($D104))),GJ[Debit]))))-((SUM(IF((CkDJ[Ofc Code]=(TRIM(S$7)))*(CkDJ[Account Code]=(TRIM($D104))),CkDJ[Credit])))+(SUM(IF((CsDJ[Ofc Code]=(TRIM(S$7)))*(CsDJ[Account Code]=(TRIM($D104))),CsDJ[Credit])))+(SUM(IF((CRDJ[Ofc Code]=(TRIM(S$7)))*(CRDJ[Account Code]=(TRIM($D104))),CRDJ[Credit])))+(SUM(IF((GJ[Ofc Code]=(TRIM(S$7)))*(GJ[Account Code]=(TRIM($D104))),GJ[Credit]))))</f>
        <v>0</v>
      </c>
      <c r="T104" s="211">
        <f t="array" ref="T104">((SUM(IF((CkDJ[Ofc Code]=(TRIM(T$7)))*(CkDJ[Account Code]=(TRIM($D104))),CkDJ[Debit])))+(SUM(IF((CsDJ[Ofc Code]=(TRIM(T$7)))*(CsDJ[Account Code]=(TRIM($D104))),CsDJ[Debit])))+(SUM(IF((CRDJ[Ofc Code]=(TRIM(T$7)))*(CRDJ[Account Code]=(TRIM($D104))),CRDJ[Debit])))+(SUM(IF((GJ[Ofc Code]=(TRIM(T$7)))*(GJ[Account Code]=(TRIM($D104))),GJ[Debit]))))-((SUM(IF((CkDJ[Ofc Code]=(TRIM(T$7)))*(CkDJ[Account Code]=(TRIM($D104))),CkDJ[Credit])))+(SUM(IF((CsDJ[Ofc Code]=(TRIM(T$7)))*(CsDJ[Account Code]=(TRIM($D104))),CsDJ[Credit])))+(SUM(IF((CRDJ[Ofc Code]=(TRIM(T$7)))*(CRDJ[Account Code]=(TRIM($D104))),CRDJ[Credit])))+(SUM(IF((GJ[Ofc Code]=(TRIM(T$7)))*(GJ[Account Code]=(TRIM($D104))),GJ[Credit]))))</f>
        <v>0</v>
      </c>
      <c r="U104" s="211">
        <f t="shared" si="17"/>
        <v>0</v>
      </c>
      <c r="V104" s="211">
        <f t="shared" si="18"/>
        <v>0</v>
      </c>
    </row>
    <row r="105" spans="1:22" ht="15">
      <c r="A105" s="212">
        <f t="shared" si="19"/>
        <v>43</v>
      </c>
      <c r="B105" s="194"/>
      <c r="C105" s="194" t="str">
        <f t="shared" si="14"/>
        <v>Other Maintenance and Operating Expenses - Other Maintenance and Operating Expenses</v>
      </c>
      <c r="D105" s="207">
        <v>969</v>
      </c>
      <c r="E105" s="211">
        <f t="array" ref="E105">((SUM(IF((CkDJ[Ofc Code]=(TRIM(E$7)))*(CkDJ[Account Code]=(TRIM($D105))),CkDJ[Debit])))+(SUM(IF((CsDJ[Ofc Code]=(TRIM(E$7)))*(CsDJ[Account Code]=(TRIM($D105))),CsDJ[Debit])))+(SUM(IF((CRDJ[Ofc Code]=(TRIM(E$7)))*(CRDJ[Account Code]=(TRIM($D105))),CRDJ[Debit])))+(SUM(IF((GJ[Ofc Code]=(TRIM(E$7)))*(GJ[Account Code]=(TRIM($D105))),GJ[Debit]))))-((SUM(IF((CkDJ[Ofc Code]=(TRIM(E$7)))*(CkDJ[Account Code]=(TRIM($D105))),CkDJ[Credit])))+(SUM(IF((CsDJ[Ofc Code]=(TRIM(E$7)))*(CsDJ[Account Code]=(TRIM($D105))),CsDJ[Credit])))+(SUM(IF((CRDJ[Ofc Code]=(TRIM(E$7)))*(CRDJ[Account Code]=(TRIM($D105))),CRDJ[Credit])))+(SUM(IF((GJ[Ofc Code]=(TRIM(E$7)))*(GJ[Account Code]=(TRIM($D105))),GJ[Credit]))))</f>
        <v>0</v>
      </c>
      <c r="F105" s="211">
        <f t="array" ref="F105">((SUM(IF((CkDJ[Ofc Code]=(TRIM(F$7)))*(CkDJ[Account Code]=(TRIM($D105))),CkDJ[Debit])))+(SUM(IF((CsDJ[Ofc Code]=(TRIM(F$7)))*(CsDJ[Account Code]=(TRIM($D105))),CsDJ[Debit])))+(SUM(IF((CRDJ[Ofc Code]=(TRIM(F$7)))*(CRDJ[Account Code]=(TRIM($D105))),CRDJ[Debit])))+(SUM(IF((GJ[Ofc Code]=(TRIM(F$7)))*(GJ[Account Code]=(TRIM($D105))),GJ[Debit]))))-((SUM(IF((CkDJ[Ofc Code]=(TRIM(F$7)))*(CkDJ[Account Code]=(TRIM($D105))),CkDJ[Credit])))+(SUM(IF((CsDJ[Ofc Code]=(TRIM(F$7)))*(CsDJ[Account Code]=(TRIM($D105))),CsDJ[Credit])))+(SUM(IF((CRDJ[Ofc Code]=(TRIM(F$7)))*(CRDJ[Account Code]=(TRIM($D105))),CRDJ[Credit])))+(SUM(IF((GJ[Ofc Code]=(TRIM(F$7)))*(GJ[Account Code]=(TRIM($D105))),GJ[Credit]))))</f>
        <v>0</v>
      </c>
      <c r="G105" s="211">
        <f t="array" ref="G105">((SUM(IF((CkDJ[Ofc Code]=(TRIM(G$7)))*(CkDJ[Account Code]=(TRIM($D105))),CkDJ[Debit])))+(SUM(IF((CsDJ[Ofc Code]=(TRIM(G$7)))*(CsDJ[Account Code]=(TRIM($D105))),CsDJ[Debit])))+(SUM(IF((CRDJ[Ofc Code]=(TRIM(G$7)))*(CRDJ[Account Code]=(TRIM($D105))),CRDJ[Debit])))+(SUM(IF((GJ[Ofc Code]=(TRIM(G$7)))*(GJ[Account Code]=(TRIM($D105))),GJ[Debit]))))-((SUM(IF((CkDJ[Ofc Code]=(TRIM(G$7)))*(CkDJ[Account Code]=(TRIM($D105))),CkDJ[Credit])))+(SUM(IF((CsDJ[Ofc Code]=(TRIM(G$7)))*(CsDJ[Account Code]=(TRIM($D105))),CsDJ[Credit])))+(SUM(IF((CRDJ[Ofc Code]=(TRIM(G$7)))*(CRDJ[Account Code]=(TRIM($D105))),CRDJ[Credit])))+(SUM(IF((GJ[Ofc Code]=(TRIM(G$7)))*(GJ[Account Code]=(TRIM($D105))),GJ[Credit]))))</f>
        <v>0</v>
      </c>
      <c r="H105" s="211">
        <f t="array" ref="H105">((SUM(IF((CkDJ[Ofc Code]=(TRIM(H$7)))*(CkDJ[Account Code]=(TRIM($D105))),CkDJ[Debit])))+(SUM(IF((CsDJ[Ofc Code]=(TRIM(H$7)))*(CsDJ[Account Code]=(TRIM($D105))),CsDJ[Debit])))+(SUM(IF((CRDJ[Ofc Code]=(TRIM(H$7)))*(CRDJ[Account Code]=(TRIM($D105))),CRDJ[Debit])))+(SUM(IF((GJ[Ofc Code]=(TRIM(H$7)))*(GJ[Account Code]=(TRIM($D105))),GJ[Debit]))))-((SUM(IF((CkDJ[Ofc Code]=(TRIM(H$7)))*(CkDJ[Account Code]=(TRIM($D105))),CkDJ[Credit])))+(SUM(IF((CsDJ[Ofc Code]=(TRIM(H$7)))*(CsDJ[Account Code]=(TRIM($D105))),CsDJ[Credit])))+(SUM(IF((CRDJ[Ofc Code]=(TRIM(H$7)))*(CRDJ[Account Code]=(TRIM($D105))),CRDJ[Credit])))+(SUM(IF((GJ[Ofc Code]=(TRIM(H$7)))*(GJ[Account Code]=(TRIM($D105))),GJ[Credit]))))</f>
        <v>0</v>
      </c>
      <c r="I105" s="211">
        <f t="array" ref="I105">((SUM(IF((CkDJ[Ofc Code]=(TRIM(I$7)))*(CkDJ[Account Code]=(TRIM($D105))),CkDJ[Debit])))+(SUM(IF((CsDJ[Ofc Code]=(TRIM(I$7)))*(CsDJ[Account Code]=(TRIM($D105))),CsDJ[Debit])))+(SUM(IF((CRDJ[Ofc Code]=(TRIM(I$7)))*(CRDJ[Account Code]=(TRIM($D105))),CRDJ[Debit])))+(SUM(IF((GJ[Ofc Code]=(TRIM(I$7)))*(GJ[Account Code]=(TRIM($D105))),GJ[Debit]))))-((SUM(IF((CkDJ[Ofc Code]=(TRIM(I$7)))*(CkDJ[Account Code]=(TRIM($D105))),CkDJ[Credit])))+(SUM(IF((CsDJ[Ofc Code]=(TRIM(I$7)))*(CsDJ[Account Code]=(TRIM($D105))),CsDJ[Credit])))+(SUM(IF((CRDJ[Ofc Code]=(TRIM(I$7)))*(CRDJ[Account Code]=(TRIM($D105))),CRDJ[Credit])))+(SUM(IF((GJ[Ofc Code]=(TRIM(I$7)))*(GJ[Account Code]=(TRIM($D105))),GJ[Credit]))))</f>
        <v>0</v>
      </c>
      <c r="J105" s="211">
        <f t="shared" si="15"/>
        <v>0</v>
      </c>
      <c r="K105" s="211">
        <f t="array" ref="K105">((SUM(IF((CkDJ[Ofc Code]=(TRIM(K$7)))*(CkDJ[Account Code]=(TRIM($D105))),CkDJ[Debit])))+(SUM(IF((CsDJ[Ofc Code]=(TRIM(K$7)))*(CsDJ[Account Code]=(TRIM($D105))),CsDJ[Debit])))+(SUM(IF((CRDJ[Ofc Code]=(TRIM(K$7)))*(CRDJ[Account Code]=(TRIM($D105))),CRDJ[Debit])))+(SUM(IF((GJ[Ofc Code]=(TRIM(K$7)))*(GJ[Account Code]=(TRIM($D105))),GJ[Debit]))))-((SUM(IF((CkDJ[Ofc Code]=(TRIM(K$7)))*(CkDJ[Account Code]=(TRIM($D105))),CkDJ[Credit])))+(SUM(IF((CsDJ[Ofc Code]=(TRIM(K$7)))*(CsDJ[Account Code]=(TRIM($D105))),CsDJ[Credit])))+(SUM(IF((CRDJ[Ofc Code]=(TRIM(K$7)))*(CRDJ[Account Code]=(TRIM($D105))),CRDJ[Credit])))+(SUM(IF((GJ[Ofc Code]=(TRIM(K$7)))*(GJ[Account Code]=(TRIM($D105))),GJ[Credit]))))</f>
        <v>0</v>
      </c>
      <c r="L105" s="211">
        <f t="array" ref="L105">((SUM(IF((CkDJ[Ofc Code]=(TRIM(L$7)))*(CkDJ[Account Code]=(TRIM($D105))),CkDJ[Debit])))+(SUM(IF((CsDJ[Ofc Code]=(TRIM(L$7)))*(CsDJ[Account Code]=(TRIM($D105))),CsDJ[Debit])))+(SUM(IF((CRDJ[Ofc Code]=(TRIM(L$7)))*(CRDJ[Account Code]=(TRIM($D105))),CRDJ[Debit])))+(SUM(IF((GJ[Ofc Code]=(TRIM(L$7)))*(GJ[Account Code]=(TRIM($D105))),GJ[Debit]))))-((SUM(IF((CkDJ[Ofc Code]=(TRIM(L$7)))*(CkDJ[Account Code]=(TRIM($D105))),CkDJ[Credit])))+(SUM(IF((CsDJ[Ofc Code]=(TRIM(L$7)))*(CsDJ[Account Code]=(TRIM($D105))),CsDJ[Credit])))+(SUM(IF((CRDJ[Ofc Code]=(TRIM(L$7)))*(CRDJ[Account Code]=(TRIM($D105))),CRDJ[Credit])))+(SUM(IF((GJ[Ofc Code]=(TRIM(L$7)))*(GJ[Account Code]=(TRIM($D105))),GJ[Credit]))))</f>
        <v>0</v>
      </c>
      <c r="M105" s="211">
        <f t="array" ref="M105">((SUM(IF((CkDJ[Ofc Code]=(TRIM(M$7)))*(CkDJ[Account Code]=(TRIM($D105))),CkDJ[Debit])))+(SUM(IF((CsDJ[Ofc Code]=(TRIM(M$7)))*(CsDJ[Account Code]=(TRIM($D105))),CsDJ[Debit])))+(SUM(IF((CRDJ[Ofc Code]=(TRIM(M$7)))*(CRDJ[Account Code]=(TRIM($D105))),CRDJ[Debit])))+(SUM(IF((GJ[Ofc Code]=(TRIM(M$7)))*(GJ[Account Code]=(TRIM($D105))),GJ[Debit]))))-((SUM(IF((CkDJ[Ofc Code]=(TRIM(M$7)))*(CkDJ[Account Code]=(TRIM($D105))),CkDJ[Credit])))+(SUM(IF((CsDJ[Ofc Code]=(TRIM(M$7)))*(CsDJ[Account Code]=(TRIM($D105))),CsDJ[Credit])))+(SUM(IF((CRDJ[Ofc Code]=(TRIM(M$7)))*(CRDJ[Account Code]=(TRIM($D105))),CRDJ[Credit])))+(SUM(IF((GJ[Ofc Code]=(TRIM(M$7)))*(GJ[Account Code]=(TRIM($D105))),GJ[Credit]))))</f>
        <v>0</v>
      </c>
      <c r="N105" s="211">
        <f t="array" ref="N105">((SUM(IF((CkDJ[Ofc Code]=(TRIM(N$7)))*(CkDJ[Account Code]=(TRIM($D105))),CkDJ[Debit])))+(SUM(IF((CsDJ[Ofc Code]=(TRIM(N$7)))*(CsDJ[Account Code]=(TRIM($D105))),CsDJ[Debit])))+(SUM(IF((CRDJ[Ofc Code]=(TRIM(N$7)))*(CRDJ[Account Code]=(TRIM($D105))),CRDJ[Debit])))+(SUM(IF((GJ[Ofc Code]=(TRIM(N$7)))*(GJ[Account Code]=(TRIM($D105))),GJ[Debit]))))-((SUM(IF((CkDJ[Ofc Code]=(TRIM(N$7)))*(CkDJ[Account Code]=(TRIM($D105))),CkDJ[Credit])))+(SUM(IF((CsDJ[Ofc Code]=(TRIM(N$7)))*(CsDJ[Account Code]=(TRIM($D105))),CsDJ[Credit])))+(SUM(IF((CRDJ[Ofc Code]=(TRIM(N$7)))*(CRDJ[Account Code]=(TRIM($D105))),CRDJ[Credit])))+(SUM(IF((GJ[Ofc Code]=(TRIM(N$7)))*(GJ[Account Code]=(TRIM($D105))),GJ[Credit]))))</f>
        <v>0</v>
      </c>
      <c r="O105" s="211">
        <f t="shared" si="16"/>
        <v>0</v>
      </c>
      <c r="P105" s="211">
        <f t="array" ref="P105">((SUM(IF((CkDJ[Ofc Code]=(TRIM(P$7)))*(CkDJ[Account Code]=(TRIM($D105))),CkDJ[Debit])))+(SUM(IF((CsDJ[Ofc Code]=(TRIM(P$7)))*(CsDJ[Account Code]=(TRIM($D105))),CsDJ[Debit])))+(SUM(IF((CRDJ[Ofc Code]=(TRIM(P$7)))*(CRDJ[Account Code]=(TRIM($D105))),CRDJ[Debit])))+(SUM(IF((GJ[Ofc Code]=(TRIM(P$7)))*(GJ[Account Code]=(TRIM($D105))),GJ[Debit]))))-((SUM(IF((CkDJ[Ofc Code]=(TRIM(P$7)))*(CkDJ[Account Code]=(TRIM($D105))),CkDJ[Credit])))+(SUM(IF((CsDJ[Ofc Code]=(TRIM(P$7)))*(CsDJ[Account Code]=(TRIM($D105))),CsDJ[Credit])))+(SUM(IF((CRDJ[Ofc Code]=(TRIM(P$7)))*(CRDJ[Account Code]=(TRIM($D105))),CRDJ[Credit])))+(SUM(IF((GJ[Ofc Code]=(TRIM(P$7)))*(GJ[Account Code]=(TRIM($D105))),GJ[Credit]))))</f>
        <v>0</v>
      </c>
      <c r="Q105" s="211">
        <f t="array" ref="Q105">((SUM(IF((CkDJ[Ofc Code]=(TRIM(Q$7)))*(CkDJ[Account Code]=(TRIM($D105))),CkDJ[Debit])))+(SUM(IF((CsDJ[Ofc Code]=(TRIM(Q$7)))*(CsDJ[Account Code]=(TRIM($D105))),CsDJ[Debit])))+(SUM(IF((CRDJ[Ofc Code]=(TRIM(Q$7)))*(CRDJ[Account Code]=(TRIM($D105))),CRDJ[Debit])))+(SUM(IF((GJ[Ofc Code]=(TRIM(Q$7)))*(GJ[Account Code]=(TRIM($D105))),GJ[Debit]))))-((SUM(IF((CkDJ[Ofc Code]=(TRIM(Q$7)))*(CkDJ[Account Code]=(TRIM($D105))),CkDJ[Credit])))+(SUM(IF((CsDJ[Ofc Code]=(TRIM(Q$7)))*(CsDJ[Account Code]=(TRIM($D105))),CsDJ[Credit])))+(SUM(IF((CRDJ[Ofc Code]=(TRIM(Q$7)))*(CRDJ[Account Code]=(TRIM($D105))),CRDJ[Credit])))+(SUM(IF((GJ[Ofc Code]=(TRIM(Q$7)))*(GJ[Account Code]=(TRIM($D105))),GJ[Credit]))))</f>
        <v>0</v>
      </c>
      <c r="R105" s="211">
        <f t="array" ref="R105">((SUM(IF((CkDJ[Ofc Code]=(TRIM(R$7)))*(CkDJ[Account Code]=(TRIM($D105))),CkDJ[Debit])))+(SUM(IF((CsDJ[Ofc Code]=(TRIM(R$7)))*(CsDJ[Account Code]=(TRIM($D105))),CsDJ[Debit])))+(SUM(IF((CRDJ[Ofc Code]=(TRIM(R$7)))*(CRDJ[Account Code]=(TRIM($D105))),CRDJ[Debit])))+(SUM(IF((GJ[Ofc Code]=(TRIM(R$7)))*(GJ[Account Code]=(TRIM($D105))),GJ[Debit]))))-((SUM(IF((CkDJ[Ofc Code]=(TRIM(R$7)))*(CkDJ[Account Code]=(TRIM($D105))),CkDJ[Credit])))+(SUM(IF((CsDJ[Ofc Code]=(TRIM(R$7)))*(CsDJ[Account Code]=(TRIM($D105))),CsDJ[Credit])))+(SUM(IF((CRDJ[Ofc Code]=(TRIM(R$7)))*(CRDJ[Account Code]=(TRIM($D105))),CRDJ[Credit])))+(SUM(IF((GJ[Ofc Code]=(TRIM(R$7)))*(GJ[Account Code]=(TRIM($D105))),GJ[Credit]))))</f>
        <v>0</v>
      </c>
      <c r="S105" s="211">
        <f t="array" ref="S105">((SUM(IF((CkDJ[Ofc Code]=(TRIM(S$7)))*(CkDJ[Account Code]=(TRIM($D105))),CkDJ[Debit])))+(SUM(IF((CsDJ[Ofc Code]=(TRIM(S$7)))*(CsDJ[Account Code]=(TRIM($D105))),CsDJ[Debit])))+(SUM(IF((CRDJ[Ofc Code]=(TRIM(S$7)))*(CRDJ[Account Code]=(TRIM($D105))),CRDJ[Debit])))+(SUM(IF((GJ[Ofc Code]=(TRIM(S$7)))*(GJ[Account Code]=(TRIM($D105))),GJ[Debit]))))-((SUM(IF((CkDJ[Ofc Code]=(TRIM(S$7)))*(CkDJ[Account Code]=(TRIM($D105))),CkDJ[Credit])))+(SUM(IF((CsDJ[Ofc Code]=(TRIM(S$7)))*(CsDJ[Account Code]=(TRIM($D105))),CsDJ[Credit])))+(SUM(IF((CRDJ[Ofc Code]=(TRIM(S$7)))*(CRDJ[Account Code]=(TRIM($D105))),CRDJ[Credit])))+(SUM(IF((GJ[Ofc Code]=(TRIM(S$7)))*(GJ[Account Code]=(TRIM($D105))),GJ[Credit]))))</f>
        <v>0</v>
      </c>
      <c r="T105" s="211">
        <f t="array" ref="T105">((SUM(IF((CkDJ[Ofc Code]=(TRIM(T$7)))*(CkDJ[Account Code]=(TRIM($D105))),CkDJ[Debit])))+(SUM(IF((CsDJ[Ofc Code]=(TRIM(T$7)))*(CsDJ[Account Code]=(TRIM($D105))),CsDJ[Debit])))+(SUM(IF((CRDJ[Ofc Code]=(TRIM(T$7)))*(CRDJ[Account Code]=(TRIM($D105))),CRDJ[Debit])))+(SUM(IF((GJ[Ofc Code]=(TRIM(T$7)))*(GJ[Account Code]=(TRIM($D105))),GJ[Debit]))))-((SUM(IF((CkDJ[Ofc Code]=(TRIM(T$7)))*(CkDJ[Account Code]=(TRIM($D105))),CkDJ[Credit])))+(SUM(IF((CsDJ[Ofc Code]=(TRIM(T$7)))*(CsDJ[Account Code]=(TRIM($D105))),CsDJ[Credit])))+(SUM(IF((CRDJ[Ofc Code]=(TRIM(T$7)))*(CRDJ[Account Code]=(TRIM($D105))),CRDJ[Credit])))+(SUM(IF((GJ[Ofc Code]=(TRIM(T$7)))*(GJ[Account Code]=(TRIM($D105))),GJ[Credit]))))</f>
        <v>0</v>
      </c>
      <c r="U105" s="211">
        <f t="shared" si="17"/>
        <v>0</v>
      </c>
      <c r="V105" s="211">
        <f t="shared" si="18"/>
        <v>0</v>
      </c>
    </row>
    <row r="106" spans="1:22" ht="15">
      <c r="A106" s="212">
        <f t="shared" si="19"/>
        <v>44</v>
      </c>
      <c r="B106" s="194"/>
      <c r="C106" s="194" t="e">
        <f t="shared" si="14"/>
        <v>#N/A</v>
      </c>
      <c r="D106" s="207" t="s">
        <v>336</v>
      </c>
      <c r="E106" s="211">
        <f t="array" ref="E106">((SUM(IF((CkDJ[Ofc Code]=(TRIM(E$7)))*(CkDJ[Account Code]=(TRIM($D106))),CkDJ[Debit])))+(SUM(IF((CsDJ[Ofc Code]=(TRIM(E$7)))*(CsDJ[Account Code]=(TRIM($D106))),CsDJ[Debit])))+(SUM(IF((CRDJ[Ofc Code]=(TRIM(E$7)))*(CRDJ[Account Code]=(TRIM($D106))),CRDJ[Debit])))+(SUM(IF((GJ[Ofc Code]=(TRIM(E$7)))*(GJ[Account Code]=(TRIM($D106))),GJ[Debit]))))-((SUM(IF((CkDJ[Ofc Code]=(TRIM(E$7)))*(CkDJ[Account Code]=(TRIM($D106))),CkDJ[Credit])))+(SUM(IF((CsDJ[Ofc Code]=(TRIM(E$7)))*(CsDJ[Account Code]=(TRIM($D106))),CsDJ[Credit])))+(SUM(IF((CRDJ[Ofc Code]=(TRIM(E$7)))*(CRDJ[Account Code]=(TRIM($D106))),CRDJ[Credit])))+(SUM(IF((GJ[Ofc Code]=(TRIM(E$7)))*(GJ[Account Code]=(TRIM($D106))),GJ[Credit]))))</f>
        <v>0</v>
      </c>
      <c r="F106" s="211">
        <f t="array" ref="F106">((SUM(IF((CkDJ[Ofc Code]=(TRIM(F$7)))*(CkDJ[Account Code]=(TRIM($D106))),CkDJ[Debit])))+(SUM(IF((CsDJ[Ofc Code]=(TRIM(F$7)))*(CsDJ[Account Code]=(TRIM($D106))),CsDJ[Debit])))+(SUM(IF((CRDJ[Ofc Code]=(TRIM(F$7)))*(CRDJ[Account Code]=(TRIM($D106))),CRDJ[Debit])))+(SUM(IF((GJ[Ofc Code]=(TRIM(F$7)))*(GJ[Account Code]=(TRIM($D106))),GJ[Debit]))))-((SUM(IF((CkDJ[Ofc Code]=(TRIM(F$7)))*(CkDJ[Account Code]=(TRIM($D106))),CkDJ[Credit])))+(SUM(IF((CsDJ[Ofc Code]=(TRIM(F$7)))*(CsDJ[Account Code]=(TRIM($D106))),CsDJ[Credit])))+(SUM(IF((CRDJ[Ofc Code]=(TRIM(F$7)))*(CRDJ[Account Code]=(TRIM($D106))),CRDJ[Credit])))+(SUM(IF((GJ[Ofc Code]=(TRIM(F$7)))*(GJ[Account Code]=(TRIM($D106))),GJ[Credit]))))</f>
        <v>0</v>
      </c>
      <c r="G106" s="211">
        <f t="array" ref="G106">((SUM(IF((CkDJ[Ofc Code]=(TRIM(G$7)))*(CkDJ[Account Code]=(TRIM($D106))),CkDJ[Debit])))+(SUM(IF((CsDJ[Ofc Code]=(TRIM(G$7)))*(CsDJ[Account Code]=(TRIM($D106))),CsDJ[Debit])))+(SUM(IF((CRDJ[Ofc Code]=(TRIM(G$7)))*(CRDJ[Account Code]=(TRIM($D106))),CRDJ[Debit])))+(SUM(IF((GJ[Ofc Code]=(TRIM(G$7)))*(GJ[Account Code]=(TRIM($D106))),GJ[Debit]))))-((SUM(IF((CkDJ[Ofc Code]=(TRIM(G$7)))*(CkDJ[Account Code]=(TRIM($D106))),CkDJ[Credit])))+(SUM(IF((CsDJ[Ofc Code]=(TRIM(G$7)))*(CsDJ[Account Code]=(TRIM($D106))),CsDJ[Credit])))+(SUM(IF((CRDJ[Ofc Code]=(TRIM(G$7)))*(CRDJ[Account Code]=(TRIM($D106))),CRDJ[Credit])))+(SUM(IF((GJ[Ofc Code]=(TRIM(G$7)))*(GJ[Account Code]=(TRIM($D106))),GJ[Credit]))))</f>
        <v>0</v>
      </c>
      <c r="H106" s="211">
        <f t="array" ref="H106">((SUM(IF((CkDJ[Ofc Code]=(TRIM(H$7)))*(CkDJ[Account Code]=(TRIM($D106))),CkDJ[Debit])))+(SUM(IF((CsDJ[Ofc Code]=(TRIM(H$7)))*(CsDJ[Account Code]=(TRIM($D106))),CsDJ[Debit])))+(SUM(IF((CRDJ[Ofc Code]=(TRIM(H$7)))*(CRDJ[Account Code]=(TRIM($D106))),CRDJ[Debit])))+(SUM(IF((GJ[Ofc Code]=(TRIM(H$7)))*(GJ[Account Code]=(TRIM($D106))),GJ[Debit]))))-((SUM(IF((CkDJ[Ofc Code]=(TRIM(H$7)))*(CkDJ[Account Code]=(TRIM($D106))),CkDJ[Credit])))+(SUM(IF((CsDJ[Ofc Code]=(TRIM(H$7)))*(CsDJ[Account Code]=(TRIM($D106))),CsDJ[Credit])))+(SUM(IF((CRDJ[Ofc Code]=(TRIM(H$7)))*(CRDJ[Account Code]=(TRIM($D106))),CRDJ[Credit])))+(SUM(IF((GJ[Ofc Code]=(TRIM(H$7)))*(GJ[Account Code]=(TRIM($D106))),GJ[Credit]))))</f>
        <v>0</v>
      </c>
      <c r="I106" s="211">
        <f t="array" ref="I106">((SUM(IF((CkDJ[Ofc Code]=(TRIM(I$7)))*(CkDJ[Account Code]=(TRIM($D106))),CkDJ[Debit])))+(SUM(IF((CsDJ[Ofc Code]=(TRIM(I$7)))*(CsDJ[Account Code]=(TRIM($D106))),CsDJ[Debit])))+(SUM(IF((CRDJ[Ofc Code]=(TRIM(I$7)))*(CRDJ[Account Code]=(TRIM($D106))),CRDJ[Debit])))+(SUM(IF((GJ[Ofc Code]=(TRIM(I$7)))*(GJ[Account Code]=(TRIM($D106))),GJ[Debit]))))-((SUM(IF((CkDJ[Ofc Code]=(TRIM(I$7)))*(CkDJ[Account Code]=(TRIM($D106))),CkDJ[Credit])))+(SUM(IF((CsDJ[Ofc Code]=(TRIM(I$7)))*(CsDJ[Account Code]=(TRIM($D106))),CsDJ[Credit])))+(SUM(IF((CRDJ[Ofc Code]=(TRIM(I$7)))*(CRDJ[Account Code]=(TRIM($D106))),CRDJ[Credit])))+(SUM(IF((GJ[Ofc Code]=(TRIM(I$7)))*(GJ[Account Code]=(TRIM($D106))),GJ[Credit]))))</f>
        <v>0</v>
      </c>
      <c r="J106" s="211">
        <f t="shared" si="15"/>
        <v>0</v>
      </c>
      <c r="K106" s="211">
        <f t="array" ref="K106">((SUM(IF((CkDJ[Ofc Code]=(TRIM(K$7)))*(CkDJ[Account Code]=(TRIM($D106))),CkDJ[Debit])))+(SUM(IF((CsDJ[Ofc Code]=(TRIM(K$7)))*(CsDJ[Account Code]=(TRIM($D106))),CsDJ[Debit])))+(SUM(IF((CRDJ[Ofc Code]=(TRIM(K$7)))*(CRDJ[Account Code]=(TRIM($D106))),CRDJ[Debit])))+(SUM(IF((GJ[Ofc Code]=(TRIM(K$7)))*(GJ[Account Code]=(TRIM($D106))),GJ[Debit]))))-((SUM(IF((CkDJ[Ofc Code]=(TRIM(K$7)))*(CkDJ[Account Code]=(TRIM($D106))),CkDJ[Credit])))+(SUM(IF((CsDJ[Ofc Code]=(TRIM(K$7)))*(CsDJ[Account Code]=(TRIM($D106))),CsDJ[Credit])))+(SUM(IF((CRDJ[Ofc Code]=(TRIM(K$7)))*(CRDJ[Account Code]=(TRIM($D106))),CRDJ[Credit])))+(SUM(IF((GJ[Ofc Code]=(TRIM(K$7)))*(GJ[Account Code]=(TRIM($D106))),GJ[Credit]))))</f>
        <v>0</v>
      </c>
      <c r="L106" s="211">
        <f t="array" ref="L106">((SUM(IF((CkDJ[Ofc Code]=(TRIM(L$7)))*(CkDJ[Account Code]=(TRIM($D106))),CkDJ[Debit])))+(SUM(IF((CsDJ[Ofc Code]=(TRIM(L$7)))*(CsDJ[Account Code]=(TRIM($D106))),CsDJ[Debit])))+(SUM(IF((CRDJ[Ofc Code]=(TRIM(L$7)))*(CRDJ[Account Code]=(TRIM($D106))),CRDJ[Debit])))+(SUM(IF((GJ[Ofc Code]=(TRIM(L$7)))*(GJ[Account Code]=(TRIM($D106))),GJ[Debit]))))-((SUM(IF((CkDJ[Ofc Code]=(TRIM(L$7)))*(CkDJ[Account Code]=(TRIM($D106))),CkDJ[Credit])))+(SUM(IF((CsDJ[Ofc Code]=(TRIM(L$7)))*(CsDJ[Account Code]=(TRIM($D106))),CsDJ[Credit])))+(SUM(IF((CRDJ[Ofc Code]=(TRIM(L$7)))*(CRDJ[Account Code]=(TRIM($D106))),CRDJ[Credit])))+(SUM(IF((GJ[Ofc Code]=(TRIM(L$7)))*(GJ[Account Code]=(TRIM($D106))),GJ[Credit]))))</f>
        <v>0</v>
      </c>
      <c r="M106" s="211">
        <f t="array" ref="M106">((SUM(IF((CkDJ[Ofc Code]=(TRIM(M$7)))*(CkDJ[Account Code]=(TRIM($D106))),CkDJ[Debit])))+(SUM(IF((CsDJ[Ofc Code]=(TRIM(M$7)))*(CsDJ[Account Code]=(TRIM($D106))),CsDJ[Debit])))+(SUM(IF((CRDJ[Ofc Code]=(TRIM(M$7)))*(CRDJ[Account Code]=(TRIM($D106))),CRDJ[Debit])))+(SUM(IF((GJ[Ofc Code]=(TRIM(M$7)))*(GJ[Account Code]=(TRIM($D106))),GJ[Debit]))))-((SUM(IF((CkDJ[Ofc Code]=(TRIM(M$7)))*(CkDJ[Account Code]=(TRIM($D106))),CkDJ[Credit])))+(SUM(IF((CsDJ[Ofc Code]=(TRIM(M$7)))*(CsDJ[Account Code]=(TRIM($D106))),CsDJ[Credit])))+(SUM(IF((CRDJ[Ofc Code]=(TRIM(M$7)))*(CRDJ[Account Code]=(TRIM($D106))),CRDJ[Credit])))+(SUM(IF((GJ[Ofc Code]=(TRIM(M$7)))*(GJ[Account Code]=(TRIM($D106))),GJ[Credit]))))</f>
        <v>0</v>
      </c>
      <c r="N106" s="211">
        <f t="array" ref="N106">((SUM(IF((CkDJ[Ofc Code]=(TRIM(N$7)))*(CkDJ[Account Code]=(TRIM($D106))),CkDJ[Debit])))+(SUM(IF((CsDJ[Ofc Code]=(TRIM(N$7)))*(CsDJ[Account Code]=(TRIM($D106))),CsDJ[Debit])))+(SUM(IF((CRDJ[Ofc Code]=(TRIM(N$7)))*(CRDJ[Account Code]=(TRIM($D106))),CRDJ[Debit])))+(SUM(IF((GJ[Ofc Code]=(TRIM(N$7)))*(GJ[Account Code]=(TRIM($D106))),GJ[Debit]))))-((SUM(IF((CkDJ[Ofc Code]=(TRIM(N$7)))*(CkDJ[Account Code]=(TRIM($D106))),CkDJ[Credit])))+(SUM(IF((CsDJ[Ofc Code]=(TRIM(N$7)))*(CsDJ[Account Code]=(TRIM($D106))),CsDJ[Credit])))+(SUM(IF((CRDJ[Ofc Code]=(TRIM(N$7)))*(CRDJ[Account Code]=(TRIM($D106))),CRDJ[Credit])))+(SUM(IF((GJ[Ofc Code]=(TRIM(N$7)))*(GJ[Account Code]=(TRIM($D106))),GJ[Credit]))))</f>
        <v>0</v>
      </c>
      <c r="O106" s="211">
        <f t="shared" si="16"/>
        <v>0</v>
      </c>
      <c r="P106" s="211">
        <f t="array" ref="P106">((SUM(IF((CkDJ[Ofc Code]=(TRIM(P$7)))*(CkDJ[Account Code]=(TRIM($D106))),CkDJ[Debit])))+(SUM(IF((CsDJ[Ofc Code]=(TRIM(P$7)))*(CsDJ[Account Code]=(TRIM($D106))),CsDJ[Debit])))+(SUM(IF((CRDJ[Ofc Code]=(TRIM(P$7)))*(CRDJ[Account Code]=(TRIM($D106))),CRDJ[Debit])))+(SUM(IF((GJ[Ofc Code]=(TRIM(P$7)))*(GJ[Account Code]=(TRIM($D106))),GJ[Debit]))))-((SUM(IF((CkDJ[Ofc Code]=(TRIM(P$7)))*(CkDJ[Account Code]=(TRIM($D106))),CkDJ[Credit])))+(SUM(IF((CsDJ[Ofc Code]=(TRIM(P$7)))*(CsDJ[Account Code]=(TRIM($D106))),CsDJ[Credit])))+(SUM(IF((CRDJ[Ofc Code]=(TRIM(P$7)))*(CRDJ[Account Code]=(TRIM($D106))),CRDJ[Credit])))+(SUM(IF((GJ[Ofc Code]=(TRIM(P$7)))*(GJ[Account Code]=(TRIM($D106))),GJ[Credit]))))</f>
        <v>0</v>
      </c>
      <c r="Q106" s="211">
        <f t="array" ref="Q106">((SUM(IF((CkDJ[Ofc Code]=(TRIM(Q$7)))*(CkDJ[Account Code]=(TRIM($D106))),CkDJ[Debit])))+(SUM(IF((CsDJ[Ofc Code]=(TRIM(Q$7)))*(CsDJ[Account Code]=(TRIM($D106))),CsDJ[Debit])))+(SUM(IF((CRDJ[Ofc Code]=(TRIM(Q$7)))*(CRDJ[Account Code]=(TRIM($D106))),CRDJ[Debit])))+(SUM(IF((GJ[Ofc Code]=(TRIM(Q$7)))*(GJ[Account Code]=(TRIM($D106))),GJ[Debit]))))-((SUM(IF((CkDJ[Ofc Code]=(TRIM(Q$7)))*(CkDJ[Account Code]=(TRIM($D106))),CkDJ[Credit])))+(SUM(IF((CsDJ[Ofc Code]=(TRIM(Q$7)))*(CsDJ[Account Code]=(TRIM($D106))),CsDJ[Credit])))+(SUM(IF((CRDJ[Ofc Code]=(TRIM(Q$7)))*(CRDJ[Account Code]=(TRIM($D106))),CRDJ[Credit])))+(SUM(IF((GJ[Ofc Code]=(TRIM(Q$7)))*(GJ[Account Code]=(TRIM($D106))),GJ[Credit]))))</f>
        <v>0</v>
      </c>
      <c r="R106" s="211">
        <f t="array" ref="R106">((SUM(IF((CkDJ[Ofc Code]=(TRIM(R$7)))*(CkDJ[Account Code]=(TRIM($D106))),CkDJ[Debit])))+(SUM(IF((CsDJ[Ofc Code]=(TRIM(R$7)))*(CsDJ[Account Code]=(TRIM($D106))),CsDJ[Debit])))+(SUM(IF((CRDJ[Ofc Code]=(TRIM(R$7)))*(CRDJ[Account Code]=(TRIM($D106))),CRDJ[Debit])))+(SUM(IF((GJ[Ofc Code]=(TRIM(R$7)))*(GJ[Account Code]=(TRIM($D106))),GJ[Debit]))))-((SUM(IF((CkDJ[Ofc Code]=(TRIM(R$7)))*(CkDJ[Account Code]=(TRIM($D106))),CkDJ[Credit])))+(SUM(IF((CsDJ[Ofc Code]=(TRIM(R$7)))*(CsDJ[Account Code]=(TRIM($D106))),CsDJ[Credit])))+(SUM(IF((CRDJ[Ofc Code]=(TRIM(R$7)))*(CRDJ[Account Code]=(TRIM($D106))),CRDJ[Credit])))+(SUM(IF((GJ[Ofc Code]=(TRIM(R$7)))*(GJ[Account Code]=(TRIM($D106))),GJ[Credit]))))</f>
        <v>0</v>
      </c>
      <c r="S106" s="211">
        <f t="array" ref="S106">((SUM(IF((CkDJ[Ofc Code]=(TRIM(S$7)))*(CkDJ[Account Code]=(TRIM($D106))),CkDJ[Debit])))+(SUM(IF((CsDJ[Ofc Code]=(TRIM(S$7)))*(CsDJ[Account Code]=(TRIM($D106))),CsDJ[Debit])))+(SUM(IF((CRDJ[Ofc Code]=(TRIM(S$7)))*(CRDJ[Account Code]=(TRIM($D106))),CRDJ[Debit])))+(SUM(IF((GJ[Ofc Code]=(TRIM(S$7)))*(GJ[Account Code]=(TRIM($D106))),GJ[Debit]))))-((SUM(IF((CkDJ[Ofc Code]=(TRIM(S$7)))*(CkDJ[Account Code]=(TRIM($D106))),CkDJ[Credit])))+(SUM(IF((CsDJ[Ofc Code]=(TRIM(S$7)))*(CsDJ[Account Code]=(TRIM($D106))),CsDJ[Credit])))+(SUM(IF((CRDJ[Ofc Code]=(TRIM(S$7)))*(CRDJ[Account Code]=(TRIM($D106))),CRDJ[Credit])))+(SUM(IF((GJ[Ofc Code]=(TRIM(S$7)))*(GJ[Account Code]=(TRIM($D106))),GJ[Credit]))))</f>
        <v>0</v>
      </c>
      <c r="T106" s="211">
        <f t="array" ref="T106">((SUM(IF((CkDJ[Ofc Code]=(TRIM(T$7)))*(CkDJ[Account Code]=(TRIM($D106))),CkDJ[Debit])))+(SUM(IF((CsDJ[Ofc Code]=(TRIM(T$7)))*(CsDJ[Account Code]=(TRIM($D106))),CsDJ[Debit])))+(SUM(IF((CRDJ[Ofc Code]=(TRIM(T$7)))*(CRDJ[Account Code]=(TRIM($D106))),CRDJ[Debit])))+(SUM(IF((GJ[Ofc Code]=(TRIM(T$7)))*(GJ[Account Code]=(TRIM($D106))),GJ[Debit]))))-((SUM(IF((CkDJ[Ofc Code]=(TRIM(T$7)))*(CkDJ[Account Code]=(TRIM($D106))),CkDJ[Credit])))+(SUM(IF((CsDJ[Ofc Code]=(TRIM(T$7)))*(CsDJ[Account Code]=(TRIM($D106))),CsDJ[Credit])))+(SUM(IF((CRDJ[Ofc Code]=(TRIM(T$7)))*(CRDJ[Account Code]=(TRIM($D106))),CRDJ[Credit])))+(SUM(IF((GJ[Ofc Code]=(TRIM(T$7)))*(GJ[Account Code]=(TRIM($D106))),GJ[Credit]))))</f>
        <v>0</v>
      </c>
      <c r="U106" s="211">
        <f t="shared" si="17"/>
        <v>0</v>
      </c>
      <c r="V106" s="211">
        <f t="shared" si="18"/>
        <v>0</v>
      </c>
    </row>
    <row r="107" spans="1:22" ht="15">
      <c r="A107" s="212">
        <f t="shared" si="19"/>
        <v>45</v>
      </c>
      <c r="B107" s="194"/>
      <c r="C107" s="194" t="e">
        <f t="shared" si="14"/>
        <v>#N/A</v>
      </c>
      <c r="D107" s="207" t="s">
        <v>337</v>
      </c>
      <c r="E107" s="211">
        <f t="array" ref="E107">((SUM(IF((CkDJ[Ofc Code]=(TRIM(E$7)))*(CkDJ[Account Code]=(TRIM($D107))),CkDJ[Debit])))+(SUM(IF((CsDJ[Ofc Code]=(TRIM(E$7)))*(CsDJ[Account Code]=(TRIM($D107))),CsDJ[Debit])))+(SUM(IF((CRDJ[Ofc Code]=(TRIM(E$7)))*(CRDJ[Account Code]=(TRIM($D107))),CRDJ[Debit])))+(SUM(IF((GJ[Ofc Code]=(TRIM(E$7)))*(GJ[Account Code]=(TRIM($D107))),GJ[Debit]))))-((SUM(IF((CkDJ[Ofc Code]=(TRIM(E$7)))*(CkDJ[Account Code]=(TRIM($D107))),CkDJ[Credit])))+(SUM(IF((CsDJ[Ofc Code]=(TRIM(E$7)))*(CsDJ[Account Code]=(TRIM($D107))),CsDJ[Credit])))+(SUM(IF((CRDJ[Ofc Code]=(TRIM(E$7)))*(CRDJ[Account Code]=(TRIM($D107))),CRDJ[Credit])))+(SUM(IF((GJ[Ofc Code]=(TRIM(E$7)))*(GJ[Account Code]=(TRIM($D107))),GJ[Credit]))))</f>
        <v>0</v>
      </c>
      <c r="F107" s="211">
        <f t="array" ref="F107">((SUM(IF((CkDJ[Ofc Code]=(TRIM(F$7)))*(CkDJ[Account Code]=(TRIM($D107))),CkDJ[Debit])))+(SUM(IF((CsDJ[Ofc Code]=(TRIM(F$7)))*(CsDJ[Account Code]=(TRIM($D107))),CsDJ[Debit])))+(SUM(IF((CRDJ[Ofc Code]=(TRIM(F$7)))*(CRDJ[Account Code]=(TRIM($D107))),CRDJ[Debit])))+(SUM(IF((GJ[Ofc Code]=(TRIM(F$7)))*(GJ[Account Code]=(TRIM($D107))),GJ[Debit]))))-((SUM(IF((CkDJ[Ofc Code]=(TRIM(F$7)))*(CkDJ[Account Code]=(TRIM($D107))),CkDJ[Credit])))+(SUM(IF((CsDJ[Ofc Code]=(TRIM(F$7)))*(CsDJ[Account Code]=(TRIM($D107))),CsDJ[Credit])))+(SUM(IF((CRDJ[Ofc Code]=(TRIM(F$7)))*(CRDJ[Account Code]=(TRIM($D107))),CRDJ[Credit])))+(SUM(IF((GJ[Ofc Code]=(TRIM(F$7)))*(GJ[Account Code]=(TRIM($D107))),GJ[Credit]))))</f>
        <v>0</v>
      </c>
      <c r="G107" s="211">
        <f t="array" ref="G107">((SUM(IF((CkDJ[Ofc Code]=(TRIM(G$7)))*(CkDJ[Account Code]=(TRIM($D107))),CkDJ[Debit])))+(SUM(IF((CsDJ[Ofc Code]=(TRIM(G$7)))*(CsDJ[Account Code]=(TRIM($D107))),CsDJ[Debit])))+(SUM(IF((CRDJ[Ofc Code]=(TRIM(G$7)))*(CRDJ[Account Code]=(TRIM($D107))),CRDJ[Debit])))+(SUM(IF((GJ[Ofc Code]=(TRIM(G$7)))*(GJ[Account Code]=(TRIM($D107))),GJ[Debit]))))-((SUM(IF((CkDJ[Ofc Code]=(TRIM(G$7)))*(CkDJ[Account Code]=(TRIM($D107))),CkDJ[Credit])))+(SUM(IF((CsDJ[Ofc Code]=(TRIM(G$7)))*(CsDJ[Account Code]=(TRIM($D107))),CsDJ[Credit])))+(SUM(IF((CRDJ[Ofc Code]=(TRIM(G$7)))*(CRDJ[Account Code]=(TRIM($D107))),CRDJ[Credit])))+(SUM(IF((GJ[Ofc Code]=(TRIM(G$7)))*(GJ[Account Code]=(TRIM($D107))),GJ[Credit]))))</f>
        <v>0</v>
      </c>
      <c r="H107" s="211">
        <f t="array" ref="H107">((SUM(IF((CkDJ[Ofc Code]=(TRIM(H$7)))*(CkDJ[Account Code]=(TRIM($D107))),CkDJ[Debit])))+(SUM(IF((CsDJ[Ofc Code]=(TRIM(H$7)))*(CsDJ[Account Code]=(TRIM($D107))),CsDJ[Debit])))+(SUM(IF((CRDJ[Ofc Code]=(TRIM(H$7)))*(CRDJ[Account Code]=(TRIM($D107))),CRDJ[Debit])))+(SUM(IF((GJ[Ofc Code]=(TRIM(H$7)))*(GJ[Account Code]=(TRIM($D107))),GJ[Debit]))))-((SUM(IF((CkDJ[Ofc Code]=(TRIM(H$7)))*(CkDJ[Account Code]=(TRIM($D107))),CkDJ[Credit])))+(SUM(IF((CsDJ[Ofc Code]=(TRIM(H$7)))*(CsDJ[Account Code]=(TRIM($D107))),CsDJ[Credit])))+(SUM(IF((CRDJ[Ofc Code]=(TRIM(H$7)))*(CRDJ[Account Code]=(TRIM($D107))),CRDJ[Credit])))+(SUM(IF((GJ[Ofc Code]=(TRIM(H$7)))*(GJ[Account Code]=(TRIM($D107))),GJ[Credit]))))</f>
        <v>0</v>
      </c>
      <c r="I107" s="211">
        <f t="array" ref="I107">((SUM(IF((CkDJ[Ofc Code]=(TRIM(I$7)))*(CkDJ[Account Code]=(TRIM($D107))),CkDJ[Debit])))+(SUM(IF((CsDJ[Ofc Code]=(TRIM(I$7)))*(CsDJ[Account Code]=(TRIM($D107))),CsDJ[Debit])))+(SUM(IF((CRDJ[Ofc Code]=(TRIM(I$7)))*(CRDJ[Account Code]=(TRIM($D107))),CRDJ[Debit])))+(SUM(IF((GJ[Ofc Code]=(TRIM(I$7)))*(GJ[Account Code]=(TRIM($D107))),GJ[Debit]))))-((SUM(IF((CkDJ[Ofc Code]=(TRIM(I$7)))*(CkDJ[Account Code]=(TRIM($D107))),CkDJ[Credit])))+(SUM(IF((CsDJ[Ofc Code]=(TRIM(I$7)))*(CsDJ[Account Code]=(TRIM($D107))),CsDJ[Credit])))+(SUM(IF((CRDJ[Ofc Code]=(TRIM(I$7)))*(CRDJ[Account Code]=(TRIM($D107))),CRDJ[Credit])))+(SUM(IF((GJ[Ofc Code]=(TRIM(I$7)))*(GJ[Account Code]=(TRIM($D107))),GJ[Credit]))))</f>
        <v>0</v>
      </c>
      <c r="J107" s="211">
        <f t="shared" si="15"/>
        <v>0</v>
      </c>
      <c r="K107" s="211">
        <f t="array" ref="K107">((SUM(IF((CkDJ[Ofc Code]=(TRIM(K$7)))*(CkDJ[Account Code]=(TRIM($D107))),CkDJ[Debit])))+(SUM(IF((CsDJ[Ofc Code]=(TRIM(K$7)))*(CsDJ[Account Code]=(TRIM($D107))),CsDJ[Debit])))+(SUM(IF((CRDJ[Ofc Code]=(TRIM(K$7)))*(CRDJ[Account Code]=(TRIM($D107))),CRDJ[Debit])))+(SUM(IF((GJ[Ofc Code]=(TRIM(K$7)))*(GJ[Account Code]=(TRIM($D107))),GJ[Debit]))))-((SUM(IF((CkDJ[Ofc Code]=(TRIM(K$7)))*(CkDJ[Account Code]=(TRIM($D107))),CkDJ[Credit])))+(SUM(IF((CsDJ[Ofc Code]=(TRIM(K$7)))*(CsDJ[Account Code]=(TRIM($D107))),CsDJ[Credit])))+(SUM(IF((CRDJ[Ofc Code]=(TRIM(K$7)))*(CRDJ[Account Code]=(TRIM($D107))),CRDJ[Credit])))+(SUM(IF((GJ[Ofc Code]=(TRIM(K$7)))*(GJ[Account Code]=(TRIM($D107))),GJ[Credit]))))</f>
        <v>0</v>
      </c>
      <c r="L107" s="211">
        <f t="array" ref="L107">((SUM(IF((CkDJ[Ofc Code]=(TRIM(L$7)))*(CkDJ[Account Code]=(TRIM($D107))),CkDJ[Debit])))+(SUM(IF((CsDJ[Ofc Code]=(TRIM(L$7)))*(CsDJ[Account Code]=(TRIM($D107))),CsDJ[Debit])))+(SUM(IF((CRDJ[Ofc Code]=(TRIM(L$7)))*(CRDJ[Account Code]=(TRIM($D107))),CRDJ[Debit])))+(SUM(IF((GJ[Ofc Code]=(TRIM(L$7)))*(GJ[Account Code]=(TRIM($D107))),GJ[Debit]))))-((SUM(IF((CkDJ[Ofc Code]=(TRIM(L$7)))*(CkDJ[Account Code]=(TRIM($D107))),CkDJ[Credit])))+(SUM(IF((CsDJ[Ofc Code]=(TRIM(L$7)))*(CsDJ[Account Code]=(TRIM($D107))),CsDJ[Credit])))+(SUM(IF((CRDJ[Ofc Code]=(TRIM(L$7)))*(CRDJ[Account Code]=(TRIM($D107))),CRDJ[Credit])))+(SUM(IF((GJ[Ofc Code]=(TRIM(L$7)))*(GJ[Account Code]=(TRIM($D107))),GJ[Credit]))))</f>
        <v>0</v>
      </c>
      <c r="M107" s="211">
        <f t="array" ref="M107">((SUM(IF((CkDJ[Ofc Code]=(TRIM(M$7)))*(CkDJ[Account Code]=(TRIM($D107))),CkDJ[Debit])))+(SUM(IF((CsDJ[Ofc Code]=(TRIM(M$7)))*(CsDJ[Account Code]=(TRIM($D107))),CsDJ[Debit])))+(SUM(IF((CRDJ[Ofc Code]=(TRIM(M$7)))*(CRDJ[Account Code]=(TRIM($D107))),CRDJ[Debit])))+(SUM(IF((GJ[Ofc Code]=(TRIM(M$7)))*(GJ[Account Code]=(TRIM($D107))),GJ[Debit]))))-((SUM(IF((CkDJ[Ofc Code]=(TRIM(M$7)))*(CkDJ[Account Code]=(TRIM($D107))),CkDJ[Credit])))+(SUM(IF((CsDJ[Ofc Code]=(TRIM(M$7)))*(CsDJ[Account Code]=(TRIM($D107))),CsDJ[Credit])))+(SUM(IF((CRDJ[Ofc Code]=(TRIM(M$7)))*(CRDJ[Account Code]=(TRIM($D107))),CRDJ[Credit])))+(SUM(IF((GJ[Ofc Code]=(TRIM(M$7)))*(GJ[Account Code]=(TRIM($D107))),GJ[Credit]))))</f>
        <v>0</v>
      </c>
      <c r="N107" s="211">
        <f t="array" ref="N107">((SUM(IF((CkDJ[Ofc Code]=(TRIM(N$7)))*(CkDJ[Account Code]=(TRIM($D107))),CkDJ[Debit])))+(SUM(IF((CsDJ[Ofc Code]=(TRIM(N$7)))*(CsDJ[Account Code]=(TRIM($D107))),CsDJ[Debit])))+(SUM(IF((CRDJ[Ofc Code]=(TRIM(N$7)))*(CRDJ[Account Code]=(TRIM($D107))),CRDJ[Debit])))+(SUM(IF((GJ[Ofc Code]=(TRIM(N$7)))*(GJ[Account Code]=(TRIM($D107))),GJ[Debit]))))-((SUM(IF((CkDJ[Ofc Code]=(TRIM(N$7)))*(CkDJ[Account Code]=(TRIM($D107))),CkDJ[Credit])))+(SUM(IF((CsDJ[Ofc Code]=(TRIM(N$7)))*(CsDJ[Account Code]=(TRIM($D107))),CsDJ[Credit])))+(SUM(IF((CRDJ[Ofc Code]=(TRIM(N$7)))*(CRDJ[Account Code]=(TRIM($D107))),CRDJ[Credit])))+(SUM(IF((GJ[Ofc Code]=(TRIM(N$7)))*(GJ[Account Code]=(TRIM($D107))),GJ[Credit]))))</f>
        <v>0</v>
      </c>
      <c r="O107" s="211">
        <f t="shared" si="16"/>
        <v>0</v>
      </c>
      <c r="P107" s="211">
        <f t="array" ref="P107">((SUM(IF((CkDJ[Ofc Code]=(TRIM(P$7)))*(CkDJ[Account Code]=(TRIM($D107))),CkDJ[Debit])))+(SUM(IF((CsDJ[Ofc Code]=(TRIM(P$7)))*(CsDJ[Account Code]=(TRIM($D107))),CsDJ[Debit])))+(SUM(IF((CRDJ[Ofc Code]=(TRIM(P$7)))*(CRDJ[Account Code]=(TRIM($D107))),CRDJ[Debit])))+(SUM(IF((GJ[Ofc Code]=(TRIM(P$7)))*(GJ[Account Code]=(TRIM($D107))),GJ[Debit]))))-((SUM(IF((CkDJ[Ofc Code]=(TRIM(P$7)))*(CkDJ[Account Code]=(TRIM($D107))),CkDJ[Credit])))+(SUM(IF((CsDJ[Ofc Code]=(TRIM(P$7)))*(CsDJ[Account Code]=(TRIM($D107))),CsDJ[Credit])))+(SUM(IF((CRDJ[Ofc Code]=(TRIM(P$7)))*(CRDJ[Account Code]=(TRIM($D107))),CRDJ[Credit])))+(SUM(IF((GJ[Ofc Code]=(TRIM(P$7)))*(GJ[Account Code]=(TRIM($D107))),GJ[Credit]))))</f>
        <v>0</v>
      </c>
      <c r="Q107" s="211">
        <f t="array" ref="Q107">((SUM(IF((CkDJ[Ofc Code]=(TRIM(Q$7)))*(CkDJ[Account Code]=(TRIM($D107))),CkDJ[Debit])))+(SUM(IF((CsDJ[Ofc Code]=(TRIM(Q$7)))*(CsDJ[Account Code]=(TRIM($D107))),CsDJ[Debit])))+(SUM(IF((CRDJ[Ofc Code]=(TRIM(Q$7)))*(CRDJ[Account Code]=(TRIM($D107))),CRDJ[Debit])))+(SUM(IF((GJ[Ofc Code]=(TRIM(Q$7)))*(GJ[Account Code]=(TRIM($D107))),GJ[Debit]))))-((SUM(IF((CkDJ[Ofc Code]=(TRIM(Q$7)))*(CkDJ[Account Code]=(TRIM($D107))),CkDJ[Credit])))+(SUM(IF((CsDJ[Ofc Code]=(TRIM(Q$7)))*(CsDJ[Account Code]=(TRIM($D107))),CsDJ[Credit])))+(SUM(IF((CRDJ[Ofc Code]=(TRIM(Q$7)))*(CRDJ[Account Code]=(TRIM($D107))),CRDJ[Credit])))+(SUM(IF((GJ[Ofc Code]=(TRIM(Q$7)))*(GJ[Account Code]=(TRIM($D107))),GJ[Credit]))))</f>
        <v>0</v>
      </c>
      <c r="R107" s="211">
        <f t="array" ref="R107">((SUM(IF((CkDJ[Ofc Code]=(TRIM(R$7)))*(CkDJ[Account Code]=(TRIM($D107))),CkDJ[Debit])))+(SUM(IF((CsDJ[Ofc Code]=(TRIM(R$7)))*(CsDJ[Account Code]=(TRIM($D107))),CsDJ[Debit])))+(SUM(IF((CRDJ[Ofc Code]=(TRIM(R$7)))*(CRDJ[Account Code]=(TRIM($D107))),CRDJ[Debit])))+(SUM(IF((GJ[Ofc Code]=(TRIM(R$7)))*(GJ[Account Code]=(TRIM($D107))),GJ[Debit]))))-((SUM(IF((CkDJ[Ofc Code]=(TRIM(R$7)))*(CkDJ[Account Code]=(TRIM($D107))),CkDJ[Credit])))+(SUM(IF((CsDJ[Ofc Code]=(TRIM(R$7)))*(CsDJ[Account Code]=(TRIM($D107))),CsDJ[Credit])))+(SUM(IF((CRDJ[Ofc Code]=(TRIM(R$7)))*(CRDJ[Account Code]=(TRIM($D107))),CRDJ[Credit])))+(SUM(IF((GJ[Ofc Code]=(TRIM(R$7)))*(GJ[Account Code]=(TRIM($D107))),GJ[Credit]))))</f>
        <v>0</v>
      </c>
      <c r="S107" s="211">
        <f t="array" ref="S107">((SUM(IF((CkDJ[Ofc Code]=(TRIM(S$7)))*(CkDJ[Account Code]=(TRIM($D107))),CkDJ[Debit])))+(SUM(IF((CsDJ[Ofc Code]=(TRIM(S$7)))*(CsDJ[Account Code]=(TRIM($D107))),CsDJ[Debit])))+(SUM(IF((CRDJ[Ofc Code]=(TRIM(S$7)))*(CRDJ[Account Code]=(TRIM($D107))),CRDJ[Debit])))+(SUM(IF((GJ[Ofc Code]=(TRIM(S$7)))*(GJ[Account Code]=(TRIM($D107))),GJ[Debit]))))-((SUM(IF((CkDJ[Ofc Code]=(TRIM(S$7)))*(CkDJ[Account Code]=(TRIM($D107))),CkDJ[Credit])))+(SUM(IF((CsDJ[Ofc Code]=(TRIM(S$7)))*(CsDJ[Account Code]=(TRIM($D107))),CsDJ[Credit])))+(SUM(IF((CRDJ[Ofc Code]=(TRIM(S$7)))*(CRDJ[Account Code]=(TRIM($D107))),CRDJ[Credit])))+(SUM(IF((GJ[Ofc Code]=(TRIM(S$7)))*(GJ[Account Code]=(TRIM($D107))),GJ[Credit]))))</f>
        <v>0</v>
      </c>
      <c r="T107" s="211">
        <f t="array" ref="T107">((SUM(IF((CkDJ[Ofc Code]=(TRIM(T$7)))*(CkDJ[Account Code]=(TRIM($D107))),CkDJ[Debit])))+(SUM(IF((CsDJ[Ofc Code]=(TRIM(T$7)))*(CsDJ[Account Code]=(TRIM($D107))),CsDJ[Debit])))+(SUM(IF((CRDJ[Ofc Code]=(TRIM(T$7)))*(CRDJ[Account Code]=(TRIM($D107))),CRDJ[Debit])))+(SUM(IF((GJ[Ofc Code]=(TRIM(T$7)))*(GJ[Account Code]=(TRIM($D107))),GJ[Debit]))))-((SUM(IF((CkDJ[Ofc Code]=(TRIM(T$7)))*(CkDJ[Account Code]=(TRIM($D107))),CkDJ[Credit])))+(SUM(IF((CsDJ[Ofc Code]=(TRIM(T$7)))*(CsDJ[Account Code]=(TRIM($D107))),CsDJ[Credit])))+(SUM(IF((CRDJ[Ofc Code]=(TRIM(T$7)))*(CRDJ[Account Code]=(TRIM($D107))),CRDJ[Credit])))+(SUM(IF((GJ[Ofc Code]=(TRIM(T$7)))*(GJ[Account Code]=(TRIM($D107))),GJ[Credit]))))</f>
        <v>0</v>
      </c>
      <c r="U107" s="211">
        <f t="shared" si="17"/>
        <v>0</v>
      </c>
      <c r="V107" s="211">
        <f t="shared" si="18"/>
        <v>0</v>
      </c>
    </row>
    <row r="108" spans="1:22" ht="15">
      <c r="A108" s="212">
        <f t="shared" si="19"/>
        <v>46</v>
      </c>
      <c r="B108" s="194"/>
      <c r="C108" s="194" t="e">
        <f>IF(D108=0,"",(VLOOKUP((TRIM(D108)),Code,2,)))</f>
        <v>#N/A</v>
      </c>
      <c r="D108" s="207" t="s">
        <v>986</v>
      </c>
      <c r="E108" s="211">
        <f t="array" ref="E108">((SUM(IF((CkDJ[Ofc Code]=(TRIM(E$7)))*(CkDJ[Account Code]=(TRIM($D108))),CkDJ[Debit])))+(SUM(IF((CsDJ[Ofc Code]=(TRIM(E$7)))*(CsDJ[Account Code]=(TRIM($D108))),CsDJ[Debit])))+(SUM(IF((CRDJ[Ofc Code]=(TRIM(E$7)))*(CRDJ[Account Code]=(TRIM($D108))),CRDJ[Debit])))+(SUM(IF((GJ[Ofc Code]=(TRIM(E$7)))*(GJ[Account Code]=(TRIM($D108))),GJ[Debit]))))-((SUM(IF((CkDJ[Ofc Code]=(TRIM(E$7)))*(CkDJ[Account Code]=(TRIM($D108))),CkDJ[Credit])))+(SUM(IF((CsDJ[Ofc Code]=(TRIM(E$7)))*(CsDJ[Account Code]=(TRIM($D108))),CsDJ[Credit])))+(SUM(IF((CRDJ[Ofc Code]=(TRIM(E$7)))*(CRDJ[Account Code]=(TRIM($D108))),CRDJ[Credit])))+(SUM(IF((GJ[Ofc Code]=(TRIM(E$7)))*(GJ[Account Code]=(TRIM($D108))),GJ[Credit]))))</f>
        <v>0</v>
      </c>
      <c r="F108" s="211">
        <f t="array" ref="F108">((SUM(IF((CkDJ[Ofc Code]=(TRIM(F$7)))*(CkDJ[Account Code]=(TRIM($D108))),CkDJ[Debit])))+(SUM(IF((CsDJ[Ofc Code]=(TRIM(F$7)))*(CsDJ[Account Code]=(TRIM($D108))),CsDJ[Debit])))+(SUM(IF((CRDJ[Ofc Code]=(TRIM(F$7)))*(CRDJ[Account Code]=(TRIM($D108))),CRDJ[Debit])))+(SUM(IF((GJ[Ofc Code]=(TRIM(F$7)))*(GJ[Account Code]=(TRIM($D108))),GJ[Debit]))))-((SUM(IF((CkDJ[Ofc Code]=(TRIM(F$7)))*(CkDJ[Account Code]=(TRIM($D108))),CkDJ[Credit])))+(SUM(IF((CsDJ[Ofc Code]=(TRIM(F$7)))*(CsDJ[Account Code]=(TRIM($D108))),CsDJ[Credit])))+(SUM(IF((CRDJ[Ofc Code]=(TRIM(F$7)))*(CRDJ[Account Code]=(TRIM($D108))),CRDJ[Credit])))+(SUM(IF((GJ[Ofc Code]=(TRIM(F$7)))*(GJ[Account Code]=(TRIM($D108))),GJ[Credit]))))</f>
        <v>0</v>
      </c>
      <c r="G108" s="211">
        <f t="array" ref="G108">((SUM(IF((CkDJ[Ofc Code]=(TRIM(G$7)))*(CkDJ[Account Code]=(TRIM($D108))),CkDJ[Debit])))+(SUM(IF((CsDJ[Ofc Code]=(TRIM(G$7)))*(CsDJ[Account Code]=(TRIM($D108))),CsDJ[Debit])))+(SUM(IF((CRDJ[Ofc Code]=(TRIM(G$7)))*(CRDJ[Account Code]=(TRIM($D108))),CRDJ[Debit])))+(SUM(IF((GJ[Ofc Code]=(TRIM(G$7)))*(GJ[Account Code]=(TRIM($D108))),GJ[Debit]))))-((SUM(IF((CkDJ[Ofc Code]=(TRIM(G$7)))*(CkDJ[Account Code]=(TRIM($D108))),CkDJ[Credit])))+(SUM(IF((CsDJ[Ofc Code]=(TRIM(G$7)))*(CsDJ[Account Code]=(TRIM($D108))),CsDJ[Credit])))+(SUM(IF((CRDJ[Ofc Code]=(TRIM(G$7)))*(CRDJ[Account Code]=(TRIM($D108))),CRDJ[Credit])))+(SUM(IF((GJ[Ofc Code]=(TRIM(G$7)))*(GJ[Account Code]=(TRIM($D108))),GJ[Credit]))))</f>
        <v>0</v>
      </c>
      <c r="H108" s="211">
        <f t="array" ref="H108">((SUM(IF((CkDJ[Ofc Code]=(TRIM(H$7)))*(CkDJ[Account Code]=(TRIM($D108))),CkDJ[Debit])))+(SUM(IF((CsDJ[Ofc Code]=(TRIM(H$7)))*(CsDJ[Account Code]=(TRIM($D108))),CsDJ[Debit])))+(SUM(IF((CRDJ[Ofc Code]=(TRIM(H$7)))*(CRDJ[Account Code]=(TRIM($D108))),CRDJ[Debit])))+(SUM(IF((GJ[Ofc Code]=(TRIM(H$7)))*(GJ[Account Code]=(TRIM($D108))),GJ[Debit]))))-((SUM(IF((CkDJ[Ofc Code]=(TRIM(H$7)))*(CkDJ[Account Code]=(TRIM($D108))),CkDJ[Credit])))+(SUM(IF((CsDJ[Ofc Code]=(TRIM(H$7)))*(CsDJ[Account Code]=(TRIM($D108))),CsDJ[Credit])))+(SUM(IF((CRDJ[Ofc Code]=(TRIM(H$7)))*(CRDJ[Account Code]=(TRIM($D108))),CRDJ[Credit])))+(SUM(IF((GJ[Ofc Code]=(TRIM(H$7)))*(GJ[Account Code]=(TRIM($D108))),GJ[Credit]))))</f>
        <v>0</v>
      </c>
      <c r="I108" s="211">
        <f t="array" ref="I108">((SUM(IF((CkDJ[Ofc Code]=(TRIM(I$7)))*(CkDJ[Account Code]=(TRIM($D108))),CkDJ[Debit])))+(SUM(IF((CsDJ[Ofc Code]=(TRIM(I$7)))*(CsDJ[Account Code]=(TRIM($D108))),CsDJ[Debit])))+(SUM(IF((CRDJ[Ofc Code]=(TRIM(I$7)))*(CRDJ[Account Code]=(TRIM($D108))),CRDJ[Debit])))+(SUM(IF((GJ[Ofc Code]=(TRIM(I$7)))*(GJ[Account Code]=(TRIM($D108))),GJ[Debit]))))-((SUM(IF((CkDJ[Ofc Code]=(TRIM(I$7)))*(CkDJ[Account Code]=(TRIM($D108))),CkDJ[Credit])))+(SUM(IF((CsDJ[Ofc Code]=(TRIM(I$7)))*(CsDJ[Account Code]=(TRIM($D108))),CsDJ[Credit])))+(SUM(IF((CRDJ[Ofc Code]=(TRIM(I$7)))*(CRDJ[Account Code]=(TRIM($D108))),CRDJ[Credit])))+(SUM(IF((GJ[Ofc Code]=(TRIM(I$7)))*(GJ[Account Code]=(TRIM($D108))),GJ[Credit]))))</f>
        <v>0</v>
      </c>
      <c r="J108" s="211">
        <f>SUM(F108:I108)</f>
        <v>0</v>
      </c>
      <c r="K108" s="211">
        <f t="array" ref="K108">((SUM(IF((CkDJ[Ofc Code]=(TRIM(K$7)))*(CkDJ[Account Code]=(TRIM($D108))),CkDJ[Debit])))+(SUM(IF((CsDJ[Ofc Code]=(TRIM(K$7)))*(CsDJ[Account Code]=(TRIM($D108))),CsDJ[Debit])))+(SUM(IF((CRDJ[Ofc Code]=(TRIM(K$7)))*(CRDJ[Account Code]=(TRIM($D108))),CRDJ[Debit])))+(SUM(IF((GJ[Ofc Code]=(TRIM(K$7)))*(GJ[Account Code]=(TRIM($D108))),GJ[Debit]))))-((SUM(IF((CkDJ[Ofc Code]=(TRIM(K$7)))*(CkDJ[Account Code]=(TRIM($D108))),CkDJ[Credit])))+(SUM(IF((CsDJ[Ofc Code]=(TRIM(K$7)))*(CsDJ[Account Code]=(TRIM($D108))),CsDJ[Credit])))+(SUM(IF((CRDJ[Ofc Code]=(TRIM(K$7)))*(CRDJ[Account Code]=(TRIM($D108))),CRDJ[Credit])))+(SUM(IF((GJ[Ofc Code]=(TRIM(K$7)))*(GJ[Account Code]=(TRIM($D108))),GJ[Credit]))))</f>
        <v>0</v>
      </c>
      <c r="L108" s="211">
        <f t="array" ref="L108">((SUM(IF((CkDJ[Ofc Code]=(TRIM(L$7)))*(CkDJ[Account Code]=(TRIM($D108))),CkDJ[Debit])))+(SUM(IF((CsDJ[Ofc Code]=(TRIM(L$7)))*(CsDJ[Account Code]=(TRIM($D108))),CsDJ[Debit])))+(SUM(IF((CRDJ[Ofc Code]=(TRIM(L$7)))*(CRDJ[Account Code]=(TRIM($D108))),CRDJ[Debit])))+(SUM(IF((GJ[Ofc Code]=(TRIM(L$7)))*(GJ[Account Code]=(TRIM($D108))),GJ[Debit]))))-((SUM(IF((CkDJ[Ofc Code]=(TRIM(L$7)))*(CkDJ[Account Code]=(TRIM($D108))),CkDJ[Credit])))+(SUM(IF((CsDJ[Ofc Code]=(TRIM(L$7)))*(CsDJ[Account Code]=(TRIM($D108))),CsDJ[Credit])))+(SUM(IF((CRDJ[Ofc Code]=(TRIM(L$7)))*(CRDJ[Account Code]=(TRIM($D108))),CRDJ[Credit])))+(SUM(IF((GJ[Ofc Code]=(TRIM(L$7)))*(GJ[Account Code]=(TRIM($D108))),GJ[Credit]))))</f>
        <v>0</v>
      </c>
      <c r="M108" s="211">
        <f t="array" ref="M108">((SUM(IF((CkDJ[Ofc Code]=(TRIM(M$7)))*(CkDJ[Account Code]=(TRIM($D108))),CkDJ[Debit])))+(SUM(IF((CsDJ[Ofc Code]=(TRIM(M$7)))*(CsDJ[Account Code]=(TRIM($D108))),CsDJ[Debit])))+(SUM(IF((CRDJ[Ofc Code]=(TRIM(M$7)))*(CRDJ[Account Code]=(TRIM($D108))),CRDJ[Debit])))+(SUM(IF((GJ[Ofc Code]=(TRIM(M$7)))*(GJ[Account Code]=(TRIM($D108))),GJ[Debit]))))-((SUM(IF((CkDJ[Ofc Code]=(TRIM(M$7)))*(CkDJ[Account Code]=(TRIM($D108))),CkDJ[Credit])))+(SUM(IF((CsDJ[Ofc Code]=(TRIM(M$7)))*(CsDJ[Account Code]=(TRIM($D108))),CsDJ[Credit])))+(SUM(IF((CRDJ[Ofc Code]=(TRIM(M$7)))*(CRDJ[Account Code]=(TRIM($D108))),CRDJ[Credit])))+(SUM(IF((GJ[Ofc Code]=(TRIM(M$7)))*(GJ[Account Code]=(TRIM($D108))),GJ[Credit]))))</f>
        <v>0</v>
      </c>
      <c r="N108" s="211">
        <f t="array" ref="N108">((SUM(IF((CkDJ[Ofc Code]=(TRIM(N$7)))*(CkDJ[Account Code]=(TRIM($D108))),CkDJ[Debit])))+(SUM(IF((CsDJ[Ofc Code]=(TRIM(N$7)))*(CsDJ[Account Code]=(TRIM($D108))),CsDJ[Debit])))+(SUM(IF((CRDJ[Ofc Code]=(TRIM(N$7)))*(CRDJ[Account Code]=(TRIM($D108))),CRDJ[Debit])))+(SUM(IF((GJ[Ofc Code]=(TRIM(N$7)))*(GJ[Account Code]=(TRIM($D108))),GJ[Debit]))))-((SUM(IF((CkDJ[Ofc Code]=(TRIM(N$7)))*(CkDJ[Account Code]=(TRIM($D108))),CkDJ[Credit])))+(SUM(IF((CsDJ[Ofc Code]=(TRIM(N$7)))*(CsDJ[Account Code]=(TRIM($D108))),CsDJ[Credit])))+(SUM(IF((CRDJ[Ofc Code]=(TRIM(N$7)))*(CRDJ[Account Code]=(TRIM($D108))),CRDJ[Credit])))+(SUM(IF((GJ[Ofc Code]=(TRIM(N$7)))*(GJ[Account Code]=(TRIM($D108))),GJ[Credit]))))</f>
        <v>0</v>
      </c>
      <c r="O108" s="211">
        <f>SUM(K108:N108)</f>
        <v>0</v>
      </c>
      <c r="P108" s="211">
        <f t="array" ref="P108">((SUM(IF((CkDJ[Ofc Code]=(TRIM(P$7)))*(CkDJ[Account Code]=(TRIM($D108))),CkDJ[Debit])))+(SUM(IF((CsDJ[Ofc Code]=(TRIM(P$7)))*(CsDJ[Account Code]=(TRIM($D108))),CsDJ[Debit])))+(SUM(IF((CRDJ[Ofc Code]=(TRIM(P$7)))*(CRDJ[Account Code]=(TRIM($D108))),CRDJ[Debit])))+(SUM(IF((GJ[Ofc Code]=(TRIM(P$7)))*(GJ[Account Code]=(TRIM($D108))),GJ[Debit]))))-((SUM(IF((CkDJ[Ofc Code]=(TRIM(P$7)))*(CkDJ[Account Code]=(TRIM($D108))),CkDJ[Credit])))+(SUM(IF((CsDJ[Ofc Code]=(TRIM(P$7)))*(CsDJ[Account Code]=(TRIM($D108))),CsDJ[Credit])))+(SUM(IF((CRDJ[Ofc Code]=(TRIM(P$7)))*(CRDJ[Account Code]=(TRIM($D108))),CRDJ[Credit])))+(SUM(IF((GJ[Ofc Code]=(TRIM(P$7)))*(GJ[Account Code]=(TRIM($D108))),GJ[Credit]))))</f>
        <v>0</v>
      </c>
      <c r="Q108" s="211">
        <f t="array" ref="Q108">((SUM(IF((CkDJ[Ofc Code]=(TRIM(Q$7)))*(CkDJ[Account Code]=(TRIM($D108))),CkDJ[Debit])))+(SUM(IF((CsDJ[Ofc Code]=(TRIM(Q$7)))*(CsDJ[Account Code]=(TRIM($D108))),CsDJ[Debit])))+(SUM(IF((CRDJ[Ofc Code]=(TRIM(Q$7)))*(CRDJ[Account Code]=(TRIM($D108))),CRDJ[Debit])))+(SUM(IF((GJ[Ofc Code]=(TRIM(Q$7)))*(GJ[Account Code]=(TRIM($D108))),GJ[Debit]))))-((SUM(IF((CkDJ[Ofc Code]=(TRIM(Q$7)))*(CkDJ[Account Code]=(TRIM($D108))),CkDJ[Credit])))+(SUM(IF((CsDJ[Ofc Code]=(TRIM(Q$7)))*(CsDJ[Account Code]=(TRIM($D108))),CsDJ[Credit])))+(SUM(IF((CRDJ[Ofc Code]=(TRIM(Q$7)))*(CRDJ[Account Code]=(TRIM($D108))),CRDJ[Credit])))+(SUM(IF((GJ[Ofc Code]=(TRIM(Q$7)))*(GJ[Account Code]=(TRIM($D108))),GJ[Credit]))))</f>
        <v>0</v>
      </c>
      <c r="R108" s="211">
        <f t="array" ref="R108">((SUM(IF((CkDJ[Ofc Code]=(TRIM(R$7)))*(CkDJ[Account Code]=(TRIM($D108))),CkDJ[Debit])))+(SUM(IF((CsDJ[Ofc Code]=(TRIM(R$7)))*(CsDJ[Account Code]=(TRIM($D108))),CsDJ[Debit])))+(SUM(IF((CRDJ[Ofc Code]=(TRIM(R$7)))*(CRDJ[Account Code]=(TRIM($D108))),CRDJ[Debit])))+(SUM(IF((GJ[Ofc Code]=(TRIM(R$7)))*(GJ[Account Code]=(TRIM($D108))),GJ[Debit]))))-((SUM(IF((CkDJ[Ofc Code]=(TRIM(R$7)))*(CkDJ[Account Code]=(TRIM($D108))),CkDJ[Credit])))+(SUM(IF((CsDJ[Ofc Code]=(TRIM(R$7)))*(CsDJ[Account Code]=(TRIM($D108))),CsDJ[Credit])))+(SUM(IF((CRDJ[Ofc Code]=(TRIM(R$7)))*(CRDJ[Account Code]=(TRIM($D108))),CRDJ[Credit])))+(SUM(IF((GJ[Ofc Code]=(TRIM(R$7)))*(GJ[Account Code]=(TRIM($D108))),GJ[Credit]))))</f>
        <v>0</v>
      </c>
      <c r="S108" s="211">
        <f t="array" ref="S108">((SUM(IF((CkDJ[Ofc Code]=(TRIM(S$7)))*(CkDJ[Account Code]=(TRIM($D108))),CkDJ[Debit])))+(SUM(IF((CsDJ[Ofc Code]=(TRIM(S$7)))*(CsDJ[Account Code]=(TRIM($D108))),CsDJ[Debit])))+(SUM(IF((CRDJ[Ofc Code]=(TRIM(S$7)))*(CRDJ[Account Code]=(TRIM($D108))),CRDJ[Debit])))+(SUM(IF((GJ[Ofc Code]=(TRIM(S$7)))*(GJ[Account Code]=(TRIM($D108))),GJ[Debit]))))-((SUM(IF((CkDJ[Ofc Code]=(TRIM(S$7)))*(CkDJ[Account Code]=(TRIM($D108))),CkDJ[Credit])))+(SUM(IF((CsDJ[Ofc Code]=(TRIM(S$7)))*(CsDJ[Account Code]=(TRIM($D108))),CsDJ[Credit])))+(SUM(IF((CRDJ[Ofc Code]=(TRIM(S$7)))*(CRDJ[Account Code]=(TRIM($D108))),CRDJ[Credit])))+(SUM(IF((GJ[Ofc Code]=(TRIM(S$7)))*(GJ[Account Code]=(TRIM($D108))),GJ[Credit]))))</f>
        <v>0</v>
      </c>
      <c r="T108" s="211">
        <f t="array" ref="T108">((SUM(IF((CkDJ[Ofc Code]=(TRIM(T$7)))*(CkDJ[Account Code]=(TRIM($D108))),CkDJ[Debit])))+(SUM(IF((CsDJ[Ofc Code]=(TRIM(T$7)))*(CsDJ[Account Code]=(TRIM($D108))),CsDJ[Debit])))+(SUM(IF((CRDJ[Ofc Code]=(TRIM(T$7)))*(CRDJ[Account Code]=(TRIM($D108))),CRDJ[Debit])))+(SUM(IF((GJ[Ofc Code]=(TRIM(T$7)))*(GJ[Account Code]=(TRIM($D108))),GJ[Debit]))))-((SUM(IF((CkDJ[Ofc Code]=(TRIM(T$7)))*(CkDJ[Account Code]=(TRIM($D108))),CkDJ[Credit])))+(SUM(IF((CsDJ[Ofc Code]=(TRIM(T$7)))*(CsDJ[Account Code]=(TRIM($D108))),CsDJ[Credit])))+(SUM(IF((CRDJ[Ofc Code]=(TRIM(T$7)))*(CRDJ[Account Code]=(TRIM($D108))),CRDJ[Credit])))+(SUM(IF((GJ[Ofc Code]=(TRIM(T$7)))*(GJ[Account Code]=(TRIM($D108))),GJ[Credit]))))</f>
        <v>0</v>
      </c>
      <c r="U108" s="211">
        <f>SUM(P108:T108)</f>
        <v>0</v>
      </c>
      <c r="V108" s="211">
        <f>E108+J108+O108+U108</f>
        <v>0</v>
      </c>
    </row>
    <row r="109" spans="1:22" ht="15">
      <c r="A109" s="212">
        <f t="shared" si="19"/>
        <v>47</v>
      </c>
      <c r="B109" s="194"/>
      <c r="C109" s="194" t="str">
        <f t="shared" si="14"/>
        <v>Bank Charges</v>
      </c>
      <c r="D109" s="207">
        <v>971</v>
      </c>
      <c r="E109" s="211">
        <f t="array" ref="E109">((SUM(IF((CkDJ[Ofc Code]=(TRIM(E$7)))*(CkDJ[Account Code]=(TRIM($D109))),CkDJ[Debit])))+(SUM(IF((CsDJ[Ofc Code]=(TRIM(E$7)))*(CsDJ[Account Code]=(TRIM($D109))),CsDJ[Debit])))+(SUM(IF((CRDJ[Ofc Code]=(TRIM(E$7)))*(CRDJ[Account Code]=(TRIM($D109))),CRDJ[Debit])))+(SUM(IF((GJ[Ofc Code]=(TRIM(E$7)))*(GJ[Account Code]=(TRIM($D109))),GJ[Debit]))))-((SUM(IF((CkDJ[Ofc Code]=(TRIM(E$7)))*(CkDJ[Account Code]=(TRIM($D109))),CkDJ[Credit])))+(SUM(IF((CsDJ[Ofc Code]=(TRIM(E$7)))*(CsDJ[Account Code]=(TRIM($D109))),CsDJ[Credit])))+(SUM(IF((CRDJ[Ofc Code]=(TRIM(E$7)))*(CRDJ[Account Code]=(TRIM($D109))),CRDJ[Credit])))+(SUM(IF((GJ[Ofc Code]=(TRIM(E$7)))*(GJ[Account Code]=(TRIM($D109))),GJ[Credit]))))</f>
        <v>0</v>
      </c>
      <c r="F109" s="211">
        <f t="array" ref="F109">((SUM(IF((CkDJ[Ofc Code]=(TRIM(F$7)))*(CkDJ[Account Code]=(TRIM($D109))),CkDJ[Debit])))+(SUM(IF((CsDJ[Ofc Code]=(TRIM(F$7)))*(CsDJ[Account Code]=(TRIM($D109))),CsDJ[Debit])))+(SUM(IF((CRDJ[Ofc Code]=(TRIM(F$7)))*(CRDJ[Account Code]=(TRIM($D109))),CRDJ[Debit])))+(SUM(IF((GJ[Ofc Code]=(TRIM(F$7)))*(GJ[Account Code]=(TRIM($D109))),GJ[Debit]))))-((SUM(IF((CkDJ[Ofc Code]=(TRIM(F$7)))*(CkDJ[Account Code]=(TRIM($D109))),CkDJ[Credit])))+(SUM(IF((CsDJ[Ofc Code]=(TRIM(F$7)))*(CsDJ[Account Code]=(TRIM($D109))),CsDJ[Credit])))+(SUM(IF((CRDJ[Ofc Code]=(TRIM(F$7)))*(CRDJ[Account Code]=(TRIM($D109))),CRDJ[Credit])))+(SUM(IF((GJ[Ofc Code]=(TRIM(F$7)))*(GJ[Account Code]=(TRIM($D109))),GJ[Credit]))))</f>
        <v>0</v>
      </c>
      <c r="G109" s="211">
        <f t="array" ref="G109">((SUM(IF((CkDJ[Ofc Code]=(TRIM(G$7)))*(CkDJ[Account Code]=(TRIM($D109))),CkDJ[Debit])))+(SUM(IF((CsDJ[Ofc Code]=(TRIM(G$7)))*(CsDJ[Account Code]=(TRIM($D109))),CsDJ[Debit])))+(SUM(IF((CRDJ[Ofc Code]=(TRIM(G$7)))*(CRDJ[Account Code]=(TRIM($D109))),CRDJ[Debit])))+(SUM(IF((GJ[Ofc Code]=(TRIM(G$7)))*(GJ[Account Code]=(TRIM($D109))),GJ[Debit]))))-((SUM(IF((CkDJ[Ofc Code]=(TRIM(G$7)))*(CkDJ[Account Code]=(TRIM($D109))),CkDJ[Credit])))+(SUM(IF((CsDJ[Ofc Code]=(TRIM(G$7)))*(CsDJ[Account Code]=(TRIM($D109))),CsDJ[Credit])))+(SUM(IF((CRDJ[Ofc Code]=(TRIM(G$7)))*(CRDJ[Account Code]=(TRIM($D109))),CRDJ[Credit])))+(SUM(IF((GJ[Ofc Code]=(TRIM(G$7)))*(GJ[Account Code]=(TRIM($D109))),GJ[Credit]))))</f>
        <v>0</v>
      </c>
      <c r="H109" s="211">
        <f t="array" ref="H109">((SUM(IF((CkDJ[Ofc Code]=(TRIM(H$7)))*(CkDJ[Account Code]=(TRIM($D109))),CkDJ[Debit])))+(SUM(IF((CsDJ[Ofc Code]=(TRIM(H$7)))*(CsDJ[Account Code]=(TRIM($D109))),CsDJ[Debit])))+(SUM(IF((CRDJ[Ofc Code]=(TRIM(H$7)))*(CRDJ[Account Code]=(TRIM($D109))),CRDJ[Debit])))+(SUM(IF((GJ[Ofc Code]=(TRIM(H$7)))*(GJ[Account Code]=(TRIM($D109))),GJ[Debit]))))-((SUM(IF((CkDJ[Ofc Code]=(TRIM(H$7)))*(CkDJ[Account Code]=(TRIM($D109))),CkDJ[Credit])))+(SUM(IF((CsDJ[Ofc Code]=(TRIM(H$7)))*(CsDJ[Account Code]=(TRIM($D109))),CsDJ[Credit])))+(SUM(IF((CRDJ[Ofc Code]=(TRIM(H$7)))*(CRDJ[Account Code]=(TRIM($D109))),CRDJ[Credit])))+(SUM(IF((GJ[Ofc Code]=(TRIM(H$7)))*(GJ[Account Code]=(TRIM($D109))),GJ[Credit]))))</f>
        <v>0</v>
      </c>
      <c r="I109" s="211">
        <f t="array" ref="I109">((SUM(IF((CkDJ[Ofc Code]=(TRIM(I$7)))*(CkDJ[Account Code]=(TRIM($D109))),CkDJ[Debit])))+(SUM(IF((CsDJ[Ofc Code]=(TRIM(I$7)))*(CsDJ[Account Code]=(TRIM($D109))),CsDJ[Debit])))+(SUM(IF((CRDJ[Ofc Code]=(TRIM(I$7)))*(CRDJ[Account Code]=(TRIM($D109))),CRDJ[Debit])))+(SUM(IF((GJ[Ofc Code]=(TRIM(I$7)))*(GJ[Account Code]=(TRIM($D109))),GJ[Debit]))))-((SUM(IF((CkDJ[Ofc Code]=(TRIM(I$7)))*(CkDJ[Account Code]=(TRIM($D109))),CkDJ[Credit])))+(SUM(IF((CsDJ[Ofc Code]=(TRIM(I$7)))*(CsDJ[Account Code]=(TRIM($D109))),CsDJ[Credit])))+(SUM(IF((CRDJ[Ofc Code]=(TRIM(I$7)))*(CRDJ[Account Code]=(TRIM($D109))),CRDJ[Credit])))+(SUM(IF((GJ[Ofc Code]=(TRIM(I$7)))*(GJ[Account Code]=(TRIM($D109))),GJ[Credit]))))</f>
        <v>0</v>
      </c>
      <c r="J109" s="211">
        <f t="shared" si="15"/>
        <v>0</v>
      </c>
      <c r="K109" s="211">
        <f t="array" ref="K109">((SUM(IF((CkDJ[Ofc Code]=(TRIM(K$7)))*(CkDJ[Account Code]=(TRIM($D109))),CkDJ[Debit])))+(SUM(IF((CsDJ[Ofc Code]=(TRIM(K$7)))*(CsDJ[Account Code]=(TRIM($D109))),CsDJ[Debit])))+(SUM(IF((CRDJ[Ofc Code]=(TRIM(K$7)))*(CRDJ[Account Code]=(TRIM($D109))),CRDJ[Debit])))+(SUM(IF((GJ[Ofc Code]=(TRIM(K$7)))*(GJ[Account Code]=(TRIM($D109))),GJ[Debit]))))-((SUM(IF((CkDJ[Ofc Code]=(TRIM(K$7)))*(CkDJ[Account Code]=(TRIM($D109))),CkDJ[Credit])))+(SUM(IF((CsDJ[Ofc Code]=(TRIM(K$7)))*(CsDJ[Account Code]=(TRIM($D109))),CsDJ[Credit])))+(SUM(IF((CRDJ[Ofc Code]=(TRIM(K$7)))*(CRDJ[Account Code]=(TRIM($D109))),CRDJ[Credit])))+(SUM(IF((GJ[Ofc Code]=(TRIM(K$7)))*(GJ[Account Code]=(TRIM($D109))),GJ[Credit]))))</f>
        <v>0</v>
      </c>
      <c r="L109" s="211">
        <f t="array" ref="L109">((SUM(IF((CkDJ[Ofc Code]=(TRIM(L$7)))*(CkDJ[Account Code]=(TRIM($D109))),CkDJ[Debit])))+(SUM(IF((CsDJ[Ofc Code]=(TRIM(L$7)))*(CsDJ[Account Code]=(TRIM($D109))),CsDJ[Debit])))+(SUM(IF((CRDJ[Ofc Code]=(TRIM(L$7)))*(CRDJ[Account Code]=(TRIM($D109))),CRDJ[Debit])))+(SUM(IF((GJ[Ofc Code]=(TRIM(L$7)))*(GJ[Account Code]=(TRIM($D109))),GJ[Debit]))))-((SUM(IF((CkDJ[Ofc Code]=(TRIM(L$7)))*(CkDJ[Account Code]=(TRIM($D109))),CkDJ[Credit])))+(SUM(IF((CsDJ[Ofc Code]=(TRIM(L$7)))*(CsDJ[Account Code]=(TRIM($D109))),CsDJ[Credit])))+(SUM(IF((CRDJ[Ofc Code]=(TRIM(L$7)))*(CRDJ[Account Code]=(TRIM($D109))),CRDJ[Credit])))+(SUM(IF((GJ[Ofc Code]=(TRIM(L$7)))*(GJ[Account Code]=(TRIM($D109))),GJ[Credit]))))</f>
        <v>0</v>
      </c>
      <c r="M109" s="211">
        <f t="array" ref="M109">((SUM(IF((CkDJ[Ofc Code]=(TRIM(M$7)))*(CkDJ[Account Code]=(TRIM($D109))),CkDJ[Debit])))+(SUM(IF((CsDJ[Ofc Code]=(TRIM(M$7)))*(CsDJ[Account Code]=(TRIM($D109))),CsDJ[Debit])))+(SUM(IF((CRDJ[Ofc Code]=(TRIM(M$7)))*(CRDJ[Account Code]=(TRIM($D109))),CRDJ[Debit])))+(SUM(IF((GJ[Ofc Code]=(TRIM(M$7)))*(GJ[Account Code]=(TRIM($D109))),GJ[Debit]))))-((SUM(IF((CkDJ[Ofc Code]=(TRIM(M$7)))*(CkDJ[Account Code]=(TRIM($D109))),CkDJ[Credit])))+(SUM(IF((CsDJ[Ofc Code]=(TRIM(M$7)))*(CsDJ[Account Code]=(TRIM($D109))),CsDJ[Credit])))+(SUM(IF((CRDJ[Ofc Code]=(TRIM(M$7)))*(CRDJ[Account Code]=(TRIM($D109))),CRDJ[Credit])))+(SUM(IF((GJ[Ofc Code]=(TRIM(M$7)))*(GJ[Account Code]=(TRIM($D109))),GJ[Credit]))))</f>
        <v>0</v>
      </c>
      <c r="N109" s="211">
        <f t="array" ref="N109">((SUM(IF((CkDJ[Ofc Code]=(TRIM(N$7)))*(CkDJ[Account Code]=(TRIM($D109))),CkDJ[Debit])))+(SUM(IF((CsDJ[Ofc Code]=(TRIM(N$7)))*(CsDJ[Account Code]=(TRIM($D109))),CsDJ[Debit])))+(SUM(IF((CRDJ[Ofc Code]=(TRIM(N$7)))*(CRDJ[Account Code]=(TRIM($D109))),CRDJ[Debit])))+(SUM(IF((GJ[Ofc Code]=(TRIM(N$7)))*(GJ[Account Code]=(TRIM($D109))),GJ[Debit]))))-((SUM(IF((CkDJ[Ofc Code]=(TRIM(N$7)))*(CkDJ[Account Code]=(TRIM($D109))),CkDJ[Credit])))+(SUM(IF((CsDJ[Ofc Code]=(TRIM(N$7)))*(CsDJ[Account Code]=(TRIM($D109))),CsDJ[Credit])))+(SUM(IF((CRDJ[Ofc Code]=(TRIM(N$7)))*(CRDJ[Account Code]=(TRIM($D109))),CRDJ[Credit])))+(SUM(IF((GJ[Ofc Code]=(TRIM(N$7)))*(GJ[Account Code]=(TRIM($D109))),GJ[Credit]))))</f>
        <v>0</v>
      </c>
      <c r="O109" s="211">
        <f t="shared" si="16"/>
        <v>0</v>
      </c>
      <c r="P109" s="211">
        <f t="array" ref="P109">((SUM(IF((CkDJ[Ofc Code]=(TRIM(P$7)))*(CkDJ[Account Code]=(TRIM($D109))),CkDJ[Debit])))+(SUM(IF((CsDJ[Ofc Code]=(TRIM(P$7)))*(CsDJ[Account Code]=(TRIM($D109))),CsDJ[Debit])))+(SUM(IF((CRDJ[Ofc Code]=(TRIM(P$7)))*(CRDJ[Account Code]=(TRIM($D109))),CRDJ[Debit])))+(SUM(IF((GJ[Ofc Code]=(TRIM(P$7)))*(GJ[Account Code]=(TRIM($D109))),GJ[Debit]))))-((SUM(IF((CkDJ[Ofc Code]=(TRIM(P$7)))*(CkDJ[Account Code]=(TRIM($D109))),CkDJ[Credit])))+(SUM(IF((CsDJ[Ofc Code]=(TRIM(P$7)))*(CsDJ[Account Code]=(TRIM($D109))),CsDJ[Credit])))+(SUM(IF((CRDJ[Ofc Code]=(TRIM(P$7)))*(CRDJ[Account Code]=(TRIM($D109))),CRDJ[Credit])))+(SUM(IF((GJ[Ofc Code]=(TRIM(P$7)))*(GJ[Account Code]=(TRIM($D109))),GJ[Credit]))))</f>
        <v>0</v>
      </c>
      <c r="Q109" s="211">
        <f t="array" ref="Q109">((SUM(IF((CkDJ[Ofc Code]=(TRIM(Q$7)))*(CkDJ[Account Code]=(TRIM($D109))),CkDJ[Debit])))+(SUM(IF((CsDJ[Ofc Code]=(TRIM(Q$7)))*(CsDJ[Account Code]=(TRIM($D109))),CsDJ[Debit])))+(SUM(IF((CRDJ[Ofc Code]=(TRIM(Q$7)))*(CRDJ[Account Code]=(TRIM($D109))),CRDJ[Debit])))+(SUM(IF((GJ[Ofc Code]=(TRIM(Q$7)))*(GJ[Account Code]=(TRIM($D109))),GJ[Debit]))))-((SUM(IF((CkDJ[Ofc Code]=(TRIM(Q$7)))*(CkDJ[Account Code]=(TRIM($D109))),CkDJ[Credit])))+(SUM(IF((CsDJ[Ofc Code]=(TRIM(Q$7)))*(CsDJ[Account Code]=(TRIM($D109))),CsDJ[Credit])))+(SUM(IF((CRDJ[Ofc Code]=(TRIM(Q$7)))*(CRDJ[Account Code]=(TRIM($D109))),CRDJ[Credit])))+(SUM(IF((GJ[Ofc Code]=(TRIM(Q$7)))*(GJ[Account Code]=(TRIM($D109))),GJ[Credit]))))</f>
        <v>0</v>
      </c>
      <c r="R109" s="211">
        <f t="array" ref="R109">((SUM(IF((CkDJ[Ofc Code]=(TRIM(R$7)))*(CkDJ[Account Code]=(TRIM($D109))),CkDJ[Debit])))+(SUM(IF((CsDJ[Ofc Code]=(TRIM(R$7)))*(CsDJ[Account Code]=(TRIM($D109))),CsDJ[Debit])))+(SUM(IF((CRDJ[Ofc Code]=(TRIM(R$7)))*(CRDJ[Account Code]=(TRIM($D109))),CRDJ[Debit])))+(SUM(IF((GJ[Ofc Code]=(TRIM(R$7)))*(GJ[Account Code]=(TRIM($D109))),GJ[Debit]))))-((SUM(IF((CkDJ[Ofc Code]=(TRIM(R$7)))*(CkDJ[Account Code]=(TRIM($D109))),CkDJ[Credit])))+(SUM(IF((CsDJ[Ofc Code]=(TRIM(R$7)))*(CsDJ[Account Code]=(TRIM($D109))),CsDJ[Credit])))+(SUM(IF((CRDJ[Ofc Code]=(TRIM(R$7)))*(CRDJ[Account Code]=(TRIM($D109))),CRDJ[Credit])))+(SUM(IF((GJ[Ofc Code]=(TRIM(R$7)))*(GJ[Account Code]=(TRIM($D109))),GJ[Credit]))))</f>
        <v>0</v>
      </c>
      <c r="S109" s="211">
        <f t="array" ref="S109">((SUM(IF((CkDJ[Ofc Code]=(TRIM(S$7)))*(CkDJ[Account Code]=(TRIM($D109))),CkDJ[Debit])))+(SUM(IF((CsDJ[Ofc Code]=(TRIM(S$7)))*(CsDJ[Account Code]=(TRIM($D109))),CsDJ[Debit])))+(SUM(IF((CRDJ[Ofc Code]=(TRIM(S$7)))*(CRDJ[Account Code]=(TRIM($D109))),CRDJ[Debit])))+(SUM(IF((GJ[Ofc Code]=(TRIM(S$7)))*(GJ[Account Code]=(TRIM($D109))),GJ[Debit]))))-((SUM(IF((CkDJ[Ofc Code]=(TRIM(S$7)))*(CkDJ[Account Code]=(TRIM($D109))),CkDJ[Credit])))+(SUM(IF((CsDJ[Ofc Code]=(TRIM(S$7)))*(CsDJ[Account Code]=(TRIM($D109))),CsDJ[Credit])))+(SUM(IF((CRDJ[Ofc Code]=(TRIM(S$7)))*(CRDJ[Account Code]=(TRIM($D109))),CRDJ[Credit])))+(SUM(IF((GJ[Ofc Code]=(TRIM(S$7)))*(GJ[Account Code]=(TRIM($D109))),GJ[Credit]))))</f>
        <v>0</v>
      </c>
      <c r="T109" s="211">
        <f t="array" ref="T109">((SUM(IF((CkDJ[Ofc Code]=(TRIM(T$7)))*(CkDJ[Account Code]=(TRIM($D109))),CkDJ[Debit])))+(SUM(IF((CsDJ[Ofc Code]=(TRIM(T$7)))*(CsDJ[Account Code]=(TRIM($D109))),CsDJ[Debit])))+(SUM(IF((CRDJ[Ofc Code]=(TRIM(T$7)))*(CRDJ[Account Code]=(TRIM($D109))),CRDJ[Debit])))+(SUM(IF((GJ[Ofc Code]=(TRIM(T$7)))*(GJ[Account Code]=(TRIM($D109))),GJ[Debit]))))-((SUM(IF((CkDJ[Ofc Code]=(TRIM(T$7)))*(CkDJ[Account Code]=(TRIM($D109))),CkDJ[Credit])))+(SUM(IF((CsDJ[Ofc Code]=(TRIM(T$7)))*(CsDJ[Account Code]=(TRIM($D109))),CsDJ[Credit])))+(SUM(IF((CRDJ[Ofc Code]=(TRIM(T$7)))*(CRDJ[Account Code]=(TRIM($D109))),CRDJ[Credit])))+(SUM(IF((GJ[Ofc Code]=(TRIM(T$7)))*(GJ[Account Code]=(TRIM($D109))),GJ[Credit]))))</f>
        <v>0</v>
      </c>
      <c r="U109" s="211">
        <f t="shared" si="17"/>
        <v>0</v>
      </c>
      <c r="V109" s="211">
        <f t="shared" si="18"/>
        <v>0</v>
      </c>
    </row>
    <row r="110" spans="1:22" ht="15">
      <c r="A110" s="1326" t="s">
        <v>755</v>
      </c>
      <c r="B110" s="1327"/>
      <c r="C110" s="1327"/>
      <c r="D110" s="210"/>
      <c r="E110" s="208">
        <f t="shared" ref="E110:V110" si="20">SUM(E63:E109)</f>
        <v>0</v>
      </c>
      <c r="F110" s="208">
        <f t="shared" si="20"/>
        <v>0</v>
      </c>
      <c r="G110" s="208">
        <f>SUM(G63:G109)</f>
        <v>0</v>
      </c>
      <c r="H110" s="208">
        <f t="shared" si="20"/>
        <v>0</v>
      </c>
      <c r="I110" s="208">
        <f t="shared" si="20"/>
        <v>0</v>
      </c>
      <c r="J110" s="208">
        <f t="shared" si="20"/>
        <v>0</v>
      </c>
      <c r="K110" s="208">
        <f t="shared" si="20"/>
        <v>0</v>
      </c>
      <c r="L110" s="208">
        <f t="shared" si="20"/>
        <v>0</v>
      </c>
      <c r="M110" s="208">
        <f t="shared" si="20"/>
        <v>0</v>
      </c>
      <c r="N110" s="208">
        <f t="shared" si="20"/>
        <v>0</v>
      </c>
      <c r="O110" s="208">
        <f t="shared" si="20"/>
        <v>0</v>
      </c>
      <c r="P110" s="208">
        <f t="shared" si="20"/>
        <v>0</v>
      </c>
      <c r="Q110" s="208">
        <f t="shared" si="20"/>
        <v>0</v>
      </c>
      <c r="R110" s="208">
        <f t="shared" si="20"/>
        <v>0</v>
      </c>
      <c r="S110" s="208">
        <f t="shared" si="20"/>
        <v>0</v>
      </c>
      <c r="T110" s="208">
        <f t="shared" si="20"/>
        <v>0</v>
      </c>
      <c r="U110" s="208">
        <f t="shared" si="20"/>
        <v>0</v>
      </c>
      <c r="V110" s="208">
        <f t="shared" si="20"/>
        <v>0</v>
      </c>
    </row>
    <row r="111" spans="1:22" ht="15">
      <c r="A111" s="1326" t="s">
        <v>754</v>
      </c>
      <c r="B111" s="1327"/>
      <c r="C111" s="1327"/>
      <c r="D111" s="210"/>
      <c r="E111" s="208">
        <f t="shared" ref="E111:V111" si="21">E61+E110</f>
        <v>0</v>
      </c>
      <c r="F111" s="208">
        <f t="shared" si="21"/>
        <v>0</v>
      </c>
      <c r="G111" s="208">
        <f t="shared" si="21"/>
        <v>0</v>
      </c>
      <c r="H111" s="208">
        <f t="shared" si="21"/>
        <v>0</v>
      </c>
      <c r="I111" s="208">
        <f t="shared" si="21"/>
        <v>0</v>
      </c>
      <c r="J111" s="208">
        <f t="shared" si="21"/>
        <v>0</v>
      </c>
      <c r="K111" s="208">
        <f t="shared" si="21"/>
        <v>0</v>
      </c>
      <c r="L111" s="208">
        <f t="shared" si="21"/>
        <v>0</v>
      </c>
      <c r="M111" s="208">
        <f t="shared" si="21"/>
        <v>0</v>
      </c>
      <c r="N111" s="208">
        <f t="shared" si="21"/>
        <v>0</v>
      </c>
      <c r="O111" s="208">
        <f t="shared" si="21"/>
        <v>0</v>
      </c>
      <c r="P111" s="208">
        <f t="shared" si="21"/>
        <v>0</v>
      </c>
      <c r="Q111" s="208">
        <f t="shared" si="21"/>
        <v>0</v>
      </c>
      <c r="R111" s="208">
        <f t="shared" si="21"/>
        <v>0</v>
      </c>
      <c r="S111" s="208">
        <f t="shared" si="21"/>
        <v>0</v>
      </c>
      <c r="T111" s="208">
        <f t="shared" si="21"/>
        <v>0</v>
      </c>
      <c r="U111" s="208">
        <f t="shared" si="21"/>
        <v>0</v>
      </c>
      <c r="V111" s="208">
        <f t="shared" si="21"/>
        <v>0</v>
      </c>
    </row>
    <row r="112" spans="1:22" ht="14.25">
      <c r="A112" s="1326" t="s">
        <v>753</v>
      </c>
      <c r="B112" s="1327"/>
      <c r="C112" s="1327"/>
      <c r="D112" s="209"/>
      <c r="E112" s="463">
        <f t="shared" ref="E112:V112" si="22">E36-E111</f>
        <v>0</v>
      </c>
      <c r="F112" s="463">
        <f t="shared" si="22"/>
        <v>0</v>
      </c>
      <c r="G112" s="463">
        <f t="shared" si="22"/>
        <v>0</v>
      </c>
      <c r="H112" s="463">
        <f t="shared" si="22"/>
        <v>0</v>
      </c>
      <c r="I112" s="463">
        <f t="shared" si="22"/>
        <v>0</v>
      </c>
      <c r="J112" s="463">
        <f t="shared" si="22"/>
        <v>0</v>
      </c>
      <c r="K112" s="463">
        <f t="shared" si="22"/>
        <v>0</v>
      </c>
      <c r="L112" s="463">
        <f t="shared" si="22"/>
        <v>0</v>
      </c>
      <c r="M112" s="463">
        <f t="shared" si="22"/>
        <v>0</v>
      </c>
      <c r="N112" s="463">
        <f t="shared" si="22"/>
        <v>0</v>
      </c>
      <c r="O112" s="463">
        <f t="shared" si="22"/>
        <v>0</v>
      </c>
      <c r="P112" s="463">
        <f t="shared" si="22"/>
        <v>0</v>
      </c>
      <c r="Q112" s="463">
        <f t="shared" si="22"/>
        <v>0</v>
      </c>
      <c r="R112" s="463">
        <f t="shared" si="22"/>
        <v>0</v>
      </c>
      <c r="S112" s="463">
        <f t="shared" si="22"/>
        <v>0</v>
      </c>
      <c r="T112" s="463">
        <f t="shared" si="22"/>
        <v>0</v>
      </c>
      <c r="U112" s="463">
        <f t="shared" si="22"/>
        <v>0</v>
      </c>
      <c r="V112" s="463">
        <f t="shared" si="22"/>
        <v>0</v>
      </c>
    </row>
    <row r="113" spans="1:22" ht="14.25">
      <c r="A113" s="1326" t="s">
        <v>749</v>
      </c>
      <c r="B113" s="1327"/>
      <c r="C113" s="1327"/>
      <c r="D113" s="209"/>
      <c r="E113" s="463" t="e">
        <f t="shared" ref="E113:V113" si="23">E36/E111</f>
        <v>#DIV/0!</v>
      </c>
      <c r="F113" s="463" t="e">
        <f t="shared" si="23"/>
        <v>#DIV/0!</v>
      </c>
      <c r="G113" s="463" t="e">
        <f t="shared" si="23"/>
        <v>#DIV/0!</v>
      </c>
      <c r="H113" s="463" t="e">
        <f t="shared" si="23"/>
        <v>#DIV/0!</v>
      </c>
      <c r="I113" s="463" t="e">
        <f t="shared" si="23"/>
        <v>#DIV/0!</v>
      </c>
      <c r="J113" s="463" t="e">
        <f t="shared" si="23"/>
        <v>#DIV/0!</v>
      </c>
      <c r="K113" s="463" t="e">
        <f t="shared" si="23"/>
        <v>#DIV/0!</v>
      </c>
      <c r="L113" s="463" t="e">
        <f t="shared" si="23"/>
        <v>#DIV/0!</v>
      </c>
      <c r="M113" s="463" t="e">
        <f t="shared" si="23"/>
        <v>#DIV/0!</v>
      </c>
      <c r="N113" s="463" t="e">
        <f t="shared" si="23"/>
        <v>#DIV/0!</v>
      </c>
      <c r="O113" s="463" t="e">
        <f t="shared" si="23"/>
        <v>#DIV/0!</v>
      </c>
      <c r="P113" s="463" t="e">
        <f t="shared" si="23"/>
        <v>#DIV/0!</v>
      </c>
      <c r="Q113" s="463" t="e">
        <f t="shared" si="23"/>
        <v>#DIV/0!</v>
      </c>
      <c r="R113" s="463" t="e">
        <f t="shared" si="23"/>
        <v>#DIV/0!</v>
      </c>
      <c r="S113" s="463" t="e">
        <f t="shared" si="23"/>
        <v>#DIV/0!</v>
      </c>
      <c r="T113" s="463" t="e">
        <f t="shared" si="23"/>
        <v>#DIV/0!</v>
      </c>
      <c r="U113" s="463" t="e">
        <f t="shared" si="23"/>
        <v>#DIV/0!</v>
      </c>
      <c r="V113" s="463" t="e">
        <f t="shared" si="23"/>
        <v>#DIV/0!</v>
      </c>
    </row>
    <row r="114" spans="1:22" ht="15" hidden="1">
      <c r="A114" s="1326" t="s">
        <v>752</v>
      </c>
      <c r="B114" s="1327"/>
      <c r="C114" s="1327"/>
      <c r="D114" s="207"/>
      <c r="E114" s="206">
        <f>-E112</f>
        <v>0</v>
      </c>
      <c r="F114" s="206" t="e">
        <f>+(F61)/(V61-E61)*E112</f>
        <v>#DIV/0!</v>
      </c>
      <c r="G114" s="206" t="e">
        <f>+(G61)/(#REF!-F61)*F112</f>
        <v>#REF!</v>
      </c>
      <c r="H114" s="206" t="e">
        <f>+(H61)/(V61-E61)*E112</f>
        <v>#DIV/0!</v>
      </c>
      <c r="I114" s="206" t="e">
        <f>+(I61)/(V61-E61)*E112</f>
        <v>#DIV/0!</v>
      </c>
      <c r="J114" s="206" t="e">
        <f>+(J61)/(V61-E61)*E112</f>
        <v>#DIV/0!</v>
      </c>
      <c r="K114" s="206" t="e">
        <f>+(K61)/(V61-E61)*E112</f>
        <v>#DIV/0!</v>
      </c>
      <c r="L114" s="206" t="e">
        <f>+(L61)/(V61-E61)*E112</f>
        <v>#DIV/0!</v>
      </c>
      <c r="M114" s="206" t="e">
        <f>+(M61)/(V61-E61)*E112</f>
        <v>#DIV/0!</v>
      </c>
      <c r="N114" s="206" t="e">
        <f>+(N61)/(V61-E61)*E112</f>
        <v>#DIV/0!</v>
      </c>
      <c r="O114" s="206" t="e">
        <f>+(O61)/(V61-E61)*E112</f>
        <v>#DIV/0!</v>
      </c>
      <c r="P114" s="206" t="e">
        <f>+(P61)/(V61-E61)*E112</f>
        <v>#DIV/0!</v>
      </c>
      <c r="Q114" s="206" t="e">
        <f>+(Q61)/(V61-E61)*E112</f>
        <v>#DIV/0!</v>
      </c>
      <c r="R114" s="206" t="e">
        <f>+(R61)/(V61-E61)*E112</f>
        <v>#DIV/0!</v>
      </c>
      <c r="S114" s="206" t="e">
        <f>+(S61)/(V61-E61)*E112</f>
        <v>#DIV/0!</v>
      </c>
      <c r="T114" s="206" t="e">
        <f>+(T61)/(V61-E61)*E112</f>
        <v>#DIV/0!</v>
      </c>
      <c r="U114" s="206" t="e">
        <f>+(U61)/(V61-E61)*E112</f>
        <v>#DIV/0!</v>
      </c>
      <c r="V114" s="204" t="e">
        <f>J114+O114+U114+E114</f>
        <v>#DIV/0!</v>
      </c>
    </row>
    <row r="115" spans="1:22" ht="15" hidden="1">
      <c r="A115" s="1326" t="s">
        <v>751</v>
      </c>
      <c r="B115" s="1327"/>
      <c r="C115" s="1327"/>
      <c r="D115" s="205"/>
      <c r="E115" s="204">
        <f>-E112-E114</f>
        <v>0</v>
      </c>
      <c r="F115" s="204" t="e">
        <f t="shared" ref="F115:V115" si="24">F112+F114</f>
        <v>#DIV/0!</v>
      </c>
      <c r="G115" s="204" t="e">
        <f>G112+G114</f>
        <v>#REF!</v>
      </c>
      <c r="H115" s="204" t="e">
        <f t="shared" si="24"/>
        <v>#DIV/0!</v>
      </c>
      <c r="I115" s="204" t="e">
        <f t="shared" si="24"/>
        <v>#DIV/0!</v>
      </c>
      <c r="J115" s="204" t="e">
        <f t="shared" si="24"/>
        <v>#DIV/0!</v>
      </c>
      <c r="K115" s="204" t="e">
        <f t="shared" si="24"/>
        <v>#DIV/0!</v>
      </c>
      <c r="L115" s="204" t="e">
        <f t="shared" si="24"/>
        <v>#DIV/0!</v>
      </c>
      <c r="M115" s="204" t="e">
        <f t="shared" si="24"/>
        <v>#DIV/0!</v>
      </c>
      <c r="N115" s="204" t="e">
        <f t="shared" si="24"/>
        <v>#DIV/0!</v>
      </c>
      <c r="O115" s="204" t="e">
        <f t="shared" si="24"/>
        <v>#DIV/0!</v>
      </c>
      <c r="P115" s="204" t="e">
        <f t="shared" si="24"/>
        <v>#DIV/0!</v>
      </c>
      <c r="Q115" s="204" t="e">
        <f t="shared" si="24"/>
        <v>#DIV/0!</v>
      </c>
      <c r="R115" s="204" t="e">
        <f t="shared" si="24"/>
        <v>#DIV/0!</v>
      </c>
      <c r="S115" s="204" t="e">
        <f t="shared" si="24"/>
        <v>#DIV/0!</v>
      </c>
      <c r="T115" s="204" t="e">
        <f t="shared" si="24"/>
        <v>#DIV/0!</v>
      </c>
      <c r="U115" s="204" t="e">
        <f t="shared" si="24"/>
        <v>#DIV/0!</v>
      </c>
      <c r="V115" s="204" t="e">
        <f t="shared" si="24"/>
        <v>#DIV/0!</v>
      </c>
    </row>
    <row r="116" spans="1:22" s="199" customFormat="1" ht="15" hidden="1" thickBot="1">
      <c r="A116" s="1341" t="s">
        <v>749</v>
      </c>
      <c r="B116" s="1342"/>
      <c r="C116" s="1342"/>
      <c r="D116" s="201"/>
      <c r="E116" s="200" t="e">
        <f t="shared" ref="E116:V116" si="25">E36/(E111-E114)</f>
        <v>#DIV/0!</v>
      </c>
      <c r="F116" s="200" t="e">
        <f t="shared" si="25"/>
        <v>#DIV/0!</v>
      </c>
      <c r="G116" s="200" t="e">
        <f t="shared" si="25"/>
        <v>#REF!</v>
      </c>
      <c r="H116" s="200" t="e">
        <f t="shared" si="25"/>
        <v>#DIV/0!</v>
      </c>
      <c r="I116" s="200" t="e">
        <f t="shared" si="25"/>
        <v>#DIV/0!</v>
      </c>
      <c r="J116" s="200" t="e">
        <f t="shared" si="25"/>
        <v>#DIV/0!</v>
      </c>
      <c r="K116" s="200" t="e">
        <f t="shared" si="25"/>
        <v>#DIV/0!</v>
      </c>
      <c r="L116" s="200" t="e">
        <f t="shared" si="25"/>
        <v>#DIV/0!</v>
      </c>
      <c r="M116" s="200" t="e">
        <f t="shared" si="25"/>
        <v>#DIV/0!</v>
      </c>
      <c r="N116" s="200" t="e">
        <f t="shared" si="25"/>
        <v>#DIV/0!</v>
      </c>
      <c r="O116" s="200" t="e">
        <f t="shared" si="25"/>
        <v>#DIV/0!</v>
      </c>
      <c r="P116" s="200" t="e">
        <f t="shared" si="25"/>
        <v>#DIV/0!</v>
      </c>
      <c r="Q116" s="200" t="e">
        <f t="shared" si="25"/>
        <v>#DIV/0!</v>
      </c>
      <c r="R116" s="200" t="e">
        <f t="shared" si="25"/>
        <v>#DIV/0!</v>
      </c>
      <c r="S116" s="200" t="e">
        <f t="shared" si="25"/>
        <v>#DIV/0!</v>
      </c>
      <c r="T116" s="200" t="e">
        <f t="shared" si="25"/>
        <v>#DIV/0!</v>
      </c>
      <c r="U116" s="200" t="e">
        <f t="shared" si="25"/>
        <v>#DIV/0!</v>
      </c>
      <c r="V116" s="200" t="e">
        <f t="shared" si="25"/>
        <v>#DIV/0!</v>
      </c>
    </row>
    <row r="117" spans="1:22" ht="15.75">
      <c r="A117" s="25"/>
      <c r="B117" s="25"/>
      <c r="C117" s="25"/>
      <c r="D117" s="198"/>
      <c r="E117" s="25"/>
      <c r="F117" s="25"/>
      <c r="G117" s="25"/>
      <c r="J117" s="25"/>
      <c r="N117" s="25"/>
      <c r="P117" s="25"/>
      <c r="Q117" s="25"/>
      <c r="R117" s="25"/>
      <c r="S117" s="25"/>
      <c r="T117" s="25"/>
      <c r="U117" s="25"/>
    </row>
    <row r="118" spans="1:22" ht="15.75">
      <c r="A118" s="298"/>
      <c r="B118" s="299"/>
      <c r="C118" s="1" t="s">
        <v>482</v>
      </c>
      <c r="D118" s="196"/>
      <c r="E118" s="194"/>
      <c r="F118" s="194"/>
      <c r="G118" s="194"/>
      <c r="J118" s="194"/>
      <c r="P118" s="25" t="s">
        <v>748</v>
      </c>
      <c r="R118" s="25" t="s">
        <v>747</v>
      </c>
      <c r="S118" s="194"/>
      <c r="U118" s="25" t="s">
        <v>746</v>
      </c>
    </row>
    <row r="119" spans="1:22" ht="15">
      <c r="A119" s="298"/>
      <c r="B119" s="298"/>
      <c r="C119" s="197"/>
      <c r="D119" s="196"/>
      <c r="E119" s="194"/>
      <c r="F119" s="194"/>
      <c r="G119" s="194"/>
      <c r="J119" s="194"/>
      <c r="P119" s="194"/>
      <c r="R119" s="194"/>
      <c r="S119" s="194"/>
    </row>
    <row r="120" spans="1:22" ht="15.75">
      <c r="A120" s="299"/>
      <c r="B120" s="299"/>
      <c r="C120" s="1261" t="s">
        <v>483</v>
      </c>
      <c r="D120" s="1261"/>
      <c r="E120" s="171"/>
      <c r="F120" s="171"/>
      <c r="G120" s="171"/>
      <c r="J120" s="167"/>
      <c r="N120" s="171"/>
      <c r="P120" s="1320" t="s">
        <v>745</v>
      </c>
      <c r="Q120" s="1320"/>
      <c r="R120" s="1320" t="s">
        <v>3</v>
      </c>
      <c r="S120" s="1320"/>
      <c r="T120" s="1320"/>
      <c r="U120" s="1320" t="s">
        <v>744</v>
      </c>
      <c r="V120" s="1320"/>
    </row>
    <row r="121" spans="1:22" ht="15.75">
      <c r="A121" s="299"/>
      <c r="B121" s="299"/>
      <c r="C121" s="1340" t="s">
        <v>743</v>
      </c>
      <c r="D121" s="1340"/>
      <c r="E121" s="25"/>
      <c r="F121" s="25"/>
      <c r="G121" s="25"/>
      <c r="J121" s="52"/>
      <c r="N121" s="194"/>
      <c r="P121" s="1321" t="s">
        <v>742</v>
      </c>
      <c r="Q121" s="1321"/>
      <c r="R121" s="1321" t="s">
        <v>464</v>
      </c>
      <c r="S121" s="1321"/>
      <c r="T121" s="1321"/>
      <c r="U121" s="1339" t="s">
        <v>741</v>
      </c>
      <c r="V121" s="1339"/>
    </row>
  </sheetData>
  <mergeCells count="30">
    <mergeCell ref="U120:V120"/>
    <mergeCell ref="P121:Q121"/>
    <mergeCell ref="R121:T121"/>
    <mergeCell ref="U121:V121"/>
    <mergeCell ref="A112:C112"/>
    <mergeCell ref="C120:D120"/>
    <mergeCell ref="C121:D121"/>
    <mergeCell ref="P120:Q120"/>
    <mergeCell ref="R120:T120"/>
    <mergeCell ref="A113:C113"/>
    <mergeCell ref="A114:C114"/>
    <mergeCell ref="A115:C115"/>
    <mergeCell ref="A116:C116"/>
    <mergeCell ref="F5:J5"/>
    <mergeCell ref="K5:O5"/>
    <mergeCell ref="P5:U5"/>
    <mergeCell ref="V5:V6"/>
    <mergeCell ref="A36:C36"/>
    <mergeCell ref="A7:C7"/>
    <mergeCell ref="E5:E6"/>
    <mergeCell ref="A2:D2"/>
    <mergeCell ref="A3:D3"/>
    <mergeCell ref="A4:D4"/>
    <mergeCell ref="A5:C6"/>
    <mergeCell ref="D5:D6"/>
    <mergeCell ref="A37:C37"/>
    <mergeCell ref="A61:C61"/>
    <mergeCell ref="A62:C62"/>
    <mergeCell ref="A110:C110"/>
    <mergeCell ref="A111:C111"/>
  </mergeCells>
  <pageMargins left="0.25" right="1.35" top="0.25" bottom="0.3" header="0.3" footer="0.25"/>
  <pageSetup paperSize="132" scale="65" orientation="landscape" horizontalDpi="4294967293" verticalDpi="4294967293" r:id="rId1"/>
  <headerFooter>
    <oddFoote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
  <sheetViews>
    <sheetView workbookViewId="0"/>
  </sheetViews>
  <sheetFormatPr defaultColWidth="9" defaultRowHeight="12.75"/>
  <cols>
    <col min="1" max="1" width="5.375" style="192" customWidth="1"/>
    <col min="2" max="2" width="1.625" style="192" customWidth="1"/>
    <col min="3" max="3" width="51.375" style="192" customWidth="1"/>
    <col min="4" max="4" width="9" style="193"/>
    <col min="5" max="5" width="16.875" style="192" customWidth="1"/>
    <col min="6" max="19" width="15.125" style="192" customWidth="1"/>
    <col min="20" max="20" width="16.125" style="192" customWidth="1"/>
    <col min="21" max="21" width="16.875" style="192" customWidth="1"/>
    <col min="22" max="16384" width="9" style="192"/>
  </cols>
  <sheetData>
    <row r="1" spans="1:21" ht="22.5">
      <c r="A1" s="230" t="s">
        <v>355</v>
      </c>
      <c r="B1" s="230"/>
      <c r="C1" s="230"/>
      <c r="D1" s="229"/>
      <c r="E1" s="228"/>
      <c r="F1" s="228"/>
      <c r="G1" s="228"/>
      <c r="H1" s="228"/>
      <c r="I1" s="228"/>
      <c r="J1" s="228"/>
      <c r="K1" s="228"/>
      <c r="L1" s="228"/>
      <c r="M1" s="228"/>
      <c r="N1" s="228"/>
      <c r="O1" s="228"/>
      <c r="P1" s="228"/>
      <c r="Q1" s="228"/>
      <c r="R1" s="228"/>
      <c r="S1" s="228"/>
      <c r="T1" s="228"/>
      <c r="U1" s="228"/>
    </row>
    <row r="2" spans="1:21" ht="16.5">
      <c r="A2" s="1328" t="s">
        <v>400</v>
      </c>
      <c r="B2" s="1328"/>
      <c r="C2" s="1328"/>
      <c r="D2" s="1328"/>
      <c r="E2" s="228"/>
      <c r="F2" s="228"/>
      <c r="G2" s="228"/>
      <c r="H2" s="228"/>
      <c r="I2" s="228"/>
      <c r="J2" s="228"/>
      <c r="K2" s="228"/>
      <c r="L2" s="228"/>
      <c r="M2" s="228"/>
      <c r="N2" s="228"/>
      <c r="O2" s="228"/>
      <c r="P2" s="228"/>
      <c r="Q2" s="228"/>
      <c r="R2" s="228"/>
      <c r="S2" s="228"/>
      <c r="T2" s="228"/>
      <c r="U2" s="228"/>
    </row>
    <row r="3" spans="1:21" ht="16.5">
      <c r="A3" s="1328" t="s">
        <v>784</v>
      </c>
      <c r="B3" s="1328"/>
      <c r="C3" s="1328"/>
      <c r="D3" s="1328"/>
      <c r="E3" s="227"/>
      <c r="F3" s="227"/>
      <c r="G3" s="227"/>
      <c r="H3" s="227"/>
      <c r="I3" s="227"/>
      <c r="J3" s="227"/>
      <c r="K3" s="227"/>
      <c r="L3" s="227"/>
      <c r="M3" s="227"/>
      <c r="N3" s="227"/>
      <c r="O3" s="227"/>
      <c r="P3" s="227"/>
      <c r="Q3" s="227"/>
      <c r="R3" s="227"/>
      <c r="S3" s="227"/>
      <c r="T3" s="227"/>
      <c r="U3" s="227"/>
    </row>
    <row r="4" spans="1:21" ht="16.5">
      <c r="A4" s="1343">
        <v>43159</v>
      </c>
      <c r="B4" s="1343"/>
      <c r="C4" s="1343"/>
      <c r="D4" s="1343"/>
      <c r="E4" s="227"/>
      <c r="F4" s="227"/>
      <c r="G4" s="227"/>
      <c r="H4" s="227"/>
      <c r="I4" s="227"/>
      <c r="J4" s="227"/>
      <c r="K4" s="227"/>
      <c r="L4" s="227"/>
      <c r="M4" s="227"/>
      <c r="N4" s="227"/>
      <c r="O4" s="227"/>
      <c r="P4" s="227"/>
      <c r="Q4" s="227"/>
      <c r="R4" s="227"/>
      <c r="S4" s="227"/>
      <c r="T4" s="227"/>
      <c r="U4" s="227"/>
    </row>
    <row r="5" spans="1:21" s="225" customFormat="1" ht="14.25">
      <c r="A5" s="1330" t="s">
        <v>783</v>
      </c>
      <c r="B5" s="1330"/>
      <c r="C5" s="1330"/>
      <c r="D5" s="1331" t="s">
        <v>782</v>
      </c>
      <c r="E5" s="1335" t="s">
        <v>781</v>
      </c>
      <c r="F5" s="1332" t="s">
        <v>780</v>
      </c>
      <c r="G5" s="1333"/>
      <c r="H5" s="1333"/>
      <c r="I5" s="1334"/>
      <c r="J5" s="1332" t="s">
        <v>779</v>
      </c>
      <c r="K5" s="1333"/>
      <c r="L5" s="1333"/>
      <c r="M5" s="1333"/>
      <c r="N5" s="1334"/>
      <c r="O5" s="1332" t="s">
        <v>778</v>
      </c>
      <c r="P5" s="1333"/>
      <c r="Q5" s="1333"/>
      <c r="R5" s="1333"/>
      <c r="S5" s="1333"/>
      <c r="T5" s="1334"/>
      <c r="U5" s="1335" t="s">
        <v>717</v>
      </c>
    </row>
    <row r="6" spans="1:21" s="225" customFormat="1" ht="28.5">
      <c r="A6" s="1330"/>
      <c r="B6" s="1330"/>
      <c r="C6" s="1330"/>
      <c r="D6" s="1331"/>
      <c r="E6" s="1335"/>
      <c r="F6" s="226" t="s">
        <v>777</v>
      </c>
      <c r="G6" s="226" t="s">
        <v>776</v>
      </c>
      <c r="H6" s="226" t="s">
        <v>775</v>
      </c>
      <c r="I6" s="226" t="s">
        <v>774</v>
      </c>
      <c r="J6" s="226" t="s">
        <v>773</v>
      </c>
      <c r="K6" s="226" t="s">
        <v>772</v>
      </c>
      <c r="L6" s="226" t="s">
        <v>771</v>
      </c>
      <c r="M6" s="226" t="s">
        <v>770</v>
      </c>
      <c r="N6" s="226" t="s">
        <v>769</v>
      </c>
      <c r="O6" s="226" t="s">
        <v>768</v>
      </c>
      <c r="P6" s="226" t="s">
        <v>767</v>
      </c>
      <c r="Q6" s="226" t="s">
        <v>766</v>
      </c>
      <c r="R6" s="226" t="s">
        <v>765</v>
      </c>
      <c r="S6" s="226" t="s">
        <v>764</v>
      </c>
      <c r="T6" s="226" t="s">
        <v>763</v>
      </c>
      <c r="U6" s="1335"/>
    </row>
    <row r="7" spans="1:21" s="225" customFormat="1" ht="15.75" hidden="1">
      <c r="A7" s="1336"/>
      <c r="B7" s="1337"/>
      <c r="C7" s="1338"/>
      <c r="D7" s="133"/>
      <c r="E7" s="133" t="s">
        <v>494</v>
      </c>
      <c r="F7" s="133" t="s">
        <v>487</v>
      </c>
      <c r="G7" s="133" t="s">
        <v>488</v>
      </c>
      <c r="H7" s="133" t="s">
        <v>505</v>
      </c>
      <c r="I7" s="133" t="s">
        <v>484</v>
      </c>
      <c r="J7" s="133" t="s">
        <v>490</v>
      </c>
      <c r="K7" s="133" t="s">
        <v>492</v>
      </c>
      <c r="L7" s="133" t="s">
        <v>491</v>
      </c>
      <c r="M7" s="133" t="s">
        <v>506</v>
      </c>
      <c r="N7" s="133" t="s">
        <v>485</v>
      </c>
      <c r="O7" s="133" t="s">
        <v>493</v>
      </c>
      <c r="P7" s="133" t="s">
        <v>503</v>
      </c>
      <c r="Q7" s="133" t="s">
        <v>502</v>
      </c>
      <c r="R7" s="133" t="s">
        <v>504</v>
      </c>
      <c r="S7" s="133" t="s">
        <v>507</v>
      </c>
      <c r="T7" s="133" t="s">
        <v>486</v>
      </c>
      <c r="U7" s="133" t="s">
        <v>762</v>
      </c>
    </row>
    <row r="8" spans="1:21" ht="15">
      <c r="A8" s="224" t="s">
        <v>761</v>
      </c>
      <c r="B8" s="194"/>
      <c r="C8" s="194"/>
      <c r="D8" s="223"/>
      <c r="E8" s="222"/>
      <c r="F8" s="222"/>
      <c r="G8" s="222"/>
      <c r="H8" s="222"/>
      <c r="I8" s="222"/>
      <c r="J8" s="222"/>
      <c r="K8" s="222"/>
      <c r="L8" s="222"/>
      <c r="M8" s="222"/>
      <c r="N8" s="222"/>
      <c r="O8" s="222"/>
      <c r="P8" s="222"/>
      <c r="Q8" s="222"/>
      <c r="R8" s="222"/>
      <c r="S8" s="222"/>
      <c r="T8" s="222"/>
      <c r="U8" s="222"/>
    </row>
    <row r="9" spans="1:21" ht="15">
      <c r="A9" s="212">
        <v>1</v>
      </c>
      <c r="B9" s="214" t="s">
        <v>756</v>
      </c>
      <c r="C9" s="194" t="e">
        <f t="shared" ref="C9:C31" si="0">IF(D9=0,"",(VLOOKUP((TRIM(D9)),Code,2,)))</f>
        <v>#N/A</v>
      </c>
      <c r="D9" s="207" t="s">
        <v>125</v>
      </c>
      <c r="E9" s="211">
        <f t="array" ref="E9">(SUM(IF((CkDJ[Date]=$A$4)*(CkDJ[Ofc Code]=(TRIM(E$7)))*(CkDJ[Account Code]=(TRIM($D9))),CkDJ[Credit])))+(SUM(IF((CsDJ[Date]=$A$4)*(CsDJ[Ofc Code]=(TRIM(E$7)))*(CsDJ[Account Code]=(TRIM($D9))),CsDJ[Credit])))+(SUM(IF((CRDJ[Date]=$A$4)*(CRDJ[Ofc Code]=(TRIM(E$7)))*(CRDJ[Account Code]=(TRIM($D9))),CRDJ[Credit])))+(SUM(IF((GJ[Date]=$A$4)*(GJ[Ofc Code]=(TRIM(E$7)))*(GJ[Account Code]=(TRIM($D9))),GJ[Credit])))-(SUM(IF((CkDJ[Date]=$A$4)*(CkDJ[Ofc Code]=(TRIM(E$7)))*(CkDJ[Account Code]=(TRIM($D9))),CkDJ[Debit])))+(SUM(IF((CsDJ[Date]=$A$4)*(CsDJ[Ofc Code]=(TRIM(E$7)))*(CsDJ[Account Code]=(TRIM($D9))),CsDJ[Debit])))+(SUM(IF((CRDJ[Date]=$A$4)*(CRDJ[Ofc Code]=(TRIM(E$7)))*(CRDJ[Account Code]=(TRIM($D9))),CRDJ[Debit])))+(SUM(IF((GJ[Date]=$A$4)*(GJ[Ofc Code]=(TRIM(E$7)))*(GJ[Account Code]=(TRIM($D9))),GJ[Debit])))</f>
        <v>0</v>
      </c>
      <c r="F9" s="211">
        <f t="array" ref="F9">(SUM(IF((CkDJ[Date]=$A$4)*(CkDJ[Ofc Code]=(TRIM(F$7)))*(CkDJ[Account Code]=(TRIM($D9))),CkDJ[Credit])))+(SUM(IF((CsDJ[Date]=$A$4)*(CsDJ[Ofc Code]=(TRIM(F$7)))*(CsDJ[Account Code]=(TRIM($D9))),CsDJ[Credit])))+(SUM(IF((CRDJ[Date]=$A$4)*(CRDJ[Ofc Code]=(TRIM(F$7)))*(CRDJ[Account Code]=(TRIM($D9))),CRDJ[Credit])))+(SUM(IF((GJ[Date]=$A$4)*(GJ[Ofc Code]=(TRIM(F$7)))*(GJ[Account Code]=(TRIM($D9))),GJ[Credit])))-(SUM(IF((CkDJ[Date]=$A$4)*(CkDJ[Ofc Code]=(TRIM(F$7)))*(CkDJ[Account Code]=(TRIM($D9))),CkDJ[Debit])))+(SUM(IF((CsDJ[Date]=$A$4)*(CsDJ[Ofc Code]=(TRIM(F$7)))*(CsDJ[Account Code]=(TRIM($D9))),CsDJ[Debit])))+(SUM(IF((CRDJ[Date]=$A$4)*(CRDJ[Ofc Code]=(TRIM(F$7)))*(CRDJ[Account Code]=(TRIM($D9))),CRDJ[Debit])))+(SUM(IF((GJ[Date]=$A$4)*(GJ[Ofc Code]=(TRIM(F$7)))*(GJ[Account Code]=(TRIM($D9))),GJ[Debit])))</f>
        <v>0</v>
      </c>
      <c r="G9" s="211">
        <f t="array" ref="G9">(SUM(IF((CkDJ[Date]=$A$4)*(CkDJ[Ofc Code]=(TRIM(G$7)))*(CkDJ[Account Code]=(TRIM($D9))),CkDJ[Credit])))+(SUM(IF((CsDJ[Date]=$A$4)*(CsDJ[Ofc Code]=(TRIM(G$7)))*(CsDJ[Account Code]=(TRIM($D9))),CsDJ[Credit])))+(SUM(IF((CRDJ[Date]=$A$4)*(CRDJ[Ofc Code]=(TRIM(G$7)))*(CRDJ[Account Code]=(TRIM($D9))),CRDJ[Credit])))+(SUM(IF((GJ[Date]=$A$4)*(GJ[Ofc Code]=(TRIM(G$7)))*(GJ[Account Code]=(TRIM($D9))),GJ[Credit])))-(SUM(IF((CkDJ[Date]=$A$4)*(CkDJ[Ofc Code]=(TRIM(G$7)))*(CkDJ[Account Code]=(TRIM($D9))),CkDJ[Debit])))+(SUM(IF((CsDJ[Date]=$A$4)*(CsDJ[Ofc Code]=(TRIM(G$7)))*(CsDJ[Account Code]=(TRIM($D9))),CsDJ[Debit])))+(SUM(IF((CRDJ[Date]=$A$4)*(CRDJ[Ofc Code]=(TRIM(G$7)))*(CRDJ[Account Code]=(TRIM($D9))),CRDJ[Debit])))+(SUM(IF((GJ[Date]=$A$4)*(GJ[Ofc Code]=(TRIM(G$7)))*(GJ[Account Code]=(TRIM($D9))),GJ[Debit])))</f>
        <v>0</v>
      </c>
      <c r="H9" s="211">
        <f t="array" ref="H9">(SUM(IF((CkDJ[Date]=$A$4)*(CkDJ[Ofc Code]=(TRIM(H$7)))*(CkDJ[Account Code]=(TRIM($D9))),CkDJ[Credit])))+(SUM(IF((CsDJ[Date]=$A$4)*(CsDJ[Ofc Code]=(TRIM(H$7)))*(CsDJ[Account Code]=(TRIM($D9))),CsDJ[Credit])))+(SUM(IF((CRDJ[Date]=$A$4)*(CRDJ[Ofc Code]=(TRIM(H$7)))*(CRDJ[Account Code]=(TRIM($D9))),CRDJ[Credit])))+(SUM(IF((GJ[Date]=$A$4)*(GJ[Ofc Code]=(TRIM(H$7)))*(GJ[Account Code]=(TRIM($D9))),GJ[Credit])))-(SUM(IF((CkDJ[Date]=$A$4)*(CkDJ[Ofc Code]=(TRIM(H$7)))*(CkDJ[Account Code]=(TRIM($D9))),CkDJ[Debit])))+(SUM(IF((CsDJ[Date]=$A$4)*(CsDJ[Ofc Code]=(TRIM(H$7)))*(CsDJ[Account Code]=(TRIM($D9))),CsDJ[Debit])))+(SUM(IF((CRDJ[Date]=$A$4)*(CRDJ[Ofc Code]=(TRIM(H$7)))*(CRDJ[Account Code]=(TRIM($D9))),CRDJ[Debit])))+(SUM(IF((GJ[Date]=$A$4)*(GJ[Ofc Code]=(TRIM(H$7)))*(GJ[Account Code]=(TRIM($D9))),GJ[Debit])))</f>
        <v>0</v>
      </c>
      <c r="I9" s="211">
        <f t="shared" ref="I9:I31" si="1">SUM(F9:H9)</f>
        <v>0</v>
      </c>
      <c r="J9" s="211">
        <f t="array" ref="J9">(SUM(IF((CkDJ[Date]=$A$4)*(CkDJ[Ofc Code]=(TRIM(J$7)))*(CkDJ[Account Code]=(TRIM($D9))),CkDJ[Credit])))+(SUM(IF((CsDJ[Date]=$A$4)*(CsDJ[Ofc Code]=(TRIM(J$7)))*(CsDJ[Account Code]=(TRIM($D9))),CsDJ[Credit])))+(SUM(IF((CRDJ[Date]=$A$4)*(CRDJ[Ofc Code]=(TRIM(J$7)))*(CRDJ[Account Code]=(TRIM($D9))),CRDJ[Credit])))+(SUM(IF((GJ[Date]=$A$4)*(GJ[Ofc Code]=(TRIM(J$7)))*(GJ[Account Code]=(TRIM($D9))),GJ[Credit])))-(SUM(IF((CkDJ[Date]=$A$4)*(CkDJ[Ofc Code]=(TRIM(J$7)))*(CkDJ[Account Code]=(TRIM($D9))),CkDJ[Debit])))+(SUM(IF((CsDJ[Date]=$A$4)*(CsDJ[Ofc Code]=(TRIM(J$7)))*(CsDJ[Account Code]=(TRIM($D9))),CsDJ[Debit])))+(SUM(IF((CRDJ[Date]=$A$4)*(CRDJ[Ofc Code]=(TRIM(J$7)))*(CRDJ[Account Code]=(TRIM($D9))),CRDJ[Debit])))+(SUM(IF((GJ[Date]=$A$4)*(GJ[Ofc Code]=(TRIM(J$7)))*(GJ[Account Code]=(TRIM($D9))),GJ[Debit])))</f>
        <v>0</v>
      </c>
      <c r="K9" s="211">
        <f t="array" ref="K9">(SUM(IF((CkDJ[Date]=$A$4)*(CkDJ[Ofc Code]=(TRIM(K$7)))*(CkDJ[Account Code]=(TRIM($D9))),CkDJ[Credit])))+(SUM(IF((CsDJ[Date]=$A$4)*(CsDJ[Ofc Code]=(TRIM(K$7)))*(CsDJ[Account Code]=(TRIM($D9))),CsDJ[Credit])))+(SUM(IF((CRDJ[Date]=$A$4)*(CRDJ[Ofc Code]=(TRIM(K$7)))*(CRDJ[Account Code]=(TRIM($D9))),CRDJ[Credit])))+(SUM(IF((GJ[Date]=$A$4)*(GJ[Ofc Code]=(TRIM(K$7)))*(GJ[Account Code]=(TRIM($D9))),GJ[Credit])))-(SUM(IF((CkDJ[Date]=$A$4)*(CkDJ[Ofc Code]=(TRIM(K$7)))*(CkDJ[Account Code]=(TRIM($D9))),CkDJ[Debit])))+(SUM(IF((CsDJ[Date]=$A$4)*(CsDJ[Ofc Code]=(TRIM(K$7)))*(CsDJ[Account Code]=(TRIM($D9))),CsDJ[Debit])))+(SUM(IF((CRDJ[Date]=$A$4)*(CRDJ[Ofc Code]=(TRIM(K$7)))*(CRDJ[Account Code]=(TRIM($D9))),CRDJ[Debit])))+(SUM(IF((GJ[Date]=$A$4)*(GJ[Ofc Code]=(TRIM(K$7)))*(GJ[Account Code]=(TRIM($D9))),GJ[Debit])))</f>
        <v>0</v>
      </c>
      <c r="L9" s="211">
        <f t="array" ref="L9">(SUM(IF((CkDJ[Date]=$A$4)*(CkDJ[Ofc Code]=(TRIM(L$7)))*(CkDJ[Account Code]=(TRIM($D9))),CkDJ[Credit])))+(SUM(IF((CsDJ[Date]=$A$4)*(CsDJ[Ofc Code]=(TRIM(L$7)))*(CsDJ[Account Code]=(TRIM($D9))),CsDJ[Credit])))+(SUM(IF((CRDJ[Date]=$A$4)*(CRDJ[Ofc Code]=(TRIM(L$7)))*(CRDJ[Account Code]=(TRIM($D9))),CRDJ[Credit])))+(SUM(IF((GJ[Date]=$A$4)*(GJ[Ofc Code]=(TRIM(L$7)))*(GJ[Account Code]=(TRIM($D9))),GJ[Credit])))-(SUM(IF((CkDJ[Date]=$A$4)*(CkDJ[Ofc Code]=(TRIM(L$7)))*(CkDJ[Account Code]=(TRIM($D9))),CkDJ[Debit])))+(SUM(IF((CsDJ[Date]=$A$4)*(CsDJ[Ofc Code]=(TRIM(L$7)))*(CsDJ[Account Code]=(TRIM($D9))),CsDJ[Debit])))+(SUM(IF((CRDJ[Date]=$A$4)*(CRDJ[Ofc Code]=(TRIM(L$7)))*(CRDJ[Account Code]=(TRIM($D9))),CRDJ[Debit])))+(SUM(IF((GJ[Date]=$A$4)*(GJ[Ofc Code]=(TRIM(L$7)))*(GJ[Account Code]=(TRIM($D9))),GJ[Debit])))</f>
        <v>0</v>
      </c>
      <c r="M9" s="211">
        <f t="array" ref="M9">(SUM(IF((CkDJ[Date]=$A$4)*(CkDJ[Ofc Code]=(TRIM(M$7)))*(CkDJ[Account Code]=(TRIM($D9))),CkDJ[Credit])))+(SUM(IF((CsDJ[Date]=$A$4)*(CsDJ[Ofc Code]=(TRIM(M$7)))*(CsDJ[Account Code]=(TRIM($D9))),CsDJ[Credit])))+(SUM(IF((CRDJ[Date]=$A$4)*(CRDJ[Ofc Code]=(TRIM(M$7)))*(CRDJ[Account Code]=(TRIM($D9))),CRDJ[Credit])))+(SUM(IF((GJ[Date]=$A$4)*(GJ[Ofc Code]=(TRIM(M$7)))*(GJ[Account Code]=(TRIM($D9))),GJ[Credit])))-(SUM(IF((CkDJ[Date]=$A$4)*(CkDJ[Ofc Code]=(TRIM(M$7)))*(CkDJ[Account Code]=(TRIM($D9))),CkDJ[Debit])))+(SUM(IF((CsDJ[Date]=$A$4)*(CsDJ[Ofc Code]=(TRIM(M$7)))*(CsDJ[Account Code]=(TRIM($D9))),CsDJ[Debit])))+(SUM(IF((CRDJ[Date]=$A$4)*(CRDJ[Ofc Code]=(TRIM(M$7)))*(CRDJ[Account Code]=(TRIM($D9))),CRDJ[Debit])))+(SUM(IF((GJ[Date]=$A$4)*(GJ[Ofc Code]=(TRIM(M$7)))*(GJ[Account Code]=(TRIM($D9))),GJ[Debit])))</f>
        <v>0</v>
      </c>
      <c r="N9" s="211">
        <f t="shared" ref="N9:N31" si="2">SUM(J9:M9)</f>
        <v>0</v>
      </c>
      <c r="O9" s="211">
        <f t="array" ref="O9">(SUM(IF((CkDJ[Date]=$A$4)*(CkDJ[Ofc Code]=(TRIM(O$7)))*(CkDJ[Account Code]=(TRIM($D9))),CkDJ[Credit])))+(SUM(IF((CsDJ[Date]=$A$4)*(CsDJ[Ofc Code]=(TRIM(O$7)))*(CsDJ[Account Code]=(TRIM($D9))),CsDJ[Credit])))+(SUM(IF((CRDJ[Date]=$A$4)*(CRDJ[Ofc Code]=(TRIM(O$7)))*(CRDJ[Account Code]=(TRIM($D9))),CRDJ[Credit])))+(SUM(IF((GJ[Date]=$A$4)*(GJ[Ofc Code]=(TRIM(O$7)))*(GJ[Account Code]=(TRIM($D9))),GJ[Credit])))-(SUM(IF((CkDJ[Date]=$A$4)*(CkDJ[Ofc Code]=(TRIM(O$7)))*(CkDJ[Account Code]=(TRIM($D9))),CkDJ[Debit])))+(SUM(IF((CsDJ[Date]=$A$4)*(CsDJ[Ofc Code]=(TRIM(O$7)))*(CsDJ[Account Code]=(TRIM($D9))),CsDJ[Debit])))+(SUM(IF((CRDJ[Date]=$A$4)*(CRDJ[Ofc Code]=(TRIM(O$7)))*(CRDJ[Account Code]=(TRIM($D9))),CRDJ[Debit])))+(SUM(IF((GJ[Date]=$A$4)*(GJ[Ofc Code]=(TRIM(O$7)))*(GJ[Account Code]=(TRIM($D9))),GJ[Debit])))</f>
        <v>0</v>
      </c>
      <c r="P9" s="211">
        <f t="array" ref="P9">(SUM(IF((CkDJ[Date]=$A$4)*(CkDJ[Ofc Code]=(TRIM(P$7)))*(CkDJ[Account Code]=(TRIM($D9))),CkDJ[Credit])))+(SUM(IF((CsDJ[Date]=$A$4)*(CsDJ[Ofc Code]=(TRIM(P$7)))*(CsDJ[Account Code]=(TRIM($D9))),CsDJ[Credit])))+(SUM(IF((CRDJ[Date]=$A$4)*(CRDJ[Ofc Code]=(TRIM(P$7)))*(CRDJ[Account Code]=(TRIM($D9))),CRDJ[Credit])))+(SUM(IF((GJ[Date]=$A$4)*(GJ[Ofc Code]=(TRIM(P$7)))*(GJ[Account Code]=(TRIM($D9))),GJ[Credit])))-(SUM(IF((CkDJ[Date]=$A$4)*(CkDJ[Ofc Code]=(TRIM(P$7)))*(CkDJ[Account Code]=(TRIM($D9))),CkDJ[Debit])))+(SUM(IF((CsDJ[Date]=$A$4)*(CsDJ[Ofc Code]=(TRIM(P$7)))*(CsDJ[Account Code]=(TRIM($D9))),CsDJ[Debit])))+(SUM(IF((CRDJ[Date]=$A$4)*(CRDJ[Ofc Code]=(TRIM(P$7)))*(CRDJ[Account Code]=(TRIM($D9))),CRDJ[Debit])))+(SUM(IF((GJ[Date]=$A$4)*(GJ[Ofc Code]=(TRIM(P$7)))*(GJ[Account Code]=(TRIM($D9))),GJ[Debit])))</f>
        <v>0</v>
      </c>
      <c r="Q9" s="211">
        <f t="array" ref="Q9">(SUM(IF((CkDJ[Date]=$A$4)*(CkDJ[Ofc Code]=(TRIM(Q$7)))*(CkDJ[Account Code]=(TRIM($D9))),CkDJ[Credit])))+(SUM(IF((CsDJ[Date]=$A$4)*(CsDJ[Ofc Code]=(TRIM(Q$7)))*(CsDJ[Account Code]=(TRIM($D9))),CsDJ[Credit])))+(SUM(IF((CRDJ[Date]=$A$4)*(CRDJ[Ofc Code]=(TRIM(Q$7)))*(CRDJ[Account Code]=(TRIM($D9))),CRDJ[Credit])))+(SUM(IF((GJ[Date]=$A$4)*(GJ[Ofc Code]=(TRIM(Q$7)))*(GJ[Account Code]=(TRIM($D9))),GJ[Credit])))-(SUM(IF((CkDJ[Date]=$A$4)*(CkDJ[Ofc Code]=(TRIM(Q$7)))*(CkDJ[Account Code]=(TRIM($D9))),CkDJ[Debit])))+(SUM(IF((CsDJ[Date]=$A$4)*(CsDJ[Ofc Code]=(TRIM(Q$7)))*(CsDJ[Account Code]=(TRIM($D9))),CsDJ[Debit])))+(SUM(IF((CRDJ[Date]=$A$4)*(CRDJ[Ofc Code]=(TRIM(Q$7)))*(CRDJ[Account Code]=(TRIM($D9))),CRDJ[Debit])))+(SUM(IF((GJ[Date]=$A$4)*(GJ[Ofc Code]=(TRIM(Q$7)))*(GJ[Account Code]=(TRIM($D9))),GJ[Debit])))</f>
        <v>0</v>
      </c>
      <c r="R9" s="211">
        <f t="array" ref="R9">(SUM(IF((CkDJ[Date]=$A$4)*(CkDJ[Ofc Code]=(TRIM(R$7)))*(CkDJ[Account Code]=(TRIM($D9))),CkDJ[Credit])))+(SUM(IF((CsDJ[Date]=$A$4)*(CsDJ[Ofc Code]=(TRIM(R$7)))*(CsDJ[Account Code]=(TRIM($D9))),CsDJ[Credit])))+(SUM(IF((CRDJ[Date]=$A$4)*(CRDJ[Ofc Code]=(TRIM(R$7)))*(CRDJ[Account Code]=(TRIM($D9))),CRDJ[Credit])))+(SUM(IF((GJ[Date]=$A$4)*(GJ[Ofc Code]=(TRIM(R$7)))*(GJ[Account Code]=(TRIM($D9))),GJ[Credit])))-(SUM(IF((CkDJ[Date]=$A$4)*(CkDJ[Ofc Code]=(TRIM(R$7)))*(CkDJ[Account Code]=(TRIM($D9))),CkDJ[Debit])))+(SUM(IF((CsDJ[Date]=$A$4)*(CsDJ[Ofc Code]=(TRIM(R$7)))*(CsDJ[Account Code]=(TRIM($D9))),CsDJ[Debit])))+(SUM(IF((CRDJ[Date]=$A$4)*(CRDJ[Ofc Code]=(TRIM(R$7)))*(CRDJ[Account Code]=(TRIM($D9))),CRDJ[Debit])))+(SUM(IF((GJ[Date]=$A$4)*(GJ[Ofc Code]=(TRIM(R$7)))*(GJ[Account Code]=(TRIM($D9))),GJ[Debit])))</f>
        <v>0</v>
      </c>
      <c r="S9" s="211">
        <f t="array" ref="S9">(SUM(IF((CkDJ[Date]=$A$4)*(CkDJ[Ofc Code]=(TRIM(S$7)))*(CkDJ[Account Code]=(TRIM($D9))),CkDJ[Credit])))+(SUM(IF((CsDJ[Date]=$A$4)*(CsDJ[Ofc Code]=(TRIM(S$7)))*(CsDJ[Account Code]=(TRIM($D9))),CsDJ[Credit])))+(SUM(IF((CRDJ[Date]=$A$4)*(CRDJ[Ofc Code]=(TRIM(S$7)))*(CRDJ[Account Code]=(TRIM($D9))),CRDJ[Credit])))+(SUM(IF((GJ[Date]=$A$4)*(GJ[Ofc Code]=(TRIM(S$7)))*(GJ[Account Code]=(TRIM($D9))),GJ[Credit])))-(SUM(IF((CkDJ[Date]=$A$4)*(CkDJ[Ofc Code]=(TRIM(S$7)))*(CkDJ[Account Code]=(TRIM($D9))),CkDJ[Debit])))+(SUM(IF((CsDJ[Date]=$A$4)*(CsDJ[Ofc Code]=(TRIM(S$7)))*(CsDJ[Account Code]=(TRIM($D9))),CsDJ[Debit])))+(SUM(IF((CRDJ[Date]=$A$4)*(CRDJ[Ofc Code]=(TRIM(S$7)))*(CRDJ[Account Code]=(TRIM($D9))),CRDJ[Debit])))+(SUM(IF((GJ[Date]=$A$4)*(GJ[Ofc Code]=(TRIM(S$7)))*(GJ[Account Code]=(TRIM($D9))),GJ[Debit])))</f>
        <v>0</v>
      </c>
      <c r="T9" s="211">
        <f t="shared" ref="T9:T31" si="3">SUM(O9:S9)</f>
        <v>0</v>
      </c>
      <c r="U9" s="211">
        <f t="shared" ref="U9:U31" si="4">E9+I9+N9+T9</f>
        <v>0</v>
      </c>
    </row>
    <row r="10" spans="1:21" ht="15">
      <c r="A10" s="212">
        <f t="shared" ref="A10:A31" si="5">1+A9</f>
        <v>2</v>
      </c>
      <c r="B10" s="214" t="s">
        <v>756</v>
      </c>
      <c r="C10" s="194" t="str">
        <f t="shared" si="0"/>
        <v>Other Service Income - Irrigation Service Fee (Back Account)</v>
      </c>
      <c r="D10" s="207" t="s">
        <v>126</v>
      </c>
      <c r="E10" s="211">
        <f t="array" ref="E10">(SUM(IF((CkDJ[Date]=$A$4)*(CkDJ[Ofc Code]=(TRIM(E$7)))*(CkDJ[Account Code]=(TRIM($D10))),CkDJ[Credit])))+(SUM(IF((CsDJ[Date]=$A$4)*(CsDJ[Ofc Code]=(TRIM(E$7)))*(CsDJ[Account Code]=(TRIM($D10))),CsDJ[Credit])))+(SUM(IF((CRDJ[Date]=$A$4)*(CRDJ[Ofc Code]=(TRIM(E$7)))*(CRDJ[Account Code]=(TRIM($D10))),CRDJ[Credit])))+(SUM(IF((GJ[Date]=$A$4)*(GJ[Ofc Code]=(TRIM(E$7)))*(GJ[Account Code]=(TRIM($D10))),GJ[Credit])))-(SUM(IF((CkDJ[Date]=$A$4)*(CkDJ[Ofc Code]=(TRIM(E$7)))*(CkDJ[Account Code]=(TRIM($D10))),CkDJ[Debit])))+(SUM(IF((CsDJ[Date]=$A$4)*(CsDJ[Ofc Code]=(TRIM(E$7)))*(CsDJ[Account Code]=(TRIM($D10))),CsDJ[Debit])))+(SUM(IF((CRDJ[Date]=$A$4)*(CRDJ[Ofc Code]=(TRIM(E$7)))*(CRDJ[Account Code]=(TRIM($D10))),CRDJ[Debit])))+(SUM(IF((GJ[Date]=$A$4)*(GJ[Ofc Code]=(TRIM(E$7)))*(GJ[Account Code]=(TRIM($D10))),GJ[Debit])))</f>
        <v>0</v>
      </c>
      <c r="F10" s="211">
        <f t="array" ref="F10">(SUM(IF((CkDJ[Date]=$A$4)*(CkDJ[Ofc Code]=(TRIM(F$7)))*(CkDJ[Account Code]=(TRIM($D10))),CkDJ[Credit])))+(SUM(IF((CsDJ[Date]=$A$4)*(CsDJ[Ofc Code]=(TRIM(F$7)))*(CsDJ[Account Code]=(TRIM($D10))),CsDJ[Credit])))+(SUM(IF((CRDJ[Date]=$A$4)*(CRDJ[Ofc Code]=(TRIM(F$7)))*(CRDJ[Account Code]=(TRIM($D10))),CRDJ[Credit])))+(SUM(IF((GJ[Date]=$A$4)*(GJ[Ofc Code]=(TRIM(F$7)))*(GJ[Account Code]=(TRIM($D10))),GJ[Credit])))-(SUM(IF((CkDJ[Date]=$A$4)*(CkDJ[Ofc Code]=(TRIM(F$7)))*(CkDJ[Account Code]=(TRIM($D10))),CkDJ[Debit])))+(SUM(IF((CsDJ[Date]=$A$4)*(CsDJ[Ofc Code]=(TRIM(F$7)))*(CsDJ[Account Code]=(TRIM($D10))),CsDJ[Debit])))+(SUM(IF((CRDJ[Date]=$A$4)*(CRDJ[Ofc Code]=(TRIM(F$7)))*(CRDJ[Account Code]=(TRIM($D10))),CRDJ[Debit])))+(SUM(IF((GJ[Date]=$A$4)*(GJ[Ofc Code]=(TRIM(F$7)))*(GJ[Account Code]=(TRIM($D10))),GJ[Debit])))</f>
        <v>0</v>
      </c>
      <c r="G10" s="211">
        <f t="array" ref="G10">(SUM(IF((CkDJ[Date]=$A$4)*(CkDJ[Ofc Code]=(TRIM(G$7)))*(CkDJ[Account Code]=(TRIM($D10))),CkDJ[Credit])))+(SUM(IF((CsDJ[Date]=$A$4)*(CsDJ[Ofc Code]=(TRIM(G$7)))*(CsDJ[Account Code]=(TRIM($D10))),CsDJ[Credit])))+(SUM(IF((CRDJ[Date]=$A$4)*(CRDJ[Ofc Code]=(TRIM(G$7)))*(CRDJ[Account Code]=(TRIM($D10))),CRDJ[Credit])))+(SUM(IF((GJ[Date]=$A$4)*(GJ[Ofc Code]=(TRIM(G$7)))*(GJ[Account Code]=(TRIM($D10))),GJ[Credit])))-(SUM(IF((CkDJ[Date]=$A$4)*(CkDJ[Ofc Code]=(TRIM(G$7)))*(CkDJ[Account Code]=(TRIM($D10))),CkDJ[Debit])))+(SUM(IF((CsDJ[Date]=$A$4)*(CsDJ[Ofc Code]=(TRIM(G$7)))*(CsDJ[Account Code]=(TRIM($D10))),CsDJ[Debit])))+(SUM(IF((CRDJ[Date]=$A$4)*(CRDJ[Ofc Code]=(TRIM(G$7)))*(CRDJ[Account Code]=(TRIM($D10))),CRDJ[Debit])))+(SUM(IF((GJ[Date]=$A$4)*(GJ[Ofc Code]=(TRIM(G$7)))*(GJ[Account Code]=(TRIM($D10))),GJ[Debit])))</f>
        <v>0</v>
      </c>
      <c r="H10" s="211">
        <f t="array" ref="H10">(SUM(IF((CkDJ[Date]=$A$4)*(CkDJ[Ofc Code]=(TRIM(H$7)))*(CkDJ[Account Code]=(TRIM($D10))),CkDJ[Credit])))+(SUM(IF((CsDJ[Date]=$A$4)*(CsDJ[Ofc Code]=(TRIM(H$7)))*(CsDJ[Account Code]=(TRIM($D10))),CsDJ[Credit])))+(SUM(IF((CRDJ[Date]=$A$4)*(CRDJ[Ofc Code]=(TRIM(H$7)))*(CRDJ[Account Code]=(TRIM($D10))),CRDJ[Credit])))+(SUM(IF((GJ[Date]=$A$4)*(GJ[Ofc Code]=(TRIM(H$7)))*(GJ[Account Code]=(TRIM($D10))),GJ[Credit])))-(SUM(IF((CkDJ[Date]=$A$4)*(CkDJ[Ofc Code]=(TRIM(H$7)))*(CkDJ[Account Code]=(TRIM($D10))),CkDJ[Debit])))+(SUM(IF((CsDJ[Date]=$A$4)*(CsDJ[Ofc Code]=(TRIM(H$7)))*(CsDJ[Account Code]=(TRIM($D10))),CsDJ[Debit])))+(SUM(IF((CRDJ[Date]=$A$4)*(CRDJ[Ofc Code]=(TRIM(H$7)))*(CRDJ[Account Code]=(TRIM($D10))),CRDJ[Debit])))+(SUM(IF((GJ[Date]=$A$4)*(GJ[Ofc Code]=(TRIM(H$7)))*(GJ[Account Code]=(TRIM($D10))),GJ[Debit])))</f>
        <v>0</v>
      </c>
      <c r="I10" s="211">
        <f t="shared" si="1"/>
        <v>0</v>
      </c>
      <c r="J10" s="211">
        <f t="array" ref="J10">(SUM(IF((CkDJ[Date]=$A$4)*(CkDJ[Ofc Code]=(TRIM(J$7)))*(CkDJ[Account Code]=(TRIM($D10))),CkDJ[Credit])))+(SUM(IF((CsDJ[Date]=$A$4)*(CsDJ[Ofc Code]=(TRIM(J$7)))*(CsDJ[Account Code]=(TRIM($D10))),CsDJ[Credit])))+(SUM(IF((CRDJ[Date]=$A$4)*(CRDJ[Ofc Code]=(TRIM(J$7)))*(CRDJ[Account Code]=(TRIM($D10))),CRDJ[Credit])))+(SUM(IF((GJ[Date]=$A$4)*(GJ[Ofc Code]=(TRIM(J$7)))*(GJ[Account Code]=(TRIM($D10))),GJ[Credit])))-(SUM(IF((CkDJ[Date]=$A$4)*(CkDJ[Ofc Code]=(TRIM(J$7)))*(CkDJ[Account Code]=(TRIM($D10))),CkDJ[Debit])))+(SUM(IF((CsDJ[Date]=$A$4)*(CsDJ[Ofc Code]=(TRIM(J$7)))*(CsDJ[Account Code]=(TRIM($D10))),CsDJ[Debit])))+(SUM(IF((CRDJ[Date]=$A$4)*(CRDJ[Ofc Code]=(TRIM(J$7)))*(CRDJ[Account Code]=(TRIM($D10))),CRDJ[Debit])))+(SUM(IF((GJ[Date]=$A$4)*(GJ[Ofc Code]=(TRIM(J$7)))*(GJ[Account Code]=(TRIM($D10))),GJ[Debit])))</f>
        <v>0</v>
      </c>
      <c r="K10" s="211">
        <f t="array" ref="K10">(SUM(IF((CkDJ[Date]=$A$4)*(CkDJ[Ofc Code]=(TRIM(K$7)))*(CkDJ[Account Code]=(TRIM($D10))),CkDJ[Credit])))+(SUM(IF((CsDJ[Date]=$A$4)*(CsDJ[Ofc Code]=(TRIM(K$7)))*(CsDJ[Account Code]=(TRIM($D10))),CsDJ[Credit])))+(SUM(IF((CRDJ[Date]=$A$4)*(CRDJ[Ofc Code]=(TRIM(K$7)))*(CRDJ[Account Code]=(TRIM($D10))),CRDJ[Credit])))+(SUM(IF((GJ[Date]=$A$4)*(GJ[Ofc Code]=(TRIM(K$7)))*(GJ[Account Code]=(TRIM($D10))),GJ[Credit])))-(SUM(IF((CkDJ[Date]=$A$4)*(CkDJ[Ofc Code]=(TRIM(K$7)))*(CkDJ[Account Code]=(TRIM($D10))),CkDJ[Debit])))+(SUM(IF((CsDJ[Date]=$A$4)*(CsDJ[Ofc Code]=(TRIM(K$7)))*(CsDJ[Account Code]=(TRIM($D10))),CsDJ[Debit])))+(SUM(IF((CRDJ[Date]=$A$4)*(CRDJ[Ofc Code]=(TRIM(K$7)))*(CRDJ[Account Code]=(TRIM($D10))),CRDJ[Debit])))+(SUM(IF((GJ[Date]=$A$4)*(GJ[Ofc Code]=(TRIM(K$7)))*(GJ[Account Code]=(TRIM($D10))),GJ[Debit])))</f>
        <v>0</v>
      </c>
      <c r="L10" s="211">
        <f t="array" ref="L10">(SUM(IF((CkDJ[Date]=$A$4)*(CkDJ[Ofc Code]=(TRIM(L$7)))*(CkDJ[Account Code]=(TRIM($D10))),CkDJ[Credit])))+(SUM(IF((CsDJ[Date]=$A$4)*(CsDJ[Ofc Code]=(TRIM(L$7)))*(CsDJ[Account Code]=(TRIM($D10))),CsDJ[Credit])))+(SUM(IF((CRDJ[Date]=$A$4)*(CRDJ[Ofc Code]=(TRIM(L$7)))*(CRDJ[Account Code]=(TRIM($D10))),CRDJ[Credit])))+(SUM(IF((GJ[Date]=$A$4)*(GJ[Ofc Code]=(TRIM(L$7)))*(GJ[Account Code]=(TRIM($D10))),GJ[Credit])))-(SUM(IF((CkDJ[Date]=$A$4)*(CkDJ[Ofc Code]=(TRIM(L$7)))*(CkDJ[Account Code]=(TRIM($D10))),CkDJ[Debit])))+(SUM(IF((CsDJ[Date]=$A$4)*(CsDJ[Ofc Code]=(TRIM(L$7)))*(CsDJ[Account Code]=(TRIM($D10))),CsDJ[Debit])))+(SUM(IF((CRDJ[Date]=$A$4)*(CRDJ[Ofc Code]=(TRIM(L$7)))*(CRDJ[Account Code]=(TRIM($D10))),CRDJ[Debit])))+(SUM(IF((GJ[Date]=$A$4)*(GJ[Ofc Code]=(TRIM(L$7)))*(GJ[Account Code]=(TRIM($D10))),GJ[Debit])))</f>
        <v>0</v>
      </c>
      <c r="M10" s="211">
        <f t="array" ref="M10">(SUM(IF((CkDJ[Date]=$A$4)*(CkDJ[Ofc Code]=(TRIM(M$7)))*(CkDJ[Account Code]=(TRIM($D10))),CkDJ[Credit])))+(SUM(IF((CsDJ[Date]=$A$4)*(CsDJ[Ofc Code]=(TRIM(M$7)))*(CsDJ[Account Code]=(TRIM($D10))),CsDJ[Credit])))+(SUM(IF((CRDJ[Date]=$A$4)*(CRDJ[Ofc Code]=(TRIM(M$7)))*(CRDJ[Account Code]=(TRIM($D10))),CRDJ[Credit])))+(SUM(IF((GJ[Date]=$A$4)*(GJ[Ofc Code]=(TRIM(M$7)))*(GJ[Account Code]=(TRIM($D10))),GJ[Credit])))-(SUM(IF((CkDJ[Date]=$A$4)*(CkDJ[Ofc Code]=(TRIM(M$7)))*(CkDJ[Account Code]=(TRIM($D10))),CkDJ[Debit])))+(SUM(IF((CsDJ[Date]=$A$4)*(CsDJ[Ofc Code]=(TRIM(M$7)))*(CsDJ[Account Code]=(TRIM($D10))),CsDJ[Debit])))+(SUM(IF((CRDJ[Date]=$A$4)*(CRDJ[Ofc Code]=(TRIM(M$7)))*(CRDJ[Account Code]=(TRIM($D10))),CRDJ[Debit])))+(SUM(IF((GJ[Date]=$A$4)*(GJ[Ofc Code]=(TRIM(M$7)))*(GJ[Account Code]=(TRIM($D10))),GJ[Debit])))</f>
        <v>0</v>
      </c>
      <c r="N10" s="211">
        <f t="shared" si="2"/>
        <v>0</v>
      </c>
      <c r="O10" s="211">
        <f t="array" ref="O10">(SUM(IF((CkDJ[Date]=$A$4)*(CkDJ[Ofc Code]=(TRIM(O$7)))*(CkDJ[Account Code]=(TRIM($D10))),CkDJ[Credit])))+(SUM(IF((CsDJ[Date]=$A$4)*(CsDJ[Ofc Code]=(TRIM(O$7)))*(CsDJ[Account Code]=(TRIM($D10))),CsDJ[Credit])))+(SUM(IF((CRDJ[Date]=$A$4)*(CRDJ[Ofc Code]=(TRIM(O$7)))*(CRDJ[Account Code]=(TRIM($D10))),CRDJ[Credit])))+(SUM(IF((GJ[Date]=$A$4)*(GJ[Ofc Code]=(TRIM(O$7)))*(GJ[Account Code]=(TRIM($D10))),GJ[Credit])))-(SUM(IF((CkDJ[Date]=$A$4)*(CkDJ[Ofc Code]=(TRIM(O$7)))*(CkDJ[Account Code]=(TRIM($D10))),CkDJ[Debit])))+(SUM(IF((CsDJ[Date]=$A$4)*(CsDJ[Ofc Code]=(TRIM(O$7)))*(CsDJ[Account Code]=(TRIM($D10))),CsDJ[Debit])))+(SUM(IF((CRDJ[Date]=$A$4)*(CRDJ[Ofc Code]=(TRIM(O$7)))*(CRDJ[Account Code]=(TRIM($D10))),CRDJ[Debit])))+(SUM(IF((GJ[Date]=$A$4)*(GJ[Ofc Code]=(TRIM(O$7)))*(GJ[Account Code]=(TRIM($D10))),GJ[Debit])))</f>
        <v>0</v>
      </c>
      <c r="P10" s="211">
        <f t="array" ref="P10">(SUM(IF((CkDJ[Date]=$A$4)*(CkDJ[Ofc Code]=(TRIM(P$7)))*(CkDJ[Account Code]=(TRIM($D10))),CkDJ[Credit])))+(SUM(IF((CsDJ[Date]=$A$4)*(CsDJ[Ofc Code]=(TRIM(P$7)))*(CsDJ[Account Code]=(TRIM($D10))),CsDJ[Credit])))+(SUM(IF((CRDJ[Date]=$A$4)*(CRDJ[Ofc Code]=(TRIM(P$7)))*(CRDJ[Account Code]=(TRIM($D10))),CRDJ[Credit])))+(SUM(IF((GJ[Date]=$A$4)*(GJ[Ofc Code]=(TRIM(P$7)))*(GJ[Account Code]=(TRIM($D10))),GJ[Credit])))-(SUM(IF((CkDJ[Date]=$A$4)*(CkDJ[Ofc Code]=(TRIM(P$7)))*(CkDJ[Account Code]=(TRIM($D10))),CkDJ[Debit])))+(SUM(IF((CsDJ[Date]=$A$4)*(CsDJ[Ofc Code]=(TRIM(P$7)))*(CsDJ[Account Code]=(TRIM($D10))),CsDJ[Debit])))+(SUM(IF((CRDJ[Date]=$A$4)*(CRDJ[Ofc Code]=(TRIM(P$7)))*(CRDJ[Account Code]=(TRIM($D10))),CRDJ[Debit])))+(SUM(IF((GJ[Date]=$A$4)*(GJ[Ofc Code]=(TRIM(P$7)))*(GJ[Account Code]=(TRIM($D10))),GJ[Debit])))</f>
        <v>0</v>
      </c>
      <c r="Q10" s="211">
        <f t="array" ref="Q10">(SUM(IF((CkDJ[Date]=$A$4)*(CkDJ[Ofc Code]=(TRIM(Q$7)))*(CkDJ[Account Code]=(TRIM($D10))),CkDJ[Credit])))+(SUM(IF((CsDJ[Date]=$A$4)*(CsDJ[Ofc Code]=(TRIM(Q$7)))*(CsDJ[Account Code]=(TRIM($D10))),CsDJ[Credit])))+(SUM(IF((CRDJ[Date]=$A$4)*(CRDJ[Ofc Code]=(TRIM(Q$7)))*(CRDJ[Account Code]=(TRIM($D10))),CRDJ[Credit])))+(SUM(IF((GJ[Date]=$A$4)*(GJ[Ofc Code]=(TRIM(Q$7)))*(GJ[Account Code]=(TRIM($D10))),GJ[Credit])))-(SUM(IF((CkDJ[Date]=$A$4)*(CkDJ[Ofc Code]=(TRIM(Q$7)))*(CkDJ[Account Code]=(TRIM($D10))),CkDJ[Debit])))+(SUM(IF((CsDJ[Date]=$A$4)*(CsDJ[Ofc Code]=(TRIM(Q$7)))*(CsDJ[Account Code]=(TRIM($D10))),CsDJ[Debit])))+(SUM(IF((CRDJ[Date]=$A$4)*(CRDJ[Ofc Code]=(TRIM(Q$7)))*(CRDJ[Account Code]=(TRIM($D10))),CRDJ[Debit])))+(SUM(IF((GJ[Date]=$A$4)*(GJ[Ofc Code]=(TRIM(Q$7)))*(GJ[Account Code]=(TRIM($D10))),GJ[Debit])))</f>
        <v>0</v>
      </c>
      <c r="R10" s="211">
        <f t="array" ref="R10">(SUM(IF((CkDJ[Date]=$A$4)*(CkDJ[Ofc Code]=(TRIM(R$7)))*(CkDJ[Account Code]=(TRIM($D10))),CkDJ[Credit])))+(SUM(IF((CsDJ[Date]=$A$4)*(CsDJ[Ofc Code]=(TRIM(R$7)))*(CsDJ[Account Code]=(TRIM($D10))),CsDJ[Credit])))+(SUM(IF((CRDJ[Date]=$A$4)*(CRDJ[Ofc Code]=(TRIM(R$7)))*(CRDJ[Account Code]=(TRIM($D10))),CRDJ[Credit])))+(SUM(IF((GJ[Date]=$A$4)*(GJ[Ofc Code]=(TRIM(R$7)))*(GJ[Account Code]=(TRIM($D10))),GJ[Credit])))-(SUM(IF((CkDJ[Date]=$A$4)*(CkDJ[Ofc Code]=(TRIM(R$7)))*(CkDJ[Account Code]=(TRIM($D10))),CkDJ[Debit])))+(SUM(IF((CsDJ[Date]=$A$4)*(CsDJ[Ofc Code]=(TRIM(R$7)))*(CsDJ[Account Code]=(TRIM($D10))),CsDJ[Debit])))+(SUM(IF((CRDJ[Date]=$A$4)*(CRDJ[Ofc Code]=(TRIM(R$7)))*(CRDJ[Account Code]=(TRIM($D10))),CRDJ[Debit])))+(SUM(IF((GJ[Date]=$A$4)*(GJ[Ofc Code]=(TRIM(R$7)))*(GJ[Account Code]=(TRIM($D10))),GJ[Debit])))</f>
        <v>0</v>
      </c>
      <c r="S10" s="211">
        <f t="array" ref="S10">(SUM(IF((CkDJ[Date]=$A$4)*(CkDJ[Ofc Code]=(TRIM(S$7)))*(CkDJ[Account Code]=(TRIM($D10))),CkDJ[Credit])))+(SUM(IF((CsDJ[Date]=$A$4)*(CsDJ[Ofc Code]=(TRIM(S$7)))*(CsDJ[Account Code]=(TRIM($D10))),CsDJ[Credit])))+(SUM(IF((CRDJ[Date]=$A$4)*(CRDJ[Ofc Code]=(TRIM(S$7)))*(CRDJ[Account Code]=(TRIM($D10))),CRDJ[Credit])))+(SUM(IF((GJ[Date]=$A$4)*(GJ[Ofc Code]=(TRIM(S$7)))*(GJ[Account Code]=(TRIM($D10))),GJ[Credit])))-(SUM(IF((CkDJ[Date]=$A$4)*(CkDJ[Ofc Code]=(TRIM(S$7)))*(CkDJ[Account Code]=(TRIM($D10))),CkDJ[Debit])))+(SUM(IF((CsDJ[Date]=$A$4)*(CsDJ[Ofc Code]=(TRIM(S$7)))*(CsDJ[Account Code]=(TRIM($D10))),CsDJ[Debit])))+(SUM(IF((CRDJ[Date]=$A$4)*(CRDJ[Ofc Code]=(TRIM(S$7)))*(CRDJ[Account Code]=(TRIM($D10))),CRDJ[Debit])))+(SUM(IF((GJ[Date]=$A$4)*(GJ[Ofc Code]=(TRIM(S$7)))*(GJ[Account Code]=(TRIM($D10))),GJ[Debit])))</f>
        <v>0</v>
      </c>
      <c r="T10" s="211">
        <f t="shared" si="3"/>
        <v>0</v>
      </c>
      <c r="U10" s="211">
        <f t="shared" si="4"/>
        <v>0</v>
      </c>
    </row>
    <row r="11" spans="1:21" ht="15">
      <c r="A11" s="212">
        <f t="shared" si="5"/>
        <v>3</v>
      </c>
      <c r="B11" s="214" t="s">
        <v>756</v>
      </c>
      <c r="C11" s="194" t="str">
        <f t="shared" si="0"/>
        <v>Other Service Income - Irrigation Service Fee (Back Account) (MC # 54)</v>
      </c>
      <c r="D11" s="207" t="s">
        <v>721</v>
      </c>
      <c r="E11" s="211">
        <f t="array" ref="E11">(SUM(IF((CkDJ[Date]=$A$4)*(CkDJ[Ofc Code]=(TRIM(E$7)))*(CkDJ[Account Code]=(TRIM($D11))),CkDJ[Credit])))+(SUM(IF((CsDJ[Date]=$A$4)*(CsDJ[Ofc Code]=(TRIM(E$7)))*(CsDJ[Account Code]=(TRIM($D11))),CsDJ[Credit])))+(SUM(IF((CRDJ[Date]=$A$4)*(CRDJ[Ofc Code]=(TRIM(E$7)))*(CRDJ[Account Code]=(TRIM($D11))),CRDJ[Credit])))+(SUM(IF((GJ[Date]=$A$4)*(GJ[Ofc Code]=(TRIM(E$7)))*(GJ[Account Code]=(TRIM($D11))),GJ[Credit])))-(SUM(IF((CkDJ[Date]=$A$4)*(CkDJ[Ofc Code]=(TRIM(E$7)))*(CkDJ[Account Code]=(TRIM($D11))),CkDJ[Debit])))+(SUM(IF((CsDJ[Date]=$A$4)*(CsDJ[Ofc Code]=(TRIM(E$7)))*(CsDJ[Account Code]=(TRIM($D11))),CsDJ[Debit])))+(SUM(IF((CRDJ[Date]=$A$4)*(CRDJ[Ofc Code]=(TRIM(E$7)))*(CRDJ[Account Code]=(TRIM($D11))),CRDJ[Debit])))+(SUM(IF((GJ[Date]=$A$4)*(GJ[Ofc Code]=(TRIM(E$7)))*(GJ[Account Code]=(TRIM($D11))),GJ[Debit])))</f>
        <v>0</v>
      </c>
      <c r="F11" s="211">
        <f t="array" ref="F11">(SUM(IF((CkDJ[Date]=$A$4)*(CkDJ[Ofc Code]=(TRIM(F$7)))*(CkDJ[Account Code]=(TRIM($D11))),CkDJ[Credit])))+(SUM(IF((CsDJ[Date]=$A$4)*(CsDJ[Ofc Code]=(TRIM(F$7)))*(CsDJ[Account Code]=(TRIM($D11))),CsDJ[Credit])))+(SUM(IF((CRDJ[Date]=$A$4)*(CRDJ[Ofc Code]=(TRIM(F$7)))*(CRDJ[Account Code]=(TRIM($D11))),CRDJ[Credit])))+(SUM(IF((GJ[Date]=$A$4)*(GJ[Ofc Code]=(TRIM(F$7)))*(GJ[Account Code]=(TRIM($D11))),GJ[Credit])))-(SUM(IF((CkDJ[Date]=$A$4)*(CkDJ[Ofc Code]=(TRIM(F$7)))*(CkDJ[Account Code]=(TRIM($D11))),CkDJ[Debit])))+(SUM(IF((CsDJ[Date]=$A$4)*(CsDJ[Ofc Code]=(TRIM(F$7)))*(CsDJ[Account Code]=(TRIM($D11))),CsDJ[Debit])))+(SUM(IF((CRDJ[Date]=$A$4)*(CRDJ[Ofc Code]=(TRIM(F$7)))*(CRDJ[Account Code]=(TRIM($D11))),CRDJ[Debit])))+(SUM(IF((GJ[Date]=$A$4)*(GJ[Ofc Code]=(TRIM(F$7)))*(GJ[Account Code]=(TRIM($D11))),GJ[Debit])))</f>
        <v>0</v>
      </c>
      <c r="G11" s="211">
        <f t="array" ref="G11">(SUM(IF((CkDJ[Date]=$A$4)*(CkDJ[Ofc Code]=(TRIM(G$7)))*(CkDJ[Account Code]=(TRIM($D11))),CkDJ[Credit])))+(SUM(IF((CsDJ[Date]=$A$4)*(CsDJ[Ofc Code]=(TRIM(G$7)))*(CsDJ[Account Code]=(TRIM($D11))),CsDJ[Credit])))+(SUM(IF((CRDJ[Date]=$A$4)*(CRDJ[Ofc Code]=(TRIM(G$7)))*(CRDJ[Account Code]=(TRIM($D11))),CRDJ[Credit])))+(SUM(IF((GJ[Date]=$A$4)*(GJ[Ofc Code]=(TRIM(G$7)))*(GJ[Account Code]=(TRIM($D11))),GJ[Credit])))-(SUM(IF((CkDJ[Date]=$A$4)*(CkDJ[Ofc Code]=(TRIM(G$7)))*(CkDJ[Account Code]=(TRIM($D11))),CkDJ[Debit])))+(SUM(IF((CsDJ[Date]=$A$4)*(CsDJ[Ofc Code]=(TRIM(G$7)))*(CsDJ[Account Code]=(TRIM($D11))),CsDJ[Debit])))+(SUM(IF((CRDJ[Date]=$A$4)*(CRDJ[Ofc Code]=(TRIM(G$7)))*(CRDJ[Account Code]=(TRIM($D11))),CRDJ[Debit])))+(SUM(IF((GJ[Date]=$A$4)*(GJ[Ofc Code]=(TRIM(G$7)))*(GJ[Account Code]=(TRIM($D11))),GJ[Debit])))</f>
        <v>0</v>
      </c>
      <c r="H11" s="211">
        <f t="array" ref="H11">(SUM(IF((CkDJ[Date]=$A$4)*(CkDJ[Ofc Code]=(TRIM(H$7)))*(CkDJ[Account Code]=(TRIM($D11))),CkDJ[Credit])))+(SUM(IF((CsDJ[Date]=$A$4)*(CsDJ[Ofc Code]=(TRIM(H$7)))*(CsDJ[Account Code]=(TRIM($D11))),CsDJ[Credit])))+(SUM(IF((CRDJ[Date]=$A$4)*(CRDJ[Ofc Code]=(TRIM(H$7)))*(CRDJ[Account Code]=(TRIM($D11))),CRDJ[Credit])))+(SUM(IF((GJ[Date]=$A$4)*(GJ[Ofc Code]=(TRIM(H$7)))*(GJ[Account Code]=(TRIM($D11))),GJ[Credit])))-(SUM(IF((CkDJ[Date]=$A$4)*(CkDJ[Ofc Code]=(TRIM(H$7)))*(CkDJ[Account Code]=(TRIM($D11))),CkDJ[Debit])))+(SUM(IF((CsDJ[Date]=$A$4)*(CsDJ[Ofc Code]=(TRIM(H$7)))*(CsDJ[Account Code]=(TRIM($D11))),CsDJ[Debit])))+(SUM(IF((CRDJ[Date]=$A$4)*(CRDJ[Ofc Code]=(TRIM(H$7)))*(CRDJ[Account Code]=(TRIM($D11))),CRDJ[Debit])))+(SUM(IF((GJ[Date]=$A$4)*(GJ[Ofc Code]=(TRIM(H$7)))*(GJ[Account Code]=(TRIM($D11))),GJ[Debit])))</f>
        <v>0</v>
      </c>
      <c r="I11" s="211">
        <f t="shared" si="1"/>
        <v>0</v>
      </c>
      <c r="J11" s="211">
        <f t="array" ref="J11">(SUM(IF((CkDJ[Date]=$A$4)*(CkDJ[Ofc Code]=(TRIM(J$7)))*(CkDJ[Account Code]=(TRIM($D11))),CkDJ[Credit])))+(SUM(IF((CsDJ[Date]=$A$4)*(CsDJ[Ofc Code]=(TRIM(J$7)))*(CsDJ[Account Code]=(TRIM($D11))),CsDJ[Credit])))+(SUM(IF((CRDJ[Date]=$A$4)*(CRDJ[Ofc Code]=(TRIM(J$7)))*(CRDJ[Account Code]=(TRIM($D11))),CRDJ[Credit])))+(SUM(IF((GJ[Date]=$A$4)*(GJ[Ofc Code]=(TRIM(J$7)))*(GJ[Account Code]=(TRIM($D11))),GJ[Credit])))-(SUM(IF((CkDJ[Date]=$A$4)*(CkDJ[Ofc Code]=(TRIM(J$7)))*(CkDJ[Account Code]=(TRIM($D11))),CkDJ[Debit])))+(SUM(IF((CsDJ[Date]=$A$4)*(CsDJ[Ofc Code]=(TRIM(J$7)))*(CsDJ[Account Code]=(TRIM($D11))),CsDJ[Debit])))+(SUM(IF((CRDJ[Date]=$A$4)*(CRDJ[Ofc Code]=(TRIM(J$7)))*(CRDJ[Account Code]=(TRIM($D11))),CRDJ[Debit])))+(SUM(IF((GJ[Date]=$A$4)*(GJ[Ofc Code]=(TRIM(J$7)))*(GJ[Account Code]=(TRIM($D11))),GJ[Debit])))</f>
        <v>0</v>
      </c>
      <c r="K11" s="211">
        <f t="array" ref="K11">(SUM(IF((CkDJ[Date]=$A$4)*(CkDJ[Ofc Code]=(TRIM(K$7)))*(CkDJ[Account Code]=(TRIM($D11))),CkDJ[Credit])))+(SUM(IF((CsDJ[Date]=$A$4)*(CsDJ[Ofc Code]=(TRIM(K$7)))*(CsDJ[Account Code]=(TRIM($D11))),CsDJ[Credit])))+(SUM(IF((CRDJ[Date]=$A$4)*(CRDJ[Ofc Code]=(TRIM(K$7)))*(CRDJ[Account Code]=(TRIM($D11))),CRDJ[Credit])))+(SUM(IF((GJ[Date]=$A$4)*(GJ[Ofc Code]=(TRIM(K$7)))*(GJ[Account Code]=(TRIM($D11))),GJ[Credit])))-(SUM(IF((CkDJ[Date]=$A$4)*(CkDJ[Ofc Code]=(TRIM(K$7)))*(CkDJ[Account Code]=(TRIM($D11))),CkDJ[Debit])))+(SUM(IF((CsDJ[Date]=$A$4)*(CsDJ[Ofc Code]=(TRIM(K$7)))*(CsDJ[Account Code]=(TRIM($D11))),CsDJ[Debit])))+(SUM(IF((CRDJ[Date]=$A$4)*(CRDJ[Ofc Code]=(TRIM(K$7)))*(CRDJ[Account Code]=(TRIM($D11))),CRDJ[Debit])))+(SUM(IF((GJ[Date]=$A$4)*(GJ[Ofc Code]=(TRIM(K$7)))*(GJ[Account Code]=(TRIM($D11))),GJ[Debit])))</f>
        <v>0</v>
      </c>
      <c r="L11" s="211">
        <f t="array" ref="L11">(SUM(IF((CkDJ[Date]=$A$4)*(CkDJ[Ofc Code]=(TRIM(L$7)))*(CkDJ[Account Code]=(TRIM($D11))),CkDJ[Credit])))+(SUM(IF((CsDJ[Date]=$A$4)*(CsDJ[Ofc Code]=(TRIM(L$7)))*(CsDJ[Account Code]=(TRIM($D11))),CsDJ[Credit])))+(SUM(IF((CRDJ[Date]=$A$4)*(CRDJ[Ofc Code]=(TRIM(L$7)))*(CRDJ[Account Code]=(TRIM($D11))),CRDJ[Credit])))+(SUM(IF((GJ[Date]=$A$4)*(GJ[Ofc Code]=(TRIM(L$7)))*(GJ[Account Code]=(TRIM($D11))),GJ[Credit])))-(SUM(IF((CkDJ[Date]=$A$4)*(CkDJ[Ofc Code]=(TRIM(L$7)))*(CkDJ[Account Code]=(TRIM($D11))),CkDJ[Debit])))+(SUM(IF((CsDJ[Date]=$A$4)*(CsDJ[Ofc Code]=(TRIM(L$7)))*(CsDJ[Account Code]=(TRIM($D11))),CsDJ[Debit])))+(SUM(IF((CRDJ[Date]=$A$4)*(CRDJ[Ofc Code]=(TRIM(L$7)))*(CRDJ[Account Code]=(TRIM($D11))),CRDJ[Debit])))+(SUM(IF((GJ[Date]=$A$4)*(GJ[Ofc Code]=(TRIM(L$7)))*(GJ[Account Code]=(TRIM($D11))),GJ[Debit])))</f>
        <v>0</v>
      </c>
      <c r="M11" s="211">
        <f t="array" ref="M11">(SUM(IF((CkDJ[Date]=$A$4)*(CkDJ[Ofc Code]=(TRIM(M$7)))*(CkDJ[Account Code]=(TRIM($D11))),CkDJ[Credit])))+(SUM(IF((CsDJ[Date]=$A$4)*(CsDJ[Ofc Code]=(TRIM(M$7)))*(CsDJ[Account Code]=(TRIM($D11))),CsDJ[Credit])))+(SUM(IF((CRDJ[Date]=$A$4)*(CRDJ[Ofc Code]=(TRIM(M$7)))*(CRDJ[Account Code]=(TRIM($D11))),CRDJ[Credit])))+(SUM(IF((GJ[Date]=$A$4)*(GJ[Ofc Code]=(TRIM(M$7)))*(GJ[Account Code]=(TRIM($D11))),GJ[Credit])))-(SUM(IF((CkDJ[Date]=$A$4)*(CkDJ[Ofc Code]=(TRIM(M$7)))*(CkDJ[Account Code]=(TRIM($D11))),CkDJ[Debit])))+(SUM(IF((CsDJ[Date]=$A$4)*(CsDJ[Ofc Code]=(TRIM(M$7)))*(CsDJ[Account Code]=(TRIM($D11))),CsDJ[Debit])))+(SUM(IF((CRDJ[Date]=$A$4)*(CRDJ[Ofc Code]=(TRIM(M$7)))*(CRDJ[Account Code]=(TRIM($D11))),CRDJ[Debit])))+(SUM(IF((GJ[Date]=$A$4)*(GJ[Ofc Code]=(TRIM(M$7)))*(GJ[Account Code]=(TRIM($D11))),GJ[Debit])))</f>
        <v>0</v>
      </c>
      <c r="N11" s="211">
        <f t="shared" si="2"/>
        <v>0</v>
      </c>
      <c r="O11" s="211">
        <f t="array" ref="O11">(SUM(IF((CkDJ[Date]=$A$4)*(CkDJ[Ofc Code]=(TRIM(O$7)))*(CkDJ[Account Code]=(TRIM($D11))),CkDJ[Credit])))+(SUM(IF((CsDJ[Date]=$A$4)*(CsDJ[Ofc Code]=(TRIM(O$7)))*(CsDJ[Account Code]=(TRIM($D11))),CsDJ[Credit])))+(SUM(IF((CRDJ[Date]=$A$4)*(CRDJ[Ofc Code]=(TRIM(O$7)))*(CRDJ[Account Code]=(TRIM($D11))),CRDJ[Credit])))+(SUM(IF((GJ[Date]=$A$4)*(GJ[Ofc Code]=(TRIM(O$7)))*(GJ[Account Code]=(TRIM($D11))),GJ[Credit])))-(SUM(IF((CkDJ[Date]=$A$4)*(CkDJ[Ofc Code]=(TRIM(O$7)))*(CkDJ[Account Code]=(TRIM($D11))),CkDJ[Debit])))+(SUM(IF((CsDJ[Date]=$A$4)*(CsDJ[Ofc Code]=(TRIM(O$7)))*(CsDJ[Account Code]=(TRIM($D11))),CsDJ[Debit])))+(SUM(IF((CRDJ[Date]=$A$4)*(CRDJ[Ofc Code]=(TRIM(O$7)))*(CRDJ[Account Code]=(TRIM($D11))),CRDJ[Debit])))+(SUM(IF((GJ[Date]=$A$4)*(GJ[Ofc Code]=(TRIM(O$7)))*(GJ[Account Code]=(TRIM($D11))),GJ[Debit])))</f>
        <v>0</v>
      </c>
      <c r="P11" s="211">
        <f t="array" ref="P11">(SUM(IF((CkDJ[Date]=$A$4)*(CkDJ[Ofc Code]=(TRIM(P$7)))*(CkDJ[Account Code]=(TRIM($D11))),CkDJ[Credit])))+(SUM(IF((CsDJ[Date]=$A$4)*(CsDJ[Ofc Code]=(TRIM(P$7)))*(CsDJ[Account Code]=(TRIM($D11))),CsDJ[Credit])))+(SUM(IF((CRDJ[Date]=$A$4)*(CRDJ[Ofc Code]=(TRIM(P$7)))*(CRDJ[Account Code]=(TRIM($D11))),CRDJ[Credit])))+(SUM(IF((GJ[Date]=$A$4)*(GJ[Ofc Code]=(TRIM(P$7)))*(GJ[Account Code]=(TRIM($D11))),GJ[Credit])))-(SUM(IF((CkDJ[Date]=$A$4)*(CkDJ[Ofc Code]=(TRIM(P$7)))*(CkDJ[Account Code]=(TRIM($D11))),CkDJ[Debit])))+(SUM(IF((CsDJ[Date]=$A$4)*(CsDJ[Ofc Code]=(TRIM(P$7)))*(CsDJ[Account Code]=(TRIM($D11))),CsDJ[Debit])))+(SUM(IF((CRDJ[Date]=$A$4)*(CRDJ[Ofc Code]=(TRIM(P$7)))*(CRDJ[Account Code]=(TRIM($D11))),CRDJ[Debit])))+(SUM(IF((GJ[Date]=$A$4)*(GJ[Ofc Code]=(TRIM(P$7)))*(GJ[Account Code]=(TRIM($D11))),GJ[Debit])))</f>
        <v>0</v>
      </c>
      <c r="Q11" s="211">
        <f t="array" ref="Q11">(SUM(IF((CkDJ[Date]=$A$4)*(CkDJ[Ofc Code]=(TRIM(Q$7)))*(CkDJ[Account Code]=(TRIM($D11))),CkDJ[Credit])))+(SUM(IF((CsDJ[Date]=$A$4)*(CsDJ[Ofc Code]=(TRIM(Q$7)))*(CsDJ[Account Code]=(TRIM($D11))),CsDJ[Credit])))+(SUM(IF((CRDJ[Date]=$A$4)*(CRDJ[Ofc Code]=(TRIM(Q$7)))*(CRDJ[Account Code]=(TRIM($D11))),CRDJ[Credit])))+(SUM(IF((GJ[Date]=$A$4)*(GJ[Ofc Code]=(TRIM(Q$7)))*(GJ[Account Code]=(TRIM($D11))),GJ[Credit])))-(SUM(IF((CkDJ[Date]=$A$4)*(CkDJ[Ofc Code]=(TRIM(Q$7)))*(CkDJ[Account Code]=(TRIM($D11))),CkDJ[Debit])))+(SUM(IF((CsDJ[Date]=$A$4)*(CsDJ[Ofc Code]=(TRIM(Q$7)))*(CsDJ[Account Code]=(TRIM($D11))),CsDJ[Debit])))+(SUM(IF((CRDJ[Date]=$A$4)*(CRDJ[Ofc Code]=(TRIM(Q$7)))*(CRDJ[Account Code]=(TRIM($D11))),CRDJ[Debit])))+(SUM(IF((GJ[Date]=$A$4)*(GJ[Ofc Code]=(TRIM(Q$7)))*(GJ[Account Code]=(TRIM($D11))),GJ[Debit])))</f>
        <v>0</v>
      </c>
      <c r="R11" s="211">
        <f t="array" ref="R11">(SUM(IF((CkDJ[Date]=$A$4)*(CkDJ[Ofc Code]=(TRIM(R$7)))*(CkDJ[Account Code]=(TRIM($D11))),CkDJ[Credit])))+(SUM(IF((CsDJ[Date]=$A$4)*(CsDJ[Ofc Code]=(TRIM(R$7)))*(CsDJ[Account Code]=(TRIM($D11))),CsDJ[Credit])))+(SUM(IF((CRDJ[Date]=$A$4)*(CRDJ[Ofc Code]=(TRIM(R$7)))*(CRDJ[Account Code]=(TRIM($D11))),CRDJ[Credit])))+(SUM(IF((GJ[Date]=$A$4)*(GJ[Ofc Code]=(TRIM(R$7)))*(GJ[Account Code]=(TRIM($D11))),GJ[Credit])))-(SUM(IF((CkDJ[Date]=$A$4)*(CkDJ[Ofc Code]=(TRIM(R$7)))*(CkDJ[Account Code]=(TRIM($D11))),CkDJ[Debit])))+(SUM(IF((CsDJ[Date]=$A$4)*(CsDJ[Ofc Code]=(TRIM(R$7)))*(CsDJ[Account Code]=(TRIM($D11))),CsDJ[Debit])))+(SUM(IF((CRDJ[Date]=$A$4)*(CRDJ[Ofc Code]=(TRIM(R$7)))*(CRDJ[Account Code]=(TRIM($D11))),CRDJ[Debit])))+(SUM(IF((GJ[Date]=$A$4)*(GJ[Ofc Code]=(TRIM(R$7)))*(GJ[Account Code]=(TRIM($D11))),GJ[Debit])))</f>
        <v>0</v>
      </c>
      <c r="S11" s="211">
        <f t="array" ref="S11">(SUM(IF((CkDJ[Date]=$A$4)*(CkDJ[Ofc Code]=(TRIM(S$7)))*(CkDJ[Account Code]=(TRIM($D11))),CkDJ[Credit])))+(SUM(IF((CsDJ[Date]=$A$4)*(CsDJ[Ofc Code]=(TRIM(S$7)))*(CsDJ[Account Code]=(TRIM($D11))),CsDJ[Credit])))+(SUM(IF((CRDJ[Date]=$A$4)*(CRDJ[Ofc Code]=(TRIM(S$7)))*(CRDJ[Account Code]=(TRIM($D11))),CRDJ[Credit])))+(SUM(IF((GJ[Date]=$A$4)*(GJ[Ofc Code]=(TRIM(S$7)))*(GJ[Account Code]=(TRIM($D11))),GJ[Credit])))-(SUM(IF((CkDJ[Date]=$A$4)*(CkDJ[Ofc Code]=(TRIM(S$7)))*(CkDJ[Account Code]=(TRIM($D11))),CkDJ[Debit])))+(SUM(IF((CsDJ[Date]=$A$4)*(CsDJ[Ofc Code]=(TRIM(S$7)))*(CsDJ[Account Code]=(TRIM($D11))),CsDJ[Debit])))+(SUM(IF((CRDJ[Date]=$A$4)*(CRDJ[Ofc Code]=(TRIM(S$7)))*(CRDJ[Account Code]=(TRIM($D11))),CRDJ[Debit])))+(SUM(IF((GJ[Date]=$A$4)*(GJ[Ofc Code]=(TRIM(S$7)))*(GJ[Account Code]=(TRIM($D11))),GJ[Debit])))</f>
        <v>0</v>
      </c>
      <c r="T11" s="211">
        <f t="shared" si="3"/>
        <v>0</v>
      </c>
      <c r="U11" s="211">
        <f t="shared" si="4"/>
        <v>0</v>
      </c>
    </row>
    <row r="12" spans="1:21" ht="15">
      <c r="A12" s="212">
        <f t="shared" si="5"/>
        <v>4</v>
      </c>
      <c r="B12" s="214" t="s">
        <v>756</v>
      </c>
      <c r="C12" s="194" t="str">
        <f t="shared" si="0"/>
        <v>Other Service Income - CIS Amortization (Current Account)</v>
      </c>
      <c r="D12" s="207" t="s">
        <v>128</v>
      </c>
      <c r="E12" s="211">
        <f t="array" ref="E12">(SUM(IF((CkDJ[Date]=$A$4)*(CkDJ[Ofc Code]=(TRIM(E$7)))*(CkDJ[Account Code]=(TRIM($D12))),CkDJ[Credit])))+(SUM(IF((CsDJ[Date]=$A$4)*(CsDJ[Ofc Code]=(TRIM(E$7)))*(CsDJ[Account Code]=(TRIM($D12))),CsDJ[Credit])))+(SUM(IF((CRDJ[Date]=$A$4)*(CRDJ[Ofc Code]=(TRIM(E$7)))*(CRDJ[Account Code]=(TRIM($D12))),CRDJ[Credit])))+(SUM(IF((GJ[Date]=$A$4)*(GJ[Ofc Code]=(TRIM(E$7)))*(GJ[Account Code]=(TRIM($D12))),GJ[Credit])))-(SUM(IF((CkDJ[Date]=$A$4)*(CkDJ[Ofc Code]=(TRIM(E$7)))*(CkDJ[Account Code]=(TRIM($D12))),CkDJ[Debit])))+(SUM(IF((CsDJ[Date]=$A$4)*(CsDJ[Ofc Code]=(TRIM(E$7)))*(CsDJ[Account Code]=(TRIM($D12))),CsDJ[Debit])))+(SUM(IF((CRDJ[Date]=$A$4)*(CRDJ[Ofc Code]=(TRIM(E$7)))*(CRDJ[Account Code]=(TRIM($D12))),CRDJ[Debit])))+(SUM(IF((GJ[Date]=$A$4)*(GJ[Ofc Code]=(TRIM(E$7)))*(GJ[Account Code]=(TRIM($D12))),GJ[Debit])))</f>
        <v>0</v>
      </c>
      <c r="F12" s="211">
        <f t="array" ref="F12">(SUM(IF((CkDJ[Date]=$A$4)*(CkDJ[Ofc Code]=(TRIM(F$7)))*(CkDJ[Account Code]=(TRIM($D12))),CkDJ[Credit])))+(SUM(IF((CsDJ[Date]=$A$4)*(CsDJ[Ofc Code]=(TRIM(F$7)))*(CsDJ[Account Code]=(TRIM($D12))),CsDJ[Credit])))+(SUM(IF((CRDJ[Date]=$A$4)*(CRDJ[Ofc Code]=(TRIM(F$7)))*(CRDJ[Account Code]=(TRIM($D12))),CRDJ[Credit])))+(SUM(IF((GJ[Date]=$A$4)*(GJ[Ofc Code]=(TRIM(F$7)))*(GJ[Account Code]=(TRIM($D12))),GJ[Credit])))-(SUM(IF((CkDJ[Date]=$A$4)*(CkDJ[Ofc Code]=(TRIM(F$7)))*(CkDJ[Account Code]=(TRIM($D12))),CkDJ[Debit])))+(SUM(IF((CsDJ[Date]=$A$4)*(CsDJ[Ofc Code]=(TRIM(F$7)))*(CsDJ[Account Code]=(TRIM($D12))),CsDJ[Debit])))+(SUM(IF((CRDJ[Date]=$A$4)*(CRDJ[Ofc Code]=(TRIM(F$7)))*(CRDJ[Account Code]=(TRIM($D12))),CRDJ[Debit])))+(SUM(IF((GJ[Date]=$A$4)*(GJ[Ofc Code]=(TRIM(F$7)))*(GJ[Account Code]=(TRIM($D12))),GJ[Debit])))</f>
        <v>0</v>
      </c>
      <c r="G12" s="211">
        <f t="array" ref="G12">(SUM(IF((CkDJ[Date]=$A$4)*(CkDJ[Ofc Code]=(TRIM(G$7)))*(CkDJ[Account Code]=(TRIM($D12))),CkDJ[Credit])))+(SUM(IF((CsDJ[Date]=$A$4)*(CsDJ[Ofc Code]=(TRIM(G$7)))*(CsDJ[Account Code]=(TRIM($D12))),CsDJ[Credit])))+(SUM(IF((CRDJ[Date]=$A$4)*(CRDJ[Ofc Code]=(TRIM(G$7)))*(CRDJ[Account Code]=(TRIM($D12))),CRDJ[Credit])))+(SUM(IF((GJ[Date]=$A$4)*(GJ[Ofc Code]=(TRIM(G$7)))*(GJ[Account Code]=(TRIM($D12))),GJ[Credit])))-(SUM(IF((CkDJ[Date]=$A$4)*(CkDJ[Ofc Code]=(TRIM(G$7)))*(CkDJ[Account Code]=(TRIM($D12))),CkDJ[Debit])))+(SUM(IF((CsDJ[Date]=$A$4)*(CsDJ[Ofc Code]=(TRIM(G$7)))*(CsDJ[Account Code]=(TRIM($D12))),CsDJ[Debit])))+(SUM(IF((CRDJ[Date]=$A$4)*(CRDJ[Ofc Code]=(TRIM(G$7)))*(CRDJ[Account Code]=(TRIM($D12))),CRDJ[Debit])))+(SUM(IF((GJ[Date]=$A$4)*(GJ[Ofc Code]=(TRIM(G$7)))*(GJ[Account Code]=(TRIM($D12))),GJ[Debit])))</f>
        <v>0</v>
      </c>
      <c r="H12" s="211">
        <f t="array" ref="H12">(SUM(IF((CkDJ[Date]=$A$4)*(CkDJ[Ofc Code]=(TRIM(H$7)))*(CkDJ[Account Code]=(TRIM($D12))),CkDJ[Credit])))+(SUM(IF((CsDJ[Date]=$A$4)*(CsDJ[Ofc Code]=(TRIM(H$7)))*(CsDJ[Account Code]=(TRIM($D12))),CsDJ[Credit])))+(SUM(IF((CRDJ[Date]=$A$4)*(CRDJ[Ofc Code]=(TRIM(H$7)))*(CRDJ[Account Code]=(TRIM($D12))),CRDJ[Credit])))+(SUM(IF((GJ[Date]=$A$4)*(GJ[Ofc Code]=(TRIM(H$7)))*(GJ[Account Code]=(TRIM($D12))),GJ[Credit])))-(SUM(IF((CkDJ[Date]=$A$4)*(CkDJ[Ofc Code]=(TRIM(H$7)))*(CkDJ[Account Code]=(TRIM($D12))),CkDJ[Debit])))+(SUM(IF((CsDJ[Date]=$A$4)*(CsDJ[Ofc Code]=(TRIM(H$7)))*(CsDJ[Account Code]=(TRIM($D12))),CsDJ[Debit])))+(SUM(IF((CRDJ[Date]=$A$4)*(CRDJ[Ofc Code]=(TRIM(H$7)))*(CRDJ[Account Code]=(TRIM($D12))),CRDJ[Debit])))+(SUM(IF((GJ[Date]=$A$4)*(GJ[Ofc Code]=(TRIM(H$7)))*(GJ[Account Code]=(TRIM($D12))),GJ[Debit])))</f>
        <v>0</v>
      </c>
      <c r="I12" s="211">
        <f t="shared" si="1"/>
        <v>0</v>
      </c>
      <c r="J12" s="211">
        <f t="array" ref="J12">(SUM(IF((CkDJ[Date]=$A$4)*(CkDJ[Ofc Code]=(TRIM(J$7)))*(CkDJ[Account Code]=(TRIM($D12))),CkDJ[Credit])))+(SUM(IF((CsDJ[Date]=$A$4)*(CsDJ[Ofc Code]=(TRIM(J$7)))*(CsDJ[Account Code]=(TRIM($D12))),CsDJ[Credit])))+(SUM(IF((CRDJ[Date]=$A$4)*(CRDJ[Ofc Code]=(TRIM(J$7)))*(CRDJ[Account Code]=(TRIM($D12))),CRDJ[Credit])))+(SUM(IF((GJ[Date]=$A$4)*(GJ[Ofc Code]=(TRIM(J$7)))*(GJ[Account Code]=(TRIM($D12))),GJ[Credit])))-(SUM(IF((CkDJ[Date]=$A$4)*(CkDJ[Ofc Code]=(TRIM(J$7)))*(CkDJ[Account Code]=(TRIM($D12))),CkDJ[Debit])))+(SUM(IF((CsDJ[Date]=$A$4)*(CsDJ[Ofc Code]=(TRIM(J$7)))*(CsDJ[Account Code]=(TRIM($D12))),CsDJ[Debit])))+(SUM(IF((CRDJ[Date]=$A$4)*(CRDJ[Ofc Code]=(TRIM(J$7)))*(CRDJ[Account Code]=(TRIM($D12))),CRDJ[Debit])))+(SUM(IF((GJ[Date]=$A$4)*(GJ[Ofc Code]=(TRIM(J$7)))*(GJ[Account Code]=(TRIM($D12))),GJ[Debit])))</f>
        <v>0</v>
      </c>
      <c r="K12" s="211">
        <f t="array" ref="K12">(SUM(IF((CkDJ[Date]=$A$4)*(CkDJ[Ofc Code]=(TRIM(K$7)))*(CkDJ[Account Code]=(TRIM($D12))),CkDJ[Credit])))+(SUM(IF((CsDJ[Date]=$A$4)*(CsDJ[Ofc Code]=(TRIM(K$7)))*(CsDJ[Account Code]=(TRIM($D12))),CsDJ[Credit])))+(SUM(IF((CRDJ[Date]=$A$4)*(CRDJ[Ofc Code]=(TRIM(K$7)))*(CRDJ[Account Code]=(TRIM($D12))),CRDJ[Credit])))+(SUM(IF((GJ[Date]=$A$4)*(GJ[Ofc Code]=(TRIM(K$7)))*(GJ[Account Code]=(TRIM($D12))),GJ[Credit])))-(SUM(IF((CkDJ[Date]=$A$4)*(CkDJ[Ofc Code]=(TRIM(K$7)))*(CkDJ[Account Code]=(TRIM($D12))),CkDJ[Debit])))+(SUM(IF((CsDJ[Date]=$A$4)*(CsDJ[Ofc Code]=(TRIM(K$7)))*(CsDJ[Account Code]=(TRIM($D12))),CsDJ[Debit])))+(SUM(IF((CRDJ[Date]=$A$4)*(CRDJ[Ofc Code]=(TRIM(K$7)))*(CRDJ[Account Code]=(TRIM($D12))),CRDJ[Debit])))+(SUM(IF((GJ[Date]=$A$4)*(GJ[Ofc Code]=(TRIM(K$7)))*(GJ[Account Code]=(TRIM($D12))),GJ[Debit])))</f>
        <v>0</v>
      </c>
      <c r="L12" s="211">
        <f t="array" ref="L12">(SUM(IF((CkDJ[Date]=$A$4)*(CkDJ[Ofc Code]=(TRIM(L$7)))*(CkDJ[Account Code]=(TRIM($D12))),CkDJ[Credit])))+(SUM(IF((CsDJ[Date]=$A$4)*(CsDJ[Ofc Code]=(TRIM(L$7)))*(CsDJ[Account Code]=(TRIM($D12))),CsDJ[Credit])))+(SUM(IF((CRDJ[Date]=$A$4)*(CRDJ[Ofc Code]=(TRIM(L$7)))*(CRDJ[Account Code]=(TRIM($D12))),CRDJ[Credit])))+(SUM(IF((GJ[Date]=$A$4)*(GJ[Ofc Code]=(TRIM(L$7)))*(GJ[Account Code]=(TRIM($D12))),GJ[Credit])))-(SUM(IF((CkDJ[Date]=$A$4)*(CkDJ[Ofc Code]=(TRIM(L$7)))*(CkDJ[Account Code]=(TRIM($D12))),CkDJ[Debit])))+(SUM(IF((CsDJ[Date]=$A$4)*(CsDJ[Ofc Code]=(TRIM(L$7)))*(CsDJ[Account Code]=(TRIM($D12))),CsDJ[Debit])))+(SUM(IF((CRDJ[Date]=$A$4)*(CRDJ[Ofc Code]=(TRIM(L$7)))*(CRDJ[Account Code]=(TRIM($D12))),CRDJ[Debit])))+(SUM(IF((GJ[Date]=$A$4)*(GJ[Ofc Code]=(TRIM(L$7)))*(GJ[Account Code]=(TRIM($D12))),GJ[Debit])))</f>
        <v>0</v>
      </c>
      <c r="M12" s="211">
        <f t="array" ref="M12">(SUM(IF((CkDJ[Date]=$A$4)*(CkDJ[Ofc Code]=(TRIM(M$7)))*(CkDJ[Account Code]=(TRIM($D12))),CkDJ[Credit])))+(SUM(IF((CsDJ[Date]=$A$4)*(CsDJ[Ofc Code]=(TRIM(M$7)))*(CsDJ[Account Code]=(TRIM($D12))),CsDJ[Credit])))+(SUM(IF((CRDJ[Date]=$A$4)*(CRDJ[Ofc Code]=(TRIM(M$7)))*(CRDJ[Account Code]=(TRIM($D12))),CRDJ[Credit])))+(SUM(IF((GJ[Date]=$A$4)*(GJ[Ofc Code]=(TRIM(M$7)))*(GJ[Account Code]=(TRIM($D12))),GJ[Credit])))-(SUM(IF((CkDJ[Date]=$A$4)*(CkDJ[Ofc Code]=(TRIM(M$7)))*(CkDJ[Account Code]=(TRIM($D12))),CkDJ[Debit])))+(SUM(IF((CsDJ[Date]=$A$4)*(CsDJ[Ofc Code]=(TRIM(M$7)))*(CsDJ[Account Code]=(TRIM($D12))),CsDJ[Debit])))+(SUM(IF((CRDJ[Date]=$A$4)*(CRDJ[Ofc Code]=(TRIM(M$7)))*(CRDJ[Account Code]=(TRIM($D12))),CRDJ[Debit])))+(SUM(IF((GJ[Date]=$A$4)*(GJ[Ofc Code]=(TRIM(M$7)))*(GJ[Account Code]=(TRIM($D12))),GJ[Debit])))</f>
        <v>0</v>
      </c>
      <c r="N12" s="211">
        <f t="shared" si="2"/>
        <v>0</v>
      </c>
      <c r="O12" s="211">
        <f t="array" ref="O12">(SUM(IF((CkDJ[Date]=$A$4)*(CkDJ[Ofc Code]=(TRIM(O$7)))*(CkDJ[Account Code]=(TRIM($D12))),CkDJ[Credit])))+(SUM(IF((CsDJ[Date]=$A$4)*(CsDJ[Ofc Code]=(TRIM(O$7)))*(CsDJ[Account Code]=(TRIM($D12))),CsDJ[Credit])))+(SUM(IF((CRDJ[Date]=$A$4)*(CRDJ[Ofc Code]=(TRIM(O$7)))*(CRDJ[Account Code]=(TRIM($D12))),CRDJ[Credit])))+(SUM(IF((GJ[Date]=$A$4)*(GJ[Ofc Code]=(TRIM(O$7)))*(GJ[Account Code]=(TRIM($D12))),GJ[Credit])))-(SUM(IF((CkDJ[Date]=$A$4)*(CkDJ[Ofc Code]=(TRIM(O$7)))*(CkDJ[Account Code]=(TRIM($D12))),CkDJ[Debit])))+(SUM(IF((CsDJ[Date]=$A$4)*(CsDJ[Ofc Code]=(TRIM(O$7)))*(CsDJ[Account Code]=(TRIM($D12))),CsDJ[Debit])))+(SUM(IF((CRDJ[Date]=$A$4)*(CRDJ[Ofc Code]=(TRIM(O$7)))*(CRDJ[Account Code]=(TRIM($D12))),CRDJ[Debit])))+(SUM(IF((GJ[Date]=$A$4)*(GJ[Ofc Code]=(TRIM(O$7)))*(GJ[Account Code]=(TRIM($D12))),GJ[Debit])))</f>
        <v>0</v>
      </c>
      <c r="P12" s="211">
        <f t="array" ref="P12">(SUM(IF((CkDJ[Date]=$A$4)*(CkDJ[Ofc Code]=(TRIM(P$7)))*(CkDJ[Account Code]=(TRIM($D12))),CkDJ[Credit])))+(SUM(IF((CsDJ[Date]=$A$4)*(CsDJ[Ofc Code]=(TRIM(P$7)))*(CsDJ[Account Code]=(TRIM($D12))),CsDJ[Credit])))+(SUM(IF((CRDJ[Date]=$A$4)*(CRDJ[Ofc Code]=(TRIM(P$7)))*(CRDJ[Account Code]=(TRIM($D12))),CRDJ[Credit])))+(SUM(IF((GJ[Date]=$A$4)*(GJ[Ofc Code]=(TRIM(P$7)))*(GJ[Account Code]=(TRIM($D12))),GJ[Credit])))-(SUM(IF((CkDJ[Date]=$A$4)*(CkDJ[Ofc Code]=(TRIM(P$7)))*(CkDJ[Account Code]=(TRIM($D12))),CkDJ[Debit])))+(SUM(IF((CsDJ[Date]=$A$4)*(CsDJ[Ofc Code]=(TRIM(P$7)))*(CsDJ[Account Code]=(TRIM($D12))),CsDJ[Debit])))+(SUM(IF((CRDJ[Date]=$A$4)*(CRDJ[Ofc Code]=(TRIM(P$7)))*(CRDJ[Account Code]=(TRIM($D12))),CRDJ[Debit])))+(SUM(IF((GJ[Date]=$A$4)*(GJ[Ofc Code]=(TRIM(P$7)))*(GJ[Account Code]=(TRIM($D12))),GJ[Debit])))</f>
        <v>0</v>
      </c>
      <c r="Q12" s="211">
        <f t="array" ref="Q12">(SUM(IF((CkDJ[Date]=$A$4)*(CkDJ[Ofc Code]=(TRIM(Q$7)))*(CkDJ[Account Code]=(TRIM($D12))),CkDJ[Credit])))+(SUM(IF((CsDJ[Date]=$A$4)*(CsDJ[Ofc Code]=(TRIM(Q$7)))*(CsDJ[Account Code]=(TRIM($D12))),CsDJ[Credit])))+(SUM(IF((CRDJ[Date]=$A$4)*(CRDJ[Ofc Code]=(TRIM(Q$7)))*(CRDJ[Account Code]=(TRIM($D12))),CRDJ[Credit])))+(SUM(IF((GJ[Date]=$A$4)*(GJ[Ofc Code]=(TRIM(Q$7)))*(GJ[Account Code]=(TRIM($D12))),GJ[Credit])))-(SUM(IF((CkDJ[Date]=$A$4)*(CkDJ[Ofc Code]=(TRIM(Q$7)))*(CkDJ[Account Code]=(TRIM($D12))),CkDJ[Debit])))+(SUM(IF((CsDJ[Date]=$A$4)*(CsDJ[Ofc Code]=(TRIM(Q$7)))*(CsDJ[Account Code]=(TRIM($D12))),CsDJ[Debit])))+(SUM(IF((CRDJ[Date]=$A$4)*(CRDJ[Ofc Code]=(TRIM(Q$7)))*(CRDJ[Account Code]=(TRIM($D12))),CRDJ[Debit])))+(SUM(IF((GJ[Date]=$A$4)*(GJ[Ofc Code]=(TRIM(Q$7)))*(GJ[Account Code]=(TRIM($D12))),GJ[Debit])))</f>
        <v>0</v>
      </c>
      <c r="R12" s="211">
        <f t="array" ref="R12">(SUM(IF((CkDJ[Date]=$A$4)*(CkDJ[Ofc Code]=(TRIM(R$7)))*(CkDJ[Account Code]=(TRIM($D12))),CkDJ[Credit])))+(SUM(IF((CsDJ[Date]=$A$4)*(CsDJ[Ofc Code]=(TRIM(R$7)))*(CsDJ[Account Code]=(TRIM($D12))),CsDJ[Credit])))+(SUM(IF((CRDJ[Date]=$A$4)*(CRDJ[Ofc Code]=(TRIM(R$7)))*(CRDJ[Account Code]=(TRIM($D12))),CRDJ[Credit])))+(SUM(IF((GJ[Date]=$A$4)*(GJ[Ofc Code]=(TRIM(R$7)))*(GJ[Account Code]=(TRIM($D12))),GJ[Credit])))-(SUM(IF((CkDJ[Date]=$A$4)*(CkDJ[Ofc Code]=(TRIM(R$7)))*(CkDJ[Account Code]=(TRIM($D12))),CkDJ[Debit])))+(SUM(IF((CsDJ[Date]=$A$4)*(CsDJ[Ofc Code]=(TRIM(R$7)))*(CsDJ[Account Code]=(TRIM($D12))),CsDJ[Debit])))+(SUM(IF((CRDJ[Date]=$A$4)*(CRDJ[Ofc Code]=(TRIM(R$7)))*(CRDJ[Account Code]=(TRIM($D12))),CRDJ[Debit])))+(SUM(IF((GJ[Date]=$A$4)*(GJ[Ofc Code]=(TRIM(R$7)))*(GJ[Account Code]=(TRIM($D12))),GJ[Debit])))</f>
        <v>0</v>
      </c>
      <c r="S12" s="211">
        <f t="array" ref="S12">(SUM(IF((CkDJ[Date]=$A$4)*(CkDJ[Ofc Code]=(TRIM(S$7)))*(CkDJ[Account Code]=(TRIM($D12))),CkDJ[Credit])))+(SUM(IF((CsDJ[Date]=$A$4)*(CsDJ[Ofc Code]=(TRIM(S$7)))*(CsDJ[Account Code]=(TRIM($D12))),CsDJ[Credit])))+(SUM(IF((CRDJ[Date]=$A$4)*(CRDJ[Ofc Code]=(TRIM(S$7)))*(CRDJ[Account Code]=(TRIM($D12))),CRDJ[Credit])))+(SUM(IF((GJ[Date]=$A$4)*(GJ[Ofc Code]=(TRIM(S$7)))*(GJ[Account Code]=(TRIM($D12))),GJ[Credit])))-(SUM(IF((CkDJ[Date]=$A$4)*(CkDJ[Ofc Code]=(TRIM(S$7)))*(CkDJ[Account Code]=(TRIM($D12))),CkDJ[Debit])))+(SUM(IF((CsDJ[Date]=$A$4)*(CsDJ[Ofc Code]=(TRIM(S$7)))*(CsDJ[Account Code]=(TRIM($D12))),CsDJ[Debit])))+(SUM(IF((CRDJ[Date]=$A$4)*(CRDJ[Ofc Code]=(TRIM(S$7)))*(CRDJ[Account Code]=(TRIM($D12))),CRDJ[Debit])))+(SUM(IF((GJ[Date]=$A$4)*(GJ[Ofc Code]=(TRIM(S$7)))*(GJ[Account Code]=(TRIM($D12))),GJ[Debit])))</f>
        <v>0</v>
      </c>
      <c r="T12" s="211">
        <f t="shared" si="3"/>
        <v>0</v>
      </c>
      <c r="U12" s="211">
        <f t="shared" si="4"/>
        <v>0</v>
      </c>
    </row>
    <row r="13" spans="1:21" ht="15">
      <c r="A13" s="212">
        <f t="shared" si="5"/>
        <v>5</v>
      </c>
      <c r="B13" s="214"/>
      <c r="C13" s="194" t="str">
        <f t="shared" si="0"/>
        <v>Other Service Income - CIS Amortization (Back Account)</v>
      </c>
      <c r="D13" s="207" t="s">
        <v>129</v>
      </c>
      <c r="E13" s="211">
        <f t="array" ref="E13">(SUM(IF((CkDJ[Date]=$A$4)*(CkDJ[Ofc Code]=(TRIM(E$7)))*(CkDJ[Account Code]=(TRIM($D13))),CkDJ[Credit])))+(SUM(IF((CsDJ[Date]=$A$4)*(CsDJ[Ofc Code]=(TRIM(E$7)))*(CsDJ[Account Code]=(TRIM($D13))),CsDJ[Credit])))+(SUM(IF((CRDJ[Date]=$A$4)*(CRDJ[Ofc Code]=(TRIM(E$7)))*(CRDJ[Account Code]=(TRIM($D13))),CRDJ[Credit])))+(SUM(IF((GJ[Date]=$A$4)*(GJ[Ofc Code]=(TRIM(E$7)))*(GJ[Account Code]=(TRIM($D13))),GJ[Credit])))-(SUM(IF((CkDJ[Date]=$A$4)*(CkDJ[Ofc Code]=(TRIM(E$7)))*(CkDJ[Account Code]=(TRIM($D13))),CkDJ[Debit])))+(SUM(IF((CsDJ[Date]=$A$4)*(CsDJ[Ofc Code]=(TRIM(E$7)))*(CsDJ[Account Code]=(TRIM($D13))),CsDJ[Debit])))+(SUM(IF((CRDJ[Date]=$A$4)*(CRDJ[Ofc Code]=(TRIM(E$7)))*(CRDJ[Account Code]=(TRIM($D13))),CRDJ[Debit])))+(SUM(IF((GJ[Date]=$A$4)*(GJ[Ofc Code]=(TRIM(E$7)))*(GJ[Account Code]=(TRIM($D13))),GJ[Debit])))</f>
        <v>0</v>
      </c>
      <c r="F13" s="211">
        <f t="array" ref="F13">(SUM(IF((CkDJ[Date]=$A$4)*(CkDJ[Ofc Code]=(TRIM(F$7)))*(CkDJ[Account Code]=(TRIM($D13))),CkDJ[Credit])))+(SUM(IF((CsDJ[Date]=$A$4)*(CsDJ[Ofc Code]=(TRIM(F$7)))*(CsDJ[Account Code]=(TRIM($D13))),CsDJ[Credit])))+(SUM(IF((CRDJ[Date]=$A$4)*(CRDJ[Ofc Code]=(TRIM(F$7)))*(CRDJ[Account Code]=(TRIM($D13))),CRDJ[Credit])))+(SUM(IF((GJ[Date]=$A$4)*(GJ[Ofc Code]=(TRIM(F$7)))*(GJ[Account Code]=(TRIM($D13))),GJ[Credit])))-(SUM(IF((CkDJ[Date]=$A$4)*(CkDJ[Ofc Code]=(TRIM(F$7)))*(CkDJ[Account Code]=(TRIM($D13))),CkDJ[Debit])))+(SUM(IF((CsDJ[Date]=$A$4)*(CsDJ[Ofc Code]=(TRIM(F$7)))*(CsDJ[Account Code]=(TRIM($D13))),CsDJ[Debit])))+(SUM(IF((CRDJ[Date]=$A$4)*(CRDJ[Ofc Code]=(TRIM(F$7)))*(CRDJ[Account Code]=(TRIM($D13))),CRDJ[Debit])))+(SUM(IF((GJ[Date]=$A$4)*(GJ[Ofc Code]=(TRIM(F$7)))*(GJ[Account Code]=(TRIM($D13))),GJ[Debit])))</f>
        <v>0</v>
      </c>
      <c r="G13" s="211">
        <f t="array" ref="G13">(SUM(IF((CkDJ[Date]=$A$4)*(CkDJ[Ofc Code]=(TRIM(G$7)))*(CkDJ[Account Code]=(TRIM($D13))),CkDJ[Credit])))+(SUM(IF((CsDJ[Date]=$A$4)*(CsDJ[Ofc Code]=(TRIM(G$7)))*(CsDJ[Account Code]=(TRIM($D13))),CsDJ[Credit])))+(SUM(IF((CRDJ[Date]=$A$4)*(CRDJ[Ofc Code]=(TRIM(G$7)))*(CRDJ[Account Code]=(TRIM($D13))),CRDJ[Credit])))+(SUM(IF((GJ[Date]=$A$4)*(GJ[Ofc Code]=(TRIM(G$7)))*(GJ[Account Code]=(TRIM($D13))),GJ[Credit])))-(SUM(IF((CkDJ[Date]=$A$4)*(CkDJ[Ofc Code]=(TRIM(G$7)))*(CkDJ[Account Code]=(TRIM($D13))),CkDJ[Debit])))+(SUM(IF((CsDJ[Date]=$A$4)*(CsDJ[Ofc Code]=(TRIM(G$7)))*(CsDJ[Account Code]=(TRIM($D13))),CsDJ[Debit])))+(SUM(IF((CRDJ[Date]=$A$4)*(CRDJ[Ofc Code]=(TRIM(G$7)))*(CRDJ[Account Code]=(TRIM($D13))),CRDJ[Debit])))+(SUM(IF((GJ[Date]=$A$4)*(GJ[Ofc Code]=(TRIM(G$7)))*(GJ[Account Code]=(TRIM($D13))),GJ[Debit])))</f>
        <v>0</v>
      </c>
      <c r="H13" s="211">
        <f t="array" ref="H13">(SUM(IF((CkDJ[Date]=$A$4)*(CkDJ[Ofc Code]=(TRIM(H$7)))*(CkDJ[Account Code]=(TRIM($D13))),CkDJ[Credit])))+(SUM(IF((CsDJ[Date]=$A$4)*(CsDJ[Ofc Code]=(TRIM(H$7)))*(CsDJ[Account Code]=(TRIM($D13))),CsDJ[Credit])))+(SUM(IF((CRDJ[Date]=$A$4)*(CRDJ[Ofc Code]=(TRIM(H$7)))*(CRDJ[Account Code]=(TRIM($D13))),CRDJ[Credit])))+(SUM(IF((GJ[Date]=$A$4)*(GJ[Ofc Code]=(TRIM(H$7)))*(GJ[Account Code]=(TRIM($D13))),GJ[Credit])))-(SUM(IF((CkDJ[Date]=$A$4)*(CkDJ[Ofc Code]=(TRIM(H$7)))*(CkDJ[Account Code]=(TRIM($D13))),CkDJ[Debit])))+(SUM(IF((CsDJ[Date]=$A$4)*(CsDJ[Ofc Code]=(TRIM(H$7)))*(CsDJ[Account Code]=(TRIM($D13))),CsDJ[Debit])))+(SUM(IF((CRDJ[Date]=$A$4)*(CRDJ[Ofc Code]=(TRIM(H$7)))*(CRDJ[Account Code]=(TRIM($D13))),CRDJ[Debit])))+(SUM(IF((GJ[Date]=$A$4)*(GJ[Ofc Code]=(TRIM(H$7)))*(GJ[Account Code]=(TRIM($D13))),GJ[Debit])))</f>
        <v>0</v>
      </c>
      <c r="I13" s="211">
        <f t="shared" si="1"/>
        <v>0</v>
      </c>
      <c r="J13" s="211">
        <f t="array" ref="J13">(SUM(IF((CkDJ[Date]=$A$4)*(CkDJ[Ofc Code]=(TRIM(J$7)))*(CkDJ[Account Code]=(TRIM($D13))),CkDJ[Credit])))+(SUM(IF((CsDJ[Date]=$A$4)*(CsDJ[Ofc Code]=(TRIM(J$7)))*(CsDJ[Account Code]=(TRIM($D13))),CsDJ[Credit])))+(SUM(IF((CRDJ[Date]=$A$4)*(CRDJ[Ofc Code]=(TRIM(J$7)))*(CRDJ[Account Code]=(TRIM($D13))),CRDJ[Credit])))+(SUM(IF((GJ[Date]=$A$4)*(GJ[Ofc Code]=(TRIM(J$7)))*(GJ[Account Code]=(TRIM($D13))),GJ[Credit])))-(SUM(IF((CkDJ[Date]=$A$4)*(CkDJ[Ofc Code]=(TRIM(J$7)))*(CkDJ[Account Code]=(TRIM($D13))),CkDJ[Debit])))+(SUM(IF((CsDJ[Date]=$A$4)*(CsDJ[Ofc Code]=(TRIM(J$7)))*(CsDJ[Account Code]=(TRIM($D13))),CsDJ[Debit])))+(SUM(IF((CRDJ[Date]=$A$4)*(CRDJ[Ofc Code]=(TRIM(J$7)))*(CRDJ[Account Code]=(TRIM($D13))),CRDJ[Debit])))+(SUM(IF((GJ[Date]=$A$4)*(GJ[Ofc Code]=(TRIM(J$7)))*(GJ[Account Code]=(TRIM($D13))),GJ[Debit])))</f>
        <v>0</v>
      </c>
      <c r="K13" s="211">
        <f t="array" ref="K13">(SUM(IF((CkDJ[Date]=$A$4)*(CkDJ[Ofc Code]=(TRIM(K$7)))*(CkDJ[Account Code]=(TRIM($D13))),CkDJ[Credit])))+(SUM(IF((CsDJ[Date]=$A$4)*(CsDJ[Ofc Code]=(TRIM(K$7)))*(CsDJ[Account Code]=(TRIM($D13))),CsDJ[Credit])))+(SUM(IF((CRDJ[Date]=$A$4)*(CRDJ[Ofc Code]=(TRIM(K$7)))*(CRDJ[Account Code]=(TRIM($D13))),CRDJ[Credit])))+(SUM(IF((GJ[Date]=$A$4)*(GJ[Ofc Code]=(TRIM(K$7)))*(GJ[Account Code]=(TRIM($D13))),GJ[Credit])))-(SUM(IF((CkDJ[Date]=$A$4)*(CkDJ[Ofc Code]=(TRIM(K$7)))*(CkDJ[Account Code]=(TRIM($D13))),CkDJ[Debit])))+(SUM(IF((CsDJ[Date]=$A$4)*(CsDJ[Ofc Code]=(TRIM(K$7)))*(CsDJ[Account Code]=(TRIM($D13))),CsDJ[Debit])))+(SUM(IF((CRDJ[Date]=$A$4)*(CRDJ[Ofc Code]=(TRIM(K$7)))*(CRDJ[Account Code]=(TRIM($D13))),CRDJ[Debit])))+(SUM(IF((GJ[Date]=$A$4)*(GJ[Ofc Code]=(TRIM(K$7)))*(GJ[Account Code]=(TRIM($D13))),GJ[Debit])))</f>
        <v>0</v>
      </c>
      <c r="L13" s="211">
        <f t="array" ref="L13">(SUM(IF((CkDJ[Date]=$A$4)*(CkDJ[Ofc Code]=(TRIM(L$7)))*(CkDJ[Account Code]=(TRIM($D13))),CkDJ[Credit])))+(SUM(IF((CsDJ[Date]=$A$4)*(CsDJ[Ofc Code]=(TRIM(L$7)))*(CsDJ[Account Code]=(TRIM($D13))),CsDJ[Credit])))+(SUM(IF((CRDJ[Date]=$A$4)*(CRDJ[Ofc Code]=(TRIM(L$7)))*(CRDJ[Account Code]=(TRIM($D13))),CRDJ[Credit])))+(SUM(IF((GJ[Date]=$A$4)*(GJ[Ofc Code]=(TRIM(L$7)))*(GJ[Account Code]=(TRIM($D13))),GJ[Credit])))-(SUM(IF((CkDJ[Date]=$A$4)*(CkDJ[Ofc Code]=(TRIM(L$7)))*(CkDJ[Account Code]=(TRIM($D13))),CkDJ[Debit])))+(SUM(IF((CsDJ[Date]=$A$4)*(CsDJ[Ofc Code]=(TRIM(L$7)))*(CsDJ[Account Code]=(TRIM($D13))),CsDJ[Debit])))+(SUM(IF((CRDJ[Date]=$A$4)*(CRDJ[Ofc Code]=(TRIM(L$7)))*(CRDJ[Account Code]=(TRIM($D13))),CRDJ[Debit])))+(SUM(IF((GJ[Date]=$A$4)*(GJ[Ofc Code]=(TRIM(L$7)))*(GJ[Account Code]=(TRIM($D13))),GJ[Debit])))</f>
        <v>0</v>
      </c>
      <c r="M13" s="211">
        <f t="array" ref="M13">(SUM(IF((CkDJ[Date]=$A$4)*(CkDJ[Ofc Code]=(TRIM(M$7)))*(CkDJ[Account Code]=(TRIM($D13))),CkDJ[Credit])))+(SUM(IF((CsDJ[Date]=$A$4)*(CsDJ[Ofc Code]=(TRIM(M$7)))*(CsDJ[Account Code]=(TRIM($D13))),CsDJ[Credit])))+(SUM(IF((CRDJ[Date]=$A$4)*(CRDJ[Ofc Code]=(TRIM(M$7)))*(CRDJ[Account Code]=(TRIM($D13))),CRDJ[Credit])))+(SUM(IF((GJ[Date]=$A$4)*(GJ[Ofc Code]=(TRIM(M$7)))*(GJ[Account Code]=(TRIM($D13))),GJ[Credit])))-(SUM(IF((CkDJ[Date]=$A$4)*(CkDJ[Ofc Code]=(TRIM(M$7)))*(CkDJ[Account Code]=(TRIM($D13))),CkDJ[Debit])))+(SUM(IF((CsDJ[Date]=$A$4)*(CsDJ[Ofc Code]=(TRIM(M$7)))*(CsDJ[Account Code]=(TRIM($D13))),CsDJ[Debit])))+(SUM(IF((CRDJ[Date]=$A$4)*(CRDJ[Ofc Code]=(TRIM(M$7)))*(CRDJ[Account Code]=(TRIM($D13))),CRDJ[Debit])))+(SUM(IF((GJ[Date]=$A$4)*(GJ[Ofc Code]=(TRIM(M$7)))*(GJ[Account Code]=(TRIM($D13))),GJ[Debit])))</f>
        <v>0</v>
      </c>
      <c r="N13" s="211">
        <f t="shared" si="2"/>
        <v>0</v>
      </c>
      <c r="O13" s="211">
        <f t="array" ref="O13">(SUM(IF((CkDJ[Date]=$A$4)*(CkDJ[Ofc Code]=(TRIM(O$7)))*(CkDJ[Account Code]=(TRIM($D13))),CkDJ[Credit])))+(SUM(IF((CsDJ[Date]=$A$4)*(CsDJ[Ofc Code]=(TRIM(O$7)))*(CsDJ[Account Code]=(TRIM($D13))),CsDJ[Credit])))+(SUM(IF((CRDJ[Date]=$A$4)*(CRDJ[Ofc Code]=(TRIM(O$7)))*(CRDJ[Account Code]=(TRIM($D13))),CRDJ[Credit])))+(SUM(IF((GJ[Date]=$A$4)*(GJ[Ofc Code]=(TRIM(O$7)))*(GJ[Account Code]=(TRIM($D13))),GJ[Credit])))-(SUM(IF((CkDJ[Date]=$A$4)*(CkDJ[Ofc Code]=(TRIM(O$7)))*(CkDJ[Account Code]=(TRIM($D13))),CkDJ[Debit])))+(SUM(IF((CsDJ[Date]=$A$4)*(CsDJ[Ofc Code]=(TRIM(O$7)))*(CsDJ[Account Code]=(TRIM($D13))),CsDJ[Debit])))+(SUM(IF((CRDJ[Date]=$A$4)*(CRDJ[Ofc Code]=(TRIM(O$7)))*(CRDJ[Account Code]=(TRIM($D13))),CRDJ[Debit])))+(SUM(IF((GJ[Date]=$A$4)*(GJ[Ofc Code]=(TRIM(O$7)))*(GJ[Account Code]=(TRIM($D13))),GJ[Debit])))</f>
        <v>0</v>
      </c>
      <c r="P13" s="211">
        <f t="array" ref="P13">(SUM(IF((CkDJ[Date]=$A$4)*(CkDJ[Ofc Code]=(TRIM(P$7)))*(CkDJ[Account Code]=(TRIM($D13))),CkDJ[Credit])))+(SUM(IF((CsDJ[Date]=$A$4)*(CsDJ[Ofc Code]=(TRIM(P$7)))*(CsDJ[Account Code]=(TRIM($D13))),CsDJ[Credit])))+(SUM(IF((CRDJ[Date]=$A$4)*(CRDJ[Ofc Code]=(TRIM(P$7)))*(CRDJ[Account Code]=(TRIM($D13))),CRDJ[Credit])))+(SUM(IF((GJ[Date]=$A$4)*(GJ[Ofc Code]=(TRIM(P$7)))*(GJ[Account Code]=(TRIM($D13))),GJ[Credit])))-(SUM(IF((CkDJ[Date]=$A$4)*(CkDJ[Ofc Code]=(TRIM(P$7)))*(CkDJ[Account Code]=(TRIM($D13))),CkDJ[Debit])))+(SUM(IF((CsDJ[Date]=$A$4)*(CsDJ[Ofc Code]=(TRIM(P$7)))*(CsDJ[Account Code]=(TRIM($D13))),CsDJ[Debit])))+(SUM(IF((CRDJ[Date]=$A$4)*(CRDJ[Ofc Code]=(TRIM(P$7)))*(CRDJ[Account Code]=(TRIM($D13))),CRDJ[Debit])))+(SUM(IF((GJ[Date]=$A$4)*(GJ[Ofc Code]=(TRIM(P$7)))*(GJ[Account Code]=(TRIM($D13))),GJ[Debit])))</f>
        <v>0</v>
      </c>
      <c r="Q13" s="211">
        <f t="array" ref="Q13">(SUM(IF((CkDJ[Date]=$A$4)*(CkDJ[Ofc Code]=(TRIM(Q$7)))*(CkDJ[Account Code]=(TRIM($D13))),CkDJ[Credit])))+(SUM(IF((CsDJ[Date]=$A$4)*(CsDJ[Ofc Code]=(TRIM(Q$7)))*(CsDJ[Account Code]=(TRIM($D13))),CsDJ[Credit])))+(SUM(IF((CRDJ[Date]=$A$4)*(CRDJ[Ofc Code]=(TRIM(Q$7)))*(CRDJ[Account Code]=(TRIM($D13))),CRDJ[Credit])))+(SUM(IF((GJ[Date]=$A$4)*(GJ[Ofc Code]=(TRIM(Q$7)))*(GJ[Account Code]=(TRIM($D13))),GJ[Credit])))-(SUM(IF((CkDJ[Date]=$A$4)*(CkDJ[Ofc Code]=(TRIM(Q$7)))*(CkDJ[Account Code]=(TRIM($D13))),CkDJ[Debit])))+(SUM(IF((CsDJ[Date]=$A$4)*(CsDJ[Ofc Code]=(TRIM(Q$7)))*(CsDJ[Account Code]=(TRIM($D13))),CsDJ[Debit])))+(SUM(IF((CRDJ[Date]=$A$4)*(CRDJ[Ofc Code]=(TRIM(Q$7)))*(CRDJ[Account Code]=(TRIM($D13))),CRDJ[Debit])))+(SUM(IF((GJ[Date]=$A$4)*(GJ[Ofc Code]=(TRIM(Q$7)))*(GJ[Account Code]=(TRIM($D13))),GJ[Debit])))</f>
        <v>0</v>
      </c>
      <c r="R13" s="211">
        <f t="array" ref="R13">(SUM(IF((CkDJ[Date]=$A$4)*(CkDJ[Ofc Code]=(TRIM(R$7)))*(CkDJ[Account Code]=(TRIM($D13))),CkDJ[Credit])))+(SUM(IF((CsDJ[Date]=$A$4)*(CsDJ[Ofc Code]=(TRIM(R$7)))*(CsDJ[Account Code]=(TRIM($D13))),CsDJ[Credit])))+(SUM(IF((CRDJ[Date]=$A$4)*(CRDJ[Ofc Code]=(TRIM(R$7)))*(CRDJ[Account Code]=(TRIM($D13))),CRDJ[Credit])))+(SUM(IF((GJ[Date]=$A$4)*(GJ[Ofc Code]=(TRIM(R$7)))*(GJ[Account Code]=(TRIM($D13))),GJ[Credit])))-(SUM(IF((CkDJ[Date]=$A$4)*(CkDJ[Ofc Code]=(TRIM(R$7)))*(CkDJ[Account Code]=(TRIM($D13))),CkDJ[Debit])))+(SUM(IF((CsDJ[Date]=$A$4)*(CsDJ[Ofc Code]=(TRIM(R$7)))*(CsDJ[Account Code]=(TRIM($D13))),CsDJ[Debit])))+(SUM(IF((CRDJ[Date]=$A$4)*(CRDJ[Ofc Code]=(TRIM(R$7)))*(CRDJ[Account Code]=(TRIM($D13))),CRDJ[Debit])))+(SUM(IF((GJ[Date]=$A$4)*(GJ[Ofc Code]=(TRIM(R$7)))*(GJ[Account Code]=(TRIM($D13))),GJ[Debit])))</f>
        <v>0</v>
      </c>
      <c r="S13" s="211">
        <f t="array" ref="S13">(SUM(IF((CkDJ[Date]=$A$4)*(CkDJ[Ofc Code]=(TRIM(S$7)))*(CkDJ[Account Code]=(TRIM($D13))),CkDJ[Credit])))+(SUM(IF((CsDJ[Date]=$A$4)*(CsDJ[Ofc Code]=(TRIM(S$7)))*(CsDJ[Account Code]=(TRIM($D13))),CsDJ[Credit])))+(SUM(IF((CRDJ[Date]=$A$4)*(CRDJ[Ofc Code]=(TRIM(S$7)))*(CRDJ[Account Code]=(TRIM($D13))),CRDJ[Credit])))+(SUM(IF((GJ[Date]=$A$4)*(GJ[Ofc Code]=(TRIM(S$7)))*(GJ[Account Code]=(TRIM($D13))),GJ[Credit])))-(SUM(IF((CkDJ[Date]=$A$4)*(CkDJ[Ofc Code]=(TRIM(S$7)))*(CkDJ[Account Code]=(TRIM($D13))),CkDJ[Debit])))+(SUM(IF((CsDJ[Date]=$A$4)*(CsDJ[Ofc Code]=(TRIM(S$7)))*(CsDJ[Account Code]=(TRIM($D13))),CsDJ[Debit])))+(SUM(IF((CRDJ[Date]=$A$4)*(CRDJ[Ofc Code]=(TRIM(S$7)))*(CRDJ[Account Code]=(TRIM($D13))),CRDJ[Debit])))+(SUM(IF((GJ[Date]=$A$4)*(GJ[Ofc Code]=(TRIM(S$7)))*(GJ[Account Code]=(TRIM($D13))),GJ[Debit])))</f>
        <v>0</v>
      </c>
      <c r="T13" s="211">
        <f t="shared" si="3"/>
        <v>0</v>
      </c>
      <c r="U13" s="211">
        <f t="shared" si="4"/>
        <v>0</v>
      </c>
    </row>
    <row r="14" spans="1:21" ht="15">
      <c r="A14" s="212">
        <f t="shared" si="5"/>
        <v>6</v>
      </c>
      <c r="B14" s="214"/>
      <c r="C14" s="194" t="e">
        <f t="shared" si="0"/>
        <v>#N/A</v>
      </c>
      <c r="D14" s="207" t="s">
        <v>130</v>
      </c>
      <c r="E14" s="211">
        <f t="array" ref="E14">(SUM(IF((CkDJ[Date]=$A$4)*(CkDJ[Ofc Code]=(TRIM(E$7)))*(CkDJ[Account Code]=(TRIM($D14))),CkDJ[Credit])))+(SUM(IF((CsDJ[Date]=$A$4)*(CsDJ[Ofc Code]=(TRIM(E$7)))*(CsDJ[Account Code]=(TRIM($D14))),CsDJ[Credit])))+(SUM(IF((CRDJ[Date]=$A$4)*(CRDJ[Ofc Code]=(TRIM(E$7)))*(CRDJ[Account Code]=(TRIM($D14))),CRDJ[Credit])))+(SUM(IF((GJ[Date]=$A$4)*(GJ[Ofc Code]=(TRIM(E$7)))*(GJ[Account Code]=(TRIM($D14))),GJ[Credit])))-(SUM(IF((CkDJ[Date]=$A$4)*(CkDJ[Ofc Code]=(TRIM(E$7)))*(CkDJ[Account Code]=(TRIM($D14))),CkDJ[Debit])))+(SUM(IF((CsDJ[Date]=$A$4)*(CsDJ[Ofc Code]=(TRIM(E$7)))*(CsDJ[Account Code]=(TRIM($D14))),CsDJ[Debit])))+(SUM(IF((CRDJ[Date]=$A$4)*(CRDJ[Ofc Code]=(TRIM(E$7)))*(CRDJ[Account Code]=(TRIM($D14))),CRDJ[Debit])))+(SUM(IF((GJ[Date]=$A$4)*(GJ[Ofc Code]=(TRIM(E$7)))*(GJ[Account Code]=(TRIM($D14))),GJ[Debit])))</f>
        <v>0</v>
      </c>
      <c r="F14" s="211">
        <f t="array" ref="F14">(SUM(IF((CkDJ[Date]=$A$4)*(CkDJ[Ofc Code]=(TRIM(F$7)))*(CkDJ[Account Code]=(TRIM($D14))),CkDJ[Credit])))+(SUM(IF((CsDJ[Date]=$A$4)*(CsDJ[Ofc Code]=(TRIM(F$7)))*(CsDJ[Account Code]=(TRIM($D14))),CsDJ[Credit])))+(SUM(IF((CRDJ[Date]=$A$4)*(CRDJ[Ofc Code]=(TRIM(F$7)))*(CRDJ[Account Code]=(TRIM($D14))),CRDJ[Credit])))+(SUM(IF((GJ[Date]=$A$4)*(GJ[Ofc Code]=(TRIM(F$7)))*(GJ[Account Code]=(TRIM($D14))),GJ[Credit])))-(SUM(IF((CkDJ[Date]=$A$4)*(CkDJ[Ofc Code]=(TRIM(F$7)))*(CkDJ[Account Code]=(TRIM($D14))),CkDJ[Debit])))+(SUM(IF((CsDJ[Date]=$A$4)*(CsDJ[Ofc Code]=(TRIM(F$7)))*(CsDJ[Account Code]=(TRIM($D14))),CsDJ[Debit])))+(SUM(IF((CRDJ[Date]=$A$4)*(CRDJ[Ofc Code]=(TRIM(F$7)))*(CRDJ[Account Code]=(TRIM($D14))),CRDJ[Debit])))+(SUM(IF((GJ[Date]=$A$4)*(GJ[Ofc Code]=(TRIM(F$7)))*(GJ[Account Code]=(TRIM($D14))),GJ[Debit])))</f>
        <v>0</v>
      </c>
      <c r="G14" s="211">
        <f t="array" ref="G14">(SUM(IF((CkDJ[Date]=$A$4)*(CkDJ[Ofc Code]=(TRIM(G$7)))*(CkDJ[Account Code]=(TRIM($D14))),CkDJ[Credit])))+(SUM(IF((CsDJ[Date]=$A$4)*(CsDJ[Ofc Code]=(TRIM(G$7)))*(CsDJ[Account Code]=(TRIM($D14))),CsDJ[Credit])))+(SUM(IF((CRDJ[Date]=$A$4)*(CRDJ[Ofc Code]=(TRIM(G$7)))*(CRDJ[Account Code]=(TRIM($D14))),CRDJ[Credit])))+(SUM(IF((GJ[Date]=$A$4)*(GJ[Ofc Code]=(TRIM(G$7)))*(GJ[Account Code]=(TRIM($D14))),GJ[Credit])))-(SUM(IF((CkDJ[Date]=$A$4)*(CkDJ[Ofc Code]=(TRIM(G$7)))*(CkDJ[Account Code]=(TRIM($D14))),CkDJ[Debit])))+(SUM(IF((CsDJ[Date]=$A$4)*(CsDJ[Ofc Code]=(TRIM(G$7)))*(CsDJ[Account Code]=(TRIM($D14))),CsDJ[Debit])))+(SUM(IF((CRDJ[Date]=$A$4)*(CRDJ[Ofc Code]=(TRIM(G$7)))*(CRDJ[Account Code]=(TRIM($D14))),CRDJ[Debit])))+(SUM(IF((GJ[Date]=$A$4)*(GJ[Ofc Code]=(TRIM(G$7)))*(GJ[Account Code]=(TRIM($D14))),GJ[Debit])))</f>
        <v>0</v>
      </c>
      <c r="H14" s="211">
        <f t="array" ref="H14">(SUM(IF((CkDJ[Date]=$A$4)*(CkDJ[Ofc Code]=(TRIM(H$7)))*(CkDJ[Account Code]=(TRIM($D14))),CkDJ[Credit])))+(SUM(IF((CsDJ[Date]=$A$4)*(CsDJ[Ofc Code]=(TRIM(H$7)))*(CsDJ[Account Code]=(TRIM($D14))),CsDJ[Credit])))+(SUM(IF((CRDJ[Date]=$A$4)*(CRDJ[Ofc Code]=(TRIM(H$7)))*(CRDJ[Account Code]=(TRIM($D14))),CRDJ[Credit])))+(SUM(IF((GJ[Date]=$A$4)*(GJ[Ofc Code]=(TRIM(H$7)))*(GJ[Account Code]=(TRIM($D14))),GJ[Credit])))-(SUM(IF((CkDJ[Date]=$A$4)*(CkDJ[Ofc Code]=(TRIM(H$7)))*(CkDJ[Account Code]=(TRIM($D14))),CkDJ[Debit])))+(SUM(IF((CsDJ[Date]=$A$4)*(CsDJ[Ofc Code]=(TRIM(H$7)))*(CsDJ[Account Code]=(TRIM($D14))),CsDJ[Debit])))+(SUM(IF((CRDJ[Date]=$A$4)*(CRDJ[Ofc Code]=(TRIM(H$7)))*(CRDJ[Account Code]=(TRIM($D14))),CRDJ[Debit])))+(SUM(IF((GJ[Date]=$A$4)*(GJ[Ofc Code]=(TRIM(H$7)))*(GJ[Account Code]=(TRIM($D14))),GJ[Debit])))</f>
        <v>0</v>
      </c>
      <c r="I14" s="211">
        <f t="shared" si="1"/>
        <v>0</v>
      </c>
      <c r="J14" s="211">
        <f t="array" ref="J14">(SUM(IF((CkDJ[Date]=$A$4)*(CkDJ[Ofc Code]=(TRIM(J$7)))*(CkDJ[Account Code]=(TRIM($D14))),CkDJ[Credit])))+(SUM(IF((CsDJ[Date]=$A$4)*(CsDJ[Ofc Code]=(TRIM(J$7)))*(CsDJ[Account Code]=(TRIM($D14))),CsDJ[Credit])))+(SUM(IF((CRDJ[Date]=$A$4)*(CRDJ[Ofc Code]=(TRIM(J$7)))*(CRDJ[Account Code]=(TRIM($D14))),CRDJ[Credit])))+(SUM(IF((GJ[Date]=$A$4)*(GJ[Ofc Code]=(TRIM(J$7)))*(GJ[Account Code]=(TRIM($D14))),GJ[Credit])))-(SUM(IF((CkDJ[Date]=$A$4)*(CkDJ[Ofc Code]=(TRIM(J$7)))*(CkDJ[Account Code]=(TRIM($D14))),CkDJ[Debit])))+(SUM(IF((CsDJ[Date]=$A$4)*(CsDJ[Ofc Code]=(TRIM(J$7)))*(CsDJ[Account Code]=(TRIM($D14))),CsDJ[Debit])))+(SUM(IF((CRDJ[Date]=$A$4)*(CRDJ[Ofc Code]=(TRIM(J$7)))*(CRDJ[Account Code]=(TRIM($D14))),CRDJ[Debit])))+(SUM(IF((GJ[Date]=$A$4)*(GJ[Ofc Code]=(TRIM(J$7)))*(GJ[Account Code]=(TRIM($D14))),GJ[Debit])))</f>
        <v>0</v>
      </c>
      <c r="K14" s="211">
        <f t="array" ref="K14">(SUM(IF((CkDJ[Date]=$A$4)*(CkDJ[Ofc Code]=(TRIM(K$7)))*(CkDJ[Account Code]=(TRIM($D14))),CkDJ[Credit])))+(SUM(IF((CsDJ[Date]=$A$4)*(CsDJ[Ofc Code]=(TRIM(K$7)))*(CsDJ[Account Code]=(TRIM($D14))),CsDJ[Credit])))+(SUM(IF((CRDJ[Date]=$A$4)*(CRDJ[Ofc Code]=(TRIM(K$7)))*(CRDJ[Account Code]=(TRIM($D14))),CRDJ[Credit])))+(SUM(IF((GJ[Date]=$A$4)*(GJ[Ofc Code]=(TRIM(K$7)))*(GJ[Account Code]=(TRIM($D14))),GJ[Credit])))-(SUM(IF((CkDJ[Date]=$A$4)*(CkDJ[Ofc Code]=(TRIM(K$7)))*(CkDJ[Account Code]=(TRIM($D14))),CkDJ[Debit])))+(SUM(IF((CsDJ[Date]=$A$4)*(CsDJ[Ofc Code]=(TRIM(K$7)))*(CsDJ[Account Code]=(TRIM($D14))),CsDJ[Debit])))+(SUM(IF((CRDJ[Date]=$A$4)*(CRDJ[Ofc Code]=(TRIM(K$7)))*(CRDJ[Account Code]=(TRIM($D14))),CRDJ[Debit])))+(SUM(IF((GJ[Date]=$A$4)*(GJ[Ofc Code]=(TRIM(K$7)))*(GJ[Account Code]=(TRIM($D14))),GJ[Debit])))</f>
        <v>0</v>
      </c>
      <c r="L14" s="211">
        <f t="array" ref="L14">(SUM(IF((CkDJ[Date]=$A$4)*(CkDJ[Ofc Code]=(TRIM(L$7)))*(CkDJ[Account Code]=(TRIM($D14))),CkDJ[Credit])))+(SUM(IF((CsDJ[Date]=$A$4)*(CsDJ[Ofc Code]=(TRIM(L$7)))*(CsDJ[Account Code]=(TRIM($D14))),CsDJ[Credit])))+(SUM(IF((CRDJ[Date]=$A$4)*(CRDJ[Ofc Code]=(TRIM(L$7)))*(CRDJ[Account Code]=(TRIM($D14))),CRDJ[Credit])))+(SUM(IF((GJ[Date]=$A$4)*(GJ[Ofc Code]=(TRIM(L$7)))*(GJ[Account Code]=(TRIM($D14))),GJ[Credit])))-(SUM(IF((CkDJ[Date]=$A$4)*(CkDJ[Ofc Code]=(TRIM(L$7)))*(CkDJ[Account Code]=(TRIM($D14))),CkDJ[Debit])))+(SUM(IF((CsDJ[Date]=$A$4)*(CsDJ[Ofc Code]=(TRIM(L$7)))*(CsDJ[Account Code]=(TRIM($D14))),CsDJ[Debit])))+(SUM(IF((CRDJ[Date]=$A$4)*(CRDJ[Ofc Code]=(TRIM(L$7)))*(CRDJ[Account Code]=(TRIM($D14))),CRDJ[Debit])))+(SUM(IF((GJ[Date]=$A$4)*(GJ[Ofc Code]=(TRIM(L$7)))*(GJ[Account Code]=(TRIM($D14))),GJ[Debit])))</f>
        <v>0</v>
      </c>
      <c r="M14" s="211">
        <f t="array" ref="M14">(SUM(IF((CkDJ[Date]=$A$4)*(CkDJ[Ofc Code]=(TRIM(M$7)))*(CkDJ[Account Code]=(TRIM($D14))),CkDJ[Credit])))+(SUM(IF((CsDJ[Date]=$A$4)*(CsDJ[Ofc Code]=(TRIM(M$7)))*(CsDJ[Account Code]=(TRIM($D14))),CsDJ[Credit])))+(SUM(IF((CRDJ[Date]=$A$4)*(CRDJ[Ofc Code]=(TRIM(M$7)))*(CRDJ[Account Code]=(TRIM($D14))),CRDJ[Credit])))+(SUM(IF((GJ[Date]=$A$4)*(GJ[Ofc Code]=(TRIM(M$7)))*(GJ[Account Code]=(TRIM($D14))),GJ[Credit])))-(SUM(IF((CkDJ[Date]=$A$4)*(CkDJ[Ofc Code]=(TRIM(M$7)))*(CkDJ[Account Code]=(TRIM($D14))),CkDJ[Debit])))+(SUM(IF((CsDJ[Date]=$A$4)*(CsDJ[Ofc Code]=(TRIM(M$7)))*(CsDJ[Account Code]=(TRIM($D14))),CsDJ[Debit])))+(SUM(IF((CRDJ[Date]=$A$4)*(CRDJ[Ofc Code]=(TRIM(M$7)))*(CRDJ[Account Code]=(TRIM($D14))),CRDJ[Debit])))+(SUM(IF((GJ[Date]=$A$4)*(GJ[Ofc Code]=(TRIM(M$7)))*(GJ[Account Code]=(TRIM($D14))),GJ[Debit])))</f>
        <v>0</v>
      </c>
      <c r="N14" s="211">
        <f t="shared" si="2"/>
        <v>0</v>
      </c>
      <c r="O14" s="211">
        <f t="array" ref="O14">(SUM(IF((CkDJ[Date]=$A$4)*(CkDJ[Ofc Code]=(TRIM(O$7)))*(CkDJ[Account Code]=(TRIM($D14))),CkDJ[Credit])))+(SUM(IF((CsDJ[Date]=$A$4)*(CsDJ[Ofc Code]=(TRIM(O$7)))*(CsDJ[Account Code]=(TRIM($D14))),CsDJ[Credit])))+(SUM(IF((CRDJ[Date]=$A$4)*(CRDJ[Ofc Code]=(TRIM(O$7)))*(CRDJ[Account Code]=(TRIM($D14))),CRDJ[Credit])))+(SUM(IF((GJ[Date]=$A$4)*(GJ[Ofc Code]=(TRIM(O$7)))*(GJ[Account Code]=(TRIM($D14))),GJ[Credit])))-(SUM(IF((CkDJ[Date]=$A$4)*(CkDJ[Ofc Code]=(TRIM(O$7)))*(CkDJ[Account Code]=(TRIM($D14))),CkDJ[Debit])))+(SUM(IF((CsDJ[Date]=$A$4)*(CsDJ[Ofc Code]=(TRIM(O$7)))*(CsDJ[Account Code]=(TRIM($D14))),CsDJ[Debit])))+(SUM(IF((CRDJ[Date]=$A$4)*(CRDJ[Ofc Code]=(TRIM(O$7)))*(CRDJ[Account Code]=(TRIM($D14))),CRDJ[Debit])))+(SUM(IF((GJ[Date]=$A$4)*(GJ[Ofc Code]=(TRIM(O$7)))*(GJ[Account Code]=(TRIM($D14))),GJ[Debit])))</f>
        <v>0</v>
      </c>
      <c r="P14" s="211">
        <f t="array" ref="P14">(SUM(IF((CkDJ[Date]=$A$4)*(CkDJ[Ofc Code]=(TRIM(P$7)))*(CkDJ[Account Code]=(TRIM($D14))),CkDJ[Credit])))+(SUM(IF((CsDJ[Date]=$A$4)*(CsDJ[Ofc Code]=(TRIM(P$7)))*(CsDJ[Account Code]=(TRIM($D14))),CsDJ[Credit])))+(SUM(IF((CRDJ[Date]=$A$4)*(CRDJ[Ofc Code]=(TRIM(P$7)))*(CRDJ[Account Code]=(TRIM($D14))),CRDJ[Credit])))+(SUM(IF((GJ[Date]=$A$4)*(GJ[Ofc Code]=(TRIM(P$7)))*(GJ[Account Code]=(TRIM($D14))),GJ[Credit])))-(SUM(IF((CkDJ[Date]=$A$4)*(CkDJ[Ofc Code]=(TRIM(P$7)))*(CkDJ[Account Code]=(TRIM($D14))),CkDJ[Debit])))+(SUM(IF((CsDJ[Date]=$A$4)*(CsDJ[Ofc Code]=(TRIM(P$7)))*(CsDJ[Account Code]=(TRIM($D14))),CsDJ[Debit])))+(SUM(IF((CRDJ[Date]=$A$4)*(CRDJ[Ofc Code]=(TRIM(P$7)))*(CRDJ[Account Code]=(TRIM($D14))),CRDJ[Debit])))+(SUM(IF((GJ[Date]=$A$4)*(GJ[Ofc Code]=(TRIM(P$7)))*(GJ[Account Code]=(TRIM($D14))),GJ[Debit])))</f>
        <v>0</v>
      </c>
      <c r="Q14" s="211">
        <f t="array" ref="Q14">(SUM(IF((CkDJ[Date]=$A$4)*(CkDJ[Ofc Code]=(TRIM(Q$7)))*(CkDJ[Account Code]=(TRIM($D14))),CkDJ[Credit])))+(SUM(IF((CsDJ[Date]=$A$4)*(CsDJ[Ofc Code]=(TRIM(Q$7)))*(CsDJ[Account Code]=(TRIM($D14))),CsDJ[Credit])))+(SUM(IF((CRDJ[Date]=$A$4)*(CRDJ[Ofc Code]=(TRIM(Q$7)))*(CRDJ[Account Code]=(TRIM($D14))),CRDJ[Credit])))+(SUM(IF((GJ[Date]=$A$4)*(GJ[Ofc Code]=(TRIM(Q$7)))*(GJ[Account Code]=(TRIM($D14))),GJ[Credit])))-(SUM(IF((CkDJ[Date]=$A$4)*(CkDJ[Ofc Code]=(TRIM(Q$7)))*(CkDJ[Account Code]=(TRIM($D14))),CkDJ[Debit])))+(SUM(IF((CsDJ[Date]=$A$4)*(CsDJ[Ofc Code]=(TRIM(Q$7)))*(CsDJ[Account Code]=(TRIM($D14))),CsDJ[Debit])))+(SUM(IF((CRDJ[Date]=$A$4)*(CRDJ[Ofc Code]=(TRIM(Q$7)))*(CRDJ[Account Code]=(TRIM($D14))),CRDJ[Debit])))+(SUM(IF((GJ[Date]=$A$4)*(GJ[Ofc Code]=(TRIM(Q$7)))*(GJ[Account Code]=(TRIM($D14))),GJ[Debit])))</f>
        <v>0</v>
      </c>
      <c r="R14" s="211">
        <f t="array" ref="R14">(SUM(IF((CkDJ[Date]=$A$4)*(CkDJ[Ofc Code]=(TRIM(R$7)))*(CkDJ[Account Code]=(TRIM($D14))),CkDJ[Credit])))+(SUM(IF((CsDJ[Date]=$A$4)*(CsDJ[Ofc Code]=(TRIM(R$7)))*(CsDJ[Account Code]=(TRIM($D14))),CsDJ[Credit])))+(SUM(IF((CRDJ[Date]=$A$4)*(CRDJ[Ofc Code]=(TRIM(R$7)))*(CRDJ[Account Code]=(TRIM($D14))),CRDJ[Credit])))+(SUM(IF((GJ[Date]=$A$4)*(GJ[Ofc Code]=(TRIM(R$7)))*(GJ[Account Code]=(TRIM($D14))),GJ[Credit])))-(SUM(IF((CkDJ[Date]=$A$4)*(CkDJ[Ofc Code]=(TRIM(R$7)))*(CkDJ[Account Code]=(TRIM($D14))),CkDJ[Debit])))+(SUM(IF((CsDJ[Date]=$A$4)*(CsDJ[Ofc Code]=(TRIM(R$7)))*(CsDJ[Account Code]=(TRIM($D14))),CsDJ[Debit])))+(SUM(IF((CRDJ[Date]=$A$4)*(CRDJ[Ofc Code]=(TRIM(R$7)))*(CRDJ[Account Code]=(TRIM($D14))),CRDJ[Debit])))+(SUM(IF((GJ[Date]=$A$4)*(GJ[Ofc Code]=(TRIM(R$7)))*(GJ[Account Code]=(TRIM($D14))),GJ[Debit])))</f>
        <v>0</v>
      </c>
      <c r="S14" s="211">
        <f t="array" ref="S14">(SUM(IF((CkDJ[Date]=$A$4)*(CkDJ[Ofc Code]=(TRIM(S$7)))*(CkDJ[Account Code]=(TRIM($D14))),CkDJ[Credit])))+(SUM(IF((CsDJ[Date]=$A$4)*(CsDJ[Ofc Code]=(TRIM(S$7)))*(CsDJ[Account Code]=(TRIM($D14))),CsDJ[Credit])))+(SUM(IF((CRDJ[Date]=$A$4)*(CRDJ[Ofc Code]=(TRIM(S$7)))*(CRDJ[Account Code]=(TRIM($D14))),CRDJ[Credit])))+(SUM(IF((GJ[Date]=$A$4)*(GJ[Ofc Code]=(TRIM(S$7)))*(GJ[Account Code]=(TRIM($D14))),GJ[Credit])))-(SUM(IF((CkDJ[Date]=$A$4)*(CkDJ[Ofc Code]=(TRIM(S$7)))*(CkDJ[Account Code]=(TRIM($D14))),CkDJ[Debit])))+(SUM(IF((CsDJ[Date]=$A$4)*(CsDJ[Ofc Code]=(TRIM(S$7)))*(CsDJ[Account Code]=(TRIM($D14))),CsDJ[Debit])))+(SUM(IF((CRDJ[Date]=$A$4)*(CRDJ[Ofc Code]=(TRIM(S$7)))*(CRDJ[Account Code]=(TRIM($D14))),CRDJ[Debit])))+(SUM(IF((GJ[Date]=$A$4)*(GJ[Ofc Code]=(TRIM(S$7)))*(GJ[Account Code]=(TRIM($D14))),GJ[Debit])))</f>
        <v>0</v>
      </c>
      <c r="T14" s="211">
        <f t="shared" si="3"/>
        <v>0</v>
      </c>
      <c r="U14" s="211">
        <f t="shared" si="4"/>
        <v>0</v>
      </c>
    </row>
    <row r="15" spans="1:21" ht="15">
      <c r="A15" s="212">
        <f t="shared" si="5"/>
        <v>7</v>
      </c>
      <c r="B15" s="214"/>
      <c r="C15" s="194" t="str">
        <f t="shared" si="0"/>
        <v>Other Service Income - Pump Amortization (Current Account)</v>
      </c>
      <c r="D15" s="207" t="s">
        <v>131</v>
      </c>
      <c r="E15" s="211">
        <f t="array" ref="E15">(SUM(IF((CkDJ[Date]=$A$4)*(CkDJ[Ofc Code]=(TRIM(E$7)))*(CkDJ[Account Code]=(TRIM($D15))),CkDJ[Credit])))+(SUM(IF((CsDJ[Date]=$A$4)*(CsDJ[Ofc Code]=(TRIM(E$7)))*(CsDJ[Account Code]=(TRIM($D15))),CsDJ[Credit])))+(SUM(IF((CRDJ[Date]=$A$4)*(CRDJ[Ofc Code]=(TRIM(E$7)))*(CRDJ[Account Code]=(TRIM($D15))),CRDJ[Credit])))+(SUM(IF((GJ[Date]=$A$4)*(GJ[Ofc Code]=(TRIM(E$7)))*(GJ[Account Code]=(TRIM($D15))),GJ[Credit])))-(SUM(IF((CkDJ[Date]=$A$4)*(CkDJ[Ofc Code]=(TRIM(E$7)))*(CkDJ[Account Code]=(TRIM($D15))),CkDJ[Debit])))+(SUM(IF((CsDJ[Date]=$A$4)*(CsDJ[Ofc Code]=(TRIM(E$7)))*(CsDJ[Account Code]=(TRIM($D15))),CsDJ[Debit])))+(SUM(IF((CRDJ[Date]=$A$4)*(CRDJ[Ofc Code]=(TRIM(E$7)))*(CRDJ[Account Code]=(TRIM($D15))),CRDJ[Debit])))+(SUM(IF((GJ[Date]=$A$4)*(GJ[Ofc Code]=(TRIM(E$7)))*(GJ[Account Code]=(TRIM($D15))),GJ[Debit])))</f>
        <v>0</v>
      </c>
      <c r="F15" s="211">
        <f t="array" ref="F15">(SUM(IF((CkDJ[Date]=$A$4)*(CkDJ[Ofc Code]=(TRIM(F$7)))*(CkDJ[Account Code]=(TRIM($D15))),CkDJ[Credit])))+(SUM(IF((CsDJ[Date]=$A$4)*(CsDJ[Ofc Code]=(TRIM(F$7)))*(CsDJ[Account Code]=(TRIM($D15))),CsDJ[Credit])))+(SUM(IF((CRDJ[Date]=$A$4)*(CRDJ[Ofc Code]=(TRIM(F$7)))*(CRDJ[Account Code]=(TRIM($D15))),CRDJ[Credit])))+(SUM(IF((GJ[Date]=$A$4)*(GJ[Ofc Code]=(TRIM(F$7)))*(GJ[Account Code]=(TRIM($D15))),GJ[Credit])))-(SUM(IF((CkDJ[Date]=$A$4)*(CkDJ[Ofc Code]=(TRIM(F$7)))*(CkDJ[Account Code]=(TRIM($D15))),CkDJ[Debit])))+(SUM(IF((CsDJ[Date]=$A$4)*(CsDJ[Ofc Code]=(TRIM(F$7)))*(CsDJ[Account Code]=(TRIM($D15))),CsDJ[Debit])))+(SUM(IF((CRDJ[Date]=$A$4)*(CRDJ[Ofc Code]=(TRIM(F$7)))*(CRDJ[Account Code]=(TRIM($D15))),CRDJ[Debit])))+(SUM(IF((GJ[Date]=$A$4)*(GJ[Ofc Code]=(TRIM(F$7)))*(GJ[Account Code]=(TRIM($D15))),GJ[Debit])))</f>
        <v>0</v>
      </c>
      <c r="G15" s="211">
        <f t="array" ref="G15">(SUM(IF((CkDJ[Date]=$A$4)*(CkDJ[Ofc Code]=(TRIM(G$7)))*(CkDJ[Account Code]=(TRIM($D15))),CkDJ[Credit])))+(SUM(IF((CsDJ[Date]=$A$4)*(CsDJ[Ofc Code]=(TRIM(G$7)))*(CsDJ[Account Code]=(TRIM($D15))),CsDJ[Credit])))+(SUM(IF((CRDJ[Date]=$A$4)*(CRDJ[Ofc Code]=(TRIM(G$7)))*(CRDJ[Account Code]=(TRIM($D15))),CRDJ[Credit])))+(SUM(IF((GJ[Date]=$A$4)*(GJ[Ofc Code]=(TRIM(G$7)))*(GJ[Account Code]=(TRIM($D15))),GJ[Credit])))-(SUM(IF((CkDJ[Date]=$A$4)*(CkDJ[Ofc Code]=(TRIM(G$7)))*(CkDJ[Account Code]=(TRIM($D15))),CkDJ[Debit])))+(SUM(IF((CsDJ[Date]=$A$4)*(CsDJ[Ofc Code]=(TRIM(G$7)))*(CsDJ[Account Code]=(TRIM($D15))),CsDJ[Debit])))+(SUM(IF((CRDJ[Date]=$A$4)*(CRDJ[Ofc Code]=(TRIM(G$7)))*(CRDJ[Account Code]=(TRIM($D15))),CRDJ[Debit])))+(SUM(IF((GJ[Date]=$A$4)*(GJ[Ofc Code]=(TRIM(G$7)))*(GJ[Account Code]=(TRIM($D15))),GJ[Debit])))</f>
        <v>0</v>
      </c>
      <c r="H15" s="211">
        <f t="array" ref="H15">(SUM(IF((CkDJ[Date]=$A$4)*(CkDJ[Ofc Code]=(TRIM(H$7)))*(CkDJ[Account Code]=(TRIM($D15))),CkDJ[Credit])))+(SUM(IF((CsDJ[Date]=$A$4)*(CsDJ[Ofc Code]=(TRIM(H$7)))*(CsDJ[Account Code]=(TRIM($D15))),CsDJ[Credit])))+(SUM(IF((CRDJ[Date]=$A$4)*(CRDJ[Ofc Code]=(TRIM(H$7)))*(CRDJ[Account Code]=(TRIM($D15))),CRDJ[Credit])))+(SUM(IF((GJ[Date]=$A$4)*(GJ[Ofc Code]=(TRIM(H$7)))*(GJ[Account Code]=(TRIM($D15))),GJ[Credit])))-(SUM(IF((CkDJ[Date]=$A$4)*(CkDJ[Ofc Code]=(TRIM(H$7)))*(CkDJ[Account Code]=(TRIM($D15))),CkDJ[Debit])))+(SUM(IF((CsDJ[Date]=$A$4)*(CsDJ[Ofc Code]=(TRIM(H$7)))*(CsDJ[Account Code]=(TRIM($D15))),CsDJ[Debit])))+(SUM(IF((CRDJ[Date]=$A$4)*(CRDJ[Ofc Code]=(TRIM(H$7)))*(CRDJ[Account Code]=(TRIM($D15))),CRDJ[Debit])))+(SUM(IF((GJ[Date]=$A$4)*(GJ[Ofc Code]=(TRIM(H$7)))*(GJ[Account Code]=(TRIM($D15))),GJ[Debit])))</f>
        <v>0</v>
      </c>
      <c r="I15" s="211">
        <f t="shared" si="1"/>
        <v>0</v>
      </c>
      <c r="J15" s="211">
        <f t="array" ref="J15">(SUM(IF((CkDJ[Date]=$A$4)*(CkDJ[Ofc Code]=(TRIM(J$7)))*(CkDJ[Account Code]=(TRIM($D15))),CkDJ[Credit])))+(SUM(IF((CsDJ[Date]=$A$4)*(CsDJ[Ofc Code]=(TRIM(J$7)))*(CsDJ[Account Code]=(TRIM($D15))),CsDJ[Credit])))+(SUM(IF((CRDJ[Date]=$A$4)*(CRDJ[Ofc Code]=(TRIM(J$7)))*(CRDJ[Account Code]=(TRIM($D15))),CRDJ[Credit])))+(SUM(IF((GJ[Date]=$A$4)*(GJ[Ofc Code]=(TRIM(J$7)))*(GJ[Account Code]=(TRIM($D15))),GJ[Credit])))-(SUM(IF((CkDJ[Date]=$A$4)*(CkDJ[Ofc Code]=(TRIM(J$7)))*(CkDJ[Account Code]=(TRIM($D15))),CkDJ[Debit])))+(SUM(IF((CsDJ[Date]=$A$4)*(CsDJ[Ofc Code]=(TRIM(J$7)))*(CsDJ[Account Code]=(TRIM($D15))),CsDJ[Debit])))+(SUM(IF((CRDJ[Date]=$A$4)*(CRDJ[Ofc Code]=(TRIM(J$7)))*(CRDJ[Account Code]=(TRIM($D15))),CRDJ[Debit])))+(SUM(IF((GJ[Date]=$A$4)*(GJ[Ofc Code]=(TRIM(J$7)))*(GJ[Account Code]=(TRIM($D15))),GJ[Debit])))</f>
        <v>0</v>
      </c>
      <c r="K15" s="211">
        <f t="array" ref="K15">(SUM(IF((CkDJ[Date]=$A$4)*(CkDJ[Ofc Code]=(TRIM(K$7)))*(CkDJ[Account Code]=(TRIM($D15))),CkDJ[Credit])))+(SUM(IF((CsDJ[Date]=$A$4)*(CsDJ[Ofc Code]=(TRIM(K$7)))*(CsDJ[Account Code]=(TRIM($D15))),CsDJ[Credit])))+(SUM(IF((CRDJ[Date]=$A$4)*(CRDJ[Ofc Code]=(TRIM(K$7)))*(CRDJ[Account Code]=(TRIM($D15))),CRDJ[Credit])))+(SUM(IF((GJ[Date]=$A$4)*(GJ[Ofc Code]=(TRIM(K$7)))*(GJ[Account Code]=(TRIM($D15))),GJ[Credit])))-(SUM(IF((CkDJ[Date]=$A$4)*(CkDJ[Ofc Code]=(TRIM(K$7)))*(CkDJ[Account Code]=(TRIM($D15))),CkDJ[Debit])))+(SUM(IF((CsDJ[Date]=$A$4)*(CsDJ[Ofc Code]=(TRIM(K$7)))*(CsDJ[Account Code]=(TRIM($D15))),CsDJ[Debit])))+(SUM(IF((CRDJ[Date]=$A$4)*(CRDJ[Ofc Code]=(TRIM(K$7)))*(CRDJ[Account Code]=(TRIM($D15))),CRDJ[Debit])))+(SUM(IF((GJ[Date]=$A$4)*(GJ[Ofc Code]=(TRIM(K$7)))*(GJ[Account Code]=(TRIM($D15))),GJ[Debit])))</f>
        <v>0</v>
      </c>
      <c r="L15" s="211">
        <f t="array" ref="L15">(SUM(IF((CkDJ[Date]=$A$4)*(CkDJ[Ofc Code]=(TRIM(L$7)))*(CkDJ[Account Code]=(TRIM($D15))),CkDJ[Credit])))+(SUM(IF((CsDJ[Date]=$A$4)*(CsDJ[Ofc Code]=(TRIM(L$7)))*(CsDJ[Account Code]=(TRIM($D15))),CsDJ[Credit])))+(SUM(IF((CRDJ[Date]=$A$4)*(CRDJ[Ofc Code]=(TRIM(L$7)))*(CRDJ[Account Code]=(TRIM($D15))),CRDJ[Credit])))+(SUM(IF((GJ[Date]=$A$4)*(GJ[Ofc Code]=(TRIM(L$7)))*(GJ[Account Code]=(TRIM($D15))),GJ[Credit])))-(SUM(IF((CkDJ[Date]=$A$4)*(CkDJ[Ofc Code]=(TRIM(L$7)))*(CkDJ[Account Code]=(TRIM($D15))),CkDJ[Debit])))+(SUM(IF((CsDJ[Date]=$A$4)*(CsDJ[Ofc Code]=(TRIM(L$7)))*(CsDJ[Account Code]=(TRIM($D15))),CsDJ[Debit])))+(SUM(IF((CRDJ[Date]=$A$4)*(CRDJ[Ofc Code]=(TRIM(L$7)))*(CRDJ[Account Code]=(TRIM($D15))),CRDJ[Debit])))+(SUM(IF((GJ[Date]=$A$4)*(GJ[Ofc Code]=(TRIM(L$7)))*(GJ[Account Code]=(TRIM($D15))),GJ[Debit])))</f>
        <v>0</v>
      </c>
      <c r="M15" s="211">
        <f t="array" ref="M15">(SUM(IF((CkDJ[Date]=$A$4)*(CkDJ[Ofc Code]=(TRIM(M$7)))*(CkDJ[Account Code]=(TRIM($D15))),CkDJ[Credit])))+(SUM(IF((CsDJ[Date]=$A$4)*(CsDJ[Ofc Code]=(TRIM(M$7)))*(CsDJ[Account Code]=(TRIM($D15))),CsDJ[Credit])))+(SUM(IF((CRDJ[Date]=$A$4)*(CRDJ[Ofc Code]=(TRIM(M$7)))*(CRDJ[Account Code]=(TRIM($D15))),CRDJ[Credit])))+(SUM(IF((GJ[Date]=$A$4)*(GJ[Ofc Code]=(TRIM(M$7)))*(GJ[Account Code]=(TRIM($D15))),GJ[Credit])))-(SUM(IF((CkDJ[Date]=$A$4)*(CkDJ[Ofc Code]=(TRIM(M$7)))*(CkDJ[Account Code]=(TRIM($D15))),CkDJ[Debit])))+(SUM(IF((CsDJ[Date]=$A$4)*(CsDJ[Ofc Code]=(TRIM(M$7)))*(CsDJ[Account Code]=(TRIM($D15))),CsDJ[Debit])))+(SUM(IF((CRDJ[Date]=$A$4)*(CRDJ[Ofc Code]=(TRIM(M$7)))*(CRDJ[Account Code]=(TRIM($D15))),CRDJ[Debit])))+(SUM(IF((GJ[Date]=$A$4)*(GJ[Ofc Code]=(TRIM(M$7)))*(GJ[Account Code]=(TRIM($D15))),GJ[Debit])))</f>
        <v>0</v>
      </c>
      <c r="N15" s="211">
        <f t="shared" si="2"/>
        <v>0</v>
      </c>
      <c r="O15" s="211">
        <f t="array" ref="O15">(SUM(IF((CkDJ[Date]=$A$4)*(CkDJ[Ofc Code]=(TRIM(O$7)))*(CkDJ[Account Code]=(TRIM($D15))),CkDJ[Credit])))+(SUM(IF((CsDJ[Date]=$A$4)*(CsDJ[Ofc Code]=(TRIM(O$7)))*(CsDJ[Account Code]=(TRIM($D15))),CsDJ[Credit])))+(SUM(IF((CRDJ[Date]=$A$4)*(CRDJ[Ofc Code]=(TRIM(O$7)))*(CRDJ[Account Code]=(TRIM($D15))),CRDJ[Credit])))+(SUM(IF((GJ[Date]=$A$4)*(GJ[Ofc Code]=(TRIM(O$7)))*(GJ[Account Code]=(TRIM($D15))),GJ[Credit])))-(SUM(IF((CkDJ[Date]=$A$4)*(CkDJ[Ofc Code]=(TRIM(O$7)))*(CkDJ[Account Code]=(TRIM($D15))),CkDJ[Debit])))+(SUM(IF((CsDJ[Date]=$A$4)*(CsDJ[Ofc Code]=(TRIM(O$7)))*(CsDJ[Account Code]=(TRIM($D15))),CsDJ[Debit])))+(SUM(IF((CRDJ[Date]=$A$4)*(CRDJ[Ofc Code]=(TRIM(O$7)))*(CRDJ[Account Code]=(TRIM($D15))),CRDJ[Debit])))+(SUM(IF((GJ[Date]=$A$4)*(GJ[Ofc Code]=(TRIM(O$7)))*(GJ[Account Code]=(TRIM($D15))),GJ[Debit])))</f>
        <v>0</v>
      </c>
      <c r="P15" s="211">
        <f t="array" ref="P15">(SUM(IF((CkDJ[Date]=$A$4)*(CkDJ[Ofc Code]=(TRIM(P$7)))*(CkDJ[Account Code]=(TRIM($D15))),CkDJ[Credit])))+(SUM(IF((CsDJ[Date]=$A$4)*(CsDJ[Ofc Code]=(TRIM(P$7)))*(CsDJ[Account Code]=(TRIM($D15))),CsDJ[Credit])))+(SUM(IF((CRDJ[Date]=$A$4)*(CRDJ[Ofc Code]=(TRIM(P$7)))*(CRDJ[Account Code]=(TRIM($D15))),CRDJ[Credit])))+(SUM(IF((GJ[Date]=$A$4)*(GJ[Ofc Code]=(TRIM(P$7)))*(GJ[Account Code]=(TRIM($D15))),GJ[Credit])))-(SUM(IF((CkDJ[Date]=$A$4)*(CkDJ[Ofc Code]=(TRIM(P$7)))*(CkDJ[Account Code]=(TRIM($D15))),CkDJ[Debit])))+(SUM(IF((CsDJ[Date]=$A$4)*(CsDJ[Ofc Code]=(TRIM(P$7)))*(CsDJ[Account Code]=(TRIM($D15))),CsDJ[Debit])))+(SUM(IF((CRDJ[Date]=$A$4)*(CRDJ[Ofc Code]=(TRIM(P$7)))*(CRDJ[Account Code]=(TRIM($D15))),CRDJ[Debit])))+(SUM(IF((GJ[Date]=$A$4)*(GJ[Ofc Code]=(TRIM(P$7)))*(GJ[Account Code]=(TRIM($D15))),GJ[Debit])))</f>
        <v>0</v>
      </c>
      <c r="Q15" s="211">
        <f t="array" ref="Q15">(SUM(IF((CkDJ[Date]=$A$4)*(CkDJ[Ofc Code]=(TRIM(Q$7)))*(CkDJ[Account Code]=(TRIM($D15))),CkDJ[Credit])))+(SUM(IF((CsDJ[Date]=$A$4)*(CsDJ[Ofc Code]=(TRIM(Q$7)))*(CsDJ[Account Code]=(TRIM($D15))),CsDJ[Credit])))+(SUM(IF((CRDJ[Date]=$A$4)*(CRDJ[Ofc Code]=(TRIM(Q$7)))*(CRDJ[Account Code]=(TRIM($D15))),CRDJ[Credit])))+(SUM(IF((GJ[Date]=$A$4)*(GJ[Ofc Code]=(TRIM(Q$7)))*(GJ[Account Code]=(TRIM($D15))),GJ[Credit])))-(SUM(IF((CkDJ[Date]=$A$4)*(CkDJ[Ofc Code]=(TRIM(Q$7)))*(CkDJ[Account Code]=(TRIM($D15))),CkDJ[Debit])))+(SUM(IF((CsDJ[Date]=$A$4)*(CsDJ[Ofc Code]=(TRIM(Q$7)))*(CsDJ[Account Code]=(TRIM($D15))),CsDJ[Debit])))+(SUM(IF((CRDJ[Date]=$A$4)*(CRDJ[Ofc Code]=(TRIM(Q$7)))*(CRDJ[Account Code]=(TRIM($D15))),CRDJ[Debit])))+(SUM(IF((GJ[Date]=$A$4)*(GJ[Ofc Code]=(TRIM(Q$7)))*(GJ[Account Code]=(TRIM($D15))),GJ[Debit])))</f>
        <v>0</v>
      </c>
      <c r="R15" s="211">
        <f t="array" ref="R15">(SUM(IF((CkDJ[Date]=$A$4)*(CkDJ[Ofc Code]=(TRIM(R$7)))*(CkDJ[Account Code]=(TRIM($D15))),CkDJ[Credit])))+(SUM(IF((CsDJ[Date]=$A$4)*(CsDJ[Ofc Code]=(TRIM(R$7)))*(CsDJ[Account Code]=(TRIM($D15))),CsDJ[Credit])))+(SUM(IF((CRDJ[Date]=$A$4)*(CRDJ[Ofc Code]=(TRIM(R$7)))*(CRDJ[Account Code]=(TRIM($D15))),CRDJ[Credit])))+(SUM(IF((GJ[Date]=$A$4)*(GJ[Ofc Code]=(TRIM(R$7)))*(GJ[Account Code]=(TRIM($D15))),GJ[Credit])))-(SUM(IF((CkDJ[Date]=$A$4)*(CkDJ[Ofc Code]=(TRIM(R$7)))*(CkDJ[Account Code]=(TRIM($D15))),CkDJ[Debit])))+(SUM(IF((CsDJ[Date]=$A$4)*(CsDJ[Ofc Code]=(TRIM(R$7)))*(CsDJ[Account Code]=(TRIM($D15))),CsDJ[Debit])))+(SUM(IF((CRDJ[Date]=$A$4)*(CRDJ[Ofc Code]=(TRIM(R$7)))*(CRDJ[Account Code]=(TRIM($D15))),CRDJ[Debit])))+(SUM(IF((GJ[Date]=$A$4)*(GJ[Ofc Code]=(TRIM(R$7)))*(GJ[Account Code]=(TRIM($D15))),GJ[Debit])))</f>
        <v>0</v>
      </c>
      <c r="S15" s="211">
        <f t="array" ref="S15">(SUM(IF((CkDJ[Date]=$A$4)*(CkDJ[Ofc Code]=(TRIM(S$7)))*(CkDJ[Account Code]=(TRIM($D15))),CkDJ[Credit])))+(SUM(IF((CsDJ[Date]=$A$4)*(CsDJ[Ofc Code]=(TRIM(S$7)))*(CsDJ[Account Code]=(TRIM($D15))),CsDJ[Credit])))+(SUM(IF((CRDJ[Date]=$A$4)*(CRDJ[Ofc Code]=(TRIM(S$7)))*(CRDJ[Account Code]=(TRIM($D15))),CRDJ[Credit])))+(SUM(IF((GJ[Date]=$A$4)*(GJ[Ofc Code]=(TRIM(S$7)))*(GJ[Account Code]=(TRIM($D15))),GJ[Credit])))-(SUM(IF((CkDJ[Date]=$A$4)*(CkDJ[Ofc Code]=(TRIM(S$7)))*(CkDJ[Account Code]=(TRIM($D15))),CkDJ[Debit])))+(SUM(IF((CsDJ[Date]=$A$4)*(CsDJ[Ofc Code]=(TRIM(S$7)))*(CsDJ[Account Code]=(TRIM($D15))),CsDJ[Debit])))+(SUM(IF((CRDJ[Date]=$A$4)*(CRDJ[Ofc Code]=(TRIM(S$7)))*(CRDJ[Account Code]=(TRIM($D15))),CRDJ[Debit])))+(SUM(IF((GJ[Date]=$A$4)*(GJ[Ofc Code]=(TRIM(S$7)))*(GJ[Account Code]=(TRIM($D15))),GJ[Debit])))</f>
        <v>0</v>
      </c>
      <c r="T15" s="211">
        <f t="shared" si="3"/>
        <v>0</v>
      </c>
      <c r="U15" s="211">
        <f t="shared" si="4"/>
        <v>0</v>
      </c>
    </row>
    <row r="16" spans="1:21" ht="15">
      <c r="A16" s="212">
        <f t="shared" si="5"/>
        <v>8</v>
      </c>
      <c r="B16" s="214"/>
      <c r="C16" s="194" t="str">
        <f t="shared" si="0"/>
        <v>Other Service Income - Pump Equity (Current Account)</v>
      </c>
      <c r="D16" s="207" t="s">
        <v>141</v>
      </c>
      <c r="E16" s="211">
        <f t="array" ref="E16">(SUM(IF((CkDJ[Date]=$A$4)*(CkDJ[Ofc Code]=(TRIM(E$7)))*(CkDJ[Account Code]=(TRIM($D16))),CkDJ[Credit])))+(SUM(IF((CsDJ[Date]=$A$4)*(CsDJ[Ofc Code]=(TRIM(E$7)))*(CsDJ[Account Code]=(TRIM($D16))),CsDJ[Credit])))+(SUM(IF((CRDJ[Date]=$A$4)*(CRDJ[Ofc Code]=(TRIM(E$7)))*(CRDJ[Account Code]=(TRIM($D16))),CRDJ[Credit])))+(SUM(IF((GJ[Date]=$A$4)*(GJ[Ofc Code]=(TRIM(E$7)))*(GJ[Account Code]=(TRIM($D16))),GJ[Credit])))-(SUM(IF((CkDJ[Date]=$A$4)*(CkDJ[Ofc Code]=(TRIM(E$7)))*(CkDJ[Account Code]=(TRIM($D16))),CkDJ[Debit])))+(SUM(IF((CsDJ[Date]=$A$4)*(CsDJ[Ofc Code]=(TRIM(E$7)))*(CsDJ[Account Code]=(TRIM($D16))),CsDJ[Debit])))+(SUM(IF((CRDJ[Date]=$A$4)*(CRDJ[Ofc Code]=(TRIM(E$7)))*(CRDJ[Account Code]=(TRIM($D16))),CRDJ[Debit])))+(SUM(IF((GJ[Date]=$A$4)*(GJ[Ofc Code]=(TRIM(E$7)))*(GJ[Account Code]=(TRIM($D16))),GJ[Debit])))</f>
        <v>0</v>
      </c>
      <c r="F16" s="211">
        <f t="array" ref="F16">(SUM(IF((CkDJ[Date]=$A$4)*(CkDJ[Ofc Code]=(TRIM(F$7)))*(CkDJ[Account Code]=(TRIM($D16))),CkDJ[Credit])))+(SUM(IF((CsDJ[Date]=$A$4)*(CsDJ[Ofc Code]=(TRIM(F$7)))*(CsDJ[Account Code]=(TRIM($D16))),CsDJ[Credit])))+(SUM(IF((CRDJ[Date]=$A$4)*(CRDJ[Ofc Code]=(TRIM(F$7)))*(CRDJ[Account Code]=(TRIM($D16))),CRDJ[Credit])))+(SUM(IF((GJ[Date]=$A$4)*(GJ[Ofc Code]=(TRIM(F$7)))*(GJ[Account Code]=(TRIM($D16))),GJ[Credit])))-(SUM(IF((CkDJ[Date]=$A$4)*(CkDJ[Ofc Code]=(TRIM(F$7)))*(CkDJ[Account Code]=(TRIM($D16))),CkDJ[Debit])))+(SUM(IF((CsDJ[Date]=$A$4)*(CsDJ[Ofc Code]=(TRIM(F$7)))*(CsDJ[Account Code]=(TRIM($D16))),CsDJ[Debit])))+(SUM(IF((CRDJ[Date]=$A$4)*(CRDJ[Ofc Code]=(TRIM(F$7)))*(CRDJ[Account Code]=(TRIM($D16))),CRDJ[Debit])))+(SUM(IF((GJ[Date]=$A$4)*(GJ[Ofc Code]=(TRIM(F$7)))*(GJ[Account Code]=(TRIM($D16))),GJ[Debit])))</f>
        <v>0</v>
      </c>
      <c r="G16" s="211">
        <f t="array" ref="G16">(SUM(IF((CkDJ[Date]=$A$4)*(CkDJ[Ofc Code]=(TRIM(G$7)))*(CkDJ[Account Code]=(TRIM($D16))),CkDJ[Credit])))+(SUM(IF((CsDJ[Date]=$A$4)*(CsDJ[Ofc Code]=(TRIM(G$7)))*(CsDJ[Account Code]=(TRIM($D16))),CsDJ[Credit])))+(SUM(IF((CRDJ[Date]=$A$4)*(CRDJ[Ofc Code]=(TRIM(G$7)))*(CRDJ[Account Code]=(TRIM($D16))),CRDJ[Credit])))+(SUM(IF((GJ[Date]=$A$4)*(GJ[Ofc Code]=(TRIM(G$7)))*(GJ[Account Code]=(TRIM($D16))),GJ[Credit])))-(SUM(IF((CkDJ[Date]=$A$4)*(CkDJ[Ofc Code]=(TRIM(G$7)))*(CkDJ[Account Code]=(TRIM($D16))),CkDJ[Debit])))+(SUM(IF((CsDJ[Date]=$A$4)*(CsDJ[Ofc Code]=(TRIM(G$7)))*(CsDJ[Account Code]=(TRIM($D16))),CsDJ[Debit])))+(SUM(IF((CRDJ[Date]=$A$4)*(CRDJ[Ofc Code]=(TRIM(G$7)))*(CRDJ[Account Code]=(TRIM($D16))),CRDJ[Debit])))+(SUM(IF((GJ[Date]=$A$4)*(GJ[Ofc Code]=(TRIM(G$7)))*(GJ[Account Code]=(TRIM($D16))),GJ[Debit])))</f>
        <v>0</v>
      </c>
      <c r="H16" s="211">
        <f t="array" ref="H16">(SUM(IF((CkDJ[Date]=$A$4)*(CkDJ[Ofc Code]=(TRIM(H$7)))*(CkDJ[Account Code]=(TRIM($D16))),CkDJ[Credit])))+(SUM(IF((CsDJ[Date]=$A$4)*(CsDJ[Ofc Code]=(TRIM(H$7)))*(CsDJ[Account Code]=(TRIM($D16))),CsDJ[Credit])))+(SUM(IF((CRDJ[Date]=$A$4)*(CRDJ[Ofc Code]=(TRIM(H$7)))*(CRDJ[Account Code]=(TRIM($D16))),CRDJ[Credit])))+(SUM(IF((GJ[Date]=$A$4)*(GJ[Ofc Code]=(TRIM(H$7)))*(GJ[Account Code]=(TRIM($D16))),GJ[Credit])))-(SUM(IF((CkDJ[Date]=$A$4)*(CkDJ[Ofc Code]=(TRIM(H$7)))*(CkDJ[Account Code]=(TRIM($D16))),CkDJ[Debit])))+(SUM(IF((CsDJ[Date]=$A$4)*(CsDJ[Ofc Code]=(TRIM(H$7)))*(CsDJ[Account Code]=(TRIM($D16))),CsDJ[Debit])))+(SUM(IF((CRDJ[Date]=$A$4)*(CRDJ[Ofc Code]=(TRIM(H$7)))*(CRDJ[Account Code]=(TRIM($D16))),CRDJ[Debit])))+(SUM(IF((GJ[Date]=$A$4)*(GJ[Ofc Code]=(TRIM(H$7)))*(GJ[Account Code]=(TRIM($D16))),GJ[Debit])))</f>
        <v>0</v>
      </c>
      <c r="I16" s="211">
        <f t="shared" si="1"/>
        <v>0</v>
      </c>
      <c r="J16" s="211">
        <f t="array" ref="J16">(SUM(IF((CkDJ[Date]=$A$4)*(CkDJ[Ofc Code]=(TRIM(J$7)))*(CkDJ[Account Code]=(TRIM($D16))),CkDJ[Credit])))+(SUM(IF((CsDJ[Date]=$A$4)*(CsDJ[Ofc Code]=(TRIM(J$7)))*(CsDJ[Account Code]=(TRIM($D16))),CsDJ[Credit])))+(SUM(IF((CRDJ[Date]=$A$4)*(CRDJ[Ofc Code]=(TRIM(J$7)))*(CRDJ[Account Code]=(TRIM($D16))),CRDJ[Credit])))+(SUM(IF((GJ[Date]=$A$4)*(GJ[Ofc Code]=(TRIM(J$7)))*(GJ[Account Code]=(TRIM($D16))),GJ[Credit])))-(SUM(IF((CkDJ[Date]=$A$4)*(CkDJ[Ofc Code]=(TRIM(J$7)))*(CkDJ[Account Code]=(TRIM($D16))),CkDJ[Debit])))+(SUM(IF((CsDJ[Date]=$A$4)*(CsDJ[Ofc Code]=(TRIM(J$7)))*(CsDJ[Account Code]=(TRIM($D16))),CsDJ[Debit])))+(SUM(IF((CRDJ[Date]=$A$4)*(CRDJ[Ofc Code]=(TRIM(J$7)))*(CRDJ[Account Code]=(TRIM($D16))),CRDJ[Debit])))+(SUM(IF((GJ[Date]=$A$4)*(GJ[Ofc Code]=(TRIM(J$7)))*(GJ[Account Code]=(TRIM($D16))),GJ[Debit])))</f>
        <v>0</v>
      </c>
      <c r="K16" s="211">
        <f t="array" ref="K16">(SUM(IF((CkDJ[Date]=$A$4)*(CkDJ[Ofc Code]=(TRIM(K$7)))*(CkDJ[Account Code]=(TRIM($D16))),CkDJ[Credit])))+(SUM(IF((CsDJ[Date]=$A$4)*(CsDJ[Ofc Code]=(TRIM(K$7)))*(CsDJ[Account Code]=(TRIM($D16))),CsDJ[Credit])))+(SUM(IF((CRDJ[Date]=$A$4)*(CRDJ[Ofc Code]=(TRIM(K$7)))*(CRDJ[Account Code]=(TRIM($D16))),CRDJ[Credit])))+(SUM(IF((GJ[Date]=$A$4)*(GJ[Ofc Code]=(TRIM(K$7)))*(GJ[Account Code]=(TRIM($D16))),GJ[Credit])))-(SUM(IF((CkDJ[Date]=$A$4)*(CkDJ[Ofc Code]=(TRIM(K$7)))*(CkDJ[Account Code]=(TRIM($D16))),CkDJ[Debit])))+(SUM(IF((CsDJ[Date]=$A$4)*(CsDJ[Ofc Code]=(TRIM(K$7)))*(CsDJ[Account Code]=(TRIM($D16))),CsDJ[Debit])))+(SUM(IF((CRDJ[Date]=$A$4)*(CRDJ[Ofc Code]=(TRIM(K$7)))*(CRDJ[Account Code]=(TRIM($D16))),CRDJ[Debit])))+(SUM(IF((GJ[Date]=$A$4)*(GJ[Ofc Code]=(TRIM(K$7)))*(GJ[Account Code]=(TRIM($D16))),GJ[Debit])))</f>
        <v>0</v>
      </c>
      <c r="L16" s="211">
        <f t="array" ref="L16">(SUM(IF((CkDJ[Date]=$A$4)*(CkDJ[Ofc Code]=(TRIM(L$7)))*(CkDJ[Account Code]=(TRIM($D16))),CkDJ[Credit])))+(SUM(IF((CsDJ[Date]=$A$4)*(CsDJ[Ofc Code]=(TRIM(L$7)))*(CsDJ[Account Code]=(TRIM($D16))),CsDJ[Credit])))+(SUM(IF((CRDJ[Date]=$A$4)*(CRDJ[Ofc Code]=(TRIM(L$7)))*(CRDJ[Account Code]=(TRIM($D16))),CRDJ[Credit])))+(SUM(IF((GJ[Date]=$A$4)*(GJ[Ofc Code]=(TRIM(L$7)))*(GJ[Account Code]=(TRIM($D16))),GJ[Credit])))-(SUM(IF((CkDJ[Date]=$A$4)*(CkDJ[Ofc Code]=(TRIM(L$7)))*(CkDJ[Account Code]=(TRIM($D16))),CkDJ[Debit])))+(SUM(IF((CsDJ[Date]=$A$4)*(CsDJ[Ofc Code]=(TRIM(L$7)))*(CsDJ[Account Code]=(TRIM($D16))),CsDJ[Debit])))+(SUM(IF((CRDJ[Date]=$A$4)*(CRDJ[Ofc Code]=(TRIM(L$7)))*(CRDJ[Account Code]=(TRIM($D16))),CRDJ[Debit])))+(SUM(IF((GJ[Date]=$A$4)*(GJ[Ofc Code]=(TRIM(L$7)))*(GJ[Account Code]=(TRIM($D16))),GJ[Debit])))</f>
        <v>0</v>
      </c>
      <c r="M16" s="211">
        <f t="array" ref="M16">(SUM(IF((CkDJ[Date]=$A$4)*(CkDJ[Ofc Code]=(TRIM(M$7)))*(CkDJ[Account Code]=(TRIM($D16))),CkDJ[Credit])))+(SUM(IF((CsDJ[Date]=$A$4)*(CsDJ[Ofc Code]=(TRIM(M$7)))*(CsDJ[Account Code]=(TRIM($D16))),CsDJ[Credit])))+(SUM(IF((CRDJ[Date]=$A$4)*(CRDJ[Ofc Code]=(TRIM(M$7)))*(CRDJ[Account Code]=(TRIM($D16))),CRDJ[Credit])))+(SUM(IF((GJ[Date]=$A$4)*(GJ[Ofc Code]=(TRIM(M$7)))*(GJ[Account Code]=(TRIM($D16))),GJ[Credit])))-(SUM(IF((CkDJ[Date]=$A$4)*(CkDJ[Ofc Code]=(TRIM(M$7)))*(CkDJ[Account Code]=(TRIM($D16))),CkDJ[Debit])))+(SUM(IF((CsDJ[Date]=$A$4)*(CsDJ[Ofc Code]=(TRIM(M$7)))*(CsDJ[Account Code]=(TRIM($D16))),CsDJ[Debit])))+(SUM(IF((CRDJ[Date]=$A$4)*(CRDJ[Ofc Code]=(TRIM(M$7)))*(CRDJ[Account Code]=(TRIM($D16))),CRDJ[Debit])))+(SUM(IF((GJ[Date]=$A$4)*(GJ[Ofc Code]=(TRIM(M$7)))*(GJ[Account Code]=(TRIM($D16))),GJ[Debit])))</f>
        <v>0</v>
      </c>
      <c r="N16" s="211">
        <f t="shared" si="2"/>
        <v>0</v>
      </c>
      <c r="O16" s="211">
        <f t="array" ref="O16">(SUM(IF((CkDJ[Date]=$A$4)*(CkDJ[Ofc Code]=(TRIM(O$7)))*(CkDJ[Account Code]=(TRIM($D16))),CkDJ[Credit])))+(SUM(IF((CsDJ[Date]=$A$4)*(CsDJ[Ofc Code]=(TRIM(O$7)))*(CsDJ[Account Code]=(TRIM($D16))),CsDJ[Credit])))+(SUM(IF((CRDJ[Date]=$A$4)*(CRDJ[Ofc Code]=(TRIM(O$7)))*(CRDJ[Account Code]=(TRIM($D16))),CRDJ[Credit])))+(SUM(IF((GJ[Date]=$A$4)*(GJ[Ofc Code]=(TRIM(O$7)))*(GJ[Account Code]=(TRIM($D16))),GJ[Credit])))-(SUM(IF((CkDJ[Date]=$A$4)*(CkDJ[Ofc Code]=(TRIM(O$7)))*(CkDJ[Account Code]=(TRIM($D16))),CkDJ[Debit])))+(SUM(IF((CsDJ[Date]=$A$4)*(CsDJ[Ofc Code]=(TRIM(O$7)))*(CsDJ[Account Code]=(TRIM($D16))),CsDJ[Debit])))+(SUM(IF((CRDJ[Date]=$A$4)*(CRDJ[Ofc Code]=(TRIM(O$7)))*(CRDJ[Account Code]=(TRIM($D16))),CRDJ[Debit])))+(SUM(IF((GJ[Date]=$A$4)*(GJ[Ofc Code]=(TRIM(O$7)))*(GJ[Account Code]=(TRIM($D16))),GJ[Debit])))</f>
        <v>0</v>
      </c>
      <c r="P16" s="211">
        <f t="array" ref="P16">(SUM(IF((CkDJ[Date]=$A$4)*(CkDJ[Ofc Code]=(TRIM(P$7)))*(CkDJ[Account Code]=(TRIM($D16))),CkDJ[Credit])))+(SUM(IF((CsDJ[Date]=$A$4)*(CsDJ[Ofc Code]=(TRIM(P$7)))*(CsDJ[Account Code]=(TRIM($D16))),CsDJ[Credit])))+(SUM(IF((CRDJ[Date]=$A$4)*(CRDJ[Ofc Code]=(TRIM(P$7)))*(CRDJ[Account Code]=(TRIM($D16))),CRDJ[Credit])))+(SUM(IF((GJ[Date]=$A$4)*(GJ[Ofc Code]=(TRIM(P$7)))*(GJ[Account Code]=(TRIM($D16))),GJ[Credit])))-(SUM(IF((CkDJ[Date]=$A$4)*(CkDJ[Ofc Code]=(TRIM(P$7)))*(CkDJ[Account Code]=(TRIM($D16))),CkDJ[Debit])))+(SUM(IF((CsDJ[Date]=$A$4)*(CsDJ[Ofc Code]=(TRIM(P$7)))*(CsDJ[Account Code]=(TRIM($D16))),CsDJ[Debit])))+(SUM(IF((CRDJ[Date]=$A$4)*(CRDJ[Ofc Code]=(TRIM(P$7)))*(CRDJ[Account Code]=(TRIM($D16))),CRDJ[Debit])))+(SUM(IF((GJ[Date]=$A$4)*(GJ[Ofc Code]=(TRIM(P$7)))*(GJ[Account Code]=(TRIM($D16))),GJ[Debit])))</f>
        <v>0</v>
      </c>
      <c r="Q16" s="211">
        <f t="array" ref="Q16">(SUM(IF((CkDJ[Date]=$A$4)*(CkDJ[Ofc Code]=(TRIM(Q$7)))*(CkDJ[Account Code]=(TRIM($D16))),CkDJ[Credit])))+(SUM(IF((CsDJ[Date]=$A$4)*(CsDJ[Ofc Code]=(TRIM(Q$7)))*(CsDJ[Account Code]=(TRIM($D16))),CsDJ[Credit])))+(SUM(IF((CRDJ[Date]=$A$4)*(CRDJ[Ofc Code]=(TRIM(Q$7)))*(CRDJ[Account Code]=(TRIM($D16))),CRDJ[Credit])))+(SUM(IF((GJ[Date]=$A$4)*(GJ[Ofc Code]=(TRIM(Q$7)))*(GJ[Account Code]=(TRIM($D16))),GJ[Credit])))-(SUM(IF((CkDJ[Date]=$A$4)*(CkDJ[Ofc Code]=(TRIM(Q$7)))*(CkDJ[Account Code]=(TRIM($D16))),CkDJ[Debit])))+(SUM(IF((CsDJ[Date]=$A$4)*(CsDJ[Ofc Code]=(TRIM(Q$7)))*(CsDJ[Account Code]=(TRIM($D16))),CsDJ[Debit])))+(SUM(IF((CRDJ[Date]=$A$4)*(CRDJ[Ofc Code]=(TRIM(Q$7)))*(CRDJ[Account Code]=(TRIM($D16))),CRDJ[Debit])))+(SUM(IF((GJ[Date]=$A$4)*(GJ[Ofc Code]=(TRIM(Q$7)))*(GJ[Account Code]=(TRIM($D16))),GJ[Debit])))</f>
        <v>0</v>
      </c>
      <c r="R16" s="211">
        <f t="array" ref="R16">(SUM(IF((CkDJ[Date]=$A$4)*(CkDJ[Ofc Code]=(TRIM(R$7)))*(CkDJ[Account Code]=(TRIM($D16))),CkDJ[Credit])))+(SUM(IF((CsDJ[Date]=$A$4)*(CsDJ[Ofc Code]=(TRIM(R$7)))*(CsDJ[Account Code]=(TRIM($D16))),CsDJ[Credit])))+(SUM(IF((CRDJ[Date]=$A$4)*(CRDJ[Ofc Code]=(TRIM(R$7)))*(CRDJ[Account Code]=(TRIM($D16))),CRDJ[Credit])))+(SUM(IF((GJ[Date]=$A$4)*(GJ[Ofc Code]=(TRIM(R$7)))*(GJ[Account Code]=(TRIM($D16))),GJ[Credit])))-(SUM(IF((CkDJ[Date]=$A$4)*(CkDJ[Ofc Code]=(TRIM(R$7)))*(CkDJ[Account Code]=(TRIM($D16))),CkDJ[Debit])))+(SUM(IF((CsDJ[Date]=$A$4)*(CsDJ[Ofc Code]=(TRIM(R$7)))*(CsDJ[Account Code]=(TRIM($D16))),CsDJ[Debit])))+(SUM(IF((CRDJ[Date]=$A$4)*(CRDJ[Ofc Code]=(TRIM(R$7)))*(CRDJ[Account Code]=(TRIM($D16))),CRDJ[Debit])))+(SUM(IF((GJ[Date]=$A$4)*(GJ[Ofc Code]=(TRIM(R$7)))*(GJ[Account Code]=(TRIM($D16))),GJ[Debit])))</f>
        <v>0</v>
      </c>
      <c r="S16" s="211">
        <f t="array" ref="S16">(SUM(IF((CkDJ[Date]=$A$4)*(CkDJ[Ofc Code]=(TRIM(S$7)))*(CkDJ[Account Code]=(TRIM($D16))),CkDJ[Credit])))+(SUM(IF((CsDJ[Date]=$A$4)*(CsDJ[Ofc Code]=(TRIM(S$7)))*(CsDJ[Account Code]=(TRIM($D16))),CsDJ[Credit])))+(SUM(IF((CRDJ[Date]=$A$4)*(CRDJ[Ofc Code]=(TRIM(S$7)))*(CRDJ[Account Code]=(TRIM($D16))),CRDJ[Credit])))+(SUM(IF((GJ[Date]=$A$4)*(GJ[Ofc Code]=(TRIM(S$7)))*(GJ[Account Code]=(TRIM($D16))),GJ[Credit])))-(SUM(IF((CkDJ[Date]=$A$4)*(CkDJ[Ofc Code]=(TRIM(S$7)))*(CkDJ[Account Code]=(TRIM($D16))),CkDJ[Debit])))+(SUM(IF((CsDJ[Date]=$A$4)*(CsDJ[Ofc Code]=(TRIM(S$7)))*(CsDJ[Account Code]=(TRIM($D16))),CsDJ[Debit])))+(SUM(IF((CRDJ[Date]=$A$4)*(CRDJ[Ofc Code]=(TRIM(S$7)))*(CRDJ[Account Code]=(TRIM($D16))),CRDJ[Debit])))+(SUM(IF((GJ[Date]=$A$4)*(GJ[Ofc Code]=(TRIM(S$7)))*(GJ[Account Code]=(TRIM($D16))),GJ[Debit])))</f>
        <v>0</v>
      </c>
      <c r="T16" s="211">
        <f t="shared" si="3"/>
        <v>0</v>
      </c>
      <c r="U16" s="211">
        <f t="shared" si="4"/>
        <v>0</v>
      </c>
    </row>
    <row r="17" spans="1:21" ht="15">
      <c r="A17" s="212">
        <f t="shared" si="5"/>
        <v>9</v>
      </c>
      <c r="B17" s="214" t="s">
        <v>756</v>
      </c>
      <c r="C17" s="194" t="str">
        <f t="shared" si="0"/>
        <v>Fines and Penalties-Irrigation Service Fee</v>
      </c>
      <c r="D17" s="207" t="s">
        <v>143</v>
      </c>
      <c r="E17" s="211">
        <f t="array" ref="E17">(SUM(IF((CkDJ[Date]=$A$4)*(CkDJ[Ofc Code]=(TRIM(E$7)))*(CkDJ[Account Code]=(TRIM($D17))),CkDJ[Credit])))+(SUM(IF((CsDJ[Date]=$A$4)*(CsDJ[Ofc Code]=(TRIM(E$7)))*(CsDJ[Account Code]=(TRIM($D17))),CsDJ[Credit])))+(SUM(IF((CRDJ[Date]=$A$4)*(CRDJ[Ofc Code]=(TRIM(E$7)))*(CRDJ[Account Code]=(TRIM($D17))),CRDJ[Credit])))+(SUM(IF((GJ[Date]=$A$4)*(GJ[Ofc Code]=(TRIM(E$7)))*(GJ[Account Code]=(TRIM($D17))),GJ[Credit])))-(SUM(IF((CkDJ[Date]=$A$4)*(CkDJ[Ofc Code]=(TRIM(E$7)))*(CkDJ[Account Code]=(TRIM($D17))),CkDJ[Debit])))+(SUM(IF((CsDJ[Date]=$A$4)*(CsDJ[Ofc Code]=(TRIM(E$7)))*(CsDJ[Account Code]=(TRIM($D17))),CsDJ[Debit])))+(SUM(IF((CRDJ[Date]=$A$4)*(CRDJ[Ofc Code]=(TRIM(E$7)))*(CRDJ[Account Code]=(TRIM($D17))),CRDJ[Debit])))+(SUM(IF((GJ[Date]=$A$4)*(GJ[Ofc Code]=(TRIM(E$7)))*(GJ[Account Code]=(TRIM($D17))),GJ[Debit])))</f>
        <v>0</v>
      </c>
      <c r="F17" s="211">
        <f t="array" ref="F17">(SUM(IF((CkDJ[Date]=$A$4)*(CkDJ[Ofc Code]=(TRIM(F$7)))*(CkDJ[Account Code]=(TRIM($D17))),CkDJ[Credit])))+(SUM(IF((CsDJ[Date]=$A$4)*(CsDJ[Ofc Code]=(TRIM(F$7)))*(CsDJ[Account Code]=(TRIM($D17))),CsDJ[Credit])))+(SUM(IF((CRDJ[Date]=$A$4)*(CRDJ[Ofc Code]=(TRIM(F$7)))*(CRDJ[Account Code]=(TRIM($D17))),CRDJ[Credit])))+(SUM(IF((GJ[Date]=$A$4)*(GJ[Ofc Code]=(TRIM(F$7)))*(GJ[Account Code]=(TRIM($D17))),GJ[Credit])))-(SUM(IF((CkDJ[Date]=$A$4)*(CkDJ[Ofc Code]=(TRIM(F$7)))*(CkDJ[Account Code]=(TRIM($D17))),CkDJ[Debit])))+(SUM(IF((CsDJ[Date]=$A$4)*(CsDJ[Ofc Code]=(TRIM(F$7)))*(CsDJ[Account Code]=(TRIM($D17))),CsDJ[Debit])))+(SUM(IF((CRDJ[Date]=$A$4)*(CRDJ[Ofc Code]=(TRIM(F$7)))*(CRDJ[Account Code]=(TRIM($D17))),CRDJ[Debit])))+(SUM(IF((GJ[Date]=$A$4)*(GJ[Ofc Code]=(TRIM(F$7)))*(GJ[Account Code]=(TRIM($D17))),GJ[Debit])))</f>
        <v>0</v>
      </c>
      <c r="G17" s="211">
        <f t="array" ref="G17">(SUM(IF((CkDJ[Date]=$A$4)*(CkDJ[Ofc Code]=(TRIM(G$7)))*(CkDJ[Account Code]=(TRIM($D17))),CkDJ[Credit])))+(SUM(IF((CsDJ[Date]=$A$4)*(CsDJ[Ofc Code]=(TRIM(G$7)))*(CsDJ[Account Code]=(TRIM($D17))),CsDJ[Credit])))+(SUM(IF((CRDJ[Date]=$A$4)*(CRDJ[Ofc Code]=(TRIM(G$7)))*(CRDJ[Account Code]=(TRIM($D17))),CRDJ[Credit])))+(SUM(IF((GJ[Date]=$A$4)*(GJ[Ofc Code]=(TRIM(G$7)))*(GJ[Account Code]=(TRIM($D17))),GJ[Credit])))-(SUM(IF((CkDJ[Date]=$A$4)*(CkDJ[Ofc Code]=(TRIM(G$7)))*(CkDJ[Account Code]=(TRIM($D17))),CkDJ[Debit])))+(SUM(IF((CsDJ[Date]=$A$4)*(CsDJ[Ofc Code]=(TRIM(G$7)))*(CsDJ[Account Code]=(TRIM($D17))),CsDJ[Debit])))+(SUM(IF((CRDJ[Date]=$A$4)*(CRDJ[Ofc Code]=(TRIM(G$7)))*(CRDJ[Account Code]=(TRIM($D17))),CRDJ[Debit])))+(SUM(IF((GJ[Date]=$A$4)*(GJ[Ofc Code]=(TRIM(G$7)))*(GJ[Account Code]=(TRIM($D17))),GJ[Debit])))</f>
        <v>0</v>
      </c>
      <c r="H17" s="211">
        <f t="array" ref="H17">(SUM(IF((CkDJ[Date]=$A$4)*(CkDJ[Ofc Code]=(TRIM(H$7)))*(CkDJ[Account Code]=(TRIM($D17))),CkDJ[Credit])))+(SUM(IF((CsDJ[Date]=$A$4)*(CsDJ[Ofc Code]=(TRIM(H$7)))*(CsDJ[Account Code]=(TRIM($D17))),CsDJ[Credit])))+(SUM(IF((CRDJ[Date]=$A$4)*(CRDJ[Ofc Code]=(TRIM(H$7)))*(CRDJ[Account Code]=(TRIM($D17))),CRDJ[Credit])))+(SUM(IF((GJ[Date]=$A$4)*(GJ[Ofc Code]=(TRIM(H$7)))*(GJ[Account Code]=(TRIM($D17))),GJ[Credit])))-(SUM(IF((CkDJ[Date]=$A$4)*(CkDJ[Ofc Code]=(TRIM(H$7)))*(CkDJ[Account Code]=(TRIM($D17))),CkDJ[Debit])))+(SUM(IF((CsDJ[Date]=$A$4)*(CsDJ[Ofc Code]=(TRIM(H$7)))*(CsDJ[Account Code]=(TRIM($D17))),CsDJ[Debit])))+(SUM(IF((CRDJ[Date]=$A$4)*(CRDJ[Ofc Code]=(TRIM(H$7)))*(CRDJ[Account Code]=(TRIM($D17))),CRDJ[Debit])))+(SUM(IF((GJ[Date]=$A$4)*(GJ[Ofc Code]=(TRIM(H$7)))*(GJ[Account Code]=(TRIM($D17))),GJ[Debit])))</f>
        <v>0</v>
      </c>
      <c r="I17" s="211">
        <f t="shared" si="1"/>
        <v>0</v>
      </c>
      <c r="J17" s="211">
        <f t="array" ref="J17">(SUM(IF((CkDJ[Date]=$A$4)*(CkDJ[Ofc Code]=(TRIM(J$7)))*(CkDJ[Account Code]=(TRIM($D17))),CkDJ[Credit])))+(SUM(IF((CsDJ[Date]=$A$4)*(CsDJ[Ofc Code]=(TRIM(J$7)))*(CsDJ[Account Code]=(TRIM($D17))),CsDJ[Credit])))+(SUM(IF((CRDJ[Date]=$A$4)*(CRDJ[Ofc Code]=(TRIM(J$7)))*(CRDJ[Account Code]=(TRIM($D17))),CRDJ[Credit])))+(SUM(IF((GJ[Date]=$A$4)*(GJ[Ofc Code]=(TRIM(J$7)))*(GJ[Account Code]=(TRIM($D17))),GJ[Credit])))-(SUM(IF((CkDJ[Date]=$A$4)*(CkDJ[Ofc Code]=(TRIM(J$7)))*(CkDJ[Account Code]=(TRIM($D17))),CkDJ[Debit])))+(SUM(IF((CsDJ[Date]=$A$4)*(CsDJ[Ofc Code]=(TRIM(J$7)))*(CsDJ[Account Code]=(TRIM($D17))),CsDJ[Debit])))+(SUM(IF((CRDJ[Date]=$A$4)*(CRDJ[Ofc Code]=(TRIM(J$7)))*(CRDJ[Account Code]=(TRIM($D17))),CRDJ[Debit])))+(SUM(IF((GJ[Date]=$A$4)*(GJ[Ofc Code]=(TRIM(J$7)))*(GJ[Account Code]=(TRIM($D17))),GJ[Debit])))</f>
        <v>0</v>
      </c>
      <c r="K17" s="211">
        <f t="array" ref="K17">(SUM(IF((CkDJ[Date]=$A$4)*(CkDJ[Ofc Code]=(TRIM(K$7)))*(CkDJ[Account Code]=(TRIM($D17))),CkDJ[Credit])))+(SUM(IF((CsDJ[Date]=$A$4)*(CsDJ[Ofc Code]=(TRIM(K$7)))*(CsDJ[Account Code]=(TRIM($D17))),CsDJ[Credit])))+(SUM(IF((CRDJ[Date]=$A$4)*(CRDJ[Ofc Code]=(TRIM(K$7)))*(CRDJ[Account Code]=(TRIM($D17))),CRDJ[Credit])))+(SUM(IF((GJ[Date]=$A$4)*(GJ[Ofc Code]=(TRIM(K$7)))*(GJ[Account Code]=(TRIM($D17))),GJ[Credit])))-(SUM(IF((CkDJ[Date]=$A$4)*(CkDJ[Ofc Code]=(TRIM(K$7)))*(CkDJ[Account Code]=(TRIM($D17))),CkDJ[Debit])))+(SUM(IF((CsDJ[Date]=$A$4)*(CsDJ[Ofc Code]=(TRIM(K$7)))*(CsDJ[Account Code]=(TRIM($D17))),CsDJ[Debit])))+(SUM(IF((CRDJ[Date]=$A$4)*(CRDJ[Ofc Code]=(TRIM(K$7)))*(CRDJ[Account Code]=(TRIM($D17))),CRDJ[Debit])))+(SUM(IF((GJ[Date]=$A$4)*(GJ[Ofc Code]=(TRIM(K$7)))*(GJ[Account Code]=(TRIM($D17))),GJ[Debit])))</f>
        <v>0</v>
      </c>
      <c r="L17" s="211">
        <f t="array" ref="L17">(SUM(IF((CkDJ[Date]=$A$4)*(CkDJ[Ofc Code]=(TRIM(L$7)))*(CkDJ[Account Code]=(TRIM($D17))),CkDJ[Credit])))+(SUM(IF((CsDJ[Date]=$A$4)*(CsDJ[Ofc Code]=(TRIM(L$7)))*(CsDJ[Account Code]=(TRIM($D17))),CsDJ[Credit])))+(SUM(IF((CRDJ[Date]=$A$4)*(CRDJ[Ofc Code]=(TRIM(L$7)))*(CRDJ[Account Code]=(TRIM($D17))),CRDJ[Credit])))+(SUM(IF((GJ[Date]=$A$4)*(GJ[Ofc Code]=(TRIM(L$7)))*(GJ[Account Code]=(TRIM($D17))),GJ[Credit])))-(SUM(IF((CkDJ[Date]=$A$4)*(CkDJ[Ofc Code]=(TRIM(L$7)))*(CkDJ[Account Code]=(TRIM($D17))),CkDJ[Debit])))+(SUM(IF((CsDJ[Date]=$A$4)*(CsDJ[Ofc Code]=(TRIM(L$7)))*(CsDJ[Account Code]=(TRIM($D17))),CsDJ[Debit])))+(SUM(IF((CRDJ[Date]=$A$4)*(CRDJ[Ofc Code]=(TRIM(L$7)))*(CRDJ[Account Code]=(TRIM($D17))),CRDJ[Debit])))+(SUM(IF((GJ[Date]=$A$4)*(GJ[Ofc Code]=(TRIM(L$7)))*(GJ[Account Code]=(TRIM($D17))),GJ[Debit])))</f>
        <v>0</v>
      </c>
      <c r="M17" s="211">
        <f t="array" ref="M17">(SUM(IF((CkDJ[Date]=$A$4)*(CkDJ[Ofc Code]=(TRIM(M$7)))*(CkDJ[Account Code]=(TRIM($D17))),CkDJ[Credit])))+(SUM(IF((CsDJ[Date]=$A$4)*(CsDJ[Ofc Code]=(TRIM(M$7)))*(CsDJ[Account Code]=(TRIM($D17))),CsDJ[Credit])))+(SUM(IF((CRDJ[Date]=$A$4)*(CRDJ[Ofc Code]=(TRIM(M$7)))*(CRDJ[Account Code]=(TRIM($D17))),CRDJ[Credit])))+(SUM(IF((GJ[Date]=$A$4)*(GJ[Ofc Code]=(TRIM(M$7)))*(GJ[Account Code]=(TRIM($D17))),GJ[Credit])))-(SUM(IF((CkDJ[Date]=$A$4)*(CkDJ[Ofc Code]=(TRIM(M$7)))*(CkDJ[Account Code]=(TRIM($D17))),CkDJ[Debit])))+(SUM(IF((CsDJ[Date]=$A$4)*(CsDJ[Ofc Code]=(TRIM(M$7)))*(CsDJ[Account Code]=(TRIM($D17))),CsDJ[Debit])))+(SUM(IF((CRDJ[Date]=$A$4)*(CRDJ[Ofc Code]=(TRIM(M$7)))*(CRDJ[Account Code]=(TRIM($D17))),CRDJ[Debit])))+(SUM(IF((GJ[Date]=$A$4)*(GJ[Ofc Code]=(TRIM(M$7)))*(GJ[Account Code]=(TRIM($D17))),GJ[Debit])))</f>
        <v>0</v>
      </c>
      <c r="N17" s="211">
        <f t="shared" si="2"/>
        <v>0</v>
      </c>
      <c r="O17" s="211">
        <f t="array" ref="O17">(SUM(IF((CkDJ[Date]=$A$4)*(CkDJ[Ofc Code]=(TRIM(O$7)))*(CkDJ[Account Code]=(TRIM($D17))),CkDJ[Credit])))+(SUM(IF((CsDJ[Date]=$A$4)*(CsDJ[Ofc Code]=(TRIM(O$7)))*(CsDJ[Account Code]=(TRIM($D17))),CsDJ[Credit])))+(SUM(IF((CRDJ[Date]=$A$4)*(CRDJ[Ofc Code]=(TRIM(O$7)))*(CRDJ[Account Code]=(TRIM($D17))),CRDJ[Credit])))+(SUM(IF((GJ[Date]=$A$4)*(GJ[Ofc Code]=(TRIM(O$7)))*(GJ[Account Code]=(TRIM($D17))),GJ[Credit])))-(SUM(IF((CkDJ[Date]=$A$4)*(CkDJ[Ofc Code]=(TRIM(O$7)))*(CkDJ[Account Code]=(TRIM($D17))),CkDJ[Debit])))+(SUM(IF((CsDJ[Date]=$A$4)*(CsDJ[Ofc Code]=(TRIM(O$7)))*(CsDJ[Account Code]=(TRIM($D17))),CsDJ[Debit])))+(SUM(IF((CRDJ[Date]=$A$4)*(CRDJ[Ofc Code]=(TRIM(O$7)))*(CRDJ[Account Code]=(TRIM($D17))),CRDJ[Debit])))+(SUM(IF((GJ[Date]=$A$4)*(GJ[Ofc Code]=(TRIM(O$7)))*(GJ[Account Code]=(TRIM($D17))),GJ[Debit])))</f>
        <v>0</v>
      </c>
      <c r="P17" s="211">
        <f t="array" ref="P17">(SUM(IF((CkDJ[Date]=$A$4)*(CkDJ[Ofc Code]=(TRIM(P$7)))*(CkDJ[Account Code]=(TRIM($D17))),CkDJ[Credit])))+(SUM(IF((CsDJ[Date]=$A$4)*(CsDJ[Ofc Code]=(TRIM(P$7)))*(CsDJ[Account Code]=(TRIM($D17))),CsDJ[Credit])))+(SUM(IF((CRDJ[Date]=$A$4)*(CRDJ[Ofc Code]=(TRIM(P$7)))*(CRDJ[Account Code]=(TRIM($D17))),CRDJ[Credit])))+(SUM(IF((GJ[Date]=$A$4)*(GJ[Ofc Code]=(TRIM(P$7)))*(GJ[Account Code]=(TRIM($D17))),GJ[Credit])))-(SUM(IF((CkDJ[Date]=$A$4)*(CkDJ[Ofc Code]=(TRIM(P$7)))*(CkDJ[Account Code]=(TRIM($D17))),CkDJ[Debit])))+(SUM(IF((CsDJ[Date]=$A$4)*(CsDJ[Ofc Code]=(TRIM(P$7)))*(CsDJ[Account Code]=(TRIM($D17))),CsDJ[Debit])))+(SUM(IF((CRDJ[Date]=$A$4)*(CRDJ[Ofc Code]=(TRIM(P$7)))*(CRDJ[Account Code]=(TRIM($D17))),CRDJ[Debit])))+(SUM(IF((GJ[Date]=$A$4)*(GJ[Ofc Code]=(TRIM(P$7)))*(GJ[Account Code]=(TRIM($D17))),GJ[Debit])))</f>
        <v>0</v>
      </c>
      <c r="Q17" s="211">
        <f t="array" ref="Q17">(SUM(IF((CkDJ[Date]=$A$4)*(CkDJ[Ofc Code]=(TRIM(Q$7)))*(CkDJ[Account Code]=(TRIM($D17))),CkDJ[Credit])))+(SUM(IF((CsDJ[Date]=$A$4)*(CsDJ[Ofc Code]=(TRIM(Q$7)))*(CsDJ[Account Code]=(TRIM($D17))),CsDJ[Credit])))+(SUM(IF((CRDJ[Date]=$A$4)*(CRDJ[Ofc Code]=(TRIM(Q$7)))*(CRDJ[Account Code]=(TRIM($D17))),CRDJ[Credit])))+(SUM(IF((GJ[Date]=$A$4)*(GJ[Ofc Code]=(TRIM(Q$7)))*(GJ[Account Code]=(TRIM($D17))),GJ[Credit])))-(SUM(IF((CkDJ[Date]=$A$4)*(CkDJ[Ofc Code]=(TRIM(Q$7)))*(CkDJ[Account Code]=(TRIM($D17))),CkDJ[Debit])))+(SUM(IF((CsDJ[Date]=$A$4)*(CsDJ[Ofc Code]=(TRIM(Q$7)))*(CsDJ[Account Code]=(TRIM($D17))),CsDJ[Debit])))+(SUM(IF((CRDJ[Date]=$A$4)*(CRDJ[Ofc Code]=(TRIM(Q$7)))*(CRDJ[Account Code]=(TRIM($D17))),CRDJ[Debit])))+(SUM(IF((GJ[Date]=$A$4)*(GJ[Ofc Code]=(TRIM(Q$7)))*(GJ[Account Code]=(TRIM($D17))),GJ[Debit])))</f>
        <v>0</v>
      </c>
      <c r="R17" s="211">
        <f t="array" ref="R17">(SUM(IF((CkDJ[Date]=$A$4)*(CkDJ[Ofc Code]=(TRIM(R$7)))*(CkDJ[Account Code]=(TRIM($D17))),CkDJ[Credit])))+(SUM(IF((CsDJ[Date]=$A$4)*(CsDJ[Ofc Code]=(TRIM(R$7)))*(CsDJ[Account Code]=(TRIM($D17))),CsDJ[Credit])))+(SUM(IF((CRDJ[Date]=$A$4)*(CRDJ[Ofc Code]=(TRIM(R$7)))*(CRDJ[Account Code]=(TRIM($D17))),CRDJ[Credit])))+(SUM(IF((GJ[Date]=$A$4)*(GJ[Ofc Code]=(TRIM(R$7)))*(GJ[Account Code]=(TRIM($D17))),GJ[Credit])))-(SUM(IF((CkDJ[Date]=$A$4)*(CkDJ[Ofc Code]=(TRIM(R$7)))*(CkDJ[Account Code]=(TRIM($D17))),CkDJ[Debit])))+(SUM(IF((CsDJ[Date]=$A$4)*(CsDJ[Ofc Code]=(TRIM(R$7)))*(CsDJ[Account Code]=(TRIM($D17))),CsDJ[Debit])))+(SUM(IF((CRDJ[Date]=$A$4)*(CRDJ[Ofc Code]=(TRIM(R$7)))*(CRDJ[Account Code]=(TRIM($D17))),CRDJ[Debit])))+(SUM(IF((GJ[Date]=$A$4)*(GJ[Ofc Code]=(TRIM(R$7)))*(GJ[Account Code]=(TRIM($D17))),GJ[Debit])))</f>
        <v>0</v>
      </c>
      <c r="S17" s="211">
        <f t="array" ref="S17">(SUM(IF((CkDJ[Date]=$A$4)*(CkDJ[Ofc Code]=(TRIM(S$7)))*(CkDJ[Account Code]=(TRIM($D17))),CkDJ[Credit])))+(SUM(IF((CsDJ[Date]=$A$4)*(CsDJ[Ofc Code]=(TRIM(S$7)))*(CsDJ[Account Code]=(TRIM($D17))),CsDJ[Credit])))+(SUM(IF((CRDJ[Date]=$A$4)*(CRDJ[Ofc Code]=(TRIM(S$7)))*(CRDJ[Account Code]=(TRIM($D17))),CRDJ[Credit])))+(SUM(IF((GJ[Date]=$A$4)*(GJ[Ofc Code]=(TRIM(S$7)))*(GJ[Account Code]=(TRIM($D17))),GJ[Credit])))-(SUM(IF((CkDJ[Date]=$A$4)*(CkDJ[Ofc Code]=(TRIM(S$7)))*(CkDJ[Account Code]=(TRIM($D17))),CkDJ[Debit])))+(SUM(IF((CsDJ[Date]=$A$4)*(CsDJ[Ofc Code]=(TRIM(S$7)))*(CsDJ[Account Code]=(TRIM($D17))),CsDJ[Debit])))+(SUM(IF((CRDJ[Date]=$A$4)*(CRDJ[Ofc Code]=(TRIM(S$7)))*(CRDJ[Account Code]=(TRIM($D17))),CRDJ[Debit])))+(SUM(IF((GJ[Date]=$A$4)*(GJ[Ofc Code]=(TRIM(S$7)))*(GJ[Account Code]=(TRIM($D17))),GJ[Debit])))</f>
        <v>0</v>
      </c>
      <c r="T17" s="211">
        <f t="shared" si="3"/>
        <v>0</v>
      </c>
      <c r="U17" s="211">
        <f t="shared" si="4"/>
        <v>0</v>
      </c>
    </row>
    <row r="18" spans="1:21" ht="15">
      <c r="A18" s="212">
        <f t="shared" si="5"/>
        <v>10</v>
      </c>
      <c r="B18" s="214"/>
      <c r="C18" s="194" t="e">
        <f t="shared" si="0"/>
        <v>#N/A</v>
      </c>
      <c r="D18" s="207" t="s">
        <v>144</v>
      </c>
      <c r="E18" s="211">
        <f t="array" ref="E18">(SUM(IF((CkDJ[Date]=$A$4)*(CkDJ[Ofc Code]=(TRIM(E$7)))*(CkDJ[Account Code]=(TRIM($D18))),CkDJ[Credit])))+(SUM(IF((CsDJ[Date]=$A$4)*(CsDJ[Ofc Code]=(TRIM(E$7)))*(CsDJ[Account Code]=(TRIM($D18))),CsDJ[Credit])))+(SUM(IF((CRDJ[Date]=$A$4)*(CRDJ[Ofc Code]=(TRIM(E$7)))*(CRDJ[Account Code]=(TRIM($D18))),CRDJ[Credit])))+(SUM(IF((GJ[Date]=$A$4)*(GJ[Ofc Code]=(TRIM(E$7)))*(GJ[Account Code]=(TRIM($D18))),GJ[Credit])))-(SUM(IF((CkDJ[Date]=$A$4)*(CkDJ[Ofc Code]=(TRIM(E$7)))*(CkDJ[Account Code]=(TRIM($D18))),CkDJ[Debit])))+(SUM(IF((CsDJ[Date]=$A$4)*(CsDJ[Ofc Code]=(TRIM(E$7)))*(CsDJ[Account Code]=(TRIM($D18))),CsDJ[Debit])))+(SUM(IF((CRDJ[Date]=$A$4)*(CRDJ[Ofc Code]=(TRIM(E$7)))*(CRDJ[Account Code]=(TRIM($D18))),CRDJ[Debit])))+(SUM(IF((GJ[Date]=$A$4)*(GJ[Ofc Code]=(TRIM(E$7)))*(GJ[Account Code]=(TRIM($D18))),GJ[Debit])))</f>
        <v>0</v>
      </c>
      <c r="F18" s="211">
        <f t="array" ref="F18">(SUM(IF((CkDJ[Date]=$A$4)*(CkDJ[Ofc Code]=(TRIM(F$7)))*(CkDJ[Account Code]=(TRIM($D18))),CkDJ[Credit])))+(SUM(IF((CsDJ[Date]=$A$4)*(CsDJ[Ofc Code]=(TRIM(F$7)))*(CsDJ[Account Code]=(TRIM($D18))),CsDJ[Credit])))+(SUM(IF((CRDJ[Date]=$A$4)*(CRDJ[Ofc Code]=(TRIM(F$7)))*(CRDJ[Account Code]=(TRIM($D18))),CRDJ[Credit])))+(SUM(IF((GJ[Date]=$A$4)*(GJ[Ofc Code]=(TRIM(F$7)))*(GJ[Account Code]=(TRIM($D18))),GJ[Credit])))-(SUM(IF((CkDJ[Date]=$A$4)*(CkDJ[Ofc Code]=(TRIM(F$7)))*(CkDJ[Account Code]=(TRIM($D18))),CkDJ[Debit])))+(SUM(IF((CsDJ[Date]=$A$4)*(CsDJ[Ofc Code]=(TRIM(F$7)))*(CsDJ[Account Code]=(TRIM($D18))),CsDJ[Debit])))+(SUM(IF((CRDJ[Date]=$A$4)*(CRDJ[Ofc Code]=(TRIM(F$7)))*(CRDJ[Account Code]=(TRIM($D18))),CRDJ[Debit])))+(SUM(IF((GJ[Date]=$A$4)*(GJ[Ofc Code]=(TRIM(F$7)))*(GJ[Account Code]=(TRIM($D18))),GJ[Debit])))</f>
        <v>0</v>
      </c>
      <c r="G18" s="211">
        <f t="array" ref="G18">(SUM(IF((CkDJ[Date]=$A$4)*(CkDJ[Ofc Code]=(TRIM(G$7)))*(CkDJ[Account Code]=(TRIM($D18))),CkDJ[Credit])))+(SUM(IF((CsDJ[Date]=$A$4)*(CsDJ[Ofc Code]=(TRIM(G$7)))*(CsDJ[Account Code]=(TRIM($D18))),CsDJ[Credit])))+(SUM(IF((CRDJ[Date]=$A$4)*(CRDJ[Ofc Code]=(TRIM(G$7)))*(CRDJ[Account Code]=(TRIM($D18))),CRDJ[Credit])))+(SUM(IF((GJ[Date]=$A$4)*(GJ[Ofc Code]=(TRIM(G$7)))*(GJ[Account Code]=(TRIM($D18))),GJ[Credit])))-(SUM(IF((CkDJ[Date]=$A$4)*(CkDJ[Ofc Code]=(TRIM(G$7)))*(CkDJ[Account Code]=(TRIM($D18))),CkDJ[Debit])))+(SUM(IF((CsDJ[Date]=$A$4)*(CsDJ[Ofc Code]=(TRIM(G$7)))*(CsDJ[Account Code]=(TRIM($D18))),CsDJ[Debit])))+(SUM(IF((CRDJ[Date]=$A$4)*(CRDJ[Ofc Code]=(TRIM(G$7)))*(CRDJ[Account Code]=(TRIM($D18))),CRDJ[Debit])))+(SUM(IF((GJ[Date]=$A$4)*(GJ[Ofc Code]=(TRIM(G$7)))*(GJ[Account Code]=(TRIM($D18))),GJ[Debit])))</f>
        <v>0</v>
      </c>
      <c r="H18" s="211">
        <f t="array" ref="H18">(SUM(IF((CkDJ[Date]=$A$4)*(CkDJ[Ofc Code]=(TRIM(H$7)))*(CkDJ[Account Code]=(TRIM($D18))),CkDJ[Credit])))+(SUM(IF((CsDJ[Date]=$A$4)*(CsDJ[Ofc Code]=(TRIM(H$7)))*(CsDJ[Account Code]=(TRIM($D18))),CsDJ[Credit])))+(SUM(IF((CRDJ[Date]=$A$4)*(CRDJ[Ofc Code]=(TRIM(H$7)))*(CRDJ[Account Code]=(TRIM($D18))),CRDJ[Credit])))+(SUM(IF((GJ[Date]=$A$4)*(GJ[Ofc Code]=(TRIM(H$7)))*(GJ[Account Code]=(TRIM($D18))),GJ[Credit])))-(SUM(IF((CkDJ[Date]=$A$4)*(CkDJ[Ofc Code]=(TRIM(H$7)))*(CkDJ[Account Code]=(TRIM($D18))),CkDJ[Debit])))+(SUM(IF((CsDJ[Date]=$A$4)*(CsDJ[Ofc Code]=(TRIM(H$7)))*(CsDJ[Account Code]=(TRIM($D18))),CsDJ[Debit])))+(SUM(IF((CRDJ[Date]=$A$4)*(CRDJ[Ofc Code]=(TRIM(H$7)))*(CRDJ[Account Code]=(TRIM($D18))),CRDJ[Debit])))+(SUM(IF((GJ[Date]=$A$4)*(GJ[Ofc Code]=(TRIM(H$7)))*(GJ[Account Code]=(TRIM($D18))),GJ[Debit])))</f>
        <v>0</v>
      </c>
      <c r="I18" s="211">
        <f t="shared" si="1"/>
        <v>0</v>
      </c>
      <c r="J18" s="211">
        <f t="array" ref="J18">(SUM(IF((CkDJ[Date]=$A$4)*(CkDJ[Ofc Code]=(TRIM(J$7)))*(CkDJ[Account Code]=(TRIM($D18))),CkDJ[Credit])))+(SUM(IF((CsDJ[Date]=$A$4)*(CsDJ[Ofc Code]=(TRIM(J$7)))*(CsDJ[Account Code]=(TRIM($D18))),CsDJ[Credit])))+(SUM(IF((CRDJ[Date]=$A$4)*(CRDJ[Ofc Code]=(TRIM(J$7)))*(CRDJ[Account Code]=(TRIM($D18))),CRDJ[Credit])))+(SUM(IF((GJ[Date]=$A$4)*(GJ[Ofc Code]=(TRIM(J$7)))*(GJ[Account Code]=(TRIM($D18))),GJ[Credit])))-(SUM(IF((CkDJ[Date]=$A$4)*(CkDJ[Ofc Code]=(TRIM(J$7)))*(CkDJ[Account Code]=(TRIM($D18))),CkDJ[Debit])))+(SUM(IF((CsDJ[Date]=$A$4)*(CsDJ[Ofc Code]=(TRIM(J$7)))*(CsDJ[Account Code]=(TRIM($D18))),CsDJ[Debit])))+(SUM(IF((CRDJ[Date]=$A$4)*(CRDJ[Ofc Code]=(TRIM(J$7)))*(CRDJ[Account Code]=(TRIM($D18))),CRDJ[Debit])))+(SUM(IF((GJ[Date]=$A$4)*(GJ[Ofc Code]=(TRIM(J$7)))*(GJ[Account Code]=(TRIM($D18))),GJ[Debit])))</f>
        <v>0</v>
      </c>
      <c r="K18" s="211">
        <f t="array" ref="K18">(SUM(IF((CkDJ[Date]=$A$4)*(CkDJ[Ofc Code]=(TRIM(K$7)))*(CkDJ[Account Code]=(TRIM($D18))),CkDJ[Credit])))+(SUM(IF((CsDJ[Date]=$A$4)*(CsDJ[Ofc Code]=(TRIM(K$7)))*(CsDJ[Account Code]=(TRIM($D18))),CsDJ[Credit])))+(SUM(IF((CRDJ[Date]=$A$4)*(CRDJ[Ofc Code]=(TRIM(K$7)))*(CRDJ[Account Code]=(TRIM($D18))),CRDJ[Credit])))+(SUM(IF((GJ[Date]=$A$4)*(GJ[Ofc Code]=(TRIM(K$7)))*(GJ[Account Code]=(TRIM($D18))),GJ[Credit])))-(SUM(IF((CkDJ[Date]=$A$4)*(CkDJ[Ofc Code]=(TRIM(K$7)))*(CkDJ[Account Code]=(TRIM($D18))),CkDJ[Debit])))+(SUM(IF((CsDJ[Date]=$A$4)*(CsDJ[Ofc Code]=(TRIM(K$7)))*(CsDJ[Account Code]=(TRIM($D18))),CsDJ[Debit])))+(SUM(IF((CRDJ[Date]=$A$4)*(CRDJ[Ofc Code]=(TRIM(K$7)))*(CRDJ[Account Code]=(TRIM($D18))),CRDJ[Debit])))+(SUM(IF((GJ[Date]=$A$4)*(GJ[Ofc Code]=(TRIM(K$7)))*(GJ[Account Code]=(TRIM($D18))),GJ[Debit])))</f>
        <v>0</v>
      </c>
      <c r="L18" s="211">
        <f t="array" ref="L18">(SUM(IF((CkDJ[Date]=$A$4)*(CkDJ[Ofc Code]=(TRIM(L$7)))*(CkDJ[Account Code]=(TRIM($D18))),CkDJ[Credit])))+(SUM(IF((CsDJ[Date]=$A$4)*(CsDJ[Ofc Code]=(TRIM(L$7)))*(CsDJ[Account Code]=(TRIM($D18))),CsDJ[Credit])))+(SUM(IF((CRDJ[Date]=$A$4)*(CRDJ[Ofc Code]=(TRIM(L$7)))*(CRDJ[Account Code]=(TRIM($D18))),CRDJ[Credit])))+(SUM(IF((GJ[Date]=$A$4)*(GJ[Ofc Code]=(TRIM(L$7)))*(GJ[Account Code]=(TRIM($D18))),GJ[Credit])))-(SUM(IF((CkDJ[Date]=$A$4)*(CkDJ[Ofc Code]=(TRIM(L$7)))*(CkDJ[Account Code]=(TRIM($D18))),CkDJ[Debit])))+(SUM(IF((CsDJ[Date]=$A$4)*(CsDJ[Ofc Code]=(TRIM(L$7)))*(CsDJ[Account Code]=(TRIM($D18))),CsDJ[Debit])))+(SUM(IF((CRDJ[Date]=$A$4)*(CRDJ[Ofc Code]=(TRIM(L$7)))*(CRDJ[Account Code]=(TRIM($D18))),CRDJ[Debit])))+(SUM(IF((GJ[Date]=$A$4)*(GJ[Ofc Code]=(TRIM(L$7)))*(GJ[Account Code]=(TRIM($D18))),GJ[Debit])))</f>
        <v>0</v>
      </c>
      <c r="M18" s="211">
        <f t="array" ref="M18">(SUM(IF((CkDJ[Date]=$A$4)*(CkDJ[Ofc Code]=(TRIM(M$7)))*(CkDJ[Account Code]=(TRIM($D18))),CkDJ[Credit])))+(SUM(IF((CsDJ[Date]=$A$4)*(CsDJ[Ofc Code]=(TRIM(M$7)))*(CsDJ[Account Code]=(TRIM($D18))),CsDJ[Credit])))+(SUM(IF((CRDJ[Date]=$A$4)*(CRDJ[Ofc Code]=(TRIM(M$7)))*(CRDJ[Account Code]=(TRIM($D18))),CRDJ[Credit])))+(SUM(IF((GJ[Date]=$A$4)*(GJ[Ofc Code]=(TRIM(M$7)))*(GJ[Account Code]=(TRIM($D18))),GJ[Credit])))-(SUM(IF((CkDJ[Date]=$A$4)*(CkDJ[Ofc Code]=(TRIM(M$7)))*(CkDJ[Account Code]=(TRIM($D18))),CkDJ[Debit])))+(SUM(IF((CsDJ[Date]=$A$4)*(CsDJ[Ofc Code]=(TRIM(M$7)))*(CsDJ[Account Code]=(TRIM($D18))),CsDJ[Debit])))+(SUM(IF((CRDJ[Date]=$A$4)*(CRDJ[Ofc Code]=(TRIM(M$7)))*(CRDJ[Account Code]=(TRIM($D18))),CRDJ[Debit])))+(SUM(IF((GJ[Date]=$A$4)*(GJ[Ofc Code]=(TRIM(M$7)))*(GJ[Account Code]=(TRIM($D18))),GJ[Debit])))</f>
        <v>0</v>
      </c>
      <c r="N18" s="211">
        <f t="shared" si="2"/>
        <v>0</v>
      </c>
      <c r="O18" s="211">
        <f t="array" ref="O18">(SUM(IF((CkDJ[Date]=$A$4)*(CkDJ[Ofc Code]=(TRIM(O$7)))*(CkDJ[Account Code]=(TRIM($D18))),CkDJ[Credit])))+(SUM(IF((CsDJ[Date]=$A$4)*(CsDJ[Ofc Code]=(TRIM(O$7)))*(CsDJ[Account Code]=(TRIM($D18))),CsDJ[Credit])))+(SUM(IF((CRDJ[Date]=$A$4)*(CRDJ[Ofc Code]=(TRIM(O$7)))*(CRDJ[Account Code]=(TRIM($D18))),CRDJ[Credit])))+(SUM(IF((GJ[Date]=$A$4)*(GJ[Ofc Code]=(TRIM(O$7)))*(GJ[Account Code]=(TRIM($D18))),GJ[Credit])))-(SUM(IF((CkDJ[Date]=$A$4)*(CkDJ[Ofc Code]=(TRIM(O$7)))*(CkDJ[Account Code]=(TRIM($D18))),CkDJ[Debit])))+(SUM(IF((CsDJ[Date]=$A$4)*(CsDJ[Ofc Code]=(TRIM(O$7)))*(CsDJ[Account Code]=(TRIM($D18))),CsDJ[Debit])))+(SUM(IF((CRDJ[Date]=$A$4)*(CRDJ[Ofc Code]=(TRIM(O$7)))*(CRDJ[Account Code]=(TRIM($D18))),CRDJ[Debit])))+(SUM(IF((GJ[Date]=$A$4)*(GJ[Ofc Code]=(TRIM(O$7)))*(GJ[Account Code]=(TRIM($D18))),GJ[Debit])))</f>
        <v>0</v>
      </c>
      <c r="P18" s="211">
        <f t="array" ref="P18">(SUM(IF((CkDJ[Date]=$A$4)*(CkDJ[Ofc Code]=(TRIM(P$7)))*(CkDJ[Account Code]=(TRIM($D18))),CkDJ[Credit])))+(SUM(IF((CsDJ[Date]=$A$4)*(CsDJ[Ofc Code]=(TRIM(P$7)))*(CsDJ[Account Code]=(TRIM($D18))),CsDJ[Credit])))+(SUM(IF((CRDJ[Date]=$A$4)*(CRDJ[Ofc Code]=(TRIM(P$7)))*(CRDJ[Account Code]=(TRIM($D18))),CRDJ[Credit])))+(SUM(IF((GJ[Date]=$A$4)*(GJ[Ofc Code]=(TRIM(P$7)))*(GJ[Account Code]=(TRIM($D18))),GJ[Credit])))-(SUM(IF((CkDJ[Date]=$A$4)*(CkDJ[Ofc Code]=(TRIM(P$7)))*(CkDJ[Account Code]=(TRIM($D18))),CkDJ[Debit])))+(SUM(IF((CsDJ[Date]=$A$4)*(CsDJ[Ofc Code]=(TRIM(P$7)))*(CsDJ[Account Code]=(TRIM($D18))),CsDJ[Debit])))+(SUM(IF((CRDJ[Date]=$A$4)*(CRDJ[Ofc Code]=(TRIM(P$7)))*(CRDJ[Account Code]=(TRIM($D18))),CRDJ[Debit])))+(SUM(IF((GJ[Date]=$A$4)*(GJ[Ofc Code]=(TRIM(P$7)))*(GJ[Account Code]=(TRIM($D18))),GJ[Debit])))</f>
        <v>0</v>
      </c>
      <c r="Q18" s="211">
        <f t="array" ref="Q18">(SUM(IF((CkDJ[Date]=$A$4)*(CkDJ[Ofc Code]=(TRIM(Q$7)))*(CkDJ[Account Code]=(TRIM($D18))),CkDJ[Credit])))+(SUM(IF((CsDJ[Date]=$A$4)*(CsDJ[Ofc Code]=(TRIM(Q$7)))*(CsDJ[Account Code]=(TRIM($D18))),CsDJ[Credit])))+(SUM(IF((CRDJ[Date]=$A$4)*(CRDJ[Ofc Code]=(TRIM(Q$7)))*(CRDJ[Account Code]=(TRIM($D18))),CRDJ[Credit])))+(SUM(IF((GJ[Date]=$A$4)*(GJ[Ofc Code]=(TRIM(Q$7)))*(GJ[Account Code]=(TRIM($D18))),GJ[Credit])))-(SUM(IF((CkDJ[Date]=$A$4)*(CkDJ[Ofc Code]=(TRIM(Q$7)))*(CkDJ[Account Code]=(TRIM($D18))),CkDJ[Debit])))+(SUM(IF((CsDJ[Date]=$A$4)*(CsDJ[Ofc Code]=(TRIM(Q$7)))*(CsDJ[Account Code]=(TRIM($D18))),CsDJ[Debit])))+(SUM(IF((CRDJ[Date]=$A$4)*(CRDJ[Ofc Code]=(TRIM(Q$7)))*(CRDJ[Account Code]=(TRIM($D18))),CRDJ[Debit])))+(SUM(IF((GJ[Date]=$A$4)*(GJ[Ofc Code]=(TRIM(Q$7)))*(GJ[Account Code]=(TRIM($D18))),GJ[Debit])))</f>
        <v>0</v>
      </c>
      <c r="R18" s="211">
        <f t="array" ref="R18">(SUM(IF((CkDJ[Date]=$A$4)*(CkDJ[Ofc Code]=(TRIM(R$7)))*(CkDJ[Account Code]=(TRIM($D18))),CkDJ[Credit])))+(SUM(IF((CsDJ[Date]=$A$4)*(CsDJ[Ofc Code]=(TRIM(R$7)))*(CsDJ[Account Code]=(TRIM($D18))),CsDJ[Credit])))+(SUM(IF((CRDJ[Date]=$A$4)*(CRDJ[Ofc Code]=(TRIM(R$7)))*(CRDJ[Account Code]=(TRIM($D18))),CRDJ[Credit])))+(SUM(IF((GJ[Date]=$A$4)*(GJ[Ofc Code]=(TRIM(R$7)))*(GJ[Account Code]=(TRIM($D18))),GJ[Credit])))-(SUM(IF((CkDJ[Date]=$A$4)*(CkDJ[Ofc Code]=(TRIM(R$7)))*(CkDJ[Account Code]=(TRIM($D18))),CkDJ[Debit])))+(SUM(IF((CsDJ[Date]=$A$4)*(CsDJ[Ofc Code]=(TRIM(R$7)))*(CsDJ[Account Code]=(TRIM($D18))),CsDJ[Debit])))+(SUM(IF((CRDJ[Date]=$A$4)*(CRDJ[Ofc Code]=(TRIM(R$7)))*(CRDJ[Account Code]=(TRIM($D18))),CRDJ[Debit])))+(SUM(IF((GJ[Date]=$A$4)*(GJ[Ofc Code]=(TRIM(R$7)))*(GJ[Account Code]=(TRIM($D18))),GJ[Debit])))</f>
        <v>0</v>
      </c>
      <c r="S18" s="211">
        <f t="array" ref="S18">(SUM(IF((CkDJ[Date]=$A$4)*(CkDJ[Ofc Code]=(TRIM(S$7)))*(CkDJ[Account Code]=(TRIM($D18))),CkDJ[Credit])))+(SUM(IF((CsDJ[Date]=$A$4)*(CsDJ[Ofc Code]=(TRIM(S$7)))*(CsDJ[Account Code]=(TRIM($D18))),CsDJ[Credit])))+(SUM(IF((CRDJ[Date]=$A$4)*(CRDJ[Ofc Code]=(TRIM(S$7)))*(CRDJ[Account Code]=(TRIM($D18))),CRDJ[Credit])))+(SUM(IF((GJ[Date]=$A$4)*(GJ[Ofc Code]=(TRIM(S$7)))*(GJ[Account Code]=(TRIM($D18))),GJ[Credit])))-(SUM(IF((CkDJ[Date]=$A$4)*(CkDJ[Ofc Code]=(TRIM(S$7)))*(CkDJ[Account Code]=(TRIM($D18))),CkDJ[Debit])))+(SUM(IF((CsDJ[Date]=$A$4)*(CsDJ[Ofc Code]=(TRIM(S$7)))*(CsDJ[Account Code]=(TRIM($D18))),CsDJ[Debit])))+(SUM(IF((CRDJ[Date]=$A$4)*(CRDJ[Ofc Code]=(TRIM(S$7)))*(CRDJ[Account Code]=(TRIM($D18))),CRDJ[Debit])))+(SUM(IF((GJ[Date]=$A$4)*(GJ[Ofc Code]=(TRIM(S$7)))*(GJ[Account Code]=(TRIM($D18))),GJ[Debit])))</f>
        <v>0</v>
      </c>
      <c r="T18" s="211">
        <f t="shared" si="3"/>
        <v>0</v>
      </c>
      <c r="U18" s="211">
        <f t="shared" si="4"/>
        <v>0</v>
      </c>
    </row>
    <row r="19" spans="1:21" ht="15">
      <c r="A19" s="212">
        <f t="shared" si="5"/>
        <v>11</v>
      </c>
      <c r="B19" s="214"/>
      <c r="C19" s="194" t="e">
        <f t="shared" si="0"/>
        <v>#N/A</v>
      </c>
      <c r="D19" s="207" t="s">
        <v>145</v>
      </c>
      <c r="E19" s="211">
        <f t="array" ref="E19">(SUM(IF((CkDJ[Date]=$A$4)*(CkDJ[Ofc Code]=(TRIM(E$7)))*(CkDJ[Account Code]=(TRIM($D19))),CkDJ[Credit])))+(SUM(IF((CsDJ[Date]=$A$4)*(CsDJ[Ofc Code]=(TRIM(E$7)))*(CsDJ[Account Code]=(TRIM($D19))),CsDJ[Credit])))+(SUM(IF((CRDJ[Date]=$A$4)*(CRDJ[Ofc Code]=(TRIM(E$7)))*(CRDJ[Account Code]=(TRIM($D19))),CRDJ[Credit])))+(SUM(IF((GJ[Date]=$A$4)*(GJ[Ofc Code]=(TRIM(E$7)))*(GJ[Account Code]=(TRIM($D19))),GJ[Credit])))-(SUM(IF((CkDJ[Date]=$A$4)*(CkDJ[Ofc Code]=(TRIM(E$7)))*(CkDJ[Account Code]=(TRIM($D19))),CkDJ[Debit])))+(SUM(IF((CsDJ[Date]=$A$4)*(CsDJ[Ofc Code]=(TRIM(E$7)))*(CsDJ[Account Code]=(TRIM($D19))),CsDJ[Debit])))+(SUM(IF((CRDJ[Date]=$A$4)*(CRDJ[Ofc Code]=(TRIM(E$7)))*(CRDJ[Account Code]=(TRIM($D19))),CRDJ[Debit])))+(SUM(IF((GJ[Date]=$A$4)*(GJ[Ofc Code]=(TRIM(E$7)))*(GJ[Account Code]=(TRIM($D19))),GJ[Debit])))</f>
        <v>0</v>
      </c>
      <c r="F19" s="211">
        <f t="array" ref="F19">(SUM(IF((CkDJ[Date]=$A$4)*(CkDJ[Ofc Code]=(TRIM(F$7)))*(CkDJ[Account Code]=(TRIM($D19))),CkDJ[Credit])))+(SUM(IF((CsDJ[Date]=$A$4)*(CsDJ[Ofc Code]=(TRIM(F$7)))*(CsDJ[Account Code]=(TRIM($D19))),CsDJ[Credit])))+(SUM(IF((CRDJ[Date]=$A$4)*(CRDJ[Ofc Code]=(TRIM(F$7)))*(CRDJ[Account Code]=(TRIM($D19))),CRDJ[Credit])))+(SUM(IF((GJ[Date]=$A$4)*(GJ[Ofc Code]=(TRIM(F$7)))*(GJ[Account Code]=(TRIM($D19))),GJ[Credit])))-(SUM(IF((CkDJ[Date]=$A$4)*(CkDJ[Ofc Code]=(TRIM(F$7)))*(CkDJ[Account Code]=(TRIM($D19))),CkDJ[Debit])))+(SUM(IF((CsDJ[Date]=$A$4)*(CsDJ[Ofc Code]=(TRIM(F$7)))*(CsDJ[Account Code]=(TRIM($D19))),CsDJ[Debit])))+(SUM(IF((CRDJ[Date]=$A$4)*(CRDJ[Ofc Code]=(TRIM(F$7)))*(CRDJ[Account Code]=(TRIM($D19))),CRDJ[Debit])))+(SUM(IF((GJ[Date]=$A$4)*(GJ[Ofc Code]=(TRIM(F$7)))*(GJ[Account Code]=(TRIM($D19))),GJ[Debit])))</f>
        <v>0</v>
      </c>
      <c r="G19" s="211">
        <f t="array" ref="G19">(SUM(IF((CkDJ[Date]=$A$4)*(CkDJ[Ofc Code]=(TRIM(G$7)))*(CkDJ[Account Code]=(TRIM($D19))),CkDJ[Credit])))+(SUM(IF((CsDJ[Date]=$A$4)*(CsDJ[Ofc Code]=(TRIM(G$7)))*(CsDJ[Account Code]=(TRIM($D19))),CsDJ[Credit])))+(SUM(IF((CRDJ[Date]=$A$4)*(CRDJ[Ofc Code]=(TRIM(G$7)))*(CRDJ[Account Code]=(TRIM($D19))),CRDJ[Credit])))+(SUM(IF((GJ[Date]=$A$4)*(GJ[Ofc Code]=(TRIM(G$7)))*(GJ[Account Code]=(TRIM($D19))),GJ[Credit])))-(SUM(IF((CkDJ[Date]=$A$4)*(CkDJ[Ofc Code]=(TRIM(G$7)))*(CkDJ[Account Code]=(TRIM($D19))),CkDJ[Debit])))+(SUM(IF((CsDJ[Date]=$A$4)*(CsDJ[Ofc Code]=(TRIM(G$7)))*(CsDJ[Account Code]=(TRIM($D19))),CsDJ[Debit])))+(SUM(IF((CRDJ[Date]=$A$4)*(CRDJ[Ofc Code]=(TRIM(G$7)))*(CRDJ[Account Code]=(TRIM($D19))),CRDJ[Debit])))+(SUM(IF((GJ[Date]=$A$4)*(GJ[Ofc Code]=(TRIM(G$7)))*(GJ[Account Code]=(TRIM($D19))),GJ[Debit])))</f>
        <v>0</v>
      </c>
      <c r="H19" s="211">
        <f t="array" ref="H19">(SUM(IF((CkDJ[Date]=$A$4)*(CkDJ[Ofc Code]=(TRIM(H$7)))*(CkDJ[Account Code]=(TRIM($D19))),CkDJ[Credit])))+(SUM(IF((CsDJ[Date]=$A$4)*(CsDJ[Ofc Code]=(TRIM(H$7)))*(CsDJ[Account Code]=(TRIM($D19))),CsDJ[Credit])))+(SUM(IF((CRDJ[Date]=$A$4)*(CRDJ[Ofc Code]=(TRIM(H$7)))*(CRDJ[Account Code]=(TRIM($D19))),CRDJ[Credit])))+(SUM(IF((GJ[Date]=$A$4)*(GJ[Ofc Code]=(TRIM(H$7)))*(GJ[Account Code]=(TRIM($D19))),GJ[Credit])))-(SUM(IF((CkDJ[Date]=$A$4)*(CkDJ[Ofc Code]=(TRIM(H$7)))*(CkDJ[Account Code]=(TRIM($D19))),CkDJ[Debit])))+(SUM(IF((CsDJ[Date]=$A$4)*(CsDJ[Ofc Code]=(TRIM(H$7)))*(CsDJ[Account Code]=(TRIM($D19))),CsDJ[Debit])))+(SUM(IF((CRDJ[Date]=$A$4)*(CRDJ[Ofc Code]=(TRIM(H$7)))*(CRDJ[Account Code]=(TRIM($D19))),CRDJ[Debit])))+(SUM(IF((GJ[Date]=$A$4)*(GJ[Ofc Code]=(TRIM(H$7)))*(GJ[Account Code]=(TRIM($D19))),GJ[Debit])))</f>
        <v>0</v>
      </c>
      <c r="I19" s="211">
        <f t="shared" si="1"/>
        <v>0</v>
      </c>
      <c r="J19" s="211">
        <f t="array" ref="J19">(SUM(IF((CkDJ[Date]=$A$4)*(CkDJ[Ofc Code]=(TRIM(J$7)))*(CkDJ[Account Code]=(TRIM($D19))),CkDJ[Credit])))+(SUM(IF((CsDJ[Date]=$A$4)*(CsDJ[Ofc Code]=(TRIM(J$7)))*(CsDJ[Account Code]=(TRIM($D19))),CsDJ[Credit])))+(SUM(IF((CRDJ[Date]=$A$4)*(CRDJ[Ofc Code]=(TRIM(J$7)))*(CRDJ[Account Code]=(TRIM($D19))),CRDJ[Credit])))+(SUM(IF((GJ[Date]=$A$4)*(GJ[Ofc Code]=(TRIM(J$7)))*(GJ[Account Code]=(TRIM($D19))),GJ[Credit])))-(SUM(IF((CkDJ[Date]=$A$4)*(CkDJ[Ofc Code]=(TRIM(J$7)))*(CkDJ[Account Code]=(TRIM($D19))),CkDJ[Debit])))+(SUM(IF((CsDJ[Date]=$A$4)*(CsDJ[Ofc Code]=(TRIM(J$7)))*(CsDJ[Account Code]=(TRIM($D19))),CsDJ[Debit])))+(SUM(IF((CRDJ[Date]=$A$4)*(CRDJ[Ofc Code]=(TRIM(J$7)))*(CRDJ[Account Code]=(TRIM($D19))),CRDJ[Debit])))+(SUM(IF((GJ[Date]=$A$4)*(GJ[Ofc Code]=(TRIM(J$7)))*(GJ[Account Code]=(TRIM($D19))),GJ[Debit])))</f>
        <v>0</v>
      </c>
      <c r="K19" s="211">
        <f t="array" ref="K19">(SUM(IF((CkDJ[Date]=$A$4)*(CkDJ[Ofc Code]=(TRIM(K$7)))*(CkDJ[Account Code]=(TRIM($D19))),CkDJ[Credit])))+(SUM(IF((CsDJ[Date]=$A$4)*(CsDJ[Ofc Code]=(TRIM(K$7)))*(CsDJ[Account Code]=(TRIM($D19))),CsDJ[Credit])))+(SUM(IF((CRDJ[Date]=$A$4)*(CRDJ[Ofc Code]=(TRIM(K$7)))*(CRDJ[Account Code]=(TRIM($D19))),CRDJ[Credit])))+(SUM(IF((GJ[Date]=$A$4)*(GJ[Ofc Code]=(TRIM(K$7)))*(GJ[Account Code]=(TRIM($D19))),GJ[Credit])))-(SUM(IF((CkDJ[Date]=$A$4)*(CkDJ[Ofc Code]=(TRIM(K$7)))*(CkDJ[Account Code]=(TRIM($D19))),CkDJ[Debit])))+(SUM(IF((CsDJ[Date]=$A$4)*(CsDJ[Ofc Code]=(TRIM(K$7)))*(CsDJ[Account Code]=(TRIM($D19))),CsDJ[Debit])))+(SUM(IF((CRDJ[Date]=$A$4)*(CRDJ[Ofc Code]=(TRIM(K$7)))*(CRDJ[Account Code]=(TRIM($D19))),CRDJ[Debit])))+(SUM(IF((GJ[Date]=$A$4)*(GJ[Ofc Code]=(TRIM(K$7)))*(GJ[Account Code]=(TRIM($D19))),GJ[Debit])))</f>
        <v>0</v>
      </c>
      <c r="L19" s="211">
        <f t="array" ref="L19">(SUM(IF((CkDJ[Date]=$A$4)*(CkDJ[Ofc Code]=(TRIM(L$7)))*(CkDJ[Account Code]=(TRIM($D19))),CkDJ[Credit])))+(SUM(IF((CsDJ[Date]=$A$4)*(CsDJ[Ofc Code]=(TRIM(L$7)))*(CsDJ[Account Code]=(TRIM($D19))),CsDJ[Credit])))+(SUM(IF((CRDJ[Date]=$A$4)*(CRDJ[Ofc Code]=(TRIM(L$7)))*(CRDJ[Account Code]=(TRIM($D19))),CRDJ[Credit])))+(SUM(IF((GJ[Date]=$A$4)*(GJ[Ofc Code]=(TRIM(L$7)))*(GJ[Account Code]=(TRIM($D19))),GJ[Credit])))-(SUM(IF((CkDJ[Date]=$A$4)*(CkDJ[Ofc Code]=(TRIM(L$7)))*(CkDJ[Account Code]=(TRIM($D19))),CkDJ[Debit])))+(SUM(IF((CsDJ[Date]=$A$4)*(CsDJ[Ofc Code]=(TRIM(L$7)))*(CsDJ[Account Code]=(TRIM($D19))),CsDJ[Debit])))+(SUM(IF((CRDJ[Date]=$A$4)*(CRDJ[Ofc Code]=(TRIM(L$7)))*(CRDJ[Account Code]=(TRIM($D19))),CRDJ[Debit])))+(SUM(IF((GJ[Date]=$A$4)*(GJ[Ofc Code]=(TRIM(L$7)))*(GJ[Account Code]=(TRIM($D19))),GJ[Debit])))</f>
        <v>0</v>
      </c>
      <c r="M19" s="211">
        <f t="array" ref="M19">(SUM(IF((CkDJ[Date]=$A$4)*(CkDJ[Ofc Code]=(TRIM(M$7)))*(CkDJ[Account Code]=(TRIM($D19))),CkDJ[Credit])))+(SUM(IF((CsDJ[Date]=$A$4)*(CsDJ[Ofc Code]=(TRIM(M$7)))*(CsDJ[Account Code]=(TRIM($D19))),CsDJ[Credit])))+(SUM(IF((CRDJ[Date]=$A$4)*(CRDJ[Ofc Code]=(TRIM(M$7)))*(CRDJ[Account Code]=(TRIM($D19))),CRDJ[Credit])))+(SUM(IF((GJ[Date]=$A$4)*(GJ[Ofc Code]=(TRIM(M$7)))*(GJ[Account Code]=(TRIM($D19))),GJ[Credit])))-(SUM(IF((CkDJ[Date]=$A$4)*(CkDJ[Ofc Code]=(TRIM(M$7)))*(CkDJ[Account Code]=(TRIM($D19))),CkDJ[Debit])))+(SUM(IF((CsDJ[Date]=$A$4)*(CsDJ[Ofc Code]=(TRIM(M$7)))*(CsDJ[Account Code]=(TRIM($D19))),CsDJ[Debit])))+(SUM(IF((CRDJ[Date]=$A$4)*(CRDJ[Ofc Code]=(TRIM(M$7)))*(CRDJ[Account Code]=(TRIM($D19))),CRDJ[Debit])))+(SUM(IF((GJ[Date]=$A$4)*(GJ[Ofc Code]=(TRIM(M$7)))*(GJ[Account Code]=(TRIM($D19))),GJ[Debit])))</f>
        <v>0</v>
      </c>
      <c r="N19" s="211">
        <f t="shared" si="2"/>
        <v>0</v>
      </c>
      <c r="O19" s="211">
        <f t="array" ref="O19">(SUM(IF((CkDJ[Date]=$A$4)*(CkDJ[Ofc Code]=(TRIM(O$7)))*(CkDJ[Account Code]=(TRIM($D19))),CkDJ[Credit])))+(SUM(IF((CsDJ[Date]=$A$4)*(CsDJ[Ofc Code]=(TRIM(O$7)))*(CsDJ[Account Code]=(TRIM($D19))),CsDJ[Credit])))+(SUM(IF((CRDJ[Date]=$A$4)*(CRDJ[Ofc Code]=(TRIM(O$7)))*(CRDJ[Account Code]=(TRIM($D19))),CRDJ[Credit])))+(SUM(IF((GJ[Date]=$A$4)*(GJ[Ofc Code]=(TRIM(O$7)))*(GJ[Account Code]=(TRIM($D19))),GJ[Credit])))-(SUM(IF((CkDJ[Date]=$A$4)*(CkDJ[Ofc Code]=(TRIM(O$7)))*(CkDJ[Account Code]=(TRIM($D19))),CkDJ[Debit])))+(SUM(IF((CsDJ[Date]=$A$4)*(CsDJ[Ofc Code]=(TRIM(O$7)))*(CsDJ[Account Code]=(TRIM($D19))),CsDJ[Debit])))+(SUM(IF((CRDJ[Date]=$A$4)*(CRDJ[Ofc Code]=(TRIM(O$7)))*(CRDJ[Account Code]=(TRIM($D19))),CRDJ[Debit])))+(SUM(IF((GJ[Date]=$A$4)*(GJ[Ofc Code]=(TRIM(O$7)))*(GJ[Account Code]=(TRIM($D19))),GJ[Debit])))</f>
        <v>0</v>
      </c>
      <c r="P19" s="211">
        <f t="array" ref="P19">(SUM(IF((CkDJ[Date]=$A$4)*(CkDJ[Ofc Code]=(TRIM(P$7)))*(CkDJ[Account Code]=(TRIM($D19))),CkDJ[Credit])))+(SUM(IF((CsDJ[Date]=$A$4)*(CsDJ[Ofc Code]=(TRIM(P$7)))*(CsDJ[Account Code]=(TRIM($D19))),CsDJ[Credit])))+(SUM(IF((CRDJ[Date]=$A$4)*(CRDJ[Ofc Code]=(TRIM(P$7)))*(CRDJ[Account Code]=(TRIM($D19))),CRDJ[Credit])))+(SUM(IF((GJ[Date]=$A$4)*(GJ[Ofc Code]=(TRIM(P$7)))*(GJ[Account Code]=(TRIM($D19))),GJ[Credit])))-(SUM(IF((CkDJ[Date]=$A$4)*(CkDJ[Ofc Code]=(TRIM(P$7)))*(CkDJ[Account Code]=(TRIM($D19))),CkDJ[Debit])))+(SUM(IF((CsDJ[Date]=$A$4)*(CsDJ[Ofc Code]=(TRIM(P$7)))*(CsDJ[Account Code]=(TRIM($D19))),CsDJ[Debit])))+(SUM(IF((CRDJ[Date]=$A$4)*(CRDJ[Ofc Code]=(TRIM(P$7)))*(CRDJ[Account Code]=(TRIM($D19))),CRDJ[Debit])))+(SUM(IF((GJ[Date]=$A$4)*(GJ[Ofc Code]=(TRIM(P$7)))*(GJ[Account Code]=(TRIM($D19))),GJ[Debit])))</f>
        <v>0</v>
      </c>
      <c r="Q19" s="211">
        <f t="array" ref="Q19">(SUM(IF((CkDJ[Date]=$A$4)*(CkDJ[Ofc Code]=(TRIM(Q$7)))*(CkDJ[Account Code]=(TRIM($D19))),CkDJ[Credit])))+(SUM(IF((CsDJ[Date]=$A$4)*(CsDJ[Ofc Code]=(TRIM(Q$7)))*(CsDJ[Account Code]=(TRIM($D19))),CsDJ[Credit])))+(SUM(IF((CRDJ[Date]=$A$4)*(CRDJ[Ofc Code]=(TRIM(Q$7)))*(CRDJ[Account Code]=(TRIM($D19))),CRDJ[Credit])))+(SUM(IF((GJ[Date]=$A$4)*(GJ[Ofc Code]=(TRIM(Q$7)))*(GJ[Account Code]=(TRIM($D19))),GJ[Credit])))-(SUM(IF((CkDJ[Date]=$A$4)*(CkDJ[Ofc Code]=(TRIM(Q$7)))*(CkDJ[Account Code]=(TRIM($D19))),CkDJ[Debit])))+(SUM(IF((CsDJ[Date]=$A$4)*(CsDJ[Ofc Code]=(TRIM(Q$7)))*(CsDJ[Account Code]=(TRIM($D19))),CsDJ[Debit])))+(SUM(IF((CRDJ[Date]=$A$4)*(CRDJ[Ofc Code]=(TRIM(Q$7)))*(CRDJ[Account Code]=(TRIM($D19))),CRDJ[Debit])))+(SUM(IF((GJ[Date]=$A$4)*(GJ[Ofc Code]=(TRIM(Q$7)))*(GJ[Account Code]=(TRIM($D19))),GJ[Debit])))</f>
        <v>0</v>
      </c>
      <c r="R19" s="211">
        <f t="array" ref="R19">(SUM(IF((CkDJ[Date]=$A$4)*(CkDJ[Ofc Code]=(TRIM(R$7)))*(CkDJ[Account Code]=(TRIM($D19))),CkDJ[Credit])))+(SUM(IF((CsDJ[Date]=$A$4)*(CsDJ[Ofc Code]=(TRIM(R$7)))*(CsDJ[Account Code]=(TRIM($D19))),CsDJ[Credit])))+(SUM(IF((CRDJ[Date]=$A$4)*(CRDJ[Ofc Code]=(TRIM(R$7)))*(CRDJ[Account Code]=(TRIM($D19))),CRDJ[Credit])))+(SUM(IF((GJ[Date]=$A$4)*(GJ[Ofc Code]=(TRIM(R$7)))*(GJ[Account Code]=(TRIM($D19))),GJ[Credit])))-(SUM(IF((CkDJ[Date]=$A$4)*(CkDJ[Ofc Code]=(TRIM(R$7)))*(CkDJ[Account Code]=(TRIM($D19))),CkDJ[Debit])))+(SUM(IF((CsDJ[Date]=$A$4)*(CsDJ[Ofc Code]=(TRIM(R$7)))*(CsDJ[Account Code]=(TRIM($D19))),CsDJ[Debit])))+(SUM(IF((CRDJ[Date]=$A$4)*(CRDJ[Ofc Code]=(TRIM(R$7)))*(CRDJ[Account Code]=(TRIM($D19))),CRDJ[Debit])))+(SUM(IF((GJ[Date]=$A$4)*(GJ[Ofc Code]=(TRIM(R$7)))*(GJ[Account Code]=(TRIM($D19))),GJ[Debit])))</f>
        <v>0</v>
      </c>
      <c r="S19" s="211">
        <f t="array" ref="S19">(SUM(IF((CkDJ[Date]=$A$4)*(CkDJ[Ofc Code]=(TRIM(S$7)))*(CkDJ[Account Code]=(TRIM($D19))),CkDJ[Credit])))+(SUM(IF((CsDJ[Date]=$A$4)*(CsDJ[Ofc Code]=(TRIM(S$7)))*(CsDJ[Account Code]=(TRIM($D19))),CsDJ[Credit])))+(SUM(IF((CRDJ[Date]=$A$4)*(CRDJ[Ofc Code]=(TRIM(S$7)))*(CRDJ[Account Code]=(TRIM($D19))),CRDJ[Credit])))+(SUM(IF((GJ[Date]=$A$4)*(GJ[Ofc Code]=(TRIM(S$7)))*(GJ[Account Code]=(TRIM($D19))),GJ[Credit])))-(SUM(IF((CkDJ[Date]=$A$4)*(CkDJ[Ofc Code]=(TRIM(S$7)))*(CkDJ[Account Code]=(TRIM($D19))),CkDJ[Debit])))+(SUM(IF((CsDJ[Date]=$A$4)*(CsDJ[Ofc Code]=(TRIM(S$7)))*(CsDJ[Account Code]=(TRIM($D19))),CsDJ[Debit])))+(SUM(IF((CRDJ[Date]=$A$4)*(CRDJ[Ofc Code]=(TRIM(S$7)))*(CRDJ[Account Code]=(TRIM($D19))),CRDJ[Debit])))+(SUM(IF((GJ[Date]=$A$4)*(GJ[Ofc Code]=(TRIM(S$7)))*(GJ[Account Code]=(TRIM($D19))),GJ[Debit])))</f>
        <v>0</v>
      </c>
      <c r="T19" s="211">
        <f t="shared" si="3"/>
        <v>0</v>
      </c>
      <c r="U19" s="211">
        <f t="shared" si="4"/>
        <v>0</v>
      </c>
    </row>
    <row r="20" spans="1:21" ht="15">
      <c r="A20" s="212">
        <f t="shared" si="5"/>
        <v>12</v>
      </c>
      <c r="B20" s="214"/>
      <c r="C20" s="194" t="str">
        <f t="shared" si="0"/>
        <v>Equipment Rental - Internal (CA)</v>
      </c>
      <c r="D20" s="207" t="s">
        <v>146</v>
      </c>
      <c r="E20" s="211">
        <f t="array" ref="E20">(SUM(IF((CkDJ[Date]=$A$4)*(CkDJ[Ofc Code]=(TRIM(E$7)))*(CkDJ[Account Code]=(TRIM($D20))),CkDJ[Credit])))+(SUM(IF((CsDJ[Date]=$A$4)*(CsDJ[Ofc Code]=(TRIM(E$7)))*(CsDJ[Account Code]=(TRIM($D20))),CsDJ[Credit])))+(SUM(IF((CRDJ[Date]=$A$4)*(CRDJ[Ofc Code]=(TRIM(E$7)))*(CRDJ[Account Code]=(TRIM($D20))),CRDJ[Credit])))+(SUM(IF((GJ[Date]=$A$4)*(GJ[Ofc Code]=(TRIM(E$7)))*(GJ[Account Code]=(TRIM($D20))),GJ[Credit])))-(SUM(IF((CkDJ[Date]=$A$4)*(CkDJ[Ofc Code]=(TRIM(E$7)))*(CkDJ[Account Code]=(TRIM($D20))),CkDJ[Debit])))+(SUM(IF((CsDJ[Date]=$A$4)*(CsDJ[Ofc Code]=(TRIM(E$7)))*(CsDJ[Account Code]=(TRIM($D20))),CsDJ[Debit])))+(SUM(IF((CRDJ[Date]=$A$4)*(CRDJ[Ofc Code]=(TRIM(E$7)))*(CRDJ[Account Code]=(TRIM($D20))),CRDJ[Debit])))+(SUM(IF((GJ[Date]=$A$4)*(GJ[Ofc Code]=(TRIM(E$7)))*(GJ[Account Code]=(TRIM($D20))),GJ[Debit])))</f>
        <v>0</v>
      </c>
      <c r="F20" s="211">
        <f t="array" ref="F20">(SUM(IF((CkDJ[Date]=$A$4)*(CkDJ[Ofc Code]=(TRIM(F$7)))*(CkDJ[Account Code]=(TRIM($D20))),CkDJ[Credit])))+(SUM(IF((CsDJ[Date]=$A$4)*(CsDJ[Ofc Code]=(TRIM(F$7)))*(CsDJ[Account Code]=(TRIM($D20))),CsDJ[Credit])))+(SUM(IF((CRDJ[Date]=$A$4)*(CRDJ[Ofc Code]=(TRIM(F$7)))*(CRDJ[Account Code]=(TRIM($D20))),CRDJ[Credit])))+(SUM(IF((GJ[Date]=$A$4)*(GJ[Ofc Code]=(TRIM(F$7)))*(GJ[Account Code]=(TRIM($D20))),GJ[Credit])))-(SUM(IF((CkDJ[Date]=$A$4)*(CkDJ[Ofc Code]=(TRIM(F$7)))*(CkDJ[Account Code]=(TRIM($D20))),CkDJ[Debit])))+(SUM(IF((CsDJ[Date]=$A$4)*(CsDJ[Ofc Code]=(TRIM(F$7)))*(CsDJ[Account Code]=(TRIM($D20))),CsDJ[Debit])))+(SUM(IF((CRDJ[Date]=$A$4)*(CRDJ[Ofc Code]=(TRIM(F$7)))*(CRDJ[Account Code]=(TRIM($D20))),CRDJ[Debit])))+(SUM(IF((GJ[Date]=$A$4)*(GJ[Ofc Code]=(TRIM(F$7)))*(GJ[Account Code]=(TRIM($D20))),GJ[Debit])))</f>
        <v>0</v>
      </c>
      <c r="G20" s="211">
        <f t="array" ref="G20">(SUM(IF((CkDJ[Date]=$A$4)*(CkDJ[Ofc Code]=(TRIM(G$7)))*(CkDJ[Account Code]=(TRIM($D20))),CkDJ[Credit])))+(SUM(IF((CsDJ[Date]=$A$4)*(CsDJ[Ofc Code]=(TRIM(G$7)))*(CsDJ[Account Code]=(TRIM($D20))),CsDJ[Credit])))+(SUM(IF((CRDJ[Date]=$A$4)*(CRDJ[Ofc Code]=(TRIM(G$7)))*(CRDJ[Account Code]=(TRIM($D20))),CRDJ[Credit])))+(SUM(IF((GJ[Date]=$A$4)*(GJ[Ofc Code]=(TRIM(G$7)))*(GJ[Account Code]=(TRIM($D20))),GJ[Credit])))-(SUM(IF((CkDJ[Date]=$A$4)*(CkDJ[Ofc Code]=(TRIM(G$7)))*(CkDJ[Account Code]=(TRIM($D20))),CkDJ[Debit])))+(SUM(IF((CsDJ[Date]=$A$4)*(CsDJ[Ofc Code]=(TRIM(G$7)))*(CsDJ[Account Code]=(TRIM($D20))),CsDJ[Debit])))+(SUM(IF((CRDJ[Date]=$A$4)*(CRDJ[Ofc Code]=(TRIM(G$7)))*(CRDJ[Account Code]=(TRIM($D20))),CRDJ[Debit])))+(SUM(IF((GJ[Date]=$A$4)*(GJ[Ofc Code]=(TRIM(G$7)))*(GJ[Account Code]=(TRIM($D20))),GJ[Debit])))</f>
        <v>0</v>
      </c>
      <c r="H20" s="211">
        <f t="array" ref="H20">(SUM(IF((CkDJ[Date]=$A$4)*(CkDJ[Ofc Code]=(TRIM(H$7)))*(CkDJ[Account Code]=(TRIM($D20))),CkDJ[Credit])))+(SUM(IF((CsDJ[Date]=$A$4)*(CsDJ[Ofc Code]=(TRIM(H$7)))*(CsDJ[Account Code]=(TRIM($D20))),CsDJ[Credit])))+(SUM(IF((CRDJ[Date]=$A$4)*(CRDJ[Ofc Code]=(TRIM(H$7)))*(CRDJ[Account Code]=(TRIM($D20))),CRDJ[Credit])))+(SUM(IF((GJ[Date]=$A$4)*(GJ[Ofc Code]=(TRIM(H$7)))*(GJ[Account Code]=(TRIM($D20))),GJ[Credit])))-(SUM(IF((CkDJ[Date]=$A$4)*(CkDJ[Ofc Code]=(TRIM(H$7)))*(CkDJ[Account Code]=(TRIM($D20))),CkDJ[Debit])))+(SUM(IF((CsDJ[Date]=$A$4)*(CsDJ[Ofc Code]=(TRIM(H$7)))*(CsDJ[Account Code]=(TRIM($D20))),CsDJ[Debit])))+(SUM(IF((CRDJ[Date]=$A$4)*(CRDJ[Ofc Code]=(TRIM(H$7)))*(CRDJ[Account Code]=(TRIM($D20))),CRDJ[Debit])))+(SUM(IF((GJ[Date]=$A$4)*(GJ[Ofc Code]=(TRIM(H$7)))*(GJ[Account Code]=(TRIM($D20))),GJ[Debit])))</f>
        <v>0</v>
      </c>
      <c r="I20" s="211">
        <f t="shared" si="1"/>
        <v>0</v>
      </c>
      <c r="J20" s="211">
        <f t="array" ref="J20">(SUM(IF((CkDJ[Date]=$A$4)*(CkDJ[Ofc Code]=(TRIM(J$7)))*(CkDJ[Account Code]=(TRIM($D20))),CkDJ[Credit])))+(SUM(IF((CsDJ[Date]=$A$4)*(CsDJ[Ofc Code]=(TRIM(J$7)))*(CsDJ[Account Code]=(TRIM($D20))),CsDJ[Credit])))+(SUM(IF((CRDJ[Date]=$A$4)*(CRDJ[Ofc Code]=(TRIM(J$7)))*(CRDJ[Account Code]=(TRIM($D20))),CRDJ[Credit])))+(SUM(IF((GJ[Date]=$A$4)*(GJ[Ofc Code]=(TRIM(J$7)))*(GJ[Account Code]=(TRIM($D20))),GJ[Credit])))-(SUM(IF((CkDJ[Date]=$A$4)*(CkDJ[Ofc Code]=(TRIM(J$7)))*(CkDJ[Account Code]=(TRIM($D20))),CkDJ[Debit])))+(SUM(IF((CsDJ[Date]=$A$4)*(CsDJ[Ofc Code]=(TRIM(J$7)))*(CsDJ[Account Code]=(TRIM($D20))),CsDJ[Debit])))+(SUM(IF((CRDJ[Date]=$A$4)*(CRDJ[Ofc Code]=(TRIM(J$7)))*(CRDJ[Account Code]=(TRIM($D20))),CRDJ[Debit])))+(SUM(IF((GJ[Date]=$A$4)*(GJ[Ofc Code]=(TRIM(J$7)))*(GJ[Account Code]=(TRIM($D20))),GJ[Debit])))</f>
        <v>0</v>
      </c>
      <c r="K20" s="211">
        <f t="array" ref="K20">(SUM(IF((CkDJ[Date]=$A$4)*(CkDJ[Ofc Code]=(TRIM(K$7)))*(CkDJ[Account Code]=(TRIM($D20))),CkDJ[Credit])))+(SUM(IF((CsDJ[Date]=$A$4)*(CsDJ[Ofc Code]=(TRIM(K$7)))*(CsDJ[Account Code]=(TRIM($D20))),CsDJ[Credit])))+(SUM(IF((CRDJ[Date]=$A$4)*(CRDJ[Ofc Code]=(TRIM(K$7)))*(CRDJ[Account Code]=(TRIM($D20))),CRDJ[Credit])))+(SUM(IF((GJ[Date]=$A$4)*(GJ[Ofc Code]=(TRIM(K$7)))*(GJ[Account Code]=(TRIM($D20))),GJ[Credit])))-(SUM(IF((CkDJ[Date]=$A$4)*(CkDJ[Ofc Code]=(TRIM(K$7)))*(CkDJ[Account Code]=(TRIM($D20))),CkDJ[Debit])))+(SUM(IF((CsDJ[Date]=$A$4)*(CsDJ[Ofc Code]=(TRIM(K$7)))*(CsDJ[Account Code]=(TRIM($D20))),CsDJ[Debit])))+(SUM(IF((CRDJ[Date]=$A$4)*(CRDJ[Ofc Code]=(TRIM(K$7)))*(CRDJ[Account Code]=(TRIM($D20))),CRDJ[Debit])))+(SUM(IF((GJ[Date]=$A$4)*(GJ[Ofc Code]=(TRIM(K$7)))*(GJ[Account Code]=(TRIM($D20))),GJ[Debit])))</f>
        <v>0</v>
      </c>
      <c r="L20" s="211">
        <f t="array" ref="L20">(SUM(IF((CkDJ[Date]=$A$4)*(CkDJ[Ofc Code]=(TRIM(L$7)))*(CkDJ[Account Code]=(TRIM($D20))),CkDJ[Credit])))+(SUM(IF((CsDJ[Date]=$A$4)*(CsDJ[Ofc Code]=(TRIM(L$7)))*(CsDJ[Account Code]=(TRIM($D20))),CsDJ[Credit])))+(SUM(IF((CRDJ[Date]=$A$4)*(CRDJ[Ofc Code]=(TRIM(L$7)))*(CRDJ[Account Code]=(TRIM($D20))),CRDJ[Credit])))+(SUM(IF((GJ[Date]=$A$4)*(GJ[Ofc Code]=(TRIM(L$7)))*(GJ[Account Code]=(TRIM($D20))),GJ[Credit])))-(SUM(IF((CkDJ[Date]=$A$4)*(CkDJ[Ofc Code]=(TRIM(L$7)))*(CkDJ[Account Code]=(TRIM($D20))),CkDJ[Debit])))+(SUM(IF((CsDJ[Date]=$A$4)*(CsDJ[Ofc Code]=(TRIM(L$7)))*(CsDJ[Account Code]=(TRIM($D20))),CsDJ[Debit])))+(SUM(IF((CRDJ[Date]=$A$4)*(CRDJ[Ofc Code]=(TRIM(L$7)))*(CRDJ[Account Code]=(TRIM($D20))),CRDJ[Debit])))+(SUM(IF((GJ[Date]=$A$4)*(GJ[Ofc Code]=(TRIM(L$7)))*(GJ[Account Code]=(TRIM($D20))),GJ[Debit])))</f>
        <v>0</v>
      </c>
      <c r="M20" s="211">
        <f t="array" ref="M20">(SUM(IF((CkDJ[Date]=$A$4)*(CkDJ[Ofc Code]=(TRIM(M$7)))*(CkDJ[Account Code]=(TRIM($D20))),CkDJ[Credit])))+(SUM(IF((CsDJ[Date]=$A$4)*(CsDJ[Ofc Code]=(TRIM(M$7)))*(CsDJ[Account Code]=(TRIM($D20))),CsDJ[Credit])))+(SUM(IF((CRDJ[Date]=$A$4)*(CRDJ[Ofc Code]=(TRIM(M$7)))*(CRDJ[Account Code]=(TRIM($D20))),CRDJ[Credit])))+(SUM(IF((GJ[Date]=$A$4)*(GJ[Ofc Code]=(TRIM(M$7)))*(GJ[Account Code]=(TRIM($D20))),GJ[Credit])))-(SUM(IF((CkDJ[Date]=$A$4)*(CkDJ[Ofc Code]=(TRIM(M$7)))*(CkDJ[Account Code]=(TRIM($D20))),CkDJ[Debit])))+(SUM(IF((CsDJ[Date]=$A$4)*(CsDJ[Ofc Code]=(TRIM(M$7)))*(CsDJ[Account Code]=(TRIM($D20))),CsDJ[Debit])))+(SUM(IF((CRDJ[Date]=$A$4)*(CRDJ[Ofc Code]=(TRIM(M$7)))*(CRDJ[Account Code]=(TRIM($D20))),CRDJ[Debit])))+(SUM(IF((GJ[Date]=$A$4)*(GJ[Ofc Code]=(TRIM(M$7)))*(GJ[Account Code]=(TRIM($D20))),GJ[Debit])))</f>
        <v>0</v>
      </c>
      <c r="N20" s="211">
        <f t="shared" si="2"/>
        <v>0</v>
      </c>
      <c r="O20" s="211">
        <f t="array" ref="O20">(SUM(IF((CkDJ[Date]=$A$4)*(CkDJ[Ofc Code]=(TRIM(O$7)))*(CkDJ[Account Code]=(TRIM($D20))),CkDJ[Credit])))+(SUM(IF((CsDJ[Date]=$A$4)*(CsDJ[Ofc Code]=(TRIM(O$7)))*(CsDJ[Account Code]=(TRIM($D20))),CsDJ[Credit])))+(SUM(IF((CRDJ[Date]=$A$4)*(CRDJ[Ofc Code]=(TRIM(O$7)))*(CRDJ[Account Code]=(TRIM($D20))),CRDJ[Credit])))+(SUM(IF((GJ[Date]=$A$4)*(GJ[Ofc Code]=(TRIM(O$7)))*(GJ[Account Code]=(TRIM($D20))),GJ[Credit])))-(SUM(IF((CkDJ[Date]=$A$4)*(CkDJ[Ofc Code]=(TRIM(O$7)))*(CkDJ[Account Code]=(TRIM($D20))),CkDJ[Debit])))+(SUM(IF((CsDJ[Date]=$A$4)*(CsDJ[Ofc Code]=(TRIM(O$7)))*(CsDJ[Account Code]=(TRIM($D20))),CsDJ[Debit])))+(SUM(IF((CRDJ[Date]=$A$4)*(CRDJ[Ofc Code]=(TRIM(O$7)))*(CRDJ[Account Code]=(TRIM($D20))),CRDJ[Debit])))+(SUM(IF((GJ[Date]=$A$4)*(GJ[Ofc Code]=(TRIM(O$7)))*(GJ[Account Code]=(TRIM($D20))),GJ[Debit])))</f>
        <v>0</v>
      </c>
      <c r="P20" s="211">
        <f t="array" ref="P20">(SUM(IF((CkDJ[Date]=$A$4)*(CkDJ[Ofc Code]=(TRIM(P$7)))*(CkDJ[Account Code]=(TRIM($D20))),CkDJ[Credit])))+(SUM(IF((CsDJ[Date]=$A$4)*(CsDJ[Ofc Code]=(TRIM(P$7)))*(CsDJ[Account Code]=(TRIM($D20))),CsDJ[Credit])))+(SUM(IF((CRDJ[Date]=$A$4)*(CRDJ[Ofc Code]=(TRIM(P$7)))*(CRDJ[Account Code]=(TRIM($D20))),CRDJ[Credit])))+(SUM(IF((GJ[Date]=$A$4)*(GJ[Ofc Code]=(TRIM(P$7)))*(GJ[Account Code]=(TRIM($D20))),GJ[Credit])))-(SUM(IF((CkDJ[Date]=$A$4)*(CkDJ[Ofc Code]=(TRIM(P$7)))*(CkDJ[Account Code]=(TRIM($D20))),CkDJ[Debit])))+(SUM(IF((CsDJ[Date]=$A$4)*(CsDJ[Ofc Code]=(TRIM(P$7)))*(CsDJ[Account Code]=(TRIM($D20))),CsDJ[Debit])))+(SUM(IF((CRDJ[Date]=$A$4)*(CRDJ[Ofc Code]=(TRIM(P$7)))*(CRDJ[Account Code]=(TRIM($D20))),CRDJ[Debit])))+(SUM(IF((GJ[Date]=$A$4)*(GJ[Ofc Code]=(TRIM(P$7)))*(GJ[Account Code]=(TRIM($D20))),GJ[Debit])))</f>
        <v>0</v>
      </c>
      <c r="Q20" s="211">
        <f t="array" ref="Q20">(SUM(IF((CkDJ[Date]=$A$4)*(CkDJ[Ofc Code]=(TRIM(Q$7)))*(CkDJ[Account Code]=(TRIM($D20))),CkDJ[Credit])))+(SUM(IF((CsDJ[Date]=$A$4)*(CsDJ[Ofc Code]=(TRIM(Q$7)))*(CsDJ[Account Code]=(TRIM($D20))),CsDJ[Credit])))+(SUM(IF((CRDJ[Date]=$A$4)*(CRDJ[Ofc Code]=(TRIM(Q$7)))*(CRDJ[Account Code]=(TRIM($D20))),CRDJ[Credit])))+(SUM(IF((GJ[Date]=$A$4)*(GJ[Ofc Code]=(TRIM(Q$7)))*(GJ[Account Code]=(TRIM($D20))),GJ[Credit])))-(SUM(IF((CkDJ[Date]=$A$4)*(CkDJ[Ofc Code]=(TRIM(Q$7)))*(CkDJ[Account Code]=(TRIM($D20))),CkDJ[Debit])))+(SUM(IF((CsDJ[Date]=$A$4)*(CsDJ[Ofc Code]=(TRIM(Q$7)))*(CsDJ[Account Code]=(TRIM($D20))),CsDJ[Debit])))+(SUM(IF((CRDJ[Date]=$A$4)*(CRDJ[Ofc Code]=(TRIM(Q$7)))*(CRDJ[Account Code]=(TRIM($D20))),CRDJ[Debit])))+(SUM(IF((GJ[Date]=$A$4)*(GJ[Ofc Code]=(TRIM(Q$7)))*(GJ[Account Code]=(TRIM($D20))),GJ[Debit])))</f>
        <v>0</v>
      </c>
      <c r="R20" s="211">
        <f t="array" ref="R20">(SUM(IF((CkDJ[Date]=$A$4)*(CkDJ[Ofc Code]=(TRIM(R$7)))*(CkDJ[Account Code]=(TRIM($D20))),CkDJ[Credit])))+(SUM(IF((CsDJ[Date]=$A$4)*(CsDJ[Ofc Code]=(TRIM(R$7)))*(CsDJ[Account Code]=(TRIM($D20))),CsDJ[Credit])))+(SUM(IF((CRDJ[Date]=$A$4)*(CRDJ[Ofc Code]=(TRIM(R$7)))*(CRDJ[Account Code]=(TRIM($D20))),CRDJ[Credit])))+(SUM(IF((GJ[Date]=$A$4)*(GJ[Ofc Code]=(TRIM(R$7)))*(GJ[Account Code]=(TRIM($D20))),GJ[Credit])))-(SUM(IF((CkDJ[Date]=$A$4)*(CkDJ[Ofc Code]=(TRIM(R$7)))*(CkDJ[Account Code]=(TRIM($D20))),CkDJ[Debit])))+(SUM(IF((CsDJ[Date]=$A$4)*(CsDJ[Ofc Code]=(TRIM(R$7)))*(CsDJ[Account Code]=(TRIM($D20))),CsDJ[Debit])))+(SUM(IF((CRDJ[Date]=$A$4)*(CRDJ[Ofc Code]=(TRIM(R$7)))*(CRDJ[Account Code]=(TRIM($D20))),CRDJ[Debit])))+(SUM(IF((GJ[Date]=$A$4)*(GJ[Ofc Code]=(TRIM(R$7)))*(GJ[Account Code]=(TRIM($D20))),GJ[Debit])))</f>
        <v>0</v>
      </c>
      <c r="S20" s="211">
        <f t="array" ref="S20">(SUM(IF((CkDJ[Date]=$A$4)*(CkDJ[Ofc Code]=(TRIM(S$7)))*(CkDJ[Account Code]=(TRIM($D20))),CkDJ[Credit])))+(SUM(IF((CsDJ[Date]=$A$4)*(CsDJ[Ofc Code]=(TRIM(S$7)))*(CsDJ[Account Code]=(TRIM($D20))),CsDJ[Credit])))+(SUM(IF((CRDJ[Date]=$A$4)*(CRDJ[Ofc Code]=(TRIM(S$7)))*(CRDJ[Account Code]=(TRIM($D20))),CRDJ[Credit])))+(SUM(IF((GJ[Date]=$A$4)*(GJ[Ofc Code]=(TRIM(S$7)))*(GJ[Account Code]=(TRIM($D20))),GJ[Credit])))-(SUM(IF((CkDJ[Date]=$A$4)*(CkDJ[Ofc Code]=(TRIM(S$7)))*(CkDJ[Account Code]=(TRIM($D20))),CkDJ[Debit])))+(SUM(IF((CsDJ[Date]=$A$4)*(CsDJ[Ofc Code]=(TRIM(S$7)))*(CsDJ[Account Code]=(TRIM($D20))),CsDJ[Debit])))+(SUM(IF((CRDJ[Date]=$A$4)*(CRDJ[Ofc Code]=(TRIM(S$7)))*(CRDJ[Account Code]=(TRIM($D20))),CRDJ[Debit])))+(SUM(IF((GJ[Date]=$A$4)*(GJ[Ofc Code]=(TRIM(S$7)))*(GJ[Account Code]=(TRIM($D20))),GJ[Debit])))</f>
        <v>0</v>
      </c>
      <c r="T20" s="211">
        <f t="shared" si="3"/>
        <v>0</v>
      </c>
      <c r="U20" s="211">
        <f t="shared" si="4"/>
        <v>0</v>
      </c>
    </row>
    <row r="21" spans="1:21" ht="15">
      <c r="A21" s="212">
        <f t="shared" si="5"/>
        <v>13</v>
      </c>
      <c r="B21" s="214"/>
      <c r="C21" s="194" t="str">
        <f t="shared" si="0"/>
        <v>Equipment Rental - External (CA)</v>
      </c>
      <c r="D21" s="207" t="s">
        <v>147</v>
      </c>
      <c r="E21" s="211">
        <f t="array" ref="E21">(SUM(IF((CkDJ[Date]=$A$4)*(CkDJ[Ofc Code]=(TRIM(E$7)))*(CkDJ[Account Code]=(TRIM($D21))),CkDJ[Credit])))+(SUM(IF((CsDJ[Date]=$A$4)*(CsDJ[Ofc Code]=(TRIM(E$7)))*(CsDJ[Account Code]=(TRIM($D21))),CsDJ[Credit])))+(SUM(IF((CRDJ[Date]=$A$4)*(CRDJ[Ofc Code]=(TRIM(E$7)))*(CRDJ[Account Code]=(TRIM($D21))),CRDJ[Credit])))+(SUM(IF((GJ[Date]=$A$4)*(GJ[Ofc Code]=(TRIM(E$7)))*(GJ[Account Code]=(TRIM($D21))),GJ[Credit])))-(SUM(IF((CkDJ[Date]=$A$4)*(CkDJ[Ofc Code]=(TRIM(E$7)))*(CkDJ[Account Code]=(TRIM($D21))),CkDJ[Debit])))+(SUM(IF((CsDJ[Date]=$A$4)*(CsDJ[Ofc Code]=(TRIM(E$7)))*(CsDJ[Account Code]=(TRIM($D21))),CsDJ[Debit])))+(SUM(IF((CRDJ[Date]=$A$4)*(CRDJ[Ofc Code]=(TRIM(E$7)))*(CRDJ[Account Code]=(TRIM($D21))),CRDJ[Debit])))+(SUM(IF((GJ[Date]=$A$4)*(GJ[Ofc Code]=(TRIM(E$7)))*(GJ[Account Code]=(TRIM($D21))),GJ[Debit])))</f>
        <v>0</v>
      </c>
      <c r="F21" s="211">
        <f t="array" ref="F21">(SUM(IF((CkDJ[Date]=$A$4)*(CkDJ[Ofc Code]=(TRIM(F$7)))*(CkDJ[Account Code]=(TRIM($D21))),CkDJ[Credit])))+(SUM(IF((CsDJ[Date]=$A$4)*(CsDJ[Ofc Code]=(TRIM(F$7)))*(CsDJ[Account Code]=(TRIM($D21))),CsDJ[Credit])))+(SUM(IF((CRDJ[Date]=$A$4)*(CRDJ[Ofc Code]=(TRIM(F$7)))*(CRDJ[Account Code]=(TRIM($D21))),CRDJ[Credit])))+(SUM(IF((GJ[Date]=$A$4)*(GJ[Ofc Code]=(TRIM(F$7)))*(GJ[Account Code]=(TRIM($D21))),GJ[Credit])))-(SUM(IF((CkDJ[Date]=$A$4)*(CkDJ[Ofc Code]=(TRIM(F$7)))*(CkDJ[Account Code]=(TRIM($D21))),CkDJ[Debit])))+(SUM(IF((CsDJ[Date]=$A$4)*(CsDJ[Ofc Code]=(TRIM(F$7)))*(CsDJ[Account Code]=(TRIM($D21))),CsDJ[Debit])))+(SUM(IF((CRDJ[Date]=$A$4)*(CRDJ[Ofc Code]=(TRIM(F$7)))*(CRDJ[Account Code]=(TRIM($D21))),CRDJ[Debit])))+(SUM(IF((GJ[Date]=$A$4)*(GJ[Ofc Code]=(TRIM(F$7)))*(GJ[Account Code]=(TRIM($D21))),GJ[Debit])))</f>
        <v>0</v>
      </c>
      <c r="G21" s="211">
        <f t="array" ref="G21">(SUM(IF((CkDJ[Date]=$A$4)*(CkDJ[Ofc Code]=(TRIM(G$7)))*(CkDJ[Account Code]=(TRIM($D21))),CkDJ[Credit])))+(SUM(IF((CsDJ[Date]=$A$4)*(CsDJ[Ofc Code]=(TRIM(G$7)))*(CsDJ[Account Code]=(TRIM($D21))),CsDJ[Credit])))+(SUM(IF((CRDJ[Date]=$A$4)*(CRDJ[Ofc Code]=(TRIM(G$7)))*(CRDJ[Account Code]=(TRIM($D21))),CRDJ[Credit])))+(SUM(IF((GJ[Date]=$A$4)*(GJ[Ofc Code]=(TRIM(G$7)))*(GJ[Account Code]=(TRIM($D21))),GJ[Credit])))-(SUM(IF((CkDJ[Date]=$A$4)*(CkDJ[Ofc Code]=(TRIM(G$7)))*(CkDJ[Account Code]=(TRIM($D21))),CkDJ[Debit])))+(SUM(IF((CsDJ[Date]=$A$4)*(CsDJ[Ofc Code]=(TRIM(G$7)))*(CsDJ[Account Code]=(TRIM($D21))),CsDJ[Debit])))+(SUM(IF((CRDJ[Date]=$A$4)*(CRDJ[Ofc Code]=(TRIM(G$7)))*(CRDJ[Account Code]=(TRIM($D21))),CRDJ[Debit])))+(SUM(IF((GJ[Date]=$A$4)*(GJ[Ofc Code]=(TRIM(G$7)))*(GJ[Account Code]=(TRIM($D21))),GJ[Debit])))</f>
        <v>0</v>
      </c>
      <c r="H21" s="211">
        <f t="array" ref="H21">(SUM(IF((CkDJ[Date]=$A$4)*(CkDJ[Ofc Code]=(TRIM(H$7)))*(CkDJ[Account Code]=(TRIM($D21))),CkDJ[Credit])))+(SUM(IF((CsDJ[Date]=$A$4)*(CsDJ[Ofc Code]=(TRIM(H$7)))*(CsDJ[Account Code]=(TRIM($D21))),CsDJ[Credit])))+(SUM(IF((CRDJ[Date]=$A$4)*(CRDJ[Ofc Code]=(TRIM(H$7)))*(CRDJ[Account Code]=(TRIM($D21))),CRDJ[Credit])))+(SUM(IF((GJ[Date]=$A$4)*(GJ[Ofc Code]=(TRIM(H$7)))*(GJ[Account Code]=(TRIM($D21))),GJ[Credit])))-(SUM(IF((CkDJ[Date]=$A$4)*(CkDJ[Ofc Code]=(TRIM(H$7)))*(CkDJ[Account Code]=(TRIM($D21))),CkDJ[Debit])))+(SUM(IF((CsDJ[Date]=$A$4)*(CsDJ[Ofc Code]=(TRIM(H$7)))*(CsDJ[Account Code]=(TRIM($D21))),CsDJ[Debit])))+(SUM(IF((CRDJ[Date]=$A$4)*(CRDJ[Ofc Code]=(TRIM(H$7)))*(CRDJ[Account Code]=(TRIM($D21))),CRDJ[Debit])))+(SUM(IF((GJ[Date]=$A$4)*(GJ[Ofc Code]=(TRIM(H$7)))*(GJ[Account Code]=(TRIM($D21))),GJ[Debit])))</f>
        <v>0</v>
      </c>
      <c r="I21" s="211">
        <f t="shared" si="1"/>
        <v>0</v>
      </c>
      <c r="J21" s="211">
        <f t="array" ref="J21">(SUM(IF((CkDJ[Date]=$A$4)*(CkDJ[Ofc Code]=(TRIM(J$7)))*(CkDJ[Account Code]=(TRIM($D21))),CkDJ[Credit])))+(SUM(IF((CsDJ[Date]=$A$4)*(CsDJ[Ofc Code]=(TRIM(J$7)))*(CsDJ[Account Code]=(TRIM($D21))),CsDJ[Credit])))+(SUM(IF((CRDJ[Date]=$A$4)*(CRDJ[Ofc Code]=(TRIM(J$7)))*(CRDJ[Account Code]=(TRIM($D21))),CRDJ[Credit])))+(SUM(IF((GJ[Date]=$A$4)*(GJ[Ofc Code]=(TRIM(J$7)))*(GJ[Account Code]=(TRIM($D21))),GJ[Credit])))-(SUM(IF((CkDJ[Date]=$A$4)*(CkDJ[Ofc Code]=(TRIM(J$7)))*(CkDJ[Account Code]=(TRIM($D21))),CkDJ[Debit])))+(SUM(IF((CsDJ[Date]=$A$4)*(CsDJ[Ofc Code]=(TRIM(J$7)))*(CsDJ[Account Code]=(TRIM($D21))),CsDJ[Debit])))+(SUM(IF((CRDJ[Date]=$A$4)*(CRDJ[Ofc Code]=(TRIM(J$7)))*(CRDJ[Account Code]=(TRIM($D21))),CRDJ[Debit])))+(SUM(IF((GJ[Date]=$A$4)*(GJ[Ofc Code]=(TRIM(J$7)))*(GJ[Account Code]=(TRIM($D21))),GJ[Debit])))</f>
        <v>0</v>
      </c>
      <c r="K21" s="211">
        <f t="array" ref="K21">(SUM(IF((CkDJ[Date]=$A$4)*(CkDJ[Ofc Code]=(TRIM(K$7)))*(CkDJ[Account Code]=(TRIM($D21))),CkDJ[Credit])))+(SUM(IF((CsDJ[Date]=$A$4)*(CsDJ[Ofc Code]=(TRIM(K$7)))*(CsDJ[Account Code]=(TRIM($D21))),CsDJ[Credit])))+(SUM(IF((CRDJ[Date]=$A$4)*(CRDJ[Ofc Code]=(TRIM(K$7)))*(CRDJ[Account Code]=(TRIM($D21))),CRDJ[Credit])))+(SUM(IF((GJ[Date]=$A$4)*(GJ[Ofc Code]=(TRIM(K$7)))*(GJ[Account Code]=(TRIM($D21))),GJ[Credit])))-(SUM(IF((CkDJ[Date]=$A$4)*(CkDJ[Ofc Code]=(TRIM(K$7)))*(CkDJ[Account Code]=(TRIM($D21))),CkDJ[Debit])))+(SUM(IF((CsDJ[Date]=$A$4)*(CsDJ[Ofc Code]=(TRIM(K$7)))*(CsDJ[Account Code]=(TRIM($D21))),CsDJ[Debit])))+(SUM(IF((CRDJ[Date]=$A$4)*(CRDJ[Ofc Code]=(TRIM(K$7)))*(CRDJ[Account Code]=(TRIM($D21))),CRDJ[Debit])))+(SUM(IF((GJ[Date]=$A$4)*(GJ[Ofc Code]=(TRIM(K$7)))*(GJ[Account Code]=(TRIM($D21))),GJ[Debit])))</f>
        <v>0</v>
      </c>
      <c r="L21" s="211">
        <f t="array" ref="L21">(SUM(IF((CkDJ[Date]=$A$4)*(CkDJ[Ofc Code]=(TRIM(L$7)))*(CkDJ[Account Code]=(TRIM($D21))),CkDJ[Credit])))+(SUM(IF((CsDJ[Date]=$A$4)*(CsDJ[Ofc Code]=(TRIM(L$7)))*(CsDJ[Account Code]=(TRIM($D21))),CsDJ[Credit])))+(SUM(IF((CRDJ[Date]=$A$4)*(CRDJ[Ofc Code]=(TRIM(L$7)))*(CRDJ[Account Code]=(TRIM($D21))),CRDJ[Credit])))+(SUM(IF((GJ[Date]=$A$4)*(GJ[Ofc Code]=(TRIM(L$7)))*(GJ[Account Code]=(TRIM($D21))),GJ[Credit])))-(SUM(IF((CkDJ[Date]=$A$4)*(CkDJ[Ofc Code]=(TRIM(L$7)))*(CkDJ[Account Code]=(TRIM($D21))),CkDJ[Debit])))+(SUM(IF((CsDJ[Date]=$A$4)*(CsDJ[Ofc Code]=(TRIM(L$7)))*(CsDJ[Account Code]=(TRIM($D21))),CsDJ[Debit])))+(SUM(IF((CRDJ[Date]=$A$4)*(CRDJ[Ofc Code]=(TRIM(L$7)))*(CRDJ[Account Code]=(TRIM($D21))),CRDJ[Debit])))+(SUM(IF((GJ[Date]=$A$4)*(GJ[Ofc Code]=(TRIM(L$7)))*(GJ[Account Code]=(TRIM($D21))),GJ[Debit])))</f>
        <v>0</v>
      </c>
      <c r="M21" s="211">
        <f t="array" ref="M21">(SUM(IF((CkDJ[Date]=$A$4)*(CkDJ[Ofc Code]=(TRIM(M$7)))*(CkDJ[Account Code]=(TRIM($D21))),CkDJ[Credit])))+(SUM(IF((CsDJ[Date]=$A$4)*(CsDJ[Ofc Code]=(TRIM(M$7)))*(CsDJ[Account Code]=(TRIM($D21))),CsDJ[Credit])))+(SUM(IF((CRDJ[Date]=$A$4)*(CRDJ[Ofc Code]=(TRIM(M$7)))*(CRDJ[Account Code]=(TRIM($D21))),CRDJ[Credit])))+(SUM(IF((GJ[Date]=$A$4)*(GJ[Ofc Code]=(TRIM(M$7)))*(GJ[Account Code]=(TRIM($D21))),GJ[Credit])))-(SUM(IF((CkDJ[Date]=$A$4)*(CkDJ[Ofc Code]=(TRIM(M$7)))*(CkDJ[Account Code]=(TRIM($D21))),CkDJ[Debit])))+(SUM(IF((CsDJ[Date]=$A$4)*(CsDJ[Ofc Code]=(TRIM(M$7)))*(CsDJ[Account Code]=(TRIM($D21))),CsDJ[Debit])))+(SUM(IF((CRDJ[Date]=$A$4)*(CRDJ[Ofc Code]=(TRIM(M$7)))*(CRDJ[Account Code]=(TRIM($D21))),CRDJ[Debit])))+(SUM(IF((GJ[Date]=$A$4)*(GJ[Ofc Code]=(TRIM(M$7)))*(GJ[Account Code]=(TRIM($D21))),GJ[Debit])))</f>
        <v>0</v>
      </c>
      <c r="N21" s="211">
        <f t="shared" si="2"/>
        <v>0</v>
      </c>
      <c r="O21" s="211">
        <f t="array" ref="O21">(SUM(IF((CkDJ[Date]=$A$4)*(CkDJ[Ofc Code]=(TRIM(O$7)))*(CkDJ[Account Code]=(TRIM($D21))),CkDJ[Credit])))+(SUM(IF((CsDJ[Date]=$A$4)*(CsDJ[Ofc Code]=(TRIM(O$7)))*(CsDJ[Account Code]=(TRIM($D21))),CsDJ[Credit])))+(SUM(IF((CRDJ[Date]=$A$4)*(CRDJ[Ofc Code]=(TRIM(O$7)))*(CRDJ[Account Code]=(TRIM($D21))),CRDJ[Credit])))+(SUM(IF((GJ[Date]=$A$4)*(GJ[Ofc Code]=(TRIM(O$7)))*(GJ[Account Code]=(TRIM($D21))),GJ[Credit])))-(SUM(IF((CkDJ[Date]=$A$4)*(CkDJ[Ofc Code]=(TRIM(O$7)))*(CkDJ[Account Code]=(TRIM($D21))),CkDJ[Debit])))+(SUM(IF((CsDJ[Date]=$A$4)*(CsDJ[Ofc Code]=(TRIM(O$7)))*(CsDJ[Account Code]=(TRIM($D21))),CsDJ[Debit])))+(SUM(IF((CRDJ[Date]=$A$4)*(CRDJ[Ofc Code]=(TRIM(O$7)))*(CRDJ[Account Code]=(TRIM($D21))),CRDJ[Debit])))+(SUM(IF((GJ[Date]=$A$4)*(GJ[Ofc Code]=(TRIM(O$7)))*(GJ[Account Code]=(TRIM($D21))),GJ[Debit])))</f>
        <v>0</v>
      </c>
      <c r="P21" s="211">
        <f t="array" ref="P21">(SUM(IF((CkDJ[Date]=$A$4)*(CkDJ[Ofc Code]=(TRIM(P$7)))*(CkDJ[Account Code]=(TRIM($D21))),CkDJ[Credit])))+(SUM(IF((CsDJ[Date]=$A$4)*(CsDJ[Ofc Code]=(TRIM(P$7)))*(CsDJ[Account Code]=(TRIM($D21))),CsDJ[Credit])))+(SUM(IF((CRDJ[Date]=$A$4)*(CRDJ[Ofc Code]=(TRIM(P$7)))*(CRDJ[Account Code]=(TRIM($D21))),CRDJ[Credit])))+(SUM(IF((GJ[Date]=$A$4)*(GJ[Ofc Code]=(TRIM(P$7)))*(GJ[Account Code]=(TRIM($D21))),GJ[Credit])))-(SUM(IF((CkDJ[Date]=$A$4)*(CkDJ[Ofc Code]=(TRIM(P$7)))*(CkDJ[Account Code]=(TRIM($D21))),CkDJ[Debit])))+(SUM(IF((CsDJ[Date]=$A$4)*(CsDJ[Ofc Code]=(TRIM(P$7)))*(CsDJ[Account Code]=(TRIM($D21))),CsDJ[Debit])))+(SUM(IF((CRDJ[Date]=$A$4)*(CRDJ[Ofc Code]=(TRIM(P$7)))*(CRDJ[Account Code]=(TRIM($D21))),CRDJ[Debit])))+(SUM(IF((GJ[Date]=$A$4)*(GJ[Ofc Code]=(TRIM(P$7)))*(GJ[Account Code]=(TRIM($D21))),GJ[Debit])))</f>
        <v>0</v>
      </c>
      <c r="Q21" s="211">
        <f t="array" ref="Q21">(SUM(IF((CkDJ[Date]=$A$4)*(CkDJ[Ofc Code]=(TRIM(Q$7)))*(CkDJ[Account Code]=(TRIM($D21))),CkDJ[Credit])))+(SUM(IF((CsDJ[Date]=$A$4)*(CsDJ[Ofc Code]=(TRIM(Q$7)))*(CsDJ[Account Code]=(TRIM($D21))),CsDJ[Credit])))+(SUM(IF((CRDJ[Date]=$A$4)*(CRDJ[Ofc Code]=(TRIM(Q$7)))*(CRDJ[Account Code]=(TRIM($D21))),CRDJ[Credit])))+(SUM(IF((GJ[Date]=$A$4)*(GJ[Ofc Code]=(TRIM(Q$7)))*(GJ[Account Code]=(TRIM($D21))),GJ[Credit])))-(SUM(IF((CkDJ[Date]=$A$4)*(CkDJ[Ofc Code]=(TRIM(Q$7)))*(CkDJ[Account Code]=(TRIM($D21))),CkDJ[Debit])))+(SUM(IF((CsDJ[Date]=$A$4)*(CsDJ[Ofc Code]=(TRIM(Q$7)))*(CsDJ[Account Code]=(TRIM($D21))),CsDJ[Debit])))+(SUM(IF((CRDJ[Date]=$A$4)*(CRDJ[Ofc Code]=(TRIM(Q$7)))*(CRDJ[Account Code]=(TRIM($D21))),CRDJ[Debit])))+(SUM(IF((GJ[Date]=$A$4)*(GJ[Ofc Code]=(TRIM(Q$7)))*(GJ[Account Code]=(TRIM($D21))),GJ[Debit])))</f>
        <v>0</v>
      </c>
      <c r="R21" s="211">
        <f t="array" ref="R21">(SUM(IF((CkDJ[Date]=$A$4)*(CkDJ[Ofc Code]=(TRIM(R$7)))*(CkDJ[Account Code]=(TRIM($D21))),CkDJ[Credit])))+(SUM(IF((CsDJ[Date]=$A$4)*(CsDJ[Ofc Code]=(TRIM(R$7)))*(CsDJ[Account Code]=(TRIM($D21))),CsDJ[Credit])))+(SUM(IF((CRDJ[Date]=$A$4)*(CRDJ[Ofc Code]=(TRIM(R$7)))*(CRDJ[Account Code]=(TRIM($D21))),CRDJ[Credit])))+(SUM(IF((GJ[Date]=$A$4)*(GJ[Ofc Code]=(TRIM(R$7)))*(GJ[Account Code]=(TRIM($D21))),GJ[Credit])))-(SUM(IF((CkDJ[Date]=$A$4)*(CkDJ[Ofc Code]=(TRIM(R$7)))*(CkDJ[Account Code]=(TRIM($D21))),CkDJ[Debit])))+(SUM(IF((CsDJ[Date]=$A$4)*(CsDJ[Ofc Code]=(TRIM(R$7)))*(CsDJ[Account Code]=(TRIM($D21))),CsDJ[Debit])))+(SUM(IF((CRDJ[Date]=$A$4)*(CRDJ[Ofc Code]=(TRIM(R$7)))*(CRDJ[Account Code]=(TRIM($D21))),CRDJ[Debit])))+(SUM(IF((GJ[Date]=$A$4)*(GJ[Ofc Code]=(TRIM(R$7)))*(GJ[Account Code]=(TRIM($D21))),GJ[Debit])))</f>
        <v>0</v>
      </c>
      <c r="S21" s="211">
        <f t="array" ref="S21">(SUM(IF((CkDJ[Date]=$A$4)*(CkDJ[Ofc Code]=(TRIM(S$7)))*(CkDJ[Account Code]=(TRIM($D21))),CkDJ[Credit])))+(SUM(IF((CsDJ[Date]=$A$4)*(CsDJ[Ofc Code]=(TRIM(S$7)))*(CsDJ[Account Code]=(TRIM($D21))),CsDJ[Credit])))+(SUM(IF((CRDJ[Date]=$A$4)*(CRDJ[Ofc Code]=(TRIM(S$7)))*(CRDJ[Account Code]=(TRIM($D21))),CRDJ[Credit])))+(SUM(IF((GJ[Date]=$A$4)*(GJ[Ofc Code]=(TRIM(S$7)))*(GJ[Account Code]=(TRIM($D21))),GJ[Credit])))-(SUM(IF((CkDJ[Date]=$A$4)*(CkDJ[Ofc Code]=(TRIM(S$7)))*(CkDJ[Account Code]=(TRIM($D21))),CkDJ[Debit])))+(SUM(IF((CsDJ[Date]=$A$4)*(CsDJ[Ofc Code]=(TRIM(S$7)))*(CsDJ[Account Code]=(TRIM($D21))),CsDJ[Debit])))+(SUM(IF((CRDJ[Date]=$A$4)*(CRDJ[Ofc Code]=(TRIM(S$7)))*(CRDJ[Account Code]=(TRIM($D21))),CRDJ[Debit])))+(SUM(IF((GJ[Date]=$A$4)*(GJ[Ofc Code]=(TRIM(S$7)))*(GJ[Account Code]=(TRIM($D21))),GJ[Debit])))</f>
        <v>0</v>
      </c>
      <c r="T21" s="211">
        <f t="shared" si="3"/>
        <v>0</v>
      </c>
      <c r="U21" s="211">
        <f t="shared" si="4"/>
        <v>0</v>
      </c>
    </row>
    <row r="22" spans="1:21" ht="15">
      <c r="A22" s="212">
        <f t="shared" si="5"/>
        <v>14</v>
      </c>
      <c r="B22" s="214"/>
      <c r="C22" s="194" t="str">
        <f t="shared" si="0"/>
        <v>Equipment Rental - Internal (BA)</v>
      </c>
      <c r="D22" s="207" t="s">
        <v>148</v>
      </c>
      <c r="E22" s="211">
        <f t="array" ref="E22">(SUM(IF((CkDJ[Date]=$A$4)*(CkDJ[Ofc Code]=(TRIM(E$7)))*(CkDJ[Account Code]=(TRIM($D22))),CkDJ[Credit])))+(SUM(IF((CsDJ[Date]=$A$4)*(CsDJ[Ofc Code]=(TRIM(E$7)))*(CsDJ[Account Code]=(TRIM($D22))),CsDJ[Credit])))+(SUM(IF((CRDJ[Date]=$A$4)*(CRDJ[Ofc Code]=(TRIM(E$7)))*(CRDJ[Account Code]=(TRIM($D22))),CRDJ[Credit])))+(SUM(IF((GJ[Date]=$A$4)*(GJ[Ofc Code]=(TRIM(E$7)))*(GJ[Account Code]=(TRIM($D22))),GJ[Credit])))-(SUM(IF((CkDJ[Date]=$A$4)*(CkDJ[Ofc Code]=(TRIM(E$7)))*(CkDJ[Account Code]=(TRIM($D22))),CkDJ[Debit])))+(SUM(IF((CsDJ[Date]=$A$4)*(CsDJ[Ofc Code]=(TRIM(E$7)))*(CsDJ[Account Code]=(TRIM($D22))),CsDJ[Debit])))+(SUM(IF((CRDJ[Date]=$A$4)*(CRDJ[Ofc Code]=(TRIM(E$7)))*(CRDJ[Account Code]=(TRIM($D22))),CRDJ[Debit])))+(SUM(IF((GJ[Date]=$A$4)*(GJ[Ofc Code]=(TRIM(E$7)))*(GJ[Account Code]=(TRIM($D22))),GJ[Debit])))</f>
        <v>0</v>
      </c>
      <c r="F22" s="211">
        <f t="array" ref="F22">(SUM(IF((CkDJ[Date]=$A$4)*(CkDJ[Ofc Code]=(TRIM(F$7)))*(CkDJ[Account Code]=(TRIM($D22))),CkDJ[Credit])))+(SUM(IF((CsDJ[Date]=$A$4)*(CsDJ[Ofc Code]=(TRIM(F$7)))*(CsDJ[Account Code]=(TRIM($D22))),CsDJ[Credit])))+(SUM(IF((CRDJ[Date]=$A$4)*(CRDJ[Ofc Code]=(TRIM(F$7)))*(CRDJ[Account Code]=(TRIM($D22))),CRDJ[Credit])))+(SUM(IF((GJ[Date]=$A$4)*(GJ[Ofc Code]=(TRIM(F$7)))*(GJ[Account Code]=(TRIM($D22))),GJ[Credit])))-(SUM(IF((CkDJ[Date]=$A$4)*(CkDJ[Ofc Code]=(TRIM(F$7)))*(CkDJ[Account Code]=(TRIM($D22))),CkDJ[Debit])))+(SUM(IF((CsDJ[Date]=$A$4)*(CsDJ[Ofc Code]=(TRIM(F$7)))*(CsDJ[Account Code]=(TRIM($D22))),CsDJ[Debit])))+(SUM(IF((CRDJ[Date]=$A$4)*(CRDJ[Ofc Code]=(TRIM(F$7)))*(CRDJ[Account Code]=(TRIM($D22))),CRDJ[Debit])))+(SUM(IF((GJ[Date]=$A$4)*(GJ[Ofc Code]=(TRIM(F$7)))*(GJ[Account Code]=(TRIM($D22))),GJ[Debit])))</f>
        <v>0</v>
      </c>
      <c r="G22" s="211">
        <f t="array" ref="G22">(SUM(IF((CkDJ[Date]=$A$4)*(CkDJ[Ofc Code]=(TRIM(G$7)))*(CkDJ[Account Code]=(TRIM($D22))),CkDJ[Credit])))+(SUM(IF((CsDJ[Date]=$A$4)*(CsDJ[Ofc Code]=(TRIM(G$7)))*(CsDJ[Account Code]=(TRIM($D22))),CsDJ[Credit])))+(SUM(IF((CRDJ[Date]=$A$4)*(CRDJ[Ofc Code]=(TRIM(G$7)))*(CRDJ[Account Code]=(TRIM($D22))),CRDJ[Credit])))+(SUM(IF((GJ[Date]=$A$4)*(GJ[Ofc Code]=(TRIM(G$7)))*(GJ[Account Code]=(TRIM($D22))),GJ[Credit])))-(SUM(IF((CkDJ[Date]=$A$4)*(CkDJ[Ofc Code]=(TRIM(G$7)))*(CkDJ[Account Code]=(TRIM($D22))),CkDJ[Debit])))+(SUM(IF((CsDJ[Date]=$A$4)*(CsDJ[Ofc Code]=(TRIM(G$7)))*(CsDJ[Account Code]=(TRIM($D22))),CsDJ[Debit])))+(SUM(IF((CRDJ[Date]=$A$4)*(CRDJ[Ofc Code]=(TRIM(G$7)))*(CRDJ[Account Code]=(TRIM($D22))),CRDJ[Debit])))+(SUM(IF((GJ[Date]=$A$4)*(GJ[Ofc Code]=(TRIM(G$7)))*(GJ[Account Code]=(TRIM($D22))),GJ[Debit])))</f>
        <v>0</v>
      </c>
      <c r="H22" s="211">
        <f t="array" ref="H22">(SUM(IF((CkDJ[Date]=$A$4)*(CkDJ[Ofc Code]=(TRIM(H$7)))*(CkDJ[Account Code]=(TRIM($D22))),CkDJ[Credit])))+(SUM(IF((CsDJ[Date]=$A$4)*(CsDJ[Ofc Code]=(TRIM(H$7)))*(CsDJ[Account Code]=(TRIM($D22))),CsDJ[Credit])))+(SUM(IF((CRDJ[Date]=$A$4)*(CRDJ[Ofc Code]=(TRIM(H$7)))*(CRDJ[Account Code]=(TRIM($D22))),CRDJ[Credit])))+(SUM(IF((GJ[Date]=$A$4)*(GJ[Ofc Code]=(TRIM(H$7)))*(GJ[Account Code]=(TRIM($D22))),GJ[Credit])))-(SUM(IF((CkDJ[Date]=$A$4)*(CkDJ[Ofc Code]=(TRIM(H$7)))*(CkDJ[Account Code]=(TRIM($D22))),CkDJ[Debit])))+(SUM(IF((CsDJ[Date]=$A$4)*(CsDJ[Ofc Code]=(TRIM(H$7)))*(CsDJ[Account Code]=(TRIM($D22))),CsDJ[Debit])))+(SUM(IF((CRDJ[Date]=$A$4)*(CRDJ[Ofc Code]=(TRIM(H$7)))*(CRDJ[Account Code]=(TRIM($D22))),CRDJ[Debit])))+(SUM(IF((GJ[Date]=$A$4)*(GJ[Ofc Code]=(TRIM(H$7)))*(GJ[Account Code]=(TRIM($D22))),GJ[Debit])))</f>
        <v>0</v>
      </c>
      <c r="I22" s="211">
        <f t="shared" si="1"/>
        <v>0</v>
      </c>
      <c r="J22" s="211">
        <f t="array" ref="J22">(SUM(IF((CkDJ[Date]=$A$4)*(CkDJ[Ofc Code]=(TRIM(J$7)))*(CkDJ[Account Code]=(TRIM($D22))),CkDJ[Credit])))+(SUM(IF((CsDJ[Date]=$A$4)*(CsDJ[Ofc Code]=(TRIM(J$7)))*(CsDJ[Account Code]=(TRIM($D22))),CsDJ[Credit])))+(SUM(IF((CRDJ[Date]=$A$4)*(CRDJ[Ofc Code]=(TRIM(J$7)))*(CRDJ[Account Code]=(TRIM($D22))),CRDJ[Credit])))+(SUM(IF((GJ[Date]=$A$4)*(GJ[Ofc Code]=(TRIM(J$7)))*(GJ[Account Code]=(TRIM($D22))),GJ[Credit])))-(SUM(IF((CkDJ[Date]=$A$4)*(CkDJ[Ofc Code]=(TRIM(J$7)))*(CkDJ[Account Code]=(TRIM($D22))),CkDJ[Debit])))+(SUM(IF((CsDJ[Date]=$A$4)*(CsDJ[Ofc Code]=(TRIM(J$7)))*(CsDJ[Account Code]=(TRIM($D22))),CsDJ[Debit])))+(SUM(IF((CRDJ[Date]=$A$4)*(CRDJ[Ofc Code]=(TRIM(J$7)))*(CRDJ[Account Code]=(TRIM($D22))),CRDJ[Debit])))+(SUM(IF((GJ[Date]=$A$4)*(GJ[Ofc Code]=(TRIM(J$7)))*(GJ[Account Code]=(TRIM($D22))),GJ[Debit])))</f>
        <v>0</v>
      </c>
      <c r="K22" s="211">
        <f t="array" ref="K22">(SUM(IF((CkDJ[Date]=$A$4)*(CkDJ[Ofc Code]=(TRIM(K$7)))*(CkDJ[Account Code]=(TRIM($D22))),CkDJ[Credit])))+(SUM(IF((CsDJ[Date]=$A$4)*(CsDJ[Ofc Code]=(TRIM(K$7)))*(CsDJ[Account Code]=(TRIM($D22))),CsDJ[Credit])))+(SUM(IF((CRDJ[Date]=$A$4)*(CRDJ[Ofc Code]=(TRIM(K$7)))*(CRDJ[Account Code]=(TRIM($D22))),CRDJ[Credit])))+(SUM(IF((GJ[Date]=$A$4)*(GJ[Ofc Code]=(TRIM(K$7)))*(GJ[Account Code]=(TRIM($D22))),GJ[Credit])))-(SUM(IF((CkDJ[Date]=$A$4)*(CkDJ[Ofc Code]=(TRIM(K$7)))*(CkDJ[Account Code]=(TRIM($D22))),CkDJ[Debit])))+(SUM(IF((CsDJ[Date]=$A$4)*(CsDJ[Ofc Code]=(TRIM(K$7)))*(CsDJ[Account Code]=(TRIM($D22))),CsDJ[Debit])))+(SUM(IF((CRDJ[Date]=$A$4)*(CRDJ[Ofc Code]=(TRIM(K$7)))*(CRDJ[Account Code]=(TRIM($D22))),CRDJ[Debit])))+(SUM(IF((GJ[Date]=$A$4)*(GJ[Ofc Code]=(TRIM(K$7)))*(GJ[Account Code]=(TRIM($D22))),GJ[Debit])))</f>
        <v>0</v>
      </c>
      <c r="L22" s="211">
        <f t="array" ref="L22">(SUM(IF((CkDJ[Date]=$A$4)*(CkDJ[Ofc Code]=(TRIM(L$7)))*(CkDJ[Account Code]=(TRIM($D22))),CkDJ[Credit])))+(SUM(IF((CsDJ[Date]=$A$4)*(CsDJ[Ofc Code]=(TRIM(L$7)))*(CsDJ[Account Code]=(TRIM($D22))),CsDJ[Credit])))+(SUM(IF((CRDJ[Date]=$A$4)*(CRDJ[Ofc Code]=(TRIM(L$7)))*(CRDJ[Account Code]=(TRIM($D22))),CRDJ[Credit])))+(SUM(IF((GJ[Date]=$A$4)*(GJ[Ofc Code]=(TRIM(L$7)))*(GJ[Account Code]=(TRIM($D22))),GJ[Credit])))-(SUM(IF((CkDJ[Date]=$A$4)*(CkDJ[Ofc Code]=(TRIM(L$7)))*(CkDJ[Account Code]=(TRIM($D22))),CkDJ[Debit])))+(SUM(IF((CsDJ[Date]=$A$4)*(CsDJ[Ofc Code]=(TRIM(L$7)))*(CsDJ[Account Code]=(TRIM($D22))),CsDJ[Debit])))+(SUM(IF((CRDJ[Date]=$A$4)*(CRDJ[Ofc Code]=(TRIM(L$7)))*(CRDJ[Account Code]=(TRIM($D22))),CRDJ[Debit])))+(SUM(IF((GJ[Date]=$A$4)*(GJ[Ofc Code]=(TRIM(L$7)))*(GJ[Account Code]=(TRIM($D22))),GJ[Debit])))</f>
        <v>0</v>
      </c>
      <c r="M22" s="211">
        <f t="array" ref="M22">(SUM(IF((CkDJ[Date]=$A$4)*(CkDJ[Ofc Code]=(TRIM(M$7)))*(CkDJ[Account Code]=(TRIM($D22))),CkDJ[Credit])))+(SUM(IF((CsDJ[Date]=$A$4)*(CsDJ[Ofc Code]=(TRIM(M$7)))*(CsDJ[Account Code]=(TRIM($D22))),CsDJ[Credit])))+(SUM(IF((CRDJ[Date]=$A$4)*(CRDJ[Ofc Code]=(TRIM(M$7)))*(CRDJ[Account Code]=(TRIM($D22))),CRDJ[Credit])))+(SUM(IF((GJ[Date]=$A$4)*(GJ[Ofc Code]=(TRIM(M$7)))*(GJ[Account Code]=(TRIM($D22))),GJ[Credit])))-(SUM(IF((CkDJ[Date]=$A$4)*(CkDJ[Ofc Code]=(TRIM(M$7)))*(CkDJ[Account Code]=(TRIM($D22))),CkDJ[Debit])))+(SUM(IF((CsDJ[Date]=$A$4)*(CsDJ[Ofc Code]=(TRIM(M$7)))*(CsDJ[Account Code]=(TRIM($D22))),CsDJ[Debit])))+(SUM(IF((CRDJ[Date]=$A$4)*(CRDJ[Ofc Code]=(TRIM(M$7)))*(CRDJ[Account Code]=(TRIM($D22))),CRDJ[Debit])))+(SUM(IF((GJ[Date]=$A$4)*(GJ[Ofc Code]=(TRIM(M$7)))*(GJ[Account Code]=(TRIM($D22))),GJ[Debit])))</f>
        <v>0</v>
      </c>
      <c r="N22" s="211">
        <f t="shared" si="2"/>
        <v>0</v>
      </c>
      <c r="O22" s="211">
        <f t="array" ref="O22">(SUM(IF((CkDJ[Date]=$A$4)*(CkDJ[Ofc Code]=(TRIM(O$7)))*(CkDJ[Account Code]=(TRIM($D22))),CkDJ[Credit])))+(SUM(IF((CsDJ[Date]=$A$4)*(CsDJ[Ofc Code]=(TRIM(O$7)))*(CsDJ[Account Code]=(TRIM($D22))),CsDJ[Credit])))+(SUM(IF((CRDJ[Date]=$A$4)*(CRDJ[Ofc Code]=(TRIM(O$7)))*(CRDJ[Account Code]=(TRIM($D22))),CRDJ[Credit])))+(SUM(IF((GJ[Date]=$A$4)*(GJ[Ofc Code]=(TRIM(O$7)))*(GJ[Account Code]=(TRIM($D22))),GJ[Credit])))-(SUM(IF((CkDJ[Date]=$A$4)*(CkDJ[Ofc Code]=(TRIM(O$7)))*(CkDJ[Account Code]=(TRIM($D22))),CkDJ[Debit])))+(SUM(IF((CsDJ[Date]=$A$4)*(CsDJ[Ofc Code]=(TRIM(O$7)))*(CsDJ[Account Code]=(TRIM($D22))),CsDJ[Debit])))+(SUM(IF((CRDJ[Date]=$A$4)*(CRDJ[Ofc Code]=(TRIM(O$7)))*(CRDJ[Account Code]=(TRIM($D22))),CRDJ[Debit])))+(SUM(IF((GJ[Date]=$A$4)*(GJ[Ofc Code]=(TRIM(O$7)))*(GJ[Account Code]=(TRIM($D22))),GJ[Debit])))</f>
        <v>0</v>
      </c>
      <c r="P22" s="211">
        <f t="array" ref="P22">(SUM(IF((CkDJ[Date]=$A$4)*(CkDJ[Ofc Code]=(TRIM(P$7)))*(CkDJ[Account Code]=(TRIM($D22))),CkDJ[Credit])))+(SUM(IF((CsDJ[Date]=$A$4)*(CsDJ[Ofc Code]=(TRIM(P$7)))*(CsDJ[Account Code]=(TRIM($D22))),CsDJ[Credit])))+(SUM(IF((CRDJ[Date]=$A$4)*(CRDJ[Ofc Code]=(TRIM(P$7)))*(CRDJ[Account Code]=(TRIM($D22))),CRDJ[Credit])))+(SUM(IF((GJ[Date]=$A$4)*(GJ[Ofc Code]=(TRIM(P$7)))*(GJ[Account Code]=(TRIM($D22))),GJ[Credit])))-(SUM(IF((CkDJ[Date]=$A$4)*(CkDJ[Ofc Code]=(TRIM(P$7)))*(CkDJ[Account Code]=(TRIM($D22))),CkDJ[Debit])))+(SUM(IF((CsDJ[Date]=$A$4)*(CsDJ[Ofc Code]=(TRIM(P$7)))*(CsDJ[Account Code]=(TRIM($D22))),CsDJ[Debit])))+(SUM(IF((CRDJ[Date]=$A$4)*(CRDJ[Ofc Code]=(TRIM(P$7)))*(CRDJ[Account Code]=(TRIM($D22))),CRDJ[Debit])))+(SUM(IF((GJ[Date]=$A$4)*(GJ[Ofc Code]=(TRIM(P$7)))*(GJ[Account Code]=(TRIM($D22))),GJ[Debit])))</f>
        <v>0</v>
      </c>
      <c r="Q22" s="211">
        <f t="array" ref="Q22">(SUM(IF((CkDJ[Date]=$A$4)*(CkDJ[Ofc Code]=(TRIM(Q$7)))*(CkDJ[Account Code]=(TRIM($D22))),CkDJ[Credit])))+(SUM(IF((CsDJ[Date]=$A$4)*(CsDJ[Ofc Code]=(TRIM(Q$7)))*(CsDJ[Account Code]=(TRIM($D22))),CsDJ[Credit])))+(SUM(IF((CRDJ[Date]=$A$4)*(CRDJ[Ofc Code]=(TRIM(Q$7)))*(CRDJ[Account Code]=(TRIM($D22))),CRDJ[Credit])))+(SUM(IF((GJ[Date]=$A$4)*(GJ[Ofc Code]=(TRIM(Q$7)))*(GJ[Account Code]=(TRIM($D22))),GJ[Credit])))-(SUM(IF((CkDJ[Date]=$A$4)*(CkDJ[Ofc Code]=(TRIM(Q$7)))*(CkDJ[Account Code]=(TRIM($D22))),CkDJ[Debit])))+(SUM(IF((CsDJ[Date]=$A$4)*(CsDJ[Ofc Code]=(TRIM(Q$7)))*(CsDJ[Account Code]=(TRIM($D22))),CsDJ[Debit])))+(SUM(IF((CRDJ[Date]=$A$4)*(CRDJ[Ofc Code]=(TRIM(Q$7)))*(CRDJ[Account Code]=(TRIM($D22))),CRDJ[Debit])))+(SUM(IF((GJ[Date]=$A$4)*(GJ[Ofc Code]=(TRIM(Q$7)))*(GJ[Account Code]=(TRIM($D22))),GJ[Debit])))</f>
        <v>0</v>
      </c>
      <c r="R22" s="211">
        <f t="array" ref="R22">(SUM(IF((CkDJ[Date]=$A$4)*(CkDJ[Ofc Code]=(TRIM(R$7)))*(CkDJ[Account Code]=(TRIM($D22))),CkDJ[Credit])))+(SUM(IF((CsDJ[Date]=$A$4)*(CsDJ[Ofc Code]=(TRIM(R$7)))*(CsDJ[Account Code]=(TRIM($D22))),CsDJ[Credit])))+(SUM(IF((CRDJ[Date]=$A$4)*(CRDJ[Ofc Code]=(TRIM(R$7)))*(CRDJ[Account Code]=(TRIM($D22))),CRDJ[Credit])))+(SUM(IF((GJ[Date]=$A$4)*(GJ[Ofc Code]=(TRIM(R$7)))*(GJ[Account Code]=(TRIM($D22))),GJ[Credit])))-(SUM(IF((CkDJ[Date]=$A$4)*(CkDJ[Ofc Code]=(TRIM(R$7)))*(CkDJ[Account Code]=(TRIM($D22))),CkDJ[Debit])))+(SUM(IF((CsDJ[Date]=$A$4)*(CsDJ[Ofc Code]=(TRIM(R$7)))*(CsDJ[Account Code]=(TRIM($D22))),CsDJ[Debit])))+(SUM(IF((CRDJ[Date]=$A$4)*(CRDJ[Ofc Code]=(TRIM(R$7)))*(CRDJ[Account Code]=(TRIM($D22))),CRDJ[Debit])))+(SUM(IF((GJ[Date]=$A$4)*(GJ[Ofc Code]=(TRIM(R$7)))*(GJ[Account Code]=(TRIM($D22))),GJ[Debit])))</f>
        <v>0</v>
      </c>
      <c r="S22" s="211">
        <f t="array" ref="S22">(SUM(IF((CkDJ[Date]=$A$4)*(CkDJ[Ofc Code]=(TRIM(S$7)))*(CkDJ[Account Code]=(TRIM($D22))),CkDJ[Credit])))+(SUM(IF((CsDJ[Date]=$A$4)*(CsDJ[Ofc Code]=(TRIM(S$7)))*(CsDJ[Account Code]=(TRIM($D22))),CsDJ[Credit])))+(SUM(IF((CRDJ[Date]=$A$4)*(CRDJ[Ofc Code]=(TRIM(S$7)))*(CRDJ[Account Code]=(TRIM($D22))),CRDJ[Credit])))+(SUM(IF((GJ[Date]=$A$4)*(GJ[Ofc Code]=(TRIM(S$7)))*(GJ[Account Code]=(TRIM($D22))),GJ[Credit])))-(SUM(IF((CkDJ[Date]=$A$4)*(CkDJ[Ofc Code]=(TRIM(S$7)))*(CkDJ[Account Code]=(TRIM($D22))),CkDJ[Debit])))+(SUM(IF((CsDJ[Date]=$A$4)*(CsDJ[Ofc Code]=(TRIM(S$7)))*(CsDJ[Account Code]=(TRIM($D22))),CsDJ[Debit])))+(SUM(IF((CRDJ[Date]=$A$4)*(CRDJ[Ofc Code]=(TRIM(S$7)))*(CRDJ[Account Code]=(TRIM($D22))),CRDJ[Debit])))+(SUM(IF((GJ[Date]=$A$4)*(GJ[Ofc Code]=(TRIM(S$7)))*(GJ[Account Code]=(TRIM($D22))),GJ[Debit])))</f>
        <v>0</v>
      </c>
      <c r="T22" s="211">
        <f t="shared" si="3"/>
        <v>0</v>
      </c>
      <c r="U22" s="211">
        <f t="shared" si="4"/>
        <v>0</v>
      </c>
    </row>
    <row r="23" spans="1:21" ht="15">
      <c r="A23" s="212">
        <f t="shared" si="5"/>
        <v>15</v>
      </c>
      <c r="B23" s="194"/>
      <c r="C23" s="194" t="str">
        <f t="shared" si="0"/>
        <v>Income from Hostels/Dormitories and Other Like Facilities</v>
      </c>
      <c r="D23" s="207" t="s">
        <v>150</v>
      </c>
      <c r="E23" s="211">
        <f t="array" ref="E23">(SUM(IF((CkDJ[Date]=$A$4)*(CkDJ[Ofc Code]=(TRIM(E$7)))*(CkDJ[Account Code]=(TRIM($D23))),CkDJ[Credit])))+(SUM(IF((CsDJ[Date]=$A$4)*(CsDJ[Ofc Code]=(TRIM(E$7)))*(CsDJ[Account Code]=(TRIM($D23))),CsDJ[Credit])))+(SUM(IF((CRDJ[Date]=$A$4)*(CRDJ[Ofc Code]=(TRIM(E$7)))*(CRDJ[Account Code]=(TRIM($D23))),CRDJ[Credit])))+(SUM(IF((GJ[Date]=$A$4)*(GJ[Ofc Code]=(TRIM(E$7)))*(GJ[Account Code]=(TRIM($D23))),GJ[Credit])))-(SUM(IF((CkDJ[Date]=$A$4)*(CkDJ[Ofc Code]=(TRIM(E$7)))*(CkDJ[Account Code]=(TRIM($D23))),CkDJ[Debit])))+(SUM(IF((CsDJ[Date]=$A$4)*(CsDJ[Ofc Code]=(TRIM(E$7)))*(CsDJ[Account Code]=(TRIM($D23))),CsDJ[Debit])))+(SUM(IF((CRDJ[Date]=$A$4)*(CRDJ[Ofc Code]=(TRIM(E$7)))*(CRDJ[Account Code]=(TRIM($D23))),CRDJ[Debit])))+(SUM(IF((GJ[Date]=$A$4)*(GJ[Ofc Code]=(TRIM(E$7)))*(GJ[Account Code]=(TRIM($D23))),GJ[Debit])))</f>
        <v>0</v>
      </c>
      <c r="F23" s="211">
        <f t="array" ref="F23">(SUM(IF((CkDJ[Date]=$A$4)*(CkDJ[Ofc Code]=(TRIM(F$7)))*(CkDJ[Account Code]=(TRIM($D23))),CkDJ[Credit])))+(SUM(IF((CsDJ[Date]=$A$4)*(CsDJ[Ofc Code]=(TRIM(F$7)))*(CsDJ[Account Code]=(TRIM($D23))),CsDJ[Credit])))+(SUM(IF((CRDJ[Date]=$A$4)*(CRDJ[Ofc Code]=(TRIM(F$7)))*(CRDJ[Account Code]=(TRIM($D23))),CRDJ[Credit])))+(SUM(IF((GJ[Date]=$A$4)*(GJ[Ofc Code]=(TRIM(F$7)))*(GJ[Account Code]=(TRIM($D23))),GJ[Credit])))-(SUM(IF((CkDJ[Date]=$A$4)*(CkDJ[Ofc Code]=(TRIM(F$7)))*(CkDJ[Account Code]=(TRIM($D23))),CkDJ[Debit])))+(SUM(IF((CsDJ[Date]=$A$4)*(CsDJ[Ofc Code]=(TRIM(F$7)))*(CsDJ[Account Code]=(TRIM($D23))),CsDJ[Debit])))+(SUM(IF((CRDJ[Date]=$A$4)*(CRDJ[Ofc Code]=(TRIM(F$7)))*(CRDJ[Account Code]=(TRIM($D23))),CRDJ[Debit])))+(SUM(IF((GJ[Date]=$A$4)*(GJ[Ofc Code]=(TRIM(F$7)))*(GJ[Account Code]=(TRIM($D23))),GJ[Debit])))</f>
        <v>0</v>
      </c>
      <c r="G23" s="211">
        <f t="array" ref="G23">(SUM(IF((CkDJ[Date]=$A$4)*(CkDJ[Ofc Code]=(TRIM(G$7)))*(CkDJ[Account Code]=(TRIM($D23))),CkDJ[Credit])))+(SUM(IF((CsDJ[Date]=$A$4)*(CsDJ[Ofc Code]=(TRIM(G$7)))*(CsDJ[Account Code]=(TRIM($D23))),CsDJ[Credit])))+(SUM(IF((CRDJ[Date]=$A$4)*(CRDJ[Ofc Code]=(TRIM(G$7)))*(CRDJ[Account Code]=(TRIM($D23))),CRDJ[Credit])))+(SUM(IF((GJ[Date]=$A$4)*(GJ[Ofc Code]=(TRIM(G$7)))*(GJ[Account Code]=(TRIM($D23))),GJ[Credit])))-(SUM(IF((CkDJ[Date]=$A$4)*(CkDJ[Ofc Code]=(TRIM(G$7)))*(CkDJ[Account Code]=(TRIM($D23))),CkDJ[Debit])))+(SUM(IF((CsDJ[Date]=$A$4)*(CsDJ[Ofc Code]=(TRIM(G$7)))*(CsDJ[Account Code]=(TRIM($D23))),CsDJ[Debit])))+(SUM(IF((CRDJ[Date]=$A$4)*(CRDJ[Ofc Code]=(TRIM(G$7)))*(CRDJ[Account Code]=(TRIM($D23))),CRDJ[Debit])))+(SUM(IF((GJ[Date]=$A$4)*(GJ[Ofc Code]=(TRIM(G$7)))*(GJ[Account Code]=(TRIM($D23))),GJ[Debit])))</f>
        <v>0</v>
      </c>
      <c r="H23" s="211">
        <f t="array" ref="H23">(SUM(IF((CkDJ[Date]=$A$4)*(CkDJ[Ofc Code]=(TRIM(H$7)))*(CkDJ[Account Code]=(TRIM($D23))),CkDJ[Credit])))+(SUM(IF((CsDJ[Date]=$A$4)*(CsDJ[Ofc Code]=(TRIM(H$7)))*(CsDJ[Account Code]=(TRIM($D23))),CsDJ[Credit])))+(SUM(IF((CRDJ[Date]=$A$4)*(CRDJ[Ofc Code]=(TRIM(H$7)))*(CRDJ[Account Code]=(TRIM($D23))),CRDJ[Credit])))+(SUM(IF((GJ[Date]=$A$4)*(GJ[Ofc Code]=(TRIM(H$7)))*(GJ[Account Code]=(TRIM($D23))),GJ[Credit])))-(SUM(IF((CkDJ[Date]=$A$4)*(CkDJ[Ofc Code]=(TRIM(H$7)))*(CkDJ[Account Code]=(TRIM($D23))),CkDJ[Debit])))+(SUM(IF((CsDJ[Date]=$A$4)*(CsDJ[Ofc Code]=(TRIM(H$7)))*(CsDJ[Account Code]=(TRIM($D23))),CsDJ[Debit])))+(SUM(IF((CRDJ[Date]=$A$4)*(CRDJ[Ofc Code]=(TRIM(H$7)))*(CRDJ[Account Code]=(TRIM($D23))),CRDJ[Debit])))+(SUM(IF((GJ[Date]=$A$4)*(GJ[Ofc Code]=(TRIM(H$7)))*(GJ[Account Code]=(TRIM($D23))),GJ[Debit])))</f>
        <v>0</v>
      </c>
      <c r="I23" s="211">
        <f t="shared" si="1"/>
        <v>0</v>
      </c>
      <c r="J23" s="211">
        <f t="array" ref="J23">(SUM(IF((CkDJ[Date]=$A$4)*(CkDJ[Ofc Code]=(TRIM(J$7)))*(CkDJ[Account Code]=(TRIM($D23))),CkDJ[Credit])))+(SUM(IF((CsDJ[Date]=$A$4)*(CsDJ[Ofc Code]=(TRIM(J$7)))*(CsDJ[Account Code]=(TRIM($D23))),CsDJ[Credit])))+(SUM(IF((CRDJ[Date]=$A$4)*(CRDJ[Ofc Code]=(TRIM(J$7)))*(CRDJ[Account Code]=(TRIM($D23))),CRDJ[Credit])))+(SUM(IF((GJ[Date]=$A$4)*(GJ[Ofc Code]=(TRIM(J$7)))*(GJ[Account Code]=(TRIM($D23))),GJ[Credit])))-(SUM(IF((CkDJ[Date]=$A$4)*(CkDJ[Ofc Code]=(TRIM(J$7)))*(CkDJ[Account Code]=(TRIM($D23))),CkDJ[Debit])))+(SUM(IF((CsDJ[Date]=$A$4)*(CsDJ[Ofc Code]=(TRIM(J$7)))*(CsDJ[Account Code]=(TRIM($D23))),CsDJ[Debit])))+(SUM(IF((CRDJ[Date]=$A$4)*(CRDJ[Ofc Code]=(TRIM(J$7)))*(CRDJ[Account Code]=(TRIM($D23))),CRDJ[Debit])))+(SUM(IF((GJ[Date]=$A$4)*(GJ[Ofc Code]=(TRIM(J$7)))*(GJ[Account Code]=(TRIM($D23))),GJ[Debit])))</f>
        <v>0</v>
      </c>
      <c r="K23" s="211">
        <f t="array" ref="K23">(SUM(IF((CkDJ[Date]=$A$4)*(CkDJ[Ofc Code]=(TRIM(K$7)))*(CkDJ[Account Code]=(TRIM($D23))),CkDJ[Credit])))+(SUM(IF((CsDJ[Date]=$A$4)*(CsDJ[Ofc Code]=(TRIM(K$7)))*(CsDJ[Account Code]=(TRIM($D23))),CsDJ[Credit])))+(SUM(IF((CRDJ[Date]=$A$4)*(CRDJ[Ofc Code]=(TRIM(K$7)))*(CRDJ[Account Code]=(TRIM($D23))),CRDJ[Credit])))+(SUM(IF((GJ[Date]=$A$4)*(GJ[Ofc Code]=(TRIM(K$7)))*(GJ[Account Code]=(TRIM($D23))),GJ[Credit])))-(SUM(IF((CkDJ[Date]=$A$4)*(CkDJ[Ofc Code]=(TRIM(K$7)))*(CkDJ[Account Code]=(TRIM($D23))),CkDJ[Debit])))+(SUM(IF((CsDJ[Date]=$A$4)*(CsDJ[Ofc Code]=(TRIM(K$7)))*(CsDJ[Account Code]=(TRIM($D23))),CsDJ[Debit])))+(SUM(IF((CRDJ[Date]=$A$4)*(CRDJ[Ofc Code]=(TRIM(K$7)))*(CRDJ[Account Code]=(TRIM($D23))),CRDJ[Debit])))+(SUM(IF((GJ[Date]=$A$4)*(GJ[Ofc Code]=(TRIM(K$7)))*(GJ[Account Code]=(TRIM($D23))),GJ[Debit])))</f>
        <v>0</v>
      </c>
      <c r="L23" s="211">
        <f t="array" ref="L23">(SUM(IF((CkDJ[Date]=$A$4)*(CkDJ[Ofc Code]=(TRIM(L$7)))*(CkDJ[Account Code]=(TRIM($D23))),CkDJ[Credit])))+(SUM(IF((CsDJ[Date]=$A$4)*(CsDJ[Ofc Code]=(TRIM(L$7)))*(CsDJ[Account Code]=(TRIM($D23))),CsDJ[Credit])))+(SUM(IF((CRDJ[Date]=$A$4)*(CRDJ[Ofc Code]=(TRIM(L$7)))*(CRDJ[Account Code]=(TRIM($D23))),CRDJ[Credit])))+(SUM(IF((GJ[Date]=$A$4)*(GJ[Ofc Code]=(TRIM(L$7)))*(GJ[Account Code]=(TRIM($D23))),GJ[Credit])))-(SUM(IF((CkDJ[Date]=$A$4)*(CkDJ[Ofc Code]=(TRIM(L$7)))*(CkDJ[Account Code]=(TRIM($D23))),CkDJ[Debit])))+(SUM(IF((CsDJ[Date]=$A$4)*(CsDJ[Ofc Code]=(TRIM(L$7)))*(CsDJ[Account Code]=(TRIM($D23))),CsDJ[Debit])))+(SUM(IF((CRDJ[Date]=$A$4)*(CRDJ[Ofc Code]=(TRIM(L$7)))*(CRDJ[Account Code]=(TRIM($D23))),CRDJ[Debit])))+(SUM(IF((GJ[Date]=$A$4)*(GJ[Ofc Code]=(TRIM(L$7)))*(GJ[Account Code]=(TRIM($D23))),GJ[Debit])))</f>
        <v>0</v>
      </c>
      <c r="M23" s="211">
        <f t="array" ref="M23">(SUM(IF((CkDJ[Date]=$A$4)*(CkDJ[Ofc Code]=(TRIM(M$7)))*(CkDJ[Account Code]=(TRIM($D23))),CkDJ[Credit])))+(SUM(IF((CsDJ[Date]=$A$4)*(CsDJ[Ofc Code]=(TRIM(M$7)))*(CsDJ[Account Code]=(TRIM($D23))),CsDJ[Credit])))+(SUM(IF((CRDJ[Date]=$A$4)*(CRDJ[Ofc Code]=(TRIM(M$7)))*(CRDJ[Account Code]=(TRIM($D23))),CRDJ[Credit])))+(SUM(IF((GJ[Date]=$A$4)*(GJ[Ofc Code]=(TRIM(M$7)))*(GJ[Account Code]=(TRIM($D23))),GJ[Credit])))-(SUM(IF((CkDJ[Date]=$A$4)*(CkDJ[Ofc Code]=(TRIM(M$7)))*(CkDJ[Account Code]=(TRIM($D23))),CkDJ[Debit])))+(SUM(IF((CsDJ[Date]=$A$4)*(CsDJ[Ofc Code]=(TRIM(M$7)))*(CsDJ[Account Code]=(TRIM($D23))),CsDJ[Debit])))+(SUM(IF((CRDJ[Date]=$A$4)*(CRDJ[Ofc Code]=(TRIM(M$7)))*(CRDJ[Account Code]=(TRIM($D23))),CRDJ[Debit])))+(SUM(IF((GJ[Date]=$A$4)*(GJ[Ofc Code]=(TRIM(M$7)))*(GJ[Account Code]=(TRIM($D23))),GJ[Debit])))</f>
        <v>0</v>
      </c>
      <c r="N23" s="211">
        <f t="shared" si="2"/>
        <v>0</v>
      </c>
      <c r="O23" s="211">
        <f t="array" ref="O23">(SUM(IF((CkDJ[Date]=$A$4)*(CkDJ[Ofc Code]=(TRIM(O$7)))*(CkDJ[Account Code]=(TRIM($D23))),CkDJ[Credit])))+(SUM(IF((CsDJ[Date]=$A$4)*(CsDJ[Ofc Code]=(TRIM(O$7)))*(CsDJ[Account Code]=(TRIM($D23))),CsDJ[Credit])))+(SUM(IF((CRDJ[Date]=$A$4)*(CRDJ[Ofc Code]=(TRIM(O$7)))*(CRDJ[Account Code]=(TRIM($D23))),CRDJ[Credit])))+(SUM(IF((GJ[Date]=$A$4)*(GJ[Ofc Code]=(TRIM(O$7)))*(GJ[Account Code]=(TRIM($D23))),GJ[Credit])))-(SUM(IF((CkDJ[Date]=$A$4)*(CkDJ[Ofc Code]=(TRIM(O$7)))*(CkDJ[Account Code]=(TRIM($D23))),CkDJ[Debit])))+(SUM(IF((CsDJ[Date]=$A$4)*(CsDJ[Ofc Code]=(TRIM(O$7)))*(CsDJ[Account Code]=(TRIM($D23))),CsDJ[Debit])))+(SUM(IF((CRDJ[Date]=$A$4)*(CRDJ[Ofc Code]=(TRIM(O$7)))*(CRDJ[Account Code]=(TRIM($D23))),CRDJ[Debit])))+(SUM(IF((GJ[Date]=$A$4)*(GJ[Ofc Code]=(TRIM(O$7)))*(GJ[Account Code]=(TRIM($D23))),GJ[Debit])))</f>
        <v>0</v>
      </c>
      <c r="P23" s="211">
        <f t="array" ref="P23">(SUM(IF((CkDJ[Date]=$A$4)*(CkDJ[Ofc Code]=(TRIM(P$7)))*(CkDJ[Account Code]=(TRIM($D23))),CkDJ[Credit])))+(SUM(IF((CsDJ[Date]=$A$4)*(CsDJ[Ofc Code]=(TRIM(P$7)))*(CsDJ[Account Code]=(TRIM($D23))),CsDJ[Credit])))+(SUM(IF((CRDJ[Date]=$A$4)*(CRDJ[Ofc Code]=(TRIM(P$7)))*(CRDJ[Account Code]=(TRIM($D23))),CRDJ[Credit])))+(SUM(IF((GJ[Date]=$A$4)*(GJ[Ofc Code]=(TRIM(P$7)))*(GJ[Account Code]=(TRIM($D23))),GJ[Credit])))-(SUM(IF((CkDJ[Date]=$A$4)*(CkDJ[Ofc Code]=(TRIM(P$7)))*(CkDJ[Account Code]=(TRIM($D23))),CkDJ[Debit])))+(SUM(IF((CsDJ[Date]=$A$4)*(CsDJ[Ofc Code]=(TRIM(P$7)))*(CsDJ[Account Code]=(TRIM($D23))),CsDJ[Debit])))+(SUM(IF((CRDJ[Date]=$A$4)*(CRDJ[Ofc Code]=(TRIM(P$7)))*(CRDJ[Account Code]=(TRIM($D23))),CRDJ[Debit])))+(SUM(IF((GJ[Date]=$A$4)*(GJ[Ofc Code]=(TRIM(P$7)))*(GJ[Account Code]=(TRIM($D23))),GJ[Debit])))</f>
        <v>0</v>
      </c>
      <c r="Q23" s="211">
        <f t="array" ref="Q23">(SUM(IF((CkDJ[Date]=$A$4)*(CkDJ[Ofc Code]=(TRIM(Q$7)))*(CkDJ[Account Code]=(TRIM($D23))),CkDJ[Credit])))+(SUM(IF((CsDJ[Date]=$A$4)*(CsDJ[Ofc Code]=(TRIM(Q$7)))*(CsDJ[Account Code]=(TRIM($D23))),CsDJ[Credit])))+(SUM(IF((CRDJ[Date]=$A$4)*(CRDJ[Ofc Code]=(TRIM(Q$7)))*(CRDJ[Account Code]=(TRIM($D23))),CRDJ[Credit])))+(SUM(IF((GJ[Date]=$A$4)*(GJ[Ofc Code]=(TRIM(Q$7)))*(GJ[Account Code]=(TRIM($D23))),GJ[Credit])))-(SUM(IF((CkDJ[Date]=$A$4)*(CkDJ[Ofc Code]=(TRIM(Q$7)))*(CkDJ[Account Code]=(TRIM($D23))),CkDJ[Debit])))+(SUM(IF((CsDJ[Date]=$A$4)*(CsDJ[Ofc Code]=(TRIM(Q$7)))*(CsDJ[Account Code]=(TRIM($D23))),CsDJ[Debit])))+(SUM(IF((CRDJ[Date]=$A$4)*(CRDJ[Ofc Code]=(TRIM(Q$7)))*(CRDJ[Account Code]=(TRIM($D23))),CRDJ[Debit])))+(SUM(IF((GJ[Date]=$A$4)*(GJ[Ofc Code]=(TRIM(Q$7)))*(GJ[Account Code]=(TRIM($D23))),GJ[Debit])))</f>
        <v>0</v>
      </c>
      <c r="R23" s="211">
        <f t="array" ref="R23">(SUM(IF((CkDJ[Date]=$A$4)*(CkDJ[Ofc Code]=(TRIM(R$7)))*(CkDJ[Account Code]=(TRIM($D23))),CkDJ[Credit])))+(SUM(IF((CsDJ[Date]=$A$4)*(CsDJ[Ofc Code]=(TRIM(R$7)))*(CsDJ[Account Code]=(TRIM($D23))),CsDJ[Credit])))+(SUM(IF((CRDJ[Date]=$A$4)*(CRDJ[Ofc Code]=(TRIM(R$7)))*(CRDJ[Account Code]=(TRIM($D23))),CRDJ[Credit])))+(SUM(IF((GJ[Date]=$A$4)*(GJ[Ofc Code]=(TRIM(R$7)))*(GJ[Account Code]=(TRIM($D23))),GJ[Credit])))-(SUM(IF((CkDJ[Date]=$A$4)*(CkDJ[Ofc Code]=(TRIM(R$7)))*(CkDJ[Account Code]=(TRIM($D23))),CkDJ[Debit])))+(SUM(IF((CsDJ[Date]=$A$4)*(CsDJ[Ofc Code]=(TRIM(R$7)))*(CsDJ[Account Code]=(TRIM($D23))),CsDJ[Debit])))+(SUM(IF((CRDJ[Date]=$A$4)*(CRDJ[Ofc Code]=(TRIM(R$7)))*(CRDJ[Account Code]=(TRIM($D23))),CRDJ[Debit])))+(SUM(IF((GJ[Date]=$A$4)*(GJ[Ofc Code]=(TRIM(R$7)))*(GJ[Account Code]=(TRIM($D23))),GJ[Debit])))</f>
        <v>0</v>
      </c>
      <c r="S23" s="211">
        <f t="array" ref="S23">(SUM(IF((CkDJ[Date]=$A$4)*(CkDJ[Ofc Code]=(TRIM(S$7)))*(CkDJ[Account Code]=(TRIM($D23))),CkDJ[Credit])))+(SUM(IF((CsDJ[Date]=$A$4)*(CsDJ[Ofc Code]=(TRIM(S$7)))*(CsDJ[Account Code]=(TRIM($D23))),CsDJ[Credit])))+(SUM(IF((CRDJ[Date]=$A$4)*(CRDJ[Ofc Code]=(TRIM(S$7)))*(CRDJ[Account Code]=(TRIM($D23))),CRDJ[Credit])))+(SUM(IF((GJ[Date]=$A$4)*(GJ[Ofc Code]=(TRIM(S$7)))*(GJ[Account Code]=(TRIM($D23))),GJ[Credit])))-(SUM(IF((CkDJ[Date]=$A$4)*(CkDJ[Ofc Code]=(TRIM(S$7)))*(CkDJ[Account Code]=(TRIM($D23))),CkDJ[Debit])))+(SUM(IF((CsDJ[Date]=$A$4)*(CsDJ[Ofc Code]=(TRIM(S$7)))*(CsDJ[Account Code]=(TRIM($D23))),CsDJ[Debit])))+(SUM(IF((CRDJ[Date]=$A$4)*(CRDJ[Ofc Code]=(TRIM(S$7)))*(CRDJ[Account Code]=(TRIM($D23))),CRDJ[Debit])))+(SUM(IF((GJ[Date]=$A$4)*(GJ[Ofc Code]=(TRIM(S$7)))*(GJ[Account Code]=(TRIM($D23))),GJ[Debit])))</f>
        <v>0</v>
      </c>
      <c r="T23" s="211">
        <f t="shared" si="3"/>
        <v>0</v>
      </c>
      <c r="U23" s="211">
        <f t="shared" si="4"/>
        <v>0</v>
      </c>
    </row>
    <row r="24" spans="1:21" ht="15">
      <c r="A24" s="212">
        <f t="shared" si="5"/>
        <v>16</v>
      </c>
      <c r="B24" s="194"/>
      <c r="C24" s="194" t="e">
        <f t="shared" si="0"/>
        <v>#N/A</v>
      </c>
      <c r="D24" s="207">
        <v>662</v>
      </c>
      <c r="E24" s="211">
        <f t="array" ref="E24">(SUM(IF((CkDJ[Date]=$A$4)*(CkDJ[Ofc Code]=(TRIM(E$7)))*(CkDJ[Account Code]=(TRIM($D24))),CkDJ[Credit])))+(SUM(IF((CsDJ[Date]=$A$4)*(CsDJ[Ofc Code]=(TRIM(E$7)))*(CsDJ[Account Code]=(TRIM($D24))),CsDJ[Credit])))+(SUM(IF((CRDJ[Date]=$A$4)*(CRDJ[Ofc Code]=(TRIM(E$7)))*(CRDJ[Account Code]=(TRIM($D24))),CRDJ[Credit])))+(SUM(IF((GJ[Date]=$A$4)*(GJ[Ofc Code]=(TRIM(E$7)))*(GJ[Account Code]=(TRIM($D24))),GJ[Credit])))-(SUM(IF((CkDJ[Date]=$A$4)*(CkDJ[Ofc Code]=(TRIM(E$7)))*(CkDJ[Account Code]=(TRIM($D24))),CkDJ[Debit])))+(SUM(IF((CsDJ[Date]=$A$4)*(CsDJ[Ofc Code]=(TRIM(E$7)))*(CsDJ[Account Code]=(TRIM($D24))),CsDJ[Debit])))+(SUM(IF((CRDJ[Date]=$A$4)*(CRDJ[Ofc Code]=(TRIM(E$7)))*(CRDJ[Account Code]=(TRIM($D24))),CRDJ[Debit])))+(SUM(IF((GJ[Date]=$A$4)*(GJ[Ofc Code]=(TRIM(E$7)))*(GJ[Account Code]=(TRIM($D24))),GJ[Debit])))</f>
        <v>0</v>
      </c>
      <c r="F24" s="211">
        <f t="array" ref="F24">(SUM(IF((CkDJ[Date]=$A$4)*(CkDJ[Ofc Code]=(TRIM(F$7)))*(CkDJ[Account Code]=(TRIM($D24))),CkDJ[Credit])))+(SUM(IF((CsDJ[Date]=$A$4)*(CsDJ[Ofc Code]=(TRIM(F$7)))*(CsDJ[Account Code]=(TRIM($D24))),CsDJ[Credit])))+(SUM(IF((CRDJ[Date]=$A$4)*(CRDJ[Ofc Code]=(TRIM(F$7)))*(CRDJ[Account Code]=(TRIM($D24))),CRDJ[Credit])))+(SUM(IF((GJ[Date]=$A$4)*(GJ[Ofc Code]=(TRIM(F$7)))*(GJ[Account Code]=(TRIM($D24))),GJ[Credit])))-(SUM(IF((CkDJ[Date]=$A$4)*(CkDJ[Ofc Code]=(TRIM(F$7)))*(CkDJ[Account Code]=(TRIM($D24))),CkDJ[Debit])))+(SUM(IF((CsDJ[Date]=$A$4)*(CsDJ[Ofc Code]=(TRIM(F$7)))*(CsDJ[Account Code]=(TRIM($D24))),CsDJ[Debit])))+(SUM(IF((CRDJ[Date]=$A$4)*(CRDJ[Ofc Code]=(TRIM(F$7)))*(CRDJ[Account Code]=(TRIM($D24))),CRDJ[Debit])))+(SUM(IF((GJ[Date]=$A$4)*(GJ[Ofc Code]=(TRIM(F$7)))*(GJ[Account Code]=(TRIM($D24))),GJ[Debit])))</f>
        <v>0</v>
      </c>
      <c r="G24" s="211">
        <f t="array" ref="G24">(SUM(IF((CkDJ[Date]=$A$4)*(CkDJ[Ofc Code]=(TRIM(G$7)))*(CkDJ[Account Code]=(TRIM($D24))),CkDJ[Credit])))+(SUM(IF((CsDJ[Date]=$A$4)*(CsDJ[Ofc Code]=(TRIM(G$7)))*(CsDJ[Account Code]=(TRIM($D24))),CsDJ[Credit])))+(SUM(IF((CRDJ[Date]=$A$4)*(CRDJ[Ofc Code]=(TRIM(G$7)))*(CRDJ[Account Code]=(TRIM($D24))),CRDJ[Credit])))+(SUM(IF((GJ[Date]=$A$4)*(GJ[Ofc Code]=(TRIM(G$7)))*(GJ[Account Code]=(TRIM($D24))),GJ[Credit])))-(SUM(IF((CkDJ[Date]=$A$4)*(CkDJ[Ofc Code]=(TRIM(G$7)))*(CkDJ[Account Code]=(TRIM($D24))),CkDJ[Debit])))+(SUM(IF((CsDJ[Date]=$A$4)*(CsDJ[Ofc Code]=(TRIM(G$7)))*(CsDJ[Account Code]=(TRIM($D24))),CsDJ[Debit])))+(SUM(IF((CRDJ[Date]=$A$4)*(CRDJ[Ofc Code]=(TRIM(G$7)))*(CRDJ[Account Code]=(TRIM($D24))),CRDJ[Debit])))+(SUM(IF((GJ[Date]=$A$4)*(GJ[Ofc Code]=(TRIM(G$7)))*(GJ[Account Code]=(TRIM($D24))),GJ[Debit])))</f>
        <v>0</v>
      </c>
      <c r="H24" s="211">
        <f t="array" ref="H24">(SUM(IF((CkDJ[Date]=$A$4)*(CkDJ[Ofc Code]=(TRIM(H$7)))*(CkDJ[Account Code]=(TRIM($D24))),CkDJ[Credit])))+(SUM(IF((CsDJ[Date]=$A$4)*(CsDJ[Ofc Code]=(TRIM(H$7)))*(CsDJ[Account Code]=(TRIM($D24))),CsDJ[Credit])))+(SUM(IF((CRDJ[Date]=$A$4)*(CRDJ[Ofc Code]=(TRIM(H$7)))*(CRDJ[Account Code]=(TRIM($D24))),CRDJ[Credit])))+(SUM(IF((GJ[Date]=$A$4)*(GJ[Ofc Code]=(TRIM(H$7)))*(GJ[Account Code]=(TRIM($D24))),GJ[Credit])))-(SUM(IF((CkDJ[Date]=$A$4)*(CkDJ[Ofc Code]=(TRIM(H$7)))*(CkDJ[Account Code]=(TRIM($D24))),CkDJ[Debit])))+(SUM(IF((CsDJ[Date]=$A$4)*(CsDJ[Ofc Code]=(TRIM(H$7)))*(CsDJ[Account Code]=(TRIM($D24))),CsDJ[Debit])))+(SUM(IF((CRDJ[Date]=$A$4)*(CRDJ[Ofc Code]=(TRIM(H$7)))*(CRDJ[Account Code]=(TRIM($D24))),CRDJ[Debit])))+(SUM(IF((GJ[Date]=$A$4)*(GJ[Ofc Code]=(TRIM(H$7)))*(GJ[Account Code]=(TRIM($D24))),GJ[Debit])))</f>
        <v>0</v>
      </c>
      <c r="I24" s="211">
        <f t="shared" si="1"/>
        <v>0</v>
      </c>
      <c r="J24" s="211">
        <f t="array" ref="J24">(SUM(IF((CkDJ[Date]=$A$4)*(CkDJ[Ofc Code]=(TRIM(J$7)))*(CkDJ[Account Code]=(TRIM($D24))),CkDJ[Credit])))+(SUM(IF((CsDJ[Date]=$A$4)*(CsDJ[Ofc Code]=(TRIM(J$7)))*(CsDJ[Account Code]=(TRIM($D24))),CsDJ[Credit])))+(SUM(IF((CRDJ[Date]=$A$4)*(CRDJ[Ofc Code]=(TRIM(J$7)))*(CRDJ[Account Code]=(TRIM($D24))),CRDJ[Credit])))+(SUM(IF((GJ[Date]=$A$4)*(GJ[Ofc Code]=(TRIM(J$7)))*(GJ[Account Code]=(TRIM($D24))),GJ[Credit])))-(SUM(IF((CkDJ[Date]=$A$4)*(CkDJ[Ofc Code]=(TRIM(J$7)))*(CkDJ[Account Code]=(TRIM($D24))),CkDJ[Debit])))+(SUM(IF((CsDJ[Date]=$A$4)*(CsDJ[Ofc Code]=(TRIM(J$7)))*(CsDJ[Account Code]=(TRIM($D24))),CsDJ[Debit])))+(SUM(IF((CRDJ[Date]=$A$4)*(CRDJ[Ofc Code]=(TRIM(J$7)))*(CRDJ[Account Code]=(TRIM($D24))),CRDJ[Debit])))+(SUM(IF((GJ[Date]=$A$4)*(GJ[Ofc Code]=(TRIM(J$7)))*(GJ[Account Code]=(TRIM($D24))),GJ[Debit])))</f>
        <v>0</v>
      </c>
      <c r="K24" s="211">
        <f t="array" ref="K24">(SUM(IF((CkDJ[Date]=$A$4)*(CkDJ[Ofc Code]=(TRIM(K$7)))*(CkDJ[Account Code]=(TRIM($D24))),CkDJ[Credit])))+(SUM(IF((CsDJ[Date]=$A$4)*(CsDJ[Ofc Code]=(TRIM(K$7)))*(CsDJ[Account Code]=(TRIM($D24))),CsDJ[Credit])))+(SUM(IF((CRDJ[Date]=$A$4)*(CRDJ[Ofc Code]=(TRIM(K$7)))*(CRDJ[Account Code]=(TRIM($D24))),CRDJ[Credit])))+(SUM(IF((GJ[Date]=$A$4)*(GJ[Ofc Code]=(TRIM(K$7)))*(GJ[Account Code]=(TRIM($D24))),GJ[Credit])))-(SUM(IF((CkDJ[Date]=$A$4)*(CkDJ[Ofc Code]=(TRIM(K$7)))*(CkDJ[Account Code]=(TRIM($D24))),CkDJ[Debit])))+(SUM(IF((CsDJ[Date]=$A$4)*(CsDJ[Ofc Code]=(TRIM(K$7)))*(CsDJ[Account Code]=(TRIM($D24))),CsDJ[Debit])))+(SUM(IF((CRDJ[Date]=$A$4)*(CRDJ[Ofc Code]=(TRIM(K$7)))*(CRDJ[Account Code]=(TRIM($D24))),CRDJ[Debit])))+(SUM(IF((GJ[Date]=$A$4)*(GJ[Ofc Code]=(TRIM(K$7)))*(GJ[Account Code]=(TRIM($D24))),GJ[Debit])))</f>
        <v>0</v>
      </c>
      <c r="L24" s="211">
        <f t="array" ref="L24">(SUM(IF((CkDJ[Date]=$A$4)*(CkDJ[Ofc Code]=(TRIM(L$7)))*(CkDJ[Account Code]=(TRIM($D24))),CkDJ[Credit])))+(SUM(IF((CsDJ[Date]=$A$4)*(CsDJ[Ofc Code]=(TRIM(L$7)))*(CsDJ[Account Code]=(TRIM($D24))),CsDJ[Credit])))+(SUM(IF((CRDJ[Date]=$A$4)*(CRDJ[Ofc Code]=(TRIM(L$7)))*(CRDJ[Account Code]=(TRIM($D24))),CRDJ[Credit])))+(SUM(IF((GJ[Date]=$A$4)*(GJ[Ofc Code]=(TRIM(L$7)))*(GJ[Account Code]=(TRIM($D24))),GJ[Credit])))-(SUM(IF((CkDJ[Date]=$A$4)*(CkDJ[Ofc Code]=(TRIM(L$7)))*(CkDJ[Account Code]=(TRIM($D24))),CkDJ[Debit])))+(SUM(IF((CsDJ[Date]=$A$4)*(CsDJ[Ofc Code]=(TRIM(L$7)))*(CsDJ[Account Code]=(TRIM($D24))),CsDJ[Debit])))+(SUM(IF((CRDJ[Date]=$A$4)*(CRDJ[Ofc Code]=(TRIM(L$7)))*(CRDJ[Account Code]=(TRIM($D24))),CRDJ[Debit])))+(SUM(IF((GJ[Date]=$A$4)*(GJ[Ofc Code]=(TRIM(L$7)))*(GJ[Account Code]=(TRIM($D24))),GJ[Debit])))</f>
        <v>0</v>
      </c>
      <c r="M24" s="211">
        <f t="array" ref="M24">(SUM(IF((CkDJ[Date]=$A$4)*(CkDJ[Ofc Code]=(TRIM(M$7)))*(CkDJ[Account Code]=(TRIM($D24))),CkDJ[Credit])))+(SUM(IF((CsDJ[Date]=$A$4)*(CsDJ[Ofc Code]=(TRIM(M$7)))*(CsDJ[Account Code]=(TRIM($D24))),CsDJ[Credit])))+(SUM(IF((CRDJ[Date]=$A$4)*(CRDJ[Ofc Code]=(TRIM(M$7)))*(CRDJ[Account Code]=(TRIM($D24))),CRDJ[Credit])))+(SUM(IF((GJ[Date]=$A$4)*(GJ[Ofc Code]=(TRIM(M$7)))*(GJ[Account Code]=(TRIM($D24))),GJ[Credit])))-(SUM(IF((CkDJ[Date]=$A$4)*(CkDJ[Ofc Code]=(TRIM(M$7)))*(CkDJ[Account Code]=(TRIM($D24))),CkDJ[Debit])))+(SUM(IF((CsDJ[Date]=$A$4)*(CsDJ[Ofc Code]=(TRIM(M$7)))*(CsDJ[Account Code]=(TRIM($D24))),CsDJ[Debit])))+(SUM(IF((CRDJ[Date]=$A$4)*(CRDJ[Ofc Code]=(TRIM(M$7)))*(CRDJ[Account Code]=(TRIM($D24))),CRDJ[Debit])))+(SUM(IF((GJ[Date]=$A$4)*(GJ[Ofc Code]=(TRIM(M$7)))*(GJ[Account Code]=(TRIM($D24))),GJ[Debit])))</f>
        <v>0</v>
      </c>
      <c r="N24" s="211">
        <f t="shared" si="2"/>
        <v>0</v>
      </c>
      <c r="O24" s="211">
        <f t="array" ref="O24">(SUM(IF((CkDJ[Date]=$A$4)*(CkDJ[Ofc Code]=(TRIM(O$7)))*(CkDJ[Account Code]=(TRIM($D24))),CkDJ[Credit])))+(SUM(IF((CsDJ[Date]=$A$4)*(CsDJ[Ofc Code]=(TRIM(O$7)))*(CsDJ[Account Code]=(TRIM($D24))),CsDJ[Credit])))+(SUM(IF((CRDJ[Date]=$A$4)*(CRDJ[Ofc Code]=(TRIM(O$7)))*(CRDJ[Account Code]=(TRIM($D24))),CRDJ[Credit])))+(SUM(IF((GJ[Date]=$A$4)*(GJ[Ofc Code]=(TRIM(O$7)))*(GJ[Account Code]=(TRIM($D24))),GJ[Credit])))-(SUM(IF((CkDJ[Date]=$A$4)*(CkDJ[Ofc Code]=(TRIM(O$7)))*(CkDJ[Account Code]=(TRIM($D24))),CkDJ[Debit])))+(SUM(IF((CsDJ[Date]=$A$4)*(CsDJ[Ofc Code]=(TRIM(O$7)))*(CsDJ[Account Code]=(TRIM($D24))),CsDJ[Debit])))+(SUM(IF((CRDJ[Date]=$A$4)*(CRDJ[Ofc Code]=(TRIM(O$7)))*(CRDJ[Account Code]=(TRIM($D24))),CRDJ[Debit])))+(SUM(IF((GJ[Date]=$A$4)*(GJ[Ofc Code]=(TRIM(O$7)))*(GJ[Account Code]=(TRIM($D24))),GJ[Debit])))</f>
        <v>0</v>
      </c>
      <c r="P24" s="211">
        <f t="array" ref="P24">(SUM(IF((CkDJ[Date]=$A$4)*(CkDJ[Ofc Code]=(TRIM(P$7)))*(CkDJ[Account Code]=(TRIM($D24))),CkDJ[Credit])))+(SUM(IF((CsDJ[Date]=$A$4)*(CsDJ[Ofc Code]=(TRIM(P$7)))*(CsDJ[Account Code]=(TRIM($D24))),CsDJ[Credit])))+(SUM(IF((CRDJ[Date]=$A$4)*(CRDJ[Ofc Code]=(TRIM(P$7)))*(CRDJ[Account Code]=(TRIM($D24))),CRDJ[Credit])))+(SUM(IF((GJ[Date]=$A$4)*(GJ[Ofc Code]=(TRIM(P$7)))*(GJ[Account Code]=(TRIM($D24))),GJ[Credit])))-(SUM(IF((CkDJ[Date]=$A$4)*(CkDJ[Ofc Code]=(TRIM(P$7)))*(CkDJ[Account Code]=(TRIM($D24))),CkDJ[Debit])))+(SUM(IF((CsDJ[Date]=$A$4)*(CsDJ[Ofc Code]=(TRIM(P$7)))*(CsDJ[Account Code]=(TRIM($D24))),CsDJ[Debit])))+(SUM(IF((CRDJ[Date]=$A$4)*(CRDJ[Ofc Code]=(TRIM(P$7)))*(CRDJ[Account Code]=(TRIM($D24))),CRDJ[Debit])))+(SUM(IF((GJ[Date]=$A$4)*(GJ[Ofc Code]=(TRIM(P$7)))*(GJ[Account Code]=(TRIM($D24))),GJ[Debit])))</f>
        <v>0</v>
      </c>
      <c r="Q24" s="211">
        <f t="array" ref="Q24">(SUM(IF((CkDJ[Date]=$A$4)*(CkDJ[Ofc Code]=(TRIM(Q$7)))*(CkDJ[Account Code]=(TRIM($D24))),CkDJ[Credit])))+(SUM(IF((CsDJ[Date]=$A$4)*(CsDJ[Ofc Code]=(TRIM(Q$7)))*(CsDJ[Account Code]=(TRIM($D24))),CsDJ[Credit])))+(SUM(IF((CRDJ[Date]=$A$4)*(CRDJ[Ofc Code]=(TRIM(Q$7)))*(CRDJ[Account Code]=(TRIM($D24))),CRDJ[Credit])))+(SUM(IF((GJ[Date]=$A$4)*(GJ[Ofc Code]=(TRIM(Q$7)))*(GJ[Account Code]=(TRIM($D24))),GJ[Credit])))-(SUM(IF((CkDJ[Date]=$A$4)*(CkDJ[Ofc Code]=(TRIM(Q$7)))*(CkDJ[Account Code]=(TRIM($D24))),CkDJ[Debit])))+(SUM(IF((CsDJ[Date]=$A$4)*(CsDJ[Ofc Code]=(TRIM(Q$7)))*(CsDJ[Account Code]=(TRIM($D24))),CsDJ[Debit])))+(SUM(IF((CRDJ[Date]=$A$4)*(CRDJ[Ofc Code]=(TRIM(Q$7)))*(CRDJ[Account Code]=(TRIM($D24))),CRDJ[Debit])))+(SUM(IF((GJ[Date]=$A$4)*(GJ[Ofc Code]=(TRIM(Q$7)))*(GJ[Account Code]=(TRIM($D24))),GJ[Debit])))</f>
        <v>0</v>
      </c>
      <c r="R24" s="211">
        <f t="array" ref="R24">(SUM(IF((CkDJ[Date]=$A$4)*(CkDJ[Ofc Code]=(TRIM(R$7)))*(CkDJ[Account Code]=(TRIM($D24))),CkDJ[Credit])))+(SUM(IF((CsDJ[Date]=$A$4)*(CsDJ[Ofc Code]=(TRIM(R$7)))*(CsDJ[Account Code]=(TRIM($D24))),CsDJ[Credit])))+(SUM(IF((CRDJ[Date]=$A$4)*(CRDJ[Ofc Code]=(TRIM(R$7)))*(CRDJ[Account Code]=(TRIM($D24))),CRDJ[Credit])))+(SUM(IF((GJ[Date]=$A$4)*(GJ[Ofc Code]=(TRIM(R$7)))*(GJ[Account Code]=(TRIM($D24))),GJ[Credit])))-(SUM(IF((CkDJ[Date]=$A$4)*(CkDJ[Ofc Code]=(TRIM(R$7)))*(CkDJ[Account Code]=(TRIM($D24))),CkDJ[Debit])))+(SUM(IF((CsDJ[Date]=$A$4)*(CsDJ[Ofc Code]=(TRIM(R$7)))*(CsDJ[Account Code]=(TRIM($D24))),CsDJ[Debit])))+(SUM(IF((CRDJ[Date]=$A$4)*(CRDJ[Ofc Code]=(TRIM(R$7)))*(CRDJ[Account Code]=(TRIM($D24))),CRDJ[Debit])))+(SUM(IF((GJ[Date]=$A$4)*(GJ[Ofc Code]=(TRIM(R$7)))*(GJ[Account Code]=(TRIM($D24))),GJ[Debit])))</f>
        <v>0</v>
      </c>
      <c r="S24" s="211">
        <f t="array" ref="S24">(SUM(IF((CkDJ[Date]=$A$4)*(CkDJ[Ofc Code]=(TRIM(S$7)))*(CkDJ[Account Code]=(TRIM($D24))),CkDJ[Credit])))+(SUM(IF((CsDJ[Date]=$A$4)*(CsDJ[Ofc Code]=(TRIM(S$7)))*(CsDJ[Account Code]=(TRIM($D24))),CsDJ[Credit])))+(SUM(IF((CRDJ[Date]=$A$4)*(CRDJ[Ofc Code]=(TRIM(S$7)))*(CRDJ[Account Code]=(TRIM($D24))),CRDJ[Credit])))+(SUM(IF((GJ[Date]=$A$4)*(GJ[Ofc Code]=(TRIM(S$7)))*(GJ[Account Code]=(TRIM($D24))),GJ[Credit])))-(SUM(IF((CkDJ[Date]=$A$4)*(CkDJ[Ofc Code]=(TRIM(S$7)))*(CkDJ[Account Code]=(TRIM($D24))),CkDJ[Debit])))+(SUM(IF((CsDJ[Date]=$A$4)*(CsDJ[Ofc Code]=(TRIM(S$7)))*(CsDJ[Account Code]=(TRIM($D24))),CsDJ[Debit])))+(SUM(IF((CRDJ[Date]=$A$4)*(CRDJ[Ofc Code]=(TRIM(S$7)))*(CRDJ[Account Code]=(TRIM($D24))),CRDJ[Debit])))+(SUM(IF((GJ[Date]=$A$4)*(GJ[Ofc Code]=(TRIM(S$7)))*(GJ[Account Code]=(TRIM($D24))),GJ[Debit])))</f>
        <v>0</v>
      </c>
      <c r="T24" s="211">
        <f t="shared" si="3"/>
        <v>0</v>
      </c>
      <c r="U24" s="211">
        <f t="shared" si="4"/>
        <v>0</v>
      </c>
    </row>
    <row r="25" spans="1:21" ht="15">
      <c r="A25" s="212">
        <f t="shared" si="5"/>
        <v>17</v>
      </c>
      <c r="B25" s="194"/>
      <c r="C25" s="194" t="str">
        <f t="shared" si="0"/>
        <v>Interest Income</v>
      </c>
      <c r="D25" s="207" t="s">
        <v>154</v>
      </c>
      <c r="E25" s="211">
        <f t="array" ref="E25">(SUM(IF((CkDJ[Date]=$A$4)*(CkDJ[Ofc Code]=(TRIM(E$7)))*(CkDJ[Account Code]=(TRIM($D25))),CkDJ[Credit])))+(SUM(IF((CsDJ[Date]=$A$4)*(CsDJ[Ofc Code]=(TRIM(E$7)))*(CsDJ[Account Code]=(TRIM($D25))),CsDJ[Credit])))+(SUM(IF((CRDJ[Date]=$A$4)*(CRDJ[Ofc Code]=(TRIM(E$7)))*(CRDJ[Account Code]=(TRIM($D25))),CRDJ[Credit])))+(SUM(IF((GJ[Date]=$A$4)*(GJ[Ofc Code]=(TRIM(E$7)))*(GJ[Account Code]=(TRIM($D25))),GJ[Credit])))-(SUM(IF((CkDJ[Date]=$A$4)*(CkDJ[Ofc Code]=(TRIM(E$7)))*(CkDJ[Account Code]=(TRIM($D25))),CkDJ[Debit])))+(SUM(IF((CsDJ[Date]=$A$4)*(CsDJ[Ofc Code]=(TRIM(E$7)))*(CsDJ[Account Code]=(TRIM($D25))),CsDJ[Debit])))+(SUM(IF((CRDJ[Date]=$A$4)*(CRDJ[Ofc Code]=(TRIM(E$7)))*(CRDJ[Account Code]=(TRIM($D25))),CRDJ[Debit])))+(SUM(IF((GJ[Date]=$A$4)*(GJ[Ofc Code]=(TRIM(E$7)))*(GJ[Account Code]=(TRIM($D25))),GJ[Debit])))</f>
        <v>0</v>
      </c>
      <c r="F25" s="211">
        <f t="array" ref="F25">(SUM(IF((CkDJ[Date]=$A$4)*(CkDJ[Ofc Code]=(TRIM(F$7)))*(CkDJ[Account Code]=(TRIM($D25))),CkDJ[Credit])))+(SUM(IF((CsDJ[Date]=$A$4)*(CsDJ[Ofc Code]=(TRIM(F$7)))*(CsDJ[Account Code]=(TRIM($D25))),CsDJ[Credit])))+(SUM(IF((CRDJ[Date]=$A$4)*(CRDJ[Ofc Code]=(TRIM(F$7)))*(CRDJ[Account Code]=(TRIM($D25))),CRDJ[Credit])))+(SUM(IF((GJ[Date]=$A$4)*(GJ[Ofc Code]=(TRIM(F$7)))*(GJ[Account Code]=(TRIM($D25))),GJ[Credit])))-(SUM(IF((CkDJ[Date]=$A$4)*(CkDJ[Ofc Code]=(TRIM(F$7)))*(CkDJ[Account Code]=(TRIM($D25))),CkDJ[Debit])))+(SUM(IF((CsDJ[Date]=$A$4)*(CsDJ[Ofc Code]=(TRIM(F$7)))*(CsDJ[Account Code]=(TRIM($D25))),CsDJ[Debit])))+(SUM(IF((CRDJ[Date]=$A$4)*(CRDJ[Ofc Code]=(TRIM(F$7)))*(CRDJ[Account Code]=(TRIM($D25))),CRDJ[Debit])))+(SUM(IF((GJ[Date]=$A$4)*(GJ[Ofc Code]=(TRIM(F$7)))*(GJ[Account Code]=(TRIM($D25))),GJ[Debit])))</f>
        <v>0</v>
      </c>
      <c r="G25" s="211">
        <f t="array" ref="G25">(SUM(IF((CkDJ[Date]=$A$4)*(CkDJ[Ofc Code]=(TRIM(G$7)))*(CkDJ[Account Code]=(TRIM($D25))),CkDJ[Credit])))+(SUM(IF((CsDJ[Date]=$A$4)*(CsDJ[Ofc Code]=(TRIM(G$7)))*(CsDJ[Account Code]=(TRIM($D25))),CsDJ[Credit])))+(SUM(IF((CRDJ[Date]=$A$4)*(CRDJ[Ofc Code]=(TRIM(G$7)))*(CRDJ[Account Code]=(TRIM($D25))),CRDJ[Credit])))+(SUM(IF((GJ[Date]=$A$4)*(GJ[Ofc Code]=(TRIM(G$7)))*(GJ[Account Code]=(TRIM($D25))),GJ[Credit])))-(SUM(IF((CkDJ[Date]=$A$4)*(CkDJ[Ofc Code]=(TRIM(G$7)))*(CkDJ[Account Code]=(TRIM($D25))),CkDJ[Debit])))+(SUM(IF((CsDJ[Date]=$A$4)*(CsDJ[Ofc Code]=(TRIM(G$7)))*(CsDJ[Account Code]=(TRIM($D25))),CsDJ[Debit])))+(SUM(IF((CRDJ[Date]=$A$4)*(CRDJ[Ofc Code]=(TRIM(G$7)))*(CRDJ[Account Code]=(TRIM($D25))),CRDJ[Debit])))+(SUM(IF((GJ[Date]=$A$4)*(GJ[Ofc Code]=(TRIM(G$7)))*(GJ[Account Code]=(TRIM($D25))),GJ[Debit])))</f>
        <v>0</v>
      </c>
      <c r="H25" s="211">
        <f t="array" ref="H25">(SUM(IF((CkDJ[Date]=$A$4)*(CkDJ[Ofc Code]=(TRIM(H$7)))*(CkDJ[Account Code]=(TRIM($D25))),CkDJ[Credit])))+(SUM(IF((CsDJ[Date]=$A$4)*(CsDJ[Ofc Code]=(TRIM(H$7)))*(CsDJ[Account Code]=(TRIM($D25))),CsDJ[Credit])))+(SUM(IF((CRDJ[Date]=$A$4)*(CRDJ[Ofc Code]=(TRIM(H$7)))*(CRDJ[Account Code]=(TRIM($D25))),CRDJ[Credit])))+(SUM(IF((GJ[Date]=$A$4)*(GJ[Ofc Code]=(TRIM(H$7)))*(GJ[Account Code]=(TRIM($D25))),GJ[Credit])))-(SUM(IF((CkDJ[Date]=$A$4)*(CkDJ[Ofc Code]=(TRIM(H$7)))*(CkDJ[Account Code]=(TRIM($D25))),CkDJ[Debit])))+(SUM(IF((CsDJ[Date]=$A$4)*(CsDJ[Ofc Code]=(TRIM(H$7)))*(CsDJ[Account Code]=(TRIM($D25))),CsDJ[Debit])))+(SUM(IF((CRDJ[Date]=$A$4)*(CRDJ[Ofc Code]=(TRIM(H$7)))*(CRDJ[Account Code]=(TRIM($D25))),CRDJ[Debit])))+(SUM(IF((GJ[Date]=$A$4)*(GJ[Ofc Code]=(TRIM(H$7)))*(GJ[Account Code]=(TRIM($D25))),GJ[Debit])))</f>
        <v>0</v>
      </c>
      <c r="I25" s="211">
        <f t="shared" si="1"/>
        <v>0</v>
      </c>
      <c r="J25" s="211">
        <f t="array" ref="J25">(SUM(IF((CkDJ[Date]=$A$4)*(CkDJ[Ofc Code]=(TRIM(J$7)))*(CkDJ[Account Code]=(TRIM($D25))),CkDJ[Credit])))+(SUM(IF((CsDJ[Date]=$A$4)*(CsDJ[Ofc Code]=(TRIM(J$7)))*(CsDJ[Account Code]=(TRIM($D25))),CsDJ[Credit])))+(SUM(IF((CRDJ[Date]=$A$4)*(CRDJ[Ofc Code]=(TRIM(J$7)))*(CRDJ[Account Code]=(TRIM($D25))),CRDJ[Credit])))+(SUM(IF((GJ[Date]=$A$4)*(GJ[Ofc Code]=(TRIM(J$7)))*(GJ[Account Code]=(TRIM($D25))),GJ[Credit])))-(SUM(IF((CkDJ[Date]=$A$4)*(CkDJ[Ofc Code]=(TRIM(J$7)))*(CkDJ[Account Code]=(TRIM($D25))),CkDJ[Debit])))+(SUM(IF((CsDJ[Date]=$A$4)*(CsDJ[Ofc Code]=(TRIM(J$7)))*(CsDJ[Account Code]=(TRIM($D25))),CsDJ[Debit])))+(SUM(IF((CRDJ[Date]=$A$4)*(CRDJ[Ofc Code]=(TRIM(J$7)))*(CRDJ[Account Code]=(TRIM($D25))),CRDJ[Debit])))+(SUM(IF((GJ[Date]=$A$4)*(GJ[Ofc Code]=(TRIM(J$7)))*(GJ[Account Code]=(TRIM($D25))),GJ[Debit])))</f>
        <v>0</v>
      </c>
      <c r="K25" s="211">
        <f t="array" ref="K25">(SUM(IF((CkDJ[Date]=$A$4)*(CkDJ[Ofc Code]=(TRIM(K$7)))*(CkDJ[Account Code]=(TRIM($D25))),CkDJ[Credit])))+(SUM(IF((CsDJ[Date]=$A$4)*(CsDJ[Ofc Code]=(TRIM(K$7)))*(CsDJ[Account Code]=(TRIM($D25))),CsDJ[Credit])))+(SUM(IF((CRDJ[Date]=$A$4)*(CRDJ[Ofc Code]=(TRIM(K$7)))*(CRDJ[Account Code]=(TRIM($D25))),CRDJ[Credit])))+(SUM(IF((GJ[Date]=$A$4)*(GJ[Ofc Code]=(TRIM(K$7)))*(GJ[Account Code]=(TRIM($D25))),GJ[Credit])))-(SUM(IF((CkDJ[Date]=$A$4)*(CkDJ[Ofc Code]=(TRIM(K$7)))*(CkDJ[Account Code]=(TRIM($D25))),CkDJ[Debit])))+(SUM(IF((CsDJ[Date]=$A$4)*(CsDJ[Ofc Code]=(TRIM(K$7)))*(CsDJ[Account Code]=(TRIM($D25))),CsDJ[Debit])))+(SUM(IF((CRDJ[Date]=$A$4)*(CRDJ[Ofc Code]=(TRIM(K$7)))*(CRDJ[Account Code]=(TRIM($D25))),CRDJ[Debit])))+(SUM(IF((GJ[Date]=$A$4)*(GJ[Ofc Code]=(TRIM(K$7)))*(GJ[Account Code]=(TRIM($D25))),GJ[Debit])))</f>
        <v>0</v>
      </c>
      <c r="L25" s="211">
        <f t="array" ref="L25">(SUM(IF((CkDJ[Date]=$A$4)*(CkDJ[Ofc Code]=(TRIM(L$7)))*(CkDJ[Account Code]=(TRIM($D25))),CkDJ[Credit])))+(SUM(IF((CsDJ[Date]=$A$4)*(CsDJ[Ofc Code]=(TRIM(L$7)))*(CsDJ[Account Code]=(TRIM($D25))),CsDJ[Credit])))+(SUM(IF((CRDJ[Date]=$A$4)*(CRDJ[Ofc Code]=(TRIM(L$7)))*(CRDJ[Account Code]=(TRIM($D25))),CRDJ[Credit])))+(SUM(IF((GJ[Date]=$A$4)*(GJ[Ofc Code]=(TRIM(L$7)))*(GJ[Account Code]=(TRIM($D25))),GJ[Credit])))-(SUM(IF((CkDJ[Date]=$A$4)*(CkDJ[Ofc Code]=(TRIM(L$7)))*(CkDJ[Account Code]=(TRIM($D25))),CkDJ[Debit])))+(SUM(IF((CsDJ[Date]=$A$4)*(CsDJ[Ofc Code]=(TRIM(L$7)))*(CsDJ[Account Code]=(TRIM($D25))),CsDJ[Debit])))+(SUM(IF((CRDJ[Date]=$A$4)*(CRDJ[Ofc Code]=(TRIM(L$7)))*(CRDJ[Account Code]=(TRIM($D25))),CRDJ[Debit])))+(SUM(IF((GJ[Date]=$A$4)*(GJ[Ofc Code]=(TRIM(L$7)))*(GJ[Account Code]=(TRIM($D25))),GJ[Debit])))</f>
        <v>0</v>
      </c>
      <c r="M25" s="211">
        <f t="array" ref="M25">(SUM(IF((CkDJ[Date]=$A$4)*(CkDJ[Ofc Code]=(TRIM(M$7)))*(CkDJ[Account Code]=(TRIM($D25))),CkDJ[Credit])))+(SUM(IF((CsDJ[Date]=$A$4)*(CsDJ[Ofc Code]=(TRIM(M$7)))*(CsDJ[Account Code]=(TRIM($D25))),CsDJ[Credit])))+(SUM(IF((CRDJ[Date]=$A$4)*(CRDJ[Ofc Code]=(TRIM(M$7)))*(CRDJ[Account Code]=(TRIM($D25))),CRDJ[Credit])))+(SUM(IF((GJ[Date]=$A$4)*(GJ[Ofc Code]=(TRIM(M$7)))*(GJ[Account Code]=(TRIM($D25))),GJ[Credit])))-(SUM(IF((CkDJ[Date]=$A$4)*(CkDJ[Ofc Code]=(TRIM(M$7)))*(CkDJ[Account Code]=(TRIM($D25))),CkDJ[Debit])))+(SUM(IF((CsDJ[Date]=$A$4)*(CsDJ[Ofc Code]=(TRIM(M$7)))*(CsDJ[Account Code]=(TRIM($D25))),CsDJ[Debit])))+(SUM(IF((CRDJ[Date]=$A$4)*(CRDJ[Ofc Code]=(TRIM(M$7)))*(CRDJ[Account Code]=(TRIM($D25))),CRDJ[Debit])))+(SUM(IF((GJ[Date]=$A$4)*(GJ[Ofc Code]=(TRIM(M$7)))*(GJ[Account Code]=(TRIM($D25))),GJ[Debit])))</f>
        <v>0</v>
      </c>
      <c r="N25" s="211">
        <f t="shared" si="2"/>
        <v>0</v>
      </c>
      <c r="O25" s="211">
        <f t="array" ref="O25">(SUM(IF((CkDJ[Date]=$A$4)*(CkDJ[Ofc Code]=(TRIM(O$7)))*(CkDJ[Account Code]=(TRIM($D25))),CkDJ[Credit])))+(SUM(IF((CsDJ[Date]=$A$4)*(CsDJ[Ofc Code]=(TRIM(O$7)))*(CsDJ[Account Code]=(TRIM($D25))),CsDJ[Credit])))+(SUM(IF((CRDJ[Date]=$A$4)*(CRDJ[Ofc Code]=(TRIM(O$7)))*(CRDJ[Account Code]=(TRIM($D25))),CRDJ[Credit])))+(SUM(IF((GJ[Date]=$A$4)*(GJ[Ofc Code]=(TRIM(O$7)))*(GJ[Account Code]=(TRIM($D25))),GJ[Credit])))-(SUM(IF((CkDJ[Date]=$A$4)*(CkDJ[Ofc Code]=(TRIM(O$7)))*(CkDJ[Account Code]=(TRIM($D25))),CkDJ[Debit])))+(SUM(IF((CsDJ[Date]=$A$4)*(CsDJ[Ofc Code]=(TRIM(O$7)))*(CsDJ[Account Code]=(TRIM($D25))),CsDJ[Debit])))+(SUM(IF((CRDJ[Date]=$A$4)*(CRDJ[Ofc Code]=(TRIM(O$7)))*(CRDJ[Account Code]=(TRIM($D25))),CRDJ[Debit])))+(SUM(IF((GJ[Date]=$A$4)*(GJ[Ofc Code]=(TRIM(O$7)))*(GJ[Account Code]=(TRIM($D25))),GJ[Debit])))</f>
        <v>0</v>
      </c>
      <c r="P25" s="211">
        <f t="array" ref="P25">(SUM(IF((CkDJ[Date]=$A$4)*(CkDJ[Ofc Code]=(TRIM(P$7)))*(CkDJ[Account Code]=(TRIM($D25))),CkDJ[Credit])))+(SUM(IF((CsDJ[Date]=$A$4)*(CsDJ[Ofc Code]=(TRIM(P$7)))*(CsDJ[Account Code]=(TRIM($D25))),CsDJ[Credit])))+(SUM(IF((CRDJ[Date]=$A$4)*(CRDJ[Ofc Code]=(TRIM(P$7)))*(CRDJ[Account Code]=(TRIM($D25))),CRDJ[Credit])))+(SUM(IF((GJ[Date]=$A$4)*(GJ[Ofc Code]=(TRIM(P$7)))*(GJ[Account Code]=(TRIM($D25))),GJ[Credit])))-(SUM(IF((CkDJ[Date]=$A$4)*(CkDJ[Ofc Code]=(TRIM(P$7)))*(CkDJ[Account Code]=(TRIM($D25))),CkDJ[Debit])))+(SUM(IF((CsDJ[Date]=$A$4)*(CsDJ[Ofc Code]=(TRIM(P$7)))*(CsDJ[Account Code]=(TRIM($D25))),CsDJ[Debit])))+(SUM(IF((CRDJ[Date]=$A$4)*(CRDJ[Ofc Code]=(TRIM(P$7)))*(CRDJ[Account Code]=(TRIM($D25))),CRDJ[Debit])))+(SUM(IF((GJ[Date]=$A$4)*(GJ[Ofc Code]=(TRIM(P$7)))*(GJ[Account Code]=(TRIM($D25))),GJ[Debit])))</f>
        <v>0</v>
      </c>
      <c r="Q25" s="211">
        <f t="array" ref="Q25">(SUM(IF((CkDJ[Date]=$A$4)*(CkDJ[Ofc Code]=(TRIM(Q$7)))*(CkDJ[Account Code]=(TRIM($D25))),CkDJ[Credit])))+(SUM(IF((CsDJ[Date]=$A$4)*(CsDJ[Ofc Code]=(TRIM(Q$7)))*(CsDJ[Account Code]=(TRIM($D25))),CsDJ[Credit])))+(SUM(IF((CRDJ[Date]=$A$4)*(CRDJ[Ofc Code]=(TRIM(Q$7)))*(CRDJ[Account Code]=(TRIM($D25))),CRDJ[Credit])))+(SUM(IF((GJ[Date]=$A$4)*(GJ[Ofc Code]=(TRIM(Q$7)))*(GJ[Account Code]=(TRIM($D25))),GJ[Credit])))-(SUM(IF((CkDJ[Date]=$A$4)*(CkDJ[Ofc Code]=(TRIM(Q$7)))*(CkDJ[Account Code]=(TRIM($D25))),CkDJ[Debit])))+(SUM(IF((CsDJ[Date]=$A$4)*(CsDJ[Ofc Code]=(TRIM(Q$7)))*(CsDJ[Account Code]=(TRIM($D25))),CsDJ[Debit])))+(SUM(IF((CRDJ[Date]=$A$4)*(CRDJ[Ofc Code]=(TRIM(Q$7)))*(CRDJ[Account Code]=(TRIM($D25))),CRDJ[Debit])))+(SUM(IF((GJ[Date]=$A$4)*(GJ[Ofc Code]=(TRIM(Q$7)))*(GJ[Account Code]=(TRIM($D25))),GJ[Debit])))</f>
        <v>0</v>
      </c>
      <c r="R25" s="211">
        <f t="array" ref="R25">(SUM(IF((CkDJ[Date]=$A$4)*(CkDJ[Ofc Code]=(TRIM(R$7)))*(CkDJ[Account Code]=(TRIM($D25))),CkDJ[Credit])))+(SUM(IF((CsDJ[Date]=$A$4)*(CsDJ[Ofc Code]=(TRIM(R$7)))*(CsDJ[Account Code]=(TRIM($D25))),CsDJ[Credit])))+(SUM(IF((CRDJ[Date]=$A$4)*(CRDJ[Ofc Code]=(TRIM(R$7)))*(CRDJ[Account Code]=(TRIM($D25))),CRDJ[Credit])))+(SUM(IF((GJ[Date]=$A$4)*(GJ[Ofc Code]=(TRIM(R$7)))*(GJ[Account Code]=(TRIM($D25))),GJ[Credit])))-(SUM(IF((CkDJ[Date]=$A$4)*(CkDJ[Ofc Code]=(TRIM(R$7)))*(CkDJ[Account Code]=(TRIM($D25))),CkDJ[Debit])))+(SUM(IF((CsDJ[Date]=$A$4)*(CsDJ[Ofc Code]=(TRIM(R$7)))*(CsDJ[Account Code]=(TRIM($D25))),CsDJ[Debit])))+(SUM(IF((CRDJ[Date]=$A$4)*(CRDJ[Ofc Code]=(TRIM(R$7)))*(CRDJ[Account Code]=(TRIM($D25))),CRDJ[Debit])))+(SUM(IF((GJ[Date]=$A$4)*(GJ[Ofc Code]=(TRIM(R$7)))*(GJ[Account Code]=(TRIM($D25))),GJ[Debit])))</f>
        <v>0</v>
      </c>
      <c r="S25" s="211">
        <f t="array" ref="S25">(SUM(IF((CkDJ[Date]=$A$4)*(CkDJ[Ofc Code]=(TRIM(S$7)))*(CkDJ[Account Code]=(TRIM($D25))),CkDJ[Credit])))+(SUM(IF((CsDJ[Date]=$A$4)*(CsDJ[Ofc Code]=(TRIM(S$7)))*(CsDJ[Account Code]=(TRIM($D25))),CsDJ[Credit])))+(SUM(IF((CRDJ[Date]=$A$4)*(CRDJ[Ofc Code]=(TRIM(S$7)))*(CRDJ[Account Code]=(TRIM($D25))),CRDJ[Credit])))+(SUM(IF((GJ[Date]=$A$4)*(GJ[Ofc Code]=(TRIM(S$7)))*(GJ[Account Code]=(TRIM($D25))),GJ[Credit])))-(SUM(IF((CkDJ[Date]=$A$4)*(CkDJ[Ofc Code]=(TRIM(S$7)))*(CkDJ[Account Code]=(TRIM($D25))),CkDJ[Debit])))+(SUM(IF((CsDJ[Date]=$A$4)*(CsDJ[Ofc Code]=(TRIM(S$7)))*(CsDJ[Account Code]=(TRIM($D25))),CsDJ[Debit])))+(SUM(IF((CRDJ[Date]=$A$4)*(CRDJ[Ofc Code]=(TRIM(S$7)))*(CRDJ[Account Code]=(TRIM($D25))),CRDJ[Debit])))+(SUM(IF((GJ[Date]=$A$4)*(GJ[Ofc Code]=(TRIM(S$7)))*(GJ[Account Code]=(TRIM($D25))),GJ[Debit])))</f>
        <v>0</v>
      </c>
      <c r="T25" s="211">
        <f t="shared" si="3"/>
        <v>0</v>
      </c>
      <c r="U25" s="211">
        <f t="shared" si="4"/>
        <v>0</v>
      </c>
    </row>
    <row r="26" spans="1:21" ht="15">
      <c r="A26" s="212">
        <f t="shared" si="5"/>
        <v>18</v>
      </c>
      <c r="B26" s="194"/>
      <c r="C26" s="194" t="str">
        <f t="shared" si="0"/>
        <v>Miscellaneous Income (Bid Documents)</v>
      </c>
      <c r="D26" s="207" t="s">
        <v>155</v>
      </c>
      <c r="E26" s="211">
        <f t="array" ref="E26">(SUM(IF((CkDJ[Date]=$A$4)*(CkDJ[Ofc Code]=(TRIM(E$7)))*(CkDJ[Account Code]=(TRIM($D26))),CkDJ[Credit])))+(SUM(IF((CsDJ[Date]=$A$4)*(CsDJ[Ofc Code]=(TRIM(E$7)))*(CsDJ[Account Code]=(TRIM($D26))),CsDJ[Credit])))+(SUM(IF((CRDJ[Date]=$A$4)*(CRDJ[Ofc Code]=(TRIM(E$7)))*(CRDJ[Account Code]=(TRIM($D26))),CRDJ[Credit])))+(SUM(IF((GJ[Date]=$A$4)*(GJ[Ofc Code]=(TRIM(E$7)))*(GJ[Account Code]=(TRIM($D26))),GJ[Credit])))-(SUM(IF((CkDJ[Date]=$A$4)*(CkDJ[Ofc Code]=(TRIM(E$7)))*(CkDJ[Account Code]=(TRIM($D26))),CkDJ[Debit])))+(SUM(IF((CsDJ[Date]=$A$4)*(CsDJ[Ofc Code]=(TRIM(E$7)))*(CsDJ[Account Code]=(TRIM($D26))),CsDJ[Debit])))+(SUM(IF((CRDJ[Date]=$A$4)*(CRDJ[Ofc Code]=(TRIM(E$7)))*(CRDJ[Account Code]=(TRIM($D26))),CRDJ[Debit])))+(SUM(IF((GJ[Date]=$A$4)*(GJ[Ofc Code]=(TRIM(E$7)))*(GJ[Account Code]=(TRIM($D26))),GJ[Debit])))</f>
        <v>0</v>
      </c>
      <c r="F26" s="211">
        <f t="array" ref="F26">(SUM(IF((CkDJ[Date]=$A$4)*(CkDJ[Ofc Code]=(TRIM(F$7)))*(CkDJ[Account Code]=(TRIM($D26))),CkDJ[Credit])))+(SUM(IF((CsDJ[Date]=$A$4)*(CsDJ[Ofc Code]=(TRIM(F$7)))*(CsDJ[Account Code]=(TRIM($D26))),CsDJ[Credit])))+(SUM(IF((CRDJ[Date]=$A$4)*(CRDJ[Ofc Code]=(TRIM(F$7)))*(CRDJ[Account Code]=(TRIM($D26))),CRDJ[Credit])))+(SUM(IF((GJ[Date]=$A$4)*(GJ[Ofc Code]=(TRIM(F$7)))*(GJ[Account Code]=(TRIM($D26))),GJ[Credit])))-(SUM(IF((CkDJ[Date]=$A$4)*(CkDJ[Ofc Code]=(TRIM(F$7)))*(CkDJ[Account Code]=(TRIM($D26))),CkDJ[Debit])))+(SUM(IF((CsDJ[Date]=$A$4)*(CsDJ[Ofc Code]=(TRIM(F$7)))*(CsDJ[Account Code]=(TRIM($D26))),CsDJ[Debit])))+(SUM(IF((CRDJ[Date]=$A$4)*(CRDJ[Ofc Code]=(TRIM(F$7)))*(CRDJ[Account Code]=(TRIM($D26))),CRDJ[Debit])))+(SUM(IF((GJ[Date]=$A$4)*(GJ[Ofc Code]=(TRIM(F$7)))*(GJ[Account Code]=(TRIM($D26))),GJ[Debit])))</f>
        <v>0</v>
      </c>
      <c r="G26" s="211">
        <f t="array" ref="G26">(SUM(IF((CkDJ[Date]=$A$4)*(CkDJ[Ofc Code]=(TRIM(G$7)))*(CkDJ[Account Code]=(TRIM($D26))),CkDJ[Credit])))+(SUM(IF((CsDJ[Date]=$A$4)*(CsDJ[Ofc Code]=(TRIM(G$7)))*(CsDJ[Account Code]=(TRIM($D26))),CsDJ[Credit])))+(SUM(IF((CRDJ[Date]=$A$4)*(CRDJ[Ofc Code]=(TRIM(G$7)))*(CRDJ[Account Code]=(TRIM($D26))),CRDJ[Credit])))+(SUM(IF((GJ[Date]=$A$4)*(GJ[Ofc Code]=(TRIM(G$7)))*(GJ[Account Code]=(TRIM($D26))),GJ[Credit])))-(SUM(IF((CkDJ[Date]=$A$4)*(CkDJ[Ofc Code]=(TRIM(G$7)))*(CkDJ[Account Code]=(TRIM($D26))),CkDJ[Debit])))+(SUM(IF((CsDJ[Date]=$A$4)*(CsDJ[Ofc Code]=(TRIM(G$7)))*(CsDJ[Account Code]=(TRIM($D26))),CsDJ[Debit])))+(SUM(IF((CRDJ[Date]=$A$4)*(CRDJ[Ofc Code]=(TRIM(G$7)))*(CRDJ[Account Code]=(TRIM($D26))),CRDJ[Debit])))+(SUM(IF((GJ[Date]=$A$4)*(GJ[Ofc Code]=(TRIM(G$7)))*(GJ[Account Code]=(TRIM($D26))),GJ[Debit])))</f>
        <v>0</v>
      </c>
      <c r="H26" s="211">
        <f t="array" ref="H26">(SUM(IF((CkDJ[Date]=$A$4)*(CkDJ[Ofc Code]=(TRIM(H$7)))*(CkDJ[Account Code]=(TRIM($D26))),CkDJ[Credit])))+(SUM(IF((CsDJ[Date]=$A$4)*(CsDJ[Ofc Code]=(TRIM(H$7)))*(CsDJ[Account Code]=(TRIM($D26))),CsDJ[Credit])))+(SUM(IF((CRDJ[Date]=$A$4)*(CRDJ[Ofc Code]=(TRIM(H$7)))*(CRDJ[Account Code]=(TRIM($D26))),CRDJ[Credit])))+(SUM(IF((GJ[Date]=$A$4)*(GJ[Ofc Code]=(TRIM(H$7)))*(GJ[Account Code]=(TRIM($D26))),GJ[Credit])))-(SUM(IF((CkDJ[Date]=$A$4)*(CkDJ[Ofc Code]=(TRIM(H$7)))*(CkDJ[Account Code]=(TRIM($D26))),CkDJ[Debit])))+(SUM(IF((CsDJ[Date]=$A$4)*(CsDJ[Ofc Code]=(TRIM(H$7)))*(CsDJ[Account Code]=(TRIM($D26))),CsDJ[Debit])))+(SUM(IF((CRDJ[Date]=$A$4)*(CRDJ[Ofc Code]=(TRIM(H$7)))*(CRDJ[Account Code]=(TRIM($D26))),CRDJ[Debit])))+(SUM(IF((GJ[Date]=$A$4)*(GJ[Ofc Code]=(TRIM(H$7)))*(GJ[Account Code]=(TRIM($D26))),GJ[Debit])))</f>
        <v>0</v>
      </c>
      <c r="I26" s="211">
        <f t="shared" si="1"/>
        <v>0</v>
      </c>
      <c r="J26" s="211">
        <f t="array" ref="J26">(SUM(IF((CkDJ[Date]=$A$4)*(CkDJ[Ofc Code]=(TRIM(J$7)))*(CkDJ[Account Code]=(TRIM($D26))),CkDJ[Credit])))+(SUM(IF((CsDJ[Date]=$A$4)*(CsDJ[Ofc Code]=(TRIM(J$7)))*(CsDJ[Account Code]=(TRIM($D26))),CsDJ[Credit])))+(SUM(IF((CRDJ[Date]=$A$4)*(CRDJ[Ofc Code]=(TRIM(J$7)))*(CRDJ[Account Code]=(TRIM($D26))),CRDJ[Credit])))+(SUM(IF((GJ[Date]=$A$4)*(GJ[Ofc Code]=(TRIM(J$7)))*(GJ[Account Code]=(TRIM($D26))),GJ[Credit])))-(SUM(IF((CkDJ[Date]=$A$4)*(CkDJ[Ofc Code]=(TRIM(J$7)))*(CkDJ[Account Code]=(TRIM($D26))),CkDJ[Debit])))+(SUM(IF((CsDJ[Date]=$A$4)*(CsDJ[Ofc Code]=(TRIM(J$7)))*(CsDJ[Account Code]=(TRIM($D26))),CsDJ[Debit])))+(SUM(IF((CRDJ[Date]=$A$4)*(CRDJ[Ofc Code]=(TRIM(J$7)))*(CRDJ[Account Code]=(TRIM($D26))),CRDJ[Debit])))+(SUM(IF((GJ[Date]=$A$4)*(GJ[Ofc Code]=(TRIM(J$7)))*(GJ[Account Code]=(TRIM($D26))),GJ[Debit])))</f>
        <v>0</v>
      </c>
      <c r="K26" s="211">
        <f t="array" ref="K26">(SUM(IF((CkDJ[Date]=$A$4)*(CkDJ[Ofc Code]=(TRIM(K$7)))*(CkDJ[Account Code]=(TRIM($D26))),CkDJ[Credit])))+(SUM(IF((CsDJ[Date]=$A$4)*(CsDJ[Ofc Code]=(TRIM(K$7)))*(CsDJ[Account Code]=(TRIM($D26))),CsDJ[Credit])))+(SUM(IF((CRDJ[Date]=$A$4)*(CRDJ[Ofc Code]=(TRIM(K$7)))*(CRDJ[Account Code]=(TRIM($D26))),CRDJ[Credit])))+(SUM(IF((GJ[Date]=$A$4)*(GJ[Ofc Code]=(TRIM(K$7)))*(GJ[Account Code]=(TRIM($D26))),GJ[Credit])))-(SUM(IF((CkDJ[Date]=$A$4)*(CkDJ[Ofc Code]=(TRIM(K$7)))*(CkDJ[Account Code]=(TRIM($D26))),CkDJ[Debit])))+(SUM(IF((CsDJ[Date]=$A$4)*(CsDJ[Ofc Code]=(TRIM(K$7)))*(CsDJ[Account Code]=(TRIM($D26))),CsDJ[Debit])))+(SUM(IF((CRDJ[Date]=$A$4)*(CRDJ[Ofc Code]=(TRIM(K$7)))*(CRDJ[Account Code]=(TRIM($D26))),CRDJ[Debit])))+(SUM(IF((GJ[Date]=$A$4)*(GJ[Ofc Code]=(TRIM(K$7)))*(GJ[Account Code]=(TRIM($D26))),GJ[Debit])))</f>
        <v>0</v>
      </c>
      <c r="L26" s="211">
        <f t="array" ref="L26">(SUM(IF((CkDJ[Date]=$A$4)*(CkDJ[Ofc Code]=(TRIM(L$7)))*(CkDJ[Account Code]=(TRIM($D26))),CkDJ[Credit])))+(SUM(IF((CsDJ[Date]=$A$4)*(CsDJ[Ofc Code]=(TRIM(L$7)))*(CsDJ[Account Code]=(TRIM($D26))),CsDJ[Credit])))+(SUM(IF((CRDJ[Date]=$A$4)*(CRDJ[Ofc Code]=(TRIM(L$7)))*(CRDJ[Account Code]=(TRIM($D26))),CRDJ[Credit])))+(SUM(IF((GJ[Date]=$A$4)*(GJ[Ofc Code]=(TRIM(L$7)))*(GJ[Account Code]=(TRIM($D26))),GJ[Credit])))-(SUM(IF((CkDJ[Date]=$A$4)*(CkDJ[Ofc Code]=(TRIM(L$7)))*(CkDJ[Account Code]=(TRIM($D26))),CkDJ[Debit])))+(SUM(IF((CsDJ[Date]=$A$4)*(CsDJ[Ofc Code]=(TRIM(L$7)))*(CsDJ[Account Code]=(TRIM($D26))),CsDJ[Debit])))+(SUM(IF((CRDJ[Date]=$A$4)*(CRDJ[Ofc Code]=(TRIM(L$7)))*(CRDJ[Account Code]=(TRIM($D26))),CRDJ[Debit])))+(SUM(IF((GJ[Date]=$A$4)*(GJ[Ofc Code]=(TRIM(L$7)))*(GJ[Account Code]=(TRIM($D26))),GJ[Debit])))</f>
        <v>0</v>
      </c>
      <c r="M26" s="211">
        <f t="array" ref="M26">(SUM(IF((CkDJ[Date]=$A$4)*(CkDJ[Ofc Code]=(TRIM(M$7)))*(CkDJ[Account Code]=(TRIM($D26))),CkDJ[Credit])))+(SUM(IF((CsDJ[Date]=$A$4)*(CsDJ[Ofc Code]=(TRIM(M$7)))*(CsDJ[Account Code]=(TRIM($D26))),CsDJ[Credit])))+(SUM(IF((CRDJ[Date]=$A$4)*(CRDJ[Ofc Code]=(TRIM(M$7)))*(CRDJ[Account Code]=(TRIM($D26))),CRDJ[Credit])))+(SUM(IF((GJ[Date]=$A$4)*(GJ[Ofc Code]=(TRIM(M$7)))*(GJ[Account Code]=(TRIM($D26))),GJ[Credit])))-(SUM(IF((CkDJ[Date]=$A$4)*(CkDJ[Ofc Code]=(TRIM(M$7)))*(CkDJ[Account Code]=(TRIM($D26))),CkDJ[Debit])))+(SUM(IF((CsDJ[Date]=$A$4)*(CsDJ[Ofc Code]=(TRIM(M$7)))*(CsDJ[Account Code]=(TRIM($D26))),CsDJ[Debit])))+(SUM(IF((CRDJ[Date]=$A$4)*(CRDJ[Ofc Code]=(TRIM(M$7)))*(CRDJ[Account Code]=(TRIM($D26))),CRDJ[Debit])))+(SUM(IF((GJ[Date]=$A$4)*(GJ[Ofc Code]=(TRIM(M$7)))*(GJ[Account Code]=(TRIM($D26))),GJ[Debit])))</f>
        <v>0</v>
      </c>
      <c r="N26" s="211">
        <f t="shared" si="2"/>
        <v>0</v>
      </c>
      <c r="O26" s="211">
        <f t="array" ref="O26">(SUM(IF((CkDJ[Date]=$A$4)*(CkDJ[Ofc Code]=(TRIM(O$7)))*(CkDJ[Account Code]=(TRIM($D26))),CkDJ[Credit])))+(SUM(IF((CsDJ[Date]=$A$4)*(CsDJ[Ofc Code]=(TRIM(O$7)))*(CsDJ[Account Code]=(TRIM($D26))),CsDJ[Credit])))+(SUM(IF((CRDJ[Date]=$A$4)*(CRDJ[Ofc Code]=(TRIM(O$7)))*(CRDJ[Account Code]=(TRIM($D26))),CRDJ[Credit])))+(SUM(IF((GJ[Date]=$A$4)*(GJ[Ofc Code]=(TRIM(O$7)))*(GJ[Account Code]=(TRIM($D26))),GJ[Credit])))-(SUM(IF((CkDJ[Date]=$A$4)*(CkDJ[Ofc Code]=(TRIM(O$7)))*(CkDJ[Account Code]=(TRIM($D26))),CkDJ[Debit])))+(SUM(IF((CsDJ[Date]=$A$4)*(CsDJ[Ofc Code]=(TRIM(O$7)))*(CsDJ[Account Code]=(TRIM($D26))),CsDJ[Debit])))+(SUM(IF((CRDJ[Date]=$A$4)*(CRDJ[Ofc Code]=(TRIM(O$7)))*(CRDJ[Account Code]=(TRIM($D26))),CRDJ[Debit])))+(SUM(IF((GJ[Date]=$A$4)*(GJ[Ofc Code]=(TRIM(O$7)))*(GJ[Account Code]=(TRIM($D26))),GJ[Debit])))</f>
        <v>0</v>
      </c>
      <c r="P26" s="211">
        <f t="array" ref="P26">(SUM(IF((CkDJ[Date]=$A$4)*(CkDJ[Ofc Code]=(TRIM(P$7)))*(CkDJ[Account Code]=(TRIM($D26))),CkDJ[Credit])))+(SUM(IF((CsDJ[Date]=$A$4)*(CsDJ[Ofc Code]=(TRIM(P$7)))*(CsDJ[Account Code]=(TRIM($D26))),CsDJ[Credit])))+(SUM(IF((CRDJ[Date]=$A$4)*(CRDJ[Ofc Code]=(TRIM(P$7)))*(CRDJ[Account Code]=(TRIM($D26))),CRDJ[Credit])))+(SUM(IF((GJ[Date]=$A$4)*(GJ[Ofc Code]=(TRIM(P$7)))*(GJ[Account Code]=(TRIM($D26))),GJ[Credit])))-(SUM(IF((CkDJ[Date]=$A$4)*(CkDJ[Ofc Code]=(TRIM(P$7)))*(CkDJ[Account Code]=(TRIM($D26))),CkDJ[Debit])))+(SUM(IF((CsDJ[Date]=$A$4)*(CsDJ[Ofc Code]=(TRIM(P$7)))*(CsDJ[Account Code]=(TRIM($D26))),CsDJ[Debit])))+(SUM(IF((CRDJ[Date]=$A$4)*(CRDJ[Ofc Code]=(TRIM(P$7)))*(CRDJ[Account Code]=(TRIM($D26))),CRDJ[Debit])))+(SUM(IF((GJ[Date]=$A$4)*(GJ[Ofc Code]=(TRIM(P$7)))*(GJ[Account Code]=(TRIM($D26))),GJ[Debit])))</f>
        <v>0</v>
      </c>
      <c r="Q26" s="211">
        <f t="array" ref="Q26">(SUM(IF((CkDJ[Date]=$A$4)*(CkDJ[Ofc Code]=(TRIM(Q$7)))*(CkDJ[Account Code]=(TRIM($D26))),CkDJ[Credit])))+(SUM(IF((CsDJ[Date]=$A$4)*(CsDJ[Ofc Code]=(TRIM(Q$7)))*(CsDJ[Account Code]=(TRIM($D26))),CsDJ[Credit])))+(SUM(IF((CRDJ[Date]=$A$4)*(CRDJ[Ofc Code]=(TRIM(Q$7)))*(CRDJ[Account Code]=(TRIM($D26))),CRDJ[Credit])))+(SUM(IF((GJ[Date]=$A$4)*(GJ[Ofc Code]=(TRIM(Q$7)))*(GJ[Account Code]=(TRIM($D26))),GJ[Credit])))-(SUM(IF((CkDJ[Date]=$A$4)*(CkDJ[Ofc Code]=(TRIM(Q$7)))*(CkDJ[Account Code]=(TRIM($D26))),CkDJ[Debit])))+(SUM(IF((CsDJ[Date]=$A$4)*(CsDJ[Ofc Code]=(TRIM(Q$7)))*(CsDJ[Account Code]=(TRIM($D26))),CsDJ[Debit])))+(SUM(IF((CRDJ[Date]=$A$4)*(CRDJ[Ofc Code]=(TRIM(Q$7)))*(CRDJ[Account Code]=(TRIM($D26))),CRDJ[Debit])))+(SUM(IF((GJ[Date]=$A$4)*(GJ[Ofc Code]=(TRIM(Q$7)))*(GJ[Account Code]=(TRIM($D26))),GJ[Debit])))</f>
        <v>0</v>
      </c>
      <c r="R26" s="211">
        <f t="array" ref="R26">(SUM(IF((CkDJ[Date]=$A$4)*(CkDJ[Ofc Code]=(TRIM(R$7)))*(CkDJ[Account Code]=(TRIM($D26))),CkDJ[Credit])))+(SUM(IF((CsDJ[Date]=$A$4)*(CsDJ[Ofc Code]=(TRIM(R$7)))*(CsDJ[Account Code]=(TRIM($D26))),CsDJ[Credit])))+(SUM(IF((CRDJ[Date]=$A$4)*(CRDJ[Ofc Code]=(TRIM(R$7)))*(CRDJ[Account Code]=(TRIM($D26))),CRDJ[Credit])))+(SUM(IF((GJ[Date]=$A$4)*(GJ[Ofc Code]=(TRIM(R$7)))*(GJ[Account Code]=(TRIM($D26))),GJ[Credit])))-(SUM(IF((CkDJ[Date]=$A$4)*(CkDJ[Ofc Code]=(TRIM(R$7)))*(CkDJ[Account Code]=(TRIM($D26))),CkDJ[Debit])))+(SUM(IF((CsDJ[Date]=$A$4)*(CsDJ[Ofc Code]=(TRIM(R$7)))*(CsDJ[Account Code]=(TRIM($D26))),CsDJ[Debit])))+(SUM(IF((CRDJ[Date]=$A$4)*(CRDJ[Ofc Code]=(TRIM(R$7)))*(CRDJ[Account Code]=(TRIM($D26))),CRDJ[Debit])))+(SUM(IF((GJ[Date]=$A$4)*(GJ[Ofc Code]=(TRIM(R$7)))*(GJ[Account Code]=(TRIM($D26))),GJ[Debit])))</f>
        <v>0</v>
      </c>
      <c r="S26" s="211">
        <f t="array" ref="S26">(SUM(IF((CkDJ[Date]=$A$4)*(CkDJ[Ofc Code]=(TRIM(S$7)))*(CkDJ[Account Code]=(TRIM($D26))),CkDJ[Credit])))+(SUM(IF((CsDJ[Date]=$A$4)*(CsDJ[Ofc Code]=(TRIM(S$7)))*(CsDJ[Account Code]=(TRIM($D26))),CsDJ[Credit])))+(SUM(IF((CRDJ[Date]=$A$4)*(CRDJ[Ofc Code]=(TRIM(S$7)))*(CRDJ[Account Code]=(TRIM($D26))),CRDJ[Credit])))+(SUM(IF((GJ[Date]=$A$4)*(GJ[Ofc Code]=(TRIM(S$7)))*(GJ[Account Code]=(TRIM($D26))),GJ[Credit])))-(SUM(IF((CkDJ[Date]=$A$4)*(CkDJ[Ofc Code]=(TRIM(S$7)))*(CkDJ[Account Code]=(TRIM($D26))),CkDJ[Debit])))+(SUM(IF((CsDJ[Date]=$A$4)*(CsDJ[Ofc Code]=(TRIM(S$7)))*(CsDJ[Account Code]=(TRIM($D26))),CsDJ[Debit])))+(SUM(IF((CRDJ[Date]=$A$4)*(CRDJ[Ofc Code]=(TRIM(S$7)))*(CRDJ[Account Code]=(TRIM($D26))),CRDJ[Debit])))+(SUM(IF((GJ[Date]=$A$4)*(GJ[Ofc Code]=(TRIM(S$7)))*(GJ[Account Code]=(TRIM($D26))),GJ[Debit])))</f>
        <v>0</v>
      </c>
      <c r="T26" s="211">
        <f t="shared" si="3"/>
        <v>0</v>
      </c>
      <c r="U26" s="211">
        <f t="shared" si="4"/>
        <v>0</v>
      </c>
    </row>
    <row r="27" spans="1:21" ht="15">
      <c r="A27" s="212">
        <f t="shared" si="5"/>
        <v>19</v>
      </c>
      <c r="B27" s="194"/>
      <c r="C27" s="194" t="e">
        <f t="shared" si="0"/>
        <v>#N/A</v>
      </c>
      <c r="D27" s="207" t="s">
        <v>157</v>
      </c>
      <c r="E27" s="211">
        <f t="array" ref="E27">(SUM(IF((CkDJ[Date]=$A$4)*(CkDJ[Ofc Code]=(TRIM(E$7)))*(CkDJ[Account Code]=(TRIM($D27))),CkDJ[Credit])))+(SUM(IF((CsDJ[Date]=$A$4)*(CsDJ[Ofc Code]=(TRIM(E$7)))*(CsDJ[Account Code]=(TRIM($D27))),CsDJ[Credit])))+(SUM(IF((CRDJ[Date]=$A$4)*(CRDJ[Ofc Code]=(TRIM(E$7)))*(CRDJ[Account Code]=(TRIM($D27))),CRDJ[Credit])))+(SUM(IF((GJ[Date]=$A$4)*(GJ[Ofc Code]=(TRIM(E$7)))*(GJ[Account Code]=(TRIM($D27))),GJ[Credit])))-(SUM(IF((CkDJ[Date]=$A$4)*(CkDJ[Ofc Code]=(TRIM(E$7)))*(CkDJ[Account Code]=(TRIM($D27))),CkDJ[Debit])))+(SUM(IF((CsDJ[Date]=$A$4)*(CsDJ[Ofc Code]=(TRIM(E$7)))*(CsDJ[Account Code]=(TRIM($D27))),CsDJ[Debit])))+(SUM(IF((CRDJ[Date]=$A$4)*(CRDJ[Ofc Code]=(TRIM(E$7)))*(CRDJ[Account Code]=(TRIM($D27))),CRDJ[Debit])))+(SUM(IF((GJ[Date]=$A$4)*(GJ[Ofc Code]=(TRIM(E$7)))*(GJ[Account Code]=(TRIM($D27))),GJ[Debit])))</f>
        <v>0</v>
      </c>
      <c r="F27" s="211">
        <f t="array" ref="F27">(SUM(IF((CkDJ[Date]=$A$4)*(CkDJ[Ofc Code]=(TRIM(F$7)))*(CkDJ[Account Code]=(TRIM($D27))),CkDJ[Credit])))+(SUM(IF((CsDJ[Date]=$A$4)*(CsDJ[Ofc Code]=(TRIM(F$7)))*(CsDJ[Account Code]=(TRIM($D27))),CsDJ[Credit])))+(SUM(IF((CRDJ[Date]=$A$4)*(CRDJ[Ofc Code]=(TRIM(F$7)))*(CRDJ[Account Code]=(TRIM($D27))),CRDJ[Credit])))+(SUM(IF((GJ[Date]=$A$4)*(GJ[Ofc Code]=(TRIM(F$7)))*(GJ[Account Code]=(TRIM($D27))),GJ[Credit])))-(SUM(IF((CkDJ[Date]=$A$4)*(CkDJ[Ofc Code]=(TRIM(F$7)))*(CkDJ[Account Code]=(TRIM($D27))),CkDJ[Debit])))+(SUM(IF((CsDJ[Date]=$A$4)*(CsDJ[Ofc Code]=(TRIM(F$7)))*(CsDJ[Account Code]=(TRIM($D27))),CsDJ[Debit])))+(SUM(IF((CRDJ[Date]=$A$4)*(CRDJ[Ofc Code]=(TRIM(F$7)))*(CRDJ[Account Code]=(TRIM($D27))),CRDJ[Debit])))+(SUM(IF((GJ[Date]=$A$4)*(GJ[Ofc Code]=(TRIM(F$7)))*(GJ[Account Code]=(TRIM($D27))),GJ[Debit])))</f>
        <v>0</v>
      </c>
      <c r="G27" s="211">
        <f t="array" ref="G27">(SUM(IF((CkDJ[Date]=$A$4)*(CkDJ[Ofc Code]=(TRIM(G$7)))*(CkDJ[Account Code]=(TRIM($D27))),CkDJ[Credit])))+(SUM(IF((CsDJ[Date]=$A$4)*(CsDJ[Ofc Code]=(TRIM(G$7)))*(CsDJ[Account Code]=(TRIM($D27))),CsDJ[Credit])))+(SUM(IF((CRDJ[Date]=$A$4)*(CRDJ[Ofc Code]=(TRIM(G$7)))*(CRDJ[Account Code]=(TRIM($D27))),CRDJ[Credit])))+(SUM(IF((GJ[Date]=$A$4)*(GJ[Ofc Code]=(TRIM(G$7)))*(GJ[Account Code]=(TRIM($D27))),GJ[Credit])))-(SUM(IF((CkDJ[Date]=$A$4)*(CkDJ[Ofc Code]=(TRIM(G$7)))*(CkDJ[Account Code]=(TRIM($D27))),CkDJ[Debit])))+(SUM(IF((CsDJ[Date]=$A$4)*(CsDJ[Ofc Code]=(TRIM(G$7)))*(CsDJ[Account Code]=(TRIM($D27))),CsDJ[Debit])))+(SUM(IF((CRDJ[Date]=$A$4)*(CRDJ[Ofc Code]=(TRIM(G$7)))*(CRDJ[Account Code]=(TRIM($D27))),CRDJ[Debit])))+(SUM(IF((GJ[Date]=$A$4)*(GJ[Ofc Code]=(TRIM(G$7)))*(GJ[Account Code]=(TRIM($D27))),GJ[Debit])))</f>
        <v>0</v>
      </c>
      <c r="H27" s="211">
        <f t="array" ref="H27">(SUM(IF((CkDJ[Date]=$A$4)*(CkDJ[Ofc Code]=(TRIM(H$7)))*(CkDJ[Account Code]=(TRIM($D27))),CkDJ[Credit])))+(SUM(IF((CsDJ[Date]=$A$4)*(CsDJ[Ofc Code]=(TRIM(H$7)))*(CsDJ[Account Code]=(TRIM($D27))),CsDJ[Credit])))+(SUM(IF((CRDJ[Date]=$A$4)*(CRDJ[Ofc Code]=(TRIM(H$7)))*(CRDJ[Account Code]=(TRIM($D27))),CRDJ[Credit])))+(SUM(IF((GJ[Date]=$A$4)*(GJ[Ofc Code]=(TRIM(H$7)))*(GJ[Account Code]=(TRIM($D27))),GJ[Credit])))-(SUM(IF((CkDJ[Date]=$A$4)*(CkDJ[Ofc Code]=(TRIM(H$7)))*(CkDJ[Account Code]=(TRIM($D27))),CkDJ[Debit])))+(SUM(IF((CsDJ[Date]=$A$4)*(CsDJ[Ofc Code]=(TRIM(H$7)))*(CsDJ[Account Code]=(TRIM($D27))),CsDJ[Debit])))+(SUM(IF((CRDJ[Date]=$A$4)*(CRDJ[Ofc Code]=(TRIM(H$7)))*(CRDJ[Account Code]=(TRIM($D27))),CRDJ[Debit])))+(SUM(IF((GJ[Date]=$A$4)*(GJ[Ofc Code]=(TRIM(H$7)))*(GJ[Account Code]=(TRIM($D27))),GJ[Debit])))</f>
        <v>0</v>
      </c>
      <c r="I27" s="211">
        <f>SUM(F27:H27)</f>
        <v>0</v>
      </c>
      <c r="J27" s="211">
        <f t="array" ref="J27">(SUM(IF((CkDJ[Date]=$A$4)*(CkDJ[Ofc Code]=(TRIM(J$7)))*(CkDJ[Account Code]=(TRIM($D27))),CkDJ[Credit])))+(SUM(IF((CsDJ[Date]=$A$4)*(CsDJ[Ofc Code]=(TRIM(J$7)))*(CsDJ[Account Code]=(TRIM($D27))),CsDJ[Credit])))+(SUM(IF((CRDJ[Date]=$A$4)*(CRDJ[Ofc Code]=(TRIM(J$7)))*(CRDJ[Account Code]=(TRIM($D27))),CRDJ[Credit])))+(SUM(IF((GJ[Date]=$A$4)*(GJ[Ofc Code]=(TRIM(J$7)))*(GJ[Account Code]=(TRIM($D27))),GJ[Credit])))-(SUM(IF((CkDJ[Date]=$A$4)*(CkDJ[Ofc Code]=(TRIM(J$7)))*(CkDJ[Account Code]=(TRIM($D27))),CkDJ[Debit])))+(SUM(IF((CsDJ[Date]=$A$4)*(CsDJ[Ofc Code]=(TRIM(J$7)))*(CsDJ[Account Code]=(TRIM($D27))),CsDJ[Debit])))+(SUM(IF((CRDJ[Date]=$A$4)*(CRDJ[Ofc Code]=(TRIM(J$7)))*(CRDJ[Account Code]=(TRIM($D27))),CRDJ[Debit])))+(SUM(IF((GJ[Date]=$A$4)*(GJ[Ofc Code]=(TRIM(J$7)))*(GJ[Account Code]=(TRIM($D27))),GJ[Debit])))</f>
        <v>0</v>
      </c>
      <c r="K27" s="211">
        <f t="array" ref="K27">(SUM(IF((CkDJ[Date]=$A$4)*(CkDJ[Ofc Code]=(TRIM(K$7)))*(CkDJ[Account Code]=(TRIM($D27))),CkDJ[Credit])))+(SUM(IF((CsDJ[Date]=$A$4)*(CsDJ[Ofc Code]=(TRIM(K$7)))*(CsDJ[Account Code]=(TRIM($D27))),CsDJ[Credit])))+(SUM(IF((CRDJ[Date]=$A$4)*(CRDJ[Ofc Code]=(TRIM(K$7)))*(CRDJ[Account Code]=(TRIM($D27))),CRDJ[Credit])))+(SUM(IF((GJ[Date]=$A$4)*(GJ[Ofc Code]=(TRIM(K$7)))*(GJ[Account Code]=(TRIM($D27))),GJ[Credit])))-(SUM(IF((CkDJ[Date]=$A$4)*(CkDJ[Ofc Code]=(TRIM(K$7)))*(CkDJ[Account Code]=(TRIM($D27))),CkDJ[Debit])))+(SUM(IF((CsDJ[Date]=$A$4)*(CsDJ[Ofc Code]=(TRIM(K$7)))*(CsDJ[Account Code]=(TRIM($D27))),CsDJ[Debit])))+(SUM(IF((CRDJ[Date]=$A$4)*(CRDJ[Ofc Code]=(TRIM(K$7)))*(CRDJ[Account Code]=(TRIM($D27))),CRDJ[Debit])))+(SUM(IF((GJ[Date]=$A$4)*(GJ[Ofc Code]=(TRIM(K$7)))*(GJ[Account Code]=(TRIM($D27))),GJ[Debit])))</f>
        <v>0</v>
      </c>
      <c r="L27" s="211">
        <f t="array" ref="L27">(SUM(IF((CkDJ[Date]=$A$4)*(CkDJ[Ofc Code]=(TRIM(L$7)))*(CkDJ[Account Code]=(TRIM($D27))),CkDJ[Credit])))+(SUM(IF((CsDJ[Date]=$A$4)*(CsDJ[Ofc Code]=(TRIM(L$7)))*(CsDJ[Account Code]=(TRIM($D27))),CsDJ[Credit])))+(SUM(IF((CRDJ[Date]=$A$4)*(CRDJ[Ofc Code]=(TRIM(L$7)))*(CRDJ[Account Code]=(TRIM($D27))),CRDJ[Credit])))+(SUM(IF((GJ[Date]=$A$4)*(GJ[Ofc Code]=(TRIM(L$7)))*(GJ[Account Code]=(TRIM($D27))),GJ[Credit])))-(SUM(IF((CkDJ[Date]=$A$4)*(CkDJ[Ofc Code]=(TRIM(L$7)))*(CkDJ[Account Code]=(TRIM($D27))),CkDJ[Debit])))+(SUM(IF((CsDJ[Date]=$A$4)*(CsDJ[Ofc Code]=(TRIM(L$7)))*(CsDJ[Account Code]=(TRIM($D27))),CsDJ[Debit])))+(SUM(IF((CRDJ[Date]=$A$4)*(CRDJ[Ofc Code]=(TRIM(L$7)))*(CRDJ[Account Code]=(TRIM($D27))),CRDJ[Debit])))+(SUM(IF((GJ[Date]=$A$4)*(GJ[Ofc Code]=(TRIM(L$7)))*(GJ[Account Code]=(TRIM($D27))),GJ[Debit])))</f>
        <v>0</v>
      </c>
      <c r="M27" s="211">
        <f t="array" ref="M27">(SUM(IF((CkDJ[Date]=$A$4)*(CkDJ[Ofc Code]=(TRIM(M$7)))*(CkDJ[Account Code]=(TRIM($D27))),CkDJ[Credit])))+(SUM(IF((CsDJ[Date]=$A$4)*(CsDJ[Ofc Code]=(TRIM(M$7)))*(CsDJ[Account Code]=(TRIM($D27))),CsDJ[Credit])))+(SUM(IF((CRDJ[Date]=$A$4)*(CRDJ[Ofc Code]=(TRIM(M$7)))*(CRDJ[Account Code]=(TRIM($D27))),CRDJ[Credit])))+(SUM(IF((GJ[Date]=$A$4)*(GJ[Ofc Code]=(TRIM(M$7)))*(GJ[Account Code]=(TRIM($D27))),GJ[Credit])))-(SUM(IF((CkDJ[Date]=$A$4)*(CkDJ[Ofc Code]=(TRIM(M$7)))*(CkDJ[Account Code]=(TRIM($D27))),CkDJ[Debit])))+(SUM(IF((CsDJ[Date]=$A$4)*(CsDJ[Ofc Code]=(TRIM(M$7)))*(CsDJ[Account Code]=(TRIM($D27))),CsDJ[Debit])))+(SUM(IF((CRDJ[Date]=$A$4)*(CRDJ[Ofc Code]=(TRIM(M$7)))*(CRDJ[Account Code]=(TRIM($D27))),CRDJ[Debit])))+(SUM(IF((GJ[Date]=$A$4)*(GJ[Ofc Code]=(TRIM(M$7)))*(GJ[Account Code]=(TRIM($D27))),GJ[Debit])))</f>
        <v>0</v>
      </c>
      <c r="N27" s="211">
        <f>SUM(J27:M27)</f>
        <v>0</v>
      </c>
      <c r="O27" s="211">
        <f t="array" ref="O27">(SUM(IF((CkDJ[Date]=$A$4)*(CkDJ[Ofc Code]=(TRIM(O$7)))*(CkDJ[Account Code]=(TRIM($D27))),CkDJ[Credit])))+(SUM(IF((CsDJ[Date]=$A$4)*(CsDJ[Ofc Code]=(TRIM(O$7)))*(CsDJ[Account Code]=(TRIM($D27))),CsDJ[Credit])))+(SUM(IF((CRDJ[Date]=$A$4)*(CRDJ[Ofc Code]=(TRIM(O$7)))*(CRDJ[Account Code]=(TRIM($D27))),CRDJ[Credit])))+(SUM(IF((GJ[Date]=$A$4)*(GJ[Ofc Code]=(TRIM(O$7)))*(GJ[Account Code]=(TRIM($D27))),GJ[Credit])))-(SUM(IF((CkDJ[Date]=$A$4)*(CkDJ[Ofc Code]=(TRIM(O$7)))*(CkDJ[Account Code]=(TRIM($D27))),CkDJ[Debit])))+(SUM(IF((CsDJ[Date]=$A$4)*(CsDJ[Ofc Code]=(TRIM(O$7)))*(CsDJ[Account Code]=(TRIM($D27))),CsDJ[Debit])))+(SUM(IF((CRDJ[Date]=$A$4)*(CRDJ[Ofc Code]=(TRIM(O$7)))*(CRDJ[Account Code]=(TRIM($D27))),CRDJ[Debit])))+(SUM(IF((GJ[Date]=$A$4)*(GJ[Ofc Code]=(TRIM(O$7)))*(GJ[Account Code]=(TRIM($D27))),GJ[Debit])))</f>
        <v>0</v>
      </c>
      <c r="P27" s="211">
        <f t="array" ref="P27">(SUM(IF((CkDJ[Date]=$A$4)*(CkDJ[Ofc Code]=(TRIM(P$7)))*(CkDJ[Account Code]=(TRIM($D27))),CkDJ[Credit])))+(SUM(IF((CsDJ[Date]=$A$4)*(CsDJ[Ofc Code]=(TRIM(P$7)))*(CsDJ[Account Code]=(TRIM($D27))),CsDJ[Credit])))+(SUM(IF((CRDJ[Date]=$A$4)*(CRDJ[Ofc Code]=(TRIM(P$7)))*(CRDJ[Account Code]=(TRIM($D27))),CRDJ[Credit])))+(SUM(IF((GJ[Date]=$A$4)*(GJ[Ofc Code]=(TRIM(P$7)))*(GJ[Account Code]=(TRIM($D27))),GJ[Credit])))-(SUM(IF((CkDJ[Date]=$A$4)*(CkDJ[Ofc Code]=(TRIM(P$7)))*(CkDJ[Account Code]=(TRIM($D27))),CkDJ[Debit])))+(SUM(IF((CsDJ[Date]=$A$4)*(CsDJ[Ofc Code]=(TRIM(P$7)))*(CsDJ[Account Code]=(TRIM($D27))),CsDJ[Debit])))+(SUM(IF((CRDJ[Date]=$A$4)*(CRDJ[Ofc Code]=(TRIM(P$7)))*(CRDJ[Account Code]=(TRIM($D27))),CRDJ[Debit])))+(SUM(IF((GJ[Date]=$A$4)*(GJ[Ofc Code]=(TRIM(P$7)))*(GJ[Account Code]=(TRIM($D27))),GJ[Debit])))</f>
        <v>0</v>
      </c>
      <c r="Q27" s="211">
        <f t="array" ref="Q27">(SUM(IF((CkDJ[Date]=$A$4)*(CkDJ[Ofc Code]=(TRIM(Q$7)))*(CkDJ[Account Code]=(TRIM($D27))),CkDJ[Credit])))+(SUM(IF((CsDJ[Date]=$A$4)*(CsDJ[Ofc Code]=(TRIM(Q$7)))*(CsDJ[Account Code]=(TRIM($D27))),CsDJ[Credit])))+(SUM(IF((CRDJ[Date]=$A$4)*(CRDJ[Ofc Code]=(TRIM(Q$7)))*(CRDJ[Account Code]=(TRIM($D27))),CRDJ[Credit])))+(SUM(IF((GJ[Date]=$A$4)*(GJ[Ofc Code]=(TRIM(Q$7)))*(GJ[Account Code]=(TRIM($D27))),GJ[Credit])))-(SUM(IF((CkDJ[Date]=$A$4)*(CkDJ[Ofc Code]=(TRIM(Q$7)))*(CkDJ[Account Code]=(TRIM($D27))),CkDJ[Debit])))+(SUM(IF((CsDJ[Date]=$A$4)*(CsDJ[Ofc Code]=(TRIM(Q$7)))*(CsDJ[Account Code]=(TRIM($D27))),CsDJ[Debit])))+(SUM(IF((CRDJ[Date]=$A$4)*(CRDJ[Ofc Code]=(TRIM(Q$7)))*(CRDJ[Account Code]=(TRIM($D27))),CRDJ[Debit])))+(SUM(IF((GJ[Date]=$A$4)*(GJ[Ofc Code]=(TRIM(Q$7)))*(GJ[Account Code]=(TRIM($D27))),GJ[Debit])))</f>
        <v>0</v>
      </c>
      <c r="R27" s="211">
        <f t="array" ref="R27">(SUM(IF((CkDJ[Date]=$A$4)*(CkDJ[Ofc Code]=(TRIM(R$7)))*(CkDJ[Account Code]=(TRIM($D27))),CkDJ[Credit])))+(SUM(IF((CsDJ[Date]=$A$4)*(CsDJ[Ofc Code]=(TRIM(R$7)))*(CsDJ[Account Code]=(TRIM($D27))),CsDJ[Credit])))+(SUM(IF((CRDJ[Date]=$A$4)*(CRDJ[Ofc Code]=(TRIM(R$7)))*(CRDJ[Account Code]=(TRIM($D27))),CRDJ[Credit])))+(SUM(IF((GJ[Date]=$A$4)*(GJ[Ofc Code]=(TRIM(R$7)))*(GJ[Account Code]=(TRIM($D27))),GJ[Credit])))-(SUM(IF((CkDJ[Date]=$A$4)*(CkDJ[Ofc Code]=(TRIM(R$7)))*(CkDJ[Account Code]=(TRIM($D27))),CkDJ[Debit])))+(SUM(IF((CsDJ[Date]=$A$4)*(CsDJ[Ofc Code]=(TRIM(R$7)))*(CsDJ[Account Code]=(TRIM($D27))),CsDJ[Debit])))+(SUM(IF((CRDJ[Date]=$A$4)*(CRDJ[Ofc Code]=(TRIM(R$7)))*(CRDJ[Account Code]=(TRIM($D27))),CRDJ[Debit])))+(SUM(IF((GJ[Date]=$A$4)*(GJ[Ofc Code]=(TRIM(R$7)))*(GJ[Account Code]=(TRIM($D27))),GJ[Debit])))</f>
        <v>0</v>
      </c>
      <c r="S27" s="211">
        <f t="array" ref="S27">(SUM(IF((CkDJ[Date]=$A$4)*(CkDJ[Ofc Code]=(TRIM(S$7)))*(CkDJ[Account Code]=(TRIM($D27))),CkDJ[Credit])))+(SUM(IF((CsDJ[Date]=$A$4)*(CsDJ[Ofc Code]=(TRIM(S$7)))*(CsDJ[Account Code]=(TRIM($D27))),CsDJ[Credit])))+(SUM(IF((CRDJ[Date]=$A$4)*(CRDJ[Ofc Code]=(TRIM(S$7)))*(CRDJ[Account Code]=(TRIM($D27))),CRDJ[Credit])))+(SUM(IF((GJ[Date]=$A$4)*(GJ[Ofc Code]=(TRIM(S$7)))*(GJ[Account Code]=(TRIM($D27))),GJ[Credit])))-(SUM(IF((CkDJ[Date]=$A$4)*(CkDJ[Ofc Code]=(TRIM(S$7)))*(CkDJ[Account Code]=(TRIM($D27))),CkDJ[Debit])))+(SUM(IF((CsDJ[Date]=$A$4)*(CsDJ[Ofc Code]=(TRIM(S$7)))*(CsDJ[Account Code]=(TRIM($D27))),CsDJ[Debit])))+(SUM(IF((CRDJ[Date]=$A$4)*(CRDJ[Ofc Code]=(TRIM(S$7)))*(CRDJ[Account Code]=(TRIM($D27))),CRDJ[Debit])))+(SUM(IF((GJ[Date]=$A$4)*(GJ[Ofc Code]=(TRIM(S$7)))*(GJ[Account Code]=(TRIM($D27))),GJ[Debit])))</f>
        <v>0</v>
      </c>
      <c r="T27" s="211">
        <f>SUM(O27:S27)</f>
        <v>0</v>
      </c>
      <c r="U27" s="211">
        <f>E27+I27+N27+T27</f>
        <v>0</v>
      </c>
    </row>
    <row r="28" spans="1:21" ht="15">
      <c r="A28" s="212">
        <f t="shared" si="5"/>
        <v>20</v>
      </c>
      <c r="B28" s="194"/>
      <c r="C28" s="194" t="str">
        <f t="shared" si="0"/>
        <v>Miscellaneous Income (Scrap of Fixed Assets)</v>
      </c>
      <c r="D28" s="207" t="s">
        <v>159</v>
      </c>
      <c r="E28" s="211">
        <f t="array" ref="E28">(SUM(IF((CkDJ[Date]=$A$4)*(CkDJ[Ofc Code]=(TRIM(E$7)))*(CkDJ[Account Code]=(TRIM($D28))),CkDJ[Credit])))+(SUM(IF((CsDJ[Date]=$A$4)*(CsDJ[Ofc Code]=(TRIM(E$7)))*(CsDJ[Account Code]=(TRIM($D28))),CsDJ[Credit])))+(SUM(IF((CRDJ[Date]=$A$4)*(CRDJ[Ofc Code]=(TRIM(E$7)))*(CRDJ[Account Code]=(TRIM($D28))),CRDJ[Credit])))+(SUM(IF((GJ[Date]=$A$4)*(GJ[Ofc Code]=(TRIM(E$7)))*(GJ[Account Code]=(TRIM($D28))),GJ[Credit])))-(SUM(IF((CkDJ[Date]=$A$4)*(CkDJ[Ofc Code]=(TRIM(E$7)))*(CkDJ[Account Code]=(TRIM($D28))),CkDJ[Debit])))+(SUM(IF((CsDJ[Date]=$A$4)*(CsDJ[Ofc Code]=(TRIM(E$7)))*(CsDJ[Account Code]=(TRIM($D28))),CsDJ[Debit])))+(SUM(IF((CRDJ[Date]=$A$4)*(CRDJ[Ofc Code]=(TRIM(E$7)))*(CRDJ[Account Code]=(TRIM($D28))),CRDJ[Debit])))+(SUM(IF((GJ[Date]=$A$4)*(GJ[Ofc Code]=(TRIM(E$7)))*(GJ[Account Code]=(TRIM($D28))),GJ[Debit])))</f>
        <v>0</v>
      </c>
      <c r="F28" s="211">
        <f t="array" ref="F28">(SUM(IF((CkDJ[Date]=$A$4)*(CkDJ[Ofc Code]=(TRIM(F$7)))*(CkDJ[Account Code]=(TRIM($D28))),CkDJ[Credit])))+(SUM(IF((CsDJ[Date]=$A$4)*(CsDJ[Ofc Code]=(TRIM(F$7)))*(CsDJ[Account Code]=(TRIM($D28))),CsDJ[Credit])))+(SUM(IF((CRDJ[Date]=$A$4)*(CRDJ[Ofc Code]=(TRIM(F$7)))*(CRDJ[Account Code]=(TRIM($D28))),CRDJ[Credit])))+(SUM(IF((GJ[Date]=$A$4)*(GJ[Ofc Code]=(TRIM(F$7)))*(GJ[Account Code]=(TRIM($D28))),GJ[Credit])))-(SUM(IF((CkDJ[Date]=$A$4)*(CkDJ[Ofc Code]=(TRIM(F$7)))*(CkDJ[Account Code]=(TRIM($D28))),CkDJ[Debit])))+(SUM(IF((CsDJ[Date]=$A$4)*(CsDJ[Ofc Code]=(TRIM(F$7)))*(CsDJ[Account Code]=(TRIM($D28))),CsDJ[Debit])))+(SUM(IF((CRDJ[Date]=$A$4)*(CRDJ[Ofc Code]=(TRIM(F$7)))*(CRDJ[Account Code]=(TRIM($D28))),CRDJ[Debit])))+(SUM(IF((GJ[Date]=$A$4)*(GJ[Ofc Code]=(TRIM(F$7)))*(GJ[Account Code]=(TRIM($D28))),GJ[Debit])))</f>
        <v>0</v>
      </c>
      <c r="G28" s="211">
        <f t="array" ref="G28">(SUM(IF((CkDJ[Date]=$A$4)*(CkDJ[Ofc Code]=(TRIM(G$7)))*(CkDJ[Account Code]=(TRIM($D28))),CkDJ[Credit])))+(SUM(IF((CsDJ[Date]=$A$4)*(CsDJ[Ofc Code]=(TRIM(G$7)))*(CsDJ[Account Code]=(TRIM($D28))),CsDJ[Credit])))+(SUM(IF((CRDJ[Date]=$A$4)*(CRDJ[Ofc Code]=(TRIM(G$7)))*(CRDJ[Account Code]=(TRIM($D28))),CRDJ[Credit])))+(SUM(IF((GJ[Date]=$A$4)*(GJ[Ofc Code]=(TRIM(G$7)))*(GJ[Account Code]=(TRIM($D28))),GJ[Credit])))-(SUM(IF((CkDJ[Date]=$A$4)*(CkDJ[Ofc Code]=(TRIM(G$7)))*(CkDJ[Account Code]=(TRIM($D28))),CkDJ[Debit])))+(SUM(IF((CsDJ[Date]=$A$4)*(CsDJ[Ofc Code]=(TRIM(G$7)))*(CsDJ[Account Code]=(TRIM($D28))),CsDJ[Debit])))+(SUM(IF((CRDJ[Date]=$A$4)*(CRDJ[Ofc Code]=(TRIM(G$7)))*(CRDJ[Account Code]=(TRIM($D28))),CRDJ[Debit])))+(SUM(IF((GJ[Date]=$A$4)*(GJ[Ofc Code]=(TRIM(G$7)))*(GJ[Account Code]=(TRIM($D28))),GJ[Debit])))</f>
        <v>0</v>
      </c>
      <c r="H28" s="211">
        <f t="array" ref="H28">(SUM(IF((CkDJ[Date]=$A$4)*(CkDJ[Ofc Code]=(TRIM(H$7)))*(CkDJ[Account Code]=(TRIM($D28))),CkDJ[Credit])))+(SUM(IF((CsDJ[Date]=$A$4)*(CsDJ[Ofc Code]=(TRIM(H$7)))*(CsDJ[Account Code]=(TRIM($D28))),CsDJ[Credit])))+(SUM(IF((CRDJ[Date]=$A$4)*(CRDJ[Ofc Code]=(TRIM(H$7)))*(CRDJ[Account Code]=(TRIM($D28))),CRDJ[Credit])))+(SUM(IF((GJ[Date]=$A$4)*(GJ[Ofc Code]=(TRIM(H$7)))*(GJ[Account Code]=(TRIM($D28))),GJ[Credit])))-(SUM(IF((CkDJ[Date]=$A$4)*(CkDJ[Ofc Code]=(TRIM(H$7)))*(CkDJ[Account Code]=(TRIM($D28))),CkDJ[Debit])))+(SUM(IF((CsDJ[Date]=$A$4)*(CsDJ[Ofc Code]=(TRIM(H$7)))*(CsDJ[Account Code]=(TRIM($D28))),CsDJ[Debit])))+(SUM(IF((CRDJ[Date]=$A$4)*(CRDJ[Ofc Code]=(TRIM(H$7)))*(CRDJ[Account Code]=(TRIM($D28))),CRDJ[Debit])))+(SUM(IF((GJ[Date]=$A$4)*(GJ[Ofc Code]=(TRIM(H$7)))*(GJ[Account Code]=(TRIM($D28))),GJ[Debit])))</f>
        <v>0</v>
      </c>
      <c r="I28" s="211">
        <f t="shared" si="1"/>
        <v>0</v>
      </c>
      <c r="J28" s="211">
        <f t="array" ref="J28">(SUM(IF((CkDJ[Date]=$A$4)*(CkDJ[Ofc Code]=(TRIM(J$7)))*(CkDJ[Account Code]=(TRIM($D28))),CkDJ[Credit])))+(SUM(IF((CsDJ[Date]=$A$4)*(CsDJ[Ofc Code]=(TRIM(J$7)))*(CsDJ[Account Code]=(TRIM($D28))),CsDJ[Credit])))+(SUM(IF((CRDJ[Date]=$A$4)*(CRDJ[Ofc Code]=(TRIM(J$7)))*(CRDJ[Account Code]=(TRIM($D28))),CRDJ[Credit])))+(SUM(IF((GJ[Date]=$A$4)*(GJ[Ofc Code]=(TRIM(J$7)))*(GJ[Account Code]=(TRIM($D28))),GJ[Credit])))-(SUM(IF((CkDJ[Date]=$A$4)*(CkDJ[Ofc Code]=(TRIM(J$7)))*(CkDJ[Account Code]=(TRIM($D28))),CkDJ[Debit])))+(SUM(IF((CsDJ[Date]=$A$4)*(CsDJ[Ofc Code]=(TRIM(J$7)))*(CsDJ[Account Code]=(TRIM($D28))),CsDJ[Debit])))+(SUM(IF((CRDJ[Date]=$A$4)*(CRDJ[Ofc Code]=(TRIM(J$7)))*(CRDJ[Account Code]=(TRIM($D28))),CRDJ[Debit])))+(SUM(IF((GJ[Date]=$A$4)*(GJ[Ofc Code]=(TRIM(J$7)))*(GJ[Account Code]=(TRIM($D28))),GJ[Debit])))</f>
        <v>0</v>
      </c>
      <c r="K28" s="211">
        <f t="array" ref="K28">(SUM(IF((CkDJ[Date]=$A$4)*(CkDJ[Ofc Code]=(TRIM(K$7)))*(CkDJ[Account Code]=(TRIM($D28))),CkDJ[Credit])))+(SUM(IF((CsDJ[Date]=$A$4)*(CsDJ[Ofc Code]=(TRIM(K$7)))*(CsDJ[Account Code]=(TRIM($D28))),CsDJ[Credit])))+(SUM(IF((CRDJ[Date]=$A$4)*(CRDJ[Ofc Code]=(TRIM(K$7)))*(CRDJ[Account Code]=(TRIM($D28))),CRDJ[Credit])))+(SUM(IF((GJ[Date]=$A$4)*(GJ[Ofc Code]=(TRIM(K$7)))*(GJ[Account Code]=(TRIM($D28))),GJ[Credit])))-(SUM(IF((CkDJ[Date]=$A$4)*(CkDJ[Ofc Code]=(TRIM(K$7)))*(CkDJ[Account Code]=(TRIM($D28))),CkDJ[Debit])))+(SUM(IF((CsDJ[Date]=$A$4)*(CsDJ[Ofc Code]=(TRIM(K$7)))*(CsDJ[Account Code]=(TRIM($D28))),CsDJ[Debit])))+(SUM(IF((CRDJ[Date]=$A$4)*(CRDJ[Ofc Code]=(TRIM(K$7)))*(CRDJ[Account Code]=(TRIM($D28))),CRDJ[Debit])))+(SUM(IF((GJ[Date]=$A$4)*(GJ[Ofc Code]=(TRIM(K$7)))*(GJ[Account Code]=(TRIM($D28))),GJ[Debit])))</f>
        <v>0</v>
      </c>
      <c r="L28" s="211">
        <f t="array" ref="L28">(SUM(IF((CkDJ[Date]=$A$4)*(CkDJ[Ofc Code]=(TRIM(L$7)))*(CkDJ[Account Code]=(TRIM($D28))),CkDJ[Credit])))+(SUM(IF((CsDJ[Date]=$A$4)*(CsDJ[Ofc Code]=(TRIM(L$7)))*(CsDJ[Account Code]=(TRIM($D28))),CsDJ[Credit])))+(SUM(IF((CRDJ[Date]=$A$4)*(CRDJ[Ofc Code]=(TRIM(L$7)))*(CRDJ[Account Code]=(TRIM($D28))),CRDJ[Credit])))+(SUM(IF((GJ[Date]=$A$4)*(GJ[Ofc Code]=(TRIM(L$7)))*(GJ[Account Code]=(TRIM($D28))),GJ[Credit])))-(SUM(IF((CkDJ[Date]=$A$4)*(CkDJ[Ofc Code]=(TRIM(L$7)))*(CkDJ[Account Code]=(TRIM($D28))),CkDJ[Debit])))+(SUM(IF((CsDJ[Date]=$A$4)*(CsDJ[Ofc Code]=(TRIM(L$7)))*(CsDJ[Account Code]=(TRIM($D28))),CsDJ[Debit])))+(SUM(IF((CRDJ[Date]=$A$4)*(CRDJ[Ofc Code]=(TRIM(L$7)))*(CRDJ[Account Code]=(TRIM($D28))),CRDJ[Debit])))+(SUM(IF((GJ[Date]=$A$4)*(GJ[Ofc Code]=(TRIM(L$7)))*(GJ[Account Code]=(TRIM($D28))),GJ[Debit])))</f>
        <v>0</v>
      </c>
      <c r="M28" s="211">
        <f t="array" ref="M28">(SUM(IF((CkDJ[Date]=$A$4)*(CkDJ[Ofc Code]=(TRIM(M$7)))*(CkDJ[Account Code]=(TRIM($D28))),CkDJ[Credit])))+(SUM(IF((CsDJ[Date]=$A$4)*(CsDJ[Ofc Code]=(TRIM(M$7)))*(CsDJ[Account Code]=(TRIM($D28))),CsDJ[Credit])))+(SUM(IF((CRDJ[Date]=$A$4)*(CRDJ[Ofc Code]=(TRIM(M$7)))*(CRDJ[Account Code]=(TRIM($D28))),CRDJ[Credit])))+(SUM(IF((GJ[Date]=$A$4)*(GJ[Ofc Code]=(TRIM(M$7)))*(GJ[Account Code]=(TRIM($D28))),GJ[Credit])))-(SUM(IF((CkDJ[Date]=$A$4)*(CkDJ[Ofc Code]=(TRIM(M$7)))*(CkDJ[Account Code]=(TRIM($D28))),CkDJ[Debit])))+(SUM(IF((CsDJ[Date]=$A$4)*(CsDJ[Ofc Code]=(TRIM(M$7)))*(CsDJ[Account Code]=(TRIM($D28))),CsDJ[Debit])))+(SUM(IF((CRDJ[Date]=$A$4)*(CRDJ[Ofc Code]=(TRIM(M$7)))*(CRDJ[Account Code]=(TRIM($D28))),CRDJ[Debit])))+(SUM(IF((GJ[Date]=$A$4)*(GJ[Ofc Code]=(TRIM(M$7)))*(GJ[Account Code]=(TRIM($D28))),GJ[Debit])))</f>
        <v>0</v>
      </c>
      <c r="N28" s="211">
        <f t="shared" si="2"/>
        <v>0</v>
      </c>
      <c r="O28" s="211">
        <f t="array" ref="O28">(SUM(IF((CkDJ[Date]=$A$4)*(CkDJ[Ofc Code]=(TRIM(O$7)))*(CkDJ[Account Code]=(TRIM($D28))),CkDJ[Credit])))+(SUM(IF((CsDJ[Date]=$A$4)*(CsDJ[Ofc Code]=(TRIM(O$7)))*(CsDJ[Account Code]=(TRIM($D28))),CsDJ[Credit])))+(SUM(IF((CRDJ[Date]=$A$4)*(CRDJ[Ofc Code]=(TRIM(O$7)))*(CRDJ[Account Code]=(TRIM($D28))),CRDJ[Credit])))+(SUM(IF((GJ[Date]=$A$4)*(GJ[Ofc Code]=(TRIM(O$7)))*(GJ[Account Code]=(TRIM($D28))),GJ[Credit])))-(SUM(IF((CkDJ[Date]=$A$4)*(CkDJ[Ofc Code]=(TRIM(O$7)))*(CkDJ[Account Code]=(TRIM($D28))),CkDJ[Debit])))+(SUM(IF((CsDJ[Date]=$A$4)*(CsDJ[Ofc Code]=(TRIM(O$7)))*(CsDJ[Account Code]=(TRIM($D28))),CsDJ[Debit])))+(SUM(IF((CRDJ[Date]=$A$4)*(CRDJ[Ofc Code]=(TRIM(O$7)))*(CRDJ[Account Code]=(TRIM($D28))),CRDJ[Debit])))+(SUM(IF((GJ[Date]=$A$4)*(GJ[Ofc Code]=(TRIM(O$7)))*(GJ[Account Code]=(TRIM($D28))),GJ[Debit])))</f>
        <v>0</v>
      </c>
      <c r="P28" s="211">
        <f t="array" ref="P28">(SUM(IF((CkDJ[Date]=$A$4)*(CkDJ[Ofc Code]=(TRIM(P$7)))*(CkDJ[Account Code]=(TRIM($D28))),CkDJ[Credit])))+(SUM(IF((CsDJ[Date]=$A$4)*(CsDJ[Ofc Code]=(TRIM(P$7)))*(CsDJ[Account Code]=(TRIM($D28))),CsDJ[Credit])))+(SUM(IF((CRDJ[Date]=$A$4)*(CRDJ[Ofc Code]=(TRIM(P$7)))*(CRDJ[Account Code]=(TRIM($D28))),CRDJ[Credit])))+(SUM(IF((GJ[Date]=$A$4)*(GJ[Ofc Code]=(TRIM(P$7)))*(GJ[Account Code]=(TRIM($D28))),GJ[Credit])))-(SUM(IF((CkDJ[Date]=$A$4)*(CkDJ[Ofc Code]=(TRIM(P$7)))*(CkDJ[Account Code]=(TRIM($D28))),CkDJ[Debit])))+(SUM(IF((CsDJ[Date]=$A$4)*(CsDJ[Ofc Code]=(TRIM(P$7)))*(CsDJ[Account Code]=(TRIM($D28))),CsDJ[Debit])))+(SUM(IF((CRDJ[Date]=$A$4)*(CRDJ[Ofc Code]=(TRIM(P$7)))*(CRDJ[Account Code]=(TRIM($D28))),CRDJ[Debit])))+(SUM(IF((GJ[Date]=$A$4)*(GJ[Ofc Code]=(TRIM(P$7)))*(GJ[Account Code]=(TRIM($D28))),GJ[Debit])))</f>
        <v>0</v>
      </c>
      <c r="Q28" s="211">
        <f t="array" ref="Q28">(SUM(IF((CkDJ[Date]=$A$4)*(CkDJ[Ofc Code]=(TRIM(Q$7)))*(CkDJ[Account Code]=(TRIM($D28))),CkDJ[Credit])))+(SUM(IF((CsDJ[Date]=$A$4)*(CsDJ[Ofc Code]=(TRIM(Q$7)))*(CsDJ[Account Code]=(TRIM($D28))),CsDJ[Credit])))+(SUM(IF((CRDJ[Date]=$A$4)*(CRDJ[Ofc Code]=(TRIM(Q$7)))*(CRDJ[Account Code]=(TRIM($D28))),CRDJ[Credit])))+(SUM(IF((GJ[Date]=$A$4)*(GJ[Ofc Code]=(TRIM(Q$7)))*(GJ[Account Code]=(TRIM($D28))),GJ[Credit])))-(SUM(IF((CkDJ[Date]=$A$4)*(CkDJ[Ofc Code]=(TRIM(Q$7)))*(CkDJ[Account Code]=(TRIM($D28))),CkDJ[Debit])))+(SUM(IF((CsDJ[Date]=$A$4)*(CsDJ[Ofc Code]=(TRIM(Q$7)))*(CsDJ[Account Code]=(TRIM($D28))),CsDJ[Debit])))+(SUM(IF((CRDJ[Date]=$A$4)*(CRDJ[Ofc Code]=(TRIM(Q$7)))*(CRDJ[Account Code]=(TRIM($D28))),CRDJ[Debit])))+(SUM(IF((GJ[Date]=$A$4)*(GJ[Ofc Code]=(TRIM(Q$7)))*(GJ[Account Code]=(TRIM($D28))),GJ[Debit])))</f>
        <v>0</v>
      </c>
      <c r="R28" s="211">
        <f t="array" ref="R28">(SUM(IF((CkDJ[Date]=$A$4)*(CkDJ[Ofc Code]=(TRIM(R$7)))*(CkDJ[Account Code]=(TRIM($D28))),CkDJ[Credit])))+(SUM(IF((CsDJ[Date]=$A$4)*(CsDJ[Ofc Code]=(TRIM(R$7)))*(CsDJ[Account Code]=(TRIM($D28))),CsDJ[Credit])))+(SUM(IF((CRDJ[Date]=$A$4)*(CRDJ[Ofc Code]=(TRIM(R$7)))*(CRDJ[Account Code]=(TRIM($D28))),CRDJ[Credit])))+(SUM(IF((GJ[Date]=$A$4)*(GJ[Ofc Code]=(TRIM(R$7)))*(GJ[Account Code]=(TRIM($D28))),GJ[Credit])))-(SUM(IF((CkDJ[Date]=$A$4)*(CkDJ[Ofc Code]=(TRIM(R$7)))*(CkDJ[Account Code]=(TRIM($D28))),CkDJ[Debit])))+(SUM(IF((CsDJ[Date]=$A$4)*(CsDJ[Ofc Code]=(TRIM(R$7)))*(CsDJ[Account Code]=(TRIM($D28))),CsDJ[Debit])))+(SUM(IF((CRDJ[Date]=$A$4)*(CRDJ[Ofc Code]=(TRIM(R$7)))*(CRDJ[Account Code]=(TRIM($D28))),CRDJ[Debit])))+(SUM(IF((GJ[Date]=$A$4)*(GJ[Ofc Code]=(TRIM(R$7)))*(GJ[Account Code]=(TRIM($D28))),GJ[Debit])))</f>
        <v>0</v>
      </c>
      <c r="S28" s="211">
        <f t="array" ref="S28">(SUM(IF((CkDJ[Date]=$A$4)*(CkDJ[Ofc Code]=(TRIM(S$7)))*(CkDJ[Account Code]=(TRIM($D28))),CkDJ[Credit])))+(SUM(IF((CsDJ[Date]=$A$4)*(CsDJ[Ofc Code]=(TRIM(S$7)))*(CsDJ[Account Code]=(TRIM($D28))),CsDJ[Credit])))+(SUM(IF((CRDJ[Date]=$A$4)*(CRDJ[Ofc Code]=(TRIM(S$7)))*(CRDJ[Account Code]=(TRIM($D28))),CRDJ[Credit])))+(SUM(IF((GJ[Date]=$A$4)*(GJ[Ofc Code]=(TRIM(S$7)))*(GJ[Account Code]=(TRIM($D28))),GJ[Credit])))-(SUM(IF((CkDJ[Date]=$A$4)*(CkDJ[Ofc Code]=(TRIM(S$7)))*(CkDJ[Account Code]=(TRIM($D28))),CkDJ[Debit])))+(SUM(IF((CsDJ[Date]=$A$4)*(CsDJ[Ofc Code]=(TRIM(S$7)))*(CsDJ[Account Code]=(TRIM($D28))),CsDJ[Debit])))+(SUM(IF((CRDJ[Date]=$A$4)*(CRDJ[Ofc Code]=(TRIM(S$7)))*(CRDJ[Account Code]=(TRIM($D28))),CRDJ[Debit])))+(SUM(IF((GJ[Date]=$A$4)*(GJ[Ofc Code]=(TRIM(S$7)))*(GJ[Account Code]=(TRIM($D28))),GJ[Debit])))</f>
        <v>0</v>
      </c>
      <c r="T28" s="211">
        <f t="shared" si="3"/>
        <v>0</v>
      </c>
      <c r="U28" s="211">
        <f t="shared" si="4"/>
        <v>0</v>
      </c>
    </row>
    <row r="29" spans="1:21" ht="15">
      <c r="A29" s="212">
        <f t="shared" si="5"/>
        <v>21</v>
      </c>
      <c r="B29" s="194"/>
      <c r="C29" s="194" t="str">
        <f t="shared" si="0"/>
        <v>Miscellaneous Income (Others)</v>
      </c>
      <c r="D29" s="207" t="s">
        <v>160</v>
      </c>
      <c r="E29" s="211">
        <f t="array" ref="E29">(SUM(IF((CkDJ[Date]=$A$4)*(CkDJ[Ofc Code]=(TRIM(E$7)))*(CkDJ[Account Code]=(TRIM($D29))),CkDJ[Credit])))+(SUM(IF((CsDJ[Date]=$A$4)*(CsDJ[Ofc Code]=(TRIM(E$7)))*(CsDJ[Account Code]=(TRIM($D29))),CsDJ[Credit])))+(SUM(IF((CRDJ[Date]=$A$4)*(CRDJ[Ofc Code]=(TRIM(E$7)))*(CRDJ[Account Code]=(TRIM($D29))),CRDJ[Credit])))+(SUM(IF((GJ[Date]=$A$4)*(GJ[Ofc Code]=(TRIM(E$7)))*(GJ[Account Code]=(TRIM($D29))),GJ[Credit])))-(SUM(IF((CkDJ[Date]=$A$4)*(CkDJ[Ofc Code]=(TRIM(E$7)))*(CkDJ[Account Code]=(TRIM($D29))),CkDJ[Debit])))+(SUM(IF((CsDJ[Date]=$A$4)*(CsDJ[Ofc Code]=(TRIM(E$7)))*(CsDJ[Account Code]=(TRIM($D29))),CsDJ[Debit])))+(SUM(IF((CRDJ[Date]=$A$4)*(CRDJ[Ofc Code]=(TRIM(E$7)))*(CRDJ[Account Code]=(TRIM($D29))),CRDJ[Debit])))+(SUM(IF((GJ[Date]=$A$4)*(GJ[Ofc Code]=(TRIM(E$7)))*(GJ[Account Code]=(TRIM($D29))),GJ[Debit])))</f>
        <v>0</v>
      </c>
      <c r="F29" s="211">
        <f t="array" ref="F29">(SUM(IF((CkDJ[Date]=$A$4)*(CkDJ[Ofc Code]=(TRIM(F$7)))*(CkDJ[Account Code]=(TRIM($D29))),CkDJ[Credit])))+(SUM(IF((CsDJ[Date]=$A$4)*(CsDJ[Ofc Code]=(TRIM(F$7)))*(CsDJ[Account Code]=(TRIM($D29))),CsDJ[Credit])))+(SUM(IF((CRDJ[Date]=$A$4)*(CRDJ[Ofc Code]=(TRIM(F$7)))*(CRDJ[Account Code]=(TRIM($D29))),CRDJ[Credit])))+(SUM(IF((GJ[Date]=$A$4)*(GJ[Ofc Code]=(TRIM(F$7)))*(GJ[Account Code]=(TRIM($D29))),GJ[Credit])))-(SUM(IF((CkDJ[Date]=$A$4)*(CkDJ[Ofc Code]=(TRIM(F$7)))*(CkDJ[Account Code]=(TRIM($D29))),CkDJ[Debit])))+(SUM(IF((CsDJ[Date]=$A$4)*(CsDJ[Ofc Code]=(TRIM(F$7)))*(CsDJ[Account Code]=(TRIM($D29))),CsDJ[Debit])))+(SUM(IF((CRDJ[Date]=$A$4)*(CRDJ[Ofc Code]=(TRIM(F$7)))*(CRDJ[Account Code]=(TRIM($D29))),CRDJ[Debit])))+(SUM(IF((GJ[Date]=$A$4)*(GJ[Ofc Code]=(TRIM(F$7)))*(GJ[Account Code]=(TRIM($D29))),GJ[Debit])))</f>
        <v>0</v>
      </c>
      <c r="G29" s="211">
        <f t="array" ref="G29">(SUM(IF((CkDJ[Date]=$A$4)*(CkDJ[Ofc Code]=(TRIM(G$7)))*(CkDJ[Account Code]=(TRIM($D29))),CkDJ[Credit])))+(SUM(IF((CsDJ[Date]=$A$4)*(CsDJ[Ofc Code]=(TRIM(G$7)))*(CsDJ[Account Code]=(TRIM($D29))),CsDJ[Credit])))+(SUM(IF((CRDJ[Date]=$A$4)*(CRDJ[Ofc Code]=(TRIM(G$7)))*(CRDJ[Account Code]=(TRIM($D29))),CRDJ[Credit])))+(SUM(IF((GJ[Date]=$A$4)*(GJ[Ofc Code]=(TRIM(G$7)))*(GJ[Account Code]=(TRIM($D29))),GJ[Credit])))-(SUM(IF((CkDJ[Date]=$A$4)*(CkDJ[Ofc Code]=(TRIM(G$7)))*(CkDJ[Account Code]=(TRIM($D29))),CkDJ[Debit])))+(SUM(IF((CsDJ[Date]=$A$4)*(CsDJ[Ofc Code]=(TRIM(G$7)))*(CsDJ[Account Code]=(TRIM($D29))),CsDJ[Debit])))+(SUM(IF((CRDJ[Date]=$A$4)*(CRDJ[Ofc Code]=(TRIM(G$7)))*(CRDJ[Account Code]=(TRIM($D29))),CRDJ[Debit])))+(SUM(IF((GJ[Date]=$A$4)*(GJ[Ofc Code]=(TRIM(G$7)))*(GJ[Account Code]=(TRIM($D29))),GJ[Debit])))</f>
        <v>0</v>
      </c>
      <c r="H29" s="211">
        <f t="array" ref="H29">(SUM(IF((CkDJ[Date]=$A$4)*(CkDJ[Ofc Code]=(TRIM(H$7)))*(CkDJ[Account Code]=(TRIM($D29))),CkDJ[Credit])))+(SUM(IF((CsDJ[Date]=$A$4)*(CsDJ[Ofc Code]=(TRIM(H$7)))*(CsDJ[Account Code]=(TRIM($D29))),CsDJ[Credit])))+(SUM(IF((CRDJ[Date]=$A$4)*(CRDJ[Ofc Code]=(TRIM(H$7)))*(CRDJ[Account Code]=(TRIM($D29))),CRDJ[Credit])))+(SUM(IF((GJ[Date]=$A$4)*(GJ[Ofc Code]=(TRIM(H$7)))*(GJ[Account Code]=(TRIM($D29))),GJ[Credit])))-(SUM(IF((CkDJ[Date]=$A$4)*(CkDJ[Ofc Code]=(TRIM(H$7)))*(CkDJ[Account Code]=(TRIM($D29))),CkDJ[Debit])))+(SUM(IF((CsDJ[Date]=$A$4)*(CsDJ[Ofc Code]=(TRIM(H$7)))*(CsDJ[Account Code]=(TRIM($D29))),CsDJ[Debit])))+(SUM(IF((CRDJ[Date]=$A$4)*(CRDJ[Ofc Code]=(TRIM(H$7)))*(CRDJ[Account Code]=(TRIM($D29))),CRDJ[Debit])))+(SUM(IF((GJ[Date]=$A$4)*(GJ[Ofc Code]=(TRIM(H$7)))*(GJ[Account Code]=(TRIM($D29))),GJ[Debit])))</f>
        <v>0</v>
      </c>
      <c r="I29" s="211">
        <f t="shared" si="1"/>
        <v>0</v>
      </c>
      <c r="J29" s="211">
        <f t="array" ref="J29">(SUM(IF((CkDJ[Date]=$A$4)*(CkDJ[Ofc Code]=(TRIM(J$7)))*(CkDJ[Account Code]=(TRIM($D29))),CkDJ[Credit])))+(SUM(IF((CsDJ[Date]=$A$4)*(CsDJ[Ofc Code]=(TRIM(J$7)))*(CsDJ[Account Code]=(TRIM($D29))),CsDJ[Credit])))+(SUM(IF((CRDJ[Date]=$A$4)*(CRDJ[Ofc Code]=(TRIM(J$7)))*(CRDJ[Account Code]=(TRIM($D29))),CRDJ[Credit])))+(SUM(IF((GJ[Date]=$A$4)*(GJ[Ofc Code]=(TRIM(J$7)))*(GJ[Account Code]=(TRIM($D29))),GJ[Credit])))-(SUM(IF((CkDJ[Date]=$A$4)*(CkDJ[Ofc Code]=(TRIM(J$7)))*(CkDJ[Account Code]=(TRIM($D29))),CkDJ[Debit])))+(SUM(IF((CsDJ[Date]=$A$4)*(CsDJ[Ofc Code]=(TRIM(J$7)))*(CsDJ[Account Code]=(TRIM($D29))),CsDJ[Debit])))+(SUM(IF((CRDJ[Date]=$A$4)*(CRDJ[Ofc Code]=(TRIM(J$7)))*(CRDJ[Account Code]=(TRIM($D29))),CRDJ[Debit])))+(SUM(IF((GJ[Date]=$A$4)*(GJ[Ofc Code]=(TRIM(J$7)))*(GJ[Account Code]=(TRIM($D29))),GJ[Debit])))</f>
        <v>0</v>
      </c>
      <c r="K29" s="211">
        <f t="array" ref="K29">(SUM(IF((CkDJ[Date]=$A$4)*(CkDJ[Ofc Code]=(TRIM(K$7)))*(CkDJ[Account Code]=(TRIM($D29))),CkDJ[Credit])))+(SUM(IF((CsDJ[Date]=$A$4)*(CsDJ[Ofc Code]=(TRIM(K$7)))*(CsDJ[Account Code]=(TRIM($D29))),CsDJ[Credit])))+(SUM(IF((CRDJ[Date]=$A$4)*(CRDJ[Ofc Code]=(TRIM(K$7)))*(CRDJ[Account Code]=(TRIM($D29))),CRDJ[Credit])))+(SUM(IF((GJ[Date]=$A$4)*(GJ[Ofc Code]=(TRIM(K$7)))*(GJ[Account Code]=(TRIM($D29))),GJ[Credit])))-(SUM(IF((CkDJ[Date]=$A$4)*(CkDJ[Ofc Code]=(TRIM(K$7)))*(CkDJ[Account Code]=(TRIM($D29))),CkDJ[Debit])))+(SUM(IF((CsDJ[Date]=$A$4)*(CsDJ[Ofc Code]=(TRIM(K$7)))*(CsDJ[Account Code]=(TRIM($D29))),CsDJ[Debit])))+(SUM(IF((CRDJ[Date]=$A$4)*(CRDJ[Ofc Code]=(TRIM(K$7)))*(CRDJ[Account Code]=(TRIM($D29))),CRDJ[Debit])))+(SUM(IF((GJ[Date]=$A$4)*(GJ[Ofc Code]=(TRIM(K$7)))*(GJ[Account Code]=(TRIM($D29))),GJ[Debit])))</f>
        <v>0</v>
      </c>
      <c r="L29" s="211">
        <f t="array" ref="L29">(SUM(IF((CkDJ[Date]=$A$4)*(CkDJ[Ofc Code]=(TRIM(L$7)))*(CkDJ[Account Code]=(TRIM($D29))),CkDJ[Credit])))+(SUM(IF((CsDJ[Date]=$A$4)*(CsDJ[Ofc Code]=(TRIM(L$7)))*(CsDJ[Account Code]=(TRIM($D29))),CsDJ[Credit])))+(SUM(IF((CRDJ[Date]=$A$4)*(CRDJ[Ofc Code]=(TRIM(L$7)))*(CRDJ[Account Code]=(TRIM($D29))),CRDJ[Credit])))+(SUM(IF((GJ[Date]=$A$4)*(GJ[Ofc Code]=(TRIM(L$7)))*(GJ[Account Code]=(TRIM($D29))),GJ[Credit])))-(SUM(IF((CkDJ[Date]=$A$4)*(CkDJ[Ofc Code]=(TRIM(L$7)))*(CkDJ[Account Code]=(TRIM($D29))),CkDJ[Debit])))+(SUM(IF((CsDJ[Date]=$A$4)*(CsDJ[Ofc Code]=(TRIM(L$7)))*(CsDJ[Account Code]=(TRIM($D29))),CsDJ[Debit])))+(SUM(IF((CRDJ[Date]=$A$4)*(CRDJ[Ofc Code]=(TRIM(L$7)))*(CRDJ[Account Code]=(TRIM($D29))),CRDJ[Debit])))+(SUM(IF((GJ[Date]=$A$4)*(GJ[Ofc Code]=(TRIM(L$7)))*(GJ[Account Code]=(TRIM($D29))),GJ[Debit])))</f>
        <v>0</v>
      </c>
      <c r="M29" s="211">
        <f t="array" ref="M29">(SUM(IF((CkDJ[Date]=$A$4)*(CkDJ[Ofc Code]=(TRIM(M$7)))*(CkDJ[Account Code]=(TRIM($D29))),CkDJ[Credit])))+(SUM(IF((CsDJ[Date]=$A$4)*(CsDJ[Ofc Code]=(TRIM(M$7)))*(CsDJ[Account Code]=(TRIM($D29))),CsDJ[Credit])))+(SUM(IF((CRDJ[Date]=$A$4)*(CRDJ[Ofc Code]=(TRIM(M$7)))*(CRDJ[Account Code]=(TRIM($D29))),CRDJ[Credit])))+(SUM(IF((GJ[Date]=$A$4)*(GJ[Ofc Code]=(TRIM(M$7)))*(GJ[Account Code]=(TRIM($D29))),GJ[Credit])))-(SUM(IF((CkDJ[Date]=$A$4)*(CkDJ[Ofc Code]=(TRIM(M$7)))*(CkDJ[Account Code]=(TRIM($D29))),CkDJ[Debit])))+(SUM(IF((CsDJ[Date]=$A$4)*(CsDJ[Ofc Code]=(TRIM(M$7)))*(CsDJ[Account Code]=(TRIM($D29))),CsDJ[Debit])))+(SUM(IF((CRDJ[Date]=$A$4)*(CRDJ[Ofc Code]=(TRIM(M$7)))*(CRDJ[Account Code]=(TRIM($D29))),CRDJ[Debit])))+(SUM(IF((GJ[Date]=$A$4)*(GJ[Ofc Code]=(TRIM(M$7)))*(GJ[Account Code]=(TRIM($D29))),GJ[Debit])))</f>
        <v>0</v>
      </c>
      <c r="N29" s="211">
        <f t="shared" si="2"/>
        <v>0</v>
      </c>
      <c r="O29" s="211">
        <f t="array" ref="O29">(SUM(IF((CkDJ[Date]=$A$4)*(CkDJ[Ofc Code]=(TRIM(O$7)))*(CkDJ[Account Code]=(TRIM($D29))),CkDJ[Credit])))+(SUM(IF((CsDJ[Date]=$A$4)*(CsDJ[Ofc Code]=(TRIM(O$7)))*(CsDJ[Account Code]=(TRIM($D29))),CsDJ[Credit])))+(SUM(IF((CRDJ[Date]=$A$4)*(CRDJ[Ofc Code]=(TRIM(O$7)))*(CRDJ[Account Code]=(TRIM($D29))),CRDJ[Credit])))+(SUM(IF((GJ[Date]=$A$4)*(GJ[Ofc Code]=(TRIM(O$7)))*(GJ[Account Code]=(TRIM($D29))),GJ[Credit])))-(SUM(IF((CkDJ[Date]=$A$4)*(CkDJ[Ofc Code]=(TRIM(O$7)))*(CkDJ[Account Code]=(TRIM($D29))),CkDJ[Debit])))+(SUM(IF((CsDJ[Date]=$A$4)*(CsDJ[Ofc Code]=(TRIM(O$7)))*(CsDJ[Account Code]=(TRIM($D29))),CsDJ[Debit])))+(SUM(IF((CRDJ[Date]=$A$4)*(CRDJ[Ofc Code]=(TRIM(O$7)))*(CRDJ[Account Code]=(TRIM($D29))),CRDJ[Debit])))+(SUM(IF((GJ[Date]=$A$4)*(GJ[Ofc Code]=(TRIM(O$7)))*(GJ[Account Code]=(TRIM($D29))),GJ[Debit])))</f>
        <v>0</v>
      </c>
      <c r="P29" s="211">
        <f t="array" ref="P29">(SUM(IF((CkDJ[Date]=$A$4)*(CkDJ[Ofc Code]=(TRIM(P$7)))*(CkDJ[Account Code]=(TRIM($D29))),CkDJ[Credit])))+(SUM(IF((CsDJ[Date]=$A$4)*(CsDJ[Ofc Code]=(TRIM(P$7)))*(CsDJ[Account Code]=(TRIM($D29))),CsDJ[Credit])))+(SUM(IF((CRDJ[Date]=$A$4)*(CRDJ[Ofc Code]=(TRIM(P$7)))*(CRDJ[Account Code]=(TRIM($D29))),CRDJ[Credit])))+(SUM(IF((GJ[Date]=$A$4)*(GJ[Ofc Code]=(TRIM(P$7)))*(GJ[Account Code]=(TRIM($D29))),GJ[Credit])))-(SUM(IF((CkDJ[Date]=$A$4)*(CkDJ[Ofc Code]=(TRIM(P$7)))*(CkDJ[Account Code]=(TRIM($D29))),CkDJ[Debit])))+(SUM(IF((CsDJ[Date]=$A$4)*(CsDJ[Ofc Code]=(TRIM(P$7)))*(CsDJ[Account Code]=(TRIM($D29))),CsDJ[Debit])))+(SUM(IF((CRDJ[Date]=$A$4)*(CRDJ[Ofc Code]=(TRIM(P$7)))*(CRDJ[Account Code]=(TRIM($D29))),CRDJ[Debit])))+(SUM(IF((GJ[Date]=$A$4)*(GJ[Ofc Code]=(TRIM(P$7)))*(GJ[Account Code]=(TRIM($D29))),GJ[Debit])))</f>
        <v>0</v>
      </c>
      <c r="Q29" s="211">
        <f t="array" ref="Q29">(SUM(IF((CkDJ[Date]=$A$4)*(CkDJ[Ofc Code]=(TRIM(Q$7)))*(CkDJ[Account Code]=(TRIM($D29))),CkDJ[Credit])))+(SUM(IF((CsDJ[Date]=$A$4)*(CsDJ[Ofc Code]=(TRIM(Q$7)))*(CsDJ[Account Code]=(TRIM($D29))),CsDJ[Credit])))+(SUM(IF((CRDJ[Date]=$A$4)*(CRDJ[Ofc Code]=(TRIM(Q$7)))*(CRDJ[Account Code]=(TRIM($D29))),CRDJ[Credit])))+(SUM(IF((GJ[Date]=$A$4)*(GJ[Ofc Code]=(TRIM(Q$7)))*(GJ[Account Code]=(TRIM($D29))),GJ[Credit])))-(SUM(IF((CkDJ[Date]=$A$4)*(CkDJ[Ofc Code]=(TRIM(Q$7)))*(CkDJ[Account Code]=(TRIM($D29))),CkDJ[Debit])))+(SUM(IF((CsDJ[Date]=$A$4)*(CsDJ[Ofc Code]=(TRIM(Q$7)))*(CsDJ[Account Code]=(TRIM($D29))),CsDJ[Debit])))+(SUM(IF((CRDJ[Date]=$A$4)*(CRDJ[Ofc Code]=(TRIM(Q$7)))*(CRDJ[Account Code]=(TRIM($D29))),CRDJ[Debit])))+(SUM(IF((GJ[Date]=$A$4)*(GJ[Ofc Code]=(TRIM(Q$7)))*(GJ[Account Code]=(TRIM($D29))),GJ[Debit])))</f>
        <v>0</v>
      </c>
      <c r="R29" s="211">
        <f t="array" ref="R29">(SUM(IF((CkDJ[Date]=$A$4)*(CkDJ[Ofc Code]=(TRIM(R$7)))*(CkDJ[Account Code]=(TRIM($D29))),CkDJ[Credit])))+(SUM(IF((CsDJ[Date]=$A$4)*(CsDJ[Ofc Code]=(TRIM(R$7)))*(CsDJ[Account Code]=(TRIM($D29))),CsDJ[Credit])))+(SUM(IF((CRDJ[Date]=$A$4)*(CRDJ[Ofc Code]=(TRIM(R$7)))*(CRDJ[Account Code]=(TRIM($D29))),CRDJ[Credit])))+(SUM(IF((GJ[Date]=$A$4)*(GJ[Ofc Code]=(TRIM(R$7)))*(GJ[Account Code]=(TRIM($D29))),GJ[Credit])))-(SUM(IF((CkDJ[Date]=$A$4)*(CkDJ[Ofc Code]=(TRIM(R$7)))*(CkDJ[Account Code]=(TRIM($D29))),CkDJ[Debit])))+(SUM(IF((CsDJ[Date]=$A$4)*(CsDJ[Ofc Code]=(TRIM(R$7)))*(CsDJ[Account Code]=(TRIM($D29))),CsDJ[Debit])))+(SUM(IF((CRDJ[Date]=$A$4)*(CRDJ[Ofc Code]=(TRIM(R$7)))*(CRDJ[Account Code]=(TRIM($D29))),CRDJ[Debit])))+(SUM(IF((GJ[Date]=$A$4)*(GJ[Ofc Code]=(TRIM(R$7)))*(GJ[Account Code]=(TRIM($D29))),GJ[Debit])))</f>
        <v>0</v>
      </c>
      <c r="S29" s="211">
        <f t="array" ref="S29">(SUM(IF((CkDJ[Date]=$A$4)*(CkDJ[Ofc Code]=(TRIM(S$7)))*(CkDJ[Account Code]=(TRIM($D29))),CkDJ[Credit])))+(SUM(IF((CsDJ[Date]=$A$4)*(CsDJ[Ofc Code]=(TRIM(S$7)))*(CsDJ[Account Code]=(TRIM($D29))),CsDJ[Credit])))+(SUM(IF((CRDJ[Date]=$A$4)*(CRDJ[Ofc Code]=(TRIM(S$7)))*(CRDJ[Account Code]=(TRIM($D29))),CRDJ[Credit])))+(SUM(IF((GJ[Date]=$A$4)*(GJ[Ofc Code]=(TRIM(S$7)))*(GJ[Account Code]=(TRIM($D29))),GJ[Credit])))-(SUM(IF((CkDJ[Date]=$A$4)*(CkDJ[Ofc Code]=(TRIM(S$7)))*(CkDJ[Account Code]=(TRIM($D29))),CkDJ[Debit])))+(SUM(IF((CsDJ[Date]=$A$4)*(CsDJ[Ofc Code]=(TRIM(S$7)))*(CsDJ[Account Code]=(TRIM($D29))),CsDJ[Debit])))+(SUM(IF((CRDJ[Date]=$A$4)*(CRDJ[Ofc Code]=(TRIM(S$7)))*(CRDJ[Account Code]=(TRIM($D29))),CRDJ[Debit])))+(SUM(IF((GJ[Date]=$A$4)*(GJ[Ofc Code]=(TRIM(S$7)))*(GJ[Account Code]=(TRIM($D29))),GJ[Debit])))</f>
        <v>0</v>
      </c>
      <c r="T29" s="211">
        <f t="shared" si="3"/>
        <v>0</v>
      </c>
      <c r="U29" s="211">
        <f t="shared" si="4"/>
        <v>0</v>
      </c>
    </row>
    <row r="30" spans="1:21" ht="15">
      <c r="A30" s="212">
        <f t="shared" si="5"/>
        <v>22</v>
      </c>
      <c r="B30" s="194"/>
      <c r="C30" s="194" t="str">
        <f t="shared" si="0"/>
        <v>Miscellaneous Income (Power)</v>
      </c>
      <c r="D30" s="207" t="s">
        <v>352</v>
      </c>
      <c r="E30" s="211">
        <f t="array" ref="E30">(SUM(IF((CkDJ[Date]=$A$4)*(CkDJ[Ofc Code]=(TRIM(E$7)))*(CkDJ[Account Code]=(TRIM($D30))),CkDJ[Credit])))+(SUM(IF((CsDJ[Date]=$A$4)*(CsDJ[Ofc Code]=(TRIM(E$7)))*(CsDJ[Account Code]=(TRIM($D30))),CsDJ[Credit])))+(SUM(IF((CRDJ[Date]=$A$4)*(CRDJ[Ofc Code]=(TRIM(E$7)))*(CRDJ[Account Code]=(TRIM($D30))),CRDJ[Credit])))+(SUM(IF((GJ[Date]=$A$4)*(GJ[Ofc Code]=(TRIM(E$7)))*(GJ[Account Code]=(TRIM($D30))),GJ[Credit])))-(SUM(IF((CkDJ[Date]=$A$4)*(CkDJ[Ofc Code]=(TRIM(E$7)))*(CkDJ[Account Code]=(TRIM($D30))),CkDJ[Debit])))+(SUM(IF((CsDJ[Date]=$A$4)*(CsDJ[Ofc Code]=(TRIM(E$7)))*(CsDJ[Account Code]=(TRIM($D30))),CsDJ[Debit])))+(SUM(IF((CRDJ[Date]=$A$4)*(CRDJ[Ofc Code]=(TRIM(E$7)))*(CRDJ[Account Code]=(TRIM($D30))),CRDJ[Debit])))+(SUM(IF((GJ[Date]=$A$4)*(GJ[Ofc Code]=(TRIM(E$7)))*(GJ[Account Code]=(TRIM($D30))),GJ[Debit])))</f>
        <v>0</v>
      </c>
      <c r="F30" s="211">
        <f t="array" ref="F30">(SUM(IF((CkDJ[Date]=$A$4)*(CkDJ[Ofc Code]=(TRIM(F$7)))*(CkDJ[Account Code]=(TRIM($D30))),CkDJ[Credit])))+(SUM(IF((CsDJ[Date]=$A$4)*(CsDJ[Ofc Code]=(TRIM(F$7)))*(CsDJ[Account Code]=(TRIM($D30))),CsDJ[Credit])))+(SUM(IF((CRDJ[Date]=$A$4)*(CRDJ[Ofc Code]=(TRIM(F$7)))*(CRDJ[Account Code]=(TRIM($D30))),CRDJ[Credit])))+(SUM(IF((GJ[Date]=$A$4)*(GJ[Ofc Code]=(TRIM(F$7)))*(GJ[Account Code]=(TRIM($D30))),GJ[Credit])))-(SUM(IF((CkDJ[Date]=$A$4)*(CkDJ[Ofc Code]=(TRIM(F$7)))*(CkDJ[Account Code]=(TRIM($D30))),CkDJ[Debit])))+(SUM(IF((CsDJ[Date]=$A$4)*(CsDJ[Ofc Code]=(TRIM(F$7)))*(CsDJ[Account Code]=(TRIM($D30))),CsDJ[Debit])))+(SUM(IF((CRDJ[Date]=$A$4)*(CRDJ[Ofc Code]=(TRIM(F$7)))*(CRDJ[Account Code]=(TRIM($D30))),CRDJ[Debit])))+(SUM(IF((GJ[Date]=$A$4)*(GJ[Ofc Code]=(TRIM(F$7)))*(GJ[Account Code]=(TRIM($D30))),GJ[Debit])))</f>
        <v>0</v>
      </c>
      <c r="G30" s="211">
        <f t="array" ref="G30">(SUM(IF((CkDJ[Date]=$A$4)*(CkDJ[Ofc Code]=(TRIM(G$7)))*(CkDJ[Account Code]=(TRIM($D30))),CkDJ[Credit])))+(SUM(IF((CsDJ[Date]=$A$4)*(CsDJ[Ofc Code]=(TRIM(G$7)))*(CsDJ[Account Code]=(TRIM($D30))),CsDJ[Credit])))+(SUM(IF((CRDJ[Date]=$A$4)*(CRDJ[Ofc Code]=(TRIM(G$7)))*(CRDJ[Account Code]=(TRIM($D30))),CRDJ[Credit])))+(SUM(IF((GJ[Date]=$A$4)*(GJ[Ofc Code]=(TRIM(G$7)))*(GJ[Account Code]=(TRIM($D30))),GJ[Credit])))-(SUM(IF((CkDJ[Date]=$A$4)*(CkDJ[Ofc Code]=(TRIM(G$7)))*(CkDJ[Account Code]=(TRIM($D30))),CkDJ[Debit])))+(SUM(IF((CsDJ[Date]=$A$4)*(CsDJ[Ofc Code]=(TRIM(G$7)))*(CsDJ[Account Code]=(TRIM($D30))),CsDJ[Debit])))+(SUM(IF((CRDJ[Date]=$A$4)*(CRDJ[Ofc Code]=(TRIM(G$7)))*(CRDJ[Account Code]=(TRIM($D30))),CRDJ[Debit])))+(SUM(IF((GJ[Date]=$A$4)*(GJ[Ofc Code]=(TRIM(G$7)))*(GJ[Account Code]=(TRIM($D30))),GJ[Debit])))</f>
        <v>0</v>
      </c>
      <c r="H30" s="211">
        <f t="array" ref="H30">(SUM(IF((CkDJ[Date]=$A$4)*(CkDJ[Ofc Code]=(TRIM(H$7)))*(CkDJ[Account Code]=(TRIM($D30))),CkDJ[Credit])))+(SUM(IF((CsDJ[Date]=$A$4)*(CsDJ[Ofc Code]=(TRIM(H$7)))*(CsDJ[Account Code]=(TRIM($D30))),CsDJ[Credit])))+(SUM(IF((CRDJ[Date]=$A$4)*(CRDJ[Ofc Code]=(TRIM(H$7)))*(CRDJ[Account Code]=(TRIM($D30))),CRDJ[Credit])))+(SUM(IF((GJ[Date]=$A$4)*(GJ[Ofc Code]=(TRIM(H$7)))*(GJ[Account Code]=(TRIM($D30))),GJ[Credit])))-(SUM(IF((CkDJ[Date]=$A$4)*(CkDJ[Ofc Code]=(TRIM(H$7)))*(CkDJ[Account Code]=(TRIM($D30))),CkDJ[Debit])))+(SUM(IF((CsDJ[Date]=$A$4)*(CsDJ[Ofc Code]=(TRIM(H$7)))*(CsDJ[Account Code]=(TRIM($D30))),CsDJ[Debit])))+(SUM(IF((CRDJ[Date]=$A$4)*(CRDJ[Ofc Code]=(TRIM(H$7)))*(CRDJ[Account Code]=(TRIM($D30))),CRDJ[Debit])))+(SUM(IF((GJ[Date]=$A$4)*(GJ[Ofc Code]=(TRIM(H$7)))*(GJ[Account Code]=(TRIM($D30))),GJ[Debit])))</f>
        <v>0</v>
      </c>
      <c r="I30" s="211">
        <f t="shared" si="1"/>
        <v>0</v>
      </c>
      <c r="J30" s="211">
        <f t="array" ref="J30">(SUM(IF((CkDJ[Date]=$A$4)*(CkDJ[Ofc Code]=(TRIM(J$7)))*(CkDJ[Account Code]=(TRIM($D30))),CkDJ[Credit])))+(SUM(IF((CsDJ[Date]=$A$4)*(CsDJ[Ofc Code]=(TRIM(J$7)))*(CsDJ[Account Code]=(TRIM($D30))),CsDJ[Credit])))+(SUM(IF((CRDJ[Date]=$A$4)*(CRDJ[Ofc Code]=(TRIM(J$7)))*(CRDJ[Account Code]=(TRIM($D30))),CRDJ[Credit])))+(SUM(IF((GJ[Date]=$A$4)*(GJ[Ofc Code]=(TRIM(J$7)))*(GJ[Account Code]=(TRIM($D30))),GJ[Credit])))-(SUM(IF((CkDJ[Date]=$A$4)*(CkDJ[Ofc Code]=(TRIM(J$7)))*(CkDJ[Account Code]=(TRIM($D30))),CkDJ[Debit])))+(SUM(IF((CsDJ[Date]=$A$4)*(CsDJ[Ofc Code]=(TRIM(J$7)))*(CsDJ[Account Code]=(TRIM($D30))),CsDJ[Debit])))+(SUM(IF((CRDJ[Date]=$A$4)*(CRDJ[Ofc Code]=(TRIM(J$7)))*(CRDJ[Account Code]=(TRIM($D30))),CRDJ[Debit])))+(SUM(IF((GJ[Date]=$A$4)*(GJ[Ofc Code]=(TRIM(J$7)))*(GJ[Account Code]=(TRIM($D30))),GJ[Debit])))</f>
        <v>0</v>
      </c>
      <c r="K30" s="211">
        <f t="array" ref="K30">(SUM(IF((CkDJ[Date]=$A$4)*(CkDJ[Ofc Code]=(TRIM(K$7)))*(CkDJ[Account Code]=(TRIM($D30))),CkDJ[Credit])))+(SUM(IF((CsDJ[Date]=$A$4)*(CsDJ[Ofc Code]=(TRIM(K$7)))*(CsDJ[Account Code]=(TRIM($D30))),CsDJ[Credit])))+(SUM(IF((CRDJ[Date]=$A$4)*(CRDJ[Ofc Code]=(TRIM(K$7)))*(CRDJ[Account Code]=(TRIM($D30))),CRDJ[Credit])))+(SUM(IF((GJ[Date]=$A$4)*(GJ[Ofc Code]=(TRIM(K$7)))*(GJ[Account Code]=(TRIM($D30))),GJ[Credit])))-(SUM(IF((CkDJ[Date]=$A$4)*(CkDJ[Ofc Code]=(TRIM(K$7)))*(CkDJ[Account Code]=(TRIM($D30))),CkDJ[Debit])))+(SUM(IF((CsDJ[Date]=$A$4)*(CsDJ[Ofc Code]=(TRIM(K$7)))*(CsDJ[Account Code]=(TRIM($D30))),CsDJ[Debit])))+(SUM(IF((CRDJ[Date]=$A$4)*(CRDJ[Ofc Code]=(TRIM(K$7)))*(CRDJ[Account Code]=(TRIM($D30))),CRDJ[Debit])))+(SUM(IF((GJ[Date]=$A$4)*(GJ[Ofc Code]=(TRIM(K$7)))*(GJ[Account Code]=(TRIM($D30))),GJ[Debit])))</f>
        <v>0</v>
      </c>
      <c r="L30" s="211">
        <f t="array" ref="L30">(SUM(IF((CkDJ[Date]=$A$4)*(CkDJ[Ofc Code]=(TRIM(L$7)))*(CkDJ[Account Code]=(TRIM($D30))),CkDJ[Credit])))+(SUM(IF((CsDJ[Date]=$A$4)*(CsDJ[Ofc Code]=(TRIM(L$7)))*(CsDJ[Account Code]=(TRIM($D30))),CsDJ[Credit])))+(SUM(IF((CRDJ[Date]=$A$4)*(CRDJ[Ofc Code]=(TRIM(L$7)))*(CRDJ[Account Code]=(TRIM($D30))),CRDJ[Credit])))+(SUM(IF((GJ[Date]=$A$4)*(GJ[Ofc Code]=(TRIM(L$7)))*(GJ[Account Code]=(TRIM($D30))),GJ[Credit])))-(SUM(IF((CkDJ[Date]=$A$4)*(CkDJ[Ofc Code]=(TRIM(L$7)))*(CkDJ[Account Code]=(TRIM($D30))),CkDJ[Debit])))+(SUM(IF((CsDJ[Date]=$A$4)*(CsDJ[Ofc Code]=(TRIM(L$7)))*(CsDJ[Account Code]=(TRIM($D30))),CsDJ[Debit])))+(SUM(IF((CRDJ[Date]=$A$4)*(CRDJ[Ofc Code]=(TRIM(L$7)))*(CRDJ[Account Code]=(TRIM($D30))),CRDJ[Debit])))+(SUM(IF((GJ[Date]=$A$4)*(GJ[Ofc Code]=(TRIM(L$7)))*(GJ[Account Code]=(TRIM($D30))),GJ[Debit])))</f>
        <v>0</v>
      </c>
      <c r="M30" s="211">
        <f t="array" ref="M30">(SUM(IF((CkDJ[Date]=$A$4)*(CkDJ[Ofc Code]=(TRIM(M$7)))*(CkDJ[Account Code]=(TRIM($D30))),CkDJ[Credit])))+(SUM(IF((CsDJ[Date]=$A$4)*(CsDJ[Ofc Code]=(TRIM(M$7)))*(CsDJ[Account Code]=(TRIM($D30))),CsDJ[Credit])))+(SUM(IF((CRDJ[Date]=$A$4)*(CRDJ[Ofc Code]=(TRIM(M$7)))*(CRDJ[Account Code]=(TRIM($D30))),CRDJ[Credit])))+(SUM(IF((GJ[Date]=$A$4)*(GJ[Ofc Code]=(TRIM(M$7)))*(GJ[Account Code]=(TRIM($D30))),GJ[Credit])))-(SUM(IF((CkDJ[Date]=$A$4)*(CkDJ[Ofc Code]=(TRIM(M$7)))*(CkDJ[Account Code]=(TRIM($D30))),CkDJ[Debit])))+(SUM(IF((CsDJ[Date]=$A$4)*(CsDJ[Ofc Code]=(TRIM(M$7)))*(CsDJ[Account Code]=(TRIM($D30))),CsDJ[Debit])))+(SUM(IF((CRDJ[Date]=$A$4)*(CRDJ[Ofc Code]=(TRIM(M$7)))*(CRDJ[Account Code]=(TRIM($D30))),CRDJ[Debit])))+(SUM(IF((GJ[Date]=$A$4)*(GJ[Ofc Code]=(TRIM(M$7)))*(GJ[Account Code]=(TRIM($D30))),GJ[Debit])))</f>
        <v>0</v>
      </c>
      <c r="N30" s="211">
        <f t="shared" si="2"/>
        <v>0</v>
      </c>
      <c r="O30" s="211">
        <f t="array" ref="O30">(SUM(IF((CkDJ[Date]=$A$4)*(CkDJ[Ofc Code]=(TRIM(O$7)))*(CkDJ[Account Code]=(TRIM($D30))),CkDJ[Credit])))+(SUM(IF((CsDJ[Date]=$A$4)*(CsDJ[Ofc Code]=(TRIM(O$7)))*(CsDJ[Account Code]=(TRIM($D30))),CsDJ[Credit])))+(SUM(IF((CRDJ[Date]=$A$4)*(CRDJ[Ofc Code]=(TRIM(O$7)))*(CRDJ[Account Code]=(TRIM($D30))),CRDJ[Credit])))+(SUM(IF((GJ[Date]=$A$4)*(GJ[Ofc Code]=(TRIM(O$7)))*(GJ[Account Code]=(TRIM($D30))),GJ[Credit])))-(SUM(IF((CkDJ[Date]=$A$4)*(CkDJ[Ofc Code]=(TRIM(O$7)))*(CkDJ[Account Code]=(TRIM($D30))),CkDJ[Debit])))+(SUM(IF((CsDJ[Date]=$A$4)*(CsDJ[Ofc Code]=(TRIM(O$7)))*(CsDJ[Account Code]=(TRIM($D30))),CsDJ[Debit])))+(SUM(IF((CRDJ[Date]=$A$4)*(CRDJ[Ofc Code]=(TRIM(O$7)))*(CRDJ[Account Code]=(TRIM($D30))),CRDJ[Debit])))+(SUM(IF((GJ[Date]=$A$4)*(GJ[Ofc Code]=(TRIM(O$7)))*(GJ[Account Code]=(TRIM($D30))),GJ[Debit])))</f>
        <v>0</v>
      </c>
      <c r="P30" s="211">
        <f t="array" ref="P30">(SUM(IF((CkDJ[Date]=$A$4)*(CkDJ[Ofc Code]=(TRIM(P$7)))*(CkDJ[Account Code]=(TRIM($D30))),CkDJ[Credit])))+(SUM(IF((CsDJ[Date]=$A$4)*(CsDJ[Ofc Code]=(TRIM(P$7)))*(CsDJ[Account Code]=(TRIM($D30))),CsDJ[Credit])))+(SUM(IF((CRDJ[Date]=$A$4)*(CRDJ[Ofc Code]=(TRIM(P$7)))*(CRDJ[Account Code]=(TRIM($D30))),CRDJ[Credit])))+(SUM(IF((GJ[Date]=$A$4)*(GJ[Ofc Code]=(TRIM(P$7)))*(GJ[Account Code]=(TRIM($D30))),GJ[Credit])))-(SUM(IF((CkDJ[Date]=$A$4)*(CkDJ[Ofc Code]=(TRIM(P$7)))*(CkDJ[Account Code]=(TRIM($D30))),CkDJ[Debit])))+(SUM(IF((CsDJ[Date]=$A$4)*(CsDJ[Ofc Code]=(TRIM(P$7)))*(CsDJ[Account Code]=(TRIM($D30))),CsDJ[Debit])))+(SUM(IF((CRDJ[Date]=$A$4)*(CRDJ[Ofc Code]=(TRIM(P$7)))*(CRDJ[Account Code]=(TRIM($D30))),CRDJ[Debit])))+(SUM(IF((GJ[Date]=$A$4)*(GJ[Ofc Code]=(TRIM(P$7)))*(GJ[Account Code]=(TRIM($D30))),GJ[Debit])))</f>
        <v>0</v>
      </c>
      <c r="Q30" s="211">
        <f t="array" ref="Q30">(SUM(IF((CkDJ[Date]=$A$4)*(CkDJ[Ofc Code]=(TRIM(Q$7)))*(CkDJ[Account Code]=(TRIM($D30))),CkDJ[Credit])))+(SUM(IF((CsDJ[Date]=$A$4)*(CsDJ[Ofc Code]=(TRIM(Q$7)))*(CsDJ[Account Code]=(TRIM($D30))),CsDJ[Credit])))+(SUM(IF((CRDJ[Date]=$A$4)*(CRDJ[Ofc Code]=(TRIM(Q$7)))*(CRDJ[Account Code]=(TRIM($D30))),CRDJ[Credit])))+(SUM(IF((GJ[Date]=$A$4)*(GJ[Ofc Code]=(TRIM(Q$7)))*(GJ[Account Code]=(TRIM($D30))),GJ[Credit])))-(SUM(IF((CkDJ[Date]=$A$4)*(CkDJ[Ofc Code]=(TRIM(Q$7)))*(CkDJ[Account Code]=(TRIM($D30))),CkDJ[Debit])))+(SUM(IF((CsDJ[Date]=$A$4)*(CsDJ[Ofc Code]=(TRIM(Q$7)))*(CsDJ[Account Code]=(TRIM($D30))),CsDJ[Debit])))+(SUM(IF((CRDJ[Date]=$A$4)*(CRDJ[Ofc Code]=(TRIM(Q$7)))*(CRDJ[Account Code]=(TRIM($D30))),CRDJ[Debit])))+(SUM(IF((GJ[Date]=$A$4)*(GJ[Ofc Code]=(TRIM(Q$7)))*(GJ[Account Code]=(TRIM($D30))),GJ[Debit])))</f>
        <v>0</v>
      </c>
      <c r="R30" s="211">
        <f t="array" ref="R30">(SUM(IF((CkDJ[Date]=$A$4)*(CkDJ[Ofc Code]=(TRIM(R$7)))*(CkDJ[Account Code]=(TRIM($D30))),CkDJ[Credit])))+(SUM(IF((CsDJ[Date]=$A$4)*(CsDJ[Ofc Code]=(TRIM(R$7)))*(CsDJ[Account Code]=(TRIM($D30))),CsDJ[Credit])))+(SUM(IF((CRDJ[Date]=$A$4)*(CRDJ[Ofc Code]=(TRIM(R$7)))*(CRDJ[Account Code]=(TRIM($D30))),CRDJ[Credit])))+(SUM(IF((GJ[Date]=$A$4)*(GJ[Ofc Code]=(TRIM(R$7)))*(GJ[Account Code]=(TRIM($D30))),GJ[Credit])))-(SUM(IF((CkDJ[Date]=$A$4)*(CkDJ[Ofc Code]=(TRIM(R$7)))*(CkDJ[Account Code]=(TRIM($D30))),CkDJ[Debit])))+(SUM(IF((CsDJ[Date]=$A$4)*(CsDJ[Ofc Code]=(TRIM(R$7)))*(CsDJ[Account Code]=(TRIM($D30))),CsDJ[Debit])))+(SUM(IF((CRDJ[Date]=$A$4)*(CRDJ[Ofc Code]=(TRIM(R$7)))*(CRDJ[Account Code]=(TRIM($D30))),CRDJ[Debit])))+(SUM(IF((GJ[Date]=$A$4)*(GJ[Ofc Code]=(TRIM(R$7)))*(GJ[Account Code]=(TRIM($D30))),GJ[Debit])))</f>
        <v>0</v>
      </c>
      <c r="S30" s="211">
        <f t="array" ref="S30">(SUM(IF((CkDJ[Date]=$A$4)*(CkDJ[Ofc Code]=(TRIM(S$7)))*(CkDJ[Account Code]=(TRIM($D30))),CkDJ[Credit])))+(SUM(IF((CsDJ[Date]=$A$4)*(CsDJ[Ofc Code]=(TRIM(S$7)))*(CsDJ[Account Code]=(TRIM($D30))),CsDJ[Credit])))+(SUM(IF((CRDJ[Date]=$A$4)*(CRDJ[Ofc Code]=(TRIM(S$7)))*(CRDJ[Account Code]=(TRIM($D30))),CRDJ[Credit])))+(SUM(IF((GJ[Date]=$A$4)*(GJ[Ofc Code]=(TRIM(S$7)))*(GJ[Account Code]=(TRIM($D30))),GJ[Credit])))-(SUM(IF((CkDJ[Date]=$A$4)*(CkDJ[Ofc Code]=(TRIM(S$7)))*(CkDJ[Account Code]=(TRIM($D30))),CkDJ[Debit])))+(SUM(IF((CsDJ[Date]=$A$4)*(CsDJ[Ofc Code]=(TRIM(S$7)))*(CsDJ[Account Code]=(TRIM($D30))),CsDJ[Debit])))+(SUM(IF((CRDJ[Date]=$A$4)*(CRDJ[Ofc Code]=(TRIM(S$7)))*(CRDJ[Account Code]=(TRIM($D30))),CRDJ[Debit])))+(SUM(IF((GJ[Date]=$A$4)*(GJ[Ofc Code]=(TRIM(S$7)))*(GJ[Account Code]=(TRIM($D30))),GJ[Debit])))</f>
        <v>0</v>
      </c>
      <c r="T30" s="211">
        <f t="shared" si="3"/>
        <v>0</v>
      </c>
      <c r="U30" s="211">
        <f t="shared" si="4"/>
        <v>0</v>
      </c>
    </row>
    <row r="31" spans="1:21" ht="15">
      <c r="A31" s="212">
        <f t="shared" si="5"/>
        <v>23</v>
      </c>
      <c r="B31" s="194"/>
      <c r="C31" s="194" t="e">
        <f t="shared" si="0"/>
        <v>#N/A</v>
      </c>
      <c r="D31" s="207" t="s">
        <v>158</v>
      </c>
      <c r="E31" s="211">
        <f t="array" ref="E31">(SUM(IF((CkDJ[Date]=$A$4)*(CkDJ[Ofc Code]=(TRIM(E$7)))*(CkDJ[Account Code]=(TRIM($D31))),CkDJ[Credit])))+(SUM(IF((CsDJ[Date]=$A$4)*(CsDJ[Ofc Code]=(TRIM(E$7)))*(CsDJ[Account Code]=(TRIM($D31))),CsDJ[Credit])))+(SUM(IF((CRDJ[Date]=$A$4)*(CRDJ[Ofc Code]=(TRIM(E$7)))*(CRDJ[Account Code]=(TRIM($D31))),CRDJ[Credit])))+(SUM(IF((GJ[Date]=$A$4)*(GJ[Ofc Code]=(TRIM(E$7)))*(GJ[Account Code]=(TRIM($D31))),GJ[Credit])))-(SUM(IF((CkDJ[Date]=$A$4)*(CkDJ[Ofc Code]=(TRIM(E$7)))*(CkDJ[Account Code]=(TRIM($D31))),CkDJ[Debit])))+(SUM(IF((CsDJ[Date]=$A$4)*(CsDJ[Ofc Code]=(TRIM(E$7)))*(CsDJ[Account Code]=(TRIM($D31))),CsDJ[Debit])))+(SUM(IF((CRDJ[Date]=$A$4)*(CRDJ[Ofc Code]=(TRIM(E$7)))*(CRDJ[Account Code]=(TRIM($D31))),CRDJ[Debit])))+(SUM(IF((GJ[Date]=$A$4)*(GJ[Ofc Code]=(TRIM(E$7)))*(GJ[Account Code]=(TRIM($D31))),GJ[Debit])))</f>
        <v>0</v>
      </c>
      <c r="F31" s="211">
        <f t="array" ref="F31">(SUM(IF((CkDJ[Date]=$A$4)*(CkDJ[Ofc Code]=(TRIM(F$7)))*(CkDJ[Account Code]=(TRIM($D31))),CkDJ[Credit])))+(SUM(IF((CsDJ[Date]=$A$4)*(CsDJ[Ofc Code]=(TRIM(F$7)))*(CsDJ[Account Code]=(TRIM($D31))),CsDJ[Credit])))+(SUM(IF((CRDJ[Date]=$A$4)*(CRDJ[Ofc Code]=(TRIM(F$7)))*(CRDJ[Account Code]=(TRIM($D31))),CRDJ[Credit])))+(SUM(IF((GJ[Date]=$A$4)*(GJ[Ofc Code]=(TRIM(F$7)))*(GJ[Account Code]=(TRIM($D31))),GJ[Credit])))-(SUM(IF((CkDJ[Date]=$A$4)*(CkDJ[Ofc Code]=(TRIM(F$7)))*(CkDJ[Account Code]=(TRIM($D31))),CkDJ[Debit])))+(SUM(IF((CsDJ[Date]=$A$4)*(CsDJ[Ofc Code]=(TRIM(F$7)))*(CsDJ[Account Code]=(TRIM($D31))),CsDJ[Debit])))+(SUM(IF((CRDJ[Date]=$A$4)*(CRDJ[Ofc Code]=(TRIM(F$7)))*(CRDJ[Account Code]=(TRIM($D31))),CRDJ[Debit])))+(SUM(IF((GJ[Date]=$A$4)*(GJ[Ofc Code]=(TRIM(F$7)))*(GJ[Account Code]=(TRIM($D31))),GJ[Debit])))</f>
        <v>0</v>
      </c>
      <c r="G31" s="211">
        <f t="array" ref="G31">(SUM(IF((CkDJ[Date]=$A$4)*(CkDJ[Ofc Code]=(TRIM(G$7)))*(CkDJ[Account Code]=(TRIM($D31))),CkDJ[Credit])))+(SUM(IF((CsDJ[Date]=$A$4)*(CsDJ[Ofc Code]=(TRIM(G$7)))*(CsDJ[Account Code]=(TRIM($D31))),CsDJ[Credit])))+(SUM(IF((CRDJ[Date]=$A$4)*(CRDJ[Ofc Code]=(TRIM(G$7)))*(CRDJ[Account Code]=(TRIM($D31))),CRDJ[Credit])))+(SUM(IF((GJ[Date]=$A$4)*(GJ[Ofc Code]=(TRIM(G$7)))*(GJ[Account Code]=(TRIM($D31))),GJ[Credit])))-(SUM(IF((CkDJ[Date]=$A$4)*(CkDJ[Ofc Code]=(TRIM(G$7)))*(CkDJ[Account Code]=(TRIM($D31))),CkDJ[Debit])))+(SUM(IF((CsDJ[Date]=$A$4)*(CsDJ[Ofc Code]=(TRIM(G$7)))*(CsDJ[Account Code]=(TRIM($D31))),CsDJ[Debit])))+(SUM(IF((CRDJ[Date]=$A$4)*(CRDJ[Ofc Code]=(TRIM(G$7)))*(CRDJ[Account Code]=(TRIM($D31))),CRDJ[Debit])))+(SUM(IF((GJ[Date]=$A$4)*(GJ[Ofc Code]=(TRIM(G$7)))*(GJ[Account Code]=(TRIM($D31))),GJ[Debit])))</f>
        <v>0</v>
      </c>
      <c r="H31" s="211">
        <f t="array" ref="H31">(SUM(IF((CkDJ[Date]=$A$4)*(CkDJ[Ofc Code]=(TRIM(H$7)))*(CkDJ[Account Code]=(TRIM($D31))),CkDJ[Credit])))+(SUM(IF((CsDJ[Date]=$A$4)*(CsDJ[Ofc Code]=(TRIM(H$7)))*(CsDJ[Account Code]=(TRIM($D31))),CsDJ[Credit])))+(SUM(IF((CRDJ[Date]=$A$4)*(CRDJ[Ofc Code]=(TRIM(H$7)))*(CRDJ[Account Code]=(TRIM($D31))),CRDJ[Credit])))+(SUM(IF((GJ[Date]=$A$4)*(GJ[Ofc Code]=(TRIM(H$7)))*(GJ[Account Code]=(TRIM($D31))),GJ[Credit])))-(SUM(IF((CkDJ[Date]=$A$4)*(CkDJ[Ofc Code]=(TRIM(H$7)))*(CkDJ[Account Code]=(TRIM($D31))),CkDJ[Debit])))+(SUM(IF((CsDJ[Date]=$A$4)*(CsDJ[Ofc Code]=(TRIM(H$7)))*(CsDJ[Account Code]=(TRIM($D31))),CsDJ[Debit])))+(SUM(IF((CRDJ[Date]=$A$4)*(CRDJ[Ofc Code]=(TRIM(H$7)))*(CRDJ[Account Code]=(TRIM($D31))),CRDJ[Debit])))+(SUM(IF((GJ[Date]=$A$4)*(GJ[Ofc Code]=(TRIM(H$7)))*(GJ[Account Code]=(TRIM($D31))),GJ[Debit])))</f>
        <v>0</v>
      </c>
      <c r="I31" s="211">
        <f t="shared" si="1"/>
        <v>0</v>
      </c>
      <c r="J31" s="211">
        <f t="array" ref="J31">(SUM(IF((CkDJ[Date]=$A$4)*(CkDJ[Ofc Code]=(TRIM(J$7)))*(CkDJ[Account Code]=(TRIM($D31))),CkDJ[Credit])))+(SUM(IF((CsDJ[Date]=$A$4)*(CsDJ[Ofc Code]=(TRIM(J$7)))*(CsDJ[Account Code]=(TRIM($D31))),CsDJ[Credit])))+(SUM(IF((CRDJ[Date]=$A$4)*(CRDJ[Ofc Code]=(TRIM(J$7)))*(CRDJ[Account Code]=(TRIM($D31))),CRDJ[Credit])))+(SUM(IF((GJ[Date]=$A$4)*(GJ[Ofc Code]=(TRIM(J$7)))*(GJ[Account Code]=(TRIM($D31))),GJ[Credit])))-(SUM(IF((CkDJ[Date]=$A$4)*(CkDJ[Ofc Code]=(TRIM(J$7)))*(CkDJ[Account Code]=(TRIM($D31))),CkDJ[Debit])))+(SUM(IF((CsDJ[Date]=$A$4)*(CsDJ[Ofc Code]=(TRIM(J$7)))*(CsDJ[Account Code]=(TRIM($D31))),CsDJ[Debit])))+(SUM(IF((CRDJ[Date]=$A$4)*(CRDJ[Ofc Code]=(TRIM(J$7)))*(CRDJ[Account Code]=(TRIM($D31))),CRDJ[Debit])))+(SUM(IF((GJ[Date]=$A$4)*(GJ[Ofc Code]=(TRIM(J$7)))*(GJ[Account Code]=(TRIM($D31))),GJ[Debit])))</f>
        <v>0</v>
      </c>
      <c r="K31" s="211">
        <f t="array" ref="K31">(SUM(IF((CkDJ[Date]=$A$4)*(CkDJ[Ofc Code]=(TRIM(K$7)))*(CkDJ[Account Code]=(TRIM($D31))),CkDJ[Credit])))+(SUM(IF((CsDJ[Date]=$A$4)*(CsDJ[Ofc Code]=(TRIM(K$7)))*(CsDJ[Account Code]=(TRIM($D31))),CsDJ[Credit])))+(SUM(IF((CRDJ[Date]=$A$4)*(CRDJ[Ofc Code]=(TRIM(K$7)))*(CRDJ[Account Code]=(TRIM($D31))),CRDJ[Credit])))+(SUM(IF((GJ[Date]=$A$4)*(GJ[Ofc Code]=(TRIM(K$7)))*(GJ[Account Code]=(TRIM($D31))),GJ[Credit])))-(SUM(IF((CkDJ[Date]=$A$4)*(CkDJ[Ofc Code]=(TRIM(K$7)))*(CkDJ[Account Code]=(TRIM($D31))),CkDJ[Debit])))+(SUM(IF((CsDJ[Date]=$A$4)*(CsDJ[Ofc Code]=(TRIM(K$7)))*(CsDJ[Account Code]=(TRIM($D31))),CsDJ[Debit])))+(SUM(IF((CRDJ[Date]=$A$4)*(CRDJ[Ofc Code]=(TRIM(K$7)))*(CRDJ[Account Code]=(TRIM($D31))),CRDJ[Debit])))+(SUM(IF((GJ[Date]=$A$4)*(GJ[Ofc Code]=(TRIM(K$7)))*(GJ[Account Code]=(TRIM($D31))),GJ[Debit])))</f>
        <v>0</v>
      </c>
      <c r="L31" s="211">
        <f t="array" ref="L31">(SUM(IF((CkDJ[Date]=$A$4)*(CkDJ[Ofc Code]=(TRIM(L$7)))*(CkDJ[Account Code]=(TRIM($D31))),CkDJ[Credit])))+(SUM(IF((CsDJ[Date]=$A$4)*(CsDJ[Ofc Code]=(TRIM(L$7)))*(CsDJ[Account Code]=(TRIM($D31))),CsDJ[Credit])))+(SUM(IF((CRDJ[Date]=$A$4)*(CRDJ[Ofc Code]=(TRIM(L$7)))*(CRDJ[Account Code]=(TRIM($D31))),CRDJ[Credit])))+(SUM(IF((GJ[Date]=$A$4)*(GJ[Ofc Code]=(TRIM(L$7)))*(GJ[Account Code]=(TRIM($D31))),GJ[Credit])))-(SUM(IF((CkDJ[Date]=$A$4)*(CkDJ[Ofc Code]=(TRIM(L$7)))*(CkDJ[Account Code]=(TRIM($D31))),CkDJ[Debit])))+(SUM(IF((CsDJ[Date]=$A$4)*(CsDJ[Ofc Code]=(TRIM(L$7)))*(CsDJ[Account Code]=(TRIM($D31))),CsDJ[Debit])))+(SUM(IF((CRDJ[Date]=$A$4)*(CRDJ[Ofc Code]=(TRIM(L$7)))*(CRDJ[Account Code]=(TRIM($D31))),CRDJ[Debit])))+(SUM(IF((GJ[Date]=$A$4)*(GJ[Ofc Code]=(TRIM(L$7)))*(GJ[Account Code]=(TRIM($D31))),GJ[Debit])))</f>
        <v>0</v>
      </c>
      <c r="M31" s="211">
        <f t="array" ref="M31">(SUM(IF((CkDJ[Date]=$A$4)*(CkDJ[Ofc Code]=(TRIM(M$7)))*(CkDJ[Account Code]=(TRIM($D31))),CkDJ[Credit])))+(SUM(IF((CsDJ[Date]=$A$4)*(CsDJ[Ofc Code]=(TRIM(M$7)))*(CsDJ[Account Code]=(TRIM($D31))),CsDJ[Credit])))+(SUM(IF((CRDJ[Date]=$A$4)*(CRDJ[Ofc Code]=(TRIM(M$7)))*(CRDJ[Account Code]=(TRIM($D31))),CRDJ[Credit])))+(SUM(IF((GJ[Date]=$A$4)*(GJ[Ofc Code]=(TRIM(M$7)))*(GJ[Account Code]=(TRIM($D31))),GJ[Credit])))-(SUM(IF((CkDJ[Date]=$A$4)*(CkDJ[Ofc Code]=(TRIM(M$7)))*(CkDJ[Account Code]=(TRIM($D31))),CkDJ[Debit])))+(SUM(IF((CsDJ[Date]=$A$4)*(CsDJ[Ofc Code]=(TRIM(M$7)))*(CsDJ[Account Code]=(TRIM($D31))),CsDJ[Debit])))+(SUM(IF((CRDJ[Date]=$A$4)*(CRDJ[Ofc Code]=(TRIM(M$7)))*(CRDJ[Account Code]=(TRIM($D31))),CRDJ[Debit])))+(SUM(IF((GJ[Date]=$A$4)*(GJ[Ofc Code]=(TRIM(M$7)))*(GJ[Account Code]=(TRIM($D31))),GJ[Debit])))</f>
        <v>0</v>
      </c>
      <c r="N31" s="211">
        <f t="shared" si="2"/>
        <v>0</v>
      </c>
      <c r="O31" s="211">
        <f t="array" ref="O31">(SUM(IF((CkDJ[Date]=$A$4)*(CkDJ[Ofc Code]=(TRIM(O$7)))*(CkDJ[Account Code]=(TRIM($D31))),CkDJ[Credit])))+(SUM(IF((CsDJ[Date]=$A$4)*(CsDJ[Ofc Code]=(TRIM(O$7)))*(CsDJ[Account Code]=(TRIM($D31))),CsDJ[Credit])))+(SUM(IF((CRDJ[Date]=$A$4)*(CRDJ[Ofc Code]=(TRIM(O$7)))*(CRDJ[Account Code]=(TRIM($D31))),CRDJ[Credit])))+(SUM(IF((GJ[Date]=$A$4)*(GJ[Ofc Code]=(TRIM(O$7)))*(GJ[Account Code]=(TRIM($D31))),GJ[Credit])))-(SUM(IF((CkDJ[Date]=$A$4)*(CkDJ[Ofc Code]=(TRIM(O$7)))*(CkDJ[Account Code]=(TRIM($D31))),CkDJ[Debit])))+(SUM(IF((CsDJ[Date]=$A$4)*(CsDJ[Ofc Code]=(TRIM(O$7)))*(CsDJ[Account Code]=(TRIM($D31))),CsDJ[Debit])))+(SUM(IF((CRDJ[Date]=$A$4)*(CRDJ[Ofc Code]=(TRIM(O$7)))*(CRDJ[Account Code]=(TRIM($D31))),CRDJ[Debit])))+(SUM(IF((GJ[Date]=$A$4)*(GJ[Ofc Code]=(TRIM(O$7)))*(GJ[Account Code]=(TRIM($D31))),GJ[Debit])))</f>
        <v>0</v>
      </c>
      <c r="P31" s="211">
        <f t="array" ref="P31">(SUM(IF((CkDJ[Date]=$A$4)*(CkDJ[Ofc Code]=(TRIM(P$7)))*(CkDJ[Account Code]=(TRIM($D31))),CkDJ[Credit])))+(SUM(IF((CsDJ[Date]=$A$4)*(CsDJ[Ofc Code]=(TRIM(P$7)))*(CsDJ[Account Code]=(TRIM($D31))),CsDJ[Credit])))+(SUM(IF((CRDJ[Date]=$A$4)*(CRDJ[Ofc Code]=(TRIM(P$7)))*(CRDJ[Account Code]=(TRIM($D31))),CRDJ[Credit])))+(SUM(IF((GJ[Date]=$A$4)*(GJ[Ofc Code]=(TRIM(P$7)))*(GJ[Account Code]=(TRIM($D31))),GJ[Credit])))-(SUM(IF((CkDJ[Date]=$A$4)*(CkDJ[Ofc Code]=(TRIM(P$7)))*(CkDJ[Account Code]=(TRIM($D31))),CkDJ[Debit])))+(SUM(IF((CsDJ[Date]=$A$4)*(CsDJ[Ofc Code]=(TRIM(P$7)))*(CsDJ[Account Code]=(TRIM($D31))),CsDJ[Debit])))+(SUM(IF((CRDJ[Date]=$A$4)*(CRDJ[Ofc Code]=(TRIM(P$7)))*(CRDJ[Account Code]=(TRIM($D31))),CRDJ[Debit])))+(SUM(IF((GJ[Date]=$A$4)*(GJ[Ofc Code]=(TRIM(P$7)))*(GJ[Account Code]=(TRIM($D31))),GJ[Debit])))</f>
        <v>0</v>
      </c>
      <c r="Q31" s="211">
        <f t="array" ref="Q31">(SUM(IF((CkDJ[Date]=$A$4)*(CkDJ[Ofc Code]=(TRIM(Q$7)))*(CkDJ[Account Code]=(TRIM($D31))),CkDJ[Credit])))+(SUM(IF((CsDJ[Date]=$A$4)*(CsDJ[Ofc Code]=(TRIM(Q$7)))*(CsDJ[Account Code]=(TRIM($D31))),CsDJ[Credit])))+(SUM(IF((CRDJ[Date]=$A$4)*(CRDJ[Ofc Code]=(TRIM(Q$7)))*(CRDJ[Account Code]=(TRIM($D31))),CRDJ[Credit])))+(SUM(IF((GJ[Date]=$A$4)*(GJ[Ofc Code]=(TRIM(Q$7)))*(GJ[Account Code]=(TRIM($D31))),GJ[Credit])))-(SUM(IF((CkDJ[Date]=$A$4)*(CkDJ[Ofc Code]=(TRIM(Q$7)))*(CkDJ[Account Code]=(TRIM($D31))),CkDJ[Debit])))+(SUM(IF((CsDJ[Date]=$A$4)*(CsDJ[Ofc Code]=(TRIM(Q$7)))*(CsDJ[Account Code]=(TRIM($D31))),CsDJ[Debit])))+(SUM(IF((CRDJ[Date]=$A$4)*(CRDJ[Ofc Code]=(TRIM(Q$7)))*(CRDJ[Account Code]=(TRIM($D31))),CRDJ[Debit])))+(SUM(IF((GJ[Date]=$A$4)*(GJ[Ofc Code]=(TRIM(Q$7)))*(GJ[Account Code]=(TRIM($D31))),GJ[Debit])))</f>
        <v>0</v>
      </c>
      <c r="R31" s="211">
        <f t="array" ref="R31">(SUM(IF((CkDJ[Date]=$A$4)*(CkDJ[Ofc Code]=(TRIM(R$7)))*(CkDJ[Account Code]=(TRIM($D31))),CkDJ[Credit])))+(SUM(IF((CsDJ[Date]=$A$4)*(CsDJ[Ofc Code]=(TRIM(R$7)))*(CsDJ[Account Code]=(TRIM($D31))),CsDJ[Credit])))+(SUM(IF((CRDJ[Date]=$A$4)*(CRDJ[Ofc Code]=(TRIM(R$7)))*(CRDJ[Account Code]=(TRIM($D31))),CRDJ[Credit])))+(SUM(IF((GJ[Date]=$A$4)*(GJ[Ofc Code]=(TRIM(R$7)))*(GJ[Account Code]=(TRIM($D31))),GJ[Credit])))-(SUM(IF((CkDJ[Date]=$A$4)*(CkDJ[Ofc Code]=(TRIM(R$7)))*(CkDJ[Account Code]=(TRIM($D31))),CkDJ[Debit])))+(SUM(IF((CsDJ[Date]=$A$4)*(CsDJ[Ofc Code]=(TRIM(R$7)))*(CsDJ[Account Code]=(TRIM($D31))),CsDJ[Debit])))+(SUM(IF((CRDJ[Date]=$A$4)*(CRDJ[Ofc Code]=(TRIM(R$7)))*(CRDJ[Account Code]=(TRIM($D31))),CRDJ[Debit])))+(SUM(IF((GJ[Date]=$A$4)*(GJ[Ofc Code]=(TRIM(R$7)))*(GJ[Account Code]=(TRIM($D31))),GJ[Debit])))</f>
        <v>0</v>
      </c>
      <c r="S31" s="211">
        <f t="array" ref="S31">(SUM(IF((CkDJ[Date]=$A$4)*(CkDJ[Ofc Code]=(TRIM(S$7)))*(CkDJ[Account Code]=(TRIM($D31))),CkDJ[Credit])))+(SUM(IF((CsDJ[Date]=$A$4)*(CsDJ[Ofc Code]=(TRIM(S$7)))*(CsDJ[Account Code]=(TRIM($D31))),CsDJ[Credit])))+(SUM(IF((CRDJ[Date]=$A$4)*(CRDJ[Ofc Code]=(TRIM(S$7)))*(CRDJ[Account Code]=(TRIM($D31))),CRDJ[Credit])))+(SUM(IF((GJ[Date]=$A$4)*(GJ[Ofc Code]=(TRIM(S$7)))*(GJ[Account Code]=(TRIM($D31))),GJ[Credit])))-(SUM(IF((CkDJ[Date]=$A$4)*(CkDJ[Ofc Code]=(TRIM(S$7)))*(CkDJ[Account Code]=(TRIM($D31))),CkDJ[Debit])))+(SUM(IF((CsDJ[Date]=$A$4)*(CsDJ[Ofc Code]=(TRIM(S$7)))*(CsDJ[Account Code]=(TRIM($D31))),CsDJ[Debit])))+(SUM(IF((CRDJ[Date]=$A$4)*(CRDJ[Ofc Code]=(TRIM(S$7)))*(CRDJ[Account Code]=(TRIM($D31))),CRDJ[Debit])))+(SUM(IF((GJ[Date]=$A$4)*(GJ[Ofc Code]=(TRIM(S$7)))*(GJ[Account Code]=(TRIM($D31))),GJ[Debit])))</f>
        <v>0</v>
      </c>
      <c r="T31" s="211">
        <f t="shared" si="3"/>
        <v>0</v>
      </c>
      <c r="U31" s="211">
        <f t="shared" si="4"/>
        <v>0</v>
      </c>
    </row>
    <row r="32" spans="1:21" ht="15">
      <c r="A32" s="1326" t="s">
        <v>760</v>
      </c>
      <c r="B32" s="1327"/>
      <c r="C32" s="1327"/>
      <c r="D32" s="209"/>
      <c r="E32" s="208">
        <f t="shared" ref="E32:U32" si="6">SUM(E9:E31)</f>
        <v>0</v>
      </c>
      <c r="F32" s="208">
        <f t="shared" si="6"/>
        <v>0</v>
      </c>
      <c r="G32" s="208">
        <f t="shared" si="6"/>
        <v>0</v>
      </c>
      <c r="H32" s="208">
        <f t="shared" si="6"/>
        <v>0</v>
      </c>
      <c r="I32" s="208">
        <f t="shared" si="6"/>
        <v>0</v>
      </c>
      <c r="J32" s="208">
        <f t="shared" si="6"/>
        <v>0</v>
      </c>
      <c r="K32" s="208">
        <f t="shared" si="6"/>
        <v>0</v>
      </c>
      <c r="L32" s="208">
        <f t="shared" si="6"/>
        <v>0</v>
      </c>
      <c r="M32" s="208">
        <f t="shared" si="6"/>
        <v>0</v>
      </c>
      <c r="N32" s="208">
        <f t="shared" si="6"/>
        <v>0</v>
      </c>
      <c r="O32" s="208">
        <f t="shared" si="6"/>
        <v>0</v>
      </c>
      <c r="P32" s="208">
        <f t="shared" si="6"/>
        <v>0</v>
      </c>
      <c r="Q32" s="208">
        <f t="shared" si="6"/>
        <v>0</v>
      </c>
      <c r="R32" s="208">
        <f t="shared" si="6"/>
        <v>0</v>
      </c>
      <c r="S32" s="208">
        <f t="shared" si="6"/>
        <v>0</v>
      </c>
      <c r="T32" s="208">
        <f t="shared" si="6"/>
        <v>0</v>
      </c>
      <c r="U32" s="208">
        <f t="shared" si="6"/>
        <v>0</v>
      </c>
    </row>
    <row r="33" spans="1:21" ht="15">
      <c r="A33" s="1324" t="s">
        <v>759</v>
      </c>
      <c r="B33" s="1325"/>
      <c r="C33" s="1325"/>
      <c r="D33" s="207"/>
      <c r="E33" s="211"/>
      <c r="F33" s="211"/>
      <c r="G33" s="211"/>
      <c r="H33" s="211"/>
      <c r="I33" s="221"/>
      <c r="J33" s="220"/>
      <c r="K33" s="219"/>
      <c r="L33" s="218"/>
      <c r="M33" s="217"/>
      <c r="N33" s="216"/>
      <c r="O33" s="211"/>
      <c r="P33" s="211"/>
      <c r="Q33" s="211"/>
      <c r="R33" s="211"/>
      <c r="S33" s="211"/>
      <c r="T33" s="211"/>
      <c r="U33" s="211"/>
    </row>
    <row r="34" spans="1:21" ht="15">
      <c r="A34" s="212">
        <v>1</v>
      </c>
      <c r="B34" s="214" t="s">
        <v>756</v>
      </c>
      <c r="C34" s="194" t="str">
        <f t="shared" ref="C34:C53" si="7">IF(D34=0,"",(VLOOKUP((TRIM(D34)),Code,2,)))</f>
        <v>Salaries and Wages-Regular</v>
      </c>
      <c r="D34" s="215">
        <v>701</v>
      </c>
      <c r="E34" s="211">
        <f t="array" ref="E34">(SUM(IF((CkDJ[Date]=$A$4)*(CkDJ[Ofc Code]=(TRIM(E$7)))*(CkDJ[Account Code]=(TRIM($D34))),CkDJ[Debit])))+(SUM(IF((CsDJ[Date]=$A$4)*(CsDJ[Ofc Code]=(TRIM(E$7)))*(CsDJ[Account Code]=(TRIM($D34))),CsDJ[Debit])))+(SUM(IF((CRDJ[Date]=$A$4)*(CRDJ[Ofc Code]=(TRIM(E$7)))*(CRDJ[Account Code]=(TRIM($D34))),CRDJ[Debit])))+(SUM(IF((GJ[Date]=$A$4)*(GJ[Ofc Code]=(TRIM(E$7)))*(GJ[Account Code]=(TRIM($D34))),GJ[Debit])))-(SUM(IF((CkDJ[Date]=$A$4)*(CkDJ[Ofc Code]=(TRIM(E$7)))*(CkDJ[Account Code]=(TRIM($D34))),CkDJ[Credit])))+(SUM(IF((CsDJ[Date]=$A$4)*(CsDJ[Ofc Code]=(TRIM(E$7)))*(CsDJ[Account Code]=(TRIM($D34))),CsDJ[Credit])))+(SUM(IF((CRDJ[Date]=$A$4)*(CRDJ[Ofc Code]=(TRIM(E$7)))*(CRDJ[Account Code]=(TRIM($D34))),CRDJ[Credit])))+(SUM(IF((GJ[Date]=$A$4)*(GJ[Ofc Code]=(TRIM(E$7)))*(GJ[Account Code]=(TRIM($D34))),GJ[Credit])))</f>
        <v>0</v>
      </c>
      <c r="F34" s="211">
        <f t="array" ref="F34">(SUM(IF((CkDJ[Date]=$A$4)*(CkDJ[Ofc Code]=(TRIM(F$7)))*(CkDJ[Account Code]=(TRIM($D34))),CkDJ[Debit])))+(SUM(IF((CsDJ[Date]=$A$4)*(CsDJ[Ofc Code]=(TRIM(F$7)))*(CsDJ[Account Code]=(TRIM($D34))),CsDJ[Debit])))+(SUM(IF((CRDJ[Date]=$A$4)*(CRDJ[Ofc Code]=(TRIM(F$7)))*(CRDJ[Account Code]=(TRIM($D34))),CRDJ[Debit])))+(SUM(IF((GJ[Date]=$A$4)*(GJ[Ofc Code]=(TRIM(F$7)))*(GJ[Account Code]=(TRIM($D34))),GJ[Debit])))-(SUM(IF((CkDJ[Date]=$A$4)*(CkDJ[Ofc Code]=(TRIM(F$7)))*(CkDJ[Account Code]=(TRIM($D34))),CkDJ[Credit])))+(SUM(IF((CsDJ[Date]=$A$4)*(CsDJ[Ofc Code]=(TRIM(F$7)))*(CsDJ[Account Code]=(TRIM($D34))),CsDJ[Credit])))+(SUM(IF((CRDJ[Date]=$A$4)*(CRDJ[Ofc Code]=(TRIM(F$7)))*(CRDJ[Account Code]=(TRIM($D34))),CRDJ[Credit])))+(SUM(IF((GJ[Date]=$A$4)*(GJ[Ofc Code]=(TRIM(F$7)))*(GJ[Account Code]=(TRIM($D34))),GJ[Credit])))</f>
        <v>0</v>
      </c>
      <c r="G34" s="211">
        <f t="array" ref="G34">(SUM(IF((CkDJ[Date]=$A$4)*(CkDJ[Ofc Code]=(TRIM(G$7)))*(CkDJ[Account Code]=(TRIM($D34))),CkDJ[Debit])))+(SUM(IF((CsDJ[Date]=$A$4)*(CsDJ[Ofc Code]=(TRIM(G$7)))*(CsDJ[Account Code]=(TRIM($D34))),CsDJ[Debit])))+(SUM(IF((CRDJ[Date]=$A$4)*(CRDJ[Ofc Code]=(TRIM(G$7)))*(CRDJ[Account Code]=(TRIM($D34))),CRDJ[Debit])))+(SUM(IF((GJ[Date]=$A$4)*(GJ[Ofc Code]=(TRIM(G$7)))*(GJ[Account Code]=(TRIM($D34))),GJ[Debit])))-(SUM(IF((CkDJ[Date]=$A$4)*(CkDJ[Ofc Code]=(TRIM(G$7)))*(CkDJ[Account Code]=(TRIM($D34))),CkDJ[Credit])))+(SUM(IF((CsDJ[Date]=$A$4)*(CsDJ[Ofc Code]=(TRIM(G$7)))*(CsDJ[Account Code]=(TRIM($D34))),CsDJ[Credit])))+(SUM(IF((CRDJ[Date]=$A$4)*(CRDJ[Ofc Code]=(TRIM(G$7)))*(CRDJ[Account Code]=(TRIM($D34))),CRDJ[Credit])))+(SUM(IF((GJ[Date]=$A$4)*(GJ[Ofc Code]=(TRIM(G$7)))*(GJ[Account Code]=(TRIM($D34))),GJ[Credit])))</f>
        <v>0</v>
      </c>
      <c r="H34" s="211">
        <f t="array" ref="H34">(SUM(IF((CkDJ[Date]=$A$4)*(CkDJ[Ofc Code]=(TRIM(H$7)))*(CkDJ[Account Code]=(TRIM($D34))),CkDJ[Debit])))+(SUM(IF((CsDJ[Date]=$A$4)*(CsDJ[Ofc Code]=(TRIM(H$7)))*(CsDJ[Account Code]=(TRIM($D34))),CsDJ[Debit])))+(SUM(IF((CRDJ[Date]=$A$4)*(CRDJ[Ofc Code]=(TRIM(H$7)))*(CRDJ[Account Code]=(TRIM($D34))),CRDJ[Debit])))+(SUM(IF((GJ[Date]=$A$4)*(GJ[Ofc Code]=(TRIM(H$7)))*(GJ[Account Code]=(TRIM($D34))),GJ[Debit])))-(SUM(IF((CkDJ[Date]=$A$4)*(CkDJ[Ofc Code]=(TRIM(H$7)))*(CkDJ[Account Code]=(TRIM($D34))),CkDJ[Credit])))+(SUM(IF((CsDJ[Date]=$A$4)*(CsDJ[Ofc Code]=(TRIM(H$7)))*(CsDJ[Account Code]=(TRIM($D34))),CsDJ[Credit])))+(SUM(IF((CRDJ[Date]=$A$4)*(CRDJ[Ofc Code]=(TRIM(H$7)))*(CRDJ[Account Code]=(TRIM($D34))),CRDJ[Credit])))+(SUM(IF((GJ[Date]=$A$4)*(GJ[Ofc Code]=(TRIM(H$7)))*(GJ[Account Code]=(TRIM($D34))),GJ[Credit])))</f>
        <v>0</v>
      </c>
      <c r="I34" s="211">
        <f t="shared" ref="I34:I53" si="8">SUM(F34:H34)</f>
        <v>0</v>
      </c>
      <c r="J34" s="211">
        <f t="array" ref="J34">(SUM(IF((CkDJ[Date]=$A$4)*(CkDJ[Ofc Code]=(TRIM(J$7)))*(CkDJ[Account Code]=(TRIM($D34))),CkDJ[Debit])))+(SUM(IF((CsDJ[Date]=$A$4)*(CsDJ[Ofc Code]=(TRIM(J$7)))*(CsDJ[Account Code]=(TRIM($D34))),CsDJ[Debit])))+(SUM(IF((CRDJ[Date]=$A$4)*(CRDJ[Ofc Code]=(TRIM(J$7)))*(CRDJ[Account Code]=(TRIM($D34))),CRDJ[Debit])))+(SUM(IF((GJ[Date]=$A$4)*(GJ[Ofc Code]=(TRIM(J$7)))*(GJ[Account Code]=(TRIM($D34))),GJ[Debit])))-(SUM(IF((CkDJ[Date]=$A$4)*(CkDJ[Ofc Code]=(TRIM(J$7)))*(CkDJ[Account Code]=(TRIM($D34))),CkDJ[Credit])))+(SUM(IF((CsDJ[Date]=$A$4)*(CsDJ[Ofc Code]=(TRIM(J$7)))*(CsDJ[Account Code]=(TRIM($D34))),CsDJ[Credit])))+(SUM(IF((CRDJ[Date]=$A$4)*(CRDJ[Ofc Code]=(TRIM(J$7)))*(CRDJ[Account Code]=(TRIM($D34))),CRDJ[Credit])))+(SUM(IF((GJ[Date]=$A$4)*(GJ[Ofc Code]=(TRIM(J$7)))*(GJ[Account Code]=(TRIM($D34))),GJ[Credit])))</f>
        <v>0</v>
      </c>
      <c r="K34" s="211">
        <f t="array" ref="K34">(SUM(IF((CkDJ[Date]=$A$4)*(CkDJ[Ofc Code]=(TRIM(K$7)))*(CkDJ[Account Code]=(TRIM($D34))),CkDJ[Debit])))+(SUM(IF((CsDJ[Date]=$A$4)*(CsDJ[Ofc Code]=(TRIM(K$7)))*(CsDJ[Account Code]=(TRIM($D34))),CsDJ[Debit])))+(SUM(IF((CRDJ[Date]=$A$4)*(CRDJ[Ofc Code]=(TRIM(K$7)))*(CRDJ[Account Code]=(TRIM($D34))),CRDJ[Debit])))+(SUM(IF((GJ[Date]=$A$4)*(GJ[Ofc Code]=(TRIM(K$7)))*(GJ[Account Code]=(TRIM($D34))),GJ[Debit])))-(SUM(IF((CkDJ[Date]=$A$4)*(CkDJ[Ofc Code]=(TRIM(K$7)))*(CkDJ[Account Code]=(TRIM($D34))),CkDJ[Credit])))+(SUM(IF((CsDJ[Date]=$A$4)*(CsDJ[Ofc Code]=(TRIM(K$7)))*(CsDJ[Account Code]=(TRIM($D34))),CsDJ[Credit])))+(SUM(IF((CRDJ[Date]=$A$4)*(CRDJ[Ofc Code]=(TRIM(K$7)))*(CRDJ[Account Code]=(TRIM($D34))),CRDJ[Credit])))+(SUM(IF((GJ[Date]=$A$4)*(GJ[Ofc Code]=(TRIM(K$7)))*(GJ[Account Code]=(TRIM($D34))),GJ[Credit])))</f>
        <v>0</v>
      </c>
      <c r="L34" s="211">
        <f t="array" ref="L34">(SUM(IF((CkDJ[Date]=$A$4)*(CkDJ[Ofc Code]=(TRIM(L$7)))*(CkDJ[Account Code]=(TRIM($D34))),CkDJ[Debit])))+(SUM(IF((CsDJ[Date]=$A$4)*(CsDJ[Ofc Code]=(TRIM(L$7)))*(CsDJ[Account Code]=(TRIM($D34))),CsDJ[Debit])))+(SUM(IF((CRDJ[Date]=$A$4)*(CRDJ[Ofc Code]=(TRIM(L$7)))*(CRDJ[Account Code]=(TRIM($D34))),CRDJ[Debit])))+(SUM(IF((GJ[Date]=$A$4)*(GJ[Ofc Code]=(TRIM(L$7)))*(GJ[Account Code]=(TRIM($D34))),GJ[Debit])))-(SUM(IF((CkDJ[Date]=$A$4)*(CkDJ[Ofc Code]=(TRIM(L$7)))*(CkDJ[Account Code]=(TRIM($D34))),CkDJ[Credit])))+(SUM(IF((CsDJ[Date]=$A$4)*(CsDJ[Ofc Code]=(TRIM(L$7)))*(CsDJ[Account Code]=(TRIM($D34))),CsDJ[Credit])))+(SUM(IF((CRDJ[Date]=$A$4)*(CRDJ[Ofc Code]=(TRIM(L$7)))*(CRDJ[Account Code]=(TRIM($D34))),CRDJ[Credit])))+(SUM(IF((GJ[Date]=$A$4)*(GJ[Ofc Code]=(TRIM(L$7)))*(GJ[Account Code]=(TRIM($D34))),GJ[Credit])))</f>
        <v>0</v>
      </c>
      <c r="M34" s="211">
        <f t="array" ref="M34">(SUM(IF((CkDJ[Date]=$A$4)*(CkDJ[Ofc Code]=(TRIM(M$7)))*(CkDJ[Account Code]=(TRIM($D34))),CkDJ[Debit])))+(SUM(IF((CsDJ[Date]=$A$4)*(CsDJ[Ofc Code]=(TRIM(M$7)))*(CsDJ[Account Code]=(TRIM($D34))),CsDJ[Debit])))+(SUM(IF((CRDJ[Date]=$A$4)*(CRDJ[Ofc Code]=(TRIM(M$7)))*(CRDJ[Account Code]=(TRIM($D34))),CRDJ[Debit])))+(SUM(IF((GJ[Date]=$A$4)*(GJ[Ofc Code]=(TRIM(M$7)))*(GJ[Account Code]=(TRIM($D34))),GJ[Debit])))-(SUM(IF((CkDJ[Date]=$A$4)*(CkDJ[Ofc Code]=(TRIM(M$7)))*(CkDJ[Account Code]=(TRIM($D34))),CkDJ[Credit])))+(SUM(IF((CsDJ[Date]=$A$4)*(CsDJ[Ofc Code]=(TRIM(M$7)))*(CsDJ[Account Code]=(TRIM($D34))),CsDJ[Credit])))+(SUM(IF((CRDJ[Date]=$A$4)*(CRDJ[Ofc Code]=(TRIM(M$7)))*(CRDJ[Account Code]=(TRIM($D34))),CRDJ[Credit])))+(SUM(IF((GJ[Date]=$A$4)*(GJ[Ofc Code]=(TRIM(M$7)))*(GJ[Account Code]=(TRIM($D34))),GJ[Credit])))</f>
        <v>0</v>
      </c>
      <c r="N34" s="211">
        <f t="shared" ref="N34:N53" si="9">SUM(J34:M34)</f>
        <v>0</v>
      </c>
      <c r="O34" s="211">
        <f t="array" ref="O34">(SUM(IF((CkDJ[Date]=$A$4)*(CkDJ[Ofc Code]=(TRIM(O$7)))*(CkDJ[Account Code]=(TRIM($D34))),CkDJ[Debit])))+(SUM(IF((CsDJ[Date]=$A$4)*(CsDJ[Ofc Code]=(TRIM(O$7)))*(CsDJ[Account Code]=(TRIM($D34))),CsDJ[Debit])))+(SUM(IF((CRDJ[Date]=$A$4)*(CRDJ[Ofc Code]=(TRIM(O$7)))*(CRDJ[Account Code]=(TRIM($D34))),CRDJ[Debit])))+(SUM(IF((GJ[Date]=$A$4)*(GJ[Ofc Code]=(TRIM(O$7)))*(GJ[Account Code]=(TRIM($D34))),GJ[Debit])))-(SUM(IF((CkDJ[Date]=$A$4)*(CkDJ[Ofc Code]=(TRIM(O$7)))*(CkDJ[Account Code]=(TRIM($D34))),CkDJ[Credit])))+(SUM(IF((CsDJ[Date]=$A$4)*(CsDJ[Ofc Code]=(TRIM(O$7)))*(CsDJ[Account Code]=(TRIM($D34))),CsDJ[Credit])))+(SUM(IF((CRDJ[Date]=$A$4)*(CRDJ[Ofc Code]=(TRIM(O$7)))*(CRDJ[Account Code]=(TRIM($D34))),CRDJ[Credit])))+(SUM(IF((GJ[Date]=$A$4)*(GJ[Ofc Code]=(TRIM(O$7)))*(GJ[Account Code]=(TRIM($D34))),GJ[Credit])))</f>
        <v>0</v>
      </c>
      <c r="P34" s="211">
        <f t="array" ref="P34">(SUM(IF((CkDJ[Date]=$A$4)*(CkDJ[Ofc Code]=(TRIM(P$7)))*(CkDJ[Account Code]=(TRIM($D34))),CkDJ[Debit])))+(SUM(IF((CsDJ[Date]=$A$4)*(CsDJ[Ofc Code]=(TRIM(P$7)))*(CsDJ[Account Code]=(TRIM($D34))),CsDJ[Debit])))+(SUM(IF((CRDJ[Date]=$A$4)*(CRDJ[Ofc Code]=(TRIM(P$7)))*(CRDJ[Account Code]=(TRIM($D34))),CRDJ[Debit])))+(SUM(IF((GJ[Date]=$A$4)*(GJ[Ofc Code]=(TRIM(P$7)))*(GJ[Account Code]=(TRIM($D34))),GJ[Debit])))-(SUM(IF((CkDJ[Date]=$A$4)*(CkDJ[Ofc Code]=(TRIM(P$7)))*(CkDJ[Account Code]=(TRIM($D34))),CkDJ[Credit])))+(SUM(IF((CsDJ[Date]=$A$4)*(CsDJ[Ofc Code]=(TRIM(P$7)))*(CsDJ[Account Code]=(TRIM($D34))),CsDJ[Credit])))+(SUM(IF((CRDJ[Date]=$A$4)*(CRDJ[Ofc Code]=(TRIM(P$7)))*(CRDJ[Account Code]=(TRIM($D34))),CRDJ[Credit])))+(SUM(IF((GJ[Date]=$A$4)*(GJ[Ofc Code]=(TRIM(P$7)))*(GJ[Account Code]=(TRIM($D34))),GJ[Credit])))</f>
        <v>0</v>
      </c>
      <c r="Q34" s="211">
        <f t="array" ref="Q34">(SUM(IF((CkDJ[Date]=$A$4)*(CkDJ[Ofc Code]=(TRIM(Q$7)))*(CkDJ[Account Code]=(TRIM($D34))),CkDJ[Debit])))+(SUM(IF((CsDJ[Date]=$A$4)*(CsDJ[Ofc Code]=(TRIM(Q$7)))*(CsDJ[Account Code]=(TRIM($D34))),CsDJ[Debit])))+(SUM(IF((CRDJ[Date]=$A$4)*(CRDJ[Ofc Code]=(TRIM(Q$7)))*(CRDJ[Account Code]=(TRIM($D34))),CRDJ[Debit])))+(SUM(IF((GJ[Date]=$A$4)*(GJ[Ofc Code]=(TRIM(Q$7)))*(GJ[Account Code]=(TRIM($D34))),GJ[Debit])))-(SUM(IF((CkDJ[Date]=$A$4)*(CkDJ[Ofc Code]=(TRIM(Q$7)))*(CkDJ[Account Code]=(TRIM($D34))),CkDJ[Credit])))+(SUM(IF((CsDJ[Date]=$A$4)*(CsDJ[Ofc Code]=(TRIM(Q$7)))*(CsDJ[Account Code]=(TRIM($D34))),CsDJ[Credit])))+(SUM(IF((CRDJ[Date]=$A$4)*(CRDJ[Ofc Code]=(TRIM(Q$7)))*(CRDJ[Account Code]=(TRIM($D34))),CRDJ[Credit])))+(SUM(IF((GJ[Date]=$A$4)*(GJ[Ofc Code]=(TRIM(Q$7)))*(GJ[Account Code]=(TRIM($D34))),GJ[Credit])))</f>
        <v>0</v>
      </c>
      <c r="R34" s="211">
        <f t="array" ref="R34">(SUM(IF((CkDJ[Date]=$A$4)*(CkDJ[Ofc Code]=(TRIM(R$7)))*(CkDJ[Account Code]=(TRIM($D34))),CkDJ[Debit])))+(SUM(IF((CsDJ[Date]=$A$4)*(CsDJ[Ofc Code]=(TRIM(R$7)))*(CsDJ[Account Code]=(TRIM($D34))),CsDJ[Debit])))+(SUM(IF((CRDJ[Date]=$A$4)*(CRDJ[Ofc Code]=(TRIM(R$7)))*(CRDJ[Account Code]=(TRIM($D34))),CRDJ[Debit])))+(SUM(IF((GJ[Date]=$A$4)*(GJ[Ofc Code]=(TRIM(R$7)))*(GJ[Account Code]=(TRIM($D34))),GJ[Debit])))-(SUM(IF((CkDJ[Date]=$A$4)*(CkDJ[Ofc Code]=(TRIM(R$7)))*(CkDJ[Account Code]=(TRIM($D34))),CkDJ[Credit])))+(SUM(IF((CsDJ[Date]=$A$4)*(CsDJ[Ofc Code]=(TRIM(R$7)))*(CsDJ[Account Code]=(TRIM($D34))),CsDJ[Credit])))+(SUM(IF((CRDJ[Date]=$A$4)*(CRDJ[Ofc Code]=(TRIM(R$7)))*(CRDJ[Account Code]=(TRIM($D34))),CRDJ[Credit])))+(SUM(IF((GJ[Date]=$A$4)*(GJ[Ofc Code]=(TRIM(R$7)))*(GJ[Account Code]=(TRIM($D34))),GJ[Credit])))</f>
        <v>0</v>
      </c>
      <c r="S34" s="211">
        <f t="array" ref="S34">(SUM(IF((CkDJ[Date]=$A$4)*(CkDJ[Ofc Code]=(TRIM(S$7)))*(CkDJ[Account Code]=(TRIM($D34))),CkDJ[Debit])))+(SUM(IF((CsDJ[Date]=$A$4)*(CsDJ[Ofc Code]=(TRIM(S$7)))*(CsDJ[Account Code]=(TRIM($D34))),CsDJ[Debit])))+(SUM(IF((CRDJ[Date]=$A$4)*(CRDJ[Ofc Code]=(TRIM(S$7)))*(CRDJ[Account Code]=(TRIM($D34))),CRDJ[Debit])))+(SUM(IF((GJ[Date]=$A$4)*(GJ[Ofc Code]=(TRIM(S$7)))*(GJ[Account Code]=(TRIM($D34))),GJ[Debit])))-(SUM(IF((CkDJ[Date]=$A$4)*(CkDJ[Ofc Code]=(TRIM(S$7)))*(CkDJ[Account Code]=(TRIM($D34))),CkDJ[Credit])))+(SUM(IF((CsDJ[Date]=$A$4)*(CsDJ[Ofc Code]=(TRIM(S$7)))*(CsDJ[Account Code]=(TRIM($D34))),CsDJ[Credit])))+(SUM(IF((CRDJ[Date]=$A$4)*(CRDJ[Ofc Code]=(TRIM(S$7)))*(CRDJ[Account Code]=(TRIM($D34))),CRDJ[Credit])))+(SUM(IF((GJ[Date]=$A$4)*(GJ[Ofc Code]=(TRIM(S$7)))*(GJ[Account Code]=(TRIM($D34))),GJ[Credit])))</f>
        <v>0</v>
      </c>
      <c r="T34" s="211">
        <f t="shared" ref="T34:T53" si="10">SUM(O34:S34)</f>
        <v>0</v>
      </c>
      <c r="U34" s="211">
        <f t="shared" ref="U34:U53" si="11">E34+I34+N34+T34</f>
        <v>0</v>
      </c>
    </row>
    <row r="35" spans="1:21" ht="15">
      <c r="A35" s="212">
        <f t="shared" ref="A35:A56" si="12">1+A34</f>
        <v>2</v>
      </c>
      <c r="B35" s="214" t="s">
        <v>756</v>
      </c>
      <c r="C35" s="194" t="str">
        <f t="shared" si="7"/>
        <v>Salaries and Wages-Casual/Contractual</v>
      </c>
      <c r="D35" s="215">
        <v>705</v>
      </c>
      <c r="E35" s="211">
        <f t="array" ref="E35">(SUM(IF((CkDJ[Date]=$A$4)*(CkDJ[Ofc Code]=(TRIM(E$7)))*(CkDJ[Account Code]=(TRIM($D35))),CkDJ[Debit])))+(SUM(IF((CsDJ[Date]=$A$4)*(CsDJ[Ofc Code]=(TRIM(E$7)))*(CsDJ[Account Code]=(TRIM($D35))),CsDJ[Debit])))+(SUM(IF((CRDJ[Date]=$A$4)*(CRDJ[Ofc Code]=(TRIM(E$7)))*(CRDJ[Account Code]=(TRIM($D35))),CRDJ[Debit])))+(SUM(IF((GJ[Date]=$A$4)*(GJ[Ofc Code]=(TRIM(E$7)))*(GJ[Account Code]=(TRIM($D35))),GJ[Debit])))-(SUM(IF((CkDJ[Date]=$A$4)*(CkDJ[Ofc Code]=(TRIM(E$7)))*(CkDJ[Account Code]=(TRIM($D35))),CkDJ[Credit])))+(SUM(IF((CsDJ[Date]=$A$4)*(CsDJ[Ofc Code]=(TRIM(E$7)))*(CsDJ[Account Code]=(TRIM($D35))),CsDJ[Credit])))+(SUM(IF((CRDJ[Date]=$A$4)*(CRDJ[Ofc Code]=(TRIM(E$7)))*(CRDJ[Account Code]=(TRIM($D35))),CRDJ[Credit])))+(SUM(IF((GJ[Date]=$A$4)*(GJ[Ofc Code]=(TRIM(E$7)))*(GJ[Account Code]=(TRIM($D35))),GJ[Credit])))</f>
        <v>0</v>
      </c>
      <c r="F35" s="211">
        <f t="array" ref="F35">(SUM(IF((CkDJ[Date]=$A$4)*(CkDJ[Ofc Code]=(TRIM(F$7)))*(CkDJ[Account Code]=(TRIM($D35))),CkDJ[Debit])))+(SUM(IF((CsDJ[Date]=$A$4)*(CsDJ[Ofc Code]=(TRIM(F$7)))*(CsDJ[Account Code]=(TRIM($D35))),CsDJ[Debit])))+(SUM(IF((CRDJ[Date]=$A$4)*(CRDJ[Ofc Code]=(TRIM(F$7)))*(CRDJ[Account Code]=(TRIM($D35))),CRDJ[Debit])))+(SUM(IF((GJ[Date]=$A$4)*(GJ[Ofc Code]=(TRIM(F$7)))*(GJ[Account Code]=(TRIM($D35))),GJ[Debit])))-(SUM(IF((CkDJ[Date]=$A$4)*(CkDJ[Ofc Code]=(TRIM(F$7)))*(CkDJ[Account Code]=(TRIM($D35))),CkDJ[Credit])))+(SUM(IF((CsDJ[Date]=$A$4)*(CsDJ[Ofc Code]=(TRIM(F$7)))*(CsDJ[Account Code]=(TRIM($D35))),CsDJ[Credit])))+(SUM(IF((CRDJ[Date]=$A$4)*(CRDJ[Ofc Code]=(TRIM(F$7)))*(CRDJ[Account Code]=(TRIM($D35))),CRDJ[Credit])))+(SUM(IF((GJ[Date]=$A$4)*(GJ[Ofc Code]=(TRIM(F$7)))*(GJ[Account Code]=(TRIM($D35))),GJ[Credit])))</f>
        <v>0</v>
      </c>
      <c r="G35" s="211">
        <f t="array" ref="G35">(SUM(IF((CkDJ[Date]=$A$4)*(CkDJ[Ofc Code]=(TRIM(G$7)))*(CkDJ[Account Code]=(TRIM($D35))),CkDJ[Debit])))+(SUM(IF((CsDJ[Date]=$A$4)*(CsDJ[Ofc Code]=(TRIM(G$7)))*(CsDJ[Account Code]=(TRIM($D35))),CsDJ[Debit])))+(SUM(IF((CRDJ[Date]=$A$4)*(CRDJ[Ofc Code]=(TRIM(G$7)))*(CRDJ[Account Code]=(TRIM($D35))),CRDJ[Debit])))+(SUM(IF((GJ[Date]=$A$4)*(GJ[Ofc Code]=(TRIM(G$7)))*(GJ[Account Code]=(TRIM($D35))),GJ[Debit])))-(SUM(IF((CkDJ[Date]=$A$4)*(CkDJ[Ofc Code]=(TRIM(G$7)))*(CkDJ[Account Code]=(TRIM($D35))),CkDJ[Credit])))+(SUM(IF((CsDJ[Date]=$A$4)*(CsDJ[Ofc Code]=(TRIM(G$7)))*(CsDJ[Account Code]=(TRIM($D35))),CsDJ[Credit])))+(SUM(IF((CRDJ[Date]=$A$4)*(CRDJ[Ofc Code]=(TRIM(G$7)))*(CRDJ[Account Code]=(TRIM($D35))),CRDJ[Credit])))+(SUM(IF((GJ[Date]=$A$4)*(GJ[Ofc Code]=(TRIM(G$7)))*(GJ[Account Code]=(TRIM($D35))),GJ[Credit])))</f>
        <v>0</v>
      </c>
      <c r="H35" s="211">
        <f t="array" ref="H35">(SUM(IF((CkDJ[Date]=$A$4)*(CkDJ[Ofc Code]=(TRIM(H$7)))*(CkDJ[Account Code]=(TRIM($D35))),CkDJ[Debit])))+(SUM(IF((CsDJ[Date]=$A$4)*(CsDJ[Ofc Code]=(TRIM(H$7)))*(CsDJ[Account Code]=(TRIM($D35))),CsDJ[Debit])))+(SUM(IF((CRDJ[Date]=$A$4)*(CRDJ[Ofc Code]=(TRIM(H$7)))*(CRDJ[Account Code]=(TRIM($D35))),CRDJ[Debit])))+(SUM(IF((GJ[Date]=$A$4)*(GJ[Ofc Code]=(TRIM(H$7)))*(GJ[Account Code]=(TRIM($D35))),GJ[Debit])))-(SUM(IF((CkDJ[Date]=$A$4)*(CkDJ[Ofc Code]=(TRIM(H$7)))*(CkDJ[Account Code]=(TRIM($D35))),CkDJ[Credit])))+(SUM(IF((CsDJ[Date]=$A$4)*(CsDJ[Ofc Code]=(TRIM(H$7)))*(CsDJ[Account Code]=(TRIM($D35))),CsDJ[Credit])))+(SUM(IF((CRDJ[Date]=$A$4)*(CRDJ[Ofc Code]=(TRIM(H$7)))*(CRDJ[Account Code]=(TRIM($D35))),CRDJ[Credit])))+(SUM(IF((GJ[Date]=$A$4)*(GJ[Ofc Code]=(TRIM(H$7)))*(GJ[Account Code]=(TRIM($D35))),GJ[Credit])))</f>
        <v>0</v>
      </c>
      <c r="I35" s="211">
        <f t="shared" si="8"/>
        <v>0</v>
      </c>
      <c r="J35" s="211">
        <f t="array" ref="J35">(SUM(IF((CkDJ[Date]=$A$4)*(CkDJ[Ofc Code]=(TRIM(J$7)))*(CkDJ[Account Code]=(TRIM($D35))),CkDJ[Debit])))+(SUM(IF((CsDJ[Date]=$A$4)*(CsDJ[Ofc Code]=(TRIM(J$7)))*(CsDJ[Account Code]=(TRIM($D35))),CsDJ[Debit])))+(SUM(IF((CRDJ[Date]=$A$4)*(CRDJ[Ofc Code]=(TRIM(J$7)))*(CRDJ[Account Code]=(TRIM($D35))),CRDJ[Debit])))+(SUM(IF((GJ[Date]=$A$4)*(GJ[Ofc Code]=(TRIM(J$7)))*(GJ[Account Code]=(TRIM($D35))),GJ[Debit])))-(SUM(IF((CkDJ[Date]=$A$4)*(CkDJ[Ofc Code]=(TRIM(J$7)))*(CkDJ[Account Code]=(TRIM($D35))),CkDJ[Credit])))+(SUM(IF((CsDJ[Date]=$A$4)*(CsDJ[Ofc Code]=(TRIM(J$7)))*(CsDJ[Account Code]=(TRIM($D35))),CsDJ[Credit])))+(SUM(IF((CRDJ[Date]=$A$4)*(CRDJ[Ofc Code]=(TRIM(J$7)))*(CRDJ[Account Code]=(TRIM($D35))),CRDJ[Credit])))+(SUM(IF((GJ[Date]=$A$4)*(GJ[Ofc Code]=(TRIM(J$7)))*(GJ[Account Code]=(TRIM($D35))),GJ[Credit])))</f>
        <v>0</v>
      </c>
      <c r="K35" s="211">
        <f t="array" ref="K35">(SUM(IF((CkDJ[Date]=$A$4)*(CkDJ[Ofc Code]=(TRIM(K$7)))*(CkDJ[Account Code]=(TRIM($D35))),CkDJ[Debit])))+(SUM(IF((CsDJ[Date]=$A$4)*(CsDJ[Ofc Code]=(TRIM(K$7)))*(CsDJ[Account Code]=(TRIM($D35))),CsDJ[Debit])))+(SUM(IF((CRDJ[Date]=$A$4)*(CRDJ[Ofc Code]=(TRIM(K$7)))*(CRDJ[Account Code]=(TRIM($D35))),CRDJ[Debit])))+(SUM(IF((GJ[Date]=$A$4)*(GJ[Ofc Code]=(TRIM(K$7)))*(GJ[Account Code]=(TRIM($D35))),GJ[Debit])))-(SUM(IF((CkDJ[Date]=$A$4)*(CkDJ[Ofc Code]=(TRIM(K$7)))*(CkDJ[Account Code]=(TRIM($D35))),CkDJ[Credit])))+(SUM(IF((CsDJ[Date]=$A$4)*(CsDJ[Ofc Code]=(TRIM(K$7)))*(CsDJ[Account Code]=(TRIM($D35))),CsDJ[Credit])))+(SUM(IF((CRDJ[Date]=$A$4)*(CRDJ[Ofc Code]=(TRIM(K$7)))*(CRDJ[Account Code]=(TRIM($D35))),CRDJ[Credit])))+(SUM(IF((GJ[Date]=$A$4)*(GJ[Ofc Code]=(TRIM(K$7)))*(GJ[Account Code]=(TRIM($D35))),GJ[Credit])))</f>
        <v>0</v>
      </c>
      <c r="L35" s="211">
        <f t="array" ref="L35">(SUM(IF((CkDJ[Date]=$A$4)*(CkDJ[Ofc Code]=(TRIM(L$7)))*(CkDJ[Account Code]=(TRIM($D35))),CkDJ[Debit])))+(SUM(IF((CsDJ[Date]=$A$4)*(CsDJ[Ofc Code]=(TRIM(L$7)))*(CsDJ[Account Code]=(TRIM($D35))),CsDJ[Debit])))+(SUM(IF((CRDJ[Date]=$A$4)*(CRDJ[Ofc Code]=(TRIM(L$7)))*(CRDJ[Account Code]=(TRIM($D35))),CRDJ[Debit])))+(SUM(IF((GJ[Date]=$A$4)*(GJ[Ofc Code]=(TRIM(L$7)))*(GJ[Account Code]=(TRIM($D35))),GJ[Debit])))-(SUM(IF((CkDJ[Date]=$A$4)*(CkDJ[Ofc Code]=(TRIM(L$7)))*(CkDJ[Account Code]=(TRIM($D35))),CkDJ[Credit])))+(SUM(IF((CsDJ[Date]=$A$4)*(CsDJ[Ofc Code]=(TRIM(L$7)))*(CsDJ[Account Code]=(TRIM($D35))),CsDJ[Credit])))+(SUM(IF((CRDJ[Date]=$A$4)*(CRDJ[Ofc Code]=(TRIM(L$7)))*(CRDJ[Account Code]=(TRIM($D35))),CRDJ[Credit])))+(SUM(IF((GJ[Date]=$A$4)*(GJ[Ofc Code]=(TRIM(L$7)))*(GJ[Account Code]=(TRIM($D35))),GJ[Credit])))</f>
        <v>0</v>
      </c>
      <c r="M35" s="211">
        <f t="array" ref="M35">(SUM(IF((CkDJ[Date]=$A$4)*(CkDJ[Ofc Code]=(TRIM(M$7)))*(CkDJ[Account Code]=(TRIM($D35))),CkDJ[Debit])))+(SUM(IF((CsDJ[Date]=$A$4)*(CsDJ[Ofc Code]=(TRIM(M$7)))*(CsDJ[Account Code]=(TRIM($D35))),CsDJ[Debit])))+(SUM(IF((CRDJ[Date]=$A$4)*(CRDJ[Ofc Code]=(TRIM(M$7)))*(CRDJ[Account Code]=(TRIM($D35))),CRDJ[Debit])))+(SUM(IF((GJ[Date]=$A$4)*(GJ[Ofc Code]=(TRIM(M$7)))*(GJ[Account Code]=(TRIM($D35))),GJ[Debit])))-(SUM(IF((CkDJ[Date]=$A$4)*(CkDJ[Ofc Code]=(TRIM(M$7)))*(CkDJ[Account Code]=(TRIM($D35))),CkDJ[Credit])))+(SUM(IF((CsDJ[Date]=$A$4)*(CsDJ[Ofc Code]=(TRIM(M$7)))*(CsDJ[Account Code]=(TRIM($D35))),CsDJ[Credit])))+(SUM(IF((CRDJ[Date]=$A$4)*(CRDJ[Ofc Code]=(TRIM(M$7)))*(CRDJ[Account Code]=(TRIM($D35))),CRDJ[Credit])))+(SUM(IF((GJ[Date]=$A$4)*(GJ[Ofc Code]=(TRIM(M$7)))*(GJ[Account Code]=(TRIM($D35))),GJ[Credit])))</f>
        <v>0</v>
      </c>
      <c r="N35" s="211">
        <f t="shared" si="9"/>
        <v>0</v>
      </c>
      <c r="O35" s="211">
        <f t="array" ref="O35">(SUM(IF((CkDJ[Date]=$A$4)*(CkDJ[Ofc Code]=(TRIM(O$7)))*(CkDJ[Account Code]=(TRIM($D35))),CkDJ[Debit])))+(SUM(IF((CsDJ[Date]=$A$4)*(CsDJ[Ofc Code]=(TRIM(O$7)))*(CsDJ[Account Code]=(TRIM($D35))),CsDJ[Debit])))+(SUM(IF((CRDJ[Date]=$A$4)*(CRDJ[Ofc Code]=(TRIM(O$7)))*(CRDJ[Account Code]=(TRIM($D35))),CRDJ[Debit])))+(SUM(IF((GJ[Date]=$A$4)*(GJ[Ofc Code]=(TRIM(O$7)))*(GJ[Account Code]=(TRIM($D35))),GJ[Debit])))-(SUM(IF((CkDJ[Date]=$A$4)*(CkDJ[Ofc Code]=(TRIM(O$7)))*(CkDJ[Account Code]=(TRIM($D35))),CkDJ[Credit])))+(SUM(IF((CsDJ[Date]=$A$4)*(CsDJ[Ofc Code]=(TRIM(O$7)))*(CsDJ[Account Code]=(TRIM($D35))),CsDJ[Credit])))+(SUM(IF((CRDJ[Date]=$A$4)*(CRDJ[Ofc Code]=(TRIM(O$7)))*(CRDJ[Account Code]=(TRIM($D35))),CRDJ[Credit])))+(SUM(IF((GJ[Date]=$A$4)*(GJ[Ofc Code]=(TRIM(O$7)))*(GJ[Account Code]=(TRIM($D35))),GJ[Credit])))</f>
        <v>0</v>
      </c>
      <c r="P35" s="211">
        <f t="array" ref="P35">(SUM(IF((CkDJ[Date]=$A$4)*(CkDJ[Ofc Code]=(TRIM(P$7)))*(CkDJ[Account Code]=(TRIM($D35))),CkDJ[Debit])))+(SUM(IF((CsDJ[Date]=$A$4)*(CsDJ[Ofc Code]=(TRIM(P$7)))*(CsDJ[Account Code]=(TRIM($D35))),CsDJ[Debit])))+(SUM(IF((CRDJ[Date]=$A$4)*(CRDJ[Ofc Code]=(TRIM(P$7)))*(CRDJ[Account Code]=(TRIM($D35))),CRDJ[Debit])))+(SUM(IF((GJ[Date]=$A$4)*(GJ[Ofc Code]=(TRIM(P$7)))*(GJ[Account Code]=(TRIM($D35))),GJ[Debit])))-(SUM(IF((CkDJ[Date]=$A$4)*(CkDJ[Ofc Code]=(TRIM(P$7)))*(CkDJ[Account Code]=(TRIM($D35))),CkDJ[Credit])))+(SUM(IF((CsDJ[Date]=$A$4)*(CsDJ[Ofc Code]=(TRIM(P$7)))*(CsDJ[Account Code]=(TRIM($D35))),CsDJ[Credit])))+(SUM(IF((CRDJ[Date]=$A$4)*(CRDJ[Ofc Code]=(TRIM(P$7)))*(CRDJ[Account Code]=(TRIM($D35))),CRDJ[Credit])))+(SUM(IF((GJ[Date]=$A$4)*(GJ[Ofc Code]=(TRIM(P$7)))*(GJ[Account Code]=(TRIM($D35))),GJ[Credit])))</f>
        <v>0</v>
      </c>
      <c r="Q35" s="211">
        <f t="array" ref="Q35">(SUM(IF((CkDJ[Date]=$A$4)*(CkDJ[Ofc Code]=(TRIM(Q$7)))*(CkDJ[Account Code]=(TRIM($D35))),CkDJ[Debit])))+(SUM(IF((CsDJ[Date]=$A$4)*(CsDJ[Ofc Code]=(TRIM(Q$7)))*(CsDJ[Account Code]=(TRIM($D35))),CsDJ[Debit])))+(SUM(IF((CRDJ[Date]=$A$4)*(CRDJ[Ofc Code]=(TRIM(Q$7)))*(CRDJ[Account Code]=(TRIM($D35))),CRDJ[Debit])))+(SUM(IF((GJ[Date]=$A$4)*(GJ[Ofc Code]=(TRIM(Q$7)))*(GJ[Account Code]=(TRIM($D35))),GJ[Debit])))-(SUM(IF((CkDJ[Date]=$A$4)*(CkDJ[Ofc Code]=(TRIM(Q$7)))*(CkDJ[Account Code]=(TRIM($D35))),CkDJ[Credit])))+(SUM(IF((CsDJ[Date]=$A$4)*(CsDJ[Ofc Code]=(TRIM(Q$7)))*(CsDJ[Account Code]=(TRIM($D35))),CsDJ[Credit])))+(SUM(IF((CRDJ[Date]=$A$4)*(CRDJ[Ofc Code]=(TRIM(Q$7)))*(CRDJ[Account Code]=(TRIM($D35))),CRDJ[Credit])))+(SUM(IF((GJ[Date]=$A$4)*(GJ[Ofc Code]=(TRIM(Q$7)))*(GJ[Account Code]=(TRIM($D35))),GJ[Credit])))</f>
        <v>0</v>
      </c>
      <c r="R35" s="211">
        <f t="array" ref="R35">(SUM(IF((CkDJ[Date]=$A$4)*(CkDJ[Ofc Code]=(TRIM(R$7)))*(CkDJ[Account Code]=(TRIM($D35))),CkDJ[Debit])))+(SUM(IF((CsDJ[Date]=$A$4)*(CsDJ[Ofc Code]=(TRIM(R$7)))*(CsDJ[Account Code]=(TRIM($D35))),CsDJ[Debit])))+(SUM(IF((CRDJ[Date]=$A$4)*(CRDJ[Ofc Code]=(TRIM(R$7)))*(CRDJ[Account Code]=(TRIM($D35))),CRDJ[Debit])))+(SUM(IF((GJ[Date]=$A$4)*(GJ[Ofc Code]=(TRIM(R$7)))*(GJ[Account Code]=(TRIM($D35))),GJ[Debit])))-(SUM(IF((CkDJ[Date]=$A$4)*(CkDJ[Ofc Code]=(TRIM(R$7)))*(CkDJ[Account Code]=(TRIM($D35))),CkDJ[Credit])))+(SUM(IF((CsDJ[Date]=$A$4)*(CsDJ[Ofc Code]=(TRIM(R$7)))*(CsDJ[Account Code]=(TRIM($D35))),CsDJ[Credit])))+(SUM(IF((CRDJ[Date]=$A$4)*(CRDJ[Ofc Code]=(TRIM(R$7)))*(CRDJ[Account Code]=(TRIM($D35))),CRDJ[Credit])))+(SUM(IF((GJ[Date]=$A$4)*(GJ[Ofc Code]=(TRIM(R$7)))*(GJ[Account Code]=(TRIM($D35))),GJ[Credit])))</f>
        <v>0</v>
      </c>
      <c r="S35" s="211">
        <f t="array" ref="S35">(SUM(IF((CkDJ[Date]=$A$4)*(CkDJ[Ofc Code]=(TRIM(S$7)))*(CkDJ[Account Code]=(TRIM($D35))),CkDJ[Debit])))+(SUM(IF((CsDJ[Date]=$A$4)*(CsDJ[Ofc Code]=(TRIM(S$7)))*(CsDJ[Account Code]=(TRIM($D35))),CsDJ[Debit])))+(SUM(IF((CRDJ[Date]=$A$4)*(CRDJ[Ofc Code]=(TRIM(S$7)))*(CRDJ[Account Code]=(TRIM($D35))),CRDJ[Debit])))+(SUM(IF((GJ[Date]=$A$4)*(GJ[Ofc Code]=(TRIM(S$7)))*(GJ[Account Code]=(TRIM($D35))),GJ[Debit])))-(SUM(IF((CkDJ[Date]=$A$4)*(CkDJ[Ofc Code]=(TRIM(S$7)))*(CkDJ[Account Code]=(TRIM($D35))),CkDJ[Credit])))+(SUM(IF((CsDJ[Date]=$A$4)*(CsDJ[Ofc Code]=(TRIM(S$7)))*(CsDJ[Account Code]=(TRIM($D35))),CsDJ[Credit])))+(SUM(IF((CRDJ[Date]=$A$4)*(CRDJ[Ofc Code]=(TRIM(S$7)))*(CRDJ[Account Code]=(TRIM($D35))),CRDJ[Credit])))+(SUM(IF((GJ[Date]=$A$4)*(GJ[Ofc Code]=(TRIM(S$7)))*(GJ[Account Code]=(TRIM($D35))),GJ[Credit])))</f>
        <v>0</v>
      </c>
      <c r="T35" s="211">
        <f t="shared" si="10"/>
        <v>0</v>
      </c>
      <c r="U35" s="211">
        <f t="shared" si="11"/>
        <v>0</v>
      </c>
    </row>
    <row r="36" spans="1:21" ht="15">
      <c r="A36" s="212">
        <f t="shared" si="12"/>
        <v>3</v>
      </c>
      <c r="B36" s="214" t="s">
        <v>756</v>
      </c>
      <c r="C36" s="194" t="str">
        <f t="shared" si="7"/>
        <v>Personal Economic Relief Allowance (PERA)</v>
      </c>
      <c r="D36" s="215">
        <v>711</v>
      </c>
      <c r="E36" s="211">
        <f t="array" ref="E36">(SUM(IF((CkDJ[Date]=$A$4)*(CkDJ[Ofc Code]=(TRIM(E$7)))*(CkDJ[Account Code]=(TRIM($D36))),CkDJ[Debit])))+(SUM(IF((CsDJ[Date]=$A$4)*(CsDJ[Ofc Code]=(TRIM(E$7)))*(CsDJ[Account Code]=(TRIM($D36))),CsDJ[Debit])))+(SUM(IF((CRDJ[Date]=$A$4)*(CRDJ[Ofc Code]=(TRIM(E$7)))*(CRDJ[Account Code]=(TRIM($D36))),CRDJ[Debit])))+(SUM(IF((GJ[Date]=$A$4)*(GJ[Ofc Code]=(TRIM(E$7)))*(GJ[Account Code]=(TRIM($D36))),GJ[Debit])))-(SUM(IF((CkDJ[Date]=$A$4)*(CkDJ[Ofc Code]=(TRIM(E$7)))*(CkDJ[Account Code]=(TRIM($D36))),CkDJ[Credit])))+(SUM(IF((CsDJ[Date]=$A$4)*(CsDJ[Ofc Code]=(TRIM(E$7)))*(CsDJ[Account Code]=(TRIM($D36))),CsDJ[Credit])))+(SUM(IF((CRDJ[Date]=$A$4)*(CRDJ[Ofc Code]=(TRIM(E$7)))*(CRDJ[Account Code]=(TRIM($D36))),CRDJ[Credit])))+(SUM(IF((GJ[Date]=$A$4)*(GJ[Ofc Code]=(TRIM(E$7)))*(GJ[Account Code]=(TRIM($D36))),GJ[Credit])))</f>
        <v>0</v>
      </c>
      <c r="F36" s="211">
        <f t="array" ref="F36">(SUM(IF((CkDJ[Date]=$A$4)*(CkDJ[Ofc Code]=(TRIM(F$7)))*(CkDJ[Account Code]=(TRIM($D36))),CkDJ[Debit])))+(SUM(IF((CsDJ[Date]=$A$4)*(CsDJ[Ofc Code]=(TRIM(F$7)))*(CsDJ[Account Code]=(TRIM($D36))),CsDJ[Debit])))+(SUM(IF((CRDJ[Date]=$A$4)*(CRDJ[Ofc Code]=(TRIM(F$7)))*(CRDJ[Account Code]=(TRIM($D36))),CRDJ[Debit])))+(SUM(IF((GJ[Date]=$A$4)*(GJ[Ofc Code]=(TRIM(F$7)))*(GJ[Account Code]=(TRIM($D36))),GJ[Debit])))-(SUM(IF((CkDJ[Date]=$A$4)*(CkDJ[Ofc Code]=(TRIM(F$7)))*(CkDJ[Account Code]=(TRIM($D36))),CkDJ[Credit])))+(SUM(IF((CsDJ[Date]=$A$4)*(CsDJ[Ofc Code]=(TRIM(F$7)))*(CsDJ[Account Code]=(TRIM($D36))),CsDJ[Credit])))+(SUM(IF((CRDJ[Date]=$A$4)*(CRDJ[Ofc Code]=(TRIM(F$7)))*(CRDJ[Account Code]=(TRIM($D36))),CRDJ[Credit])))+(SUM(IF((GJ[Date]=$A$4)*(GJ[Ofc Code]=(TRIM(F$7)))*(GJ[Account Code]=(TRIM($D36))),GJ[Credit])))</f>
        <v>0</v>
      </c>
      <c r="G36" s="211">
        <f t="array" ref="G36">(SUM(IF((CkDJ[Date]=$A$4)*(CkDJ[Ofc Code]=(TRIM(G$7)))*(CkDJ[Account Code]=(TRIM($D36))),CkDJ[Debit])))+(SUM(IF((CsDJ[Date]=$A$4)*(CsDJ[Ofc Code]=(TRIM(G$7)))*(CsDJ[Account Code]=(TRIM($D36))),CsDJ[Debit])))+(SUM(IF((CRDJ[Date]=$A$4)*(CRDJ[Ofc Code]=(TRIM(G$7)))*(CRDJ[Account Code]=(TRIM($D36))),CRDJ[Debit])))+(SUM(IF((GJ[Date]=$A$4)*(GJ[Ofc Code]=(TRIM(G$7)))*(GJ[Account Code]=(TRIM($D36))),GJ[Debit])))-(SUM(IF((CkDJ[Date]=$A$4)*(CkDJ[Ofc Code]=(TRIM(G$7)))*(CkDJ[Account Code]=(TRIM($D36))),CkDJ[Credit])))+(SUM(IF((CsDJ[Date]=$A$4)*(CsDJ[Ofc Code]=(TRIM(G$7)))*(CsDJ[Account Code]=(TRIM($D36))),CsDJ[Credit])))+(SUM(IF((CRDJ[Date]=$A$4)*(CRDJ[Ofc Code]=(TRIM(G$7)))*(CRDJ[Account Code]=(TRIM($D36))),CRDJ[Credit])))+(SUM(IF((GJ[Date]=$A$4)*(GJ[Ofc Code]=(TRIM(G$7)))*(GJ[Account Code]=(TRIM($D36))),GJ[Credit])))</f>
        <v>0</v>
      </c>
      <c r="H36" s="211">
        <f t="array" ref="H36">(SUM(IF((CkDJ[Date]=$A$4)*(CkDJ[Ofc Code]=(TRIM(H$7)))*(CkDJ[Account Code]=(TRIM($D36))),CkDJ[Debit])))+(SUM(IF((CsDJ[Date]=$A$4)*(CsDJ[Ofc Code]=(TRIM(H$7)))*(CsDJ[Account Code]=(TRIM($D36))),CsDJ[Debit])))+(SUM(IF((CRDJ[Date]=$A$4)*(CRDJ[Ofc Code]=(TRIM(H$7)))*(CRDJ[Account Code]=(TRIM($D36))),CRDJ[Debit])))+(SUM(IF((GJ[Date]=$A$4)*(GJ[Ofc Code]=(TRIM(H$7)))*(GJ[Account Code]=(TRIM($D36))),GJ[Debit])))-(SUM(IF((CkDJ[Date]=$A$4)*(CkDJ[Ofc Code]=(TRIM(H$7)))*(CkDJ[Account Code]=(TRIM($D36))),CkDJ[Credit])))+(SUM(IF((CsDJ[Date]=$A$4)*(CsDJ[Ofc Code]=(TRIM(H$7)))*(CsDJ[Account Code]=(TRIM($D36))),CsDJ[Credit])))+(SUM(IF((CRDJ[Date]=$A$4)*(CRDJ[Ofc Code]=(TRIM(H$7)))*(CRDJ[Account Code]=(TRIM($D36))),CRDJ[Credit])))+(SUM(IF((GJ[Date]=$A$4)*(GJ[Ofc Code]=(TRIM(H$7)))*(GJ[Account Code]=(TRIM($D36))),GJ[Credit])))</f>
        <v>0</v>
      </c>
      <c r="I36" s="211">
        <f t="shared" si="8"/>
        <v>0</v>
      </c>
      <c r="J36" s="211">
        <f t="array" ref="J36">(SUM(IF((CkDJ[Date]=$A$4)*(CkDJ[Ofc Code]=(TRIM(J$7)))*(CkDJ[Account Code]=(TRIM($D36))),CkDJ[Debit])))+(SUM(IF((CsDJ[Date]=$A$4)*(CsDJ[Ofc Code]=(TRIM(J$7)))*(CsDJ[Account Code]=(TRIM($D36))),CsDJ[Debit])))+(SUM(IF((CRDJ[Date]=$A$4)*(CRDJ[Ofc Code]=(TRIM(J$7)))*(CRDJ[Account Code]=(TRIM($D36))),CRDJ[Debit])))+(SUM(IF((GJ[Date]=$A$4)*(GJ[Ofc Code]=(TRIM(J$7)))*(GJ[Account Code]=(TRIM($D36))),GJ[Debit])))-(SUM(IF((CkDJ[Date]=$A$4)*(CkDJ[Ofc Code]=(TRIM(J$7)))*(CkDJ[Account Code]=(TRIM($D36))),CkDJ[Credit])))+(SUM(IF((CsDJ[Date]=$A$4)*(CsDJ[Ofc Code]=(TRIM(J$7)))*(CsDJ[Account Code]=(TRIM($D36))),CsDJ[Credit])))+(SUM(IF((CRDJ[Date]=$A$4)*(CRDJ[Ofc Code]=(TRIM(J$7)))*(CRDJ[Account Code]=(TRIM($D36))),CRDJ[Credit])))+(SUM(IF((GJ[Date]=$A$4)*(GJ[Ofc Code]=(TRIM(J$7)))*(GJ[Account Code]=(TRIM($D36))),GJ[Credit])))</f>
        <v>0</v>
      </c>
      <c r="K36" s="211">
        <f t="array" ref="K36">(SUM(IF((CkDJ[Date]=$A$4)*(CkDJ[Ofc Code]=(TRIM(K$7)))*(CkDJ[Account Code]=(TRIM($D36))),CkDJ[Debit])))+(SUM(IF((CsDJ[Date]=$A$4)*(CsDJ[Ofc Code]=(TRIM(K$7)))*(CsDJ[Account Code]=(TRIM($D36))),CsDJ[Debit])))+(SUM(IF((CRDJ[Date]=$A$4)*(CRDJ[Ofc Code]=(TRIM(K$7)))*(CRDJ[Account Code]=(TRIM($D36))),CRDJ[Debit])))+(SUM(IF((GJ[Date]=$A$4)*(GJ[Ofc Code]=(TRIM(K$7)))*(GJ[Account Code]=(TRIM($D36))),GJ[Debit])))-(SUM(IF((CkDJ[Date]=$A$4)*(CkDJ[Ofc Code]=(TRIM(K$7)))*(CkDJ[Account Code]=(TRIM($D36))),CkDJ[Credit])))+(SUM(IF((CsDJ[Date]=$A$4)*(CsDJ[Ofc Code]=(TRIM(K$7)))*(CsDJ[Account Code]=(TRIM($D36))),CsDJ[Credit])))+(SUM(IF((CRDJ[Date]=$A$4)*(CRDJ[Ofc Code]=(TRIM(K$7)))*(CRDJ[Account Code]=(TRIM($D36))),CRDJ[Credit])))+(SUM(IF((GJ[Date]=$A$4)*(GJ[Ofc Code]=(TRIM(K$7)))*(GJ[Account Code]=(TRIM($D36))),GJ[Credit])))</f>
        <v>0</v>
      </c>
      <c r="L36" s="211">
        <f t="array" ref="L36">(SUM(IF((CkDJ[Date]=$A$4)*(CkDJ[Ofc Code]=(TRIM(L$7)))*(CkDJ[Account Code]=(TRIM($D36))),CkDJ[Debit])))+(SUM(IF((CsDJ[Date]=$A$4)*(CsDJ[Ofc Code]=(TRIM(L$7)))*(CsDJ[Account Code]=(TRIM($D36))),CsDJ[Debit])))+(SUM(IF((CRDJ[Date]=$A$4)*(CRDJ[Ofc Code]=(TRIM(L$7)))*(CRDJ[Account Code]=(TRIM($D36))),CRDJ[Debit])))+(SUM(IF((GJ[Date]=$A$4)*(GJ[Ofc Code]=(TRIM(L$7)))*(GJ[Account Code]=(TRIM($D36))),GJ[Debit])))-(SUM(IF((CkDJ[Date]=$A$4)*(CkDJ[Ofc Code]=(TRIM(L$7)))*(CkDJ[Account Code]=(TRIM($D36))),CkDJ[Credit])))+(SUM(IF((CsDJ[Date]=$A$4)*(CsDJ[Ofc Code]=(TRIM(L$7)))*(CsDJ[Account Code]=(TRIM($D36))),CsDJ[Credit])))+(SUM(IF((CRDJ[Date]=$A$4)*(CRDJ[Ofc Code]=(TRIM(L$7)))*(CRDJ[Account Code]=(TRIM($D36))),CRDJ[Credit])))+(SUM(IF((GJ[Date]=$A$4)*(GJ[Ofc Code]=(TRIM(L$7)))*(GJ[Account Code]=(TRIM($D36))),GJ[Credit])))</f>
        <v>0</v>
      </c>
      <c r="M36" s="211">
        <f t="array" ref="M36">(SUM(IF((CkDJ[Date]=$A$4)*(CkDJ[Ofc Code]=(TRIM(M$7)))*(CkDJ[Account Code]=(TRIM($D36))),CkDJ[Debit])))+(SUM(IF((CsDJ[Date]=$A$4)*(CsDJ[Ofc Code]=(TRIM(M$7)))*(CsDJ[Account Code]=(TRIM($D36))),CsDJ[Debit])))+(SUM(IF((CRDJ[Date]=$A$4)*(CRDJ[Ofc Code]=(TRIM(M$7)))*(CRDJ[Account Code]=(TRIM($D36))),CRDJ[Debit])))+(SUM(IF((GJ[Date]=$A$4)*(GJ[Ofc Code]=(TRIM(M$7)))*(GJ[Account Code]=(TRIM($D36))),GJ[Debit])))-(SUM(IF((CkDJ[Date]=$A$4)*(CkDJ[Ofc Code]=(TRIM(M$7)))*(CkDJ[Account Code]=(TRIM($D36))),CkDJ[Credit])))+(SUM(IF((CsDJ[Date]=$A$4)*(CsDJ[Ofc Code]=(TRIM(M$7)))*(CsDJ[Account Code]=(TRIM($D36))),CsDJ[Credit])))+(SUM(IF((CRDJ[Date]=$A$4)*(CRDJ[Ofc Code]=(TRIM(M$7)))*(CRDJ[Account Code]=(TRIM($D36))),CRDJ[Credit])))+(SUM(IF((GJ[Date]=$A$4)*(GJ[Ofc Code]=(TRIM(M$7)))*(GJ[Account Code]=(TRIM($D36))),GJ[Credit])))</f>
        <v>0</v>
      </c>
      <c r="N36" s="211">
        <f t="shared" si="9"/>
        <v>0</v>
      </c>
      <c r="O36" s="211">
        <f t="array" ref="O36">(SUM(IF((CkDJ[Date]=$A$4)*(CkDJ[Ofc Code]=(TRIM(O$7)))*(CkDJ[Account Code]=(TRIM($D36))),CkDJ[Debit])))+(SUM(IF((CsDJ[Date]=$A$4)*(CsDJ[Ofc Code]=(TRIM(O$7)))*(CsDJ[Account Code]=(TRIM($D36))),CsDJ[Debit])))+(SUM(IF((CRDJ[Date]=$A$4)*(CRDJ[Ofc Code]=(TRIM(O$7)))*(CRDJ[Account Code]=(TRIM($D36))),CRDJ[Debit])))+(SUM(IF((GJ[Date]=$A$4)*(GJ[Ofc Code]=(TRIM(O$7)))*(GJ[Account Code]=(TRIM($D36))),GJ[Debit])))-(SUM(IF((CkDJ[Date]=$A$4)*(CkDJ[Ofc Code]=(TRIM(O$7)))*(CkDJ[Account Code]=(TRIM($D36))),CkDJ[Credit])))+(SUM(IF((CsDJ[Date]=$A$4)*(CsDJ[Ofc Code]=(TRIM(O$7)))*(CsDJ[Account Code]=(TRIM($D36))),CsDJ[Credit])))+(SUM(IF((CRDJ[Date]=$A$4)*(CRDJ[Ofc Code]=(TRIM(O$7)))*(CRDJ[Account Code]=(TRIM($D36))),CRDJ[Credit])))+(SUM(IF((GJ[Date]=$A$4)*(GJ[Ofc Code]=(TRIM(O$7)))*(GJ[Account Code]=(TRIM($D36))),GJ[Credit])))</f>
        <v>0</v>
      </c>
      <c r="P36" s="211">
        <f t="array" ref="P36">(SUM(IF((CkDJ[Date]=$A$4)*(CkDJ[Ofc Code]=(TRIM(P$7)))*(CkDJ[Account Code]=(TRIM($D36))),CkDJ[Debit])))+(SUM(IF((CsDJ[Date]=$A$4)*(CsDJ[Ofc Code]=(TRIM(P$7)))*(CsDJ[Account Code]=(TRIM($D36))),CsDJ[Debit])))+(SUM(IF((CRDJ[Date]=$A$4)*(CRDJ[Ofc Code]=(TRIM(P$7)))*(CRDJ[Account Code]=(TRIM($D36))),CRDJ[Debit])))+(SUM(IF((GJ[Date]=$A$4)*(GJ[Ofc Code]=(TRIM(P$7)))*(GJ[Account Code]=(TRIM($D36))),GJ[Debit])))-(SUM(IF((CkDJ[Date]=$A$4)*(CkDJ[Ofc Code]=(TRIM(P$7)))*(CkDJ[Account Code]=(TRIM($D36))),CkDJ[Credit])))+(SUM(IF((CsDJ[Date]=$A$4)*(CsDJ[Ofc Code]=(TRIM(P$7)))*(CsDJ[Account Code]=(TRIM($D36))),CsDJ[Credit])))+(SUM(IF((CRDJ[Date]=$A$4)*(CRDJ[Ofc Code]=(TRIM(P$7)))*(CRDJ[Account Code]=(TRIM($D36))),CRDJ[Credit])))+(SUM(IF((GJ[Date]=$A$4)*(GJ[Ofc Code]=(TRIM(P$7)))*(GJ[Account Code]=(TRIM($D36))),GJ[Credit])))</f>
        <v>0</v>
      </c>
      <c r="Q36" s="211">
        <f t="array" ref="Q36">(SUM(IF((CkDJ[Date]=$A$4)*(CkDJ[Ofc Code]=(TRIM(Q$7)))*(CkDJ[Account Code]=(TRIM($D36))),CkDJ[Debit])))+(SUM(IF((CsDJ[Date]=$A$4)*(CsDJ[Ofc Code]=(TRIM(Q$7)))*(CsDJ[Account Code]=(TRIM($D36))),CsDJ[Debit])))+(SUM(IF((CRDJ[Date]=$A$4)*(CRDJ[Ofc Code]=(TRIM(Q$7)))*(CRDJ[Account Code]=(TRIM($D36))),CRDJ[Debit])))+(SUM(IF((GJ[Date]=$A$4)*(GJ[Ofc Code]=(TRIM(Q$7)))*(GJ[Account Code]=(TRIM($D36))),GJ[Debit])))-(SUM(IF((CkDJ[Date]=$A$4)*(CkDJ[Ofc Code]=(TRIM(Q$7)))*(CkDJ[Account Code]=(TRIM($D36))),CkDJ[Credit])))+(SUM(IF((CsDJ[Date]=$A$4)*(CsDJ[Ofc Code]=(TRIM(Q$7)))*(CsDJ[Account Code]=(TRIM($D36))),CsDJ[Credit])))+(SUM(IF((CRDJ[Date]=$A$4)*(CRDJ[Ofc Code]=(TRIM(Q$7)))*(CRDJ[Account Code]=(TRIM($D36))),CRDJ[Credit])))+(SUM(IF((GJ[Date]=$A$4)*(GJ[Ofc Code]=(TRIM(Q$7)))*(GJ[Account Code]=(TRIM($D36))),GJ[Credit])))</f>
        <v>0</v>
      </c>
      <c r="R36" s="211">
        <f t="array" ref="R36">(SUM(IF((CkDJ[Date]=$A$4)*(CkDJ[Ofc Code]=(TRIM(R$7)))*(CkDJ[Account Code]=(TRIM($D36))),CkDJ[Debit])))+(SUM(IF((CsDJ[Date]=$A$4)*(CsDJ[Ofc Code]=(TRIM(R$7)))*(CsDJ[Account Code]=(TRIM($D36))),CsDJ[Debit])))+(SUM(IF((CRDJ[Date]=$A$4)*(CRDJ[Ofc Code]=(TRIM(R$7)))*(CRDJ[Account Code]=(TRIM($D36))),CRDJ[Debit])))+(SUM(IF((GJ[Date]=$A$4)*(GJ[Ofc Code]=(TRIM(R$7)))*(GJ[Account Code]=(TRIM($D36))),GJ[Debit])))-(SUM(IF((CkDJ[Date]=$A$4)*(CkDJ[Ofc Code]=(TRIM(R$7)))*(CkDJ[Account Code]=(TRIM($D36))),CkDJ[Credit])))+(SUM(IF((CsDJ[Date]=$A$4)*(CsDJ[Ofc Code]=(TRIM(R$7)))*(CsDJ[Account Code]=(TRIM($D36))),CsDJ[Credit])))+(SUM(IF((CRDJ[Date]=$A$4)*(CRDJ[Ofc Code]=(TRIM(R$7)))*(CRDJ[Account Code]=(TRIM($D36))),CRDJ[Credit])))+(SUM(IF((GJ[Date]=$A$4)*(GJ[Ofc Code]=(TRIM(R$7)))*(GJ[Account Code]=(TRIM($D36))),GJ[Credit])))</f>
        <v>0</v>
      </c>
      <c r="S36" s="211">
        <f t="array" ref="S36">(SUM(IF((CkDJ[Date]=$A$4)*(CkDJ[Ofc Code]=(TRIM(S$7)))*(CkDJ[Account Code]=(TRIM($D36))),CkDJ[Debit])))+(SUM(IF((CsDJ[Date]=$A$4)*(CsDJ[Ofc Code]=(TRIM(S$7)))*(CsDJ[Account Code]=(TRIM($D36))),CsDJ[Debit])))+(SUM(IF((CRDJ[Date]=$A$4)*(CRDJ[Ofc Code]=(TRIM(S$7)))*(CRDJ[Account Code]=(TRIM($D36))),CRDJ[Debit])))+(SUM(IF((GJ[Date]=$A$4)*(GJ[Ofc Code]=(TRIM(S$7)))*(GJ[Account Code]=(TRIM($D36))),GJ[Debit])))-(SUM(IF((CkDJ[Date]=$A$4)*(CkDJ[Ofc Code]=(TRIM(S$7)))*(CkDJ[Account Code]=(TRIM($D36))),CkDJ[Credit])))+(SUM(IF((CsDJ[Date]=$A$4)*(CsDJ[Ofc Code]=(TRIM(S$7)))*(CsDJ[Account Code]=(TRIM($D36))),CsDJ[Credit])))+(SUM(IF((CRDJ[Date]=$A$4)*(CRDJ[Ofc Code]=(TRIM(S$7)))*(CRDJ[Account Code]=(TRIM($D36))),CRDJ[Credit])))+(SUM(IF((GJ[Date]=$A$4)*(GJ[Ofc Code]=(TRIM(S$7)))*(GJ[Account Code]=(TRIM($D36))),GJ[Credit])))</f>
        <v>0</v>
      </c>
      <c r="T36" s="211">
        <f t="shared" si="10"/>
        <v>0</v>
      </c>
      <c r="U36" s="211">
        <f t="shared" si="11"/>
        <v>0</v>
      </c>
    </row>
    <row r="37" spans="1:21" ht="15">
      <c r="A37" s="212">
        <f t="shared" si="12"/>
        <v>4</v>
      </c>
      <c r="B37" s="214" t="s">
        <v>756</v>
      </c>
      <c r="C37" s="194" t="str">
        <f t="shared" si="7"/>
        <v>Representation Allowance (RA)</v>
      </c>
      <c r="D37" s="215">
        <v>713</v>
      </c>
      <c r="E37" s="211">
        <f t="array" ref="E37">(SUM(IF((CkDJ[Date]=$A$4)*(CkDJ[Ofc Code]=(TRIM(E$7)))*(CkDJ[Account Code]=(TRIM($D37))),CkDJ[Debit])))+(SUM(IF((CsDJ[Date]=$A$4)*(CsDJ[Ofc Code]=(TRIM(E$7)))*(CsDJ[Account Code]=(TRIM($D37))),CsDJ[Debit])))+(SUM(IF((CRDJ[Date]=$A$4)*(CRDJ[Ofc Code]=(TRIM(E$7)))*(CRDJ[Account Code]=(TRIM($D37))),CRDJ[Debit])))+(SUM(IF((GJ[Date]=$A$4)*(GJ[Ofc Code]=(TRIM(E$7)))*(GJ[Account Code]=(TRIM($D37))),GJ[Debit])))-(SUM(IF((CkDJ[Date]=$A$4)*(CkDJ[Ofc Code]=(TRIM(E$7)))*(CkDJ[Account Code]=(TRIM($D37))),CkDJ[Credit])))+(SUM(IF((CsDJ[Date]=$A$4)*(CsDJ[Ofc Code]=(TRIM(E$7)))*(CsDJ[Account Code]=(TRIM($D37))),CsDJ[Credit])))+(SUM(IF((CRDJ[Date]=$A$4)*(CRDJ[Ofc Code]=(TRIM(E$7)))*(CRDJ[Account Code]=(TRIM($D37))),CRDJ[Credit])))+(SUM(IF((GJ[Date]=$A$4)*(GJ[Ofc Code]=(TRIM(E$7)))*(GJ[Account Code]=(TRIM($D37))),GJ[Credit])))</f>
        <v>0</v>
      </c>
      <c r="F37" s="211">
        <f t="array" ref="F37">(SUM(IF((CkDJ[Date]=$A$4)*(CkDJ[Ofc Code]=(TRIM(F$7)))*(CkDJ[Account Code]=(TRIM($D37))),CkDJ[Debit])))+(SUM(IF((CsDJ[Date]=$A$4)*(CsDJ[Ofc Code]=(TRIM(F$7)))*(CsDJ[Account Code]=(TRIM($D37))),CsDJ[Debit])))+(SUM(IF((CRDJ[Date]=$A$4)*(CRDJ[Ofc Code]=(TRIM(F$7)))*(CRDJ[Account Code]=(TRIM($D37))),CRDJ[Debit])))+(SUM(IF((GJ[Date]=$A$4)*(GJ[Ofc Code]=(TRIM(F$7)))*(GJ[Account Code]=(TRIM($D37))),GJ[Debit])))-(SUM(IF((CkDJ[Date]=$A$4)*(CkDJ[Ofc Code]=(TRIM(F$7)))*(CkDJ[Account Code]=(TRIM($D37))),CkDJ[Credit])))+(SUM(IF((CsDJ[Date]=$A$4)*(CsDJ[Ofc Code]=(TRIM(F$7)))*(CsDJ[Account Code]=(TRIM($D37))),CsDJ[Credit])))+(SUM(IF((CRDJ[Date]=$A$4)*(CRDJ[Ofc Code]=(TRIM(F$7)))*(CRDJ[Account Code]=(TRIM($D37))),CRDJ[Credit])))+(SUM(IF((GJ[Date]=$A$4)*(GJ[Ofc Code]=(TRIM(F$7)))*(GJ[Account Code]=(TRIM($D37))),GJ[Credit])))</f>
        <v>0</v>
      </c>
      <c r="G37" s="211">
        <f t="array" ref="G37">(SUM(IF((CkDJ[Date]=$A$4)*(CkDJ[Ofc Code]=(TRIM(G$7)))*(CkDJ[Account Code]=(TRIM($D37))),CkDJ[Debit])))+(SUM(IF((CsDJ[Date]=$A$4)*(CsDJ[Ofc Code]=(TRIM(G$7)))*(CsDJ[Account Code]=(TRIM($D37))),CsDJ[Debit])))+(SUM(IF((CRDJ[Date]=$A$4)*(CRDJ[Ofc Code]=(TRIM(G$7)))*(CRDJ[Account Code]=(TRIM($D37))),CRDJ[Debit])))+(SUM(IF((GJ[Date]=$A$4)*(GJ[Ofc Code]=(TRIM(G$7)))*(GJ[Account Code]=(TRIM($D37))),GJ[Debit])))-(SUM(IF((CkDJ[Date]=$A$4)*(CkDJ[Ofc Code]=(TRIM(G$7)))*(CkDJ[Account Code]=(TRIM($D37))),CkDJ[Credit])))+(SUM(IF((CsDJ[Date]=$A$4)*(CsDJ[Ofc Code]=(TRIM(G$7)))*(CsDJ[Account Code]=(TRIM($D37))),CsDJ[Credit])))+(SUM(IF((CRDJ[Date]=$A$4)*(CRDJ[Ofc Code]=(TRIM(G$7)))*(CRDJ[Account Code]=(TRIM($D37))),CRDJ[Credit])))+(SUM(IF((GJ[Date]=$A$4)*(GJ[Ofc Code]=(TRIM(G$7)))*(GJ[Account Code]=(TRIM($D37))),GJ[Credit])))</f>
        <v>0</v>
      </c>
      <c r="H37" s="211">
        <f t="array" ref="H37">(SUM(IF((CkDJ[Date]=$A$4)*(CkDJ[Ofc Code]=(TRIM(H$7)))*(CkDJ[Account Code]=(TRIM($D37))),CkDJ[Debit])))+(SUM(IF((CsDJ[Date]=$A$4)*(CsDJ[Ofc Code]=(TRIM(H$7)))*(CsDJ[Account Code]=(TRIM($D37))),CsDJ[Debit])))+(SUM(IF((CRDJ[Date]=$A$4)*(CRDJ[Ofc Code]=(TRIM(H$7)))*(CRDJ[Account Code]=(TRIM($D37))),CRDJ[Debit])))+(SUM(IF((GJ[Date]=$A$4)*(GJ[Ofc Code]=(TRIM(H$7)))*(GJ[Account Code]=(TRIM($D37))),GJ[Debit])))-(SUM(IF((CkDJ[Date]=$A$4)*(CkDJ[Ofc Code]=(TRIM(H$7)))*(CkDJ[Account Code]=(TRIM($D37))),CkDJ[Credit])))+(SUM(IF((CsDJ[Date]=$A$4)*(CsDJ[Ofc Code]=(TRIM(H$7)))*(CsDJ[Account Code]=(TRIM($D37))),CsDJ[Credit])))+(SUM(IF((CRDJ[Date]=$A$4)*(CRDJ[Ofc Code]=(TRIM(H$7)))*(CRDJ[Account Code]=(TRIM($D37))),CRDJ[Credit])))+(SUM(IF((GJ[Date]=$A$4)*(GJ[Ofc Code]=(TRIM(H$7)))*(GJ[Account Code]=(TRIM($D37))),GJ[Credit])))</f>
        <v>0</v>
      </c>
      <c r="I37" s="211">
        <f t="shared" si="8"/>
        <v>0</v>
      </c>
      <c r="J37" s="211">
        <f t="array" ref="J37">(SUM(IF((CkDJ[Date]=$A$4)*(CkDJ[Ofc Code]=(TRIM(J$7)))*(CkDJ[Account Code]=(TRIM($D37))),CkDJ[Debit])))+(SUM(IF((CsDJ[Date]=$A$4)*(CsDJ[Ofc Code]=(TRIM(J$7)))*(CsDJ[Account Code]=(TRIM($D37))),CsDJ[Debit])))+(SUM(IF((CRDJ[Date]=$A$4)*(CRDJ[Ofc Code]=(TRIM(J$7)))*(CRDJ[Account Code]=(TRIM($D37))),CRDJ[Debit])))+(SUM(IF((GJ[Date]=$A$4)*(GJ[Ofc Code]=(TRIM(J$7)))*(GJ[Account Code]=(TRIM($D37))),GJ[Debit])))-(SUM(IF((CkDJ[Date]=$A$4)*(CkDJ[Ofc Code]=(TRIM(J$7)))*(CkDJ[Account Code]=(TRIM($D37))),CkDJ[Credit])))+(SUM(IF((CsDJ[Date]=$A$4)*(CsDJ[Ofc Code]=(TRIM(J$7)))*(CsDJ[Account Code]=(TRIM($D37))),CsDJ[Credit])))+(SUM(IF((CRDJ[Date]=$A$4)*(CRDJ[Ofc Code]=(TRIM(J$7)))*(CRDJ[Account Code]=(TRIM($D37))),CRDJ[Credit])))+(SUM(IF((GJ[Date]=$A$4)*(GJ[Ofc Code]=(TRIM(J$7)))*(GJ[Account Code]=(TRIM($D37))),GJ[Credit])))</f>
        <v>0</v>
      </c>
      <c r="K37" s="211">
        <f t="array" ref="K37">(SUM(IF((CkDJ[Date]=$A$4)*(CkDJ[Ofc Code]=(TRIM(K$7)))*(CkDJ[Account Code]=(TRIM($D37))),CkDJ[Debit])))+(SUM(IF((CsDJ[Date]=$A$4)*(CsDJ[Ofc Code]=(TRIM(K$7)))*(CsDJ[Account Code]=(TRIM($D37))),CsDJ[Debit])))+(SUM(IF((CRDJ[Date]=$A$4)*(CRDJ[Ofc Code]=(TRIM(K$7)))*(CRDJ[Account Code]=(TRIM($D37))),CRDJ[Debit])))+(SUM(IF((GJ[Date]=$A$4)*(GJ[Ofc Code]=(TRIM(K$7)))*(GJ[Account Code]=(TRIM($D37))),GJ[Debit])))-(SUM(IF((CkDJ[Date]=$A$4)*(CkDJ[Ofc Code]=(TRIM(K$7)))*(CkDJ[Account Code]=(TRIM($D37))),CkDJ[Credit])))+(SUM(IF((CsDJ[Date]=$A$4)*(CsDJ[Ofc Code]=(TRIM(K$7)))*(CsDJ[Account Code]=(TRIM($D37))),CsDJ[Credit])))+(SUM(IF((CRDJ[Date]=$A$4)*(CRDJ[Ofc Code]=(TRIM(K$7)))*(CRDJ[Account Code]=(TRIM($D37))),CRDJ[Credit])))+(SUM(IF((GJ[Date]=$A$4)*(GJ[Ofc Code]=(TRIM(K$7)))*(GJ[Account Code]=(TRIM($D37))),GJ[Credit])))</f>
        <v>0</v>
      </c>
      <c r="L37" s="211">
        <f t="array" ref="L37">(SUM(IF((CkDJ[Date]=$A$4)*(CkDJ[Ofc Code]=(TRIM(L$7)))*(CkDJ[Account Code]=(TRIM($D37))),CkDJ[Debit])))+(SUM(IF((CsDJ[Date]=$A$4)*(CsDJ[Ofc Code]=(TRIM(L$7)))*(CsDJ[Account Code]=(TRIM($D37))),CsDJ[Debit])))+(SUM(IF((CRDJ[Date]=$A$4)*(CRDJ[Ofc Code]=(TRIM(L$7)))*(CRDJ[Account Code]=(TRIM($D37))),CRDJ[Debit])))+(SUM(IF((GJ[Date]=$A$4)*(GJ[Ofc Code]=(TRIM(L$7)))*(GJ[Account Code]=(TRIM($D37))),GJ[Debit])))-(SUM(IF((CkDJ[Date]=$A$4)*(CkDJ[Ofc Code]=(TRIM(L$7)))*(CkDJ[Account Code]=(TRIM($D37))),CkDJ[Credit])))+(SUM(IF((CsDJ[Date]=$A$4)*(CsDJ[Ofc Code]=(TRIM(L$7)))*(CsDJ[Account Code]=(TRIM($D37))),CsDJ[Credit])))+(SUM(IF((CRDJ[Date]=$A$4)*(CRDJ[Ofc Code]=(TRIM(L$7)))*(CRDJ[Account Code]=(TRIM($D37))),CRDJ[Credit])))+(SUM(IF((GJ[Date]=$A$4)*(GJ[Ofc Code]=(TRIM(L$7)))*(GJ[Account Code]=(TRIM($D37))),GJ[Credit])))</f>
        <v>0</v>
      </c>
      <c r="M37" s="211">
        <f t="array" ref="M37">(SUM(IF((CkDJ[Date]=$A$4)*(CkDJ[Ofc Code]=(TRIM(M$7)))*(CkDJ[Account Code]=(TRIM($D37))),CkDJ[Debit])))+(SUM(IF((CsDJ[Date]=$A$4)*(CsDJ[Ofc Code]=(TRIM(M$7)))*(CsDJ[Account Code]=(TRIM($D37))),CsDJ[Debit])))+(SUM(IF((CRDJ[Date]=$A$4)*(CRDJ[Ofc Code]=(TRIM(M$7)))*(CRDJ[Account Code]=(TRIM($D37))),CRDJ[Debit])))+(SUM(IF((GJ[Date]=$A$4)*(GJ[Ofc Code]=(TRIM(M$7)))*(GJ[Account Code]=(TRIM($D37))),GJ[Debit])))-(SUM(IF((CkDJ[Date]=$A$4)*(CkDJ[Ofc Code]=(TRIM(M$7)))*(CkDJ[Account Code]=(TRIM($D37))),CkDJ[Credit])))+(SUM(IF((CsDJ[Date]=$A$4)*(CsDJ[Ofc Code]=(TRIM(M$7)))*(CsDJ[Account Code]=(TRIM($D37))),CsDJ[Credit])))+(SUM(IF((CRDJ[Date]=$A$4)*(CRDJ[Ofc Code]=(TRIM(M$7)))*(CRDJ[Account Code]=(TRIM($D37))),CRDJ[Credit])))+(SUM(IF((GJ[Date]=$A$4)*(GJ[Ofc Code]=(TRIM(M$7)))*(GJ[Account Code]=(TRIM($D37))),GJ[Credit])))</f>
        <v>0</v>
      </c>
      <c r="N37" s="211">
        <f t="shared" si="9"/>
        <v>0</v>
      </c>
      <c r="O37" s="211">
        <f t="array" ref="O37">(SUM(IF((CkDJ[Date]=$A$4)*(CkDJ[Ofc Code]=(TRIM(O$7)))*(CkDJ[Account Code]=(TRIM($D37))),CkDJ[Debit])))+(SUM(IF((CsDJ[Date]=$A$4)*(CsDJ[Ofc Code]=(TRIM(O$7)))*(CsDJ[Account Code]=(TRIM($D37))),CsDJ[Debit])))+(SUM(IF((CRDJ[Date]=$A$4)*(CRDJ[Ofc Code]=(TRIM(O$7)))*(CRDJ[Account Code]=(TRIM($D37))),CRDJ[Debit])))+(SUM(IF((GJ[Date]=$A$4)*(GJ[Ofc Code]=(TRIM(O$7)))*(GJ[Account Code]=(TRIM($D37))),GJ[Debit])))-(SUM(IF((CkDJ[Date]=$A$4)*(CkDJ[Ofc Code]=(TRIM(O$7)))*(CkDJ[Account Code]=(TRIM($D37))),CkDJ[Credit])))+(SUM(IF((CsDJ[Date]=$A$4)*(CsDJ[Ofc Code]=(TRIM(O$7)))*(CsDJ[Account Code]=(TRIM($D37))),CsDJ[Credit])))+(SUM(IF((CRDJ[Date]=$A$4)*(CRDJ[Ofc Code]=(TRIM(O$7)))*(CRDJ[Account Code]=(TRIM($D37))),CRDJ[Credit])))+(SUM(IF((GJ[Date]=$A$4)*(GJ[Ofc Code]=(TRIM(O$7)))*(GJ[Account Code]=(TRIM($D37))),GJ[Credit])))</f>
        <v>0</v>
      </c>
      <c r="P37" s="211">
        <f t="array" ref="P37">(SUM(IF((CkDJ[Date]=$A$4)*(CkDJ[Ofc Code]=(TRIM(P$7)))*(CkDJ[Account Code]=(TRIM($D37))),CkDJ[Debit])))+(SUM(IF((CsDJ[Date]=$A$4)*(CsDJ[Ofc Code]=(TRIM(P$7)))*(CsDJ[Account Code]=(TRIM($D37))),CsDJ[Debit])))+(SUM(IF((CRDJ[Date]=$A$4)*(CRDJ[Ofc Code]=(TRIM(P$7)))*(CRDJ[Account Code]=(TRIM($D37))),CRDJ[Debit])))+(SUM(IF((GJ[Date]=$A$4)*(GJ[Ofc Code]=(TRIM(P$7)))*(GJ[Account Code]=(TRIM($D37))),GJ[Debit])))-(SUM(IF((CkDJ[Date]=$A$4)*(CkDJ[Ofc Code]=(TRIM(P$7)))*(CkDJ[Account Code]=(TRIM($D37))),CkDJ[Credit])))+(SUM(IF((CsDJ[Date]=$A$4)*(CsDJ[Ofc Code]=(TRIM(P$7)))*(CsDJ[Account Code]=(TRIM($D37))),CsDJ[Credit])))+(SUM(IF((CRDJ[Date]=$A$4)*(CRDJ[Ofc Code]=(TRIM(P$7)))*(CRDJ[Account Code]=(TRIM($D37))),CRDJ[Credit])))+(SUM(IF((GJ[Date]=$A$4)*(GJ[Ofc Code]=(TRIM(P$7)))*(GJ[Account Code]=(TRIM($D37))),GJ[Credit])))</f>
        <v>0</v>
      </c>
      <c r="Q37" s="211">
        <f t="array" ref="Q37">(SUM(IF((CkDJ[Date]=$A$4)*(CkDJ[Ofc Code]=(TRIM(Q$7)))*(CkDJ[Account Code]=(TRIM($D37))),CkDJ[Debit])))+(SUM(IF((CsDJ[Date]=$A$4)*(CsDJ[Ofc Code]=(TRIM(Q$7)))*(CsDJ[Account Code]=(TRIM($D37))),CsDJ[Debit])))+(SUM(IF((CRDJ[Date]=$A$4)*(CRDJ[Ofc Code]=(TRIM(Q$7)))*(CRDJ[Account Code]=(TRIM($D37))),CRDJ[Debit])))+(SUM(IF((GJ[Date]=$A$4)*(GJ[Ofc Code]=(TRIM(Q$7)))*(GJ[Account Code]=(TRIM($D37))),GJ[Debit])))-(SUM(IF((CkDJ[Date]=$A$4)*(CkDJ[Ofc Code]=(TRIM(Q$7)))*(CkDJ[Account Code]=(TRIM($D37))),CkDJ[Credit])))+(SUM(IF((CsDJ[Date]=$A$4)*(CsDJ[Ofc Code]=(TRIM(Q$7)))*(CsDJ[Account Code]=(TRIM($D37))),CsDJ[Credit])))+(SUM(IF((CRDJ[Date]=$A$4)*(CRDJ[Ofc Code]=(TRIM(Q$7)))*(CRDJ[Account Code]=(TRIM($D37))),CRDJ[Credit])))+(SUM(IF((GJ[Date]=$A$4)*(GJ[Ofc Code]=(TRIM(Q$7)))*(GJ[Account Code]=(TRIM($D37))),GJ[Credit])))</f>
        <v>0</v>
      </c>
      <c r="R37" s="211">
        <f t="array" ref="R37">(SUM(IF((CkDJ[Date]=$A$4)*(CkDJ[Ofc Code]=(TRIM(R$7)))*(CkDJ[Account Code]=(TRIM($D37))),CkDJ[Debit])))+(SUM(IF((CsDJ[Date]=$A$4)*(CsDJ[Ofc Code]=(TRIM(R$7)))*(CsDJ[Account Code]=(TRIM($D37))),CsDJ[Debit])))+(SUM(IF((CRDJ[Date]=$A$4)*(CRDJ[Ofc Code]=(TRIM(R$7)))*(CRDJ[Account Code]=(TRIM($D37))),CRDJ[Debit])))+(SUM(IF((GJ[Date]=$A$4)*(GJ[Ofc Code]=(TRIM(R$7)))*(GJ[Account Code]=(TRIM($D37))),GJ[Debit])))-(SUM(IF((CkDJ[Date]=$A$4)*(CkDJ[Ofc Code]=(TRIM(R$7)))*(CkDJ[Account Code]=(TRIM($D37))),CkDJ[Credit])))+(SUM(IF((CsDJ[Date]=$A$4)*(CsDJ[Ofc Code]=(TRIM(R$7)))*(CsDJ[Account Code]=(TRIM($D37))),CsDJ[Credit])))+(SUM(IF((CRDJ[Date]=$A$4)*(CRDJ[Ofc Code]=(TRIM(R$7)))*(CRDJ[Account Code]=(TRIM($D37))),CRDJ[Credit])))+(SUM(IF((GJ[Date]=$A$4)*(GJ[Ofc Code]=(TRIM(R$7)))*(GJ[Account Code]=(TRIM($D37))),GJ[Credit])))</f>
        <v>0</v>
      </c>
      <c r="S37" s="211">
        <f t="array" ref="S37">(SUM(IF((CkDJ[Date]=$A$4)*(CkDJ[Ofc Code]=(TRIM(S$7)))*(CkDJ[Account Code]=(TRIM($D37))),CkDJ[Debit])))+(SUM(IF((CsDJ[Date]=$A$4)*(CsDJ[Ofc Code]=(TRIM(S$7)))*(CsDJ[Account Code]=(TRIM($D37))),CsDJ[Debit])))+(SUM(IF((CRDJ[Date]=$A$4)*(CRDJ[Ofc Code]=(TRIM(S$7)))*(CRDJ[Account Code]=(TRIM($D37))),CRDJ[Debit])))+(SUM(IF((GJ[Date]=$A$4)*(GJ[Ofc Code]=(TRIM(S$7)))*(GJ[Account Code]=(TRIM($D37))),GJ[Debit])))-(SUM(IF((CkDJ[Date]=$A$4)*(CkDJ[Ofc Code]=(TRIM(S$7)))*(CkDJ[Account Code]=(TRIM($D37))),CkDJ[Credit])))+(SUM(IF((CsDJ[Date]=$A$4)*(CsDJ[Ofc Code]=(TRIM(S$7)))*(CsDJ[Account Code]=(TRIM($D37))),CsDJ[Credit])))+(SUM(IF((CRDJ[Date]=$A$4)*(CRDJ[Ofc Code]=(TRIM(S$7)))*(CRDJ[Account Code]=(TRIM($D37))),CRDJ[Credit])))+(SUM(IF((GJ[Date]=$A$4)*(GJ[Ofc Code]=(TRIM(S$7)))*(GJ[Account Code]=(TRIM($D37))),GJ[Credit])))</f>
        <v>0</v>
      </c>
      <c r="T37" s="211">
        <f t="shared" si="10"/>
        <v>0</v>
      </c>
      <c r="U37" s="211">
        <f t="shared" si="11"/>
        <v>0</v>
      </c>
    </row>
    <row r="38" spans="1:21" ht="15">
      <c r="A38" s="212">
        <f t="shared" si="12"/>
        <v>5</v>
      </c>
      <c r="B38" s="214" t="s">
        <v>756</v>
      </c>
      <c r="C38" s="194" t="str">
        <f t="shared" si="7"/>
        <v>Transportation Allowance (TA)</v>
      </c>
      <c r="D38" s="215">
        <v>714</v>
      </c>
      <c r="E38" s="211">
        <f t="array" ref="E38">(SUM(IF((CkDJ[Date]=$A$4)*(CkDJ[Ofc Code]=(TRIM(E$7)))*(CkDJ[Account Code]=(TRIM($D38))),CkDJ[Debit])))+(SUM(IF((CsDJ[Date]=$A$4)*(CsDJ[Ofc Code]=(TRIM(E$7)))*(CsDJ[Account Code]=(TRIM($D38))),CsDJ[Debit])))+(SUM(IF((CRDJ[Date]=$A$4)*(CRDJ[Ofc Code]=(TRIM(E$7)))*(CRDJ[Account Code]=(TRIM($D38))),CRDJ[Debit])))+(SUM(IF((GJ[Date]=$A$4)*(GJ[Ofc Code]=(TRIM(E$7)))*(GJ[Account Code]=(TRIM($D38))),GJ[Debit])))-(SUM(IF((CkDJ[Date]=$A$4)*(CkDJ[Ofc Code]=(TRIM(E$7)))*(CkDJ[Account Code]=(TRIM($D38))),CkDJ[Credit])))+(SUM(IF((CsDJ[Date]=$A$4)*(CsDJ[Ofc Code]=(TRIM(E$7)))*(CsDJ[Account Code]=(TRIM($D38))),CsDJ[Credit])))+(SUM(IF((CRDJ[Date]=$A$4)*(CRDJ[Ofc Code]=(TRIM(E$7)))*(CRDJ[Account Code]=(TRIM($D38))),CRDJ[Credit])))+(SUM(IF((GJ[Date]=$A$4)*(GJ[Ofc Code]=(TRIM(E$7)))*(GJ[Account Code]=(TRIM($D38))),GJ[Credit])))</f>
        <v>0</v>
      </c>
      <c r="F38" s="211">
        <f t="array" ref="F38">(SUM(IF((CkDJ[Date]=$A$4)*(CkDJ[Ofc Code]=(TRIM(F$7)))*(CkDJ[Account Code]=(TRIM($D38))),CkDJ[Debit])))+(SUM(IF((CsDJ[Date]=$A$4)*(CsDJ[Ofc Code]=(TRIM(F$7)))*(CsDJ[Account Code]=(TRIM($D38))),CsDJ[Debit])))+(SUM(IF((CRDJ[Date]=$A$4)*(CRDJ[Ofc Code]=(TRIM(F$7)))*(CRDJ[Account Code]=(TRIM($D38))),CRDJ[Debit])))+(SUM(IF((GJ[Date]=$A$4)*(GJ[Ofc Code]=(TRIM(F$7)))*(GJ[Account Code]=(TRIM($D38))),GJ[Debit])))-(SUM(IF((CkDJ[Date]=$A$4)*(CkDJ[Ofc Code]=(TRIM(F$7)))*(CkDJ[Account Code]=(TRIM($D38))),CkDJ[Credit])))+(SUM(IF((CsDJ[Date]=$A$4)*(CsDJ[Ofc Code]=(TRIM(F$7)))*(CsDJ[Account Code]=(TRIM($D38))),CsDJ[Credit])))+(SUM(IF((CRDJ[Date]=$A$4)*(CRDJ[Ofc Code]=(TRIM(F$7)))*(CRDJ[Account Code]=(TRIM($D38))),CRDJ[Credit])))+(SUM(IF((GJ[Date]=$A$4)*(GJ[Ofc Code]=(TRIM(F$7)))*(GJ[Account Code]=(TRIM($D38))),GJ[Credit])))</f>
        <v>0</v>
      </c>
      <c r="G38" s="211">
        <f t="array" ref="G38">(SUM(IF((CkDJ[Date]=$A$4)*(CkDJ[Ofc Code]=(TRIM(G$7)))*(CkDJ[Account Code]=(TRIM($D38))),CkDJ[Debit])))+(SUM(IF((CsDJ[Date]=$A$4)*(CsDJ[Ofc Code]=(TRIM(G$7)))*(CsDJ[Account Code]=(TRIM($D38))),CsDJ[Debit])))+(SUM(IF((CRDJ[Date]=$A$4)*(CRDJ[Ofc Code]=(TRIM(G$7)))*(CRDJ[Account Code]=(TRIM($D38))),CRDJ[Debit])))+(SUM(IF((GJ[Date]=$A$4)*(GJ[Ofc Code]=(TRIM(G$7)))*(GJ[Account Code]=(TRIM($D38))),GJ[Debit])))-(SUM(IF((CkDJ[Date]=$A$4)*(CkDJ[Ofc Code]=(TRIM(G$7)))*(CkDJ[Account Code]=(TRIM($D38))),CkDJ[Credit])))+(SUM(IF((CsDJ[Date]=$A$4)*(CsDJ[Ofc Code]=(TRIM(G$7)))*(CsDJ[Account Code]=(TRIM($D38))),CsDJ[Credit])))+(SUM(IF((CRDJ[Date]=$A$4)*(CRDJ[Ofc Code]=(TRIM(G$7)))*(CRDJ[Account Code]=(TRIM($D38))),CRDJ[Credit])))+(SUM(IF((GJ[Date]=$A$4)*(GJ[Ofc Code]=(TRIM(G$7)))*(GJ[Account Code]=(TRIM($D38))),GJ[Credit])))</f>
        <v>0</v>
      </c>
      <c r="H38" s="211">
        <f t="array" ref="H38">(SUM(IF((CkDJ[Date]=$A$4)*(CkDJ[Ofc Code]=(TRIM(H$7)))*(CkDJ[Account Code]=(TRIM($D38))),CkDJ[Debit])))+(SUM(IF((CsDJ[Date]=$A$4)*(CsDJ[Ofc Code]=(TRIM(H$7)))*(CsDJ[Account Code]=(TRIM($D38))),CsDJ[Debit])))+(SUM(IF((CRDJ[Date]=$A$4)*(CRDJ[Ofc Code]=(TRIM(H$7)))*(CRDJ[Account Code]=(TRIM($D38))),CRDJ[Debit])))+(SUM(IF((GJ[Date]=$A$4)*(GJ[Ofc Code]=(TRIM(H$7)))*(GJ[Account Code]=(TRIM($D38))),GJ[Debit])))-(SUM(IF((CkDJ[Date]=$A$4)*(CkDJ[Ofc Code]=(TRIM(H$7)))*(CkDJ[Account Code]=(TRIM($D38))),CkDJ[Credit])))+(SUM(IF((CsDJ[Date]=$A$4)*(CsDJ[Ofc Code]=(TRIM(H$7)))*(CsDJ[Account Code]=(TRIM($D38))),CsDJ[Credit])))+(SUM(IF((CRDJ[Date]=$A$4)*(CRDJ[Ofc Code]=(TRIM(H$7)))*(CRDJ[Account Code]=(TRIM($D38))),CRDJ[Credit])))+(SUM(IF((GJ[Date]=$A$4)*(GJ[Ofc Code]=(TRIM(H$7)))*(GJ[Account Code]=(TRIM($D38))),GJ[Credit])))</f>
        <v>0</v>
      </c>
      <c r="I38" s="211">
        <f t="shared" si="8"/>
        <v>0</v>
      </c>
      <c r="J38" s="211">
        <f t="array" ref="J38">(SUM(IF((CkDJ[Date]=$A$4)*(CkDJ[Ofc Code]=(TRIM(J$7)))*(CkDJ[Account Code]=(TRIM($D38))),CkDJ[Debit])))+(SUM(IF((CsDJ[Date]=$A$4)*(CsDJ[Ofc Code]=(TRIM(J$7)))*(CsDJ[Account Code]=(TRIM($D38))),CsDJ[Debit])))+(SUM(IF((CRDJ[Date]=$A$4)*(CRDJ[Ofc Code]=(TRIM(J$7)))*(CRDJ[Account Code]=(TRIM($D38))),CRDJ[Debit])))+(SUM(IF((GJ[Date]=$A$4)*(GJ[Ofc Code]=(TRIM(J$7)))*(GJ[Account Code]=(TRIM($D38))),GJ[Debit])))-(SUM(IF((CkDJ[Date]=$A$4)*(CkDJ[Ofc Code]=(TRIM(J$7)))*(CkDJ[Account Code]=(TRIM($D38))),CkDJ[Credit])))+(SUM(IF((CsDJ[Date]=$A$4)*(CsDJ[Ofc Code]=(TRIM(J$7)))*(CsDJ[Account Code]=(TRIM($D38))),CsDJ[Credit])))+(SUM(IF((CRDJ[Date]=$A$4)*(CRDJ[Ofc Code]=(TRIM(J$7)))*(CRDJ[Account Code]=(TRIM($D38))),CRDJ[Credit])))+(SUM(IF((GJ[Date]=$A$4)*(GJ[Ofc Code]=(TRIM(J$7)))*(GJ[Account Code]=(TRIM($D38))),GJ[Credit])))</f>
        <v>0</v>
      </c>
      <c r="K38" s="211">
        <f t="array" ref="K38">(SUM(IF((CkDJ[Date]=$A$4)*(CkDJ[Ofc Code]=(TRIM(K$7)))*(CkDJ[Account Code]=(TRIM($D38))),CkDJ[Debit])))+(SUM(IF((CsDJ[Date]=$A$4)*(CsDJ[Ofc Code]=(TRIM(K$7)))*(CsDJ[Account Code]=(TRIM($D38))),CsDJ[Debit])))+(SUM(IF((CRDJ[Date]=$A$4)*(CRDJ[Ofc Code]=(TRIM(K$7)))*(CRDJ[Account Code]=(TRIM($D38))),CRDJ[Debit])))+(SUM(IF((GJ[Date]=$A$4)*(GJ[Ofc Code]=(TRIM(K$7)))*(GJ[Account Code]=(TRIM($D38))),GJ[Debit])))-(SUM(IF((CkDJ[Date]=$A$4)*(CkDJ[Ofc Code]=(TRIM(K$7)))*(CkDJ[Account Code]=(TRIM($D38))),CkDJ[Credit])))+(SUM(IF((CsDJ[Date]=$A$4)*(CsDJ[Ofc Code]=(TRIM(K$7)))*(CsDJ[Account Code]=(TRIM($D38))),CsDJ[Credit])))+(SUM(IF((CRDJ[Date]=$A$4)*(CRDJ[Ofc Code]=(TRIM(K$7)))*(CRDJ[Account Code]=(TRIM($D38))),CRDJ[Credit])))+(SUM(IF((GJ[Date]=$A$4)*(GJ[Ofc Code]=(TRIM(K$7)))*(GJ[Account Code]=(TRIM($D38))),GJ[Credit])))</f>
        <v>0</v>
      </c>
      <c r="L38" s="211">
        <f t="array" ref="L38">(SUM(IF((CkDJ[Date]=$A$4)*(CkDJ[Ofc Code]=(TRIM(L$7)))*(CkDJ[Account Code]=(TRIM($D38))),CkDJ[Debit])))+(SUM(IF((CsDJ[Date]=$A$4)*(CsDJ[Ofc Code]=(TRIM(L$7)))*(CsDJ[Account Code]=(TRIM($D38))),CsDJ[Debit])))+(SUM(IF((CRDJ[Date]=$A$4)*(CRDJ[Ofc Code]=(TRIM(L$7)))*(CRDJ[Account Code]=(TRIM($D38))),CRDJ[Debit])))+(SUM(IF((GJ[Date]=$A$4)*(GJ[Ofc Code]=(TRIM(L$7)))*(GJ[Account Code]=(TRIM($D38))),GJ[Debit])))-(SUM(IF((CkDJ[Date]=$A$4)*(CkDJ[Ofc Code]=(TRIM(L$7)))*(CkDJ[Account Code]=(TRIM($D38))),CkDJ[Credit])))+(SUM(IF((CsDJ[Date]=$A$4)*(CsDJ[Ofc Code]=(TRIM(L$7)))*(CsDJ[Account Code]=(TRIM($D38))),CsDJ[Credit])))+(SUM(IF((CRDJ[Date]=$A$4)*(CRDJ[Ofc Code]=(TRIM(L$7)))*(CRDJ[Account Code]=(TRIM($D38))),CRDJ[Credit])))+(SUM(IF((GJ[Date]=$A$4)*(GJ[Ofc Code]=(TRIM(L$7)))*(GJ[Account Code]=(TRIM($D38))),GJ[Credit])))</f>
        <v>0</v>
      </c>
      <c r="M38" s="211">
        <f t="array" ref="M38">(SUM(IF((CkDJ[Date]=$A$4)*(CkDJ[Ofc Code]=(TRIM(M$7)))*(CkDJ[Account Code]=(TRIM($D38))),CkDJ[Debit])))+(SUM(IF((CsDJ[Date]=$A$4)*(CsDJ[Ofc Code]=(TRIM(M$7)))*(CsDJ[Account Code]=(TRIM($D38))),CsDJ[Debit])))+(SUM(IF((CRDJ[Date]=$A$4)*(CRDJ[Ofc Code]=(TRIM(M$7)))*(CRDJ[Account Code]=(TRIM($D38))),CRDJ[Debit])))+(SUM(IF((GJ[Date]=$A$4)*(GJ[Ofc Code]=(TRIM(M$7)))*(GJ[Account Code]=(TRIM($D38))),GJ[Debit])))-(SUM(IF((CkDJ[Date]=$A$4)*(CkDJ[Ofc Code]=(TRIM(M$7)))*(CkDJ[Account Code]=(TRIM($D38))),CkDJ[Credit])))+(SUM(IF((CsDJ[Date]=$A$4)*(CsDJ[Ofc Code]=(TRIM(M$7)))*(CsDJ[Account Code]=(TRIM($D38))),CsDJ[Credit])))+(SUM(IF((CRDJ[Date]=$A$4)*(CRDJ[Ofc Code]=(TRIM(M$7)))*(CRDJ[Account Code]=(TRIM($D38))),CRDJ[Credit])))+(SUM(IF((GJ[Date]=$A$4)*(GJ[Ofc Code]=(TRIM(M$7)))*(GJ[Account Code]=(TRIM($D38))),GJ[Credit])))</f>
        <v>0</v>
      </c>
      <c r="N38" s="211">
        <f t="shared" si="9"/>
        <v>0</v>
      </c>
      <c r="O38" s="211">
        <f t="array" ref="O38">(SUM(IF((CkDJ[Date]=$A$4)*(CkDJ[Ofc Code]=(TRIM(O$7)))*(CkDJ[Account Code]=(TRIM($D38))),CkDJ[Debit])))+(SUM(IF((CsDJ[Date]=$A$4)*(CsDJ[Ofc Code]=(TRIM(O$7)))*(CsDJ[Account Code]=(TRIM($D38))),CsDJ[Debit])))+(SUM(IF((CRDJ[Date]=$A$4)*(CRDJ[Ofc Code]=(TRIM(O$7)))*(CRDJ[Account Code]=(TRIM($D38))),CRDJ[Debit])))+(SUM(IF((GJ[Date]=$A$4)*(GJ[Ofc Code]=(TRIM(O$7)))*(GJ[Account Code]=(TRIM($D38))),GJ[Debit])))-(SUM(IF((CkDJ[Date]=$A$4)*(CkDJ[Ofc Code]=(TRIM(O$7)))*(CkDJ[Account Code]=(TRIM($D38))),CkDJ[Credit])))+(SUM(IF((CsDJ[Date]=$A$4)*(CsDJ[Ofc Code]=(TRIM(O$7)))*(CsDJ[Account Code]=(TRIM($D38))),CsDJ[Credit])))+(SUM(IF((CRDJ[Date]=$A$4)*(CRDJ[Ofc Code]=(TRIM(O$7)))*(CRDJ[Account Code]=(TRIM($D38))),CRDJ[Credit])))+(SUM(IF((GJ[Date]=$A$4)*(GJ[Ofc Code]=(TRIM(O$7)))*(GJ[Account Code]=(TRIM($D38))),GJ[Credit])))</f>
        <v>0</v>
      </c>
      <c r="P38" s="211">
        <f t="array" ref="P38">(SUM(IF((CkDJ[Date]=$A$4)*(CkDJ[Ofc Code]=(TRIM(P$7)))*(CkDJ[Account Code]=(TRIM($D38))),CkDJ[Debit])))+(SUM(IF((CsDJ[Date]=$A$4)*(CsDJ[Ofc Code]=(TRIM(P$7)))*(CsDJ[Account Code]=(TRIM($D38))),CsDJ[Debit])))+(SUM(IF((CRDJ[Date]=$A$4)*(CRDJ[Ofc Code]=(TRIM(P$7)))*(CRDJ[Account Code]=(TRIM($D38))),CRDJ[Debit])))+(SUM(IF((GJ[Date]=$A$4)*(GJ[Ofc Code]=(TRIM(P$7)))*(GJ[Account Code]=(TRIM($D38))),GJ[Debit])))-(SUM(IF((CkDJ[Date]=$A$4)*(CkDJ[Ofc Code]=(TRIM(P$7)))*(CkDJ[Account Code]=(TRIM($D38))),CkDJ[Credit])))+(SUM(IF((CsDJ[Date]=$A$4)*(CsDJ[Ofc Code]=(TRIM(P$7)))*(CsDJ[Account Code]=(TRIM($D38))),CsDJ[Credit])))+(SUM(IF((CRDJ[Date]=$A$4)*(CRDJ[Ofc Code]=(TRIM(P$7)))*(CRDJ[Account Code]=(TRIM($D38))),CRDJ[Credit])))+(SUM(IF((GJ[Date]=$A$4)*(GJ[Ofc Code]=(TRIM(P$7)))*(GJ[Account Code]=(TRIM($D38))),GJ[Credit])))</f>
        <v>0</v>
      </c>
      <c r="Q38" s="211">
        <f t="array" ref="Q38">(SUM(IF((CkDJ[Date]=$A$4)*(CkDJ[Ofc Code]=(TRIM(Q$7)))*(CkDJ[Account Code]=(TRIM($D38))),CkDJ[Debit])))+(SUM(IF((CsDJ[Date]=$A$4)*(CsDJ[Ofc Code]=(TRIM(Q$7)))*(CsDJ[Account Code]=(TRIM($D38))),CsDJ[Debit])))+(SUM(IF((CRDJ[Date]=$A$4)*(CRDJ[Ofc Code]=(TRIM(Q$7)))*(CRDJ[Account Code]=(TRIM($D38))),CRDJ[Debit])))+(SUM(IF((GJ[Date]=$A$4)*(GJ[Ofc Code]=(TRIM(Q$7)))*(GJ[Account Code]=(TRIM($D38))),GJ[Debit])))-(SUM(IF((CkDJ[Date]=$A$4)*(CkDJ[Ofc Code]=(TRIM(Q$7)))*(CkDJ[Account Code]=(TRIM($D38))),CkDJ[Credit])))+(SUM(IF((CsDJ[Date]=$A$4)*(CsDJ[Ofc Code]=(TRIM(Q$7)))*(CsDJ[Account Code]=(TRIM($D38))),CsDJ[Credit])))+(SUM(IF((CRDJ[Date]=$A$4)*(CRDJ[Ofc Code]=(TRIM(Q$7)))*(CRDJ[Account Code]=(TRIM($D38))),CRDJ[Credit])))+(SUM(IF((GJ[Date]=$A$4)*(GJ[Ofc Code]=(TRIM(Q$7)))*(GJ[Account Code]=(TRIM($D38))),GJ[Credit])))</f>
        <v>0</v>
      </c>
      <c r="R38" s="211">
        <f t="array" ref="R38">(SUM(IF((CkDJ[Date]=$A$4)*(CkDJ[Ofc Code]=(TRIM(R$7)))*(CkDJ[Account Code]=(TRIM($D38))),CkDJ[Debit])))+(SUM(IF((CsDJ[Date]=$A$4)*(CsDJ[Ofc Code]=(TRIM(R$7)))*(CsDJ[Account Code]=(TRIM($D38))),CsDJ[Debit])))+(SUM(IF((CRDJ[Date]=$A$4)*(CRDJ[Ofc Code]=(TRIM(R$7)))*(CRDJ[Account Code]=(TRIM($D38))),CRDJ[Debit])))+(SUM(IF((GJ[Date]=$A$4)*(GJ[Ofc Code]=(TRIM(R$7)))*(GJ[Account Code]=(TRIM($D38))),GJ[Debit])))-(SUM(IF((CkDJ[Date]=$A$4)*(CkDJ[Ofc Code]=(TRIM(R$7)))*(CkDJ[Account Code]=(TRIM($D38))),CkDJ[Credit])))+(SUM(IF((CsDJ[Date]=$A$4)*(CsDJ[Ofc Code]=(TRIM(R$7)))*(CsDJ[Account Code]=(TRIM($D38))),CsDJ[Credit])))+(SUM(IF((CRDJ[Date]=$A$4)*(CRDJ[Ofc Code]=(TRIM(R$7)))*(CRDJ[Account Code]=(TRIM($D38))),CRDJ[Credit])))+(SUM(IF((GJ[Date]=$A$4)*(GJ[Ofc Code]=(TRIM(R$7)))*(GJ[Account Code]=(TRIM($D38))),GJ[Credit])))</f>
        <v>0</v>
      </c>
      <c r="S38" s="211">
        <f t="array" ref="S38">(SUM(IF((CkDJ[Date]=$A$4)*(CkDJ[Ofc Code]=(TRIM(S$7)))*(CkDJ[Account Code]=(TRIM($D38))),CkDJ[Debit])))+(SUM(IF((CsDJ[Date]=$A$4)*(CsDJ[Ofc Code]=(TRIM(S$7)))*(CsDJ[Account Code]=(TRIM($D38))),CsDJ[Debit])))+(SUM(IF((CRDJ[Date]=$A$4)*(CRDJ[Ofc Code]=(TRIM(S$7)))*(CRDJ[Account Code]=(TRIM($D38))),CRDJ[Debit])))+(SUM(IF((GJ[Date]=$A$4)*(GJ[Ofc Code]=(TRIM(S$7)))*(GJ[Account Code]=(TRIM($D38))),GJ[Debit])))-(SUM(IF((CkDJ[Date]=$A$4)*(CkDJ[Ofc Code]=(TRIM(S$7)))*(CkDJ[Account Code]=(TRIM($D38))),CkDJ[Credit])))+(SUM(IF((CsDJ[Date]=$A$4)*(CsDJ[Ofc Code]=(TRIM(S$7)))*(CsDJ[Account Code]=(TRIM($D38))),CsDJ[Credit])))+(SUM(IF((CRDJ[Date]=$A$4)*(CRDJ[Ofc Code]=(TRIM(S$7)))*(CRDJ[Account Code]=(TRIM($D38))),CRDJ[Credit])))+(SUM(IF((GJ[Date]=$A$4)*(GJ[Ofc Code]=(TRIM(S$7)))*(GJ[Account Code]=(TRIM($D38))),GJ[Credit])))</f>
        <v>0</v>
      </c>
      <c r="T38" s="211">
        <f t="shared" si="10"/>
        <v>0</v>
      </c>
      <c r="U38" s="211">
        <f t="shared" si="11"/>
        <v>0</v>
      </c>
    </row>
    <row r="39" spans="1:21" ht="15">
      <c r="A39" s="212">
        <f t="shared" si="12"/>
        <v>6</v>
      </c>
      <c r="B39" s="214" t="s">
        <v>756</v>
      </c>
      <c r="C39" s="194" t="str">
        <f t="shared" si="7"/>
        <v>Clothing/Uniform Allowance</v>
      </c>
      <c r="D39" s="215">
        <v>715</v>
      </c>
      <c r="E39" s="211">
        <f t="array" ref="E39">(SUM(IF((CkDJ[Date]=$A$4)*(CkDJ[Ofc Code]=(TRIM(E$7)))*(CkDJ[Account Code]=(TRIM($D39))),CkDJ[Debit])))+(SUM(IF((CsDJ[Date]=$A$4)*(CsDJ[Ofc Code]=(TRIM(E$7)))*(CsDJ[Account Code]=(TRIM($D39))),CsDJ[Debit])))+(SUM(IF((CRDJ[Date]=$A$4)*(CRDJ[Ofc Code]=(TRIM(E$7)))*(CRDJ[Account Code]=(TRIM($D39))),CRDJ[Debit])))+(SUM(IF((GJ[Date]=$A$4)*(GJ[Ofc Code]=(TRIM(E$7)))*(GJ[Account Code]=(TRIM($D39))),GJ[Debit])))-(SUM(IF((CkDJ[Date]=$A$4)*(CkDJ[Ofc Code]=(TRIM(E$7)))*(CkDJ[Account Code]=(TRIM($D39))),CkDJ[Credit])))+(SUM(IF((CsDJ[Date]=$A$4)*(CsDJ[Ofc Code]=(TRIM(E$7)))*(CsDJ[Account Code]=(TRIM($D39))),CsDJ[Credit])))+(SUM(IF((CRDJ[Date]=$A$4)*(CRDJ[Ofc Code]=(TRIM(E$7)))*(CRDJ[Account Code]=(TRIM($D39))),CRDJ[Credit])))+(SUM(IF((GJ[Date]=$A$4)*(GJ[Ofc Code]=(TRIM(E$7)))*(GJ[Account Code]=(TRIM($D39))),GJ[Credit])))</f>
        <v>0</v>
      </c>
      <c r="F39" s="211">
        <f t="array" ref="F39">(SUM(IF((CkDJ[Date]=$A$4)*(CkDJ[Ofc Code]=(TRIM(F$7)))*(CkDJ[Account Code]=(TRIM($D39))),CkDJ[Debit])))+(SUM(IF((CsDJ[Date]=$A$4)*(CsDJ[Ofc Code]=(TRIM(F$7)))*(CsDJ[Account Code]=(TRIM($D39))),CsDJ[Debit])))+(SUM(IF((CRDJ[Date]=$A$4)*(CRDJ[Ofc Code]=(TRIM(F$7)))*(CRDJ[Account Code]=(TRIM($D39))),CRDJ[Debit])))+(SUM(IF((GJ[Date]=$A$4)*(GJ[Ofc Code]=(TRIM(F$7)))*(GJ[Account Code]=(TRIM($D39))),GJ[Debit])))-(SUM(IF((CkDJ[Date]=$A$4)*(CkDJ[Ofc Code]=(TRIM(F$7)))*(CkDJ[Account Code]=(TRIM($D39))),CkDJ[Credit])))+(SUM(IF((CsDJ[Date]=$A$4)*(CsDJ[Ofc Code]=(TRIM(F$7)))*(CsDJ[Account Code]=(TRIM($D39))),CsDJ[Credit])))+(SUM(IF((CRDJ[Date]=$A$4)*(CRDJ[Ofc Code]=(TRIM(F$7)))*(CRDJ[Account Code]=(TRIM($D39))),CRDJ[Credit])))+(SUM(IF((GJ[Date]=$A$4)*(GJ[Ofc Code]=(TRIM(F$7)))*(GJ[Account Code]=(TRIM($D39))),GJ[Credit])))</f>
        <v>0</v>
      </c>
      <c r="G39" s="211">
        <f t="array" ref="G39">(SUM(IF((CkDJ[Date]=$A$4)*(CkDJ[Ofc Code]=(TRIM(G$7)))*(CkDJ[Account Code]=(TRIM($D39))),CkDJ[Debit])))+(SUM(IF((CsDJ[Date]=$A$4)*(CsDJ[Ofc Code]=(TRIM(G$7)))*(CsDJ[Account Code]=(TRIM($D39))),CsDJ[Debit])))+(SUM(IF((CRDJ[Date]=$A$4)*(CRDJ[Ofc Code]=(TRIM(G$7)))*(CRDJ[Account Code]=(TRIM($D39))),CRDJ[Debit])))+(SUM(IF((GJ[Date]=$A$4)*(GJ[Ofc Code]=(TRIM(G$7)))*(GJ[Account Code]=(TRIM($D39))),GJ[Debit])))-(SUM(IF((CkDJ[Date]=$A$4)*(CkDJ[Ofc Code]=(TRIM(G$7)))*(CkDJ[Account Code]=(TRIM($D39))),CkDJ[Credit])))+(SUM(IF((CsDJ[Date]=$A$4)*(CsDJ[Ofc Code]=(TRIM(G$7)))*(CsDJ[Account Code]=(TRIM($D39))),CsDJ[Credit])))+(SUM(IF((CRDJ[Date]=$A$4)*(CRDJ[Ofc Code]=(TRIM(G$7)))*(CRDJ[Account Code]=(TRIM($D39))),CRDJ[Credit])))+(SUM(IF((GJ[Date]=$A$4)*(GJ[Ofc Code]=(TRIM(G$7)))*(GJ[Account Code]=(TRIM($D39))),GJ[Credit])))</f>
        <v>0</v>
      </c>
      <c r="H39" s="211">
        <f t="array" ref="H39">(SUM(IF((CkDJ[Date]=$A$4)*(CkDJ[Ofc Code]=(TRIM(H$7)))*(CkDJ[Account Code]=(TRIM($D39))),CkDJ[Debit])))+(SUM(IF((CsDJ[Date]=$A$4)*(CsDJ[Ofc Code]=(TRIM(H$7)))*(CsDJ[Account Code]=(TRIM($D39))),CsDJ[Debit])))+(SUM(IF((CRDJ[Date]=$A$4)*(CRDJ[Ofc Code]=(TRIM(H$7)))*(CRDJ[Account Code]=(TRIM($D39))),CRDJ[Debit])))+(SUM(IF((GJ[Date]=$A$4)*(GJ[Ofc Code]=(TRIM(H$7)))*(GJ[Account Code]=(TRIM($D39))),GJ[Debit])))-(SUM(IF((CkDJ[Date]=$A$4)*(CkDJ[Ofc Code]=(TRIM(H$7)))*(CkDJ[Account Code]=(TRIM($D39))),CkDJ[Credit])))+(SUM(IF((CsDJ[Date]=$A$4)*(CsDJ[Ofc Code]=(TRIM(H$7)))*(CsDJ[Account Code]=(TRIM($D39))),CsDJ[Credit])))+(SUM(IF((CRDJ[Date]=$A$4)*(CRDJ[Ofc Code]=(TRIM(H$7)))*(CRDJ[Account Code]=(TRIM($D39))),CRDJ[Credit])))+(SUM(IF((GJ[Date]=$A$4)*(GJ[Ofc Code]=(TRIM(H$7)))*(GJ[Account Code]=(TRIM($D39))),GJ[Credit])))</f>
        <v>0</v>
      </c>
      <c r="I39" s="211">
        <f t="shared" si="8"/>
        <v>0</v>
      </c>
      <c r="J39" s="211">
        <f t="array" ref="J39">(SUM(IF((CkDJ[Date]=$A$4)*(CkDJ[Ofc Code]=(TRIM(J$7)))*(CkDJ[Account Code]=(TRIM($D39))),CkDJ[Debit])))+(SUM(IF((CsDJ[Date]=$A$4)*(CsDJ[Ofc Code]=(TRIM(J$7)))*(CsDJ[Account Code]=(TRIM($D39))),CsDJ[Debit])))+(SUM(IF((CRDJ[Date]=$A$4)*(CRDJ[Ofc Code]=(TRIM(J$7)))*(CRDJ[Account Code]=(TRIM($D39))),CRDJ[Debit])))+(SUM(IF((GJ[Date]=$A$4)*(GJ[Ofc Code]=(TRIM(J$7)))*(GJ[Account Code]=(TRIM($D39))),GJ[Debit])))-(SUM(IF((CkDJ[Date]=$A$4)*(CkDJ[Ofc Code]=(TRIM(J$7)))*(CkDJ[Account Code]=(TRIM($D39))),CkDJ[Credit])))+(SUM(IF((CsDJ[Date]=$A$4)*(CsDJ[Ofc Code]=(TRIM(J$7)))*(CsDJ[Account Code]=(TRIM($D39))),CsDJ[Credit])))+(SUM(IF((CRDJ[Date]=$A$4)*(CRDJ[Ofc Code]=(TRIM(J$7)))*(CRDJ[Account Code]=(TRIM($D39))),CRDJ[Credit])))+(SUM(IF((GJ[Date]=$A$4)*(GJ[Ofc Code]=(TRIM(J$7)))*(GJ[Account Code]=(TRIM($D39))),GJ[Credit])))</f>
        <v>0</v>
      </c>
      <c r="K39" s="211">
        <f t="array" ref="K39">(SUM(IF((CkDJ[Date]=$A$4)*(CkDJ[Ofc Code]=(TRIM(K$7)))*(CkDJ[Account Code]=(TRIM($D39))),CkDJ[Debit])))+(SUM(IF((CsDJ[Date]=$A$4)*(CsDJ[Ofc Code]=(TRIM(K$7)))*(CsDJ[Account Code]=(TRIM($D39))),CsDJ[Debit])))+(SUM(IF((CRDJ[Date]=$A$4)*(CRDJ[Ofc Code]=(TRIM(K$7)))*(CRDJ[Account Code]=(TRIM($D39))),CRDJ[Debit])))+(SUM(IF((GJ[Date]=$A$4)*(GJ[Ofc Code]=(TRIM(K$7)))*(GJ[Account Code]=(TRIM($D39))),GJ[Debit])))-(SUM(IF((CkDJ[Date]=$A$4)*(CkDJ[Ofc Code]=(TRIM(K$7)))*(CkDJ[Account Code]=(TRIM($D39))),CkDJ[Credit])))+(SUM(IF((CsDJ[Date]=$A$4)*(CsDJ[Ofc Code]=(TRIM(K$7)))*(CsDJ[Account Code]=(TRIM($D39))),CsDJ[Credit])))+(SUM(IF((CRDJ[Date]=$A$4)*(CRDJ[Ofc Code]=(TRIM(K$7)))*(CRDJ[Account Code]=(TRIM($D39))),CRDJ[Credit])))+(SUM(IF((GJ[Date]=$A$4)*(GJ[Ofc Code]=(TRIM(K$7)))*(GJ[Account Code]=(TRIM($D39))),GJ[Credit])))</f>
        <v>0</v>
      </c>
      <c r="L39" s="211">
        <f t="array" ref="L39">(SUM(IF((CkDJ[Date]=$A$4)*(CkDJ[Ofc Code]=(TRIM(L$7)))*(CkDJ[Account Code]=(TRIM($D39))),CkDJ[Debit])))+(SUM(IF((CsDJ[Date]=$A$4)*(CsDJ[Ofc Code]=(TRIM(L$7)))*(CsDJ[Account Code]=(TRIM($D39))),CsDJ[Debit])))+(SUM(IF((CRDJ[Date]=$A$4)*(CRDJ[Ofc Code]=(TRIM(L$7)))*(CRDJ[Account Code]=(TRIM($D39))),CRDJ[Debit])))+(SUM(IF((GJ[Date]=$A$4)*(GJ[Ofc Code]=(TRIM(L$7)))*(GJ[Account Code]=(TRIM($D39))),GJ[Debit])))-(SUM(IF((CkDJ[Date]=$A$4)*(CkDJ[Ofc Code]=(TRIM(L$7)))*(CkDJ[Account Code]=(TRIM($D39))),CkDJ[Credit])))+(SUM(IF((CsDJ[Date]=$A$4)*(CsDJ[Ofc Code]=(TRIM(L$7)))*(CsDJ[Account Code]=(TRIM($D39))),CsDJ[Credit])))+(SUM(IF((CRDJ[Date]=$A$4)*(CRDJ[Ofc Code]=(TRIM(L$7)))*(CRDJ[Account Code]=(TRIM($D39))),CRDJ[Credit])))+(SUM(IF((GJ[Date]=$A$4)*(GJ[Ofc Code]=(TRIM(L$7)))*(GJ[Account Code]=(TRIM($D39))),GJ[Credit])))</f>
        <v>0</v>
      </c>
      <c r="M39" s="211">
        <f t="array" ref="M39">(SUM(IF((CkDJ[Date]=$A$4)*(CkDJ[Ofc Code]=(TRIM(M$7)))*(CkDJ[Account Code]=(TRIM($D39))),CkDJ[Debit])))+(SUM(IF((CsDJ[Date]=$A$4)*(CsDJ[Ofc Code]=(TRIM(M$7)))*(CsDJ[Account Code]=(TRIM($D39))),CsDJ[Debit])))+(SUM(IF((CRDJ[Date]=$A$4)*(CRDJ[Ofc Code]=(TRIM(M$7)))*(CRDJ[Account Code]=(TRIM($D39))),CRDJ[Debit])))+(SUM(IF((GJ[Date]=$A$4)*(GJ[Ofc Code]=(TRIM(M$7)))*(GJ[Account Code]=(TRIM($D39))),GJ[Debit])))-(SUM(IF((CkDJ[Date]=$A$4)*(CkDJ[Ofc Code]=(TRIM(M$7)))*(CkDJ[Account Code]=(TRIM($D39))),CkDJ[Credit])))+(SUM(IF((CsDJ[Date]=$A$4)*(CsDJ[Ofc Code]=(TRIM(M$7)))*(CsDJ[Account Code]=(TRIM($D39))),CsDJ[Credit])))+(SUM(IF((CRDJ[Date]=$A$4)*(CRDJ[Ofc Code]=(TRIM(M$7)))*(CRDJ[Account Code]=(TRIM($D39))),CRDJ[Credit])))+(SUM(IF((GJ[Date]=$A$4)*(GJ[Ofc Code]=(TRIM(M$7)))*(GJ[Account Code]=(TRIM($D39))),GJ[Credit])))</f>
        <v>0</v>
      </c>
      <c r="N39" s="211">
        <f t="shared" si="9"/>
        <v>0</v>
      </c>
      <c r="O39" s="211">
        <f t="array" ref="O39">(SUM(IF((CkDJ[Date]=$A$4)*(CkDJ[Ofc Code]=(TRIM(O$7)))*(CkDJ[Account Code]=(TRIM($D39))),CkDJ[Debit])))+(SUM(IF((CsDJ[Date]=$A$4)*(CsDJ[Ofc Code]=(TRIM(O$7)))*(CsDJ[Account Code]=(TRIM($D39))),CsDJ[Debit])))+(SUM(IF((CRDJ[Date]=$A$4)*(CRDJ[Ofc Code]=(TRIM(O$7)))*(CRDJ[Account Code]=(TRIM($D39))),CRDJ[Debit])))+(SUM(IF((GJ[Date]=$A$4)*(GJ[Ofc Code]=(TRIM(O$7)))*(GJ[Account Code]=(TRIM($D39))),GJ[Debit])))-(SUM(IF((CkDJ[Date]=$A$4)*(CkDJ[Ofc Code]=(TRIM(O$7)))*(CkDJ[Account Code]=(TRIM($D39))),CkDJ[Credit])))+(SUM(IF((CsDJ[Date]=$A$4)*(CsDJ[Ofc Code]=(TRIM(O$7)))*(CsDJ[Account Code]=(TRIM($D39))),CsDJ[Credit])))+(SUM(IF((CRDJ[Date]=$A$4)*(CRDJ[Ofc Code]=(TRIM(O$7)))*(CRDJ[Account Code]=(TRIM($D39))),CRDJ[Credit])))+(SUM(IF((GJ[Date]=$A$4)*(GJ[Ofc Code]=(TRIM(O$7)))*(GJ[Account Code]=(TRIM($D39))),GJ[Credit])))</f>
        <v>0</v>
      </c>
      <c r="P39" s="211">
        <f t="array" ref="P39">(SUM(IF((CkDJ[Date]=$A$4)*(CkDJ[Ofc Code]=(TRIM(P$7)))*(CkDJ[Account Code]=(TRIM($D39))),CkDJ[Debit])))+(SUM(IF((CsDJ[Date]=$A$4)*(CsDJ[Ofc Code]=(TRIM(P$7)))*(CsDJ[Account Code]=(TRIM($D39))),CsDJ[Debit])))+(SUM(IF((CRDJ[Date]=$A$4)*(CRDJ[Ofc Code]=(TRIM(P$7)))*(CRDJ[Account Code]=(TRIM($D39))),CRDJ[Debit])))+(SUM(IF((GJ[Date]=$A$4)*(GJ[Ofc Code]=(TRIM(P$7)))*(GJ[Account Code]=(TRIM($D39))),GJ[Debit])))-(SUM(IF((CkDJ[Date]=$A$4)*(CkDJ[Ofc Code]=(TRIM(P$7)))*(CkDJ[Account Code]=(TRIM($D39))),CkDJ[Credit])))+(SUM(IF((CsDJ[Date]=$A$4)*(CsDJ[Ofc Code]=(TRIM(P$7)))*(CsDJ[Account Code]=(TRIM($D39))),CsDJ[Credit])))+(SUM(IF((CRDJ[Date]=$A$4)*(CRDJ[Ofc Code]=(TRIM(P$7)))*(CRDJ[Account Code]=(TRIM($D39))),CRDJ[Credit])))+(SUM(IF((GJ[Date]=$A$4)*(GJ[Ofc Code]=(TRIM(P$7)))*(GJ[Account Code]=(TRIM($D39))),GJ[Credit])))</f>
        <v>0</v>
      </c>
      <c r="Q39" s="211">
        <f t="array" ref="Q39">(SUM(IF((CkDJ[Date]=$A$4)*(CkDJ[Ofc Code]=(TRIM(Q$7)))*(CkDJ[Account Code]=(TRIM($D39))),CkDJ[Debit])))+(SUM(IF((CsDJ[Date]=$A$4)*(CsDJ[Ofc Code]=(TRIM(Q$7)))*(CsDJ[Account Code]=(TRIM($D39))),CsDJ[Debit])))+(SUM(IF((CRDJ[Date]=$A$4)*(CRDJ[Ofc Code]=(TRIM(Q$7)))*(CRDJ[Account Code]=(TRIM($D39))),CRDJ[Debit])))+(SUM(IF((GJ[Date]=$A$4)*(GJ[Ofc Code]=(TRIM(Q$7)))*(GJ[Account Code]=(TRIM($D39))),GJ[Debit])))-(SUM(IF((CkDJ[Date]=$A$4)*(CkDJ[Ofc Code]=(TRIM(Q$7)))*(CkDJ[Account Code]=(TRIM($D39))),CkDJ[Credit])))+(SUM(IF((CsDJ[Date]=$A$4)*(CsDJ[Ofc Code]=(TRIM(Q$7)))*(CsDJ[Account Code]=(TRIM($D39))),CsDJ[Credit])))+(SUM(IF((CRDJ[Date]=$A$4)*(CRDJ[Ofc Code]=(TRIM(Q$7)))*(CRDJ[Account Code]=(TRIM($D39))),CRDJ[Credit])))+(SUM(IF((GJ[Date]=$A$4)*(GJ[Ofc Code]=(TRIM(Q$7)))*(GJ[Account Code]=(TRIM($D39))),GJ[Credit])))</f>
        <v>0</v>
      </c>
      <c r="R39" s="211">
        <f t="array" ref="R39">(SUM(IF((CkDJ[Date]=$A$4)*(CkDJ[Ofc Code]=(TRIM(R$7)))*(CkDJ[Account Code]=(TRIM($D39))),CkDJ[Debit])))+(SUM(IF((CsDJ[Date]=$A$4)*(CsDJ[Ofc Code]=(TRIM(R$7)))*(CsDJ[Account Code]=(TRIM($D39))),CsDJ[Debit])))+(SUM(IF((CRDJ[Date]=$A$4)*(CRDJ[Ofc Code]=(TRIM(R$7)))*(CRDJ[Account Code]=(TRIM($D39))),CRDJ[Debit])))+(SUM(IF((GJ[Date]=$A$4)*(GJ[Ofc Code]=(TRIM(R$7)))*(GJ[Account Code]=(TRIM($D39))),GJ[Debit])))-(SUM(IF((CkDJ[Date]=$A$4)*(CkDJ[Ofc Code]=(TRIM(R$7)))*(CkDJ[Account Code]=(TRIM($D39))),CkDJ[Credit])))+(SUM(IF((CsDJ[Date]=$A$4)*(CsDJ[Ofc Code]=(TRIM(R$7)))*(CsDJ[Account Code]=(TRIM($D39))),CsDJ[Credit])))+(SUM(IF((CRDJ[Date]=$A$4)*(CRDJ[Ofc Code]=(TRIM(R$7)))*(CRDJ[Account Code]=(TRIM($D39))),CRDJ[Credit])))+(SUM(IF((GJ[Date]=$A$4)*(GJ[Ofc Code]=(TRIM(R$7)))*(GJ[Account Code]=(TRIM($D39))),GJ[Credit])))</f>
        <v>0</v>
      </c>
      <c r="S39" s="211">
        <f t="array" ref="S39">(SUM(IF((CkDJ[Date]=$A$4)*(CkDJ[Ofc Code]=(TRIM(S$7)))*(CkDJ[Account Code]=(TRIM($D39))),CkDJ[Debit])))+(SUM(IF((CsDJ[Date]=$A$4)*(CsDJ[Ofc Code]=(TRIM(S$7)))*(CsDJ[Account Code]=(TRIM($D39))),CsDJ[Debit])))+(SUM(IF((CRDJ[Date]=$A$4)*(CRDJ[Ofc Code]=(TRIM(S$7)))*(CRDJ[Account Code]=(TRIM($D39))),CRDJ[Debit])))+(SUM(IF((GJ[Date]=$A$4)*(GJ[Ofc Code]=(TRIM(S$7)))*(GJ[Account Code]=(TRIM($D39))),GJ[Debit])))-(SUM(IF((CkDJ[Date]=$A$4)*(CkDJ[Ofc Code]=(TRIM(S$7)))*(CkDJ[Account Code]=(TRIM($D39))),CkDJ[Credit])))+(SUM(IF((CsDJ[Date]=$A$4)*(CsDJ[Ofc Code]=(TRIM(S$7)))*(CsDJ[Account Code]=(TRIM($D39))),CsDJ[Credit])))+(SUM(IF((CRDJ[Date]=$A$4)*(CRDJ[Ofc Code]=(TRIM(S$7)))*(CRDJ[Account Code]=(TRIM($D39))),CRDJ[Credit])))+(SUM(IF((GJ[Date]=$A$4)*(GJ[Ofc Code]=(TRIM(S$7)))*(GJ[Account Code]=(TRIM($D39))),GJ[Credit])))</f>
        <v>0</v>
      </c>
      <c r="T39" s="211">
        <f t="shared" si="10"/>
        <v>0</v>
      </c>
      <c r="U39" s="211">
        <f t="shared" si="11"/>
        <v>0</v>
      </c>
    </row>
    <row r="40" spans="1:21" ht="15">
      <c r="A40" s="212">
        <f t="shared" si="12"/>
        <v>7</v>
      </c>
      <c r="B40" s="214" t="s">
        <v>756</v>
      </c>
      <c r="C40" s="194" t="str">
        <f t="shared" si="7"/>
        <v>Productivity Incentive Allowance</v>
      </c>
      <c r="D40" s="215">
        <v>717</v>
      </c>
      <c r="E40" s="211">
        <f t="array" ref="E40">(SUM(IF((CkDJ[Date]=$A$4)*(CkDJ[Ofc Code]=(TRIM(E$7)))*(CkDJ[Account Code]=(TRIM($D40))),CkDJ[Debit])))+(SUM(IF((CsDJ[Date]=$A$4)*(CsDJ[Ofc Code]=(TRIM(E$7)))*(CsDJ[Account Code]=(TRIM($D40))),CsDJ[Debit])))+(SUM(IF((CRDJ[Date]=$A$4)*(CRDJ[Ofc Code]=(TRIM(E$7)))*(CRDJ[Account Code]=(TRIM($D40))),CRDJ[Debit])))+(SUM(IF((GJ[Date]=$A$4)*(GJ[Ofc Code]=(TRIM(E$7)))*(GJ[Account Code]=(TRIM($D40))),GJ[Debit])))-(SUM(IF((CkDJ[Date]=$A$4)*(CkDJ[Ofc Code]=(TRIM(E$7)))*(CkDJ[Account Code]=(TRIM($D40))),CkDJ[Credit])))+(SUM(IF((CsDJ[Date]=$A$4)*(CsDJ[Ofc Code]=(TRIM(E$7)))*(CsDJ[Account Code]=(TRIM($D40))),CsDJ[Credit])))+(SUM(IF((CRDJ[Date]=$A$4)*(CRDJ[Ofc Code]=(TRIM(E$7)))*(CRDJ[Account Code]=(TRIM($D40))),CRDJ[Credit])))+(SUM(IF((GJ[Date]=$A$4)*(GJ[Ofc Code]=(TRIM(E$7)))*(GJ[Account Code]=(TRIM($D40))),GJ[Credit])))</f>
        <v>0</v>
      </c>
      <c r="F40" s="211">
        <f t="array" ref="F40">(SUM(IF((CkDJ[Date]=$A$4)*(CkDJ[Ofc Code]=(TRIM(F$7)))*(CkDJ[Account Code]=(TRIM($D40))),CkDJ[Debit])))+(SUM(IF((CsDJ[Date]=$A$4)*(CsDJ[Ofc Code]=(TRIM(F$7)))*(CsDJ[Account Code]=(TRIM($D40))),CsDJ[Debit])))+(SUM(IF((CRDJ[Date]=$A$4)*(CRDJ[Ofc Code]=(TRIM(F$7)))*(CRDJ[Account Code]=(TRIM($D40))),CRDJ[Debit])))+(SUM(IF((GJ[Date]=$A$4)*(GJ[Ofc Code]=(TRIM(F$7)))*(GJ[Account Code]=(TRIM($D40))),GJ[Debit])))-(SUM(IF((CkDJ[Date]=$A$4)*(CkDJ[Ofc Code]=(TRIM(F$7)))*(CkDJ[Account Code]=(TRIM($D40))),CkDJ[Credit])))+(SUM(IF((CsDJ[Date]=$A$4)*(CsDJ[Ofc Code]=(TRIM(F$7)))*(CsDJ[Account Code]=(TRIM($D40))),CsDJ[Credit])))+(SUM(IF((CRDJ[Date]=$A$4)*(CRDJ[Ofc Code]=(TRIM(F$7)))*(CRDJ[Account Code]=(TRIM($D40))),CRDJ[Credit])))+(SUM(IF((GJ[Date]=$A$4)*(GJ[Ofc Code]=(TRIM(F$7)))*(GJ[Account Code]=(TRIM($D40))),GJ[Credit])))</f>
        <v>0</v>
      </c>
      <c r="G40" s="211">
        <f t="array" ref="G40">(SUM(IF((CkDJ[Date]=$A$4)*(CkDJ[Ofc Code]=(TRIM(G$7)))*(CkDJ[Account Code]=(TRIM($D40))),CkDJ[Debit])))+(SUM(IF((CsDJ[Date]=$A$4)*(CsDJ[Ofc Code]=(TRIM(G$7)))*(CsDJ[Account Code]=(TRIM($D40))),CsDJ[Debit])))+(SUM(IF((CRDJ[Date]=$A$4)*(CRDJ[Ofc Code]=(TRIM(G$7)))*(CRDJ[Account Code]=(TRIM($D40))),CRDJ[Debit])))+(SUM(IF((GJ[Date]=$A$4)*(GJ[Ofc Code]=(TRIM(G$7)))*(GJ[Account Code]=(TRIM($D40))),GJ[Debit])))-(SUM(IF((CkDJ[Date]=$A$4)*(CkDJ[Ofc Code]=(TRIM(G$7)))*(CkDJ[Account Code]=(TRIM($D40))),CkDJ[Credit])))+(SUM(IF((CsDJ[Date]=$A$4)*(CsDJ[Ofc Code]=(TRIM(G$7)))*(CsDJ[Account Code]=(TRIM($D40))),CsDJ[Credit])))+(SUM(IF((CRDJ[Date]=$A$4)*(CRDJ[Ofc Code]=(TRIM(G$7)))*(CRDJ[Account Code]=(TRIM($D40))),CRDJ[Credit])))+(SUM(IF((GJ[Date]=$A$4)*(GJ[Ofc Code]=(TRIM(G$7)))*(GJ[Account Code]=(TRIM($D40))),GJ[Credit])))</f>
        <v>0</v>
      </c>
      <c r="H40" s="211">
        <f t="array" ref="H40">(SUM(IF((CkDJ[Date]=$A$4)*(CkDJ[Ofc Code]=(TRIM(H$7)))*(CkDJ[Account Code]=(TRIM($D40))),CkDJ[Debit])))+(SUM(IF((CsDJ[Date]=$A$4)*(CsDJ[Ofc Code]=(TRIM(H$7)))*(CsDJ[Account Code]=(TRIM($D40))),CsDJ[Debit])))+(SUM(IF((CRDJ[Date]=$A$4)*(CRDJ[Ofc Code]=(TRIM(H$7)))*(CRDJ[Account Code]=(TRIM($D40))),CRDJ[Debit])))+(SUM(IF((GJ[Date]=$A$4)*(GJ[Ofc Code]=(TRIM(H$7)))*(GJ[Account Code]=(TRIM($D40))),GJ[Debit])))-(SUM(IF((CkDJ[Date]=$A$4)*(CkDJ[Ofc Code]=(TRIM(H$7)))*(CkDJ[Account Code]=(TRIM($D40))),CkDJ[Credit])))+(SUM(IF((CsDJ[Date]=$A$4)*(CsDJ[Ofc Code]=(TRIM(H$7)))*(CsDJ[Account Code]=(TRIM($D40))),CsDJ[Credit])))+(SUM(IF((CRDJ[Date]=$A$4)*(CRDJ[Ofc Code]=(TRIM(H$7)))*(CRDJ[Account Code]=(TRIM($D40))),CRDJ[Credit])))+(SUM(IF((GJ[Date]=$A$4)*(GJ[Ofc Code]=(TRIM(H$7)))*(GJ[Account Code]=(TRIM($D40))),GJ[Credit])))</f>
        <v>0</v>
      </c>
      <c r="I40" s="211">
        <f t="shared" si="8"/>
        <v>0</v>
      </c>
      <c r="J40" s="211">
        <f t="array" ref="J40">(SUM(IF((CkDJ[Date]=$A$4)*(CkDJ[Ofc Code]=(TRIM(J$7)))*(CkDJ[Account Code]=(TRIM($D40))),CkDJ[Debit])))+(SUM(IF((CsDJ[Date]=$A$4)*(CsDJ[Ofc Code]=(TRIM(J$7)))*(CsDJ[Account Code]=(TRIM($D40))),CsDJ[Debit])))+(SUM(IF((CRDJ[Date]=$A$4)*(CRDJ[Ofc Code]=(TRIM(J$7)))*(CRDJ[Account Code]=(TRIM($D40))),CRDJ[Debit])))+(SUM(IF((GJ[Date]=$A$4)*(GJ[Ofc Code]=(TRIM(J$7)))*(GJ[Account Code]=(TRIM($D40))),GJ[Debit])))-(SUM(IF((CkDJ[Date]=$A$4)*(CkDJ[Ofc Code]=(TRIM(J$7)))*(CkDJ[Account Code]=(TRIM($D40))),CkDJ[Credit])))+(SUM(IF((CsDJ[Date]=$A$4)*(CsDJ[Ofc Code]=(TRIM(J$7)))*(CsDJ[Account Code]=(TRIM($D40))),CsDJ[Credit])))+(SUM(IF((CRDJ[Date]=$A$4)*(CRDJ[Ofc Code]=(TRIM(J$7)))*(CRDJ[Account Code]=(TRIM($D40))),CRDJ[Credit])))+(SUM(IF((GJ[Date]=$A$4)*(GJ[Ofc Code]=(TRIM(J$7)))*(GJ[Account Code]=(TRIM($D40))),GJ[Credit])))</f>
        <v>0</v>
      </c>
      <c r="K40" s="211">
        <f t="array" ref="K40">(SUM(IF((CkDJ[Date]=$A$4)*(CkDJ[Ofc Code]=(TRIM(K$7)))*(CkDJ[Account Code]=(TRIM($D40))),CkDJ[Debit])))+(SUM(IF((CsDJ[Date]=$A$4)*(CsDJ[Ofc Code]=(TRIM(K$7)))*(CsDJ[Account Code]=(TRIM($D40))),CsDJ[Debit])))+(SUM(IF((CRDJ[Date]=$A$4)*(CRDJ[Ofc Code]=(TRIM(K$7)))*(CRDJ[Account Code]=(TRIM($D40))),CRDJ[Debit])))+(SUM(IF((GJ[Date]=$A$4)*(GJ[Ofc Code]=(TRIM(K$7)))*(GJ[Account Code]=(TRIM($D40))),GJ[Debit])))-(SUM(IF((CkDJ[Date]=$A$4)*(CkDJ[Ofc Code]=(TRIM(K$7)))*(CkDJ[Account Code]=(TRIM($D40))),CkDJ[Credit])))+(SUM(IF((CsDJ[Date]=$A$4)*(CsDJ[Ofc Code]=(TRIM(K$7)))*(CsDJ[Account Code]=(TRIM($D40))),CsDJ[Credit])))+(SUM(IF((CRDJ[Date]=$A$4)*(CRDJ[Ofc Code]=(TRIM(K$7)))*(CRDJ[Account Code]=(TRIM($D40))),CRDJ[Credit])))+(SUM(IF((GJ[Date]=$A$4)*(GJ[Ofc Code]=(TRIM(K$7)))*(GJ[Account Code]=(TRIM($D40))),GJ[Credit])))</f>
        <v>0</v>
      </c>
      <c r="L40" s="211">
        <f t="array" ref="L40">(SUM(IF((CkDJ[Date]=$A$4)*(CkDJ[Ofc Code]=(TRIM(L$7)))*(CkDJ[Account Code]=(TRIM($D40))),CkDJ[Debit])))+(SUM(IF((CsDJ[Date]=$A$4)*(CsDJ[Ofc Code]=(TRIM(L$7)))*(CsDJ[Account Code]=(TRIM($D40))),CsDJ[Debit])))+(SUM(IF((CRDJ[Date]=$A$4)*(CRDJ[Ofc Code]=(TRIM(L$7)))*(CRDJ[Account Code]=(TRIM($D40))),CRDJ[Debit])))+(SUM(IF((GJ[Date]=$A$4)*(GJ[Ofc Code]=(TRIM(L$7)))*(GJ[Account Code]=(TRIM($D40))),GJ[Debit])))-(SUM(IF((CkDJ[Date]=$A$4)*(CkDJ[Ofc Code]=(TRIM(L$7)))*(CkDJ[Account Code]=(TRIM($D40))),CkDJ[Credit])))+(SUM(IF((CsDJ[Date]=$A$4)*(CsDJ[Ofc Code]=(TRIM(L$7)))*(CsDJ[Account Code]=(TRIM($D40))),CsDJ[Credit])))+(SUM(IF((CRDJ[Date]=$A$4)*(CRDJ[Ofc Code]=(TRIM(L$7)))*(CRDJ[Account Code]=(TRIM($D40))),CRDJ[Credit])))+(SUM(IF((GJ[Date]=$A$4)*(GJ[Ofc Code]=(TRIM(L$7)))*(GJ[Account Code]=(TRIM($D40))),GJ[Credit])))</f>
        <v>0</v>
      </c>
      <c r="M40" s="211">
        <f t="array" ref="M40">(SUM(IF((CkDJ[Date]=$A$4)*(CkDJ[Ofc Code]=(TRIM(M$7)))*(CkDJ[Account Code]=(TRIM($D40))),CkDJ[Debit])))+(SUM(IF((CsDJ[Date]=$A$4)*(CsDJ[Ofc Code]=(TRIM(M$7)))*(CsDJ[Account Code]=(TRIM($D40))),CsDJ[Debit])))+(SUM(IF((CRDJ[Date]=$A$4)*(CRDJ[Ofc Code]=(TRIM(M$7)))*(CRDJ[Account Code]=(TRIM($D40))),CRDJ[Debit])))+(SUM(IF((GJ[Date]=$A$4)*(GJ[Ofc Code]=(TRIM(M$7)))*(GJ[Account Code]=(TRIM($D40))),GJ[Debit])))-(SUM(IF((CkDJ[Date]=$A$4)*(CkDJ[Ofc Code]=(TRIM(M$7)))*(CkDJ[Account Code]=(TRIM($D40))),CkDJ[Credit])))+(SUM(IF((CsDJ[Date]=$A$4)*(CsDJ[Ofc Code]=(TRIM(M$7)))*(CsDJ[Account Code]=(TRIM($D40))),CsDJ[Credit])))+(SUM(IF((CRDJ[Date]=$A$4)*(CRDJ[Ofc Code]=(TRIM(M$7)))*(CRDJ[Account Code]=(TRIM($D40))),CRDJ[Credit])))+(SUM(IF((GJ[Date]=$A$4)*(GJ[Ofc Code]=(TRIM(M$7)))*(GJ[Account Code]=(TRIM($D40))),GJ[Credit])))</f>
        <v>0</v>
      </c>
      <c r="N40" s="211">
        <f t="shared" si="9"/>
        <v>0</v>
      </c>
      <c r="O40" s="211">
        <f t="array" ref="O40">(SUM(IF((CkDJ[Date]=$A$4)*(CkDJ[Ofc Code]=(TRIM(O$7)))*(CkDJ[Account Code]=(TRIM($D40))),CkDJ[Debit])))+(SUM(IF((CsDJ[Date]=$A$4)*(CsDJ[Ofc Code]=(TRIM(O$7)))*(CsDJ[Account Code]=(TRIM($D40))),CsDJ[Debit])))+(SUM(IF((CRDJ[Date]=$A$4)*(CRDJ[Ofc Code]=(TRIM(O$7)))*(CRDJ[Account Code]=(TRIM($D40))),CRDJ[Debit])))+(SUM(IF((GJ[Date]=$A$4)*(GJ[Ofc Code]=(TRIM(O$7)))*(GJ[Account Code]=(TRIM($D40))),GJ[Debit])))-(SUM(IF((CkDJ[Date]=$A$4)*(CkDJ[Ofc Code]=(TRIM(O$7)))*(CkDJ[Account Code]=(TRIM($D40))),CkDJ[Credit])))+(SUM(IF((CsDJ[Date]=$A$4)*(CsDJ[Ofc Code]=(TRIM(O$7)))*(CsDJ[Account Code]=(TRIM($D40))),CsDJ[Credit])))+(SUM(IF((CRDJ[Date]=$A$4)*(CRDJ[Ofc Code]=(TRIM(O$7)))*(CRDJ[Account Code]=(TRIM($D40))),CRDJ[Credit])))+(SUM(IF((GJ[Date]=$A$4)*(GJ[Ofc Code]=(TRIM(O$7)))*(GJ[Account Code]=(TRIM($D40))),GJ[Credit])))</f>
        <v>0</v>
      </c>
      <c r="P40" s="211">
        <f t="array" ref="P40">(SUM(IF((CkDJ[Date]=$A$4)*(CkDJ[Ofc Code]=(TRIM(P$7)))*(CkDJ[Account Code]=(TRIM($D40))),CkDJ[Debit])))+(SUM(IF((CsDJ[Date]=$A$4)*(CsDJ[Ofc Code]=(TRIM(P$7)))*(CsDJ[Account Code]=(TRIM($D40))),CsDJ[Debit])))+(SUM(IF((CRDJ[Date]=$A$4)*(CRDJ[Ofc Code]=(TRIM(P$7)))*(CRDJ[Account Code]=(TRIM($D40))),CRDJ[Debit])))+(SUM(IF((GJ[Date]=$A$4)*(GJ[Ofc Code]=(TRIM(P$7)))*(GJ[Account Code]=(TRIM($D40))),GJ[Debit])))-(SUM(IF((CkDJ[Date]=$A$4)*(CkDJ[Ofc Code]=(TRIM(P$7)))*(CkDJ[Account Code]=(TRIM($D40))),CkDJ[Credit])))+(SUM(IF((CsDJ[Date]=$A$4)*(CsDJ[Ofc Code]=(TRIM(P$7)))*(CsDJ[Account Code]=(TRIM($D40))),CsDJ[Credit])))+(SUM(IF((CRDJ[Date]=$A$4)*(CRDJ[Ofc Code]=(TRIM(P$7)))*(CRDJ[Account Code]=(TRIM($D40))),CRDJ[Credit])))+(SUM(IF((GJ[Date]=$A$4)*(GJ[Ofc Code]=(TRIM(P$7)))*(GJ[Account Code]=(TRIM($D40))),GJ[Credit])))</f>
        <v>0</v>
      </c>
      <c r="Q40" s="211">
        <f t="array" ref="Q40">(SUM(IF((CkDJ[Date]=$A$4)*(CkDJ[Ofc Code]=(TRIM(Q$7)))*(CkDJ[Account Code]=(TRIM($D40))),CkDJ[Debit])))+(SUM(IF((CsDJ[Date]=$A$4)*(CsDJ[Ofc Code]=(TRIM(Q$7)))*(CsDJ[Account Code]=(TRIM($D40))),CsDJ[Debit])))+(SUM(IF((CRDJ[Date]=$A$4)*(CRDJ[Ofc Code]=(TRIM(Q$7)))*(CRDJ[Account Code]=(TRIM($D40))),CRDJ[Debit])))+(SUM(IF((GJ[Date]=$A$4)*(GJ[Ofc Code]=(TRIM(Q$7)))*(GJ[Account Code]=(TRIM($D40))),GJ[Debit])))-(SUM(IF((CkDJ[Date]=$A$4)*(CkDJ[Ofc Code]=(TRIM(Q$7)))*(CkDJ[Account Code]=(TRIM($D40))),CkDJ[Credit])))+(SUM(IF((CsDJ[Date]=$A$4)*(CsDJ[Ofc Code]=(TRIM(Q$7)))*(CsDJ[Account Code]=(TRIM($D40))),CsDJ[Credit])))+(SUM(IF((CRDJ[Date]=$A$4)*(CRDJ[Ofc Code]=(TRIM(Q$7)))*(CRDJ[Account Code]=(TRIM($D40))),CRDJ[Credit])))+(SUM(IF((GJ[Date]=$A$4)*(GJ[Ofc Code]=(TRIM(Q$7)))*(GJ[Account Code]=(TRIM($D40))),GJ[Credit])))</f>
        <v>0</v>
      </c>
      <c r="R40" s="211">
        <f t="array" ref="R40">(SUM(IF((CkDJ[Date]=$A$4)*(CkDJ[Ofc Code]=(TRIM(R$7)))*(CkDJ[Account Code]=(TRIM($D40))),CkDJ[Debit])))+(SUM(IF((CsDJ[Date]=$A$4)*(CsDJ[Ofc Code]=(TRIM(R$7)))*(CsDJ[Account Code]=(TRIM($D40))),CsDJ[Debit])))+(SUM(IF((CRDJ[Date]=$A$4)*(CRDJ[Ofc Code]=(TRIM(R$7)))*(CRDJ[Account Code]=(TRIM($D40))),CRDJ[Debit])))+(SUM(IF((GJ[Date]=$A$4)*(GJ[Ofc Code]=(TRIM(R$7)))*(GJ[Account Code]=(TRIM($D40))),GJ[Debit])))-(SUM(IF((CkDJ[Date]=$A$4)*(CkDJ[Ofc Code]=(TRIM(R$7)))*(CkDJ[Account Code]=(TRIM($D40))),CkDJ[Credit])))+(SUM(IF((CsDJ[Date]=$A$4)*(CsDJ[Ofc Code]=(TRIM(R$7)))*(CsDJ[Account Code]=(TRIM($D40))),CsDJ[Credit])))+(SUM(IF((CRDJ[Date]=$A$4)*(CRDJ[Ofc Code]=(TRIM(R$7)))*(CRDJ[Account Code]=(TRIM($D40))),CRDJ[Credit])))+(SUM(IF((GJ[Date]=$A$4)*(GJ[Ofc Code]=(TRIM(R$7)))*(GJ[Account Code]=(TRIM($D40))),GJ[Credit])))</f>
        <v>0</v>
      </c>
      <c r="S40" s="211">
        <f t="array" ref="S40">(SUM(IF((CkDJ[Date]=$A$4)*(CkDJ[Ofc Code]=(TRIM(S$7)))*(CkDJ[Account Code]=(TRIM($D40))),CkDJ[Debit])))+(SUM(IF((CsDJ[Date]=$A$4)*(CsDJ[Ofc Code]=(TRIM(S$7)))*(CsDJ[Account Code]=(TRIM($D40))),CsDJ[Debit])))+(SUM(IF((CRDJ[Date]=$A$4)*(CRDJ[Ofc Code]=(TRIM(S$7)))*(CRDJ[Account Code]=(TRIM($D40))),CRDJ[Debit])))+(SUM(IF((GJ[Date]=$A$4)*(GJ[Ofc Code]=(TRIM(S$7)))*(GJ[Account Code]=(TRIM($D40))),GJ[Debit])))-(SUM(IF((CkDJ[Date]=$A$4)*(CkDJ[Ofc Code]=(TRIM(S$7)))*(CkDJ[Account Code]=(TRIM($D40))),CkDJ[Credit])))+(SUM(IF((CsDJ[Date]=$A$4)*(CsDJ[Ofc Code]=(TRIM(S$7)))*(CsDJ[Account Code]=(TRIM($D40))),CsDJ[Credit])))+(SUM(IF((CRDJ[Date]=$A$4)*(CRDJ[Ofc Code]=(TRIM(S$7)))*(CRDJ[Account Code]=(TRIM($D40))),CRDJ[Credit])))+(SUM(IF((GJ[Date]=$A$4)*(GJ[Ofc Code]=(TRIM(S$7)))*(GJ[Account Code]=(TRIM($D40))),GJ[Credit])))</f>
        <v>0</v>
      </c>
      <c r="T40" s="211">
        <f t="shared" si="10"/>
        <v>0</v>
      </c>
      <c r="U40" s="211">
        <f t="shared" si="11"/>
        <v>0</v>
      </c>
    </row>
    <row r="41" spans="1:21" ht="15">
      <c r="A41" s="212">
        <f t="shared" si="12"/>
        <v>8</v>
      </c>
      <c r="B41" s="214" t="s">
        <v>756</v>
      </c>
      <c r="C41" s="194" t="str">
        <f t="shared" si="7"/>
        <v>Other Bonuses and Allowances - Medical Allowance</v>
      </c>
      <c r="D41" s="215" t="s">
        <v>5</v>
      </c>
      <c r="E41" s="211">
        <f t="array" ref="E41">(SUM(IF((CkDJ[Date]=$A$4)*(CkDJ[Ofc Code]=(TRIM(E$7)))*(CkDJ[Account Code]=(TRIM($D41))),CkDJ[Debit])))+(SUM(IF((CsDJ[Date]=$A$4)*(CsDJ[Ofc Code]=(TRIM(E$7)))*(CsDJ[Account Code]=(TRIM($D41))),CsDJ[Debit])))+(SUM(IF((CRDJ[Date]=$A$4)*(CRDJ[Ofc Code]=(TRIM(E$7)))*(CRDJ[Account Code]=(TRIM($D41))),CRDJ[Debit])))+(SUM(IF((GJ[Date]=$A$4)*(GJ[Ofc Code]=(TRIM(E$7)))*(GJ[Account Code]=(TRIM($D41))),GJ[Debit])))-(SUM(IF((CkDJ[Date]=$A$4)*(CkDJ[Ofc Code]=(TRIM(E$7)))*(CkDJ[Account Code]=(TRIM($D41))),CkDJ[Credit])))+(SUM(IF((CsDJ[Date]=$A$4)*(CsDJ[Ofc Code]=(TRIM(E$7)))*(CsDJ[Account Code]=(TRIM($D41))),CsDJ[Credit])))+(SUM(IF((CRDJ[Date]=$A$4)*(CRDJ[Ofc Code]=(TRIM(E$7)))*(CRDJ[Account Code]=(TRIM($D41))),CRDJ[Credit])))+(SUM(IF((GJ[Date]=$A$4)*(GJ[Ofc Code]=(TRIM(E$7)))*(GJ[Account Code]=(TRIM($D41))),GJ[Credit])))</f>
        <v>0</v>
      </c>
      <c r="F41" s="211">
        <f t="array" ref="F41">(SUM(IF((CkDJ[Date]=$A$4)*(CkDJ[Ofc Code]=(TRIM(F$7)))*(CkDJ[Account Code]=(TRIM($D41))),CkDJ[Debit])))+(SUM(IF((CsDJ[Date]=$A$4)*(CsDJ[Ofc Code]=(TRIM(F$7)))*(CsDJ[Account Code]=(TRIM($D41))),CsDJ[Debit])))+(SUM(IF((CRDJ[Date]=$A$4)*(CRDJ[Ofc Code]=(TRIM(F$7)))*(CRDJ[Account Code]=(TRIM($D41))),CRDJ[Debit])))+(SUM(IF((GJ[Date]=$A$4)*(GJ[Ofc Code]=(TRIM(F$7)))*(GJ[Account Code]=(TRIM($D41))),GJ[Debit])))-(SUM(IF((CkDJ[Date]=$A$4)*(CkDJ[Ofc Code]=(TRIM(F$7)))*(CkDJ[Account Code]=(TRIM($D41))),CkDJ[Credit])))+(SUM(IF((CsDJ[Date]=$A$4)*(CsDJ[Ofc Code]=(TRIM(F$7)))*(CsDJ[Account Code]=(TRIM($D41))),CsDJ[Credit])))+(SUM(IF((CRDJ[Date]=$A$4)*(CRDJ[Ofc Code]=(TRIM(F$7)))*(CRDJ[Account Code]=(TRIM($D41))),CRDJ[Credit])))+(SUM(IF((GJ[Date]=$A$4)*(GJ[Ofc Code]=(TRIM(F$7)))*(GJ[Account Code]=(TRIM($D41))),GJ[Credit])))</f>
        <v>0</v>
      </c>
      <c r="G41" s="211">
        <f t="array" ref="G41">(SUM(IF((CkDJ[Date]=$A$4)*(CkDJ[Ofc Code]=(TRIM(G$7)))*(CkDJ[Account Code]=(TRIM($D41))),CkDJ[Debit])))+(SUM(IF((CsDJ[Date]=$A$4)*(CsDJ[Ofc Code]=(TRIM(G$7)))*(CsDJ[Account Code]=(TRIM($D41))),CsDJ[Debit])))+(SUM(IF((CRDJ[Date]=$A$4)*(CRDJ[Ofc Code]=(TRIM(G$7)))*(CRDJ[Account Code]=(TRIM($D41))),CRDJ[Debit])))+(SUM(IF((GJ[Date]=$A$4)*(GJ[Ofc Code]=(TRIM(G$7)))*(GJ[Account Code]=(TRIM($D41))),GJ[Debit])))-(SUM(IF((CkDJ[Date]=$A$4)*(CkDJ[Ofc Code]=(TRIM(G$7)))*(CkDJ[Account Code]=(TRIM($D41))),CkDJ[Credit])))+(SUM(IF((CsDJ[Date]=$A$4)*(CsDJ[Ofc Code]=(TRIM(G$7)))*(CsDJ[Account Code]=(TRIM($D41))),CsDJ[Credit])))+(SUM(IF((CRDJ[Date]=$A$4)*(CRDJ[Ofc Code]=(TRIM(G$7)))*(CRDJ[Account Code]=(TRIM($D41))),CRDJ[Credit])))+(SUM(IF((GJ[Date]=$A$4)*(GJ[Ofc Code]=(TRIM(G$7)))*(GJ[Account Code]=(TRIM($D41))),GJ[Credit])))</f>
        <v>0</v>
      </c>
      <c r="H41" s="211">
        <f t="array" ref="H41">(SUM(IF((CkDJ[Date]=$A$4)*(CkDJ[Ofc Code]=(TRIM(H$7)))*(CkDJ[Account Code]=(TRIM($D41))),CkDJ[Debit])))+(SUM(IF((CsDJ[Date]=$A$4)*(CsDJ[Ofc Code]=(TRIM(H$7)))*(CsDJ[Account Code]=(TRIM($D41))),CsDJ[Debit])))+(SUM(IF((CRDJ[Date]=$A$4)*(CRDJ[Ofc Code]=(TRIM(H$7)))*(CRDJ[Account Code]=(TRIM($D41))),CRDJ[Debit])))+(SUM(IF((GJ[Date]=$A$4)*(GJ[Ofc Code]=(TRIM(H$7)))*(GJ[Account Code]=(TRIM($D41))),GJ[Debit])))-(SUM(IF((CkDJ[Date]=$A$4)*(CkDJ[Ofc Code]=(TRIM(H$7)))*(CkDJ[Account Code]=(TRIM($D41))),CkDJ[Credit])))+(SUM(IF((CsDJ[Date]=$A$4)*(CsDJ[Ofc Code]=(TRIM(H$7)))*(CsDJ[Account Code]=(TRIM($D41))),CsDJ[Credit])))+(SUM(IF((CRDJ[Date]=$A$4)*(CRDJ[Ofc Code]=(TRIM(H$7)))*(CRDJ[Account Code]=(TRIM($D41))),CRDJ[Credit])))+(SUM(IF((GJ[Date]=$A$4)*(GJ[Ofc Code]=(TRIM(H$7)))*(GJ[Account Code]=(TRIM($D41))),GJ[Credit])))</f>
        <v>0</v>
      </c>
      <c r="I41" s="211">
        <f t="shared" si="8"/>
        <v>0</v>
      </c>
      <c r="J41" s="211">
        <f t="array" ref="J41">(SUM(IF((CkDJ[Date]=$A$4)*(CkDJ[Ofc Code]=(TRIM(J$7)))*(CkDJ[Account Code]=(TRIM($D41))),CkDJ[Debit])))+(SUM(IF((CsDJ[Date]=$A$4)*(CsDJ[Ofc Code]=(TRIM(J$7)))*(CsDJ[Account Code]=(TRIM($D41))),CsDJ[Debit])))+(SUM(IF((CRDJ[Date]=$A$4)*(CRDJ[Ofc Code]=(TRIM(J$7)))*(CRDJ[Account Code]=(TRIM($D41))),CRDJ[Debit])))+(SUM(IF((GJ[Date]=$A$4)*(GJ[Ofc Code]=(TRIM(J$7)))*(GJ[Account Code]=(TRIM($D41))),GJ[Debit])))-(SUM(IF((CkDJ[Date]=$A$4)*(CkDJ[Ofc Code]=(TRIM(J$7)))*(CkDJ[Account Code]=(TRIM($D41))),CkDJ[Credit])))+(SUM(IF((CsDJ[Date]=$A$4)*(CsDJ[Ofc Code]=(TRIM(J$7)))*(CsDJ[Account Code]=(TRIM($D41))),CsDJ[Credit])))+(SUM(IF((CRDJ[Date]=$A$4)*(CRDJ[Ofc Code]=(TRIM(J$7)))*(CRDJ[Account Code]=(TRIM($D41))),CRDJ[Credit])))+(SUM(IF((GJ[Date]=$A$4)*(GJ[Ofc Code]=(TRIM(J$7)))*(GJ[Account Code]=(TRIM($D41))),GJ[Credit])))</f>
        <v>0</v>
      </c>
      <c r="K41" s="211">
        <f t="array" ref="K41">(SUM(IF((CkDJ[Date]=$A$4)*(CkDJ[Ofc Code]=(TRIM(K$7)))*(CkDJ[Account Code]=(TRIM($D41))),CkDJ[Debit])))+(SUM(IF((CsDJ[Date]=$A$4)*(CsDJ[Ofc Code]=(TRIM(K$7)))*(CsDJ[Account Code]=(TRIM($D41))),CsDJ[Debit])))+(SUM(IF((CRDJ[Date]=$A$4)*(CRDJ[Ofc Code]=(TRIM(K$7)))*(CRDJ[Account Code]=(TRIM($D41))),CRDJ[Debit])))+(SUM(IF((GJ[Date]=$A$4)*(GJ[Ofc Code]=(TRIM(K$7)))*(GJ[Account Code]=(TRIM($D41))),GJ[Debit])))-(SUM(IF((CkDJ[Date]=$A$4)*(CkDJ[Ofc Code]=(TRIM(K$7)))*(CkDJ[Account Code]=(TRIM($D41))),CkDJ[Credit])))+(SUM(IF((CsDJ[Date]=$A$4)*(CsDJ[Ofc Code]=(TRIM(K$7)))*(CsDJ[Account Code]=(TRIM($D41))),CsDJ[Credit])))+(SUM(IF((CRDJ[Date]=$A$4)*(CRDJ[Ofc Code]=(TRIM(K$7)))*(CRDJ[Account Code]=(TRIM($D41))),CRDJ[Credit])))+(SUM(IF((GJ[Date]=$A$4)*(GJ[Ofc Code]=(TRIM(K$7)))*(GJ[Account Code]=(TRIM($D41))),GJ[Credit])))</f>
        <v>0</v>
      </c>
      <c r="L41" s="211">
        <f t="array" ref="L41">(SUM(IF((CkDJ[Date]=$A$4)*(CkDJ[Ofc Code]=(TRIM(L$7)))*(CkDJ[Account Code]=(TRIM($D41))),CkDJ[Debit])))+(SUM(IF((CsDJ[Date]=$A$4)*(CsDJ[Ofc Code]=(TRIM(L$7)))*(CsDJ[Account Code]=(TRIM($D41))),CsDJ[Debit])))+(SUM(IF((CRDJ[Date]=$A$4)*(CRDJ[Ofc Code]=(TRIM(L$7)))*(CRDJ[Account Code]=(TRIM($D41))),CRDJ[Debit])))+(SUM(IF((GJ[Date]=$A$4)*(GJ[Ofc Code]=(TRIM(L$7)))*(GJ[Account Code]=(TRIM($D41))),GJ[Debit])))-(SUM(IF((CkDJ[Date]=$A$4)*(CkDJ[Ofc Code]=(TRIM(L$7)))*(CkDJ[Account Code]=(TRIM($D41))),CkDJ[Credit])))+(SUM(IF((CsDJ[Date]=$A$4)*(CsDJ[Ofc Code]=(TRIM(L$7)))*(CsDJ[Account Code]=(TRIM($D41))),CsDJ[Credit])))+(SUM(IF((CRDJ[Date]=$A$4)*(CRDJ[Ofc Code]=(TRIM(L$7)))*(CRDJ[Account Code]=(TRIM($D41))),CRDJ[Credit])))+(SUM(IF((GJ[Date]=$A$4)*(GJ[Ofc Code]=(TRIM(L$7)))*(GJ[Account Code]=(TRIM($D41))),GJ[Credit])))</f>
        <v>0</v>
      </c>
      <c r="M41" s="211">
        <f t="array" ref="M41">(SUM(IF((CkDJ[Date]=$A$4)*(CkDJ[Ofc Code]=(TRIM(M$7)))*(CkDJ[Account Code]=(TRIM($D41))),CkDJ[Debit])))+(SUM(IF((CsDJ[Date]=$A$4)*(CsDJ[Ofc Code]=(TRIM(M$7)))*(CsDJ[Account Code]=(TRIM($D41))),CsDJ[Debit])))+(SUM(IF((CRDJ[Date]=$A$4)*(CRDJ[Ofc Code]=(TRIM(M$7)))*(CRDJ[Account Code]=(TRIM($D41))),CRDJ[Debit])))+(SUM(IF((GJ[Date]=$A$4)*(GJ[Ofc Code]=(TRIM(M$7)))*(GJ[Account Code]=(TRIM($D41))),GJ[Debit])))-(SUM(IF((CkDJ[Date]=$A$4)*(CkDJ[Ofc Code]=(TRIM(M$7)))*(CkDJ[Account Code]=(TRIM($D41))),CkDJ[Credit])))+(SUM(IF((CsDJ[Date]=$A$4)*(CsDJ[Ofc Code]=(TRIM(M$7)))*(CsDJ[Account Code]=(TRIM($D41))),CsDJ[Credit])))+(SUM(IF((CRDJ[Date]=$A$4)*(CRDJ[Ofc Code]=(TRIM(M$7)))*(CRDJ[Account Code]=(TRIM($D41))),CRDJ[Credit])))+(SUM(IF((GJ[Date]=$A$4)*(GJ[Ofc Code]=(TRIM(M$7)))*(GJ[Account Code]=(TRIM($D41))),GJ[Credit])))</f>
        <v>0</v>
      </c>
      <c r="N41" s="211">
        <f t="shared" si="9"/>
        <v>0</v>
      </c>
      <c r="O41" s="211">
        <f t="array" ref="O41">(SUM(IF((CkDJ[Date]=$A$4)*(CkDJ[Ofc Code]=(TRIM(O$7)))*(CkDJ[Account Code]=(TRIM($D41))),CkDJ[Debit])))+(SUM(IF((CsDJ[Date]=$A$4)*(CsDJ[Ofc Code]=(TRIM(O$7)))*(CsDJ[Account Code]=(TRIM($D41))),CsDJ[Debit])))+(SUM(IF((CRDJ[Date]=$A$4)*(CRDJ[Ofc Code]=(TRIM(O$7)))*(CRDJ[Account Code]=(TRIM($D41))),CRDJ[Debit])))+(SUM(IF((GJ[Date]=$A$4)*(GJ[Ofc Code]=(TRIM(O$7)))*(GJ[Account Code]=(TRIM($D41))),GJ[Debit])))-(SUM(IF((CkDJ[Date]=$A$4)*(CkDJ[Ofc Code]=(TRIM(O$7)))*(CkDJ[Account Code]=(TRIM($D41))),CkDJ[Credit])))+(SUM(IF((CsDJ[Date]=$A$4)*(CsDJ[Ofc Code]=(TRIM(O$7)))*(CsDJ[Account Code]=(TRIM($D41))),CsDJ[Credit])))+(SUM(IF((CRDJ[Date]=$A$4)*(CRDJ[Ofc Code]=(TRIM(O$7)))*(CRDJ[Account Code]=(TRIM($D41))),CRDJ[Credit])))+(SUM(IF((GJ[Date]=$A$4)*(GJ[Ofc Code]=(TRIM(O$7)))*(GJ[Account Code]=(TRIM($D41))),GJ[Credit])))</f>
        <v>0</v>
      </c>
      <c r="P41" s="211">
        <f t="array" ref="P41">(SUM(IF((CkDJ[Date]=$A$4)*(CkDJ[Ofc Code]=(TRIM(P$7)))*(CkDJ[Account Code]=(TRIM($D41))),CkDJ[Debit])))+(SUM(IF((CsDJ[Date]=$A$4)*(CsDJ[Ofc Code]=(TRIM(P$7)))*(CsDJ[Account Code]=(TRIM($D41))),CsDJ[Debit])))+(SUM(IF((CRDJ[Date]=$A$4)*(CRDJ[Ofc Code]=(TRIM(P$7)))*(CRDJ[Account Code]=(TRIM($D41))),CRDJ[Debit])))+(SUM(IF((GJ[Date]=$A$4)*(GJ[Ofc Code]=(TRIM(P$7)))*(GJ[Account Code]=(TRIM($D41))),GJ[Debit])))-(SUM(IF((CkDJ[Date]=$A$4)*(CkDJ[Ofc Code]=(TRIM(P$7)))*(CkDJ[Account Code]=(TRIM($D41))),CkDJ[Credit])))+(SUM(IF((CsDJ[Date]=$A$4)*(CsDJ[Ofc Code]=(TRIM(P$7)))*(CsDJ[Account Code]=(TRIM($D41))),CsDJ[Credit])))+(SUM(IF((CRDJ[Date]=$A$4)*(CRDJ[Ofc Code]=(TRIM(P$7)))*(CRDJ[Account Code]=(TRIM($D41))),CRDJ[Credit])))+(SUM(IF((GJ[Date]=$A$4)*(GJ[Ofc Code]=(TRIM(P$7)))*(GJ[Account Code]=(TRIM($D41))),GJ[Credit])))</f>
        <v>0</v>
      </c>
      <c r="Q41" s="211">
        <f t="array" ref="Q41">(SUM(IF((CkDJ[Date]=$A$4)*(CkDJ[Ofc Code]=(TRIM(Q$7)))*(CkDJ[Account Code]=(TRIM($D41))),CkDJ[Debit])))+(SUM(IF((CsDJ[Date]=$A$4)*(CsDJ[Ofc Code]=(TRIM(Q$7)))*(CsDJ[Account Code]=(TRIM($D41))),CsDJ[Debit])))+(SUM(IF((CRDJ[Date]=$A$4)*(CRDJ[Ofc Code]=(TRIM(Q$7)))*(CRDJ[Account Code]=(TRIM($D41))),CRDJ[Debit])))+(SUM(IF((GJ[Date]=$A$4)*(GJ[Ofc Code]=(TRIM(Q$7)))*(GJ[Account Code]=(TRIM($D41))),GJ[Debit])))-(SUM(IF((CkDJ[Date]=$A$4)*(CkDJ[Ofc Code]=(TRIM(Q$7)))*(CkDJ[Account Code]=(TRIM($D41))),CkDJ[Credit])))+(SUM(IF((CsDJ[Date]=$A$4)*(CsDJ[Ofc Code]=(TRIM(Q$7)))*(CsDJ[Account Code]=(TRIM($D41))),CsDJ[Credit])))+(SUM(IF((CRDJ[Date]=$A$4)*(CRDJ[Ofc Code]=(TRIM(Q$7)))*(CRDJ[Account Code]=(TRIM($D41))),CRDJ[Credit])))+(SUM(IF((GJ[Date]=$A$4)*(GJ[Ofc Code]=(TRIM(Q$7)))*(GJ[Account Code]=(TRIM($D41))),GJ[Credit])))</f>
        <v>0</v>
      </c>
      <c r="R41" s="211">
        <f t="array" ref="R41">(SUM(IF((CkDJ[Date]=$A$4)*(CkDJ[Ofc Code]=(TRIM(R$7)))*(CkDJ[Account Code]=(TRIM($D41))),CkDJ[Debit])))+(SUM(IF((CsDJ[Date]=$A$4)*(CsDJ[Ofc Code]=(TRIM(R$7)))*(CsDJ[Account Code]=(TRIM($D41))),CsDJ[Debit])))+(SUM(IF((CRDJ[Date]=$A$4)*(CRDJ[Ofc Code]=(TRIM(R$7)))*(CRDJ[Account Code]=(TRIM($D41))),CRDJ[Debit])))+(SUM(IF((GJ[Date]=$A$4)*(GJ[Ofc Code]=(TRIM(R$7)))*(GJ[Account Code]=(TRIM($D41))),GJ[Debit])))-(SUM(IF((CkDJ[Date]=$A$4)*(CkDJ[Ofc Code]=(TRIM(R$7)))*(CkDJ[Account Code]=(TRIM($D41))),CkDJ[Credit])))+(SUM(IF((CsDJ[Date]=$A$4)*(CsDJ[Ofc Code]=(TRIM(R$7)))*(CsDJ[Account Code]=(TRIM($D41))),CsDJ[Credit])))+(SUM(IF((CRDJ[Date]=$A$4)*(CRDJ[Ofc Code]=(TRIM(R$7)))*(CRDJ[Account Code]=(TRIM($D41))),CRDJ[Credit])))+(SUM(IF((GJ[Date]=$A$4)*(GJ[Ofc Code]=(TRIM(R$7)))*(GJ[Account Code]=(TRIM($D41))),GJ[Credit])))</f>
        <v>0</v>
      </c>
      <c r="S41" s="211">
        <f t="array" ref="S41">(SUM(IF((CkDJ[Date]=$A$4)*(CkDJ[Ofc Code]=(TRIM(S$7)))*(CkDJ[Account Code]=(TRIM($D41))),CkDJ[Debit])))+(SUM(IF((CsDJ[Date]=$A$4)*(CsDJ[Ofc Code]=(TRIM(S$7)))*(CsDJ[Account Code]=(TRIM($D41))),CsDJ[Debit])))+(SUM(IF((CRDJ[Date]=$A$4)*(CRDJ[Ofc Code]=(TRIM(S$7)))*(CRDJ[Account Code]=(TRIM($D41))),CRDJ[Debit])))+(SUM(IF((GJ[Date]=$A$4)*(GJ[Ofc Code]=(TRIM(S$7)))*(GJ[Account Code]=(TRIM($D41))),GJ[Debit])))-(SUM(IF((CkDJ[Date]=$A$4)*(CkDJ[Ofc Code]=(TRIM(S$7)))*(CkDJ[Account Code]=(TRIM($D41))),CkDJ[Credit])))+(SUM(IF((CsDJ[Date]=$A$4)*(CsDJ[Ofc Code]=(TRIM(S$7)))*(CsDJ[Account Code]=(TRIM($D41))),CsDJ[Credit])))+(SUM(IF((CRDJ[Date]=$A$4)*(CRDJ[Ofc Code]=(TRIM(S$7)))*(CRDJ[Account Code]=(TRIM($D41))),CRDJ[Credit])))+(SUM(IF((GJ[Date]=$A$4)*(GJ[Ofc Code]=(TRIM(S$7)))*(GJ[Account Code]=(TRIM($D41))),GJ[Credit])))</f>
        <v>0</v>
      </c>
      <c r="T41" s="211">
        <f t="shared" si="10"/>
        <v>0</v>
      </c>
      <c r="U41" s="211">
        <f t="shared" si="11"/>
        <v>0</v>
      </c>
    </row>
    <row r="42" spans="1:21" ht="15">
      <c r="A42" s="212">
        <f t="shared" si="12"/>
        <v>9</v>
      </c>
      <c r="B42" s="214" t="s">
        <v>756</v>
      </c>
      <c r="C42" s="194" t="str">
        <f t="shared" si="7"/>
        <v>Other Bonuses and Allowances - Meal Allowance</v>
      </c>
      <c r="D42" s="215" t="s">
        <v>6</v>
      </c>
      <c r="E42" s="211">
        <f t="array" ref="E42">(SUM(IF((CkDJ[Date]=$A$4)*(CkDJ[Ofc Code]=(TRIM(E$7)))*(CkDJ[Account Code]=(TRIM($D42))),CkDJ[Debit])))+(SUM(IF((CsDJ[Date]=$A$4)*(CsDJ[Ofc Code]=(TRIM(E$7)))*(CsDJ[Account Code]=(TRIM($D42))),CsDJ[Debit])))+(SUM(IF((CRDJ[Date]=$A$4)*(CRDJ[Ofc Code]=(TRIM(E$7)))*(CRDJ[Account Code]=(TRIM($D42))),CRDJ[Debit])))+(SUM(IF((GJ[Date]=$A$4)*(GJ[Ofc Code]=(TRIM(E$7)))*(GJ[Account Code]=(TRIM($D42))),GJ[Debit])))-(SUM(IF((CkDJ[Date]=$A$4)*(CkDJ[Ofc Code]=(TRIM(E$7)))*(CkDJ[Account Code]=(TRIM($D42))),CkDJ[Credit])))+(SUM(IF((CsDJ[Date]=$A$4)*(CsDJ[Ofc Code]=(TRIM(E$7)))*(CsDJ[Account Code]=(TRIM($D42))),CsDJ[Credit])))+(SUM(IF((CRDJ[Date]=$A$4)*(CRDJ[Ofc Code]=(TRIM(E$7)))*(CRDJ[Account Code]=(TRIM($D42))),CRDJ[Credit])))+(SUM(IF((GJ[Date]=$A$4)*(GJ[Ofc Code]=(TRIM(E$7)))*(GJ[Account Code]=(TRIM($D42))),GJ[Credit])))</f>
        <v>0</v>
      </c>
      <c r="F42" s="211">
        <f t="array" ref="F42">(SUM(IF((CkDJ[Date]=$A$4)*(CkDJ[Ofc Code]=(TRIM(F$7)))*(CkDJ[Account Code]=(TRIM($D42))),CkDJ[Debit])))+(SUM(IF((CsDJ[Date]=$A$4)*(CsDJ[Ofc Code]=(TRIM(F$7)))*(CsDJ[Account Code]=(TRIM($D42))),CsDJ[Debit])))+(SUM(IF((CRDJ[Date]=$A$4)*(CRDJ[Ofc Code]=(TRIM(F$7)))*(CRDJ[Account Code]=(TRIM($D42))),CRDJ[Debit])))+(SUM(IF((GJ[Date]=$A$4)*(GJ[Ofc Code]=(TRIM(F$7)))*(GJ[Account Code]=(TRIM($D42))),GJ[Debit])))-(SUM(IF((CkDJ[Date]=$A$4)*(CkDJ[Ofc Code]=(TRIM(F$7)))*(CkDJ[Account Code]=(TRIM($D42))),CkDJ[Credit])))+(SUM(IF((CsDJ[Date]=$A$4)*(CsDJ[Ofc Code]=(TRIM(F$7)))*(CsDJ[Account Code]=(TRIM($D42))),CsDJ[Credit])))+(SUM(IF((CRDJ[Date]=$A$4)*(CRDJ[Ofc Code]=(TRIM(F$7)))*(CRDJ[Account Code]=(TRIM($D42))),CRDJ[Credit])))+(SUM(IF((GJ[Date]=$A$4)*(GJ[Ofc Code]=(TRIM(F$7)))*(GJ[Account Code]=(TRIM($D42))),GJ[Credit])))</f>
        <v>0</v>
      </c>
      <c r="G42" s="211">
        <f t="array" ref="G42">(SUM(IF((CkDJ[Date]=$A$4)*(CkDJ[Ofc Code]=(TRIM(G$7)))*(CkDJ[Account Code]=(TRIM($D42))),CkDJ[Debit])))+(SUM(IF((CsDJ[Date]=$A$4)*(CsDJ[Ofc Code]=(TRIM(G$7)))*(CsDJ[Account Code]=(TRIM($D42))),CsDJ[Debit])))+(SUM(IF((CRDJ[Date]=$A$4)*(CRDJ[Ofc Code]=(TRIM(G$7)))*(CRDJ[Account Code]=(TRIM($D42))),CRDJ[Debit])))+(SUM(IF((GJ[Date]=$A$4)*(GJ[Ofc Code]=(TRIM(G$7)))*(GJ[Account Code]=(TRIM($D42))),GJ[Debit])))-(SUM(IF((CkDJ[Date]=$A$4)*(CkDJ[Ofc Code]=(TRIM(G$7)))*(CkDJ[Account Code]=(TRIM($D42))),CkDJ[Credit])))+(SUM(IF((CsDJ[Date]=$A$4)*(CsDJ[Ofc Code]=(TRIM(G$7)))*(CsDJ[Account Code]=(TRIM($D42))),CsDJ[Credit])))+(SUM(IF((CRDJ[Date]=$A$4)*(CRDJ[Ofc Code]=(TRIM(G$7)))*(CRDJ[Account Code]=(TRIM($D42))),CRDJ[Credit])))+(SUM(IF((GJ[Date]=$A$4)*(GJ[Ofc Code]=(TRIM(G$7)))*(GJ[Account Code]=(TRIM($D42))),GJ[Credit])))</f>
        <v>0</v>
      </c>
      <c r="H42" s="211">
        <f t="array" ref="H42">(SUM(IF((CkDJ[Date]=$A$4)*(CkDJ[Ofc Code]=(TRIM(H$7)))*(CkDJ[Account Code]=(TRIM($D42))),CkDJ[Debit])))+(SUM(IF((CsDJ[Date]=$A$4)*(CsDJ[Ofc Code]=(TRIM(H$7)))*(CsDJ[Account Code]=(TRIM($D42))),CsDJ[Debit])))+(SUM(IF((CRDJ[Date]=$A$4)*(CRDJ[Ofc Code]=(TRIM(H$7)))*(CRDJ[Account Code]=(TRIM($D42))),CRDJ[Debit])))+(SUM(IF((GJ[Date]=$A$4)*(GJ[Ofc Code]=(TRIM(H$7)))*(GJ[Account Code]=(TRIM($D42))),GJ[Debit])))-(SUM(IF((CkDJ[Date]=$A$4)*(CkDJ[Ofc Code]=(TRIM(H$7)))*(CkDJ[Account Code]=(TRIM($D42))),CkDJ[Credit])))+(SUM(IF((CsDJ[Date]=$A$4)*(CsDJ[Ofc Code]=(TRIM(H$7)))*(CsDJ[Account Code]=(TRIM($D42))),CsDJ[Credit])))+(SUM(IF((CRDJ[Date]=$A$4)*(CRDJ[Ofc Code]=(TRIM(H$7)))*(CRDJ[Account Code]=(TRIM($D42))),CRDJ[Credit])))+(SUM(IF((GJ[Date]=$A$4)*(GJ[Ofc Code]=(TRIM(H$7)))*(GJ[Account Code]=(TRIM($D42))),GJ[Credit])))</f>
        <v>0</v>
      </c>
      <c r="I42" s="211">
        <f t="shared" si="8"/>
        <v>0</v>
      </c>
      <c r="J42" s="211">
        <f t="array" ref="J42">(SUM(IF((CkDJ[Date]=$A$4)*(CkDJ[Ofc Code]=(TRIM(J$7)))*(CkDJ[Account Code]=(TRIM($D42))),CkDJ[Debit])))+(SUM(IF((CsDJ[Date]=$A$4)*(CsDJ[Ofc Code]=(TRIM(J$7)))*(CsDJ[Account Code]=(TRIM($D42))),CsDJ[Debit])))+(SUM(IF((CRDJ[Date]=$A$4)*(CRDJ[Ofc Code]=(TRIM(J$7)))*(CRDJ[Account Code]=(TRIM($D42))),CRDJ[Debit])))+(SUM(IF((GJ[Date]=$A$4)*(GJ[Ofc Code]=(TRIM(J$7)))*(GJ[Account Code]=(TRIM($D42))),GJ[Debit])))-(SUM(IF((CkDJ[Date]=$A$4)*(CkDJ[Ofc Code]=(TRIM(J$7)))*(CkDJ[Account Code]=(TRIM($D42))),CkDJ[Credit])))+(SUM(IF((CsDJ[Date]=$A$4)*(CsDJ[Ofc Code]=(TRIM(J$7)))*(CsDJ[Account Code]=(TRIM($D42))),CsDJ[Credit])))+(SUM(IF((CRDJ[Date]=$A$4)*(CRDJ[Ofc Code]=(TRIM(J$7)))*(CRDJ[Account Code]=(TRIM($D42))),CRDJ[Credit])))+(SUM(IF((GJ[Date]=$A$4)*(GJ[Ofc Code]=(TRIM(J$7)))*(GJ[Account Code]=(TRIM($D42))),GJ[Credit])))</f>
        <v>0</v>
      </c>
      <c r="K42" s="211">
        <f t="array" ref="K42">(SUM(IF((CkDJ[Date]=$A$4)*(CkDJ[Ofc Code]=(TRIM(K$7)))*(CkDJ[Account Code]=(TRIM($D42))),CkDJ[Debit])))+(SUM(IF((CsDJ[Date]=$A$4)*(CsDJ[Ofc Code]=(TRIM(K$7)))*(CsDJ[Account Code]=(TRIM($D42))),CsDJ[Debit])))+(SUM(IF((CRDJ[Date]=$A$4)*(CRDJ[Ofc Code]=(TRIM(K$7)))*(CRDJ[Account Code]=(TRIM($D42))),CRDJ[Debit])))+(SUM(IF((GJ[Date]=$A$4)*(GJ[Ofc Code]=(TRIM(K$7)))*(GJ[Account Code]=(TRIM($D42))),GJ[Debit])))-(SUM(IF((CkDJ[Date]=$A$4)*(CkDJ[Ofc Code]=(TRIM(K$7)))*(CkDJ[Account Code]=(TRIM($D42))),CkDJ[Credit])))+(SUM(IF((CsDJ[Date]=$A$4)*(CsDJ[Ofc Code]=(TRIM(K$7)))*(CsDJ[Account Code]=(TRIM($D42))),CsDJ[Credit])))+(SUM(IF((CRDJ[Date]=$A$4)*(CRDJ[Ofc Code]=(TRIM(K$7)))*(CRDJ[Account Code]=(TRIM($D42))),CRDJ[Credit])))+(SUM(IF((GJ[Date]=$A$4)*(GJ[Ofc Code]=(TRIM(K$7)))*(GJ[Account Code]=(TRIM($D42))),GJ[Credit])))</f>
        <v>0</v>
      </c>
      <c r="L42" s="211">
        <f t="array" ref="L42">(SUM(IF((CkDJ[Date]=$A$4)*(CkDJ[Ofc Code]=(TRIM(L$7)))*(CkDJ[Account Code]=(TRIM($D42))),CkDJ[Debit])))+(SUM(IF((CsDJ[Date]=$A$4)*(CsDJ[Ofc Code]=(TRIM(L$7)))*(CsDJ[Account Code]=(TRIM($D42))),CsDJ[Debit])))+(SUM(IF((CRDJ[Date]=$A$4)*(CRDJ[Ofc Code]=(TRIM(L$7)))*(CRDJ[Account Code]=(TRIM($D42))),CRDJ[Debit])))+(SUM(IF((GJ[Date]=$A$4)*(GJ[Ofc Code]=(TRIM(L$7)))*(GJ[Account Code]=(TRIM($D42))),GJ[Debit])))-(SUM(IF((CkDJ[Date]=$A$4)*(CkDJ[Ofc Code]=(TRIM(L$7)))*(CkDJ[Account Code]=(TRIM($D42))),CkDJ[Credit])))+(SUM(IF((CsDJ[Date]=$A$4)*(CsDJ[Ofc Code]=(TRIM(L$7)))*(CsDJ[Account Code]=(TRIM($D42))),CsDJ[Credit])))+(SUM(IF((CRDJ[Date]=$A$4)*(CRDJ[Ofc Code]=(TRIM(L$7)))*(CRDJ[Account Code]=(TRIM($D42))),CRDJ[Credit])))+(SUM(IF((GJ[Date]=$A$4)*(GJ[Ofc Code]=(TRIM(L$7)))*(GJ[Account Code]=(TRIM($D42))),GJ[Credit])))</f>
        <v>0</v>
      </c>
      <c r="M42" s="211">
        <f t="array" ref="M42">(SUM(IF((CkDJ[Date]=$A$4)*(CkDJ[Ofc Code]=(TRIM(M$7)))*(CkDJ[Account Code]=(TRIM($D42))),CkDJ[Debit])))+(SUM(IF((CsDJ[Date]=$A$4)*(CsDJ[Ofc Code]=(TRIM(M$7)))*(CsDJ[Account Code]=(TRIM($D42))),CsDJ[Debit])))+(SUM(IF((CRDJ[Date]=$A$4)*(CRDJ[Ofc Code]=(TRIM(M$7)))*(CRDJ[Account Code]=(TRIM($D42))),CRDJ[Debit])))+(SUM(IF((GJ[Date]=$A$4)*(GJ[Ofc Code]=(TRIM(M$7)))*(GJ[Account Code]=(TRIM($D42))),GJ[Debit])))-(SUM(IF((CkDJ[Date]=$A$4)*(CkDJ[Ofc Code]=(TRIM(M$7)))*(CkDJ[Account Code]=(TRIM($D42))),CkDJ[Credit])))+(SUM(IF((CsDJ[Date]=$A$4)*(CsDJ[Ofc Code]=(TRIM(M$7)))*(CsDJ[Account Code]=(TRIM($D42))),CsDJ[Credit])))+(SUM(IF((CRDJ[Date]=$A$4)*(CRDJ[Ofc Code]=(TRIM(M$7)))*(CRDJ[Account Code]=(TRIM($D42))),CRDJ[Credit])))+(SUM(IF((GJ[Date]=$A$4)*(GJ[Ofc Code]=(TRIM(M$7)))*(GJ[Account Code]=(TRIM($D42))),GJ[Credit])))</f>
        <v>0</v>
      </c>
      <c r="N42" s="211">
        <f t="shared" si="9"/>
        <v>0</v>
      </c>
      <c r="O42" s="211">
        <f t="array" ref="O42">(SUM(IF((CkDJ[Date]=$A$4)*(CkDJ[Ofc Code]=(TRIM(O$7)))*(CkDJ[Account Code]=(TRIM($D42))),CkDJ[Debit])))+(SUM(IF((CsDJ[Date]=$A$4)*(CsDJ[Ofc Code]=(TRIM(O$7)))*(CsDJ[Account Code]=(TRIM($D42))),CsDJ[Debit])))+(SUM(IF((CRDJ[Date]=$A$4)*(CRDJ[Ofc Code]=(TRIM(O$7)))*(CRDJ[Account Code]=(TRIM($D42))),CRDJ[Debit])))+(SUM(IF((GJ[Date]=$A$4)*(GJ[Ofc Code]=(TRIM(O$7)))*(GJ[Account Code]=(TRIM($D42))),GJ[Debit])))-(SUM(IF((CkDJ[Date]=$A$4)*(CkDJ[Ofc Code]=(TRIM(O$7)))*(CkDJ[Account Code]=(TRIM($D42))),CkDJ[Credit])))+(SUM(IF((CsDJ[Date]=$A$4)*(CsDJ[Ofc Code]=(TRIM(O$7)))*(CsDJ[Account Code]=(TRIM($D42))),CsDJ[Credit])))+(SUM(IF((CRDJ[Date]=$A$4)*(CRDJ[Ofc Code]=(TRIM(O$7)))*(CRDJ[Account Code]=(TRIM($D42))),CRDJ[Credit])))+(SUM(IF((GJ[Date]=$A$4)*(GJ[Ofc Code]=(TRIM(O$7)))*(GJ[Account Code]=(TRIM($D42))),GJ[Credit])))</f>
        <v>0</v>
      </c>
      <c r="P42" s="211">
        <f t="array" ref="P42">(SUM(IF((CkDJ[Date]=$A$4)*(CkDJ[Ofc Code]=(TRIM(P$7)))*(CkDJ[Account Code]=(TRIM($D42))),CkDJ[Debit])))+(SUM(IF((CsDJ[Date]=$A$4)*(CsDJ[Ofc Code]=(TRIM(P$7)))*(CsDJ[Account Code]=(TRIM($D42))),CsDJ[Debit])))+(SUM(IF((CRDJ[Date]=$A$4)*(CRDJ[Ofc Code]=(TRIM(P$7)))*(CRDJ[Account Code]=(TRIM($D42))),CRDJ[Debit])))+(SUM(IF((GJ[Date]=$A$4)*(GJ[Ofc Code]=(TRIM(P$7)))*(GJ[Account Code]=(TRIM($D42))),GJ[Debit])))-(SUM(IF((CkDJ[Date]=$A$4)*(CkDJ[Ofc Code]=(TRIM(P$7)))*(CkDJ[Account Code]=(TRIM($D42))),CkDJ[Credit])))+(SUM(IF((CsDJ[Date]=$A$4)*(CsDJ[Ofc Code]=(TRIM(P$7)))*(CsDJ[Account Code]=(TRIM($D42))),CsDJ[Credit])))+(SUM(IF((CRDJ[Date]=$A$4)*(CRDJ[Ofc Code]=(TRIM(P$7)))*(CRDJ[Account Code]=(TRIM($D42))),CRDJ[Credit])))+(SUM(IF((GJ[Date]=$A$4)*(GJ[Ofc Code]=(TRIM(P$7)))*(GJ[Account Code]=(TRIM($D42))),GJ[Credit])))</f>
        <v>0</v>
      </c>
      <c r="Q42" s="211">
        <f t="array" ref="Q42">(SUM(IF((CkDJ[Date]=$A$4)*(CkDJ[Ofc Code]=(TRIM(Q$7)))*(CkDJ[Account Code]=(TRIM($D42))),CkDJ[Debit])))+(SUM(IF((CsDJ[Date]=$A$4)*(CsDJ[Ofc Code]=(TRIM(Q$7)))*(CsDJ[Account Code]=(TRIM($D42))),CsDJ[Debit])))+(SUM(IF((CRDJ[Date]=$A$4)*(CRDJ[Ofc Code]=(TRIM(Q$7)))*(CRDJ[Account Code]=(TRIM($D42))),CRDJ[Debit])))+(SUM(IF((GJ[Date]=$A$4)*(GJ[Ofc Code]=(TRIM(Q$7)))*(GJ[Account Code]=(TRIM($D42))),GJ[Debit])))-(SUM(IF((CkDJ[Date]=$A$4)*(CkDJ[Ofc Code]=(TRIM(Q$7)))*(CkDJ[Account Code]=(TRIM($D42))),CkDJ[Credit])))+(SUM(IF((CsDJ[Date]=$A$4)*(CsDJ[Ofc Code]=(TRIM(Q$7)))*(CsDJ[Account Code]=(TRIM($D42))),CsDJ[Credit])))+(SUM(IF((CRDJ[Date]=$A$4)*(CRDJ[Ofc Code]=(TRIM(Q$7)))*(CRDJ[Account Code]=(TRIM($D42))),CRDJ[Credit])))+(SUM(IF((GJ[Date]=$A$4)*(GJ[Ofc Code]=(TRIM(Q$7)))*(GJ[Account Code]=(TRIM($D42))),GJ[Credit])))</f>
        <v>0</v>
      </c>
      <c r="R42" s="211">
        <f t="array" ref="R42">(SUM(IF((CkDJ[Date]=$A$4)*(CkDJ[Ofc Code]=(TRIM(R$7)))*(CkDJ[Account Code]=(TRIM($D42))),CkDJ[Debit])))+(SUM(IF((CsDJ[Date]=$A$4)*(CsDJ[Ofc Code]=(TRIM(R$7)))*(CsDJ[Account Code]=(TRIM($D42))),CsDJ[Debit])))+(SUM(IF((CRDJ[Date]=$A$4)*(CRDJ[Ofc Code]=(TRIM(R$7)))*(CRDJ[Account Code]=(TRIM($D42))),CRDJ[Debit])))+(SUM(IF((GJ[Date]=$A$4)*(GJ[Ofc Code]=(TRIM(R$7)))*(GJ[Account Code]=(TRIM($D42))),GJ[Debit])))-(SUM(IF((CkDJ[Date]=$A$4)*(CkDJ[Ofc Code]=(TRIM(R$7)))*(CkDJ[Account Code]=(TRIM($D42))),CkDJ[Credit])))+(SUM(IF((CsDJ[Date]=$A$4)*(CsDJ[Ofc Code]=(TRIM(R$7)))*(CsDJ[Account Code]=(TRIM($D42))),CsDJ[Credit])))+(SUM(IF((CRDJ[Date]=$A$4)*(CRDJ[Ofc Code]=(TRIM(R$7)))*(CRDJ[Account Code]=(TRIM($D42))),CRDJ[Credit])))+(SUM(IF((GJ[Date]=$A$4)*(GJ[Ofc Code]=(TRIM(R$7)))*(GJ[Account Code]=(TRIM($D42))),GJ[Credit])))</f>
        <v>0</v>
      </c>
      <c r="S42" s="211">
        <f t="array" ref="S42">(SUM(IF((CkDJ[Date]=$A$4)*(CkDJ[Ofc Code]=(TRIM(S$7)))*(CkDJ[Account Code]=(TRIM($D42))),CkDJ[Debit])))+(SUM(IF((CsDJ[Date]=$A$4)*(CsDJ[Ofc Code]=(TRIM(S$7)))*(CsDJ[Account Code]=(TRIM($D42))),CsDJ[Debit])))+(SUM(IF((CRDJ[Date]=$A$4)*(CRDJ[Ofc Code]=(TRIM(S$7)))*(CRDJ[Account Code]=(TRIM($D42))),CRDJ[Debit])))+(SUM(IF((GJ[Date]=$A$4)*(GJ[Ofc Code]=(TRIM(S$7)))*(GJ[Account Code]=(TRIM($D42))),GJ[Debit])))-(SUM(IF((CkDJ[Date]=$A$4)*(CkDJ[Ofc Code]=(TRIM(S$7)))*(CkDJ[Account Code]=(TRIM($D42))),CkDJ[Credit])))+(SUM(IF((CsDJ[Date]=$A$4)*(CsDJ[Ofc Code]=(TRIM(S$7)))*(CsDJ[Account Code]=(TRIM($D42))),CsDJ[Credit])))+(SUM(IF((CRDJ[Date]=$A$4)*(CRDJ[Ofc Code]=(TRIM(S$7)))*(CRDJ[Account Code]=(TRIM($D42))),CRDJ[Credit])))+(SUM(IF((GJ[Date]=$A$4)*(GJ[Ofc Code]=(TRIM(S$7)))*(GJ[Account Code]=(TRIM($D42))),GJ[Credit])))</f>
        <v>0</v>
      </c>
      <c r="T42" s="211">
        <f t="shared" si="10"/>
        <v>0</v>
      </c>
      <c r="U42" s="211">
        <f t="shared" si="11"/>
        <v>0</v>
      </c>
    </row>
    <row r="43" spans="1:21" ht="15">
      <c r="A43" s="212">
        <f t="shared" si="12"/>
        <v>10</v>
      </c>
      <c r="B43" s="214" t="s">
        <v>756</v>
      </c>
      <c r="C43" s="194" t="str">
        <f t="shared" si="7"/>
        <v>Other Bonuses and Allowances - Children Allowance</v>
      </c>
      <c r="D43" s="215" t="s">
        <v>7</v>
      </c>
      <c r="E43" s="211">
        <f t="array" ref="E43">(SUM(IF((CkDJ[Date]=$A$4)*(CkDJ[Ofc Code]=(TRIM(E$7)))*(CkDJ[Account Code]=(TRIM($D43))),CkDJ[Debit])))+(SUM(IF((CsDJ[Date]=$A$4)*(CsDJ[Ofc Code]=(TRIM(E$7)))*(CsDJ[Account Code]=(TRIM($D43))),CsDJ[Debit])))+(SUM(IF((CRDJ[Date]=$A$4)*(CRDJ[Ofc Code]=(TRIM(E$7)))*(CRDJ[Account Code]=(TRIM($D43))),CRDJ[Debit])))+(SUM(IF((GJ[Date]=$A$4)*(GJ[Ofc Code]=(TRIM(E$7)))*(GJ[Account Code]=(TRIM($D43))),GJ[Debit])))-(SUM(IF((CkDJ[Date]=$A$4)*(CkDJ[Ofc Code]=(TRIM(E$7)))*(CkDJ[Account Code]=(TRIM($D43))),CkDJ[Credit])))+(SUM(IF((CsDJ[Date]=$A$4)*(CsDJ[Ofc Code]=(TRIM(E$7)))*(CsDJ[Account Code]=(TRIM($D43))),CsDJ[Credit])))+(SUM(IF((CRDJ[Date]=$A$4)*(CRDJ[Ofc Code]=(TRIM(E$7)))*(CRDJ[Account Code]=(TRIM($D43))),CRDJ[Credit])))+(SUM(IF((GJ[Date]=$A$4)*(GJ[Ofc Code]=(TRIM(E$7)))*(GJ[Account Code]=(TRIM($D43))),GJ[Credit])))</f>
        <v>0</v>
      </c>
      <c r="F43" s="211">
        <f t="array" ref="F43">(SUM(IF((CkDJ[Date]=$A$4)*(CkDJ[Ofc Code]=(TRIM(F$7)))*(CkDJ[Account Code]=(TRIM($D43))),CkDJ[Debit])))+(SUM(IF((CsDJ[Date]=$A$4)*(CsDJ[Ofc Code]=(TRIM(F$7)))*(CsDJ[Account Code]=(TRIM($D43))),CsDJ[Debit])))+(SUM(IF((CRDJ[Date]=$A$4)*(CRDJ[Ofc Code]=(TRIM(F$7)))*(CRDJ[Account Code]=(TRIM($D43))),CRDJ[Debit])))+(SUM(IF((GJ[Date]=$A$4)*(GJ[Ofc Code]=(TRIM(F$7)))*(GJ[Account Code]=(TRIM($D43))),GJ[Debit])))-(SUM(IF((CkDJ[Date]=$A$4)*(CkDJ[Ofc Code]=(TRIM(F$7)))*(CkDJ[Account Code]=(TRIM($D43))),CkDJ[Credit])))+(SUM(IF((CsDJ[Date]=$A$4)*(CsDJ[Ofc Code]=(TRIM(F$7)))*(CsDJ[Account Code]=(TRIM($D43))),CsDJ[Credit])))+(SUM(IF((CRDJ[Date]=$A$4)*(CRDJ[Ofc Code]=(TRIM(F$7)))*(CRDJ[Account Code]=(TRIM($D43))),CRDJ[Credit])))+(SUM(IF((GJ[Date]=$A$4)*(GJ[Ofc Code]=(TRIM(F$7)))*(GJ[Account Code]=(TRIM($D43))),GJ[Credit])))</f>
        <v>0</v>
      </c>
      <c r="G43" s="211">
        <f t="array" ref="G43">(SUM(IF((CkDJ[Date]=$A$4)*(CkDJ[Ofc Code]=(TRIM(G$7)))*(CkDJ[Account Code]=(TRIM($D43))),CkDJ[Debit])))+(SUM(IF((CsDJ[Date]=$A$4)*(CsDJ[Ofc Code]=(TRIM(G$7)))*(CsDJ[Account Code]=(TRIM($D43))),CsDJ[Debit])))+(SUM(IF((CRDJ[Date]=$A$4)*(CRDJ[Ofc Code]=(TRIM(G$7)))*(CRDJ[Account Code]=(TRIM($D43))),CRDJ[Debit])))+(SUM(IF((GJ[Date]=$A$4)*(GJ[Ofc Code]=(TRIM(G$7)))*(GJ[Account Code]=(TRIM($D43))),GJ[Debit])))-(SUM(IF((CkDJ[Date]=$A$4)*(CkDJ[Ofc Code]=(TRIM(G$7)))*(CkDJ[Account Code]=(TRIM($D43))),CkDJ[Credit])))+(SUM(IF((CsDJ[Date]=$A$4)*(CsDJ[Ofc Code]=(TRIM(G$7)))*(CsDJ[Account Code]=(TRIM($D43))),CsDJ[Credit])))+(SUM(IF((CRDJ[Date]=$A$4)*(CRDJ[Ofc Code]=(TRIM(G$7)))*(CRDJ[Account Code]=(TRIM($D43))),CRDJ[Credit])))+(SUM(IF((GJ[Date]=$A$4)*(GJ[Ofc Code]=(TRIM(G$7)))*(GJ[Account Code]=(TRIM($D43))),GJ[Credit])))</f>
        <v>0</v>
      </c>
      <c r="H43" s="211">
        <f t="array" ref="H43">(SUM(IF((CkDJ[Date]=$A$4)*(CkDJ[Ofc Code]=(TRIM(H$7)))*(CkDJ[Account Code]=(TRIM($D43))),CkDJ[Debit])))+(SUM(IF((CsDJ[Date]=$A$4)*(CsDJ[Ofc Code]=(TRIM(H$7)))*(CsDJ[Account Code]=(TRIM($D43))),CsDJ[Debit])))+(SUM(IF((CRDJ[Date]=$A$4)*(CRDJ[Ofc Code]=(TRIM(H$7)))*(CRDJ[Account Code]=(TRIM($D43))),CRDJ[Debit])))+(SUM(IF((GJ[Date]=$A$4)*(GJ[Ofc Code]=(TRIM(H$7)))*(GJ[Account Code]=(TRIM($D43))),GJ[Debit])))-(SUM(IF((CkDJ[Date]=$A$4)*(CkDJ[Ofc Code]=(TRIM(H$7)))*(CkDJ[Account Code]=(TRIM($D43))),CkDJ[Credit])))+(SUM(IF((CsDJ[Date]=$A$4)*(CsDJ[Ofc Code]=(TRIM(H$7)))*(CsDJ[Account Code]=(TRIM($D43))),CsDJ[Credit])))+(SUM(IF((CRDJ[Date]=$A$4)*(CRDJ[Ofc Code]=(TRIM(H$7)))*(CRDJ[Account Code]=(TRIM($D43))),CRDJ[Credit])))+(SUM(IF((GJ[Date]=$A$4)*(GJ[Ofc Code]=(TRIM(H$7)))*(GJ[Account Code]=(TRIM($D43))),GJ[Credit])))</f>
        <v>0</v>
      </c>
      <c r="I43" s="211">
        <f t="shared" si="8"/>
        <v>0</v>
      </c>
      <c r="J43" s="211">
        <f t="array" ref="J43">(SUM(IF((CkDJ[Date]=$A$4)*(CkDJ[Ofc Code]=(TRIM(J$7)))*(CkDJ[Account Code]=(TRIM($D43))),CkDJ[Debit])))+(SUM(IF((CsDJ[Date]=$A$4)*(CsDJ[Ofc Code]=(TRIM(J$7)))*(CsDJ[Account Code]=(TRIM($D43))),CsDJ[Debit])))+(SUM(IF((CRDJ[Date]=$A$4)*(CRDJ[Ofc Code]=(TRIM(J$7)))*(CRDJ[Account Code]=(TRIM($D43))),CRDJ[Debit])))+(SUM(IF((GJ[Date]=$A$4)*(GJ[Ofc Code]=(TRIM(J$7)))*(GJ[Account Code]=(TRIM($D43))),GJ[Debit])))-(SUM(IF((CkDJ[Date]=$A$4)*(CkDJ[Ofc Code]=(TRIM(J$7)))*(CkDJ[Account Code]=(TRIM($D43))),CkDJ[Credit])))+(SUM(IF((CsDJ[Date]=$A$4)*(CsDJ[Ofc Code]=(TRIM(J$7)))*(CsDJ[Account Code]=(TRIM($D43))),CsDJ[Credit])))+(SUM(IF((CRDJ[Date]=$A$4)*(CRDJ[Ofc Code]=(TRIM(J$7)))*(CRDJ[Account Code]=(TRIM($D43))),CRDJ[Credit])))+(SUM(IF((GJ[Date]=$A$4)*(GJ[Ofc Code]=(TRIM(J$7)))*(GJ[Account Code]=(TRIM($D43))),GJ[Credit])))</f>
        <v>0</v>
      </c>
      <c r="K43" s="211">
        <f t="array" ref="K43">(SUM(IF((CkDJ[Date]=$A$4)*(CkDJ[Ofc Code]=(TRIM(K$7)))*(CkDJ[Account Code]=(TRIM($D43))),CkDJ[Debit])))+(SUM(IF((CsDJ[Date]=$A$4)*(CsDJ[Ofc Code]=(TRIM(K$7)))*(CsDJ[Account Code]=(TRIM($D43))),CsDJ[Debit])))+(SUM(IF((CRDJ[Date]=$A$4)*(CRDJ[Ofc Code]=(TRIM(K$7)))*(CRDJ[Account Code]=(TRIM($D43))),CRDJ[Debit])))+(SUM(IF((GJ[Date]=$A$4)*(GJ[Ofc Code]=(TRIM(K$7)))*(GJ[Account Code]=(TRIM($D43))),GJ[Debit])))-(SUM(IF((CkDJ[Date]=$A$4)*(CkDJ[Ofc Code]=(TRIM(K$7)))*(CkDJ[Account Code]=(TRIM($D43))),CkDJ[Credit])))+(SUM(IF((CsDJ[Date]=$A$4)*(CsDJ[Ofc Code]=(TRIM(K$7)))*(CsDJ[Account Code]=(TRIM($D43))),CsDJ[Credit])))+(SUM(IF((CRDJ[Date]=$A$4)*(CRDJ[Ofc Code]=(TRIM(K$7)))*(CRDJ[Account Code]=(TRIM($D43))),CRDJ[Credit])))+(SUM(IF((GJ[Date]=$A$4)*(GJ[Ofc Code]=(TRIM(K$7)))*(GJ[Account Code]=(TRIM($D43))),GJ[Credit])))</f>
        <v>0</v>
      </c>
      <c r="L43" s="211">
        <f t="array" ref="L43">(SUM(IF((CkDJ[Date]=$A$4)*(CkDJ[Ofc Code]=(TRIM(L$7)))*(CkDJ[Account Code]=(TRIM($D43))),CkDJ[Debit])))+(SUM(IF((CsDJ[Date]=$A$4)*(CsDJ[Ofc Code]=(TRIM(L$7)))*(CsDJ[Account Code]=(TRIM($D43))),CsDJ[Debit])))+(SUM(IF((CRDJ[Date]=$A$4)*(CRDJ[Ofc Code]=(TRIM(L$7)))*(CRDJ[Account Code]=(TRIM($D43))),CRDJ[Debit])))+(SUM(IF((GJ[Date]=$A$4)*(GJ[Ofc Code]=(TRIM(L$7)))*(GJ[Account Code]=(TRIM($D43))),GJ[Debit])))-(SUM(IF((CkDJ[Date]=$A$4)*(CkDJ[Ofc Code]=(TRIM(L$7)))*(CkDJ[Account Code]=(TRIM($D43))),CkDJ[Credit])))+(SUM(IF((CsDJ[Date]=$A$4)*(CsDJ[Ofc Code]=(TRIM(L$7)))*(CsDJ[Account Code]=(TRIM($D43))),CsDJ[Credit])))+(SUM(IF((CRDJ[Date]=$A$4)*(CRDJ[Ofc Code]=(TRIM(L$7)))*(CRDJ[Account Code]=(TRIM($D43))),CRDJ[Credit])))+(SUM(IF((GJ[Date]=$A$4)*(GJ[Ofc Code]=(TRIM(L$7)))*(GJ[Account Code]=(TRIM($D43))),GJ[Credit])))</f>
        <v>0</v>
      </c>
      <c r="M43" s="211">
        <f t="array" ref="M43">(SUM(IF((CkDJ[Date]=$A$4)*(CkDJ[Ofc Code]=(TRIM(M$7)))*(CkDJ[Account Code]=(TRIM($D43))),CkDJ[Debit])))+(SUM(IF((CsDJ[Date]=$A$4)*(CsDJ[Ofc Code]=(TRIM(M$7)))*(CsDJ[Account Code]=(TRIM($D43))),CsDJ[Debit])))+(SUM(IF((CRDJ[Date]=$A$4)*(CRDJ[Ofc Code]=(TRIM(M$7)))*(CRDJ[Account Code]=(TRIM($D43))),CRDJ[Debit])))+(SUM(IF((GJ[Date]=$A$4)*(GJ[Ofc Code]=(TRIM(M$7)))*(GJ[Account Code]=(TRIM($D43))),GJ[Debit])))-(SUM(IF((CkDJ[Date]=$A$4)*(CkDJ[Ofc Code]=(TRIM(M$7)))*(CkDJ[Account Code]=(TRIM($D43))),CkDJ[Credit])))+(SUM(IF((CsDJ[Date]=$A$4)*(CsDJ[Ofc Code]=(TRIM(M$7)))*(CsDJ[Account Code]=(TRIM($D43))),CsDJ[Credit])))+(SUM(IF((CRDJ[Date]=$A$4)*(CRDJ[Ofc Code]=(TRIM(M$7)))*(CRDJ[Account Code]=(TRIM($D43))),CRDJ[Credit])))+(SUM(IF((GJ[Date]=$A$4)*(GJ[Ofc Code]=(TRIM(M$7)))*(GJ[Account Code]=(TRIM($D43))),GJ[Credit])))</f>
        <v>0</v>
      </c>
      <c r="N43" s="211">
        <f t="shared" si="9"/>
        <v>0</v>
      </c>
      <c r="O43" s="211">
        <f t="array" ref="O43">(SUM(IF((CkDJ[Date]=$A$4)*(CkDJ[Ofc Code]=(TRIM(O$7)))*(CkDJ[Account Code]=(TRIM($D43))),CkDJ[Debit])))+(SUM(IF((CsDJ[Date]=$A$4)*(CsDJ[Ofc Code]=(TRIM(O$7)))*(CsDJ[Account Code]=(TRIM($D43))),CsDJ[Debit])))+(SUM(IF((CRDJ[Date]=$A$4)*(CRDJ[Ofc Code]=(TRIM(O$7)))*(CRDJ[Account Code]=(TRIM($D43))),CRDJ[Debit])))+(SUM(IF((GJ[Date]=$A$4)*(GJ[Ofc Code]=(TRIM(O$7)))*(GJ[Account Code]=(TRIM($D43))),GJ[Debit])))-(SUM(IF((CkDJ[Date]=$A$4)*(CkDJ[Ofc Code]=(TRIM(O$7)))*(CkDJ[Account Code]=(TRIM($D43))),CkDJ[Credit])))+(SUM(IF((CsDJ[Date]=$A$4)*(CsDJ[Ofc Code]=(TRIM(O$7)))*(CsDJ[Account Code]=(TRIM($D43))),CsDJ[Credit])))+(SUM(IF((CRDJ[Date]=$A$4)*(CRDJ[Ofc Code]=(TRIM(O$7)))*(CRDJ[Account Code]=(TRIM($D43))),CRDJ[Credit])))+(SUM(IF((GJ[Date]=$A$4)*(GJ[Ofc Code]=(TRIM(O$7)))*(GJ[Account Code]=(TRIM($D43))),GJ[Credit])))</f>
        <v>0</v>
      </c>
      <c r="P43" s="211">
        <f t="array" ref="P43">(SUM(IF((CkDJ[Date]=$A$4)*(CkDJ[Ofc Code]=(TRIM(P$7)))*(CkDJ[Account Code]=(TRIM($D43))),CkDJ[Debit])))+(SUM(IF((CsDJ[Date]=$A$4)*(CsDJ[Ofc Code]=(TRIM(P$7)))*(CsDJ[Account Code]=(TRIM($D43))),CsDJ[Debit])))+(SUM(IF((CRDJ[Date]=$A$4)*(CRDJ[Ofc Code]=(TRIM(P$7)))*(CRDJ[Account Code]=(TRIM($D43))),CRDJ[Debit])))+(SUM(IF((GJ[Date]=$A$4)*(GJ[Ofc Code]=(TRIM(P$7)))*(GJ[Account Code]=(TRIM($D43))),GJ[Debit])))-(SUM(IF((CkDJ[Date]=$A$4)*(CkDJ[Ofc Code]=(TRIM(P$7)))*(CkDJ[Account Code]=(TRIM($D43))),CkDJ[Credit])))+(SUM(IF((CsDJ[Date]=$A$4)*(CsDJ[Ofc Code]=(TRIM(P$7)))*(CsDJ[Account Code]=(TRIM($D43))),CsDJ[Credit])))+(SUM(IF((CRDJ[Date]=$A$4)*(CRDJ[Ofc Code]=(TRIM(P$7)))*(CRDJ[Account Code]=(TRIM($D43))),CRDJ[Credit])))+(SUM(IF((GJ[Date]=$A$4)*(GJ[Ofc Code]=(TRIM(P$7)))*(GJ[Account Code]=(TRIM($D43))),GJ[Credit])))</f>
        <v>0</v>
      </c>
      <c r="Q43" s="211">
        <f t="array" ref="Q43">(SUM(IF((CkDJ[Date]=$A$4)*(CkDJ[Ofc Code]=(TRIM(Q$7)))*(CkDJ[Account Code]=(TRIM($D43))),CkDJ[Debit])))+(SUM(IF((CsDJ[Date]=$A$4)*(CsDJ[Ofc Code]=(TRIM(Q$7)))*(CsDJ[Account Code]=(TRIM($D43))),CsDJ[Debit])))+(SUM(IF((CRDJ[Date]=$A$4)*(CRDJ[Ofc Code]=(TRIM(Q$7)))*(CRDJ[Account Code]=(TRIM($D43))),CRDJ[Debit])))+(SUM(IF((GJ[Date]=$A$4)*(GJ[Ofc Code]=(TRIM(Q$7)))*(GJ[Account Code]=(TRIM($D43))),GJ[Debit])))-(SUM(IF((CkDJ[Date]=$A$4)*(CkDJ[Ofc Code]=(TRIM(Q$7)))*(CkDJ[Account Code]=(TRIM($D43))),CkDJ[Credit])))+(SUM(IF((CsDJ[Date]=$A$4)*(CsDJ[Ofc Code]=(TRIM(Q$7)))*(CsDJ[Account Code]=(TRIM($D43))),CsDJ[Credit])))+(SUM(IF((CRDJ[Date]=$A$4)*(CRDJ[Ofc Code]=(TRIM(Q$7)))*(CRDJ[Account Code]=(TRIM($D43))),CRDJ[Credit])))+(SUM(IF((GJ[Date]=$A$4)*(GJ[Ofc Code]=(TRIM(Q$7)))*(GJ[Account Code]=(TRIM($D43))),GJ[Credit])))</f>
        <v>0</v>
      </c>
      <c r="R43" s="211">
        <f t="array" ref="R43">(SUM(IF((CkDJ[Date]=$A$4)*(CkDJ[Ofc Code]=(TRIM(R$7)))*(CkDJ[Account Code]=(TRIM($D43))),CkDJ[Debit])))+(SUM(IF((CsDJ[Date]=$A$4)*(CsDJ[Ofc Code]=(TRIM(R$7)))*(CsDJ[Account Code]=(TRIM($D43))),CsDJ[Debit])))+(SUM(IF((CRDJ[Date]=$A$4)*(CRDJ[Ofc Code]=(TRIM(R$7)))*(CRDJ[Account Code]=(TRIM($D43))),CRDJ[Debit])))+(SUM(IF((GJ[Date]=$A$4)*(GJ[Ofc Code]=(TRIM(R$7)))*(GJ[Account Code]=(TRIM($D43))),GJ[Debit])))-(SUM(IF((CkDJ[Date]=$A$4)*(CkDJ[Ofc Code]=(TRIM(R$7)))*(CkDJ[Account Code]=(TRIM($D43))),CkDJ[Credit])))+(SUM(IF((CsDJ[Date]=$A$4)*(CsDJ[Ofc Code]=(TRIM(R$7)))*(CsDJ[Account Code]=(TRIM($D43))),CsDJ[Credit])))+(SUM(IF((CRDJ[Date]=$A$4)*(CRDJ[Ofc Code]=(TRIM(R$7)))*(CRDJ[Account Code]=(TRIM($D43))),CRDJ[Credit])))+(SUM(IF((GJ[Date]=$A$4)*(GJ[Ofc Code]=(TRIM(R$7)))*(GJ[Account Code]=(TRIM($D43))),GJ[Credit])))</f>
        <v>0</v>
      </c>
      <c r="S43" s="211">
        <f t="array" ref="S43">(SUM(IF((CkDJ[Date]=$A$4)*(CkDJ[Ofc Code]=(TRIM(S$7)))*(CkDJ[Account Code]=(TRIM($D43))),CkDJ[Debit])))+(SUM(IF((CsDJ[Date]=$A$4)*(CsDJ[Ofc Code]=(TRIM(S$7)))*(CsDJ[Account Code]=(TRIM($D43))),CsDJ[Debit])))+(SUM(IF((CRDJ[Date]=$A$4)*(CRDJ[Ofc Code]=(TRIM(S$7)))*(CRDJ[Account Code]=(TRIM($D43))),CRDJ[Debit])))+(SUM(IF((GJ[Date]=$A$4)*(GJ[Ofc Code]=(TRIM(S$7)))*(GJ[Account Code]=(TRIM($D43))),GJ[Debit])))-(SUM(IF((CkDJ[Date]=$A$4)*(CkDJ[Ofc Code]=(TRIM(S$7)))*(CkDJ[Account Code]=(TRIM($D43))),CkDJ[Credit])))+(SUM(IF((CsDJ[Date]=$A$4)*(CsDJ[Ofc Code]=(TRIM(S$7)))*(CsDJ[Account Code]=(TRIM($D43))),CsDJ[Credit])))+(SUM(IF((CRDJ[Date]=$A$4)*(CRDJ[Ofc Code]=(TRIM(S$7)))*(CRDJ[Account Code]=(TRIM($D43))),CRDJ[Credit])))+(SUM(IF((GJ[Date]=$A$4)*(GJ[Ofc Code]=(TRIM(S$7)))*(GJ[Account Code]=(TRIM($D43))),GJ[Credit])))</f>
        <v>0</v>
      </c>
      <c r="T43" s="211">
        <f t="shared" si="10"/>
        <v>0</v>
      </c>
      <c r="U43" s="211">
        <f t="shared" si="11"/>
        <v>0</v>
      </c>
    </row>
    <row r="44" spans="1:21" ht="15">
      <c r="A44" s="212">
        <f t="shared" si="12"/>
        <v>11</v>
      </c>
      <c r="B44" s="214" t="s">
        <v>756</v>
      </c>
      <c r="C44" s="194" t="str">
        <f t="shared" si="7"/>
        <v>Other Bonuses and Allowances - Collective Negotiation Agreement Incentive-Civilian</v>
      </c>
      <c r="D44" s="215" t="s">
        <v>168</v>
      </c>
      <c r="E44" s="211">
        <f t="array" ref="E44">(SUM(IF((CkDJ[Date]=$A$4)*(CkDJ[Ofc Code]=(TRIM(E$7)))*(CkDJ[Account Code]=(TRIM($D44))),CkDJ[Debit])))+(SUM(IF((CsDJ[Date]=$A$4)*(CsDJ[Ofc Code]=(TRIM(E$7)))*(CsDJ[Account Code]=(TRIM($D44))),CsDJ[Debit])))+(SUM(IF((CRDJ[Date]=$A$4)*(CRDJ[Ofc Code]=(TRIM(E$7)))*(CRDJ[Account Code]=(TRIM($D44))),CRDJ[Debit])))+(SUM(IF((GJ[Date]=$A$4)*(GJ[Ofc Code]=(TRIM(E$7)))*(GJ[Account Code]=(TRIM($D44))),GJ[Debit])))-(SUM(IF((CkDJ[Date]=$A$4)*(CkDJ[Ofc Code]=(TRIM(E$7)))*(CkDJ[Account Code]=(TRIM($D44))),CkDJ[Credit])))+(SUM(IF((CsDJ[Date]=$A$4)*(CsDJ[Ofc Code]=(TRIM(E$7)))*(CsDJ[Account Code]=(TRIM($D44))),CsDJ[Credit])))+(SUM(IF((CRDJ[Date]=$A$4)*(CRDJ[Ofc Code]=(TRIM(E$7)))*(CRDJ[Account Code]=(TRIM($D44))),CRDJ[Credit])))+(SUM(IF((GJ[Date]=$A$4)*(GJ[Ofc Code]=(TRIM(E$7)))*(GJ[Account Code]=(TRIM($D44))),GJ[Credit])))</f>
        <v>0</v>
      </c>
      <c r="F44" s="211">
        <f t="array" ref="F44">(SUM(IF((CkDJ[Date]=$A$4)*(CkDJ[Ofc Code]=(TRIM(F$7)))*(CkDJ[Account Code]=(TRIM($D44))),CkDJ[Debit])))+(SUM(IF((CsDJ[Date]=$A$4)*(CsDJ[Ofc Code]=(TRIM(F$7)))*(CsDJ[Account Code]=(TRIM($D44))),CsDJ[Debit])))+(SUM(IF((CRDJ[Date]=$A$4)*(CRDJ[Ofc Code]=(TRIM(F$7)))*(CRDJ[Account Code]=(TRIM($D44))),CRDJ[Debit])))+(SUM(IF((GJ[Date]=$A$4)*(GJ[Ofc Code]=(TRIM(F$7)))*(GJ[Account Code]=(TRIM($D44))),GJ[Debit])))-(SUM(IF((CkDJ[Date]=$A$4)*(CkDJ[Ofc Code]=(TRIM(F$7)))*(CkDJ[Account Code]=(TRIM($D44))),CkDJ[Credit])))+(SUM(IF((CsDJ[Date]=$A$4)*(CsDJ[Ofc Code]=(TRIM(F$7)))*(CsDJ[Account Code]=(TRIM($D44))),CsDJ[Credit])))+(SUM(IF((CRDJ[Date]=$A$4)*(CRDJ[Ofc Code]=(TRIM(F$7)))*(CRDJ[Account Code]=(TRIM($D44))),CRDJ[Credit])))+(SUM(IF((GJ[Date]=$A$4)*(GJ[Ofc Code]=(TRIM(F$7)))*(GJ[Account Code]=(TRIM($D44))),GJ[Credit])))</f>
        <v>0</v>
      </c>
      <c r="G44" s="211">
        <f t="array" ref="G44">(SUM(IF((CkDJ[Date]=$A$4)*(CkDJ[Ofc Code]=(TRIM(G$7)))*(CkDJ[Account Code]=(TRIM($D44))),CkDJ[Debit])))+(SUM(IF((CsDJ[Date]=$A$4)*(CsDJ[Ofc Code]=(TRIM(G$7)))*(CsDJ[Account Code]=(TRIM($D44))),CsDJ[Debit])))+(SUM(IF((CRDJ[Date]=$A$4)*(CRDJ[Ofc Code]=(TRIM(G$7)))*(CRDJ[Account Code]=(TRIM($D44))),CRDJ[Debit])))+(SUM(IF((GJ[Date]=$A$4)*(GJ[Ofc Code]=(TRIM(G$7)))*(GJ[Account Code]=(TRIM($D44))),GJ[Debit])))-(SUM(IF((CkDJ[Date]=$A$4)*(CkDJ[Ofc Code]=(TRIM(G$7)))*(CkDJ[Account Code]=(TRIM($D44))),CkDJ[Credit])))+(SUM(IF((CsDJ[Date]=$A$4)*(CsDJ[Ofc Code]=(TRIM(G$7)))*(CsDJ[Account Code]=(TRIM($D44))),CsDJ[Credit])))+(SUM(IF((CRDJ[Date]=$A$4)*(CRDJ[Ofc Code]=(TRIM(G$7)))*(CRDJ[Account Code]=(TRIM($D44))),CRDJ[Credit])))+(SUM(IF((GJ[Date]=$A$4)*(GJ[Ofc Code]=(TRIM(G$7)))*(GJ[Account Code]=(TRIM($D44))),GJ[Credit])))</f>
        <v>0</v>
      </c>
      <c r="H44" s="211">
        <f t="array" ref="H44">(SUM(IF((CkDJ[Date]=$A$4)*(CkDJ[Ofc Code]=(TRIM(H$7)))*(CkDJ[Account Code]=(TRIM($D44))),CkDJ[Debit])))+(SUM(IF((CsDJ[Date]=$A$4)*(CsDJ[Ofc Code]=(TRIM(H$7)))*(CsDJ[Account Code]=(TRIM($D44))),CsDJ[Debit])))+(SUM(IF((CRDJ[Date]=$A$4)*(CRDJ[Ofc Code]=(TRIM(H$7)))*(CRDJ[Account Code]=(TRIM($D44))),CRDJ[Debit])))+(SUM(IF((GJ[Date]=$A$4)*(GJ[Ofc Code]=(TRIM(H$7)))*(GJ[Account Code]=(TRIM($D44))),GJ[Debit])))-(SUM(IF((CkDJ[Date]=$A$4)*(CkDJ[Ofc Code]=(TRIM(H$7)))*(CkDJ[Account Code]=(TRIM($D44))),CkDJ[Credit])))+(SUM(IF((CsDJ[Date]=$A$4)*(CsDJ[Ofc Code]=(TRIM(H$7)))*(CsDJ[Account Code]=(TRIM($D44))),CsDJ[Credit])))+(SUM(IF((CRDJ[Date]=$A$4)*(CRDJ[Ofc Code]=(TRIM(H$7)))*(CRDJ[Account Code]=(TRIM($D44))),CRDJ[Credit])))+(SUM(IF((GJ[Date]=$A$4)*(GJ[Ofc Code]=(TRIM(H$7)))*(GJ[Account Code]=(TRIM($D44))),GJ[Credit])))</f>
        <v>0</v>
      </c>
      <c r="I44" s="211">
        <f t="shared" si="8"/>
        <v>0</v>
      </c>
      <c r="J44" s="211">
        <f t="array" ref="J44">(SUM(IF((CkDJ[Date]=$A$4)*(CkDJ[Ofc Code]=(TRIM(J$7)))*(CkDJ[Account Code]=(TRIM($D44))),CkDJ[Debit])))+(SUM(IF((CsDJ[Date]=$A$4)*(CsDJ[Ofc Code]=(TRIM(J$7)))*(CsDJ[Account Code]=(TRIM($D44))),CsDJ[Debit])))+(SUM(IF((CRDJ[Date]=$A$4)*(CRDJ[Ofc Code]=(TRIM(J$7)))*(CRDJ[Account Code]=(TRIM($D44))),CRDJ[Debit])))+(SUM(IF((GJ[Date]=$A$4)*(GJ[Ofc Code]=(TRIM(J$7)))*(GJ[Account Code]=(TRIM($D44))),GJ[Debit])))-(SUM(IF((CkDJ[Date]=$A$4)*(CkDJ[Ofc Code]=(TRIM(J$7)))*(CkDJ[Account Code]=(TRIM($D44))),CkDJ[Credit])))+(SUM(IF((CsDJ[Date]=$A$4)*(CsDJ[Ofc Code]=(TRIM(J$7)))*(CsDJ[Account Code]=(TRIM($D44))),CsDJ[Credit])))+(SUM(IF((CRDJ[Date]=$A$4)*(CRDJ[Ofc Code]=(TRIM(J$7)))*(CRDJ[Account Code]=(TRIM($D44))),CRDJ[Credit])))+(SUM(IF((GJ[Date]=$A$4)*(GJ[Ofc Code]=(TRIM(J$7)))*(GJ[Account Code]=(TRIM($D44))),GJ[Credit])))</f>
        <v>0</v>
      </c>
      <c r="K44" s="211">
        <f t="array" ref="K44">(SUM(IF((CkDJ[Date]=$A$4)*(CkDJ[Ofc Code]=(TRIM(K$7)))*(CkDJ[Account Code]=(TRIM($D44))),CkDJ[Debit])))+(SUM(IF((CsDJ[Date]=$A$4)*(CsDJ[Ofc Code]=(TRIM(K$7)))*(CsDJ[Account Code]=(TRIM($D44))),CsDJ[Debit])))+(SUM(IF((CRDJ[Date]=$A$4)*(CRDJ[Ofc Code]=(TRIM(K$7)))*(CRDJ[Account Code]=(TRIM($D44))),CRDJ[Debit])))+(SUM(IF((GJ[Date]=$A$4)*(GJ[Ofc Code]=(TRIM(K$7)))*(GJ[Account Code]=(TRIM($D44))),GJ[Debit])))-(SUM(IF((CkDJ[Date]=$A$4)*(CkDJ[Ofc Code]=(TRIM(K$7)))*(CkDJ[Account Code]=(TRIM($D44))),CkDJ[Credit])))+(SUM(IF((CsDJ[Date]=$A$4)*(CsDJ[Ofc Code]=(TRIM(K$7)))*(CsDJ[Account Code]=(TRIM($D44))),CsDJ[Credit])))+(SUM(IF((CRDJ[Date]=$A$4)*(CRDJ[Ofc Code]=(TRIM(K$7)))*(CRDJ[Account Code]=(TRIM($D44))),CRDJ[Credit])))+(SUM(IF((GJ[Date]=$A$4)*(GJ[Ofc Code]=(TRIM(K$7)))*(GJ[Account Code]=(TRIM($D44))),GJ[Credit])))</f>
        <v>0</v>
      </c>
      <c r="L44" s="211">
        <f t="array" ref="L44">(SUM(IF((CkDJ[Date]=$A$4)*(CkDJ[Ofc Code]=(TRIM(L$7)))*(CkDJ[Account Code]=(TRIM($D44))),CkDJ[Debit])))+(SUM(IF((CsDJ[Date]=$A$4)*(CsDJ[Ofc Code]=(TRIM(L$7)))*(CsDJ[Account Code]=(TRIM($D44))),CsDJ[Debit])))+(SUM(IF((CRDJ[Date]=$A$4)*(CRDJ[Ofc Code]=(TRIM(L$7)))*(CRDJ[Account Code]=(TRIM($D44))),CRDJ[Debit])))+(SUM(IF((GJ[Date]=$A$4)*(GJ[Ofc Code]=(TRIM(L$7)))*(GJ[Account Code]=(TRIM($D44))),GJ[Debit])))-(SUM(IF((CkDJ[Date]=$A$4)*(CkDJ[Ofc Code]=(TRIM(L$7)))*(CkDJ[Account Code]=(TRIM($D44))),CkDJ[Credit])))+(SUM(IF((CsDJ[Date]=$A$4)*(CsDJ[Ofc Code]=(TRIM(L$7)))*(CsDJ[Account Code]=(TRIM($D44))),CsDJ[Credit])))+(SUM(IF((CRDJ[Date]=$A$4)*(CRDJ[Ofc Code]=(TRIM(L$7)))*(CRDJ[Account Code]=(TRIM($D44))),CRDJ[Credit])))+(SUM(IF((GJ[Date]=$A$4)*(GJ[Ofc Code]=(TRIM(L$7)))*(GJ[Account Code]=(TRIM($D44))),GJ[Credit])))</f>
        <v>0</v>
      </c>
      <c r="M44" s="211">
        <f t="array" ref="M44">(SUM(IF((CkDJ[Date]=$A$4)*(CkDJ[Ofc Code]=(TRIM(M$7)))*(CkDJ[Account Code]=(TRIM($D44))),CkDJ[Debit])))+(SUM(IF((CsDJ[Date]=$A$4)*(CsDJ[Ofc Code]=(TRIM(M$7)))*(CsDJ[Account Code]=(TRIM($D44))),CsDJ[Debit])))+(SUM(IF((CRDJ[Date]=$A$4)*(CRDJ[Ofc Code]=(TRIM(M$7)))*(CRDJ[Account Code]=(TRIM($D44))),CRDJ[Debit])))+(SUM(IF((GJ[Date]=$A$4)*(GJ[Ofc Code]=(TRIM(M$7)))*(GJ[Account Code]=(TRIM($D44))),GJ[Debit])))-(SUM(IF((CkDJ[Date]=$A$4)*(CkDJ[Ofc Code]=(TRIM(M$7)))*(CkDJ[Account Code]=(TRIM($D44))),CkDJ[Credit])))+(SUM(IF((CsDJ[Date]=$A$4)*(CsDJ[Ofc Code]=(TRIM(M$7)))*(CsDJ[Account Code]=(TRIM($D44))),CsDJ[Credit])))+(SUM(IF((CRDJ[Date]=$A$4)*(CRDJ[Ofc Code]=(TRIM(M$7)))*(CRDJ[Account Code]=(TRIM($D44))),CRDJ[Credit])))+(SUM(IF((GJ[Date]=$A$4)*(GJ[Ofc Code]=(TRIM(M$7)))*(GJ[Account Code]=(TRIM($D44))),GJ[Credit])))</f>
        <v>0</v>
      </c>
      <c r="N44" s="211">
        <f t="shared" si="9"/>
        <v>0</v>
      </c>
      <c r="O44" s="211">
        <f t="array" ref="O44">(SUM(IF((CkDJ[Date]=$A$4)*(CkDJ[Ofc Code]=(TRIM(O$7)))*(CkDJ[Account Code]=(TRIM($D44))),CkDJ[Debit])))+(SUM(IF((CsDJ[Date]=$A$4)*(CsDJ[Ofc Code]=(TRIM(O$7)))*(CsDJ[Account Code]=(TRIM($D44))),CsDJ[Debit])))+(SUM(IF((CRDJ[Date]=$A$4)*(CRDJ[Ofc Code]=(TRIM(O$7)))*(CRDJ[Account Code]=(TRIM($D44))),CRDJ[Debit])))+(SUM(IF((GJ[Date]=$A$4)*(GJ[Ofc Code]=(TRIM(O$7)))*(GJ[Account Code]=(TRIM($D44))),GJ[Debit])))-(SUM(IF((CkDJ[Date]=$A$4)*(CkDJ[Ofc Code]=(TRIM(O$7)))*(CkDJ[Account Code]=(TRIM($D44))),CkDJ[Credit])))+(SUM(IF((CsDJ[Date]=$A$4)*(CsDJ[Ofc Code]=(TRIM(O$7)))*(CsDJ[Account Code]=(TRIM($D44))),CsDJ[Credit])))+(SUM(IF((CRDJ[Date]=$A$4)*(CRDJ[Ofc Code]=(TRIM(O$7)))*(CRDJ[Account Code]=(TRIM($D44))),CRDJ[Credit])))+(SUM(IF((GJ[Date]=$A$4)*(GJ[Ofc Code]=(TRIM(O$7)))*(GJ[Account Code]=(TRIM($D44))),GJ[Credit])))</f>
        <v>0</v>
      </c>
      <c r="P44" s="211">
        <f t="array" ref="P44">(SUM(IF((CkDJ[Date]=$A$4)*(CkDJ[Ofc Code]=(TRIM(P$7)))*(CkDJ[Account Code]=(TRIM($D44))),CkDJ[Debit])))+(SUM(IF((CsDJ[Date]=$A$4)*(CsDJ[Ofc Code]=(TRIM(P$7)))*(CsDJ[Account Code]=(TRIM($D44))),CsDJ[Debit])))+(SUM(IF((CRDJ[Date]=$A$4)*(CRDJ[Ofc Code]=(TRIM(P$7)))*(CRDJ[Account Code]=(TRIM($D44))),CRDJ[Debit])))+(SUM(IF((GJ[Date]=$A$4)*(GJ[Ofc Code]=(TRIM(P$7)))*(GJ[Account Code]=(TRIM($D44))),GJ[Debit])))-(SUM(IF((CkDJ[Date]=$A$4)*(CkDJ[Ofc Code]=(TRIM(P$7)))*(CkDJ[Account Code]=(TRIM($D44))),CkDJ[Credit])))+(SUM(IF((CsDJ[Date]=$A$4)*(CsDJ[Ofc Code]=(TRIM(P$7)))*(CsDJ[Account Code]=(TRIM($D44))),CsDJ[Credit])))+(SUM(IF((CRDJ[Date]=$A$4)*(CRDJ[Ofc Code]=(TRIM(P$7)))*(CRDJ[Account Code]=(TRIM($D44))),CRDJ[Credit])))+(SUM(IF((GJ[Date]=$A$4)*(GJ[Ofc Code]=(TRIM(P$7)))*(GJ[Account Code]=(TRIM($D44))),GJ[Credit])))</f>
        <v>0</v>
      </c>
      <c r="Q44" s="211">
        <f t="array" ref="Q44">(SUM(IF((CkDJ[Date]=$A$4)*(CkDJ[Ofc Code]=(TRIM(Q$7)))*(CkDJ[Account Code]=(TRIM($D44))),CkDJ[Debit])))+(SUM(IF((CsDJ[Date]=$A$4)*(CsDJ[Ofc Code]=(TRIM(Q$7)))*(CsDJ[Account Code]=(TRIM($D44))),CsDJ[Debit])))+(SUM(IF((CRDJ[Date]=$A$4)*(CRDJ[Ofc Code]=(TRIM(Q$7)))*(CRDJ[Account Code]=(TRIM($D44))),CRDJ[Debit])))+(SUM(IF((GJ[Date]=$A$4)*(GJ[Ofc Code]=(TRIM(Q$7)))*(GJ[Account Code]=(TRIM($D44))),GJ[Debit])))-(SUM(IF((CkDJ[Date]=$A$4)*(CkDJ[Ofc Code]=(TRIM(Q$7)))*(CkDJ[Account Code]=(TRIM($D44))),CkDJ[Credit])))+(SUM(IF((CsDJ[Date]=$A$4)*(CsDJ[Ofc Code]=(TRIM(Q$7)))*(CsDJ[Account Code]=(TRIM($D44))),CsDJ[Credit])))+(SUM(IF((CRDJ[Date]=$A$4)*(CRDJ[Ofc Code]=(TRIM(Q$7)))*(CRDJ[Account Code]=(TRIM($D44))),CRDJ[Credit])))+(SUM(IF((GJ[Date]=$A$4)*(GJ[Ofc Code]=(TRIM(Q$7)))*(GJ[Account Code]=(TRIM($D44))),GJ[Credit])))</f>
        <v>0</v>
      </c>
      <c r="R44" s="211">
        <f t="array" ref="R44">(SUM(IF((CkDJ[Date]=$A$4)*(CkDJ[Ofc Code]=(TRIM(R$7)))*(CkDJ[Account Code]=(TRIM($D44))),CkDJ[Debit])))+(SUM(IF((CsDJ[Date]=$A$4)*(CsDJ[Ofc Code]=(TRIM(R$7)))*(CsDJ[Account Code]=(TRIM($D44))),CsDJ[Debit])))+(SUM(IF((CRDJ[Date]=$A$4)*(CRDJ[Ofc Code]=(TRIM(R$7)))*(CRDJ[Account Code]=(TRIM($D44))),CRDJ[Debit])))+(SUM(IF((GJ[Date]=$A$4)*(GJ[Ofc Code]=(TRIM(R$7)))*(GJ[Account Code]=(TRIM($D44))),GJ[Debit])))-(SUM(IF((CkDJ[Date]=$A$4)*(CkDJ[Ofc Code]=(TRIM(R$7)))*(CkDJ[Account Code]=(TRIM($D44))),CkDJ[Credit])))+(SUM(IF((CsDJ[Date]=$A$4)*(CsDJ[Ofc Code]=(TRIM(R$7)))*(CsDJ[Account Code]=(TRIM($D44))),CsDJ[Credit])))+(SUM(IF((CRDJ[Date]=$A$4)*(CRDJ[Ofc Code]=(TRIM(R$7)))*(CRDJ[Account Code]=(TRIM($D44))),CRDJ[Credit])))+(SUM(IF((GJ[Date]=$A$4)*(GJ[Ofc Code]=(TRIM(R$7)))*(GJ[Account Code]=(TRIM($D44))),GJ[Credit])))</f>
        <v>0</v>
      </c>
      <c r="S44" s="211">
        <f t="array" ref="S44">(SUM(IF((CkDJ[Date]=$A$4)*(CkDJ[Ofc Code]=(TRIM(S$7)))*(CkDJ[Account Code]=(TRIM($D44))),CkDJ[Debit])))+(SUM(IF((CsDJ[Date]=$A$4)*(CsDJ[Ofc Code]=(TRIM(S$7)))*(CsDJ[Account Code]=(TRIM($D44))),CsDJ[Debit])))+(SUM(IF((CRDJ[Date]=$A$4)*(CRDJ[Ofc Code]=(TRIM(S$7)))*(CRDJ[Account Code]=(TRIM($D44))),CRDJ[Debit])))+(SUM(IF((GJ[Date]=$A$4)*(GJ[Ofc Code]=(TRIM(S$7)))*(GJ[Account Code]=(TRIM($D44))),GJ[Debit])))-(SUM(IF((CkDJ[Date]=$A$4)*(CkDJ[Ofc Code]=(TRIM(S$7)))*(CkDJ[Account Code]=(TRIM($D44))),CkDJ[Credit])))+(SUM(IF((CsDJ[Date]=$A$4)*(CsDJ[Ofc Code]=(TRIM(S$7)))*(CsDJ[Account Code]=(TRIM($D44))),CsDJ[Credit])))+(SUM(IF((CRDJ[Date]=$A$4)*(CRDJ[Ofc Code]=(TRIM(S$7)))*(CRDJ[Account Code]=(TRIM($D44))),CRDJ[Credit])))+(SUM(IF((GJ[Date]=$A$4)*(GJ[Ofc Code]=(TRIM(S$7)))*(GJ[Account Code]=(TRIM($D44))),GJ[Credit])))</f>
        <v>0</v>
      </c>
      <c r="T44" s="211">
        <f t="shared" si="10"/>
        <v>0</v>
      </c>
      <c r="U44" s="211">
        <f t="shared" si="11"/>
        <v>0</v>
      </c>
    </row>
    <row r="45" spans="1:21" ht="15">
      <c r="A45" s="212">
        <f t="shared" si="12"/>
        <v>12</v>
      </c>
      <c r="B45" s="214" t="s">
        <v>756</v>
      </c>
      <c r="C45" s="194" t="str">
        <f t="shared" si="7"/>
        <v>Other Bonuses and Allowances - Productivity Enhancement Incentive-Civilian</v>
      </c>
      <c r="D45" s="215" t="s">
        <v>170</v>
      </c>
      <c r="E45" s="211">
        <f t="array" ref="E45">(SUM(IF((CkDJ[Date]=$A$4)*(CkDJ[Ofc Code]=(TRIM(E$7)))*(CkDJ[Account Code]=(TRIM($D45))),CkDJ[Debit])))+(SUM(IF((CsDJ[Date]=$A$4)*(CsDJ[Ofc Code]=(TRIM(E$7)))*(CsDJ[Account Code]=(TRIM($D45))),CsDJ[Debit])))+(SUM(IF((CRDJ[Date]=$A$4)*(CRDJ[Ofc Code]=(TRIM(E$7)))*(CRDJ[Account Code]=(TRIM($D45))),CRDJ[Debit])))+(SUM(IF((GJ[Date]=$A$4)*(GJ[Ofc Code]=(TRIM(E$7)))*(GJ[Account Code]=(TRIM($D45))),GJ[Debit])))-(SUM(IF((CkDJ[Date]=$A$4)*(CkDJ[Ofc Code]=(TRIM(E$7)))*(CkDJ[Account Code]=(TRIM($D45))),CkDJ[Credit])))+(SUM(IF((CsDJ[Date]=$A$4)*(CsDJ[Ofc Code]=(TRIM(E$7)))*(CsDJ[Account Code]=(TRIM($D45))),CsDJ[Credit])))+(SUM(IF((CRDJ[Date]=$A$4)*(CRDJ[Ofc Code]=(TRIM(E$7)))*(CRDJ[Account Code]=(TRIM($D45))),CRDJ[Credit])))+(SUM(IF((GJ[Date]=$A$4)*(GJ[Ofc Code]=(TRIM(E$7)))*(GJ[Account Code]=(TRIM($D45))),GJ[Credit])))</f>
        <v>0</v>
      </c>
      <c r="F45" s="211">
        <f t="array" ref="F45">(SUM(IF((CkDJ[Date]=$A$4)*(CkDJ[Ofc Code]=(TRIM(F$7)))*(CkDJ[Account Code]=(TRIM($D45))),CkDJ[Debit])))+(SUM(IF((CsDJ[Date]=$A$4)*(CsDJ[Ofc Code]=(TRIM(F$7)))*(CsDJ[Account Code]=(TRIM($D45))),CsDJ[Debit])))+(SUM(IF((CRDJ[Date]=$A$4)*(CRDJ[Ofc Code]=(TRIM(F$7)))*(CRDJ[Account Code]=(TRIM($D45))),CRDJ[Debit])))+(SUM(IF((GJ[Date]=$A$4)*(GJ[Ofc Code]=(TRIM(F$7)))*(GJ[Account Code]=(TRIM($D45))),GJ[Debit])))-(SUM(IF((CkDJ[Date]=$A$4)*(CkDJ[Ofc Code]=(TRIM(F$7)))*(CkDJ[Account Code]=(TRIM($D45))),CkDJ[Credit])))+(SUM(IF((CsDJ[Date]=$A$4)*(CsDJ[Ofc Code]=(TRIM(F$7)))*(CsDJ[Account Code]=(TRIM($D45))),CsDJ[Credit])))+(SUM(IF((CRDJ[Date]=$A$4)*(CRDJ[Ofc Code]=(TRIM(F$7)))*(CRDJ[Account Code]=(TRIM($D45))),CRDJ[Credit])))+(SUM(IF((GJ[Date]=$A$4)*(GJ[Ofc Code]=(TRIM(F$7)))*(GJ[Account Code]=(TRIM($D45))),GJ[Credit])))</f>
        <v>0</v>
      </c>
      <c r="G45" s="211">
        <f t="array" ref="G45">(SUM(IF((CkDJ[Date]=$A$4)*(CkDJ[Ofc Code]=(TRIM(G$7)))*(CkDJ[Account Code]=(TRIM($D45))),CkDJ[Debit])))+(SUM(IF((CsDJ[Date]=$A$4)*(CsDJ[Ofc Code]=(TRIM(G$7)))*(CsDJ[Account Code]=(TRIM($D45))),CsDJ[Debit])))+(SUM(IF((CRDJ[Date]=$A$4)*(CRDJ[Ofc Code]=(TRIM(G$7)))*(CRDJ[Account Code]=(TRIM($D45))),CRDJ[Debit])))+(SUM(IF((GJ[Date]=$A$4)*(GJ[Ofc Code]=(TRIM(G$7)))*(GJ[Account Code]=(TRIM($D45))),GJ[Debit])))-(SUM(IF((CkDJ[Date]=$A$4)*(CkDJ[Ofc Code]=(TRIM(G$7)))*(CkDJ[Account Code]=(TRIM($D45))),CkDJ[Credit])))+(SUM(IF((CsDJ[Date]=$A$4)*(CsDJ[Ofc Code]=(TRIM(G$7)))*(CsDJ[Account Code]=(TRIM($D45))),CsDJ[Credit])))+(SUM(IF((CRDJ[Date]=$A$4)*(CRDJ[Ofc Code]=(TRIM(G$7)))*(CRDJ[Account Code]=(TRIM($D45))),CRDJ[Credit])))+(SUM(IF((GJ[Date]=$A$4)*(GJ[Ofc Code]=(TRIM(G$7)))*(GJ[Account Code]=(TRIM($D45))),GJ[Credit])))</f>
        <v>0</v>
      </c>
      <c r="H45" s="211">
        <f t="array" ref="H45">(SUM(IF((CkDJ[Date]=$A$4)*(CkDJ[Ofc Code]=(TRIM(H$7)))*(CkDJ[Account Code]=(TRIM($D45))),CkDJ[Debit])))+(SUM(IF((CsDJ[Date]=$A$4)*(CsDJ[Ofc Code]=(TRIM(H$7)))*(CsDJ[Account Code]=(TRIM($D45))),CsDJ[Debit])))+(SUM(IF((CRDJ[Date]=$A$4)*(CRDJ[Ofc Code]=(TRIM(H$7)))*(CRDJ[Account Code]=(TRIM($D45))),CRDJ[Debit])))+(SUM(IF((GJ[Date]=$A$4)*(GJ[Ofc Code]=(TRIM(H$7)))*(GJ[Account Code]=(TRIM($D45))),GJ[Debit])))-(SUM(IF((CkDJ[Date]=$A$4)*(CkDJ[Ofc Code]=(TRIM(H$7)))*(CkDJ[Account Code]=(TRIM($D45))),CkDJ[Credit])))+(SUM(IF((CsDJ[Date]=$A$4)*(CsDJ[Ofc Code]=(TRIM(H$7)))*(CsDJ[Account Code]=(TRIM($D45))),CsDJ[Credit])))+(SUM(IF((CRDJ[Date]=$A$4)*(CRDJ[Ofc Code]=(TRIM(H$7)))*(CRDJ[Account Code]=(TRIM($D45))),CRDJ[Credit])))+(SUM(IF((GJ[Date]=$A$4)*(GJ[Ofc Code]=(TRIM(H$7)))*(GJ[Account Code]=(TRIM($D45))),GJ[Credit])))</f>
        <v>0</v>
      </c>
      <c r="I45" s="211">
        <f t="shared" si="8"/>
        <v>0</v>
      </c>
      <c r="J45" s="211">
        <f t="array" ref="J45">(SUM(IF((CkDJ[Date]=$A$4)*(CkDJ[Ofc Code]=(TRIM(J$7)))*(CkDJ[Account Code]=(TRIM($D45))),CkDJ[Debit])))+(SUM(IF((CsDJ[Date]=$A$4)*(CsDJ[Ofc Code]=(TRIM(J$7)))*(CsDJ[Account Code]=(TRIM($D45))),CsDJ[Debit])))+(SUM(IF((CRDJ[Date]=$A$4)*(CRDJ[Ofc Code]=(TRIM(J$7)))*(CRDJ[Account Code]=(TRIM($D45))),CRDJ[Debit])))+(SUM(IF((GJ[Date]=$A$4)*(GJ[Ofc Code]=(TRIM(J$7)))*(GJ[Account Code]=(TRIM($D45))),GJ[Debit])))-(SUM(IF((CkDJ[Date]=$A$4)*(CkDJ[Ofc Code]=(TRIM(J$7)))*(CkDJ[Account Code]=(TRIM($D45))),CkDJ[Credit])))+(SUM(IF((CsDJ[Date]=$A$4)*(CsDJ[Ofc Code]=(TRIM(J$7)))*(CsDJ[Account Code]=(TRIM($D45))),CsDJ[Credit])))+(SUM(IF((CRDJ[Date]=$A$4)*(CRDJ[Ofc Code]=(TRIM(J$7)))*(CRDJ[Account Code]=(TRIM($D45))),CRDJ[Credit])))+(SUM(IF((GJ[Date]=$A$4)*(GJ[Ofc Code]=(TRIM(J$7)))*(GJ[Account Code]=(TRIM($D45))),GJ[Credit])))</f>
        <v>0</v>
      </c>
      <c r="K45" s="211">
        <f t="array" ref="K45">(SUM(IF((CkDJ[Date]=$A$4)*(CkDJ[Ofc Code]=(TRIM(K$7)))*(CkDJ[Account Code]=(TRIM($D45))),CkDJ[Debit])))+(SUM(IF((CsDJ[Date]=$A$4)*(CsDJ[Ofc Code]=(TRIM(K$7)))*(CsDJ[Account Code]=(TRIM($D45))),CsDJ[Debit])))+(SUM(IF((CRDJ[Date]=$A$4)*(CRDJ[Ofc Code]=(TRIM(K$7)))*(CRDJ[Account Code]=(TRIM($D45))),CRDJ[Debit])))+(SUM(IF((GJ[Date]=$A$4)*(GJ[Ofc Code]=(TRIM(K$7)))*(GJ[Account Code]=(TRIM($D45))),GJ[Debit])))-(SUM(IF((CkDJ[Date]=$A$4)*(CkDJ[Ofc Code]=(TRIM(K$7)))*(CkDJ[Account Code]=(TRIM($D45))),CkDJ[Credit])))+(SUM(IF((CsDJ[Date]=$A$4)*(CsDJ[Ofc Code]=(TRIM(K$7)))*(CsDJ[Account Code]=(TRIM($D45))),CsDJ[Credit])))+(SUM(IF((CRDJ[Date]=$A$4)*(CRDJ[Ofc Code]=(TRIM(K$7)))*(CRDJ[Account Code]=(TRIM($D45))),CRDJ[Credit])))+(SUM(IF((GJ[Date]=$A$4)*(GJ[Ofc Code]=(TRIM(K$7)))*(GJ[Account Code]=(TRIM($D45))),GJ[Credit])))</f>
        <v>0</v>
      </c>
      <c r="L45" s="211">
        <f t="array" ref="L45">(SUM(IF((CkDJ[Date]=$A$4)*(CkDJ[Ofc Code]=(TRIM(L$7)))*(CkDJ[Account Code]=(TRIM($D45))),CkDJ[Debit])))+(SUM(IF((CsDJ[Date]=$A$4)*(CsDJ[Ofc Code]=(TRIM(L$7)))*(CsDJ[Account Code]=(TRIM($D45))),CsDJ[Debit])))+(SUM(IF((CRDJ[Date]=$A$4)*(CRDJ[Ofc Code]=(TRIM(L$7)))*(CRDJ[Account Code]=(TRIM($D45))),CRDJ[Debit])))+(SUM(IF((GJ[Date]=$A$4)*(GJ[Ofc Code]=(TRIM(L$7)))*(GJ[Account Code]=(TRIM($D45))),GJ[Debit])))-(SUM(IF((CkDJ[Date]=$A$4)*(CkDJ[Ofc Code]=(TRIM(L$7)))*(CkDJ[Account Code]=(TRIM($D45))),CkDJ[Credit])))+(SUM(IF((CsDJ[Date]=$A$4)*(CsDJ[Ofc Code]=(TRIM(L$7)))*(CsDJ[Account Code]=(TRIM($D45))),CsDJ[Credit])))+(SUM(IF((CRDJ[Date]=$A$4)*(CRDJ[Ofc Code]=(TRIM(L$7)))*(CRDJ[Account Code]=(TRIM($D45))),CRDJ[Credit])))+(SUM(IF((GJ[Date]=$A$4)*(GJ[Ofc Code]=(TRIM(L$7)))*(GJ[Account Code]=(TRIM($D45))),GJ[Credit])))</f>
        <v>0</v>
      </c>
      <c r="M45" s="211">
        <f t="array" ref="M45">(SUM(IF((CkDJ[Date]=$A$4)*(CkDJ[Ofc Code]=(TRIM(M$7)))*(CkDJ[Account Code]=(TRIM($D45))),CkDJ[Debit])))+(SUM(IF((CsDJ[Date]=$A$4)*(CsDJ[Ofc Code]=(TRIM(M$7)))*(CsDJ[Account Code]=(TRIM($D45))),CsDJ[Debit])))+(SUM(IF((CRDJ[Date]=$A$4)*(CRDJ[Ofc Code]=(TRIM(M$7)))*(CRDJ[Account Code]=(TRIM($D45))),CRDJ[Debit])))+(SUM(IF((GJ[Date]=$A$4)*(GJ[Ofc Code]=(TRIM(M$7)))*(GJ[Account Code]=(TRIM($D45))),GJ[Debit])))-(SUM(IF((CkDJ[Date]=$A$4)*(CkDJ[Ofc Code]=(TRIM(M$7)))*(CkDJ[Account Code]=(TRIM($D45))),CkDJ[Credit])))+(SUM(IF((CsDJ[Date]=$A$4)*(CsDJ[Ofc Code]=(TRIM(M$7)))*(CsDJ[Account Code]=(TRIM($D45))),CsDJ[Credit])))+(SUM(IF((CRDJ[Date]=$A$4)*(CRDJ[Ofc Code]=(TRIM(M$7)))*(CRDJ[Account Code]=(TRIM($D45))),CRDJ[Credit])))+(SUM(IF((GJ[Date]=$A$4)*(GJ[Ofc Code]=(TRIM(M$7)))*(GJ[Account Code]=(TRIM($D45))),GJ[Credit])))</f>
        <v>0</v>
      </c>
      <c r="N45" s="211">
        <f t="shared" si="9"/>
        <v>0</v>
      </c>
      <c r="O45" s="211">
        <f t="array" ref="O45">(SUM(IF((CkDJ[Date]=$A$4)*(CkDJ[Ofc Code]=(TRIM(O$7)))*(CkDJ[Account Code]=(TRIM($D45))),CkDJ[Debit])))+(SUM(IF((CsDJ[Date]=$A$4)*(CsDJ[Ofc Code]=(TRIM(O$7)))*(CsDJ[Account Code]=(TRIM($D45))),CsDJ[Debit])))+(SUM(IF((CRDJ[Date]=$A$4)*(CRDJ[Ofc Code]=(TRIM(O$7)))*(CRDJ[Account Code]=(TRIM($D45))),CRDJ[Debit])))+(SUM(IF((GJ[Date]=$A$4)*(GJ[Ofc Code]=(TRIM(O$7)))*(GJ[Account Code]=(TRIM($D45))),GJ[Debit])))-(SUM(IF((CkDJ[Date]=$A$4)*(CkDJ[Ofc Code]=(TRIM(O$7)))*(CkDJ[Account Code]=(TRIM($D45))),CkDJ[Credit])))+(SUM(IF((CsDJ[Date]=$A$4)*(CsDJ[Ofc Code]=(TRIM(O$7)))*(CsDJ[Account Code]=(TRIM($D45))),CsDJ[Credit])))+(SUM(IF((CRDJ[Date]=$A$4)*(CRDJ[Ofc Code]=(TRIM(O$7)))*(CRDJ[Account Code]=(TRIM($D45))),CRDJ[Credit])))+(SUM(IF((GJ[Date]=$A$4)*(GJ[Ofc Code]=(TRIM(O$7)))*(GJ[Account Code]=(TRIM($D45))),GJ[Credit])))</f>
        <v>0</v>
      </c>
      <c r="P45" s="211">
        <f t="array" ref="P45">(SUM(IF((CkDJ[Date]=$A$4)*(CkDJ[Ofc Code]=(TRIM(P$7)))*(CkDJ[Account Code]=(TRIM($D45))),CkDJ[Debit])))+(SUM(IF((CsDJ[Date]=$A$4)*(CsDJ[Ofc Code]=(TRIM(P$7)))*(CsDJ[Account Code]=(TRIM($D45))),CsDJ[Debit])))+(SUM(IF((CRDJ[Date]=$A$4)*(CRDJ[Ofc Code]=(TRIM(P$7)))*(CRDJ[Account Code]=(TRIM($D45))),CRDJ[Debit])))+(SUM(IF((GJ[Date]=$A$4)*(GJ[Ofc Code]=(TRIM(P$7)))*(GJ[Account Code]=(TRIM($D45))),GJ[Debit])))-(SUM(IF((CkDJ[Date]=$A$4)*(CkDJ[Ofc Code]=(TRIM(P$7)))*(CkDJ[Account Code]=(TRIM($D45))),CkDJ[Credit])))+(SUM(IF((CsDJ[Date]=$A$4)*(CsDJ[Ofc Code]=(TRIM(P$7)))*(CsDJ[Account Code]=(TRIM($D45))),CsDJ[Credit])))+(SUM(IF((CRDJ[Date]=$A$4)*(CRDJ[Ofc Code]=(TRIM(P$7)))*(CRDJ[Account Code]=(TRIM($D45))),CRDJ[Credit])))+(SUM(IF((GJ[Date]=$A$4)*(GJ[Ofc Code]=(TRIM(P$7)))*(GJ[Account Code]=(TRIM($D45))),GJ[Credit])))</f>
        <v>0</v>
      </c>
      <c r="Q45" s="211">
        <f t="array" ref="Q45">(SUM(IF((CkDJ[Date]=$A$4)*(CkDJ[Ofc Code]=(TRIM(Q$7)))*(CkDJ[Account Code]=(TRIM($D45))),CkDJ[Debit])))+(SUM(IF((CsDJ[Date]=$A$4)*(CsDJ[Ofc Code]=(TRIM(Q$7)))*(CsDJ[Account Code]=(TRIM($D45))),CsDJ[Debit])))+(SUM(IF((CRDJ[Date]=$A$4)*(CRDJ[Ofc Code]=(TRIM(Q$7)))*(CRDJ[Account Code]=(TRIM($D45))),CRDJ[Debit])))+(SUM(IF((GJ[Date]=$A$4)*(GJ[Ofc Code]=(TRIM(Q$7)))*(GJ[Account Code]=(TRIM($D45))),GJ[Debit])))-(SUM(IF((CkDJ[Date]=$A$4)*(CkDJ[Ofc Code]=(TRIM(Q$7)))*(CkDJ[Account Code]=(TRIM($D45))),CkDJ[Credit])))+(SUM(IF((CsDJ[Date]=$A$4)*(CsDJ[Ofc Code]=(TRIM(Q$7)))*(CsDJ[Account Code]=(TRIM($D45))),CsDJ[Credit])))+(SUM(IF((CRDJ[Date]=$A$4)*(CRDJ[Ofc Code]=(TRIM(Q$7)))*(CRDJ[Account Code]=(TRIM($D45))),CRDJ[Credit])))+(SUM(IF((GJ[Date]=$A$4)*(GJ[Ofc Code]=(TRIM(Q$7)))*(GJ[Account Code]=(TRIM($D45))),GJ[Credit])))</f>
        <v>0</v>
      </c>
      <c r="R45" s="211">
        <f t="array" ref="R45">(SUM(IF((CkDJ[Date]=$A$4)*(CkDJ[Ofc Code]=(TRIM(R$7)))*(CkDJ[Account Code]=(TRIM($D45))),CkDJ[Debit])))+(SUM(IF((CsDJ[Date]=$A$4)*(CsDJ[Ofc Code]=(TRIM(R$7)))*(CsDJ[Account Code]=(TRIM($D45))),CsDJ[Debit])))+(SUM(IF((CRDJ[Date]=$A$4)*(CRDJ[Ofc Code]=(TRIM(R$7)))*(CRDJ[Account Code]=(TRIM($D45))),CRDJ[Debit])))+(SUM(IF((GJ[Date]=$A$4)*(GJ[Ofc Code]=(TRIM(R$7)))*(GJ[Account Code]=(TRIM($D45))),GJ[Debit])))-(SUM(IF((CkDJ[Date]=$A$4)*(CkDJ[Ofc Code]=(TRIM(R$7)))*(CkDJ[Account Code]=(TRIM($D45))),CkDJ[Credit])))+(SUM(IF((CsDJ[Date]=$A$4)*(CsDJ[Ofc Code]=(TRIM(R$7)))*(CsDJ[Account Code]=(TRIM($D45))),CsDJ[Credit])))+(SUM(IF((CRDJ[Date]=$A$4)*(CRDJ[Ofc Code]=(TRIM(R$7)))*(CRDJ[Account Code]=(TRIM($D45))),CRDJ[Credit])))+(SUM(IF((GJ[Date]=$A$4)*(GJ[Ofc Code]=(TRIM(R$7)))*(GJ[Account Code]=(TRIM($D45))),GJ[Credit])))</f>
        <v>0</v>
      </c>
      <c r="S45" s="211">
        <f t="array" ref="S45">(SUM(IF((CkDJ[Date]=$A$4)*(CkDJ[Ofc Code]=(TRIM(S$7)))*(CkDJ[Account Code]=(TRIM($D45))),CkDJ[Debit])))+(SUM(IF((CsDJ[Date]=$A$4)*(CsDJ[Ofc Code]=(TRIM(S$7)))*(CsDJ[Account Code]=(TRIM($D45))),CsDJ[Debit])))+(SUM(IF((CRDJ[Date]=$A$4)*(CRDJ[Ofc Code]=(TRIM(S$7)))*(CRDJ[Account Code]=(TRIM($D45))),CRDJ[Debit])))+(SUM(IF((GJ[Date]=$A$4)*(GJ[Ofc Code]=(TRIM(S$7)))*(GJ[Account Code]=(TRIM($D45))),GJ[Debit])))-(SUM(IF((CkDJ[Date]=$A$4)*(CkDJ[Ofc Code]=(TRIM(S$7)))*(CkDJ[Account Code]=(TRIM($D45))),CkDJ[Credit])))+(SUM(IF((CsDJ[Date]=$A$4)*(CsDJ[Ofc Code]=(TRIM(S$7)))*(CsDJ[Account Code]=(TRIM($D45))),CsDJ[Credit])))+(SUM(IF((CRDJ[Date]=$A$4)*(CRDJ[Ofc Code]=(TRIM(S$7)))*(CRDJ[Account Code]=(TRIM($D45))),CRDJ[Credit])))+(SUM(IF((GJ[Date]=$A$4)*(GJ[Ofc Code]=(TRIM(S$7)))*(GJ[Account Code]=(TRIM($D45))),GJ[Credit])))</f>
        <v>0</v>
      </c>
      <c r="T45" s="211">
        <f t="shared" si="10"/>
        <v>0</v>
      </c>
      <c r="U45" s="211">
        <f t="shared" si="11"/>
        <v>0</v>
      </c>
    </row>
    <row r="46" spans="1:21" ht="15">
      <c r="A46" s="212">
        <f t="shared" si="12"/>
        <v>13</v>
      </c>
      <c r="B46" s="214" t="s">
        <v>756</v>
      </c>
      <c r="C46" s="194" t="str">
        <f t="shared" si="7"/>
        <v>Honoraria</v>
      </c>
      <c r="D46" s="215">
        <v>720</v>
      </c>
      <c r="E46" s="211">
        <f t="array" ref="E46">(SUM(IF((CkDJ[Date]=$A$4)*(CkDJ[Ofc Code]=(TRIM(E$7)))*(CkDJ[Account Code]=(TRIM($D46))),CkDJ[Debit])))+(SUM(IF((CsDJ[Date]=$A$4)*(CsDJ[Ofc Code]=(TRIM(E$7)))*(CsDJ[Account Code]=(TRIM($D46))),CsDJ[Debit])))+(SUM(IF((CRDJ[Date]=$A$4)*(CRDJ[Ofc Code]=(TRIM(E$7)))*(CRDJ[Account Code]=(TRIM($D46))),CRDJ[Debit])))+(SUM(IF((GJ[Date]=$A$4)*(GJ[Ofc Code]=(TRIM(E$7)))*(GJ[Account Code]=(TRIM($D46))),GJ[Debit])))-(SUM(IF((CkDJ[Date]=$A$4)*(CkDJ[Ofc Code]=(TRIM(E$7)))*(CkDJ[Account Code]=(TRIM($D46))),CkDJ[Credit])))+(SUM(IF((CsDJ[Date]=$A$4)*(CsDJ[Ofc Code]=(TRIM(E$7)))*(CsDJ[Account Code]=(TRIM($D46))),CsDJ[Credit])))+(SUM(IF((CRDJ[Date]=$A$4)*(CRDJ[Ofc Code]=(TRIM(E$7)))*(CRDJ[Account Code]=(TRIM($D46))),CRDJ[Credit])))+(SUM(IF((GJ[Date]=$A$4)*(GJ[Ofc Code]=(TRIM(E$7)))*(GJ[Account Code]=(TRIM($D46))),GJ[Credit])))</f>
        <v>0</v>
      </c>
      <c r="F46" s="211">
        <f t="array" ref="F46">(SUM(IF((CkDJ[Date]=$A$4)*(CkDJ[Ofc Code]=(TRIM(F$7)))*(CkDJ[Account Code]=(TRIM($D46))),CkDJ[Debit])))+(SUM(IF((CsDJ[Date]=$A$4)*(CsDJ[Ofc Code]=(TRIM(F$7)))*(CsDJ[Account Code]=(TRIM($D46))),CsDJ[Debit])))+(SUM(IF((CRDJ[Date]=$A$4)*(CRDJ[Ofc Code]=(TRIM(F$7)))*(CRDJ[Account Code]=(TRIM($D46))),CRDJ[Debit])))+(SUM(IF((GJ[Date]=$A$4)*(GJ[Ofc Code]=(TRIM(F$7)))*(GJ[Account Code]=(TRIM($D46))),GJ[Debit])))-(SUM(IF((CkDJ[Date]=$A$4)*(CkDJ[Ofc Code]=(TRIM(F$7)))*(CkDJ[Account Code]=(TRIM($D46))),CkDJ[Credit])))+(SUM(IF((CsDJ[Date]=$A$4)*(CsDJ[Ofc Code]=(TRIM(F$7)))*(CsDJ[Account Code]=(TRIM($D46))),CsDJ[Credit])))+(SUM(IF((CRDJ[Date]=$A$4)*(CRDJ[Ofc Code]=(TRIM(F$7)))*(CRDJ[Account Code]=(TRIM($D46))),CRDJ[Credit])))+(SUM(IF((GJ[Date]=$A$4)*(GJ[Ofc Code]=(TRIM(F$7)))*(GJ[Account Code]=(TRIM($D46))),GJ[Credit])))</f>
        <v>0</v>
      </c>
      <c r="G46" s="211">
        <f t="array" ref="G46">(SUM(IF((CkDJ[Date]=$A$4)*(CkDJ[Ofc Code]=(TRIM(G$7)))*(CkDJ[Account Code]=(TRIM($D46))),CkDJ[Debit])))+(SUM(IF((CsDJ[Date]=$A$4)*(CsDJ[Ofc Code]=(TRIM(G$7)))*(CsDJ[Account Code]=(TRIM($D46))),CsDJ[Debit])))+(SUM(IF((CRDJ[Date]=$A$4)*(CRDJ[Ofc Code]=(TRIM(G$7)))*(CRDJ[Account Code]=(TRIM($D46))),CRDJ[Debit])))+(SUM(IF((GJ[Date]=$A$4)*(GJ[Ofc Code]=(TRIM(G$7)))*(GJ[Account Code]=(TRIM($D46))),GJ[Debit])))-(SUM(IF((CkDJ[Date]=$A$4)*(CkDJ[Ofc Code]=(TRIM(G$7)))*(CkDJ[Account Code]=(TRIM($D46))),CkDJ[Credit])))+(SUM(IF((CsDJ[Date]=$A$4)*(CsDJ[Ofc Code]=(TRIM(G$7)))*(CsDJ[Account Code]=(TRIM($D46))),CsDJ[Credit])))+(SUM(IF((CRDJ[Date]=$A$4)*(CRDJ[Ofc Code]=(TRIM(G$7)))*(CRDJ[Account Code]=(TRIM($D46))),CRDJ[Credit])))+(SUM(IF((GJ[Date]=$A$4)*(GJ[Ofc Code]=(TRIM(G$7)))*(GJ[Account Code]=(TRIM($D46))),GJ[Credit])))</f>
        <v>0</v>
      </c>
      <c r="H46" s="211">
        <f t="array" ref="H46">(SUM(IF((CkDJ[Date]=$A$4)*(CkDJ[Ofc Code]=(TRIM(H$7)))*(CkDJ[Account Code]=(TRIM($D46))),CkDJ[Debit])))+(SUM(IF((CsDJ[Date]=$A$4)*(CsDJ[Ofc Code]=(TRIM(H$7)))*(CsDJ[Account Code]=(TRIM($D46))),CsDJ[Debit])))+(SUM(IF((CRDJ[Date]=$A$4)*(CRDJ[Ofc Code]=(TRIM(H$7)))*(CRDJ[Account Code]=(TRIM($D46))),CRDJ[Debit])))+(SUM(IF((GJ[Date]=$A$4)*(GJ[Ofc Code]=(TRIM(H$7)))*(GJ[Account Code]=(TRIM($D46))),GJ[Debit])))-(SUM(IF((CkDJ[Date]=$A$4)*(CkDJ[Ofc Code]=(TRIM(H$7)))*(CkDJ[Account Code]=(TRIM($D46))),CkDJ[Credit])))+(SUM(IF((CsDJ[Date]=$A$4)*(CsDJ[Ofc Code]=(TRIM(H$7)))*(CsDJ[Account Code]=(TRIM($D46))),CsDJ[Credit])))+(SUM(IF((CRDJ[Date]=$A$4)*(CRDJ[Ofc Code]=(TRIM(H$7)))*(CRDJ[Account Code]=(TRIM($D46))),CRDJ[Credit])))+(SUM(IF((GJ[Date]=$A$4)*(GJ[Ofc Code]=(TRIM(H$7)))*(GJ[Account Code]=(TRIM($D46))),GJ[Credit])))</f>
        <v>0</v>
      </c>
      <c r="I46" s="211">
        <f t="shared" si="8"/>
        <v>0</v>
      </c>
      <c r="J46" s="211">
        <f t="array" ref="J46">(SUM(IF((CkDJ[Date]=$A$4)*(CkDJ[Ofc Code]=(TRIM(J$7)))*(CkDJ[Account Code]=(TRIM($D46))),CkDJ[Debit])))+(SUM(IF((CsDJ[Date]=$A$4)*(CsDJ[Ofc Code]=(TRIM(J$7)))*(CsDJ[Account Code]=(TRIM($D46))),CsDJ[Debit])))+(SUM(IF((CRDJ[Date]=$A$4)*(CRDJ[Ofc Code]=(TRIM(J$7)))*(CRDJ[Account Code]=(TRIM($D46))),CRDJ[Debit])))+(SUM(IF((GJ[Date]=$A$4)*(GJ[Ofc Code]=(TRIM(J$7)))*(GJ[Account Code]=(TRIM($D46))),GJ[Debit])))-(SUM(IF((CkDJ[Date]=$A$4)*(CkDJ[Ofc Code]=(TRIM(J$7)))*(CkDJ[Account Code]=(TRIM($D46))),CkDJ[Credit])))+(SUM(IF((CsDJ[Date]=$A$4)*(CsDJ[Ofc Code]=(TRIM(J$7)))*(CsDJ[Account Code]=(TRIM($D46))),CsDJ[Credit])))+(SUM(IF((CRDJ[Date]=$A$4)*(CRDJ[Ofc Code]=(TRIM(J$7)))*(CRDJ[Account Code]=(TRIM($D46))),CRDJ[Credit])))+(SUM(IF((GJ[Date]=$A$4)*(GJ[Ofc Code]=(TRIM(J$7)))*(GJ[Account Code]=(TRIM($D46))),GJ[Credit])))</f>
        <v>0</v>
      </c>
      <c r="K46" s="211">
        <f t="array" ref="K46">(SUM(IF((CkDJ[Date]=$A$4)*(CkDJ[Ofc Code]=(TRIM(K$7)))*(CkDJ[Account Code]=(TRIM($D46))),CkDJ[Debit])))+(SUM(IF((CsDJ[Date]=$A$4)*(CsDJ[Ofc Code]=(TRIM(K$7)))*(CsDJ[Account Code]=(TRIM($D46))),CsDJ[Debit])))+(SUM(IF((CRDJ[Date]=$A$4)*(CRDJ[Ofc Code]=(TRIM(K$7)))*(CRDJ[Account Code]=(TRIM($D46))),CRDJ[Debit])))+(SUM(IF((GJ[Date]=$A$4)*(GJ[Ofc Code]=(TRIM(K$7)))*(GJ[Account Code]=(TRIM($D46))),GJ[Debit])))-(SUM(IF((CkDJ[Date]=$A$4)*(CkDJ[Ofc Code]=(TRIM(K$7)))*(CkDJ[Account Code]=(TRIM($D46))),CkDJ[Credit])))+(SUM(IF((CsDJ[Date]=$A$4)*(CsDJ[Ofc Code]=(TRIM(K$7)))*(CsDJ[Account Code]=(TRIM($D46))),CsDJ[Credit])))+(SUM(IF((CRDJ[Date]=$A$4)*(CRDJ[Ofc Code]=(TRIM(K$7)))*(CRDJ[Account Code]=(TRIM($D46))),CRDJ[Credit])))+(SUM(IF((GJ[Date]=$A$4)*(GJ[Ofc Code]=(TRIM(K$7)))*(GJ[Account Code]=(TRIM($D46))),GJ[Credit])))</f>
        <v>0</v>
      </c>
      <c r="L46" s="211">
        <f t="array" ref="L46">(SUM(IF((CkDJ[Date]=$A$4)*(CkDJ[Ofc Code]=(TRIM(L$7)))*(CkDJ[Account Code]=(TRIM($D46))),CkDJ[Debit])))+(SUM(IF((CsDJ[Date]=$A$4)*(CsDJ[Ofc Code]=(TRIM(L$7)))*(CsDJ[Account Code]=(TRIM($D46))),CsDJ[Debit])))+(SUM(IF((CRDJ[Date]=$A$4)*(CRDJ[Ofc Code]=(TRIM(L$7)))*(CRDJ[Account Code]=(TRIM($D46))),CRDJ[Debit])))+(SUM(IF((GJ[Date]=$A$4)*(GJ[Ofc Code]=(TRIM(L$7)))*(GJ[Account Code]=(TRIM($D46))),GJ[Debit])))-(SUM(IF((CkDJ[Date]=$A$4)*(CkDJ[Ofc Code]=(TRIM(L$7)))*(CkDJ[Account Code]=(TRIM($D46))),CkDJ[Credit])))+(SUM(IF((CsDJ[Date]=$A$4)*(CsDJ[Ofc Code]=(TRIM(L$7)))*(CsDJ[Account Code]=(TRIM($D46))),CsDJ[Credit])))+(SUM(IF((CRDJ[Date]=$A$4)*(CRDJ[Ofc Code]=(TRIM(L$7)))*(CRDJ[Account Code]=(TRIM($D46))),CRDJ[Credit])))+(SUM(IF((GJ[Date]=$A$4)*(GJ[Ofc Code]=(TRIM(L$7)))*(GJ[Account Code]=(TRIM($D46))),GJ[Credit])))</f>
        <v>0</v>
      </c>
      <c r="M46" s="211">
        <f t="array" ref="M46">(SUM(IF((CkDJ[Date]=$A$4)*(CkDJ[Ofc Code]=(TRIM(M$7)))*(CkDJ[Account Code]=(TRIM($D46))),CkDJ[Debit])))+(SUM(IF((CsDJ[Date]=$A$4)*(CsDJ[Ofc Code]=(TRIM(M$7)))*(CsDJ[Account Code]=(TRIM($D46))),CsDJ[Debit])))+(SUM(IF((CRDJ[Date]=$A$4)*(CRDJ[Ofc Code]=(TRIM(M$7)))*(CRDJ[Account Code]=(TRIM($D46))),CRDJ[Debit])))+(SUM(IF((GJ[Date]=$A$4)*(GJ[Ofc Code]=(TRIM(M$7)))*(GJ[Account Code]=(TRIM($D46))),GJ[Debit])))-(SUM(IF((CkDJ[Date]=$A$4)*(CkDJ[Ofc Code]=(TRIM(M$7)))*(CkDJ[Account Code]=(TRIM($D46))),CkDJ[Credit])))+(SUM(IF((CsDJ[Date]=$A$4)*(CsDJ[Ofc Code]=(TRIM(M$7)))*(CsDJ[Account Code]=(TRIM($D46))),CsDJ[Credit])))+(SUM(IF((CRDJ[Date]=$A$4)*(CRDJ[Ofc Code]=(TRIM(M$7)))*(CRDJ[Account Code]=(TRIM($D46))),CRDJ[Credit])))+(SUM(IF((GJ[Date]=$A$4)*(GJ[Ofc Code]=(TRIM(M$7)))*(GJ[Account Code]=(TRIM($D46))),GJ[Credit])))</f>
        <v>0</v>
      </c>
      <c r="N46" s="211">
        <f t="shared" si="9"/>
        <v>0</v>
      </c>
      <c r="O46" s="211">
        <f t="array" ref="O46">(SUM(IF((CkDJ[Date]=$A$4)*(CkDJ[Ofc Code]=(TRIM(O$7)))*(CkDJ[Account Code]=(TRIM($D46))),CkDJ[Debit])))+(SUM(IF((CsDJ[Date]=$A$4)*(CsDJ[Ofc Code]=(TRIM(O$7)))*(CsDJ[Account Code]=(TRIM($D46))),CsDJ[Debit])))+(SUM(IF((CRDJ[Date]=$A$4)*(CRDJ[Ofc Code]=(TRIM(O$7)))*(CRDJ[Account Code]=(TRIM($D46))),CRDJ[Debit])))+(SUM(IF((GJ[Date]=$A$4)*(GJ[Ofc Code]=(TRIM(O$7)))*(GJ[Account Code]=(TRIM($D46))),GJ[Debit])))-(SUM(IF((CkDJ[Date]=$A$4)*(CkDJ[Ofc Code]=(TRIM(O$7)))*(CkDJ[Account Code]=(TRIM($D46))),CkDJ[Credit])))+(SUM(IF((CsDJ[Date]=$A$4)*(CsDJ[Ofc Code]=(TRIM(O$7)))*(CsDJ[Account Code]=(TRIM($D46))),CsDJ[Credit])))+(SUM(IF((CRDJ[Date]=$A$4)*(CRDJ[Ofc Code]=(TRIM(O$7)))*(CRDJ[Account Code]=(TRIM($D46))),CRDJ[Credit])))+(SUM(IF((GJ[Date]=$A$4)*(GJ[Ofc Code]=(TRIM(O$7)))*(GJ[Account Code]=(TRIM($D46))),GJ[Credit])))</f>
        <v>0</v>
      </c>
      <c r="P46" s="211">
        <f t="array" ref="P46">(SUM(IF((CkDJ[Date]=$A$4)*(CkDJ[Ofc Code]=(TRIM(P$7)))*(CkDJ[Account Code]=(TRIM($D46))),CkDJ[Debit])))+(SUM(IF((CsDJ[Date]=$A$4)*(CsDJ[Ofc Code]=(TRIM(P$7)))*(CsDJ[Account Code]=(TRIM($D46))),CsDJ[Debit])))+(SUM(IF((CRDJ[Date]=$A$4)*(CRDJ[Ofc Code]=(TRIM(P$7)))*(CRDJ[Account Code]=(TRIM($D46))),CRDJ[Debit])))+(SUM(IF((GJ[Date]=$A$4)*(GJ[Ofc Code]=(TRIM(P$7)))*(GJ[Account Code]=(TRIM($D46))),GJ[Debit])))-(SUM(IF((CkDJ[Date]=$A$4)*(CkDJ[Ofc Code]=(TRIM(P$7)))*(CkDJ[Account Code]=(TRIM($D46))),CkDJ[Credit])))+(SUM(IF((CsDJ[Date]=$A$4)*(CsDJ[Ofc Code]=(TRIM(P$7)))*(CsDJ[Account Code]=(TRIM($D46))),CsDJ[Credit])))+(SUM(IF((CRDJ[Date]=$A$4)*(CRDJ[Ofc Code]=(TRIM(P$7)))*(CRDJ[Account Code]=(TRIM($D46))),CRDJ[Credit])))+(SUM(IF((GJ[Date]=$A$4)*(GJ[Ofc Code]=(TRIM(P$7)))*(GJ[Account Code]=(TRIM($D46))),GJ[Credit])))</f>
        <v>0</v>
      </c>
      <c r="Q46" s="211">
        <f t="array" ref="Q46">(SUM(IF((CkDJ[Date]=$A$4)*(CkDJ[Ofc Code]=(TRIM(Q$7)))*(CkDJ[Account Code]=(TRIM($D46))),CkDJ[Debit])))+(SUM(IF((CsDJ[Date]=$A$4)*(CsDJ[Ofc Code]=(TRIM(Q$7)))*(CsDJ[Account Code]=(TRIM($D46))),CsDJ[Debit])))+(SUM(IF((CRDJ[Date]=$A$4)*(CRDJ[Ofc Code]=(TRIM(Q$7)))*(CRDJ[Account Code]=(TRIM($D46))),CRDJ[Debit])))+(SUM(IF((GJ[Date]=$A$4)*(GJ[Ofc Code]=(TRIM(Q$7)))*(GJ[Account Code]=(TRIM($D46))),GJ[Debit])))-(SUM(IF((CkDJ[Date]=$A$4)*(CkDJ[Ofc Code]=(TRIM(Q$7)))*(CkDJ[Account Code]=(TRIM($D46))),CkDJ[Credit])))+(SUM(IF((CsDJ[Date]=$A$4)*(CsDJ[Ofc Code]=(TRIM(Q$7)))*(CsDJ[Account Code]=(TRIM($D46))),CsDJ[Credit])))+(SUM(IF((CRDJ[Date]=$A$4)*(CRDJ[Ofc Code]=(TRIM(Q$7)))*(CRDJ[Account Code]=(TRIM($D46))),CRDJ[Credit])))+(SUM(IF((GJ[Date]=$A$4)*(GJ[Ofc Code]=(TRIM(Q$7)))*(GJ[Account Code]=(TRIM($D46))),GJ[Credit])))</f>
        <v>0</v>
      </c>
      <c r="R46" s="211">
        <f t="array" ref="R46">(SUM(IF((CkDJ[Date]=$A$4)*(CkDJ[Ofc Code]=(TRIM(R$7)))*(CkDJ[Account Code]=(TRIM($D46))),CkDJ[Debit])))+(SUM(IF((CsDJ[Date]=$A$4)*(CsDJ[Ofc Code]=(TRIM(R$7)))*(CsDJ[Account Code]=(TRIM($D46))),CsDJ[Debit])))+(SUM(IF((CRDJ[Date]=$A$4)*(CRDJ[Ofc Code]=(TRIM(R$7)))*(CRDJ[Account Code]=(TRIM($D46))),CRDJ[Debit])))+(SUM(IF((GJ[Date]=$A$4)*(GJ[Ofc Code]=(TRIM(R$7)))*(GJ[Account Code]=(TRIM($D46))),GJ[Debit])))-(SUM(IF((CkDJ[Date]=$A$4)*(CkDJ[Ofc Code]=(TRIM(R$7)))*(CkDJ[Account Code]=(TRIM($D46))),CkDJ[Credit])))+(SUM(IF((CsDJ[Date]=$A$4)*(CsDJ[Ofc Code]=(TRIM(R$7)))*(CsDJ[Account Code]=(TRIM($D46))),CsDJ[Credit])))+(SUM(IF((CRDJ[Date]=$A$4)*(CRDJ[Ofc Code]=(TRIM(R$7)))*(CRDJ[Account Code]=(TRIM($D46))),CRDJ[Credit])))+(SUM(IF((GJ[Date]=$A$4)*(GJ[Ofc Code]=(TRIM(R$7)))*(GJ[Account Code]=(TRIM($D46))),GJ[Credit])))</f>
        <v>0</v>
      </c>
      <c r="S46" s="211">
        <f t="array" ref="S46">(SUM(IF((CkDJ[Date]=$A$4)*(CkDJ[Ofc Code]=(TRIM(S$7)))*(CkDJ[Account Code]=(TRIM($D46))),CkDJ[Debit])))+(SUM(IF((CsDJ[Date]=$A$4)*(CsDJ[Ofc Code]=(TRIM(S$7)))*(CsDJ[Account Code]=(TRIM($D46))),CsDJ[Debit])))+(SUM(IF((CRDJ[Date]=$A$4)*(CRDJ[Ofc Code]=(TRIM(S$7)))*(CRDJ[Account Code]=(TRIM($D46))),CRDJ[Debit])))+(SUM(IF((GJ[Date]=$A$4)*(GJ[Ofc Code]=(TRIM(S$7)))*(GJ[Account Code]=(TRIM($D46))),GJ[Debit])))-(SUM(IF((CkDJ[Date]=$A$4)*(CkDJ[Ofc Code]=(TRIM(S$7)))*(CkDJ[Account Code]=(TRIM($D46))),CkDJ[Credit])))+(SUM(IF((CsDJ[Date]=$A$4)*(CsDJ[Ofc Code]=(TRIM(S$7)))*(CsDJ[Account Code]=(TRIM($D46))),CsDJ[Credit])))+(SUM(IF((CRDJ[Date]=$A$4)*(CRDJ[Ofc Code]=(TRIM(S$7)))*(CRDJ[Account Code]=(TRIM($D46))),CRDJ[Credit])))+(SUM(IF((GJ[Date]=$A$4)*(GJ[Ofc Code]=(TRIM(S$7)))*(GJ[Account Code]=(TRIM($D46))),GJ[Credit])))</f>
        <v>0</v>
      </c>
      <c r="T46" s="211">
        <f t="shared" si="10"/>
        <v>0</v>
      </c>
      <c r="U46" s="211">
        <f t="shared" si="11"/>
        <v>0</v>
      </c>
    </row>
    <row r="47" spans="1:21" ht="15">
      <c r="A47" s="212">
        <f t="shared" si="12"/>
        <v>14</v>
      </c>
      <c r="B47" s="214" t="s">
        <v>756</v>
      </c>
      <c r="C47" s="194" t="str">
        <f t="shared" si="7"/>
        <v>Longevity Pay</v>
      </c>
      <c r="D47" s="215">
        <v>722</v>
      </c>
      <c r="E47" s="211">
        <f t="array" ref="E47">(SUM(IF((CkDJ[Date]=$A$4)*(CkDJ[Ofc Code]=(TRIM(E$7)))*(CkDJ[Account Code]=(TRIM($D47))),CkDJ[Debit])))+(SUM(IF((CsDJ[Date]=$A$4)*(CsDJ[Ofc Code]=(TRIM(E$7)))*(CsDJ[Account Code]=(TRIM($D47))),CsDJ[Debit])))+(SUM(IF((CRDJ[Date]=$A$4)*(CRDJ[Ofc Code]=(TRIM(E$7)))*(CRDJ[Account Code]=(TRIM($D47))),CRDJ[Debit])))+(SUM(IF((GJ[Date]=$A$4)*(GJ[Ofc Code]=(TRIM(E$7)))*(GJ[Account Code]=(TRIM($D47))),GJ[Debit])))-(SUM(IF((CkDJ[Date]=$A$4)*(CkDJ[Ofc Code]=(TRIM(E$7)))*(CkDJ[Account Code]=(TRIM($D47))),CkDJ[Credit])))+(SUM(IF((CsDJ[Date]=$A$4)*(CsDJ[Ofc Code]=(TRIM(E$7)))*(CsDJ[Account Code]=(TRIM($D47))),CsDJ[Credit])))+(SUM(IF((CRDJ[Date]=$A$4)*(CRDJ[Ofc Code]=(TRIM(E$7)))*(CRDJ[Account Code]=(TRIM($D47))),CRDJ[Credit])))+(SUM(IF((GJ[Date]=$A$4)*(GJ[Ofc Code]=(TRIM(E$7)))*(GJ[Account Code]=(TRIM($D47))),GJ[Credit])))</f>
        <v>0</v>
      </c>
      <c r="F47" s="211">
        <f t="array" ref="F47">(SUM(IF((CkDJ[Date]=$A$4)*(CkDJ[Ofc Code]=(TRIM(F$7)))*(CkDJ[Account Code]=(TRIM($D47))),CkDJ[Debit])))+(SUM(IF((CsDJ[Date]=$A$4)*(CsDJ[Ofc Code]=(TRIM(F$7)))*(CsDJ[Account Code]=(TRIM($D47))),CsDJ[Debit])))+(SUM(IF((CRDJ[Date]=$A$4)*(CRDJ[Ofc Code]=(TRIM(F$7)))*(CRDJ[Account Code]=(TRIM($D47))),CRDJ[Debit])))+(SUM(IF((GJ[Date]=$A$4)*(GJ[Ofc Code]=(TRIM(F$7)))*(GJ[Account Code]=(TRIM($D47))),GJ[Debit])))-(SUM(IF((CkDJ[Date]=$A$4)*(CkDJ[Ofc Code]=(TRIM(F$7)))*(CkDJ[Account Code]=(TRIM($D47))),CkDJ[Credit])))+(SUM(IF((CsDJ[Date]=$A$4)*(CsDJ[Ofc Code]=(TRIM(F$7)))*(CsDJ[Account Code]=(TRIM($D47))),CsDJ[Credit])))+(SUM(IF((CRDJ[Date]=$A$4)*(CRDJ[Ofc Code]=(TRIM(F$7)))*(CRDJ[Account Code]=(TRIM($D47))),CRDJ[Credit])))+(SUM(IF((GJ[Date]=$A$4)*(GJ[Ofc Code]=(TRIM(F$7)))*(GJ[Account Code]=(TRIM($D47))),GJ[Credit])))</f>
        <v>0</v>
      </c>
      <c r="G47" s="211">
        <f t="array" ref="G47">(SUM(IF((CkDJ[Date]=$A$4)*(CkDJ[Ofc Code]=(TRIM(G$7)))*(CkDJ[Account Code]=(TRIM($D47))),CkDJ[Debit])))+(SUM(IF((CsDJ[Date]=$A$4)*(CsDJ[Ofc Code]=(TRIM(G$7)))*(CsDJ[Account Code]=(TRIM($D47))),CsDJ[Debit])))+(SUM(IF((CRDJ[Date]=$A$4)*(CRDJ[Ofc Code]=(TRIM(G$7)))*(CRDJ[Account Code]=(TRIM($D47))),CRDJ[Debit])))+(SUM(IF((GJ[Date]=$A$4)*(GJ[Ofc Code]=(TRIM(G$7)))*(GJ[Account Code]=(TRIM($D47))),GJ[Debit])))-(SUM(IF((CkDJ[Date]=$A$4)*(CkDJ[Ofc Code]=(TRIM(G$7)))*(CkDJ[Account Code]=(TRIM($D47))),CkDJ[Credit])))+(SUM(IF((CsDJ[Date]=$A$4)*(CsDJ[Ofc Code]=(TRIM(G$7)))*(CsDJ[Account Code]=(TRIM($D47))),CsDJ[Credit])))+(SUM(IF((CRDJ[Date]=$A$4)*(CRDJ[Ofc Code]=(TRIM(G$7)))*(CRDJ[Account Code]=(TRIM($D47))),CRDJ[Credit])))+(SUM(IF((GJ[Date]=$A$4)*(GJ[Ofc Code]=(TRIM(G$7)))*(GJ[Account Code]=(TRIM($D47))),GJ[Credit])))</f>
        <v>0</v>
      </c>
      <c r="H47" s="211">
        <f t="array" ref="H47">(SUM(IF((CkDJ[Date]=$A$4)*(CkDJ[Ofc Code]=(TRIM(H$7)))*(CkDJ[Account Code]=(TRIM($D47))),CkDJ[Debit])))+(SUM(IF((CsDJ[Date]=$A$4)*(CsDJ[Ofc Code]=(TRIM(H$7)))*(CsDJ[Account Code]=(TRIM($D47))),CsDJ[Debit])))+(SUM(IF((CRDJ[Date]=$A$4)*(CRDJ[Ofc Code]=(TRIM(H$7)))*(CRDJ[Account Code]=(TRIM($D47))),CRDJ[Debit])))+(SUM(IF((GJ[Date]=$A$4)*(GJ[Ofc Code]=(TRIM(H$7)))*(GJ[Account Code]=(TRIM($D47))),GJ[Debit])))-(SUM(IF((CkDJ[Date]=$A$4)*(CkDJ[Ofc Code]=(TRIM(H$7)))*(CkDJ[Account Code]=(TRIM($D47))),CkDJ[Credit])))+(SUM(IF((CsDJ[Date]=$A$4)*(CsDJ[Ofc Code]=(TRIM(H$7)))*(CsDJ[Account Code]=(TRIM($D47))),CsDJ[Credit])))+(SUM(IF((CRDJ[Date]=$A$4)*(CRDJ[Ofc Code]=(TRIM(H$7)))*(CRDJ[Account Code]=(TRIM($D47))),CRDJ[Credit])))+(SUM(IF((GJ[Date]=$A$4)*(GJ[Ofc Code]=(TRIM(H$7)))*(GJ[Account Code]=(TRIM($D47))),GJ[Credit])))</f>
        <v>0</v>
      </c>
      <c r="I47" s="211">
        <f t="shared" si="8"/>
        <v>0</v>
      </c>
      <c r="J47" s="211">
        <f t="array" ref="J47">(SUM(IF((CkDJ[Date]=$A$4)*(CkDJ[Ofc Code]=(TRIM(J$7)))*(CkDJ[Account Code]=(TRIM($D47))),CkDJ[Debit])))+(SUM(IF((CsDJ[Date]=$A$4)*(CsDJ[Ofc Code]=(TRIM(J$7)))*(CsDJ[Account Code]=(TRIM($D47))),CsDJ[Debit])))+(SUM(IF((CRDJ[Date]=$A$4)*(CRDJ[Ofc Code]=(TRIM(J$7)))*(CRDJ[Account Code]=(TRIM($D47))),CRDJ[Debit])))+(SUM(IF((GJ[Date]=$A$4)*(GJ[Ofc Code]=(TRIM(J$7)))*(GJ[Account Code]=(TRIM($D47))),GJ[Debit])))-(SUM(IF((CkDJ[Date]=$A$4)*(CkDJ[Ofc Code]=(TRIM(J$7)))*(CkDJ[Account Code]=(TRIM($D47))),CkDJ[Credit])))+(SUM(IF((CsDJ[Date]=$A$4)*(CsDJ[Ofc Code]=(TRIM(J$7)))*(CsDJ[Account Code]=(TRIM($D47))),CsDJ[Credit])))+(SUM(IF((CRDJ[Date]=$A$4)*(CRDJ[Ofc Code]=(TRIM(J$7)))*(CRDJ[Account Code]=(TRIM($D47))),CRDJ[Credit])))+(SUM(IF((GJ[Date]=$A$4)*(GJ[Ofc Code]=(TRIM(J$7)))*(GJ[Account Code]=(TRIM($D47))),GJ[Credit])))</f>
        <v>0</v>
      </c>
      <c r="K47" s="211">
        <f t="array" ref="K47">(SUM(IF((CkDJ[Date]=$A$4)*(CkDJ[Ofc Code]=(TRIM(K$7)))*(CkDJ[Account Code]=(TRIM($D47))),CkDJ[Debit])))+(SUM(IF((CsDJ[Date]=$A$4)*(CsDJ[Ofc Code]=(TRIM(K$7)))*(CsDJ[Account Code]=(TRIM($D47))),CsDJ[Debit])))+(SUM(IF((CRDJ[Date]=$A$4)*(CRDJ[Ofc Code]=(TRIM(K$7)))*(CRDJ[Account Code]=(TRIM($D47))),CRDJ[Debit])))+(SUM(IF((GJ[Date]=$A$4)*(GJ[Ofc Code]=(TRIM(K$7)))*(GJ[Account Code]=(TRIM($D47))),GJ[Debit])))-(SUM(IF((CkDJ[Date]=$A$4)*(CkDJ[Ofc Code]=(TRIM(K$7)))*(CkDJ[Account Code]=(TRIM($D47))),CkDJ[Credit])))+(SUM(IF((CsDJ[Date]=$A$4)*(CsDJ[Ofc Code]=(TRIM(K$7)))*(CsDJ[Account Code]=(TRIM($D47))),CsDJ[Credit])))+(SUM(IF((CRDJ[Date]=$A$4)*(CRDJ[Ofc Code]=(TRIM(K$7)))*(CRDJ[Account Code]=(TRIM($D47))),CRDJ[Credit])))+(SUM(IF((GJ[Date]=$A$4)*(GJ[Ofc Code]=(TRIM(K$7)))*(GJ[Account Code]=(TRIM($D47))),GJ[Credit])))</f>
        <v>0</v>
      </c>
      <c r="L47" s="211">
        <f t="array" ref="L47">(SUM(IF((CkDJ[Date]=$A$4)*(CkDJ[Ofc Code]=(TRIM(L$7)))*(CkDJ[Account Code]=(TRIM($D47))),CkDJ[Debit])))+(SUM(IF((CsDJ[Date]=$A$4)*(CsDJ[Ofc Code]=(TRIM(L$7)))*(CsDJ[Account Code]=(TRIM($D47))),CsDJ[Debit])))+(SUM(IF((CRDJ[Date]=$A$4)*(CRDJ[Ofc Code]=(TRIM(L$7)))*(CRDJ[Account Code]=(TRIM($D47))),CRDJ[Debit])))+(SUM(IF((GJ[Date]=$A$4)*(GJ[Ofc Code]=(TRIM(L$7)))*(GJ[Account Code]=(TRIM($D47))),GJ[Debit])))-(SUM(IF((CkDJ[Date]=$A$4)*(CkDJ[Ofc Code]=(TRIM(L$7)))*(CkDJ[Account Code]=(TRIM($D47))),CkDJ[Credit])))+(SUM(IF((CsDJ[Date]=$A$4)*(CsDJ[Ofc Code]=(TRIM(L$7)))*(CsDJ[Account Code]=(TRIM($D47))),CsDJ[Credit])))+(SUM(IF((CRDJ[Date]=$A$4)*(CRDJ[Ofc Code]=(TRIM(L$7)))*(CRDJ[Account Code]=(TRIM($D47))),CRDJ[Credit])))+(SUM(IF((GJ[Date]=$A$4)*(GJ[Ofc Code]=(TRIM(L$7)))*(GJ[Account Code]=(TRIM($D47))),GJ[Credit])))</f>
        <v>0</v>
      </c>
      <c r="M47" s="211">
        <f t="array" ref="M47">(SUM(IF((CkDJ[Date]=$A$4)*(CkDJ[Ofc Code]=(TRIM(M$7)))*(CkDJ[Account Code]=(TRIM($D47))),CkDJ[Debit])))+(SUM(IF((CsDJ[Date]=$A$4)*(CsDJ[Ofc Code]=(TRIM(M$7)))*(CsDJ[Account Code]=(TRIM($D47))),CsDJ[Debit])))+(SUM(IF((CRDJ[Date]=$A$4)*(CRDJ[Ofc Code]=(TRIM(M$7)))*(CRDJ[Account Code]=(TRIM($D47))),CRDJ[Debit])))+(SUM(IF((GJ[Date]=$A$4)*(GJ[Ofc Code]=(TRIM(M$7)))*(GJ[Account Code]=(TRIM($D47))),GJ[Debit])))-(SUM(IF((CkDJ[Date]=$A$4)*(CkDJ[Ofc Code]=(TRIM(M$7)))*(CkDJ[Account Code]=(TRIM($D47))),CkDJ[Credit])))+(SUM(IF((CsDJ[Date]=$A$4)*(CsDJ[Ofc Code]=(TRIM(M$7)))*(CsDJ[Account Code]=(TRIM($D47))),CsDJ[Credit])))+(SUM(IF((CRDJ[Date]=$A$4)*(CRDJ[Ofc Code]=(TRIM(M$7)))*(CRDJ[Account Code]=(TRIM($D47))),CRDJ[Credit])))+(SUM(IF((GJ[Date]=$A$4)*(GJ[Ofc Code]=(TRIM(M$7)))*(GJ[Account Code]=(TRIM($D47))),GJ[Credit])))</f>
        <v>0</v>
      </c>
      <c r="N47" s="211">
        <f t="shared" si="9"/>
        <v>0</v>
      </c>
      <c r="O47" s="211">
        <f t="array" ref="O47">(SUM(IF((CkDJ[Date]=$A$4)*(CkDJ[Ofc Code]=(TRIM(O$7)))*(CkDJ[Account Code]=(TRIM($D47))),CkDJ[Debit])))+(SUM(IF((CsDJ[Date]=$A$4)*(CsDJ[Ofc Code]=(TRIM(O$7)))*(CsDJ[Account Code]=(TRIM($D47))),CsDJ[Debit])))+(SUM(IF((CRDJ[Date]=$A$4)*(CRDJ[Ofc Code]=(TRIM(O$7)))*(CRDJ[Account Code]=(TRIM($D47))),CRDJ[Debit])))+(SUM(IF((GJ[Date]=$A$4)*(GJ[Ofc Code]=(TRIM(O$7)))*(GJ[Account Code]=(TRIM($D47))),GJ[Debit])))-(SUM(IF((CkDJ[Date]=$A$4)*(CkDJ[Ofc Code]=(TRIM(O$7)))*(CkDJ[Account Code]=(TRIM($D47))),CkDJ[Credit])))+(SUM(IF((CsDJ[Date]=$A$4)*(CsDJ[Ofc Code]=(TRIM(O$7)))*(CsDJ[Account Code]=(TRIM($D47))),CsDJ[Credit])))+(SUM(IF((CRDJ[Date]=$A$4)*(CRDJ[Ofc Code]=(TRIM(O$7)))*(CRDJ[Account Code]=(TRIM($D47))),CRDJ[Credit])))+(SUM(IF((GJ[Date]=$A$4)*(GJ[Ofc Code]=(TRIM(O$7)))*(GJ[Account Code]=(TRIM($D47))),GJ[Credit])))</f>
        <v>0</v>
      </c>
      <c r="P47" s="211">
        <f t="array" ref="P47">(SUM(IF((CkDJ[Date]=$A$4)*(CkDJ[Ofc Code]=(TRIM(P$7)))*(CkDJ[Account Code]=(TRIM($D47))),CkDJ[Debit])))+(SUM(IF((CsDJ[Date]=$A$4)*(CsDJ[Ofc Code]=(TRIM(P$7)))*(CsDJ[Account Code]=(TRIM($D47))),CsDJ[Debit])))+(SUM(IF((CRDJ[Date]=$A$4)*(CRDJ[Ofc Code]=(TRIM(P$7)))*(CRDJ[Account Code]=(TRIM($D47))),CRDJ[Debit])))+(SUM(IF((GJ[Date]=$A$4)*(GJ[Ofc Code]=(TRIM(P$7)))*(GJ[Account Code]=(TRIM($D47))),GJ[Debit])))-(SUM(IF((CkDJ[Date]=$A$4)*(CkDJ[Ofc Code]=(TRIM(P$7)))*(CkDJ[Account Code]=(TRIM($D47))),CkDJ[Credit])))+(SUM(IF((CsDJ[Date]=$A$4)*(CsDJ[Ofc Code]=(TRIM(P$7)))*(CsDJ[Account Code]=(TRIM($D47))),CsDJ[Credit])))+(SUM(IF((CRDJ[Date]=$A$4)*(CRDJ[Ofc Code]=(TRIM(P$7)))*(CRDJ[Account Code]=(TRIM($D47))),CRDJ[Credit])))+(SUM(IF((GJ[Date]=$A$4)*(GJ[Ofc Code]=(TRIM(P$7)))*(GJ[Account Code]=(TRIM($D47))),GJ[Credit])))</f>
        <v>0</v>
      </c>
      <c r="Q47" s="211">
        <f t="array" ref="Q47">(SUM(IF((CkDJ[Date]=$A$4)*(CkDJ[Ofc Code]=(TRIM(Q$7)))*(CkDJ[Account Code]=(TRIM($D47))),CkDJ[Debit])))+(SUM(IF((CsDJ[Date]=$A$4)*(CsDJ[Ofc Code]=(TRIM(Q$7)))*(CsDJ[Account Code]=(TRIM($D47))),CsDJ[Debit])))+(SUM(IF((CRDJ[Date]=$A$4)*(CRDJ[Ofc Code]=(TRIM(Q$7)))*(CRDJ[Account Code]=(TRIM($D47))),CRDJ[Debit])))+(SUM(IF((GJ[Date]=$A$4)*(GJ[Ofc Code]=(TRIM(Q$7)))*(GJ[Account Code]=(TRIM($D47))),GJ[Debit])))-(SUM(IF((CkDJ[Date]=$A$4)*(CkDJ[Ofc Code]=(TRIM(Q$7)))*(CkDJ[Account Code]=(TRIM($D47))),CkDJ[Credit])))+(SUM(IF((CsDJ[Date]=$A$4)*(CsDJ[Ofc Code]=(TRIM(Q$7)))*(CsDJ[Account Code]=(TRIM($D47))),CsDJ[Credit])))+(SUM(IF((CRDJ[Date]=$A$4)*(CRDJ[Ofc Code]=(TRIM(Q$7)))*(CRDJ[Account Code]=(TRIM($D47))),CRDJ[Credit])))+(SUM(IF((GJ[Date]=$A$4)*(GJ[Ofc Code]=(TRIM(Q$7)))*(GJ[Account Code]=(TRIM($D47))),GJ[Credit])))</f>
        <v>0</v>
      </c>
      <c r="R47" s="211">
        <f t="array" ref="R47">(SUM(IF((CkDJ[Date]=$A$4)*(CkDJ[Ofc Code]=(TRIM(R$7)))*(CkDJ[Account Code]=(TRIM($D47))),CkDJ[Debit])))+(SUM(IF((CsDJ[Date]=$A$4)*(CsDJ[Ofc Code]=(TRIM(R$7)))*(CsDJ[Account Code]=(TRIM($D47))),CsDJ[Debit])))+(SUM(IF((CRDJ[Date]=$A$4)*(CRDJ[Ofc Code]=(TRIM(R$7)))*(CRDJ[Account Code]=(TRIM($D47))),CRDJ[Debit])))+(SUM(IF((GJ[Date]=$A$4)*(GJ[Ofc Code]=(TRIM(R$7)))*(GJ[Account Code]=(TRIM($D47))),GJ[Debit])))-(SUM(IF((CkDJ[Date]=$A$4)*(CkDJ[Ofc Code]=(TRIM(R$7)))*(CkDJ[Account Code]=(TRIM($D47))),CkDJ[Credit])))+(SUM(IF((CsDJ[Date]=$A$4)*(CsDJ[Ofc Code]=(TRIM(R$7)))*(CsDJ[Account Code]=(TRIM($D47))),CsDJ[Credit])))+(SUM(IF((CRDJ[Date]=$A$4)*(CRDJ[Ofc Code]=(TRIM(R$7)))*(CRDJ[Account Code]=(TRIM($D47))),CRDJ[Credit])))+(SUM(IF((GJ[Date]=$A$4)*(GJ[Ofc Code]=(TRIM(R$7)))*(GJ[Account Code]=(TRIM($D47))),GJ[Credit])))</f>
        <v>0</v>
      </c>
      <c r="S47" s="211">
        <f t="array" ref="S47">(SUM(IF((CkDJ[Date]=$A$4)*(CkDJ[Ofc Code]=(TRIM(S$7)))*(CkDJ[Account Code]=(TRIM($D47))),CkDJ[Debit])))+(SUM(IF((CsDJ[Date]=$A$4)*(CsDJ[Ofc Code]=(TRIM(S$7)))*(CsDJ[Account Code]=(TRIM($D47))),CsDJ[Debit])))+(SUM(IF((CRDJ[Date]=$A$4)*(CRDJ[Ofc Code]=(TRIM(S$7)))*(CRDJ[Account Code]=(TRIM($D47))),CRDJ[Debit])))+(SUM(IF((GJ[Date]=$A$4)*(GJ[Ofc Code]=(TRIM(S$7)))*(GJ[Account Code]=(TRIM($D47))),GJ[Debit])))-(SUM(IF((CkDJ[Date]=$A$4)*(CkDJ[Ofc Code]=(TRIM(S$7)))*(CkDJ[Account Code]=(TRIM($D47))),CkDJ[Credit])))+(SUM(IF((CsDJ[Date]=$A$4)*(CsDJ[Ofc Code]=(TRIM(S$7)))*(CsDJ[Account Code]=(TRIM($D47))),CsDJ[Credit])))+(SUM(IF((CRDJ[Date]=$A$4)*(CRDJ[Ofc Code]=(TRIM(S$7)))*(CRDJ[Account Code]=(TRIM($D47))),CRDJ[Credit])))+(SUM(IF((GJ[Date]=$A$4)*(GJ[Ofc Code]=(TRIM(S$7)))*(GJ[Account Code]=(TRIM($D47))),GJ[Credit])))</f>
        <v>0</v>
      </c>
      <c r="T47" s="211">
        <f t="shared" si="10"/>
        <v>0</v>
      </c>
      <c r="U47" s="211">
        <f t="shared" si="11"/>
        <v>0</v>
      </c>
    </row>
    <row r="48" spans="1:21" ht="15">
      <c r="A48" s="212">
        <f t="shared" si="12"/>
        <v>15</v>
      </c>
      <c r="B48" s="214" t="s">
        <v>756</v>
      </c>
      <c r="C48" s="194" t="str">
        <f t="shared" si="7"/>
        <v>Overtime and Night Pay</v>
      </c>
      <c r="D48" s="215">
        <v>723</v>
      </c>
      <c r="E48" s="211">
        <f t="array" ref="E48">(SUM(IF((CkDJ[Date]=$A$4)*(CkDJ[Ofc Code]=(TRIM(E$7)))*(CkDJ[Account Code]=(TRIM($D48))),CkDJ[Debit])))+(SUM(IF((CsDJ[Date]=$A$4)*(CsDJ[Ofc Code]=(TRIM(E$7)))*(CsDJ[Account Code]=(TRIM($D48))),CsDJ[Debit])))+(SUM(IF((CRDJ[Date]=$A$4)*(CRDJ[Ofc Code]=(TRIM(E$7)))*(CRDJ[Account Code]=(TRIM($D48))),CRDJ[Debit])))+(SUM(IF((GJ[Date]=$A$4)*(GJ[Ofc Code]=(TRIM(E$7)))*(GJ[Account Code]=(TRIM($D48))),GJ[Debit])))-(SUM(IF((CkDJ[Date]=$A$4)*(CkDJ[Ofc Code]=(TRIM(E$7)))*(CkDJ[Account Code]=(TRIM($D48))),CkDJ[Credit])))+(SUM(IF((CsDJ[Date]=$A$4)*(CsDJ[Ofc Code]=(TRIM(E$7)))*(CsDJ[Account Code]=(TRIM($D48))),CsDJ[Credit])))+(SUM(IF((CRDJ[Date]=$A$4)*(CRDJ[Ofc Code]=(TRIM(E$7)))*(CRDJ[Account Code]=(TRIM($D48))),CRDJ[Credit])))+(SUM(IF((GJ[Date]=$A$4)*(GJ[Ofc Code]=(TRIM(E$7)))*(GJ[Account Code]=(TRIM($D48))),GJ[Credit])))</f>
        <v>0</v>
      </c>
      <c r="F48" s="211">
        <f t="array" ref="F48">(SUM(IF((CkDJ[Date]=$A$4)*(CkDJ[Ofc Code]=(TRIM(F$7)))*(CkDJ[Account Code]=(TRIM($D48))),CkDJ[Debit])))+(SUM(IF((CsDJ[Date]=$A$4)*(CsDJ[Ofc Code]=(TRIM(F$7)))*(CsDJ[Account Code]=(TRIM($D48))),CsDJ[Debit])))+(SUM(IF((CRDJ[Date]=$A$4)*(CRDJ[Ofc Code]=(TRIM(F$7)))*(CRDJ[Account Code]=(TRIM($D48))),CRDJ[Debit])))+(SUM(IF((GJ[Date]=$A$4)*(GJ[Ofc Code]=(TRIM(F$7)))*(GJ[Account Code]=(TRIM($D48))),GJ[Debit])))-(SUM(IF((CkDJ[Date]=$A$4)*(CkDJ[Ofc Code]=(TRIM(F$7)))*(CkDJ[Account Code]=(TRIM($D48))),CkDJ[Credit])))+(SUM(IF((CsDJ[Date]=$A$4)*(CsDJ[Ofc Code]=(TRIM(F$7)))*(CsDJ[Account Code]=(TRIM($D48))),CsDJ[Credit])))+(SUM(IF((CRDJ[Date]=$A$4)*(CRDJ[Ofc Code]=(TRIM(F$7)))*(CRDJ[Account Code]=(TRIM($D48))),CRDJ[Credit])))+(SUM(IF((GJ[Date]=$A$4)*(GJ[Ofc Code]=(TRIM(F$7)))*(GJ[Account Code]=(TRIM($D48))),GJ[Credit])))</f>
        <v>0</v>
      </c>
      <c r="G48" s="211">
        <f t="array" ref="G48">(SUM(IF((CkDJ[Date]=$A$4)*(CkDJ[Ofc Code]=(TRIM(G$7)))*(CkDJ[Account Code]=(TRIM($D48))),CkDJ[Debit])))+(SUM(IF((CsDJ[Date]=$A$4)*(CsDJ[Ofc Code]=(TRIM(G$7)))*(CsDJ[Account Code]=(TRIM($D48))),CsDJ[Debit])))+(SUM(IF((CRDJ[Date]=$A$4)*(CRDJ[Ofc Code]=(TRIM(G$7)))*(CRDJ[Account Code]=(TRIM($D48))),CRDJ[Debit])))+(SUM(IF((GJ[Date]=$A$4)*(GJ[Ofc Code]=(TRIM(G$7)))*(GJ[Account Code]=(TRIM($D48))),GJ[Debit])))-(SUM(IF((CkDJ[Date]=$A$4)*(CkDJ[Ofc Code]=(TRIM(G$7)))*(CkDJ[Account Code]=(TRIM($D48))),CkDJ[Credit])))+(SUM(IF((CsDJ[Date]=$A$4)*(CsDJ[Ofc Code]=(TRIM(G$7)))*(CsDJ[Account Code]=(TRIM($D48))),CsDJ[Credit])))+(SUM(IF((CRDJ[Date]=$A$4)*(CRDJ[Ofc Code]=(TRIM(G$7)))*(CRDJ[Account Code]=(TRIM($D48))),CRDJ[Credit])))+(SUM(IF((GJ[Date]=$A$4)*(GJ[Ofc Code]=(TRIM(G$7)))*(GJ[Account Code]=(TRIM($D48))),GJ[Credit])))</f>
        <v>0</v>
      </c>
      <c r="H48" s="211">
        <f t="array" ref="H48">(SUM(IF((CkDJ[Date]=$A$4)*(CkDJ[Ofc Code]=(TRIM(H$7)))*(CkDJ[Account Code]=(TRIM($D48))),CkDJ[Debit])))+(SUM(IF((CsDJ[Date]=$A$4)*(CsDJ[Ofc Code]=(TRIM(H$7)))*(CsDJ[Account Code]=(TRIM($D48))),CsDJ[Debit])))+(SUM(IF((CRDJ[Date]=$A$4)*(CRDJ[Ofc Code]=(TRIM(H$7)))*(CRDJ[Account Code]=(TRIM($D48))),CRDJ[Debit])))+(SUM(IF((GJ[Date]=$A$4)*(GJ[Ofc Code]=(TRIM(H$7)))*(GJ[Account Code]=(TRIM($D48))),GJ[Debit])))-(SUM(IF((CkDJ[Date]=$A$4)*(CkDJ[Ofc Code]=(TRIM(H$7)))*(CkDJ[Account Code]=(TRIM($D48))),CkDJ[Credit])))+(SUM(IF((CsDJ[Date]=$A$4)*(CsDJ[Ofc Code]=(TRIM(H$7)))*(CsDJ[Account Code]=(TRIM($D48))),CsDJ[Credit])))+(SUM(IF((CRDJ[Date]=$A$4)*(CRDJ[Ofc Code]=(TRIM(H$7)))*(CRDJ[Account Code]=(TRIM($D48))),CRDJ[Credit])))+(SUM(IF((GJ[Date]=$A$4)*(GJ[Ofc Code]=(TRIM(H$7)))*(GJ[Account Code]=(TRIM($D48))),GJ[Credit])))</f>
        <v>0</v>
      </c>
      <c r="I48" s="211">
        <f t="shared" si="8"/>
        <v>0</v>
      </c>
      <c r="J48" s="211">
        <f t="array" ref="J48">(SUM(IF((CkDJ[Date]=$A$4)*(CkDJ[Ofc Code]=(TRIM(J$7)))*(CkDJ[Account Code]=(TRIM($D48))),CkDJ[Debit])))+(SUM(IF((CsDJ[Date]=$A$4)*(CsDJ[Ofc Code]=(TRIM(J$7)))*(CsDJ[Account Code]=(TRIM($D48))),CsDJ[Debit])))+(SUM(IF((CRDJ[Date]=$A$4)*(CRDJ[Ofc Code]=(TRIM(J$7)))*(CRDJ[Account Code]=(TRIM($D48))),CRDJ[Debit])))+(SUM(IF((GJ[Date]=$A$4)*(GJ[Ofc Code]=(TRIM(J$7)))*(GJ[Account Code]=(TRIM($D48))),GJ[Debit])))-(SUM(IF((CkDJ[Date]=$A$4)*(CkDJ[Ofc Code]=(TRIM(J$7)))*(CkDJ[Account Code]=(TRIM($D48))),CkDJ[Credit])))+(SUM(IF((CsDJ[Date]=$A$4)*(CsDJ[Ofc Code]=(TRIM(J$7)))*(CsDJ[Account Code]=(TRIM($D48))),CsDJ[Credit])))+(SUM(IF((CRDJ[Date]=$A$4)*(CRDJ[Ofc Code]=(TRIM(J$7)))*(CRDJ[Account Code]=(TRIM($D48))),CRDJ[Credit])))+(SUM(IF((GJ[Date]=$A$4)*(GJ[Ofc Code]=(TRIM(J$7)))*(GJ[Account Code]=(TRIM($D48))),GJ[Credit])))</f>
        <v>0</v>
      </c>
      <c r="K48" s="211">
        <f t="array" ref="K48">(SUM(IF((CkDJ[Date]=$A$4)*(CkDJ[Ofc Code]=(TRIM(K$7)))*(CkDJ[Account Code]=(TRIM($D48))),CkDJ[Debit])))+(SUM(IF((CsDJ[Date]=$A$4)*(CsDJ[Ofc Code]=(TRIM(K$7)))*(CsDJ[Account Code]=(TRIM($D48))),CsDJ[Debit])))+(SUM(IF((CRDJ[Date]=$A$4)*(CRDJ[Ofc Code]=(TRIM(K$7)))*(CRDJ[Account Code]=(TRIM($D48))),CRDJ[Debit])))+(SUM(IF((GJ[Date]=$A$4)*(GJ[Ofc Code]=(TRIM(K$7)))*(GJ[Account Code]=(TRIM($D48))),GJ[Debit])))-(SUM(IF((CkDJ[Date]=$A$4)*(CkDJ[Ofc Code]=(TRIM(K$7)))*(CkDJ[Account Code]=(TRIM($D48))),CkDJ[Credit])))+(SUM(IF((CsDJ[Date]=$A$4)*(CsDJ[Ofc Code]=(TRIM(K$7)))*(CsDJ[Account Code]=(TRIM($D48))),CsDJ[Credit])))+(SUM(IF((CRDJ[Date]=$A$4)*(CRDJ[Ofc Code]=(TRIM(K$7)))*(CRDJ[Account Code]=(TRIM($D48))),CRDJ[Credit])))+(SUM(IF((GJ[Date]=$A$4)*(GJ[Ofc Code]=(TRIM(K$7)))*(GJ[Account Code]=(TRIM($D48))),GJ[Credit])))</f>
        <v>0</v>
      </c>
      <c r="L48" s="211">
        <f t="array" ref="L48">(SUM(IF((CkDJ[Date]=$A$4)*(CkDJ[Ofc Code]=(TRIM(L$7)))*(CkDJ[Account Code]=(TRIM($D48))),CkDJ[Debit])))+(SUM(IF((CsDJ[Date]=$A$4)*(CsDJ[Ofc Code]=(TRIM(L$7)))*(CsDJ[Account Code]=(TRIM($D48))),CsDJ[Debit])))+(SUM(IF((CRDJ[Date]=$A$4)*(CRDJ[Ofc Code]=(TRIM(L$7)))*(CRDJ[Account Code]=(TRIM($D48))),CRDJ[Debit])))+(SUM(IF((GJ[Date]=$A$4)*(GJ[Ofc Code]=(TRIM(L$7)))*(GJ[Account Code]=(TRIM($D48))),GJ[Debit])))-(SUM(IF((CkDJ[Date]=$A$4)*(CkDJ[Ofc Code]=(TRIM(L$7)))*(CkDJ[Account Code]=(TRIM($D48))),CkDJ[Credit])))+(SUM(IF((CsDJ[Date]=$A$4)*(CsDJ[Ofc Code]=(TRIM(L$7)))*(CsDJ[Account Code]=(TRIM($D48))),CsDJ[Credit])))+(SUM(IF((CRDJ[Date]=$A$4)*(CRDJ[Ofc Code]=(TRIM(L$7)))*(CRDJ[Account Code]=(TRIM($D48))),CRDJ[Credit])))+(SUM(IF((GJ[Date]=$A$4)*(GJ[Ofc Code]=(TRIM(L$7)))*(GJ[Account Code]=(TRIM($D48))),GJ[Credit])))</f>
        <v>0</v>
      </c>
      <c r="M48" s="211">
        <f t="array" ref="M48">(SUM(IF((CkDJ[Date]=$A$4)*(CkDJ[Ofc Code]=(TRIM(M$7)))*(CkDJ[Account Code]=(TRIM($D48))),CkDJ[Debit])))+(SUM(IF((CsDJ[Date]=$A$4)*(CsDJ[Ofc Code]=(TRIM(M$7)))*(CsDJ[Account Code]=(TRIM($D48))),CsDJ[Debit])))+(SUM(IF((CRDJ[Date]=$A$4)*(CRDJ[Ofc Code]=(TRIM(M$7)))*(CRDJ[Account Code]=(TRIM($D48))),CRDJ[Debit])))+(SUM(IF((GJ[Date]=$A$4)*(GJ[Ofc Code]=(TRIM(M$7)))*(GJ[Account Code]=(TRIM($D48))),GJ[Debit])))-(SUM(IF((CkDJ[Date]=$A$4)*(CkDJ[Ofc Code]=(TRIM(M$7)))*(CkDJ[Account Code]=(TRIM($D48))),CkDJ[Credit])))+(SUM(IF((CsDJ[Date]=$A$4)*(CsDJ[Ofc Code]=(TRIM(M$7)))*(CsDJ[Account Code]=(TRIM($D48))),CsDJ[Credit])))+(SUM(IF((CRDJ[Date]=$A$4)*(CRDJ[Ofc Code]=(TRIM(M$7)))*(CRDJ[Account Code]=(TRIM($D48))),CRDJ[Credit])))+(SUM(IF((GJ[Date]=$A$4)*(GJ[Ofc Code]=(TRIM(M$7)))*(GJ[Account Code]=(TRIM($D48))),GJ[Credit])))</f>
        <v>0</v>
      </c>
      <c r="N48" s="211">
        <f t="shared" si="9"/>
        <v>0</v>
      </c>
      <c r="O48" s="211">
        <f t="array" ref="O48">(SUM(IF((CkDJ[Date]=$A$4)*(CkDJ[Ofc Code]=(TRIM(O$7)))*(CkDJ[Account Code]=(TRIM($D48))),CkDJ[Debit])))+(SUM(IF((CsDJ[Date]=$A$4)*(CsDJ[Ofc Code]=(TRIM(O$7)))*(CsDJ[Account Code]=(TRIM($D48))),CsDJ[Debit])))+(SUM(IF((CRDJ[Date]=$A$4)*(CRDJ[Ofc Code]=(TRIM(O$7)))*(CRDJ[Account Code]=(TRIM($D48))),CRDJ[Debit])))+(SUM(IF((GJ[Date]=$A$4)*(GJ[Ofc Code]=(TRIM(O$7)))*(GJ[Account Code]=(TRIM($D48))),GJ[Debit])))-(SUM(IF((CkDJ[Date]=$A$4)*(CkDJ[Ofc Code]=(TRIM(O$7)))*(CkDJ[Account Code]=(TRIM($D48))),CkDJ[Credit])))+(SUM(IF((CsDJ[Date]=$A$4)*(CsDJ[Ofc Code]=(TRIM(O$7)))*(CsDJ[Account Code]=(TRIM($D48))),CsDJ[Credit])))+(SUM(IF((CRDJ[Date]=$A$4)*(CRDJ[Ofc Code]=(TRIM(O$7)))*(CRDJ[Account Code]=(TRIM($D48))),CRDJ[Credit])))+(SUM(IF((GJ[Date]=$A$4)*(GJ[Ofc Code]=(TRIM(O$7)))*(GJ[Account Code]=(TRIM($D48))),GJ[Credit])))</f>
        <v>0</v>
      </c>
      <c r="P48" s="211">
        <f t="array" ref="P48">(SUM(IF((CkDJ[Date]=$A$4)*(CkDJ[Ofc Code]=(TRIM(P$7)))*(CkDJ[Account Code]=(TRIM($D48))),CkDJ[Debit])))+(SUM(IF((CsDJ[Date]=$A$4)*(CsDJ[Ofc Code]=(TRIM(P$7)))*(CsDJ[Account Code]=(TRIM($D48))),CsDJ[Debit])))+(SUM(IF((CRDJ[Date]=$A$4)*(CRDJ[Ofc Code]=(TRIM(P$7)))*(CRDJ[Account Code]=(TRIM($D48))),CRDJ[Debit])))+(SUM(IF((GJ[Date]=$A$4)*(GJ[Ofc Code]=(TRIM(P$7)))*(GJ[Account Code]=(TRIM($D48))),GJ[Debit])))-(SUM(IF((CkDJ[Date]=$A$4)*(CkDJ[Ofc Code]=(TRIM(P$7)))*(CkDJ[Account Code]=(TRIM($D48))),CkDJ[Credit])))+(SUM(IF((CsDJ[Date]=$A$4)*(CsDJ[Ofc Code]=(TRIM(P$7)))*(CsDJ[Account Code]=(TRIM($D48))),CsDJ[Credit])))+(SUM(IF((CRDJ[Date]=$A$4)*(CRDJ[Ofc Code]=(TRIM(P$7)))*(CRDJ[Account Code]=(TRIM($D48))),CRDJ[Credit])))+(SUM(IF((GJ[Date]=$A$4)*(GJ[Ofc Code]=(TRIM(P$7)))*(GJ[Account Code]=(TRIM($D48))),GJ[Credit])))</f>
        <v>0</v>
      </c>
      <c r="Q48" s="211">
        <f t="array" ref="Q48">(SUM(IF((CkDJ[Date]=$A$4)*(CkDJ[Ofc Code]=(TRIM(Q$7)))*(CkDJ[Account Code]=(TRIM($D48))),CkDJ[Debit])))+(SUM(IF((CsDJ[Date]=$A$4)*(CsDJ[Ofc Code]=(TRIM(Q$7)))*(CsDJ[Account Code]=(TRIM($D48))),CsDJ[Debit])))+(SUM(IF((CRDJ[Date]=$A$4)*(CRDJ[Ofc Code]=(TRIM(Q$7)))*(CRDJ[Account Code]=(TRIM($D48))),CRDJ[Debit])))+(SUM(IF((GJ[Date]=$A$4)*(GJ[Ofc Code]=(TRIM(Q$7)))*(GJ[Account Code]=(TRIM($D48))),GJ[Debit])))-(SUM(IF((CkDJ[Date]=$A$4)*(CkDJ[Ofc Code]=(TRIM(Q$7)))*(CkDJ[Account Code]=(TRIM($D48))),CkDJ[Credit])))+(SUM(IF((CsDJ[Date]=$A$4)*(CsDJ[Ofc Code]=(TRIM(Q$7)))*(CsDJ[Account Code]=(TRIM($D48))),CsDJ[Credit])))+(SUM(IF((CRDJ[Date]=$A$4)*(CRDJ[Ofc Code]=(TRIM(Q$7)))*(CRDJ[Account Code]=(TRIM($D48))),CRDJ[Credit])))+(SUM(IF((GJ[Date]=$A$4)*(GJ[Ofc Code]=(TRIM(Q$7)))*(GJ[Account Code]=(TRIM($D48))),GJ[Credit])))</f>
        <v>0</v>
      </c>
      <c r="R48" s="211">
        <f t="array" ref="R48">(SUM(IF((CkDJ[Date]=$A$4)*(CkDJ[Ofc Code]=(TRIM(R$7)))*(CkDJ[Account Code]=(TRIM($D48))),CkDJ[Debit])))+(SUM(IF((CsDJ[Date]=$A$4)*(CsDJ[Ofc Code]=(TRIM(R$7)))*(CsDJ[Account Code]=(TRIM($D48))),CsDJ[Debit])))+(SUM(IF((CRDJ[Date]=$A$4)*(CRDJ[Ofc Code]=(TRIM(R$7)))*(CRDJ[Account Code]=(TRIM($D48))),CRDJ[Debit])))+(SUM(IF((GJ[Date]=$A$4)*(GJ[Ofc Code]=(TRIM(R$7)))*(GJ[Account Code]=(TRIM($D48))),GJ[Debit])))-(SUM(IF((CkDJ[Date]=$A$4)*(CkDJ[Ofc Code]=(TRIM(R$7)))*(CkDJ[Account Code]=(TRIM($D48))),CkDJ[Credit])))+(SUM(IF((CsDJ[Date]=$A$4)*(CsDJ[Ofc Code]=(TRIM(R$7)))*(CsDJ[Account Code]=(TRIM($D48))),CsDJ[Credit])))+(SUM(IF((CRDJ[Date]=$A$4)*(CRDJ[Ofc Code]=(TRIM(R$7)))*(CRDJ[Account Code]=(TRIM($D48))),CRDJ[Credit])))+(SUM(IF((GJ[Date]=$A$4)*(GJ[Ofc Code]=(TRIM(R$7)))*(GJ[Account Code]=(TRIM($D48))),GJ[Credit])))</f>
        <v>0</v>
      </c>
      <c r="S48" s="211">
        <f t="array" ref="S48">(SUM(IF((CkDJ[Date]=$A$4)*(CkDJ[Ofc Code]=(TRIM(S$7)))*(CkDJ[Account Code]=(TRIM($D48))),CkDJ[Debit])))+(SUM(IF((CsDJ[Date]=$A$4)*(CsDJ[Ofc Code]=(TRIM(S$7)))*(CsDJ[Account Code]=(TRIM($D48))),CsDJ[Debit])))+(SUM(IF((CRDJ[Date]=$A$4)*(CRDJ[Ofc Code]=(TRIM(S$7)))*(CRDJ[Account Code]=(TRIM($D48))),CRDJ[Debit])))+(SUM(IF((GJ[Date]=$A$4)*(GJ[Ofc Code]=(TRIM(S$7)))*(GJ[Account Code]=(TRIM($D48))),GJ[Debit])))-(SUM(IF((CkDJ[Date]=$A$4)*(CkDJ[Ofc Code]=(TRIM(S$7)))*(CkDJ[Account Code]=(TRIM($D48))),CkDJ[Credit])))+(SUM(IF((CsDJ[Date]=$A$4)*(CsDJ[Ofc Code]=(TRIM(S$7)))*(CsDJ[Account Code]=(TRIM($D48))),CsDJ[Credit])))+(SUM(IF((CRDJ[Date]=$A$4)*(CRDJ[Ofc Code]=(TRIM(S$7)))*(CRDJ[Account Code]=(TRIM($D48))),CRDJ[Credit])))+(SUM(IF((GJ[Date]=$A$4)*(GJ[Ofc Code]=(TRIM(S$7)))*(GJ[Account Code]=(TRIM($D48))),GJ[Credit])))</f>
        <v>0</v>
      </c>
      <c r="T48" s="211">
        <f t="shared" si="10"/>
        <v>0</v>
      </c>
      <c r="U48" s="211">
        <f t="shared" si="11"/>
        <v>0</v>
      </c>
    </row>
    <row r="49" spans="1:21" ht="15">
      <c r="A49" s="212">
        <f t="shared" si="12"/>
        <v>16</v>
      </c>
      <c r="B49" s="214" t="s">
        <v>756</v>
      </c>
      <c r="C49" s="194" t="str">
        <f t="shared" si="7"/>
        <v>Cash Gift</v>
      </c>
      <c r="D49" s="215">
        <v>724</v>
      </c>
      <c r="E49" s="211">
        <f t="array" ref="E49">(SUM(IF((CkDJ[Date]=$A$4)*(CkDJ[Ofc Code]=(TRIM(E$7)))*(CkDJ[Account Code]=(TRIM($D49))),CkDJ[Debit])))+(SUM(IF((CsDJ[Date]=$A$4)*(CsDJ[Ofc Code]=(TRIM(E$7)))*(CsDJ[Account Code]=(TRIM($D49))),CsDJ[Debit])))+(SUM(IF((CRDJ[Date]=$A$4)*(CRDJ[Ofc Code]=(TRIM(E$7)))*(CRDJ[Account Code]=(TRIM($D49))),CRDJ[Debit])))+(SUM(IF((GJ[Date]=$A$4)*(GJ[Ofc Code]=(TRIM(E$7)))*(GJ[Account Code]=(TRIM($D49))),GJ[Debit])))-(SUM(IF((CkDJ[Date]=$A$4)*(CkDJ[Ofc Code]=(TRIM(E$7)))*(CkDJ[Account Code]=(TRIM($D49))),CkDJ[Credit])))+(SUM(IF((CsDJ[Date]=$A$4)*(CsDJ[Ofc Code]=(TRIM(E$7)))*(CsDJ[Account Code]=(TRIM($D49))),CsDJ[Credit])))+(SUM(IF((CRDJ[Date]=$A$4)*(CRDJ[Ofc Code]=(TRIM(E$7)))*(CRDJ[Account Code]=(TRIM($D49))),CRDJ[Credit])))+(SUM(IF((GJ[Date]=$A$4)*(GJ[Ofc Code]=(TRIM(E$7)))*(GJ[Account Code]=(TRIM($D49))),GJ[Credit])))</f>
        <v>0</v>
      </c>
      <c r="F49" s="211">
        <f t="array" ref="F49">(SUM(IF((CkDJ[Date]=$A$4)*(CkDJ[Ofc Code]=(TRIM(F$7)))*(CkDJ[Account Code]=(TRIM($D49))),CkDJ[Debit])))+(SUM(IF((CsDJ[Date]=$A$4)*(CsDJ[Ofc Code]=(TRIM(F$7)))*(CsDJ[Account Code]=(TRIM($D49))),CsDJ[Debit])))+(SUM(IF((CRDJ[Date]=$A$4)*(CRDJ[Ofc Code]=(TRIM(F$7)))*(CRDJ[Account Code]=(TRIM($D49))),CRDJ[Debit])))+(SUM(IF((GJ[Date]=$A$4)*(GJ[Ofc Code]=(TRIM(F$7)))*(GJ[Account Code]=(TRIM($D49))),GJ[Debit])))-(SUM(IF((CkDJ[Date]=$A$4)*(CkDJ[Ofc Code]=(TRIM(F$7)))*(CkDJ[Account Code]=(TRIM($D49))),CkDJ[Credit])))+(SUM(IF((CsDJ[Date]=$A$4)*(CsDJ[Ofc Code]=(TRIM(F$7)))*(CsDJ[Account Code]=(TRIM($D49))),CsDJ[Credit])))+(SUM(IF((CRDJ[Date]=$A$4)*(CRDJ[Ofc Code]=(TRIM(F$7)))*(CRDJ[Account Code]=(TRIM($D49))),CRDJ[Credit])))+(SUM(IF((GJ[Date]=$A$4)*(GJ[Ofc Code]=(TRIM(F$7)))*(GJ[Account Code]=(TRIM($D49))),GJ[Credit])))</f>
        <v>0</v>
      </c>
      <c r="G49" s="211">
        <f t="array" ref="G49">(SUM(IF((CkDJ[Date]=$A$4)*(CkDJ[Ofc Code]=(TRIM(G$7)))*(CkDJ[Account Code]=(TRIM($D49))),CkDJ[Debit])))+(SUM(IF((CsDJ[Date]=$A$4)*(CsDJ[Ofc Code]=(TRIM(G$7)))*(CsDJ[Account Code]=(TRIM($D49))),CsDJ[Debit])))+(SUM(IF((CRDJ[Date]=$A$4)*(CRDJ[Ofc Code]=(TRIM(G$7)))*(CRDJ[Account Code]=(TRIM($D49))),CRDJ[Debit])))+(SUM(IF((GJ[Date]=$A$4)*(GJ[Ofc Code]=(TRIM(G$7)))*(GJ[Account Code]=(TRIM($D49))),GJ[Debit])))-(SUM(IF((CkDJ[Date]=$A$4)*(CkDJ[Ofc Code]=(TRIM(G$7)))*(CkDJ[Account Code]=(TRIM($D49))),CkDJ[Credit])))+(SUM(IF((CsDJ[Date]=$A$4)*(CsDJ[Ofc Code]=(TRIM(G$7)))*(CsDJ[Account Code]=(TRIM($D49))),CsDJ[Credit])))+(SUM(IF((CRDJ[Date]=$A$4)*(CRDJ[Ofc Code]=(TRIM(G$7)))*(CRDJ[Account Code]=(TRIM($D49))),CRDJ[Credit])))+(SUM(IF((GJ[Date]=$A$4)*(GJ[Ofc Code]=(TRIM(G$7)))*(GJ[Account Code]=(TRIM($D49))),GJ[Credit])))</f>
        <v>0</v>
      </c>
      <c r="H49" s="211">
        <f t="array" ref="H49">(SUM(IF((CkDJ[Date]=$A$4)*(CkDJ[Ofc Code]=(TRIM(H$7)))*(CkDJ[Account Code]=(TRIM($D49))),CkDJ[Debit])))+(SUM(IF((CsDJ[Date]=$A$4)*(CsDJ[Ofc Code]=(TRIM(H$7)))*(CsDJ[Account Code]=(TRIM($D49))),CsDJ[Debit])))+(SUM(IF((CRDJ[Date]=$A$4)*(CRDJ[Ofc Code]=(TRIM(H$7)))*(CRDJ[Account Code]=(TRIM($D49))),CRDJ[Debit])))+(SUM(IF((GJ[Date]=$A$4)*(GJ[Ofc Code]=(TRIM(H$7)))*(GJ[Account Code]=(TRIM($D49))),GJ[Debit])))-(SUM(IF((CkDJ[Date]=$A$4)*(CkDJ[Ofc Code]=(TRIM(H$7)))*(CkDJ[Account Code]=(TRIM($D49))),CkDJ[Credit])))+(SUM(IF((CsDJ[Date]=$A$4)*(CsDJ[Ofc Code]=(TRIM(H$7)))*(CsDJ[Account Code]=(TRIM($D49))),CsDJ[Credit])))+(SUM(IF((CRDJ[Date]=$A$4)*(CRDJ[Ofc Code]=(TRIM(H$7)))*(CRDJ[Account Code]=(TRIM($D49))),CRDJ[Credit])))+(SUM(IF((GJ[Date]=$A$4)*(GJ[Ofc Code]=(TRIM(H$7)))*(GJ[Account Code]=(TRIM($D49))),GJ[Credit])))</f>
        <v>0</v>
      </c>
      <c r="I49" s="211">
        <f t="shared" si="8"/>
        <v>0</v>
      </c>
      <c r="J49" s="211">
        <f t="array" ref="J49">(SUM(IF((CkDJ[Date]=$A$4)*(CkDJ[Ofc Code]=(TRIM(J$7)))*(CkDJ[Account Code]=(TRIM($D49))),CkDJ[Debit])))+(SUM(IF((CsDJ[Date]=$A$4)*(CsDJ[Ofc Code]=(TRIM(J$7)))*(CsDJ[Account Code]=(TRIM($D49))),CsDJ[Debit])))+(SUM(IF((CRDJ[Date]=$A$4)*(CRDJ[Ofc Code]=(TRIM(J$7)))*(CRDJ[Account Code]=(TRIM($D49))),CRDJ[Debit])))+(SUM(IF((GJ[Date]=$A$4)*(GJ[Ofc Code]=(TRIM(J$7)))*(GJ[Account Code]=(TRIM($D49))),GJ[Debit])))-(SUM(IF((CkDJ[Date]=$A$4)*(CkDJ[Ofc Code]=(TRIM(J$7)))*(CkDJ[Account Code]=(TRIM($D49))),CkDJ[Credit])))+(SUM(IF((CsDJ[Date]=$A$4)*(CsDJ[Ofc Code]=(TRIM(J$7)))*(CsDJ[Account Code]=(TRIM($D49))),CsDJ[Credit])))+(SUM(IF((CRDJ[Date]=$A$4)*(CRDJ[Ofc Code]=(TRIM(J$7)))*(CRDJ[Account Code]=(TRIM($D49))),CRDJ[Credit])))+(SUM(IF((GJ[Date]=$A$4)*(GJ[Ofc Code]=(TRIM(J$7)))*(GJ[Account Code]=(TRIM($D49))),GJ[Credit])))</f>
        <v>0</v>
      </c>
      <c r="K49" s="211">
        <f t="array" ref="K49">(SUM(IF((CkDJ[Date]=$A$4)*(CkDJ[Ofc Code]=(TRIM(K$7)))*(CkDJ[Account Code]=(TRIM($D49))),CkDJ[Debit])))+(SUM(IF((CsDJ[Date]=$A$4)*(CsDJ[Ofc Code]=(TRIM(K$7)))*(CsDJ[Account Code]=(TRIM($D49))),CsDJ[Debit])))+(SUM(IF((CRDJ[Date]=$A$4)*(CRDJ[Ofc Code]=(TRIM(K$7)))*(CRDJ[Account Code]=(TRIM($D49))),CRDJ[Debit])))+(SUM(IF((GJ[Date]=$A$4)*(GJ[Ofc Code]=(TRIM(K$7)))*(GJ[Account Code]=(TRIM($D49))),GJ[Debit])))-(SUM(IF((CkDJ[Date]=$A$4)*(CkDJ[Ofc Code]=(TRIM(K$7)))*(CkDJ[Account Code]=(TRIM($D49))),CkDJ[Credit])))+(SUM(IF((CsDJ[Date]=$A$4)*(CsDJ[Ofc Code]=(TRIM(K$7)))*(CsDJ[Account Code]=(TRIM($D49))),CsDJ[Credit])))+(SUM(IF((CRDJ[Date]=$A$4)*(CRDJ[Ofc Code]=(TRIM(K$7)))*(CRDJ[Account Code]=(TRIM($D49))),CRDJ[Credit])))+(SUM(IF((GJ[Date]=$A$4)*(GJ[Ofc Code]=(TRIM(K$7)))*(GJ[Account Code]=(TRIM($D49))),GJ[Credit])))</f>
        <v>0</v>
      </c>
      <c r="L49" s="211">
        <f t="array" ref="L49">(SUM(IF((CkDJ[Date]=$A$4)*(CkDJ[Ofc Code]=(TRIM(L$7)))*(CkDJ[Account Code]=(TRIM($D49))),CkDJ[Debit])))+(SUM(IF((CsDJ[Date]=$A$4)*(CsDJ[Ofc Code]=(TRIM(L$7)))*(CsDJ[Account Code]=(TRIM($D49))),CsDJ[Debit])))+(SUM(IF((CRDJ[Date]=$A$4)*(CRDJ[Ofc Code]=(TRIM(L$7)))*(CRDJ[Account Code]=(TRIM($D49))),CRDJ[Debit])))+(SUM(IF((GJ[Date]=$A$4)*(GJ[Ofc Code]=(TRIM(L$7)))*(GJ[Account Code]=(TRIM($D49))),GJ[Debit])))-(SUM(IF((CkDJ[Date]=$A$4)*(CkDJ[Ofc Code]=(TRIM(L$7)))*(CkDJ[Account Code]=(TRIM($D49))),CkDJ[Credit])))+(SUM(IF((CsDJ[Date]=$A$4)*(CsDJ[Ofc Code]=(TRIM(L$7)))*(CsDJ[Account Code]=(TRIM($D49))),CsDJ[Credit])))+(SUM(IF((CRDJ[Date]=$A$4)*(CRDJ[Ofc Code]=(TRIM(L$7)))*(CRDJ[Account Code]=(TRIM($D49))),CRDJ[Credit])))+(SUM(IF((GJ[Date]=$A$4)*(GJ[Ofc Code]=(TRIM(L$7)))*(GJ[Account Code]=(TRIM($D49))),GJ[Credit])))</f>
        <v>0</v>
      </c>
      <c r="M49" s="211">
        <f t="array" ref="M49">(SUM(IF((CkDJ[Date]=$A$4)*(CkDJ[Ofc Code]=(TRIM(M$7)))*(CkDJ[Account Code]=(TRIM($D49))),CkDJ[Debit])))+(SUM(IF((CsDJ[Date]=$A$4)*(CsDJ[Ofc Code]=(TRIM(M$7)))*(CsDJ[Account Code]=(TRIM($D49))),CsDJ[Debit])))+(SUM(IF((CRDJ[Date]=$A$4)*(CRDJ[Ofc Code]=(TRIM(M$7)))*(CRDJ[Account Code]=(TRIM($D49))),CRDJ[Debit])))+(SUM(IF((GJ[Date]=$A$4)*(GJ[Ofc Code]=(TRIM(M$7)))*(GJ[Account Code]=(TRIM($D49))),GJ[Debit])))-(SUM(IF((CkDJ[Date]=$A$4)*(CkDJ[Ofc Code]=(TRIM(M$7)))*(CkDJ[Account Code]=(TRIM($D49))),CkDJ[Credit])))+(SUM(IF((CsDJ[Date]=$A$4)*(CsDJ[Ofc Code]=(TRIM(M$7)))*(CsDJ[Account Code]=(TRIM($D49))),CsDJ[Credit])))+(SUM(IF((CRDJ[Date]=$A$4)*(CRDJ[Ofc Code]=(TRIM(M$7)))*(CRDJ[Account Code]=(TRIM($D49))),CRDJ[Credit])))+(SUM(IF((GJ[Date]=$A$4)*(GJ[Ofc Code]=(TRIM(M$7)))*(GJ[Account Code]=(TRIM($D49))),GJ[Credit])))</f>
        <v>0</v>
      </c>
      <c r="N49" s="211">
        <f t="shared" si="9"/>
        <v>0</v>
      </c>
      <c r="O49" s="211">
        <f t="array" ref="O49">(SUM(IF((CkDJ[Date]=$A$4)*(CkDJ[Ofc Code]=(TRIM(O$7)))*(CkDJ[Account Code]=(TRIM($D49))),CkDJ[Debit])))+(SUM(IF((CsDJ[Date]=$A$4)*(CsDJ[Ofc Code]=(TRIM(O$7)))*(CsDJ[Account Code]=(TRIM($D49))),CsDJ[Debit])))+(SUM(IF((CRDJ[Date]=$A$4)*(CRDJ[Ofc Code]=(TRIM(O$7)))*(CRDJ[Account Code]=(TRIM($D49))),CRDJ[Debit])))+(SUM(IF((GJ[Date]=$A$4)*(GJ[Ofc Code]=(TRIM(O$7)))*(GJ[Account Code]=(TRIM($D49))),GJ[Debit])))-(SUM(IF((CkDJ[Date]=$A$4)*(CkDJ[Ofc Code]=(TRIM(O$7)))*(CkDJ[Account Code]=(TRIM($D49))),CkDJ[Credit])))+(SUM(IF((CsDJ[Date]=$A$4)*(CsDJ[Ofc Code]=(TRIM(O$7)))*(CsDJ[Account Code]=(TRIM($D49))),CsDJ[Credit])))+(SUM(IF((CRDJ[Date]=$A$4)*(CRDJ[Ofc Code]=(TRIM(O$7)))*(CRDJ[Account Code]=(TRIM($D49))),CRDJ[Credit])))+(SUM(IF((GJ[Date]=$A$4)*(GJ[Ofc Code]=(TRIM(O$7)))*(GJ[Account Code]=(TRIM($D49))),GJ[Credit])))</f>
        <v>0</v>
      </c>
      <c r="P49" s="211">
        <f t="array" ref="P49">(SUM(IF((CkDJ[Date]=$A$4)*(CkDJ[Ofc Code]=(TRIM(P$7)))*(CkDJ[Account Code]=(TRIM($D49))),CkDJ[Debit])))+(SUM(IF((CsDJ[Date]=$A$4)*(CsDJ[Ofc Code]=(TRIM(P$7)))*(CsDJ[Account Code]=(TRIM($D49))),CsDJ[Debit])))+(SUM(IF((CRDJ[Date]=$A$4)*(CRDJ[Ofc Code]=(TRIM(P$7)))*(CRDJ[Account Code]=(TRIM($D49))),CRDJ[Debit])))+(SUM(IF((GJ[Date]=$A$4)*(GJ[Ofc Code]=(TRIM(P$7)))*(GJ[Account Code]=(TRIM($D49))),GJ[Debit])))-(SUM(IF((CkDJ[Date]=$A$4)*(CkDJ[Ofc Code]=(TRIM(P$7)))*(CkDJ[Account Code]=(TRIM($D49))),CkDJ[Credit])))+(SUM(IF((CsDJ[Date]=$A$4)*(CsDJ[Ofc Code]=(TRIM(P$7)))*(CsDJ[Account Code]=(TRIM($D49))),CsDJ[Credit])))+(SUM(IF((CRDJ[Date]=$A$4)*(CRDJ[Ofc Code]=(TRIM(P$7)))*(CRDJ[Account Code]=(TRIM($D49))),CRDJ[Credit])))+(SUM(IF((GJ[Date]=$A$4)*(GJ[Ofc Code]=(TRIM(P$7)))*(GJ[Account Code]=(TRIM($D49))),GJ[Credit])))</f>
        <v>0</v>
      </c>
      <c r="Q49" s="211">
        <f t="array" ref="Q49">(SUM(IF((CkDJ[Date]=$A$4)*(CkDJ[Ofc Code]=(TRIM(Q$7)))*(CkDJ[Account Code]=(TRIM($D49))),CkDJ[Debit])))+(SUM(IF((CsDJ[Date]=$A$4)*(CsDJ[Ofc Code]=(TRIM(Q$7)))*(CsDJ[Account Code]=(TRIM($D49))),CsDJ[Debit])))+(SUM(IF((CRDJ[Date]=$A$4)*(CRDJ[Ofc Code]=(TRIM(Q$7)))*(CRDJ[Account Code]=(TRIM($D49))),CRDJ[Debit])))+(SUM(IF((GJ[Date]=$A$4)*(GJ[Ofc Code]=(TRIM(Q$7)))*(GJ[Account Code]=(TRIM($D49))),GJ[Debit])))-(SUM(IF((CkDJ[Date]=$A$4)*(CkDJ[Ofc Code]=(TRIM(Q$7)))*(CkDJ[Account Code]=(TRIM($D49))),CkDJ[Credit])))+(SUM(IF((CsDJ[Date]=$A$4)*(CsDJ[Ofc Code]=(TRIM(Q$7)))*(CsDJ[Account Code]=(TRIM($D49))),CsDJ[Credit])))+(SUM(IF((CRDJ[Date]=$A$4)*(CRDJ[Ofc Code]=(TRIM(Q$7)))*(CRDJ[Account Code]=(TRIM($D49))),CRDJ[Credit])))+(SUM(IF((GJ[Date]=$A$4)*(GJ[Ofc Code]=(TRIM(Q$7)))*(GJ[Account Code]=(TRIM($D49))),GJ[Credit])))</f>
        <v>0</v>
      </c>
      <c r="R49" s="211">
        <f t="array" ref="R49">(SUM(IF((CkDJ[Date]=$A$4)*(CkDJ[Ofc Code]=(TRIM(R$7)))*(CkDJ[Account Code]=(TRIM($D49))),CkDJ[Debit])))+(SUM(IF((CsDJ[Date]=$A$4)*(CsDJ[Ofc Code]=(TRIM(R$7)))*(CsDJ[Account Code]=(TRIM($D49))),CsDJ[Debit])))+(SUM(IF((CRDJ[Date]=$A$4)*(CRDJ[Ofc Code]=(TRIM(R$7)))*(CRDJ[Account Code]=(TRIM($D49))),CRDJ[Debit])))+(SUM(IF((GJ[Date]=$A$4)*(GJ[Ofc Code]=(TRIM(R$7)))*(GJ[Account Code]=(TRIM($D49))),GJ[Debit])))-(SUM(IF((CkDJ[Date]=$A$4)*(CkDJ[Ofc Code]=(TRIM(R$7)))*(CkDJ[Account Code]=(TRIM($D49))),CkDJ[Credit])))+(SUM(IF((CsDJ[Date]=$A$4)*(CsDJ[Ofc Code]=(TRIM(R$7)))*(CsDJ[Account Code]=(TRIM($D49))),CsDJ[Credit])))+(SUM(IF((CRDJ[Date]=$A$4)*(CRDJ[Ofc Code]=(TRIM(R$7)))*(CRDJ[Account Code]=(TRIM($D49))),CRDJ[Credit])))+(SUM(IF((GJ[Date]=$A$4)*(GJ[Ofc Code]=(TRIM(R$7)))*(GJ[Account Code]=(TRIM($D49))),GJ[Credit])))</f>
        <v>0</v>
      </c>
      <c r="S49" s="211">
        <f t="array" ref="S49">(SUM(IF((CkDJ[Date]=$A$4)*(CkDJ[Ofc Code]=(TRIM(S$7)))*(CkDJ[Account Code]=(TRIM($D49))),CkDJ[Debit])))+(SUM(IF((CsDJ[Date]=$A$4)*(CsDJ[Ofc Code]=(TRIM(S$7)))*(CsDJ[Account Code]=(TRIM($D49))),CsDJ[Debit])))+(SUM(IF((CRDJ[Date]=$A$4)*(CRDJ[Ofc Code]=(TRIM(S$7)))*(CRDJ[Account Code]=(TRIM($D49))),CRDJ[Debit])))+(SUM(IF((GJ[Date]=$A$4)*(GJ[Ofc Code]=(TRIM(S$7)))*(GJ[Account Code]=(TRIM($D49))),GJ[Debit])))-(SUM(IF((CkDJ[Date]=$A$4)*(CkDJ[Ofc Code]=(TRIM(S$7)))*(CkDJ[Account Code]=(TRIM($D49))),CkDJ[Credit])))+(SUM(IF((CsDJ[Date]=$A$4)*(CsDJ[Ofc Code]=(TRIM(S$7)))*(CsDJ[Account Code]=(TRIM($D49))),CsDJ[Credit])))+(SUM(IF((CRDJ[Date]=$A$4)*(CRDJ[Ofc Code]=(TRIM(S$7)))*(CRDJ[Account Code]=(TRIM($D49))),CRDJ[Credit])))+(SUM(IF((GJ[Date]=$A$4)*(GJ[Ofc Code]=(TRIM(S$7)))*(GJ[Account Code]=(TRIM($D49))),GJ[Credit])))</f>
        <v>0</v>
      </c>
      <c r="T49" s="211">
        <f t="shared" si="10"/>
        <v>0</v>
      </c>
      <c r="U49" s="211">
        <f t="shared" si="11"/>
        <v>0</v>
      </c>
    </row>
    <row r="50" spans="1:21" ht="15">
      <c r="A50" s="212">
        <f t="shared" si="12"/>
        <v>17</v>
      </c>
      <c r="B50" s="214" t="s">
        <v>756</v>
      </c>
      <c r="C50" s="194" t="str">
        <f t="shared" si="7"/>
        <v>Mid-Year/Year End Bonus</v>
      </c>
      <c r="D50" s="215">
        <v>725</v>
      </c>
      <c r="E50" s="211">
        <f t="array" ref="E50">(SUM(IF((CkDJ[Date]=$A$4)*(CkDJ[Ofc Code]=(TRIM(E$7)))*(CkDJ[Account Code]=(TRIM($D50))),CkDJ[Debit])))+(SUM(IF((CsDJ[Date]=$A$4)*(CsDJ[Ofc Code]=(TRIM(E$7)))*(CsDJ[Account Code]=(TRIM($D50))),CsDJ[Debit])))+(SUM(IF((CRDJ[Date]=$A$4)*(CRDJ[Ofc Code]=(TRIM(E$7)))*(CRDJ[Account Code]=(TRIM($D50))),CRDJ[Debit])))+(SUM(IF((GJ[Date]=$A$4)*(GJ[Ofc Code]=(TRIM(E$7)))*(GJ[Account Code]=(TRIM($D50))),GJ[Debit])))-(SUM(IF((CkDJ[Date]=$A$4)*(CkDJ[Ofc Code]=(TRIM(E$7)))*(CkDJ[Account Code]=(TRIM($D50))),CkDJ[Credit])))+(SUM(IF((CsDJ[Date]=$A$4)*(CsDJ[Ofc Code]=(TRIM(E$7)))*(CsDJ[Account Code]=(TRIM($D50))),CsDJ[Credit])))+(SUM(IF((CRDJ[Date]=$A$4)*(CRDJ[Ofc Code]=(TRIM(E$7)))*(CRDJ[Account Code]=(TRIM($D50))),CRDJ[Credit])))+(SUM(IF((GJ[Date]=$A$4)*(GJ[Ofc Code]=(TRIM(E$7)))*(GJ[Account Code]=(TRIM($D50))),GJ[Credit])))</f>
        <v>0</v>
      </c>
      <c r="F50" s="211">
        <f t="array" ref="F50">(SUM(IF((CkDJ[Date]=$A$4)*(CkDJ[Ofc Code]=(TRIM(F$7)))*(CkDJ[Account Code]=(TRIM($D50))),CkDJ[Debit])))+(SUM(IF((CsDJ[Date]=$A$4)*(CsDJ[Ofc Code]=(TRIM(F$7)))*(CsDJ[Account Code]=(TRIM($D50))),CsDJ[Debit])))+(SUM(IF((CRDJ[Date]=$A$4)*(CRDJ[Ofc Code]=(TRIM(F$7)))*(CRDJ[Account Code]=(TRIM($D50))),CRDJ[Debit])))+(SUM(IF((GJ[Date]=$A$4)*(GJ[Ofc Code]=(TRIM(F$7)))*(GJ[Account Code]=(TRIM($D50))),GJ[Debit])))-(SUM(IF((CkDJ[Date]=$A$4)*(CkDJ[Ofc Code]=(TRIM(F$7)))*(CkDJ[Account Code]=(TRIM($D50))),CkDJ[Credit])))+(SUM(IF((CsDJ[Date]=$A$4)*(CsDJ[Ofc Code]=(TRIM(F$7)))*(CsDJ[Account Code]=(TRIM($D50))),CsDJ[Credit])))+(SUM(IF((CRDJ[Date]=$A$4)*(CRDJ[Ofc Code]=(TRIM(F$7)))*(CRDJ[Account Code]=(TRIM($D50))),CRDJ[Credit])))+(SUM(IF((GJ[Date]=$A$4)*(GJ[Ofc Code]=(TRIM(F$7)))*(GJ[Account Code]=(TRIM($D50))),GJ[Credit])))</f>
        <v>0</v>
      </c>
      <c r="G50" s="211">
        <f t="array" ref="G50">(SUM(IF((CkDJ[Date]=$A$4)*(CkDJ[Ofc Code]=(TRIM(G$7)))*(CkDJ[Account Code]=(TRIM($D50))),CkDJ[Debit])))+(SUM(IF((CsDJ[Date]=$A$4)*(CsDJ[Ofc Code]=(TRIM(G$7)))*(CsDJ[Account Code]=(TRIM($D50))),CsDJ[Debit])))+(SUM(IF((CRDJ[Date]=$A$4)*(CRDJ[Ofc Code]=(TRIM(G$7)))*(CRDJ[Account Code]=(TRIM($D50))),CRDJ[Debit])))+(SUM(IF((GJ[Date]=$A$4)*(GJ[Ofc Code]=(TRIM(G$7)))*(GJ[Account Code]=(TRIM($D50))),GJ[Debit])))-(SUM(IF((CkDJ[Date]=$A$4)*(CkDJ[Ofc Code]=(TRIM(G$7)))*(CkDJ[Account Code]=(TRIM($D50))),CkDJ[Credit])))+(SUM(IF((CsDJ[Date]=$A$4)*(CsDJ[Ofc Code]=(TRIM(G$7)))*(CsDJ[Account Code]=(TRIM($D50))),CsDJ[Credit])))+(SUM(IF((CRDJ[Date]=$A$4)*(CRDJ[Ofc Code]=(TRIM(G$7)))*(CRDJ[Account Code]=(TRIM($D50))),CRDJ[Credit])))+(SUM(IF((GJ[Date]=$A$4)*(GJ[Ofc Code]=(TRIM(G$7)))*(GJ[Account Code]=(TRIM($D50))),GJ[Credit])))</f>
        <v>0</v>
      </c>
      <c r="H50" s="211">
        <f t="array" ref="H50">(SUM(IF((CkDJ[Date]=$A$4)*(CkDJ[Ofc Code]=(TRIM(H$7)))*(CkDJ[Account Code]=(TRIM($D50))),CkDJ[Debit])))+(SUM(IF((CsDJ[Date]=$A$4)*(CsDJ[Ofc Code]=(TRIM(H$7)))*(CsDJ[Account Code]=(TRIM($D50))),CsDJ[Debit])))+(SUM(IF((CRDJ[Date]=$A$4)*(CRDJ[Ofc Code]=(TRIM(H$7)))*(CRDJ[Account Code]=(TRIM($D50))),CRDJ[Debit])))+(SUM(IF((GJ[Date]=$A$4)*(GJ[Ofc Code]=(TRIM(H$7)))*(GJ[Account Code]=(TRIM($D50))),GJ[Debit])))-(SUM(IF((CkDJ[Date]=$A$4)*(CkDJ[Ofc Code]=(TRIM(H$7)))*(CkDJ[Account Code]=(TRIM($D50))),CkDJ[Credit])))+(SUM(IF((CsDJ[Date]=$A$4)*(CsDJ[Ofc Code]=(TRIM(H$7)))*(CsDJ[Account Code]=(TRIM($D50))),CsDJ[Credit])))+(SUM(IF((CRDJ[Date]=$A$4)*(CRDJ[Ofc Code]=(TRIM(H$7)))*(CRDJ[Account Code]=(TRIM($D50))),CRDJ[Credit])))+(SUM(IF((GJ[Date]=$A$4)*(GJ[Ofc Code]=(TRIM(H$7)))*(GJ[Account Code]=(TRIM($D50))),GJ[Credit])))</f>
        <v>0</v>
      </c>
      <c r="I50" s="211">
        <f t="shared" si="8"/>
        <v>0</v>
      </c>
      <c r="J50" s="211">
        <f t="array" ref="J50">(SUM(IF((CkDJ[Date]=$A$4)*(CkDJ[Ofc Code]=(TRIM(J$7)))*(CkDJ[Account Code]=(TRIM($D50))),CkDJ[Debit])))+(SUM(IF((CsDJ[Date]=$A$4)*(CsDJ[Ofc Code]=(TRIM(J$7)))*(CsDJ[Account Code]=(TRIM($D50))),CsDJ[Debit])))+(SUM(IF((CRDJ[Date]=$A$4)*(CRDJ[Ofc Code]=(TRIM(J$7)))*(CRDJ[Account Code]=(TRIM($D50))),CRDJ[Debit])))+(SUM(IF((GJ[Date]=$A$4)*(GJ[Ofc Code]=(TRIM(J$7)))*(GJ[Account Code]=(TRIM($D50))),GJ[Debit])))-(SUM(IF((CkDJ[Date]=$A$4)*(CkDJ[Ofc Code]=(TRIM(J$7)))*(CkDJ[Account Code]=(TRIM($D50))),CkDJ[Credit])))+(SUM(IF((CsDJ[Date]=$A$4)*(CsDJ[Ofc Code]=(TRIM(J$7)))*(CsDJ[Account Code]=(TRIM($D50))),CsDJ[Credit])))+(SUM(IF((CRDJ[Date]=$A$4)*(CRDJ[Ofc Code]=(TRIM(J$7)))*(CRDJ[Account Code]=(TRIM($D50))),CRDJ[Credit])))+(SUM(IF((GJ[Date]=$A$4)*(GJ[Ofc Code]=(TRIM(J$7)))*(GJ[Account Code]=(TRIM($D50))),GJ[Credit])))</f>
        <v>0</v>
      </c>
      <c r="K50" s="211">
        <f t="array" ref="K50">(SUM(IF((CkDJ[Date]=$A$4)*(CkDJ[Ofc Code]=(TRIM(K$7)))*(CkDJ[Account Code]=(TRIM($D50))),CkDJ[Debit])))+(SUM(IF((CsDJ[Date]=$A$4)*(CsDJ[Ofc Code]=(TRIM(K$7)))*(CsDJ[Account Code]=(TRIM($D50))),CsDJ[Debit])))+(SUM(IF((CRDJ[Date]=$A$4)*(CRDJ[Ofc Code]=(TRIM(K$7)))*(CRDJ[Account Code]=(TRIM($D50))),CRDJ[Debit])))+(SUM(IF((GJ[Date]=$A$4)*(GJ[Ofc Code]=(TRIM(K$7)))*(GJ[Account Code]=(TRIM($D50))),GJ[Debit])))-(SUM(IF((CkDJ[Date]=$A$4)*(CkDJ[Ofc Code]=(TRIM(K$7)))*(CkDJ[Account Code]=(TRIM($D50))),CkDJ[Credit])))+(SUM(IF((CsDJ[Date]=$A$4)*(CsDJ[Ofc Code]=(TRIM(K$7)))*(CsDJ[Account Code]=(TRIM($D50))),CsDJ[Credit])))+(SUM(IF((CRDJ[Date]=$A$4)*(CRDJ[Ofc Code]=(TRIM(K$7)))*(CRDJ[Account Code]=(TRIM($D50))),CRDJ[Credit])))+(SUM(IF((GJ[Date]=$A$4)*(GJ[Ofc Code]=(TRIM(K$7)))*(GJ[Account Code]=(TRIM($D50))),GJ[Credit])))</f>
        <v>0</v>
      </c>
      <c r="L50" s="211">
        <f t="array" ref="L50">(SUM(IF((CkDJ[Date]=$A$4)*(CkDJ[Ofc Code]=(TRIM(L$7)))*(CkDJ[Account Code]=(TRIM($D50))),CkDJ[Debit])))+(SUM(IF((CsDJ[Date]=$A$4)*(CsDJ[Ofc Code]=(TRIM(L$7)))*(CsDJ[Account Code]=(TRIM($D50))),CsDJ[Debit])))+(SUM(IF((CRDJ[Date]=$A$4)*(CRDJ[Ofc Code]=(TRIM(L$7)))*(CRDJ[Account Code]=(TRIM($D50))),CRDJ[Debit])))+(SUM(IF((GJ[Date]=$A$4)*(GJ[Ofc Code]=(TRIM(L$7)))*(GJ[Account Code]=(TRIM($D50))),GJ[Debit])))-(SUM(IF((CkDJ[Date]=$A$4)*(CkDJ[Ofc Code]=(TRIM(L$7)))*(CkDJ[Account Code]=(TRIM($D50))),CkDJ[Credit])))+(SUM(IF((CsDJ[Date]=$A$4)*(CsDJ[Ofc Code]=(TRIM(L$7)))*(CsDJ[Account Code]=(TRIM($D50))),CsDJ[Credit])))+(SUM(IF((CRDJ[Date]=$A$4)*(CRDJ[Ofc Code]=(TRIM(L$7)))*(CRDJ[Account Code]=(TRIM($D50))),CRDJ[Credit])))+(SUM(IF((GJ[Date]=$A$4)*(GJ[Ofc Code]=(TRIM(L$7)))*(GJ[Account Code]=(TRIM($D50))),GJ[Credit])))</f>
        <v>0</v>
      </c>
      <c r="M50" s="211">
        <f t="array" ref="M50">(SUM(IF((CkDJ[Date]=$A$4)*(CkDJ[Ofc Code]=(TRIM(M$7)))*(CkDJ[Account Code]=(TRIM($D50))),CkDJ[Debit])))+(SUM(IF((CsDJ[Date]=$A$4)*(CsDJ[Ofc Code]=(TRIM(M$7)))*(CsDJ[Account Code]=(TRIM($D50))),CsDJ[Debit])))+(SUM(IF((CRDJ[Date]=$A$4)*(CRDJ[Ofc Code]=(TRIM(M$7)))*(CRDJ[Account Code]=(TRIM($D50))),CRDJ[Debit])))+(SUM(IF((GJ[Date]=$A$4)*(GJ[Ofc Code]=(TRIM(M$7)))*(GJ[Account Code]=(TRIM($D50))),GJ[Debit])))-(SUM(IF((CkDJ[Date]=$A$4)*(CkDJ[Ofc Code]=(TRIM(M$7)))*(CkDJ[Account Code]=(TRIM($D50))),CkDJ[Credit])))+(SUM(IF((CsDJ[Date]=$A$4)*(CsDJ[Ofc Code]=(TRIM(M$7)))*(CsDJ[Account Code]=(TRIM($D50))),CsDJ[Credit])))+(SUM(IF((CRDJ[Date]=$A$4)*(CRDJ[Ofc Code]=(TRIM(M$7)))*(CRDJ[Account Code]=(TRIM($D50))),CRDJ[Credit])))+(SUM(IF((GJ[Date]=$A$4)*(GJ[Ofc Code]=(TRIM(M$7)))*(GJ[Account Code]=(TRIM($D50))),GJ[Credit])))</f>
        <v>0</v>
      </c>
      <c r="N50" s="211">
        <f t="shared" si="9"/>
        <v>0</v>
      </c>
      <c r="O50" s="211">
        <f t="array" ref="O50">(SUM(IF((CkDJ[Date]=$A$4)*(CkDJ[Ofc Code]=(TRIM(O$7)))*(CkDJ[Account Code]=(TRIM($D50))),CkDJ[Debit])))+(SUM(IF((CsDJ[Date]=$A$4)*(CsDJ[Ofc Code]=(TRIM(O$7)))*(CsDJ[Account Code]=(TRIM($D50))),CsDJ[Debit])))+(SUM(IF((CRDJ[Date]=$A$4)*(CRDJ[Ofc Code]=(TRIM(O$7)))*(CRDJ[Account Code]=(TRIM($D50))),CRDJ[Debit])))+(SUM(IF((GJ[Date]=$A$4)*(GJ[Ofc Code]=(TRIM(O$7)))*(GJ[Account Code]=(TRIM($D50))),GJ[Debit])))-(SUM(IF((CkDJ[Date]=$A$4)*(CkDJ[Ofc Code]=(TRIM(O$7)))*(CkDJ[Account Code]=(TRIM($D50))),CkDJ[Credit])))+(SUM(IF((CsDJ[Date]=$A$4)*(CsDJ[Ofc Code]=(TRIM(O$7)))*(CsDJ[Account Code]=(TRIM($D50))),CsDJ[Credit])))+(SUM(IF((CRDJ[Date]=$A$4)*(CRDJ[Ofc Code]=(TRIM(O$7)))*(CRDJ[Account Code]=(TRIM($D50))),CRDJ[Credit])))+(SUM(IF((GJ[Date]=$A$4)*(GJ[Ofc Code]=(TRIM(O$7)))*(GJ[Account Code]=(TRIM($D50))),GJ[Credit])))</f>
        <v>0</v>
      </c>
      <c r="P50" s="211">
        <f t="array" ref="P50">(SUM(IF((CkDJ[Date]=$A$4)*(CkDJ[Ofc Code]=(TRIM(P$7)))*(CkDJ[Account Code]=(TRIM($D50))),CkDJ[Debit])))+(SUM(IF((CsDJ[Date]=$A$4)*(CsDJ[Ofc Code]=(TRIM(P$7)))*(CsDJ[Account Code]=(TRIM($D50))),CsDJ[Debit])))+(SUM(IF((CRDJ[Date]=$A$4)*(CRDJ[Ofc Code]=(TRIM(P$7)))*(CRDJ[Account Code]=(TRIM($D50))),CRDJ[Debit])))+(SUM(IF((GJ[Date]=$A$4)*(GJ[Ofc Code]=(TRIM(P$7)))*(GJ[Account Code]=(TRIM($D50))),GJ[Debit])))-(SUM(IF((CkDJ[Date]=$A$4)*(CkDJ[Ofc Code]=(TRIM(P$7)))*(CkDJ[Account Code]=(TRIM($D50))),CkDJ[Credit])))+(SUM(IF((CsDJ[Date]=$A$4)*(CsDJ[Ofc Code]=(TRIM(P$7)))*(CsDJ[Account Code]=(TRIM($D50))),CsDJ[Credit])))+(SUM(IF((CRDJ[Date]=$A$4)*(CRDJ[Ofc Code]=(TRIM(P$7)))*(CRDJ[Account Code]=(TRIM($D50))),CRDJ[Credit])))+(SUM(IF((GJ[Date]=$A$4)*(GJ[Ofc Code]=(TRIM(P$7)))*(GJ[Account Code]=(TRIM($D50))),GJ[Credit])))</f>
        <v>0</v>
      </c>
      <c r="Q50" s="211">
        <f t="array" ref="Q50">(SUM(IF((CkDJ[Date]=$A$4)*(CkDJ[Ofc Code]=(TRIM(Q$7)))*(CkDJ[Account Code]=(TRIM($D50))),CkDJ[Debit])))+(SUM(IF((CsDJ[Date]=$A$4)*(CsDJ[Ofc Code]=(TRIM(Q$7)))*(CsDJ[Account Code]=(TRIM($D50))),CsDJ[Debit])))+(SUM(IF((CRDJ[Date]=$A$4)*(CRDJ[Ofc Code]=(TRIM(Q$7)))*(CRDJ[Account Code]=(TRIM($D50))),CRDJ[Debit])))+(SUM(IF((GJ[Date]=$A$4)*(GJ[Ofc Code]=(TRIM(Q$7)))*(GJ[Account Code]=(TRIM($D50))),GJ[Debit])))-(SUM(IF((CkDJ[Date]=$A$4)*(CkDJ[Ofc Code]=(TRIM(Q$7)))*(CkDJ[Account Code]=(TRIM($D50))),CkDJ[Credit])))+(SUM(IF((CsDJ[Date]=$A$4)*(CsDJ[Ofc Code]=(TRIM(Q$7)))*(CsDJ[Account Code]=(TRIM($D50))),CsDJ[Credit])))+(SUM(IF((CRDJ[Date]=$A$4)*(CRDJ[Ofc Code]=(TRIM(Q$7)))*(CRDJ[Account Code]=(TRIM($D50))),CRDJ[Credit])))+(SUM(IF((GJ[Date]=$A$4)*(GJ[Ofc Code]=(TRIM(Q$7)))*(GJ[Account Code]=(TRIM($D50))),GJ[Credit])))</f>
        <v>0</v>
      </c>
      <c r="R50" s="211">
        <f t="array" ref="R50">(SUM(IF((CkDJ[Date]=$A$4)*(CkDJ[Ofc Code]=(TRIM(R$7)))*(CkDJ[Account Code]=(TRIM($D50))),CkDJ[Debit])))+(SUM(IF((CsDJ[Date]=$A$4)*(CsDJ[Ofc Code]=(TRIM(R$7)))*(CsDJ[Account Code]=(TRIM($D50))),CsDJ[Debit])))+(SUM(IF((CRDJ[Date]=$A$4)*(CRDJ[Ofc Code]=(TRIM(R$7)))*(CRDJ[Account Code]=(TRIM($D50))),CRDJ[Debit])))+(SUM(IF((GJ[Date]=$A$4)*(GJ[Ofc Code]=(TRIM(R$7)))*(GJ[Account Code]=(TRIM($D50))),GJ[Debit])))-(SUM(IF((CkDJ[Date]=$A$4)*(CkDJ[Ofc Code]=(TRIM(R$7)))*(CkDJ[Account Code]=(TRIM($D50))),CkDJ[Credit])))+(SUM(IF((CsDJ[Date]=$A$4)*(CsDJ[Ofc Code]=(TRIM(R$7)))*(CsDJ[Account Code]=(TRIM($D50))),CsDJ[Credit])))+(SUM(IF((CRDJ[Date]=$A$4)*(CRDJ[Ofc Code]=(TRIM(R$7)))*(CRDJ[Account Code]=(TRIM($D50))),CRDJ[Credit])))+(SUM(IF((GJ[Date]=$A$4)*(GJ[Ofc Code]=(TRIM(R$7)))*(GJ[Account Code]=(TRIM($D50))),GJ[Credit])))</f>
        <v>0</v>
      </c>
      <c r="S50" s="211">
        <f t="array" ref="S50">(SUM(IF((CkDJ[Date]=$A$4)*(CkDJ[Ofc Code]=(TRIM(S$7)))*(CkDJ[Account Code]=(TRIM($D50))),CkDJ[Debit])))+(SUM(IF((CsDJ[Date]=$A$4)*(CsDJ[Ofc Code]=(TRIM(S$7)))*(CsDJ[Account Code]=(TRIM($D50))),CsDJ[Debit])))+(SUM(IF((CRDJ[Date]=$A$4)*(CRDJ[Ofc Code]=(TRIM(S$7)))*(CRDJ[Account Code]=(TRIM($D50))),CRDJ[Debit])))+(SUM(IF((GJ[Date]=$A$4)*(GJ[Ofc Code]=(TRIM(S$7)))*(GJ[Account Code]=(TRIM($D50))),GJ[Debit])))-(SUM(IF((CkDJ[Date]=$A$4)*(CkDJ[Ofc Code]=(TRIM(S$7)))*(CkDJ[Account Code]=(TRIM($D50))),CkDJ[Credit])))+(SUM(IF((CsDJ[Date]=$A$4)*(CsDJ[Ofc Code]=(TRIM(S$7)))*(CsDJ[Account Code]=(TRIM($D50))),CsDJ[Credit])))+(SUM(IF((CRDJ[Date]=$A$4)*(CRDJ[Ofc Code]=(TRIM(S$7)))*(CRDJ[Account Code]=(TRIM($D50))),CRDJ[Credit])))+(SUM(IF((GJ[Date]=$A$4)*(GJ[Ofc Code]=(TRIM(S$7)))*(GJ[Account Code]=(TRIM($D50))),GJ[Credit])))</f>
        <v>0</v>
      </c>
      <c r="T50" s="211">
        <f t="shared" si="10"/>
        <v>0</v>
      </c>
      <c r="U50" s="211">
        <f t="shared" si="11"/>
        <v>0</v>
      </c>
    </row>
    <row r="51" spans="1:21" ht="15">
      <c r="A51" s="212">
        <f t="shared" si="12"/>
        <v>18</v>
      </c>
      <c r="B51" s="214" t="s">
        <v>756</v>
      </c>
      <c r="C51" s="194" t="str">
        <f t="shared" si="7"/>
        <v>Retirement and Life Insurance Premiums</v>
      </c>
      <c r="D51" s="215">
        <v>731</v>
      </c>
      <c r="E51" s="211">
        <f t="array" ref="E51">(SUM(IF((CkDJ[Date]=$A$4)*(CkDJ[Ofc Code]=(TRIM(E$7)))*(CkDJ[Account Code]=(TRIM($D51))),CkDJ[Debit])))+(SUM(IF((CsDJ[Date]=$A$4)*(CsDJ[Ofc Code]=(TRIM(E$7)))*(CsDJ[Account Code]=(TRIM($D51))),CsDJ[Debit])))+(SUM(IF((CRDJ[Date]=$A$4)*(CRDJ[Ofc Code]=(TRIM(E$7)))*(CRDJ[Account Code]=(TRIM($D51))),CRDJ[Debit])))+(SUM(IF((GJ[Date]=$A$4)*(GJ[Ofc Code]=(TRIM(E$7)))*(GJ[Account Code]=(TRIM($D51))),GJ[Debit])))-(SUM(IF((CkDJ[Date]=$A$4)*(CkDJ[Ofc Code]=(TRIM(E$7)))*(CkDJ[Account Code]=(TRIM($D51))),CkDJ[Credit])))+(SUM(IF((CsDJ[Date]=$A$4)*(CsDJ[Ofc Code]=(TRIM(E$7)))*(CsDJ[Account Code]=(TRIM($D51))),CsDJ[Credit])))+(SUM(IF((CRDJ[Date]=$A$4)*(CRDJ[Ofc Code]=(TRIM(E$7)))*(CRDJ[Account Code]=(TRIM($D51))),CRDJ[Credit])))+(SUM(IF((GJ[Date]=$A$4)*(GJ[Ofc Code]=(TRIM(E$7)))*(GJ[Account Code]=(TRIM($D51))),GJ[Credit])))</f>
        <v>0</v>
      </c>
      <c r="F51" s="211">
        <f t="array" ref="F51">(SUM(IF((CkDJ[Date]=$A$4)*(CkDJ[Ofc Code]=(TRIM(F$7)))*(CkDJ[Account Code]=(TRIM($D51))),CkDJ[Debit])))+(SUM(IF((CsDJ[Date]=$A$4)*(CsDJ[Ofc Code]=(TRIM(F$7)))*(CsDJ[Account Code]=(TRIM($D51))),CsDJ[Debit])))+(SUM(IF((CRDJ[Date]=$A$4)*(CRDJ[Ofc Code]=(TRIM(F$7)))*(CRDJ[Account Code]=(TRIM($D51))),CRDJ[Debit])))+(SUM(IF((GJ[Date]=$A$4)*(GJ[Ofc Code]=(TRIM(F$7)))*(GJ[Account Code]=(TRIM($D51))),GJ[Debit])))-(SUM(IF((CkDJ[Date]=$A$4)*(CkDJ[Ofc Code]=(TRIM(F$7)))*(CkDJ[Account Code]=(TRIM($D51))),CkDJ[Credit])))+(SUM(IF((CsDJ[Date]=$A$4)*(CsDJ[Ofc Code]=(TRIM(F$7)))*(CsDJ[Account Code]=(TRIM($D51))),CsDJ[Credit])))+(SUM(IF((CRDJ[Date]=$A$4)*(CRDJ[Ofc Code]=(TRIM(F$7)))*(CRDJ[Account Code]=(TRIM($D51))),CRDJ[Credit])))+(SUM(IF((GJ[Date]=$A$4)*(GJ[Ofc Code]=(TRIM(F$7)))*(GJ[Account Code]=(TRIM($D51))),GJ[Credit])))</f>
        <v>0</v>
      </c>
      <c r="G51" s="211">
        <f t="array" ref="G51">(SUM(IF((CkDJ[Date]=$A$4)*(CkDJ[Ofc Code]=(TRIM(G$7)))*(CkDJ[Account Code]=(TRIM($D51))),CkDJ[Debit])))+(SUM(IF((CsDJ[Date]=$A$4)*(CsDJ[Ofc Code]=(TRIM(G$7)))*(CsDJ[Account Code]=(TRIM($D51))),CsDJ[Debit])))+(SUM(IF((CRDJ[Date]=$A$4)*(CRDJ[Ofc Code]=(TRIM(G$7)))*(CRDJ[Account Code]=(TRIM($D51))),CRDJ[Debit])))+(SUM(IF((GJ[Date]=$A$4)*(GJ[Ofc Code]=(TRIM(G$7)))*(GJ[Account Code]=(TRIM($D51))),GJ[Debit])))-(SUM(IF((CkDJ[Date]=$A$4)*(CkDJ[Ofc Code]=(TRIM(G$7)))*(CkDJ[Account Code]=(TRIM($D51))),CkDJ[Credit])))+(SUM(IF((CsDJ[Date]=$A$4)*(CsDJ[Ofc Code]=(TRIM(G$7)))*(CsDJ[Account Code]=(TRIM($D51))),CsDJ[Credit])))+(SUM(IF((CRDJ[Date]=$A$4)*(CRDJ[Ofc Code]=(TRIM(G$7)))*(CRDJ[Account Code]=(TRIM($D51))),CRDJ[Credit])))+(SUM(IF((GJ[Date]=$A$4)*(GJ[Ofc Code]=(TRIM(G$7)))*(GJ[Account Code]=(TRIM($D51))),GJ[Credit])))</f>
        <v>0</v>
      </c>
      <c r="H51" s="211">
        <f t="array" ref="H51">(SUM(IF((CkDJ[Date]=$A$4)*(CkDJ[Ofc Code]=(TRIM(H$7)))*(CkDJ[Account Code]=(TRIM($D51))),CkDJ[Debit])))+(SUM(IF((CsDJ[Date]=$A$4)*(CsDJ[Ofc Code]=(TRIM(H$7)))*(CsDJ[Account Code]=(TRIM($D51))),CsDJ[Debit])))+(SUM(IF((CRDJ[Date]=$A$4)*(CRDJ[Ofc Code]=(TRIM(H$7)))*(CRDJ[Account Code]=(TRIM($D51))),CRDJ[Debit])))+(SUM(IF((GJ[Date]=$A$4)*(GJ[Ofc Code]=(TRIM(H$7)))*(GJ[Account Code]=(TRIM($D51))),GJ[Debit])))-(SUM(IF((CkDJ[Date]=$A$4)*(CkDJ[Ofc Code]=(TRIM(H$7)))*(CkDJ[Account Code]=(TRIM($D51))),CkDJ[Credit])))+(SUM(IF((CsDJ[Date]=$A$4)*(CsDJ[Ofc Code]=(TRIM(H$7)))*(CsDJ[Account Code]=(TRIM($D51))),CsDJ[Credit])))+(SUM(IF((CRDJ[Date]=$A$4)*(CRDJ[Ofc Code]=(TRIM(H$7)))*(CRDJ[Account Code]=(TRIM($D51))),CRDJ[Credit])))+(SUM(IF((GJ[Date]=$A$4)*(GJ[Ofc Code]=(TRIM(H$7)))*(GJ[Account Code]=(TRIM($D51))),GJ[Credit])))</f>
        <v>0</v>
      </c>
      <c r="I51" s="211">
        <f t="shared" si="8"/>
        <v>0</v>
      </c>
      <c r="J51" s="211">
        <f t="array" ref="J51">(SUM(IF((CkDJ[Date]=$A$4)*(CkDJ[Ofc Code]=(TRIM(J$7)))*(CkDJ[Account Code]=(TRIM($D51))),CkDJ[Debit])))+(SUM(IF((CsDJ[Date]=$A$4)*(CsDJ[Ofc Code]=(TRIM(J$7)))*(CsDJ[Account Code]=(TRIM($D51))),CsDJ[Debit])))+(SUM(IF((CRDJ[Date]=$A$4)*(CRDJ[Ofc Code]=(TRIM(J$7)))*(CRDJ[Account Code]=(TRIM($D51))),CRDJ[Debit])))+(SUM(IF((GJ[Date]=$A$4)*(GJ[Ofc Code]=(TRIM(J$7)))*(GJ[Account Code]=(TRIM($D51))),GJ[Debit])))-(SUM(IF((CkDJ[Date]=$A$4)*(CkDJ[Ofc Code]=(TRIM(J$7)))*(CkDJ[Account Code]=(TRIM($D51))),CkDJ[Credit])))+(SUM(IF((CsDJ[Date]=$A$4)*(CsDJ[Ofc Code]=(TRIM(J$7)))*(CsDJ[Account Code]=(TRIM($D51))),CsDJ[Credit])))+(SUM(IF((CRDJ[Date]=$A$4)*(CRDJ[Ofc Code]=(TRIM(J$7)))*(CRDJ[Account Code]=(TRIM($D51))),CRDJ[Credit])))+(SUM(IF((GJ[Date]=$A$4)*(GJ[Ofc Code]=(TRIM(J$7)))*(GJ[Account Code]=(TRIM($D51))),GJ[Credit])))</f>
        <v>0</v>
      </c>
      <c r="K51" s="211">
        <f t="array" ref="K51">(SUM(IF((CkDJ[Date]=$A$4)*(CkDJ[Ofc Code]=(TRIM(K$7)))*(CkDJ[Account Code]=(TRIM($D51))),CkDJ[Debit])))+(SUM(IF((CsDJ[Date]=$A$4)*(CsDJ[Ofc Code]=(TRIM(K$7)))*(CsDJ[Account Code]=(TRIM($D51))),CsDJ[Debit])))+(SUM(IF((CRDJ[Date]=$A$4)*(CRDJ[Ofc Code]=(TRIM(K$7)))*(CRDJ[Account Code]=(TRIM($D51))),CRDJ[Debit])))+(SUM(IF((GJ[Date]=$A$4)*(GJ[Ofc Code]=(TRIM(K$7)))*(GJ[Account Code]=(TRIM($D51))),GJ[Debit])))-(SUM(IF((CkDJ[Date]=$A$4)*(CkDJ[Ofc Code]=(TRIM(K$7)))*(CkDJ[Account Code]=(TRIM($D51))),CkDJ[Credit])))+(SUM(IF((CsDJ[Date]=$A$4)*(CsDJ[Ofc Code]=(TRIM(K$7)))*(CsDJ[Account Code]=(TRIM($D51))),CsDJ[Credit])))+(SUM(IF((CRDJ[Date]=$A$4)*(CRDJ[Ofc Code]=(TRIM(K$7)))*(CRDJ[Account Code]=(TRIM($D51))),CRDJ[Credit])))+(SUM(IF((GJ[Date]=$A$4)*(GJ[Ofc Code]=(TRIM(K$7)))*(GJ[Account Code]=(TRIM($D51))),GJ[Credit])))</f>
        <v>0</v>
      </c>
      <c r="L51" s="211">
        <f t="array" ref="L51">(SUM(IF((CkDJ[Date]=$A$4)*(CkDJ[Ofc Code]=(TRIM(L$7)))*(CkDJ[Account Code]=(TRIM($D51))),CkDJ[Debit])))+(SUM(IF((CsDJ[Date]=$A$4)*(CsDJ[Ofc Code]=(TRIM(L$7)))*(CsDJ[Account Code]=(TRIM($D51))),CsDJ[Debit])))+(SUM(IF((CRDJ[Date]=$A$4)*(CRDJ[Ofc Code]=(TRIM(L$7)))*(CRDJ[Account Code]=(TRIM($D51))),CRDJ[Debit])))+(SUM(IF((GJ[Date]=$A$4)*(GJ[Ofc Code]=(TRIM(L$7)))*(GJ[Account Code]=(TRIM($D51))),GJ[Debit])))-(SUM(IF((CkDJ[Date]=$A$4)*(CkDJ[Ofc Code]=(TRIM(L$7)))*(CkDJ[Account Code]=(TRIM($D51))),CkDJ[Credit])))+(SUM(IF((CsDJ[Date]=$A$4)*(CsDJ[Ofc Code]=(TRIM(L$7)))*(CsDJ[Account Code]=(TRIM($D51))),CsDJ[Credit])))+(SUM(IF((CRDJ[Date]=$A$4)*(CRDJ[Ofc Code]=(TRIM(L$7)))*(CRDJ[Account Code]=(TRIM($D51))),CRDJ[Credit])))+(SUM(IF((GJ[Date]=$A$4)*(GJ[Ofc Code]=(TRIM(L$7)))*(GJ[Account Code]=(TRIM($D51))),GJ[Credit])))</f>
        <v>0</v>
      </c>
      <c r="M51" s="211">
        <f t="array" ref="M51">(SUM(IF((CkDJ[Date]=$A$4)*(CkDJ[Ofc Code]=(TRIM(M$7)))*(CkDJ[Account Code]=(TRIM($D51))),CkDJ[Debit])))+(SUM(IF((CsDJ[Date]=$A$4)*(CsDJ[Ofc Code]=(TRIM(M$7)))*(CsDJ[Account Code]=(TRIM($D51))),CsDJ[Debit])))+(SUM(IF((CRDJ[Date]=$A$4)*(CRDJ[Ofc Code]=(TRIM(M$7)))*(CRDJ[Account Code]=(TRIM($D51))),CRDJ[Debit])))+(SUM(IF((GJ[Date]=$A$4)*(GJ[Ofc Code]=(TRIM(M$7)))*(GJ[Account Code]=(TRIM($D51))),GJ[Debit])))-(SUM(IF((CkDJ[Date]=$A$4)*(CkDJ[Ofc Code]=(TRIM(M$7)))*(CkDJ[Account Code]=(TRIM($D51))),CkDJ[Credit])))+(SUM(IF((CsDJ[Date]=$A$4)*(CsDJ[Ofc Code]=(TRIM(M$7)))*(CsDJ[Account Code]=(TRIM($D51))),CsDJ[Credit])))+(SUM(IF((CRDJ[Date]=$A$4)*(CRDJ[Ofc Code]=(TRIM(M$7)))*(CRDJ[Account Code]=(TRIM($D51))),CRDJ[Credit])))+(SUM(IF((GJ[Date]=$A$4)*(GJ[Ofc Code]=(TRIM(M$7)))*(GJ[Account Code]=(TRIM($D51))),GJ[Credit])))</f>
        <v>0</v>
      </c>
      <c r="N51" s="211">
        <f t="shared" si="9"/>
        <v>0</v>
      </c>
      <c r="O51" s="211">
        <f t="array" ref="O51">(SUM(IF((CkDJ[Date]=$A$4)*(CkDJ[Ofc Code]=(TRIM(O$7)))*(CkDJ[Account Code]=(TRIM($D51))),CkDJ[Debit])))+(SUM(IF((CsDJ[Date]=$A$4)*(CsDJ[Ofc Code]=(TRIM(O$7)))*(CsDJ[Account Code]=(TRIM($D51))),CsDJ[Debit])))+(SUM(IF((CRDJ[Date]=$A$4)*(CRDJ[Ofc Code]=(TRIM(O$7)))*(CRDJ[Account Code]=(TRIM($D51))),CRDJ[Debit])))+(SUM(IF((GJ[Date]=$A$4)*(GJ[Ofc Code]=(TRIM(O$7)))*(GJ[Account Code]=(TRIM($D51))),GJ[Debit])))-(SUM(IF((CkDJ[Date]=$A$4)*(CkDJ[Ofc Code]=(TRIM(O$7)))*(CkDJ[Account Code]=(TRIM($D51))),CkDJ[Credit])))+(SUM(IF((CsDJ[Date]=$A$4)*(CsDJ[Ofc Code]=(TRIM(O$7)))*(CsDJ[Account Code]=(TRIM($D51))),CsDJ[Credit])))+(SUM(IF((CRDJ[Date]=$A$4)*(CRDJ[Ofc Code]=(TRIM(O$7)))*(CRDJ[Account Code]=(TRIM($D51))),CRDJ[Credit])))+(SUM(IF((GJ[Date]=$A$4)*(GJ[Ofc Code]=(TRIM(O$7)))*(GJ[Account Code]=(TRIM($D51))),GJ[Credit])))</f>
        <v>0</v>
      </c>
      <c r="P51" s="211">
        <f t="array" ref="P51">(SUM(IF((CkDJ[Date]=$A$4)*(CkDJ[Ofc Code]=(TRIM(P$7)))*(CkDJ[Account Code]=(TRIM($D51))),CkDJ[Debit])))+(SUM(IF((CsDJ[Date]=$A$4)*(CsDJ[Ofc Code]=(TRIM(P$7)))*(CsDJ[Account Code]=(TRIM($D51))),CsDJ[Debit])))+(SUM(IF((CRDJ[Date]=$A$4)*(CRDJ[Ofc Code]=(TRIM(P$7)))*(CRDJ[Account Code]=(TRIM($D51))),CRDJ[Debit])))+(SUM(IF((GJ[Date]=$A$4)*(GJ[Ofc Code]=(TRIM(P$7)))*(GJ[Account Code]=(TRIM($D51))),GJ[Debit])))-(SUM(IF((CkDJ[Date]=$A$4)*(CkDJ[Ofc Code]=(TRIM(P$7)))*(CkDJ[Account Code]=(TRIM($D51))),CkDJ[Credit])))+(SUM(IF((CsDJ[Date]=$A$4)*(CsDJ[Ofc Code]=(TRIM(P$7)))*(CsDJ[Account Code]=(TRIM($D51))),CsDJ[Credit])))+(SUM(IF((CRDJ[Date]=$A$4)*(CRDJ[Ofc Code]=(TRIM(P$7)))*(CRDJ[Account Code]=(TRIM($D51))),CRDJ[Credit])))+(SUM(IF((GJ[Date]=$A$4)*(GJ[Ofc Code]=(TRIM(P$7)))*(GJ[Account Code]=(TRIM($D51))),GJ[Credit])))</f>
        <v>0</v>
      </c>
      <c r="Q51" s="211">
        <f t="array" ref="Q51">(SUM(IF((CkDJ[Date]=$A$4)*(CkDJ[Ofc Code]=(TRIM(Q$7)))*(CkDJ[Account Code]=(TRIM($D51))),CkDJ[Debit])))+(SUM(IF((CsDJ[Date]=$A$4)*(CsDJ[Ofc Code]=(TRIM(Q$7)))*(CsDJ[Account Code]=(TRIM($D51))),CsDJ[Debit])))+(SUM(IF((CRDJ[Date]=$A$4)*(CRDJ[Ofc Code]=(TRIM(Q$7)))*(CRDJ[Account Code]=(TRIM($D51))),CRDJ[Debit])))+(SUM(IF((GJ[Date]=$A$4)*(GJ[Ofc Code]=(TRIM(Q$7)))*(GJ[Account Code]=(TRIM($D51))),GJ[Debit])))-(SUM(IF((CkDJ[Date]=$A$4)*(CkDJ[Ofc Code]=(TRIM(Q$7)))*(CkDJ[Account Code]=(TRIM($D51))),CkDJ[Credit])))+(SUM(IF((CsDJ[Date]=$A$4)*(CsDJ[Ofc Code]=(TRIM(Q$7)))*(CsDJ[Account Code]=(TRIM($D51))),CsDJ[Credit])))+(SUM(IF((CRDJ[Date]=$A$4)*(CRDJ[Ofc Code]=(TRIM(Q$7)))*(CRDJ[Account Code]=(TRIM($D51))),CRDJ[Credit])))+(SUM(IF((GJ[Date]=$A$4)*(GJ[Ofc Code]=(TRIM(Q$7)))*(GJ[Account Code]=(TRIM($D51))),GJ[Credit])))</f>
        <v>0</v>
      </c>
      <c r="R51" s="211">
        <f t="array" ref="R51">(SUM(IF((CkDJ[Date]=$A$4)*(CkDJ[Ofc Code]=(TRIM(R$7)))*(CkDJ[Account Code]=(TRIM($D51))),CkDJ[Debit])))+(SUM(IF((CsDJ[Date]=$A$4)*(CsDJ[Ofc Code]=(TRIM(R$7)))*(CsDJ[Account Code]=(TRIM($D51))),CsDJ[Debit])))+(SUM(IF((CRDJ[Date]=$A$4)*(CRDJ[Ofc Code]=(TRIM(R$7)))*(CRDJ[Account Code]=(TRIM($D51))),CRDJ[Debit])))+(SUM(IF((GJ[Date]=$A$4)*(GJ[Ofc Code]=(TRIM(R$7)))*(GJ[Account Code]=(TRIM($D51))),GJ[Debit])))-(SUM(IF((CkDJ[Date]=$A$4)*(CkDJ[Ofc Code]=(TRIM(R$7)))*(CkDJ[Account Code]=(TRIM($D51))),CkDJ[Credit])))+(SUM(IF((CsDJ[Date]=$A$4)*(CsDJ[Ofc Code]=(TRIM(R$7)))*(CsDJ[Account Code]=(TRIM($D51))),CsDJ[Credit])))+(SUM(IF((CRDJ[Date]=$A$4)*(CRDJ[Ofc Code]=(TRIM(R$7)))*(CRDJ[Account Code]=(TRIM($D51))),CRDJ[Credit])))+(SUM(IF((GJ[Date]=$A$4)*(GJ[Ofc Code]=(TRIM(R$7)))*(GJ[Account Code]=(TRIM($D51))),GJ[Credit])))</f>
        <v>0</v>
      </c>
      <c r="S51" s="211">
        <f t="array" ref="S51">(SUM(IF((CkDJ[Date]=$A$4)*(CkDJ[Ofc Code]=(TRIM(S$7)))*(CkDJ[Account Code]=(TRIM($D51))),CkDJ[Debit])))+(SUM(IF((CsDJ[Date]=$A$4)*(CsDJ[Ofc Code]=(TRIM(S$7)))*(CsDJ[Account Code]=(TRIM($D51))),CsDJ[Debit])))+(SUM(IF((CRDJ[Date]=$A$4)*(CRDJ[Ofc Code]=(TRIM(S$7)))*(CRDJ[Account Code]=(TRIM($D51))),CRDJ[Debit])))+(SUM(IF((GJ[Date]=$A$4)*(GJ[Ofc Code]=(TRIM(S$7)))*(GJ[Account Code]=(TRIM($D51))),GJ[Debit])))-(SUM(IF((CkDJ[Date]=$A$4)*(CkDJ[Ofc Code]=(TRIM(S$7)))*(CkDJ[Account Code]=(TRIM($D51))),CkDJ[Credit])))+(SUM(IF((CsDJ[Date]=$A$4)*(CsDJ[Ofc Code]=(TRIM(S$7)))*(CsDJ[Account Code]=(TRIM($D51))),CsDJ[Credit])))+(SUM(IF((CRDJ[Date]=$A$4)*(CRDJ[Ofc Code]=(TRIM(S$7)))*(CRDJ[Account Code]=(TRIM($D51))),CRDJ[Credit])))+(SUM(IF((GJ[Date]=$A$4)*(GJ[Ofc Code]=(TRIM(S$7)))*(GJ[Account Code]=(TRIM($D51))),GJ[Credit])))</f>
        <v>0</v>
      </c>
      <c r="T51" s="211">
        <f t="shared" si="10"/>
        <v>0</v>
      </c>
      <c r="U51" s="211">
        <f t="shared" si="11"/>
        <v>0</v>
      </c>
    </row>
    <row r="52" spans="1:21" ht="15">
      <c r="A52" s="212">
        <f t="shared" si="12"/>
        <v>19</v>
      </c>
      <c r="B52" s="214" t="s">
        <v>756</v>
      </c>
      <c r="C52" s="194" t="str">
        <f t="shared" si="7"/>
        <v>Pag-IBIG Contributions</v>
      </c>
      <c r="D52" s="215">
        <v>732</v>
      </c>
      <c r="E52" s="211">
        <f t="array" ref="E52">(SUM(IF((CkDJ[Date]=$A$4)*(CkDJ[Ofc Code]=(TRIM(E$7)))*(CkDJ[Account Code]=(TRIM($D52))),CkDJ[Debit])))+(SUM(IF((CsDJ[Date]=$A$4)*(CsDJ[Ofc Code]=(TRIM(E$7)))*(CsDJ[Account Code]=(TRIM($D52))),CsDJ[Debit])))+(SUM(IF((CRDJ[Date]=$A$4)*(CRDJ[Ofc Code]=(TRIM(E$7)))*(CRDJ[Account Code]=(TRIM($D52))),CRDJ[Debit])))+(SUM(IF((GJ[Date]=$A$4)*(GJ[Ofc Code]=(TRIM(E$7)))*(GJ[Account Code]=(TRIM($D52))),GJ[Debit])))-(SUM(IF((CkDJ[Date]=$A$4)*(CkDJ[Ofc Code]=(TRIM(E$7)))*(CkDJ[Account Code]=(TRIM($D52))),CkDJ[Credit])))+(SUM(IF((CsDJ[Date]=$A$4)*(CsDJ[Ofc Code]=(TRIM(E$7)))*(CsDJ[Account Code]=(TRIM($D52))),CsDJ[Credit])))+(SUM(IF((CRDJ[Date]=$A$4)*(CRDJ[Ofc Code]=(TRIM(E$7)))*(CRDJ[Account Code]=(TRIM($D52))),CRDJ[Credit])))+(SUM(IF((GJ[Date]=$A$4)*(GJ[Ofc Code]=(TRIM(E$7)))*(GJ[Account Code]=(TRIM($D52))),GJ[Credit])))</f>
        <v>0</v>
      </c>
      <c r="F52" s="211">
        <f t="array" ref="F52">(SUM(IF((CkDJ[Date]=$A$4)*(CkDJ[Ofc Code]=(TRIM(F$7)))*(CkDJ[Account Code]=(TRIM($D52))),CkDJ[Debit])))+(SUM(IF((CsDJ[Date]=$A$4)*(CsDJ[Ofc Code]=(TRIM(F$7)))*(CsDJ[Account Code]=(TRIM($D52))),CsDJ[Debit])))+(SUM(IF((CRDJ[Date]=$A$4)*(CRDJ[Ofc Code]=(TRIM(F$7)))*(CRDJ[Account Code]=(TRIM($D52))),CRDJ[Debit])))+(SUM(IF((GJ[Date]=$A$4)*(GJ[Ofc Code]=(TRIM(F$7)))*(GJ[Account Code]=(TRIM($D52))),GJ[Debit])))-(SUM(IF((CkDJ[Date]=$A$4)*(CkDJ[Ofc Code]=(TRIM(F$7)))*(CkDJ[Account Code]=(TRIM($D52))),CkDJ[Credit])))+(SUM(IF((CsDJ[Date]=$A$4)*(CsDJ[Ofc Code]=(TRIM(F$7)))*(CsDJ[Account Code]=(TRIM($D52))),CsDJ[Credit])))+(SUM(IF((CRDJ[Date]=$A$4)*(CRDJ[Ofc Code]=(TRIM(F$7)))*(CRDJ[Account Code]=(TRIM($D52))),CRDJ[Credit])))+(SUM(IF((GJ[Date]=$A$4)*(GJ[Ofc Code]=(TRIM(F$7)))*(GJ[Account Code]=(TRIM($D52))),GJ[Credit])))</f>
        <v>0</v>
      </c>
      <c r="G52" s="211">
        <f t="array" ref="G52">(SUM(IF((CkDJ[Date]=$A$4)*(CkDJ[Ofc Code]=(TRIM(G$7)))*(CkDJ[Account Code]=(TRIM($D52))),CkDJ[Debit])))+(SUM(IF((CsDJ[Date]=$A$4)*(CsDJ[Ofc Code]=(TRIM(G$7)))*(CsDJ[Account Code]=(TRIM($D52))),CsDJ[Debit])))+(SUM(IF((CRDJ[Date]=$A$4)*(CRDJ[Ofc Code]=(TRIM(G$7)))*(CRDJ[Account Code]=(TRIM($D52))),CRDJ[Debit])))+(SUM(IF((GJ[Date]=$A$4)*(GJ[Ofc Code]=(TRIM(G$7)))*(GJ[Account Code]=(TRIM($D52))),GJ[Debit])))-(SUM(IF((CkDJ[Date]=$A$4)*(CkDJ[Ofc Code]=(TRIM(G$7)))*(CkDJ[Account Code]=(TRIM($D52))),CkDJ[Credit])))+(SUM(IF((CsDJ[Date]=$A$4)*(CsDJ[Ofc Code]=(TRIM(G$7)))*(CsDJ[Account Code]=(TRIM($D52))),CsDJ[Credit])))+(SUM(IF((CRDJ[Date]=$A$4)*(CRDJ[Ofc Code]=(TRIM(G$7)))*(CRDJ[Account Code]=(TRIM($D52))),CRDJ[Credit])))+(SUM(IF((GJ[Date]=$A$4)*(GJ[Ofc Code]=(TRIM(G$7)))*(GJ[Account Code]=(TRIM($D52))),GJ[Credit])))</f>
        <v>0</v>
      </c>
      <c r="H52" s="211">
        <f t="array" ref="H52">(SUM(IF((CkDJ[Date]=$A$4)*(CkDJ[Ofc Code]=(TRIM(H$7)))*(CkDJ[Account Code]=(TRIM($D52))),CkDJ[Debit])))+(SUM(IF((CsDJ[Date]=$A$4)*(CsDJ[Ofc Code]=(TRIM(H$7)))*(CsDJ[Account Code]=(TRIM($D52))),CsDJ[Debit])))+(SUM(IF((CRDJ[Date]=$A$4)*(CRDJ[Ofc Code]=(TRIM(H$7)))*(CRDJ[Account Code]=(TRIM($D52))),CRDJ[Debit])))+(SUM(IF((GJ[Date]=$A$4)*(GJ[Ofc Code]=(TRIM(H$7)))*(GJ[Account Code]=(TRIM($D52))),GJ[Debit])))-(SUM(IF((CkDJ[Date]=$A$4)*(CkDJ[Ofc Code]=(TRIM(H$7)))*(CkDJ[Account Code]=(TRIM($D52))),CkDJ[Credit])))+(SUM(IF((CsDJ[Date]=$A$4)*(CsDJ[Ofc Code]=(TRIM(H$7)))*(CsDJ[Account Code]=(TRIM($D52))),CsDJ[Credit])))+(SUM(IF((CRDJ[Date]=$A$4)*(CRDJ[Ofc Code]=(TRIM(H$7)))*(CRDJ[Account Code]=(TRIM($D52))),CRDJ[Credit])))+(SUM(IF((GJ[Date]=$A$4)*(GJ[Ofc Code]=(TRIM(H$7)))*(GJ[Account Code]=(TRIM($D52))),GJ[Credit])))</f>
        <v>0</v>
      </c>
      <c r="I52" s="211">
        <f t="shared" si="8"/>
        <v>0</v>
      </c>
      <c r="J52" s="211">
        <f t="array" ref="J52">(SUM(IF((CkDJ[Date]=$A$4)*(CkDJ[Ofc Code]=(TRIM(J$7)))*(CkDJ[Account Code]=(TRIM($D52))),CkDJ[Debit])))+(SUM(IF((CsDJ[Date]=$A$4)*(CsDJ[Ofc Code]=(TRIM(J$7)))*(CsDJ[Account Code]=(TRIM($D52))),CsDJ[Debit])))+(SUM(IF((CRDJ[Date]=$A$4)*(CRDJ[Ofc Code]=(TRIM(J$7)))*(CRDJ[Account Code]=(TRIM($D52))),CRDJ[Debit])))+(SUM(IF((GJ[Date]=$A$4)*(GJ[Ofc Code]=(TRIM(J$7)))*(GJ[Account Code]=(TRIM($D52))),GJ[Debit])))-(SUM(IF((CkDJ[Date]=$A$4)*(CkDJ[Ofc Code]=(TRIM(J$7)))*(CkDJ[Account Code]=(TRIM($D52))),CkDJ[Credit])))+(SUM(IF((CsDJ[Date]=$A$4)*(CsDJ[Ofc Code]=(TRIM(J$7)))*(CsDJ[Account Code]=(TRIM($D52))),CsDJ[Credit])))+(SUM(IF((CRDJ[Date]=$A$4)*(CRDJ[Ofc Code]=(TRIM(J$7)))*(CRDJ[Account Code]=(TRIM($D52))),CRDJ[Credit])))+(SUM(IF((GJ[Date]=$A$4)*(GJ[Ofc Code]=(TRIM(J$7)))*(GJ[Account Code]=(TRIM($D52))),GJ[Credit])))</f>
        <v>0</v>
      </c>
      <c r="K52" s="211">
        <f t="array" ref="K52">(SUM(IF((CkDJ[Date]=$A$4)*(CkDJ[Ofc Code]=(TRIM(K$7)))*(CkDJ[Account Code]=(TRIM($D52))),CkDJ[Debit])))+(SUM(IF((CsDJ[Date]=$A$4)*(CsDJ[Ofc Code]=(TRIM(K$7)))*(CsDJ[Account Code]=(TRIM($D52))),CsDJ[Debit])))+(SUM(IF((CRDJ[Date]=$A$4)*(CRDJ[Ofc Code]=(TRIM(K$7)))*(CRDJ[Account Code]=(TRIM($D52))),CRDJ[Debit])))+(SUM(IF((GJ[Date]=$A$4)*(GJ[Ofc Code]=(TRIM(K$7)))*(GJ[Account Code]=(TRIM($D52))),GJ[Debit])))-(SUM(IF((CkDJ[Date]=$A$4)*(CkDJ[Ofc Code]=(TRIM(K$7)))*(CkDJ[Account Code]=(TRIM($D52))),CkDJ[Credit])))+(SUM(IF((CsDJ[Date]=$A$4)*(CsDJ[Ofc Code]=(TRIM(K$7)))*(CsDJ[Account Code]=(TRIM($D52))),CsDJ[Credit])))+(SUM(IF((CRDJ[Date]=$A$4)*(CRDJ[Ofc Code]=(TRIM(K$7)))*(CRDJ[Account Code]=(TRIM($D52))),CRDJ[Credit])))+(SUM(IF((GJ[Date]=$A$4)*(GJ[Ofc Code]=(TRIM(K$7)))*(GJ[Account Code]=(TRIM($D52))),GJ[Credit])))</f>
        <v>0</v>
      </c>
      <c r="L52" s="211">
        <f t="array" ref="L52">(SUM(IF((CkDJ[Date]=$A$4)*(CkDJ[Ofc Code]=(TRIM(L$7)))*(CkDJ[Account Code]=(TRIM($D52))),CkDJ[Debit])))+(SUM(IF((CsDJ[Date]=$A$4)*(CsDJ[Ofc Code]=(TRIM(L$7)))*(CsDJ[Account Code]=(TRIM($D52))),CsDJ[Debit])))+(SUM(IF((CRDJ[Date]=$A$4)*(CRDJ[Ofc Code]=(TRIM(L$7)))*(CRDJ[Account Code]=(TRIM($D52))),CRDJ[Debit])))+(SUM(IF((GJ[Date]=$A$4)*(GJ[Ofc Code]=(TRIM(L$7)))*(GJ[Account Code]=(TRIM($D52))),GJ[Debit])))-(SUM(IF((CkDJ[Date]=$A$4)*(CkDJ[Ofc Code]=(TRIM(L$7)))*(CkDJ[Account Code]=(TRIM($D52))),CkDJ[Credit])))+(SUM(IF((CsDJ[Date]=$A$4)*(CsDJ[Ofc Code]=(TRIM(L$7)))*(CsDJ[Account Code]=(TRIM($D52))),CsDJ[Credit])))+(SUM(IF((CRDJ[Date]=$A$4)*(CRDJ[Ofc Code]=(TRIM(L$7)))*(CRDJ[Account Code]=(TRIM($D52))),CRDJ[Credit])))+(SUM(IF((GJ[Date]=$A$4)*(GJ[Ofc Code]=(TRIM(L$7)))*(GJ[Account Code]=(TRIM($D52))),GJ[Credit])))</f>
        <v>0</v>
      </c>
      <c r="M52" s="211">
        <f t="array" ref="M52">(SUM(IF((CkDJ[Date]=$A$4)*(CkDJ[Ofc Code]=(TRIM(M$7)))*(CkDJ[Account Code]=(TRIM($D52))),CkDJ[Debit])))+(SUM(IF((CsDJ[Date]=$A$4)*(CsDJ[Ofc Code]=(TRIM(M$7)))*(CsDJ[Account Code]=(TRIM($D52))),CsDJ[Debit])))+(SUM(IF((CRDJ[Date]=$A$4)*(CRDJ[Ofc Code]=(TRIM(M$7)))*(CRDJ[Account Code]=(TRIM($D52))),CRDJ[Debit])))+(SUM(IF((GJ[Date]=$A$4)*(GJ[Ofc Code]=(TRIM(M$7)))*(GJ[Account Code]=(TRIM($D52))),GJ[Debit])))-(SUM(IF((CkDJ[Date]=$A$4)*(CkDJ[Ofc Code]=(TRIM(M$7)))*(CkDJ[Account Code]=(TRIM($D52))),CkDJ[Credit])))+(SUM(IF((CsDJ[Date]=$A$4)*(CsDJ[Ofc Code]=(TRIM(M$7)))*(CsDJ[Account Code]=(TRIM($D52))),CsDJ[Credit])))+(SUM(IF((CRDJ[Date]=$A$4)*(CRDJ[Ofc Code]=(TRIM(M$7)))*(CRDJ[Account Code]=(TRIM($D52))),CRDJ[Credit])))+(SUM(IF((GJ[Date]=$A$4)*(GJ[Ofc Code]=(TRIM(M$7)))*(GJ[Account Code]=(TRIM($D52))),GJ[Credit])))</f>
        <v>0</v>
      </c>
      <c r="N52" s="211">
        <f t="shared" si="9"/>
        <v>0</v>
      </c>
      <c r="O52" s="211">
        <f t="array" ref="O52">(SUM(IF((CkDJ[Date]=$A$4)*(CkDJ[Ofc Code]=(TRIM(O$7)))*(CkDJ[Account Code]=(TRIM($D52))),CkDJ[Debit])))+(SUM(IF((CsDJ[Date]=$A$4)*(CsDJ[Ofc Code]=(TRIM(O$7)))*(CsDJ[Account Code]=(TRIM($D52))),CsDJ[Debit])))+(SUM(IF((CRDJ[Date]=$A$4)*(CRDJ[Ofc Code]=(TRIM(O$7)))*(CRDJ[Account Code]=(TRIM($D52))),CRDJ[Debit])))+(SUM(IF((GJ[Date]=$A$4)*(GJ[Ofc Code]=(TRIM(O$7)))*(GJ[Account Code]=(TRIM($D52))),GJ[Debit])))-(SUM(IF((CkDJ[Date]=$A$4)*(CkDJ[Ofc Code]=(TRIM(O$7)))*(CkDJ[Account Code]=(TRIM($D52))),CkDJ[Credit])))+(SUM(IF((CsDJ[Date]=$A$4)*(CsDJ[Ofc Code]=(TRIM(O$7)))*(CsDJ[Account Code]=(TRIM($D52))),CsDJ[Credit])))+(SUM(IF((CRDJ[Date]=$A$4)*(CRDJ[Ofc Code]=(TRIM(O$7)))*(CRDJ[Account Code]=(TRIM($D52))),CRDJ[Credit])))+(SUM(IF((GJ[Date]=$A$4)*(GJ[Ofc Code]=(TRIM(O$7)))*(GJ[Account Code]=(TRIM($D52))),GJ[Credit])))</f>
        <v>0</v>
      </c>
      <c r="P52" s="211">
        <f t="array" ref="P52">(SUM(IF((CkDJ[Date]=$A$4)*(CkDJ[Ofc Code]=(TRIM(P$7)))*(CkDJ[Account Code]=(TRIM($D52))),CkDJ[Debit])))+(SUM(IF((CsDJ[Date]=$A$4)*(CsDJ[Ofc Code]=(TRIM(P$7)))*(CsDJ[Account Code]=(TRIM($D52))),CsDJ[Debit])))+(SUM(IF((CRDJ[Date]=$A$4)*(CRDJ[Ofc Code]=(TRIM(P$7)))*(CRDJ[Account Code]=(TRIM($D52))),CRDJ[Debit])))+(SUM(IF((GJ[Date]=$A$4)*(GJ[Ofc Code]=(TRIM(P$7)))*(GJ[Account Code]=(TRIM($D52))),GJ[Debit])))-(SUM(IF((CkDJ[Date]=$A$4)*(CkDJ[Ofc Code]=(TRIM(P$7)))*(CkDJ[Account Code]=(TRIM($D52))),CkDJ[Credit])))+(SUM(IF((CsDJ[Date]=$A$4)*(CsDJ[Ofc Code]=(TRIM(P$7)))*(CsDJ[Account Code]=(TRIM($D52))),CsDJ[Credit])))+(SUM(IF((CRDJ[Date]=$A$4)*(CRDJ[Ofc Code]=(TRIM(P$7)))*(CRDJ[Account Code]=(TRIM($D52))),CRDJ[Credit])))+(SUM(IF((GJ[Date]=$A$4)*(GJ[Ofc Code]=(TRIM(P$7)))*(GJ[Account Code]=(TRIM($D52))),GJ[Credit])))</f>
        <v>0</v>
      </c>
      <c r="Q52" s="211">
        <f t="array" ref="Q52">(SUM(IF((CkDJ[Date]=$A$4)*(CkDJ[Ofc Code]=(TRIM(Q$7)))*(CkDJ[Account Code]=(TRIM($D52))),CkDJ[Debit])))+(SUM(IF((CsDJ[Date]=$A$4)*(CsDJ[Ofc Code]=(TRIM(Q$7)))*(CsDJ[Account Code]=(TRIM($D52))),CsDJ[Debit])))+(SUM(IF((CRDJ[Date]=$A$4)*(CRDJ[Ofc Code]=(TRIM(Q$7)))*(CRDJ[Account Code]=(TRIM($D52))),CRDJ[Debit])))+(SUM(IF((GJ[Date]=$A$4)*(GJ[Ofc Code]=(TRIM(Q$7)))*(GJ[Account Code]=(TRIM($D52))),GJ[Debit])))-(SUM(IF((CkDJ[Date]=$A$4)*(CkDJ[Ofc Code]=(TRIM(Q$7)))*(CkDJ[Account Code]=(TRIM($D52))),CkDJ[Credit])))+(SUM(IF((CsDJ[Date]=$A$4)*(CsDJ[Ofc Code]=(TRIM(Q$7)))*(CsDJ[Account Code]=(TRIM($D52))),CsDJ[Credit])))+(SUM(IF((CRDJ[Date]=$A$4)*(CRDJ[Ofc Code]=(TRIM(Q$7)))*(CRDJ[Account Code]=(TRIM($D52))),CRDJ[Credit])))+(SUM(IF((GJ[Date]=$A$4)*(GJ[Ofc Code]=(TRIM(Q$7)))*(GJ[Account Code]=(TRIM($D52))),GJ[Credit])))</f>
        <v>0</v>
      </c>
      <c r="R52" s="211">
        <f t="array" ref="R52">(SUM(IF((CkDJ[Date]=$A$4)*(CkDJ[Ofc Code]=(TRIM(R$7)))*(CkDJ[Account Code]=(TRIM($D52))),CkDJ[Debit])))+(SUM(IF((CsDJ[Date]=$A$4)*(CsDJ[Ofc Code]=(TRIM(R$7)))*(CsDJ[Account Code]=(TRIM($D52))),CsDJ[Debit])))+(SUM(IF((CRDJ[Date]=$A$4)*(CRDJ[Ofc Code]=(TRIM(R$7)))*(CRDJ[Account Code]=(TRIM($D52))),CRDJ[Debit])))+(SUM(IF((GJ[Date]=$A$4)*(GJ[Ofc Code]=(TRIM(R$7)))*(GJ[Account Code]=(TRIM($D52))),GJ[Debit])))-(SUM(IF((CkDJ[Date]=$A$4)*(CkDJ[Ofc Code]=(TRIM(R$7)))*(CkDJ[Account Code]=(TRIM($D52))),CkDJ[Credit])))+(SUM(IF((CsDJ[Date]=$A$4)*(CsDJ[Ofc Code]=(TRIM(R$7)))*(CsDJ[Account Code]=(TRIM($D52))),CsDJ[Credit])))+(SUM(IF((CRDJ[Date]=$A$4)*(CRDJ[Ofc Code]=(TRIM(R$7)))*(CRDJ[Account Code]=(TRIM($D52))),CRDJ[Credit])))+(SUM(IF((GJ[Date]=$A$4)*(GJ[Ofc Code]=(TRIM(R$7)))*(GJ[Account Code]=(TRIM($D52))),GJ[Credit])))</f>
        <v>0</v>
      </c>
      <c r="S52" s="211">
        <f t="array" ref="S52">(SUM(IF((CkDJ[Date]=$A$4)*(CkDJ[Ofc Code]=(TRIM(S$7)))*(CkDJ[Account Code]=(TRIM($D52))),CkDJ[Debit])))+(SUM(IF((CsDJ[Date]=$A$4)*(CsDJ[Ofc Code]=(TRIM(S$7)))*(CsDJ[Account Code]=(TRIM($D52))),CsDJ[Debit])))+(SUM(IF((CRDJ[Date]=$A$4)*(CRDJ[Ofc Code]=(TRIM(S$7)))*(CRDJ[Account Code]=(TRIM($D52))),CRDJ[Debit])))+(SUM(IF((GJ[Date]=$A$4)*(GJ[Ofc Code]=(TRIM(S$7)))*(GJ[Account Code]=(TRIM($D52))),GJ[Debit])))-(SUM(IF((CkDJ[Date]=$A$4)*(CkDJ[Ofc Code]=(TRIM(S$7)))*(CkDJ[Account Code]=(TRIM($D52))),CkDJ[Credit])))+(SUM(IF((CsDJ[Date]=$A$4)*(CsDJ[Ofc Code]=(TRIM(S$7)))*(CsDJ[Account Code]=(TRIM($D52))),CsDJ[Credit])))+(SUM(IF((CRDJ[Date]=$A$4)*(CRDJ[Ofc Code]=(TRIM(S$7)))*(CRDJ[Account Code]=(TRIM($D52))),CRDJ[Credit])))+(SUM(IF((GJ[Date]=$A$4)*(GJ[Ofc Code]=(TRIM(S$7)))*(GJ[Account Code]=(TRIM($D52))),GJ[Credit])))</f>
        <v>0</v>
      </c>
      <c r="T52" s="211">
        <f t="shared" si="10"/>
        <v>0</v>
      </c>
      <c r="U52" s="211">
        <f t="shared" si="11"/>
        <v>0</v>
      </c>
    </row>
    <row r="53" spans="1:21" ht="15">
      <c r="A53" s="212">
        <f t="shared" si="12"/>
        <v>20</v>
      </c>
      <c r="B53" s="214" t="s">
        <v>756</v>
      </c>
      <c r="C53" s="194" t="str">
        <f t="shared" si="7"/>
        <v>PhilHealth Contributions</v>
      </c>
      <c r="D53" s="215">
        <v>733</v>
      </c>
      <c r="E53" s="211">
        <f t="array" ref="E53">(SUM(IF((CkDJ[Date]=$A$4)*(CkDJ[Ofc Code]=(TRIM(E$7)))*(CkDJ[Account Code]=(TRIM($D53))),CkDJ[Debit])))+(SUM(IF((CsDJ[Date]=$A$4)*(CsDJ[Ofc Code]=(TRIM(E$7)))*(CsDJ[Account Code]=(TRIM($D53))),CsDJ[Debit])))+(SUM(IF((CRDJ[Date]=$A$4)*(CRDJ[Ofc Code]=(TRIM(E$7)))*(CRDJ[Account Code]=(TRIM($D53))),CRDJ[Debit])))+(SUM(IF((GJ[Date]=$A$4)*(GJ[Ofc Code]=(TRIM(E$7)))*(GJ[Account Code]=(TRIM($D53))),GJ[Debit])))-(SUM(IF((CkDJ[Date]=$A$4)*(CkDJ[Ofc Code]=(TRIM(E$7)))*(CkDJ[Account Code]=(TRIM($D53))),CkDJ[Credit])))+(SUM(IF((CsDJ[Date]=$A$4)*(CsDJ[Ofc Code]=(TRIM(E$7)))*(CsDJ[Account Code]=(TRIM($D53))),CsDJ[Credit])))+(SUM(IF((CRDJ[Date]=$A$4)*(CRDJ[Ofc Code]=(TRIM(E$7)))*(CRDJ[Account Code]=(TRIM($D53))),CRDJ[Credit])))+(SUM(IF((GJ[Date]=$A$4)*(GJ[Ofc Code]=(TRIM(E$7)))*(GJ[Account Code]=(TRIM($D53))),GJ[Credit])))</f>
        <v>0</v>
      </c>
      <c r="F53" s="211">
        <f t="array" ref="F53">(SUM(IF((CkDJ[Date]=$A$4)*(CkDJ[Ofc Code]=(TRIM(F$7)))*(CkDJ[Account Code]=(TRIM($D53))),CkDJ[Debit])))+(SUM(IF((CsDJ[Date]=$A$4)*(CsDJ[Ofc Code]=(TRIM(F$7)))*(CsDJ[Account Code]=(TRIM($D53))),CsDJ[Debit])))+(SUM(IF((CRDJ[Date]=$A$4)*(CRDJ[Ofc Code]=(TRIM(F$7)))*(CRDJ[Account Code]=(TRIM($D53))),CRDJ[Debit])))+(SUM(IF((GJ[Date]=$A$4)*(GJ[Ofc Code]=(TRIM(F$7)))*(GJ[Account Code]=(TRIM($D53))),GJ[Debit])))-(SUM(IF((CkDJ[Date]=$A$4)*(CkDJ[Ofc Code]=(TRIM(F$7)))*(CkDJ[Account Code]=(TRIM($D53))),CkDJ[Credit])))+(SUM(IF((CsDJ[Date]=$A$4)*(CsDJ[Ofc Code]=(TRIM(F$7)))*(CsDJ[Account Code]=(TRIM($D53))),CsDJ[Credit])))+(SUM(IF((CRDJ[Date]=$A$4)*(CRDJ[Ofc Code]=(TRIM(F$7)))*(CRDJ[Account Code]=(TRIM($D53))),CRDJ[Credit])))+(SUM(IF((GJ[Date]=$A$4)*(GJ[Ofc Code]=(TRIM(F$7)))*(GJ[Account Code]=(TRIM($D53))),GJ[Credit])))</f>
        <v>0</v>
      </c>
      <c r="G53" s="211">
        <f t="array" ref="G53">(SUM(IF((CkDJ[Date]=$A$4)*(CkDJ[Ofc Code]=(TRIM(G$7)))*(CkDJ[Account Code]=(TRIM($D53))),CkDJ[Debit])))+(SUM(IF((CsDJ[Date]=$A$4)*(CsDJ[Ofc Code]=(TRIM(G$7)))*(CsDJ[Account Code]=(TRIM($D53))),CsDJ[Debit])))+(SUM(IF((CRDJ[Date]=$A$4)*(CRDJ[Ofc Code]=(TRIM(G$7)))*(CRDJ[Account Code]=(TRIM($D53))),CRDJ[Debit])))+(SUM(IF((GJ[Date]=$A$4)*(GJ[Ofc Code]=(TRIM(G$7)))*(GJ[Account Code]=(TRIM($D53))),GJ[Debit])))-(SUM(IF((CkDJ[Date]=$A$4)*(CkDJ[Ofc Code]=(TRIM(G$7)))*(CkDJ[Account Code]=(TRIM($D53))),CkDJ[Credit])))+(SUM(IF((CsDJ[Date]=$A$4)*(CsDJ[Ofc Code]=(TRIM(G$7)))*(CsDJ[Account Code]=(TRIM($D53))),CsDJ[Credit])))+(SUM(IF((CRDJ[Date]=$A$4)*(CRDJ[Ofc Code]=(TRIM(G$7)))*(CRDJ[Account Code]=(TRIM($D53))),CRDJ[Credit])))+(SUM(IF((GJ[Date]=$A$4)*(GJ[Ofc Code]=(TRIM(G$7)))*(GJ[Account Code]=(TRIM($D53))),GJ[Credit])))</f>
        <v>0</v>
      </c>
      <c r="H53" s="211">
        <f t="array" ref="H53">(SUM(IF((CkDJ[Date]=$A$4)*(CkDJ[Ofc Code]=(TRIM(H$7)))*(CkDJ[Account Code]=(TRIM($D53))),CkDJ[Debit])))+(SUM(IF((CsDJ[Date]=$A$4)*(CsDJ[Ofc Code]=(TRIM(H$7)))*(CsDJ[Account Code]=(TRIM($D53))),CsDJ[Debit])))+(SUM(IF((CRDJ[Date]=$A$4)*(CRDJ[Ofc Code]=(TRIM(H$7)))*(CRDJ[Account Code]=(TRIM($D53))),CRDJ[Debit])))+(SUM(IF((GJ[Date]=$A$4)*(GJ[Ofc Code]=(TRIM(H$7)))*(GJ[Account Code]=(TRIM($D53))),GJ[Debit])))-(SUM(IF((CkDJ[Date]=$A$4)*(CkDJ[Ofc Code]=(TRIM(H$7)))*(CkDJ[Account Code]=(TRIM($D53))),CkDJ[Credit])))+(SUM(IF((CsDJ[Date]=$A$4)*(CsDJ[Ofc Code]=(TRIM(H$7)))*(CsDJ[Account Code]=(TRIM($D53))),CsDJ[Credit])))+(SUM(IF((CRDJ[Date]=$A$4)*(CRDJ[Ofc Code]=(TRIM(H$7)))*(CRDJ[Account Code]=(TRIM($D53))),CRDJ[Credit])))+(SUM(IF((GJ[Date]=$A$4)*(GJ[Ofc Code]=(TRIM(H$7)))*(GJ[Account Code]=(TRIM($D53))),GJ[Credit])))</f>
        <v>0</v>
      </c>
      <c r="I53" s="211">
        <f t="shared" si="8"/>
        <v>0</v>
      </c>
      <c r="J53" s="211">
        <f t="array" ref="J53">(SUM(IF((CkDJ[Date]=$A$4)*(CkDJ[Ofc Code]=(TRIM(J$7)))*(CkDJ[Account Code]=(TRIM($D53))),CkDJ[Debit])))+(SUM(IF((CsDJ[Date]=$A$4)*(CsDJ[Ofc Code]=(TRIM(J$7)))*(CsDJ[Account Code]=(TRIM($D53))),CsDJ[Debit])))+(SUM(IF((CRDJ[Date]=$A$4)*(CRDJ[Ofc Code]=(TRIM(J$7)))*(CRDJ[Account Code]=(TRIM($D53))),CRDJ[Debit])))+(SUM(IF((GJ[Date]=$A$4)*(GJ[Ofc Code]=(TRIM(J$7)))*(GJ[Account Code]=(TRIM($D53))),GJ[Debit])))-(SUM(IF((CkDJ[Date]=$A$4)*(CkDJ[Ofc Code]=(TRIM(J$7)))*(CkDJ[Account Code]=(TRIM($D53))),CkDJ[Credit])))+(SUM(IF((CsDJ[Date]=$A$4)*(CsDJ[Ofc Code]=(TRIM(J$7)))*(CsDJ[Account Code]=(TRIM($D53))),CsDJ[Credit])))+(SUM(IF((CRDJ[Date]=$A$4)*(CRDJ[Ofc Code]=(TRIM(J$7)))*(CRDJ[Account Code]=(TRIM($D53))),CRDJ[Credit])))+(SUM(IF((GJ[Date]=$A$4)*(GJ[Ofc Code]=(TRIM(J$7)))*(GJ[Account Code]=(TRIM($D53))),GJ[Credit])))</f>
        <v>0</v>
      </c>
      <c r="K53" s="211">
        <f t="array" ref="K53">(SUM(IF((CkDJ[Date]=$A$4)*(CkDJ[Ofc Code]=(TRIM(K$7)))*(CkDJ[Account Code]=(TRIM($D53))),CkDJ[Debit])))+(SUM(IF((CsDJ[Date]=$A$4)*(CsDJ[Ofc Code]=(TRIM(K$7)))*(CsDJ[Account Code]=(TRIM($D53))),CsDJ[Debit])))+(SUM(IF((CRDJ[Date]=$A$4)*(CRDJ[Ofc Code]=(TRIM(K$7)))*(CRDJ[Account Code]=(TRIM($D53))),CRDJ[Debit])))+(SUM(IF((GJ[Date]=$A$4)*(GJ[Ofc Code]=(TRIM(K$7)))*(GJ[Account Code]=(TRIM($D53))),GJ[Debit])))-(SUM(IF((CkDJ[Date]=$A$4)*(CkDJ[Ofc Code]=(TRIM(K$7)))*(CkDJ[Account Code]=(TRIM($D53))),CkDJ[Credit])))+(SUM(IF((CsDJ[Date]=$A$4)*(CsDJ[Ofc Code]=(TRIM(K$7)))*(CsDJ[Account Code]=(TRIM($D53))),CsDJ[Credit])))+(SUM(IF((CRDJ[Date]=$A$4)*(CRDJ[Ofc Code]=(TRIM(K$7)))*(CRDJ[Account Code]=(TRIM($D53))),CRDJ[Credit])))+(SUM(IF((GJ[Date]=$A$4)*(GJ[Ofc Code]=(TRIM(K$7)))*(GJ[Account Code]=(TRIM($D53))),GJ[Credit])))</f>
        <v>0</v>
      </c>
      <c r="L53" s="211">
        <f t="array" ref="L53">(SUM(IF((CkDJ[Date]=$A$4)*(CkDJ[Ofc Code]=(TRIM(L$7)))*(CkDJ[Account Code]=(TRIM($D53))),CkDJ[Debit])))+(SUM(IF((CsDJ[Date]=$A$4)*(CsDJ[Ofc Code]=(TRIM(L$7)))*(CsDJ[Account Code]=(TRIM($D53))),CsDJ[Debit])))+(SUM(IF((CRDJ[Date]=$A$4)*(CRDJ[Ofc Code]=(TRIM(L$7)))*(CRDJ[Account Code]=(TRIM($D53))),CRDJ[Debit])))+(SUM(IF((GJ[Date]=$A$4)*(GJ[Ofc Code]=(TRIM(L$7)))*(GJ[Account Code]=(TRIM($D53))),GJ[Debit])))-(SUM(IF((CkDJ[Date]=$A$4)*(CkDJ[Ofc Code]=(TRIM(L$7)))*(CkDJ[Account Code]=(TRIM($D53))),CkDJ[Credit])))+(SUM(IF((CsDJ[Date]=$A$4)*(CsDJ[Ofc Code]=(TRIM(L$7)))*(CsDJ[Account Code]=(TRIM($D53))),CsDJ[Credit])))+(SUM(IF((CRDJ[Date]=$A$4)*(CRDJ[Ofc Code]=(TRIM(L$7)))*(CRDJ[Account Code]=(TRIM($D53))),CRDJ[Credit])))+(SUM(IF((GJ[Date]=$A$4)*(GJ[Ofc Code]=(TRIM(L$7)))*(GJ[Account Code]=(TRIM($D53))),GJ[Credit])))</f>
        <v>0</v>
      </c>
      <c r="M53" s="211">
        <f t="array" ref="M53">(SUM(IF((CkDJ[Date]=$A$4)*(CkDJ[Ofc Code]=(TRIM(M$7)))*(CkDJ[Account Code]=(TRIM($D53))),CkDJ[Debit])))+(SUM(IF((CsDJ[Date]=$A$4)*(CsDJ[Ofc Code]=(TRIM(M$7)))*(CsDJ[Account Code]=(TRIM($D53))),CsDJ[Debit])))+(SUM(IF((CRDJ[Date]=$A$4)*(CRDJ[Ofc Code]=(TRIM(M$7)))*(CRDJ[Account Code]=(TRIM($D53))),CRDJ[Debit])))+(SUM(IF((GJ[Date]=$A$4)*(GJ[Ofc Code]=(TRIM(M$7)))*(GJ[Account Code]=(TRIM($D53))),GJ[Debit])))-(SUM(IF((CkDJ[Date]=$A$4)*(CkDJ[Ofc Code]=(TRIM(M$7)))*(CkDJ[Account Code]=(TRIM($D53))),CkDJ[Credit])))+(SUM(IF((CsDJ[Date]=$A$4)*(CsDJ[Ofc Code]=(TRIM(M$7)))*(CsDJ[Account Code]=(TRIM($D53))),CsDJ[Credit])))+(SUM(IF((CRDJ[Date]=$A$4)*(CRDJ[Ofc Code]=(TRIM(M$7)))*(CRDJ[Account Code]=(TRIM($D53))),CRDJ[Credit])))+(SUM(IF((GJ[Date]=$A$4)*(GJ[Ofc Code]=(TRIM(M$7)))*(GJ[Account Code]=(TRIM($D53))),GJ[Credit])))</f>
        <v>0</v>
      </c>
      <c r="N53" s="211">
        <f t="shared" si="9"/>
        <v>0</v>
      </c>
      <c r="O53" s="211">
        <f t="array" ref="O53">(SUM(IF((CkDJ[Date]=$A$4)*(CkDJ[Ofc Code]=(TRIM(O$7)))*(CkDJ[Account Code]=(TRIM($D53))),CkDJ[Debit])))+(SUM(IF((CsDJ[Date]=$A$4)*(CsDJ[Ofc Code]=(TRIM(O$7)))*(CsDJ[Account Code]=(TRIM($D53))),CsDJ[Debit])))+(SUM(IF((CRDJ[Date]=$A$4)*(CRDJ[Ofc Code]=(TRIM(O$7)))*(CRDJ[Account Code]=(TRIM($D53))),CRDJ[Debit])))+(SUM(IF((GJ[Date]=$A$4)*(GJ[Ofc Code]=(TRIM(O$7)))*(GJ[Account Code]=(TRIM($D53))),GJ[Debit])))-(SUM(IF((CkDJ[Date]=$A$4)*(CkDJ[Ofc Code]=(TRIM(O$7)))*(CkDJ[Account Code]=(TRIM($D53))),CkDJ[Credit])))+(SUM(IF((CsDJ[Date]=$A$4)*(CsDJ[Ofc Code]=(TRIM(O$7)))*(CsDJ[Account Code]=(TRIM($D53))),CsDJ[Credit])))+(SUM(IF((CRDJ[Date]=$A$4)*(CRDJ[Ofc Code]=(TRIM(O$7)))*(CRDJ[Account Code]=(TRIM($D53))),CRDJ[Credit])))+(SUM(IF((GJ[Date]=$A$4)*(GJ[Ofc Code]=(TRIM(O$7)))*(GJ[Account Code]=(TRIM($D53))),GJ[Credit])))</f>
        <v>0</v>
      </c>
      <c r="P53" s="211">
        <f t="array" ref="P53">(SUM(IF((CkDJ[Date]=$A$4)*(CkDJ[Ofc Code]=(TRIM(P$7)))*(CkDJ[Account Code]=(TRIM($D53))),CkDJ[Debit])))+(SUM(IF((CsDJ[Date]=$A$4)*(CsDJ[Ofc Code]=(TRIM(P$7)))*(CsDJ[Account Code]=(TRIM($D53))),CsDJ[Debit])))+(SUM(IF((CRDJ[Date]=$A$4)*(CRDJ[Ofc Code]=(TRIM(P$7)))*(CRDJ[Account Code]=(TRIM($D53))),CRDJ[Debit])))+(SUM(IF((GJ[Date]=$A$4)*(GJ[Ofc Code]=(TRIM(P$7)))*(GJ[Account Code]=(TRIM($D53))),GJ[Debit])))-(SUM(IF((CkDJ[Date]=$A$4)*(CkDJ[Ofc Code]=(TRIM(P$7)))*(CkDJ[Account Code]=(TRIM($D53))),CkDJ[Credit])))+(SUM(IF((CsDJ[Date]=$A$4)*(CsDJ[Ofc Code]=(TRIM(P$7)))*(CsDJ[Account Code]=(TRIM($D53))),CsDJ[Credit])))+(SUM(IF((CRDJ[Date]=$A$4)*(CRDJ[Ofc Code]=(TRIM(P$7)))*(CRDJ[Account Code]=(TRIM($D53))),CRDJ[Credit])))+(SUM(IF((GJ[Date]=$A$4)*(GJ[Ofc Code]=(TRIM(P$7)))*(GJ[Account Code]=(TRIM($D53))),GJ[Credit])))</f>
        <v>0</v>
      </c>
      <c r="Q53" s="211">
        <f t="array" ref="Q53">(SUM(IF((CkDJ[Date]=$A$4)*(CkDJ[Ofc Code]=(TRIM(Q$7)))*(CkDJ[Account Code]=(TRIM($D53))),CkDJ[Debit])))+(SUM(IF((CsDJ[Date]=$A$4)*(CsDJ[Ofc Code]=(TRIM(Q$7)))*(CsDJ[Account Code]=(TRIM($D53))),CsDJ[Debit])))+(SUM(IF((CRDJ[Date]=$A$4)*(CRDJ[Ofc Code]=(TRIM(Q$7)))*(CRDJ[Account Code]=(TRIM($D53))),CRDJ[Debit])))+(SUM(IF((GJ[Date]=$A$4)*(GJ[Ofc Code]=(TRIM(Q$7)))*(GJ[Account Code]=(TRIM($D53))),GJ[Debit])))-(SUM(IF((CkDJ[Date]=$A$4)*(CkDJ[Ofc Code]=(TRIM(Q$7)))*(CkDJ[Account Code]=(TRIM($D53))),CkDJ[Credit])))+(SUM(IF((CsDJ[Date]=$A$4)*(CsDJ[Ofc Code]=(TRIM(Q$7)))*(CsDJ[Account Code]=(TRIM($D53))),CsDJ[Credit])))+(SUM(IF((CRDJ[Date]=$A$4)*(CRDJ[Ofc Code]=(TRIM(Q$7)))*(CRDJ[Account Code]=(TRIM($D53))),CRDJ[Credit])))+(SUM(IF((GJ[Date]=$A$4)*(GJ[Ofc Code]=(TRIM(Q$7)))*(GJ[Account Code]=(TRIM($D53))),GJ[Credit])))</f>
        <v>0</v>
      </c>
      <c r="R53" s="211">
        <f t="array" ref="R53">(SUM(IF((CkDJ[Date]=$A$4)*(CkDJ[Ofc Code]=(TRIM(R$7)))*(CkDJ[Account Code]=(TRIM($D53))),CkDJ[Debit])))+(SUM(IF((CsDJ[Date]=$A$4)*(CsDJ[Ofc Code]=(TRIM(R$7)))*(CsDJ[Account Code]=(TRIM($D53))),CsDJ[Debit])))+(SUM(IF((CRDJ[Date]=$A$4)*(CRDJ[Ofc Code]=(TRIM(R$7)))*(CRDJ[Account Code]=(TRIM($D53))),CRDJ[Debit])))+(SUM(IF((GJ[Date]=$A$4)*(GJ[Ofc Code]=(TRIM(R$7)))*(GJ[Account Code]=(TRIM($D53))),GJ[Debit])))-(SUM(IF((CkDJ[Date]=$A$4)*(CkDJ[Ofc Code]=(TRIM(R$7)))*(CkDJ[Account Code]=(TRIM($D53))),CkDJ[Credit])))+(SUM(IF((CsDJ[Date]=$A$4)*(CsDJ[Ofc Code]=(TRIM(R$7)))*(CsDJ[Account Code]=(TRIM($D53))),CsDJ[Credit])))+(SUM(IF((CRDJ[Date]=$A$4)*(CRDJ[Ofc Code]=(TRIM(R$7)))*(CRDJ[Account Code]=(TRIM($D53))),CRDJ[Credit])))+(SUM(IF((GJ[Date]=$A$4)*(GJ[Ofc Code]=(TRIM(R$7)))*(GJ[Account Code]=(TRIM($D53))),GJ[Credit])))</f>
        <v>0</v>
      </c>
      <c r="S53" s="211">
        <f t="array" ref="S53">(SUM(IF((CkDJ[Date]=$A$4)*(CkDJ[Ofc Code]=(TRIM(S$7)))*(CkDJ[Account Code]=(TRIM($D53))),CkDJ[Debit])))+(SUM(IF((CsDJ[Date]=$A$4)*(CsDJ[Ofc Code]=(TRIM(S$7)))*(CsDJ[Account Code]=(TRIM($D53))),CsDJ[Debit])))+(SUM(IF((CRDJ[Date]=$A$4)*(CRDJ[Ofc Code]=(TRIM(S$7)))*(CRDJ[Account Code]=(TRIM($D53))),CRDJ[Debit])))+(SUM(IF((GJ[Date]=$A$4)*(GJ[Ofc Code]=(TRIM(S$7)))*(GJ[Account Code]=(TRIM($D53))),GJ[Debit])))-(SUM(IF((CkDJ[Date]=$A$4)*(CkDJ[Ofc Code]=(TRIM(S$7)))*(CkDJ[Account Code]=(TRIM($D53))),CkDJ[Credit])))+(SUM(IF((CsDJ[Date]=$A$4)*(CsDJ[Ofc Code]=(TRIM(S$7)))*(CsDJ[Account Code]=(TRIM($D53))),CsDJ[Credit])))+(SUM(IF((CRDJ[Date]=$A$4)*(CRDJ[Ofc Code]=(TRIM(S$7)))*(CRDJ[Account Code]=(TRIM($D53))),CRDJ[Credit])))+(SUM(IF((GJ[Date]=$A$4)*(GJ[Ofc Code]=(TRIM(S$7)))*(GJ[Account Code]=(TRIM($D53))),GJ[Credit])))</f>
        <v>0</v>
      </c>
      <c r="T53" s="211">
        <f t="shared" si="10"/>
        <v>0</v>
      </c>
      <c r="U53" s="211">
        <f t="shared" si="11"/>
        <v>0</v>
      </c>
    </row>
    <row r="54" spans="1:21" ht="15">
      <c r="A54" s="212">
        <f t="shared" si="12"/>
        <v>21</v>
      </c>
      <c r="B54" s="214" t="s">
        <v>756</v>
      </c>
      <c r="C54" s="194" t="str">
        <f>IF(D54=0,"",(VLOOKUP((TRIM(D54)),Code,2,)))</f>
        <v>Employees Compensation Insurance Premiums</v>
      </c>
      <c r="D54" s="215">
        <v>734</v>
      </c>
      <c r="E54" s="211">
        <f t="array" ref="E54">(SUM(IF((CkDJ[Date]=$A$4)*(CkDJ[Ofc Code]=(TRIM(E$7)))*(CkDJ[Account Code]=(TRIM($D54))),CkDJ[Debit])))+(SUM(IF((CsDJ[Date]=$A$4)*(CsDJ[Ofc Code]=(TRIM(E$7)))*(CsDJ[Account Code]=(TRIM($D54))),CsDJ[Debit])))+(SUM(IF((CRDJ[Date]=$A$4)*(CRDJ[Ofc Code]=(TRIM(E$7)))*(CRDJ[Account Code]=(TRIM($D54))),CRDJ[Debit])))+(SUM(IF((GJ[Date]=$A$4)*(GJ[Ofc Code]=(TRIM(E$7)))*(GJ[Account Code]=(TRIM($D54))),GJ[Debit])))-(SUM(IF((CkDJ[Date]=$A$4)*(CkDJ[Ofc Code]=(TRIM(E$7)))*(CkDJ[Account Code]=(TRIM($D54))),CkDJ[Credit])))+(SUM(IF((CsDJ[Date]=$A$4)*(CsDJ[Ofc Code]=(TRIM(E$7)))*(CsDJ[Account Code]=(TRIM($D54))),CsDJ[Credit])))+(SUM(IF((CRDJ[Date]=$A$4)*(CRDJ[Ofc Code]=(TRIM(E$7)))*(CRDJ[Account Code]=(TRIM($D54))),CRDJ[Credit])))+(SUM(IF((GJ[Date]=$A$4)*(GJ[Ofc Code]=(TRIM(E$7)))*(GJ[Account Code]=(TRIM($D54))),GJ[Credit])))</f>
        <v>0</v>
      </c>
      <c r="F54" s="211">
        <f t="array" ref="F54">(SUM(IF((CkDJ[Date]=$A$4)*(CkDJ[Ofc Code]=(TRIM(F$7)))*(CkDJ[Account Code]=(TRIM($D54))),CkDJ[Debit])))+(SUM(IF((CsDJ[Date]=$A$4)*(CsDJ[Ofc Code]=(TRIM(F$7)))*(CsDJ[Account Code]=(TRIM($D54))),CsDJ[Debit])))+(SUM(IF((CRDJ[Date]=$A$4)*(CRDJ[Ofc Code]=(TRIM(F$7)))*(CRDJ[Account Code]=(TRIM($D54))),CRDJ[Debit])))+(SUM(IF((GJ[Date]=$A$4)*(GJ[Ofc Code]=(TRIM(F$7)))*(GJ[Account Code]=(TRIM($D54))),GJ[Debit])))-(SUM(IF((CkDJ[Date]=$A$4)*(CkDJ[Ofc Code]=(TRIM(F$7)))*(CkDJ[Account Code]=(TRIM($D54))),CkDJ[Credit])))+(SUM(IF((CsDJ[Date]=$A$4)*(CsDJ[Ofc Code]=(TRIM(F$7)))*(CsDJ[Account Code]=(TRIM($D54))),CsDJ[Credit])))+(SUM(IF((CRDJ[Date]=$A$4)*(CRDJ[Ofc Code]=(TRIM(F$7)))*(CRDJ[Account Code]=(TRIM($D54))),CRDJ[Credit])))+(SUM(IF((GJ[Date]=$A$4)*(GJ[Ofc Code]=(TRIM(F$7)))*(GJ[Account Code]=(TRIM($D54))),GJ[Credit])))</f>
        <v>0</v>
      </c>
      <c r="G54" s="211">
        <f t="array" ref="G54">(SUM(IF((CkDJ[Date]=$A$4)*(CkDJ[Ofc Code]=(TRIM(G$7)))*(CkDJ[Account Code]=(TRIM($D54))),CkDJ[Debit])))+(SUM(IF((CsDJ[Date]=$A$4)*(CsDJ[Ofc Code]=(TRIM(G$7)))*(CsDJ[Account Code]=(TRIM($D54))),CsDJ[Debit])))+(SUM(IF((CRDJ[Date]=$A$4)*(CRDJ[Ofc Code]=(TRIM(G$7)))*(CRDJ[Account Code]=(TRIM($D54))),CRDJ[Debit])))+(SUM(IF((GJ[Date]=$A$4)*(GJ[Ofc Code]=(TRIM(G$7)))*(GJ[Account Code]=(TRIM($D54))),GJ[Debit])))-(SUM(IF((CkDJ[Date]=$A$4)*(CkDJ[Ofc Code]=(TRIM(G$7)))*(CkDJ[Account Code]=(TRIM($D54))),CkDJ[Credit])))+(SUM(IF((CsDJ[Date]=$A$4)*(CsDJ[Ofc Code]=(TRIM(G$7)))*(CsDJ[Account Code]=(TRIM($D54))),CsDJ[Credit])))+(SUM(IF((CRDJ[Date]=$A$4)*(CRDJ[Ofc Code]=(TRIM(G$7)))*(CRDJ[Account Code]=(TRIM($D54))),CRDJ[Credit])))+(SUM(IF((GJ[Date]=$A$4)*(GJ[Ofc Code]=(TRIM(G$7)))*(GJ[Account Code]=(TRIM($D54))),GJ[Credit])))</f>
        <v>0</v>
      </c>
      <c r="H54" s="211">
        <f t="array" ref="H54">(SUM(IF((CkDJ[Date]=$A$4)*(CkDJ[Ofc Code]=(TRIM(H$7)))*(CkDJ[Account Code]=(TRIM($D54))),CkDJ[Debit])))+(SUM(IF((CsDJ[Date]=$A$4)*(CsDJ[Ofc Code]=(TRIM(H$7)))*(CsDJ[Account Code]=(TRIM($D54))),CsDJ[Debit])))+(SUM(IF((CRDJ[Date]=$A$4)*(CRDJ[Ofc Code]=(TRIM(H$7)))*(CRDJ[Account Code]=(TRIM($D54))),CRDJ[Debit])))+(SUM(IF((GJ[Date]=$A$4)*(GJ[Ofc Code]=(TRIM(H$7)))*(GJ[Account Code]=(TRIM($D54))),GJ[Debit])))-(SUM(IF((CkDJ[Date]=$A$4)*(CkDJ[Ofc Code]=(TRIM(H$7)))*(CkDJ[Account Code]=(TRIM($D54))),CkDJ[Credit])))+(SUM(IF((CsDJ[Date]=$A$4)*(CsDJ[Ofc Code]=(TRIM(H$7)))*(CsDJ[Account Code]=(TRIM($D54))),CsDJ[Credit])))+(SUM(IF((CRDJ[Date]=$A$4)*(CRDJ[Ofc Code]=(TRIM(H$7)))*(CRDJ[Account Code]=(TRIM($D54))),CRDJ[Credit])))+(SUM(IF((GJ[Date]=$A$4)*(GJ[Ofc Code]=(TRIM(H$7)))*(GJ[Account Code]=(TRIM($D54))),GJ[Credit])))</f>
        <v>0</v>
      </c>
      <c r="I54" s="211">
        <f>SUM(F54:H54)</f>
        <v>0</v>
      </c>
      <c r="J54" s="211">
        <f t="array" ref="J54">(SUM(IF((CkDJ[Date]=$A$4)*(CkDJ[Ofc Code]=(TRIM(J$7)))*(CkDJ[Account Code]=(TRIM($D54))),CkDJ[Debit])))+(SUM(IF((CsDJ[Date]=$A$4)*(CsDJ[Ofc Code]=(TRIM(J$7)))*(CsDJ[Account Code]=(TRIM($D54))),CsDJ[Debit])))+(SUM(IF((CRDJ[Date]=$A$4)*(CRDJ[Ofc Code]=(TRIM(J$7)))*(CRDJ[Account Code]=(TRIM($D54))),CRDJ[Debit])))+(SUM(IF((GJ[Date]=$A$4)*(GJ[Ofc Code]=(TRIM(J$7)))*(GJ[Account Code]=(TRIM($D54))),GJ[Debit])))-(SUM(IF((CkDJ[Date]=$A$4)*(CkDJ[Ofc Code]=(TRIM(J$7)))*(CkDJ[Account Code]=(TRIM($D54))),CkDJ[Credit])))+(SUM(IF((CsDJ[Date]=$A$4)*(CsDJ[Ofc Code]=(TRIM(J$7)))*(CsDJ[Account Code]=(TRIM($D54))),CsDJ[Credit])))+(SUM(IF((CRDJ[Date]=$A$4)*(CRDJ[Ofc Code]=(TRIM(J$7)))*(CRDJ[Account Code]=(TRIM($D54))),CRDJ[Credit])))+(SUM(IF((GJ[Date]=$A$4)*(GJ[Ofc Code]=(TRIM(J$7)))*(GJ[Account Code]=(TRIM($D54))),GJ[Credit])))</f>
        <v>0</v>
      </c>
      <c r="K54" s="211">
        <f t="array" ref="K54">(SUM(IF((CkDJ[Date]=$A$4)*(CkDJ[Ofc Code]=(TRIM(K$7)))*(CkDJ[Account Code]=(TRIM($D54))),CkDJ[Debit])))+(SUM(IF((CsDJ[Date]=$A$4)*(CsDJ[Ofc Code]=(TRIM(K$7)))*(CsDJ[Account Code]=(TRIM($D54))),CsDJ[Debit])))+(SUM(IF((CRDJ[Date]=$A$4)*(CRDJ[Ofc Code]=(TRIM(K$7)))*(CRDJ[Account Code]=(TRIM($D54))),CRDJ[Debit])))+(SUM(IF((GJ[Date]=$A$4)*(GJ[Ofc Code]=(TRIM(K$7)))*(GJ[Account Code]=(TRIM($D54))),GJ[Debit])))-(SUM(IF((CkDJ[Date]=$A$4)*(CkDJ[Ofc Code]=(TRIM(K$7)))*(CkDJ[Account Code]=(TRIM($D54))),CkDJ[Credit])))+(SUM(IF((CsDJ[Date]=$A$4)*(CsDJ[Ofc Code]=(TRIM(K$7)))*(CsDJ[Account Code]=(TRIM($D54))),CsDJ[Credit])))+(SUM(IF((CRDJ[Date]=$A$4)*(CRDJ[Ofc Code]=(TRIM(K$7)))*(CRDJ[Account Code]=(TRIM($D54))),CRDJ[Credit])))+(SUM(IF((GJ[Date]=$A$4)*(GJ[Ofc Code]=(TRIM(K$7)))*(GJ[Account Code]=(TRIM($D54))),GJ[Credit])))</f>
        <v>0</v>
      </c>
      <c r="L54" s="211">
        <f t="array" ref="L54">(SUM(IF((CkDJ[Date]=$A$4)*(CkDJ[Ofc Code]=(TRIM(L$7)))*(CkDJ[Account Code]=(TRIM($D54))),CkDJ[Debit])))+(SUM(IF((CsDJ[Date]=$A$4)*(CsDJ[Ofc Code]=(TRIM(L$7)))*(CsDJ[Account Code]=(TRIM($D54))),CsDJ[Debit])))+(SUM(IF((CRDJ[Date]=$A$4)*(CRDJ[Ofc Code]=(TRIM(L$7)))*(CRDJ[Account Code]=(TRIM($D54))),CRDJ[Debit])))+(SUM(IF((GJ[Date]=$A$4)*(GJ[Ofc Code]=(TRIM(L$7)))*(GJ[Account Code]=(TRIM($D54))),GJ[Debit])))-(SUM(IF((CkDJ[Date]=$A$4)*(CkDJ[Ofc Code]=(TRIM(L$7)))*(CkDJ[Account Code]=(TRIM($D54))),CkDJ[Credit])))+(SUM(IF((CsDJ[Date]=$A$4)*(CsDJ[Ofc Code]=(TRIM(L$7)))*(CsDJ[Account Code]=(TRIM($D54))),CsDJ[Credit])))+(SUM(IF((CRDJ[Date]=$A$4)*(CRDJ[Ofc Code]=(TRIM(L$7)))*(CRDJ[Account Code]=(TRIM($D54))),CRDJ[Credit])))+(SUM(IF((GJ[Date]=$A$4)*(GJ[Ofc Code]=(TRIM(L$7)))*(GJ[Account Code]=(TRIM($D54))),GJ[Credit])))</f>
        <v>0</v>
      </c>
      <c r="M54" s="211">
        <f t="array" ref="M54">(SUM(IF((CkDJ[Date]=$A$4)*(CkDJ[Ofc Code]=(TRIM(M$7)))*(CkDJ[Account Code]=(TRIM($D54))),CkDJ[Debit])))+(SUM(IF((CsDJ[Date]=$A$4)*(CsDJ[Ofc Code]=(TRIM(M$7)))*(CsDJ[Account Code]=(TRIM($D54))),CsDJ[Debit])))+(SUM(IF((CRDJ[Date]=$A$4)*(CRDJ[Ofc Code]=(TRIM(M$7)))*(CRDJ[Account Code]=(TRIM($D54))),CRDJ[Debit])))+(SUM(IF((GJ[Date]=$A$4)*(GJ[Ofc Code]=(TRIM(M$7)))*(GJ[Account Code]=(TRIM($D54))),GJ[Debit])))-(SUM(IF((CkDJ[Date]=$A$4)*(CkDJ[Ofc Code]=(TRIM(M$7)))*(CkDJ[Account Code]=(TRIM($D54))),CkDJ[Credit])))+(SUM(IF((CsDJ[Date]=$A$4)*(CsDJ[Ofc Code]=(TRIM(M$7)))*(CsDJ[Account Code]=(TRIM($D54))),CsDJ[Credit])))+(SUM(IF((CRDJ[Date]=$A$4)*(CRDJ[Ofc Code]=(TRIM(M$7)))*(CRDJ[Account Code]=(TRIM($D54))),CRDJ[Credit])))+(SUM(IF((GJ[Date]=$A$4)*(GJ[Ofc Code]=(TRIM(M$7)))*(GJ[Account Code]=(TRIM($D54))),GJ[Credit])))</f>
        <v>0</v>
      </c>
      <c r="N54" s="211">
        <f>SUM(J54:M54)</f>
        <v>0</v>
      </c>
      <c r="O54" s="211">
        <f t="array" ref="O54">(SUM(IF((CkDJ[Date]=$A$4)*(CkDJ[Ofc Code]=(TRIM(O$7)))*(CkDJ[Account Code]=(TRIM($D54))),CkDJ[Debit])))+(SUM(IF((CsDJ[Date]=$A$4)*(CsDJ[Ofc Code]=(TRIM(O$7)))*(CsDJ[Account Code]=(TRIM($D54))),CsDJ[Debit])))+(SUM(IF((CRDJ[Date]=$A$4)*(CRDJ[Ofc Code]=(TRIM(O$7)))*(CRDJ[Account Code]=(TRIM($D54))),CRDJ[Debit])))+(SUM(IF((GJ[Date]=$A$4)*(GJ[Ofc Code]=(TRIM(O$7)))*(GJ[Account Code]=(TRIM($D54))),GJ[Debit])))-(SUM(IF((CkDJ[Date]=$A$4)*(CkDJ[Ofc Code]=(TRIM(O$7)))*(CkDJ[Account Code]=(TRIM($D54))),CkDJ[Credit])))+(SUM(IF((CsDJ[Date]=$A$4)*(CsDJ[Ofc Code]=(TRIM(O$7)))*(CsDJ[Account Code]=(TRIM($D54))),CsDJ[Credit])))+(SUM(IF((CRDJ[Date]=$A$4)*(CRDJ[Ofc Code]=(TRIM(O$7)))*(CRDJ[Account Code]=(TRIM($D54))),CRDJ[Credit])))+(SUM(IF((GJ[Date]=$A$4)*(GJ[Ofc Code]=(TRIM(O$7)))*(GJ[Account Code]=(TRIM($D54))),GJ[Credit])))</f>
        <v>0</v>
      </c>
      <c r="P54" s="211">
        <f t="array" ref="P54">(SUM(IF((CkDJ[Date]=$A$4)*(CkDJ[Ofc Code]=(TRIM(P$7)))*(CkDJ[Account Code]=(TRIM($D54))),CkDJ[Debit])))+(SUM(IF((CsDJ[Date]=$A$4)*(CsDJ[Ofc Code]=(TRIM(P$7)))*(CsDJ[Account Code]=(TRIM($D54))),CsDJ[Debit])))+(SUM(IF((CRDJ[Date]=$A$4)*(CRDJ[Ofc Code]=(TRIM(P$7)))*(CRDJ[Account Code]=(TRIM($D54))),CRDJ[Debit])))+(SUM(IF((GJ[Date]=$A$4)*(GJ[Ofc Code]=(TRIM(P$7)))*(GJ[Account Code]=(TRIM($D54))),GJ[Debit])))-(SUM(IF((CkDJ[Date]=$A$4)*(CkDJ[Ofc Code]=(TRIM(P$7)))*(CkDJ[Account Code]=(TRIM($D54))),CkDJ[Credit])))+(SUM(IF((CsDJ[Date]=$A$4)*(CsDJ[Ofc Code]=(TRIM(P$7)))*(CsDJ[Account Code]=(TRIM($D54))),CsDJ[Credit])))+(SUM(IF((CRDJ[Date]=$A$4)*(CRDJ[Ofc Code]=(TRIM(P$7)))*(CRDJ[Account Code]=(TRIM($D54))),CRDJ[Credit])))+(SUM(IF((GJ[Date]=$A$4)*(GJ[Ofc Code]=(TRIM(P$7)))*(GJ[Account Code]=(TRIM($D54))),GJ[Credit])))</f>
        <v>0</v>
      </c>
      <c r="Q54" s="211">
        <f t="array" ref="Q54">(SUM(IF((CkDJ[Date]=$A$4)*(CkDJ[Ofc Code]=(TRIM(Q$7)))*(CkDJ[Account Code]=(TRIM($D54))),CkDJ[Debit])))+(SUM(IF((CsDJ[Date]=$A$4)*(CsDJ[Ofc Code]=(TRIM(Q$7)))*(CsDJ[Account Code]=(TRIM($D54))),CsDJ[Debit])))+(SUM(IF((CRDJ[Date]=$A$4)*(CRDJ[Ofc Code]=(TRIM(Q$7)))*(CRDJ[Account Code]=(TRIM($D54))),CRDJ[Debit])))+(SUM(IF((GJ[Date]=$A$4)*(GJ[Ofc Code]=(TRIM(Q$7)))*(GJ[Account Code]=(TRIM($D54))),GJ[Debit])))-(SUM(IF((CkDJ[Date]=$A$4)*(CkDJ[Ofc Code]=(TRIM(Q$7)))*(CkDJ[Account Code]=(TRIM($D54))),CkDJ[Credit])))+(SUM(IF((CsDJ[Date]=$A$4)*(CsDJ[Ofc Code]=(TRIM(Q$7)))*(CsDJ[Account Code]=(TRIM($D54))),CsDJ[Credit])))+(SUM(IF((CRDJ[Date]=$A$4)*(CRDJ[Ofc Code]=(TRIM(Q$7)))*(CRDJ[Account Code]=(TRIM($D54))),CRDJ[Credit])))+(SUM(IF((GJ[Date]=$A$4)*(GJ[Ofc Code]=(TRIM(Q$7)))*(GJ[Account Code]=(TRIM($D54))),GJ[Credit])))</f>
        <v>0</v>
      </c>
      <c r="R54" s="211">
        <f t="array" ref="R54">(SUM(IF((CkDJ[Date]=$A$4)*(CkDJ[Ofc Code]=(TRIM(R$7)))*(CkDJ[Account Code]=(TRIM($D54))),CkDJ[Debit])))+(SUM(IF((CsDJ[Date]=$A$4)*(CsDJ[Ofc Code]=(TRIM(R$7)))*(CsDJ[Account Code]=(TRIM($D54))),CsDJ[Debit])))+(SUM(IF((CRDJ[Date]=$A$4)*(CRDJ[Ofc Code]=(TRIM(R$7)))*(CRDJ[Account Code]=(TRIM($D54))),CRDJ[Debit])))+(SUM(IF((GJ[Date]=$A$4)*(GJ[Ofc Code]=(TRIM(R$7)))*(GJ[Account Code]=(TRIM($D54))),GJ[Debit])))-(SUM(IF((CkDJ[Date]=$A$4)*(CkDJ[Ofc Code]=(TRIM(R$7)))*(CkDJ[Account Code]=(TRIM($D54))),CkDJ[Credit])))+(SUM(IF((CsDJ[Date]=$A$4)*(CsDJ[Ofc Code]=(TRIM(R$7)))*(CsDJ[Account Code]=(TRIM($D54))),CsDJ[Credit])))+(SUM(IF((CRDJ[Date]=$A$4)*(CRDJ[Ofc Code]=(TRIM(R$7)))*(CRDJ[Account Code]=(TRIM($D54))),CRDJ[Credit])))+(SUM(IF((GJ[Date]=$A$4)*(GJ[Ofc Code]=(TRIM(R$7)))*(GJ[Account Code]=(TRIM($D54))),GJ[Credit])))</f>
        <v>0</v>
      </c>
      <c r="S54" s="211">
        <f t="array" ref="S54">(SUM(IF((CkDJ[Date]=$A$4)*(CkDJ[Ofc Code]=(TRIM(S$7)))*(CkDJ[Account Code]=(TRIM($D54))),CkDJ[Debit])))+(SUM(IF((CsDJ[Date]=$A$4)*(CsDJ[Ofc Code]=(TRIM(S$7)))*(CsDJ[Account Code]=(TRIM($D54))),CsDJ[Debit])))+(SUM(IF((CRDJ[Date]=$A$4)*(CRDJ[Ofc Code]=(TRIM(S$7)))*(CRDJ[Account Code]=(TRIM($D54))),CRDJ[Debit])))+(SUM(IF((GJ[Date]=$A$4)*(GJ[Ofc Code]=(TRIM(S$7)))*(GJ[Account Code]=(TRIM($D54))),GJ[Debit])))-(SUM(IF((CkDJ[Date]=$A$4)*(CkDJ[Ofc Code]=(TRIM(S$7)))*(CkDJ[Account Code]=(TRIM($D54))),CkDJ[Credit])))+(SUM(IF((CsDJ[Date]=$A$4)*(CsDJ[Ofc Code]=(TRIM(S$7)))*(CsDJ[Account Code]=(TRIM($D54))),CsDJ[Credit])))+(SUM(IF((CRDJ[Date]=$A$4)*(CRDJ[Ofc Code]=(TRIM(S$7)))*(CRDJ[Account Code]=(TRIM($D54))),CRDJ[Credit])))+(SUM(IF((GJ[Date]=$A$4)*(GJ[Ofc Code]=(TRIM(S$7)))*(GJ[Account Code]=(TRIM($D54))),GJ[Credit])))</f>
        <v>0</v>
      </c>
      <c r="T54" s="211">
        <f>SUM(O54:S54)</f>
        <v>0</v>
      </c>
      <c r="U54" s="211">
        <f>E54+I54+N54+T54</f>
        <v>0</v>
      </c>
    </row>
    <row r="55" spans="1:21" ht="15">
      <c r="A55" s="212">
        <f t="shared" si="12"/>
        <v>22</v>
      </c>
      <c r="B55" s="214" t="s">
        <v>756</v>
      </c>
      <c r="C55" s="194" t="str">
        <f>IF(D55=0,"",(VLOOKUP((TRIM(D55)),Code,2,)))</f>
        <v>Terminal Leave Benefits</v>
      </c>
      <c r="D55" s="215">
        <v>742</v>
      </c>
      <c r="E55" s="211">
        <f t="array" ref="E55">(SUM(IF((CkDJ[Date]=$A$4)*(CkDJ[Ofc Code]=(TRIM(E$7)))*(CkDJ[Account Code]=(TRIM($D55))),CkDJ[Debit])))+(SUM(IF((CsDJ[Date]=$A$4)*(CsDJ[Ofc Code]=(TRIM(E$7)))*(CsDJ[Account Code]=(TRIM($D55))),CsDJ[Debit])))+(SUM(IF((CRDJ[Date]=$A$4)*(CRDJ[Ofc Code]=(TRIM(E$7)))*(CRDJ[Account Code]=(TRIM($D55))),CRDJ[Debit])))+(SUM(IF((GJ[Date]=$A$4)*(GJ[Ofc Code]=(TRIM(E$7)))*(GJ[Account Code]=(TRIM($D55))),GJ[Debit])))-(SUM(IF((CkDJ[Date]=$A$4)*(CkDJ[Ofc Code]=(TRIM(E$7)))*(CkDJ[Account Code]=(TRIM($D55))),CkDJ[Credit])))+(SUM(IF((CsDJ[Date]=$A$4)*(CsDJ[Ofc Code]=(TRIM(E$7)))*(CsDJ[Account Code]=(TRIM($D55))),CsDJ[Credit])))+(SUM(IF((CRDJ[Date]=$A$4)*(CRDJ[Ofc Code]=(TRIM(E$7)))*(CRDJ[Account Code]=(TRIM($D55))),CRDJ[Credit])))+(SUM(IF((GJ[Date]=$A$4)*(GJ[Ofc Code]=(TRIM(E$7)))*(GJ[Account Code]=(TRIM($D55))),GJ[Credit])))</f>
        <v>0</v>
      </c>
      <c r="F55" s="211">
        <f t="array" ref="F55">(SUM(IF((CkDJ[Date]=$A$4)*(CkDJ[Ofc Code]=(TRIM(F$7)))*(CkDJ[Account Code]=(TRIM($D55))),CkDJ[Debit])))+(SUM(IF((CsDJ[Date]=$A$4)*(CsDJ[Ofc Code]=(TRIM(F$7)))*(CsDJ[Account Code]=(TRIM($D55))),CsDJ[Debit])))+(SUM(IF((CRDJ[Date]=$A$4)*(CRDJ[Ofc Code]=(TRIM(F$7)))*(CRDJ[Account Code]=(TRIM($D55))),CRDJ[Debit])))+(SUM(IF((GJ[Date]=$A$4)*(GJ[Ofc Code]=(TRIM(F$7)))*(GJ[Account Code]=(TRIM($D55))),GJ[Debit])))-(SUM(IF((CkDJ[Date]=$A$4)*(CkDJ[Ofc Code]=(TRIM(F$7)))*(CkDJ[Account Code]=(TRIM($D55))),CkDJ[Credit])))+(SUM(IF((CsDJ[Date]=$A$4)*(CsDJ[Ofc Code]=(TRIM(F$7)))*(CsDJ[Account Code]=(TRIM($D55))),CsDJ[Credit])))+(SUM(IF((CRDJ[Date]=$A$4)*(CRDJ[Ofc Code]=(TRIM(F$7)))*(CRDJ[Account Code]=(TRIM($D55))),CRDJ[Credit])))+(SUM(IF((GJ[Date]=$A$4)*(GJ[Ofc Code]=(TRIM(F$7)))*(GJ[Account Code]=(TRIM($D55))),GJ[Credit])))</f>
        <v>0</v>
      </c>
      <c r="G55" s="211">
        <f t="array" ref="G55">(SUM(IF((CkDJ[Date]=$A$4)*(CkDJ[Ofc Code]=(TRIM(G$7)))*(CkDJ[Account Code]=(TRIM($D55))),CkDJ[Debit])))+(SUM(IF((CsDJ[Date]=$A$4)*(CsDJ[Ofc Code]=(TRIM(G$7)))*(CsDJ[Account Code]=(TRIM($D55))),CsDJ[Debit])))+(SUM(IF((CRDJ[Date]=$A$4)*(CRDJ[Ofc Code]=(TRIM(G$7)))*(CRDJ[Account Code]=(TRIM($D55))),CRDJ[Debit])))+(SUM(IF((GJ[Date]=$A$4)*(GJ[Ofc Code]=(TRIM(G$7)))*(GJ[Account Code]=(TRIM($D55))),GJ[Debit])))-(SUM(IF((CkDJ[Date]=$A$4)*(CkDJ[Ofc Code]=(TRIM(G$7)))*(CkDJ[Account Code]=(TRIM($D55))),CkDJ[Credit])))+(SUM(IF((CsDJ[Date]=$A$4)*(CsDJ[Ofc Code]=(TRIM(G$7)))*(CsDJ[Account Code]=(TRIM($D55))),CsDJ[Credit])))+(SUM(IF((CRDJ[Date]=$A$4)*(CRDJ[Ofc Code]=(TRIM(G$7)))*(CRDJ[Account Code]=(TRIM($D55))),CRDJ[Credit])))+(SUM(IF((GJ[Date]=$A$4)*(GJ[Ofc Code]=(TRIM(G$7)))*(GJ[Account Code]=(TRIM($D55))),GJ[Credit])))</f>
        <v>0</v>
      </c>
      <c r="H55" s="211">
        <f t="array" ref="H55">(SUM(IF((CkDJ[Date]=$A$4)*(CkDJ[Ofc Code]=(TRIM(H$7)))*(CkDJ[Account Code]=(TRIM($D55))),CkDJ[Debit])))+(SUM(IF((CsDJ[Date]=$A$4)*(CsDJ[Ofc Code]=(TRIM(H$7)))*(CsDJ[Account Code]=(TRIM($D55))),CsDJ[Debit])))+(SUM(IF((CRDJ[Date]=$A$4)*(CRDJ[Ofc Code]=(TRIM(H$7)))*(CRDJ[Account Code]=(TRIM($D55))),CRDJ[Debit])))+(SUM(IF((GJ[Date]=$A$4)*(GJ[Ofc Code]=(TRIM(H$7)))*(GJ[Account Code]=(TRIM($D55))),GJ[Debit])))-(SUM(IF((CkDJ[Date]=$A$4)*(CkDJ[Ofc Code]=(TRIM(H$7)))*(CkDJ[Account Code]=(TRIM($D55))),CkDJ[Credit])))+(SUM(IF((CsDJ[Date]=$A$4)*(CsDJ[Ofc Code]=(TRIM(H$7)))*(CsDJ[Account Code]=(TRIM($D55))),CsDJ[Credit])))+(SUM(IF((CRDJ[Date]=$A$4)*(CRDJ[Ofc Code]=(TRIM(H$7)))*(CRDJ[Account Code]=(TRIM($D55))),CRDJ[Credit])))+(SUM(IF((GJ[Date]=$A$4)*(GJ[Ofc Code]=(TRIM(H$7)))*(GJ[Account Code]=(TRIM($D55))),GJ[Credit])))</f>
        <v>0</v>
      </c>
      <c r="I55" s="211">
        <f>SUM(F55:H55)</f>
        <v>0</v>
      </c>
      <c r="J55" s="211">
        <f t="array" ref="J55">(SUM(IF((CkDJ[Date]=$A$4)*(CkDJ[Ofc Code]=(TRIM(J$7)))*(CkDJ[Account Code]=(TRIM($D55))),CkDJ[Debit])))+(SUM(IF((CsDJ[Date]=$A$4)*(CsDJ[Ofc Code]=(TRIM(J$7)))*(CsDJ[Account Code]=(TRIM($D55))),CsDJ[Debit])))+(SUM(IF((CRDJ[Date]=$A$4)*(CRDJ[Ofc Code]=(TRIM(J$7)))*(CRDJ[Account Code]=(TRIM($D55))),CRDJ[Debit])))+(SUM(IF((GJ[Date]=$A$4)*(GJ[Ofc Code]=(TRIM(J$7)))*(GJ[Account Code]=(TRIM($D55))),GJ[Debit])))-(SUM(IF((CkDJ[Date]=$A$4)*(CkDJ[Ofc Code]=(TRIM(J$7)))*(CkDJ[Account Code]=(TRIM($D55))),CkDJ[Credit])))+(SUM(IF((CsDJ[Date]=$A$4)*(CsDJ[Ofc Code]=(TRIM(J$7)))*(CsDJ[Account Code]=(TRIM($D55))),CsDJ[Credit])))+(SUM(IF((CRDJ[Date]=$A$4)*(CRDJ[Ofc Code]=(TRIM(J$7)))*(CRDJ[Account Code]=(TRIM($D55))),CRDJ[Credit])))+(SUM(IF((GJ[Date]=$A$4)*(GJ[Ofc Code]=(TRIM(J$7)))*(GJ[Account Code]=(TRIM($D55))),GJ[Credit])))</f>
        <v>0</v>
      </c>
      <c r="K55" s="211">
        <f t="array" ref="K55">(SUM(IF((CkDJ[Date]=$A$4)*(CkDJ[Ofc Code]=(TRIM(K$7)))*(CkDJ[Account Code]=(TRIM($D55))),CkDJ[Debit])))+(SUM(IF((CsDJ[Date]=$A$4)*(CsDJ[Ofc Code]=(TRIM(K$7)))*(CsDJ[Account Code]=(TRIM($D55))),CsDJ[Debit])))+(SUM(IF((CRDJ[Date]=$A$4)*(CRDJ[Ofc Code]=(TRIM(K$7)))*(CRDJ[Account Code]=(TRIM($D55))),CRDJ[Debit])))+(SUM(IF((GJ[Date]=$A$4)*(GJ[Ofc Code]=(TRIM(K$7)))*(GJ[Account Code]=(TRIM($D55))),GJ[Debit])))-(SUM(IF((CkDJ[Date]=$A$4)*(CkDJ[Ofc Code]=(TRIM(K$7)))*(CkDJ[Account Code]=(TRIM($D55))),CkDJ[Credit])))+(SUM(IF((CsDJ[Date]=$A$4)*(CsDJ[Ofc Code]=(TRIM(K$7)))*(CsDJ[Account Code]=(TRIM($D55))),CsDJ[Credit])))+(SUM(IF((CRDJ[Date]=$A$4)*(CRDJ[Ofc Code]=(TRIM(K$7)))*(CRDJ[Account Code]=(TRIM($D55))),CRDJ[Credit])))+(SUM(IF((GJ[Date]=$A$4)*(GJ[Ofc Code]=(TRIM(K$7)))*(GJ[Account Code]=(TRIM($D55))),GJ[Credit])))</f>
        <v>0</v>
      </c>
      <c r="L55" s="211">
        <f t="array" ref="L55">(SUM(IF((CkDJ[Date]=$A$4)*(CkDJ[Ofc Code]=(TRIM(L$7)))*(CkDJ[Account Code]=(TRIM($D55))),CkDJ[Debit])))+(SUM(IF((CsDJ[Date]=$A$4)*(CsDJ[Ofc Code]=(TRIM(L$7)))*(CsDJ[Account Code]=(TRIM($D55))),CsDJ[Debit])))+(SUM(IF((CRDJ[Date]=$A$4)*(CRDJ[Ofc Code]=(TRIM(L$7)))*(CRDJ[Account Code]=(TRIM($D55))),CRDJ[Debit])))+(SUM(IF((GJ[Date]=$A$4)*(GJ[Ofc Code]=(TRIM(L$7)))*(GJ[Account Code]=(TRIM($D55))),GJ[Debit])))-(SUM(IF((CkDJ[Date]=$A$4)*(CkDJ[Ofc Code]=(TRIM(L$7)))*(CkDJ[Account Code]=(TRIM($D55))),CkDJ[Credit])))+(SUM(IF((CsDJ[Date]=$A$4)*(CsDJ[Ofc Code]=(TRIM(L$7)))*(CsDJ[Account Code]=(TRIM($D55))),CsDJ[Credit])))+(SUM(IF((CRDJ[Date]=$A$4)*(CRDJ[Ofc Code]=(TRIM(L$7)))*(CRDJ[Account Code]=(TRIM($D55))),CRDJ[Credit])))+(SUM(IF((GJ[Date]=$A$4)*(GJ[Ofc Code]=(TRIM(L$7)))*(GJ[Account Code]=(TRIM($D55))),GJ[Credit])))</f>
        <v>0</v>
      </c>
      <c r="M55" s="211">
        <f t="array" ref="M55">(SUM(IF((CkDJ[Date]=$A$4)*(CkDJ[Ofc Code]=(TRIM(M$7)))*(CkDJ[Account Code]=(TRIM($D55))),CkDJ[Debit])))+(SUM(IF((CsDJ[Date]=$A$4)*(CsDJ[Ofc Code]=(TRIM(M$7)))*(CsDJ[Account Code]=(TRIM($D55))),CsDJ[Debit])))+(SUM(IF((CRDJ[Date]=$A$4)*(CRDJ[Ofc Code]=(TRIM(M$7)))*(CRDJ[Account Code]=(TRIM($D55))),CRDJ[Debit])))+(SUM(IF((GJ[Date]=$A$4)*(GJ[Ofc Code]=(TRIM(M$7)))*(GJ[Account Code]=(TRIM($D55))),GJ[Debit])))-(SUM(IF((CkDJ[Date]=$A$4)*(CkDJ[Ofc Code]=(TRIM(M$7)))*(CkDJ[Account Code]=(TRIM($D55))),CkDJ[Credit])))+(SUM(IF((CsDJ[Date]=$A$4)*(CsDJ[Ofc Code]=(TRIM(M$7)))*(CsDJ[Account Code]=(TRIM($D55))),CsDJ[Credit])))+(SUM(IF((CRDJ[Date]=$A$4)*(CRDJ[Ofc Code]=(TRIM(M$7)))*(CRDJ[Account Code]=(TRIM($D55))),CRDJ[Credit])))+(SUM(IF((GJ[Date]=$A$4)*(GJ[Ofc Code]=(TRIM(M$7)))*(GJ[Account Code]=(TRIM($D55))),GJ[Credit])))</f>
        <v>0</v>
      </c>
      <c r="N55" s="211">
        <f>SUM(J55:M55)</f>
        <v>0</v>
      </c>
      <c r="O55" s="211">
        <f t="array" ref="O55">(SUM(IF((CkDJ[Date]=$A$4)*(CkDJ[Ofc Code]=(TRIM(O$7)))*(CkDJ[Account Code]=(TRIM($D55))),CkDJ[Debit])))+(SUM(IF((CsDJ[Date]=$A$4)*(CsDJ[Ofc Code]=(TRIM(O$7)))*(CsDJ[Account Code]=(TRIM($D55))),CsDJ[Debit])))+(SUM(IF((CRDJ[Date]=$A$4)*(CRDJ[Ofc Code]=(TRIM(O$7)))*(CRDJ[Account Code]=(TRIM($D55))),CRDJ[Debit])))+(SUM(IF((GJ[Date]=$A$4)*(GJ[Ofc Code]=(TRIM(O$7)))*(GJ[Account Code]=(TRIM($D55))),GJ[Debit])))-(SUM(IF((CkDJ[Date]=$A$4)*(CkDJ[Ofc Code]=(TRIM(O$7)))*(CkDJ[Account Code]=(TRIM($D55))),CkDJ[Credit])))+(SUM(IF((CsDJ[Date]=$A$4)*(CsDJ[Ofc Code]=(TRIM(O$7)))*(CsDJ[Account Code]=(TRIM($D55))),CsDJ[Credit])))+(SUM(IF((CRDJ[Date]=$A$4)*(CRDJ[Ofc Code]=(TRIM(O$7)))*(CRDJ[Account Code]=(TRIM($D55))),CRDJ[Credit])))+(SUM(IF((GJ[Date]=$A$4)*(GJ[Ofc Code]=(TRIM(O$7)))*(GJ[Account Code]=(TRIM($D55))),GJ[Credit])))</f>
        <v>0</v>
      </c>
      <c r="P55" s="211">
        <f t="array" ref="P55">(SUM(IF((CkDJ[Date]=$A$4)*(CkDJ[Ofc Code]=(TRIM(P$7)))*(CkDJ[Account Code]=(TRIM($D55))),CkDJ[Debit])))+(SUM(IF((CsDJ[Date]=$A$4)*(CsDJ[Ofc Code]=(TRIM(P$7)))*(CsDJ[Account Code]=(TRIM($D55))),CsDJ[Debit])))+(SUM(IF((CRDJ[Date]=$A$4)*(CRDJ[Ofc Code]=(TRIM(P$7)))*(CRDJ[Account Code]=(TRIM($D55))),CRDJ[Debit])))+(SUM(IF((GJ[Date]=$A$4)*(GJ[Ofc Code]=(TRIM(P$7)))*(GJ[Account Code]=(TRIM($D55))),GJ[Debit])))-(SUM(IF((CkDJ[Date]=$A$4)*(CkDJ[Ofc Code]=(TRIM(P$7)))*(CkDJ[Account Code]=(TRIM($D55))),CkDJ[Credit])))+(SUM(IF((CsDJ[Date]=$A$4)*(CsDJ[Ofc Code]=(TRIM(P$7)))*(CsDJ[Account Code]=(TRIM($D55))),CsDJ[Credit])))+(SUM(IF((CRDJ[Date]=$A$4)*(CRDJ[Ofc Code]=(TRIM(P$7)))*(CRDJ[Account Code]=(TRIM($D55))),CRDJ[Credit])))+(SUM(IF((GJ[Date]=$A$4)*(GJ[Ofc Code]=(TRIM(P$7)))*(GJ[Account Code]=(TRIM($D55))),GJ[Credit])))</f>
        <v>0</v>
      </c>
      <c r="Q55" s="211">
        <f t="array" ref="Q55">(SUM(IF((CkDJ[Date]=$A$4)*(CkDJ[Ofc Code]=(TRIM(Q$7)))*(CkDJ[Account Code]=(TRIM($D55))),CkDJ[Debit])))+(SUM(IF((CsDJ[Date]=$A$4)*(CsDJ[Ofc Code]=(TRIM(Q$7)))*(CsDJ[Account Code]=(TRIM($D55))),CsDJ[Debit])))+(SUM(IF((CRDJ[Date]=$A$4)*(CRDJ[Ofc Code]=(TRIM(Q$7)))*(CRDJ[Account Code]=(TRIM($D55))),CRDJ[Debit])))+(SUM(IF((GJ[Date]=$A$4)*(GJ[Ofc Code]=(TRIM(Q$7)))*(GJ[Account Code]=(TRIM($D55))),GJ[Debit])))-(SUM(IF((CkDJ[Date]=$A$4)*(CkDJ[Ofc Code]=(TRIM(Q$7)))*(CkDJ[Account Code]=(TRIM($D55))),CkDJ[Credit])))+(SUM(IF((CsDJ[Date]=$A$4)*(CsDJ[Ofc Code]=(TRIM(Q$7)))*(CsDJ[Account Code]=(TRIM($D55))),CsDJ[Credit])))+(SUM(IF((CRDJ[Date]=$A$4)*(CRDJ[Ofc Code]=(TRIM(Q$7)))*(CRDJ[Account Code]=(TRIM($D55))),CRDJ[Credit])))+(SUM(IF((GJ[Date]=$A$4)*(GJ[Ofc Code]=(TRIM(Q$7)))*(GJ[Account Code]=(TRIM($D55))),GJ[Credit])))</f>
        <v>0</v>
      </c>
      <c r="R55" s="211">
        <f t="array" ref="R55">(SUM(IF((CkDJ[Date]=$A$4)*(CkDJ[Ofc Code]=(TRIM(R$7)))*(CkDJ[Account Code]=(TRIM($D55))),CkDJ[Debit])))+(SUM(IF((CsDJ[Date]=$A$4)*(CsDJ[Ofc Code]=(TRIM(R$7)))*(CsDJ[Account Code]=(TRIM($D55))),CsDJ[Debit])))+(SUM(IF((CRDJ[Date]=$A$4)*(CRDJ[Ofc Code]=(TRIM(R$7)))*(CRDJ[Account Code]=(TRIM($D55))),CRDJ[Debit])))+(SUM(IF((GJ[Date]=$A$4)*(GJ[Ofc Code]=(TRIM(R$7)))*(GJ[Account Code]=(TRIM($D55))),GJ[Debit])))-(SUM(IF((CkDJ[Date]=$A$4)*(CkDJ[Ofc Code]=(TRIM(R$7)))*(CkDJ[Account Code]=(TRIM($D55))),CkDJ[Credit])))+(SUM(IF((CsDJ[Date]=$A$4)*(CsDJ[Ofc Code]=(TRIM(R$7)))*(CsDJ[Account Code]=(TRIM($D55))),CsDJ[Credit])))+(SUM(IF((CRDJ[Date]=$A$4)*(CRDJ[Ofc Code]=(TRIM(R$7)))*(CRDJ[Account Code]=(TRIM($D55))),CRDJ[Credit])))+(SUM(IF((GJ[Date]=$A$4)*(GJ[Ofc Code]=(TRIM(R$7)))*(GJ[Account Code]=(TRIM($D55))),GJ[Credit])))</f>
        <v>0</v>
      </c>
      <c r="S55" s="211">
        <f t="array" ref="S55">(SUM(IF((CkDJ[Date]=$A$4)*(CkDJ[Ofc Code]=(TRIM(S$7)))*(CkDJ[Account Code]=(TRIM($D55))),CkDJ[Debit])))+(SUM(IF((CsDJ[Date]=$A$4)*(CsDJ[Ofc Code]=(TRIM(S$7)))*(CsDJ[Account Code]=(TRIM($D55))),CsDJ[Debit])))+(SUM(IF((CRDJ[Date]=$A$4)*(CRDJ[Ofc Code]=(TRIM(S$7)))*(CRDJ[Account Code]=(TRIM($D55))),CRDJ[Debit])))+(SUM(IF((GJ[Date]=$A$4)*(GJ[Ofc Code]=(TRIM(S$7)))*(GJ[Account Code]=(TRIM($D55))),GJ[Debit])))-(SUM(IF((CkDJ[Date]=$A$4)*(CkDJ[Ofc Code]=(TRIM(S$7)))*(CkDJ[Account Code]=(TRIM($D55))),CkDJ[Credit])))+(SUM(IF((CsDJ[Date]=$A$4)*(CsDJ[Ofc Code]=(TRIM(S$7)))*(CsDJ[Account Code]=(TRIM($D55))),CsDJ[Credit])))+(SUM(IF((CRDJ[Date]=$A$4)*(CRDJ[Ofc Code]=(TRIM(S$7)))*(CRDJ[Account Code]=(TRIM($D55))),CRDJ[Credit])))+(SUM(IF((GJ[Date]=$A$4)*(GJ[Ofc Code]=(TRIM(S$7)))*(GJ[Account Code]=(TRIM($D55))),GJ[Credit])))</f>
        <v>0</v>
      </c>
      <c r="T55" s="211">
        <f>SUM(O55:S55)</f>
        <v>0</v>
      </c>
      <c r="U55" s="211">
        <f>E55+I55+N55+T55</f>
        <v>0</v>
      </c>
    </row>
    <row r="56" spans="1:21" ht="15">
      <c r="A56" s="212">
        <f t="shared" si="12"/>
        <v>23</v>
      </c>
      <c r="B56" s="214" t="s">
        <v>756</v>
      </c>
      <c r="C56" s="194" t="str">
        <f>IF(D56=0,"",(VLOOKUP((TRIM(D56)),Code,2,)))</f>
        <v>Other Personnel Benefits</v>
      </c>
      <c r="D56" s="215">
        <v>749</v>
      </c>
      <c r="E56" s="211">
        <f t="array" ref="E56">(SUM(IF((CkDJ[Date]=$A$4)*(CkDJ[Ofc Code]=(TRIM(E$7)))*(CkDJ[Account Code]=(TRIM($D56))),CkDJ[Debit])))+(SUM(IF((CsDJ[Date]=$A$4)*(CsDJ[Ofc Code]=(TRIM(E$7)))*(CsDJ[Account Code]=(TRIM($D56))),CsDJ[Debit])))+(SUM(IF((CRDJ[Date]=$A$4)*(CRDJ[Ofc Code]=(TRIM(E$7)))*(CRDJ[Account Code]=(TRIM($D56))),CRDJ[Debit])))+(SUM(IF((GJ[Date]=$A$4)*(GJ[Ofc Code]=(TRIM(E$7)))*(GJ[Account Code]=(TRIM($D56))),GJ[Debit])))-(SUM(IF((CkDJ[Date]=$A$4)*(CkDJ[Ofc Code]=(TRIM(E$7)))*(CkDJ[Account Code]=(TRIM($D56))),CkDJ[Credit])))+(SUM(IF((CsDJ[Date]=$A$4)*(CsDJ[Ofc Code]=(TRIM(E$7)))*(CsDJ[Account Code]=(TRIM($D56))),CsDJ[Credit])))+(SUM(IF((CRDJ[Date]=$A$4)*(CRDJ[Ofc Code]=(TRIM(E$7)))*(CRDJ[Account Code]=(TRIM($D56))),CRDJ[Credit])))+(SUM(IF((GJ[Date]=$A$4)*(GJ[Ofc Code]=(TRIM(E$7)))*(GJ[Account Code]=(TRIM($D56))),GJ[Credit])))</f>
        <v>0</v>
      </c>
      <c r="F56" s="211">
        <f t="array" ref="F56">(SUM(IF((CkDJ[Date]=$A$4)*(CkDJ[Ofc Code]=(TRIM(F$7)))*(CkDJ[Account Code]=(TRIM($D56))),CkDJ[Debit])))+(SUM(IF((CsDJ[Date]=$A$4)*(CsDJ[Ofc Code]=(TRIM(F$7)))*(CsDJ[Account Code]=(TRIM($D56))),CsDJ[Debit])))+(SUM(IF((CRDJ[Date]=$A$4)*(CRDJ[Ofc Code]=(TRIM(F$7)))*(CRDJ[Account Code]=(TRIM($D56))),CRDJ[Debit])))+(SUM(IF((GJ[Date]=$A$4)*(GJ[Ofc Code]=(TRIM(F$7)))*(GJ[Account Code]=(TRIM($D56))),GJ[Debit])))-(SUM(IF((CkDJ[Date]=$A$4)*(CkDJ[Ofc Code]=(TRIM(F$7)))*(CkDJ[Account Code]=(TRIM($D56))),CkDJ[Credit])))+(SUM(IF((CsDJ[Date]=$A$4)*(CsDJ[Ofc Code]=(TRIM(F$7)))*(CsDJ[Account Code]=(TRIM($D56))),CsDJ[Credit])))+(SUM(IF((CRDJ[Date]=$A$4)*(CRDJ[Ofc Code]=(TRIM(F$7)))*(CRDJ[Account Code]=(TRIM($D56))),CRDJ[Credit])))+(SUM(IF((GJ[Date]=$A$4)*(GJ[Ofc Code]=(TRIM(F$7)))*(GJ[Account Code]=(TRIM($D56))),GJ[Credit])))</f>
        <v>0</v>
      </c>
      <c r="G56" s="211">
        <f t="array" ref="G56">(SUM(IF((CkDJ[Date]=$A$4)*(CkDJ[Ofc Code]=(TRIM(G$7)))*(CkDJ[Account Code]=(TRIM($D56))),CkDJ[Debit])))+(SUM(IF((CsDJ[Date]=$A$4)*(CsDJ[Ofc Code]=(TRIM(G$7)))*(CsDJ[Account Code]=(TRIM($D56))),CsDJ[Debit])))+(SUM(IF((CRDJ[Date]=$A$4)*(CRDJ[Ofc Code]=(TRIM(G$7)))*(CRDJ[Account Code]=(TRIM($D56))),CRDJ[Debit])))+(SUM(IF((GJ[Date]=$A$4)*(GJ[Ofc Code]=(TRIM(G$7)))*(GJ[Account Code]=(TRIM($D56))),GJ[Debit])))-(SUM(IF((CkDJ[Date]=$A$4)*(CkDJ[Ofc Code]=(TRIM(G$7)))*(CkDJ[Account Code]=(TRIM($D56))),CkDJ[Credit])))+(SUM(IF((CsDJ[Date]=$A$4)*(CsDJ[Ofc Code]=(TRIM(G$7)))*(CsDJ[Account Code]=(TRIM($D56))),CsDJ[Credit])))+(SUM(IF((CRDJ[Date]=$A$4)*(CRDJ[Ofc Code]=(TRIM(G$7)))*(CRDJ[Account Code]=(TRIM($D56))),CRDJ[Credit])))+(SUM(IF((GJ[Date]=$A$4)*(GJ[Ofc Code]=(TRIM(G$7)))*(GJ[Account Code]=(TRIM($D56))),GJ[Credit])))</f>
        <v>0</v>
      </c>
      <c r="H56" s="211">
        <f t="array" ref="H56">(SUM(IF((CkDJ[Date]=$A$4)*(CkDJ[Ofc Code]=(TRIM(H$7)))*(CkDJ[Account Code]=(TRIM($D56))),CkDJ[Debit])))+(SUM(IF((CsDJ[Date]=$A$4)*(CsDJ[Ofc Code]=(TRIM(H$7)))*(CsDJ[Account Code]=(TRIM($D56))),CsDJ[Debit])))+(SUM(IF((CRDJ[Date]=$A$4)*(CRDJ[Ofc Code]=(TRIM(H$7)))*(CRDJ[Account Code]=(TRIM($D56))),CRDJ[Debit])))+(SUM(IF((GJ[Date]=$A$4)*(GJ[Ofc Code]=(TRIM(H$7)))*(GJ[Account Code]=(TRIM($D56))),GJ[Debit])))-(SUM(IF((CkDJ[Date]=$A$4)*(CkDJ[Ofc Code]=(TRIM(H$7)))*(CkDJ[Account Code]=(TRIM($D56))),CkDJ[Credit])))+(SUM(IF((CsDJ[Date]=$A$4)*(CsDJ[Ofc Code]=(TRIM(H$7)))*(CsDJ[Account Code]=(TRIM($D56))),CsDJ[Credit])))+(SUM(IF((CRDJ[Date]=$A$4)*(CRDJ[Ofc Code]=(TRIM(H$7)))*(CRDJ[Account Code]=(TRIM($D56))),CRDJ[Credit])))+(SUM(IF((GJ[Date]=$A$4)*(GJ[Ofc Code]=(TRIM(H$7)))*(GJ[Account Code]=(TRIM($D56))),GJ[Credit])))</f>
        <v>0</v>
      </c>
      <c r="I56" s="211">
        <f>SUM(F56:H56)</f>
        <v>0</v>
      </c>
      <c r="J56" s="211">
        <f t="array" ref="J56">(SUM(IF((CkDJ[Date]=$A$4)*(CkDJ[Ofc Code]=(TRIM(J$7)))*(CkDJ[Account Code]=(TRIM($D56))),CkDJ[Debit])))+(SUM(IF((CsDJ[Date]=$A$4)*(CsDJ[Ofc Code]=(TRIM(J$7)))*(CsDJ[Account Code]=(TRIM($D56))),CsDJ[Debit])))+(SUM(IF((CRDJ[Date]=$A$4)*(CRDJ[Ofc Code]=(TRIM(J$7)))*(CRDJ[Account Code]=(TRIM($D56))),CRDJ[Debit])))+(SUM(IF((GJ[Date]=$A$4)*(GJ[Ofc Code]=(TRIM(J$7)))*(GJ[Account Code]=(TRIM($D56))),GJ[Debit])))-(SUM(IF((CkDJ[Date]=$A$4)*(CkDJ[Ofc Code]=(TRIM(J$7)))*(CkDJ[Account Code]=(TRIM($D56))),CkDJ[Credit])))+(SUM(IF((CsDJ[Date]=$A$4)*(CsDJ[Ofc Code]=(TRIM(J$7)))*(CsDJ[Account Code]=(TRIM($D56))),CsDJ[Credit])))+(SUM(IF((CRDJ[Date]=$A$4)*(CRDJ[Ofc Code]=(TRIM(J$7)))*(CRDJ[Account Code]=(TRIM($D56))),CRDJ[Credit])))+(SUM(IF((GJ[Date]=$A$4)*(GJ[Ofc Code]=(TRIM(J$7)))*(GJ[Account Code]=(TRIM($D56))),GJ[Credit])))</f>
        <v>0</v>
      </c>
      <c r="K56" s="211">
        <f t="array" ref="K56">(SUM(IF((CkDJ[Date]=$A$4)*(CkDJ[Ofc Code]=(TRIM(K$7)))*(CkDJ[Account Code]=(TRIM($D56))),CkDJ[Debit])))+(SUM(IF((CsDJ[Date]=$A$4)*(CsDJ[Ofc Code]=(TRIM(K$7)))*(CsDJ[Account Code]=(TRIM($D56))),CsDJ[Debit])))+(SUM(IF((CRDJ[Date]=$A$4)*(CRDJ[Ofc Code]=(TRIM(K$7)))*(CRDJ[Account Code]=(TRIM($D56))),CRDJ[Debit])))+(SUM(IF((GJ[Date]=$A$4)*(GJ[Ofc Code]=(TRIM(K$7)))*(GJ[Account Code]=(TRIM($D56))),GJ[Debit])))-(SUM(IF((CkDJ[Date]=$A$4)*(CkDJ[Ofc Code]=(TRIM(K$7)))*(CkDJ[Account Code]=(TRIM($D56))),CkDJ[Credit])))+(SUM(IF((CsDJ[Date]=$A$4)*(CsDJ[Ofc Code]=(TRIM(K$7)))*(CsDJ[Account Code]=(TRIM($D56))),CsDJ[Credit])))+(SUM(IF((CRDJ[Date]=$A$4)*(CRDJ[Ofc Code]=(TRIM(K$7)))*(CRDJ[Account Code]=(TRIM($D56))),CRDJ[Credit])))+(SUM(IF((GJ[Date]=$A$4)*(GJ[Ofc Code]=(TRIM(K$7)))*(GJ[Account Code]=(TRIM($D56))),GJ[Credit])))</f>
        <v>0</v>
      </c>
      <c r="L56" s="211">
        <f t="array" ref="L56">(SUM(IF((CkDJ[Date]=$A$4)*(CkDJ[Ofc Code]=(TRIM(L$7)))*(CkDJ[Account Code]=(TRIM($D56))),CkDJ[Debit])))+(SUM(IF((CsDJ[Date]=$A$4)*(CsDJ[Ofc Code]=(TRIM(L$7)))*(CsDJ[Account Code]=(TRIM($D56))),CsDJ[Debit])))+(SUM(IF((CRDJ[Date]=$A$4)*(CRDJ[Ofc Code]=(TRIM(L$7)))*(CRDJ[Account Code]=(TRIM($D56))),CRDJ[Debit])))+(SUM(IF((GJ[Date]=$A$4)*(GJ[Ofc Code]=(TRIM(L$7)))*(GJ[Account Code]=(TRIM($D56))),GJ[Debit])))-(SUM(IF((CkDJ[Date]=$A$4)*(CkDJ[Ofc Code]=(TRIM(L$7)))*(CkDJ[Account Code]=(TRIM($D56))),CkDJ[Credit])))+(SUM(IF((CsDJ[Date]=$A$4)*(CsDJ[Ofc Code]=(TRIM(L$7)))*(CsDJ[Account Code]=(TRIM($D56))),CsDJ[Credit])))+(SUM(IF((CRDJ[Date]=$A$4)*(CRDJ[Ofc Code]=(TRIM(L$7)))*(CRDJ[Account Code]=(TRIM($D56))),CRDJ[Credit])))+(SUM(IF((GJ[Date]=$A$4)*(GJ[Ofc Code]=(TRIM(L$7)))*(GJ[Account Code]=(TRIM($D56))),GJ[Credit])))</f>
        <v>0</v>
      </c>
      <c r="M56" s="211">
        <f t="array" ref="M56">(SUM(IF((CkDJ[Date]=$A$4)*(CkDJ[Ofc Code]=(TRIM(M$7)))*(CkDJ[Account Code]=(TRIM($D56))),CkDJ[Debit])))+(SUM(IF((CsDJ[Date]=$A$4)*(CsDJ[Ofc Code]=(TRIM(M$7)))*(CsDJ[Account Code]=(TRIM($D56))),CsDJ[Debit])))+(SUM(IF((CRDJ[Date]=$A$4)*(CRDJ[Ofc Code]=(TRIM(M$7)))*(CRDJ[Account Code]=(TRIM($D56))),CRDJ[Debit])))+(SUM(IF((GJ[Date]=$A$4)*(GJ[Ofc Code]=(TRIM(M$7)))*(GJ[Account Code]=(TRIM($D56))),GJ[Debit])))-(SUM(IF((CkDJ[Date]=$A$4)*(CkDJ[Ofc Code]=(TRIM(M$7)))*(CkDJ[Account Code]=(TRIM($D56))),CkDJ[Credit])))+(SUM(IF((CsDJ[Date]=$A$4)*(CsDJ[Ofc Code]=(TRIM(M$7)))*(CsDJ[Account Code]=(TRIM($D56))),CsDJ[Credit])))+(SUM(IF((CRDJ[Date]=$A$4)*(CRDJ[Ofc Code]=(TRIM(M$7)))*(CRDJ[Account Code]=(TRIM($D56))),CRDJ[Credit])))+(SUM(IF((GJ[Date]=$A$4)*(GJ[Ofc Code]=(TRIM(M$7)))*(GJ[Account Code]=(TRIM($D56))),GJ[Credit])))</f>
        <v>0</v>
      </c>
      <c r="N56" s="211">
        <f>SUM(J56:M56)</f>
        <v>0</v>
      </c>
      <c r="O56" s="211">
        <f t="array" ref="O56">(SUM(IF((CkDJ[Date]=$A$4)*(CkDJ[Ofc Code]=(TRIM(O$7)))*(CkDJ[Account Code]=(TRIM($D56))),CkDJ[Debit])))+(SUM(IF((CsDJ[Date]=$A$4)*(CsDJ[Ofc Code]=(TRIM(O$7)))*(CsDJ[Account Code]=(TRIM($D56))),CsDJ[Debit])))+(SUM(IF((CRDJ[Date]=$A$4)*(CRDJ[Ofc Code]=(TRIM(O$7)))*(CRDJ[Account Code]=(TRIM($D56))),CRDJ[Debit])))+(SUM(IF((GJ[Date]=$A$4)*(GJ[Ofc Code]=(TRIM(O$7)))*(GJ[Account Code]=(TRIM($D56))),GJ[Debit])))-(SUM(IF((CkDJ[Date]=$A$4)*(CkDJ[Ofc Code]=(TRIM(O$7)))*(CkDJ[Account Code]=(TRIM($D56))),CkDJ[Credit])))+(SUM(IF((CsDJ[Date]=$A$4)*(CsDJ[Ofc Code]=(TRIM(O$7)))*(CsDJ[Account Code]=(TRIM($D56))),CsDJ[Credit])))+(SUM(IF((CRDJ[Date]=$A$4)*(CRDJ[Ofc Code]=(TRIM(O$7)))*(CRDJ[Account Code]=(TRIM($D56))),CRDJ[Credit])))+(SUM(IF((GJ[Date]=$A$4)*(GJ[Ofc Code]=(TRIM(O$7)))*(GJ[Account Code]=(TRIM($D56))),GJ[Credit])))</f>
        <v>0</v>
      </c>
      <c r="P56" s="211">
        <f t="array" ref="P56">(SUM(IF((CkDJ[Date]=$A$4)*(CkDJ[Ofc Code]=(TRIM(P$7)))*(CkDJ[Account Code]=(TRIM($D56))),CkDJ[Debit])))+(SUM(IF((CsDJ[Date]=$A$4)*(CsDJ[Ofc Code]=(TRIM(P$7)))*(CsDJ[Account Code]=(TRIM($D56))),CsDJ[Debit])))+(SUM(IF((CRDJ[Date]=$A$4)*(CRDJ[Ofc Code]=(TRIM(P$7)))*(CRDJ[Account Code]=(TRIM($D56))),CRDJ[Debit])))+(SUM(IF((GJ[Date]=$A$4)*(GJ[Ofc Code]=(TRIM(P$7)))*(GJ[Account Code]=(TRIM($D56))),GJ[Debit])))-(SUM(IF((CkDJ[Date]=$A$4)*(CkDJ[Ofc Code]=(TRIM(P$7)))*(CkDJ[Account Code]=(TRIM($D56))),CkDJ[Credit])))+(SUM(IF((CsDJ[Date]=$A$4)*(CsDJ[Ofc Code]=(TRIM(P$7)))*(CsDJ[Account Code]=(TRIM($D56))),CsDJ[Credit])))+(SUM(IF((CRDJ[Date]=$A$4)*(CRDJ[Ofc Code]=(TRIM(P$7)))*(CRDJ[Account Code]=(TRIM($D56))),CRDJ[Credit])))+(SUM(IF((GJ[Date]=$A$4)*(GJ[Ofc Code]=(TRIM(P$7)))*(GJ[Account Code]=(TRIM($D56))),GJ[Credit])))</f>
        <v>0</v>
      </c>
      <c r="Q56" s="211">
        <f t="array" ref="Q56">(SUM(IF((CkDJ[Date]=$A$4)*(CkDJ[Ofc Code]=(TRIM(Q$7)))*(CkDJ[Account Code]=(TRIM($D56))),CkDJ[Debit])))+(SUM(IF((CsDJ[Date]=$A$4)*(CsDJ[Ofc Code]=(TRIM(Q$7)))*(CsDJ[Account Code]=(TRIM($D56))),CsDJ[Debit])))+(SUM(IF((CRDJ[Date]=$A$4)*(CRDJ[Ofc Code]=(TRIM(Q$7)))*(CRDJ[Account Code]=(TRIM($D56))),CRDJ[Debit])))+(SUM(IF((GJ[Date]=$A$4)*(GJ[Ofc Code]=(TRIM(Q$7)))*(GJ[Account Code]=(TRIM($D56))),GJ[Debit])))-(SUM(IF((CkDJ[Date]=$A$4)*(CkDJ[Ofc Code]=(TRIM(Q$7)))*(CkDJ[Account Code]=(TRIM($D56))),CkDJ[Credit])))+(SUM(IF((CsDJ[Date]=$A$4)*(CsDJ[Ofc Code]=(TRIM(Q$7)))*(CsDJ[Account Code]=(TRIM($D56))),CsDJ[Credit])))+(SUM(IF((CRDJ[Date]=$A$4)*(CRDJ[Ofc Code]=(TRIM(Q$7)))*(CRDJ[Account Code]=(TRIM($D56))),CRDJ[Credit])))+(SUM(IF((GJ[Date]=$A$4)*(GJ[Ofc Code]=(TRIM(Q$7)))*(GJ[Account Code]=(TRIM($D56))),GJ[Credit])))</f>
        <v>0</v>
      </c>
      <c r="R56" s="211">
        <f t="array" ref="R56">(SUM(IF((CkDJ[Date]=$A$4)*(CkDJ[Ofc Code]=(TRIM(R$7)))*(CkDJ[Account Code]=(TRIM($D56))),CkDJ[Debit])))+(SUM(IF((CsDJ[Date]=$A$4)*(CsDJ[Ofc Code]=(TRIM(R$7)))*(CsDJ[Account Code]=(TRIM($D56))),CsDJ[Debit])))+(SUM(IF((CRDJ[Date]=$A$4)*(CRDJ[Ofc Code]=(TRIM(R$7)))*(CRDJ[Account Code]=(TRIM($D56))),CRDJ[Debit])))+(SUM(IF((GJ[Date]=$A$4)*(GJ[Ofc Code]=(TRIM(R$7)))*(GJ[Account Code]=(TRIM($D56))),GJ[Debit])))-(SUM(IF((CkDJ[Date]=$A$4)*(CkDJ[Ofc Code]=(TRIM(R$7)))*(CkDJ[Account Code]=(TRIM($D56))),CkDJ[Credit])))+(SUM(IF((CsDJ[Date]=$A$4)*(CsDJ[Ofc Code]=(TRIM(R$7)))*(CsDJ[Account Code]=(TRIM($D56))),CsDJ[Credit])))+(SUM(IF((CRDJ[Date]=$A$4)*(CRDJ[Ofc Code]=(TRIM(R$7)))*(CRDJ[Account Code]=(TRIM($D56))),CRDJ[Credit])))+(SUM(IF((GJ[Date]=$A$4)*(GJ[Ofc Code]=(TRIM(R$7)))*(GJ[Account Code]=(TRIM($D56))),GJ[Credit])))</f>
        <v>0</v>
      </c>
      <c r="S56" s="211">
        <f t="array" ref="S56">(SUM(IF((CkDJ[Date]=$A$4)*(CkDJ[Ofc Code]=(TRIM(S$7)))*(CkDJ[Account Code]=(TRIM($D56))),CkDJ[Debit])))+(SUM(IF((CsDJ[Date]=$A$4)*(CsDJ[Ofc Code]=(TRIM(S$7)))*(CsDJ[Account Code]=(TRIM($D56))),CsDJ[Debit])))+(SUM(IF((CRDJ[Date]=$A$4)*(CRDJ[Ofc Code]=(TRIM(S$7)))*(CRDJ[Account Code]=(TRIM($D56))),CRDJ[Debit])))+(SUM(IF((GJ[Date]=$A$4)*(GJ[Ofc Code]=(TRIM(S$7)))*(GJ[Account Code]=(TRIM($D56))),GJ[Debit])))-(SUM(IF((CkDJ[Date]=$A$4)*(CkDJ[Ofc Code]=(TRIM(S$7)))*(CkDJ[Account Code]=(TRIM($D56))),CkDJ[Credit])))+(SUM(IF((CsDJ[Date]=$A$4)*(CsDJ[Ofc Code]=(TRIM(S$7)))*(CsDJ[Account Code]=(TRIM($D56))),CsDJ[Credit])))+(SUM(IF((CRDJ[Date]=$A$4)*(CRDJ[Ofc Code]=(TRIM(S$7)))*(CRDJ[Account Code]=(TRIM($D56))),CRDJ[Credit])))+(SUM(IF((GJ[Date]=$A$4)*(GJ[Ofc Code]=(TRIM(S$7)))*(GJ[Account Code]=(TRIM($D56))),GJ[Credit])))</f>
        <v>0</v>
      </c>
      <c r="T56" s="211">
        <f>SUM(O56:S56)</f>
        <v>0</v>
      </c>
      <c r="U56" s="211">
        <f>E56+I56+N56+T56</f>
        <v>0</v>
      </c>
    </row>
    <row r="57" spans="1:21" ht="15">
      <c r="A57" s="1326" t="s">
        <v>758</v>
      </c>
      <c r="B57" s="1327"/>
      <c r="C57" s="1327"/>
      <c r="D57" s="209"/>
      <c r="E57" s="208">
        <f t="shared" ref="E57:U57" si="13">SUM(E34:E56)</f>
        <v>0</v>
      </c>
      <c r="F57" s="208">
        <f t="shared" si="13"/>
        <v>0</v>
      </c>
      <c r="G57" s="208">
        <f t="shared" si="13"/>
        <v>0</v>
      </c>
      <c r="H57" s="208">
        <f t="shared" si="13"/>
        <v>0</v>
      </c>
      <c r="I57" s="208">
        <f t="shared" si="13"/>
        <v>0</v>
      </c>
      <c r="J57" s="208">
        <f t="shared" si="13"/>
        <v>0</v>
      </c>
      <c r="K57" s="208">
        <f t="shared" si="13"/>
        <v>0</v>
      </c>
      <c r="L57" s="208">
        <f t="shared" si="13"/>
        <v>0</v>
      </c>
      <c r="M57" s="208">
        <f t="shared" si="13"/>
        <v>0</v>
      </c>
      <c r="N57" s="208">
        <f t="shared" si="13"/>
        <v>0</v>
      </c>
      <c r="O57" s="208">
        <f t="shared" si="13"/>
        <v>0</v>
      </c>
      <c r="P57" s="208">
        <f t="shared" si="13"/>
        <v>0</v>
      </c>
      <c r="Q57" s="208">
        <f t="shared" si="13"/>
        <v>0</v>
      </c>
      <c r="R57" s="208">
        <f t="shared" si="13"/>
        <v>0</v>
      </c>
      <c r="S57" s="208">
        <f t="shared" si="13"/>
        <v>0</v>
      </c>
      <c r="T57" s="208">
        <f t="shared" si="13"/>
        <v>0</v>
      </c>
      <c r="U57" s="208">
        <f t="shared" si="13"/>
        <v>0</v>
      </c>
    </row>
    <row r="58" spans="1:21" ht="15">
      <c r="A58" s="1324" t="s">
        <v>757</v>
      </c>
      <c r="B58" s="1325"/>
      <c r="C58" s="1325"/>
      <c r="D58" s="207"/>
      <c r="E58" s="211"/>
      <c r="F58" s="211"/>
      <c r="G58" s="211"/>
      <c r="H58" s="211"/>
      <c r="I58" s="211"/>
      <c r="J58" s="211"/>
      <c r="K58" s="211"/>
      <c r="L58" s="211"/>
      <c r="M58" s="211"/>
      <c r="N58" s="211"/>
      <c r="O58" s="211"/>
      <c r="P58" s="211"/>
      <c r="Q58" s="211"/>
      <c r="R58" s="211"/>
      <c r="S58" s="211"/>
      <c r="T58" s="211"/>
      <c r="U58" s="211"/>
    </row>
    <row r="59" spans="1:21" ht="15">
      <c r="A59" s="212">
        <v>1</v>
      </c>
      <c r="B59" s="214" t="s">
        <v>756</v>
      </c>
      <c r="C59" s="194" t="str">
        <f t="shared" ref="C59:C96" si="14">IF(D59=0,"",(VLOOKUP((TRIM(D59)),Code,2,)))</f>
        <v>Traveling Expenses-Local</v>
      </c>
      <c r="D59" s="207">
        <v>751</v>
      </c>
      <c r="E59" s="211">
        <f t="array" ref="E59">(SUM(IF((CkDJ[Date]=$A$4)*(CkDJ[Ofc Code]=(TRIM(E$7)))*(CkDJ[Account Code]=(TRIM($D59))),CkDJ[Debit])))+(SUM(IF((CsDJ[Date]=$A$4)*(CsDJ[Ofc Code]=(TRIM(E$7)))*(CsDJ[Account Code]=(TRIM($D59))),CsDJ[Debit])))+(SUM(IF((CRDJ[Date]=$A$4)*(CRDJ[Ofc Code]=(TRIM(E$7)))*(CRDJ[Account Code]=(TRIM($D59))),CRDJ[Debit])))+(SUM(IF((GJ[Date]=$A$4)*(GJ[Ofc Code]=(TRIM(E$7)))*(GJ[Account Code]=(TRIM($D59))),GJ[Debit])))-(SUM(IF((CkDJ[Date]=$A$4)*(CkDJ[Ofc Code]=(TRIM(E$7)))*(CkDJ[Account Code]=(TRIM($D59))),CkDJ[Credit])))+(SUM(IF((CsDJ[Date]=$A$4)*(CsDJ[Ofc Code]=(TRIM(E$7)))*(CsDJ[Account Code]=(TRIM($D59))),CsDJ[Credit])))+(SUM(IF((CRDJ[Date]=$A$4)*(CRDJ[Ofc Code]=(TRIM(E$7)))*(CRDJ[Account Code]=(TRIM($D59))),CRDJ[Credit])))+(SUM(IF((GJ[Date]=$A$4)*(GJ[Ofc Code]=(TRIM(E$7)))*(GJ[Account Code]=(TRIM($D59))),GJ[Credit])))</f>
        <v>0</v>
      </c>
      <c r="F59" s="211">
        <f t="array" ref="F59">(SUM(IF((CkDJ[Date]=$A$4)*(CkDJ[Ofc Code]=(TRIM(F$7)))*(CkDJ[Account Code]=(TRIM($D59))),CkDJ[Debit])))+(SUM(IF((CsDJ[Date]=$A$4)*(CsDJ[Ofc Code]=(TRIM(F$7)))*(CsDJ[Account Code]=(TRIM($D59))),CsDJ[Debit])))+(SUM(IF((CRDJ[Date]=$A$4)*(CRDJ[Ofc Code]=(TRIM(F$7)))*(CRDJ[Account Code]=(TRIM($D59))),CRDJ[Debit])))+(SUM(IF((GJ[Date]=$A$4)*(GJ[Ofc Code]=(TRIM(F$7)))*(GJ[Account Code]=(TRIM($D59))),GJ[Debit])))-(SUM(IF((CkDJ[Date]=$A$4)*(CkDJ[Ofc Code]=(TRIM(F$7)))*(CkDJ[Account Code]=(TRIM($D59))),CkDJ[Credit])))+(SUM(IF((CsDJ[Date]=$A$4)*(CsDJ[Ofc Code]=(TRIM(F$7)))*(CsDJ[Account Code]=(TRIM($D59))),CsDJ[Credit])))+(SUM(IF((CRDJ[Date]=$A$4)*(CRDJ[Ofc Code]=(TRIM(F$7)))*(CRDJ[Account Code]=(TRIM($D59))),CRDJ[Credit])))+(SUM(IF((GJ[Date]=$A$4)*(GJ[Ofc Code]=(TRIM(F$7)))*(GJ[Account Code]=(TRIM($D59))),GJ[Credit])))</f>
        <v>0</v>
      </c>
      <c r="G59" s="211">
        <f t="array" ref="G59">(SUM(IF((CkDJ[Date]=$A$4)*(CkDJ[Ofc Code]=(TRIM(G$7)))*(CkDJ[Account Code]=(TRIM($D59))),CkDJ[Debit])))+(SUM(IF((CsDJ[Date]=$A$4)*(CsDJ[Ofc Code]=(TRIM(G$7)))*(CsDJ[Account Code]=(TRIM($D59))),CsDJ[Debit])))+(SUM(IF((CRDJ[Date]=$A$4)*(CRDJ[Ofc Code]=(TRIM(G$7)))*(CRDJ[Account Code]=(TRIM($D59))),CRDJ[Debit])))+(SUM(IF((GJ[Date]=$A$4)*(GJ[Ofc Code]=(TRIM(G$7)))*(GJ[Account Code]=(TRIM($D59))),GJ[Debit])))-(SUM(IF((CkDJ[Date]=$A$4)*(CkDJ[Ofc Code]=(TRIM(G$7)))*(CkDJ[Account Code]=(TRIM($D59))),CkDJ[Credit])))+(SUM(IF((CsDJ[Date]=$A$4)*(CsDJ[Ofc Code]=(TRIM(G$7)))*(CsDJ[Account Code]=(TRIM($D59))),CsDJ[Credit])))+(SUM(IF((CRDJ[Date]=$A$4)*(CRDJ[Ofc Code]=(TRIM(G$7)))*(CRDJ[Account Code]=(TRIM($D59))),CRDJ[Credit])))+(SUM(IF((GJ[Date]=$A$4)*(GJ[Ofc Code]=(TRIM(G$7)))*(GJ[Account Code]=(TRIM($D59))),GJ[Credit])))</f>
        <v>0</v>
      </c>
      <c r="H59" s="211">
        <f t="array" ref="H59">(SUM(IF((CkDJ[Date]=$A$4)*(CkDJ[Ofc Code]=(TRIM(H$7)))*(CkDJ[Account Code]=(TRIM($D59))),CkDJ[Debit])))+(SUM(IF((CsDJ[Date]=$A$4)*(CsDJ[Ofc Code]=(TRIM(H$7)))*(CsDJ[Account Code]=(TRIM($D59))),CsDJ[Debit])))+(SUM(IF((CRDJ[Date]=$A$4)*(CRDJ[Ofc Code]=(TRIM(H$7)))*(CRDJ[Account Code]=(TRIM($D59))),CRDJ[Debit])))+(SUM(IF((GJ[Date]=$A$4)*(GJ[Ofc Code]=(TRIM(H$7)))*(GJ[Account Code]=(TRIM($D59))),GJ[Debit])))-(SUM(IF((CkDJ[Date]=$A$4)*(CkDJ[Ofc Code]=(TRIM(H$7)))*(CkDJ[Account Code]=(TRIM($D59))),CkDJ[Credit])))+(SUM(IF((CsDJ[Date]=$A$4)*(CsDJ[Ofc Code]=(TRIM(H$7)))*(CsDJ[Account Code]=(TRIM($D59))),CsDJ[Credit])))+(SUM(IF((CRDJ[Date]=$A$4)*(CRDJ[Ofc Code]=(TRIM(H$7)))*(CRDJ[Account Code]=(TRIM($D59))),CRDJ[Credit])))+(SUM(IF((GJ[Date]=$A$4)*(GJ[Ofc Code]=(TRIM(H$7)))*(GJ[Account Code]=(TRIM($D59))),GJ[Credit])))</f>
        <v>0</v>
      </c>
      <c r="I59" s="211">
        <f t="shared" ref="I59:I96" si="15">SUM(F59:H59)</f>
        <v>0</v>
      </c>
      <c r="J59" s="211">
        <f t="array" ref="J59">(SUM(IF((CkDJ[Date]=$A$4)*(CkDJ[Ofc Code]=(TRIM(J$7)))*(CkDJ[Account Code]=(TRIM($D59))),CkDJ[Debit])))+(SUM(IF((CsDJ[Date]=$A$4)*(CsDJ[Ofc Code]=(TRIM(J$7)))*(CsDJ[Account Code]=(TRIM($D59))),CsDJ[Debit])))+(SUM(IF((CRDJ[Date]=$A$4)*(CRDJ[Ofc Code]=(TRIM(J$7)))*(CRDJ[Account Code]=(TRIM($D59))),CRDJ[Debit])))+(SUM(IF((GJ[Date]=$A$4)*(GJ[Ofc Code]=(TRIM(J$7)))*(GJ[Account Code]=(TRIM($D59))),GJ[Debit])))-(SUM(IF((CkDJ[Date]=$A$4)*(CkDJ[Ofc Code]=(TRIM(J$7)))*(CkDJ[Account Code]=(TRIM($D59))),CkDJ[Credit])))+(SUM(IF((CsDJ[Date]=$A$4)*(CsDJ[Ofc Code]=(TRIM(J$7)))*(CsDJ[Account Code]=(TRIM($D59))),CsDJ[Credit])))+(SUM(IF((CRDJ[Date]=$A$4)*(CRDJ[Ofc Code]=(TRIM(J$7)))*(CRDJ[Account Code]=(TRIM($D59))),CRDJ[Credit])))+(SUM(IF((GJ[Date]=$A$4)*(GJ[Ofc Code]=(TRIM(J$7)))*(GJ[Account Code]=(TRIM($D59))),GJ[Credit])))</f>
        <v>0</v>
      </c>
      <c r="K59" s="211">
        <f t="array" ref="K59">(SUM(IF((CkDJ[Date]=$A$4)*(CkDJ[Ofc Code]=(TRIM(K$7)))*(CkDJ[Account Code]=(TRIM($D59))),CkDJ[Debit])))+(SUM(IF((CsDJ[Date]=$A$4)*(CsDJ[Ofc Code]=(TRIM(K$7)))*(CsDJ[Account Code]=(TRIM($D59))),CsDJ[Debit])))+(SUM(IF((CRDJ[Date]=$A$4)*(CRDJ[Ofc Code]=(TRIM(K$7)))*(CRDJ[Account Code]=(TRIM($D59))),CRDJ[Debit])))+(SUM(IF((GJ[Date]=$A$4)*(GJ[Ofc Code]=(TRIM(K$7)))*(GJ[Account Code]=(TRIM($D59))),GJ[Debit])))-(SUM(IF((CkDJ[Date]=$A$4)*(CkDJ[Ofc Code]=(TRIM(K$7)))*(CkDJ[Account Code]=(TRIM($D59))),CkDJ[Credit])))+(SUM(IF((CsDJ[Date]=$A$4)*(CsDJ[Ofc Code]=(TRIM(K$7)))*(CsDJ[Account Code]=(TRIM($D59))),CsDJ[Credit])))+(SUM(IF((CRDJ[Date]=$A$4)*(CRDJ[Ofc Code]=(TRIM(K$7)))*(CRDJ[Account Code]=(TRIM($D59))),CRDJ[Credit])))+(SUM(IF((GJ[Date]=$A$4)*(GJ[Ofc Code]=(TRIM(K$7)))*(GJ[Account Code]=(TRIM($D59))),GJ[Credit])))</f>
        <v>0</v>
      </c>
      <c r="L59" s="211">
        <f t="array" ref="L59">(SUM(IF((CkDJ[Date]=$A$4)*(CkDJ[Ofc Code]=(TRIM(L$7)))*(CkDJ[Account Code]=(TRIM($D59))),CkDJ[Debit])))+(SUM(IF((CsDJ[Date]=$A$4)*(CsDJ[Ofc Code]=(TRIM(L$7)))*(CsDJ[Account Code]=(TRIM($D59))),CsDJ[Debit])))+(SUM(IF((CRDJ[Date]=$A$4)*(CRDJ[Ofc Code]=(TRIM(L$7)))*(CRDJ[Account Code]=(TRIM($D59))),CRDJ[Debit])))+(SUM(IF((GJ[Date]=$A$4)*(GJ[Ofc Code]=(TRIM(L$7)))*(GJ[Account Code]=(TRIM($D59))),GJ[Debit])))-(SUM(IF((CkDJ[Date]=$A$4)*(CkDJ[Ofc Code]=(TRIM(L$7)))*(CkDJ[Account Code]=(TRIM($D59))),CkDJ[Credit])))+(SUM(IF((CsDJ[Date]=$A$4)*(CsDJ[Ofc Code]=(TRIM(L$7)))*(CsDJ[Account Code]=(TRIM($D59))),CsDJ[Credit])))+(SUM(IF((CRDJ[Date]=$A$4)*(CRDJ[Ofc Code]=(TRIM(L$7)))*(CRDJ[Account Code]=(TRIM($D59))),CRDJ[Credit])))+(SUM(IF((GJ[Date]=$A$4)*(GJ[Ofc Code]=(TRIM(L$7)))*(GJ[Account Code]=(TRIM($D59))),GJ[Credit])))</f>
        <v>0</v>
      </c>
      <c r="M59" s="211">
        <f t="array" ref="M59">(SUM(IF((CkDJ[Date]=$A$4)*(CkDJ[Ofc Code]=(TRIM(M$7)))*(CkDJ[Account Code]=(TRIM($D59))),CkDJ[Debit])))+(SUM(IF((CsDJ[Date]=$A$4)*(CsDJ[Ofc Code]=(TRIM(M$7)))*(CsDJ[Account Code]=(TRIM($D59))),CsDJ[Debit])))+(SUM(IF((CRDJ[Date]=$A$4)*(CRDJ[Ofc Code]=(TRIM(M$7)))*(CRDJ[Account Code]=(TRIM($D59))),CRDJ[Debit])))+(SUM(IF((GJ[Date]=$A$4)*(GJ[Ofc Code]=(TRIM(M$7)))*(GJ[Account Code]=(TRIM($D59))),GJ[Debit])))-(SUM(IF((CkDJ[Date]=$A$4)*(CkDJ[Ofc Code]=(TRIM(M$7)))*(CkDJ[Account Code]=(TRIM($D59))),CkDJ[Credit])))+(SUM(IF((CsDJ[Date]=$A$4)*(CsDJ[Ofc Code]=(TRIM(M$7)))*(CsDJ[Account Code]=(TRIM($D59))),CsDJ[Credit])))+(SUM(IF((CRDJ[Date]=$A$4)*(CRDJ[Ofc Code]=(TRIM(M$7)))*(CRDJ[Account Code]=(TRIM($D59))),CRDJ[Credit])))+(SUM(IF((GJ[Date]=$A$4)*(GJ[Ofc Code]=(TRIM(M$7)))*(GJ[Account Code]=(TRIM($D59))),GJ[Credit])))</f>
        <v>0</v>
      </c>
      <c r="N59" s="211">
        <f t="shared" ref="N59:N96" si="16">SUM(J59:M59)</f>
        <v>0</v>
      </c>
      <c r="O59" s="211">
        <f t="array" ref="O59">(SUM(IF((CkDJ[Date]=$A$4)*(CkDJ[Ofc Code]=(TRIM(O$7)))*(CkDJ[Account Code]=(TRIM($D59))),CkDJ[Debit])))+(SUM(IF((CsDJ[Date]=$A$4)*(CsDJ[Ofc Code]=(TRIM(O$7)))*(CsDJ[Account Code]=(TRIM($D59))),CsDJ[Debit])))+(SUM(IF((CRDJ[Date]=$A$4)*(CRDJ[Ofc Code]=(TRIM(O$7)))*(CRDJ[Account Code]=(TRIM($D59))),CRDJ[Debit])))+(SUM(IF((GJ[Date]=$A$4)*(GJ[Ofc Code]=(TRIM(O$7)))*(GJ[Account Code]=(TRIM($D59))),GJ[Debit])))-(SUM(IF((CkDJ[Date]=$A$4)*(CkDJ[Ofc Code]=(TRIM(O$7)))*(CkDJ[Account Code]=(TRIM($D59))),CkDJ[Credit])))+(SUM(IF((CsDJ[Date]=$A$4)*(CsDJ[Ofc Code]=(TRIM(O$7)))*(CsDJ[Account Code]=(TRIM($D59))),CsDJ[Credit])))+(SUM(IF((CRDJ[Date]=$A$4)*(CRDJ[Ofc Code]=(TRIM(O$7)))*(CRDJ[Account Code]=(TRIM($D59))),CRDJ[Credit])))+(SUM(IF((GJ[Date]=$A$4)*(GJ[Ofc Code]=(TRIM(O$7)))*(GJ[Account Code]=(TRIM($D59))),GJ[Credit])))</f>
        <v>0</v>
      </c>
      <c r="P59" s="211">
        <f t="array" ref="P59">(SUM(IF((CkDJ[Date]=$A$4)*(CkDJ[Ofc Code]=(TRIM(P$7)))*(CkDJ[Account Code]=(TRIM($D59))),CkDJ[Debit])))+(SUM(IF((CsDJ[Date]=$A$4)*(CsDJ[Ofc Code]=(TRIM(P$7)))*(CsDJ[Account Code]=(TRIM($D59))),CsDJ[Debit])))+(SUM(IF((CRDJ[Date]=$A$4)*(CRDJ[Ofc Code]=(TRIM(P$7)))*(CRDJ[Account Code]=(TRIM($D59))),CRDJ[Debit])))+(SUM(IF((GJ[Date]=$A$4)*(GJ[Ofc Code]=(TRIM(P$7)))*(GJ[Account Code]=(TRIM($D59))),GJ[Debit])))-(SUM(IF((CkDJ[Date]=$A$4)*(CkDJ[Ofc Code]=(TRIM(P$7)))*(CkDJ[Account Code]=(TRIM($D59))),CkDJ[Credit])))+(SUM(IF((CsDJ[Date]=$A$4)*(CsDJ[Ofc Code]=(TRIM(P$7)))*(CsDJ[Account Code]=(TRIM($D59))),CsDJ[Credit])))+(SUM(IF((CRDJ[Date]=$A$4)*(CRDJ[Ofc Code]=(TRIM(P$7)))*(CRDJ[Account Code]=(TRIM($D59))),CRDJ[Credit])))+(SUM(IF((GJ[Date]=$A$4)*(GJ[Ofc Code]=(TRIM(P$7)))*(GJ[Account Code]=(TRIM($D59))),GJ[Credit])))</f>
        <v>0</v>
      </c>
      <c r="Q59" s="211">
        <f t="array" ref="Q59">(SUM(IF((CkDJ[Date]=$A$4)*(CkDJ[Ofc Code]=(TRIM(Q$7)))*(CkDJ[Account Code]=(TRIM($D59))),CkDJ[Debit])))+(SUM(IF((CsDJ[Date]=$A$4)*(CsDJ[Ofc Code]=(TRIM(Q$7)))*(CsDJ[Account Code]=(TRIM($D59))),CsDJ[Debit])))+(SUM(IF((CRDJ[Date]=$A$4)*(CRDJ[Ofc Code]=(TRIM(Q$7)))*(CRDJ[Account Code]=(TRIM($D59))),CRDJ[Debit])))+(SUM(IF((GJ[Date]=$A$4)*(GJ[Ofc Code]=(TRIM(Q$7)))*(GJ[Account Code]=(TRIM($D59))),GJ[Debit])))-(SUM(IF((CkDJ[Date]=$A$4)*(CkDJ[Ofc Code]=(TRIM(Q$7)))*(CkDJ[Account Code]=(TRIM($D59))),CkDJ[Credit])))+(SUM(IF((CsDJ[Date]=$A$4)*(CsDJ[Ofc Code]=(TRIM(Q$7)))*(CsDJ[Account Code]=(TRIM($D59))),CsDJ[Credit])))+(SUM(IF((CRDJ[Date]=$A$4)*(CRDJ[Ofc Code]=(TRIM(Q$7)))*(CRDJ[Account Code]=(TRIM($D59))),CRDJ[Credit])))+(SUM(IF((GJ[Date]=$A$4)*(GJ[Ofc Code]=(TRIM(Q$7)))*(GJ[Account Code]=(TRIM($D59))),GJ[Credit])))</f>
        <v>0</v>
      </c>
      <c r="R59" s="211">
        <f t="array" ref="R59">(SUM(IF((CkDJ[Date]=$A$4)*(CkDJ[Ofc Code]=(TRIM(R$7)))*(CkDJ[Account Code]=(TRIM($D59))),CkDJ[Debit])))+(SUM(IF((CsDJ[Date]=$A$4)*(CsDJ[Ofc Code]=(TRIM(R$7)))*(CsDJ[Account Code]=(TRIM($D59))),CsDJ[Debit])))+(SUM(IF((CRDJ[Date]=$A$4)*(CRDJ[Ofc Code]=(TRIM(R$7)))*(CRDJ[Account Code]=(TRIM($D59))),CRDJ[Debit])))+(SUM(IF((GJ[Date]=$A$4)*(GJ[Ofc Code]=(TRIM(R$7)))*(GJ[Account Code]=(TRIM($D59))),GJ[Debit])))-(SUM(IF((CkDJ[Date]=$A$4)*(CkDJ[Ofc Code]=(TRIM(R$7)))*(CkDJ[Account Code]=(TRIM($D59))),CkDJ[Credit])))+(SUM(IF((CsDJ[Date]=$A$4)*(CsDJ[Ofc Code]=(TRIM(R$7)))*(CsDJ[Account Code]=(TRIM($D59))),CsDJ[Credit])))+(SUM(IF((CRDJ[Date]=$A$4)*(CRDJ[Ofc Code]=(TRIM(R$7)))*(CRDJ[Account Code]=(TRIM($D59))),CRDJ[Credit])))+(SUM(IF((GJ[Date]=$A$4)*(GJ[Ofc Code]=(TRIM(R$7)))*(GJ[Account Code]=(TRIM($D59))),GJ[Credit])))</f>
        <v>0</v>
      </c>
      <c r="S59" s="211">
        <f t="array" ref="S59">(SUM(IF((CkDJ[Date]=$A$4)*(CkDJ[Ofc Code]=(TRIM(S$7)))*(CkDJ[Account Code]=(TRIM($D59))),CkDJ[Debit])))+(SUM(IF((CsDJ[Date]=$A$4)*(CsDJ[Ofc Code]=(TRIM(S$7)))*(CsDJ[Account Code]=(TRIM($D59))),CsDJ[Debit])))+(SUM(IF((CRDJ[Date]=$A$4)*(CRDJ[Ofc Code]=(TRIM(S$7)))*(CRDJ[Account Code]=(TRIM($D59))),CRDJ[Debit])))+(SUM(IF((GJ[Date]=$A$4)*(GJ[Ofc Code]=(TRIM(S$7)))*(GJ[Account Code]=(TRIM($D59))),GJ[Debit])))-(SUM(IF((CkDJ[Date]=$A$4)*(CkDJ[Ofc Code]=(TRIM(S$7)))*(CkDJ[Account Code]=(TRIM($D59))),CkDJ[Credit])))+(SUM(IF((CsDJ[Date]=$A$4)*(CsDJ[Ofc Code]=(TRIM(S$7)))*(CsDJ[Account Code]=(TRIM($D59))),CsDJ[Credit])))+(SUM(IF((CRDJ[Date]=$A$4)*(CRDJ[Ofc Code]=(TRIM(S$7)))*(CRDJ[Account Code]=(TRIM($D59))),CRDJ[Credit])))+(SUM(IF((GJ[Date]=$A$4)*(GJ[Ofc Code]=(TRIM(S$7)))*(GJ[Account Code]=(TRIM($D59))),GJ[Credit])))</f>
        <v>0</v>
      </c>
      <c r="T59" s="211">
        <f t="shared" ref="T59:T96" si="17">SUM(O59:S59)</f>
        <v>0</v>
      </c>
      <c r="U59" s="211">
        <f t="shared" ref="U59:U96" si="18">E59+I59+N59+T59</f>
        <v>0</v>
      </c>
    </row>
    <row r="60" spans="1:21" ht="15">
      <c r="A60" s="212">
        <f t="shared" ref="A60:A96" si="19">1+A59</f>
        <v>2</v>
      </c>
      <c r="B60" s="214" t="s">
        <v>756</v>
      </c>
      <c r="C60" s="194" t="str">
        <f t="shared" si="14"/>
        <v>Training Expenses</v>
      </c>
      <c r="D60" s="207">
        <v>753</v>
      </c>
      <c r="E60" s="211">
        <f t="array" ref="E60">(SUM(IF((CkDJ[Date]=$A$4)*(CkDJ[Ofc Code]=(TRIM(E$7)))*(CkDJ[Account Code]=(TRIM($D60))),CkDJ[Debit])))+(SUM(IF((CsDJ[Date]=$A$4)*(CsDJ[Ofc Code]=(TRIM(E$7)))*(CsDJ[Account Code]=(TRIM($D60))),CsDJ[Debit])))+(SUM(IF((CRDJ[Date]=$A$4)*(CRDJ[Ofc Code]=(TRIM(E$7)))*(CRDJ[Account Code]=(TRIM($D60))),CRDJ[Debit])))+(SUM(IF((GJ[Date]=$A$4)*(GJ[Ofc Code]=(TRIM(E$7)))*(GJ[Account Code]=(TRIM($D60))),GJ[Debit])))-(SUM(IF((CkDJ[Date]=$A$4)*(CkDJ[Ofc Code]=(TRIM(E$7)))*(CkDJ[Account Code]=(TRIM($D60))),CkDJ[Credit])))+(SUM(IF((CsDJ[Date]=$A$4)*(CsDJ[Ofc Code]=(TRIM(E$7)))*(CsDJ[Account Code]=(TRIM($D60))),CsDJ[Credit])))+(SUM(IF((CRDJ[Date]=$A$4)*(CRDJ[Ofc Code]=(TRIM(E$7)))*(CRDJ[Account Code]=(TRIM($D60))),CRDJ[Credit])))+(SUM(IF((GJ[Date]=$A$4)*(GJ[Ofc Code]=(TRIM(E$7)))*(GJ[Account Code]=(TRIM($D60))),GJ[Credit])))</f>
        <v>0</v>
      </c>
      <c r="F60" s="211">
        <f t="array" ref="F60">(SUM(IF((CkDJ[Date]=$A$4)*(CkDJ[Ofc Code]=(TRIM(F$7)))*(CkDJ[Account Code]=(TRIM($D60))),CkDJ[Debit])))+(SUM(IF((CsDJ[Date]=$A$4)*(CsDJ[Ofc Code]=(TRIM(F$7)))*(CsDJ[Account Code]=(TRIM($D60))),CsDJ[Debit])))+(SUM(IF((CRDJ[Date]=$A$4)*(CRDJ[Ofc Code]=(TRIM(F$7)))*(CRDJ[Account Code]=(TRIM($D60))),CRDJ[Debit])))+(SUM(IF((GJ[Date]=$A$4)*(GJ[Ofc Code]=(TRIM(F$7)))*(GJ[Account Code]=(TRIM($D60))),GJ[Debit])))-(SUM(IF((CkDJ[Date]=$A$4)*(CkDJ[Ofc Code]=(TRIM(F$7)))*(CkDJ[Account Code]=(TRIM($D60))),CkDJ[Credit])))+(SUM(IF((CsDJ[Date]=$A$4)*(CsDJ[Ofc Code]=(TRIM(F$7)))*(CsDJ[Account Code]=(TRIM($D60))),CsDJ[Credit])))+(SUM(IF((CRDJ[Date]=$A$4)*(CRDJ[Ofc Code]=(TRIM(F$7)))*(CRDJ[Account Code]=(TRIM($D60))),CRDJ[Credit])))+(SUM(IF((GJ[Date]=$A$4)*(GJ[Ofc Code]=(TRIM(F$7)))*(GJ[Account Code]=(TRIM($D60))),GJ[Credit])))</f>
        <v>0</v>
      </c>
      <c r="G60" s="211">
        <f t="array" ref="G60">(SUM(IF((CkDJ[Date]=$A$4)*(CkDJ[Ofc Code]=(TRIM(G$7)))*(CkDJ[Account Code]=(TRIM($D60))),CkDJ[Debit])))+(SUM(IF((CsDJ[Date]=$A$4)*(CsDJ[Ofc Code]=(TRIM(G$7)))*(CsDJ[Account Code]=(TRIM($D60))),CsDJ[Debit])))+(SUM(IF((CRDJ[Date]=$A$4)*(CRDJ[Ofc Code]=(TRIM(G$7)))*(CRDJ[Account Code]=(TRIM($D60))),CRDJ[Debit])))+(SUM(IF((GJ[Date]=$A$4)*(GJ[Ofc Code]=(TRIM(G$7)))*(GJ[Account Code]=(TRIM($D60))),GJ[Debit])))-(SUM(IF((CkDJ[Date]=$A$4)*(CkDJ[Ofc Code]=(TRIM(G$7)))*(CkDJ[Account Code]=(TRIM($D60))),CkDJ[Credit])))+(SUM(IF((CsDJ[Date]=$A$4)*(CsDJ[Ofc Code]=(TRIM(G$7)))*(CsDJ[Account Code]=(TRIM($D60))),CsDJ[Credit])))+(SUM(IF((CRDJ[Date]=$A$4)*(CRDJ[Ofc Code]=(TRIM(G$7)))*(CRDJ[Account Code]=(TRIM($D60))),CRDJ[Credit])))+(SUM(IF((GJ[Date]=$A$4)*(GJ[Ofc Code]=(TRIM(G$7)))*(GJ[Account Code]=(TRIM($D60))),GJ[Credit])))</f>
        <v>0</v>
      </c>
      <c r="H60" s="211">
        <f t="array" ref="H60">(SUM(IF((CkDJ[Date]=$A$4)*(CkDJ[Ofc Code]=(TRIM(H$7)))*(CkDJ[Account Code]=(TRIM($D60))),CkDJ[Debit])))+(SUM(IF((CsDJ[Date]=$A$4)*(CsDJ[Ofc Code]=(TRIM(H$7)))*(CsDJ[Account Code]=(TRIM($D60))),CsDJ[Debit])))+(SUM(IF((CRDJ[Date]=$A$4)*(CRDJ[Ofc Code]=(TRIM(H$7)))*(CRDJ[Account Code]=(TRIM($D60))),CRDJ[Debit])))+(SUM(IF((GJ[Date]=$A$4)*(GJ[Ofc Code]=(TRIM(H$7)))*(GJ[Account Code]=(TRIM($D60))),GJ[Debit])))-(SUM(IF((CkDJ[Date]=$A$4)*(CkDJ[Ofc Code]=(TRIM(H$7)))*(CkDJ[Account Code]=(TRIM($D60))),CkDJ[Credit])))+(SUM(IF((CsDJ[Date]=$A$4)*(CsDJ[Ofc Code]=(TRIM(H$7)))*(CsDJ[Account Code]=(TRIM($D60))),CsDJ[Credit])))+(SUM(IF((CRDJ[Date]=$A$4)*(CRDJ[Ofc Code]=(TRIM(H$7)))*(CRDJ[Account Code]=(TRIM($D60))),CRDJ[Credit])))+(SUM(IF((GJ[Date]=$A$4)*(GJ[Ofc Code]=(TRIM(H$7)))*(GJ[Account Code]=(TRIM($D60))),GJ[Credit])))</f>
        <v>0</v>
      </c>
      <c r="I60" s="211">
        <f t="shared" si="15"/>
        <v>0</v>
      </c>
      <c r="J60" s="211">
        <f t="array" ref="J60">(SUM(IF((CkDJ[Date]=$A$4)*(CkDJ[Ofc Code]=(TRIM(J$7)))*(CkDJ[Account Code]=(TRIM($D60))),CkDJ[Debit])))+(SUM(IF((CsDJ[Date]=$A$4)*(CsDJ[Ofc Code]=(TRIM(J$7)))*(CsDJ[Account Code]=(TRIM($D60))),CsDJ[Debit])))+(SUM(IF((CRDJ[Date]=$A$4)*(CRDJ[Ofc Code]=(TRIM(J$7)))*(CRDJ[Account Code]=(TRIM($D60))),CRDJ[Debit])))+(SUM(IF((GJ[Date]=$A$4)*(GJ[Ofc Code]=(TRIM(J$7)))*(GJ[Account Code]=(TRIM($D60))),GJ[Debit])))-(SUM(IF((CkDJ[Date]=$A$4)*(CkDJ[Ofc Code]=(TRIM(J$7)))*(CkDJ[Account Code]=(TRIM($D60))),CkDJ[Credit])))+(SUM(IF((CsDJ[Date]=$A$4)*(CsDJ[Ofc Code]=(TRIM(J$7)))*(CsDJ[Account Code]=(TRIM($D60))),CsDJ[Credit])))+(SUM(IF((CRDJ[Date]=$A$4)*(CRDJ[Ofc Code]=(TRIM(J$7)))*(CRDJ[Account Code]=(TRIM($D60))),CRDJ[Credit])))+(SUM(IF((GJ[Date]=$A$4)*(GJ[Ofc Code]=(TRIM(J$7)))*(GJ[Account Code]=(TRIM($D60))),GJ[Credit])))</f>
        <v>0</v>
      </c>
      <c r="K60" s="211">
        <f t="array" ref="K60">(SUM(IF((CkDJ[Date]=$A$4)*(CkDJ[Ofc Code]=(TRIM(K$7)))*(CkDJ[Account Code]=(TRIM($D60))),CkDJ[Debit])))+(SUM(IF((CsDJ[Date]=$A$4)*(CsDJ[Ofc Code]=(TRIM(K$7)))*(CsDJ[Account Code]=(TRIM($D60))),CsDJ[Debit])))+(SUM(IF((CRDJ[Date]=$A$4)*(CRDJ[Ofc Code]=(TRIM(K$7)))*(CRDJ[Account Code]=(TRIM($D60))),CRDJ[Debit])))+(SUM(IF((GJ[Date]=$A$4)*(GJ[Ofc Code]=(TRIM(K$7)))*(GJ[Account Code]=(TRIM($D60))),GJ[Debit])))-(SUM(IF((CkDJ[Date]=$A$4)*(CkDJ[Ofc Code]=(TRIM(K$7)))*(CkDJ[Account Code]=(TRIM($D60))),CkDJ[Credit])))+(SUM(IF((CsDJ[Date]=$A$4)*(CsDJ[Ofc Code]=(TRIM(K$7)))*(CsDJ[Account Code]=(TRIM($D60))),CsDJ[Credit])))+(SUM(IF((CRDJ[Date]=$A$4)*(CRDJ[Ofc Code]=(TRIM(K$7)))*(CRDJ[Account Code]=(TRIM($D60))),CRDJ[Credit])))+(SUM(IF((GJ[Date]=$A$4)*(GJ[Ofc Code]=(TRIM(K$7)))*(GJ[Account Code]=(TRIM($D60))),GJ[Credit])))</f>
        <v>0</v>
      </c>
      <c r="L60" s="211">
        <f t="array" ref="L60">(SUM(IF((CkDJ[Date]=$A$4)*(CkDJ[Ofc Code]=(TRIM(L$7)))*(CkDJ[Account Code]=(TRIM($D60))),CkDJ[Debit])))+(SUM(IF((CsDJ[Date]=$A$4)*(CsDJ[Ofc Code]=(TRIM(L$7)))*(CsDJ[Account Code]=(TRIM($D60))),CsDJ[Debit])))+(SUM(IF((CRDJ[Date]=$A$4)*(CRDJ[Ofc Code]=(TRIM(L$7)))*(CRDJ[Account Code]=(TRIM($D60))),CRDJ[Debit])))+(SUM(IF((GJ[Date]=$A$4)*(GJ[Ofc Code]=(TRIM(L$7)))*(GJ[Account Code]=(TRIM($D60))),GJ[Debit])))-(SUM(IF((CkDJ[Date]=$A$4)*(CkDJ[Ofc Code]=(TRIM(L$7)))*(CkDJ[Account Code]=(TRIM($D60))),CkDJ[Credit])))+(SUM(IF((CsDJ[Date]=$A$4)*(CsDJ[Ofc Code]=(TRIM(L$7)))*(CsDJ[Account Code]=(TRIM($D60))),CsDJ[Credit])))+(SUM(IF((CRDJ[Date]=$A$4)*(CRDJ[Ofc Code]=(TRIM(L$7)))*(CRDJ[Account Code]=(TRIM($D60))),CRDJ[Credit])))+(SUM(IF((GJ[Date]=$A$4)*(GJ[Ofc Code]=(TRIM(L$7)))*(GJ[Account Code]=(TRIM($D60))),GJ[Credit])))</f>
        <v>0</v>
      </c>
      <c r="M60" s="211">
        <f t="array" ref="M60">(SUM(IF((CkDJ[Date]=$A$4)*(CkDJ[Ofc Code]=(TRIM(M$7)))*(CkDJ[Account Code]=(TRIM($D60))),CkDJ[Debit])))+(SUM(IF((CsDJ[Date]=$A$4)*(CsDJ[Ofc Code]=(TRIM(M$7)))*(CsDJ[Account Code]=(TRIM($D60))),CsDJ[Debit])))+(SUM(IF((CRDJ[Date]=$A$4)*(CRDJ[Ofc Code]=(TRIM(M$7)))*(CRDJ[Account Code]=(TRIM($D60))),CRDJ[Debit])))+(SUM(IF((GJ[Date]=$A$4)*(GJ[Ofc Code]=(TRIM(M$7)))*(GJ[Account Code]=(TRIM($D60))),GJ[Debit])))-(SUM(IF((CkDJ[Date]=$A$4)*(CkDJ[Ofc Code]=(TRIM(M$7)))*(CkDJ[Account Code]=(TRIM($D60))),CkDJ[Credit])))+(SUM(IF((CsDJ[Date]=$A$4)*(CsDJ[Ofc Code]=(TRIM(M$7)))*(CsDJ[Account Code]=(TRIM($D60))),CsDJ[Credit])))+(SUM(IF((CRDJ[Date]=$A$4)*(CRDJ[Ofc Code]=(TRIM(M$7)))*(CRDJ[Account Code]=(TRIM($D60))),CRDJ[Credit])))+(SUM(IF((GJ[Date]=$A$4)*(GJ[Ofc Code]=(TRIM(M$7)))*(GJ[Account Code]=(TRIM($D60))),GJ[Credit])))</f>
        <v>0</v>
      </c>
      <c r="N60" s="211">
        <f t="shared" si="16"/>
        <v>0</v>
      </c>
      <c r="O60" s="211">
        <f t="array" ref="O60">(SUM(IF((CkDJ[Date]=$A$4)*(CkDJ[Ofc Code]=(TRIM(O$7)))*(CkDJ[Account Code]=(TRIM($D60))),CkDJ[Debit])))+(SUM(IF((CsDJ[Date]=$A$4)*(CsDJ[Ofc Code]=(TRIM(O$7)))*(CsDJ[Account Code]=(TRIM($D60))),CsDJ[Debit])))+(SUM(IF((CRDJ[Date]=$A$4)*(CRDJ[Ofc Code]=(TRIM(O$7)))*(CRDJ[Account Code]=(TRIM($D60))),CRDJ[Debit])))+(SUM(IF((GJ[Date]=$A$4)*(GJ[Ofc Code]=(TRIM(O$7)))*(GJ[Account Code]=(TRIM($D60))),GJ[Debit])))-(SUM(IF((CkDJ[Date]=$A$4)*(CkDJ[Ofc Code]=(TRIM(O$7)))*(CkDJ[Account Code]=(TRIM($D60))),CkDJ[Credit])))+(SUM(IF((CsDJ[Date]=$A$4)*(CsDJ[Ofc Code]=(TRIM(O$7)))*(CsDJ[Account Code]=(TRIM($D60))),CsDJ[Credit])))+(SUM(IF((CRDJ[Date]=$A$4)*(CRDJ[Ofc Code]=(TRIM(O$7)))*(CRDJ[Account Code]=(TRIM($D60))),CRDJ[Credit])))+(SUM(IF((GJ[Date]=$A$4)*(GJ[Ofc Code]=(TRIM(O$7)))*(GJ[Account Code]=(TRIM($D60))),GJ[Credit])))</f>
        <v>0</v>
      </c>
      <c r="P60" s="211">
        <f t="array" ref="P60">(SUM(IF((CkDJ[Date]=$A$4)*(CkDJ[Ofc Code]=(TRIM(P$7)))*(CkDJ[Account Code]=(TRIM($D60))),CkDJ[Debit])))+(SUM(IF((CsDJ[Date]=$A$4)*(CsDJ[Ofc Code]=(TRIM(P$7)))*(CsDJ[Account Code]=(TRIM($D60))),CsDJ[Debit])))+(SUM(IF((CRDJ[Date]=$A$4)*(CRDJ[Ofc Code]=(TRIM(P$7)))*(CRDJ[Account Code]=(TRIM($D60))),CRDJ[Debit])))+(SUM(IF((GJ[Date]=$A$4)*(GJ[Ofc Code]=(TRIM(P$7)))*(GJ[Account Code]=(TRIM($D60))),GJ[Debit])))-(SUM(IF((CkDJ[Date]=$A$4)*(CkDJ[Ofc Code]=(TRIM(P$7)))*(CkDJ[Account Code]=(TRIM($D60))),CkDJ[Credit])))+(SUM(IF((CsDJ[Date]=$A$4)*(CsDJ[Ofc Code]=(TRIM(P$7)))*(CsDJ[Account Code]=(TRIM($D60))),CsDJ[Credit])))+(SUM(IF((CRDJ[Date]=$A$4)*(CRDJ[Ofc Code]=(TRIM(P$7)))*(CRDJ[Account Code]=(TRIM($D60))),CRDJ[Credit])))+(SUM(IF((GJ[Date]=$A$4)*(GJ[Ofc Code]=(TRIM(P$7)))*(GJ[Account Code]=(TRIM($D60))),GJ[Credit])))</f>
        <v>0</v>
      </c>
      <c r="Q60" s="211">
        <f t="array" ref="Q60">(SUM(IF((CkDJ[Date]=$A$4)*(CkDJ[Ofc Code]=(TRIM(Q$7)))*(CkDJ[Account Code]=(TRIM($D60))),CkDJ[Debit])))+(SUM(IF((CsDJ[Date]=$A$4)*(CsDJ[Ofc Code]=(TRIM(Q$7)))*(CsDJ[Account Code]=(TRIM($D60))),CsDJ[Debit])))+(SUM(IF((CRDJ[Date]=$A$4)*(CRDJ[Ofc Code]=(TRIM(Q$7)))*(CRDJ[Account Code]=(TRIM($D60))),CRDJ[Debit])))+(SUM(IF((GJ[Date]=$A$4)*(GJ[Ofc Code]=(TRIM(Q$7)))*(GJ[Account Code]=(TRIM($D60))),GJ[Debit])))-(SUM(IF((CkDJ[Date]=$A$4)*(CkDJ[Ofc Code]=(TRIM(Q$7)))*(CkDJ[Account Code]=(TRIM($D60))),CkDJ[Credit])))+(SUM(IF((CsDJ[Date]=$A$4)*(CsDJ[Ofc Code]=(TRIM(Q$7)))*(CsDJ[Account Code]=(TRIM($D60))),CsDJ[Credit])))+(SUM(IF((CRDJ[Date]=$A$4)*(CRDJ[Ofc Code]=(TRIM(Q$7)))*(CRDJ[Account Code]=(TRIM($D60))),CRDJ[Credit])))+(SUM(IF((GJ[Date]=$A$4)*(GJ[Ofc Code]=(TRIM(Q$7)))*(GJ[Account Code]=(TRIM($D60))),GJ[Credit])))</f>
        <v>0</v>
      </c>
      <c r="R60" s="211">
        <f t="array" ref="R60">(SUM(IF((CkDJ[Date]=$A$4)*(CkDJ[Ofc Code]=(TRIM(R$7)))*(CkDJ[Account Code]=(TRIM($D60))),CkDJ[Debit])))+(SUM(IF((CsDJ[Date]=$A$4)*(CsDJ[Ofc Code]=(TRIM(R$7)))*(CsDJ[Account Code]=(TRIM($D60))),CsDJ[Debit])))+(SUM(IF((CRDJ[Date]=$A$4)*(CRDJ[Ofc Code]=(TRIM(R$7)))*(CRDJ[Account Code]=(TRIM($D60))),CRDJ[Debit])))+(SUM(IF((GJ[Date]=$A$4)*(GJ[Ofc Code]=(TRIM(R$7)))*(GJ[Account Code]=(TRIM($D60))),GJ[Debit])))-(SUM(IF((CkDJ[Date]=$A$4)*(CkDJ[Ofc Code]=(TRIM(R$7)))*(CkDJ[Account Code]=(TRIM($D60))),CkDJ[Credit])))+(SUM(IF((CsDJ[Date]=$A$4)*(CsDJ[Ofc Code]=(TRIM(R$7)))*(CsDJ[Account Code]=(TRIM($D60))),CsDJ[Credit])))+(SUM(IF((CRDJ[Date]=$A$4)*(CRDJ[Ofc Code]=(TRIM(R$7)))*(CRDJ[Account Code]=(TRIM($D60))),CRDJ[Credit])))+(SUM(IF((GJ[Date]=$A$4)*(GJ[Ofc Code]=(TRIM(R$7)))*(GJ[Account Code]=(TRIM($D60))),GJ[Credit])))</f>
        <v>0</v>
      </c>
      <c r="S60" s="211">
        <f t="array" ref="S60">(SUM(IF((CkDJ[Date]=$A$4)*(CkDJ[Ofc Code]=(TRIM(S$7)))*(CkDJ[Account Code]=(TRIM($D60))),CkDJ[Debit])))+(SUM(IF((CsDJ[Date]=$A$4)*(CsDJ[Ofc Code]=(TRIM(S$7)))*(CsDJ[Account Code]=(TRIM($D60))),CsDJ[Debit])))+(SUM(IF((CRDJ[Date]=$A$4)*(CRDJ[Ofc Code]=(TRIM(S$7)))*(CRDJ[Account Code]=(TRIM($D60))),CRDJ[Debit])))+(SUM(IF((GJ[Date]=$A$4)*(GJ[Ofc Code]=(TRIM(S$7)))*(GJ[Account Code]=(TRIM($D60))),GJ[Debit])))-(SUM(IF((CkDJ[Date]=$A$4)*(CkDJ[Ofc Code]=(TRIM(S$7)))*(CkDJ[Account Code]=(TRIM($D60))),CkDJ[Credit])))+(SUM(IF((CsDJ[Date]=$A$4)*(CsDJ[Ofc Code]=(TRIM(S$7)))*(CsDJ[Account Code]=(TRIM($D60))),CsDJ[Credit])))+(SUM(IF((CRDJ[Date]=$A$4)*(CRDJ[Ofc Code]=(TRIM(S$7)))*(CRDJ[Account Code]=(TRIM($D60))),CRDJ[Credit])))+(SUM(IF((GJ[Date]=$A$4)*(GJ[Ofc Code]=(TRIM(S$7)))*(GJ[Account Code]=(TRIM($D60))),GJ[Credit])))</f>
        <v>0</v>
      </c>
      <c r="T60" s="211">
        <f t="shared" si="17"/>
        <v>0</v>
      </c>
      <c r="U60" s="211">
        <f t="shared" si="18"/>
        <v>0</v>
      </c>
    </row>
    <row r="61" spans="1:21" ht="15">
      <c r="A61" s="212">
        <f t="shared" si="19"/>
        <v>3</v>
      </c>
      <c r="B61" s="214" t="s">
        <v>756</v>
      </c>
      <c r="C61" s="194" t="str">
        <f t="shared" si="14"/>
        <v>Office Supplies Expenses</v>
      </c>
      <c r="D61" s="207">
        <v>755</v>
      </c>
      <c r="E61" s="211">
        <f t="array" ref="E61">(SUM(IF((CkDJ[Date]=$A$4)*(CkDJ[Ofc Code]=(TRIM(E$7)))*(CkDJ[Account Code]=(TRIM($D61))),CkDJ[Debit])))+(SUM(IF((CsDJ[Date]=$A$4)*(CsDJ[Ofc Code]=(TRIM(E$7)))*(CsDJ[Account Code]=(TRIM($D61))),CsDJ[Debit])))+(SUM(IF((CRDJ[Date]=$A$4)*(CRDJ[Ofc Code]=(TRIM(E$7)))*(CRDJ[Account Code]=(TRIM($D61))),CRDJ[Debit])))+(SUM(IF((GJ[Date]=$A$4)*(GJ[Ofc Code]=(TRIM(E$7)))*(GJ[Account Code]=(TRIM($D61))),GJ[Debit])))-(SUM(IF((CkDJ[Date]=$A$4)*(CkDJ[Ofc Code]=(TRIM(E$7)))*(CkDJ[Account Code]=(TRIM($D61))),CkDJ[Credit])))+(SUM(IF((CsDJ[Date]=$A$4)*(CsDJ[Ofc Code]=(TRIM(E$7)))*(CsDJ[Account Code]=(TRIM($D61))),CsDJ[Credit])))+(SUM(IF((CRDJ[Date]=$A$4)*(CRDJ[Ofc Code]=(TRIM(E$7)))*(CRDJ[Account Code]=(TRIM($D61))),CRDJ[Credit])))+(SUM(IF((GJ[Date]=$A$4)*(GJ[Ofc Code]=(TRIM(E$7)))*(GJ[Account Code]=(TRIM($D61))),GJ[Credit])))</f>
        <v>0</v>
      </c>
      <c r="F61" s="211">
        <f t="array" ref="F61">(SUM(IF((CkDJ[Date]=$A$4)*(CkDJ[Ofc Code]=(TRIM(F$7)))*(CkDJ[Account Code]=(TRIM($D61))),CkDJ[Debit])))+(SUM(IF((CsDJ[Date]=$A$4)*(CsDJ[Ofc Code]=(TRIM(F$7)))*(CsDJ[Account Code]=(TRIM($D61))),CsDJ[Debit])))+(SUM(IF((CRDJ[Date]=$A$4)*(CRDJ[Ofc Code]=(TRIM(F$7)))*(CRDJ[Account Code]=(TRIM($D61))),CRDJ[Debit])))+(SUM(IF((GJ[Date]=$A$4)*(GJ[Ofc Code]=(TRIM(F$7)))*(GJ[Account Code]=(TRIM($D61))),GJ[Debit])))-(SUM(IF((CkDJ[Date]=$A$4)*(CkDJ[Ofc Code]=(TRIM(F$7)))*(CkDJ[Account Code]=(TRIM($D61))),CkDJ[Credit])))+(SUM(IF((CsDJ[Date]=$A$4)*(CsDJ[Ofc Code]=(TRIM(F$7)))*(CsDJ[Account Code]=(TRIM($D61))),CsDJ[Credit])))+(SUM(IF((CRDJ[Date]=$A$4)*(CRDJ[Ofc Code]=(TRIM(F$7)))*(CRDJ[Account Code]=(TRIM($D61))),CRDJ[Credit])))+(SUM(IF((GJ[Date]=$A$4)*(GJ[Ofc Code]=(TRIM(F$7)))*(GJ[Account Code]=(TRIM($D61))),GJ[Credit])))</f>
        <v>0</v>
      </c>
      <c r="G61" s="211">
        <f t="array" ref="G61">(SUM(IF((CkDJ[Date]=$A$4)*(CkDJ[Ofc Code]=(TRIM(G$7)))*(CkDJ[Account Code]=(TRIM($D61))),CkDJ[Debit])))+(SUM(IF((CsDJ[Date]=$A$4)*(CsDJ[Ofc Code]=(TRIM(G$7)))*(CsDJ[Account Code]=(TRIM($D61))),CsDJ[Debit])))+(SUM(IF((CRDJ[Date]=$A$4)*(CRDJ[Ofc Code]=(TRIM(G$7)))*(CRDJ[Account Code]=(TRIM($D61))),CRDJ[Debit])))+(SUM(IF((GJ[Date]=$A$4)*(GJ[Ofc Code]=(TRIM(G$7)))*(GJ[Account Code]=(TRIM($D61))),GJ[Debit])))-(SUM(IF((CkDJ[Date]=$A$4)*(CkDJ[Ofc Code]=(TRIM(G$7)))*(CkDJ[Account Code]=(TRIM($D61))),CkDJ[Credit])))+(SUM(IF((CsDJ[Date]=$A$4)*(CsDJ[Ofc Code]=(TRIM(G$7)))*(CsDJ[Account Code]=(TRIM($D61))),CsDJ[Credit])))+(SUM(IF((CRDJ[Date]=$A$4)*(CRDJ[Ofc Code]=(TRIM(G$7)))*(CRDJ[Account Code]=(TRIM($D61))),CRDJ[Credit])))+(SUM(IF((GJ[Date]=$A$4)*(GJ[Ofc Code]=(TRIM(G$7)))*(GJ[Account Code]=(TRIM($D61))),GJ[Credit])))</f>
        <v>0</v>
      </c>
      <c r="H61" s="211">
        <f t="array" ref="H61">(SUM(IF((CkDJ[Date]=$A$4)*(CkDJ[Ofc Code]=(TRIM(H$7)))*(CkDJ[Account Code]=(TRIM($D61))),CkDJ[Debit])))+(SUM(IF((CsDJ[Date]=$A$4)*(CsDJ[Ofc Code]=(TRIM(H$7)))*(CsDJ[Account Code]=(TRIM($D61))),CsDJ[Debit])))+(SUM(IF((CRDJ[Date]=$A$4)*(CRDJ[Ofc Code]=(TRIM(H$7)))*(CRDJ[Account Code]=(TRIM($D61))),CRDJ[Debit])))+(SUM(IF((GJ[Date]=$A$4)*(GJ[Ofc Code]=(TRIM(H$7)))*(GJ[Account Code]=(TRIM($D61))),GJ[Debit])))-(SUM(IF((CkDJ[Date]=$A$4)*(CkDJ[Ofc Code]=(TRIM(H$7)))*(CkDJ[Account Code]=(TRIM($D61))),CkDJ[Credit])))+(SUM(IF((CsDJ[Date]=$A$4)*(CsDJ[Ofc Code]=(TRIM(H$7)))*(CsDJ[Account Code]=(TRIM($D61))),CsDJ[Credit])))+(SUM(IF((CRDJ[Date]=$A$4)*(CRDJ[Ofc Code]=(TRIM(H$7)))*(CRDJ[Account Code]=(TRIM($D61))),CRDJ[Credit])))+(SUM(IF((GJ[Date]=$A$4)*(GJ[Ofc Code]=(TRIM(H$7)))*(GJ[Account Code]=(TRIM($D61))),GJ[Credit])))</f>
        <v>0</v>
      </c>
      <c r="I61" s="211">
        <f t="shared" si="15"/>
        <v>0</v>
      </c>
      <c r="J61" s="211">
        <f t="array" ref="J61">(SUM(IF((CkDJ[Date]=$A$4)*(CkDJ[Ofc Code]=(TRIM(J$7)))*(CkDJ[Account Code]=(TRIM($D61))),CkDJ[Debit])))+(SUM(IF((CsDJ[Date]=$A$4)*(CsDJ[Ofc Code]=(TRIM(J$7)))*(CsDJ[Account Code]=(TRIM($D61))),CsDJ[Debit])))+(SUM(IF((CRDJ[Date]=$A$4)*(CRDJ[Ofc Code]=(TRIM(J$7)))*(CRDJ[Account Code]=(TRIM($D61))),CRDJ[Debit])))+(SUM(IF((GJ[Date]=$A$4)*(GJ[Ofc Code]=(TRIM(J$7)))*(GJ[Account Code]=(TRIM($D61))),GJ[Debit])))-(SUM(IF((CkDJ[Date]=$A$4)*(CkDJ[Ofc Code]=(TRIM(J$7)))*(CkDJ[Account Code]=(TRIM($D61))),CkDJ[Credit])))+(SUM(IF((CsDJ[Date]=$A$4)*(CsDJ[Ofc Code]=(TRIM(J$7)))*(CsDJ[Account Code]=(TRIM($D61))),CsDJ[Credit])))+(SUM(IF((CRDJ[Date]=$A$4)*(CRDJ[Ofc Code]=(TRIM(J$7)))*(CRDJ[Account Code]=(TRIM($D61))),CRDJ[Credit])))+(SUM(IF((GJ[Date]=$A$4)*(GJ[Ofc Code]=(TRIM(J$7)))*(GJ[Account Code]=(TRIM($D61))),GJ[Credit])))</f>
        <v>0</v>
      </c>
      <c r="K61" s="211">
        <f t="array" ref="K61">(SUM(IF((CkDJ[Date]=$A$4)*(CkDJ[Ofc Code]=(TRIM(K$7)))*(CkDJ[Account Code]=(TRIM($D61))),CkDJ[Debit])))+(SUM(IF((CsDJ[Date]=$A$4)*(CsDJ[Ofc Code]=(TRIM(K$7)))*(CsDJ[Account Code]=(TRIM($D61))),CsDJ[Debit])))+(SUM(IF((CRDJ[Date]=$A$4)*(CRDJ[Ofc Code]=(TRIM(K$7)))*(CRDJ[Account Code]=(TRIM($D61))),CRDJ[Debit])))+(SUM(IF((GJ[Date]=$A$4)*(GJ[Ofc Code]=(TRIM(K$7)))*(GJ[Account Code]=(TRIM($D61))),GJ[Debit])))-(SUM(IF((CkDJ[Date]=$A$4)*(CkDJ[Ofc Code]=(TRIM(K$7)))*(CkDJ[Account Code]=(TRIM($D61))),CkDJ[Credit])))+(SUM(IF((CsDJ[Date]=$A$4)*(CsDJ[Ofc Code]=(TRIM(K$7)))*(CsDJ[Account Code]=(TRIM($D61))),CsDJ[Credit])))+(SUM(IF((CRDJ[Date]=$A$4)*(CRDJ[Ofc Code]=(TRIM(K$7)))*(CRDJ[Account Code]=(TRIM($D61))),CRDJ[Credit])))+(SUM(IF((GJ[Date]=$A$4)*(GJ[Ofc Code]=(TRIM(K$7)))*(GJ[Account Code]=(TRIM($D61))),GJ[Credit])))</f>
        <v>0</v>
      </c>
      <c r="L61" s="211">
        <f t="array" ref="L61">(SUM(IF((CkDJ[Date]=$A$4)*(CkDJ[Ofc Code]=(TRIM(L$7)))*(CkDJ[Account Code]=(TRIM($D61))),CkDJ[Debit])))+(SUM(IF((CsDJ[Date]=$A$4)*(CsDJ[Ofc Code]=(TRIM(L$7)))*(CsDJ[Account Code]=(TRIM($D61))),CsDJ[Debit])))+(SUM(IF((CRDJ[Date]=$A$4)*(CRDJ[Ofc Code]=(TRIM(L$7)))*(CRDJ[Account Code]=(TRIM($D61))),CRDJ[Debit])))+(SUM(IF((GJ[Date]=$A$4)*(GJ[Ofc Code]=(TRIM(L$7)))*(GJ[Account Code]=(TRIM($D61))),GJ[Debit])))-(SUM(IF((CkDJ[Date]=$A$4)*(CkDJ[Ofc Code]=(TRIM(L$7)))*(CkDJ[Account Code]=(TRIM($D61))),CkDJ[Credit])))+(SUM(IF((CsDJ[Date]=$A$4)*(CsDJ[Ofc Code]=(TRIM(L$7)))*(CsDJ[Account Code]=(TRIM($D61))),CsDJ[Credit])))+(SUM(IF((CRDJ[Date]=$A$4)*(CRDJ[Ofc Code]=(TRIM(L$7)))*(CRDJ[Account Code]=(TRIM($D61))),CRDJ[Credit])))+(SUM(IF((GJ[Date]=$A$4)*(GJ[Ofc Code]=(TRIM(L$7)))*(GJ[Account Code]=(TRIM($D61))),GJ[Credit])))</f>
        <v>0</v>
      </c>
      <c r="M61" s="211">
        <f t="array" ref="M61">(SUM(IF((CkDJ[Date]=$A$4)*(CkDJ[Ofc Code]=(TRIM(M$7)))*(CkDJ[Account Code]=(TRIM($D61))),CkDJ[Debit])))+(SUM(IF((CsDJ[Date]=$A$4)*(CsDJ[Ofc Code]=(TRIM(M$7)))*(CsDJ[Account Code]=(TRIM($D61))),CsDJ[Debit])))+(SUM(IF((CRDJ[Date]=$A$4)*(CRDJ[Ofc Code]=(TRIM(M$7)))*(CRDJ[Account Code]=(TRIM($D61))),CRDJ[Debit])))+(SUM(IF((GJ[Date]=$A$4)*(GJ[Ofc Code]=(TRIM(M$7)))*(GJ[Account Code]=(TRIM($D61))),GJ[Debit])))-(SUM(IF((CkDJ[Date]=$A$4)*(CkDJ[Ofc Code]=(TRIM(M$7)))*(CkDJ[Account Code]=(TRIM($D61))),CkDJ[Credit])))+(SUM(IF((CsDJ[Date]=$A$4)*(CsDJ[Ofc Code]=(TRIM(M$7)))*(CsDJ[Account Code]=(TRIM($D61))),CsDJ[Credit])))+(SUM(IF((CRDJ[Date]=$A$4)*(CRDJ[Ofc Code]=(TRIM(M$7)))*(CRDJ[Account Code]=(TRIM($D61))),CRDJ[Credit])))+(SUM(IF((GJ[Date]=$A$4)*(GJ[Ofc Code]=(TRIM(M$7)))*(GJ[Account Code]=(TRIM($D61))),GJ[Credit])))</f>
        <v>0</v>
      </c>
      <c r="N61" s="211">
        <f t="shared" si="16"/>
        <v>0</v>
      </c>
      <c r="O61" s="211">
        <f t="array" ref="O61">(SUM(IF((CkDJ[Date]=$A$4)*(CkDJ[Ofc Code]=(TRIM(O$7)))*(CkDJ[Account Code]=(TRIM($D61))),CkDJ[Debit])))+(SUM(IF((CsDJ[Date]=$A$4)*(CsDJ[Ofc Code]=(TRIM(O$7)))*(CsDJ[Account Code]=(TRIM($D61))),CsDJ[Debit])))+(SUM(IF((CRDJ[Date]=$A$4)*(CRDJ[Ofc Code]=(TRIM(O$7)))*(CRDJ[Account Code]=(TRIM($D61))),CRDJ[Debit])))+(SUM(IF((GJ[Date]=$A$4)*(GJ[Ofc Code]=(TRIM(O$7)))*(GJ[Account Code]=(TRIM($D61))),GJ[Debit])))-(SUM(IF((CkDJ[Date]=$A$4)*(CkDJ[Ofc Code]=(TRIM(O$7)))*(CkDJ[Account Code]=(TRIM($D61))),CkDJ[Credit])))+(SUM(IF((CsDJ[Date]=$A$4)*(CsDJ[Ofc Code]=(TRIM(O$7)))*(CsDJ[Account Code]=(TRIM($D61))),CsDJ[Credit])))+(SUM(IF((CRDJ[Date]=$A$4)*(CRDJ[Ofc Code]=(TRIM(O$7)))*(CRDJ[Account Code]=(TRIM($D61))),CRDJ[Credit])))+(SUM(IF((GJ[Date]=$A$4)*(GJ[Ofc Code]=(TRIM(O$7)))*(GJ[Account Code]=(TRIM($D61))),GJ[Credit])))</f>
        <v>0</v>
      </c>
      <c r="P61" s="211">
        <f t="array" ref="P61">(SUM(IF((CkDJ[Date]=$A$4)*(CkDJ[Ofc Code]=(TRIM(P$7)))*(CkDJ[Account Code]=(TRIM($D61))),CkDJ[Debit])))+(SUM(IF((CsDJ[Date]=$A$4)*(CsDJ[Ofc Code]=(TRIM(P$7)))*(CsDJ[Account Code]=(TRIM($D61))),CsDJ[Debit])))+(SUM(IF((CRDJ[Date]=$A$4)*(CRDJ[Ofc Code]=(TRIM(P$7)))*(CRDJ[Account Code]=(TRIM($D61))),CRDJ[Debit])))+(SUM(IF((GJ[Date]=$A$4)*(GJ[Ofc Code]=(TRIM(P$7)))*(GJ[Account Code]=(TRIM($D61))),GJ[Debit])))-(SUM(IF((CkDJ[Date]=$A$4)*(CkDJ[Ofc Code]=(TRIM(P$7)))*(CkDJ[Account Code]=(TRIM($D61))),CkDJ[Credit])))+(SUM(IF((CsDJ[Date]=$A$4)*(CsDJ[Ofc Code]=(TRIM(P$7)))*(CsDJ[Account Code]=(TRIM($D61))),CsDJ[Credit])))+(SUM(IF((CRDJ[Date]=$A$4)*(CRDJ[Ofc Code]=(TRIM(P$7)))*(CRDJ[Account Code]=(TRIM($D61))),CRDJ[Credit])))+(SUM(IF((GJ[Date]=$A$4)*(GJ[Ofc Code]=(TRIM(P$7)))*(GJ[Account Code]=(TRIM($D61))),GJ[Credit])))</f>
        <v>0</v>
      </c>
      <c r="Q61" s="211">
        <f t="array" ref="Q61">(SUM(IF((CkDJ[Date]=$A$4)*(CkDJ[Ofc Code]=(TRIM(Q$7)))*(CkDJ[Account Code]=(TRIM($D61))),CkDJ[Debit])))+(SUM(IF((CsDJ[Date]=$A$4)*(CsDJ[Ofc Code]=(TRIM(Q$7)))*(CsDJ[Account Code]=(TRIM($D61))),CsDJ[Debit])))+(SUM(IF((CRDJ[Date]=$A$4)*(CRDJ[Ofc Code]=(TRIM(Q$7)))*(CRDJ[Account Code]=(TRIM($D61))),CRDJ[Debit])))+(SUM(IF((GJ[Date]=$A$4)*(GJ[Ofc Code]=(TRIM(Q$7)))*(GJ[Account Code]=(TRIM($D61))),GJ[Debit])))-(SUM(IF((CkDJ[Date]=$A$4)*(CkDJ[Ofc Code]=(TRIM(Q$7)))*(CkDJ[Account Code]=(TRIM($D61))),CkDJ[Credit])))+(SUM(IF((CsDJ[Date]=$A$4)*(CsDJ[Ofc Code]=(TRIM(Q$7)))*(CsDJ[Account Code]=(TRIM($D61))),CsDJ[Credit])))+(SUM(IF((CRDJ[Date]=$A$4)*(CRDJ[Ofc Code]=(TRIM(Q$7)))*(CRDJ[Account Code]=(TRIM($D61))),CRDJ[Credit])))+(SUM(IF((GJ[Date]=$A$4)*(GJ[Ofc Code]=(TRIM(Q$7)))*(GJ[Account Code]=(TRIM($D61))),GJ[Credit])))</f>
        <v>0</v>
      </c>
      <c r="R61" s="211">
        <f t="array" ref="R61">(SUM(IF((CkDJ[Date]=$A$4)*(CkDJ[Ofc Code]=(TRIM(R$7)))*(CkDJ[Account Code]=(TRIM($D61))),CkDJ[Debit])))+(SUM(IF((CsDJ[Date]=$A$4)*(CsDJ[Ofc Code]=(TRIM(R$7)))*(CsDJ[Account Code]=(TRIM($D61))),CsDJ[Debit])))+(SUM(IF((CRDJ[Date]=$A$4)*(CRDJ[Ofc Code]=(TRIM(R$7)))*(CRDJ[Account Code]=(TRIM($D61))),CRDJ[Debit])))+(SUM(IF((GJ[Date]=$A$4)*(GJ[Ofc Code]=(TRIM(R$7)))*(GJ[Account Code]=(TRIM($D61))),GJ[Debit])))-(SUM(IF((CkDJ[Date]=$A$4)*(CkDJ[Ofc Code]=(TRIM(R$7)))*(CkDJ[Account Code]=(TRIM($D61))),CkDJ[Credit])))+(SUM(IF((CsDJ[Date]=$A$4)*(CsDJ[Ofc Code]=(TRIM(R$7)))*(CsDJ[Account Code]=(TRIM($D61))),CsDJ[Credit])))+(SUM(IF((CRDJ[Date]=$A$4)*(CRDJ[Ofc Code]=(TRIM(R$7)))*(CRDJ[Account Code]=(TRIM($D61))),CRDJ[Credit])))+(SUM(IF((GJ[Date]=$A$4)*(GJ[Ofc Code]=(TRIM(R$7)))*(GJ[Account Code]=(TRIM($D61))),GJ[Credit])))</f>
        <v>0</v>
      </c>
      <c r="S61" s="211">
        <f t="array" ref="S61">(SUM(IF((CkDJ[Date]=$A$4)*(CkDJ[Ofc Code]=(TRIM(S$7)))*(CkDJ[Account Code]=(TRIM($D61))),CkDJ[Debit])))+(SUM(IF((CsDJ[Date]=$A$4)*(CsDJ[Ofc Code]=(TRIM(S$7)))*(CsDJ[Account Code]=(TRIM($D61))),CsDJ[Debit])))+(SUM(IF((CRDJ[Date]=$A$4)*(CRDJ[Ofc Code]=(TRIM(S$7)))*(CRDJ[Account Code]=(TRIM($D61))),CRDJ[Debit])))+(SUM(IF((GJ[Date]=$A$4)*(GJ[Ofc Code]=(TRIM(S$7)))*(GJ[Account Code]=(TRIM($D61))),GJ[Debit])))-(SUM(IF((CkDJ[Date]=$A$4)*(CkDJ[Ofc Code]=(TRIM(S$7)))*(CkDJ[Account Code]=(TRIM($D61))),CkDJ[Credit])))+(SUM(IF((CsDJ[Date]=$A$4)*(CsDJ[Ofc Code]=(TRIM(S$7)))*(CsDJ[Account Code]=(TRIM($D61))),CsDJ[Credit])))+(SUM(IF((CRDJ[Date]=$A$4)*(CRDJ[Ofc Code]=(TRIM(S$7)))*(CRDJ[Account Code]=(TRIM($D61))),CRDJ[Credit])))+(SUM(IF((GJ[Date]=$A$4)*(GJ[Ofc Code]=(TRIM(S$7)))*(GJ[Account Code]=(TRIM($D61))),GJ[Credit])))</f>
        <v>0</v>
      </c>
      <c r="T61" s="211">
        <f t="shared" si="17"/>
        <v>0</v>
      </c>
      <c r="U61" s="211">
        <f t="shared" si="18"/>
        <v>0</v>
      </c>
    </row>
    <row r="62" spans="1:21" ht="15">
      <c r="A62" s="212">
        <f t="shared" si="19"/>
        <v>4</v>
      </c>
      <c r="B62" s="214" t="s">
        <v>756</v>
      </c>
      <c r="C62" s="194" t="str">
        <f t="shared" si="14"/>
        <v>Accountable Forms Expenses</v>
      </c>
      <c r="D62" s="207">
        <v>756</v>
      </c>
      <c r="E62" s="211">
        <f t="array" ref="E62">(SUM(IF((CkDJ[Date]=$A$4)*(CkDJ[Ofc Code]=(TRIM(E$7)))*(CkDJ[Account Code]=(TRIM($D62))),CkDJ[Debit])))+(SUM(IF((CsDJ[Date]=$A$4)*(CsDJ[Ofc Code]=(TRIM(E$7)))*(CsDJ[Account Code]=(TRIM($D62))),CsDJ[Debit])))+(SUM(IF((CRDJ[Date]=$A$4)*(CRDJ[Ofc Code]=(TRIM(E$7)))*(CRDJ[Account Code]=(TRIM($D62))),CRDJ[Debit])))+(SUM(IF((GJ[Date]=$A$4)*(GJ[Ofc Code]=(TRIM(E$7)))*(GJ[Account Code]=(TRIM($D62))),GJ[Debit])))-(SUM(IF((CkDJ[Date]=$A$4)*(CkDJ[Ofc Code]=(TRIM(E$7)))*(CkDJ[Account Code]=(TRIM($D62))),CkDJ[Credit])))+(SUM(IF((CsDJ[Date]=$A$4)*(CsDJ[Ofc Code]=(TRIM(E$7)))*(CsDJ[Account Code]=(TRIM($D62))),CsDJ[Credit])))+(SUM(IF((CRDJ[Date]=$A$4)*(CRDJ[Ofc Code]=(TRIM(E$7)))*(CRDJ[Account Code]=(TRIM($D62))),CRDJ[Credit])))+(SUM(IF((GJ[Date]=$A$4)*(GJ[Ofc Code]=(TRIM(E$7)))*(GJ[Account Code]=(TRIM($D62))),GJ[Credit])))</f>
        <v>0</v>
      </c>
      <c r="F62" s="211">
        <f t="array" ref="F62">(SUM(IF((CkDJ[Date]=$A$4)*(CkDJ[Ofc Code]=(TRIM(F$7)))*(CkDJ[Account Code]=(TRIM($D62))),CkDJ[Debit])))+(SUM(IF((CsDJ[Date]=$A$4)*(CsDJ[Ofc Code]=(TRIM(F$7)))*(CsDJ[Account Code]=(TRIM($D62))),CsDJ[Debit])))+(SUM(IF((CRDJ[Date]=$A$4)*(CRDJ[Ofc Code]=(TRIM(F$7)))*(CRDJ[Account Code]=(TRIM($D62))),CRDJ[Debit])))+(SUM(IF((GJ[Date]=$A$4)*(GJ[Ofc Code]=(TRIM(F$7)))*(GJ[Account Code]=(TRIM($D62))),GJ[Debit])))-(SUM(IF((CkDJ[Date]=$A$4)*(CkDJ[Ofc Code]=(TRIM(F$7)))*(CkDJ[Account Code]=(TRIM($D62))),CkDJ[Credit])))+(SUM(IF((CsDJ[Date]=$A$4)*(CsDJ[Ofc Code]=(TRIM(F$7)))*(CsDJ[Account Code]=(TRIM($D62))),CsDJ[Credit])))+(SUM(IF((CRDJ[Date]=$A$4)*(CRDJ[Ofc Code]=(TRIM(F$7)))*(CRDJ[Account Code]=(TRIM($D62))),CRDJ[Credit])))+(SUM(IF((GJ[Date]=$A$4)*(GJ[Ofc Code]=(TRIM(F$7)))*(GJ[Account Code]=(TRIM($D62))),GJ[Credit])))</f>
        <v>0</v>
      </c>
      <c r="G62" s="211">
        <f t="array" ref="G62">(SUM(IF((CkDJ[Date]=$A$4)*(CkDJ[Ofc Code]=(TRIM(G$7)))*(CkDJ[Account Code]=(TRIM($D62))),CkDJ[Debit])))+(SUM(IF((CsDJ[Date]=$A$4)*(CsDJ[Ofc Code]=(TRIM(G$7)))*(CsDJ[Account Code]=(TRIM($D62))),CsDJ[Debit])))+(SUM(IF((CRDJ[Date]=$A$4)*(CRDJ[Ofc Code]=(TRIM(G$7)))*(CRDJ[Account Code]=(TRIM($D62))),CRDJ[Debit])))+(SUM(IF((GJ[Date]=$A$4)*(GJ[Ofc Code]=(TRIM(G$7)))*(GJ[Account Code]=(TRIM($D62))),GJ[Debit])))-(SUM(IF((CkDJ[Date]=$A$4)*(CkDJ[Ofc Code]=(TRIM(G$7)))*(CkDJ[Account Code]=(TRIM($D62))),CkDJ[Credit])))+(SUM(IF((CsDJ[Date]=$A$4)*(CsDJ[Ofc Code]=(TRIM(G$7)))*(CsDJ[Account Code]=(TRIM($D62))),CsDJ[Credit])))+(SUM(IF((CRDJ[Date]=$A$4)*(CRDJ[Ofc Code]=(TRIM(G$7)))*(CRDJ[Account Code]=(TRIM($D62))),CRDJ[Credit])))+(SUM(IF((GJ[Date]=$A$4)*(GJ[Ofc Code]=(TRIM(G$7)))*(GJ[Account Code]=(TRIM($D62))),GJ[Credit])))</f>
        <v>0</v>
      </c>
      <c r="H62" s="211">
        <f t="array" ref="H62">(SUM(IF((CkDJ[Date]=$A$4)*(CkDJ[Ofc Code]=(TRIM(H$7)))*(CkDJ[Account Code]=(TRIM($D62))),CkDJ[Debit])))+(SUM(IF((CsDJ[Date]=$A$4)*(CsDJ[Ofc Code]=(TRIM(H$7)))*(CsDJ[Account Code]=(TRIM($D62))),CsDJ[Debit])))+(SUM(IF((CRDJ[Date]=$A$4)*(CRDJ[Ofc Code]=(TRIM(H$7)))*(CRDJ[Account Code]=(TRIM($D62))),CRDJ[Debit])))+(SUM(IF((GJ[Date]=$A$4)*(GJ[Ofc Code]=(TRIM(H$7)))*(GJ[Account Code]=(TRIM($D62))),GJ[Debit])))-(SUM(IF((CkDJ[Date]=$A$4)*(CkDJ[Ofc Code]=(TRIM(H$7)))*(CkDJ[Account Code]=(TRIM($D62))),CkDJ[Credit])))+(SUM(IF((CsDJ[Date]=$A$4)*(CsDJ[Ofc Code]=(TRIM(H$7)))*(CsDJ[Account Code]=(TRIM($D62))),CsDJ[Credit])))+(SUM(IF((CRDJ[Date]=$A$4)*(CRDJ[Ofc Code]=(TRIM(H$7)))*(CRDJ[Account Code]=(TRIM($D62))),CRDJ[Credit])))+(SUM(IF((GJ[Date]=$A$4)*(GJ[Ofc Code]=(TRIM(H$7)))*(GJ[Account Code]=(TRIM($D62))),GJ[Credit])))</f>
        <v>0</v>
      </c>
      <c r="I62" s="211">
        <f t="shared" si="15"/>
        <v>0</v>
      </c>
      <c r="J62" s="211">
        <f t="array" ref="J62">(SUM(IF((CkDJ[Date]=$A$4)*(CkDJ[Ofc Code]=(TRIM(J$7)))*(CkDJ[Account Code]=(TRIM($D62))),CkDJ[Debit])))+(SUM(IF((CsDJ[Date]=$A$4)*(CsDJ[Ofc Code]=(TRIM(J$7)))*(CsDJ[Account Code]=(TRIM($D62))),CsDJ[Debit])))+(SUM(IF((CRDJ[Date]=$A$4)*(CRDJ[Ofc Code]=(TRIM(J$7)))*(CRDJ[Account Code]=(TRIM($D62))),CRDJ[Debit])))+(SUM(IF((GJ[Date]=$A$4)*(GJ[Ofc Code]=(TRIM(J$7)))*(GJ[Account Code]=(TRIM($D62))),GJ[Debit])))-(SUM(IF((CkDJ[Date]=$A$4)*(CkDJ[Ofc Code]=(TRIM(J$7)))*(CkDJ[Account Code]=(TRIM($D62))),CkDJ[Credit])))+(SUM(IF((CsDJ[Date]=$A$4)*(CsDJ[Ofc Code]=(TRIM(J$7)))*(CsDJ[Account Code]=(TRIM($D62))),CsDJ[Credit])))+(SUM(IF((CRDJ[Date]=$A$4)*(CRDJ[Ofc Code]=(TRIM(J$7)))*(CRDJ[Account Code]=(TRIM($D62))),CRDJ[Credit])))+(SUM(IF((GJ[Date]=$A$4)*(GJ[Ofc Code]=(TRIM(J$7)))*(GJ[Account Code]=(TRIM($D62))),GJ[Credit])))</f>
        <v>0</v>
      </c>
      <c r="K62" s="211">
        <f t="array" ref="K62">(SUM(IF((CkDJ[Date]=$A$4)*(CkDJ[Ofc Code]=(TRIM(K$7)))*(CkDJ[Account Code]=(TRIM($D62))),CkDJ[Debit])))+(SUM(IF((CsDJ[Date]=$A$4)*(CsDJ[Ofc Code]=(TRIM(K$7)))*(CsDJ[Account Code]=(TRIM($D62))),CsDJ[Debit])))+(SUM(IF((CRDJ[Date]=$A$4)*(CRDJ[Ofc Code]=(TRIM(K$7)))*(CRDJ[Account Code]=(TRIM($D62))),CRDJ[Debit])))+(SUM(IF((GJ[Date]=$A$4)*(GJ[Ofc Code]=(TRIM(K$7)))*(GJ[Account Code]=(TRIM($D62))),GJ[Debit])))-(SUM(IF((CkDJ[Date]=$A$4)*(CkDJ[Ofc Code]=(TRIM(K$7)))*(CkDJ[Account Code]=(TRIM($D62))),CkDJ[Credit])))+(SUM(IF((CsDJ[Date]=$A$4)*(CsDJ[Ofc Code]=(TRIM(K$7)))*(CsDJ[Account Code]=(TRIM($D62))),CsDJ[Credit])))+(SUM(IF((CRDJ[Date]=$A$4)*(CRDJ[Ofc Code]=(TRIM(K$7)))*(CRDJ[Account Code]=(TRIM($D62))),CRDJ[Credit])))+(SUM(IF((GJ[Date]=$A$4)*(GJ[Ofc Code]=(TRIM(K$7)))*(GJ[Account Code]=(TRIM($D62))),GJ[Credit])))</f>
        <v>0</v>
      </c>
      <c r="L62" s="211">
        <f t="array" ref="L62">(SUM(IF((CkDJ[Date]=$A$4)*(CkDJ[Ofc Code]=(TRIM(L$7)))*(CkDJ[Account Code]=(TRIM($D62))),CkDJ[Debit])))+(SUM(IF((CsDJ[Date]=$A$4)*(CsDJ[Ofc Code]=(TRIM(L$7)))*(CsDJ[Account Code]=(TRIM($D62))),CsDJ[Debit])))+(SUM(IF((CRDJ[Date]=$A$4)*(CRDJ[Ofc Code]=(TRIM(L$7)))*(CRDJ[Account Code]=(TRIM($D62))),CRDJ[Debit])))+(SUM(IF((GJ[Date]=$A$4)*(GJ[Ofc Code]=(TRIM(L$7)))*(GJ[Account Code]=(TRIM($D62))),GJ[Debit])))-(SUM(IF((CkDJ[Date]=$A$4)*(CkDJ[Ofc Code]=(TRIM(L$7)))*(CkDJ[Account Code]=(TRIM($D62))),CkDJ[Credit])))+(SUM(IF((CsDJ[Date]=$A$4)*(CsDJ[Ofc Code]=(TRIM(L$7)))*(CsDJ[Account Code]=(TRIM($D62))),CsDJ[Credit])))+(SUM(IF((CRDJ[Date]=$A$4)*(CRDJ[Ofc Code]=(TRIM(L$7)))*(CRDJ[Account Code]=(TRIM($D62))),CRDJ[Credit])))+(SUM(IF((GJ[Date]=$A$4)*(GJ[Ofc Code]=(TRIM(L$7)))*(GJ[Account Code]=(TRIM($D62))),GJ[Credit])))</f>
        <v>0</v>
      </c>
      <c r="M62" s="211">
        <f t="array" ref="M62">(SUM(IF((CkDJ[Date]=$A$4)*(CkDJ[Ofc Code]=(TRIM(M$7)))*(CkDJ[Account Code]=(TRIM($D62))),CkDJ[Debit])))+(SUM(IF((CsDJ[Date]=$A$4)*(CsDJ[Ofc Code]=(TRIM(M$7)))*(CsDJ[Account Code]=(TRIM($D62))),CsDJ[Debit])))+(SUM(IF((CRDJ[Date]=$A$4)*(CRDJ[Ofc Code]=(TRIM(M$7)))*(CRDJ[Account Code]=(TRIM($D62))),CRDJ[Debit])))+(SUM(IF((GJ[Date]=$A$4)*(GJ[Ofc Code]=(TRIM(M$7)))*(GJ[Account Code]=(TRIM($D62))),GJ[Debit])))-(SUM(IF((CkDJ[Date]=$A$4)*(CkDJ[Ofc Code]=(TRIM(M$7)))*(CkDJ[Account Code]=(TRIM($D62))),CkDJ[Credit])))+(SUM(IF((CsDJ[Date]=$A$4)*(CsDJ[Ofc Code]=(TRIM(M$7)))*(CsDJ[Account Code]=(TRIM($D62))),CsDJ[Credit])))+(SUM(IF((CRDJ[Date]=$A$4)*(CRDJ[Ofc Code]=(TRIM(M$7)))*(CRDJ[Account Code]=(TRIM($D62))),CRDJ[Credit])))+(SUM(IF((GJ[Date]=$A$4)*(GJ[Ofc Code]=(TRIM(M$7)))*(GJ[Account Code]=(TRIM($D62))),GJ[Credit])))</f>
        <v>0</v>
      </c>
      <c r="N62" s="211">
        <f t="shared" si="16"/>
        <v>0</v>
      </c>
      <c r="O62" s="211">
        <f t="array" ref="O62">(SUM(IF((CkDJ[Date]=$A$4)*(CkDJ[Ofc Code]=(TRIM(O$7)))*(CkDJ[Account Code]=(TRIM($D62))),CkDJ[Debit])))+(SUM(IF((CsDJ[Date]=$A$4)*(CsDJ[Ofc Code]=(TRIM(O$7)))*(CsDJ[Account Code]=(TRIM($D62))),CsDJ[Debit])))+(SUM(IF((CRDJ[Date]=$A$4)*(CRDJ[Ofc Code]=(TRIM(O$7)))*(CRDJ[Account Code]=(TRIM($D62))),CRDJ[Debit])))+(SUM(IF((GJ[Date]=$A$4)*(GJ[Ofc Code]=(TRIM(O$7)))*(GJ[Account Code]=(TRIM($D62))),GJ[Debit])))-(SUM(IF((CkDJ[Date]=$A$4)*(CkDJ[Ofc Code]=(TRIM(O$7)))*(CkDJ[Account Code]=(TRIM($D62))),CkDJ[Credit])))+(SUM(IF((CsDJ[Date]=$A$4)*(CsDJ[Ofc Code]=(TRIM(O$7)))*(CsDJ[Account Code]=(TRIM($D62))),CsDJ[Credit])))+(SUM(IF((CRDJ[Date]=$A$4)*(CRDJ[Ofc Code]=(TRIM(O$7)))*(CRDJ[Account Code]=(TRIM($D62))),CRDJ[Credit])))+(SUM(IF((GJ[Date]=$A$4)*(GJ[Ofc Code]=(TRIM(O$7)))*(GJ[Account Code]=(TRIM($D62))),GJ[Credit])))</f>
        <v>0</v>
      </c>
      <c r="P62" s="211">
        <f t="array" ref="P62">(SUM(IF((CkDJ[Date]=$A$4)*(CkDJ[Ofc Code]=(TRIM(P$7)))*(CkDJ[Account Code]=(TRIM($D62))),CkDJ[Debit])))+(SUM(IF((CsDJ[Date]=$A$4)*(CsDJ[Ofc Code]=(TRIM(P$7)))*(CsDJ[Account Code]=(TRIM($D62))),CsDJ[Debit])))+(SUM(IF((CRDJ[Date]=$A$4)*(CRDJ[Ofc Code]=(TRIM(P$7)))*(CRDJ[Account Code]=(TRIM($D62))),CRDJ[Debit])))+(SUM(IF((GJ[Date]=$A$4)*(GJ[Ofc Code]=(TRIM(P$7)))*(GJ[Account Code]=(TRIM($D62))),GJ[Debit])))-(SUM(IF((CkDJ[Date]=$A$4)*(CkDJ[Ofc Code]=(TRIM(P$7)))*(CkDJ[Account Code]=(TRIM($D62))),CkDJ[Credit])))+(SUM(IF((CsDJ[Date]=$A$4)*(CsDJ[Ofc Code]=(TRIM(P$7)))*(CsDJ[Account Code]=(TRIM($D62))),CsDJ[Credit])))+(SUM(IF((CRDJ[Date]=$A$4)*(CRDJ[Ofc Code]=(TRIM(P$7)))*(CRDJ[Account Code]=(TRIM($D62))),CRDJ[Credit])))+(SUM(IF((GJ[Date]=$A$4)*(GJ[Ofc Code]=(TRIM(P$7)))*(GJ[Account Code]=(TRIM($D62))),GJ[Credit])))</f>
        <v>0</v>
      </c>
      <c r="Q62" s="211">
        <f t="array" ref="Q62">(SUM(IF((CkDJ[Date]=$A$4)*(CkDJ[Ofc Code]=(TRIM(Q$7)))*(CkDJ[Account Code]=(TRIM($D62))),CkDJ[Debit])))+(SUM(IF((CsDJ[Date]=$A$4)*(CsDJ[Ofc Code]=(TRIM(Q$7)))*(CsDJ[Account Code]=(TRIM($D62))),CsDJ[Debit])))+(SUM(IF((CRDJ[Date]=$A$4)*(CRDJ[Ofc Code]=(TRIM(Q$7)))*(CRDJ[Account Code]=(TRIM($D62))),CRDJ[Debit])))+(SUM(IF((GJ[Date]=$A$4)*(GJ[Ofc Code]=(TRIM(Q$7)))*(GJ[Account Code]=(TRIM($D62))),GJ[Debit])))-(SUM(IF((CkDJ[Date]=$A$4)*(CkDJ[Ofc Code]=(TRIM(Q$7)))*(CkDJ[Account Code]=(TRIM($D62))),CkDJ[Credit])))+(SUM(IF((CsDJ[Date]=$A$4)*(CsDJ[Ofc Code]=(TRIM(Q$7)))*(CsDJ[Account Code]=(TRIM($D62))),CsDJ[Credit])))+(SUM(IF((CRDJ[Date]=$A$4)*(CRDJ[Ofc Code]=(TRIM(Q$7)))*(CRDJ[Account Code]=(TRIM($D62))),CRDJ[Credit])))+(SUM(IF((GJ[Date]=$A$4)*(GJ[Ofc Code]=(TRIM(Q$7)))*(GJ[Account Code]=(TRIM($D62))),GJ[Credit])))</f>
        <v>0</v>
      </c>
      <c r="R62" s="211">
        <f t="array" ref="R62">(SUM(IF((CkDJ[Date]=$A$4)*(CkDJ[Ofc Code]=(TRIM(R$7)))*(CkDJ[Account Code]=(TRIM($D62))),CkDJ[Debit])))+(SUM(IF((CsDJ[Date]=$A$4)*(CsDJ[Ofc Code]=(TRIM(R$7)))*(CsDJ[Account Code]=(TRIM($D62))),CsDJ[Debit])))+(SUM(IF((CRDJ[Date]=$A$4)*(CRDJ[Ofc Code]=(TRIM(R$7)))*(CRDJ[Account Code]=(TRIM($D62))),CRDJ[Debit])))+(SUM(IF((GJ[Date]=$A$4)*(GJ[Ofc Code]=(TRIM(R$7)))*(GJ[Account Code]=(TRIM($D62))),GJ[Debit])))-(SUM(IF((CkDJ[Date]=$A$4)*(CkDJ[Ofc Code]=(TRIM(R$7)))*(CkDJ[Account Code]=(TRIM($D62))),CkDJ[Credit])))+(SUM(IF((CsDJ[Date]=$A$4)*(CsDJ[Ofc Code]=(TRIM(R$7)))*(CsDJ[Account Code]=(TRIM($D62))),CsDJ[Credit])))+(SUM(IF((CRDJ[Date]=$A$4)*(CRDJ[Ofc Code]=(TRIM(R$7)))*(CRDJ[Account Code]=(TRIM($D62))),CRDJ[Credit])))+(SUM(IF((GJ[Date]=$A$4)*(GJ[Ofc Code]=(TRIM(R$7)))*(GJ[Account Code]=(TRIM($D62))),GJ[Credit])))</f>
        <v>0</v>
      </c>
      <c r="S62" s="211">
        <f t="array" ref="S62">(SUM(IF((CkDJ[Date]=$A$4)*(CkDJ[Ofc Code]=(TRIM(S$7)))*(CkDJ[Account Code]=(TRIM($D62))),CkDJ[Debit])))+(SUM(IF((CsDJ[Date]=$A$4)*(CsDJ[Ofc Code]=(TRIM(S$7)))*(CsDJ[Account Code]=(TRIM($D62))),CsDJ[Debit])))+(SUM(IF((CRDJ[Date]=$A$4)*(CRDJ[Ofc Code]=(TRIM(S$7)))*(CRDJ[Account Code]=(TRIM($D62))),CRDJ[Debit])))+(SUM(IF((GJ[Date]=$A$4)*(GJ[Ofc Code]=(TRIM(S$7)))*(GJ[Account Code]=(TRIM($D62))),GJ[Debit])))-(SUM(IF((CkDJ[Date]=$A$4)*(CkDJ[Ofc Code]=(TRIM(S$7)))*(CkDJ[Account Code]=(TRIM($D62))),CkDJ[Credit])))+(SUM(IF((CsDJ[Date]=$A$4)*(CsDJ[Ofc Code]=(TRIM(S$7)))*(CsDJ[Account Code]=(TRIM($D62))),CsDJ[Credit])))+(SUM(IF((CRDJ[Date]=$A$4)*(CRDJ[Ofc Code]=(TRIM(S$7)))*(CRDJ[Account Code]=(TRIM($D62))),CRDJ[Credit])))+(SUM(IF((GJ[Date]=$A$4)*(GJ[Ofc Code]=(TRIM(S$7)))*(GJ[Account Code]=(TRIM($D62))),GJ[Credit])))</f>
        <v>0</v>
      </c>
      <c r="T62" s="211">
        <f t="shared" si="17"/>
        <v>0</v>
      </c>
      <c r="U62" s="211">
        <f t="shared" si="18"/>
        <v>0</v>
      </c>
    </row>
    <row r="63" spans="1:21" ht="15">
      <c r="A63" s="212">
        <f t="shared" si="19"/>
        <v>5</v>
      </c>
      <c r="B63" s="214" t="s">
        <v>756</v>
      </c>
      <c r="C63" s="194" t="str">
        <f t="shared" si="14"/>
        <v>Fuel, Oil and Lubricants Expenses</v>
      </c>
      <c r="D63" s="207">
        <v>761</v>
      </c>
      <c r="E63" s="211">
        <f t="array" ref="E63">(SUM(IF((CkDJ[Date]=$A$4)*(CkDJ[Ofc Code]=(TRIM(E$7)))*(CkDJ[Account Code]=(TRIM($D63))),CkDJ[Debit])))+(SUM(IF((CsDJ[Date]=$A$4)*(CsDJ[Ofc Code]=(TRIM(E$7)))*(CsDJ[Account Code]=(TRIM($D63))),CsDJ[Debit])))+(SUM(IF((CRDJ[Date]=$A$4)*(CRDJ[Ofc Code]=(TRIM(E$7)))*(CRDJ[Account Code]=(TRIM($D63))),CRDJ[Debit])))+(SUM(IF((GJ[Date]=$A$4)*(GJ[Ofc Code]=(TRIM(E$7)))*(GJ[Account Code]=(TRIM($D63))),GJ[Debit])))-(SUM(IF((CkDJ[Date]=$A$4)*(CkDJ[Ofc Code]=(TRIM(E$7)))*(CkDJ[Account Code]=(TRIM($D63))),CkDJ[Credit])))+(SUM(IF((CsDJ[Date]=$A$4)*(CsDJ[Ofc Code]=(TRIM(E$7)))*(CsDJ[Account Code]=(TRIM($D63))),CsDJ[Credit])))+(SUM(IF((CRDJ[Date]=$A$4)*(CRDJ[Ofc Code]=(TRIM(E$7)))*(CRDJ[Account Code]=(TRIM($D63))),CRDJ[Credit])))+(SUM(IF((GJ[Date]=$A$4)*(GJ[Ofc Code]=(TRIM(E$7)))*(GJ[Account Code]=(TRIM($D63))),GJ[Credit])))</f>
        <v>0</v>
      </c>
      <c r="F63" s="211">
        <f t="array" ref="F63">(SUM(IF((CkDJ[Date]=$A$4)*(CkDJ[Ofc Code]=(TRIM(F$7)))*(CkDJ[Account Code]=(TRIM($D63))),CkDJ[Debit])))+(SUM(IF((CsDJ[Date]=$A$4)*(CsDJ[Ofc Code]=(TRIM(F$7)))*(CsDJ[Account Code]=(TRIM($D63))),CsDJ[Debit])))+(SUM(IF((CRDJ[Date]=$A$4)*(CRDJ[Ofc Code]=(TRIM(F$7)))*(CRDJ[Account Code]=(TRIM($D63))),CRDJ[Debit])))+(SUM(IF((GJ[Date]=$A$4)*(GJ[Ofc Code]=(TRIM(F$7)))*(GJ[Account Code]=(TRIM($D63))),GJ[Debit])))-(SUM(IF((CkDJ[Date]=$A$4)*(CkDJ[Ofc Code]=(TRIM(F$7)))*(CkDJ[Account Code]=(TRIM($D63))),CkDJ[Credit])))+(SUM(IF((CsDJ[Date]=$A$4)*(CsDJ[Ofc Code]=(TRIM(F$7)))*(CsDJ[Account Code]=(TRIM($D63))),CsDJ[Credit])))+(SUM(IF((CRDJ[Date]=$A$4)*(CRDJ[Ofc Code]=(TRIM(F$7)))*(CRDJ[Account Code]=(TRIM($D63))),CRDJ[Credit])))+(SUM(IF((GJ[Date]=$A$4)*(GJ[Ofc Code]=(TRIM(F$7)))*(GJ[Account Code]=(TRIM($D63))),GJ[Credit])))</f>
        <v>0</v>
      </c>
      <c r="G63" s="211">
        <f t="array" ref="G63">(SUM(IF((CkDJ[Date]=$A$4)*(CkDJ[Ofc Code]=(TRIM(G$7)))*(CkDJ[Account Code]=(TRIM($D63))),CkDJ[Debit])))+(SUM(IF((CsDJ[Date]=$A$4)*(CsDJ[Ofc Code]=(TRIM(G$7)))*(CsDJ[Account Code]=(TRIM($D63))),CsDJ[Debit])))+(SUM(IF((CRDJ[Date]=$A$4)*(CRDJ[Ofc Code]=(TRIM(G$7)))*(CRDJ[Account Code]=(TRIM($D63))),CRDJ[Debit])))+(SUM(IF((GJ[Date]=$A$4)*(GJ[Ofc Code]=(TRIM(G$7)))*(GJ[Account Code]=(TRIM($D63))),GJ[Debit])))-(SUM(IF((CkDJ[Date]=$A$4)*(CkDJ[Ofc Code]=(TRIM(G$7)))*(CkDJ[Account Code]=(TRIM($D63))),CkDJ[Credit])))+(SUM(IF((CsDJ[Date]=$A$4)*(CsDJ[Ofc Code]=(TRIM(G$7)))*(CsDJ[Account Code]=(TRIM($D63))),CsDJ[Credit])))+(SUM(IF((CRDJ[Date]=$A$4)*(CRDJ[Ofc Code]=(TRIM(G$7)))*(CRDJ[Account Code]=(TRIM($D63))),CRDJ[Credit])))+(SUM(IF((GJ[Date]=$A$4)*(GJ[Ofc Code]=(TRIM(G$7)))*(GJ[Account Code]=(TRIM($D63))),GJ[Credit])))</f>
        <v>0</v>
      </c>
      <c r="H63" s="211">
        <f t="array" ref="H63">(SUM(IF((CkDJ[Date]=$A$4)*(CkDJ[Ofc Code]=(TRIM(H$7)))*(CkDJ[Account Code]=(TRIM($D63))),CkDJ[Debit])))+(SUM(IF((CsDJ[Date]=$A$4)*(CsDJ[Ofc Code]=(TRIM(H$7)))*(CsDJ[Account Code]=(TRIM($D63))),CsDJ[Debit])))+(SUM(IF((CRDJ[Date]=$A$4)*(CRDJ[Ofc Code]=(TRIM(H$7)))*(CRDJ[Account Code]=(TRIM($D63))),CRDJ[Debit])))+(SUM(IF((GJ[Date]=$A$4)*(GJ[Ofc Code]=(TRIM(H$7)))*(GJ[Account Code]=(TRIM($D63))),GJ[Debit])))-(SUM(IF((CkDJ[Date]=$A$4)*(CkDJ[Ofc Code]=(TRIM(H$7)))*(CkDJ[Account Code]=(TRIM($D63))),CkDJ[Credit])))+(SUM(IF((CsDJ[Date]=$A$4)*(CsDJ[Ofc Code]=(TRIM(H$7)))*(CsDJ[Account Code]=(TRIM($D63))),CsDJ[Credit])))+(SUM(IF((CRDJ[Date]=$A$4)*(CRDJ[Ofc Code]=(TRIM(H$7)))*(CRDJ[Account Code]=(TRIM($D63))),CRDJ[Credit])))+(SUM(IF((GJ[Date]=$A$4)*(GJ[Ofc Code]=(TRIM(H$7)))*(GJ[Account Code]=(TRIM($D63))),GJ[Credit])))</f>
        <v>0</v>
      </c>
      <c r="I63" s="211">
        <f t="shared" si="15"/>
        <v>0</v>
      </c>
      <c r="J63" s="211">
        <f t="array" ref="J63">(SUM(IF((CkDJ[Date]=$A$4)*(CkDJ[Ofc Code]=(TRIM(J$7)))*(CkDJ[Account Code]=(TRIM($D63))),CkDJ[Debit])))+(SUM(IF((CsDJ[Date]=$A$4)*(CsDJ[Ofc Code]=(TRIM(J$7)))*(CsDJ[Account Code]=(TRIM($D63))),CsDJ[Debit])))+(SUM(IF((CRDJ[Date]=$A$4)*(CRDJ[Ofc Code]=(TRIM(J$7)))*(CRDJ[Account Code]=(TRIM($D63))),CRDJ[Debit])))+(SUM(IF((GJ[Date]=$A$4)*(GJ[Ofc Code]=(TRIM(J$7)))*(GJ[Account Code]=(TRIM($D63))),GJ[Debit])))-(SUM(IF((CkDJ[Date]=$A$4)*(CkDJ[Ofc Code]=(TRIM(J$7)))*(CkDJ[Account Code]=(TRIM($D63))),CkDJ[Credit])))+(SUM(IF((CsDJ[Date]=$A$4)*(CsDJ[Ofc Code]=(TRIM(J$7)))*(CsDJ[Account Code]=(TRIM($D63))),CsDJ[Credit])))+(SUM(IF((CRDJ[Date]=$A$4)*(CRDJ[Ofc Code]=(TRIM(J$7)))*(CRDJ[Account Code]=(TRIM($D63))),CRDJ[Credit])))+(SUM(IF((GJ[Date]=$A$4)*(GJ[Ofc Code]=(TRIM(J$7)))*(GJ[Account Code]=(TRIM($D63))),GJ[Credit])))</f>
        <v>0</v>
      </c>
      <c r="K63" s="211">
        <f t="array" ref="K63">(SUM(IF((CkDJ[Date]=$A$4)*(CkDJ[Ofc Code]=(TRIM(K$7)))*(CkDJ[Account Code]=(TRIM($D63))),CkDJ[Debit])))+(SUM(IF((CsDJ[Date]=$A$4)*(CsDJ[Ofc Code]=(TRIM(K$7)))*(CsDJ[Account Code]=(TRIM($D63))),CsDJ[Debit])))+(SUM(IF((CRDJ[Date]=$A$4)*(CRDJ[Ofc Code]=(TRIM(K$7)))*(CRDJ[Account Code]=(TRIM($D63))),CRDJ[Debit])))+(SUM(IF((GJ[Date]=$A$4)*(GJ[Ofc Code]=(TRIM(K$7)))*(GJ[Account Code]=(TRIM($D63))),GJ[Debit])))-(SUM(IF((CkDJ[Date]=$A$4)*(CkDJ[Ofc Code]=(TRIM(K$7)))*(CkDJ[Account Code]=(TRIM($D63))),CkDJ[Credit])))+(SUM(IF((CsDJ[Date]=$A$4)*(CsDJ[Ofc Code]=(TRIM(K$7)))*(CsDJ[Account Code]=(TRIM($D63))),CsDJ[Credit])))+(SUM(IF((CRDJ[Date]=$A$4)*(CRDJ[Ofc Code]=(TRIM(K$7)))*(CRDJ[Account Code]=(TRIM($D63))),CRDJ[Credit])))+(SUM(IF((GJ[Date]=$A$4)*(GJ[Ofc Code]=(TRIM(K$7)))*(GJ[Account Code]=(TRIM($D63))),GJ[Credit])))</f>
        <v>0</v>
      </c>
      <c r="L63" s="211">
        <f t="array" ref="L63">(SUM(IF((CkDJ[Date]=$A$4)*(CkDJ[Ofc Code]=(TRIM(L$7)))*(CkDJ[Account Code]=(TRIM($D63))),CkDJ[Debit])))+(SUM(IF((CsDJ[Date]=$A$4)*(CsDJ[Ofc Code]=(TRIM(L$7)))*(CsDJ[Account Code]=(TRIM($D63))),CsDJ[Debit])))+(SUM(IF((CRDJ[Date]=$A$4)*(CRDJ[Ofc Code]=(TRIM(L$7)))*(CRDJ[Account Code]=(TRIM($D63))),CRDJ[Debit])))+(SUM(IF((GJ[Date]=$A$4)*(GJ[Ofc Code]=(TRIM(L$7)))*(GJ[Account Code]=(TRIM($D63))),GJ[Debit])))-(SUM(IF((CkDJ[Date]=$A$4)*(CkDJ[Ofc Code]=(TRIM(L$7)))*(CkDJ[Account Code]=(TRIM($D63))),CkDJ[Credit])))+(SUM(IF((CsDJ[Date]=$A$4)*(CsDJ[Ofc Code]=(TRIM(L$7)))*(CsDJ[Account Code]=(TRIM($D63))),CsDJ[Credit])))+(SUM(IF((CRDJ[Date]=$A$4)*(CRDJ[Ofc Code]=(TRIM(L$7)))*(CRDJ[Account Code]=(TRIM($D63))),CRDJ[Credit])))+(SUM(IF((GJ[Date]=$A$4)*(GJ[Ofc Code]=(TRIM(L$7)))*(GJ[Account Code]=(TRIM($D63))),GJ[Credit])))</f>
        <v>0</v>
      </c>
      <c r="M63" s="211">
        <f t="array" ref="M63">(SUM(IF((CkDJ[Date]=$A$4)*(CkDJ[Ofc Code]=(TRIM(M$7)))*(CkDJ[Account Code]=(TRIM($D63))),CkDJ[Debit])))+(SUM(IF((CsDJ[Date]=$A$4)*(CsDJ[Ofc Code]=(TRIM(M$7)))*(CsDJ[Account Code]=(TRIM($D63))),CsDJ[Debit])))+(SUM(IF((CRDJ[Date]=$A$4)*(CRDJ[Ofc Code]=(TRIM(M$7)))*(CRDJ[Account Code]=(TRIM($D63))),CRDJ[Debit])))+(SUM(IF((GJ[Date]=$A$4)*(GJ[Ofc Code]=(TRIM(M$7)))*(GJ[Account Code]=(TRIM($D63))),GJ[Debit])))-(SUM(IF((CkDJ[Date]=$A$4)*(CkDJ[Ofc Code]=(TRIM(M$7)))*(CkDJ[Account Code]=(TRIM($D63))),CkDJ[Credit])))+(SUM(IF((CsDJ[Date]=$A$4)*(CsDJ[Ofc Code]=(TRIM(M$7)))*(CsDJ[Account Code]=(TRIM($D63))),CsDJ[Credit])))+(SUM(IF((CRDJ[Date]=$A$4)*(CRDJ[Ofc Code]=(TRIM(M$7)))*(CRDJ[Account Code]=(TRIM($D63))),CRDJ[Credit])))+(SUM(IF((GJ[Date]=$A$4)*(GJ[Ofc Code]=(TRIM(M$7)))*(GJ[Account Code]=(TRIM($D63))),GJ[Credit])))</f>
        <v>0</v>
      </c>
      <c r="N63" s="211">
        <f t="shared" si="16"/>
        <v>0</v>
      </c>
      <c r="O63" s="211">
        <f t="array" ref="O63">(SUM(IF((CkDJ[Date]=$A$4)*(CkDJ[Ofc Code]=(TRIM(O$7)))*(CkDJ[Account Code]=(TRIM($D63))),CkDJ[Debit])))+(SUM(IF((CsDJ[Date]=$A$4)*(CsDJ[Ofc Code]=(TRIM(O$7)))*(CsDJ[Account Code]=(TRIM($D63))),CsDJ[Debit])))+(SUM(IF((CRDJ[Date]=$A$4)*(CRDJ[Ofc Code]=(TRIM(O$7)))*(CRDJ[Account Code]=(TRIM($D63))),CRDJ[Debit])))+(SUM(IF((GJ[Date]=$A$4)*(GJ[Ofc Code]=(TRIM(O$7)))*(GJ[Account Code]=(TRIM($D63))),GJ[Debit])))-(SUM(IF((CkDJ[Date]=$A$4)*(CkDJ[Ofc Code]=(TRIM(O$7)))*(CkDJ[Account Code]=(TRIM($D63))),CkDJ[Credit])))+(SUM(IF((CsDJ[Date]=$A$4)*(CsDJ[Ofc Code]=(TRIM(O$7)))*(CsDJ[Account Code]=(TRIM($D63))),CsDJ[Credit])))+(SUM(IF((CRDJ[Date]=$A$4)*(CRDJ[Ofc Code]=(TRIM(O$7)))*(CRDJ[Account Code]=(TRIM($D63))),CRDJ[Credit])))+(SUM(IF((GJ[Date]=$A$4)*(GJ[Ofc Code]=(TRIM(O$7)))*(GJ[Account Code]=(TRIM($D63))),GJ[Credit])))</f>
        <v>0</v>
      </c>
      <c r="P63" s="211">
        <f t="array" ref="P63">(SUM(IF((CkDJ[Date]=$A$4)*(CkDJ[Ofc Code]=(TRIM(P$7)))*(CkDJ[Account Code]=(TRIM($D63))),CkDJ[Debit])))+(SUM(IF((CsDJ[Date]=$A$4)*(CsDJ[Ofc Code]=(TRIM(P$7)))*(CsDJ[Account Code]=(TRIM($D63))),CsDJ[Debit])))+(SUM(IF((CRDJ[Date]=$A$4)*(CRDJ[Ofc Code]=(TRIM(P$7)))*(CRDJ[Account Code]=(TRIM($D63))),CRDJ[Debit])))+(SUM(IF((GJ[Date]=$A$4)*(GJ[Ofc Code]=(TRIM(P$7)))*(GJ[Account Code]=(TRIM($D63))),GJ[Debit])))-(SUM(IF((CkDJ[Date]=$A$4)*(CkDJ[Ofc Code]=(TRIM(P$7)))*(CkDJ[Account Code]=(TRIM($D63))),CkDJ[Credit])))+(SUM(IF((CsDJ[Date]=$A$4)*(CsDJ[Ofc Code]=(TRIM(P$7)))*(CsDJ[Account Code]=(TRIM($D63))),CsDJ[Credit])))+(SUM(IF((CRDJ[Date]=$A$4)*(CRDJ[Ofc Code]=(TRIM(P$7)))*(CRDJ[Account Code]=(TRIM($D63))),CRDJ[Credit])))+(SUM(IF((GJ[Date]=$A$4)*(GJ[Ofc Code]=(TRIM(P$7)))*(GJ[Account Code]=(TRIM($D63))),GJ[Credit])))</f>
        <v>0</v>
      </c>
      <c r="Q63" s="211">
        <f t="array" ref="Q63">(SUM(IF((CkDJ[Date]=$A$4)*(CkDJ[Ofc Code]=(TRIM(Q$7)))*(CkDJ[Account Code]=(TRIM($D63))),CkDJ[Debit])))+(SUM(IF((CsDJ[Date]=$A$4)*(CsDJ[Ofc Code]=(TRIM(Q$7)))*(CsDJ[Account Code]=(TRIM($D63))),CsDJ[Debit])))+(SUM(IF((CRDJ[Date]=$A$4)*(CRDJ[Ofc Code]=(TRIM(Q$7)))*(CRDJ[Account Code]=(TRIM($D63))),CRDJ[Debit])))+(SUM(IF((GJ[Date]=$A$4)*(GJ[Ofc Code]=(TRIM(Q$7)))*(GJ[Account Code]=(TRIM($D63))),GJ[Debit])))-(SUM(IF((CkDJ[Date]=$A$4)*(CkDJ[Ofc Code]=(TRIM(Q$7)))*(CkDJ[Account Code]=(TRIM($D63))),CkDJ[Credit])))+(SUM(IF((CsDJ[Date]=$A$4)*(CsDJ[Ofc Code]=(TRIM(Q$7)))*(CsDJ[Account Code]=(TRIM($D63))),CsDJ[Credit])))+(SUM(IF((CRDJ[Date]=$A$4)*(CRDJ[Ofc Code]=(TRIM(Q$7)))*(CRDJ[Account Code]=(TRIM($D63))),CRDJ[Credit])))+(SUM(IF((GJ[Date]=$A$4)*(GJ[Ofc Code]=(TRIM(Q$7)))*(GJ[Account Code]=(TRIM($D63))),GJ[Credit])))</f>
        <v>0</v>
      </c>
      <c r="R63" s="211">
        <f t="array" ref="R63">(SUM(IF((CkDJ[Date]=$A$4)*(CkDJ[Ofc Code]=(TRIM(R$7)))*(CkDJ[Account Code]=(TRIM($D63))),CkDJ[Debit])))+(SUM(IF((CsDJ[Date]=$A$4)*(CsDJ[Ofc Code]=(TRIM(R$7)))*(CsDJ[Account Code]=(TRIM($D63))),CsDJ[Debit])))+(SUM(IF((CRDJ[Date]=$A$4)*(CRDJ[Ofc Code]=(TRIM(R$7)))*(CRDJ[Account Code]=(TRIM($D63))),CRDJ[Debit])))+(SUM(IF((GJ[Date]=$A$4)*(GJ[Ofc Code]=(TRIM(R$7)))*(GJ[Account Code]=(TRIM($D63))),GJ[Debit])))-(SUM(IF((CkDJ[Date]=$A$4)*(CkDJ[Ofc Code]=(TRIM(R$7)))*(CkDJ[Account Code]=(TRIM($D63))),CkDJ[Credit])))+(SUM(IF((CsDJ[Date]=$A$4)*(CsDJ[Ofc Code]=(TRIM(R$7)))*(CsDJ[Account Code]=(TRIM($D63))),CsDJ[Credit])))+(SUM(IF((CRDJ[Date]=$A$4)*(CRDJ[Ofc Code]=(TRIM(R$7)))*(CRDJ[Account Code]=(TRIM($D63))),CRDJ[Credit])))+(SUM(IF((GJ[Date]=$A$4)*(GJ[Ofc Code]=(TRIM(R$7)))*(GJ[Account Code]=(TRIM($D63))),GJ[Credit])))</f>
        <v>0</v>
      </c>
      <c r="S63" s="211">
        <f t="array" ref="S63">(SUM(IF((CkDJ[Date]=$A$4)*(CkDJ[Ofc Code]=(TRIM(S$7)))*(CkDJ[Account Code]=(TRIM($D63))),CkDJ[Debit])))+(SUM(IF((CsDJ[Date]=$A$4)*(CsDJ[Ofc Code]=(TRIM(S$7)))*(CsDJ[Account Code]=(TRIM($D63))),CsDJ[Debit])))+(SUM(IF((CRDJ[Date]=$A$4)*(CRDJ[Ofc Code]=(TRIM(S$7)))*(CRDJ[Account Code]=(TRIM($D63))),CRDJ[Debit])))+(SUM(IF((GJ[Date]=$A$4)*(GJ[Ofc Code]=(TRIM(S$7)))*(GJ[Account Code]=(TRIM($D63))),GJ[Debit])))-(SUM(IF((CkDJ[Date]=$A$4)*(CkDJ[Ofc Code]=(TRIM(S$7)))*(CkDJ[Account Code]=(TRIM($D63))),CkDJ[Credit])))+(SUM(IF((CsDJ[Date]=$A$4)*(CsDJ[Ofc Code]=(TRIM(S$7)))*(CsDJ[Account Code]=(TRIM($D63))),CsDJ[Credit])))+(SUM(IF((CRDJ[Date]=$A$4)*(CRDJ[Ofc Code]=(TRIM(S$7)))*(CRDJ[Account Code]=(TRIM($D63))),CRDJ[Credit])))+(SUM(IF((GJ[Date]=$A$4)*(GJ[Ofc Code]=(TRIM(S$7)))*(GJ[Account Code]=(TRIM($D63))),GJ[Credit])))</f>
        <v>0</v>
      </c>
      <c r="T63" s="211">
        <f t="shared" si="17"/>
        <v>0</v>
      </c>
      <c r="U63" s="211">
        <f t="shared" si="18"/>
        <v>0</v>
      </c>
    </row>
    <row r="64" spans="1:21" ht="15">
      <c r="A64" s="212">
        <f t="shared" si="19"/>
        <v>6</v>
      </c>
      <c r="B64" s="214" t="s">
        <v>756</v>
      </c>
      <c r="C64" s="194" t="str">
        <f t="shared" si="14"/>
        <v>Textbooks and Instructional Materials Expenses</v>
      </c>
      <c r="D64" s="207">
        <v>763</v>
      </c>
      <c r="E64" s="211">
        <f t="array" ref="E64">(SUM(IF((CkDJ[Date]=$A$4)*(CkDJ[Ofc Code]=(TRIM(E$7)))*(CkDJ[Account Code]=(TRIM($D64))),CkDJ[Debit])))+(SUM(IF((CsDJ[Date]=$A$4)*(CsDJ[Ofc Code]=(TRIM(E$7)))*(CsDJ[Account Code]=(TRIM($D64))),CsDJ[Debit])))+(SUM(IF((CRDJ[Date]=$A$4)*(CRDJ[Ofc Code]=(TRIM(E$7)))*(CRDJ[Account Code]=(TRIM($D64))),CRDJ[Debit])))+(SUM(IF((GJ[Date]=$A$4)*(GJ[Ofc Code]=(TRIM(E$7)))*(GJ[Account Code]=(TRIM($D64))),GJ[Debit])))-(SUM(IF((CkDJ[Date]=$A$4)*(CkDJ[Ofc Code]=(TRIM(E$7)))*(CkDJ[Account Code]=(TRIM($D64))),CkDJ[Credit])))+(SUM(IF((CsDJ[Date]=$A$4)*(CsDJ[Ofc Code]=(TRIM(E$7)))*(CsDJ[Account Code]=(TRIM($D64))),CsDJ[Credit])))+(SUM(IF((CRDJ[Date]=$A$4)*(CRDJ[Ofc Code]=(TRIM(E$7)))*(CRDJ[Account Code]=(TRIM($D64))),CRDJ[Credit])))+(SUM(IF((GJ[Date]=$A$4)*(GJ[Ofc Code]=(TRIM(E$7)))*(GJ[Account Code]=(TRIM($D64))),GJ[Credit])))</f>
        <v>0</v>
      </c>
      <c r="F64" s="211">
        <f t="array" ref="F64">(SUM(IF((CkDJ[Date]=$A$4)*(CkDJ[Ofc Code]=(TRIM(F$7)))*(CkDJ[Account Code]=(TRIM($D64))),CkDJ[Debit])))+(SUM(IF((CsDJ[Date]=$A$4)*(CsDJ[Ofc Code]=(TRIM(F$7)))*(CsDJ[Account Code]=(TRIM($D64))),CsDJ[Debit])))+(SUM(IF((CRDJ[Date]=$A$4)*(CRDJ[Ofc Code]=(TRIM(F$7)))*(CRDJ[Account Code]=(TRIM($D64))),CRDJ[Debit])))+(SUM(IF((GJ[Date]=$A$4)*(GJ[Ofc Code]=(TRIM(F$7)))*(GJ[Account Code]=(TRIM($D64))),GJ[Debit])))-(SUM(IF((CkDJ[Date]=$A$4)*(CkDJ[Ofc Code]=(TRIM(F$7)))*(CkDJ[Account Code]=(TRIM($D64))),CkDJ[Credit])))+(SUM(IF((CsDJ[Date]=$A$4)*(CsDJ[Ofc Code]=(TRIM(F$7)))*(CsDJ[Account Code]=(TRIM($D64))),CsDJ[Credit])))+(SUM(IF((CRDJ[Date]=$A$4)*(CRDJ[Ofc Code]=(TRIM(F$7)))*(CRDJ[Account Code]=(TRIM($D64))),CRDJ[Credit])))+(SUM(IF((GJ[Date]=$A$4)*(GJ[Ofc Code]=(TRIM(F$7)))*(GJ[Account Code]=(TRIM($D64))),GJ[Credit])))</f>
        <v>0</v>
      </c>
      <c r="G64" s="211">
        <f t="array" ref="G64">(SUM(IF((CkDJ[Date]=$A$4)*(CkDJ[Ofc Code]=(TRIM(G$7)))*(CkDJ[Account Code]=(TRIM($D64))),CkDJ[Debit])))+(SUM(IF((CsDJ[Date]=$A$4)*(CsDJ[Ofc Code]=(TRIM(G$7)))*(CsDJ[Account Code]=(TRIM($D64))),CsDJ[Debit])))+(SUM(IF((CRDJ[Date]=$A$4)*(CRDJ[Ofc Code]=(TRIM(G$7)))*(CRDJ[Account Code]=(TRIM($D64))),CRDJ[Debit])))+(SUM(IF((GJ[Date]=$A$4)*(GJ[Ofc Code]=(TRIM(G$7)))*(GJ[Account Code]=(TRIM($D64))),GJ[Debit])))-(SUM(IF((CkDJ[Date]=$A$4)*(CkDJ[Ofc Code]=(TRIM(G$7)))*(CkDJ[Account Code]=(TRIM($D64))),CkDJ[Credit])))+(SUM(IF((CsDJ[Date]=$A$4)*(CsDJ[Ofc Code]=(TRIM(G$7)))*(CsDJ[Account Code]=(TRIM($D64))),CsDJ[Credit])))+(SUM(IF((CRDJ[Date]=$A$4)*(CRDJ[Ofc Code]=(TRIM(G$7)))*(CRDJ[Account Code]=(TRIM($D64))),CRDJ[Credit])))+(SUM(IF((GJ[Date]=$A$4)*(GJ[Ofc Code]=(TRIM(G$7)))*(GJ[Account Code]=(TRIM($D64))),GJ[Credit])))</f>
        <v>0</v>
      </c>
      <c r="H64" s="211">
        <f t="array" ref="H64">(SUM(IF((CkDJ[Date]=$A$4)*(CkDJ[Ofc Code]=(TRIM(H$7)))*(CkDJ[Account Code]=(TRIM($D64))),CkDJ[Debit])))+(SUM(IF((CsDJ[Date]=$A$4)*(CsDJ[Ofc Code]=(TRIM(H$7)))*(CsDJ[Account Code]=(TRIM($D64))),CsDJ[Debit])))+(SUM(IF((CRDJ[Date]=$A$4)*(CRDJ[Ofc Code]=(TRIM(H$7)))*(CRDJ[Account Code]=(TRIM($D64))),CRDJ[Debit])))+(SUM(IF((GJ[Date]=$A$4)*(GJ[Ofc Code]=(TRIM(H$7)))*(GJ[Account Code]=(TRIM($D64))),GJ[Debit])))-(SUM(IF((CkDJ[Date]=$A$4)*(CkDJ[Ofc Code]=(TRIM(H$7)))*(CkDJ[Account Code]=(TRIM($D64))),CkDJ[Credit])))+(SUM(IF((CsDJ[Date]=$A$4)*(CsDJ[Ofc Code]=(TRIM(H$7)))*(CsDJ[Account Code]=(TRIM($D64))),CsDJ[Credit])))+(SUM(IF((CRDJ[Date]=$A$4)*(CRDJ[Ofc Code]=(TRIM(H$7)))*(CRDJ[Account Code]=(TRIM($D64))),CRDJ[Credit])))+(SUM(IF((GJ[Date]=$A$4)*(GJ[Ofc Code]=(TRIM(H$7)))*(GJ[Account Code]=(TRIM($D64))),GJ[Credit])))</f>
        <v>0</v>
      </c>
      <c r="I64" s="211">
        <f t="shared" si="15"/>
        <v>0</v>
      </c>
      <c r="J64" s="211">
        <f t="array" ref="J64">(SUM(IF((CkDJ[Date]=$A$4)*(CkDJ[Ofc Code]=(TRIM(J$7)))*(CkDJ[Account Code]=(TRIM($D64))),CkDJ[Debit])))+(SUM(IF((CsDJ[Date]=$A$4)*(CsDJ[Ofc Code]=(TRIM(J$7)))*(CsDJ[Account Code]=(TRIM($D64))),CsDJ[Debit])))+(SUM(IF((CRDJ[Date]=$A$4)*(CRDJ[Ofc Code]=(TRIM(J$7)))*(CRDJ[Account Code]=(TRIM($D64))),CRDJ[Debit])))+(SUM(IF((GJ[Date]=$A$4)*(GJ[Ofc Code]=(TRIM(J$7)))*(GJ[Account Code]=(TRIM($D64))),GJ[Debit])))-(SUM(IF((CkDJ[Date]=$A$4)*(CkDJ[Ofc Code]=(TRIM(J$7)))*(CkDJ[Account Code]=(TRIM($D64))),CkDJ[Credit])))+(SUM(IF((CsDJ[Date]=$A$4)*(CsDJ[Ofc Code]=(TRIM(J$7)))*(CsDJ[Account Code]=(TRIM($D64))),CsDJ[Credit])))+(SUM(IF((CRDJ[Date]=$A$4)*(CRDJ[Ofc Code]=(TRIM(J$7)))*(CRDJ[Account Code]=(TRIM($D64))),CRDJ[Credit])))+(SUM(IF((GJ[Date]=$A$4)*(GJ[Ofc Code]=(TRIM(J$7)))*(GJ[Account Code]=(TRIM($D64))),GJ[Credit])))</f>
        <v>0</v>
      </c>
      <c r="K64" s="211">
        <f t="array" ref="K64">(SUM(IF((CkDJ[Date]=$A$4)*(CkDJ[Ofc Code]=(TRIM(K$7)))*(CkDJ[Account Code]=(TRIM($D64))),CkDJ[Debit])))+(SUM(IF((CsDJ[Date]=$A$4)*(CsDJ[Ofc Code]=(TRIM(K$7)))*(CsDJ[Account Code]=(TRIM($D64))),CsDJ[Debit])))+(SUM(IF((CRDJ[Date]=$A$4)*(CRDJ[Ofc Code]=(TRIM(K$7)))*(CRDJ[Account Code]=(TRIM($D64))),CRDJ[Debit])))+(SUM(IF((GJ[Date]=$A$4)*(GJ[Ofc Code]=(TRIM(K$7)))*(GJ[Account Code]=(TRIM($D64))),GJ[Debit])))-(SUM(IF((CkDJ[Date]=$A$4)*(CkDJ[Ofc Code]=(TRIM(K$7)))*(CkDJ[Account Code]=(TRIM($D64))),CkDJ[Credit])))+(SUM(IF((CsDJ[Date]=$A$4)*(CsDJ[Ofc Code]=(TRIM(K$7)))*(CsDJ[Account Code]=(TRIM($D64))),CsDJ[Credit])))+(SUM(IF((CRDJ[Date]=$A$4)*(CRDJ[Ofc Code]=(TRIM(K$7)))*(CRDJ[Account Code]=(TRIM($D64))),CRDJ[Credit])))+(SUM(IF((GJ[Date]=$A$4)*(GJ[Ofc Code]=(TRIM(K$7)))*(GJ[Account Code]=(TRIM($D64))),GJ[Credit])))</f>
        <v>0</v>
      </c>
      <c r="L64" s="211">
        <f t="array" ref="L64">(SUM(IF((CkDJ[Date]=$A$4)*(CkDJ[Ofc Code]=(TRIM(L$7)))*(CkDJ[Account Code]=(TRIM($D64))),CkDJ[Debit])))+(SUM(IF((CsDJ[Date]=$A$4)*(CsDJ[Ofc Code]=(TRIM(L$7)))*(CsDJ[Account Code]=(TRIM($D64))),CsDJ[Debit])))+(SUM(IF((CRDJ[Date]=$A$4)*(CRDJ[Ofc Code]=(TRIM(L$7)))*(CRDJ[Account Code]=(TRIM($D64))),CRDJ[Debit])))+(SUM(IF((GJ[Date]=$A$4)*(GJ[Ofc Code]=(TRIM(L$7)))*(GJ[Account Code]=(TRIM($D64))),GJ[Debit])))-(SUM(IF((CkDJ[Date]=$A$4)*(CkDJ[Ofc Code]=(TRIM(L$7)))*(CkDJ[Account Code]=(TRIM($D64))),CkDJ[Credit])))+(SUM(IF((CsDJ[Date]=$A$4)*(CsDJ[Ofc Code]=(TRIM(L$7)))*(CsDJ[Account Code]=(TRIM($D64))),CsDJ[Credit])))+(SUM(IF((CRDJ[Date]=$A$4)*(CRDJ[Ofc Code]=(TRIM(L$7)))*(CRDJ[Account Code]=(TRIM($D64))),CRDJ[Credit])))+(SUM(IF((GJ[Date]=$A$4)*(GJ[Ofc Code]=(TRIM(L$7)))*(GJ[Account Code]=(TRIM($D64))),GJ[Credit])))</f>
        <v>0</v>
      </c>
      <c r="M64" s="211">
        <f t="array" ref="M64">(SUM(IF((CkDJ[Date]=$A$4)*(CkDJ[Ofc Code]=(TRIM(M$7)))*(CkDJ[Account Code]=(TRIM($D64))),CkDJ[Debit])))+(SUM(IF((CsDJ[Date]=$A$4)*(CsDJ[Ofc Code]=(TRIM(M$7)))*(CsDJ[Account Code]=(TRIM($D64))),CsDJ[Debit])))+(SUM(IF((CRDJ[Date]=$A$4)*(CRDJ[Ofc Code]=(TRIM(M$7)))*(CRDJ[Account Code]=(TRIM($D64))),CRDJ[Debit])))+(SUM(IF((GJ[Date]=$A$4)*(GJ[Ofc Code]=(TRIM(M$7)))*(GJ[Account Code]=(TRIM($D64))),GJ[Debit])))-(SUM(IF((CkDJ[Date]=$A$4)*(CkDJ[Ofc Code]=(TRIM(M$7)))*(CkDJ[Account Code]=(TRIM($D64))),CkDJ[Credit])))+(SUM(IF((CsDJ[Date]=$A$4)*(CsDJ[Ofc Code]=(TRIM(M$7)))*(CsDJ[Account Code]=(TRIM($D64))),CsDJ[Credit])))+(SUM(IF((CRDJ[Date]=$A$4)*(CRDJ[Ofc Code]=(TRIM(M$7)))*(CRDJ[Account Code]=(TRIM($D64))),CRDJ[Credit])))+(SUM(IF((GJ[Date]=$A$4)*(GJ[Ofc Code]=(TRIM(M$7)))*(GJ[Account Code]=(TRIM($D64))),GJ[Credit])))</f>
        <v>0</v>
      </c>
      <c r="N64" s="211">
        <f t="shared" si="16"/>
        <v>0</v>
      </c>
      <c r="O64" s="211">
        <f t="array" ref="O64">(SUM(IF((CkDJ[Date]=$A$4)*(CkDJ[Ofc Code]=(TRIM(O$7)))*(CkDJ[Account Code]=(TRIM($D64))),CkDJ[Debit])))+(SUM(IF((CsDJ[Date]=$A$4)*(CsDJ[Ofc Code]=(TRIM(O$7)))*(CsDJ[Account Code]=(TRIM($D64))),CsDJ[Debit])))+(SUM(IF((CRDJ[Date]=$A$4)*(CRDJ[Ofc Code]=(TRIM(O$7)))*(CRDJ[Account Code]=(TRIM($D64))),CRDJ[Debit])))+(SUM(IF((GJ[Date]=$A$4)*(GJ[Ofc Code]=(TRIM(O$7)))*(GJ[Account Code]=(TRIM($D64))),GJ[Debit])))-(SUM(IF((CkDJ[Date]=$A$4)*(CkDJ[Ofc Code]=(TRIM(O$7)))*(CkDJ[Account Code]=(TRIM($D64))),CkDJ[Credit])))+(SUM(IF((CsDJ[Date]=$A$4)*(CsDJ[Ofc Code]=(TRIM(O$7)))*(CsDJ[Account Code]=(TRIM($D64))),CsDJ[Credit])))+(SUM(IF((CRDJ[Date]=$A$4)*(CRDJ[Ofc Code]=(TRIM(O$7)))*(CRDJ[Account Code]=(TRIM($D64))),CRDJ[Credit])))+(SUM(IF((GJ[Date]=$A$4)*(GJ[Ofc Code]=(TRIM(O$7)))*(GJ[Account Code]=(TRIM($D64))),GJ[Credit])))</f>
        <v>0</v>
      </c>
      <c r="P64" s="211">
        <f t="array" ref="P64">(SUM(IF((CkDJ[Date]=$A$4)*(CkDJ[Ofc Code]=(TRIM(P$7)))*(CkDJ[Account Code]=(TRIM($D64))),CkDJ[Debit])))+(SUM(IF((CsDJ[Date]=$A$4)*(CsDJ[Ofc Code]=(TRIM(P$7)))*(CsDJ[Account Code]=(TRIM($D64))),CsDJ[Debit])))+(SUM(IF((CRDJ[Date]=$A$4)*(CRDJ[Ofc Code]=(TRIM(P$7)))*(CRDJ[Account Code]=(TRIM($D64))),CRDJ[Debit])))+(SUM(IF((GJ[Date]=$A$4)*(GJ[Ofc Code]=(TRIM(P$7)))*(GJ[Account Code]=(TRIM($D64))),GJ[Debit])))-(SUM(IF((CkDJ[Date]=$A$4)*(CkDJ[Ofc Code]=(TRIM(P$7)))*(CkDJ[Account Code]=(TRIM($D64))),CkDJ[Credit])))+(SUM(IF((CsDJ[Date]=$A$4)*(CsDJ[Ofc Code]=(TRIM(P$7)))*(CsDJ[Account Code]=(TRIM($D64))),CsDJ[Credit])))+(SUM(IF((CRDJ[Date]=$A$4)*(CRDJ[Ofc Code]=(TRIM(P$7)))*(CRDJ[Account Code]=(TRIM($D64))),CRDJ[Credit])))+(SUM(IF((GJ[Date]=$A$4)*(GJ[Ofc Code]=(TRIM(P$7)))*(GJ[Account Code]=(TRIM($D64))),GJ[Credit])))</f>
        <v>0</v>
      </c>
      <c r="Q64" s="211">
        <f t="array" ref="Q64">(SUM(IF((CkDJ[Date]=$A$4)*(CkDJ[Ofc Code]=(TRIM(Q$7)))*(CkDJ[Account Code]=(TRIM($D64))),CkDJ[Debit])))+(SUM(IF((CsDJ[Date]=$A$4)*(CsDJ[Ofc Code]=(TRIM(Q$7)))*(CsDJ[Account Code]=(TRIM($D64))),CsDJ[Debit])))+(SUM(IF((CRDJ[Date]=$A$4)*(CRDJ[Ofc Code]=(TRIM(Q$7)))*(CRDJ[Account Code]=(TRIM($D64))),CRDJ[Debit])))+(SUM(IF((GJ[Date]=$A$4)*(GJ[Ofc Code]=(TRIM(Q$7)))*(GJ[Account Code]=(TRIM($D64))),GJ[Debit])))-(SUM(IF((CkDJ[Date]=$A$4)*(CkDJ[Ofc Code]=(TRIM(Q$7)))*(CkDJ[Account Code]=(TRIM($D64))),CkDJ[Credit])))+(SUM(IF((CsDJ[Date]=$A$4)*(CsDJ[Ofc Code]=(TRIM(Q$7)))*(CsDJ[Account Code]=(TRIM($D64))),CsDJ[Credit])))+(SUM(IF((CRDJ[Date]=$A$4)*(CRDJ[Ofc Code]=(TRIM(Q$7)))*(CRDJ[Account Code]=(TRIM($D64))),CRDJ[Credit])))+(SUM(IF((GJ[Date]=$A$4)*(GJ[Ofc Code]=(TRIM(Q$7)))*(GJ[Account Code]=(TRIM($D64))),GJ[Credit])))</f>
        <v>0</v>
      </c>
      <c r="R64" s="211">
        <f t="array" ref="R64">(SUM(IF((CkDJ[Date]=$A$4)*(CkDJ[Ofc Code]=(TRIM(R$7)))*(CkDJ[Account Code]=(TRIM($D64))),CkDJ[Debit])))+(SUM(IF((CsDJ[Date]=$A$4)*(CsDJ[Ofc Code]=(TRIM(R$7)))*(CsDJ[Account Code]=(TRIM($D64))),CsDJ[Debit])))+(SUM(IF((CRDJ[Date]=$A$4)*(CRDJ[Ofc Code]=(TRIM(R$7)))*(CRDJ[Account Code]=(TRIM($D64))),CRDJ[Debit])))+(SUM(IF((GJ[Date]=$A$4)*(GJ[Ofc Code]=(TRIM(R$7)))*(GJ[Account Code]=(TRIM($D64))),GJ[Debit])))-(SUM(IF((CkDJ[Date]=$A$4)*(CkDJ[Ofc Code]=(TRIM(R$7)))*(CkDJ[Account Code]=(TRIM($D64))),CkDJ[Credit])))+(SUM(IF((CsDJ[Date]=$A$4)*(CsDJ[Ofc Code]=(TRIM(R$7)))*(CsDJ[Account Code]=(TRIM($D64))),CsDJ[Credit])))+(SUM(IF((CRDJ[Date]=$A$4)*(CRDJ[Ofc Code]=(TRIM(R$7)))*(CRDJ[Account Code]=(TRIM($D64))),CRDJ[Credit])))+(SUM(IF((GJ[Date]=$A$4)*(GJ[Ofc Code]=(TRIM(R$7)))*(GJ[Account Code]=(TRIM($D64))),GJ[Credit])))</f>
        <v>0</v>
      </c>
      <c r="S64" s="211">
        <f t="array" ref="S64">(SUM(IF((CkDJ[Date]=$A$4)*(CkDJ[Ofc Code]=(TRIM(S$7)))*(CkDJ[Account Code]=(TRIM($D64))),CkDJ[Debit])))+(SUM(IF((CsDJ[Date]=$A$4)*(CsDJ[Ofc Code]=(TRIM(S$7)))*(CsDJ[Account Code]=(TRIM($D64))),CsDJ[Debit])))+(SUM(IF((CRDJ[Date]=$A$4)*(CRDJ[Ofc Code]=(TRIM(S$7)))*(CRDJ[Account Code]=(TRIM($D64))),CRDJ[Debit])))+(SUM(IF((GJ[Date]=$A$4)*(GJ[Ofc Code]=(TRIM(S$7)))*(GJ[Account Code]=(TRIM($D64))),GJ[Debit])))-(SUM(IF((CkDJ[Date]=$A$4)*(CkDJ[Ofc Code]=(TRIM(S$7)))*(CkDJ[Account Code]=(TRIM($D64))),CkDJ[Credit])))+(SUM(IF((CsDJ[Date]=$A$4)*(CsDJ[Ofc Code]=(TRIM(S$7)))*(CsDJ[Account Code]=(TRIM($D64))),CsDJ[Credit])))+(SUM(IF((CRDJ[Date]=$A$4)*(CRDJ[Ofc Code]=(TRIM(S$7)))*(CRDJ[Account Code]=(TRIM($D64))),CRDJ[Credit])))+(SUM(IF((GJ[Date]=$A$4)*(GJ[Ofc Code]=(TRIM(S$7)))*(GJ[Account Code]=(TRIM($D64))),GJ[Credit])))</f>
        <v>0</v>
      </c>
      <c r="T64" s="211">
        <f t="shared" si="17"/>
        <v>0</v>
      </c>
      <c r="U64" s="211">
        <f t="shared" si="18"/>
        <v>0</v>
      </c>
    </row>
    <row r="65" spans="1:22" ht="15">
      <c r="A65" s="212">
        <f t="shared" si="19"/>
        <v>7</v>
      </c>
      <c r="B65" s="214" t="s">
        <v>756</v>
      </c>
      <c r="C65" s="194" t="str">
        <f t="shared" si="14"/>
        <v>Other Supplies and Materials Expenses</v>
      </c>
      <c r="D65" s="207">
        <v>765</v>
      </c>
      <c r="E65" s="211">
        <f t="array" ref="E65">(SUM(IF((CkDJ[Date]=$A$4)*(CkDJ[Ofc Code]=(TRIM(E$7)))*(CkDJ[Account Code]=(TRIM($D65))),CkDJ[Debit])))+(SUM(IF((CsDJ[Date]=$A$4)*(CsDJ[Ofc Code]=(TRIM(E$7)))*(CsDJ[Account Code]=(TRIM($D65))),CsDJ[Debit])))+(SUM(IF((CRDJ[Date]=$A$4)*(CRDJ[Ofc Code]=(TRIM(E$7)))*(CRDJ[Account Code]=(TRIM($D65))),CRDJ[Debit])))+(SUM(IF((GJ[Date]=$A$4)*(GJ[Ofc Code]=(TRIM(E$7)))*(GJ[Account Code]=(TRIM($D65))),GJ[Debit])))-(SUM(IF((CkDJ[Date]=$A$4)*(CkDJ[Ofc Code]=(TRIM(E$7)))*(CkDJ[Account Code]=(TRIM($D65))),CkDJ[Credit])))+(SUM(IF((CsDJ[Date]=$A$4)*(CsDJ[Ofc Code]=(TRIM(E$7)))*(CsDJ[Account Code]=(TRIM($D65))),CsDJ[Credit])))+(SUM(IF((CRDJ[Date]=$A$4)*(CRDJ[Ofc Code]=(TRIM(E$7)))*(CRDJ[Account Code]=(TRIM($D65))),CRDJ[Credit])))+(SUM(IF((GJ[Date]=$A$4)*(GJ[Ofc Code]=(TRIM(E$7)))*(GJ[Account Code]=(TRIM($D65))),GJ[Credit])))</f>
        <v>0</v>
      </c>
      <c r="F65" s="211">
        <f t="array" ref="F65">(SUM(IF((CkDJ[Date]=$A$4)*(CkDJ[Ofc Code]=(TRIM(F$7)))*(CkDJ[Account Code]=(TRIM($D65))),CkDJ[Debit])))+(SUM(IF((CsDJ[Date]=$A$4)*(CsDJ[Ofc Code]=(TRIM(F$7)))*(CsDJ[Account Code]=(TRIM($D65))),CsDJ[Debit])))+(SUM(IF((CRDJ[Date]=$A$4)*(CRDJ[Ofc Code]=(TRIM(F$7)))*(CRDJ[Account Code]=(TRIM($D65))),CRDJ[Debit])))+(SUM(IF((GJ[Date]=$A$4)*(GJ[Ofc Code]=(TRIM(F$7)))*(GJ[Account Code]=(TRIM($D65))),GJ[Debit])))-(SUM(IF((CkDJ[Date]=$A$4)*(CkDJ[Ofc Code]=(TRIM(F$7)))*(CkDJ[Account Code]=(TRIM($D65))),CkDJ[Credit])))+(SUM(IF((CsDJ[Date]=$A$4)*(CsDJ[Ofc Code]=(TRIM(F$7)))*(CsDJ[Account Code]=(TRIM($D65))),CsDJ[Credit])))+(SUM(IF((CRDJ[Date]=$A$4)*(CRDJ[Ofc Code]=(TRIM(F$7)))*(CRDJ[Account Code]=(TRIM($D65))),CRDJ[Credit])))+(SUM(IF((GJ[Date]=$A$4)*(GJ[Ofc Code]=(TRIM(F$7)))*(GJ[Account Code]=(TRIM($D65))),GJ[Credit])))</f>
        <v>0</v>
      </c>
      <c r="G65" s="211">
        <f t="array" ref="G65">(SUM(IF((CkDJ[Date]=$A$4)*(CkDJ[Ofc Code]=(TRIM(G$7)))*(CkDJ[Account Code]=(TRIM($D65))),CkDJ[Debit])))+(SUM(IF((CsDJ[Date]=$A$4)*(CsDJ[Ofc Code]=(TRIM(G$7)))*(CsDJ[Account Code]=(TRIM($D65))),CsDJ[Debit])))+(SUM(IF((CRDJ[Date]=$A$4)*(CRDJ[Ofc Code]=(TRIM(G$7)))*(CRDJ[Account Code]=(TRIM($D65))),CRDJ[Debit])))+(SUM(IF((GJ[Date]=$A$4)*(GJ[Ofc Code]=(TRIM(G$7)))*(GJ[Account Code]=(TRIM($D65))),GJ[Debit])))-(SUM(IF((CkDJ[Date]=$A$4)*(CkDJ[Ofc Code]=(TRIM(G$7)))*(CkDJ[Account Code]=(TRIM($D65))),CkDJ[Credit])))+(SUM(IF((CsDJ[Date]=$A$4)*(CsDJ[Ofc Code]=(TRIM(G$7)))*(CsDJ[Account Code]=(TRIM($D65))),CsDJ[Credit])))+(SUM(IF((CRDJ[Date]=$A$4)*(CRDJ[Ofc Code]=(TRIM(G$7)))*(CRDJ[Account Code]=(TRIM($D65))),CRDJ[Credit])))+(SUM(IF((GJ[Date]=$A$4)*(GJ[Ofc Code]=(TRIM(G$7)))*(GJ[Account Code]=(TRIM($D65))),GJ[Credit])))</f>
        <v>0</v>
      </c>
      <c r="H65" s="211">
        <f t="array" ref="H65">(SUM(IF((CkDJ[Date]=$A$4)*(CkDJ[Ofc Code]=(TRIM(H$7)))*(CkDJ[Account Code]=(TRIM($D65))),CkDJ[Debit])))+(SUM(IF((CsDJ[Date]=$A$4)*(CsDJ[Ofc Code]=(TRIM(H$7)))*(CsDJ[Account Code]=(TRIM($D65))),CsDJ[Debit])))+(SUM(IF((CRDJ[Date]=$A$4)*(CRDJ[Ofc Code]=(TRIM(H$7)))*(CRDJ[Account Code]=(TRIM($D65))),CRDJ[Debit])))+(SUM(IF((GJ[Date]=$A$4)*(GJ[Ofc Code]=(TRIM(H$7)))*(GJ[Account Code]=(TRIM($D65))),GJ[Debit])))-(SUM(IF((CkDJ[Date]=$A$4)*(CkDJ[Ofc Code]=(TRIM(H$7)))*(CkDJ[Account Code]=(TRIM($D65))),CkDJ[Credit])))+(SUM(IF((CsDJ[Date]=$A$4)*(CsDJ[Ofc Code]=(TRIM(H$7)))*(CsDJ[Account Code]=(TRIM($D65))),CsDJ[Credit])))+(SUM(IF((CRDJ[Date]=$A$4)*(CRDJ[Ofc Code]=(TRIM(H$7)))*(CRDJ[Account Code]=(TRIM($D65))),CRDJ[Credit])))+(SUM(IF((GJ[Date]=$A$4)*(GJ[Ofc Code]=(TRIM(H$7)))*(GJ[Account Code]=(TRIM($D65))),GJ[Credit])))</f>
        <v>0</v>
      </c>
      <c r="I65" s="211">
        <f t="shared" si="15"/>
        <v>0</v>
      </c>
      <c r="J65" s="211">
        <f t="array" ref="J65">(SUM(IF((CkDJ[Date]=$A$4)*(CkDJ[Ofc Code]=(TRIM(J$7)))*(CkDJ[Account Code]=(TRIM($D65))),CkDJ[Debit])))+(SUM(IF((CsDJ[Date]=$A$4)*(CsDJ[Ofc Code]=(TRIM(J$7)))*(CsDJ[Account Code]=(TRIM($D65))),CsDJ[Debit])))+(SUM(IF((CRDJ[Date]=$A$4)*(CRDJ[Ofc Code]=(TRIM(J$7)))*(CRDJ[Account Code]=(TRIM($D65))),CRDJ[Debit])))+(SUM(IF((GJ[Date]=$A$4)*(GJ[Ofc Code]=(TRIM(J$7)))*(GJ[Account Code]=(TRIM($D65))),GJ[Debit])))-(SUM(IF((CkDJ[Date]=$A$4)*(CkDJ[Ofc Code]=(TRIM(J$7)))*(CkDJ[Account Code]=(TRIM($D65))),CkDJ[Credit])))+(SUM(IF((CsDJ[Date]=$A$4)*(CsDJ[Ofc Code]=(TRIM(J$7)))*(CsDJ[Account Code]=(TRIM($D65))),CsDJ[Credit])))+(SUM(IF((CRDJ[Date]=$A$4)*(CRDJ[Ofc Code]=(TRIM(J$7)))*(CRDJ[Account Code]=(TRIM($D65))),CRDJ[Credit])))+(SUM(IF((GJ[Date]=$A$4)*(GJ[Ofc Code]=(TRIM(J$7)))*(GJ[Account Code]=(TRIM($D65))),GJ[Credit])))</f>
        <v>0</v>
      </c>
      <c r="K65" s="211">
        <f t="array" ref="K65">(SUM(IF((CkDJ[Date]=$A$4)*(CkDJ[Ofc Code]=(TRIM(K$7)))*(CkDJ[Account Code]=(TRIM($D65))),CkDJ[Debit])))+(SUM(IF((CsDJ[Date]=$A$4)*(CsDJ[Ofc Code]=(TRIM(K$7)))*(CsDJ[Account Code]=(TRIM($D65))),CsDJ[Debit])))+(SUM(IF((CRDJ[Date]=$A$4)*(CRDJ[Ofc Code]=(TRIM(K$7)))*(CRDJ[Account Code]=(TRIM($D65))),CRDJ[Debit])))+(SUM(IF((GJ[Date]=$A$4)*(GJ[Ofc Code]=(TRIM(K$7)))*(GJ[Account Code]=(TRIM($D65))),GJ[Debit])))-(SUM(IF((CkDJ[Date]=$A$4)*(CkDJ[Ofc Code]=(TRIM(K$7)))*(CkDJ[Account Code]=(TRIM($D65))),CkDJ[Credit])))+(SUM(IF((CsDJ[Date]=$A$4)*(CsDJ[Ofc Code]=(TRIM(K$7)))*(CsDJ[Account Code]=(TRIM($D65))),CsDJ[Credit])))+(SUM(IF((CRDJ[Date]=$A$4)*(CRDJ[Ofc Code]=(TRIM(K$7)))*(CRDJ[Account Code]=(TRIM($D65))),CRDJ[Credit])))+(SUM(IF((GJ[Date]=$A$4)*(GJ[Ofc Code]=(TRIM(K$7)))*(GJ[Account Code]=(TRIM($D65))),GJ[Credit])))</f>
        <v>0</v>
      </c>
      <c r="L65" s="211">
        <f t="array" ref="L65">(SUM(IF((CkDJ[Date]=$A$4)*(CkDJ[Ofc Code]=(TRIM(L$7)))*(CkDJ[Account Code]=(TRIM($D65))),CkDJ[Debit])))+(SUM(IF((CsDJ[Date]=$A$4)*(CsDJ[Ofc Code]=(TRIM(L$7)))*(CsDJ[Account Code]=(TRIM($D65))),CsDJ[Debit])))+(SUM(IF((CRDJ[Date]=$A$4)*(CRDJ[Ofc Code]=(TRIM(L$7)))*(CRDJ[Account Code]=(TRIM($D65))),CRDJ[Debit])))+(SUM(IF((GJ[Date]=$A$4)*(GJ[Ofc Code]=(TRIM(L$7)))*(GJ[Account Code]=(TRIM($D65))),GJ[Debit])))-(SUM(IF((CkDJ[Date]=$A$4)*(CkDJ[Ofc Code]=(TRIM(L$7)))*(CkDJ[Account Code]=(TRIM($D65))),CkDJ[Credit])))+(SUM(IF((CsDJ[Date]=$A$4)*(CsDJ[Ofc Code]=(TRIM(L$7)))*(CsDJ[Account Code]=(TRIM($D65))),CsDJ[Credit])))+(SUM(IF((CRDJ[Date]=$A$4)*(CRDJ[Ofc Code]=(TRIM(L$7)))*(CRDJ[Account Code]=(TRIM($D65))),CRDJ[Credit])))+(SUM(IF((GJ[Date]=$A$4)*(GJ[Ofc Code]=(TRIM(L$7)))*(GJ[Account Code]=(TRIM($D65))),GJ[Credit])))</f>
        <v>0</v>
      </c>
      <c r="M65" s="211">
        <f t="array" ref="M65">(SUM(IF((CkDJ[Date]=$A$4)*(CkDJ[Ofc Code]=(TRIM(M$7)))*(CkDJ[Account Code]=(TRIM($D65))),CkDJ[Debit])))+(SUM(IF((CsDJ[Date]=$A$4)*(CsDJ[Ofc Code]=(TRIM(M$7)))*(CsDJ[Account Code]=(TRIM($D65))),CsDJ[Debit])))+(SUM(IF((CRDJ[Date]=$A$4)*(CRDJ[Ofc Code]=(TRIM(M$7)))*(CRDJ[Account Code]=(TRIM($D65))),CRDJ[Debit])))+(SUM(IF((GJ[Date]=$A$4)*(GJ[Ofc Code]=(TRIM(M$7)))*(GJ[Account Code]=(TRIM($D65))),GJ[Debit])))-(SUM(IF((CkDJ[Date]=$A$4)*(CkDJ[Ofc Code]=(TRIM(M$7)))*(CkDJ[Account Code]=(TRIM($D65))),CkDJ[Credit])))+(SUM(IF((CsDJ[Date]=$A$4)*(CsDJ[Ofc Code]=(TRIM(M$7)))*(CsDJ[Account Code]=(TRIM($D65))),CsDJ[Credit])))+(SUM(IF((CRDJ[Date]=$A$4)*(CRDJ[Ofc Code]=(TRIM(M$7)))*(CRDJ[Account Code]=(TRIM($D65))),CRDJ[Credit])))+(SUM(IF((GJ[Date]=$A$4)*(GJ[Ofc Code]=(TRIM(M$7)))*(GJ[Account Code]=(TRIM($D65))),GJ[Credit])))</f>
        <v>0</v>
      </c>
      <c r="N65" s="211">
        <f t="shared" si="16"/>
        <v>0</v>
      </c>
      <c r="O65" s="211">
        <f t="array" ref="O65">(SUM(IF((CkDJ[Date]=$A$4)*(CkDJ[Ofc Code]=(TRIM(O$7)))*(CkDJ[Account Code]=(TRIM($D65))),CkDJ[Debit])))+(SUM(IF((CsDJ[Date]=$A$4)*(CsDJ[Ofc Code]=(TRIM(O$7)))*(CsDJ[Account Code]=(TRIM($D65))),CsDJ[Debit])))+(SUM(IF((CRDJ[Date]=$A$4)*(CRDJ[Ofc Code]=(TRIM(O$7)))*(CRDJ[Account Code]=(TRIM($D65))),CRDJ[Debit])))+(SUM(IF((GJ[Date]=$A$4)*(GJ[Ofc Code]=(TRIM(O$7)))*(GJ[Account Code]=(TRIM($D65))),GJ[Debit])))-(SUM(IF((CkDJ[Date]=$A$4)*(CkDJ[Ofc Code]=(TRIM(O$7)))*(CkDJ[Account Code]=(TRIM($D65))),CkDJ[Credit])))+(SUM(IF((CsDJ[Date]=$A$4)*(CsDJ[Ofc Code]=(TRIM(O$7)))*(CsDJ[Account Code]=(TRIM($D65))),CsDJ[Credit])))+(SUM(IF((CRDJ[Date]=$A$4)*(CRDJ[Ofc Code]=(TRIM(O$7)))*(CRDJ[Account Code]=(TRIM($D65))),CRDJ[Credit])))+(SUM(IF((GJ[Date]=$A$4)*(GJ[Ofc Code]=(TRIM(O$7)))*(GJ[Account Code]=(TRIM($D65))),GJ[Credit])))</f>
        <v>0</v>
      </c>
      <c r="P65" s="211">
        <f t="array" ref="P65">(SUM(IF((CkDJ[Date]=$A$4)*(CkDJ[Ofc Code]=(TRIM(P$7)))*(CkDJ[Account Code]=(TRIM($D65))),CkDJ[Debit])))+(SUM(IF((CsDJ[Date]=$A$4)*(CsDJ[Ofc Code]=(TRIM(P$7)))*(CsDJ[Account Code]=(TRIM($D65))),CsDJ[Debit])))+(SUM(IF((CRDJ[Date]=$A$4)*(CRDJ[Ofc Code]=(TRIM(P$7)))*(CRDJ[Account Code]=(TRIM($D65))),CRDJ[Debit])))+(SUM(IF((GJ[Date]=$A$4)*(GJ[Ofc Code]=(TRIM(P$7)))*(GJ[Account Code]=(TRIM($D65))),GJ[Debit])))-(SUM(IF((CkDJ[Date]=$A$4)*(CkDJ[Ofc Code]=(TRIM(P$7)))*(CkDJ[Account Code]=(TRIM($D65))),CkDJ[Credit])))+(SUM(IF((CsDJ[Date]=$A$4)*(CsDJ[Ofc Code]=(TRIM(P$7)))*(CsDJ[Account Code]=(TRIM($D65))),CsDJ[Credit])))+(SUM(IF((CRDJ[Date]=$A$4)*(CRDJ[Ofc Code]=(TRIM(P$7)))*(CRDJ[Account Code]=(TRIM($D65))),CRDJ[Credit])))+(SUM(IF((GJ[Date]=$A$4)*(GJ[Ofc Code]=(TRIM(P$7)))*(GJ[Account Code]=(TRIM($D65))),GJ[Credit])))</f>
        <v>0</v>
      </c>
      <c r="Q65" s="211">
        <f t="array" ref="Q65">(SUM(IF((CkDJ[Date]=$A$4)*(CkDJ[Ofc Code]=(TRIM(Q$7)))*(CkDJ[Account Code]=(TRIM($D65))),CkDJ[Debit])))+(SUM(IF((CsDJ[Date]=$A$4)*(CsDJ[Ofc Code]=(TRIM(Q$7)))*(CsDJ[Account Code]=(TRIM($D65))),CsDJ[Debit])))+(SUM(IF((CRDJ[Date]=$A$4)*(CRDJ[Ofc Code]=(TRIM(Q$7)))*(CRDJ[Account Code]=(TRIM($D65))),CRDJ[Debit])))+(SUM(IF((GJ[Date]=$A$4)*(GJ[Ofc Code]=(TRIM(Q$7)))*(GJ[Account Code]=(TRIM($D65))),GJ[Debit])))-(SUM(IF((CkDJ[Date]=$A$4)*(CkDJ[Ofc Code]=(TRIM(Q$7)))*(CkDJ[Account Code]=(TRIM($D65))),CkDJ[Credit])))+(SUM(IF((CsDJ[Date]=$A$4)*(CsDJ[Ofc Code]=(TRIM(Q$7)))*(CsDJ[Account Code]=(TRIM($D65))),CsDJ[Credit])))+(SUM(IF((CRDJ[Date]=$A$4)*(CRDJ[Ofc Code]=(TRIM(Q$7)))*(CRDJ[Account Code]=(TRIM($D65))),CRDJ[Credit])))+(SUM(IF((GJ[Date]=$A$4)*(GJ[Ofc Code]=(TRIM(Q$7)))*(GJ[Account Code]=(TRIM($D65))),GJ[Credit])))</f>
        <v>0</v>
      </c>
      <c r="R65" s="211">
        <f t="array" ref="R65">(SUM(IF((CkDJ[Date]=$A$4)*(CkDJ[Ofc Code]=(TRIM(R$7)))*(CkDJ[Account Code]=(TRIM($D65))),CkDJ[Debit])))+(SUM(IF((CsDJ[Date]=$A$4)*(CsDJ[Ofc Code]=(TRIM(R$7)))*(CsDJ[Account Code]=(TRIM($D65))),CsDJ[Debit])))+(SUM(IF((CRDJ[Date]=$A$4)*(CRDJ[Ofc Code]=(TRIM(R$7)))*(CRDJ[Account Code]=(TRIM($D65))),CRDJ[Debit])))+(SUM(IF((GJ[Date]=$A$4)*(GJ[Ofc Code]=(TRIM(R$7)))*(GJ[Account Code]=(TRIM($D65))),GJ[Debit])))-(SUM(IF((CkDJ[Date]=$A$4)*(CkDJ[Ofc Code]=(TRIM(R$7)))*(CkDJ[Account Code]=(TRIM($D65))),CkDJ[Credit])))+(SUM(IF((CsDJ[Date]=$A$4)*(CsDJ[Ofc Code]=(TRIM(R$7)))*(CsDJ[Account Code]=(TRIM($D65))),CsDJ[Credit])))+(SUM(IF((CRDJ[Date]=$A$4)*(CRDJ[Ofc Code]=(TRIM(R$7)))*(CRDJ[Account Code]=(TRIM($D65))),CRDJ[Credit])))+(SUM(IF((GJ[Date]=$A$4)*(GJ[Ofc Code]=(TRIM(R$7)))*(GJ[Account Code]=(TRIM($D65))),GJ[Credit])))</f>
        <v>0</v>
      </c>
      <c r="S65" s="211">
        <f t="array" ref="S65">(SUM(IF((CkDJ[Date]=$A$4)*(CkDJ[Ofc Code]=(TRIM(S$7)))*(CkDJ[Account Code]=(TRIM($D65))),CkDJ[Debit])))+(SUM(IF((CsDJ[Date]=$A$4)*(CsDJ[Ofc Code]=(TRIM(S$7)))*(CsDJ[Account Code]=(TRIM($D65))),CsDJ[Debit])))+(SUM(IF((CRDJ[Date]=$A$4)*(CRDJ[Ofc Code]=(TRIM(S$7)))*(CRDJ[Account Code]=(TRIM($D65))),CRDJ[Debit])))+(SUM(IF((GJ[Date]=$A$4)*(GJ[Ofc Code]=(TRIM(S$7)))*(GJ[Account Code]=(TRIM($D65))),GJ[Debit])))-(SUM(IF((CkDJ[Date]=$A$4)*(CkDJ[Ofc Code]=(TRIM(S$7)))*(CkDJ[Account Code]=(TRIM($D65))),CkDJ[Credit])))+(SUM(IF((CsDJ[Date]=$A$4)*(CsDJ[Ofc Code]=(TRIM(S$7)))*(CsDJ[Account Code]=(TRIM($D65))),CsDJ[Credit])))+(SUM(IF((CRDJ[Date]=$A$4)*(CRDJ[Ofc Code]=(TRIM(S$7)))*(CRDJ[Account Code]=(TRIM($D65))),CRDJ[Credit])))+(SUM(IF((GJ[Date]=$A$4)*(GJ[Ofc Code]=(TRIM(S$7)))*(GJ[Account Code]=(TRIM($D65))),GJ[Credit])))</f>
        <v>0</v>
      </c>
      <c r="T65" s="211">
        <f t="shared" si="17"/>
        <v>0</v>
      </c>
      <c r="U65" s="211">
        <f t="shared" si="18"/>
        <v>0</v>
      </c>
    </row>
    <row r="66" spans="1:22" ht="15">
      <c r="A66" s="212">
        <f t="shared" si="19"/>
        <v>8</v>
      </c>
      <c r="B66" s="214" t="s">
        <v>756</v>
      </c>
      <c r="C66" s="194" t="str">
        <f t="shared" si="14"/>
        <v>Water Expenses</v>
      </c>
      <c r="D66" s="207">
        <v>766</v>
      </c>
      <c r="E66" s="211">
        <f t="array" ref="E66">(SUM(IF((CkDJ[Date]=$A$4)*(CkDJ[Ofc Code]=(TRIM(E$7)))*(CkDJ[Account Code]=(TRIM($D66))),CkDJ[Debit])))+(SUM(IF((CsDJ[Date]=$A$4)*(CsDJ[Ofc Code]=(TRIM(E$7)))*(CsDJ[Account Code]=(TRIM($D66))),CsDJ[Debit])))+(SUM(IF((CRDJ[Date]=$A$4)*(CRDJ[Ofc Code]=(TRIM(E$7)))*(CRDJ[Account Code]=(TRIM($D66))),CRDJ[Debit])))+(SUM(IF((GJ[Date]=$A$4)*(GJ[Ofc Code]=(TRIM(E$7)))*(GJ[Account Code]=(TRIM($D66))),GJ[Debit])))-(SUM(IF((CkDJ[Date]=$A$4)*(CkDJ[Ofc Code]=(TRIM(E$7)))*(CkDJ[Account Code]=(TRIM($D66))),CkDJ[Credit])))+(SUM(IF((CsDJ[Date]=$A$4)*(CsDJ[Ofc Code]=(TRIM(E$7)))*(CsDJ[Account Code]=(TRIM($D66))),CsDJ[Credit])))+(SUM(IF((CRDJ[Date]=$A$4)*(CRDJ[Ofc Code]=(TRIM(E$7)))*(CRDJ[Account Code]=(TRIM($D66))),CRDJ[Credit])))+(SUM(IF((GJ[Date]=$A$4)*(GJ[Ofc Code]=(TRIM(E$7)))*(GJ[Account Code]=(TRIM($D66))),GJ[Credit])))</f>
        <v>0</v>
      </c>
      <c r="F66" s="211">
        <f t="array" ref="F66">(SUM(IF((CkDJ[Date]=$A$4)*(CkDJ[Ofc Code]=(TRIM(F$7)))*(CkDJ[Account Code]=(TRIM($D66))),CkDJ[Debit])))+(SUM(IF((CsDJ[Date]=$A$4)*(CsDJ[Ofc Code]=(TRIM(F$7)))*(CsDJ[Account Code]=(TRIM($D66))),CsDJ[Debit])))+(SUM(IF((CRDJ[Date]=$A$4)*(CRDJ[Ofc Code]=(TRIM(F$7)))*(CRDJ[Account Code]=(TRIM($D66))),CRDJ[Debit])))+(SUM(IF((GJ[Date]=$A$4)*(GJ[Ofc Code]=(TRIM(F$7)))*(GJ[Account Code]=(TRIM($D66))),GJ[Debit])))-(SUM(IF((CkDJ[Date]=$A$4)*(CkDJ[Ofc Code]=(TRIM(F$7)))*(CkDJ[Account Code]=(TRIM($D66))),CkDJ[Credit])))+(SUM(IF((CsDJ[Date]=$A$4)*(CsDJ[Ofc Code]=(TRIM(F$7)))*(CsDJ[Account Code]=(TRIM($D66))),CsDJ[Credit])))+(SUM(IF((CRDJ[Date]=$A$4)*(CRDJ[Ofc Code]=(TRIM(F$7)))*(CRDJ[Account Code]=(TRIM($D66))),CRDJ[Credit])))+(SUM(IF((GJ[Date]=$A$4)*(GJ[Ofc Code]=(TRIM(F$7)))*(GJ[Account Code]=(TRIM($D66))),GJ[Credit])))</f>
        <v>0</v>
      </c>
      <c r="G66" s="211">
        <f t="array" ref="G66">(SUM(IF((CkDJ[Date]=$A$4)*(CkDJ[Ofc Code]=(TRIM(G$7)))*(CkDJ[Account Code]=(TRIM($D66))),CkDJ[Debit])))+(SUM(IF((CsDJ[Date]=$A$4)*(CsDJ[Ofc Code]=(TRIM(G$7)))*(CsDJ[Account Code]=(TRIM($D66))),CsDJ[Debit])))+(SUM(IF((CRDJ[Date]=$A$4)*(CRDJ[Ofc Code]=(TRIM(G$7)))*(CRDJ[Account Code]=(TRIM($D66))),CRDJ[Debit])))+(SUM(IF((GJ[Date]=$A$4)*(GJ[Ofc Code]=(TRIM(G$7)))*(GJ[Account Code]=(TRIM($D66))),GJ[Debit])))-(SUM(IF((CkDJ[Date]=$A$4)*(CkDJ[Ofc Code]=(TRIM(G$7)))*(CkDJ[Account Code]=(TRIM($D66))),CkDJ[Credit])))+(SUM(IF((CsDJ[Date]=$A$4)*(CsDJ[Ofc Code]=(TRIM(G$7)))*(CsDJ[Account Code]=(TRIM($D66))),CsDJ[Credit])))+(SUM(IF((CRDJ[Date]=$A$4)*(CRDJ[Ofc Code]=(TRIM(G$7)))*(CRDJ[Account Code]=(TRIM($D66))),CRDJ[Credit])))+(SUM(IF((GJ[Date]=$A$4)*(GJ[Ofc Code]=(TRIM(G$7)))*(GJ[Account Code]=(TRIM($D66))),GJ[Credit])))</f>
        <v>0</v>
      </c>
      <c r="H66" s="211">
        <f t="array" ref="H66">(SUM(IF((CkDJ[Date]=$A$4)*(CkDJ[Ofc Code]=(TRIM(H$7)))*(CkDJ[Account Code]=(TRIM($D66))),CkDJ[Debit])))+(SUM(IF((CsDJ[Date]=$A$4)*(CsDJ[Ofc Code]=(TRIM(H$7)))*(CsDJ[Account Code]=(TRIM($D66))),CsDJ[Debit])))+(SUM(IF((CRDJ[Date]=$A$4)*(CRDJ[Ofc Code]=(TRIM(H$7)))*(CRDJ[Account Code]=(TRIM($D66))),CRDJ[Debit])))+(SUM(IF((GJ[Date]=$A$4)*(GJ[Ofc Code]=(TRIM(H$7)))*(GJ[Account Code]=(TRIM($D66))),GJ[Debit])))-(SUM(IF((CkDJ[Date]=$A$4)*(CkDJ[Ofc Code]=(TRIM(H$7)))*(CkDJ[Account Code]=(TRIM($D66))),CkDJ[Credit])))+(SUM(IF((CsDJ[Date]=$A$4)*(CsDJ[Ofc Code]=(TRIM(H$7)))*(CsDJ[Account Code]=(TRIM($D66))),CsDJ[Credit])))+(SUM(IF((CRDJ[Date]=$A$4)*(CRDJ[Ofc Code]=(TRIM(H$7)))*(CRDJ[Account Code]=(TRIM($D66))),CRDJ[Credit])))+(SUM(IF((GJ[Date]=$A$4)*(GJ[Ofc Code]=(TRIM(H$7)))*(GJ[Account Code]=(TRIM($D66))),GJ[Credit])))</f>
        <v>0</v>
      </c>
      <c r="I66" s="211">
        <f t="shared" si="15"/>
        <v>0</v>
      </c>
      <c r="J66" s="211">
        <f t="array" ref="J66">(SUM(IF((CkDJ[Date]=$A$4)*(CkDJ[Ofc Code]=(TRIM(J$7)))*(CkDJ[Account Code]=(TRIM($D66))),CkDJ[Debit])))+(SUM(IF((CsDJ[Date]=$A$4)*(CsDJ[Ofc Code]=(TRIM(J$7)))*(CsDJ[Account Code]=(TRIM($D66))),CsDJ[Debit])))+(SUM(IF((CRDJ[Date]=$A$4)*(CRDJ[Ofc Code]=(TRIM(J$7)))*(CRDJ[Account Code]=(TRIM($D66))),CRDJ[Debit])))+(SUM(IF((GJ[Date]=$A$4)*(GJ[Ofc Code]=(TRIM(J$7)))*(GJ[Account Code]=(TRIM($D66))),GJ[Debit])))-(SUM(IF((CkDJ[Date]=$A$4)*(CkDJ[Ofc Code]=(TRIM(J$7)))*(CkDJ[Account Code]=(TRIM($D66))),CkDJ[Credit])))+(SUM(IF((CsDJ[Date]=$A$4)*(CsDJ[Ofc Code]=(TRIM(J$7)))*(CsDJ[Account Code]=(TRIM($D66))),CsDJ[Credit])))+(SUM(IF((CRDJ[Date]=$A$4)*(CRDJ[Ofc Code]=(TRIM(J$7)))*(CRDJ[Account Code]=(TRIM($D66))),CRDJ[Credit])))+(SUM(IF((GJ[Date]=$A$4)*(GJ[Ofc Code]=(TRIM(J$7)))*(GJ[Account Code]=(TRIM($D66))),GJ[Credit])))</f>
        <v>0</v>
      </c>
      <c r="K66" s="211">
        <f t="array" ref="K66">(SUM(IF((CkDJ[Date]=$A$4)*(CkDJ[Ofc Code]=(TRIM(K$7)))*(CkDJ[Account Code]=(TRIM($D66))),CkDJ[Debit])))+(SUM(IF((CsDJ[Date]=$A$4)*(CsDJ[Ofc Code]=(TRIM(K$7)))*(CsDJ[Account Code]=(TRIM($D66))),CsDJ[Debit])))+(SUM(IF((CRDJ[Date]=$A$4)*(CRDJ[Ofc Code]=(TRIM(K$7)))*(CRDJ[Account Code]=(TRIM($D66))),CRDJ[Debit])))+(SUM(IF((GJ[Date]=$A$4)*(GJ[Ofc Code]=(TRIM(K$7)))*(GJ[Account Code]=(TRIM($D66))),GJ[Debit])))-(SUM(IF((CkDJ[Date]=$A$4)*(CkDJ[Ofc Code]=(TRIM(K$7)))*(CkDJ[Account Code]=(TRIM($D66))),CkDJ[Credit])))+(SUM(IF((CsDJ[Date]=$A$4)*(CsDJ[Ofc Code]=(TRIM(K$7)))*(CsDJ[Account Code]=(TRIM($D66))),CsDJ[Credit])))+(SUM(IF((CRDJ[Date]=$A$4)*(CRDJ[Ofc Code]=(TRIM(K$7)))*(CRDJ[Account Code]=(TRIM($D66))),CRDJ[Credit])))+(SUM(IF((GJ[Date]=$A$4)*(GJ[Ofc Code]=(TRIM(K$7)))*(GJ[Account Code]=(TRIM($D66))),GJ[Credit])))</f>
        <v>0</v>
      </c>
      <c r="L66" s="211">
        <f t="array" ref="L66">(SUM(IF((CkDJ[Date]=$A$4)*(CkDJ[Ofc Code]=(TRIM(L$7)))*(CkDJ[Account Code]=(TRIM($D66))),CkDJ[Debit])))+(SUM(IF((CsDJ[Date]=$A$4)*(CsDJ[Ofc Code]=(TRIM(L$7)))*(CsDJ[Account Code]=(TRIM($D66))),CsDJ[Debit])))+(SUM(IF((CRDJ[Date]=$A$4)*(CRDJ[Ofc Code]=(TRIM(L$7)))*(CRDJ[Account Code]=(TRIM($D66))),CRDJ[Debit])))+(SUM(IF((GJ[Date]=$A$4)*(GJ[Ofc Code]=(TRIM(L$7)))*(GJ[Account Code]=(TRIM($D66))),GJ[Debit])))-(SUM(IF((CkDJ[Date]=$A$4)*(CkDJ[Ofc Code]=(TRIM(L$7)))*(CkDJ[Account Code]=(TRIM($D66))),CkDJ[Credit])))+(SUM(IF((CsDJ[Date]=$A$4)*(CsDJ[Ofc Code]=(TRIM(L$7)))*(CsDJ[Account Code]=(TRIM($D66))),CsDJ[Credit])))+(SUM(IF((CRDJ[Date]=$A$4)*(CRDJ[Ofc Code]=(TRIM(L$7)))*(CRDJ[Account Code]=(TRIM($D66))),CRDJ[Credit])))+(SUM(IF((GJ[Date]=$A$4)*(GJ[Ofc Code]=(TRIM(L$7)))*(GJ[Account Code]=(TRIM($D66))),GJ[Credit])))</f>
        <v>0</v>
      </c>
      <c r="M66" s="211">
        <f t="array" ref="M66">(SUM(IF((CkDJ[Date]=$A$4)*(CkDJ[Ofc Code]=(TRIM(M$7)))*(CkDJ[Account Code]=(TRIM($D66))),CkDJ[Debit])))+(SUM(IF((CsDJ[Date]=$A$4)*(CsDJ[Ofc Code]=(TRIM(M$7)))*(CsDJ[Account Code]=(TRIM($D66))),CsDJ[Debit])))+(SUM(IF((CRDJ[Date]=$A$4)*(CRDJ[Ofc Code]=(TRIM(M$7)))*(CRDJ[Account Code]=(TRIM($D66))),CRDJ[Debit])))+(SUM(IF((GJ[Date]=$A$4)*(GJ[Ofc Code]=(TRIM(M$7)))*(GJ[Account Code]=(TRIM($D66))),GJ[Debit])))-(SUM(IF((CkDJ[Date]=$A$4)*(CkDJ[Ofc Code]=(TRIM(M$7)))*(CkDJ[Account Code]=(TRIM($D66))),CkDJ[Credit])))+(SUM(IF((CsDJ[Date]=$A$4)*(CsDJ[Ofc Code]=(TRIM(M$7)))*(CsDJ[Account Code]=(TRIM($D66))),CsDJ[Credit])))+(SUM(IF((CRDJ[Date]=$A$4)*(CRDJ[Ofc Code]=(TRIM(M$7)))*(CRDJ[Account Code]=(TRIM($D66))),CRDJ[Credit])))+(SUM(IF((GJ[Date]=$A$4)*(GJ[Ofc Code]=(TRIM(M$7)))*(GJ[Account Code]=(TRIM($D66))),GJ[Credit])))</f>
        <v>0</v>
      </c>
      <c r="N66" s="211">
        <f t="shared" si="16"/>
        <v>0</v>
      </c>
      <c r="O66" s="211">
        <f t="array" ref="O66">(SUM(IF((CkDJ[Date]=$A$4)*(CkDJ[Ofc Code]=(TRIM(O$7)))*(CkDJ[Account Code]=(TRIM($D66))),CkDJ[Debit])))+(SUM(IF((CsDJ[Date]=$A$4)*(CsDJ[Ofc Code]=(TRIM(O$7)))*(CsDJ[Account Code]=(TRIM($D66))),CsDJ[Debit])))+(SUM(IF((CRDJ[Date]=$A$4)*(CRDJ[Ofc Code]=(TRIM(O$7)))*(CRDJ[Account Code]=(TRIM($D66))),CRDJ[Debit])))+(SUM(IF((GJ[Date]=$A$4)*(GJ[Ofc Code]=(TRIM(O$7)))*(GJ[Account Code]=(TRIM($D66))),GJ[Debit])))-(SUM(IF((CkDJ[Date]=$A$4)*(CkDJ[Ofc Code]=(TRIM(O$7)))*(CkDJ[Account Code]=(TRIM($D66))),CkDJ[Credit])))+(SUM(IF((CsDJ[Date]=$A$4)*(CsDJ[Ofc Code]=(TRIM(O$7)))*(CsDJ[Account Code]=(TRIM($D66))),CsDJ[Credit])))+(SUM(IF((CRDJ[Date]=$A$4)*(CRDJ[Ofc Code]=(TRIM(O$7)))*(CRDJ[Account Code]=(TRIM($D66))),CRDJ[Credit])))+(SUM(IF((GJ[Date]=$A$4)*(GJ[Ofc Code]=(TRIM(O$7)))*(GJ[Account Code]=(TRIM($D66))),GJ[Credit])))</f>
        <v>0</v>
      </c>
      <c r="P66" s="211">
        <f t="array" ref="P66">(SUM(IF((CkDJ[Date]=$A$4)*(CkDJ[Ofc Code]=(TRIM(P$7)))*(CkDJ[Account Code]=(TRIM($D66))),CkDJ[Debit])))+(SUM(IF((CsDJ[Date]=$A$4)*(CsDJ[Ofc Code]=(TRIM(P$7)))*(CsDJ[Account Code]=(TRIM($D66))),CsDJ[Debit])))+(SUM(IF((CRDJ[Date]=$A$4)*(CRDJ[Ofc Code]=(TRIM(P$7)))*(CRDJ[Account Code]=(TRIM($D66))),CRDJ[Debit])))+(SUM(IF((GJ[Date]=$A$4)*(GJ[Ofc Code]=(TRIM(P$7)))*(GJ[Account Code]=(TRIM($D66))),GJ[Debit])))-(SUM(IF((CkDJ[Date]=$A$4)*(CkDJ[Ofc Code]=(TRIM(P$7)))*(CkDJ[Account Code]=(TRIM($D66))),CkDJ[Credit])))+(SUM(IF((CsDJ[Date]=$A$4)*(CsDJ[Ofc Code]=(TRIM(P$7)))*(CsDJ[Account Code]=(TRIM($D66))),CsDJ[Credit])))+(SUM(IF((CRDJ[Date]=$A$4)*(CRDJ[Ofc Code]=(TRIM(P$7)))*(CRDJ[Account Code]=(TRIM($D66))),CRDJ[Credit])))+(SUM(IF((GJ[Date]=$A$4)*(GJ[Ofc Code]=(TRIM(P$7)))*(GJ[Account Code]=(TRIM($D66))),GJ[Credit])))</f>
        <v>0</v>
      </c>
      <c r="Q66" s="211">
        <f t="array" ref="Q66">(SUM(IF((CkDJ[Date]=$A$4)*(CkDJ[Ofc Code]=(TRIM(Q$7)))*(CkDJ[Account Code]=(TRIM($D66))),CkDJ[Debit])))+(SUM(IF((CsDJ[Date]=$A$4)*(CsDJ[Ofc Code]=(TRIM(Q$7)))*(CsDJ[Account Code]=(TRIM($D66))),CsDJ[Debit])))+(SUM(IF((CRDJ[Date]=$A$4)*(CRDJ[Ofc Code]=(TRIM(Q$7)))*(CRDJ[Account Code]=(TRIM($D66))),CRDJ[Debit])))+(SUM(IF((GJ[Date]=$A$4)*(GJ[Ofc Code]=(TRIM(Q$7)))*(GJ[Account Code]=(TRIM($D66))),GJ[Debit])))-(SUM(IF((CkDJ[Date]=$A$4)*(CkDJ[Ofc Code]=(TRIM(Q$7)))*(CkDJ[Account Code]=(TRIM($D66))),CkDJ[Credit])))+(SUM(IF((CsDJ[Date]=$A$4)*(CsDJ[Ofc Code]=(TRIM(Q$7)))*(CsDJ[Account Code]=(TRIM($D66))),CsDJ[Credit])))+(SUM(IF((CRDJ[Date]=$A$4)*(CRDJ[Ofc Code]=(TRIM(Q$7)))*(CRDJ[Account Code]=(TRIM($D66))),CRDJ[Credit])))+(SUM(IF((GJ[Date]=$A$4)*(GJ[Ofc Code]=(TRIM(Q$7)))*(GJ[Account Code]=(TRIM($D66))),GJ[Credit])))</f>
        <v>0</v>
      </c>
      <c r="R66" s="211">
        <f t="array" ref="R66">(SUM(IF((CkDJ[Date]=$A$4)*(CkDJ[Ofc Code]=(TRIM(R$7)))*(CkDJ[Account Code]=(TRIM($D66))),CkDJ[Debit])))+(SUM(IF((CsDJ[Date]=$A$4)*(CsDJ[Ofc Code]=(TRIM(R$7)))*(CsDJ[Account Code]=(TRIM($D66))),CsDJ[Debit])))+(SUM(IF((CRDJ[Date]=$A$4)*(CRDJ[Ofc Code]=(TRIM(R$7)))*(CRDJ[Account Code]=(TRIM($D66))),CRDJ[Debit])))+(SUM(IF((GJ[Date]=$A$4)*(GJ[Ofc Code]=(TRIM(R$7)))*(GJ[Account Code]=(TRIM($D66))),GJ[Debit])))-(SUM(IF((CkDJ[Date]=$A$4)*(CkDJ[Ofc Code]=(TRIM(R$7)))*(CkDJ[Account Code]=(TRIM($D66))),CkDJ[Credit])))+(SUM(IF((CsDJ[Date]=$A$4)*(CsDJ[Ofc Code]=(TRIM(R$7)))*(CsDJ[Account Code]=(TRIM($D66))),CsDJ[Credit])))+(SUM(IF((CRDJ[Date]=$A$4)*(CRDJ[Ofc Code]=(TRIM(R$7)))*(CRDJ[Account Code]=(TRIM($D66))),CRDJ[Credit])))+(SUM(IF((GJ[Date]=$A$4)*(GJ[Ofc Code]=(TRIM(R$7)))*(GJ[Account Code]=(TRIM($D66))),GJ[Credit])))</f>
        <v>0</v>
      </c>
      <c r="S66" s="211">
        <f t="array" ref="S66">(SUM(IF((CkDJ[Date]=$A$4)*(CkDJ[Ofc Code]=(TRIM(S$7)))*(CkDJ[Account Code]=(TRIM($D66))),CkDJ[Debit])))+(SUM(IF((CsDJ[Date]=$A$4)*(CsDJ[Ofc Code]=(TRIM(S$7)))*(CsDJ[Account Code]=(TRIM($D66))),CsDJ[Debit])))+(SUM(IF((CRDJ[Date]=$A$4)*(CRDJ[Ofc Code]=(TRIM(S$7)))*(CRDJ[Account Code]=(TRIM($D66))),CRDJ[Debit])))+(SUM(IF((GJ[Date]=$A$4)*(GJ[Ofc Code]=(TRIM(S$7)))*(GJ[Account Code]=(TRIM($D66))),GJ[Debit])))-(SUM(IF((CkDJ[Date]=$A$4)*(CkDJ[Ofc Code]=(TRIM(S$7)))*(CkDJ[Account Code]=(TRIM($D66))),CkDJ[Credit])))+(SUM(IF((CsDJ[Date]=$A$4)*(CsDJ[Ofc Code]=(TRIM(S$7)))*(CsDJ[Account Code]=(TRIM($D66))),CsDJ[Credit])))+(SUM(IF((CRDJ[Date]=$A$4)*(CRDJ[Ofc Code]=(TRIM(S$7)))*(CRDJ[Account Code]=(TRIM($D66))),CRDJ[Credit])))+(SUM(IF((GJ[Date]=$A$4)*(GJ[Ofc Code]=(TRIM(S$7)))*(GJ[Account Code]=(TRIM($D66))),GJ[Credit])))</f>
        <v>0</v>
      </c>
      <c r="T66" s="211">
        <f t="shared" si="17"/>
        <v>0</v>
      </c>
      <c r="U66" s="211">
        <f t="shared" si="18"/>
        <v>0</v>
      </c>
    </row>
    <row r="67" spans="1:22" ht="15">
      <c r="A67" s="212">
        <f t="shared" si="19"/>
        <v>9</v>
      </c>
      <c r="B67" s="214" t="s">
        <v>756</v>
      </c>
      <c r="C67" s="194" t="str">
        <f t="shared" si="14"/>
        <v>Electricity Expenses</v>
      </c>
      <c r="D67" s="207">
        <v>767</v>
      </c>
      <c r="E67" s="211">
        <f t="array" ref="E67">(SUM(IF((CkDJ[Date]=$A$4)*(CkDJ[Ofc Code]=(TRIM(E$7)))*(CkDJ[Account Code]=(TRIM($D67))),CkDJ[Debit])))+(SUM(IF((CsDJ[Date]=$A$4)*(CsDJ[Ofc Code]=(TRIM(E$7)))*(CsDJ[Account Code]=(TRIM($D67))),CsDJ[Debit])))+(SUM(IF((CRDJ[Date]=$A$4)*(CRDJ[Ofc Code]=(TRIM(E$7)))*(CRDJ[Account Code]=(TRIM($D67))),CRDJ[Debit])))+(SUM(IF((GJ[Date]=$A$4)*(GJ[Ofc Code]=(TRIM(E$7)))*(GJ[Account Code]=(TRIM($D67))),GJ[Debit])))-(SUM(IF((CkDJ[Date]=$A$4)*(CkDJ[Ofc Code]=(TRIM(E$7)))*(CkDJ[Account Code]=(TRIM($D67))),CkDJ[Credit])))+(SUM(IF((CsDJ[Date]=$A$4)*(CsDJ[Ofc Code]=(TRIM(E$7)))*(CsDJ[Account Code]=(TRIM($D67))),CsDJ[Credit])))+(SUM(IF((CRDJ[Date]=$A$4)*(CRDJ[Ofc Code]=(TRIM(E$7)))*(CRDJ[Account Code]=(TRIM($D67))),CRDJ[Credit])))+(SUM(IF((GJ[Date]=$A$4)*(GJ[Ofc Code]=(TRIM(E$7)))*(GJ[Account Code]=(TRIM($D67))),GJ[Credit])))</f>
        <v>0</v>
      </c>
      <c r="F67" s="211">
        <f t="array" ref="F67">(SUM(IF((CkDJ[Date]=$A$4)*(CkDJ[Ofc Code]=(TRIM(F$7)))*(CkDJ[Account Code]=(TRIM($D67))),CkDJ[Debit])))+(SUM(IF((CsDJ[Date]=$A$4)*(CsDJ[Ofc Code]=(TRIM(F$7)))*(CsDJ[Account Code]=(TRIM($D67))),CsDJ[Debit])))+(SUM(IF((CRDJ[Date]=$A$4)*(CRDJ[Ofc Code]=(TRIM(F$7)))*(CRDJ[Account Code]=(TRIM($D67))),CRDJ[Debit])))+(SUM(IF((GJ[Date]=$A$4)*(GJ[Ofc Code]=(TRIM(F$7)))*(GJ[Account Code]=(TRIM($D67))),GJ[Debit])))-(SUM(IF((CkDJ[Date]=$A$4)*(CkDJ[Ofc Code]=(TRIM(F$7)))*(CkDJ[Account Code]=(TRIM($D67))),CkDJ[Credit])))+(SUM(IF((CsDJ[Date]=$A$4)*(CsDJ[Ofc Code]=(TRIM(F$7)))*(CsDJ[Account Code]=(TRIM($D67))),CsDJ[Credit])))+(SUM(IF((CRDJ[Date]=$A$4)*(CRDJ[Ofc Code]=(TRIM(F$7)))*(CRDJ[Account Code]=(TRIM($D67))),CRDJ[Credit])))+(SUM(IF((GJ[Date]=$A$4)*(GJ[Ofc Code]=(TRIM(F$7)))*(GJ[Account Code]=(TRIM($D67))),GJ[Credit])))</f>
        <v>0</v>
      </c>
      <c r="G67" s="211">
        <f t="array" ref="G67">(SUM(IF((CkDJ[Date]=$A$4)*(CkDJ[Ofc Code]=(TRIM(G$7)))*(CkDJ[Account Code]=(TRIM($D67))),CkDJ[Debit])))+(SUM(IF((CsDJ[Date]=$A$4)*(CsDJ[Ofc Code]=(TRIM(G$7)))*(CsDJ[Account Code]=(TRIM($D67))),CsDJ[Debit])))+(SUM(IF((CRDJ[Date]=$A$4)*(CRDJ[Ofc Code]=(TRIM(G$7)))*(CRDJ[Account Code]=(TRIM($D67))),CRDJ[Debit])))+(SUM(IF((GJ[Date]=$A$4)*(GJ[Ofc Code]=(TRIM(G$7)))*(GJ[Account Code]=(TRIM($D67))),GJ[Debit])))-(SUM(IF((CkDJ[Date]=$A$4)*(CkDJ[Ofc Code]=(TRIM(G$7)))*(CkDJ[Account Code]=(TRIM($D67))),CkDJ[Credit])))+(SUM(IF((CsDJ[Date]=$A$4)*(CsDJ[Ofc Code]=(TRIM(G$7)))*(CsDJ[Account Code]=(TRIM($D67))),CsDJ[Credit])))+(SUM(IF((CRDJ[Date]=$A$4)*(CRDJ[Ofc Code]=(TRIM(G$7)))*(CRDJ[Account Code]=(TRIM($D67))),CRDJ[Credit])))+(SUM(IF((GJ[Date]=$A$4)*(GJ[Ofc Code]=(TRIM(G$7)))*(GJ[Account Code]=(TRIM($D67))),GJ[Credit])))</f>
        <v>0</v>
      </c>
      <c r="H67" s="211">
        <f t="array" ref="H67">(SUM(IF((CkDJ[Date]=$A$4)*(CkDJ[Ofc Code]=(TRIM(H$7)))*(CkDJ[Account Code]=(TRIM($D67))),CkDJ[Debit])))+(SUM(IF((CsDJ[Date]=$A$4)*(CsDJ[Ofc Code]=(TRIM(H$7)))*(CsDJ[Account Code]=(TRIM($D67))),CsDJ[Debit])))+(SUM(IF((CRDJ[Date]=$A$4)*(CRDJ[Ofc Code]=(TRIM(H$7)))*(CRDJ[Account Code]=(TRIM($D67))),CRDJ[Debit])))+(SUM(IF((GJ[Date]=$A$4)*(GJ[Ofc Code]=(TRIM(H$7)))*(GJ[Account Code]=(TRIM($D67))),GJ[Debit])))-(SUM(IF((CkDJ[Date]=$A$4)*(CkDJ[Ofc Code]=(TRIM(H$7)))*(CkDJ[Account Code]=(TRIM($D67))),CkDJ[Credit])))+(SUM(IF((CsDJ[Date]=$A$4)*(CsDJ[Ofc Code]=(TRIM(H$7)))*(CsDJ[Account Code]=(TRIM($D67))),CsDJ[Credit])))+(SUM(IF((CRDJ[Date]=$A$4)*(CRDJ[Ofc Code]=(TRIM(H$7)))*(CRDJ[Account Code]=(TRIM($D67))),CRDJ[Credit])))+(SUM(IF((GJ[Date]=$A$4)*(GJ[Ofc Code]=(TRIM(H$7)))*(GJ[Account Code]=(TRIM($D67))),GJ[Credit])))</f>
        <v>0</v>
      </c>
      <c r="I67" s="211">
        <f t="shared" si="15"/>
        <v>0</v>
      </c>
      <c r="J67" s="211">
        <f t="array" ref="J67">(SUM(IF((CkDJ[Date]=$A$4)*(CkDJ[Ofc Code]=(TRIM(J$7)))*(CkDJ[Account Code]=(TRIM($D67))),CkDJ[Debit])))+(SUM(IF((CsDJ[Date]=$A$4)*(CsDJ[Ofc Code]=(TRIM(J$7)))*(CsDJ[Account Code]=(TRIM($D67))),CsDJ[Debit])))+(SUM(IF((CRDJ[Date]=$A$4)*(CRDJ[Ofc Code]=(TRIM(J$7)))*(CRDJ[Account Code]=(TRIM($D67))),CRDJ[Debit])))+(SUM(IF((GJ[Date]=$A$4)*(GJ[Ofc Code]=(TRIM(J$7)))*(GJ[Account Code]=(TRIM($D67))),GJ[Debit])))-(SUM(IF((CkDJ[Date]=$A$4)*(CkDJ[Ofc Code]=(TRIM(J$7)))*(CkDJ[Account Code]=(TRIM($D67))),CkDJ[Credit])))+(SUM(IF((CsDJ[Date]=$A$4)*(CsDJ[Ofc Code]=(TRIM(J$7)))*(CsDJ[Account Code]=(TRIM($D67))),CsDJ[Credit])))+(SUM(IF((CRDJ[Date]=$A$4)*(CRDJ[Ofc Code]=(TRIM(J$7)))*(CRDJ[Account Code]=(TRIM($D67))),CRDJ[Credit])))+(SUM(IF((GJ[Date]=$A$4)*(GJ[Ofc Code]=(TRIM(J$7)))*(GJ[Account Code]=(TRIM($D67))),GJ[Credit])))</f>
        <v>0</v>
      </c>
      <c r="K67" s="211">
        <f t="array" ref="K67">(SUM(IF((CkDJ[Date]=$A$4)*(CkDJ[Ofc Code]=(TRIM(K$7)))*(CkDJ[Account Code]=(TRIM($D67))),CkDJ[Debit])))+(SUM(IF((CsDJ[Date]=$A$4)*(CsDJ[Ofc Code]=(TRIM(K$7)))*(CsDJ[Account Code]=(TRIM($D67))),CsDJ[Debit])))+(SUM(IF((CRDJ[Date]=$A$4)*(CRDJ[Ofc Code]=(TRIM(K$7)))*(CRDJ[Account Code]=(TRIM($D67))),CRDJ[Debit])))+(SUM(IF((GJ[Date]=$A$4)*(GJ[Ofc Code]=(TRIM(K$7)))*(GJ[Account Code]=(TRIM($D67))),GJ[Debit])))-(SUM(IF((CkDJ[Date]=$A$4)*(CkDJ[Ofc Code]=(TRIM(K$7)))*(CkDJ[Account Code]=(TRIM($D67))),CkDJ[Credit])))+(SUM(IF((CsDJ[Date]=$A$4)*(CsDJ[Ofc Code]=(TRIM(K$7)))*(CsDJ[Account Code]=(TRIM($D67))),CsDJ[Credit])))+(SUM(IF((CRDJ[Date]=$A$4)*(CRDJ[Ofc Code]=(TRIM(K$7)))*(CRDJ[Account Code]=(TRIM($D67))),CRDJ[Credit])))+(SUM(IF((GJ[Date]=$A$4)*(GJ[Ofc Code]=(TRIM(K$7)))*(GJ[Account Code]=(TRIM($D67))),GJ[Credit])))</f>
        <v>0</v>
      </c>
      <c r="L67" s="211">
        <f t="array" ref="L67">(SUM(IF((CkDJ[Date]=$A$4)*(CkDJ[Ofc Code]=(TRIM(L$7)))*(CkDJ[Account Code]=(TRIM($D67))),CkDJ[Debit])))+(SUM(IF((CsDJ[Date]=$A$4)*(CsDJ[Ofc Code]=(TRIM(L$7)))*(CsDJ[Account Code]=(TRIM($D67))),CsDJ[Debit])))+(SUM(IF((CRDJ[Date]=$A$4)*(CRDJ[Ofc Code]=(TRIM(L$7)))*(CRDJ[Account Code]=(TRIM($D67))),CRDJ[Debit])))+(SUM(IF((GJ[Date]=$A$4)*(GJ[Ofc Code]=(TRIM(L$7)))*(GJ[Account Code]=(TRIM($D67))),GJ[Debit])))-(SUM(IF((CkDJ[Date]=$A$4)*(CkDJ[Ofc Code]=(TRIM(L$7)))*(CkDJ[Account Code]=(TRIM($D67))),CkDJ[Credit])))+(SUM(IF((CsDJ[Date]=$A$4)*(CsDJ[Ofc Code]=(TRIM(L$7)))*(CsDJ[Account Code]=(TRIM($D67))),CsDJ[Credit])))+(SUM(IF((CRDJ[Date]=$A$4)*(CRDJ[Ofc Code]=(TRIM(L$7)))*(CRDJ[Account Code]=(TRIM($D67))),CRDJ[Credit])))+(SUM(IF((GJ[Date]=$A$4)*(GJ[Ofc Code]=(TRIM(L$7)))*(GJ[Account Code]=(TRIM($D67))),GJ[Credit])))</f>
        <v>0</v>
      </c>
      <c r="M67" s="211">
        <f t="array" ref="M67">(SUM(IF((CkDJ[Date]=$A$4)*(CkDJ[Ofc Code]=(TRIM(M$7)))*(CkDJ[Account Code]=(TRIM($D67))),CkDJ[Debit])))+(SUM(IF((CsDJ[Date]=$A$4)*(CsDJ[Ofc Code]=(TRIM(M$7)))*(CsDJ[Account Code]=(TRIM($D67))),CsDJ[Debit])))+(SUM(IF((CRDJ[Date]=$A$4)*(CRDJ[Ofc Code]=(TRIM(M$7)))*(CRDJ[Account Code]=(TRIM($D67))),CRDJ[Debit])))+(SUM(IF((GJ[Date]=$A$4)*(GJ[Ofc Code]=(TRIM(M$7)))*(GJ[Account Code]=(TRIM($D67))),GJ[Debit])))-(SUM(IF((CkDJ[Date]=$A$4)*(CkDJ[Ofc Code]=(TRIM(M$7)))*(CkDJ[Account Code]=(TRIM($D67))),CkDJ[Credit])))+(SUM(IF((CsDJ[Date]=$A$4)*(CsDJ[Ofc Code]=(TRIM(M$7)))*(CsDJ[Account Code]=(TRIM($D67))),CsDJ[Credit])))+(SUM(IF((CRDJ[Date]=$A$4)*(CRDJ[Ofc Code]=(TRIM(M$7)))*(CRDJ[Account Code]=(TRIM($D67))),CRDJ[Credit])))+(SUM(IF((GJ[Date]=$A$4)*(GJ[Ofc Code]=(TRIM(M$7)))*(GJ[Account Code]=(TRIM($D67))),GJ[Credit])))</f>
        <v>0</v>
      </c>
      <c r="N67" s="211">
        <f t="shared" si="16"/>
        <v>0</v>
      </c>
      <c r="O67" s="211">
        <f t="array" ref="O67">(SUM(IF((CkDJ[Date]=$A$4)*(CkDJ[Ofc Code]=(TRIM(O$7)))*(CkDJ[Account Code]=(TRIM($D67))),CkDJ[Debit])))+(SUM(IF((CsDJ[Date]=$A$4)*(CsDJ[Ofc Code]=(TRIM(O$7)))*(CsDJ[Account Code]=(TRIM($D67))),CsDJ[Debit])))+(SUM(IF((CRDJ[Date]=$A$4)*(CRDJ[Ofc Code]=(TRIM(O$7)))*(CRDJ[Account Code]=(TRIM($D67))),CRDJ[Debit])))+(SUM(IF((GJ[Date]=$A$4)*(GJ[Ofc Code]=(TRIM(O$7)))*(GJ[Account Code]=(TRIM($D67))),GJ[Debit])))-(SUM(IF((CkDJ[Date]=$A$4)*(CkDJ[Ofc Code]=(TRIM(O$7)))*(CkDJ[Account Code]=(TRIM($D67))),CkDJ[Credit])))+(SUM(IF((CsDJ[Date]=$A$4)*(CsDJ[Ofc Code]=(TRIM(O$7)))*(CsDJ[Account Code]=(TRIM($D67))),CsDJ[Credit])))+(SUM(IF((CRDJ[Date]=$A$4)*(CRDJ[Ofc Code]=(TRIM(O$7)))*(CRDJ[Account Code]=(TRIM($D67))),CRDJ[Credit])))+(SUM(IF((GJ[Date]=$A$4)*(GJ[Ofc Code]=(TRIM(O$7)))*(GJ[Account Code]=(TRIM($D67))),GJ[Credit])))</f>
        <v>0</v>
      </c>
      <c r="P67" s="211">
        <f t="array" ref="P67">(SUM(IF((CkDJ[Date]=$A$4)*(CkDJ[Ofc Code]=(TRIM(P$7)))*(CkDJ[Account Code]=(TRIM($D67))),CkDJ[Debit])))+(SUM(IF((CsDJ[Date]=$A$4)*(CsDJ[Ofc Code]=(TRIM(P$7)))*(CsDJ[Account Code]=(TRIM($D67))),CsDJ[Debit])))+(SUM(IF((CRDJ[Date]=$A$4)*(CRDJ[Ofc Code]=(TRIM(P$7)))*(CRDJ[Account Code]=(TRIM($D67))),CRDJ[Debit])))+(SUM(IF((GJ[Date]=$A$4)*(GJ[Ofc Code]=(TRIM(P$7)))*(GJ[Account Code]=(TRIM($D67))),GJ[Debit])))-(SUM(IF((CkDJ[Date]=$A$4)*(CkDJ[Ofc Code]=(TRIM(P$7)))*(CkDJ[Account Code]=(TRIM($D67))),CkDJ[Credit])))+(SUM(IF((CsDJ[Date]=$A$4)*(CsDJ[Ofc Code]=(TRIM(P$7)))*(CsDJ[Account Code]=(TRIM($D67))),CsDJ[Credit])))+(SUM(IF((CRDJ[Date]=$A$4)*(CRDJ[Ofc Code]=(TRIM(P$7)))*(CRDJ[Account Code]=(TRIM($D67))),CRDJ[Credit])))+(SUM(IF((GJ[Date]=$A$4)*(GJ[Ofc Code]=(TRIM(P$7)))*(GJ[Account Code]=(TRIM($D67))),GJ[Credit])))</f>
        <v>0</v>
      </c>
      <c r="Q67" s="211">
        <f t="array" ref="Q67">(SUM(IF((CkDJ[Date]=$A$4)*(CkDJ[Ofc Code]=(TRIM(Q$7)))*(CkDJ[Account Code]=(TRIM($D67))),CkDJ[Debit])))+(SUM(IF((CsDJ[Date]=$A$4)*(CsDJ[Ofc Code]=(TRIM(Q$7)))*(CsDJ[Account Code]=(TRIM($D67))),CsDJ[Debit])))+(SUM(IF((CRDJ[Date]=$A$4)*(CRDJ[Ofc Code]=(TRIM(Q$7)))*(CRDJ[Account Code]=(TRIM($D67))),CRDJ[Debit])))+(SUM(IF((GJ[Date]=$A$4)*(GJ[Ofc Code]=(TRIM(Q$7)))*(GJ[Account Code]=(TRIM($D67))),GJ[Debit])))-(SUM(IF((CkDJ[Date]=$A$4)*(CkDJ[Ofc Code]=(TRIM(Q$7)))*(CkDJ[Account Code]=(TRIM($D67))),CkDJ[Credit])))+(SUM(IF((CsDJ[Date]=$A$4)*(CsDJ[Ofc Code]=(TRIM(Q$7)))*(CsDJ[Account Code]=(TRIM($D67))),CsDJ[Credit])))+(SUM(IF((CRDJ[Date]=$A$4)*(CRDJ[Ofc Code]=(TRIM(Q$7)))*(CRDJ[Account Code]=(TRIM($D67))),CRDJ[Credit])))+(SUM(IF((GJ[Date]=$A$4)*(GJ[Ofc Code]=(TRIM(Q$7)))*(GJ[Account Code]=(TRIM($D67))),GJ[Credit])))</f>
        <v>0</v>
      </c>
      <c r="R67" s="211">
        <f t="array" ref="R67">(SUM(IF((CkDJ[Date]=$A$4)*(CkDJ[Ofc Code]=(TRIM(R$7)))*(CkDJ[Account Code]=(TRIM($D67))),CkDJ[Debit])))+(SUM(IF((CsDJ[Date]=$A$4)*(CsDJ[Ofc Code]=(TRIM(R$7)))*(CsDJ[Account Code]=(TRIM($D67))),CsDJ[Debit])))+(SUM(IF((CRDJ[Date]=$A$4)*(CRDJ[Ofc Code]=(TRIM(R$7)))*(CRDJ[Account Code]=(TRIM($D67))),CRDJ[Debit])))+(SUM(IF((GJ[Date]=$A$4)*(GJ[Ofc Code]=(TRIM(R$7)))*(GJ[Account Code]=(TRIM($D67))),GJ[Debit])))-(SUM(IF((CkDJ[Date]=$A$4)*(CkDJ[Ofc Code]=(TRIM(R$7)))*(CkDJ[Account Code]=(TRIM($D67))),CkDJ[Credit])))+(SUM(IF((CsDJ[Date]=$A$4)*(CsDJ[Ofc Code]=(TRIM(R$7)))*(CsDJ[Account Code]=(TRIM($D67))),CsDJ[Credit])))+(SUM(IF((CRDJ[Date]=$A$4)*(CRDJ[Ofc Code]=(TRIM(R$7)))*(CRDJ[Account Code]=(TRIM($D67))),CRDJ[Credit])))+(SUM(IF((GJ[Date]=$A$4)*(GJ[Ofc Code]=(TRIM(R$7)))*(GJ[Account Code]=(TRIM($D67))),GJ[Credit])))</f>
        <v>0</v>
      </c>
      <c r="S67" s="211">
        <f t="array" ref="S67">(SUM(IF((CkDJ[Date]=$A$4)*(CkDJ[Ofc Code]=(TRIM(S$7)))*(CkDJ[Account Code]=(TRIM($D67))),CkDJ[Debit])))+(SUM(IF((CsDJ[Date]=$A$4)*(CsDJ[Ofc Code]=(TRIM(S$7)))*(CsDJ[Account Code]=(TRIM($D67))),CsDJ[Debit])))+(SUM(IF((CRDJ[Date]=$A$4)*(CRDJ[Ofc Code]=(TRIM(S$7)))*(CRDJ[Account Code]=(TRIM($D67))),CRDJ[Debit])))+(SUM(IF((GJ[Date]=$A$4)*(GJ[Ofc Code]=(TRIM(S$7)))*(GJ[Account Code]=(TRIM($D67))),GJ[Debit])))-(SUM(IF((CkDJ[Date]=$A$4)*(CkDJ[Ofc Code]=(TRIM(S$7)))*(CkDJ[Account Code]=(TRIM($D67))),CkDJ[Credit])))+(SUM(IF((CsDJ[Date]=$A$4)*(CsDJ[Ofc Code]=(TRIM(S$7)))*(CsDJ[Account Code]=(TRIM($D67))),CsDJ[Credit])))+(SUM(IF((CRDJ[Date]=$A$4)*(CRDJ[Ofc Code]=(TRIM(S$7)))*(CRDJ[Account Code]=(TRIM($D67))),CRDJ[Credit])))+(SUM(IF((GJ[Date]=$A$4)*(GJ[Ofc Code]=(TRIM(S$7)))*(GJ[Account Code]=(TRIM($D67))),GJ[Credit])))</f>
        <v>0</v>
      </c>
      <c r="T67" s="211">
        <f t="shared" si="17"/>
        <v>0</v>
      </c>
      <c r="U67" s="211">
        <f t="shared" si="18"/>
        <v>0</v>
      </c>
    </row>
    <row r="68" spans="1:22" ht="15">
      <c r="A68" s="212">
        <f t="shared" si="19"/>
        <v>10</v>
      </c>
      <c r="B68" s="214" t="s">
        <v>756</v>
      </c>
      <c r="C68" s="194" t="str">
        <f t="shared" si="14"/>
        <v>Telephone Expenses - Landline</v>
      </c>
      <c r="D68" s="207">
        <v>772</v>
      </c>
      <c r="E68" s="211">
        <f t="array" ref="E68">(SUM(IF((CkDJ[Date]=$A$4)*(CkDJ[Ofc Code]=(TRIM(E$7)))*(CkDJ[Account Code]=(TRIM($D68))),CkDJ[Debit])))+(SUM(IF((CsDJ[Date]=$A$4)*(CsDJ[Ofc Code]=(TRIM(E$7)))*(CsDJ[Account Code]=(TRIM($D68))),CsDJ[Debit])))+(SUM(IF((CRDJ[Date]=$A$4)*(CRDJ[Ofc Code]=(TRIM(E$7)))*(CRDJ[Account Code]=(TRIM($D68))),CRDJ[Debit])))+(SUM(IF((GJ[Date]=$A$4)*(GJ[Ofc Code]=(TRIM(E$7)))*(GJ[Account Code]=(TRIM($D68))),GJ[Debit])))-(SUM(IF((CkDJ[Date]=$A$4)*(CkDJ[Ofc Code]=(TRIM(E$7)))*(CkDJ[Account Code]=(TRIM($D68))),CkDJ[Credit])))+(SUM(IF((CsDJ[Date]=$A$4)*(CsDJ[Ofc Code]=(TRIM(E$7)))*(CsDJ[Account Code]=(TRIM($D68))),CsDJ[Credit])))+(SUM(IF((CRDJ[Date]=$A$4)*(CRDJ[Ofc Code]=(TRIM(E$7)))*(CRDJ[Account Code]=(TRIM($D68))),CRDJ[Credit])))+(SUM(IF((GJ[Date]=$A$4)*(GJ[Ofc Code]=(TRIM(E$7)))*(GJ[Account Code]=(TRIM($D68))),GJ[Credit])))</f>
        <v>0</v>
      </c>
      <c r="F68" s="211">
        <f t="array" ref="F68">(SUM(IF((CkDJ[Date]=$A$4)*(CkDJ[Ofc Code]=(TRIM(F$7)))*(CkDJ[Account Code]=(TRIM($D68))),CkDJ[Debit])))+(SUM(IF((CsDJ[Date]=$A$4)*(CsDJ[Ofc Code]=(TRIM(F$7)))*(CsDJ[Account Code]=(TRIM($D68))),CsDJ[Debit])))+(SUM(IF((CRDJ[Date]=$A$4)*(CRDJ[Ofc Code]=(TRIM(F$7)))*(CRDJ[Account Code]=(TRIM($D68))),CRDJ[Debit])))+(SUM(IF((GJ[Date]=$A$4)*(GJ[Ofc Code]=(TRIM(F$7)))*(GJ[Account Code]=(TRIM($D68))),GJ[Debit])))-(SUM(IF((CkDJ[Date]=$A$4)*(CkDJ[Ofc Code]=(TRIM(F$7)))*(CkDJ[Account Code]=(TRIM($D68))),CkDJ[Credit])))+(SUM(IF((CsDJ[Date]=$A$4)*(CsDJ[Ofc Code]=(TRIM(F$7)))*(CsDJ[Account Code]=(TRIM($D68))),CsDJ[Credit])))+(SUM(IF((CRDJ[Date]=$A$4)*(CRDJ[Ofc Code]=(TRIM(F$7)))*(CRDJ[Account Code]=(TRIM($D68))),CRDJ[Credit])))+(SUM(IF((GJ[Date]=$A$4)*(GJ[Ofc Code]=(TRIM(F$7)))*(GJ[Account Code]=(TRIM($D68))),GJ[Credit])))</f>
        <v>0</v>
      </c>
      <c r="G68" s="211">
        <f t="array" ref="G68">(SUM(IF((CkDJ[Date]=$A$4)*(CkDJ[Ofc Code]=(TRIM(G$7)))*(CkDJ[Account Code]=(TRIM($D68))),CkDJ[Debit])))+(SUM(IF((CsDJ[Date]=$A$4)*(CsDJ[Ofc Code]=(TRIM(G$7)))*(CsDJ[Account Code]=(TRIM($D68))),CsDJ[Debit])))+(SUM(IF((CRDJ[Date]=$A$4)*(CRDJ[Ofc Code]=(TRIM(G$7)))*(CRDJ[Account Code]=(TRIM($D68))),CRDJ[Debit])))+(SUM(IF((GJ[Date]=$A$4)*(GJ[Ofc Code]=(TRIM(G$7)))*(GJ[Account Code]=(TRIM($D68))),GJ[Debit])))-(SUM(IF((CkDJ[Date]=$A$4)*(CkDJ[Ofc Code]=(TRIM(G$7)))*(CkDJ[Account Code]=(TRIM($D68))),CkDJ[Credit])))+(SUM(IF((CsDJ[Date]=$A$4)*(CsDJ[Ofc Code]=(TRIM(G$7)))*(CsDJ[Account Code]=(TRIM($D68))),CsDJ[Credit])))+(SUM(IF((CRDJ[Date]=$A$4)*(CRDJ[Ofc Code]=(TRIM(G$7)))*(CRDJ[Account Code]=(TRIM($D68))),CRDJ[Credit])))+(SUM(IF((GJ[Date]=$A$4)*(GJ[Ofc Code]=(TRIM(G$7)))*(GJ[Account Code]=(TRIM($D68))),GJ[Credit])))</f>
        <v>0</v>
      </c>
      <c r="H68" s="211">
        <f t="array" ref="H68">(SUM(IF((CkDJ[Date]=$A$4)*(CkDJ[Ofc Code]=(TRIM(H$7)))*(CkDJ[Account Code]=(TRIM($D68))),CkDJ[Debit])))+(SUM(IF((CsDJ[Date]=$A$4)*(CsDJ[Ofc Code]=(TRIM(H$7)))*(CsDJ[Account Code]=(TRIM($D68))),CsDJ[Debit])))+(SUM(IF((CRDJ[Date]=$A$4)*(CRDJ[Ofc Code]=(TRIM(H$7)))*(CRDJ[Account Code]=(TRIM($D68))),CRDJ[Debit])))+(SUM(IF((GJ[Date]=$A$4)*(GJ[Ofc Code]=(TRIM(H$7)))*(GJ[Account Code]=(TRIM($D68))),GJ[Debit])))-(SUM(IF((CkDJ[Date]=$A$4)*(CkDJ[Ofc Code]=(TRIM(H$7)))*(CkDJ[Account Code]=(TRIM($D68))),CkDJ[Credit])))+(SUM(IF((CsDJ[Date]=$A$4)*(CsDJ[Ofc Code]=(TRIM(H$7)))*(CsDJ[Account Code]=(TRIM($D68))),CsDJ[Credit])))+(SUM(IF((CRDJ[Date]=$A$4)*(CRDJ[Ofc Code]=(TRIM(H$7)))*(CRDJ[Account Code]=(TRIM($D68))),CRDJ[Credit])))+(SUM(IF((GJ[Date]=$A$4)*(GJ[Ofc Code]=(TRIM(H$7)))*(GJ[Account Code]=(TRIM($D68))),GJ[Credit])))</f>
        <v>0</v>
      </c>
      <c r="I68" s="211">
        <f t="shared" si="15"/>
        <v>0</v>
      </c>
      <c r="J68" s="211">
        <f t="array" ref="J68">(SUM(IF((CkDJ[Date]=$A$4)*(CkDJ[Ofc Code]=(TRIM(J$7)))*(CkDJ[Account Code]=(TRIM($D68))),CkDJ[Debit])))+(SUM(IF((CsDJ[Date]=$A$4)*(CsDJ[Ofc Code]=(TRIM(J$7)))*(CsDJ[Account Code]=(TRIM($D68))),CsDJ[Debit])))+(SUM(IF((CRDJ[Date]=$A$4)*(CRDJ[Ofc Code]=(TRIM(J$7)))*(CRDJ[Account Code]=(TRIM($D68))),CRDJ[Debit])))+(SUM(IF((GJ[Date]=$A$4)*(GJ[Ofc Code]=(TRIM(J$7)))*(GJ[Account Code]=(TRIM($D68))),GJ[Debit])))-(SUM(IF((CkDJ[Date]=$A$4)*(CkDJ[Ofc Code]=(TRIM(J$7)))*(CkDJ[Account Code]=(TRIM($D68))),CkDJ[Credit])))+(SUM(IF((CsDJ[Date]=$A$4)*(CsDJ[Ofc Code]=(TRIM(J$7)))*(CsDJ[Account Code]=(TRIM($D68))),CsDJ[Credit])))+(SUM(IF((CRDJ[Date]=$A$4)*(CRDJ[Ofc Code]=(TRIM(J$7)))*(CRDJ[Account Code]=(TRIM($D68))),CRDJ[Credit])))+(SUM(IF((GJ[Date]=$A$4)*(GJ[Ofc Code]=(TRIM(J$7)))*(GJ[Account Code]=(TRIM($D68))),GJ[Credit])))</f>
        <v>0</v>
      </c>
      <c r="K68" s="211">
        <f t="array" ref="K68">(SUM(IF((CkDJ[Date]=$A$4)*(CkDJ[Ofc Code]=(TRIM(K$7)))*(CkDJ[Account Code]=(TRIM($D68))),CkDJ[Debit])))+(SUM(IF((CsDJ[Date]=$A$4)*(CsDJ[Ofc Code]=(TRIM(K$7)))*(CsDJ[Account Code]=(TRIM($D68))),CsDJ[Debit])))+(SUM(IF((CRDJ[Date]=$A$4)*(CRDJ[Ofc Code]=(TRIM(K$7)))*(CRDJ[Account Code]=(TRIM($D68))),CRDJ[Debit])))+(SUM(IF((GJ[Date]=$A$4)*(GJ[Ofc Code]=(TRIM(K$7)))*(GJ[Account Code]=(TRIM($D68))),GJ[Debit])))-(SUM(IF((CkDJ[Date]=$A$4)*(CkDJ[Ofc Code]=(TRIM(K$7)))*(CkDJ[Account Code]=(TRIM($D68))),CkDJ[Credit])))+(SUM(IF((CsDJ[Date]=$A$4)*(CsDJ[Ofc Code]=(TRIM(K$7)))*(CsDJ[Account Code]=(TRIM($D68))),CsDJ[Credit])))+(SUM(IF((CRDJ[Date]=$A$4)*(CRDJ[Ofc Code]=(TRIM(K$7)))*(CRDJ[Account Code]=(TRIM($D68))),CRDJ[Credit])))+(SUM(IF((GJ[Date]=$A$4)*(GJ[Ofc Code]=(TRIM(K$7)))*(GJ[Account Code]=(TRIM($D68))),GJ[Credit])))</f>
        <v>0</v>
      </c>
      <c r="L68" s="211">
        <f t="array" ref="L68">(SUM(IF((CkDJ[Date]=$A$4)*(CkDJ[Ofc Code]=(TRIM(L$7)))*(CkDJ[Account Code]=(TRIM($D68))),CkDJ[Debit])))+(SUM(IF((CsDJ[Date]=$A$4)*(CsDJ[Ofc Code]=(TRIM(L$7)))*(CsDJ[Account Code]=(TRIM($D68))),CsDJ[Debit])))+(SUM(IF((CRDJ[Date]=$A$4)*(CRDJ[Ofc Code]=(TRIM(L$7)))*(CRDJ[Account Code]=(TRIM($D68))),CRDJ[Debit])))+(SUM(IF((GJ[Date]=$A$4)*(GJ[Ofc Code]=(TRIM(L$7)))*(GJ[Account Code]=(TRIM($D68))),GJ[Debit])))-(SUM(IF((CkDJ[Date]=$A$4)*(CkDJ[Ofc Code]=(TRIM(L$7)))*(CkDJ[Account Code]=(TRIM($D68))),CkDJ[Credit])))+(SUM(IF((CsDJ[Date]=$A$4)*(CsDJ[Ofc Code]=(TRIM(L$7)))*(CsDJ[Account Code]=(TRIM($D68))),CsDJ[Credit])))+(SUM(IF((CRDJ[Date]=$A$4)*(CRDJ[Ofc Code]=(TRIM(L$7)))*(CRDJ[Account Code]=(TRIM($D68))),CRDJ[Credit])))+(SUM(IF((GJ[Date]=$A$4)*(GJ[Ofc Code]=(TRIM(L$7)))*(GJ[Account Code]=(TRIM($D68))),GJ[Credit])))</f>
        <v>0</v>
      </c>
      <c r="M68" s="211">
        <f t="array" ref="M68">(SUM(IF((CkDJ[Date]=$A$4)*(CkDJ[Ofc Code]=(TRIM(M$7)))*(CkDJ[Account Code]=(TRIM($D68))),CkDJ[Debit])))+(SUM(IF((CsDJ[Date]=$A$4)*(CsDJ[Ofc Code]=(TRIM(M$7)))*(CsDJ[Account Code]=(TRIM($D68))),CsDJ[Debit])))+(SUM(IF((CRDJ[Date]=$A$4)*(CRDJ[Ofc Code]=(TRIM(M$7)))*(CRDJ[Account Code]=(TRIM($D68))),CRDJ[Debit])))+(SUM(IF((GJ[Date]=$A$4)*(GJ[Ofc Code]=(TRIM(M$7)))*(GJ[Account Code]=(TRIM($D68))),GJ[Debit])))-(SUM(IF((CkDJ[Date]=$A$4)*(CkDJ[Ofc Code]=(TRIM(M$7)))*(CkDJ[Account Code]=(TRIM($D68))),CkDJ[Credit])))+(SUM(IF((CsDJ[Date]=$A$4)*(CsDJ[Ofc Code]=(TRIM(M$7)))*(CsDJ[Account Code]=(TRIM($D68))),CsDJ[Credit])))+(SUM(IF((CRDJ[Date]=$A$4)*(CRDJ[Ofc Code]=(TRIM(M$7)))*(CRDJ[Account Code]=(TRIM($D68))),CRDJ[Credit])))+(SUM(IF((GJ[Date]=$A$4)*(GJ[Ofc Code]=(TRIM(M$7)))*(GJ[Account Code]=(TRIM($D68))),GJ[Credit])))</f>
        <v>0</v>
      </c>
      <c r="N68" s="211">
        <f t="shared" si="16"/>
        <v>0</v>
      </c>
      <c r="O68" s="211">
        <f t="array" ref="O68">(SUM(IF((CkDJ[Date]=$A$4)*(CkDJ[Ofc Code]=(TRIM(O$7)))*(CkDJ[Account Code]=(TRIM($D68))),CkDJ[Debit])))+(SUM(IF((CsDJ[Date]=$A$4)*(CsDJ[Ofc Code]=(TRIM(O$7)))*(CsDJ[Account Code]=(TRIM($D68))),CsDJ[Debit])))+(SUM(IF((CRDJ[Date]=$A$4)*(CRDJ[Ofc Code]=(TRIM(O$7)))*(CRDJ[Account Code]=(TRIM($D68))),CRDJ[Debit])))+(SUM(IF((GJ[Date]=$A$4)*(GJ[Ofc Code]=(TRIM(O$7)))*(GJ[Account Code]=(TRIM($D68))),GJ[Debit])))-(SUM(IF((CkDJ[Date]=$A$4)*(CkDJ[Ofc Code]=(TRIM(O$7)))*(CkDJ[Account Code]=(TRIM($D68))),CkDJ[Credit])))+(SUM(IF((CsDJ[Date]=$A$4)*(CsDJ[Ofc Code]=(TRIM(O$7)))*(CsDJ[Account Code]=(TRIM($D68))),CsDJ[Credit])))+(SUM(IF((CRDJ[Date]=$A$4)*(CRDJ[Ofc Code]=(TRIM(O$7)))*(CRDJ[Account Code]=(TRIM($D68))),CRDJ[Credit])))+(SUM(IF((GJ[Date]=$A$4)*(GJ[Ofc Code]=(TRIM(O$7)))*(GJ[Account Code]=(TRIM($D68))),GJ[Credit])))</f>
        <v>0</v>
      </c>
      <c r="P68" s="211">
        <f t="array" ref="P68">(SUM(IF((CkDJ[Date]=$A$4)*(CkDJ[Ofc Code]=(TRIM(P$7)))*(CkDJ[Account Code]=(TRIM($D68))),CkDJ[Debit])))+(SUM(IF((CsDJ[Date]=$A$4)*(CsDJ[Ofc Code]=(TRIM(P$7)))*(CsDJ[Account Code]=(TRIM($D68))),CsDJ[Debit])))+(SUM(IF((CRDJ[Date]=$A$4)*(CRDJ[Ofc Code]=(TRIM(P$7)))*(CRDJ[Account Code]=(TRIM($D68))),CRDJ[Debit])))+(SUM(IF((GJ[Date]=$A$4)*(GJ[Ofc Code]=(TRIM(P$7)))*(GJ[Account Code]=(TRIM($D68))),GJ[Debit])))-(SUM(IF((CkDJ[Date]=$A$4)*(CkDJ[Ofc Code]=(TRIM(P$7)))*(CkDJ[Account Code]=(TRIM($D68))),CkDJ[Credit])))+(SUM(IF((CsDJ[Date]=$A$4)*(CsDJ[Ofc Code]=(TRIM(P$7)))*(CsDJ[Account Code]=(TRIM($D68))),CsDJ[Credit])))+(SUM(IF((CRDJ[Date]=$A$4)*(CRDJ[Ofc Code]=(TRIM(P$7)))*(CRDJ[Account Code]=(TRIM($D68))),CRDJ[Credit])))+(SUM(IF((GJ[Date]=$A$4)*(GJ[Ofc Code]=(TRIM(P$7)))*(GJ[Account Code]=(TRIM($D68))),GJ[Credit])))</f>
        <v>0</v>
      </c>
      <c r="Q68" s="211">
        <f t="array" ref="Q68">(SUM(IF((CkDJ[Date]=$A$4)*(CkDJ[Ofc Code]=(TRIM(Q$7)))*(CkDJ[Account Code]=(TRIM($D68))),CkDJ[Debit])))+(SUM(IF((CsDJ[Date]=$A$4)*(CsDJ[Ofc Code]=(TRIM(Q$7)))*(CsDJ[Account Code]=(TRIM($D68))),CsDJ[Debit])))+(SUM(IF((CRDJ[Date]=$A$4)*(CRDJ[Ofc Code]=(TRIM(Q$7)))*(CRDJ[Account Code]=(TRIM($D68))),CRDJ[Debit])))+(SUM(IF((GJ[Date]=$A$4)*(GJ[Ofc Code]=(TRIM(Q$7)))*(GJ[Account Code]=(TRIM($D68))),GJ[Debit])))-(SUM(IF((CkDJ[Date]=$A$4)*(CkDJ[Ofc Code]=(TRIM(Q$7)))*(CkDJ[Account Code]=(TRIM($D68))),CkDJ[Credit])))+(SUM(IF((CsDJ[Date]=$A$4)*(CsDJ[Ofc Code]=(TRIM(Q$7)))*(CsDJ[Account Code]=(TRIM($D68))),CsDJ[Credit])))+(SUM(IF((CRDJ[Date]=$A$4)*(CRDJ[Ofc Code]=(TRIM(Q$7)))*(CRDJ[Account Code]=(TRIM($D68))),CRDJ[Credit])))+(SUM(IF((GJ[Date]=$A$4)*(GJ[Ofc Code]=(TRIM(Q$7)))*(GJ[Account Code]=(TRIM($D68))),GJ[Credit])))</f>
        <v>0</v>
      </c>
      <c r="R68" s="211">
        <f t="array" ref="R68">(SUM(IF((CkDJ[Date]=$A$4)*(CkDJ[Ofc Code]=(TRIM(R$7)))*(CkDJ[Account Code]=(TRIM($D68))),CkDJ[Debit])))+(SUM(IF((CsDJ[Date]=$A$4)*(CsDJ[Ofc Code]=(TRIM(R$7)))*(CsDJ[Account Code]=(TRIM($D68))),CsDJ[Debit])))+(SUM(IF((CRDJ[Date]=$A$4)*(CRDJ[Ofc Code]=(TRIM(R$7)))*(CRDJ[Account Code]=(TRIM($D68))),CRDJ[Debit])))+(SUM(IF((GJ[Date]=$A$4)*(GJ[Ofc Code]=(TRIM(R$7)))*(GJ[Account Code]=(TRIM($D68))),GJ[Debit])))-(SUM(IF((CkDJ[Date]=$A$4)*(CkDJ[Ofc Code]=(TRIM(R$7)))*(CkDJ[Account Code]=(TRIM($D68))),CkDJ[Credit])))+(SUM(IF((CsDJ[Date]=$A$4)*(CsDJ[Ofc Code]=(TRIM(R$7)))*(CsDJ[Account Code]=(TRIM($D68))),CsDJ[Credit])))+(SUM(IF((CRDJ[Date]=$A$4)*(CRDJ[Ofc Code]=(TRIM(R$7)))*(CRDJ[Account Code]=(TRIM($D68))),CRDJ[Credit])))+(SUM(IF((GJ[Date]=$A$4)*(GJ[Ofc Code]=(TRIM(R$7)))*(GJ[Account Code]=(TRIM($D68))),GJ[Credit])))</f>
        <v>0</v>
      </c>
      <c r="S68" s="211">
        <f t="array" ref="S68">(SUM(IF((CkDJ[Date]=$A$4)*(CkDJ[Ofc Code]=(TRIM(S$7)))*(CkDJ[Account Code]=(TRIM($D68))),CkDJ[Debit])))+(SUM(IF((CsDJ[Date]=$A$4)*(CsDJ[Ofc Code]=(TRIM(S$7)))*(CsDJ[Account Code]=(TRIM($D68))),CsDJ[Debit])))+(SUM(IF((CRDJ[Date]=$A$4)*(CRDJ[Ofc Code]=(TRIM(S$7)))*(CRDJ[Account Code]=(TRIM($D68))),CRDJ[Debit])))+(SUM(IF((GJ[Date]=$A$4)*(GJ[Ofc Code]=(TRIM(S$7)))*(GJ[Account Code]=(TRIM($D68))),GJ[Debit])))-(SUM(IF((CkDJ[Date]=$A$4)*(CkDJ[Ofc Code]=(TRIM(S$7)))*(CkDJ[Account Code]=(TRIM($D68))),CkDJ[Credit])))+(SUM(IF((CsDJ[Date]=$A$4)*(CsDJ[Ofc Code]=(TRIM(S$7)))*(CsDJ[Account Code]=(TRIM($D68))),CsDJ[Credit])))+(SUM(IF((CRDJ[Date]=$A$4)*(CRDJ[Ofc Code]=(TRIM(S$7)))*(CRDJ[Account Code]=(TRIM($D68))),CRDJ[Credit])))+(SUM(IF((GJ[Date]=$A$4)*(GJ[Ofc Code]=(TRIM(S$7)))*(GJ[Account Code]=(TRIM($D68))),GJ[Credit])))</f>
        <v>0</v>
      </c>
      <c r="T68" s="211">
        <f t="shared" si="17"/>
        <v>0</v>
      </c>
      <c r="U68" s="211">
        <f t="shared" si="18"/>
        <v>0</v>
      </c>
    </row>
    <row r="69" spans="1:22" ht="15">
      <c r="A69" s="212">
        <f t="shared" si="19"/>
        <v>11</v>
      </c>
      <c r="B69" s="214" t="s">
        <v>756</v>
      </c>
      <c r="C69" s="194" t="str">
        <f t="shared" si="14"/>
        <v>Telephone Expenses - Mobile</v>
      </c>
      <c r="D69" s="207">
        <v>773</v>
      </c>
      <c r="E69" s="211">
        <f t="array" ref="E69">(SUM(IF((CkDJ[Date]=$A$4)*(CkDJ[Ofc Code]=(TRIM(E$7)))*(CkDJ[Account Code]=(TRIM($D69))),CkDJ[Debit])))+(SUM(IF((CsDJ[Date]=$A$4)*(CsDJ[Ofc Code]=(TRIM(E$7)))*(CsDJ[Account Code]=(TRIM($D69))),CsDJ[Debit])))+(SUM(IF((CRDJ[Date]=$A$4)*(CRDJ[Ofc Code]=(TRIM(E$7)))*(CRDJ[Account Code]=(TRIM($D69))),CRDJ[Debit])))+(SUM(IF((GJ[Date]=$A$4)*(GJ[Ofc Code]=(TRIM(E$7)))*(GJ[Account Code]=(TRIM($D69))),GJ[Debit])))-(SUM(IF((CkDJ[Date]=$A$4)*(CkDJ[Ofc Code]=(TRIM(E$7)))*(CkDJ[Account Code]=(TRIM($D69))),CkDJ[Credit])))+(SUM(IF((CsDJ[Date]=$A$4)*(CsDJ[Ofc Code]=(TRIM(E$7)))*(CsDJ[Account Code]=(TRIM($D69))),CsDJ[Credit])))+(SUM(IF((CRDJ[Date]=$A$4)*(CRDJ[Ofc Code]=(TRIM(E$7)))*(CRDJ[Account Code]=(TRIM($D69))),CRDJ[Credit])))+(SUM(IF((GJ[Date]=$A$4)*(GJ[Ofc Code]=(TRIM(E$7)))*(GJ[Account Code]=(TRIM($D69))),GJ[Credit])))</f>
        <v>0</v>
      </c>
      <c r="F69" s="211">
        <f t="array" ref="F69">(SUM(IF((CkDJ[Date]=$A$4)*(CkDJ[Ofc Code]=(TRIM(F$7)))*(CkDJ[Account Code]=(TRIM($D69))),CkDJ[Debit])))+(SUM(IF((CsDJ[Date]=$A$4)*(CsDJ[Ofc Code]=(TRIM(F$7)))*(CsDJ[Account Code]=(TRIM($D69))),CsDJ[Debit])))+(SUM(IF((CRDJ[Date]=$A$4)*(CRDJ[Ofc Code]=(TRIM(F$7)))*(CRDJ[Account Code]=(TRIM($D69))),CRDJ[Debit])))+(SUM(IF((GJ[Date]=$A$4)*(GJ[Ofc Code]=(TRIM(F$7)))*(GJ[Account Code]=(TRIM($D69))),GJ[Debit])))-(SUM(IF((CkDJ[Date]=$A$4)*(CkDJ[Ofc Code]=(TRIM(F$7)))*(CkDJ[Account Code]=(TRIM($D69))),CkDJ[Credit])))+(SUM(IF((CsDJ[Date]=$A$4)*(CsDJ[Ofc Code]=(TRIM(F$7)))*(CsDJ[Account Code]=(TRIM($D69))),CsDJ[Credit])))+(SUM(IF((CRDJ[Date]=$A$4)*(CRDJ[Ofc Code]=(TRIM(F$7)))*(CRDJ[Account Code]=(TRIM($D69))),CRDJ[Credit])))+(SUM(IF((GJ[Date]=$A$4)*(GJ[Ofc Code]=(TRIM(F$7)))*(GJ[Account Code]=(TRIM($D69))),GJ[Credit])))</f>
        <v>0</v>
      </c>
      <c r="G69" s="211">
        <f t="array" ref="G69">(SUM(IF((CkDJ[Date]=$A$4)*(CkDJ[Ofc Code]=(TRIM(G$7)))*(CkDJ[Account Code]=(TRIM($D69))),CkDJ[Debit])))+(SUM(IF((CsDJ[Date]=$A$4)*(CsDJ[Ofc Code]=(TRIM(G$7)))*(CsDJ[Account Code]=(TRIM($D69))),CsDJ[Debit])))+(SUM(IF((CRDJ[Date]=$A$4)*(CRDJ[Ofc Code]=(TRIM(G$7)))*(CRDJ[Account Code]=(TRIM($D69))),CRDJ[Debit])))+(SUM(IF((GJ[Date]=$A$4)*(GJ[Ofc Code]=(TRIM(G$7)))*(GJ[Account Code]=(TRIM($D69))),GJ[Debit])))-(SUM(IF((CkDJ[Date]=$A$4)*(CkDJ[Ofc Code]=(TRIM(G$7)))*(CkDJ[Account Code]=(TRIM($D69))),CkDJ[Credit])))+(SUM(IF((CsDJ[Date]=$A$4)*(CsDJ[Ofc Code]=(TRIM(G$7)))*(CsDJ[Account Code]=(TRIM($D69))),CsDJ[Credit])))+(SUM(IF((CRDJ[Date]=$A$4)*(CRDJ[Ofc Code]=(TRIM(G$7)))*(CRDJ[Account Code]=(TRIM($D69))),CRDJ[Credit])))+(SUM(IF((GJ[Date]=$A$4)*(GJ[Ofc Code]=(TRIM(G$7)))*(GJ[Account Code]=(TRIM($D69))),GJ[Credit])))</f>
        <v>0</v>
      </c>
      <c r="H69" s="211">
        <f t="array" ref="H69">(SUM(IF((CkDJ[Date]=$A$4)*(CkDJ[Ofc Code]=(TRIM(H$7)))*(CkDJ[Account Code]=(TRIM($D69))),CkDJ[Debit])))+(SUM(IF((CsDJ[Date]=$A$4)*(CsDJ[Ofc Code]=(TRIM(H$7)))*(CsDJ[Account Code]=(TRIM($D69))),CsDJ[Debit])))+(SUM(IF((CRDJ[Date]=$A$4)*(CRDJ[Ofc Code]=(TRIM(H$7)))*(CRDJ[Account Code]=(TRIM($D69))),CRDJ[Debit])))+(SUM(IF((GJ[Date]=$A$4)*(GJ[Ofc Code]=(TRIM(H$7)))*(GJ[Account Code]=(TRIM($D69))),GJ[Debit])))-(SUM(IF((CkDJ[Date]=$A$4)*(CkDJ[Ofc Code]=(TRIM(H$7)))*(CkDJ[Account Code]=(TRIM($D69))),CkDJ[Credit])))+(SUM(IF((CsDJ[Date]=$A$4)*(CsDJ[Ofc Code]=(TRIM(H$7)))*(CsDJ[Account Code]=(TRIM($D69))),CsDJ[Credit])))+(SUM(IF((CRDJ[Date]=$A$4)*(CRDJ[Ofc Code]=(TRIM(H$7)))*(CRDJ[Account Code]=(TRIM($D69))),CRDJ[Credit])))+(SUM(IF((GJ[Date]=$A$4)*(GJ[Ofc Code]=(TRIM(H$7)))*(GJ[Account Code]=(TRIM($D69))),GJ[Credit])))</f>
        <v>0</v>
      </c>
      <c r="I69" s="211">
        <f t="shared" si="15"/>
        <v>0</v>
      </c>
      <c r="J69" s="211">
        <f t="array" ref="J69">(SUM(IF((CkDJ[Date]=$A$4)*(CkDJ[Ofc Code]=(TRIM(J$7)))*(CkDJ[Account Code]=(TRIM($D69))),CkDJ[Debit])))+(SUM(IF((CsDJ[Date]=$A$4)*(CsDJ[Ofc Code]=(TRIM(J$7)))*(CsDJ[Account Code]=(TRIM($D69))),CsDJ[Debit])))+(SUM(IF((CRDJ[Date]=$A$4)*(CRDJ[Ofc Code]=(TRIM(J$7)))*(CRDJ[Account Code]=(TRIM($D69))),CRDJ[Debit])))+(SUM(IF((GJ[Date]=$A$4)*(GJ[Ofc Code]=(TRIM(J$7)))*(GJ[Account Code]=(TRIM($D69))),GJ[Debit])))-(SUM(IF((CkDJ[Date]=$A$4)*(CkDJ[Ofc Code]=(TRIM(J$7)))*(CkDJ[Account Code]=(TRIM($D69))),CkDJ[Credit])))+(SUM(IF((CsDJ[Date]=$A$4)*(CsDJ[Ofc Code]=(TRIM(J$7)))*(CsDJ[Account Code]=(TRIM($D69))),CsDJ[Credit])))+(SUM(IF((CRDJ[Date]=$A$4)*(CRDJ[Ofc Code]=(TRIM(J$7)))*(CRDJ[Account Code]=(TRIM($D69))),CRDJ[Credit])))+(SUM(IF((GJ[Date]=$A$4)*(GJ[Ofc Code]=(TRIM(J$7)))*(GJ[Account Code]=(TRIM($D69))),GJ[Credit])))</f>
        <v>0</v>
      </c>
      <c r="K69" s="211">
        <f t="array" ref="K69">(SUM(IF((CkDJ[Date]=$A$4)*(CkDJ[Ofc Code]=(TRIM(K$7)))*(CkDJ[Account Code]=(TRIM($D69))),CkDJ[Debit])))+(SUM(IF((CsDJ[Date]=$A$4)*(CsDJ[Ofc Code]=(TRIM(K$7)))*(CsDJ[Account Code]=(TRIM($D69))),CsDJ[Debit])))+(SUM(IF((CRDJ[Date]=$A$4)*(CRDJ[Ofc Code]=(TRIM(K$7)))*(CRDJ[Account Code]=(TRIM($D69))),CRDJ[Debit])))+(SUM(IF((GJ[Date]=$A$4)*(GJ[Ofc Code]=(TRIM(K$7)))*(GJ[Account Code]=(TRIM($D69))),GJ[Debit])))-(SUM(IF((CkDJ[Date]=$A$4)*(CkDJ[Ofc Code]=(TRIM(K$7)))*(CkDJ[Account Code]=(TRIM($D69))),CkDJ[Credit])))+(SUM(IF((CsDJ[Date]=$A$4)*(CsDJ[Ofc Code]=(TRIM(K$7)))*(CsDJ[Account Code]=(TRIM($D69))),CsDJ[Credit])))+(SUM(IF((CRDJ[Date]=$A$4)*(CRDJ[Ofc Code]=(TRIM(K$7)))*(CRDJ[Account Code]=(TRIM($D69))),CRDJ[Credit])))+(SUM(IF((GJ[Date]=$A$4)*(GJ[Ofc Code]=(TRIM(K$7)))*(GJ[Account Code]=(TRIM($D69))),GJ[Credit])))</f>
        <v>0</v>
      </c>
      <c r="L69" s="211">
        <f t="array" ref="L69">(SUM(IF((CkDJ[Date]=$A$4)*(CkDJ[Ofc Code]=(TRIM(L$7)))*(CkDJ[Account Code]=(TRIM($D69))),CkDJ[Debit])))+(SUM(IF((CsDJ[Date]=$A$4)*(CsDJ[Ofc Code]=(TRIM(L$7)))*(CsDJ[Account Code]=(TRIM($D69))),CsDJ[Debit])))+(SUM(IF((CRDJ[Date]=$A$4)*(CRDJ[Ofc Code]=(TRIM(L$7)))*(CRDJ[Account Code]=(TRIM($D69))),CRDJ[Debit])))+(SUM(IF((GJ[Date]=$A$4)*(GJ[Ofc Code]=(TRIM(L$7)))*(GJ[Account Code]=(TRIM($D69))),GJ[Debit])))-(SUM(IF((CkDJ[Date]=$A$4)*(CkDJ[Ofc Code]=(TRIM(L$7)))*(CkDJ[Account Code]=(TRIM($D69))),CkDJ[Credit])))+(SUM(IF((CsDJ[Date]=$A$4)*(CsDJ[Ofc Code]=(TRIM(L$7)))*(CsDJ[Account Code]=(TRIM($D69))),CsDJ[Credit])))+(SUM(IF((CRDJ[Date]=$A$4)*(CRDJ[Ofc Code]=(TRIM(L$7)))*(CRDJ[Account Code]=(TRIM($D69))),CRDJ[Credit])))+(SUM(IF((GJ[Date]=$A$4)*(GJ[Ofc Code]=(TRIM(L$7)))*(GJ[Account Code]=(TRIM($D69))),GJ[Credit])))</f>
        <v>0</v>
      </c>
      <c r="M69" s="211">
        <f t="array" ref="M69">(SUM(IF((CkDJ[Date]=$A$4)*(CkDJ[Ofc Code]=(TRIM(M$7)))*(CkDJ[Account Code]=(TRIM($D69))),CkDJ[Debit])))+(SUM(IF((CsDJ[Date]=$A$4)*(CsDJ[Ofc Code]=(TRIM(M$7)))*(CsDJ[Account Code]=(TRIM($D69))),CsDJ[Debit])))+(SUM(IF((CRDJ[Date]=$A$4)*(CRDJ[Ofc Code]=(TRIM(M$7)))*(CRDJ[Account Code]=(TRIM($D69))),CRDJ[Debit])))+(SUM(IF((GJ[Date]=$A$4)*(GJ[Ofc Code]=(TRIM(M$7)))*(GJ[Account Code]=(TRIM($D69))),GJ[Debit])))-(SUM(IF((CkDJ[Date]=$A$4)*(CkDJ[Ofc Code]=(TRIM(M$7)))*(CkDJ[Account Code]=(TRIM($D69))),CkDJ[Credit])))+(SUM(IF((CsDJ[Date]=$A$4)*(CsDJ[Ofc Code]=(TRIM(M$7)))*(CsDJ[Account Code]=(TRIM($D69))),CsDJ[Credit])))+(SUM(IF((CRDJ[Date]=$A$4)*(CRDJ[Ofc Code]=(TRIM(M$7)))*(CRDJ[Account Code]=(TRIM($D69))),CRDJ[Credit])))+(SUM(IF((GJ[Date]=$A$4)*(GJ[Ofc Code]=(TRIM(M$7)))*(GJ[Account Code]=(TRIM($D69))),GJ[Credit])))</f>
        <v>0</v>
      </c>
      <c r="N69" s="211">
        <f t="shared" si="16"/>
        <v>0</v>
      </c>
      <c r="O69" s="211">
        <f t="array" ref="O69">(SUM(IF((CkDJ[Date]=$A$4)*(CkDJ[Ofc Code]=(TRIM(O$7)))*(CkDJ[Account Code]=(TRIM($D69))),CkDJ[Debit])))+(SUM(IF((CsDJ[Date]=$A$4)*(CsDJ[Ofc Code]=(TRIM(O$7)))*(CsDJ[Account Code]=(TRIM($D69))),CsDJ[Debit])))+(SUM(IF((CRDJ[Date]=$A$4)*(CRDJ[Ofc Code]=(TRIM(O$7)))*(CRDJ[Account Code]=(TRIM($D69))),CRDJ[Debit])))+(SUM(IF((GJ[Date]=$A$4)*(GJ[Ofc Code]=(TRIM(O$7)))*(GJ[Account Code]=(TRIM($D69))),GJ[Debit])))-(SUM(IF((CkDJ[Date]=$A$4)*(CkDJ[Ofc Code]=(TRIM(O$7)))*(CkDJ[Account Code]=(TRIM($D69))),CkDJ[Credit])))+(SUM(IF((CsDJ[Date]=$A$4)*(CsDJ[Ofc Code]=(TRIM(O$7)))*(CsDJ[Account Code]=(TRIM($D69))),CsDJ[Credit])))+(SUM(IF((CRDJ[Date]=$A$4)*(CRDJ[Ofc Code]=(TRIM(O$7)))*(CRDJ[Account Code]=(TRIM($D69))),CRDJ[Credit])))+(SUM(IF((GJ[Date]=$A$4)*(GJ[Ofc Code]=(TRIM(O$7)))*(GJ[Account Code]=(TRIM($D69))),GJ[Credit])))</f>
        <v>0</v>
      </c>
      <c r="P69" s="211">
        <f t="array" ref="P69">(SUM(IF((CkDJ[Date]=$A$4)*(CkDJ[Ofc Code]=(TRIM(P$7)))*(CkDJ[Account Code]=(TRIM($D69))),CkDJ[Debit])))+(SUM(IF((CsDJ[Date]=$A$4)*(CsDJ[Ofc Code]=(TRIM(P$7)))*(CsDJ[Account Code]=(TRIM($D69))),CsDJ[Debit])))+(SUM(IF((CRDJ[Date]=$A$4)*(CRDJ[Ofc Code]=(TRIM(P$7)))*(CRDJ[Account Code]=(TRIM($D69))),CRDJ[Debit])))+(SUM(IF((GJ[Date]=$A$4)*(GJ[Ofc Code]=(TRIM(P$7)))*(GJ[Account Code]=(TRIM($D69))),GJ[Debit])))-(SUM(IF((CkDJ[Date]=$A$4)*(CkDJ[Ofc Code]=(TRIM(P$7)))*(CkDJ[Account Code]=(TRIM($D69))),CkDJ[Credit])))+(SUM(IF((CsDJ[Date]=$A$4)*(CsDJ[Ofc Code]=(TRIM(P$7)))*(CsDJ[Account Code]=(TRIM($D69))),CsDJ[Credit])))+(SUM(IF((CRDJ[Date]=$A$4)*(CRDJ[Ofc Code]=(TRIM(P$7)))*(CRDJ[Account Code]=(TRIM($D69))),CRDJ[Credit])))+(SUM(IF((GJ[Date]=$A$4)*(GJ[Ofc Code]=(TRIM(P$7)))*(GJ[Account Code]=(TRIM($D69))),GJ[Credit])))</f>
        <v>0</v>
      </c>
      <c r="Q69" s="211">
        <f t="array" ref="Q69">(SUM(IF((CkDJ[Date]=$A$4)*(CkDJ[Ofc Code]=(TRIM(Q$7)))*(CkDJ[Account Code]=(TRIM($D69))),CkDJ[Debit])))+(SUM(IF((CsDJ[Date]=$A$4)*(CsDJ[Ofc Code]=(TRIM(Q$7)))*(CsDJ[Account Code]=(TRIM($D69))),CsDJ[Debit])))+(SUM(IF((CRDJ[Date]=$A$4)*(CRDJ[Ofc Code]=(TRIM(Q$7)))*(CRDJ[Account Code]=(TRIM($D69))),CRDJ[Debit])))+(SUM(IF((GJ[Date]=$A$4)*(GJ[Ofc Code]=(TRIM(Q$7)))*(GJ[Account Code]=(TRIM($D69))),GJ[Debit])))-(SUM(IF((CkDJ[Date]=$A$4)*(CkDJ[Ofc Code]=(TRIM(Q$7)))*(CkDJ[Account Code]=(TRIM($D69))),CkDJ[Credit])))+(SUM(IF((CsDJ[Date]=$A$4)*(CsDJ[Ofc Code]=(TRIM(Q$7)))*(CsDJ[Account Code]=(TRIM($D69))),CsDJ[Credit])))+(SUM(IF((CRDJ[Date]=$A$4)*(CRDJ[Ofc Code]=(TRIM(Q$7)))*(CRDJ[Account Code]=(TRIM($D69))),CRDJ[Credit])))+(SUM(IF((GJ[Date]=$A$4)*(GJ[Ofc Code]=(TRIM(Q$7)))*(GJ[Account Code]=(TRIM($D69))),GJ[Credit])))</f>
        <v>0</v>
      </c>
      <c r="R69" s="211">
        <f t="array" ref="R69">(SUM(IF((CkDJ[Date]=$A$4)*(CkDJ[Ofc Code]=(TRIM(R$7)))*(CkDJ[Account Code]=(TRIM($D69))),CkDJ[Debit])))+(SUM(IF((CsDJ[Date]=$A$4)*(CsDJ[Ofc Code]=(TRIM(R$7)))*(CsDJ[Account Code]=(TRIM($D69))),CsDJ[Debit])))+(SUM(IF((CRDJ[Date]=$A$4)*(CRDJ[Ofc Code]=(TRIM(R$7)))*(CRDJ[Account Code]=(TRIM($D69))),CRDJ[Debit])))+(SUM(IF((GJ[Date]=$A$4)*(GJ[Ofc Code]=(TRIM(R$7)))*(GJ[Account Code]=(TRIM($D69))),GJ[Debit])))-(SUM(IF((CkDJ[Date]=$A$4)*(CkDJ[Ofc Code]=(TRIM(R$7)))*(CkDJ[Account Code]=(TRIM($D69))),CkDJ[Credit])))+(SUM(IF((CsDJ[Date]=$A$4)*(CsDJ[Ofc Code]=(TRIM(R$7)))*(CsDJ[Account Code]=(TRIM($D69))),CsDJ[Credit])))+(SUM(IF((CRDJ[Date]=$A$4)*(CRDJ[Ofc Code]=(TRIM(R$7)))*(CRDJ[Account Code]=(TRIM($D69))),CRDJ[Credit])))+(SUM(IF((GJ[Date]=$A$4)*(GJ[Ofc Code]=(TRIM(R$7)))*(GJ[Account Code]=(TRIM($D69))),GJ[Credit])))</f>
        <v>0</v>
      </c>
      <c r="S69" s="211">
        <f t="array" ref="S69">(SUM(IF((CkDJ[Date]=$A$4)*(CkDJ[Ofc Code]=(TRIM(S$7)))*(CkDJ[Account Code]=(TRIM($D69))),CkDJ[Debit])))+(SUM(IF((CsDJ[Date]=$A$4)*(CsDJ[Ofc Code]=(TRIM(S$7)))*(CsDJ[Account Code]=(TRIM($D69))),CsDJ[Debit])))+(SUM(IF((CRDJ[Date]=$A$4)*(CRDJ[Ofc Code]=(TRIM(S$7)))*(CRDJ[Account Code]=(TRIM($D69))),CRDJ[Debit])))+(SUM(IF((GJ[Date]=$A$4)*(GJ[Ofc Code]=(TRIM(S$7)))*(GJ[Account Code]=(TRIM($D69))),GJ[Debit])))-(SUM(IF((CkDJ[Date]=$A$4)*(CkDJ[Ofc Code]=(TRIM(S$7)))*(CkDJ[Account Code]=(TRIM($D69))),CkDJ[Credit])))+(SUM(IF((CsDJ[Date]=$A$4)*(CsDJ[Ofc Code]=(TRIM(S$7)))*(CsDJ[Account Code]=(TRIM($D69))),CsDJ[Credit])))+(SUM(IF((CRDJ[Date]=$A$4)*(CRDJ[Ofc Code]=(TRIM(S$7)))*(CRDJ[Account Code]=(TRIM($D69))),CRDJ[Credit])))+(SUM(IF((GJ[Date]=$A$4)*(GJ[Ofc Code]=(TRIM(S$7)))*(GJ[Account Code]=(TRIM($D69))),GJ[Credit])))</f>
        <v>0</v>
      </c>
      <c r="T69" s="211">
        <f t="shared" si="17"/>
        <v>0</v>
      </c>
      <c r="U69" s="211">
        <f t="shared" si="18"/>
        <v>0</v>
      </c>
    </row>
    <row r="70" spans="1:22" ht="15">
      <c r="A70" s="212">
        <f t="shared" si="19"/>
        <v>12</v>
      </c>
      <c r="B70" s="214"/>
      <c r="C70" s="194" t="str">
        <f t="shared" si="14"/>
        <v>Internet Subscription Expenses</v>
      </c>
      <c r="D70" s="207">
        <v>774</v>
      </c>
      <c r="E70" s="211">
        <f t="array" ref="E70">(SUM(IF((CkDJ[Date]=$A$4)*(CkDJ[Ofc Code]=(TRIM(E$7)))*(CkDJ[Account Code]=(TRIM($D70))),CkDJ[Debit])))+(SUM(IF((CsDJ[Date]=$A$4)*(CsDJ[Ofc Code]=(TRIM(E$7)))*(CsDJ[Account Code]=(TRIM($D70))),CsDJ[Debit])))+(SUM(IF((CRDJ[Date]=$A$4)*(CRDJ[Ofc Code]=(TRIM(E$7)))*(CRDJ[Account Code]=(TRIM($D70))),CRDJ[Debit])))+(SUM(IF((GJ[Date]=$A$4)*(GJ[Ofc Code]=(TRIM(E$7)))*(GJ[Account Code]=(TRIM($D70))),GJ[Debit])))-(SUM(IF((CkDJ[Date]=$A$4)*(CkDJ[Ofc Code]=(TRIM(E$7)))*(CkDJ[Account Code]=(TRIM($D70))),CkDJ[Credit])))+(SUM(IF((CsDJ[Date]=$A$4)*(CsDJ[Ofc Code]=(TRIM(E$7)))*(CsDJ[Account Code]=(TRIM($D70))),CsDJ[Credit])))+(SUM(IF((CRDJ[Date]=$A$4)*(CRDJ[Ofc Code]=(TRIM(E$7)))*(CRDJ[Account Code]=(TRIM($D70))),CRDJ[Credit])))+(SUM(IF((GJ[Date]=$A$4)*(GJ[Ofc Code]=(TRIM(E$7)))*(GJ[Account Code]=(TRIM($D70))),GJ[Credit])))</f>
        <v>0</v>
      </c>
      <c r="F70" s="211">
        <f t="array" ref="F70">(SUM(IF((CkDJ[Date]=$A$4)*(CkDJ[Ofc Code]=(TRIM(F$7)))*(CkDJ[Account Code]=(TRIM($D70))),CkDJ[Debit])))+(SUM(IF((CsDJ[Date]=$A$4)*(CsDJ[Ofc Code]=(TRIM(F$7)))*(CsDJ[Account Code]=(TRIM($D70))),CsDJ[Debit])))+(SUM(IF((CRDJ[Date]=$A$4)*(CRDJ[Ofc Code]=(TRIM(F$7)))*(CRDJ[Account Code]=(TRIM($D70))),CRDJ[Debit])))+(SUM(IF((GJ[Date]=$A$4)*(GJ[Ofc Code]=(TRIM(F$7)))*(GJ[Account Code]=(TRIM($D70))),GJ[Debit])))-(SUM(IF((CkDJ[Date]=$A$4)*(CkDJ[Ofc Code]=(TRIM(F$7)))*(CkDJ[Account Code]=(TRIM($D70))),CkDJ[Credit])))+(SUM(IF((CsDJ[Date]=$A$4)*(CsDJ[Ofc Code]=(TRIM(F$7)))*(CsDJ[Account Code]=(TRIM($D70))),CsDJ[Credit])))+(SUM(IF((CRDJ[Date]=$A$4)*(CRDJ[Ofc Code]=(TRIM(F$7)))*(CRDJ[Account Code]=(TRIM($D70))),CRDJ[Credit])))+(SUM(IF((GJ[Date]=$A$4)*(GJ[Ofc Code]=(TRIM(F$7)))*(GJ[Account Code]=(TRIM($D70))),GJ[Credit])))</f>
        <v>0</v>
      </c>
      <c r="G70" s="211">
        <f t="array" ref="G70">(SUM(IF((CkDJ[Date]=$A$4)*(CkDJ[Ofc Code]=(TRIM(G$7)))*(CkDJ[Account Code]=(TRIM($D70))),CkDJ[Debit])))+(SUM(IF((CsDJ[Date]=$A$4)*(CsDJ[Ofc Code]=(TRIM(G$7)))*(CsDJ[Account Code]=(TRIM($D70))),CsDJ[Debit])))+(SUM(IF((CRDJ[Date]=$A$4)*(CRDJ[Ofc Code]=(TRIM(G$7)))*(CRDJ[Account Code]=(TRIM($D70))),CRDJ[Debit])))+(SUM(IF((GJ[Date]=$A$4)*(GJ[Ofc Code]=(TRIM(G$7)))*(GJ[Account Code]=(TRIM($D70))),GJ[Debit])))-(SUM(IF((CkDJ[Date]=$A$4)*(CkDJ[Ofc Code]=(TRIM(G$7)))*(CkDJ[Account Code]=(TRIM($D70))),CkDJ[Credit])))+(SUM(IF((CsDJ[Date]=$A$4)*(CsDJ[Ofc Code]=(TRIM(G$7)))*(CsDJ[Account Code]=(TRIM($D70))),CsDJ[Credit])))+(SUM(IF((CRDJ[Date]=$A$4)*(CRDJ[Ofc Code]=(TRIM(G$7)))*(CRDJ[Account Code]=(TRIM($D70))),CRDJ[Credit])))+(SUM(IF((GJ[Date]=$A$4)*(GJ[Ofc Code]=(TRIM(G$7)))*(GJ[Account Code]=(TRIM($D70))),GJ[Credit])))</f>
        <v>0</v>
      </c>
      <c r="H70" s="211">
        <f t="array" ref="H70">(SUM(IF((CkDJ[Date]=$A$4)*(CkDJ[Ofc Code]=(TRIM(H$7)))*(CkDJ[Account Code]=(TRIM($D70))),CkDJ[Debit])))+(SUM(IF((CsDJ[Date]=$A$4)*(CsDJ[Ofc Code]=(TRIM(H$7)))*(CsDJ[Account Code]=(TRIM($D70))),CsDJ[Debit])))+(SUM(IF((CRDJ[Date]=$A$4)*(CRDJ[Ofc Code]=(TRIM(H$7)))*(CRDJ[Account Code]=(TRIM($D70))),CRDJ[Debit])))+(SUM(IF((GJ[Date]=$A$4)*(GJ[Ofc Code]=(TRIM(H$7)))*(GJ[Account Code]=(TRIM($D70))),GJ[Debit])))-(SUM(IF((CkDJ[Date]=$A$4)*(CkDJ[Ofc Code]=(TRIM(H$7)))*(CkDJ[Account Code]=(TRIM($D70))),CkDJ[Credit])))+(SUM(IF((CsDJ[Date]=$A$4)*(CsDJ[Ofc Code]=(TRIM(H$7)))*(CsDJ[Account Code]=(TRIM($D70))),CsDJ[Credit])))+(SUM(IF((CRDJ[Date]=$A$4)*(CRDJ[Ofc Code]=(TRIM(H$7)))*(CRDJ[Account Code]=(TRIM($D70))),CRDJ[Credit])))+(SUM(IF((GJ[Date]=$A$4)*(GJ[Ofc Code]=(TRIM(H$7)))*(GJ[Account Code]=(TRIM($D70))),GJ[Credit])))</f>
        <v>0</v>
      </c>
      <c r="I70" s="211">
        <f t="shared" si="15"/>
        <v>0</v>
      </c>
      <c r="J70" s="211">
        <f t="array" ref="J70">(SUM(IF((CkDJ[Date]=$A$4)*(CkDJ[Ofc Code]=(TRIM(J$7)))*(CkDJ[Account Code]=(TRIM($D70))),CkDJ[Debit])))+(SUM(IF((CsDJ[Date]=$A$4)*(CsDJ[Ofc Code]=(TRIM(J$7)))*(CsDJ[Account Code]=(TRIM($D70))),CsDJ[Debit])))+(SUM(IF((CRDJ[Date]=$A$4)*(CRDJ[Ofc Code]=(TRIM(J$7)))*(CRDJ[Account Code]=(TRIM($D70))),CRDJ[Debit])))+(SUM(IF((GJ[Date]=$A$4)*(GJ[Ofc Code]=(TRIM(J$7)))*(GJ[Account Code]=(TRIM($D70))),GJ[Debit])))-(SUM(IF((CkDJ[Date]=$A$4)*(CkDJ[Ofc Code]=(TRIM(J$7)))*(CkDJ[Account Code]=(TRIM($D70))),CkDJ[Credit])))+(SUM(IF((CsDJ[Date]=$A$4)*(CsDJ[Ofc Code]=(TRIM(J$7)))*(CsDJ[Account Code]=(TRIM($D70))),CsDJ[Credit])))+(SUM(IF((CRDJ[Date]=$A$4)*(CRDJ[Ofc Code]=(TRIM(J$7)))*(CRDJ[Account Code]=(TRIM($D70))),CRDJ[Credit])))+(SUM(IF((GJ[Date]=$A$4)*(GJ[Ofc Code]=(TRIM(J$7)))*(GJ[Account Code]=(TRIM($D70))),GJ[Credit])))</f>
        <v>0</v>
      </c>
      <c r="K70" s="211">
        <f t="array" ref="K70">(SUM(IF((CkDJ[Date]=$A$4)*(CkDJ[Ofc Code]=(TRIM(K$7)))*(CkDJ[Account Code]=(TRIM($D70))),CkDJ[Debit])))+(SUM(IF((CsDJ[Date]=$A$4)*(CsDJ[Ofc Code]=(TRIM(K$7)))*(CsDJ[Account Code]=(TRIM($D70))),CsDJ[Debit])))+(SUM(IF((CRDJ[Date]=$A$4)*(CRDJ[Ofc Code]=(TRIM(K$7)))*(CRDJ[Account Code]=(TRIM($D70))),CRDJ[Debit])))+(SUM(IF((GJ[Date]=$A$4)*(GJ[Ofc Code]=(TRIM(K$7)))*(GJ[Account Code]=(TRIM($D70))),GJ[Debit])))-(SUM(IF((CkDJ[Date]=$A$4)*(CkDJ[Ofc Code]=(TRIM(K$7)))*(CkDJ[Account Code]=(TRIM($D70))),CkDJ[Credit])))+(SUM(IF((CsDJ[Date]=$A$4)*(CsDJ[Ofc Code]=(TRIM(K$7)))*(CsDJ[Account Code]=(TRIM($D70))),CsDJ[Credit])))+(SUM(IF((CRDJ[Date]=$A$4)*(CRDJ[Ofc Code]=(TRIM(K$7)))*(CRDJ[Account Code]=(TRIM($D70))),CRDJ[Credit])))+(SUM(IF((GJ[Date]=$A$4)*(GJ[Ofc Code]=(TRIM(K$7)))*(GJ[Account Code]=(TRIM($D70))),GJ[Credit])))</f>
        <v>0</v>
      </c>
      <c r="L70" s="211">
        <f t="array" ref="L70">(SUM(IF((CkDJ[Date]=$A$4)*(CkDJ[Ofc Code]=(TRIM(L$7)))*(CkDJ[Account Code]=(TRIM($D70))),CkDJ[Debit])))+(SUM(IF((CsDJ[Date]=$A$4)*(CsDJ[Ofc Code]=(TRIM(L$7)))*(CsDJ[Account Code]=(TRIM($D70))),CsDJ[Debit])))+(SUM(IF((CRDJ[Date]=$A$4)*(CRDJ[Ofc Code]=(TRIM(L$7)))*(CRDJ[Account Code]=(TRIM($D70))),CRDJ[Debit])))+(SUM(IF((GJ[Date]=$A$4)*(GJ[Ofc Code]=(TRIM(L$7)))*(GJ[Account Code]=(TRIM($D70))),GJ[Debit])))-(SUM(IF((CkDJ[Date]=$A$4)*(CkDJ[Ofc Code]=(TRIM(L$7)))*(CkDJ[Account Code]=(TRIM($D70))),CkDJ[Credit])))+(SUM(IF((CsDJ[Date]=$A$4)*(CsDJ[Ofc Code]=(TRIM(L$7)))*(CsDJ[Account Code]=(TRIM($D70))),CsDJ[Credit])))+(SUM(IF((CRDJ[Date]=$A$4)*(CRDJ[Ofc Code]=(TRIM(L$7)))*(CRDJ[Account Code]=(TRIM($D70))),CRDJ[Credit])))+(SUM(IF((GJ[Date]=$A$4)*(GJ[Ofc Code]=(TRIM(L$7)))*(GJ[Account Code]=(TRIM($D70))),GJ[Credit])))</f>
        <v>0</v>
      </c>
      <c r="M70" s="211">
        <f t="array" ref="M70">(SUM(IF((CkDJ[Date]=$A$4)*(CkDJ[Ofc Code]=(TRIM(M$7)))*(CkDJ[Account Code]=(TRIM($D70))),CkDJ[Debit])))+(SUM(IF((CsDJ[Date]=$A$4)*(CsDJ[Ofc Code]=(TRIM(M$7)))*(CsDJ[Account Code]=(TRIM($D70))),CsDJ[Debit])))+(SUM(IF((CRDJ[Date]=$A$4)*(CRDJ[Ofc Code]=(TRIM(M$7)))*(CRDJ[Account Code]=(TRIM($D70))),CRDJ[Debit])))+(SUM(IF((GJ[Date]=$A$4)*(GJ[Ofc Code]=(TRIM(M$7)))*(GJ[Account Code]=(TRIM($D70))),GJ[Debit])))-(SUM(IF((CkDJ[Date]=$A$4)*(CkDJ[Ofc Code]=(TRIM(M$7)))*(CkDJ[Account Code]=(TRIM($D70))),CkDJ[Credit])))+(SUM(IF((CsDJ[Date]=$A$4)*(CsDJ[Ofc Code]=(TRIM(M$7)))*(CsDJ[Account Code]=(TRIM($D70))),CsDJ[Credit])))+(SUM(IF((CRDJ[Date]=$A$4)*(CRDJ[Ofc Code]=(TRIM(M$7)))*(CRDJ[Account Code]=(TRIM($D70))),CRDJ[Credit])))+(SUM(IF((GJ[Date]=$A$4)*(GJ[Ofc Code]=(TRIM(M$7)))*(GJ[Account Code]=(TRIM($D70))),GJ[Credit])))</f>
        <v>0</v>
      </c>
      <c r="N70" s="211">
        <f t="shared" si="16"/>
        <v>0</v>
      </c>
      <c r="O70" s="211">
        <f t="array" ref="O70">(SUM(IF((CkDJ[Date]=$A$4)*(CkDJ[Ofc Code]=(TRIM(O$7)))*(CkDJ[Account Code]=(TRIM($D70))),CkDJ[Debit])))+(SUM(IF((CsDJ[Date]=$A$4)*(CsDJ[Ofc Code]=(TRIM(O$7)))*(CsDJ[Account Code]=(TRIM($D70))),CsDJ[Debit])))+(SUM(IF((CRDJ[Date]=$A$4)*(CRDJ[Ofc Code]=(TRIM(O$7)))*(CRDJ[Account Code]=(TRIM($D70))),CRDJ[Debit])))+(SUM(IF((GJ[Date]=$A$4)*(GJ[Ofc Code]=(TRIM(O$7)))*(GJ[Account Code]=(TRIM($D70))),GJ[Debit])))-(SUM(IF((CkDJ[Date]=$A$4)*(CkDJ[Ofc Code]=(TRIM(O$7)))*(CkDJ[Account Code]=(TRIM($D70))),CkDJ[Credit])))+(SUM(IF((CsDJ[Date]=$A$4)*(CsDJ[Ofc Code]=(TRIM(O$7)))*(CsDJ[Account Code]=(TRIM($D70))),CsDJ[Credit])))+(SUM(IF((CRDJ[Date]=$A$4)*(CRDJ[Ofc Code]=(TRIM(O$7)))*(CRDJ[Account Code]=(TRIM($D70))),CRDJ[Credit])))+(SUM(IF((GJ[Date]=$A$4)*(GJ[Ofc Code]=(TRIM(O$7)))*(GJ[Account Code]=(TRIM($D70))),GJ[Credit])))</f>
        <v>0</v>
      </c>
      <c r="P70" s="211">
        <f t="array" ref="P70">(SUM(IF((CkDJ[Date]=$A$4)*(CkDJ[Ofc Code]=(TRIM(P$7)))*(CkDJ[Account Code]=(TRIM($D70))),CkDJ[Debit])))+(SUM(IF((CsDJ[Date]=$A$4)*(CsDJ[Ofc Code]=(TRIM(P$7)))*(CsDJ[Account Code]=(TRIM($D70))),CsDJ[Debit])))+(SUM(IF((CRDJ[Date]=$A$4)*(CRDJ[Ofc Code]=(TRIM(P$7)))*(CRDJ[Account Code]=(TRIM($D70))),CRDJ[Debit])))+(SUM(IF((GJ[Date]=$A$4)*(GJ[Ofc Code]=(TRIM(P$7)))*(GJ[Account Code]=(TRIM($D70))),GJ[Debit])))-(SUM(IF((CkDJ[Date]=$A$4)*(CkDJ[Ofc Code]=(TRIM(P$7)))*(CkDJ[Account Code]=(TRIM($D70))),CkDJ[Credit])))+(SUM(IF((CsDJ[Date]=$A$4)*(CsDJ[Ofc Code]=(TRIM(P$7)))*(CsDJ[Account Code]=(TRIM($D70))),CsDJ[Credit])))+(SUM(IF((CRDJ[Date]=$A$4)*(CRDJ[Ofc Code]=(TRIM(P$7)))*(CRDJ[Account Code]=(TRIM($D70))),CRDJ[Credit])))+(SUM(IF((GJ[Date]=$A$4)*(GJ[Ofc Code]=(TRIM(P$7)))*(GJ[Account Code]=(TRIM($D70))),GJ[Credit])))</f>
        <v>0</v>
      </c>
      <c r="Q70" s="211">
        <f t="array" ref="Q70">(SUM(IF((CkDJ[Date]=$A$4)*(CkDJ[Ofc Code]=(TRIM(Q$7)))*(CkDJ[Account Code]=(TRIM($D70))),CkDJ[Debit])))+(SUM(IF((CsDJ[Date]=$A$4)*(CsDJ[Ofc Code]=(TRIM(Q$7)))*(CsDJ[Account Code]=(TRIM($D70))),CsDJ[Debit])))+(SUM(IF((CRDJ[Date]=$A$4)*(CRDJ[Ofc Code]=(TRIM(Q$7)))*(CRDJ[Account Code]=(TRIM($D70))),CRDJ[Debit])))+(SUM(IF((GJ[Date]=$A$4)*(GJ[Ofc Code]=(TRIM(Q$7)))*(GJ[Account Code]=(TRIM($D70))),GJ[Debit])))-(SUM(IF((CkDJ[Date]=$A$4)*(CkDJ[Ofc Code]=(TRIM(Q$7)))*(CkDJ[Account Code]=(TRIM($D70))),CkDJ[Credit])))+(SUM(IF((CsDJ[Date]=$A$4)*(CsDJ[Ofc Code]=(TRIM(Q$7)))*(CsDJ[Account Code]=(TRIM($D70))),CsDJ[Credit])))+(SUM(IF((CRDJ[Date]=$A$4)*(CRDJ[Ofc Code]=(TRIM(Q$7)))*(CRDJ[Account Code]=(TRIM($D70))),CRDJ[Credit])))+(SUM(IF((GJ[Date]=$A$4)*(GJ[Ofc Code]=(TRIM(Q$7)))*(GJ[Account Code]=(TRIM($D70))),GJ[Credit])))</f>
        <v>0</v>
      </c>
      <c r="R70" s="211">
        <f t="array" ref="R70">(SUM(IF((CkDJ[Date]=$A$4)*(CkDJ[Ofc Code]=(TRIM(R$7)))*(CkDJ[Account Code]=(TRIM($D70))),CkDJ[Debit])))+(SUM(IF((CsDJ[Date]=$A$4)*(CsDJ[Ofc Code]=(TRIM(R$7)))*(CsDJ[Account Code]=(TRIM($D70))),CsDJ[Debit])))+(SUM(IF((CRDJ[Date]=$A$4)*(CRDJ[Ofc Code]=(TRIM(R$7)))*(CRDJ[Account Code]=(TRIM($D70))),CRDJ[Debit])))+(SUM(IF((GJ[Date]=$A$4)*(GJ[Ofc Code]=(TRIM(R$7)))*(GJ[Account Code]=(TRIM($D70))),GJ[Debit])))-(SUM(IF((CkDJ[Date]=$A$4)*(CkDJ[Ofc Code]=(TRIM(R$7)))*(CkDJ[Account Code]=(TRIM($D70))),CkDJ[Credit])))+(SUM(IF((CsDJ[Date]=$A$4)*(CsDJ[Ofc Code]=(TRIM(R$7)))*(CsDJ[Account Code]=(TRIM($D70))),CsDJ[Credit])))+(SUM(IF((CRDJ[Date]=$A$4)*(CRDJ[Ofc Code]=(TRIM(R$7)))*(CRDJ[Account Code]=(TRIM($D70))),CRDJ[Credit])))+(SUM(IF((GJ[Date]=$A$4)*(GJ[Ofc Code]=(TRIM(R$7)))*(GJ[Account Code]=(TRIM($D70))),GJ[Credit])))</f>
        <v>0</v>
      </c>
      <c r="S70" s="211">
        <f t="array" ref="S70">(SUM(IF((CkDJ[Date]=$A$4)*(CkDJ[Ofc Code]=(TRIM(S$7)))*(CkDJ[Account Code]=(TRIM($D70))),CkDJ[Debit])))+(SUM(IF((CsDJ[Date]=$A$4)*(CsDJ[Ofc Code]=(TRIM(S$7)))*(CsDJ[Account Code]=(TRIM($D70))),CsDJ[Debit])))+(SUM(IF((CRDJ[Date]=$A$4)*(CRDJ[Ofc Code]=(TRIM(S$7)))*(CRDJ[Account Code]=(TRIM($D70))),CRDJ[Debit])))+(SUM(IF((GJ[Date]=$A$4)*(GJ[Ofc Code]=(TRIM(S$7)))*(GJ[Account Code]=(TRIM($D70))),GJ[Debit])))-(SUM(IF((CkDJ[Date]=$A$4)*(CkDJ[Ofc Code]=(TRIM(S$7)))*(CkDJ[Account Code]=(TRIM($D70))),CkDJ[Credit])))+(SUM(IF((CsDJ[Date]=$A$4)*(CsDJ[Ofc Code]=(TRIM(S$7)))*(CsDJ[Account Code]=(TRIM($D70))),CsDJ[Credit])))+(SUM(IF((CRDJ[Date]=$A$4)*(CRDJ[Ofc Code]=(TRIM(S$7)))*(CRDJ[Account Code]=(TRIM($D70))),CRDJ[Credit])))+(SUM(IF((GJ[Date]=$A$4)*(GJ[Ofc Code]=(TRIM(S$7)))*(GJ[Account Code]=(TRIM($D70))),GJ[Credit])))</f>
        <v>0</v>
      </c>
      <c r="T70" s="211">
        <f t="shared" si="17"/>
        <v>0</v>
      </c>
      <c r="U70" s="211">
        <f t="shared" si="18"/>
        <v>0</v>
      </c>
    </row>
    <row r="71" spans="1:22" ht="15">
      <c r="A71" s="212">
        <f t="shared" si="19"/>
        <v>13</v>
      </c>
      <c r="B71" s="214" t="s">
        <v>756</v>
      </c>
      <c r="C71" s="194" t="str">
        <f t="shared" si="14"/>
        <v>Printing and Publication Expenses</v>
      </c>
      <c r="D71" s="207" t="s">
        <v>241</v>
      </c>
      <c r="E71" s="211">
        <f t="array" ref="E71">(SUM(IF((CkDJ[Date]=$A$4)*(CkDJ[Ofc Code]=(TRIM(E$7)))*(CkDJ[Account Code]=(TRIM($D71))),CkDJ[Debit])))+(SUM(IF((CsDJ[Date]=$A$4)*(CsDJ[Ofc Code]=(TRIM(E$7)))*(CsDJ[Account Code]=(TRIM($D71))),CsDJ[Debit])))+(SUM(IF((CRDJ[Date]=$A$4)*(CRDJ[Ofc Code]=(TRIM(E$7)))*(CRDJ[Account Code]=(TRIM($D71))),CRDJ[Debit])))+(SUM(IF((GJ[Date]=$A$4)*(GJ[Ofc Code]=(TRIM(E$7)))*(GJ[Account Code]=(TRIM($D71))),GJ[Debit])))-(SUM(IF((CkDJ[Date]=$A$4)*(CkDJ[Ofc Code]=(TRIM(E$7)))*(CkDJ[Account Code]=(TRIM($D71))),CkDJ[Credit])))+(SUM(IF((CsDJ[Date]=$A$4)*(CsDJ[Ofc Code]=(TRIM(E$7)))*(CsDJ[Account Code]=(TRIM($D71))),CsDJ[Credit])))+(SUM(IF((CRDJ[Date]=$A$4)*(CRDJ[Ofc Code]=(TRIM(E$7)))*(CRDJ[Account Code]=(TRIM($D71))),CRDJ[Credit])))+(SUM(IF((GJ[Date]=$A$4)*(GJ[Ofc Code]=(TRIM(E$7)))*(GJ[Account Code]=(TRIM($D71))),GJ[Credit])))</f>
        <v>0</v>
      </c>
      <c r="F71" s="211">
        <f t="array" ref="F71">(SUM(IF((CkDJ[Date]=$A$4)*(CkDJ[Ofc Code]=(TRIM(F$7)))*(CkDJ[Account Code]=(TRIM($D71))),CkDJ[Debit])))+(SUM(IF((CsDJ[Date]=$A$4)*(CsDJ[Ofc Code]=(TRIM(F$7)))*(CsDJ[Account Code]=(TRIM($D71))),CsDJ[Debit])))+(SUM(IF((CRDJ[Date]=$A$4)*(CRDJ[Ofc Code]=(TRIM(F$7)))*(CRDJ[Account Code]=(TRIM($D71))),CRDJ[Debit])))+(SUM(IF((GJ[Date]=$A$4)*(GJ[Ofc Code]=(TRIM(F$7)))*(GJ[Account Code]=(TRIM($D71))),GJ[Debit])))-(SUM(IF((CkDJ[Date]=$A$4)*(CkDJ[Ofc Code]=(TRIM(F$7)))*(CkDJ[Account Code]=(TRIM($D71))),CkDJ[Credit])))+(SUM(IF((CsDJ[Date]=$A$4)*(CsDJ[Ofc Code]=(TRIM(F$7)))*(CsDJ[Account Code]=(TRIM($D71))),CsDJ[Credit])))+(SUM(IF((CRDJ[Date]=$A$4)*(CRDJ[Ofc Code]=(TRIM(F$7)))*(CRDJ[Account Code]=(TRIM($D71))),CRDJ[Credit])))+(SUM(IF((GJ[Date]=$A$4)*(GJ[Ofc Code]=(TRIM(F$7)))*(GJ[Account Code]=(TRIM($D71))),GJ[Credit])))</f>
        <v>0</v>
      </c>
      <c r="G71" s="211">
        <f t="array" ref="G71">(SUM(IF((CkDJ[Date]=$A$4)*(CkDJ[Ofc Code]=(TRIM(G$7)))*(CkDJ[Account Code]=(TRIM($D71))),CkDJ[Debit])))+(SUM(IF((CsDJ[Date]=$A$4)*(CsDJ[Ofc Code]=(TRIM(G$7)))*(CsDJ[Account Code]=(TRIM($D71))),CsDJ[Debit])))+(SUM(IF((CRDJ[Date]=$A$4)*(CRDJ[Ofc Code]=(TRIM(G$7)))*(CRDJ[Account Code]=(TRIM($D71))),CRDJ[Debit])))+(SUM(IF((GJ[Date]=$A$4)*(GJ[Ofc Code]=(TRIM(G$7)))*(GJ[Account Code]=(TRIM($D71))),GJ[Debit])))-(SUM(IF((CkDJ[Date]=$A$4)*(CkDJ[Ofc Code]=(TRIM(G$7)))*(CkDJ[Account Code]=(TRIM($D71))),CkDJ[Credit])))+(SUM(IF((CsDJ[Date]=$A$4)*(CsDJ[Ofc Code]=(TRIM(G$7)))*(CsDJ[Account Code]=(TRIM($D71))),CsDJ[Credit])))+(SUM(IF((CRDJ[Date]=$A$4)*(CRDJ[Ofc Code]=(TRIM(G$7)))*(CRDJ[Account Code]=(TRIM($D71))),CRDJ[Credit])))+(SUM(IF((GJ[Date]=$A$4)*(GJ[Ofc Code]=(TRIM(G$7)))*(GJ[Account Code]=(TRIM($D71))),GJ[Credit])))</f>
        <v>0</v>
      </c>
      <c r="H71" s="211">
        <f t="array" ref="H71">(SUM(IF((CkDJ[Date]=$A$4)*(CkDJ[Ofc Code]=(TRIM(H$7)))*(CkDJ[Account Code]=(TRIM($D71))),CkDJ[Debit])))+(SUM(IF((CsDJ[Date]=$A$4)*(CsDJ[Ofc Code]=(TRIM(H$7)))*(CsDJ[Account Code]=(TRIM($D71))),CsDJ[Debit])))+(SUM(IF((CRDJ[Date]=$A$4)*(CRDJ[Ofc Code]=(TRIM(H$7)))*(CRDJ[Account Code]=(TRIM($D71))),CRDJ[Debit])))+(SUM(IF((GJ[Date]=$A$4)*(GJ[Ofc Code]=(TRIM(H$7)))*(GJ[Account Code]=(TRIM($D71))),GJ[Debit])))-(SUM(IF((CkDJ[Date]=$A$4)*(CkDJ[Ofc Code]=(TRIM(H$7)))*(CkDJ[Account Code]=(TRIM($D71))),CkDJ[Credit])))+(SUM(IF((CsDJ[Date]=$A$4)*(CsDJ[Ofc Code]=(TRIM(H$7)))*(CsDJ[Account Code]=(TRIM($D71))),CsDJ[Credit])))+(SUM(IF((CRDJ[Date]=$A$4)*(CRDJ[Ofc Code]=(TRIM(H$7)))*(CRDJ[Account Code]=(TRIM($D71))),CRDJ[Credit])))+(SUM(IF((GJ[Date]=$A$4)*(GJ[Ofc Code]=(TRIM(H$7)))*(GJ[Account Code]=(TRIM($D71))),GJ[Credit])))</f>
        <v>0</v>
      </c>
      <c r="I71" s="211">
        <f t="shared" si="15"/>
        <v>0</v>
      </c>
      <c r="J71" s="211">
        <f t="array" ref="J71">(SUM(IF((CkDJ[Date]=$A$4)*(CkDJ[Ofc Code]=(TRIM(J$7)))*(CkDJ[Account Code]=(TRIM($D71))),CkDJ[Debit])))+(SUM(IF((CsDJ[Date]=$A$4)*(CsDJ[Ofc Code]=(TRIM(J$7)))*(CsDJ[Account Code]=(TRIM($D71))),CsDJ[Debit])))+(SUM(IF((CRDJ[Date]=$A$4)*(CRDJ[Ofc Code]=(TRIM(J$7)))*(CRDJ[Account Code]=(TRIM($D71))),CRDJ[Debit])))+(SUM(IF((GJ[Date]=$A$4)*(GJ[Ofc Code]=(TRIM(J$7)))*(GJ[Account Code]=(TRIM($D71))),GJ[Debit])))-(SUM(IF((CkDJ[Date]=$A$4)*(CkDJ[Ofc Code]=(TRIM(J$7)))*(CkDJ[Account Code]=(TRIM($D71))),CkDJ[Credit])))+(SUM(IF((CsDJ[Date]=$A$4)*(CsDJ[Ofc Code]=(TRIM(J$7)))*(CsDJ[Account Code]=(TRIM($D71))),CsDJ[Credit])))+(SUM(IF((CRDJ[Date]=$A$4)*(CRDJ[Ofc Code]=(TRIM(J$7)))*(CRDJ[Account Code]=(TRIM($D71))),CRDJ[Credit])))+(SUM(IF((GJ[Date]=$A$4)*(GJ[Ofc Code]=(TRIM(J$7)))*(GJ[Account Code]=(TRIM($D71))),GJ[Credit])))</f>
        <v>0</v>
      </c>
      <c r="K71" s="211">
        <f t="array" ref="K71">(SUM(IF((CkDJ[Date]=$A$4)*(CkDJ[Ofc Code]=(TRIM(K$7)))*(CkDJ[Account Code]=(TRIM($D71))),CkDJ[Debit])))+(SUM(IF((CsDJ[Date]=$A$4)*(CsDJ[Ofc Code]=(TRIM(K$7)))*(CsDJ[Account Code]=(TRIM($D71))),CsDJ[Debit])))+(SUM(IF((CRDJ[Date]=$A$4)*(CRDJ[Ofc Code]=(TRIM(K$7)))*(CRDJ[Account Code]=(TRIM($D71))),CRDJ[Debit])))+(SUM(IF((GJ[Date]=$A$4)*(GJ[Ofc Code]=(TRIM(K$7)))*(GJ[Account Code]=(TRIM($D71))),GJ[Debit])))-(SUM(IF((CkDJ[Date]=$A$4)*(CkDJ[Ofc Code]=(TRIM(K$7)))*(CkDJ[Account Code]=(TRIM($D71))),CkDJ[Credit])))+(SUM(IF((CsDJ[Date]=$A$4)*(CsDJ[Ofc Code]=(TRIM(K$7)))*(CsDJ[Account Code]=(TRIM($D71))),CsDJ[Credit])))+(SUM(IF((CRDJ[Date]=$A$4)*(CRDJ[Ofc Code]=(TRIM(K$7)))*(CRDJ[Account Code]=(TRIM($D71))),CRDJ[Credit])))+(SUM(IF((GJ[Date]=$A$4)*(GJ[Ofc Code]=(TRIM(K$7)))*(GJ[Account Code]=(TRIM($D71))),GJ[Credit])))</f>
        <v>0</v>
      </c>
      <c r="L71" s="211">
        <f t="array" ref="L71">(SUM(IF((CkDJ[Date]=$A$4)*(CkDJ[Ofc Code]=(TRIM(L$7)))*(CkDJ[Account Code]=(TRIM($D71))),CkDJ[Debit])))+(SUM(IF((CsDJ[Date]=$A$4)*(CsDJ[Ofc Code]=(TRIM(L$7)))*(CsDJ[Account Code]=(TRIM($D71))),CsDJ[Debit])))+(SUM(IF((CRDJ[Date]=$A$4)*(CRDJ[Ofc Code]=(TRIM(L$7)))*(CRDJ[Account Code]=(TRIM($D71))),CRDJ[Debit])))+(SUM(IF((GJ[Date]=$A$4)*(GJ[Ofc Code]=(TRIM(L$7)))*(GJ[Account Code]=(TRIM($D71))),GJ[Debit])))-(SUM(IF((CkDJ[Date]=$A$4)*(CkDJ[Ofc Code]=(TRIM(L$7)))*(CkDJ[Account Code]=(TRIM($D71))),CkDJ[Credit])))+(SUM(IF((CsDJ[Date]=$A$4)*(CsDJ[Ofc Code]=(TRIM(L$7)))*(CsDJ[Account Code]=(TRIM($D71))),CsDJ[Credit])))+(SUM(IF((CRDJ[Date]=$A$4)*(CRDJ[Ofc Code]=(TRIM(L$7)))*(CRDJ[Account Code]=(TRIM($D71))),CRDJ[Credit])))+(SUM(IF((GJ[Date]=$A$4)*(GJ[Ofc Code]=(TRIM(L$7)))*(GJ[Account Code]=(TRIM($D71))),GJ[Credit])))</f>
        <v>0</v>
      </c>
      <c r="M71" s="211">
        <f t="array" ref="M71">(SUM(IF((CkDJ[Date]=$A$4)*(CkDJ[Ofc Code]=(TRIM(M$7)))*(CkDJ[Account Code]=(TRIM($D71))),CkDJ[Debit])))+(SUM(IF((CsDJ[Date]=$A$4)*(CsDJ[Ofc Code]=(TRIM(M$7)))*(CsDJ[Account Code]=(TRIM($D71))),CsDJ[Debit])))+(SUM(IF((CRDJ[Date]=$A$4)*(CRDJ[Ofc Code]=(TRIM(M$7)))*(CRDJ[Account Code]=(TRIM($D71))),CRDJ[Debit])))+(SUM(IF((GJ[Date]=$A$4)*(GJ[Ofc Code]=(TRIM(M$7)))*(GJ[Account Code]=(TRIM($D71))),GJ[Debit])))-(SUM(IF((CkDJ[Date]=$A$4)*(CkDJ[Ofc Code]=(TRIM(M$7)))*(CkDJ[Account Code]=(TRIM($D71))),CkDJ[Credit])))+(SUM(IF((CsDJ[Date]=$A$4)*(CsDJ[Ofc Code]=(TRIM(M$7)))*(CsDJ[Account Code]=(TRIM($D71))),CsDJ[Credit])))+(SUM(IF((CRDJ[Date]=$A$4)*(CRDJ[Ofc Code]=(TRIM(M$7)))*(CRDJ[Account Code]=(TRIM($D71))),CRDJ[Credit])))+(SUM(IF((GJ[Date]=$A$4)*(GJ[Ofc Code]=(TRIM(M$7)))*(GJ[Account Code]=(TRIM($D71))),GJ[Credit])))</f>
        <v>0</v>
      </c>
      <c r="N71" s="211">
        <f t="shared" si="16"/>
        <v>0</v>
      </c>
      <c r="O71" s="211">
        <f t="array" ref="O71">(SUM(IF((CkDJ[Date]=$A$4)*(CkDJ[Ofc Code]=(TRIM(O$7)))*(CkDJ[Account Code]=(TRIM($D71))),CkDJ[Debit])))+(SUM(IF((CsDJ[Date]=$A$4)*(CsDJ[Ofc Code]=(TRIM(O$7)))*(CsDJ[Account Code]=(TRIM($D71))),CsDJ[Debit])))+(SUM(IF((CRDJ[Date]=$A$4)*(CRDJ[Ofc Code]=(TRIM(O$7)))*(CRDJ[Account Code]=(TRIM($D71))),CRDJ[Debit])))+(SUM(IF((GJ[Date]=$A$4)*(GJ[Ofc Code]=(TRIM(O$7)))*(GJ[Account Code]=(TRIM($D71))),GJ[Debit])))-(SUM(IF((CkDJ[Date]=$A$4)*(CkDJ[Ofc Code]=(TRIM(O$7)))*(CkDJ[Account Code]=(TRIM($D71))),CkDJ[Credit])))+(SUM(IF((CsDJ[Date]=$A$4)*(CsDJ[Ofc Code]=(TRIM(O$7)))*(CsDJ[Account Code]=(TRIM($D71))),CsDJ[Credit])))+(SUM(IF((CRDJ[Date]=$A$4)*(CRDJ[Ofc Code]=(TRIM(O$7)))*(CRDJ[Account Code]=(TRIM($D71))),CRDJ[Credit])))+(SUM(IF((GJ[Date]=$A$4)*(GJ[Ofc Code]=(TRIM(O$7)))*(GJ[Account Code]=(TRIM($D71))),GJ[Credit])))</f>
        <v>0</v>
      </c>
      <c r="P71" s="211">
        <f t="array" ref="P71">(SUM(IF((CkDJ[Date]=$A$4)*(CkDJ[Ofc Code]=(TRIM(P$7)))*(CkDJ[Account Code]=(TRIM($D71))),CkDJ[Debit])))+(SUM(IF((CsDJ[Date]=$A$4)*(CsDJ[Ofc Code]=(TRIM(P$7)))*(CsDJ[Account Code]=(TRIM($D71))),CsDJ[Debit])))+(SUM(IF((CRDJ[Date]=$A$4)*(CRDJ[Ofc Code]=(TRIM(P$7)))*(CRDJ[Account Code]=(TRIM($D71))),CRDJ[Debit])))+(SUM(IF((GJ[Date]=$A$4)*(GJ[Ofc Code]=(TRIM(P$7)))*(GJ[Account Code]=(TRIM($D71))),GJ[Debit])))-(SUM(IF((CkDJ[Date]=$A$4)*(CkDJ[Ofc Code]=(TRIM(P$7)))*(CkDJ[Account Code]=(TRIM($D71))),CkDJ[Credit])))+(SUM(IF((CsDJ[Date]=$A$4)*(CsDJ[Ofc Code]=(TRIM(P$7)))*(CsDJ[Account Code]=(TRIM($D71))),CsDJ[Credit])))+(SUM(IF((CRDJ[Date]=$A$4)*(CRDJ[Ofc Code]=(TRIM(P$7)))*(CRDJ[Account Code]=(TRIM($D71))),CRDJ[Credit])))+(SUM(IF((GJ[Date]=$A$4)*(GJ[Ofc Code]=(TRIM(P$7)))*(GJ[Account Code]=(TRIM($D71))),GJ[Credit])))</f>
        <v>0</v>
      </c>
      <c r="Q71" s="211">
        <f t="array" ref="Q71">(SUM(IF((CkDJ[Date]=$A$4)*(CkDJ[Ofc Code]=(TRIM(Q$7)))*(CkDJ[Account Code]=(TRIM($D71))),CkDJ[Debit])))+(SUM(IF((CsDJ[Date]=$A$4)*(CsDJ[Ofc Code]=(TRIM(Q$7)))*(CsDJ[Account Code]=(TRIM($D71))),CsDJ[Debit])))+(SUM(IF((CRDJ[Date]=$A$4)*(CRDJ[Ofc Code]=(TRIM(Q$7)))*(CRDJ[Account Code]=(TRIM($D71))),CRDJ[Debit])))+(SUM(IF((GJ[Date]=$A$4)*(GJ[Ofc Code]=(TRIM(Q$7)))*(GJ[Account Code]=(TRIM($D71))),GJ[Debit])))-(SUM(IF((CkDJ[Date]=$A$4)*(CkDJ[Ofc Code]=(TRIM(Q$7)))*(CkDJ[Account Code]=(TRIM($D71))),CkDJ[Credit])))+(SUM(IF((CsDJ[Date]=$A$4)*(CsDJ[Ofc Code]=(TRIM(Q$7)))*(CsDJ[Account Code]=(TRIM($D71))),CsDJ[Credit])))+(SUM(IF((CRDJ[Date]=$A$4)*(CRDJ[Ofc Code]=(TRIM(Q$7)))*(CRDJ[Account Code]=(TRIM($D71))),CRDJ[Credit])))+(SUM(IF((GJ[Date]=$A$4)*(GJ[Ofc Code]=(TRIM(Q$7)))*(GJ[Account Code]=(TRIM($D71))),GJ[Credit])))</f>
        <v>0</v>
      </c>
      <c r="R71" s="211">
        <f t="array" ref="R71">(SUM(IF((CkDJ[Date]=$A$4)*(CkDJ[Ofc Code]=(TRIM(R$7)))*(CkDJ[Account Code]=(TRIM($D71))),CkDJ[Debit])))+(SUM(IF((CsDJ[Date]=$A$4)*(CsDJ[Ofc Code]=(TRIM(R$7)))*(CsDJ[Account Code]=(TRIM($D71))),CsDJ[Debit])))+(SUM(IF((CRDJ[Date]=$A$4)*(CRDJ[Ofc Code]=(TRIM(R$7)))*(CRDJ[Account Code]=(TRIM($D71))),CRDJ[Debit])))+(SUM(IF((GJ[Date]=$A$4)*(GJ[Ofc Code]=(TRIM(R$7)))*(GJ[Account Code]=(TRIM($D71))),GJ[Debit])))-(SUM(IF((CkDJ[Date]=$A$4)*(CkDJ[Ofc Code]=(TRIM(R$7)))*(CkDJ[Account Code]=(TRIM($D71))),CkDJ[Credit])))+(SUM(IF((CsDJ[Date]=$A$4)*(CsDJ[Ofc Code]=(TRIM(R$7)))*(CsDJ[Account Code]=(TRIM($D71))),CsDJ[Credit])))+(SUM(IF((CRDJ[Date]=$A$4)*(CRDJ[Ofc Code]=(TRIM(R$7)))*(CRDJ[Account Code]=(TRIM($D71))),CRDJ[Credit])))+(SUM(IF((GJ[Date]=$A$4)*(GJ[Ofc Code]=(TRIM(R$7)))*(GJ[Account Code]=(TRIM($D71))),GJ[Credit])))</f>
        <v>0</v>
      </c>
      <c r="S71" s="211">
        <f t="array" ref="S71">(SUM(IF((CkDJ[Date]=$A$4)*(CkDJ[Ofc Code]=(TRIM(S$7)))*(CkDJ[Account Code]=(TRIM($D71))),CkDJ[Debit])))+(SUM(IF((CsDJ[Date]=$A$4)*(CsDJ[Ofc Code]=(TRIM(S$7)))*(CsDJ[Account Code]=(TRIM($D71))),CsDJ[Debit])))+(SUM(IF((CRDJ[Date]=$A$4)*(CRDJ[Ofc Code]=(TRIM(S$7)))*(CRDJ[Account Code]=(TRIM($D71))),CRDJ[Debit])))+(SUM(IF((GJ[Date]=$A$4)*(GJ[Ofc Code]=(TRIM(S$7)))*(GJ[Account Code]=(TRIM($D71))),GJ[Debit])))-(SUM(IF((CkDJ[Date]=$A$4)*(CkDJ[Ofc Code]=(TRIM(S$7)))*(CkDJ[Account Code]=(TRIM($D71))),CkDJ[Credit])))+(SUM(IF((CsDJ[Date]=$A$4)*(CsDJ[Ofc Code]=(TRIM(S$7)))*(CsDJ[Account Code]=(TRIM($D71))),CsDJ[Credit])))+(SUM(IF((CRDJ[Date]=$A$4)*(CRDJ[Ofc Code]=(TRIM(S$7)))*(CRDJ[Account Code]=(TRIM($D71))),CRDJ[Credit])))+(SUM(IF((GJ[Date]=$A$4)*(GJ[Ofc Code]=(TRIM(S$7)))*(GJ[Account Code]=(TRIM($D71))),GJ[Credit])))</f>
        <v>0</v>
      </c>
      <c r="T71" s="211">
        <f t="shared" si="17"/>
        <v>0</v>
      </c>
      <c r="U71" s="211">
        <f t="shared" si="18"/>
        <v>0</v>
      </c>
    </row>
    <row r="72" spans="1:22" ht="15">
      <c r="A72" s="212">
        <f t="shared" si="19"/>
        <v>14</v>
      </c>
      <c r="B72" s="214" t="s">
        <v>756</v>
      </c>
      <c r="C72" s="194" t="str">
        <f t="shared" si="14"/>
        <v>Rent/Lease Expenses</v>
      </c>
      <c r="D72" s="207" t="s">
        <v>242</v>
      </c>
      <c r="E72" s="211">
        <f t="array" ref="E72">(SUM(IF((CkDJ[Date]=$A$4)*(CkDJ[Ofc Code]=(TRIM(E$7)))*(CkDJ[Account Code]=(TRIM($D72))),CkDJ[Debit])))+(SUM(IF((CsDJ[Date]=$A$4)*(CsDJ[Ofc Code]=(TRIM(E$7)))*(CsDJ[Account Code]=(TRIM($D72))),CsDJ[Debit])))+(SUM(IF((CRDJ[Date]=$A$4)*(CRDJ[Ofc Code]=(TRIM(E$7)))*(CRDJ[Account Code]=(TRIM($D72))),CRDJ[Debit])))+(SUM(IF((GJ[Date]=$A$4)*(GJ[Ofc Code]=(TRIM(E$7)))*(GJ[Account Code]=(TRIM($D72))),GJ[Debit])))-(SUM(IF((CkDJ[Date]=$A$4)*(CkDJ[Ofc Code]=(TRIM(E$7)))*(CkDJ[Account Code]=(TRIM($D72))),CkDJ[Credit])))+(SUM(IF((CsDJ[Date]=$A$4)*(CsDJ[Ofc Code]=(TRIM(E$7)))*(CsDJ[Account Code]=(TRIM($D72))),CsDJ[Credit])))+(SUM(IF((CRDJ[Date]=$A$4)*(CRDJ[Ofc Code]=(TRIM(E$7)))*(CRDJ[Account Code]=(TRIM($D72))),CRDJ[Credit])))+(SUM(IF((GJ[Date]=$A$4)*(GJ[Ofc Code]=(TRIM(E$7)))*(GJ[Account Code]=(TRIM($D72))),GJ[Credit])))</f>
        <v>0</v>
      </c>
      <c r="F72" s="211">
        <f t="array" ref="F72">(SUM(IF((CkDJ[Date]=$A$4)*(CkDJ[Ofc Code]=(TRIM(F$7)))*(CkDJ[Account Code]=(TRIM($D72))),CkDJ[Debit])))+(SUM(IF((CsDJ[Date]=$A$4)*(CsDJ[Ofc Code]=(TRIM(F$7)))*(CsDJ[Account Code]=(TRIM($D72))),CsDJ[Debit])))+(SUM(IF((CRDJ[Date]=$A$4)*(CRDJ[Ofc Code]=(TRIM(F$7)))*(CRDJ[Account Code]=(TRIM($D72))),CRDJ[Debit])))+(SUM(IF((GJ[Date]=$A$4)*(GJ[Ofc Code]=(TRIM(F$7)))*(GJ[Account Code]=(TRIM($D72))),GJ[Debit])))-(SUM(IF((CkDJ[Date]=$A$4)*(CkDJ[Ofc Code]=(TRIM(F$7)))*(CkDJ[Account Code]=(TRIM($D72))),CkDJ[Credit])))+(SUM(IF((CsDJ[Date]=$A$4)*(CsDJ[Ofc Code]=(TRIM(F$7)))*(CsDJ[Account Code]=(TRIM($D72))),CsDJ[Credit])))+(SUM(IF((CRDJ[Date]=$A$4)*(CRDJ[Ofc Code]=(TRIM(F$7)))*(CRDJ[Account Code]=(TRIM($D72))),CRDJ[Credit])))+(SUM(IF((GJ[Date]=$A$4)*(GJ[Ofc Code]=(TRIM(F$7)))*(GJ[Account Code]=(TRIM($D72))),GJ[Credit])))</f>
        <v>0</v>
      </c>
      <c r="G72" s="211">
        <f t="array" ref="G72">(SUM(IF((CkDJ[Date]=$A$4)*(CkDJ[Ofc Code]=(TRIM(G$7)))*(CkDJ[Account Code]=(TRIM($D72))),CkDJ[Debit])))+(SUM(IF((CsDJ[Date]=$A$4)*(CsDJ[Ofc Code]=(TRIM(G$7)))*(CsDJ[Account Code]=(TRIM($D72))),CsDJ[Debit])))+(SUM(IF((CRDJ[Date]=$A$4)*(CRDJ[Ofc Code]=(TRIM(G$7)))*(CRDJ[Account Code]=(TRIM($D72))),CRDJ[Debit])))+(SUM(IF((GJ[Date]=$A$4)*(GJ[Ofc Code]=(TRIM(G$7)))*(GJ[Account Code]=(TRIM($D72))),GJ[Debit])))-(SUM(IF((CkDJ[Date]=$A$4)*(CkDJ[Ofc Code]=(TRIM(G$7)))*(CkDJ[Account Code]=(TRIM($D72))),CkDJ[Credit])))+(SUM(IF((CsDJ[Date]=$A$4)*(CsDJ[Ofc Code]=(TRIM(G$7)))*(CsDJ[Account Code]=(TRIM($D72))),CsDJ[Credit])))+(SUM(IF((CRDJ[Date]=$A$4)*(CRDJ[Ofc Code]=(TRIM(G$7)))*(CRDJ[Account Code]=(TRIM($D72))),CRDJ[Credit])))+(SUM(IF((GJ[Date]=$A$4)*(GJ[Ofc Code]=(TRIM(G$7)))*(GJ[Account Code]=(TRIM($D72))),GJ[Credit])))</f>
        <v>0</v>
      </c>
      <c r="H72" s="211">
        <f t="array" ref="H72">(SUM(IF((CkDJ[Date]=$A$4)*(CkDJ[Ofc Code]=(TRIM(H$7)))*(CkDJ[Account Code]=(TRIM($D72))),CkDJ[Debit])))+(SUM(IF((CsDJ[Date]=$A$4)*(CsDJ[Ofc Code]=(TRIM(H$7)))*(CsDJ[Account Code]=(TRIM($D72))),CsDJ[Debit])))+(SUM(IF((CRDJ[Date]=$A$4)*(CRDJ[Ofc Code]=(TRIM(H$7)))*(CRDJ[Account Code]=(TRIM($D72))),CRDJ[Debit])))+(SUM(IF((GJ[Date]=$A$4)*(GJ[Ofc Code]=(TRIM(H$7)))*(GJ[Account Code]=(TRIM($D72))),GJ[Debit])))-(SUM(IF((CkDJ[Date]=$A$4)*(CkDJ[Ofc Code]=(TRIM(H$7)))*(CkDJ[Account Code]=(TRIM($D72))),CkDJ[Credit])))+(SUM(IF((CsDJ[Date]=$A$4)*(CsDJ[Ofc Code]=(TRIM(H$7)))*(CsDJ[Account Code]=(TRIM($D72))),CsDJ[Credit])))+(SUM(IF((CRDJ[Date]=$A$4)*(CRDJ[Ofc Code]=(TRIM(H$7)))*(CRDJ[Account Code]=(TRIM($D72))),CRDJ[Credit])))+(SUM(IF((GJ[Date]=$A$4)*(GJ[Ofc Code]=(TRIM(H$7)))*(GJ[Account Code]=(TRIM($D72))),GJ[Credit])))</f>
        <v>0</v>
      </c>
      <c r="I72" s="211">
        <f t="shared" si="15"/>
        <v>0</v>
      </c>
      <c r="J72" s="211">
        <f t="array" ref="J72">(SUM(IF((CkDJ[Date]=$A$4)*(CkDJ[Ofc Code]=(TRIM(J$7)))*(CkDJ[Account Code]=(TRIM($D72))),CkDJ[Debit])))+(SUM(IF((CsDJ[Date]=$A$4)*(CsDJ[Ofc Code]=(TRIM(J$7)))*(CsDJ[Account Code]=(TRIM($D72))),CsDJ[Debit])))+(SUM(IF((CRDJ[Date]=$A$4)*(CRDJ[Ofc Code]=(TRIM(J$7)))*(CRDJ[Account Code]=(TRIM($D72))),CRDJ[Debit])))+(SUM(IF((GJ[Date]=$A$4)*(GJ[Ofc Code]=(TRIM(J$7)))*(GJ[Account Code]=(TRIM($D72))),GJ[Debit])))-(SUM(IF((CkDJ[Date]=$A$4)*(CkDJ[Ofc Code]=(TRIM(J$7)))*(CkDJ[Account Code]=(TRIM($D72))),CkDJ[Credit])))+(SUM(IF((CsDJ[Date]=$A$4)*(CsDJ[Ofc Code]=(TRIM(J$7)))*(CsDJ[Account Code]=(TRIM($D72))),CsDJ[Credit])))+(SUM(IF((CRDJ[Date]=$A$4)*(CRDJ[Ofc Code]=(TRIM(J$7)))*(CRDJ[Account Code]=(TRIM($D72))),CRDJ[Credit])))+(SUM(IF((GJ[Date]=$A$4)*(GJ[Ofc Code]=(TRIM(J$7)))*(GJ[Account Code]=(TRIM($D72))),GJ[Credit])))</f>
        <v>0</v>
      </c>
      <c r="K72" s="211">
        <f t="array" ref="K72">(SUM(IF((CkDJ[Date]=$A$4)*(CkDJ[Ofc Code]=(TRIM(K$7)))*(CkDJ[Account Code]=(TRIM($D72))),CkDJ[Debit])))+(SUM(IF((CsDJ[Date]=$A$4)*(CsDJ[Ofc Code]=(TRIM(K$7)))*(CsDJ[Account Code]=(TRIM($D72))),CsDJ[Debit])))+(SUM(IF((CRDJ[Date]=$A$4)*(CRDJ[Ofc Code]=(TRIM(K$7)))*(CRDJ[Account Code]=(TRIM($D72))),CRDJ[Debit])))+(SUM(IF((GJ[Date]=$A$4)*(GJ[Ofc Code]=(TRIM(K$7)))*(GJ[Account Code]=(TRIM($D72))),GJ[Debit])))-(SUM(IF((CkDJ[Date]=$A$4)*(CkDJ[Ofc Code]=(TRIM(K$7)))*(CkDJ[Account Code]=(TRIM($D72))),CkDJ[Credit])))+(SUM(IF((CsDJ[Date]=$A$4)*(CsDJ[Ofc Code]=(TRIM(K$7)))*(CsDJ[Account Code]=(TRIM($D72))),CsDJ[Credit])))+(SUM(IF((CRDJ[Date]=$A$4)*(CRDJ[Ofc Code]=(TRIM(K$7)))*(CRDJ[Account Code]=(TRIM($D72))),CRDJ[Credit])))+(SUM(IF((GJ[Date]=$A$4)*(GJ[Ofc Code]=(TRIM(K$7)))*(GJ[Account Code]=(TRIM($D72))),GJ[Credit])))</f>
        <v>0</v>
      </c>
      <c r="L72" s="211">
        <f t="array" ref="L72">(SUM(IF((CkDJ[Date]=$A$4)*(CkDJ[Ofc Code]=(TRIM(L$7)))*(CkDJ[Account Code]=(TRIM($D72))),CkDJ[Debit])))+(SUM(IF((CsDJ[Date]=$A$4)*(CsDJ[Ofc Code]=(TRIM(L$7)))*(CsDJ[Account Code]=(TRIM($D72))),CsDJ[Debit])))+(SUM(IF((CRDJ[Date]=$A$4)*(CRDJ[Ofc Code]=(TRIM(L$7)))*(CRDJ[Account Code]=(TRIM($D72))),CRDJ[Debit])))+(SUM(IF((GJ[Date]=$A$4)*(GJ[Ofc Code]=(TRIM(L$7)))*(GJ[Account Code]=(TRIM($D72))),GJ[Debit])))-(SUM(IF((CkDJ[Date]=$A$4)*(CkDJ[Ofc Code]=(TRIM(L$7)))*(CkDJ[Account Code]=(TRIM($D72))),CkDJ[Credit])))+(SUM(IF((CsDJ[Date]=$A$4)*(CsDJ[Ofc Code]=(TRIM(L$7)))*(CsDJ[Account Code]=(TRIM($D72))),CsDJ[Credit])))+(SUM(IF((CRDJ[Date]=$A$4)*(CRDJ[Ofc Code]=(TRIM(L$7)))*(CRDJ[Account Code]=(TRIM($D72))),CRDJ[Credit])))+(SUM(IF((GJ[Date]=$A$4)*(GJ[Ofc Code]=(TRIM(L$7)))*(GJ[Account Code]=(TRIM($D72))),GJ[Credit])))</f>
        <v>0</v>
      </c>
      <c r="M72" s="211">
        <f t="array" ref="M72">(SUM(IF((CkDJ[Date]=$A$4)*(CkDJ[Ofc Code]=(TRIM(M$7)))*(CkDJ[Account Code]=(TRIM($D72))),CkDJ[Debit])))+(SUM(IF((CsDJ[Date]=$A$4)*(CsDJ[Ofc Code]=(TRIM(M$7)))*(CsDJ[Account Code]=(TRIM($D72))),CsDJ[Debit])))+(SUM(IF((CRDJ[Date]=$A$4)*(CRDJ[Ofc Code]=(TRIM(M$7)))*(CRDJ[Account Code]=(TRIM($D72))),CRDJ[Debit])))+(SUM(IF((GJ[Date]=$A$4)*(GJ[Ofc Code]=(TRIM(M$7)))*(GJ[Account Code]=(TRIM($D72))),GJ[Debit])))-(SUM(IF((CkDJ[Date]=$A$4)*(CkDJ[Ofc Code]=(TRIM(M$7)))*(CkDJ[Account Code]=(TRIM($D72))),CkDJ[Credit])))+(SUM(IF((CsDJ[Date]=$A$4)*(CsDJ[Ofc Code]=(TRIM(M$7)))*(CsDJ[Account Code]=(TRIM($D72))),CsDJ[Credit])))+(SUM(IF((CRDJ[Date]=$A$4)*(CRDJ[Ofc Code]=(TRIM(M$7)))*(CRDJ[Account Code]=(TRIM($D72))),CRDJ[Credit])))+(SUM(IF((GJ[Date]=$A$4)*(GJ[Ofc Code]=(TRIM(M$7)))*(GJ[Account Code]=(TRIM($D72))),GJ[Credit])))</f>
        <v>0</v>
      </c>
      <c r="N72" s="211">
        <f t="shared" si="16"/>
        <v>0</v>
      </c>
      <c r="O72" s="211">
        <f t="array" ref="O72">(SUM(IF((CkDJ[Date]=$A$4)*(CkDJ[Ofc Code]=(TRIM(O$7)))*(CkDJ[Account Code]=(TRIM($D72))),CkDJ[Debit])))+(SUM(IF((CsDJ[Date]=$A$4)*(CsDJ[Ofc Code]=(TRIM(O$7)))*(CsDJ[Account Code]=(TRIM($D72))),CsDJ[Debit])))+(SUM(IF((CRDJ[Date]=$A$4)*(CRDJ[Ofc Code]=(TRIM(O$7)))*(CRDJ[Account Code]=(TRIM($D72))),CRDJ[Debit])))+(SUM(IF((GJ[Date]=$A$4)*(GJ[Ofc Code]=(TRIM(O$7)))*(GJ[Account Code]=(TRIM($D72))),GJ[Debit])))-(SUM(IF((CkDJ[Date]=$A$4)*(CkDJ[Ofc Code]=(TRIM(O$7)))*(CkDJ[Account Code]=(TRIM($D72))),CkDJ[Credit])))+(SUM(IF((CsDJ[Date]=$A$4)*(CsDJ[Ofc Code]=(TRIM(O$7)))*(CsDJ[Account Code]=(TRIM($D72))),CsDJ[Credit])))+(SUM(IF((CRDJ[Date]=$A$4)*(CRDJ[Ofc Code]=(TRIM(O$7)))*(CRDJ[Account Code]=(TRIM($D72))),CRDJ[Credit])))+(SUM(IF((GJ[Date]=$A$4)*(GJ[Ofc Code]=(TRIM(O$7)))*(GJ[Account Code]=(TRIM($D72))),GJ[Credit])))</f>
        <v>0</v>
      </c>
      <c r="P72" s="211">
        <f t="array" ref="P72">(SUM(IF((CkDJ[Date]=$A$4)*(CkDJ[Ofc Code]=(TRIM(P$7)))*(CkDJ[Account Code]=(TRIM($D72))),CkDJ[Debit])))+(SUM(IF((CsDJ[Date]=$A$4)*(CsDJ[Ofc Code]=(TRIM(P$7)))*(CsDJ[Account Code]=(TRIM($D72))),CsDJ[Debit])))+(SUM(IF((CRDJ[Date]=$A$4)*(CRDJ[Ofc Code]=(TRIM(P$7)))*(CRDJ[Account Code]=(TRIM($D72))),CRDJ[Debit])))+(SUM(IF((GJ[Date]=$A$4)*(GJ[Ofc Code]=(TRIM(P$7)))*(GJ[Account Code]=(TRIM($D72))),GJ[Debit])))-(SUM(IF((CkDJ[Date]=$A$4)*(CkDJ[Ofc Code]=(TRIM(P$7)))*(CkDJ[Account Code]=(TRIM($D72))),CkDJ[Credit])))+(SUM(IF((CsDJ[Date]=$A$4)*(CsDJ[Ofc Code]=(TRIM(P$7)))*(CsDJ[Account Code]=(TRIM($D72))),CsDJ[Credit])))+(SUM(IF((CRDJ[Date]=$A$4)*(CRDJ[Ofc Code]=(TRIM(P$7)))*(CRDJ[Account Code]=(TRIM($D72))),CRDJ[Credit])))+(SUM(IF((GJ[Date]=$A$4)*(GJ[Ofc Code]=(TRIM(P$7)))*(GJ[Account Code]=(TRIM($D72))),GJ[Credit])))</f>
        <v>0</v>
      </c>
      <c r="Q72" s="211">
        <f t="array" ref="Q72">(SUM(IF((CkDJ[Date]=$A$4)*(CkDJ[Ofc Code]=(TRIM(Q$7)))*(CkDJ[Account Code]=(TRIM($D72))),CkDJ[Debit])))+(SUM(IF((CsDJ[Date]=$A$4)*(CsDJ[Ofc Code]=(TRIM(Q$7)))*(CsDJ[Account Code]=(TRIM($D72))),CsDJ[Debit])))+(SUM(IF((CRDJ[Date]=$A$4)*(CRDJ[Ofc Code]=(TRIM(Q$7)))*(CRDJ[Account Code]=(TRIM($D72))),CRDJ[Debit])))+(SUM(IF((GJ[Date]=$A$4)*(GJ[Ofc Code]=(TRIM(Q$7)))*(GJ[Account Code]=(TRIM($D72))),GJ[Debit])))-(SUM(IF((CkDJ[Date]=$A$4)*(CkDJ[Ofc Code]=(TRIM(Q$7)))*(CkDJ[Account Code]=(TRIM($D72))),CkDJ[Credit])))+(SUM(IF((CsDJ[Date]=$A$4)*(CsDJ[Ofc Code]=(TRIM(Q$7)))*(CsDJ[Account Code]=(TRIM($D72))),CsDJ[Credit])))+(SUM(IF((CRDJ[Date]=$A$4)*(CRDJ[Ofc Code]=(TRIM(Q$7)))*(CRDJ[Account Code]=(TRIM($D72))),CRDJ[Credit])))+(SUM(IF((GJ[Date]=$A$4)*(GJ[Ofc Code]=(TRIM(Q$7)))*(GJ[Account Code]=(TRIM($D72))),GJ[Credit])))</f>
        <v>0</v>
      </c>
      <c r="R72" s="211">
        <f t="array" ref="R72">(SUM(IF((CkDJ[Date]=$A$4)*(CkDJ[Ofc Code]=(TRIM(R$7)))*(CkDJ[Account Code]=(TRIM($D72))),CkDJ[Debit])))+(SUM(IF((CsDJ[Date]=$A$4)*(CsDJ[Ofc Code]=(TRIM(R$7)))*(CsDJ[Account Code]=(TRIM($D72))),CsDJ[Debit])))+(SUM(IF((CRDJ[Date]=$A$4)*(CRDJ[Ofc Code]=(TRIM(R$7)))*(CRDJ[Account Code]=(TRIM($D72))),CRDJ[Debit])))+(SUM(IF((GJ[Date]=$A$4)*(GJ[Ofc Code]=(TRIM(R$7)))*(GJ[Account Code]=(TRIM($D72))),GJ[Debit])))-(SUM(IF((CkDJ[Date]=$A$4)*(CkDJ[Ofc Code]=(TRIM(R$7)))*(CkDJ[Account Code]=(TRIM($D72))),CkDJ[Credit])))+(SUM(IF((CsDJ[Date]=$A$4)*(CsDJ[Ofc Code]=(TRIM(R$7)))*(CsDJ[Account Code]=(TRIM($D72))),CsDJ[Credit])))+(SUM(IF((CRDJ[Date]=$A$4)*(CRDJ[Ofc Code]=(TRIM(R$7)))*(CRDJ[Account Code]=(TRIM($D72))),CRDJ[Credit])))+(SUM(IF((GJ[Date]=$A$4)*(GJ[Ofc Code]=(TRIM(R$7)))*(GJ[Account Code]=(TRIM($D72))),GJ[Credit])))</f>
        <v>0</v>
      </c>
      <c r="S72" s="211">
        <f t="array" ref="S72">(SUM(IF((CkDJ[Date]=$A$4)*(CkDJ[Ofc Code]=(TRIM(S$7)))*(CkDJ[Account Code]=(TRIM($D72))),CkDJ[Debit])))+(SUM(IF((CsDJ[Date]=$A$4)*(CsDJ[Ofc Code]=(TRIM(S$7)))*(CsDJ[Account Code]=(TRIM($D72))),CsDJ[Debit])))+(SUM(IF((CRDJ[Date]=$A$4)*(CRDJ[Ofc Code]=(TRIM(S$7)))*(CRDJ[Account Code]=(TRIM($D72))),CRDJ[Debit])))+(SUM(IF((GJ[Date]=$A$4)*(GJ[Ofc Code]=(TRIM(S$7)))*(GJ[Account Code]=(TRIM($D72))),GJ[Debit])))-(SUM(IF((CkDJ[Date]=$A$4)*(CkDJ[Ofc Code]=(TRIM(S$7)))*(CkDJ[Account Code]=(TRIM($D72))),CkDJ[Credit])))+(SUM(IF((CsDJ[Date]=$A$4)*(CsDJ[Ofc Code]=(TRIM(S$7)))*(CsDJ[Account Code]=(TRIM($D72))),CsDJ[Credit])))+(SUM(IF((CRDJ[Date]=$A$4)*(CRDJ[Ofc Code]=(TRIM(S$7)))*(CRDJ[Account Code]=(TRIM($D72))),CRDJ[Credit])))+(SUM(IF((GJ[Date]=$A$4)*(GJ[Ofc Code]=(TRIM(S$7)))*(GJ[Account Code]=(TRIM($D72))),GJ[Credit])))</f>
        <v>0</v>
      </c>
      <c r="T72" s="211">
        <f t="shared" si="17"/>
        <v>0</v>
      </c>
      <c r="U72" s="211">
        <f t="shared" si="18"/>
        <v>0</v>
      </c>
    </row>
    <row r="73" spans="1:22" ht="15">
      <c r="A73" s="212">
        <f t="shared" si="19"/>
        <v>15</v>
      </c>
      <c r="B73" s="214" t="s">
        <v>756</v>
      </c>
      <c r="C73" s="194" t="str">
        <f t="shared" si="14"/>
        <v>Representation Expenses</v>
      </c>
      <c r="D73" s="207">
        <v>783</v>
      </c>
      <c r="E73" s="211">
        <f t="array" ref="E73">(SUM(IF((CkDJ[Date]=$A$4)*(CkDJ[Ofc Code]=(TRIM(E$7)))*(CkDJ[Account Code]=(TRIM($D73))),CkDJ[Debit])))+(SUM(IF((CsDJ[Date]=$A$4)*(CsDJ[Ofc Code]=(TRIM(E$7)))*(CsDJ[Account Code]=(TRIM($D73))),CsDJ[Debit])))+(SUM(IF((CRDJ[Date]=$A$4)*(CRDJ[Ofc Code]=(TRIM(E$7)))*(CRDJ[Account Code]=(TRIM($D73))),CRDJ[Debit])))+(SUM(IF((GJ[Date]=$A$4)*(GJ[Ofc Code]=(TRIM(E$7)))*(GJ[Account Code]=(TRIM($D73))),GJ[Debit])))-(SUM(IF((CkDJ[Date]=$A$4)*(CkDJ[Ofc Code]=(TRIM(E$7)))*(CkDJ[Account Code]=(TRIM($D73))),CkDJ[Credit])))+(SUM(IF((CsDJ[Date]=$A$4)*(CsDJ[Ofc Code]=(TRIM(E$7)))*(CsDJ[Account Code]=(TRIM($D73))),CsDJ[Credit])))+(SUM(IF((CRDJ[Date]=$A$4)*(CRDJ[Ofc Code]=(TRIM(E$7)))*(CRDJ[Account Code]=(TRIM($D73))),CRDJ[Credit])))+(SUM(IF((GJ[Date]=$A$4)*(GJ[Ofc Code]=(TRIM(E$7)))*(GJ[Account Code]=(TRIM($D73))),GJ[Credit])))</f>
        <v>0</v>
      </c>
      <c r="F73" s="211">
        <f t="array" ref="F73">(SUM(IF((CkDJ[Date]=$A$4)*(CkDJ[Ofc Code]=(TRIM(F$7)))*(CkDJ[Account Code]=(TRIM($D73))),CkDJ[Debit])))+(SUM(IF((CsDJ[Date]=$A$4)*(CsDJ[Ofc Code]=(TRIM(F$7)))*(CsDJ[Account Code]=(TRIM($D73))),CsDJ[Debit])))+(SUM(IF((CRDJ[Date]=$A$4)*(CRDJ[Ofc Code]=(TRIM(F$7)))*(CRDJ[Account Code]=(TRIM($D73))),CRDJ[Debit])))+(SUM(IF((GJ[Date]=$A$4)*(GJ[Ofc Code]=(TRIM(F$7)))*(GJ[Account Code]=(TRIM($D73))),GJ[Debit])))-(SUM(IF((CkDJ[Date]=$A$4)*(CkDJ[Ofc Code]=(TRIM(F$7)))*(CkDJ[Account Code]=(TRIM($D73))),CkDJ[Credit])))+(SUM(IF((CsDJ[Date]=$A$4)*(CsDJ[Ofc Code]=(TRIM(F$7)))*(CsDJ[Account Code]=(TRIM($D73))),CsDJ[Credit])))+(SUM(IF((CRDJ[Date]=$A$4)*(CRDJ[Ofc Code]=(TRIM(F$7)))*(CRDJ[Account Code]=(TRIM($D73))),CRDJ[Credit])))+(SUM(IF((GJ[Date]=$A$4)*(GJ[Ofc Code]=(TRIM(F$7)))*(GJ[Account Code]=(TRIM($D73))),GJ[Credit])))</f>
        <v>0</v>
      </c>
      <c r="G73" s="211">
        <f t="array" ref="G73">(SUM(IF((CkDJ[Date]=$A$4)*(CkDJ[Ofc Code]=(TRIM(G$7)))*(CkDJ[Account Code]=(TRIM($D73))),CkDJ[Debit])))+(SUM(IF((CsDJ[Date]=$A$4)*(CsDJ[Ofc Code]=(TRIM(G$7)))*(CsDJ[Account Code]=(TRIM($D73))),CsDJ[Debit])))+(SUM(IF((CRDJ[Date]=$A$4)*(CRDJ[Ofc Code]=(TRIM(G$7)))*(CRDJ[Account Code]=(TRIM($D73))),CRDJ[Debit])))+(SUM(IF((GJ[Date]=$A$4)*(GJ[Ofc Code]=(TRIM(G$7)))*(GJ[Account Code]=(TRIM($D73))),GJ[Debit])))-(SUM(IF((CkDJ[Date]=$A$4)*(CkDJ[Ofc Code]=(TRIM(G$7)))*(CkDJ[Account Code]=(TRIM($D73))),CkDJ[Credit])))+(SUM(IF((CsDJ[Date]=$A$4)*(CsDJ[Ofc Code]=(TRIM(G$7)))*(CsDJ[Account Code]=(TRIM($D73))),CsDJ[Credit])))+(SUM(IF((CRDJ[Date]=$A$4)*(CRDJ[Ofc Code]=(TRIM(G$7)))*(CRDJ[Account Code]=(TRIM($D73))),CRDJ[Credit])))+(SUM(IF((GJ[Date]=$A$4)*(GJ[Ofc Code]=(TRIM(G$7)))*(GJ[Account Code]=(TRIM($D73))),GJ[Credit])))</f>
        <v>0</v>
      </c>
      <c r="H73" s="211">
        <f t="array" ref="H73">(SUM(IF((CkDJ[Date]=$A$4)*(CkDJ[Ofc Code]=(TRIM(H$7)))*(CkDJ[Account Code]=(TRIM($D73))),CkDJ[Debit])))+(SUM(IF((CsDJ[Date]=$A$4)*(CsDJ[Ofc Code]=(TRIM(H$7)))*(CsDJ[Account Code]=(TRIM($D73))),CsDJ[Debit])))+(SUM(IF((CRDJ[Date]=$A$4)*(CRDJ[Ofc Code]=(TRIM(H$7)))*(CRDJ[Account Code]=(TRIM($D73))),CRDJ[Debit])))+(SUM(IF((GJ[Date]=$A$4)*(GJ[Ofc Code]=(TRIM(H$7)))*(GJ[Account Code]=(TRIM($D73))),GJ[Debit])))-(SUM(IF((CkDJ[Date]=$A$4)*(CkDJ[Ofc Code]=(TRIM(H$7)))*(CkDJ[Account Code]=(TRIM($D73))),CkDJ[Credit])))+(SUM(IF((CsDJ[Date]=$A$4)*(CsDJ[Ofc Code]=(TRIM(H$7)))*(CsDJ[Account Code]=(TRIM($D73))),CsDJ[Credit])))+(SUM(IF((CRDJ[Date]=$A$4)*(CRDJ[Ofc Code]=(TRIM(H$7)))*(CRDJ[Account Code]=(TRIM($D73))),CRDJ[Credit])))+(SUM(IF((GJ[Date]=$A$4)*(GJ[Ofc Code]=(TRIM(H$7)))*(GJ[Account Code]=(TRIM($D73))),GJ[Credit])))</f>
        <v>0</v>
      </c>
      <c r="I73" s="211">
        <f t="shared" si="15"/>
        <v>0</v>
      </c>
      <c r="J73" s="211">
        <f t="array" ref="J73">(SUM(IF((CkDJ[Date]=$A$4)*(CkDJ[Ofc Code]=(TRIM(J$7)))*(CkDJ[Account Code]=(TRIM($D73))),CkDJ[Debit])))+(SUM(IF((CsDJ[Date]=$A$4)*(CsDJ[Ofc Code]=(TRIM(J$7)))*(CsDJ[Account Code]=(TRIM($D73))),CsDJ[Debit])))+(SUM(IF((CRDJ[Date]=$A$4)*(CRDJ[Ofc Code]=(TRIM(J$7)))*(CRDJ[Account Code]=(TRIM($D73))),CRDJ[Debit])))+(SUM(IF((GJ[Date]=$A$4)*(GJ[Ofc Code]=(TRIM(J$7)))*(GJ[Account Code]=(TRIM($D73))),GJ[Debit])))-(SUM(IF((CkDJ[Date]=$A$4)*(CkDJ[Ofc Code]=(TRIM(J$7)))*(CkDJ[Account Code]=(TRIM($D73))),CkDJ[Credit])))+(SUM(IF((CsDJ[Date]=$A$4)*(CsDJ[Ofc Code]=(TRIM(J$7)))*(CsDJ[Account Code]=(TRIM($D73))),CsDJ[Credit])))+(SUM(IF((CRDJ[Date]=$A$4)*(CRDJ[Ofc Code]=(TRIM(J$7)))*(CRDJ[Account Code]=(TRIM($D73))),CRDJ[Credit])))+(SUM(IF((GJ[Date]=$A$4)*(GJ[Ofc Code]=(TRIM(J$7)))*(GJ[Account Code]=(TRIM($D73))),GJ[Credit])))</f>
        <v>0</v>
      </c>
      <c r="K73" s="211">
        <f t="array" ref="K73">(SUM(IF((CkDJ[Date]=$A$4)*(CkDJ[Ofc Code]=(TRIM(K$7)))*(CkDJ[Account Code]=(TRIM($D73))),CkDJ[Debit])))+(SUM(IF((CsDJ[Date]=$A$4)*(CsDJ[Ofc Code]=(TRIM(K$7)))*(CsDJ[Account Code]=(TRIM($D73))),CsDJ[Debit])))+(SUM(IF((CRDJ[Date]=$A$4)*(CRDJ[Ofc Code]=(TRIM(K$7)))*(CRDJ[Account Code]=(TRIM($D73))),CRDJ[Debit])))+(SUM(IF((GJ[Date]=$A$4)*(GJ[Ofc Code]=(TRIM(K$7)))*(GJ[Account Code]=(TRIM($D73))),GJ[Debit])))-(SUM(IF((CkDJ[Date]=$A$4)*(CkDJ[Ofc Code]=(TRIM(K$7)))*(CkDJ[Account Code]=(TRIM($D73))),CkDJ[Credit])))+(SUM(IF((CsDJ[Date]=$A$4)*(CsDJ[Ofc Code]=(TRIM(K$7)))*(CsDJ[Account Code]=(TRIM($D73))),CsDJ[Credit])))+(SUM(IF((CRDJ[Date]=$A$4)*(CRDJ[Ofc Code]=(TRIM(K$7)))*(CRDJ[Account Code]=(TRIM($D73))),CRDJ[Credit])))+(SUM(IF((GJ[Date]=$A$4)*(GJ[Ofc Code]=(TRIM(K$7)))*(GJ[Account Code]=(TRIM($D73))),GJ[Credit])))</f>
        <v>0</v>
      </c>
      <c r="L73" s="211">
        <f t="array" ref="L73">(SUM(IF((CkDJ[Date]=$A$4)*(CkDJ[Ofc Code]=(TRIM(L$7)))*(CkDJ[Account Code]=(TRIM($D73))),CkDJ[Debit])))+(SUM(IF((CsDJ[Date]=$A$4)*(CsDJ[Ofc Code]=(TRIM(L$7)))*(CsDJ[Account Code]=(TRIM($D73))),CsDJ[Debit])))+(SUM(IF((CRDJ[Date]=$A$4)*(CRDJ[Ofc Code]=(TRIM(L$7)))*(CRDJ[Account Code]=(TRIM($D73))),CRDJ[Debit])))+(SUM(IF((GJ[Date]=$A$4)*(GJ[Ofc Code]=(TRIM(L$7)))*(GJ[Account Code]=(TRIM($D73))),GJ[Debit])))-(SUM(IF((CkDJ[Date]=$A$4)*(CkDJ[Ofc Code]=(TRIM(L$7)))*(CkDJ[Account Code]=(TRIM($D73))),CkDJ[Credit])))+(SUM(IF((CsDJ[Date]=$A$4)*(CsDJ[Ofc Code]=(TRIM(L$7)))*(CsDJ[Account Code]=(TRIM($D73))),CsDJ[Credit])))+(SUM(IF((CRDJ[Date]=$A$4)*(CRDJ[Ofc Code]=(TRIM(L$7)))*(CRDJ[Account Code]=(TRIM($D73))),CRDJ[Credit])))+(SUM(IF((GJ[Date]=$A$4)*(GJ[Ofc Code]=(TRIM(L$7)))*(GJ[Account Code]=(TRIM($D73))),GJ[Credit])))</f>
        <v>0</v>
      </c>
      <c r="M73" s="211">
        <f t="array" ref="M73">(SUM(IF((CkDJ[Date]=$A$4)*(CkDJ[Ofc Code]=(TRIM(M$7)))*(CkDJ[Account Code]=(TRIM($D73))),CkDJ[Debit])))+(SUM(IF((CsDJ[Date]=$A$4)*(CsDJ[Ofc Code]=(TRIM(M$7)))*(CsDJ[Account Code]=(TRIM($D73))),CsDJ[Debit])))+(SUM(IF((CRDJ[Date]=$A$4)*(CRDJ[Ofc Code]=(TRIM(M$7)))*(CRDJ[Account Code]=(TRIM($D73))),CRDJ[Debit])))+(SUM(IF((GJ[Date]=$A$4)*(GJ[Ofc Code]=(TRIM(M$7)))*(GJ[Account Code]=(TRIM($D73))),GJ[Debit])))-(SUM(IF((CkDJ[Date]=$A$4)*(CkDJ[Ofc Code]=(TRIM(M$7)))*(CkDJ[Account Code]=(TRIM($D73))),CkDJ[Credit])))+(SUM(IF((CsDJ[Date]=$A$4)*(CsDJ[Ofc Code]=(TRIM(M$7)))*(CsDJ[Account Code]=(TRIM($D73))),CsDJ[Credit])))+(SUM(IF((CRDJ[Date]=$A$4)*(CRDJ[Ofc Code]=(TRIM(M$7)))*(CRDJ[Account Code]=(TRIM($D73))),CRDJ[Credit])))+(SUM(IF((GJ[Date]=$A$4)*(GJ[Ofc Code]=(TRIM(M$7)))*(GJ[Account Code]=(TRIM($D73))),GJ[Credit])))</f>
        <v>0</v>
      </c>
      <c r="N73" s="211">
        <f t="shared" si="16"/>
        <v>0</v>
      </c>
      <c r="O73" s="211">
        <f t="array" ref="O73">(SUM(IF((CkDJ[Date]=$A$4)*(CkDJ[Ofc Code]=(TRIM(O$7)))*(CkDJ[Account Code]=(TRIM($D73))),CkDJ[Debit])))+(SUM(IF((CsDJ[Date]=$A$4)*(CsDJ[Ofc Code]=(TRIM(O$7)))*(CsDJ[Account Code]=(TRIM($D73))),CsDJ[Debit])))+(SUM(IF((CRDJ[Date]=$A$4)*(CRDJ[Ofc Code]=(TRIM(O$7)))*(CRDJ[Account Code]=(TRIM($D73))),CRDJ[Debit])))+(SUM(IF((GJ[Date]=$A$4)*(GJ[Ofc Code]=(TRIM(O$7)))*(GJ[Account Code]=(TRIM($D73))),GJ[Debit])))-(SUM(IF((CkDJ[Date]=$A$4)*(CkDJ[Ofc Code]=(TRIM(O$7)))*(CkDJ[Account Code]=(TRIM($D73))),CkDJ[Credit])))+(SUM(IF((CsDJ[Date]=$A$4)*(CsDJ[Ofc Code]=(TRIM(O$7)))*(CsDJ[Account Code]=(TRIM($D73))),CsDJ[Credit])))+(SUM(IF((CRDJ[Date]=$A$4)*(CRDJ[Ofc Code]=(TRIM(O$7)))*(CRDJ[Account Code]=(TRIM($D73))),CRDJ[Credit])))+(SUM(IF((GJ[Date]=$A$4)*(GJ[Ofc Code]=(TRIM(O$7)))*(GJ[Account Code]=(TRIM($D73))),GJ[Credit])))</f>
        <v>0</v>
      </c>
      <c r="P73" s="211">
        <f t="array" ref="P73">(SUM(IF((CkDJ[Date]=$A$4)*(CkDJ[Ofc Code]=(TRIM(P$7)))*(CkDJ[Account Code]=(TRIM($D73))),CkDJ[Debit])))+(SUM(IF((CsDJ[Date]=$A$4)*(CsDJ[Ofc Code]=(TRIM(P$7)))*(CsDJ[Account Code]=(TRIM($D73))),CsDJ[Debit])))+(SUM(IF((CRDJ[Date]=$A$4)*(CRDJ[Ofc Code]=(TRIM(P$7)))*(CRDJ[Account Code]=(TRIM($D73))),CRDJ[Debit])))+(SUM(IF((GJ[Date]=$A$4)*(GJ[Ofc Code]=(TRIM(P$7)))*(GJ[Account Code]=(TRIM($D73))),GJ[Debit])))-(SUM(IF((CkDJ[Date]=$A$4)*(CkDJ[Ofc Code]=(TRIM(P$7)))*(CkDJ[Account Code]=(TRIM($D73))),CkDJ[Credit])))+(SUM(IF((CsDJ[Date]=$A$4)*(CsDJ[Ofc Code]=(TRIM(P$7)))*(CsDJ[Account Code]=(TRIM($D73))),CsDJ[Credit])))+(SUM(IF((CRDJ[Date]=$A$4)*(CRDJ[Ofc Code]=(TRIM(P$7)))*(CRDJ[Account Code]=(TRIM($D73))),CRDJ[Credit])))+(SUM(IF((GJ[Date]=$A$4)*(GJ[Ofc Code]=(TRIM(P$7)))*(GJ[Account Code]=(TRIM($D73))),GJ[Credit])))</f>
        <v>0</v>
      </c>
      <c r="Q73" s="211">
        <f t="array" ref="Q73">(SUM(IF((CkDJ[Date]=$A$4)*(CkDJ[Ofc Code]=(TRIM(Q$7)))*(CkDJ[Account Code]=(TRIM($D73))),CkDJ[Debit])))+(SUM(IF((CsDJ[Date]=$A$4)*(CsDJ[Ofc Code]=(TRIM(Q$7)))*(CsDJ[Account Code]=(TRIM($D73))),CsDJ[Debit])))+(SUM(IF((CRDJ[Date]=$A$4)*(CRDJ[Ofc Code]=(TRIM(Q$7)))*(CRDJ[Account Code]=(TRIM($D73))),CRDJ[Debit])))+(SUM(IF((GJ[Date]=$A$4)*(GJ[Ofc Code]=(TRIM(Q$7)))*(GJ[Account Code]=(TRIM($D73))),GJ[Debit])))-(SUM(IF((CkDJ[Date]=$A$4)*(CkDJ[Ofc Code]=(TRIM(Q$7)))*(CkDJ[Account Code]=(TRIM($D73))),CkDJ[Credit])))+(SUM(IF((CsDJ[Date]=$A$4)*(CsDJ[Ofc Code]=(TRIM(Q$7)))*(CsDJ[Account Code]=(TRIM($D73))),CsDJ[Credit])))+(SUM(IF((CRDJ[Date]=$A$4)*(CRDJ[Ofc Code]=(TRIM(Q$7)))*(CRDJ[Account Code]=(TRIM($D73))),CRDJ[Credit])))+(SUM(IF((GJ[Date]=$A$4)*(GJ[Ofc Code]=(TRIM(Q$7)))*(GJ[Account Code]=(TRIM($D73))),GJ[Credit])))</f>
        <v>0</v>
      </c>
      <c r="R73" s="211">
        <f t="array" ref="R73">(SUM(IF((CkDJ[Date]=$A$4)*(CkDJ[Ofc Code]=(TRIM(R$7)))*(CkDJ[Account Code]=(TRIM($D73))),CkDJ[Debit])))+(SUM(IF((CsDJ[Date]=$A$4)*(CsDJ[Ofc Code]=(TRIM(R$7)))*(CsDJ[Account Code]=(TRIM($D73))),CsDJ[Debit])))+(SUM(IF((CRDJ[Date]=$A$4)*(CRDJ[Ofc Code]=(TRIM(R$7)))*(CRDJ[Account Code]=(TRIM($D73))),CRDJ[Debit])))+(SUM(IF((GJ[Date]=$A$4)*(GJ[Ofc Code]=(TRIM(R$7)))*(GJ[Account Code]=(TRIM($D73))),GJ[Debit])))-(SUM(IF((CkDJ[Date]=$A$4)*(CkDJ[Ofc Code]=(TRIM(R$7)))*(CkDJ[Account Code]=(TRIM($D73))),CkDJ[Credit])))+(SUM(IF((CsDJ[Date]=$A$4)*(CsDJ[Ofc Code]=(TRIM(R$7)))*(CsDJ[Account Code]=(TRIM($D73))),CsDJ[Credit])))+(SUM(IF((CRDJ[Date]=$A$4)*(CRDJ[Ofc Code]=(TRIM(R$7)))*(CRDJ[Account Code]=(TRIM($D73))),CRDJ[Credit])))+(SUM(IF((GJ[Date]=$A$4)*(GJ[Ofc Code]=(TRIM(R$7)))*(GJ[Account Code]=(TRIM($D73))),GJ[Credit])))</f>
        <v>0</v>
      </c>
      <c r="S73" s="211">
        <f t="array" ref="S73">(SUM(IF((CkDJ[Date]=$A$4)*(CkDJ[Ofc Code]=(TRIM(S$7)))*(CkDJ[Account Code]=(TRIM($D73))),CkDJ[Debit])))+(SUM(IF((CsDJ[Date]=$A$4)*(CsDJ[Ofc Code]=(TRIM(S$7)))*(CsDJ[Account Code]=(TRIM($D73))),CsDJ[Debit])))+(SUM(IF((CRDJ[Date]=$A$4)*(CRDJ[Ofc Code]=(TRIM(S$7)))*(CRDJ[Account Code]=(TRIM($D73))),CRDJ[Debit])))+(SUM(IF((GJ[Date]=$A$4)*(GJ[Ofc Code]=(TRIM(S$7)))*(GJ[Account Code]=(TRIM($D73))),GJ[Debit])))-(SUM(IF((CkDJ[Date]=$A$4)*(CkDJ[Ofc Code]=(TRIM(S$7)))*(CkDJ[Account Code]=(TRIM($D73))),CkDJ[Credit])))+(SUM(IF((CsDJ[Date]=$A$4)*(CsDJ[Ofc Code]=(TRIM(S$7)))*(CsDJ[Account Code]=(TRIM($D73))),CsDJ[Credit])))+(SUM(IF((CRDJ[Date]=$A$4)*(CRDJ[Ofc Code]=(TRIM(S$7)))*(CRDJ[Account Code]=(TRIM($D73))),CRDJ[Credit])))+(SUM(IF((GJ[Date]=$A$4)*(GJ[Ofc Code]=(TRIM(S$7)))*(GJ[Account Code]=(TRIM($D73))),GJ[Credit])))</f>
        <v>0</v>
      </c>
      <c r="T73" s="211">
        <f t="shared" si="17"/>
        <v>0</v>
      </c>
      <c r="U73" s="211">
        <f t="shared" si="18"/>
        <v>0</v>
      </c>
    </row>
    <row r="74" spans="1:22" ht="15">
      <c r="A74" s="212">
        <f t="shared" si="19"/>
        <v>16</v>
      </c>
      <c r="B74" s="214"/>
      <c r="C74" s="194" t="str">
        <f t="shared" si="14"/>
        <v>Transportation and Delivery Expenses</v>
      </c>
      <c r="D74" s="207">
        <v>784</v>
      </c>
      <c r="E74" s="211">
        <f t="array" ref="E74">(SUM(IF((CkDJ[Date]=$A$4)*(CkDJ[Ofc Code]=(TRIM(E$7)))*(CkDJ[Account Code]=(TRIM($D74))),CkDJ[Debit])))+(SUM(IF((CsDJ[Date]=$A$4)*(CsDJ[Ofc Code]=(TRIM(E$7)))*(CsDJ[Account Code]=(TRIM($D74))),CsDJ[Debit])))+(SUM(IF((CRDJ[Date]=$A$4)*(CRDJ[Ofc Code]=(TRIM(E$7)))*(CRDJ[Account Code]=(TRIM($D74))),CRDJ[Debit])))+(SUM(IF((GJ[Date]=$A$4)*(GJ[Ofc Code]=(TRIM(E$7)))*(GJ[Account Code]=(TRIM($D74))),GJ[Debit])))-(SUM(IF((CkDJ[Date]=$A$4)*(CkDJ[Ofc Code]=(TRIM(E$7)))*(CkDJ[Account Code]=(TRIM($D74))),CkDJ[Credit])))+(SUM(IF((CsDJ[Date]=$A$4)*(CsDJ[Ofc Code]=(TRIM(E$7)))*(CsDJ[Account Code]=(TRIM($D74))),CsDJ[Credit])))+(SUM(IF((CRDJ[Date]=$A$4)*(CRDJ[Ofc Code]=(TRIM(E$7)))*(CRDJ[Account Code]=(TRIM($D74))),CRDJ[Credit])))+(SUM(IF((GJ[Date]=$A$4)*(GJ[Ofc Code]=(TRIM(E$7)))*(GJ[Account Code]=(TRIM($D74))),GJ[Credit])))</f>
        <v>0</v>
      </c>
      <c r="F74" s="211">
        <f t="array" ref="F74">(SUM(IF((CkDJ[Date]=$A$4)*(CkDJ[Ofc Code]=(TRIM(F$7)))*(CkDJ[Account Code]=(TRIM($D74))),CkDJ[Debit])))+(SUM(IF((CsDJ[Date]=$A$4)*(CsDJ[Ofc Code]=(TRIM(F$7)))*(CsDJ[Account Code]=(TRIM($D74))),CsDJ[Debit])))+(SUM(IF((CRDJ[Date]=$A$4)*(CRDJ[Ofc Code]=(TRIM(F$7)))*(CRDJ[Account Code]=(TRIM($D74))),CRDJ[Debit])))+(SUM(IF((GJ[Date]=$A$4)*(GJ[Ofc Code]=(TRIM(F$7)))*(GJ[Account Code]=(TRIM($D74))),GJ[Debit])))-(SUM(IF((CkDJ[Date]=$A$4)*(CkDJ[Ofc Code]=(TRIM(F$7)))*(CkDJ[Account Code]=(TRIM($D74))),CkDJ[Credit])))+(SUM(IF((CsDJ[Date]=$A$4)*(CsDJ[Ofc Code]=(TRIM(F$7)))*(CsDJ[Account Code]=(TRIM($D74))),CsDJ[Credit])))+(SUM(IF((CRDJ[Date]=$A$4)*(CRDJ[Ofc Code]=(TRIM(F$7)))*(CRDJ[Account Code]=(TRIM($D74))),CRDJ[Credit])))+(SUM(IF((GJ[Date]=$A$4)*(GJ[Ofc Code]=(TRIM(F$7)))*(GJ[Account Code]=(TRIM($D74))),GJ[Credit])))</f>
        <v>0</v>
      </c>
      <c r="G74" s="211">
        <f t="array" ref="G74">(SUM(IF((CkDJ[Date]=$A$4)*(CkDJ[Ofc Code]=(TRIM(G$7)))*(CkDJ[Account Code]=(TRIM($D74))),CkDJ[Debit])))+(SUM(IF((CsDJ[Date]=$A$4)*(CsDJ[Ofc Code]=(TRIM(G$7)))*(CsDJ[Account Code]=(TRIM($D74))),CsDJ[Debit])))+(SUM(IF((CRDJ[Date]=$A$4)*(CRDJ[Ofc Code]=(TRIM(G$7)))*(CRDJ[Account Code]=(TRIM($D74))),CRDJ[Debit])))+(SUM(IF((GJ[Date]=$A$4)*(GJ[Ofc Code]=(TRIM(G$7)))*(GJ[Account Code]=(TRIM($D74))),GJ[Debit])))-(SUM(IF((CkDJ[Date]=$A$4)*(CkDJ[Ofc Code]=(TRIM(G$7)))*(CkDJ[Account Code]=(TRIM($D74))),CkDJ[Credit])))+(SUM(IF((CsDJ[Date]=$A$4)*(CsDJ[Ofc Code]=(TRIM(G$7)))*(CsDJ[Account Code]=(TRIM($D74))),CsDJ[Credit])))+(SUM(IF((CRDJ[Date]=$A$4)*(CRDJ[Ofc Code]=(TRIM(G$7)))*(CRDJ[Account Code]=(TRIM($D74))),CRDJ[Credit])))+(SUM(IF((GJ[Date]=$A$4)*(GJ[Ofc Code]=(TRIM(G$7)))*(GJ[Account Code]=(TRIM($D74))),GJ[Credit])))</f>
        <v>0</v>
      </c>
      <c r="H74" s="211">
        <f t="array" ref="H74">(SUM(IF((CkDJ[Date]=$A$4)*(CkDJ[Ofc Code]=(TRIM(H$7)))*(CkDJ[Account Code]=(TRIM($D74))),CkDJ[Debit])))+(SUM(IF((CsDJ[Date]=$A$4)*(CsDJ[Ofc Code]=(TRIM(H$7)))*(CsDJ[Account Code]=(TRIM($D74))),CsDJ[Debit])))+(SUM(IF((CRDJ[Date]=$A$4)*(CRDJ[Ofc Code]=(TRIM(H$7)))*(CRDJ[Account Code]=(TRIM($D74))),CRDJ[Debit])))+(SUM(IF((GJ[Date]=$A$4)*(GJ[Ofc Code]=(TRIM(H$7)))*(GJ[Account Code]=(TRIM($D74))),GJ[Debit])))-(SUM(IF((CkDJ[Date]=$A$4)*(CkDJ[Ofc Code]=(TRIM(H$7)))*(CkDJ[Account Code]=(TRIM($D74))),CkDJ[Credit])))+(SUM(IF((CsDJ[Date]=$A$4)*(CsDJ[Ofc Code]=(TRIM(H$7)))*(CsDJ[Account Code]=(TRIM($D74))),CsDJ[Credit])))+(SUM(IF((CRDJ[Date]=$A$4)*(CRDJ[Ofc Code]=(TRIM(H$7)))*(CRDJ[Account Code]=(TRIM($D74))),CRDJ[Credit])))+(SUM(IF((GJ[Date]=$A$4)*(GJ[Ofc Code]=(TRIM(H$7)))*(GJ[Account Code]=(TRIM($D74))),GJ[Credit])))</f>
        <v>0</v>
      </c>
      <c r="I74" s="211">
        <f t="shared" si="15"/>
        <v>0</v>
      </c>
      <c r="J74" s="211">
        <f t="array" ref="J74">(SUM(IF((CkDJ[Date]=$A$4)*(CkDJ[Ofc Code]=(TRIM(J$7)))*(CkDJ[Account Code]=(TRIM($D74))),CkDJ[Debit])))+(SUM(IF((CsDJ[Date]=$A$4)*(CsDJ[Ofc Code]=(TRIM(J$7)))*(CsDJ[Account Code]=(TRIM($D74))),CsDJ[Debit])))+(SUM(IF((CRDJ[Date]=$A$4)*(CRDJ[Ofc Code]=(TRIM(J$7)))*(CRDJ[Account Code]=(TRIM($D74))),CRDJ[Debit])))+(SUM(IF((GJ[Date]=$A$4)*(GJ[Ofc Code]=(TRIM(J$7)))*(GJ[Account Code]=(TRIM($D74))),GJ[Debit])))-(SUM(IF((CkDJ[Date]=$A$4)*(CkDJ[Ofc Code]=(TRIM(J$7)))*(CkDJ[Account Code]=(TRIM($D74))),CkDJ[Credit])))+(SUM(IF((CsDJ[Date]=$A$4)*(CsDJ[Ofc Code]=(TRIM(J$7)))*(CsDJ[Account Code]=(TRIM($D74))),CsDJ[Credit])))+(SUM(IF((CRDJ[Date]=$A$4)*(CRDJ[Ofc Code]=(TRIM(J$7)))*(CRDJ[Account Code]=(TRIM($D74))),CRDJ[Credit])))+(SUM(IF((GJ[Date]=$A$4)*(GJ[Ofc Code]=(TRIM(J$7)))*(GJ[Account Code]=(TRIM($D74))),GJ[Credit])))</f>
        <v>0</v>
      </c>
      <c r="K74" s="211">
        <f t="array" ref="K74">(SUM(IF((CkDJ[Date]=$A$4)*(CkDJ[Ofc Code]=(TRIM(K$7)))*(CkDJ[Account Code]=(TRIM($D74))),CkDJ[Debit])))+(SUM(IF((CsDJ[Date]=$A$4)*(CsDJ[Ofc Code]=(TRIM(K$7)))*(CsDJ[Account Code]=(TRIM($D74))),CsDJ[Debit])))+(SUM(IF((CRDJ[Date]=$A$4)*(CRDJ[Ofc Code]=(TRIM(K$7)))*(CRDJ[Account Code]=(TRIM($D74))),CRDJ[Debit])))+(SUM(IF((GJ[Date]=$A$4)*(GJ[Ofc Code]=(TRIM(K$7)))*(GJ[Account Code]=(TRIM($D74))),GJ[Debit])))-(SUM(IF((CkDJ[Date]=$A$4)*(CkDJ[Ofc Code]=(TRIM(K$7)))*(CkDJ[Account Code]=(TRIM($D74))),CkDJ[Credit])))+(SUM(IF((CsDJ[Date]=$A$4)*(CsDJ[Ofc Code]=(TRIM(K$7)))*(CsDJ[Account Code]=(TRIM($D74))),CsDJ[Credit])))+(SUM(IF((CRDJ[Date]=$A$4)*(CRDJ[Ofc Code]=(TRIM(K$7)))*(CRDJ[Account Code]=(TRIM($D74))),CRDJ[Credit])))+(SUM(IF((GJ[Date]=$A$4)*(GJ[Ofc Code]=(TRIM(K$7)))*(GJ[Account Code]=(TRIM($D74))),GJ[Credit])))</f>
        <v>0</v>
      </c>
      <c r="L74" s="211">
        <f t="array" ref="L74">(SUM(IF((CkDJ[Date]=$A$4)*(CkDJ[Ofc Code]=(TRIM(L$7)))*(CkDJ[Account Code]=(TRIM($D74))),CkDJ[Debit])))+(SUM(IF((CsDJ[Date]=$A$4)*(CsDJ[Ofc Code]=(TRIM(L$7)))*(CsDJ[Account Code]=(TRIM($D74))),CsDJ[Debit])))+(SUM(IF((CRDJ[Date]=$A$4)*(CRDJ[Ofc Code]=(TRIM(L$7)))*(CRDJ[Account Code]=(TRIM($D74))),CRDJ[Debit])))+(SUM(IF((GJ[Date]=$A$4)*(GJ[Ofc Code]=(TRIM(L$7)))*(GJ[Account Code]=(TRIM($D74))),GJ[Debit])))-(SUM(IF((CkDJ[Date]=$A$4)*(CkDJ[Ofc Code]=(TRIM(L$7)))*(CkDJ[Account Code]=(TRIM($D74))),CkDJ[Credit])))+(SUM(IF((CsDJ[Date]=$A$4)*(CsDJ[Ofc Code]=(TRIM(L$7)))*(CsDJ[Account Code]=(TRIM($D74))),CsDJ[Credit])))+(SUM(IF((CRDJ[Date]=$A$4)*(CRDJ[Ofc Code]=(TRIM(L$7)))*(CRDJ[Account Code]=(TRIM($D74))),CRDJ[Credit])))+(SUM(IF((GJ[Date]=$A$4)*(GJ[Ofc Code]=(TRIM(L$7)))*(GJ[Account Code]=(TRIM($D74))),GJ[Credit])))</f>
        <v>0</v>
      </c>
      <c r="M74" s="211">
        <f t="array" ref="M74">(SUM(IF((CkDJ[Date]=$A$4)*(CkDJ[Ofc Code]=(TRIM(M$7)))*(CkDJ[Account Code]=(TRIM($D74))),CkDJ[Debit])))+(SUM(IF((CsDJ[Date]=$A$4)*(CsDJ[Ofc Code]=(TRIM(M$7)))*(CsDJ[Account Code]=(TRIM($D74))),CsDJ[Debit])))+(SUM(IF((CRDJ[Date]=$A$4)*(CRDJ[Ofc Code]=(TRIM(M$7)))*(CRDJ[Account Code]=(TRIM($D74))),CRDJ[Debit])))+(SUM(IF((GJ[Date]=$A$4)*(GJ[Ofc Code]=(TRIM(M$7)))*(GJ[Account Code]=(TRIM($D74))),GJ[Debit])))-(SUM(IF((CkDJ[Date]=$A$4)*(CkDJ[Ofc Code]=(TRIM(M$7)))*(CkDJ[Account Code]=(TRIM($D74))),CkDJ[Credit])))+(SUM(IF((CsDJ[Date]=$A$4)*(CsDJ[Ofc Code]=(TRIM(M$7)))*(CsDJ[Account Code]=(TRIM($D74))),CsDJ[Credit])))+(SUM(IF((CRDJ[Date]=$A$4)*(CRDJ[Ofc Code]=(TRIM(M$7)))*(CRDJ[Account Code]=(TRIM($D74))),CRDJ[Credit])))+(SUM(IF((GJ[Date]=$A$4)*(GJ[Ofc Code]=(TRIM(M$7)))*(GJ[Account Code]=(TRIM($D74))),GJ[Credit])))</f>
        <v>0</v>
      </c>
      <c r="N74" s="211">
        <f t="shared" si="16"/>
        <v>0</v>
      </c>
      <c r="O74" s="211">
        <f t="array" ref="O74">(SUM(IF((CkDJ[Date]=$A$4)*(CkDJ[Ofc Code]=(TRIM(O$7)))*(CkDJ[Account Code]=(TRIM($D74))),CkDJ[Debit])))+(SUM(IF((CsDJ[Date]=$A$4)*(CsDJ[Ofc Code]=(TRIM(O$7)))*(CsDJ[Account Code]=(TRIM($D74))),CsDJ[Debit])))+(SUM(IF((CRDJ[Date]=$A$4)*(CRDJ[Ofc Code]=(TRIM(O$7)))*(CRDJ[Account Code]=(TRIM($D74))),CRDJ[Debit])))+(SUM(IF((GJ[Date]=$A$4)*(GJ[Ofc Code]=(TRIM(O$7)))*(GJ[Account Code]=(TRIM($D74))),GJ[Debit])))-(SUM(IF((CkDJ[Date]=$A$4)*(CkDJ[Ofc Code]=(TRIM(O$7)))*(CkDJ[Account Code]=(TRIM($D74))),CkDJ[Credit])))+(SUM(IF((CsDJ[Date]=$A$4)*(CsDJ[Ofc Code]=(TRIM(O$7)))*(CsDJ[Account Code]=(TRIM($D74))),CsDJ[Credit])))+(SUM(IF((CRDJ[Date]=$A$4)*(CRDJ[Ofc Code]=(TRIM(O$7)))*(CRDJ[Account Code]=(TRIM($D74))),CRDJ[Credit])))+(SUM(IF((GJ[Date]=$A$4)*(GJ[Ofc Code]=(TRIM(O$7)))*(GJ[Account Code]=(TRIM($D74))),GJ[Credit])))</f>
        <v>0</v>
      </c>
      <c r="P74" s="211">
        <f t="array" ref="P74">(SUM(IF((CkDJ[Date]=$A$4)*(CkDJ[Ofc Code]=(TRIM(P$7)))*(CkDJ[Account Code]=(TRIM($D74))),CkDJ[Debit])))+(SUM(IF((CsDJ[Date]=$A$4)*(CsDJ[Ofc Code]=(TRIM(P$7)))*(CsDJ[Account Code]=(TRIM($D74))),CsDJ[Debit])))+(SUM(IF((CRDJ[Date]=$A$4)*(CRDJ[Ofc Code]=(TRIM(P$7)))*(CRDJ[Account Code]=(TRIM($D74))),CRDJ[Debit])))+(SUM(IF((GJ[Date]=$A$4)*(GJ[Ofc Code]=(TRIM(P$7)))*(GJ[Account Code]=(TRIM($D74))),GJ[Debit])))-(SUM(IF((CkDJ[Date]=$A$4)*(CkDJ[Ofc Code]=(TRIM(P$7)))*(CkDJ[Account Code]=(TRIM($D74))),CkDJ[Credit])))+(SUM(IF((CsDJ[Date]=$A$4)*(CsDJ[Ofc Code]=(TRIM(P$7)))*(CsDJ[Account Code]=(TRIM($D74))),CsDJ[Credit])))+(SUM(IF((CRDJ[Date]=$A$4)*(CRDJ[Ofc Code]=(TRIM(P$7)))*(CRDJ[Account Code]=(TRIM($D74))),CRDJ[Credit])))+(SUM(IF((GJ[Date]=$A$4)*(GJ[Ofc Code]=(TRIM(P$7)))*(GJ[Account Code]=(TRIM($D74))),GJ[Credit])))</f>
        <v>0</v>
      </c>
      <c r="Q74" s="211">
        <f t="array" ref="Q74">(SUM(IF((CkDJ[Date]=$A$4)*(CkDJ[Ofc Code]=(TRIM(Q$7)))*(CkDJ[Account Code]=(TRIM($D74))),CkDJ[Debit])))+(SUM(IF((CsDJ[Date]=$A$4)*(CsDJ[Ofc Code]=(TRIM(Q$7)))*(CsDJ[Account Code]=(TRIM($D74))),CsDJ[Debit])))+(SUM(IF((CRDJ[Date]=$A$4)*(CRDJ[Ofc Code]=(TRIM(Q$7)))*(CRDJ[Account Code]=(TRIM($D74))),CRDJ[Debit])))+(SUM(IF((GJ[Date]=$A$4)*(GJ[Ofc Code]=(TRIM(Q$7)))*(GJ[Account Code]=(TRIM($D74))),GJ[Debit])))-(SUM(IF((CkDJ[Date]=$A$4)*(CkDJ[Ofc Code]=(TRIM(Q$7)))*(CkDJ[Account Code]=(TRIM($D74))),CkDJ[Credit])))+(SUM(IF((CsDJ[Date]=$A$4)*(CsDJ[Ofc Code]=(TRIM(Q$7)))*(CsDJ[Account Code]=(TRIM($D74))),CsDJ[Credit])))+(SUM(IF((CRDJ[Date]=$A$4)*(CRDJ[Ofc Code]=(TRIM(Q$7)))*(CRDJ[Account Code]=(TRIM($D74))),CRDJ[Credit])))+(SUM(IF((GJ[Date]=$A$4)*(GJ[Ofc Code]=(TRIM(Q$7)))*(GJ[Account Code]=(TRIM($D74))),GJ[Credit])))</f>
        <v>0</v>
      </c>
      <c r="R74" s="211">
        <f t="array" ref="R74">(SUM(IF((CkDJ[Date]=$A$4)*(CkDJ[Ofc Code]=(TRIM(R$7)))*(CkDJ[Account Code]=(TRIM($D74))),CkDJ[Debit])))+(SUM(IF((CsDJ[Date]=$A$4)*(CsDJ[Ofc Code]=(TRIM(R$7)))*(CsDJ[Account Code]=(TRIM($D74))),CsDJ[Debit])))+(SUM(IF((CRDJ[Date]=$A$4)*(CRDJ[Ofc Code]=(TRIM(R$7)))*(CRDJ[Account Code]=(TRIM($D74))),CRDJ[Debit])))+(SUM(IF((GJ[Date]=$A$4)*(GJ[Ofc Code]=(TRIM(R$7)))*(GJ[Account Code]=(TRIM($D74))),GJ[Debit])))-(SUM(IF((CkDJ[Date]=$A$4)*(CkDJ[Ofc Code]=(TRIM(R$7)))*(CkDJ[Account Code]=(TRIM($D74))),CkDJ[Credit])))+(SUM(IF((CsDJ[Date]=$A$4)*(CsDJ[Ofc Code]=(TRIM(R$7)))*(CsDJ[Account Code]=(TRIM($D74))),CsDJ[Credit])))+(SUM(IF((CRDJ[Date]=$A$4)*(CRDJ[Ofc Code]=(TRIM(R$7)))*(CRDJ[Account Code]=(TRIM($D74))),CRDJ[Credit])))+(SUM(IF((GJ[Date]=$A$4)*(GJ[Ofc Code]=(TRIM(R$7)))*(GJ[Account Code]=(TRIM($D74))),GJ[Credit])))</f>
        <v>0</v>
      </c>
      <c r="S74" s="211">
        <f t="array" ref="S74">(SUM(IF((CkDJ[Date]=$A$4)*(CkDJ[Ofc Code]=(TRIM(S$7)))*(CkDJ[Account Code]=(TRIM($D74))),CkDJ[Debit])))+(SUM(IF((CsDJ[Date]=$A$4)*(CsDJ[Ofc Code]=(TRIM(S$7)))*(CsDJ[Account Code]=(TRIM($D74))),CsDJ[Debit])))+(SUM(IF((CRDJ[Date]=$A$4)*(CRDJ[Ofc Code]=(TRIM(S$7)))*(CRDJ[Account Code]=(TRIM($D74))),CRDJ[Debit])))+(SUM(IF((GJ[Date]=$A$4)*(GJ[Ofc Code]=(TRIM(S$7)))*(GJ[Account Code]=(TRIM($D74))),GJ[Debit])))-(SUM(IF((CkDJ[Date]=$A$4)*(CkDJ[Ofc Code]=(TRIM(S$7)))*(CkDJ[Account Code]=(TRIM($D74))),CkDJ[Credit])))+(SUM(IF((CsDJ[Date]=$A$4)*(CsDJ[Ofc Code]=(TRIM(S$7)))*(CsDJ[Account Code]=(TRIM($D74))),CsDJ[Credit])))+(SUM(IF((CRDJ[Date]=$A$4)*(CRDJ[Ofc Code]=(TRIM(S$7)))*(CRDJ[Account Code]=(TRIM($D74))),CRDJ[Credit])))+(SUM(IF((GJ[Date]=$A$4)*(GJ[Ofc Code]=(TRIM(S$7)))*(GJ[Account Code]=(TRIM($D74))),GJ[Credit])))</f>
        <v>0</v>
      </c>
      <c r="T74" s="211">
        <f t="shared" si="17"/>
        <v>0</v>
      </c>
      <c r="U74" s="211">
        <f t="shared" si="18"/>
        <v>0</v>
      </c>
    </row>
    <row r="75" spans="1:22" ht="15">
      <c r="A75" s="212">
        <f t="shared" si="19"/>
        <v>17</v>
      </c>
      <c r="B75" s="214"/>
      <c r="C75" s="194" t="str">
        <f>IF(D75=0,"",(VLOOKUP((TRIM(D75)),Code,2,)))</f>
        <v>Auditing Services</v>
      </c>
      <c r="D75" s="207">
        <v>792</v>
      </c>
      <c r="E75" s="211">
        <f t="array" ref="E75">(SUM(IF((CkDJ[Date]=$A$4)*(CkDJ[Ofc Code]=(TRIM(E$7)))*(CkDJ[Account Code]=(TRIM($D75))),CkDJ[Debit])))+(SUM(IF((CsDJ[Date]=$A$4)*(CsDJ[Ofc Code]=(TRIM(E$7)))*(CsDJ[Account Code]=(TRIM($D75))),CsDJ[Debit])))+(SUM(IF((CRDJ[Date]=$A$4)*(CRDJ[Ofc Code]=(TRIM(E$7)))*(CRDJ[Account Code]=(TRIM($D75))),CRDJ[Debit])))+(SUM(IF((GJ[Date]=$A$4)*(GJ[Ofc Code]=(TRIM(E$7)))*(GJ[Account Code]=(TRIM($D75))),GJ[Debit])))-(SUM(IF((CkDJ[Date]=$A$4)*(CkDJ[Ofc Code]=(TRIM(E$7)))*(CkDJ[Account Code]=(TRIM($D75))),CkDJ[Credit])))+(SUM(IF((CsDJ[Date]=$A$4)*(CsDJ[Ofc Code]=(TRIM(E$7)))*(CsDJ[Account Code]=(TRIM($D75))),CsDJ[Credit])))+(SUM(IF((CRDJ[Date]=$A$4)*(CRDJ[Ofc Code]=(TRIM(E$7)))*(CRDJ[Account Code]=(TRIM($D75))),CRDJ[Credit])))+(SUM(IF((GJ[Date]=$A$4)*(GJ[Ofc Code]=(TRIM(E$7)))*(GJ[Account Code]=(TRIM($D75))),GJ[Credit])))</f>
        <v>0</v>
      </c>
      <c r="F75" s="211">
        <f t="array" ref="F75">(SUM(IF((CkDJ[Date]=$A$4)*(CkDJ[Ofc Code]=(TRIM(F$7)))*(CkDJ[Account Code]=(TRIM($D75))),CkDJ[Debit])))+(SUM(IF((CsDJ[Date]=$A$4)*(CsDJ[Ofc Code]=(TRIM(F$7)))*(CsDJ[Account Code]=(TRIM($D75))),CsDJ[Debit])))+(SUM(IF((CRDJ[Date]=$A$4)*(CRDJ[Ofc Code]=(TRIM(F$7)))*(CRDJ[Account Code]=(TRIM($D75))),CRDJ[Debit])))+(SUM(IF((GJ[Date]=$A$4)*(GJ[Ofc Code]=(TRIM(F$7)))*(GJ[Account Code]=(TRIM($D75))),GJ[Debit])))-(SUM(IF((CkDJ[Date]=$A$4)*(CkDJ[Ofc Code]=(TRIM(F$7)))*(CkDJ[Account Code]=(TRIM($D75))),CkDJ[Credit])))+(SUM(IF((CsDJ[Date]=$A$4)*(CsDJ[Ofc Code]=(TRIM(F$7)))*(CsDJ[Account Code]=(TRIM($D75))),CsDJ[Credit])))+(SUM(IF((CRDJ[Date]=$A$4)*(CRDJ[Ofc Code]=(TRIM(F$7)))*(CRDJ[Account Code]=(TRIM($D75))),CRDJ[Credit])))+(SUM(IF((GJ[Date]=$A$4)*(GJ[Ofc Code]=(TRIM(F$7)))*(GJ[Account Code]=(TRIM($D75))),GJ[Credit])))</f>
        <v>0</v>
      </c>
      <c r="G75" s="211">
        <f t="array" ref="G75">(SUM(IF((CkDJ[Date]=$A$4)*(CkDJ[Ofc Code]=(TRIM(G$7)))*(CkDJ[Account Code]=(TRIM($D75))),CkDJ[Debit])))+(SUM(IF((CsDJ[Date]=$A$4)*(CsDJ[Ofc Code]=(TRIM(G$7)))*(CsDJ[Account Code]=(TRIM($D75))),CsDJ[Debit])))+(SUM(IF((CRDJ[Date]=$A$4)*(CRDJ[Ofc Code]=(TRIM(G$7)))*(CRDJ[Account Code]=(TRIM($D75))),CRDJ[Debit])))+(SUM(IF((GJ[Date]=$A$4)*(GJ[Ofc Code]=(TRIM(G$7)))*(GJ[Account Code]=(TRIM($D75))),GJ[Debit])))-(SUM(IF((CkDJ[Date]=$A$4)*(CkDJ[Ofc Code]=(TRIM(G$7)))*(CkDJ[Account Code]=(TRIM($D75))),CkDJ[Credit])))+(SUM(IF((CsDJ[Date]=$A$4)*(CsDJ[Ofc Code]=(TRIM(G$7)))*(CsDJ[Account Code]=(TRIM($D75))),CsDJ[Credit])))+(SUM(IF((CRDJ[Date]=$A$4)*(CRDJ[Ofc Code]=(TRIM(G$7)))*(CRDJ[Account Code]=(TRIM($D75))),CRDJ[Credit])))+(SUM(IF((GJ[Date]=$A$4)*(GJ[Ofc Code]=(TRIM(G$7)))*(GJ[Account Code]=(TRIM($D75))),GJ[Credit])))</f>
        <v>0</v>
      </c>
      <c r="H75" s="211">
        <f t="array" ref="H75">(SUM(IF((CkDJ[Date]=$A$4)*(CkDJ[Ofc Code]=(TRIM(H$7)))*(CkDJ[Account Code]=(TRIM($D75))),CkDJ[Debit])))+(SUM(IF((CsDJ[Date]=$A$4)*(CsDJ[Ofc Code]=(TRIM(H$7)))*(CsDJ[Account Code]=(TRIM($D75))),CsDJ[Debit])))+(SUM(IF((CRDJ[Date]=$A$4)*(CRDJ[Ofc Code]=(TRIM(H$7)))*(CRDJ[Account Code]=(TRIM($D75))),CRDJ[Debit])))+(SUM(IF((GJ[Date]=$A$4)*(GJ[Ofc Code]=(TRIM(H$7)))*(GJ[Account Code]=(TRIM($D75))),GJ[Debit])))-(SUM(IF((CkDJ[Date]=$A$4)*(CkDJ[Ofc Code]=(TRIM(H$7)))*(CkDJ[Account Code]=(TRIM($D75))),CkDJ[Credit])))+(SUM(IF((CsDJ[Date]=$A$4)*(CsDJ[Ofc Code]=(TRIM(H$7)))*(CsDJ[Account Code]=(TRIM($D75))),CsDJ[Credit])))+(SUM(IF((CRDJ[Date]=$A$4)*(CRDJ[Ofc Code]=(TRIM(H$7)))*(CRDJ[Account Code]=(TRIM($D75))),CRDJ[Credit])))+(SUM(IF((GJ[Date]=$A$4)*(GJ[Ofc Code]=(TRIM(H$7)))*(GJ[Account Code]=(TRIM($D75))),GJ[Credit])))</f>
        <v>0</v>
      </c>
      <c r="I75" s="211">
        <f>SUM(F75:H75)</f>
        <v>0</v>
      </c>
      <c r="J75" s="211">
        <f t="array" ref="J75">(SUM(IF((CkDJ[Date]=$A$4)*(CkDJ[Ofc Code]=(TRIM(J$7)))*(CkDJ[Account Code]=(TRIM($D75))),CkDJ[Debit])))+(SUM(IF((CsDJ[Date]=$A$4)*(CsDJ[Ofc Code]=(TRIM(J$7)))*(CsDJ[Account Code]=(TRIM($D75))),CsDJ[Debit])))+(SUM(IF((CRDJ[Date]=$A$4)*(CRDJ[Ofc Code]=(TRIM(J$7)))*(CRDJ[Account Code]=(TRIM($D75))),CRDJ[Debit])))+(SUM(IF((GJ[Date]=$A$4)*(GJ[Ofc Code]=(TRIM(J$7)))*(GJ[Account Code]=(TRIM($D75))),GJ[Debit])))-(SUM(IF((CkDJ[Date]=$A$4)*(CkDJ[Ofc Code]=(TRIM(J$7)))*(CkDJ[Account Code]=(TRIM($D75))),CkDJ[Credit])))+(SUM(IF((CsDJ[Date]=$A$4)*(CsDJ[Ofc Code]=(TRIM(J$7)))*(CsDJ[Account Code]=(TRIM($D75))),CsDJ[Credit])))+(SUM(IF((CRDJ[Date]=$A$4)*(CRDJ[Ofc Code]=(TRIM(J$7)))*(CRDJ[Account Code]=(TRIM($D75))),CRDJ[Credit])))+(SUM(IF((GJ[Date]=$A$4)*(GJ[Ofc Code]=(TRIM(J$7)))*(GJ[Account Code]=(TRIM($D75))),GJ[Credit])))</f>
        <v>0</v>
      </c>
      <c r="K75" s="211">
        <f t="array" ref="K75">(SUM(IF((CkDJ[Date]=$A$4)*(CkDJ[Ofc Code]=(TRIM(K$7)))*(CkDJ[Account Code]=(TRIM($D75))),CkDJ[Debit])))+(SUM(IF((CsDJ[Date]=$A$4)*(CsDJ[Ofc Code]=(TRIM(K$7)))*(CsDJ[Account Code]=(TRIM($D75))),CsDJ[Debit])))+(SUM(IF((CRDJ[Date]=$A$4)*(CRDJ[Ofc Code]=(TRIM(K$7)))*(CRDJ[Account Code]=(TRIM($D75))),CRDJ[Debit])))+(SUM(IF((GJ[Date]=$A$4)*(GJ[Ofc Code]=(TRIM(K$7)))*(GJ[Account Code]=(TRIM($D75))),GJ[Debit])))-(SUM(IF((CkDJ[Date]=$A$4)*(CkDJ[Ofc Code]=(TRIM(K$7)))*(CkDJ[Account Code]=(TRIM($D75))),CkDJ[Credit])))+(SUM(IF((CsDJ[Date]=$A$4)*(CsDJ[Ofc Code]=(TRIM(K$7)))*(CsDJ[Account Code]=(TRIM($D75))),CsDJ[Credit])))+(SUM(IF((CRDJ[Date]=$A$4)*(CRDJ[Ofc Code]=(TRIM(K$7)))*(CRDJ[Account Code]=(TRIM($D75))),CRDJ[Credit])))+(SUM(IF((GJ[Date]=$A$4)*(GJ[Ofc Code]=(TRIM(K$7)))*(GJ[Account Code]=(TRIM($D75))),GJ[Credit])))</f>
        <v>0</v>
      </c>
      <c r="L75" s="211">
        <f t="array" ref="L75">(SUM(IF((CkDJ[Date]=$A$4)*(CkDJ[Ofc Code]=(TRIM(L$7)))*(CkDJ[Account Code]=(TRIM($D75))),CkDJ[Debit])))+(SUM(IF((CsDJ[Date]=$A$4)*(CsDJ[Ofc Code]=(TRIM(L$7)))*(CsDJ[Account Code]=(TRIM($D75))),CsDJ[Debit])))+(SUM(IF((CRDJ[Date]=$A$4)*(CRDJ[Ofc Code]=(TRIM(L$7)))*(CRDJ[Account Code]=(TRIM($D75))),CRDJ[Debit])))+(SUM(IF((GJ[Date]=$A$4)*(GJ[Ofc Code]=(TRIM(L$7)))*(GJ[Account Code]=(TRIM($D75))),GJ[Debit])))-(SUM(IF((CkDJ[Date]=$A$4)*(CkDJ[Ofc Code]=(TRIM(L$7)))*(CkDJ[Account Code]=(TRIM($D75))),CkDJ[Credit])))+(SUM(IF((CsDJ[Date]=$A$4)*(CsDJ[Ofc Code]=(TRIM(L$7)))*(CsDJ[Account Code]=(TRIM($D75))),CsDJ[Credit])))+(SUM(IF((CRDJ[Date]=$A$4)*(CRDJ[Ofc Code]=(TRIM(L$7)))*(CRDJ[Account Code]=(TRIM($D75))),CRDJ[Credit])))+(SUM(IF((GJ[Date]=$A$4)*(GJ[Ofc Code]=(TRIM(L$7)))*(GJ[Account Code]=(TRIM($D75))),GJ[Credit])))</f>
        <v>0</v>
      </c>
      <c r="M75" s="211">
        <f t="array" ref="M75">(SUM(IF((CkDJ[Date]=$A$4)*(CkDJ[Ofc Code]=(TRIM(M$7)))*(CkDJ[Account Code]=(TRIM($D75))),CkDJ[Debit])))+(SUM(IF((CsDJ[Date]=$A$4)*(CsDJ[Ofc Code]=(TRIM(M$7)))*(CsDJ[Account Code]=(TRIM($D75))),CsDJ[Debit])))+(SUM(IF((CRDJ[Date]=$A$4)*(CRDJ[Ofc Code]=(TRIM(M$7)))*(CRDJ[Account Code]=(TRIM($D75))),CRDJ[Debit])))+(SUM(IF((GJ[Date]=$A$4)*(GJ[Ofc Code]=(TRIM(M$7)))*(GJ[Account Code]=(TRIM($D75))),GJ[Debit])))-(SUM(IF((CkDJ[Date]=$A$4)*(CkDJ[Ofc Code]=(TRIM(M$7)))*(CkDJ[Account Code]=(TRIM($D75))),CkDJ[Credit])))+(SUM(IF((CsDJ[Date]=$A$4)*(CsDJ[Ofc Code]=(TRIM(M$7)))*(CsDJ[Account Code]=(TRIM($D75))),CsDJ[Credit])))+(SUM(IF((CRDJ[Date]=$A$4)*(CRDJ[Ofc Code]=(TRIM(M$7)))*(CRDJ[Account Code]=(TRIM($D75))),CRDJ[Credit])))+(SUM(IF((GJ[Date]=$A$4)*(GJ[Ofc Code]=(TRIM(M$7)))*(GJ[Account Code]=(TRIM($D75))),GJ[Credit])))</f>
        <v>0</v>
      </c>
      <c r="N75" s="211">
        <f>SUM(J75:M75)</f>
        <v>0</v>
      </c>
      <c r="O75" s="211">
        <f t="array" ref="O75">(SUM(IF((CkDJ[Date]=$A$4)*(CkDJ[Ofc Code]=(TRIM(O$7)))*(CkDJ[Account Code]=(TRIM($D75))),CkDJ[Debit])))+(SUM(IF((CsDJ[Date]=$A$4)*(CsDJ[Ofc Code]=(TRIM(O$7)))*(CsDJ[Account Code]=(TRIM($D75))),CsDJ[Debit])))+(SUM(IF((CRDJ[Date]=$A$4)*(CRDJ[Ofc Code]=(TRIM(O$7)))*(CRDJ[Account Code]=(TRIM($D75))),CRDJ[Debit])))+(SUM(IF((GJ[Date]=$A$4)*(GJ[Ofc Code]=(TRIM(O$7)))*(GJ[Account Code]=(TRIM($D75))),GJ[Debit])))-(SUM(IF((CkDJ[Date]=$A$4)*(CkDJ[Ofc Code]=(TRIM(O$7)))*(CkDJ[Account Code]=(TRIM($D75))),CkDJ[Credit])))+(SUM(IF((CsDJ[Date]=$A$4)*(CsDJ[Ofc Code]=(TRIM(O$7)))*(CsDJ[Account Code]=(TRIM($D75))),CsDJ[Credit])))+(SUM(IF((CRDJ[Date]=$A$4)*(CRDJ[Ofc Code]=(TRIM(O$7)))*(CRDJ[Account Code]=(TRIM($D75))),CRDJ[Credit])))+(SUM(IF((GJ[Date]=$A$4)*(GJ[Ofc Code]=(TRIM(O$7)))*(GJ[Account Code]=(TRIM($D75))),GJ[Credit])))</f>
        <v>0</v>
      </c>
      <c r="P75" s="211">
        <f t="array" ref="P75">(SUM(IF((CkDJ[Date]=$A$4)*(CkDJ[Ofc Code]=(TRIM(P$7)))*(CkDJ[Account Code]=(TRIM($D75))),CkDJ[Debit])))+(SUM(IF((CsDJ[Date]=$A$4)*(CsDJ[Ofc Code]=(TRIM(P$7)))*(CsDJ[Account Code]=(TRIM($D75))),CsDJ[Debit])))+(SUM(IF((CRDJ[Date]=$A$4)*(CRDJ[Ofc Code]=(TRIM(P$7)))*(CRDJ[Account Code]=(TRIM($D75))),CRDJ[Debit])))+(SUM(IF((GJ[Date]=$A$4)*(GJ[Ofc Code]=(TRIM(P$7)))*(GJ[Account Code]=(TRIM($D75))),GJ[Debit])))-(SUM(IF((CkDJ[Date]=$A$4)*(CkDJ[Ofc Code]=(TRIM(P$7)))*(CkDJ[Account Code]=(TRIM($D75))),CkDJ[Credit])))+(SUM(IF((CsDJ[Date]=$A$4)*(CsDJ[Ofc Code]=(TRIM(P$7)))*(CsDJ[Account Code]=(TRIM($D75))),CsDJ[Credit])))+(SUM(IF((CRDJ[Date]=$A$4)*(CRDJ[Ofc Code]=(TRIM(P$7)))*(CRDJ[Account Code]=(TRIM($D75))),CRDJ[Credit])))+(SUM(IF((GJ[Date]=$A$4)*(GJ[Ofc Code]=(TRIM(P$7)))*(GJ[Account Code]=(TRIM($D75))),GJ[Credit])))</f>
        <v>0</v>
      </c>
      <c r="Q75" s="211">
        <f t="array" ref="Q75">(SUM(IF((CkDJ[Date]=$A$4)*(CkDJ[Ofc Code]=(TRIM(Q$7)))*(CkDJ[Account Code]=(TRIM($D75))),CkDJ[Debit])))+(SUM(IF((CsDJ[Date]=$A$4)*(CsDJ[Ofc Code]=(TRIM(Q$7)))*(CsDJ[Account Code]=(TRIM($D75))),CsDJ[Debit])))+(SUM(IF((CRDJ[Date]=$A$4)*(CRDJ[Ofc Code]=(TRIM(Q$7)))*(CRDJ[Account Code]=(TRIM($D75))),CRDJ[Debit])))+(SUM(IF((GJ[Date]=$A$4)*(GJ[Ofc Code]=(TRIM(Q$7)))*(GJ[Account Code]=(TRIM($D75))),GJ[Debit])))-(SUM(IF((CkDJ[Date]=$A$4)*(CkDJ[Ofc Code]=(TRIM(Q$7)))*(CkDJ[Account Code]=(TRIM($D75))),CkDJ[Credit])))+(SUM(IF((CsDJ[Date]=$A$4)*(CsDJ[Ofc Code]=(TRIM(Q$7)))*(CsDJ[Account Code]=(TRIM($D75))),CsDJ[Credit])))+(SUM(IF((CRDJ[Date]=$A$4)*(CRDJ[Ofc Code]=(TRIM(Q$7)))*(CRDJ[Account Code]=(TRIM($D75))),CRDJ[Credit])))+(SUM(IF((GJ[Date]=$A$4)*(GJ[Ofc Code]=(TRIM(Q$7)))*(GJ[Account Code]=(TRIM($D75))),GJ[Credit])))</f>
        <v>0</v>
      </c>
      <c r="R75" s="211">
        <f t="array" ref="R75">(SUM(IF((CkDJ[Date]=$A$4)*(CkDJ[Ofc Code]=(TRIM(R$7)))*(CkDJ[Account Code]=(TRIM($D75))),CkDJ[Debit])))+(SUM(IF((CsDJ[Date]=$A$4)*(CsDJ[Ofc Code]=(TRIM(R$7)))*(CsDJ[Account Code]=(TRIM($D75))),CsDJ[Debit])))+(SUM(IF((CRDJ[Date]=$A$4)*(CRDJ[Ofc Code]=(TRIM(R$7)))*(CRDJ[Account Code]=(TRIM($D75))),CRDJ[Debit])))+(SUM(IF((GJ[Date]=$A$4)*(GJ[Ofc Code]=(TRIM(R$7)))*(GJ[Account Code]=(TRIM($D75))),GJ[Debit])))-(SUM(IF((CkDJ[Date]=$A$4)*(CkDJ[Ofc Code]=(TRIM(R$7)))*(CkDJ[Account Code]=(TRIM($D75))),CkDJ[Credit])))+(SUM(IF((CsDJ[Date]=$A$4)*(CsDJ[Ofc Code]=(TRIM(R$7)))*(CsDJ[Account Code]=(TRIM($D75))),CsDJ[Credit])))+(SUM(IF((CRDJ[Date]=$A$4)*(CRDJ[Ofc Code]=(TRIM(R$7)))*(CRDJ[Account Code]=(TRIM($D75))),CRDJ[Credit])))+(SUM(IF((GJ[Date]=$A$4)*(GJ[Ofc Code]=(TRIM(R$7)))*(GJ[Account Code]=(TRIM($D75))),GJ[Credit])))</f>
        <v>0</v>
      </c>
      <c r="S75" s="211">
        <f t="array" ref="S75">(SUM(IF((CkDJ[Date]=$A$4)*(CkDJ[Ofc Code]=(TRIM(S$7)))*(CkDJ[Account Code]=(TRIM($D75))),CkDJ[Debit])))+(SUM(IF((CsDJ[Date]=$A$4)*(CsDJ[Ofc Code]=(TRIM(S$7)))*(CsDJ[Account Code]=(TRIM($D75))),CsDJ[Debit])))+(SUM(IF((CRDJ[Date]=$A$4)*(CRDJ[Ofc Code]=(TRIM(S$7)))*(CRDJ[Account Code]=(TRIM($D75))),CRDJ[Debit])))+(SUM(IF((GJ[Date]=$A$4)*(GJ[Ofc Code]=(TRIM(S$7)))*(GJ[Account Code]=(TRIM($D75))),GJ[Debit])))-(SUM(IF((CkDJ[Date]=$A$4)*(CkDJ[Ofc Code]=(TRIM(S$7)))*(CkDJ[Account Code]=(TRIM($D75))),CkDJ[Credit])))+(SUM(IF((CsDJ[Date]=$A$4)*(CsDJ[Ofc Code]=(TRIM(S$7)))*(CsDJ[Account Code]=(TRIM($D75))),CsDJ[Credit])))+(SUM(IF((CRDJ[Date]=$A$4)*(CRDJ[Ofc Code]=(TRIM(S$7)))*(CRDJ[Account Code]=(TRIM($D75))),CRDJ[Credit])))+(SUM(IF((GJ[Date]=$A$4)*(GJ[Ofc Code]=(TRIM(S$7)))*(GJ[Account Code]=(TRIM($D75))),GJ[Credit])))</f>
        <v>0</v>
      </c>
      <c r="T75" s="211">
        <f>SUM(O75:S75)</f>
        <v>0</v>
      </c>
      <c r="U75" s="211">
        <f>E75+I75+N75+T75</f>
        <v>0</v>
      </c>
    </row>
    <row r="76" spans="1:22" ht="15">
      <c r="A76" s="212">
        <f t="shared" si="19"/>
        <v>18</v>
      </c>
      <c r="B76" s="214" t="s">
        <v>756</v>
      </c>
      <c r="C76" s="194" t="str">
        <f t="shared" si="14"/>
        <v>Other Professional Services</v>
      </c>
      <c r="D76" s="207" t="s">
        <v>250</v>
      </c>
      <c r="E76" s="211">
        <f t="array" ref="E76">(SUM(IF((CkDJ[Date]=$A$4)*(CkDJ[Ofc Code]=(TRIM(E$7)))*(CkDJ[Account Code]=(TRIM($D76))),CkDJ[Debit])))+(SUM(IF((CsDJ[Date]=$A$4)*(CsDJ[Ofc Code]=(TRIM(E$7)))*(CsDJ[Account Code]=(TRIM($D76))),CsDJ[Debit])))+(SUM(IF((CRDJ[Date]=$A$4)*(CRDJ[Ofc Code]=(TRIM(E$7)))*(CRDJ[Account Code]=(TRIM($D76))),CRDJ[Debit])))+(SUM(IF((GJ[Date]=$A$4)*(GJ[Ofc Code]=(TRIM(E$7)))*(GJ[Account Code]=(TRIM($D76))),GJ[Debit])))-(SUM(IF((CkDJ[Date]=$A$4)*(CkDJ[Ofc Code]=(TRIM(E$7)))*(CkDJ[Account Code]=(TRIM($D76))),CkDJ[Credit])))+(SUM(IF((CsDJ[Date]=$A$4)*(CsDJ[Ofc Code]=(TRIM(E$7)))*(CsDJ[Account Code]=(TRIM($D76))),CsDJ[Credit])))+(SUM(IF((CRDJ[Date]=$A$4)*(CRDJ[Ofc Code]=(TRIM(E$7)))*(CRDJ[Account Code]=(TRIM($D76))),CRDJ[Credit])))+(SUM(IF((GJ[Date]=$A$4)*(GJ[Ofc Code]=(TRIM(E$7)))*(GJ[Account Code]=(TRIM($D76))),GJ[Credit])))</f>
        <v>0</v>
      </c>
      <c r="F76" s="211">
        <f t="array" ref="F76">(SUM(IF((CkDJ[Date]=$A$4)*(CkDJ[Ofc Code]=(TRIM(F$7)))*(CkDJ[Account Code]=(TRIM($D76))),CkDJ[Debit])))+(SUM(IF((CsDJ[Date]=$A$4)*(CsDJ[Ofc Code]=(TRIM(F$7)))*(CsDJ[Account Code]=(TRIM($D76))),CsDJ[Debit])))+(SUM(IF((CRDJ[Date]=$A$4)*(CRDJ[Ofc Code]=(TRIM(F$7)))*(CRDJ[Account Code]=(TRIM($D76))),CRDJ[Debit])))+(SUM(IF((GJ[Date]=$A$4)*(GJ[Ofc Code]=(TRIM(F$7)))*(GJ[Account Code]=(TRIM($D76))),GJ[Debit])))-(SUM(IF((CkDJ[Date]=$A$4)*(CkDJ[Ofc Code]=(TRIM(F$7)))*(CkDJ[Account Code]=(TRIM($D76))),CkDJ[Credit])))+(SUM(IF((CsDJ[Date]=$A$4)*(CsDJ[Ofc Code]=(TRIM(F$7)))*(CsDJ[Account Code]=(TRIM($D76))),CsDJ[Credit])))+(SUM(IF((CRDJ[Date]=$A$4)*(CRDJ[Ofc Code]=(TRIM(F$7)))*(CRDJ[Account Code]=(TRIM($D76))),CRDJ[Credit])))+(SUM(IF((GJ[Date]=$A$4)*(GJ[Ofc Code]=(TRIM(F$7)))*(GJ[Account Code]=(TRIM($D76))),GJ[Credit])))</f>
        <v>0</v>
      </c>
      <c r="G76" s="211">
        <f t="array" ref="G76">(SUM(IF((CkDJ[Date]=$A$4)*(CkDJ[Ofc Code]=(TRIM(G$7)))*(CkDJ[Account Code]=(TRIM($D76))),CkDJ[Debit])))+(SUM(IF((CsDJ[Date]=$A$4)*(CsDJ[Ofc Code]=(TRIM(G$7)))*(CsDJ[Account Code]=(TRIM($D76))),CsDJ[Debit])))+(SUM(IF((CRDJ[Date]=$A$4)*(CRDJ[Ofc Code]=(TRIM(G$7)))*(CRDJ[Account Code]=(TRIM($D76))),CRDJ[Debit])))+(SUM(IF((GJ[Date]=$A$4)*(GJ[Ofc Code]=(TRIM(G$7)))*(GJ[Account Code]=(TRIM($D76))),GJ[Debit])))-(SUM(IF((CkDJ[Date]=$A$4)*(CkDJ[Ofc Code]=(TRIM(G$7)))*(CkDJ[Account Code]=(TRIM($D76))),CkDJ[Credit])))+(SUM(IF((CsDJ[Date]=$A$4)*(CsDJ[Ofc Code]=(TRIM(G$7)))*(CsDJ[Account Code]=(TRIM($D76))),CsDJ[Credit])))+(SUM(IF((CRDJ[Date]=$A$4)*(CRDJ[Ofc Code]=(TRIM(G$7)))*(CRDJ[Account Code]=(TRIM($D76))),CRDJ[Credit])))+(SUM(IF((GJ[Date]=$A$4)*(GJ[Ofc Code]=(TRIM(G$7)))*(GJ[Account Code]=(TRIM($D76))),GJ[Credit])))</f>
        <v>0</v>
      </c>
      <c r="H76" s="211">
        <f t="array" ref="H76">(SUM(IF((CkDJ[Date]=$A$4)*(CkDJ[Ofc Code]=(TRIM(H$7)))*(CkDJ[Account Code]=(TRIM($D76))),CkDJ[Debit])))+(SUM(IF((CsDJ[Date]=$A$4)*(CsDJ[Ofc Code]=(TRIM(H$7)))*(CsDJ[Account Code]=(TRIM($D76))),CsDJ[Debit])))+(SUM(IF((CRDJ[Date]=$A$4)*(CRDJ[Ofc Code]=(TRIM(H$7)))*(CRDJ[Account Code]=(TRIM($D76))),CRDJ[Debit])))+(SUM(IF((GJ[Date]=$A$4)*(GJ[Ofc Code]=(TRIM(H$7)))*(GJ[Account Code]=(TRIM($D76))),GJ[Debit])))-(SUM(IF((CkDJ[Date]=$A$4)*(CkDJ[Ofc Code]=(TRIM(H$7)))*(CkDJ[Account Code]=(TRIM($D76))),CkDJ[Credit])))+(SUM(IF((CsDJ[Date]=$A$4)*(CsDJ[Ofc Code]=(TRIM(H$7)))*(CsDJ[Account Code]=(TRIM($D76))),CsDJ[Credit])))+(SUM(IF((CRDJ[Date]=$A$4)*(CRDJ[Ofc Code]=(TRIM(H$7)))*(CRDJ[Account Code]=(TRIM($D76))),CRDJ[Credit])))+(SUM(IF((GJ[Date]=$A$4)*(GJ[Ofc Code]=(TRIM(H$7)))*(GJ[Account Code]=(TRIM($D76))),GJ[Credit])))</f>
        <v>0</v>
      </c>
      <c r="I76" s="211">
        <f t="shared" si="15"/>
        <v>0</v>
      </c>
      <c r="J76" s="211">
        <f t="array" ref="J76">(SUM(IF((CkDJ[Date]=$A$4)*(CkDJ[Ofc Code]=(TRIM(J$7)))*(CkDJ[Account Code]=(TRIM($D76))),CkDJ[Debit])))+(SUM(IF((CsDJ[Date]=$A$4)*(CsDJ[Ofc Code]=(TRIM(J$7)))*(CsDJ[Account Code]=(TRIM($D76))),CsDJ[Debit])))+(SUM(IF((CRDJ[Date]=$A$4)*(CRDJ[Ofc Code]=(TRIM(J$7)))*(CRDJ[Account Code]=(TRIM($D76))),CRDJ[Debit])))+(SUM(IF((GJ[Date]=$A$4)*(GJ[Ofc Code]=(TRIM(J$7)))*(GJ[Account Code]=(TRIM($D76))),GJ[Debit])))-(SUM(IF((CkDJ[Date]=$A$4)*(CkDJ[Ofc Code]=(TRIM(J$7)))*(CkDJ[Account Code]=(TRIM($D76))),CkDJ[Credit])))+(SUM(IF((CsDJ[Date]=$A$4)*(CsDJ[Ofc Code]=(TRIM(J$7)))*(CsDJ[Account Code]=(TRIM($D76))),CsDJ[Credit])))+(SUM(IF((CRDJ[Date]=$A$4)*(CRDJ[Ofc Code]=(TRIM(J$7)))*(CRDJ[Account Code]=(TRIM($D76))),CRDJ[Credit])))+(SUM(IF((GJ[Date]=$A$4)*(GJ[Ofc Code]=(TRIM(J$7)))*(GJ[Account Code]=(TRIM($D76))),GJ[Credit])))</f>
        <v>0</v>
      </c>
      <c r="K76" s="211">
        <f t="array" ref="K76">(SUM(IF((CkDJ[Date]=$A$4)*(CkDJ[Ofc Code]=(TRIM(K$7)))*(CkDJ[Account Code]=(TRIM($D76))),CkDJ[Debit])))+(SUM(IF((CsDJ[Date]=$A$4)*(CsDJ[Ofc Code]=(TRIM(K$7)))*(CsDJ[Account Code]=(TRIM($D76))),CsDJ[Debit])))+(SUM(IF((CRDJ[Date]=$A$4)*(CRDJ[Ofc Code]=(TRIM(K$7)))*(CRDJ[Account Code]=(TRIM($D76))),CRDJ[Debit])))+(SUM(IF((GJ[Date]=$A$4)*(GJ[Ofc Code]=(TRIM(K$7)))*(GJ[Account Code]=(TRIM($D76))),GJ[Debit])))-(SUM(IF((CkDJ[Date]=$A$4)*(CkDJ[Ofc Code]=(TRIM(K$7)))*(CkDJ[Account Code]=(TRIM($D76))),CkDJ[Credit])))+(SUM(IF((CsDJ[Date]=$A$4)*(CsDJ[Ofc Code]=(TRIM(K$7)))*(CsDJ[Account Code]=(TRIM($D76))),CsDJ[Credit])))+(SUM(IF((CRDJ[Date]=$A$4)*(CRDJ[Ofc Code]=(TRIM(K$7)))*(CRDJ[Account Code]=(TRIM($D76))),CRDJ[Credit])))+(SUM(IF((GJ[Date]=$A$4)*(GJ[Ofc Code]=(TRIM(K$7)))*(GJ[Account Code]=(TRIM($D76))),GJ[Credit])))</f>
        <v>0</v>
      </c>
      <c r="L76" s="211">
        <f t="array" ref="L76">(SUM(IF((CkDJ[Date]=$A$4)*(CkDJ[Ofc Code]=(TRIM(L$7)))*(CkDJ[Account Code]=(TRIM($D76))),CkDJ[Debit])))+(SUM(IF((CsDJ[Date]=$A$4)*(CsDJ[Ofc Code]=(TRIM(L$7)))*(CsDJ[Account Code]=(TRIM($D76))),CsDJ[Debit])))+(SUM(IF((CRDJ[Date]=$A$4)*(CRDJ[Ofc Code]=(TRIM(L$7)))*(CRDJ[Account Code]=(TRIM($D76))),CRDJ[Debit])))+(SUM(IF((GJ[Date]=$A$4)*(GJ[Ofc Code]=(TRIM(L$7)))*(GJ[Account Code]=(TRIM($D76))),GJ[Debit])))-(SUM(IF((CkDJ[Date]=$A$4)*(CkDJ[Ofc Code]=(TRIM(L$7)))*(CkDJ[Account Code]=(TRIM($D76))),CkDJ[Credit])))+(SUM(IF((CsDJ[Date]=$A$4)*(CsDJ[Ofc Code]=(TRIM(L$7)))*(CsDJ[Account Code]=(TRIM($D76))),CsDJ[Credit])))+(SUM(IF((CRDJ[Date]=$A$4)*(CRDJ[Ofc Code]=(TRIM(L$7)))*(CRDJ[Account Code]=(TRIM($D76))),CRDJ[Credit])))+(SUM(IF((GJ[Date]=$A$4)*(GJ[Ofc Code]=(TRIM(L$7)))*(GJ[Account Code]=(TRIM($D76))),GJ[Credit])))</f>
        <v>0</v>
      </c>
      <c r="M76" s="211">
        <f t="array" ref="M76">(SUM(IF((CkDJ[Date]=$A$4)*(CkDJ[Ofc Code]=(TRIM(M$7)))*(CkDJ[Account Code]=(TRIM($D76))),CkDJ[Debit])))+(SUM(IF((CsDJ[Date]=$A$4)*(CsDJ[Ofc Code]=(TRIM(M$7)))*(CsDJ[Account Code]=(TRIM($D76))),CsDJ[Debit])))+(SUM(IF((CRDJ[Date]=$A$4)*(CRDJ[Ofc Code]=(TRIM(M$7)))*(CRDJ[Account Code]=(TRIM($D76))),CRDJ[Debit])))+(SUM(IF((GJ[Date]=$A$4)*(GJ[Ofc Code]=(TRIM(M$7)))*(GJ[Account Code]=(TRIM($D76))),GJ[Debit])))-(SUM(IF((CkDJ[Date]=$A$4)*(CkDJ[Ofc Code]=(TRIM(M$7)))*(CkDJ[Account Code]=(TRIM($D76))),CkDJ[Credit])))+(SUM(IF((CsDJ[Date]=$A$4)*(CsDJ[Ofc Code]=(TRIM(M$7)))*(CsDJ[Account Code]=(TRIM($D76))),CsDJ[Credit])))+(SUM(IF((CRDJ[Date]=$A$4)*(CRDJ[Ofc Code]=(TRIM(M$7)))*(CRDJ[Account Code]=(TRIM($D76))),CRDJ[Credit])))+(SUM(IF((GJ[Date]=$A$4)*(GJ[Ofc Code]=(TRIM(M$7)))*(GJ[Account Code]=(TRIM($D76))),GJ[Credit])))</f>
        <v>0</v>
      </c>
      <c r="N76" s="211">
        <f t="shared" si="16"/>
        <v>0</v>
      </c>
      <c r="O76" s="211">
        <f t="array" ref="O76">(SUM(IF((CkDJ[Date]=$A$4)*(CkDJ[Ofc Code]=(TRIM(O$7)))*(CkDJ[Account Code]=(TRIM($D76))),CkDJ[Debit])))+(SUM(IF((CsDJ[Date]=$A$4)*(CsDJ[Ofc Code]=(TRIM(O$7)))*(CsDJ[Account Code]=(TRIM($D76))),CsDJ[Debit])))+(SUM(IF((CRDJ[Date]=$A$4)*(CRDJ[Ofc Code]=(TRIM(O$7)))*(CRDJ[Account Code]=(TRIM($D76))),CRDJ[Debit])))+(SUM(IF((GJ[Date]=$A$4)*(GJ[Ofc Code]=(TRIM(O$7)))*(GJ[Account Code]=(TRIM($D76))),GJ[Debit])))-(SUM(IF((CkDJ[Date]=$A$4)*(CkDJ[Ofc Code]=(TRIM(O$7)))*(CkDJ[Account Code]=(TRIM($D76))),CkDJ[Credit])))+(SUM(IF((CsDJ[Date]=$A$4)*(CsDJ[Ofc Code]=(TRIM(O$7)))*(CsDJ[Account Code]=(TRIM($D76))),CsDJ[Credit])))+(SUM(IF((CRDJ[Date]=$A$4)*(CRDJ[Ofc Code]=(TRIM(O$7)))*(CRDJ[Account Code]=(TRIM($D76))),CRDJ[Credit])))+(SUM(IF((GJ[Date]=$A$4)*(GJ[Ofc Code]=(TRIM(O$7)))*(GJ[Account Code]=(TRIM($D76))),GJ[Credit])))</f>
        <v>0</v>
      </c>
      <c r="P76" s="211">
        <f t="array" ref="P76">(SUM(IF((CkDJ[Date]=$A$4)*(CkDJ[Ofc Code]=(TRIM(P$7)))*(CkDJ[Account Code]=(TRIM($D76))),CkDJ[Debit])))+(SUM(IF((CsDJ[Date]=$A$4)*(CsDJ[Ofc Code]=(TRIM(P$7)))*(CsDJ[Account Code]=(TRIM($D76))),CsDJ[Debit])))+(SUM(IF((CRDJ[Date]=$A$4)*(CRDJ[Ofc Code]=(TRIM(P$7)))*(CRDJ[Account Code]=(TRIM($D76))),CRDJ[Debit])))+(SUM(IF((GJ[Date]=$A$4)*(GJ[Ofc Code]=(TRIM(P$7)))*(GJ[Account Code]=(TRIM($D76))),GJ[Debit])))-(SUM(IF((CkDJ[Date]=$A$4)*(CkDJ[Ofc Code]=(TRIM(P$7)))*(CkDJ[Account Code]=(TRIM($D76))),CkDJ[Credit])))+(SUM(IF((CsDJ[Date]=$A$4)*(CsDJ[Ofc Code]=(TRIM(P$7)))*(CsDJ[Account Code]=(TRIM($D76))),CsDJ[Credit])))+(SUM(IF((CRDJ[Date]=$A$4)*(CRDJ[Ofc Code]=(TRIM(P$7)))*(CRDJ[Account Code]=(TRIM($D76))),CRDJ[Credit])))+(SUM(IF((GJ[Date]=$A$4)*(GJ[Ofc Code]=(TRIM(P$7)))*(GJ[Account Code]=(TRIM($D76))),GJ[Credit])))</f>
        <v>0</v>
      </c>
      <c r="Q76" s="211">
        <f t="array" ref="Q76">(SUM(IF((CkDJ[Date]=$A$4)*(CkDJ[Ofc Code]=(TRIM(Q$7)))*(CkDJ[Account Code]=(TRIM($D76))),CkDJ[Debit])))+(SUM(IF((CsDJ[Date]=$A$4)*(CsDJ[Ofc Code]=(TRIM(Q$7)))*(CsDJ[Account Code]=(TRIM($D76))),CsDJ[Debit])))+(SUM(IF((CRDJ[Date]=$A$4)*(CRDJ[Ofc Code]=(TRIM(Q$7)))*(CRDJ[Account Code]=(TRIM($D76))),CRDJ[Debit])))+(SUM(IF((GJ[Date]=$A$4)*(GJ[Ofc Code]=(TRIM(Q$7)))*(GJ[Account Code]=(TRIM($D76))),GJ[Debit])))-(SUM(IF((CkDJ[Date]=$A$4)*(CkDJ[Ofc Code]=(TRIM(Q$7)))*(CkDJ[Account Code]=(TRIM($D76))),CkDJ[Credit])))+(SUM(IF((CsDJ[Date]=$A$4)*(CsDJ[Ofc Code]=(TRIM(Q$7)))*(CsDJ[Account Code]=(TRIM($D76))),CsDJ[Credit])))+(SUM(IF((CRDJ[Date]=$A$4)*(CRDJ[Ofc Code]=(TRIM(Q$7)))*(CRDJ[Account Code]=(TRIM($D76))),CRDJ[Credit])))+(SUM(IF((GJ[Date]=$A$4)*(GJ[Ofc Code]=(TRIM(Q$7)))*(GJ[Account Code]=(TRIM($D76))),GJ[Credit])))</f>
        <v>0</v>
      </c>
      <c r="R76" s="211">
        <f t="array" ref="R76">(SUM(IF((CkDJ[Date]=$A$4)*(CkDJ[Ofc Code]=(TRIM(R$7)))*(CkDJ[Account Code]=(TRIM($D76))),CkDJ[Debit])))+(SUM(IF((CsDJ[Date]=$A$4)*(CsDJ[Ofc Code]=(TRIM(R$7)))*(CsDJ[Account Code]=(TRIM($D76))),CsDJ[Debit])))+(SUM(IF((CRDJ[Date]=$A$4)*(CRDJ[Ofc Code]=(TRIM(R$7)))*(CRDJ[Account Code]=(TRIM($D76))),CRDJ[Debit])))+(SUM(IF((GJ[Date]=$A$4)*(GJ[Ofc Code]=(TRIM(R$7)))*(GJ[Account Code]=(TRIM($D76))),GJ[Debit])))-(SUM(IF((CkDJ[Date]=$A$4)*(CkDJ[Ofc Code]=(TRIM(R$7)))*(CkDJ[Account Code]=(TRIM($D76))),CkDJ[Credit])))+(SUM(IF((CsDJ[Date]=$A$4)*(CsDJ[Ofc Code]=(TRIM(R$7)))*(CsDJ[Account Code]=(TRIM($D76))),CsDJ[Credit])))+(SUM(IF((CRDJ[Date]=$A$4)*(CRDJ[Ofc Code]=(TRIM(R$7)))*(CRDJ[Account Code]=(TRIM($D76))),CRDJ[Credit])))+(SUM(IF((GJ[Date]=$A$4)*(GJ[Ofc Code]=(TRIM(R$7)))*(GJ[Account Code]=(TRIM($D76))),GJ[Credit])))</f>
        <v>0</v>
      </c>
      <c r="S76" s="211">
        <f t="array" ref="S76">(SUM(IF((CkDJ[Date]=$A$4)*(CkDJ[Ofc Code]=(TRIM(S$7)))*(CkDJ[Account Code]=(TRIM($D76))),CkDJ[Debit])))+(SUM(IF((CsDJ[Date]=$A$4)*(CsDJ[Ofc Code]=(TRIM(S$7)))*(CsDJ[Account Code]=(TRIM($D76))),CsDJ[Debit])))+(SUM(IF((CRDJ[Date]=$A$4)*(CRDJ[Ofc Code]=(TRIM(S$7)))*(CRDJ[Account Code]=(TRIM($D76))),CRDJ[Debit])))+(SUM(IF((GJ[Date]=$A$4)*(GJ[Ofc Code]=(TRIM(S$7)))*(GJ[Account Code]=(TRIM($D76))),GJ[Debit])))-(SUM(IF((CkDJ[Date]=$A$4)*(CkDJ[Ofc Code]=(TRIM(S$7)))*(CkDJ[Account Code]=(TRIM($D76))),CkDJ[Credit])))+(SUM(IF((CsDJ[Date]=$A$4)*(CsDJ[Ofc Code]=(TRIM(S$7)))*(CsDJ[Account Code]=(TRIM($D76))),CsDJ[Credit])))+(SUM(IF((CRDJ[Date]=$A$4)*(CRDJ[Ofc Code]=(TRIM(S$7)))*(CRDJ[Account Code]=(TRIM($D76))),CRDJ[Credit])))+(SUM(IF((GJ[Date]=$A$4)*(GJ[Ofc Code]=(TRIM(S$7)))*(GJ[Account Code]=(TRIM($D76))),GJ[Credit])))</f>
        <v>0</v>
      </c>
      <c r="T76" s="211">
        <f t="shared" si="17"/>
        <v>0</v>
      </c>
      <c r="U76" s="211">
        <f t="shared" si="18"/>
        <v>0</v>
      </c>
      <c r="V76" s="213"/>
    </row>
    <row r="77" spans="1:22" ht="15">
      <c r="A77" s="212">
        <f t="shared" si="19"/>
        <v>19</v>
      </c>
      <c r="B77" s="214" t="s">
        <v>756</v>
      </c>
      <c r="C77" s="194" t="str">
        <f t="shared" si="14"/>
        <v>Repairs and Maintenance-Buildings and Other Structures - Buildings</v>
      </c>
      <c r="D77" s="207" t="s">
        <v>251</v>
      </c>
      <c r="E77" s="211">
        <f t="array" ref="E77">(SUM(IF((CkDJ[Date]=$A$4)*(CkDJ[Ofc Code]=(TRIM(E$7)))*(CkDJ[Account Code]=(TRIM($D77))),CkDJ[Debit])))+(SUM(IF((CsDJ[Date]=$A$4)*(CsDJ[Ofc Code]=(TRIM(E$7)))*(CsDJ[Account Code]=(TRIM($D77))),CsDJ[Debit])))+(SUM(IF((CRDJ[Date]=$A$4)*(CRDJ[Ofc Code]=(TRIM(E$7)))*(CRDJ[Account Code]=(TRIM($D77))),CRDJ[Debit])))+(SUM(IF((GJ[Date]=$A$4)*(GJ[Ofc Code]=(TRIM(E$7)))*(GJ[Account Code]=(TRIM($D77))),GJ[Debit])))-(SUM(IF((CkDJ[Date]=$A$4)*(CkDJ[Ofc Code]=(TRIM(E$7)))*(CkDJ[Account Code]=(TRIM($D77))),CkDJ[Credit])))+(SUM(IF((CsDJ[Date]=$A$4)*(CsDJ[Ofc Code]=(TRIM(E$7)))*(CsDJ[Account Code]=(TRIM($D77))),CsDJ[Credit])))+(SUM(IF((CRDJ[Date]=$A$4)*(CRDJ[Ofc Code]=(TRIM(E$7)))*(CRDJ[Account Code]=(TRIM($D77))),CRDJ[Credit])))+(SUM(IF((GJ[Date]=$A$4)*(GJ[Ofc Code]=(TRIM(E$7)))*(GJ[Account Code]=(TRIM($D77))),GJ[Credit])))</f>
        <v>0</v>
      </c>
      <c r="F77" s="211">
        <f t="array" ref="F77">(SUM(IF((CkDJ[Date]=$A$4)*(CkDJ[Ofc Code]=(TRIM(F$7)))*(CkDJ[Account Code]=(TRIM($D77))),CkDJ[Debit])))+(SUM(IF((CsDJ[Date]=$A$4)*(CsDJ[Ofc Code]=(TRIM(F$7)))*(CsDJ[Account Code]=(TRIM($D77))),CsDJ[Debit])))+(SUM(IF((CRDJ[Date]=$A$4)*(CRDJ[Ofc Code]=(TRIM(F$7)))*(CRDJ[Account Code]=(TRIM($D77))),CRDJ[Debit])))+(SUM(IF((GJ[Date]=$A$4)*(GJ[Ofc Code]=(TRIM(F$7)))*(GJ[Account Code]=(TRIM($D77))),GJ[Debit])))-(SUM(IF((CkDJ[Date]=$A$4)*(CkDJ[Ofc Code]=(TRIM(F$7)))*(CkDJ[Account Code]=(TRIM($D77))),CkDJ[Credit])))+(SUM(IF((CsDJ[Date]=$A$4)*(CsDJ[Ofc Code]=(TRIM(F$7)))*(CsDJ[Account Code]=(TRIM($D77))),CsDJ[Credit])))+(SUM(IF((CRDJ[Date]=$A$4)*(CRDJ[Ofc Code]=(TRIM(F$7)))*(CRDJ[Account Code]=(TRIM($D77))),CRDJ[Credit])))+(SUM(IF((GJ[Date]=$A$4)*(GJ[Ofc Code]=(TRIM(F$7)))*(GJ[Account Code]=(TRIM($D77))),GJ[Credit])))</f>
        <v>0</v>
      </c>
      <c r="G77" s="211">
        <f t="array" ref="G77">(SUM(IF((CkDJ[Date]=$A$4)*(CkDJ[Ofc Code]=(TRIM(G$7)))*(CkDJ[Account Code]=(TRIM($D77))),CkDJ[Debit])))+(SUM(IF((CsDJ[Date]=$A$4)*(CsDJ[Ofc Code]=(TRIM(G$7)))*(CsDJ[Account Code]=(TRIM($D77))),CsDJ[Debit])))+(SUM(IF((CRDJ[Date]=$A$4)*(CRDJ[Ofc Code]=(TRIM(G$7)))*(CRDJ[Account Code]=(TRIM($D77))),CRDJ[Debit])))+(SUM(IF((GJ[Date]=$A$4)*(GJ[Ofc Code]=(TRIM(G$7)))*(GJ[Account Code]=(TRIM($D77))),GJ[Debit])))-(SUM(IF((CkDJ[Date]=$A$4)*(CkDJ[Ofc Code]=(TRIM(G$7)))*(CkDJ[Account Code]=(TRIM($D77))),CkDJ[Credit])))+(SUM(IF((CsDJ[Date]=$A$4)*(CsDJ[Ofc Code]=(TRIM(G$7)))*(CsDJ[Account Code]=(TRIM($D77))),CsDJ[Credit])))+(SUM(IF((CRDJ[Date]=$A$4)*(CRDJ[Ofc Code]=(TRIM(G$7)))*(CRDJ[Account Code]=(TRIM($D77))),CRDJ[Credit])))+(SUM(IF((GJ[Date]=$A$4)*(GJ[Ofc Code]=(TRIM(G$7)))*(GJ[Account Code]=(TRIM($D77))),GJ[Credit])))</f>
        <v>0</v>
      </c>
      <c r="H77" s="211">
        <f t="array" ref="H77">(SUM(IF((CkDJ[Date]=$A$4)*(CkDJ[Ofc Code]=(TRIM(H$7)))*(CkDJ[Account Code]=(TRIM($D77))),CkDJ[Debit])))+(SUM(IF((CsDJ[Date]=$A$4)*(CsDJ[Ofc Code]=(TRIM(H$7)))*(CsDJ[Account Code]=(TRIM($D77))),CsDJ[Debit])))+(SUM(IF((CRDJ[Date]=$A$4)*(CRDJ[Ofc Code]=(TRIM(H$7)))*(CRDJ[Account Code]=(TRIM($D77))),CRDJ[Debit])))+(SUM(IF((GJ[Date]=$A$4)*(GJ[Ofc Code]=(TRIM(H$7)))*(GJ[Account Code]=(TRIM($D77))),GJ[Debit])))-(SUM(IF((CkDJ[Date]=$A$4)*(CkDJ[Ofc Code]=(TRIM(H$7)))*(CkDJ[Account Code]=(TRIM($D77))),CkDJ[Credit])))+(SUM(IF((CsDJ[Date]=$A$4)*(CsDJ[Ofc Code]=(TRIM(H$7)))*(CsDJ[Account Code]=(TRIM($D77))),CsDJ[Credit])))+(SUM(IF((CRDJ[Date]=$A$4)*(CRDJ[Ofc Code]=(TRIM(H$7)))*(CRDJ[Account Code]=(TRIM($D77))),CRDJ[Credit])))+(SUM(IF((GJ[Date]=$A$4)*(GJ[Ofc Code]=(TRIM(H$7)))*(GJ[Account Code]=(TRIM($D77))),GJ[Credit])))</f>
        <v>0</v>
      </c>
      <c r="I77" s="211">
        <f t="shared" si="15"/>
        <v>0</v>
      </c>
      <c r="J77" s="211">
        <f t="array" ref="J77">(SUM(IF((CkDJ[Date]=$A$4)*(CkDJ[Ofc Code]=(TRIM(J$7)))*(CkDJ[Account Code]=(TRIM($D77))),CkDJ[Debit])))+(SUM(IF((CsDJ[Date]=$A$4)*(CsDJ[Ofc Code]=(TRIM(J$7)))*(CsDJ[Account Code]=(TRIM($D77))),CsDJ[Debit])))+(SUM(IF((CRDJ[Date]=$A$4)*(CRDJ[Ofc Code]=(TRIM(J$7)))*(CRDJ[Account Code]=(TRIM($D77))),CRDJ[Debit])))+(SUM(IF((GJ[Date]=$A$4)*(GJ[Ofc Code]=(TRIM(J$7)))*(GJ[Account Code]=(TRIM($D77))),GJ[Debit])))-(SUM(IF((CkDJ[Date]=$A$4)*(CkDJ[Ofc Code]=(TRIM(J$7)))*(CkDJ[Account Code]=(TRIM($D77))),CkDJ[Credit])))+(SUM(IF((CsDJ[Date]=$A$4)*(CsDJ[Ofc Code]=(TRIM(J$7)))*(CsDJ[Account Code]=(TRIM($D77))),CsDJ[Credit])))+(SUM(IF((CRDJ[Date]=$A$4)*(CRDJ[Ofc Code]=(TRIM(J$7)))*(CRDJ[Account Code]=(TRIM($D77))),CRDJ[Credit])))+(SUM(IF((GJ[Date]=$A$4)*(GJ[Ofc Code]=(TRIM(J$7)))*(GJ[Account Code]=(TRIM($D77))),GJ[Credit])))</f>
        <v>0</v>
      </c>
      <c r="K77" s="211">
        <f t="array" ref="K77">(SUM(IF((CkDJ[Date]=$A$4)*(CkDJ[Ofc Code]=(TRIM(K$7)))*(CkDJ[Account Code]=(TRIM($D77))),CkDJ[Debit])))+(SUM(IF((CsDJ[Date]=$A$4)*(CsDJ[Ofc Code]=(TRIM(K$7)))*(CsDJ[Account Code]=(TRIM($D77))),CsDJ[Debit])))+(SUM(IF((CRDJ[Date]=$A$4)*(CRDJ[Ofc Code]=(TRIM(K$7)))*(CRDJ[Account Code]=(TRIM($D77))),CRDJ[Debit])))+(SUM(IF((GJ[Date]=$A$4)*(GJ[Ofc Code]=(TRIM(K$7)))*(GJ[Account Code]=(TRIM($D77))),GJ[Debit])))-(SUM(IF((CkDJ[Date]=$A$4)*(CkDJ[Ofc Code]=(TRIM(K$7)))*(CkDJ[Account Code]=(TRIM($D77))),CkDJ[Credit])))+(SUM(IF((CsDJ[Date]=$A$4)*(CsDJ[Ofc Code]=(TRIM(K$7)))*(CsDJ[Account Code]=(TRIM($D77))),CsDJ[Credit])))+(SUM(IF((CRDJ[Date]=$A$4)*(CRDJ[Ofc Code]=(TRIM(K$7)))*(CRDJ[Account Code]=(TRIM($D77))),CRDJ[Credit])))+(SUM(IF((GJ[Date]=$A$4)*(GJ[Ofc Code]=(TRIM(K$7)))*(GJ[Account Code]=(TRIM($D77))),GJ[Credit])))</f>
        <v>0</v>
      </c>
      <c r="L77" s="211">
        <f t="array" ref="L77">(SUM(IF((CkDJ[Date]=$A$4)*(CkDJ[Ofc Code]=(TRIM(L$7)))*(CkDJ[Account Code]=(TRIM($D77))),CkDJ[Debit])))+(SUM(IF((CsDJ[Date]=$A$4)*(CsDJ[Ofc Code]=(TRIM(L$7)))*(CsDJ[Account Code]=(TRIM($D77))),CsDJ[Debit])))+(SUM(IF((CRDJ[Date]=$A$4)*(CRDJ[Ofc Code]=(TRIM(L$7)))*(CRDJ[Account Code]=(TRIM($D77))),CRDJ[Debit])))+(SUM(IF((GJ[Date]=$A$4)*(GJ[Ofc Code]=(TRIM(L$7)))*(GJ[Account Code]=(TRIM($D77))),GJ[Debit])))-(SUM(IF((CkDJ[Date]=$A$4)*(CkDJ[Ofc Code]=(TRIM(L$7)))*(CkDJ[Account Code]=(TRIM($D77))),CkDJ[Credit])))+(SUM(IF((CsDJ[Date]=$A$4)*(CsDJ[Ofc Code]=(TRIM(L$7)))*(CsDJ[Account Code]=(TRIM($D77))),CsDJ[Credit])))+(SUM(IF((CRDJ[Date]=$A$4)*(CRDJ[Ofc Code]=(TRIM(L$7)))*(CRDJ[Account Code]=(TRIM($D77))),CRDJ[Credit])))+(SUM(IF((GJ[Date]=$A$4)*(GJ[Ofc Code]=(TRIM(L$7)))*(GJ[Account Code]=(TRIM($D77))),GJ[Credit])))</f>
        <v>0</v>
      </c>
      <c r="M77" s="211">
        <f t="array" ref="M77">(SUM(IF((CkDJ[Date]=$A$4)*(CkDJ[Ofc Code]=(TRIM(M$7)))*(CkDJ[Account Code]=(TRIM($D77))),CkDJ[Debit])))+(SUM(IF((CsDJ[Date]=$A$4)*(CsDJ[Ofc Code]=(TRIM(M$7)))*(CsDJ[Account Code]=(TRIM($D77))),CsDJ[Debit])))+(SUM(IF((CRDJ[Date]=$A$4)*(CRDJ[Ofc Code]=(TRIM(M$7)))*(CRDJ[Account Code]=(TRIM($D77))),CRDJ[Debit])))+(SUM(IF((GJ[Date]=$A$4)*(GJ[Ofc Code]=(TRIM(M$7)))*(GJ[Account Code]=(TRIM($D77))),GJ[Debit])))-(SUM(IF((CkDJ[Date]=$A$4)*(CkDJ[Ofc Code]=(TRIM(M$7)))*(CkDJ[Account Code]=(TRIM($D77))),CkDJ[Credit])))+(SUM(IF((CsDJ[Date]=$A$4)*(CsDJ[Ofc Code]=(TRIM(M$7)))*(CsDJ[Account Code]=(TRIM($D77))),CsDJ[Credit])))+(SUM(IF((CRDJ[Date]=$A$4)*(CRDJ[Ofc Code]=(TRIM(M$7)))*(CRDJ[Account Code]=(TRIM($D77))),CRDJ[Credit])))+(SUM(IF((GJ[Date]=$A$4)*(GJ[Ofc Code]=(TRIM(M$7)))*(GJ[Account Code]=(TRIM($D77))),GJ[Credit])))</f>
        <v>0</v>
      </c>
      <c r="N77" s="211">
        <f t="shared" si="16"/>
        <v>0</v>
      </c>
      <c r="O77" s="211">
        <f t="array" ref="O77">(SUM(IF((CkDJ[Date]=$A$4)*(CkDJ[Ofc Code]=(TRIM(O$7)))*(CkDJ[Account Code]=(TRIM($D77))),CkDJ[Debit])))+(SUM(IF((CsDJ[Date]=$A$4)*(CsDJ[Ofc Code]=(TRIM(O$7)))*(CsDJ[Account Code]=(TRIM($D77))),CsDJ[Debit])))+(SUM(IF((CRDJ[Date]=$A$4)*(CRDJ[Ofc Code]=(TRIM(O$7)))*(CRDJ[Account Code]=(TRIM($D77))),CRDJ[Debit])))+(SUM(IF((GJ[Date]=$A$4)*(GJ[Ofc Code]=(TRIM(O$7)))*(GJ[Account Code]=(TRIM($D77))),GJ[Debit])))-(SUM(IF((CkDJ[Date]=$A$4)*(CkDJ[Ofc Code]=(TRIM(O$7)))*(CkDJ[Account Code]=(TRIM($D77))),CkDJ[Credit])))+(SUM(IF((CsDJ[Date]=$A$4)*(CsDJ[Ofc Code]=(TRIM(O$7)))*(CsDJ[Account Code]=(TRIM($D77))),CsDJ[Credit])))+(SUM(IF((CRDJ[Date]=$A$4)*(CRDJ[Ofc Code]=(TRIM(O$7)))*(CRDJ[Account Code]=(TRIM($D77))),CRDJ[Credit])))+(SUM(IF((GJ[Date]=$A$4)*(GJ[Ofc Code]=(TRIM(O$7)))*(GJ[Account Code]=(TRIM($D77))),GJ[Credit])))</f>
        <v>0</v>
      </c>
      <c r="P77" s="211">
        <f t="array" ref="P77">(SUM(IF((CkDJ[Date]=$A$4)*(CkDJ[Ofc Code]=(TRIM(P$7)))*(CkDJ[Account Code]=(TRIM($D77))),CkDJ[Debit])))+(SUM(IF((CsDJ[Date]=$A$4)*(CsDJ[Ofc Code]=(TRIM(P$7)))*(CsDJ[Account Code]=(TRIM($D77))),CsDJ[Debit])))+(SUM(IF((CRDJ[Date]=$A$4)*(CRDJ[Ofc Code]=(TRIM(P$7)))*(CRDJ[Account Code]=(TRIM($D77))),CRDJ[Debit])))+(SUM(IF((GJ[Date]=$A$4)*(GJ[Ofc Code]=(TRIM(P$7)))*(GJ[Account Code]=(TRIM($D77))),GJ[Debit])))-(SUM(IF((CkDJ[Date]=$A$4)*(CkDJ[Ofc Code]=(TRIM(P$7)))*(CkDJ[Account Code]=(TRIM($D77))),CkDJ[Credit])))+(SUM(IF((CsDJ[Date]=$A$4)*(CsDJ[Ofc Code]=(TRIM(P$7)))*(CsDJ[Account Code]=(TRIM($D77))),CsDJ[Credit])))+(SUM(IF((CRDJ[Date]=$A$4)*(CRDJ[Ofc Code]=(TRIM(P$7)))*(CRDJ[Account Code]=(TRIM($D77))),CRDJ[Credit])))+(SUM(IF((GJ[Date]=$A$4)*(GJ[Ofc Code]=(TRIM(P$7)))*(GJ[Account Code]=(TRIM($D77))),GJ[Credit])))</f>
        <v>0</v>
      </c>
      <c r="Q77" s="211">
        <f t="array" ref="Q77">(SUM(IF((CkDJ[Date]=$A$4)*(CkDJ[Ofc Code]=(TRIM(Q$7)))*(CkDJ[Account Code]=(TRIM($D77))),CkDJ[Debit])))+(SUM(IF((CsDJ[Date]=$A$4)*(CsDJ[Ofc Code]=(TRIM(Q$7)))*(CsDJ[Account Code]=(TRIM($D77))),CsDJ[Debit])))+(SUM(IF((CRDJ[Date]=$A$4)*(CRDJ[Ofc Code]=(TRIM(Q$7)))*(CRDJ[Account Code]=(TRIM($D77))),CRDJ[Debit])))+(SUM(IF((GJ[Date]=$A$4)*(GJ[Ofc Code]=(TRIM(Q$7)))*(GJ[Account Code]=(TRIM($D77))),GJ[Debit])))-(SUM(IF((CkDJ[Date]=$A$4)*(CkDJ[Ofc Code]=(TRIM(Q$7)))*(CkDJ[Account Code]=(TRIM($D77))),CkDJ[Credit])))+(SUM(IF((CsDJ[Date]=$A$4)*(CsDJ[Ofc Code]=(TRIM(Q$7)))*(CsDJ[Account Code]=(TRIM($D77))),CsDJ[Credit])))+(SUM(IF((CRDJ[Date]=$A$4)*(CRDJ[Ofc Code]=(TRIM(Q$7)))*(CRDJ[Account Code]=(TRIM($D77))),CRDJ[Credit])))+(SUM(IF((GJ[Date]=$A$4)*(GJ[Ofc Code]=(TRIM(Q$7)))*(GJ[Account Code]=(TRIM($D77))),GJ[Credit])))</f>
        <v>0</v>
      </c>
      <c r="R77" s="211">
        <f t="array" ref="R77">(SUM(IF((CkDJ[Date]=$A$4)*(CkDJ[Ofc Code]=(TRIM(R$7)))*(CkDJ[Account Code]=(TRIM($D77))),CkDJ[Debit])))+(SUM(IF((CsDJ[Date]=$A$4)*(CsDJ[Ofc Code]=(TRIM(R$7)))*(CsDJ[Account Code]=(TRIM($D77))),CsDJ[Debit])))+(SUM(IF((CRDJ[Date]=$A$4)*(CRDJ[Ofc Code]=(TRIM(R$7)))*(CRDJ[Account Code]=(TRIM($D77))),CRDJ[Debit])))+(SUM(IF((GJ[Date]=$A$4)*(GJ[Ofc Code]=(TRIM(R$7)))*(GJ[Account Code]=(TRIM($D77))),GJ[Debit])))-(SUM(IF((CkDJ[Date]=$A$4)*(CkDJ[Ofc Code]=(TRIM(R$7)))*(CkDJ[Account Code]=(TRIM($D77))),CkDJ[Credit])))+(SUM(IF((CsDJ[Date]=$A$4)*(CsDJ[Ofc Code]=(TRIM(R$7)))*(CsDJ[Account Code]=(TRIM($D77))),CsDJ[Credit])))+(SUM(IF((CRDJ[Date]=$A$4)*(CRDJ[Ofc Code]=(TRIM(R$7)))*(CRDJ[Account Code]=(TRIM($D77))),CRDJ[Credit])))+(SUM(IF((GJ[Date]=$A$4)*(GJ[Ofc Code]=(TRIM(R$7)))*(GJ[Account Code]=(TRIM($D77))),GJ[Credit])))</f>
        <v>0</v>
      </c>
      <c r="S77" s="211">
        <f t="array" ref="S77">(SUM(IF((CkDJ[Date]=$A$4)*(CkDJ[Ofc Code]=(TRIM(S$7)))*(CkDJ[Account Code]=(TRIM($D77))),CkDJ[Debit])))+(SUM(IF((CsDJ[Date]=$A$4)*(CsDJ[Ofc Code]=(TRIM(S$7)))*(CsDJ[Account Code]=(TRIM($D77))),CsDJ[Debit])))+(SUM(IF((CRDJ[Date]=$A$4)*(CRDJ[Ofc Code]=(TRIM(S$7)))*(CRDJ[Account Code]=(TRIM($D77))),CRDJ[Debit])))+(SUM(IF((GJ[Date]=$A$4)*(GJ[Ofc Code]=(TRIM(S$7)))*(GJ[Account Code]=(TRIM($D77))),GJ[Debit])))-(SUM(IF((CkDJ[Date]=$A$4)*(CkDJ[Ofc Code]=(TRIM(S$7)))*(CkDJ[Account Code]=(TRIM($D77))),CkDJ[Credit])))+(SUM(IF((CsDJ[Date]=$A$4)*(CsDJ[Ofc Code]=(TRIM(S$7)))*(CsDJ[Account Code]=(TRIM($D77))),CsDJ[Credit])))+(SUM(IF((CRDJ[Date]=$A$4)*(CRDJ[Ofc Code]=(TRIM(S$7)))*(CRDJ[Account Code]=(TRIM($D77))),CRDJ[Credit])))+(SUM(IF((GJ[Date]=$A$4)*(GJ[Ofc Code]=(TRIM(S$7)))*(GJ[Account Code]=(TRIM($D77))),GJ[Credit])))</f>
        <v>0</v>
      </c>
      <c r="T77" s="211">
        <f t="shared" si="17"/>
        <v>0</v>
      </c>
      <c r="U77" s="211">
        <f t="shared" si="18"/>
        <v>0</v>
      </c>
      <c r="V77" s="213"/>
    </row>
    <row r="78" spans="1:22" ht="15">
      <c r="A78" s="212">
        <f t="shared" si="19"/>
        <v>20</v>
      </c>
      <c r="B78" s="214" t="s">
        <v>756</v>
      </c>
      <c r="C78" s="194" t="str">
        <f t="shared" si="14"/>
        <v>Repairs and Maintenance-Machinery and Equipment - Office Equipment</v>
      </c>
      <c r="D78" s="207" t="s">
        <v>253</v>
      </c>
      <c r="E78" s="211">
        <f t="array" ref="E78">(SUM(IF((CkDJ[Date]=$A$4)*(CkDJ[Ofc Code]=(TRIM(E$7)))*(CkDJ[Account Code]=(TRIM($D78))),CkDJ[Debit])))+(SUM(IF((CsDJ[Date]=$A$4)*(CsDJ[Ofc Code]=(TRIM(E$7)))*(CsDJ[Account Code]=(TRIM($D78))),CsDJ[Debit])))+(SUM(IF((CRDJ[Date]=$A$4)*(CRDJ[Ofc Code]=(TRIM(E$7)))*(CRDJ[Account Code]=(TRIM($D78))),CRDJ[Debit])))+(SUM(IF((GJ[Date]=$A$4)*(GJ[Ofc Code]=(TRIM(E$7)))*(GJ[Account Code]=(TRIM($D78))),GJ[Debit])))-(SUM(IF((CkDJ[Date]=$A$4)*(CkDJ[Ofc Code]=(TRIM(E$7)))*(CkDJ[Account Code]=(TRIM($D78))),CkDJ[Credit])))+(SUM(IF((CsDJ[Date]=$A$4)*(CsDJ[Ofc Code]=(TRIM(E$7)))*(CsDJ[Account Code]=(TRIM($D78))),CsDJ[Credit])))+(SUM(IF((CRDJ[Date]=$A$4)*(CRDJ[Ofc Code]=(TRIM(E$7)))*(CRDJ[Account Code]=(TRIM($D78))),CRDJ[Credit])))+(SUM(IF((GJ[Date]=$A$4)*(GJ[Ofc Code]=(TRIM(E$7)))*(GJ[Account Code]=(TRIM($D78))),GJ[Credit])))</f>
        <v>0</v>
      </c>
      <c r="F78" s="211">
        <f t="array" ref="F78">(SUM(IF((CkDJ[Date]=$A$4)*(CkDJ[Ofc Code]=(TRIM(F$7)))*(CkDJ[Account Code]=(TRIM($D78))),CkDJ[Debit])))+(SUM(IF((CsDJ[Date]=$A$4)*(CsDJ[Ofc Code]=(TRIM(F$7)))*(CsDJ[Account Code]=(TRIM($D78))),CsDJ[Debit])))+(SUM(IF((CRDJ[Date]=$A$4)*(CRDJ[Ofc Code]=(TRIM(F$7)))*(CRDJ[Account Code]=(TRIM($D78))),CRDJ[Debit])))+(SUM(IF((GJ[Date]=$A$4)*(GJ[Ofc Code]=(TRIM(F$7)))*(GJ[Account Code]=(TRIM($D78))),GJ[Debit])))-(SUM(IF((CkDJ[Date]=$A$4)*(CkDJ[Ofc Code]=(TRIM(F$7)))*(CkDJ[Account Code]=(TRIM($D78))),CkDJ[Credit])))+(SUM(IF((CsDJ[Date]=$A$4)*(CsDJ[Ofc Code]=(TRIM(F$7)))*(CsDJ[Account Code]=(TRIM($D78))),CsDJ[Credit])))+(SUM(IF((CRDJ[Date]=$A$4)*(CRDJ[Ofc Code]=(TRIM(F$7)))*(CRDJ[Account Code]=(TRIM($D78))),CRDJ[Credit])))+(SUM(IF((GJ[Date]=$A$4)*(GJ[Ofc Code]=(TRIM(F$7)))*(GJ[Account Code]=(TRIM($D78))),GJ[Credit])))</f>
        <v>0</v>
      </c>
      <c r="G78" s="211">
        <f t="array" ref="G78">(SUM(IF((CkDJ[Date]=$A$4)*(CkDJ[Ofc Code]=(TRIM(G$7)))*(CkDJ[Account Code]=(TRIM($D78))),CkDJ[Debit])))+(SUM(IF((CsDJ[Date]=$A$4)*(CsDJ[Ofc Code]=(TRIM(G$7)))*(CsDJ[Account Code]=(TRIM($D78))),CsDJ[Debit])))+(SUM(IF((CRDJ[Date]=$A$4)*(CRDJ[Ofc Code]=(TRIM(G$7)))*(CRDJ[Account Code]=(TRIM($D78))),CRDJ[Debit])))+(SUM(IF((GJ[Date]=$A$4)*(GJ[Ofc Code]=(TRIM(G$7)))*(GJ[Account Code]=(TRIM($D78))),GJ[Debit])))-(SUM(IF((CkDJ[Date]=$A$4)*(CkDJ[Ofc Code]=(TRIM(G$7)))*(CkDJ[Account Code]=(TRIM($D78))),CkDJ[Credit])))+(SUM(IF((CsDJ[Date]=$A$4)*(CsDJ[Ofc Code]=(TRIM(G$7)))*(CsDJ[Account Code]=(TRIM($D78))),CsDJ[Credit])))+(SUM(IF((CRDJ[Date]=$A$4)*(CRDJ[Ofc Code]=(TRIM(G$7)))*(CRDJ[Account Code]=(TRIM($D78))),CRDJ[Credit])))+(SUM(IF((GJ[Date]=$A$4)*(GJ[Ofc Code]=(TRIM(G$7)))*(GJ[Account Code]=(TRIM($D78))),GJ[Credit])))</f>
        <v>0</v>
      </c>
      <c r="H78" s="211">
        <f t="array" ref="H78">(SUM(IF((CkDJ[Date]=$A$4)*(CkDJ[Ofc Code]=(TRIM(H$7)))*(CkDJ[Account Code]=(TRIM($D78))),CkDJ[Debit])))+(SUM(IF((CsDJ[Date]=$A$4)*(CsDJ[Ofc Code]=(TRIM(H$7)))*(CsDJ[Account Code]=(TRIM($D78))),CsDJ[Debit])))+(SUM(IF((CRDJ[Date]=$A$4)*(CRDJ[Ofc Code]=(TRIM(H$7)))*(CRDJ[Account Code]=(TRIM($D78))),CRDJ[Debit])))+(SUM(IF((GJ[Date]=$A$4)*(GJ[Ofc Code]=(TRIM(H$7)))*(GJ[Account Code]=(TRIM($D78))),GJ[Debit])))-(SUM(IF((CkDJ[Date]=$A$4)*(CkDJ[Ofc Code]=(TRIM(H$7)))*(CkDJ[Account Code]=(TRIM($D78))),CkDJ[Credit])))+(SUM(IF((CsDJ[Date]=$A$4)*(CsDJ[Ofc Code]=(TRIM(H$7)))*(CsDJ[Account Code]=(TRIM($D78))),CsDJ[Credit])))+(SUM(IF((CRDJ[Date]=$A$4)*(CRDJ[Ofc Code]=(TRIM(H$7)))*(CRDJ[Account Code]=(TRIM($D78))),CRDJ[Credit])))+(SUM(IF((GJ[Date]=$A$4)*(GJ[Ofc Code]=(TRIM(H$7)))*(GJ[Account Code]=(TRIM($D78))),GJ[Credit])))</f>
        <v>0</v>
      </c>
      <c r="I78" s="211">
        <f t="shared" si="15"/>
        <v>0</v>
      </c>
      <c r="J78" s="211">
        <f t="array" ref="J78">(SUM(IF((CkDJ[Date]=$A$4)*(CkDJ[Ofc Code]=(TRIM(J$7)))*(CkDJ[Account Code]=(TRIM($D78))),CkDJ[Debit])))+(SUM(IF((CsDJ[Date]=$A$4)*(CsDJ[Ofc Code]=(TRIM(J$7)))*(CsDJ[Account Code]=(TRIM($D78))),CsDJ[Debit])))+(SUM(IF((CRDJ[Date]=$A$4)*(CRDJ[Ofc Code]=(TRIM(J$7)))*(CRDJ[Account Code]=(TRIM($D78))),CRDJ[Debit])))+(SUM(IF((GJ[Date]=$A$4)*(GJ[Ofc Code]=(TRIM(J$7)))*(GJ[Account Code]=(TRIM($D78))),GJ[Debit])))-(SUM(IF((CkDJ[Date]=$A$4)*(CkDJ[Ofc Code]=(TRIM(J$7)))*(CkDJ[Account Code]=(TRIM($D78))),CkDJ[Credit])))+(SUM(IF((CsDJ[Date]=$A$4)*(CsDJ[Ofc Code]=(TRIM(J$7)))*(CsDJ[Account Code]=(TRIM($D78))),CsDJ[Credit])))+(SUM(IF((CRDJ[Date]=$A$4)*(CRDJ[Ofc Code]=(TRIM(J$7)))*(CRDJ[Account Code]=(TRIM($D78))),CRDJ[Credit])))+(SUM(IF((GJ[Date]=$A$4)*(GJ[Ofc Code]=(TRIM(J$7)))*(GJ[Account Code]=(TRIM($D78))),GJ[Credit])))</f>
        <v>0</v>
      </c>
      <c r="K78" s="211">
        <f t="array" ref="K78">(SUM(IF((CkDJ[Date]=$A$4)*(CkDJ[Ofc Code]=(TRIM(K$7)))*(CkDJ[Account Code]=(TRIM($D78))),CkDJ[Debit])))+(SUM(IF((CsDJ[Date]=$A$4)*(CsDJ[Ofc Code]=(TRIM(K$7)))*(CsDJ[Account Code]=(TRIM($D78))),CsDJ[Debit])))+(SUM(IF((CRDJ[Date]=$A$4)*(CRDJ[Ofc Code]=(TRIM(K$7)))*(CRDJ[Account Code]=(TRIM($D78))),CRDJ[Debit])))+(SUM(IF((GJ[Date]=$A$4)*(GJ[Ofc Code]=(TRIM(K$7)))*(GJ[Account Code]=(TRIM($D78))),GJ[Debit])))-(SUM(IF((CkDJ[Date]=$A$4)*(CkDJ[Ofc Code]=(TRIM(K$7)))*(CkDJ[Account Code]=(TRIM($D78))),CkDJ[Credit])))+(SUM(IF((CsDJ[Date]=$A$4)*(CsDJ[Ofc Code]=(TRIM(K$7)))*(CsDJ[Account Code]=(TRIM($D78))),CsDJ[Credit])))+(SUM(IF((CRDJ[Date]=$A$4)*(CRDJ[Ofc Code]=(TRIM(K$7)))*(CRDJ[Account Code]=(TRIM($D78))),CRDJ[Credit])))+(SUM(IF((GJ[Date]=$A$4)*(GJ[Ofc Code]=(TRIM(K$7)))*(GJ[Account Code]=(TRIM($D78))),GJ[Credit])))</f>
        <v>0</v>
      </c>
      <c r="L78" s="211">
        <f t="array" ref="L78">(SUM(IF((CkDJ[Date]=$A$4)*(CkDJ[Ofc Code]=(TRIM(L$7)))*(CkDJ[Account Code]=(TRIM($D78))),CkDJ[Debit])))+(SUM(IF((CsDJ[Date]=$A$4)*(CsDJ[Ofc Code]=(TRIM(L$7)))*(CsDJ[Account Code]=(TRIM($D78))),CsDJ[Debit])))+(SUM(IF((CRDJ[Date]=$A$4)*(CRDJ[Ofc Code]=(TRIM(L$7)))*(CRDJ[Account Code]=(TRIM($D78))),CRDJ[Debit])))+(SUM(IF((GJ[Date]=$A$4)*(GJ[Ofc Code]=(TRIM(L$7)))*(GJ[Account Code]=(TRIM($D78))),GJ[Debit])))-(SUM(IF((CkDJ[Date]=$A$4)*(CkDJ[Ofc Code]=(TRIM(L$7)))*(CkDJ[Account Code]=(TRIM($D78))),CkDJ[Credit])))+(SUM(IF((CsDJ[Date]=$A$4)*(CsDJ[Ofc Code]=(TRIM(L$7)))*(CsDJ[Account Code]=(TRIM($D78))),CsDJ[Credit])))+(SUM(IF((CRDJ[Date]=$A$4)*(CRDJ[Ofc Code]=(TRIM(L$7)))*(CRDJ[Account Code]=(TRIM($D78))),CRDJ[Credit])))+(SUM(IF((GJ[Date]=$A$4)*(GJ[Ofc Code]=(TRIM(L$7)))*(GJ[Account Code]=(TRIM($D78))),GJ[Credit])))</f>
        <v>0</v>
      </c>
      <c r="M78" s="211">
        <f t="array" ref="M78">(SUM(IF((CkDJ[Date]=$A$4)*(CkDJ[Ofc Code]=(TRIM(M$7)))*(CkDJ[Account Code]=(TRIM($D78))),CkDJ[Debit])))+(SUM(IF((CsDJ[Date]=$A$4)*(CsDJ[Ofc Code]=(TRIM(M$7)))*(CsDJ[Account Code]=(TRIM($D78))),CsDJ[Debit])))+(SUM(IF((CRDJ[Date]=$A$4)*(CRDJ[Ofc Code]=(TRIM(M$7)))*(CRDJ[Account Code]=(TRIM($D78))),CRDJ[Debit])))+(SUM(IF((GJ[Date]=$A$4)*(GJ[Ofc Code]=(TRIM(M$7)))*(GJ[Account Code]=(TRIM($D78))),GJ[Debit])))-(SUM(IF((CkDJ[Date]=$A$4)*(CkDJ[Ofc Code]=(TRIM(M$7)))*(CkDJ[Account Code]=(TRIM($D78))),CkDJ[Credit])))+(SUM(IF((CsDJ[Date]=$A$4)*(CsDJ[Ofc Code]=(TRIM(M$7)))*(CsDJ[Account Code]=(TRIM($D78))),CsDJ[Credit])))+(SUM(IF((CRDJ[Date]=$A$4)*(CRDJ[Ofc Code]=(TRIM(M$7)))*(CRDJ[Account Code]=(TRIM($D78))),CRDJ[Credit])))+(SUM(IF((GJ[Date]=$A$4)*(GJ[Ofc Code]=(TRIM(M$7)))*(GJ[Account Code]=(TRIM($D78))),GJ[Credit])))</f>
        <v>0</v>
      </c>
      <c r="N78" s="211">
        <f t="shared" si="16"/>
        <v>0</v>
      </c>
      <c r="O78" s="211">
        <f t="array" ref="O78">(SUM(IF((CkDJ[Date]=$A$4)*(CkDJ[Ofc Code]=(TRIM(O$7)))*(CkDJ[Account Code]=(TRIM($D78))),CkDJ[Debit])))+(SUM(IF((CsDJ[Date]=$A$4)*(CsDJ[Ofc Code]=(TRIM(O$7)))*(CsDJ[Account Code]=(TRIM($D78))),CsDJ[Debit])))+(SUM(IF((CRDJ[Date]=$A$4)*(CRDJ[Ofc Code]=(TRIM(O$7)))*(CRDJ[Account Code]=(TRIM($D78))),CRDJ[Debit])))+(SUM(IF((GJ[Date]=$A$4)*(GJ[Ofc Code]=(TRIM(O$7)))*(GJ[Account Code]=(TRIM($D78))),GJ[Debit])))-(SUM(IF((CkDJ[Date]=$A$4)*(CkDJ[Ofc Code]=(TRIM(O$7)))*(CkDJ[Account Code]=(TRIM($D78))),CkDJ[Credit])))+(SUM(IF((CsDJ[Date]=$A$4)*(CsDJ[Ofc Code]=(TRIM(O$7)))*(CsDJ[Account Code]=(TRIM($D78))),CsDJ[Credit])))+(SUM(IF((CRDJ[Date]=$A$4)*(CRDJ[Ofc Code]=(TRIM(O$7)))*(CRDJ[Account Code]=(TRIM($D78))),CRDJ[Credit])))+(SUM(IF((GJ[Date]=$A$4)*(GJ[Ofc Code]=(TRIM(O$7)))*(GJ[Account Code]=(TRIM($D78))),GJ[Credit])))</f>
        <v>0</v>
      </c>
      <c r="P78" s="211">
        <f t="array" ref="P78">(SUM(IF((CkDJ[Date]=$A$4)*(CkDJ[Ofc Code]=(TRIM(P$7)))*(CkDJ[Account Code]=(TRIM($D78))),CkDJ[Debit])))+(SUM(IF((CsDJ[Date]=$A$4)*(CsDJ[Ofc Code]=(TRIM(P$7)))*(CsDJ[Account Code]=(TRIM($D78))),CsDJ[Debit])))+(SUM(IF((CRDJ[Date]=$A$4)*(CRDJ[Ofc Code]=(TRIM(P$7)))*(CRDJ[Account Code]=(TRIM($D78))),CRDJ[Debit])))+(SUM(IF((GJ[Date]=$A$4)*(GJ[Ofc Code]=(TRIM(P$7)))*(GJ[Account Code]=(TRIM($D78))),GJ[Debit])))-(SUM(IF((CkDJ[Date]=$A$4)*(CkDJ[Ofc Code]=(TRIM(P$7)))*(CkDJ[Account Code]=(TRIM($D78))),CkDJ[Credit])))+(SUM(IF((CsDJ[Date]=$A$4)*(CsDJ[Ofc Code]=(TRIM(P$7)))*(CsDJ[Account Code]=(TRIM($D78))),CsDJ[Credit])))+(SUM(IF((CRDJ[Date]=$A$4)*(CRDJ[Ofc Code]=(TRIM(P$7)))*(CRDJ[Account Code]=(TRIM($D78))),CRDJ[Credit])))+(SUM(IF((GJ[Date]=$A$4)*(GJ[Ofc Code]=(TRIM(P$7)))*(GJ[Account Code]=(TRIM($D78))),GJ[Credit])))</f>
        <v>0</v>
      </c>
      <c r="Q78" s="211">
        <f t="array" ref="Q78">(SUM(IF((CkDJ[Date]=$A$4)*(CkDJ[Ofc Code]=(TRIM(Q$7)))*(CkDJ[Account Code]=(TRIM($D78))),CkDJ[Debit])))+(SUM(IF((CsDJ[Date]=$A$4)*(CsDJ[Ofc Code]=(TRIM(Q$7)))*(CsDJ[Account Code]=(TRIM($D78))),CsDJ[Debit])))+(SUM(IF((CRDJ[Date]=$A$4)*(CRDJ[Ofc Code]=(TRIM(Q$7)))*(CRDJ[Account Code]=(TRIM($D78))),CRDJ[Debit])))+(SUM(IF((GJ[Date]=$A$4)*(GJ[Ofc Code]=(TRIM(Q$7)))*(GJ[Account Code]=(TRIM($D78))),GJ[Debit])))-(SUM(IF((CkDJ[Date]=$A$4)*(CkDJ[Ofc Code]=(TRIM(Q$7)))*(CkDJ[Account Code]=(TRIM($D78))),CkDJ[Credit])))+(SUM(IF((CsDJ[Date]=$A$4)*(CsDJ[Ofc Code]=(TRIM(Q$7)))*(CsDJ[Account Code]=(TRIM($D78))),CsDJ[Credit])))+(SUM(IF((CRDJ[Date]=$A$4)*(CRDJ[Ofc Code]=(TRIM(Q$7)))*(CRDJ[Account Code]=(TRIM($D78))),CRDJ[Credit])))+(SUM(IF((GJ[Date]=$A$4)*(GJ[Ofc Code]=(TRIM(Q$7)))*(GJ[Account Code]=(TRIM($D78))),GJ[Credit])))</f>
        <v>0</v>
      </c>
      <c r="R78" s="211">
        <f t="array" ref="R78">(SUM(IF((CkDJ[Date]=$A$4)*(CkDJ[Ofc Code]=(TRIM(R$7)))*(CkDJ[Account Code]=(TRIM($D78))),CkDJ[Debit])))+(SUM(IF((CsDJ[Date]=$A$4)*(CsDJ[Ofc Code]=(TRIM(R$7)))*(CsDJ[Account Code]=(TRIM($D78))),CsDJ[Debit])))+(SUM(IF((CRDJ[Date]=$A$4)*(CRDJ[Ofc Code]=(TRIM(R$7)))*(CRDJ[Account Code]=(TRIM($D78))),CRDJ[Debit])))+(SUM(IF((GJ[Date]=$A$4)*(GJ[Ofc Code]=(TRIM(R$7)))*(GJ[Account Code]=(TRIM($D78))),GJ[Debit])))-(SUM(IF((CkDJ[Date]=$A$4)*(CkDJ[Ofc Code]=(TRIM(R$7)))*(CkDJ[Account Code]=(TRIM($D78))),CkDJ[Credit])))+(SUM(IF((CsDJ[Date]=$A$4)*(CsDJ[Ofc Code]=(TRIM(R$7)))*(CsDJ[Account Code]=(TRIM($D78))),CsDJ[Credit])))+(SUM(IF((CRDJ[Date]=$A$4)*(CRDJ[Ofc Code]=(TRIM(R$7)))*(CRDJ[Account Code]=(TRIM($D78))),CRDJ[Credit])))+(SUM(IF((GJ[Date]=$A$4)*(GJ[Ofc Code]=(TRIM(R$7)))*(GJ[Account Code]=(TRIM($D78))),GJ[Credit])))</f>
        <v>0</v>
      </c>
      <c r="S78" s="211">
        <f t="array" ref="S78">(SUM(IF((CkDJ[Date]=$A$4)*(CkDJ[Ofc Code]=(TRIM(S$7)))*(CkDJ[Account Code]=(TRIM($D78))),CkDJ[Debit])))+(SUM(IF((CsDJ[Date]=$A$4)*(CsDJ[Ofc Code]=(TRIM(S$7)))*(CsDJ[Account Code]=(TRIM($D78))),CsDJ[Debit])))+(SUM(IF((CRDJ[Date]=$A$4)*(CRDJ[Ofc Code]=(TRIM(S$7)))*(CRDJ[Account Code]=(TRIM($D78))),CRDJ[Debit])))+(SUM(IF((GJ[Date]=$A$4)*(GJ[Ofc Code]=(TRIM(S$7)))*(GJ[Account Code]=(TRIM($D78))),GJ[Debit])))-(SUM(IF((CkDJ[Date]=$A$4)*(CkDJ[Ofc Code]=(TRIM(S$7)))*(CkDJ[Account Code]=(TRIM($D78))),CkDJ[Credit])))+(SUM(IF((CsDJ[Date]=$A$4)*(CsDJ[Ofc Code]=(TRIM(S$7)))*(CsDJ[Account Code]=(TRIM($D78))),CsDJ[Credit])))+(SUM(IF((CRDJ[Date]=$A$4)*(CRDJ[Ofc Code]=(TRIM(S$7)))*(CRDJ[Account Code]=(TRIM($D78))),CRDJ[Credit])))+(SUM(IF((GJ[Date]=$A$4)*(GJ[Ofc Code]=(TRIM(S$7)))*(GJ[Account Code]=(TRIM($D78))),GJ[Credit])))</f>
        <v>0</v>
      </c>
      <c r="T78" s="211">
        <f t="shared" si="17"/>
        <v>0</v>
      </c>
      <c r="U78" s="211">
        <f t="shared" si="18"/>
        <v>0</v>
      </c>
    </row>
    <row r="79" spans="1:22" ht="15">
      <c r="A79" s="212">
        <f t="shared" si="19"/>
        <v>21</v>
      </c>
      <c r="B79" s="214" t="s">
        <v>756</v>
      </c>
      <c r="C79" s="194" t="str">
        <f t="shared" si="14"/>
        <v>Repairs and Maintenance-Machinery and Equipment - Machinery</v>
      </c>
      <c r="D79" s="207">
        <v>826</v>
      </c>
      <c r="E79" s="211">
        <f t="array" ref="E79">(SUM(IF((CkDJ[Date]=$A$4)*(CkDJ[Ofc Code]=(TRIM(E$7)))*(CkDJ[Account Code]=(TRIM($D79))),CkDJ[Debit])))+(SUM(IF((CsDJ[Date]=$A$4)*(CsDJ[Ofc Code]=(TRIM(E$7)))*(CsDJ[Account Code]=(TRIM($D79))),CsDJ[Debit])))+(SUM(IF((CRDJ[Date]=$A$4)*(CRDJ[Ofc Code]=(TRIM(E$7)))*(CRDJ[Account Code]=(TRIM($D79))),CRDJ[Debit])))+(SUM(IF((GJ[Date]=$A$4)*(GJ[Ofc Code]=(TRIM(E$7)))*(GJ[Account Code]=(TRIM($D79))),GJ[Debit])))-(SUM(IF((CkDJ[Date]=$A$4)*(CkDJ[Ofc Code]=(TRIM(E$7)))*(CkDJ[Account Code]=(TRIM($D79))),CkDJ[Credit])))+(SUM(IF((CsDJ[Date]=$A$4)*(CsDJ[Ofc Code]=(TRIM(E$7)))*(CsDJ[Account Code]=(TRIM($D79))),CsDJ[Credit])))+(SUM(IF((CRDJ[Date]=$A$4)*(CRDJ[Ofc Code]=(TRIM(E$7)))*(CRDJ[Account Code]=(TRIM($D79))),CRDJ[Credit])))+(SUM(IF((GJ[Date]=$A$4)*(GJ[Ofc Code]=(TRIM(E$7)))*(GJ[Account Code]=(TRIM($D79))),GJ[Credit])))</f>
        <v>0</v>
      </c>
      <c r="F79" s="211">
        <f t="array" ref="F79">(SUM(IF((CkDJ[Date]=$A$4)*(CkDJ[Ofc Code]=(TRIM(F$7)))*(CkDJ[Account Code]=(TRIM($D79))),CkDJ[Debit])))+(SUM(IF((CsDJ[Date]=$A$4)*(CsDJ[Ofc Code]=(TRIM(F$7)))*(CsDJ[Account Code]=(TRIM($D79))),CsDJ[Debit])))+(SUM(IF((CRDJ[Date]=$A$4)*(CRDJ[Ofc Code]=(TRIM(F$7)))*(CRDJ[Account Code]=(TRIM($D79))),CRDJ[Debit])))+(SUM(IF((GJ[Date]=$A$4)*(GJ[Ofc Code]=(TRIM(F$7)))*(GJ[Account Code]=(TRIM($D79))),GJ[Debit])))-(SUM(IF((CkDJ[Date]=$A$4)*(CkDJ[Ofc Code]=(TRIM(F$7)))*(CkDJ[Account Code]=(TRIM($D79))),CkDJ[Credit])))+(SUM(IF((CsDJ[Date]=$A$4)*(CsDJ[Ofc Code]=(TRIM(F$7)))*(CsDJ[Account Code]=(TRIM($D79))),CsDJ[Credit])))+(SUM(IF((CRDJ[Date]=$A$4)*(CRDJ[Ofc Code]=(TRIM(F$7)))*(CRDJ[Account Code]=(TRIM($D79))),CRDJ[Credit])))+(SUM(IF((GJ[Date]=$A$4)*(GJ[Ofc Code]=(TRIM(F$7)))*(GJ[Account Code]=(TRIM($D79))),GJ[Credit])))</f>
        <v>0</v>
      </c>
      <c r="G79" s="211">
        <f t="array" ref="G79">(SUM(IF((CkDJ[Date]=$A$4)*(CkDJ[Ofc Code]=(TRIM(G$7)))*(CkDJ[Account Code]=(TRIM($D79))),CkDJ[Debit])))+(SUM(IF((CsDJ[Date]=$A$4)*(CsDJ[Ofc Code]=(TRIM(G$7)))*(CsDJ[Account Code]=(TRIM($D79))),CsDJ[Debit])))+(SUM(IF((CRDJ[Date]=$A$4)*(CRDJ[Ofc Code]=(TRIM(G$7)))*(CRDJ[Account Code]=(TRIM($D79))),CRDJ[Debit])))+(SUM(IF((GJ[Date]=$A$4)*(GJ[Ofc Code]=(TRIM(G$7)))*(GJ[Account Code]=(TRIM($D79))),GJ[Debit])))-(SUM(IF((CkDJ[Date]=$A$4)*(CkDJ[Ofc Code]=(TRIM(G$7)))*(CkDJ[Account Code]=(TRIM($D79))),CkDJ[Credit])))+(SUM(IF((CsDJ[Date]=$A$4)*(CsDJ[Ofc Code]=(TRIM(G$7)))*(CsDJ[Account Code]=(TRIM($D79))),CsDJ[Credit])))+(SUM(IF((CRDJ[Date]=$A$4)*(CRDJ[Ofc Code]=(TRIM(G$7)))*(CRDJ[Account Code]=(TRIM($D79))),CRDJ[Credit])))+(SUM(IF((GJ[Date]=$A$4)*(GJ[Ofc Code]=(TRIM(G$7)))*(GJ[Account Code]=(TRIM($D79))),GJ[Credit])))</f>
        <v>0</v>
      </c>
      <c r="H79" s="211">
        <f t="array" ref="H79">(SUM(IF((CkDJ[Date]=$A$4)*(CkDJ[Ofc Code]=(TRIM(H$7)))*(CkDJ[Account Code]=(TRIM($D79))),CkDJ[Debit])))+(SUM(IF((CsDJ[Date]=$A$4)*(CsDJ[Ofc Code]=(TRIM(H$7)))*(CsDJ[Account Code]=(TRIM($D79))),CsDJ[Debit])))+(SUM(IF((CRDJ[Date]=$A$4)*(CRDJ[Ofc Code]=(TRIM(H$7)))*(CRDJ[Account Code]=(TRIM($D79))),CRDJ[Debit])))+(SUM(IF((GJ[Date]=$A$4)*(GJ[Ofc Code]=(TRIM(H$7)))*(GJ[Account Code]=(TRIM($D79))),GJ[Debit])))-(SUM(IF((CkDJ[Date]=$A$4)*(CkDJ[Ofc Code]=(TRIM(H$7)))*(CkDJ[Account Code]=(TRIM($D79))),CkDJ[Credit])))+(SUM(IF((CsDJ[Date]=$A$4)*(CsDJ[Ofc Code]=(TRIM(H$7)))*(CsDJ[Account Code]=(TRIM($D79))),CsDJ[Credit])))+(SUM(IF((CRDJ[Date]=$A$4)*(CRDJ[Ofc Code]=(TRIM(H$7)))*(CRDJ[Account Code]=(TRIM($D79))),CRDJ[Credit])))+(SUM(IF((GJ[Date]=$A$4)*(GJ[Ofc Code]=(TRIM(H$7)))*(GJ[Account Code]=(TRIM($D79))),GJ[Credit])))</f>
        <v>0</v>
      </c>
      <c r="I79" s="211">
        <f t="shared" si="15"/>
        <v>0</v>
      </c>
      <c r="J79" s="211">
        <f t="array" ref="J79">(SUM(IF((CkDJ[Date]=$A$4)*(CkDJ[Ofc Code]=(TRIM(J$7)))*(CkDJ[Account Code]=(TRIM($D79))),CkDJ[Debit])))+(SUM(IF((CsDJ[Date]=$A$4)*(CsDJ[Ofc Code]=(TRIM(J$7)))*(CsDJ[Account Code]=(TRIM($D79))),CsDJ[Debit])))+(SUM(IF((CRDJ[Date]=$A$4)*(CRDJ[Ofc Code]=(TRIM(J$7)))*(CRDJ[Account Code]=(TRIM($D79))),CRDJ[Debit])))+(SUM(IF((GJ[Date]=$A$4)*(GJ[Ofc Code]=(TRIM(J$7)))*(GJ[Account Code]=(TRIM($D79))),GJ[Debit])))-(SUM(IF((CkDJ[Date]=$A$4)*(CkDJ[Ofc Code]=(TRIM(J$7)))*(CkDJ[Account Code]=(TRIM($D79))),CkDJ[Credit])))+(SUM(IF((CsDJ[Date]=$A$4)*(CsDJ[Ofc Code]=(TRIM(J$7)))*(CsDJ[Account Code]=(TRIM($D79))),CsDJ[Credit])))+(SUM(IF((CRDJ[Date]=$A$4)*(CRDJ[Ofc Code]=(TRIM(J$7)))*(CRDJ[Account Code]=(TRIM($D79))),CRDJ[Credit])))+(SUM(IF((GJ[Date]=$A$4)*(GJ[Ofc Code]=(TRIM(J$7)))*(GJ[Account Code]=(TRIM($D79))),GJ[Credit])))</f>
        <v>0</v>
      </c>
      <c r="K79" s="211">
        <f t="array" ref="K79">(SUM(IF((CkDJ[Date]=$A$4)*(CkDJ[Ofc Code]=(TRIM(K$7)))*(CkDJ[Account Code]=(TRIM($D79))),CkDJ[Debit])))+(SUM(IF((CsDJ[Date]=$A$4)*(CsDJ[Ofc Code]=(TRIM(K$7)))*(CsDJ[Account Code]=(TRIM($D79))),CsDJ[Debit])))+(SUM(IF((CRDJ[Date]=$A$4)*(CRDJ[Ofc Code]=(TRIM(K$7)))*(CRDJ[Account Code]=(TRIM($D79))),CRDJ[Debit])))+(SUM(IF((GJ[Date]=$A$4)*(GJ[Ofc Code]=(TRIM(K$7)))*(GJ[Account Code]=(TRIM($D79))),GJ[Debit])))-(SUM(IF((CkDJ[Date]=$A$4)*(CkDJ[Ofc Code]=(TRIM(K$7)))*(CkDJ[Account Code]=(TRIM($D79))),CkDJ[Credit])))+(SUM(IF((CsDJ[Date]=$A$4)*(CsDJ[Ofc Code]=(TRIM(K$7)))*(CsDJ[Account Code]=(TRIM($D79))),CsDJ[Credit])))+(SUM(IF((CRDJ[Date]=$A$4)*(CRDJ[Ofc Code]=(TRIM(K$7)))*(CRDJ[Account Code]=(TRIM($D79))),CRDJ[Credit])))+(SUM(IF((GJ[Date]=$A$4)*(GJ[Ofc Code]=(TRIM(K$7)))*(GJ[Account Code]=(TRIM($D79))),GJ[Credit])))</f>
        <v>0</v>
      </c>
      <c r="L79" s="211">
        <f t="array" ref="L79">(SUM(IF((CkDJ[Date]=$A$4)*(CkDJ[Ofc Code]=(TRIM(L$7)))*(CkDJ[Account Code]=(TRIM($D79))),CkDJ[Debit])))+(SUM(IF((CsDJ[Date]=$A$4)*(CsDJ[Ofc Code]=(TRIM(L$7)))*(CsDJ[Account Code]=(TRIM($D79))),CsDJ[Debit])))+(SUM(IF((CRDJ[Date]=$A$4)*(CRDJ[Ofc Code]=(TRIM(L$7)))*(CRDJ[Account Code]=(TRIM($D79))),CRDJ[Debit])))+(SUM(IF((GJ[Date]=$A$4)*(GJ[Ofc Code]=(TRIM(L$7)))*(GJ[Account Code]=(TRIM($D79))),GJ[Debit])))-(SUM(IF((CkDJ[Date]=$A$4)*(CkDJ[Ofc Code]=(TRIM(L$7)))*(CkDJ[Account Code]=(TRIM($D79))),CkDJ[Credit])))+(SUM(IF((CsDJ[Date]=$A$4)*(CsDJ[Ofc Code]=(TRIM(L$7)))*(CsDJ[Account Code]=(TRIM($D79))),CsDJ[Credit])))+(SUM(IF((CRDJ[Date]=$A$4)*(CRDJ[Ofc Code]=(TRIM(L$7)))*(CRDJ[Account Code]=(TRIM($D79))),CRDJ[Credit])))+(SUM(IF((GJ[Date]=$A$4)*(GJ[Ofc Code]=(TRIM(L$7)))*(GJ[Account Code]=(TRIM($D79))),GJ[Credit])))</f>
        <v>0</v>
      </c>
      <c r="M79" s="211">
        <f t="array" ref="M79">(SUM(IF((CkDJ[Date]=$A$4)*(CkDJ[Ofc Code]=(TRIM(M$7)))*(CkDJ[Account Code]=(TRIM($D79))),CkDJ[Debit])))+(SUM(IF((CsDJ[Date]=$A$4)*(CsDJ[Ofc Code]=(TRIM(M$7)))*(CsDJ[Account Code]=(TRIM($D79))),CsDJ[Debit])))+(SUM(IF((CRDJ[Date]=$A$4)*(CRDJ[Ofc Code]=(TRIM(M$7)))*(CRDJ[Account Code]=(TRIM($D79))),CRDJ[Debit])))+(SUM(IF((GJ[Date]=$A$4)*(GJ[Ofc Code]=(TRIM(M$7)))*(GJ[Account Code]=(TRIM($D79))),GJ[Debit])))-(SUM(IF((CkDJ[Date]=$A$4)*(CkDJ[Ofc Code]=(TRIM(M$7)))*(CkDJ[Account Code]=(TRIM($D79))),CkDJ[Credit])))+(SUM(IF((CsDJ[Date]=$A$4)*(CsDJ[Ofc Code]=(TRIM(M$7)))*(CsDJ[Account Code]=(TRIM($D79))),CsDJ[Credit])))+(SUM(IF((CRDJ[Date]=$A$4)*(CRDJ[Ofc Code]=(TRIM(M$7)))*(CRDJ[Account Code]=(TRIM($D79))),CRDJ[Credit])))+(SUM(IF((GJ[Date]=$A$4)*(GJ[Ofc Code]=(TRIM(M$7)))*(GJ[Account Code]=(TRIM($D79))),GJ[Credit])))</f>
        <v>0</v>
      </c>
      <c r="N79" s="211">
        <f t="shared" si="16"/>
        <v>0</v>
      </c>
      <c r="O79" s="211">
        <f t="array" ref="O79">(SUM(IF((CkDJ[Date]=$A$4)*(CkDJ[Ofc Code]=(TRIM(O$7)))*(CkDJ[Account Code]=(TRIM($D79))),CkDJ[Debit])))+(SUM(IF((CsDJ[Date]=$A$4)*(CsDJ[Ofc Code]=(TRIM(O$7)))*(CsDJ[Account Code]=(TRIM($D79))),CsDJ[Debit])))+(SUM(IF((CRDJ[Date]=$A$4)*(CRDJ[Ofc Code]=(TRIM(O$7)))*(CRDJ[Account Code]=(TRIM($D79))),CRDJ[Debit])))+(SUM(IF((GJ[Date]=$A$4)*(GJ[Ofc Code]=(TRIM(O$7)))*(GJ[Account Code]=(TRIM($D79))),GJ[Debit])))-(SUM(IF((CkDJ[Date]=$A$4)*(CkDJ[Ofc Code]=(TRIM(O$7)))*(CkDJ[Account Code]=(TRIM($D79))),CkDJ[Credit])))+(SUM(IF((CsDJ[Date]=$A$4)*(CsDJ[Ofc Code]=(TRIM(O$7)))*(CsDJ[Account Code]=(TRIM($D79))),CsDJ[Credit])))+(SUM(IF((CRDJ[Date]=$A$4)*(CRDJ[Ofc Code]=(TRIM(O$7)))*(CRDJ[Account Code]=(TRIM($D79))),CRDJ[Credit])))+(SUM(IF((GJ[Date]=$A$4)*(GJ[Ofc Code]=(TRIM(O$7)))*(GJ[Account Code]=(TRIM($D79))),GJ[Credit])))</f>
        <v>0</v>
      </c>
      <c r="P79" s="211">
        <f t="array" ref="P79">(SUM(IF((CkDJ[Date]=$A$4)*(CkDJ[Ofc Code]=(TRIM(P$7)))*(CkDJ[Account Code]=(TRIM($D79))),CkDJ[Debit])))+(SUM(IF((CsDJ[Date]=$A$4)*(CsDJ[Ofc Code]=(TRIM(P$7)))*(CsDJ[Account Code]=(TRIM($D79))),CsDJ[Debit])))+(SUM(IF((CRDJ[Date]=$A$4)*(CRDJ[Ofc Code]=(TRIM(P$7)))*(CRDJ[Account Code]=(TRIM($D79))),CRDJ[Debit])))+(SUM(IF((GJ[Date]=$A$4)*(GJ[Ofc Code]=(TRIM(P$7)))*(GJ[Account Code]=(TRIM($D79))),GJ[Debit])))-(SUM(IF((CkDJ[Date]=$A$4)*(CkDJ[Ofc Code]=(TRIM(P$7)))*(CkDJ[Account Code]=(TRIM($D79))),CkDJ[Credit])))+(SUM(IF((CsDJ[Date]=$A$4)*(CsDJ[Ofc Code]=(TRIM(P$7)))*(CsDJ[Account Code]=(TRIM($D79))),CsDJ[Credit])))+(SUM(IF((CRDJ[Date]=$A$4)*(CRDJ[Ofc Code]=(TRIM(P$7)))*(CRDJ[Account Code]=(TRIM($D79))),CRDJ[Credit])))+(SUM(IF((GJ[Date]=$A$4)*(GJ[Ofc Code]=(TRIM(P$7)))*(GJ[Account Code]=(TRIM($D79))),GJ[Credit])))</f>
        <v>0</v>
      </c>
      <c r="Q79" s="211">
        <f t="array" ref="Q79">(SUM(IF((CkDJ[Date]=$A$4)*(CkDJ[Ofc Code]=(TRIM(Q$7)))*(CkDJ[Account Code]=(TRIM($D79))),CkDJ[Debit])))+(SUM(IF((CsDJ[Date]=$A$4)*(CsDJ[Ofc Code]=(TRIM(Q$7)))*(CsDJ[Account Code]=(TRIM($D79))),CsDJ[Debit])))+(SUM(IF((CRDJ[Date]=$A$4)*(CRDJ[Ofc Code]=(TRIM(Q$7)))*(CRDJ[Account Code]=(TRIM($D79))),CRDJ[Debit])))+(SUM(IF((GJ[Date]=$A$4)*(GJ[Ofc Code]=(TRIM(Q$7)))*(GJ[Account Code]=(TRIM($D79))),GJ[Debit])))-(SUM(IF((CkDJ[Date]=$A$4)*(CkDJ[Ofc Code]=(TRIM(Q$7)))*(CkDJ[Account Code]=(TRIM($D79))),CkDJ[Credit])))+(SUM(IF((CsDJ[Date]=$A$4)*(CsDJ[Ofc Code]=(TRIM(Q$7)))*(CsDJ[Account Code]=(TRIM($D79))),CsDJ[Credit])))+(SUM(IF((CRDJ[Date]=$A$4)*(CRDJ[Ofc Code]=(TRIM(Q$7)))*(CRDJ[Account Code]=(TRIM($D79))),CRDJ[Credit])))+(SUM(IF((GJ[Date]=$A$4)*(GJ[Ofc Code]=(TRIM(Q$7)))*(GJ[Account Code]=(TRIM($D79))),GJ[Credit])))</f>
        <v>0</v>
      </c>
      <c r="R79" s="211">
        <f t="array" ref="R79">(SUM(IF((CkDJ[Date]=$A$4)*(CkDJ[Ofc Code]=(TRIM(R$7)))*(CkDJ[Account Code]=(TRIM($D79))),CkDJ[Debit])))+(SUM(IF((CsDJ[Date]=$A$4)*(CsDJ[Ofc Code]=(TRIM(R$7)))*(CsDJ[Account Code]=(TRIM($D79))),CsDJ[Debit])))+(SUM(IF((CRDJ[Date]=$A$4)*(CRDJ[Ofc Code]=(TRIM(R$7)))*(CRDJ[Account Code]=(TRIM($D79))),CRDJ[Debit])))+(SUM(IF((GJ[Date]=$A$4)*(GJ[Ofc Code]=(TRIM(R$7)))*(GJ[Account Code]=(TRIM($D79))),GJ[Debit])))-(SUM(IF((CkDJ[Date]=$A$4)*(CkDJ[Ofc Code]=(TRIM(R$7)))*(CkDJ[Account Code]=(TRIM($D79))),CkDJ[Credit])))+(SUM(IF((CsDJ[Date]=$A$4)*(CsDJ[Ofc Code]=(TRIM(R$7)))*(CsDJ[Account Code]=(TRIM($D79))),CsDJ[Credit])))+(SUM(IF((CRDJ[Date]=$A$4)*(CRDJ[Ofc Code]=(TRIM(R$7)))*(CRDJ[Account Code]=(TRIM($D79))),CRDJ[Credit])))+(SUM(IF((GJ[Date]=$A$4)*(GJ[Ofc Code]=(TRIM(R$7)))*(GJ[Account Code]=(TRIM($D79))),GJ[Credit])))</f>
        <v>0</v>
      </c>
      <c r="S79" s="211">
        <f t="array" ref="S79">(SUM(IF((CkDJ[Date]=$A$4)*(CkDJ[Ofc Code]=(TRIM(S$7)))*(CkDJ[Account Code]=(TRIM($D79))),CkDJ[Debit])))+(SUM(IF((CsDJ[Date]=$A$4)*(CsDJ[Ofc Code]=(TRIM(S$7)))*(CsDJ[Account Code]=(TRIM($D79))),CsDJ[Debit])))+(SUM(IF((CRDJ[Date]=$A$4)*(CRDJ[Ofc Code]=(TRIM(S$7)))*(CRDJ[Account Code]=(TRIM($D79))),CRDJ[Debit])))+(SUM(IF((GJ[Date]=$A$4)*(GJ[Ofc Code]=(TRIM(S$7)))*(GJ[Account Code]=(TRIM($D79))),GJ[Debit])))-(SUM(IF((CkDJ[Date]=$A$4)*(CkDJ[Ofc Code]=(TRIM(S$7)))*(CkDJ[Account Code]=(TRIM($D79))),CkDJ[Credit])))+(SUM(IF((CsDJ[Date]=$A$4)*(CsDJ[Ofc Code]=(TRIM(S$7)))*(CsDJ[Account Code]=(TRIM($D79))),CsDJ[Credit])))+(SUM(IF((CRDJ[Date]=$A$4)*(CRDJ[Ofc Code]=(TRIM(S$7)))*(CRDJ[Account Code]=(TRIM($D79))),CRDJ[Credit])))+(SUM(IF((GJ[Date]=$A$4)*(GJ[Ofc Code]=(TRIM(S$7)))*(GJ[Account Code]=(TRIM($D79))),GJ[Credit])))</f>
        <v>0</v>
      </c>
      <c r="T79" s="211">
        <f t="shared" si="17"/>
        <v>0</v>
      </c>
      <c r="U79" s="211">
        <f t="shared" si="18"/>
        <v>0</v>
      </c>
    </row>
    <row r="80" spans="1:22" ht="15">
      <c r="A80" s="212">
        <f t="shared" si="19"/>
        <v>22</v>
      </c>
      <c r="B80" s="214" t="s">
        <v>756</v>
      </c>
      <c r="C80" s="194" t="str">
        <f t="shared" si="14"/>
        <v>Repairs and Maintenance-Machinery and Equipment - Construction and Heavy Equipment</v>
      </c>
      <c r="D80" s="207" t="s">
        <v>258</v>
      </c>
      <c r="E80" s="211">
        <f t="array" ref="E80">(SUM(IF((CkDJ[Date]=$A$4)*(CkDJ[Ofc Code]=(TRIM(E$7)))*(CkDJ[Account Code]=(TRIM($D80))),CkDJ[Debit])))+(SUM(IF((CsDJ[Date]=$A$4)*(CsDJ[Ofc Code]=(TRIM(E$7)))*(CsDJ[Account Code]=(TRIM($D80))),CsDJ[Debit])))+(SUM(IF((CRDJ[Date]=$A$4)*(CRDJ[Ofc Code]=(TRIM(E$7)))*(CRDJ[Account Code]=(TRIM($D80))),CRDJ[Debit])))+(SUM(IF((GJ[Date]=$A$4)*(GJ[Ofc Code]=(TRIM(E$7)))*(GJ[Account Code]=(TRIM($D80))),GJ[Debit])))-(SUM(IF((CkDJ[Date]=$A$4)*(CkDJ[Ofc Code]=(TRIM(E$7)))*(CkDJ[Account Code]=(TRIM($D80))),CkDJ[Credit])))+(SUM(IF((CsDJ[Date]=$A$4)*(CsDJ[Ofc Code]=(TRIM(E$7)))*(CsDJ[Account Code]=(TRIM($D80))),CsDJ[Credit])))+(SUM(IF((CRDJ[Date]=$A$4)*(CRDJ[Ofc Code]=(TRIM(E$7)))*(CRDJ[Account Code]=(TRIM($D80))),CRDJ[Credit])))+(SUM(IF((GJ[Date]=$A$4)*(GJ[Ofc Code]=(TRIM(E$7)))*(GJ[Account Code]=(TRIM($D80))),GJ[Credit])))</f>
        <v>0</v>
      </c>
      <c r="F80" s="211">
        <f t="array" ref="F80">(SUM(IF((CkDJ[Date]=$A$4)*(CkDJ[Ofc Code]=(TRIM(F$7)))*(CkDJ[Account Code]=(TRIM($D80))),CkDJ[Debit])))+(SUM(IF((CsDJ[Date]=$A$4)*(CsDJ[Ofc Code]=(TRIM(F$7)))*(CsDJ[Account Code]=(TRIM($D80))),CsDJ[Debit])))+(SUM(IF((CRDJ[Date]=$A$4)*(CRDJ[Ofc Code]=(TRIM(F$7)))*(CRDJ[Account Code]=(TRIM($D80))),CRDJ[Debit])))+(SUM(IF((GJ[Date]=$A$4)*(GJ[Ofc Code]=(TRIM(F$7)))*(GJ[Account Code]=(TRIM($D80))),GJ[Debit])))-(SUM(IF((CkDJ[Date]=$A$4)*(CkDJ[Ofc Code]=(TRIM(F$7)))*(CkDJ[Account Code]=(TRIM($D80))),CkDJ[Credit])))+(SUM(IF((CsDJ[Date]=$A$4)*(CsDJ[Ofc Code]=(TRIM(F$7)))*(CsDJ[Account Code]=(TRIM($D80))),CsDJ[Credit])))+(SUM(IF((CRDJ[Date]=$A$4)*(CRDJ[Ofc Code]=(TRIM(F$7)))*(CRDJ[Account Code]=(TRIM($D80))),CRDJ[Credit])))+(SUM(IF((GJ[Date]=$A$4)*(GJ[Ofc Code]=(TRIM(F$7)))*(GJ[Account Code]=(TRIM($D80))),GJ[Credit])))</f>
        <v>0</v>
      </c>
      <c r="G80" s="211">
        <f t="array" ref="G80">(SUM(IF((CkDJ[Date]=$A$4)*(CkDJ[Ofc Code]=(TRIM(G$7)))*(CkDJ[Account Code]=(TRIM($D80))),CkDJ[Debit])))+(SUM(IF((CsDJ[Date]=$A$4)*(CsDJ[Ofc Code]=(TRIM(G$7)))*(CsDJ[Account Code]=(TRIM($D80))),CsDJ[Debit])))+(SUM(IF((CRDJ[Date]=$A$4)*(CRDJ[Ofc Code]=(TRIM(G$7)))*(CRDJ[Account Code]=(TRIM($D80))),CRDJ[Debit])))+(SUM(IF((GJ[Date]=$A$4)*(GJ[Ofc Code]=(TRIM(G$7)))*(GJ[Account Code]=(TRIM($D80))),GJ[Debit])))-(SUM(IF((CkDJ[Date]=$A$4)*(CkDJ[Ofc Code]=(TRIM(G$7)))*(CkDJ[Account Code]=(TRIM($D80))),CkDJ[Credit])))+(SUM(IF((CsDJ[Date]=$A$4)*(CsDJ[Ofc Code]=(TRIM(G$7)))*(CsDJ[Account Code]=(TRIM($D80))),CsDJ[Credit])))+(SUM(IF((CRDJ[Date]=$A$4)*(CRDJ[Ofc Code]=(TRIM(G$7)))*(CRDJ[Account Code]=(TRIM($D80))),CRDJ[Credit])))+(SUM(IF((GJ[Date]=$A$4)*(GJ[Ofc Code]=(TRIM(G$7)))*(GJ[Account Code]=(TRIM($D80))),GJ[Credit])))</f>
        <v>0</v>
      </c>
      <c r="H80" s="211">
        <f t="array" ref="H80">(SUM(IF((CkDJ[Date]=$A$4)*(CkDJ[Ofc Code]=(TRIM(H$7)))*(CkDJ[Account Code]=(TRIM($D80))),CkDJ[Debit])))+(SUM(IF((CsDJ[Date]=$A$4)*(CsDJ[Ofc Code]=(TRIM(H$7)))*(CsDJ[Account Code]=(TRIM($D80))),CsDJ[Debit])))+(SUM(IF((CRDJ[Date]=$A$4)*(CRDJ[Ofc Code]=(TRIM(H$7)))*(CRDJ[Account Code]=(TRIM($D80))),CRDJ[Debit])))+(SUM(IF((GJ[Date]=$A$4)*(GJ[Ofc Code]=(TRIM(H$7)))*(GJ[Account Code]=(TRIM($D80))),GJ[Debit])))-(SUM(IF((CkDJ[Date]=$A$4)*(CkDJ[Ofc Code]=(TRIM(H$7)))*(CkDJ[Account Code]=(TRIM($D80))),CkDJ[Credit])))+(SUM(IF((CsDJ[Date]=$A$4)*(CsDJ[Ofc Code]=(TRIM(H$7)))*(CsDJ[Account Code]=(TRIM($D80))),CsDJ[Credit])))+(SUM(IF((CRDJ[Date]=$A$4)*(CRDJ[Ofc Code]=(TRIM(H$7)))*(CRDJ[Account Code]=(TRIM($D80))),CRDJ[Credit])))+(SUM(IF((GJ[Date]=$A$4)*(GJ[Ofc Code]=(TRIM(H$7)))*(GJ[Account Code]=(TRIM($D80))),GJ[Credit])))</f>
        <v>0</v>
      </c>
      <c r="I80" s="211">
        <f t="shared" si="15"/>
        <v>0</v>
      </c>
      <c r="J80" s="211">
        <f t="array" ref="J80">(SUM(IF((CkDJ[Date]=$A$4)*(CkDJ[Ofc Code]=(TRIM(J$7)))*(CkDJ[Account Code]=(TRIM($D80))),CkDJ[Debit])))+(SUM(IF((CsDJ[Date]=$A$4)*(CsDJ[Ofc Code]=(TRIM(J$7)))*(CsDJ[Account Code]=(TRIM($D80))),CsDJ[Debit])))+(SUM(IF((CRDJ[Date]=$A$4)*(CRDJ[Ofc Code]=(TRIM(J$7)))*(CRDJ[Account Code]=(TRIM($D80))),CRDJ[Debit])))+(SUM(IF((GJ[Date]=$A$4)*(GJ[Ofc Code]=(TRIM(J$7)))*(GJ[Account Code]=(TRIM($D80))),GJ[Debit])))-(SUM(IF((CkDJ[Date]=$A$4)*(CkDJ[Ofc Code]=(TRIM(J$7)))*(CkDJ[Account Code]=(TRIM($D80))),CkDJ[Credit])))+(SUM(IF((CsDJ[Date]=$A$4)*(CsDJ[Ofc Code]=(TRIM(J$7)))*(CsDJ[Account Code]=(TRIM($D80))),CsDJ[Credit])))+(SUM(IF((CRDJ[Date]=$A$4)*(CRDJ[Ofc Code]=(TRIM(J$7)))*(CRDJ[Account Code]=(TRIM($D80))),CRDJ[Credit])))+(SUM(IF((GJ[Date]=$A$4)*(GJ[Ofc Code]=(TRIM(J$7)))*(GJ[Account Code]=(TRIM($D80))),GJ[Credit])))</f>
        <v>0</v>
      </c>
      <c r="K80" s="211">
        <f t="array" ref="K80">(SUM(IF((CkDJ[Date]=$A$4)*(CkDJ[Ofc Code]=(TRIM(K$7)))*(CkDJ[Account Code]=(TRIM($D80))),CkDJ[Debit])))+(SUM(IF((CsDJ[Date]=$A$4)*(CsDJ[Ofc Code]=(TRIM(K$7)))*(CsDJ[Account Code]=(TRIM($D80))),CsDJ[Debit])))+(SUM(IF((CRDJ[Date]=$A$4)*(CRDJ[Ofc Code]=(TRIM(K$7)))*(CRDJ[Account Code]=(TRIM($D80))),CRDJ[Debit])))+(SUM(IF((GJ[Date]=$A$4)*(GJ[Ofc Code]=(TRIM(K$7)))*(GJ[Account Code]=(TRIM($D80))),GJ[Debit])))-(SUM(IF((CkDJ[Date]=$A$4)*(CkDJ[Ofc Code]=(TRIM(K$7)))*(CkDJ[Account Code]=(TRIM($D80))),CkDJ[Credit])))+(SUM(IF((CsDJ[Date]=$A$4)*(CsDJ[Ofc Code]=(TRIM(K$7)))*(CsDJ[Account Code]=(TRIM($D80))),CsDJ[Credit])))+(SUM(IF((CRDJ[Date]=$A$4)*(CRDJ[Ofc Code]=(TRIM(K$7)))*(CRDJ[Account Code]=(TRIM($D80))),CRDJ[Credit])))+(SUM(IF((GJ[Date]=$A$4)*(GJ[Ofc Code]=(TRIM(K$7)))*(GJ[Account Code]=(TRIM($D80))),GJ[Credit])))</f>
        <v>0</v>
      </c>
      <c r="L80" s="211">
        <f t="array" ref="L80">(SUM(IF((CkDJ[Date]=$A$4)*(CkDJ[Ofc Code]=(TRIM(L$7)))*(CkDJ[Account Code]=(TRIM($D80))),CkDJ[Debit])))+(SUM(IF((CsDJ[Date]=$A$4)*(CsDJ[Ofc Code]=(TRIM(L$7)))*(CsDJ[Account Code]=(TRIM($D80))),CsDJ[Debit])))+(SUM(IF((CRDJ[Date]=$A$4)*(CRDJ[Ofc Code]=(TRIM(L$7)))*(CRDJ[Account Code]=(TRIM($D80))),CRDJ[Debit])))+(SUM(IF((GJ[Date]=$A$4)*(GJ[Ofc Code]=(TRIM(L$7)))*(GJ[Account Code]=(TRIM($D80))),GJ[Debit])))-(SUM(IF((CkDJ[Date]=$A$4)*(CkDJ[Ofc Code]=(TRIM(L$7)))*(CkDJ[Account Code]=(TRIM($D80))),CkDJ[Credit])))+(SUM(IF((CsDJ[Date]=$A$4)*(CsDJ[Ofc Code]=(TRIM(L$7)))*(CsDJ[Account Code]=(TRIM($D80))),CsDJ[Credit])))+(SUM(IF((CRDJ[Date]=$A$4)*(CRDJ[Ofc Code]=(TRIM(L$7)))*(CRDJ[Account Code]=(TRIM($D80))),CRDJ[Credit])))+(SUM(IF((GJ[Date]=$A$4)*(GJ[Ofc Code]=(TRIM(L$7)))*(GJ[Account Code]=(TRIM($D80))),GJ[Credit])))</f>
        <v>0</v>
      </c>
      <c r="M80" s="211">
        <f t="array" ref="M80">(SUM(IF((CkDJ[Date]=$A$4)*(CkDJ[Ofc Code]=(TRIM(M$7)))*(CkDJ[Account Code]=(TRIM($D80))),CkDJ[Debit])))+(SUM(IF((CsDJ[Date]=$A$4)*(CsDJ[Ofc Code]=(TRIM(M$7)))*(CsDJ[Account Code]=(TRIM($D80))),CsDJ[Debit])))+(SUM(IF((CRDJ[Date]=$A$4)*(CRDJ[Ofc Code]=(TRIM(M$7)))*(CRDJ[Account Code]=(TRIM($D80))),CRDJ[Debit])))+(SUM(IF((GJ[Date]=$A$4)*(GJ[Ofc Code]=(TRIM(M$7)))*(GJ[Account Code]=(TRIM($D80))),GJ[Debit])))-(SUM(IF((CkDJ[Date]=$A$4)*(CkDJ[Ofc Code]=(TRIM(M$7)))*(CkDJ[Account Code]=(TRIM($D80))),CkDJ[Credit])))+(SUM(IF((CsDJ[Date]=$A$4)*(CsDJ[Ofc Code]=(TRIM(M$7)))*(CsDJ[Account Code]=(TRIM($D80))),CsDJ[Credit])))+(SUM(IF((CRDJ[Date]=$A$4)*(CRDJ[Ofc Code]=(TRIM(M$7)))*(CRDJ[Account Code]=(TRIM($D80))),CRDJ[Credit])))+(SUM(IF((GJ[Date]=$A$4)*(GJ[Ofc Code]=(TRIM(M$7)))*(GJ[Account Code]=(TRIM($D80))),GJ[Credit])))</f>
        <v>0</v>
      </c>
      <c r="N80" s="211">
        <f t="shared" si="16"/>
        <v>0</v>
      </c>
      <c r="O80" s="211">
        <f t="array" ref="O80">(SUM(IF((CkDJ[Date]=$A$4)*(CkDJ[Ofc Code]=(TRIM(O$7)))*(CkDJ[Account Code]=(TRIM($D80))),CkDJ[Debit])))+(SUM(IF((CsDJ[Date]=$A$4)*(CsDJ[Ofc Code]=(TRIM(O$7)))*(CsDJ[Account Code]=(TRIM($D80))),CsDJ[Debit])))+(SUM(IF((CRDJ[Date]=$A$4)*(CRDJ[Ofc Code]=(TRIM(O$7)))*(CRDJ[Account Code]=(TRIM($D80))),CRDJ[Debit])))+(SUM(IF((GJ[Date]=$A$4)*(GJ[Ofc Code]=(TRIM(O$7)))*(GJ[Account Code]=(TRIM($D80))),GJ[Debit])))-(SUM(IF((CkDJ[Date]=$A$4)*(CkDJ[Ofc Code]=(TRIM(O$7)))*(CkDJ[Account Code]=(TRIM($D80))),CkDJ[Credit])))+(SUM(IF((CsDJ[Date]=$A$4)*(CsDJ[Ofc Code]=(TRIM(O$7)))*(CsDJ[Account Code]=(TRIM($D80))),CsDJ[Credit])))+(SUM(IF((CRDJ[Date]=$A$4)*(CRDJ[Ofc Code]=(TRIM(O$7)))*(CRDJ[Account Code]=(TRIM($D80))),CRDJ[Credit])))+(SUM(IF((GJ[Date]=$A$4)*(GJ[Ofc Code]=(TRIM(O$7)))*(GJ[Account Code]=(TRIM($D80))),GJ[Credit])))</f>
        <v>0</v>
      </c>
      <c r="P80" s="211">
        <f t="array" ref="P80">(SUM(IF((CkDJ[Date]=$A$4)*(CkDJ[Ofc Code]=(TRIM(P$7)))*(CkDJ[Account Code]=(TRIM($D80))),CkDJ[Debit])))+(SUM(IF((CsDJ[Date]=$A$4)*(CsDJ[Ofc Code]=(TRIM(P$7)))*(CsDJ[Account Code]=(TRIM($D80))),CsDJ[Debit])))+(SUM(IF((CRDJ[Date]=$A$4)*(CRDJ[Ofc Code]=(TRIM(P$7)))*(CRDJ[Account Code]=(TRIM($D80))),CRDJ[Debit])))+(SUM(IF((GJ[Date]=$A$4)*(GJ[Ofc Code]=(TRIM(P$7)))*(GJ[Account Code]=(TRIM($D80))),GJ[Debit])))-(SUM(IF((CkDJ[Date]=$A$4)*(CkDJ[Ofc Code]=(TRIM(P$7)))*(CkDJ[Account Code]=(TRIM($D80))),CkDJ[Credit])))+(SUM(IF((CsDJ[Date]=$A$4)*(CsDJ[Ofc Code]=(TRIM(P$7)))*(CsDJ[Account Code]=(TRIM($D80))),CsDJ[Credit])))+(SUM(IF((CRDJ[Date]=$A$4)*(CRDJ[Ofc Code]=(TRIM(P$7)))*(CRDJ[Account Code]=(TRIM($D80))),CRDJ[Credit])))+(SUM(IF((GJ[Date]=$A$4)*(GJ[Ofc Code]=(TRIM(P$7)))*(GJ[Account Code]=(TRIM($D80))),GJ[Credit])))</f>
        <v>0</v>
      </c>
      <c r="Q80" s="211">
        <f t="array" ref="Q80">(SUM(IF((CkDJ[Date]=$A$4)*(CkDJ[Ofc Code]=(TRIM(Q$7)))*(CkDJ[Account Code]=(TRIM($D80))),CkDJ[Debit])))+(SUM(IF((CsDJ[Date]=$A$4)*(CsDJ[Ofc Code]=(TRIM(Q$7)))*(CsDJ[Account Code]=(TRIM($D80))),CsDJ[Debit])))+(SUM(IF((CRDJ[Date]=$A$4)*(CRDJ[Ofc Code]=(TRIM(Q$7)))*(CRDJ[Account Code]=(TRIM($D80))),CRDJ[Debit])))+(SUM(IF((GJ[Date]=$A$4)*(GJ[Ofc Code]=(TRIM(Q$7)))*(GJ[Account Code]=(TRIM($D80))),GJ[Debit])))-(SUM(IF((CkDJ[Date]=$A$4)*(CkDJ[Ofc Code]=(TRIM(Q$7)))*(CkDJ[Account Code]=(TRIM($D80))),CkDJ[Credit])))+(SUM(IF((CsDJ[Date]=$A$4)*(CsDJ[Ofc Code]=(TRIM(Q$7)))*(CsDJ[Account Code]=(TRIM($D80))),CsDJ[Credit])))+(SUM(IF((CRDJ[Date]=$A$4)*(CRDJ[Ofc Code]=(TRIM(Q$7)))*(CRDJ[Account Code]=(TRIM($D80))),CRDJ[Credit])))+(SUM(IF((GJ[Date]=$A$4)*(GJ[Ofc Code]=(TRIM(Q$7)))*(GJ[Account Code]=(TRIM($D80))),GJ[Credit])))</f>
        <v>0</v>
      </c>
      <c r="R80" s="211">
        <f t="array" ref="R80">(SUM(IF((CkDJ[Date]=$A$4)*(CkDJ[Ofc Code]=(TRIM(R$7)))*(CkDJ[Account Code]=(TRIM($D80))),CkDJ[Debit])))+(SUM(IF((CsDJ[Date]=$A$4)*(CsDJ[Ofc Code]=(TRIM(R$7)))*(CsDJ[Account Code]=(TRIM($D80))),CsDJ[Debit])))+(SUM(IF((CRDJ[Date]=$A$4)*(CRDJ[Ofc Code]=(TRIM(R$7)))*(CRDJ[Account Code]=(TRIM($D80))),CRDJ[Debit])))+(SUM(IF((GJ[Date]=$A$4)*(GJ[Ofc Code]=(TRIM(R$7)))*(GJ[Account Code]=(TRIM($D80))),GJ[Debit])))-(SUM(IF((CkDJ[Date]=$A$4)*(CkDJ[Ofc Code]=(TRIM(R$7)))*(CkDJ[Account Code]=(TRIM($D80))),CkDJ[Credit])))+(SUM(IF((CsDJ[Date]=$A$4)*(CsDJ[Ofc Code]=(TRIM(R$7)))*(CsDJ[Account Code]=(TRIM($D80))),CsDJ[Credit])))+(SUM(IF((CRDJ[Date]=$A$4)*(CRDJ[Ofc Code]=(TRIM(R$7)))*(CRDJ[Account Code]=(TRIM($D80))),CRDJ[Credit])))+(SUM(IF((GJ[Date]=$A$4)*(GJ[Ofc Code]=(TRIM(R$7)))*(GJ[Account Code]=(TRIM($D80))),GJ[Credit])))</f>
        <v>0</v>
      </c>
      <c r="S80" s="211">
        <f t="array" ref="S80">(SUM(IF((CkDJ[Date]=$A$4)*(CkDJ[Ofc Code]=(TRIM(S$7)))*(CkDJ[Account Code]=(TRIM($D80))),CkDJ[Debit])))+(SUM(IF((CsDJ[Date]=$A$4)*(CsDJ[Ofc Code]=(TRIM(S$7)))*(CsDJ[Account Code]=(TRIM($D80))),CsDJ[Debit])))+(SUM(IF((CRDJ[Date]=$A$4)*(CRDJ[Ofc Code]=(TRIM(S$7)))*(CRDJ[Account Code]=(TRIM($D80))),CRDJ[Debit])))+(SUM(IF((GJ[Date]=$A$4)*(GJ[Ofc Code]=(TRIM(S$7)))*(GJ[Account Code]=(TRIM($D80))),GJ[Debit])))-(SUM(IF((CkDJ[Date]=$A$4)*(CkDJ[Ofc Code]=(TRIM(S$7)))*(CkDJ[Account Code]=(TRIM($D80))),CkDJ[Credit])))+(SUM(IF((CsDJ[Date]=$A$4)*(CsDJ[Ofc Code]=(TRIM(S$7)))*(CsDJ[Account Code]=(TRIM($D80))),CsDJ[Credit])))+(SUM(IF((CRDJ[Date]=$A$4)*(CRDJ[Ofc Code]=(TRIM(S$7)))*(CRDJ[Account Code]=(TRIM($D80))),CRDJ[Credit])))+(SUM(IF((GJ[Date]=$A$4)*(GJ[Ofc Code]=(TRIM(S$7)))*(GJ[Account Code]=(TRIM($D80))),GJ[Credit])))</f>
        <v>0</v>
      </c>
      <c r="T80" s="211">
        <f t="shared" si="17"/>
        <v>0</v>
      </c>
      <c r="U80" s="211">
        <f t="shared" si="18"/>
        <v>0</v>
      </c>
    </row>
    <row r="81" spans="1:21" ht="15">
      <c r="A81" s="212">
        <f t="shared" si="19"/>
        <v>23</v>
      </c>
      <c r="B81" s="194" t="s">
        <v>756</v>
      </c>
      <c r="C81" s="194" t="str">
        <f t="shared" si="14"/>
        <v>Repairs and Maintenance-Machinery and Equipment - Other Machinery and Equipment</v>
      </c>
      <c r="D81" s="207">
        <v>840</v>
      </c>
      <c r="E81" s="211">
        <f t="array" ref="E81">(SUM(IF((CkDJ[Date]=$A$4)*(CkDJ[Ofc Code]=(TRIM(E$7)))*(CkDJ[Account Code]=(TRIM($D81))),CkDJ[Debit])))+(SUM(IF((CsDJ[Date]=$A$4)*(CsDJ[Ofc Code]=(TRIM(E$7)))*(CsDJ[Account Code]=(TRIM($D81))),CsDJ[Debit])))+(SUM(IF((CRDJ[Date]=$A$4)*(CRDJ[Ofc Code]=(TRIM(E$7)))*(CRDJ[Account Code]=(TRIM($D81))),CRDJ[Debit])))+(SUM(IF((GJ[Date]=$A$4)*(GJ[Ofc Code]=(TRIM(E$7)))*(GJ[Account Code]=(TRIM($D81))),GJ[Debit])))-(SUM(IF((CkDJ[Date]=$A$4)*(CkDJ[Ofc Code]=(TRIM(E$7)))*(CkDJ[Account Code]=(TRIM($D81))),CkDJ[Credit])))+(SUM(IF((CsDJ[Date]=$A$4)*(CsDJ[Ofc Code]=(TRIM(E$7)))*(CsDJ[Account Code]=(TRIM($D81))),CsDJ[Credit])))+(SUM(IF((CRDJ[Date]=$A$4)*(CRDJ[Ofc Code]=(TRIM(E$7)))*(CRDJ[Account Code]=(TRIM($D81))),CRDJ[Credit])))+(SUM(IF((GJ[Date]=$A$4)*(GJ[Ofc Code]=(TRIM(E$7)))*(GJ[Account Code]=(TRIM($D81))),GJ[Credit])))</f>
        <v>0</v>
      </c>
      <c r="F81" s="211">
        <f t="array" ref="F81">(SUM(IF((CkDJ[Date]=$A$4)*(CkDJ[Ofc Code]=(TRIM(F$7)))*(CkDJ[Account Code]=(TRIM($D81))),CkDJ[Debit])))+(SUM(IF((CsDJ[Date]=$A$4)*(CsDJ[Ofc Code]=(TRIM(F$7)))*(CsDJ[Account Code]=(TRIM($D81))),CsDJ[Debit])))+(SUM(IF((CRDJ[Date]=$A$4)*(CRDJ[Ofc Code]=(TRIM(F$7)))*(CRDJ[Account Code]=(TRIM($D81))),CRDJ[Debit])))+(SUM(IF((GJ[Date]=$A$4)*(GJ[Ofc Code]=(TRIM(F$7)))*(GJ[Account Code]=(TRIM($D81))),GJ[Debit])))-(SUM(IF((CkDJ[Date]=$A$4)*(CkDJ[Ofc Code]=(TRIM(F$7)))*(CkDJ[Account Code]=(TRIM($D81))),CkDJ[Credit])))+(SUM(IF((CsDJ[Date]=$A$4)*(CsDJ[Ofc Code]=(TRIM(F$7)))*(CsDJ[Account Code]=(TRIM($D81))),CsDJ[Credit])))+(SUM(IF((CRDJ[Date]=$A$4)*(CRDJ[Ofc Code]=(TRIM(F$7)))*(CRDJ[Account Code]=(TRIM($D81))),CRDJ[Credit])))+(SUM(IF((GJ[Date]=$A$4)*(GJ[Ofc Code]=(TRIM(F$7)))*(GJ[Account Code]=(TRIM($D81))),GJ[Credit])))</f>
        <v>0</v>
      </c>
      <c r="G81" s="211">
        <f t="array" ref="G81">(SUM(IF((CkDJ[Date]=$A$4)*(CkDJ[Ofc Code]=(TRIM(G$7)))*(CkDJ[Account Code]=(TRIM($D81))),CkDJ[Debit])))+(SUM(IF((CsDJ[Date]=$A$4)*(CsDJ[Ofc Code]=(TRIM(G$7)))*(CsDJ[Account Code]=(TRIM($D81))),CsDJ[Debit])))+(SUM(IF((CRDJ[Date]=$A$4)*(CRDJ[Ofc Code]=(TRIM(G$7)))*(CRDJ[Account Code]=(TRIM($D81))),CRDJ[Debit])))+(SUM(IF((GJ[Date]=$A$4)*(GJ[Ofc Code]=(TRIM(G$7)))*(GJ[Account Code]=(TRIM($D81))),GJ[Debit])))-(SUM(IF((CkDJ[Date]=$A$4)*(CkDJ[Ofc Code]=(TRIM(G$7)))*(CkDJ[Account Code]=(TRIM($D81))),CkDJ[Credit])))+(SUM(IF((CsDJ[Date]=$A$4)*(CsDJ[Ofc Code]=(TRIM(G$7)))*(CsDJ[Account Code]=(TRIM($D81))),CsDJ[Credit])))+(SUM(IF((CRDJ[Date]=$A$4)*(CRDJ[Ofc Code]=(TRIM(G$7)))*(CRDJ[Account Code]=(TRIM($D81))),CRDJ[Credit])))+(SUM(IF((GJ[Date]=$A$4)*(GJ[Ofc Code]=(TRIM(G$7)))*(GJ[Account Code]=(TRIM($D81))),GJ[Credit])))</f>
        <v>0</v>
      </c>
      <c r="H81" s="211">
        <f t="array" ref="H81">(SUM(IF((CkDJ[Date]=$A$4)*(CkDJ[Ofc Code]=(TRIM(H$7)))*(CkDJ[Account Code]=(TRIM($D81))),CkDJ[Debit])))+(SUM(IF((CsDJ[Date]=$A$4)*(CsDJ[Ofc Code]=(TRIM(H$7)))*(CsDJ[Account Code]=(TRIM($D81))),CsDJ[Debit])))+(SUM(IF((CRDJ[Date]=$A$4)*(CRDJ[Ofc Code]=(TRIM(H$7)))*(CRDJ[Account Code]=(TRIM($D81))),CRDJ[Debit])))+(SUM(IF((GJ[Date]=$A$4)*(GJ[Ofc Code]=(TRIM(H$7)))*(GJ[Account Code]=(TRIM($D81))),GJ[Debit])))-(SUM(IF((CkDJ[Date]=$A$4)*(CkDJ[Ofc Code]=(TRIM(H$7)))*(CkDJ[Account Code]=(TRIM($D81))),CkDJ[Credit])))+(SUM(IF((CsDJ[Date]=$A$4)*(CsDJ[Ofc Code]=(TRIM(H$7)))*(CsDJ[Account Code]=(TRIM($D81))),CsDJ[Credit])))+(SUM(IF((CRDJ[Date]=$A$4)*(CRDJ[Ofc Code]=(TRIM(H$7)))*(CRDJ[Account Code]=(TRIM($D81))),CRDJ[Credit])))+(SUM(IF((GJ[Date]=$A$4)*(GJ[Ofc Code]=(TRIM(H$7)))*(GJ[Account Code]=(TRIM($D81))),GJ[Credit])))</f>
        <v>0</v>
      </c>
      <c r="I81" s="211">
        <f t="shared" si="15"/>
        <v>0</v>
      </c>
      <c r="J81" s="211">
        <f t="array" ref="J81">(SUM(IF((CkDJ[Date]=$A$4)*(CkDJ[Ofc Code]=(TRIM(J$7)))*(CkDJ[Account Code]=(TRIM($D81))),CkDJ[Debit])))+(SUM(IF((CsDJ[Date]=$A$4)*(CsDJ[Ofc Code]=(TRIM(J$7)))*(CsDJ[Account Code]=(TRIM($D81))),CsDJ[Debit])))+(SUM(IF((CRDJ[Date]=$A$4)*(CRDJ[Ofc Code]=(TRIM(J$7)))*(CRDJ[Account Code]=(TRIM($D81))),CRDJ[Debit])))+(SUM(IF((GJ[Date]=$A$4)*(GJ[Ofc Code]=(TRIM(J$7)))*(GJ[Account Code]=(TRIM($D81))),GJ[Debit])))-(SUM(IF((CkDJ[Date]=$A$4)*(CkDJ[Ofc Code]=(TRIM(J$7)))*(CkDJ[Account Code]=(TRIM($D81))),CkDJ[Credit])))+(SUM(IF((CsDJ[Date]=$A$4)*(CsDJ[Ofc Code]=(TRIM(J$7)))*(CsDJ[Account Code]=(TRIM($D81))),CsDJ[Credit])))+(SUM(IF((CRDJ[Date]=$A$4)*(CRDJ[Ofc Code]=(TRIM(J$7)))*(CRDJ[Account Code]=(TRIM($D81))),CRDJ[Credit])))+(SUM(IF((GJ[Date]=$A$4)*(GJ[Ofc Code]=(TRIM(J$7)))*(GJ[Account Code]=(TRIM($D81))),GJ[Credit])))</f>
        <v>0</v>
      </c>
      <c r="K81" s="211">
        <f t="array" ref="K81">(SUM(IF((CkDJ[Date]=$A$4)*(CkDJ[Ofc Code]=(TRIM(K$7)))*(CkDJ[Account Code]=(TRIM($D81))),CkDJ[Debit])))+(SUM(IF((CsDJ[Date]=$A$4)*(CsDJ[Ofc Code]=(TRIM(K$7)))*(CsDJ[Account Code]=(TRIM($D81))),CsDJ[Debit])))+(SUM(IF((CRDJ[Date]=$A$4)*(CRDJ[Ofc Code]=(TRIM(K$7)))*(CRDJ[Account Code]=(TRIM($D81))),CRDJ[Debit])))+(SUM(IF((GJ[Date]=$A$4)*(GJ[Ofc Code]=(TRIM(K$7)))*(GJ[Account Code]=(TRIM($D81))),GJ[Debit])))-(SUM(IF((CkDJ[Date]=$A$4)*(CkDJ[Ofc Code]=(TRIM(K$7)))*(CkDJ[Account Code]=(TRIM($D81))),CkDJ[Credit])))+(SUM(IF((CsDJ[Date]=$A$4)*(CsDJ[Ofc Code]=(TRIM(K$7)))*(CsDJ[Account Code]=(TRIM($D81))),CsDJ[Credit])))+(SUM(IF((CRDJ[Date]=$A$4)*(CRDJ[Ofc Code]=(TRIM(K$7)))*(CRDJ[Account Code]=(TRIM($D81))),CRDJ[Credit])))+(SUM(IF((GJ[Date]=$A$4)*(GJ[Ofc Code]=(TRIM(K$7)))*(GJ[Account Code]=(TRIM($D81))),GJ[Credit])))</f>
        <v>0</v>
      </c>
      <c r="L81" s="211">
        <f t="array" ref="L81">(SUM(IF((CkDJ[Date]=$A$4)*(CkDJ[Ofc Code]=(TRIM(L$7)))*(CkDJ[Account Code]=(TRIM($D81))),CkDJ[Debit])))+(SUM(IF((CsDJ[Date]=$A$4)*(CsDJ[Ofc Code]=(TRIM(L$7)))*(CsDJ[Account Code]=(TRIM($D81))),CsDJ[Debit])))+(SUM(IF((CRDJ[Date]=$A$4)*(CRDJ[Ofc Code]=(TRIM(L$7)))*(CRDJ[Account Code]=(TRIM($D81))),CRDJ[Debit])))+(SUM(IF((GJ[Date]=$A$4)*(GJ[Ofc Code]=(TRIM(L$7)))*(GJ[Account Code]=(TRIM($D81))),GJ[Debit])))-(SUM(IF((CkDJ[Date]=$A$4)*(CkDJ[Ofc Code]=(TRIM(L$7)))*(CkDJ[Account Code]=(TRIM($D81))),CkDJ[Credit])))+(SUM(IF((CsDJ[Date]=$A$4)*(CsDJ[Ofc Code]=(TRIM(L$7)))*(CsDJ[Account Code]=(TRIM($D81))),CsDJ[Credit])))+(SUM(IF((CRDJ[Date]=$A$4)*(CRDJ[Ofc Code]=(TRIM(L$7)))*(CRDJ[Account Code]=(TRIM($D81))),CRDJ[Credit])))+(SUM(IF((GJ[Date]=$A$4)*(GJ[Ofc Code]=(TRIM(L$7)))*(GJ[Account Code]=(TRIM($D81))),GJ[Credit])))</f>
        <v>0</v>
      </c>
      <c r="M81" s="211">
        <f t="array" ref="M81">(SUM(IF((CkDJ[Date]=$A$4)*(CkDJ[Ofc Code]=(TRIM(M$7)))*(CkDJ[Account Code]=(TRIM($D81))),CkDJ[Debit])))+(SUM(IF((CsDJ[Date]=$A$4)*(CsDJ[Ofc Code]=(TRIM(M$7)))*(CsDJ[Account Code]=(TRIM($D81))),CsDJ[Debit])))+(SUM(IF((CRDJ[Date]=$A$4)*(CRDJ[Ofc Code]=(TRIM(M$7)))*(CRDJ[Account Code]=(TRIM($D81))),CRDJ[Debit])))+(SUM(IF((GJ[Date]=$A$4)*(GJ[Ofc Code]=(TRIM(M$7)))*(GJ[Account Code]=(TRIM($D81))),GJ[Debit])))-(SUM(IF((CkDJ[Date]=$A$4)*(CkDJ[Ofc Code]=(TRIM(M$7)))*(CkDJ[Account Code]=(TRIM($D81))),CkDJ[Credit])))+(SUM(IF((CsDJ[Date]=$A$4)*(CsDJ[Ofc Code]=(TRIM(M$7)))*(CsDJ[Account Code]=(TRIM($D81))),CsDJ[Credit])))+(SUM(IF((CRDJ[Date]=$A$4)*(CRDJ[Ofc Code]=(TRIM(M$7)))*(CRDJ[Account Code]=(TRIM($D81))),CRDJ[Credit])))+(SUM(IF((GJ[Date]=$A$4)*(GJ[Ofc Code]=(TRIM(M$7)))*(GJ[Account Code]=(TRIM($D81))),GJ[Credit])))</f>
        <v>0</v>
      </c>
      <c r="N81" s="211">
        <f t="shared" si="16"/>
        <v>0</v>
      </c>
      <c r="O81" s="211">
        <f t="array" ref="O81">(SUM(IF((CkDJ[Date]=$A$4)*(CkDJ[Ofc Code]=(TRIM(O$7)))*(CkDJ[Account Code]=(TRIM($D81))),CkDJ[Debit])))+(SUM(IF((CsDJ[Date]=$A$4)*(CsDJ[Ofc Code]=(TRIM(O$7)))*(CsDJ[Account Code]=(TRIM($D81))),CsDJ[Debit])))+(SUM(IF((CRDJ[Date]=$A$4)*(CRDJ[Ofc Code]=(TRIM(O$7)))*(CRDJ[Account Code]=(TRIM($D81))),CRDJ[Debit])))+(SUM(IF((GJ[Date]=$A$4)*(GJ[Ofc Code]=(TRIM(O$7)))*(GJ[Account Code]=(TRIM($D81))),GJ[Debit])))-(SUM(IF((CkDJ[Date]=$A$4)*(CkDJ[Ofc Code]=(TRIM(O$7)))*(CkDJ[Account Code]=(TRIM($D81))),CkDJ[Credit])))+(SUM(IF((CsDJ[Date]=$A$4)*(CsDJ[Ofc Code]=(TRIM(O$7)))*(CsDJ[Account Code]=(TRIM($D81))),CsDJ[Credit])))+(SUM(IF((CRDJ[Date]=$A$4)*(CRDJ[Ofc Code]=(TRIM(O$7)))*(CRDJ[Account Code]=(TRIM($D81))),CRDJ[Credit])))+(SUM(IF((GJ[Date]=$A$4)*(GJ[Ofc Code]=(TRIM(O$7)))*(GJ[Account Code]=(TRIM($D81))),GJ[Credit])))</f>
        <v>0</v>
      </c>
      <c r="P81" s="211">
        <f t="array" ref="P81">(SUM(IF((CkDJ[Date]=$A$4)*(CkDJ[Ofc Code]=(TRIM(P$7)))*(CkDJ[Account Code]=(TRIM($D81))),CkDJ[Debit])))+(SUM(IF((CsDJ[Date]=$A$4)*(CsDJ[Ofc Code]=(TRIM(P$7)))*(CsDJ[Account Code]=(TRIM($D81))),CsDJ[Debit])))+(SUM(IF((CRDJ[Date]=$A$4)*(CRDJ[Ofc Code]=(TRIM(P$7)))*(CRDJ[Account Code]=(TRIM($D81))),CRDJ[Debit])))+(SUM(IF((GJ[Date]=$A$4)*(GJ[Ofc Code]=(TRIM(P$7)))*(GJ[Account Code]=(TRIM($D81))),GJ[Debit])))-(SUM(IF((CkDJ[Date]=$A$4)*(CkDJ[Ofc Code]=(TRIM(P$7)))*(CkDJ[Account Code]=(TRIM($D81))),CkDJ[Credit])))+(SUM(IF((CsDJ[Date]=$A$4)*(CsDJ[Ofc Code]=(TRIM(P$7)))*(CsDJ[Account Code]=(TRIM($D81))),CsDJ[Credit])))+(SUM(IF((CRDJ[Date]=$A$4)*(CRDJ[Ofc Code]=(TRIM(P$7)))*(CRDJ[Account Code]=(TRIM($D81))),CRDJ[Credit])))+(SUM(IF((GJ[Date]=$A$4)*(GJ[Ofc Code]=(TRIM(P$7)))*(GJ[Account Code]=(TRIM($D81))),GJ[Credit])))</f>
        <v>0</v>
      </c>
      <c r="Q81" s="211">
        <f t="array" ref="Q81">(SUM(IF((CkDJ[Date]=$A$4)*(CkDJ[Ofc Code]=(TRIM(Q$7)))*(CkDJ[Account Code]=(TRIM($D81))),CkDJ[Debit])))+(SUM(IF((CsDJ[Date]=$A$4)*(CsDJ[Ofc Code]=(TRIM(Q$7)))*(CsDJ[Account Code]=(TRIM($D81))),CsDJ[Debit])))+(SUM(IF((CRDJ[Date]=$A$4)*(CRDJ[Ofc Code]=(TRIM(Q$7)))*(CRDJ[Account Code]=(TRIM($D81))),CRDJ[Debit])))+(SUM(IF((GJ[Date]=$A$4)*(GJ[Ofc Code]=(TRIM(Q$7)))*(GJ[Account Code]=(TRIM($D81))),GJ[Debit])))-(SUM(IF((CkDJ[Date]=$A$4)*(CkDJ[Ofc Code]=(TRIM(Q$7)))*(CkDJ[Account Code]=(TRIM($D81))),CkDJ[Credit])))+(SUM(IF((CsDJ[Date]=$A$4)*(CsDJ[Ofc Code]=(TRIM(Q$7)))*(CsDJ[Account Code]=(TRIM($D81))),CsDJ[Credit])))+(SUM(IF((CRDJ[Date]=$A$4)*(CRDJ[Ofc Code]=(TRIM(Q$7)))*(CRDJ[Account Code]=(TRIM($D81))),CRDJ[Credit])))+(SUM(IF((GJ[Date]=$A$4)*(GJ[Ofc Code]=(TRIM(Q$7)))*(GJ[Account Code]=(TRIM($D81))),GJ[Credit])))</f>
        <v>0</v>
      </c>
      <c r="R81" s="211">
        <f t="array" ref="R81">(SUM(IF((CkDJ[Date]=$A$4)*(CkDJ[Ofc Code]=(TRIM(R$7)))*(CkDJ[Account Code]=(TRIM($D81))),CkDJ[Debit])))+(SUM(IF((CsDJ[Date]=$A$4)*(CsDJ[Ofc Code]=(TRIM(R$7)))*(CsDJ[Account Code]=(TRIM($D81))),CsDJ[Debit])))+(SUM(IF((CRDJ[Date]=$A$4)*(CRDJ[Ofc Code]=(TRIM(R$7)))*(CRDJ[Account Code]=(TRIM($D81))),CRDJ[Debit])))+(SUM(IF((GJ[Date]=$A$4)*(GJ[Ofc Code]=(TRIM(R$7)))*(GJ[Account Code]=(TRIM($D81))),GJ[Debit])))-(SUM(IF((CkDJ[Date]=$A$4)*(CkDJ[Ofc Code]=(TRIM(R$7)))*(CkDJ[Account Code]=(TRIM($D81))),CkDJ[Credit])))+(SUM(IF((CsDJ[Date]=$A$4)*(CsDJ[Ofc Code]=(TRIM(R$7)))*(CsDJ[Account Code]=(TRIM($D81))),CsDJ[Credit])))+(SUM(IF((CRDJ[Date]=$A$4)*(CRDJ[Ofc Code]=(TRIM(R$7)))*(CRDJ[Account Code]=(TRIM($D81))),CRDJ[Credit])))+(SUM(IF((GJ[Date]=$A$4)*(GJ[Ofc Code]=(TRIM(R$7)))*(GJ[Account Code]=(TRIM($D81))),GJ[Credit])))</f>
        <v>0</v>
      </c>
      <c r="S81" s="211">
        <f t="array" ref="S81">(SUM(IF((CkDJ[Date]=$A$4)*(CkDJ[Ofc Code]=(TRIM(S$7)))*(CkDJ[Account Code]=(TRIM($D81))),CkDJ[Debit])))+(SUM(IF((CsDJ[Date]=$A$4)*(CsDJ[Ofc Code]=(TRIM(S$7)))*(CsDJ[Account Code]=(TRIM($D81))),CsDJ[Debit])))+(SUM(IF((CRDJ[Date]=$A$4)*(CRDJ[Ofc Code]=(TRIM(S$7)))*(CRDJ[Account Code]=(TRIM($D81))),CRDJ[Debit])))+(SUM(IF((GJ[Date]=$A$4)*(GJ[Ofc Code]=(TRIM(S$7)))*(GJ[Account Code]=(TRIM($D81))),GJ[Debit])))-(SUM(IF((CkDJ[Date]=$A$4)*(CkDJ[Ofc Code]=(TRIM(S$7)))*(CkDJ[Account Code]=(TRIM($D81))),CkDJ[Credit])))+(SUM(IF((CsDJ[Date]=$A$4)*(CsDJ[Ofc Code]=(TRIM(S$7)))*(CsDJ[Account Code]=(TRIM($D81))),CsDJ[Credit])))+(SUM(IF((CRDJ[Date]=$A$4)*(CRDJ[Ofc Code]=(TRIM(S$7)))*(CRDJ[Account Code]=(TRIM($D81))),CRDJ[Credit])))+(SUM(IF((GJ[Date]=$A$4)*(GJ[Ofc Code]=(TRIM(S$7)))*(GJ[Account Code]=(TRIM($D81))),GJ[Credit])))</f>
        <v>0</v>
      </c>
      <c r="T81" s="211">
        <f t="shared" si="17"/>
        <v>0</v>
      </c>
      <c r="U81" s="211">
        <f t="shared" si="18"/>
        <v>0</v>
      </c>
    </row>
    <row r="82" spans="1:21" ht="15">
      <c r="A82" s="212">
        <f t="shared" si="19"/>
        <v>24</v>
      </c>
      <c r="B82" s="194" t="s">
        <v>756</v>
      </c>
      <c r="C82" s="194" t="str">
        <f t="shared" si="14"/>
        <v>Repairs and Maintenance-Transportation Equipment - Motor Vehicles</v>
      </c>
      <c r="D82" s="207">
        <v>841</v>
      </c>
      <c r="E82" s="211">
        <f t="array" ref="E82">(SUM(IF((CkDJ[Date]=$A$4)*(CkDJ[Ofc Code]=(TRIM(E$7)))*(CkDJ[Account Code]=(TRIM($D82))),CkDJ[Debit])))+(SUM(IF((CsDJ[Date]=$A$4)*(CsDJ[Ofc Code]=(TRIM(E$7)))*(CsDJ[Account Code]=(TRIM($D82))),CsDJ[Debit])))+(SUM(IF((CRDJ[Date]=$A$4)*(CRDJ[Ofc Code]=(TRIM(E$7)))*(CRDJ[Account Code]=(TRIM($D82))),CRDJ[Debit])))+(SUM(IF((GJ[Date]=$A$4)*(GJ[Ofc Code]=(TRIM(E$7)))*(GJ[Account Code]=(TRIM($D82))),GJ[Debit])))-(SUM(IF((CkDJ[Date]=$A$4)*(CkDJ[Ofc Code]=(TRIM(E$7)))*(CkDJ[Account Code]=(TRIM($D82))),CkDJ[Credit])))+(SUM(IF((CsDJ[Date]=$A$4)*(CsDJ[Ofc Code]=(TRIM(E$7)))*(CsDJ[Account Code]=(TRIM($D82))),CsDJ[Credit])))+(SUM(IF((CRDJ[Date]=$A$4)*(CRDJ[Ofc Code]=(TRIM(E$7)))*(CRDJ[Account Code]=(TRIM($D82))),CRDJ[Credit])))+(SUM(IF((GJ[Date]=$A$4)*(GJ[Ofc Code]=(TRIM(E$7)))*(GJ[Account Code]=(TRIM($D82))),GJ[Credit])))</f>
        <v>0</v>
      </c>
      <c r="F82" s="211">
        <f t="array" ref="F82">(SUM(IF((CkDJ[Date]=$A$4)*(CkDJ[Ofc Code]=(TRIM(F$7)))*(CkDJ[Account Code]=(TRIM($D82))),CkDJ[Debit])))+(SUM(IF((CsDJ[Date]=$A$4)*(CsDJ[Ofc Code]=(TRIM(F$7)))*(CsDJ[Account Code]=(TRIM($D82))),CsDJ[Debit])))+(SUM(IF((CRDJ[Date]=$A$4)*(CRDJ[Ofc Code]=(TRIM(F$7)))*(CRDJ[Account Code]=(TRIM($D82))),CRDJ[Debit])))+(SUM(IF((GJ[Date]=$A$4)*(GJ[Ofc Code]=(TRIM(F$7)))*(GJ[Account Code]=(TRIM($D82))),GJ[Debit])))-(SUM(IF((CkDJ[Date]=$A$4)*(CkDJ[Ofc Code]=(TRIM(F$7)))*(CkDJ[Account Code]=(TRIM($D82))),CkDJ[Credit])))+(SUM(IF((CsDJ[Date]=$A$4)*(CsDJ[Ofc Code]=(TRIM(F$7)))*(CsDJ[Account Code]=(TRIM($D82))),CsDJ[Credit])))+(SUM(IF((CRDJ[Date]=$A$4)*(CRDJ[Ofc Code]=(TRIM(F$7)))*(CRDJ[Account Code]=(TRIM($D82))),CRDJ[Credit])))+(SUM(IF((GJ[Date]=$A$4)*(GJ[Ofc Code]=(TRIM(F$7)))*(GJ[Account Code]=(TRIM($D82))),GJ[Credit])))</f>
        <v>0</v>
      </c>
      <c r="G82" s="211">
        <f t="array" ref="G82">(SUM(IF((CkDJ[Date]=$A$4)*(CkDJ[Ofc Code]=(TRIM(G$7)))*(CkDJ[Account Code]=(TRIM($D82))),CkDJ[Debit])))+(SUM(IF((CsDJ[Date]=$A$4)*(CsDJ[Ofc Code]=(TRIM(G$7)))*(CsDJ[Account Code]=(TRIM($D82))),CsDJ[Debit])))+(SUM(IF((CRDJ[Date]=$A$4)*(CRDJ[Ofc Code]=(TRIM(G$7)))*(CRDJ[Account Code]=(TRIM($D82))),CRDJ[Debit])))+(SUM(IF((GJ[Date]=$A$4)*(GJ[Ofc Code]=(TRIM(G$7)))*(GJ[Account Code]=(TRIM($D82))),GJ[Debit])))-(SUM(IF((CkDJ[Date]=$A$4)*(CkDJ[Ofc Code]=(TRIM(G$7)))*(CkDJ[Account Code]=(TRIM($D82))),CkDJ[Credit])))+(SUM(IF((CsDJ[Date]=$A$4)*(CsDJ[Ofc Code]=(TRIM(G$7)))*(CsDJ[Account Code]=(TRIM($D82))),CsDJ[Credit])))+(SUM(IF((CRDJ[Date]=$A$4)*(CRDJ[Ofc Code]=(TRIM(G$7)))*(CRDJ[Account Code]=(TRIM($D82))),CRDJ[Credit])))+(SUM(IF((GJ[Date]=$A$4)*(GJ[Ofc Code]=(TRIM(G$7)))*(GJ[Account Code]=(TRIM($D82))),GJ[Credit])))</f>
        <v>0</v>
      </c>
      <c r="H82" s="211">
        <f t="array" ref="H82">(SUM(IF((CkDJ[Date]=$A$4)*(CkDJ[Ofc Code]=(TRIM(H$7)))*(CkDJ[Account Code]=(TRIM($D82))),CkDJ[Debit])))+(SUM(IF((CsDJ[Date]=$A$4)*(CsDJ[Ofc Code]=(TRIM(H$7)))*(CsDJ[Account Code]=(TRIM($D82))),CsDJ[Debit])))+(SUM(IF((CRDJ[Date]=$A$4)*(CRDJ[Ofc Code]=(TRIM(H$7)))*(CRDJ[Account Code]=(TRIM($D82))),CRDJ[Debit])))+(SUM(IF((GJ[Date]=$A$4)*(GJ[Ofc Code]=(TRIM(H$7)))*(GJ[Account Code]=(TRIM($D82))),GJ[Debit])))-(SUM(IF((CkDJ[Date]=$A$4)*(CkDJ[Ofc Code]=(TRIM(H$7)))*(CkDJ[Account Code]=(TRIM($D82))),CkDJ[Credit])))+(SUM(IF((CsDJ[Date]=$A$4)*(CsDJ[Ofc Code]=(TRIM(H$7)))*(CsDJ[Account Code]=(TRIM($D82))),CsDJ[Credit])))+(SUM(IF((CRDJ[Date]=$A$4)*(CRDJ[Ofc Code]=(TRIM(H$7)))*(CRDJ[Account Code]=(TRIM($D82))),CRDJ[Credit])))+(SUM(IF((GJ[Date]=$A$4)*(GJ[Ofc Code]=(TRIM(H$7)))*(GJ[Account Code]=(TRIM($D82))),GJ[Credit])))</f>
        <v>0</v>
      </c>
      <c r="I82" s="211">
        <f t="shared" si="15"/>
        <v>0</v>
      </c>
      <c r="J82" s="211">
        <f t="array" ref="J82">(SUM(IF((CkDJ[Date]=$A$4)*(CkDJ[Ofc Code]=(TRIM(J$7)))*(CkDJ[Account Code]=(TRIM($D82))),CkDJ[Debit])))+(SUM(IF((CsDJ[Date]=$A$4)*(CsDJ[Ofc Code]=(TRIM(J$7)))*(CsDJ[Account Code]=(TRIM($D82))),CsDJ[Debit])))+(SUM(IF((CRDJ[Date]=$A$4)*(CRDJ[Ofc Code]=(TRIM(J$7)))*(CRDJ[Account Code]=(TRIM($D82))),CRDJ[Debit])))+(SUM(IF((GJ[Date]=$A$4)*(GJ[Ofc Code]=(TRIM(J$7)))*(GJ[Account Code]=(TRIM($D82))),GJ[Debit])))-(SUM(IF((CkDJ[Date]=$A$4)*(CkDJ[Ofc Code]=(TRIM(J$7)))*(CkDJ[Account Code]=(TRIM($D82))),CkDJ[Credit])))+(SUM(IF((CsDJ[Date]=$A$4)*(CsDJ[Ofc Code]=(TRIM(J$7)))*(CsDJ[Account Code]=(TRIM($D82))),CsDJ[Credit])))+(SUM(IF((CRDJ[Date]=$A$4)*(CRDJ[Ofc Code]=(TRIM(J$7)))*(CRDJ[Account Code]=(TRIM($D82))),CRDJ[Credit])))+(SUM(IF((GJ[Date]=$A$4)*(GJ[Ofc Code]=(TRIM(J$7)))*(GJ[Account Code]=(TRIM($D82))),GJ[Credit])))</f>
        <v>0</v>
      </c>
      <c r="K82" s="211">
        <f t="array" ref="K82">(SUM(IF((CkDJ[Date]=$A$4)*(CkDJ[Ofc Code]=(TRIM(K$7)))*(CkDJ[Account Code]=(TRIM($D82))),CkDJ[Debit])))+(SUM(IF((CsDJ[Date]=$A$4)*(CsDJ[Ofc Code]=(TRIM(K$7)))*(CsDJ[Account Code]=(TRIM($D82))),CsDJ[Debit])))+(SUM(IF((CRDJ[Date]=$A$4)*(CRDJ[Ofc Code]=(TRIM(K$7)))*(CRDJ[Account Code]=(TRIM($D82))),CRDJ[Debit])))+(SUM(IF((GJ[Date]=$A$4)*(GJ[Ofc Code]=(TRIM(K$7)))*(GJ[Account Code]=(TRIM($D82))),GJ[Debit])))-(SUM(IF((CkDJ[Date]=$A$4)*(CkDJ[Ofc Code]=(TRIM(K$7)))*(CkDJ[Account Code]=(TRIM($D82))),CkDJ[Credit])))+(SUM(IF((CsDJ[Date]=$A$4)*(CsDJ[Ofc Code]=(TRIM(K$7)))*(CsDJ[Account Code]=(TRIM($D82))),CsDJ[Credit])))+(SUM(IF((CRDJ[Date]=$A$4)*(CRDJ[Ofc Code]=(TRIM(K$7)))*(CRDJ[Account Code]=(TRIM($D82))),CRDJ[Credit])))+(SUM(IF((GJ[Date]=$A$4)*(GJ[Ofc Code]=(TRIM(K$7)))*(GJ[Account Code]=(TRIM($D82))),GJ[Credit])))</f>
        <v>0</v>
      </c>
      <c r="L82" s="211">
        <f t="array" ref="L82">(SUM(IF((CkDJ[Date]=$A$4)*(CkDJ[Ofc Code]=(TRIM(L$7)))*(CkDJ[Account Code]=(TRIM($D82))),CkDJ[Debit])))+(SUM(IF((CsDJ[Date]=$A$4)*(CsDJ[Ofc Code]=(TRIM(L$7)))*(CsDJ[Account Code]=(TRIM($D82))),CsDJ[Debit])))+(SUM(IF((CRDJ[Date]=$A$4)*(CRDJ[Ofc Code]=(TRIM(L$7)))*(CRDJ[Account Code]=(TRIM($D82))),CRDJ[Debit])))+(SUM(IF((GJ[Date]=$A$4)*(GJ[Ofc Code]=(TRIM(L$7)))*(GJ[Account Code]=(TRIM($D82))),GJ[Debit])))-(SUM(IF((CkDJ[Date]=$A$4)*(CkDJ[Ofc Code]=(TRIM(L$7)))*(CkDJ[Account Code]=(TRIM($D82))),CkDJ[Credit])))+(SUM(IF((CsDJ[Date]=$A$4)*(CsDJ[Ofc Code]=(TRIM(L$7)))*(CsDJ[Account Code]=(TRIM($D82))),CsDJ[Credit])))+(SUM(IF((CRDJ[Date]=$A$4)*(CRDJ[Ofc Code]=(TRIM(L$7)))*(CRDJ[Account Code]=(TRIM($D82))),CRDJ[Credit])))+(SUM(IF((GJ[Date]=$A$4)*(GJ[Ofc Code]=(TRIM(L$7)))*(GJ[Account Code]=(TRIM($D82))),GJ[Credit])))</f>
        <v>0</v>
      </c>
      <c r="M82" s="211">
        <f t="array" ref="M82">(SUM(IF((CkDJ[Date]=$A$4)*(CkDJ[Ofc Code]=(TRIM(M$7)))*(CkDJ[Account Code]=(TRIM($D82))),CkDJ[Debit])))+(SUM(IF((CsDJ[Date]=$A$4)*(CsDJ[Ofc Code]=(TRIM(M$7)))*(CsDJ[Account Code]=(TRIM($D82))),CsDJ[Debit])))+(SUM(IF((CRDJ[Date]=$A$4)*(CRDJ[Ofc Code]=(TRIM(M$7)))*(CRDJ[Account Code]=(TRIM($D82))),CRDJ[Debit])))+(SUM(IF((GJ[Date]=$A$4)*(GJ[Ofc Code]=(TRIM(M$7)))*(GJ[Account Code]=(TRIM($D82))),GJ[Debit])))-(SUM(IF((CkDJ[Date]=$A$4)*(CkDJ[Ofc Code]=(TRIM(M$7)))*(CkDJ[Account Code]=(TRIM($D82))),CkDJ[Credit])))+(SUM(IF((CsDJ[Date]=$A$4)*(CsDJ[Ofc Code]=(TRIM(M$7)))*(CsDJ[Account Code]=(TRIM($D82))),CsDJ[Credit])))+(SUM(IF((CRDJ[Date]=$A$4)*(CRDJ[Ofc Code]=(TRIM(M$7)))*(CRDJ[Account Code]=(TRIM($D82))),CRDJ[Credit])))+(SUM(IF((GJ[Date]=$A$4)*(GJ[Ofc Code]=(TRIM(M$7)))*(GJ[Account Code]=(TRIM($D82))),GJ[Credit])))</f>
        <v>0</v>
      </c>
      <c r="N82" s="211">
        <f t="shared" si="16"/>
        <v>0</v>
      </c>
      <c r="O82" s="211">
        <f t="array" ref="O82">(SUM(IF((CkDJ[Date]=$A$4)*(CkDJ[Ofc Code]=(TRIM(O$7)))*(CkDJ[Account Code]=(TRIM($D82))),CkDJ[Debit])))+(SUM(IF((CsDJ[Date]=$A$4)*(CsDJ[Ofc Code]=(TRIM(O$7)))*(CsDJ[Account Code]=(TRIM($D82))),CsDJ[Debit])))+(SUM(IF((CRDJ[Date]=$A$4)*(CRDJ[Ofc Code]=(TRIM(O$7)))*(CRDJ[Account Code]=(TRIM($D82))),CRDJ[Debit])))+(SUM(IF((GJ[Date]=$A$4)*(GJ[Ofc Code]=(TRIM(O$7)))*(GJ[Account Code]=(TRIM($D82))),GJ[Debit])))-(SUM(IF((CkDJ[Date]=$A$4)*(CkDJ[Ofc Code]=(TRIM(O$7)))*(CkDJ[Account Code]=(TRIM($D82))),CkDJ[Credit])))+(SUM(IF((CsDJ[Date]=$A$4)*(CsDJ[Ofc Code]=(TRIM(O$7)))*(CsDJ[Account Code]=(TRIM($D82))),CsDJ[Credit])))+(SUM(IF((CRDJ[Date]=$A$4)*(CRDJ[Ofc Code]=(TRIM(O$7)))*(CRDJ[Account Code]=(TRIM($D82))),CRDJ[Credit])))+(SUM(IF((GJ[Date]=$A$4)*(GJ[Ofc Code]=(TRIM(O$7)))*(GJ[Account Code]=(TRIM($D82))),GJ[Credit])))</f>
        <v>0</v>
      </c>
      <c r="P82" s="211">
        <f t="array" ref="P82">(SUM(IF((CkDJ[Date]=$A$4)*(CkDJ[Ofc Code]=(TRIM(P$7)))*(CkDJ[Account Code]=(TRIM($D82))),CkDJ[Debit])))+(SUM(IF((CsDJ[Date]=$A$4)*(CsDJ[Ofc Code]=(TRIM(P$7)))*(CsDJ[Account Code]=(TRIM($D82))),CsDJ[Debit])))+(SUM(IF((CRDJ[Date]=$A$4)*(CRDJ[Ofc Code]=(TRIM(P$7)))*(CRDJ[Account Code]=(TRIM($D82))),CRDJ[Debit])))+(SUM(IF((GJ[Date]=$A$4)*(GJ[Ofc Code]=(TRIM(P$7)))*(GJ[Account Code]=(TRIM($D82))),GJ[Debit])))-(SUM(IF((CkDJ[Date]=$A$4)*(CkDJ[Ofc Code]=(TRIM(P$7)))*(CkDJ[Account Code]=(TRIM($D82))),CkDJ[Credit])))+(SUM(IF((CsDJ[Date]=$A$4)*(CsDJ[Ofc Code]=(TRIM(P$7)))*(CsDJ[Account Code]=(TRIM($D82))),CsDJ[Credit])))+(SUM(IF((CRDJ[Date]=$A$4)*(CRDJ[Ofc Code]=(TRIM(P$7)))*(CRDJ[Account Code]=(TRIM($D82))),CRDJ[Credit])))+(SUM(IF((GJ[Date]=$A$4)*(GJ[Ofc Code]=(TRIM(P$7)))*(GJ[Account Code]=(TRIM($D82))),GJ[Credit])))</f>
        <v>0</v>
      </c>
      <c r="Q82" s="211">
        <f t="array" ref="Q82">(SUM(IF((CkDJ[Date]=$A$4)*(CkDJ[Ofc Code]=(TRIM(Q$7)))*(CkDJ[Account Code]=(TRIM($D82))),CkDJ[Debit])))+(SUM(IF((CsDJ[Date]=$A$4)*(CsDJ[Ofc Code]=(TRIM(Q$7)))*(CsDJ[Account Code]=(TRIM($D82))),CsDJ[Debit])))+(SUM(IF((CRDJ[Date]=$A$4)*(CRDJ[Ofc Code]=(TRIM(Q$7)))*(CRDJ[Account Code]=(TRIM($D82))),CRDJ[Debit])))+(SUM(IF((GJ[Date]=$A$4)*(GJ[Ofc Code]=(TRIM(Q$7)))*(GJ[Account Code]=(TRIM($D82))),GJ[Debit])))-(SUM(IF((CkDJ[Date]=$A$4)*(CkDJ[Ofc Code]=(TRIM(Q$7)))*(CkDJ[Account Code]=(TRIM($D82))),CkDJ[Credit])))+(SUM(IF((CsDJ[Date]=$A$4)*(CsDJ[Ofc Code]=(TRIM(Q$7)))*(CsDJ[Account Code]=(TRIM($D82))),CsDJ[Credit])))+(SUM(IF((CRDJ[Date]=$A$4)*(CRDJ[Ofc Code]=(TRIM(Q$7)))*(CRDJ[Account Code]=(TRIM($D82))),CRDJ[Credit])))+(SUM(IF((GJ[Date]=$A$4)*(GJ[Ofc Code]=(TRIM(Q$7)))*(GJ[Account Code]=(TRIM($D82))),GJ[Credit])))</f>
        <v>0</v>
      </c>
      <c r="R82" s="211">
        <f t="array" ref="R82">(SUM(IF((CkDJ[Date]=$A$4)*(CkDJ[Ofc Code]=(TRIM(R$7)))*(CkDJ[Account Code]=(TRIM($D82))),CkDJ[Debit])))+(SUM(IF((CsDJ[Date]=$A$4)*(CsDJ[Ofc Code]=(TRIM(R$7)))*(CsDJ[Account Code]=(TRIM($D82))),CsDJ[Debit])))+(SUM(IF((CRDJ[Date]=$A$4)*(CRDJ[Ofc Code]=(TRIM(R$7)))*(CRDJ[Account Code]=(TRIM($D82))),CRDJ[Debit])))+(SUM(IF((GJ[Date]=$A$4)*(GJ[Ofc Code]=(TRIM(R$7)))*(GJ[Account Code]=(TRIM($D82))),GJ[Debit])))-(SUM(IF((CkDJ[Date]=$A$4)*(CkDJ[Ofc Code]=(TRIM(R$7)))*(CkDJ[Account Code]=(TRIM($D82))),CkDJ[Credit])))+(SUM(IF((CsDJ[Date]=$A$4)*(CsDJ[Ofc Code]=(TRIM(R$7)))*(CsDJ[Account Code]=(TRIM($D82))),CsDJ[Credit])))+(SUM(IF((CRDJ[Date]=$A$4)*(CRDJ[Ofc Code]=(TRIM(R$7)))*(CRDJ[Account Code]=(TRIM($D82))),CRDJ[Credit])))+(SUM(IF((GJ[Date]=$A$4)*(GJ[Ofc Code]=(TRIM(R$7)))*(GJ[Account Code]=(TRIM($D82))),GJ[Credit])))</f>
        <v>0</v>
      </c>
      <c r="S82" s="211">
        <f t="array" ref="S82">(SUM(IF((CkDJ[Date]=$A$4)*(CkDJ[Ofc Code]=(TRIM(S$7)))*(CkDJ[Account Code]=(TRIM($D82))),CkDJ[Debit])))+(SUM(IF((CsDJ[Date]=$A$4)*(CsDJ[Ofc Code]=(TRIM(S$7)))*(CsDJ[Account Code]=(TRIM($D82))),CsDJ[Debit])))+(SUM(IF((CRDJ[Date]=$A$4)*(CRDJ[Ofc Code]=(TRIM(S$7)))*(CRDJ[Account Code]=(TRIM($D82))),CRDJ[Debit])))+(SUM(IF((GJ[Date]=$A$4)*(GJ[Ofc Code]=(TRIM(S$7)))*(GJ[Account Code]=(TRIM($D82))),GJ[Debit])))-(SUM(IF((CkDJ[Date]=$A$4)*(CkDJ[Ofc Code]=(TRIM(S$7)))*(CkDJ[Account Code]=(TRIM($D82))),CkDJ[Credit])))+(SUM(IF((CsDJ[Date]=$A$4)*(CsDJ[Ofc Code]=(TRIM(S$7)))*(CsDJ[Account Code]=(TRIM($D82))),CsDJ[Credit])))+(SUM(IF((CRDJ[Date]=$A$4)*(CRDJ[Ofc Code]=(TRIM(S$7)))*(CRDJ[Account Code]=(TRIM($D82))),CRDJ[Credit])))+(SUM(IF((GJ[Date]=$A$4)*(GJ[Ofc Code]=(TRIM(S$7)))*(GJ[Account Code]=(TRIM($D82))),GJ[Credit])))</f>
        <v>0</v>
      </c>
      <c r="T82" s="211">
        <f t="shared" si="17"/>
        <v>0</v>
      </c>
      <c r="U82" s="211">
        <f t="shared" si="18"/>
        <v>0</v>
      </c>
    </row>
    <row r="83" spans="1:21" ht="15">
      <c r="A83" s="212">
        <f t="shared" si="19"/>
        <v>25</v>
      </c>
      <c r="B83" s="194" t="s">
        <v>756</v>
      </c>
      <c r="C83" s="194" t="str">
        <f t="shared" si="14"/>
        <v>Repairs and Maintenance-Transportation Equipment - Other Transportation Equipment</v>
      </c>
      <c r="D83" s="207">
        <v>848</v>
      </c>
      <c r="E83" s="211">
        <f t="array" ref="E83">(SUM(IF((CkDJ[Date]=$A$4)*(CkDJ[Ofc Code]=(TRIM(E$7)))*(CkDJ[Account Code]=(TRIM($D83))),CkDJ[Debit])))+(SUM(IF((CsDJ[Date]=$A$4)*(CsDJ[Ofc Code]=(TRIM(E$7)))*(CsDJ[Account Code]=(TRIM($D83))),CsDJ[Debit])))+(SUM(IF((CRDJ[Date]=$A$4)*(CRDJ[Ofc Code]=(TRIM(E$7)))*(CRDJ[Account Code]=(TRIM($D83))),CRDJ[Debit])))+(SUM(IF((GJ[Date]=$A$4)*(GJ[Ofc Code]=(TRIM(E$7)))*(GJ[Account Code]=(TRIM($D83))),GJ[Debit])))-(SUM(IF((CkDJ[Date]=$A$4)*(CkDJ[Ofc Code]=(TRIM(E$7)))*(CkDJ[Account Code]=(TRIM($D83))),CkDJ[Credit])))+(SUM(IF((CsDJ[Date]=$A$4)*(CsDJ[Ofc Code]=(TRIM(E$7)))*(CsDJ[Account Code]=(TRIM($D83))),CsDJ[Credit])))+(SUM(IF((CRDJ[Date]=$A$4)*(CRDJ[Ofc Code]=(TRIM(E$7)))*(CRDJ[Account Code]=(TRIM($D83))),CRDJ[Credit])))+(SUM(IF((GJ[Date]=$A$4)*(GJ[Ofc Code]=(TRIM(E$7)))*(GJ[Account Code]=(TRIM($D83))),GJ[Credit])))</f>
        <v>0</v>
      </c>
      <c r="F83" s="211">
        <f t="array" ref="F83">(SUM(IF((CkDJ[Date]=$A$4)*(CkDJ[Ofc Code]=(TRIM(F$7)))*(CkDJ[Account Code]=(TRIM($D83))),CkDJ[Debit])))+(SUM(IF((CsDJ[Date]=$A$4)*(CsDJ[Ofc Code]=(TRIM(F$7)))*(CsDJ[Account Code]=(TRIM($D83))),CsDJ[Debit])))+(SUM(IF((CRDJ[Date]=$A$4)*(CRDJ[Ofc Code]=(TRIM(F$7)))*(CRDJ[Account Code]=(TRIM($D83))),CRDJ[Debit])))+(SUM(IF((GJ[Date]=$A$4)*(GJ[Ofc Code]=(TRIM(F$7)))*(GJ[Account Code]=(TRIM($D83))),GJ[Debit])))-(SUM(IF((CkDJ[Date]=$A$4)*(CkDJ[Ofc Code]=(TRIM(F$7)))*(CkDJ[Account Code]=(TRIM($D83))),CkDJ[Credit])))+(SUM(IF((CsDJ[Date]=$A$4)*(CsDJ[Ofc Code]=(TRIM(F$7)))*(CsDJ[Account Code]=(TRIM($D83))),CsDJ[Credit])))+(SUM(IF((CRDJ[Date]=$A$4)*(CRDJ[Ofc Code]=(TRIM(F$7)))*(CRDJ[Account Code]=(TRIM($D83))),CRDJ[Credit])))+(SUM(IF((GJ[Date]=$A$4)*(GJ[Ofc Code]=(TRIM(F$7)))*(GJ[Account Code]=(TRIM($D83))),GJ[Credit])))</f>
        <v>0</v>
      </c>
      <c r="G83" s="211">
        <f t="array" ref="G83">(SUM(IF((CkDJ[Date]=$A$4)*(CkDJ[Ofc Code]=(TRIM(G$7)))*(CkDJ[Account Code]=(TRIM($D83))),CkDJ[Debit])))+(SUM(IF((CsDJ[Date]=$A$4)*(CsDJ[Ofc Code]=(TRIM(G$7)))*(CsDJ[Account Code]=(TRIM($D83))),CsDJ[Debit])))+(SUM(IF((CRDJ[Date]=$A$4)*(CRDJ[Ofc Code]=(TRIM(G$7)))*(CRDJ[Account Code]=(TRIM($D83))),CRDJ[Debit])))+(SUM(IF((GJ[Date]=$A$4)*(GJ[Ofc Code]=(TRIM(G$7)))*(GJ[Account Code]=(TRIM($D83))),GJ[Debit])))-(SUM(IF((CkDJ[Date]=$A$4)*(CkDJ[Ofc Code]=(TRIM(G$7)))*(CkDJ[Account Code]=(TRIM($D83))),CkDJ[Credit])))+(SUM(IF((CsDJ[Date]=$A$4)*(CsDJ[Ofc Code]=(TRIM(G$7)))*(CsDJ[Account Code]=(TRIM($D83))),CsDJ[Credit])))+(SUM(IF((CRDJ[Date]=$A$4)*(CRDJ[Ofc Code]=(TRIM(G$7)))*(CRDJ[Account Code]=(TRIM($D83))),CRDJ[Credit])))+(SUM(IF((GJ[Date]=$A$4)*(GJ[Ofc Code]=(TRIM(G$7)))*(GJ[Account Code]=(TRIM($D83))),GJ[Credit])))</f>
        <v>0</v>
      </c>
      <c r="H83" s="211">
        <f t="array" ref="H83">(SUM(IF((CkDJ[Date]=$A$4)*(CkDJ[Ofc Code]=(TRIM(H$7)))*(CkDJ[Account Code]=(TRIM($D83))),CkDJ[Debit])))+(SUM(IF((CsDJ[Date]=$A$4)*(CsDJ[Ofc Code]=(TRIM(H$7)))*(CsDJ[Account Code]=(TRIM($D83))),CsDJ[Debit])))+(SUM(IF((CRDJ[Date]=$A$4)*(CRDJ[Ofc Code]=(TRIM(H$7)))*(CRDJ[Account Code]=(TRIM($D83))),CRDJ[Debit])))+(SUM(IF((GJ[Date]=$A$4)*(GJ[Ofc Code]=(TRIM(H$7)))*(GJ[Account Code]=(TRIM($D83))),GJ[Debit])))-(SUM(IF((CkDJ[Date]=$A$4)*(CkDJ[Ofc Code]=(TRIM(H$7)))*(CkDJ[Account Code]=(TRIM($D83))),CkDJ[Credit])))+(SUM(IF((CsDJ[Date]=$A$4)*(CsDJ[Ofc Code]=(TRIM(H$7)))*(CsDJ[Account Code]=(TRIM($D83))),CsDJ[Credit])))+(SUM(IF((CRDJ[Date]=$A$4)*(CRDJ[Ofc Code]=(TRIM(H$7)))*(CRDJ[Account Code]=(TRIM($D83))),CRDJ[Credit])))+(SUM(IF((GJ[Date]=$A$4)*(GJ[Ofc Code]=(TRIM(H$7)))*(GJ[Account Code]=(TRIM($D83))),GJ[Credit])))</f>
        <v>0</v>
      </c>
      <c r="I83" s="211">
        <f t="shared" si="15"/>
        <v>0</v>
      </c>
      <c r="J83" s="211">
        <f t="array" ref="J83">(SUM(IF((CkDJ[Date]=$A$4)*(CkDJ[Ofc Code]=(TRIM(J$7)))*(CkDJ[Account Code]=(TRIM($D83))),CkDJ[Debit])))+(SUM(IF((CsDJ[Date]=$A$4)*(CsDJ[Ofc Code]=(TRIM(J$7)))*(CsDJ[Account Code]=(TRIM($D83))),CsDJ[Debit])))+(SUM(IF((CRDJ[Date]=$A$4)*(CRDJ[Ofc Code]=(TRIM(J$7)))*(CRDJ[Account Code]=(TRIM($D83))),CRDJ[Debit])))+(SUM(IF((GJ[Date]=$A$4)*(GJ[Ofc Code]=(TRIM(J$7)))*(GJ[Account Code]=(TRIM($D83))),GJ[Debit])))-(SUM(IF((CkDJ[Date]=$A$4)*(CkDJ[Ofc Code]=(TRIM(J$7)))*(CkDJ[Account Code]=(TRIM($D83))),CkDJ[Credit])))+(SUM(IF((CsDJ[Date]=$A$4)*(CsDJ[Ofc Code]=(TRIM(J$7)))*(CsDJ[Account Code]=(TRIM($D83))),CsDJ[Credit])))+(SUM(IF((CRDJ[Date]=$A$4)*(CRDJ[Ofc Code]=(TRIM(J$7)))*(CRDJ[Account Code]=(TRIM($D83))),CRDJ[Credit])))+(SUM(IF((GJ[Date]=$A$4)*(GJ[Ofc Code]=(TRIM(J$7)))*(GJ[Account Code]=(TRIM($D83))),GJ[Credit])))</f>
        <v>0</v>
      </c>
      <c r="K83" s="211">
        <f t="array" ref="K83">(SUM(IF((CkDJ[Date]=$A$4)*(CkDJ[Ofc Code]=(TRIM(K$7)))*(CkDJ[Account Code]=(TRIM($D83))),CkDJ[Debit])))+(SUM(IF((CsDJ[Date]=$A$4)*(CsDJ[Ofc Code]=(TRIM(K$7)))*(CsDJ[Account Code]=(TRIM($D83))),CsDJ[Debit])))+(SUM(IF((CRDJ[Date]=$A$4)*(CRDJ[Ofc Code]=(TRIM(K$7)))*(CRDJ[Account Code]=(TRIM($D83))),CRDJ[Debit])))+(SUM(IF((GJ[Date]=$A$4)*(GJ[Ofc Code]=(TRIM(K$7)))*(GJ[Account Code]=(TRIM($D83))),GJ[Debit])))-(SUM(IF((CkDJ[Date]=$A$4)*(CkDJ[Ofc Code]=(TRIM(K$7)))*(CkDJ[Account Code]=(TRIM($D83))),CkDJ[Credit])))+(SUM(IF((CsDJ[Date]=$A$4)*(CsDJ[Ofc Code]=(TRIM(K$7)))*(CsDJ[Account Code]=(TRIM($D83))),CsDJ[Credit])))+(SUM(IF((CRDJ[Date]=$A$4)*(CRDJ[Ofc Code]=(TRIM(K$7)))*(CRDJ[Account Code]=(TRIM($D83))),CRDJ[Credit])))+(SUM(IF((GJ[Date]=$A$4)*(GJ[Ofc Code]=(TRIM(K$7)))*(GJ[Account Code]=(TRIM($D83))),GJ[Credit])))</f>
        <v>0</v>
      </c>
      <c r="L83" s="211">
        <f t="array" ref="L83">(SUM(IF((CkDJ[Date]=$A$4)*(CkDJ[Ofc Code]=(TRIM(L$7)))*(CkDJ[Account Code]=(TRIM($D83))),CkDJ[Debit])))+(SUM(IF((CsDJ[Date]=$A$4)*(CsDJ[Ofc Code]=(TRIM(L$7)))*(CsDJ[Account Code]=(TRIM($D83))),CsDJ[Debit])))+(SUM(IF((CRDJ[Date]=$A$4)*(CRDJ[Ofc Code]=(TRIM(L$7)))*(CRDJ[Account Code]=(TRIM($D83))),CRDJ[Debit])))+(SUM(IF((GJ[Date]=$A$4)*(GJ[Ofc Code]=(TRIM(L$7)))*(GJ[Account Code]=(TRIM($D83))),GJ[Debit])))-(SUM(IF((CkDJ[Date]=$A$4)*(CkDJ[Ofc Code]=(TRIM(L$7)))*(CkDJ[Account Code]=(TRIM($D83))),CkDJ[Credit])))+(SUM(IF((CsDJ[Date]=$A$4)*(CsDJ[Ofc Code]=(TRIM(L$7)))*(CsDJ[Account Code]=(TRIM($D83))),CsDJ[Credit])))+(SUM(IF((CRDJ[Date]=$A$4)*(CRDJ[Ofc Code]=(TRIM(L$7)))*(CRDJ[Account Code]=(TRIM($D83))),CRDJ[Credit])))+(SUM(IF((GJ[Date]=$A$4)*(GJ[Ofc Code]=(TRIM(L$7)))*(GJ[Account Code]=(TRIM($D83))),GJ[Credit])))</f>
        <v>0</v>
      </c>
      <c r="M83" s="211">
        <f t="array" ref="M83">(SUM(IF((CkDJ[Date]=$A$4)*(CkDJ[Ofc Code]=(TRIM(M$7)))*(CkDJ[Account Code]=(TRIM($D83))),CkDJ[Debit])))+(SUM(IF((CsDJ[Date]=$A$4)*(CsDJ[Ofc Code]=(TRIM(M$7)))*(CsDJ[Account Code]=(TRIM($D83))),CsDJ[Debit])))+(SUM(IF((CRDJ[Date]=$A$4)*(CRDJ[Ofc Code]=(TRIM(M$7)))*(CRDJ[Account Code]=(TRIM($D83))),CRDJ[Debit])))+(SUM(IF((GJ[Date]=$A$4)*(GJ[Ofc Code]=(TRIM(M$7)))*(GJ[Account Code]=(TRIM($D83))),GJ[Debit])))-(SUM(IF((CkDJ[Date]=$A$4)*(CkDJ[Ofc Code]=(TRIM(M$7)))*(CkDJ[Account Code]=(TRIM($D83))),CkDJ[Credit])))+(SUM(IF((CsDJ[Date]=$A$4)*(CsDJ[Ofc Code]=(TRIM(M$7)))*(CsDJ[Account Code]=(TRIM($D83))),CsDJ[Credit])))+(SUM(IF((CRDJ[Date]=$A$4)*(CRDJ[Ofc Code]=(TRIM(M$7)))*(CRDJ[Account Code]=(TRIM($D83))),CRDJ[Credit])))+(SUM(IF((GJ[Date]=$A$4)*(GJ[Ofc Code]=(TRIM(M$7)))*(GJ[Account Code]=(TRIM($D83))),GJ[Credit])))</f>
        <v>0</v>
      </c>
      <c r="N83" s="211">
        <f t="shared" si="16"/>
        <v>0</v>
      </c>
      <c r="O83" s="211">
        <f t="array" ref="O83">(SUM(IF((CkDJ[Date]=$A$4)*(CkDJ[Ofc Code]=(TRIM(O$7)))*(CkDJ[Account Code]=(TRIM($D83))),CkDJ[Debit])))+(SUM(IF((CsDJ[Date]=$A$4)*(CsDJ[Ofc Code]=(TRIM(O$7)))*(CsDJ[Account Code]=(TRIM($D83))),CsDJ[Debit])))+(SUM(IF((CRDJ[Date]=$A$4)*(CRDJ[Ofc Code]=(TRIM(O$7)))*(CRDJ[Account Code]=(TRIM($D83))),CRDJ[Debit])))+(SUM(IF((GJ[Date]=$A$4)*(GJ[Ofc Code]=(TRIM(O$7)))*(GJ[Account Code]=(TRIM($D83))),GJ[Debit])))-(SUM(IF((CkDJ[Date]=$A$4)*(CkDJ[Ofc Code]=(TRIM(O$7)))*(CkDJ[Account Code]=(TRIM($D83))),CkDJ[Credit])))+(SUM(IF((CsDJ[Date]=$A$4)*(CsDJ[Ofc Code]=(TRIM(O$7)))*(CsDJ[Account Code]=(TRIM($D83))),CsDJ[Credit])))+(SUM(IF((CRDJ[Date]=$A$4)*(CRDJ[Ofc Code]=(TRIM(O$7)))*(CRDJ[Account Code]=(TRIM($D83))),CRDJ[Credit])))+(SUM(IF((GJ[Date]=$A$4)*(GJ[Ofc Code]=(TRIM(O$7)))*(GJ[Account Code]=(TRIM($D83))),GJ[Credit])))</f>
        <v>0</v>
      </c>
      <c r="P83" s="211">
        <f t="array" ref="P83">(SUM(IF((CkDJ[Date]=$A$4)*(CkDJ[Ofc Code]=(TRIM(P$7)))*(CkDJ[Account Code]=(TRIM($D83))),CkDJ[Debit])))+(SUM(IF((CsDJ[Date]=$A$4)*(CsDJ[Ofc Code]=(TRIM(P$7)))*(CsDJ[Account Code]=(TRIM($D83))),CsDJ[Debit])))+(SUM(IF((CRDJ[Date]=$A$4)*(CRDJ[Ofc Code]=(TRIM(P$7)))*(CRDJ[Account Code]=(TRIM($D83))),CRDJ[Debit])))+(SUM(IF((GJ[Date]=$A$4)*(GJ[Ofc Code]=(TRIM(P$7)))*(GJ[Account Code]=(TRIM($D83))),GJ[Debit])))-(SUM(IF((CkDJ[Date]=$A$4)*(CkDJ[Ofc Code]=(TRIM(P$7)))*(CkDJ[Account Code]=(TRIM($D83))),CkDJ[Credit])))+(SUM(IF((CsDJ[Date]=$A$4)*(CsDJ[Ofc Code]=(TRIM(P$7)))*(CsDJ[Account Code]=(TRIM($D83))),CsDJ[Credit])))+(SUM(IF((CRDJ[Date]=$A$4)*(CRDJ[Ofc Code]=(TRIM(P$7)))*(CRDJ[Account Code]=(TRIM($D83))),CRDJ[Credit])))+(SUM(IF((GJ[Date]=$A$4)*(GJ[Ofc Code]=(TRIM(P$7)))*(GJ[Account Code]=(TRIM($D83))),GJ[Credit])))</f>
        <v>0</v>
      </c>
      <c r="Q83" s="211">
        <f t="array" ref="Q83">(SUM(IF((CkDJ[Date]=$A$4)*(CkDJ[Ofc Code]=(TRIM(Q$7)))*(CkDJ[Account Code]=(TRIM($D83))),CkDJ[Debit])))+(SUM(IF((CsDJ[Date]=$A$4)*(CsDJ[Ofc Code]=(TRIM(Q$7)))*(CsDJ[Account Code]=(TRIM($D83))),CsDJ[Debit])))+(SUM(IF((CRDJ[Date]=$A$4)*(CRDJ[Ofc Code]=(TRIM(Q$7)))*(CRDJ[Account Code]=(TRIM($D83))),CRDJ[Debit])))+(SUM(IF((GJ[Date]=$A$4)*(GJ[Ofc Code]=(TRIM(Q$7)))*(GJ[Account Code]=(TRIM($D83))),GJ[Debit])))-(SUM(IF((CkDJ[Date]=$A$4)*(CkDJ[Ofc Code]=(TRIM(Q$7)))*(CkDJ[Account Code]=(TRIM($D83))),CkDJ[Credit])))+(SUM(IF((CsDJ[Date]=$A$4)*(CsDJ[Ofc Code]=(TRIM(Q$7)))*(CsDJ[Account Code]=(TRIM($D83))),CsDJ[Credit])))+(SUM(IF((CRDJ[Date]=$A$4)*(CRDJ[Ofc Code]=(TRIM(Q$7)))*(CRDJ[Account Code]=(TRIM($D83))),CRDJ[Credit])))+(SUM(IF((GJ[Date]=$A$4)*(GJ[Ofc Code]=(TRIM(Q$7)))*(GJ[Account Code]=(TRIM($D83))),GJ[Credit])))</f>
        <v>0</v>
      </c>
      <c r="R83" s="211">
        <f t="array" ref="R83">(SUM(IF((CkDJ[Date]=$A$4)*(CkDJ[Ofc Code]=(TRIM(R$7)))*(CkDJ[Account Code]=(TRIM($D83))),CkDJ[Debit])))+(SUM(IF((CsDJ[Date]=$A$4)*(CsDJ[Ofc Code]=(TRIM(R$7)))*(CsDJ[Account Code]=(TRIM($D83))),CsDJ[Debit])))+(SUM(IF((CRDJ[Date]=$A$4)*(CRDJ[Ofc Code]=(TRIM(R$7)))*(CRDJ[Account Code]=(TRIM($D83))),CRDJ[Debit])))+(SUM(IF((GJ[Date]=$A$4)*(GJ[Ofc Code]=(TRIM(R$7)))*(GJ[Account Code]=(TRIM($D83))),GJ[Debit])))-(SUM(IF((CkDJ[Date]=$A$4)*(CkDJ[Ofc Code]=(TRIM(R$7)))*(CkDJ[Account Code]=(TRIM($D83))),CkDJ[Credit])))+(SUM(IF((CsDJ[Date]=$A$4)*(CsDJ[Ofc Code]=(TRIM(R$7)))*(CsDJ[Account Code]=(TRIM($D83))),CsDJ[Credit])))+(SUM(IF((CRDJ[Date]=$A$4)*(CRDJ[Ofc Code]=(TRIM(R$7)))*(CRDJ[Account Code]=(TRIM($D83))),CRDJ[Credit])))+(SUM(IF((GJ[Date]=$A$4)*(GJ[Ofc Code]=(TRIM(R$7)))*(GJ[Account Code]=(TRIM($D83))),GJ[Credit])))</f>
        <v>0</v>
      </c>
      <c r="S83" s="211">
        <f t="array" ref="S83">(SUM(IF((CkDJ[Date]=$A$4)*(CkDJ[Ofc Code]=(TRIM(S$7)))*(CkDJ[Account Code]=(TRIM($D83))),CkDJ[Debit])))+(SUM(IF((CsDJ[Date]=$A$4)*(CsDJ[Ofc Code]=(TRIM(S$7)))*(CsDJ[Account Code]=(TRIM($D83))),CsDJ[Debit])))+(SUM(IF((CRDJ[Date]=$A$4)*(CRDJ[Ofc Code]=(TRIM(S$7)))*(CRDJ[Account Code]=(TRIM($D83))),CRDJ[Debit])))+(SUM(IF((GJ[Date]=$A$4)*(GJ[Ofc Code]=(TRIM(S$7)))*(GJ[Account Code]=(TRIM($D83))),GJ[Debit])))-(SUM(IF((CkDJ[Date]=$A$4)*(CkDJ[Ofc Code]=(TRIM(S$7)))*(CkDJ[Account Code]=(TRIM($D83))),CkDJ[Credit])))+(SUM(IF((CsDJ[Date]=$A$4)*(CsDJ[Ofc Code]=(TRIM(S$7)))*(CsDJ[Account Code]=(TRIM($D83))),CsDJ[Credit])))+(SUM(IF((CRDJ[Date]=$A$4)*(CRDJ[Ofc Code]=(TRIM(S$7)))*(CRDJ[Account Code]=(TRIM($D83))),CRDJ[Credit])))+(SUM(IF((GJ[Date]=$A$4)*(GJ[Ofc Code]=(TRIM(S$7)))*(GJ[Account Code]=(TRIM($D83))),GJ[Credit])))</f>
        <v>0</v>
      </c>
      <c r="T83" s="211">
        <f t="shared" si="17"/>
        <v>0</v>
      </c>
      <c r="U83" s="211">
        <f t="shared" si="18"/>
        <v>0</v>
      </c>
    </row>
    <row r="84" spans="1:21" ht="15">
      <c r="A84" s="212">
        <f t="shared" si="19"/>
        <v>26</v>
      </c>
      <c r="B84" s="194" t="s">
        <v>756</v>
      </c>
      <c r="C84" s="194" t="str">
        <f t="shared" ref="C84:C89" si="20">IF(D84=0,"",(VLOOKUP((TRIM(D84)),Code,2,)))</f>
        <v>Repairs and Maintenance-Other Property, Plant and Equipment - Other Property, Plant and Equipment</v>
      </c>
      <c r="D84" s="207">
        <v>850</v>
      </c>
      <c r="E84" s="211">
        <f t="array" ref="E84">(SUM(IF((CkDJ[Date]=$A$4)*(CkDJ[Ofc Code]=(TRIM(E$7)))*(CkDJ[Account Code]=(TRIM($D84))),CkDJ[Debit])))+(SUM(IF((CsDJ[Date]=$A$4)*(CsDJ[Ofc Code]=(TRIM(E$7)))*(CsDJ[Account Code]=(TRIM($D84))),CsDJ[Debit])))+(SUM(IF((CRDJ[Date]=$A$4)*(CRDJ[Ofc Code]=(TRIM(E$7)))*(CRDJ[Account Code]=(TRIM($D84))),CRDJ[Debit])))+(SUM(IF((GJ[Date]=$A$4)*(GJ[Ofc Code]=(TRIM(E$7)))*(GJ[Account Code]=(TRIM($D84))),GJ[Debit])))-(SUM(IF((CkDJ[Date]=$A$4)*(CkDJ[Ofc Code]=(TRIM(E$7)))*(CkDJ[Account Code]=(TRIM($D84))),CkDJ[Credit])))+(SUM(IF((CsDJ[Date]=$A$4)*(CsDJ[Ofc Code]=(TRIM(E$7)))*(CsDJ[Account Code]=(TRIM($D84))),CsDJ[Credit])))+(SUM(IF((CRDJ[Date]=$A$4)*(CRDJ[Ofc Code]=(TRIM(E$7)))*(CRDJ[Account Code]=(TRIM($D84))),CRDJ[Credit])))+(SUM(IF((GJ[Date]=$A$4)*(GJ[Ofc Code]=(TRIM(E$7)))*(GJ[Account Code]=(TRIM($D84))),GJ[Credit])))</f>
        <v>0</v>
      </c>
      <c r="F84" s="211">
        <f t="array" ref="F84">(SUM(IF((CkDJ[Date]=$A$4)*(CkDJ[Ofc Code]=(TRIM(F$7)))*(CkDJ[Account Code]=(TRIM($D84))),CkDJ[Debit])))+(SUM(IF((CsDJ[Date]=$A$4)*(CsDJ[Ofc Code]=(TRIM(F$7)))*(CsDJ[Account Code]=(TRIM($D84))),CsDJ[Debit])))+(SUM(IF((CRDJ[Date]=$A$4)*(CRDJ[Ofc Code]=(TRIM(F$7)))*(CRDJ[Account Code]=(TRIM($D84))),CRDJ[Debit])))+(SUM(IF((GJ[Date]=$A$4)*(GJ[Ofc Code]=(TRIM(F$7)))*(GJ[Account Code]=(TRIM($D84))),GJ[Debit])))-(SUM(IF((CkDJ[Date]=$A$4)*(CkDJ[Ofc Code]=(TRIM(F$7)))*(CkDJ[Account Code]=(TRIM($D84))),CkDJ[Credit])))+(SUM(IF((CsDJ[Date]=$A$4)*(CsDJ[Ofc Code]=(TRIM(F$7)))*(CsDJ[Account Code]=(TRIM($D84))),CsDJ[Credit])))+(SUM(IF((CRDJ[Date]=$A$4)*(CRDJ[Ofc Code]=(TRIM(F$7)))*(CRDJ[Account Code]=(TRIM($D84))),CRDJ[Credit])))+(SUM(IF((GJ[Date]=$A$4)*(GJ[Ofc Code]=(TRIM(F$7)))*(GJ[Account Code]=(TRIM($D84))),GJ[Credit])))</f>
        <v>0</v>
      </c>
      <c r="G84" s="211">
        <f t="array" ref="G84">(SUM(IF((CkDJ[Date]=$A$4)*(CkDJ[Ofc Code]=(TRIM(G$7)))*(CkDJ[Account Code]=(TRIM($D84))),CkDJ[Debit])))+(SUM(IF((CsDJ[Date]=$A$4)*(CsDJ[Ofc Code]=(TRIM(G$7)))*(CsDJ[Account Code]=(TRIM($D84))),CsDJ[Debit])))+(SUM(IF((CRDJ[Date]=$A$4)*(CRDJ[Ofc Code]=(TRIM(G$7)))*(CRDJ[Account Code]=(TRIM($D84))),CRDJ[Debit])))+(SUM(IF((GJ[Date]=$A$4)*(GJ[Ofc Code]=(TRIM(G$7)))*(GJ[Account Code]=(TRIM($D84))),GJ[Debit])))-(SUM(IF((CkDJ[Date]=$A$4)*(CkDJ[Ofc Code]=(TRIM(G$7)))*(CkDJ[Account Code]=(TRIM($D84))),CkDJ[Credit])))+(SUM(IF((CsDJ[Date]=$A$4)*(CsDJ[Ofc Code]=(TRIM(G$7)))*(CsDJ[Account Code]=(TRIM($D84))),CsDJ[Credit])))+(SUM(IF((CRDJ[Date]=$A$4)*(CRDJ[Ofc Code]=(TRIM(G$7)))*(CRDJ[Account Code]=(TRIM($D84))),CRDJ[Credit])))+(SUM(IF((GJ[Date]=$A$4)*(GJ[Ofc Code]=(TRIM(G$7)))*(GJ[Account Code]=(TRIM($D84))),GJ[Credit])))</f>
        <v>0</v>
      </c>
      <c r="H84" s="211">
        <f t="array" ref="H84">(SUM(IF((CkDJ[Date]=$A$4)*(CkDJ[Ofc Code]=(TRIM(H$7)))*(CkDJ[Account Code]=(TRIM($D84))),CkDJ[Debit])))+(SUM(IF((CsDJ[Date]=$A$4)*(CsDJ[Ofc Code]=(TRIM(H$7)))*(CsDJ[Account Code]=(TRIM($D84))),CsDJ[Debit])))+(SUM(IF((CRDJ[Date]=$A$4)*(CRDJ[Ofc Code]=(TRIM(H$7)))*(CRDJ[Account Code]=(TRIM($D84))),CRDJ[Debit])))+(SUM(IF((GJ[Date]=$A$4)*(GJ[Ofc Code]=(TRIM(H$7)))*(GJ[Account Code]=(TRIM($D84))),GJ[Debit])))-(SUM(IF((CkDJ[Date]=$A$4)*(CkDJ[Ofc Code]=(TRIM(H$7)))*(CkDJ[Account Code]=(TRIM($D84))),CkDJ[Credit])))+(SUM(IF((CsDJ[Date]=$A$4)*(CsDJ[Ofc Code]=(TRIM(H$7)))*(CsDJ[Account Code]=(TRIM($D84))),CsDJ[Credit])))+(SUM(IF((CRDJ[Date]=$A$4)*(CRDJ[Ofc Code]=(TRIM(H$7)))*(CRDJ[Account Code]=(TRIM($D84))),CRDJ[Credit])))+(SUM(IF((GJ[Date]=$A$4)*(GJ[Ofc Code]=(TRIM(H$7)))*(GJ[Account Code]=(TRIM($D84))),GJ[Credit])))</f>
        <v>0</v>
      </c>
      <c r="I84" s="211">
        <f t="shared" ref="I84:I89" si="21">SUM(F84:H84)</f>
        <v>0</v>
      </c>
      <c r="J84" s="211">
        <f t="array" ref="J84">(SUM(IF((CkDJ[Date]=$A$4)*(CkDJ[Ofc Code]=(TRIM(J$7)))*(CkDJ[Account Code]=(TRIM($D84))),CkDJ[Debit])))+(SUM(IF((CsDJ[Date]=$A$4)*(CsDJ[Ofc Code]=(TRIM(J$7)))*(CsDJ[Account Code]=(TRIM($D84))),CsDJ[Debit])))+(SUM(IF((CRDJ[Date]=$A$4)*(CRDJ[Ofc Code]=(TRIM(J$7)))*(CRDJ[Account Code]=(TRIM($D84))),CRDJ[Debit])))+(SUM(IF((GJ[Date]=$A$4)*(GJ[Ofc Code]=(TRIM(J$7)))*(GJ[Account Code]=(TRIM($D84))),GJ[Debit])))-(SUM(IF((CkDJ[Date]=$A$4)*(CkDJ[Ofc Code]=(TRIM(J$7)))*(CkDJ[Account Code]=(TRIM($D84))),CkDJ[Credit])))+(SUM(IF((CsDJ[Date]=$A$4)*(CsDJ[Ofc Code]=(TRIM(J$7)))*(CsDJ[Account Code]=(TRIM($D84))),CsDJ[Credit])))+(SUM(IF((CRDJ[Date]=$A$4)*(CRDJ[Ofc Code]=(TRIM(J$7)))*(CRDJ[Account Code]=(TRIM($D84))),CRDJ[Credit])))+(SUM(IF((GJ[Date]=$A$4)*(GJ[Ofc Code]=(TRIM(J$7)))*(GJ[Account Code]=(TRIM($D84))),GJ[Credit])))</f>
        <v>0</v>
      </c>
      <c r="K84" s="211">
        <f t="array" ref="K84">(SUM(IF((CkDJ[Date]=$A$4)*(CkDJ[Ofc Code]=(TRIM(K$7)))*(CkDJ[Account Code]=(TRIM($D84))),CkDJ[Debit])))+(SUM(IF((CsDJ[Date]=$A$4)*(CsDJ[Ofc Code]=(TRIM(K$7)))*(CsDJ[Account Code]=(TRIM($D84))),CsDJ[Debit])))+(SUM(IF((CRDJ[Date]=$A$4)*(CRDJ[Ofc Code]=(TRIM(K$7)))*(CRDJ[Account Code]=(TRIM($D84))),CRDJ[Debit])))+(SUM(IF((GJ[Date]=$A$4)*(GJ[Ofc Code]=(TRIM(K$7)))*(GJ[Account Code]=(TRIM($D84))),GJ[Debit])))-(SUM(IF((CkDJ[Date]=$A$4)*(CkDJ[Ofc Code]=(TRIM(K$7)))*(CkDJ[Account Code]=(TRIM($D84))),CkDJ[Credit])))+(SUM(IF((CsDJ[Date]=$A$4)*(CsDJ[Ofc Code]=(TRIM(K$7)))*(CsDJ[Account Code]=(TRIM($D84))),CsDJ[Credit])))+(SUM(IF((CRDJ[Date]=$A$4)*(CRDJ[Ofc Code]=(TRIM(K$7)))*(CRDJ[Account Code]=(TRIM($D84))),CRDJ[Credit])))+(SUM(IF((GJ[Date]=$A$4)*(GJ[Ofc Code]=(TRIM(K$7)))*(GJ[Account Code]=(TRIM($D84))),GJ[Credit])))</f>
        <v>0</v>
      </c>
      <c r="L84" s="211">
        <f t="array" ref="L84">(SUM(IF((CkDJ[Date]=$A$4)*(CkDJ[Ofc Code]=(TRIM(L$7)))*(CkDJ[Account Code]=(TRIM($D84))),CkDJ[Debit])))+(SUM(IF((CsDJ[Date]=$A$4)*(CsDJ[Ofc Code]=(TRIM(L$7)))*(CsDJ[Account Code]=(TRIM($D84))),CsDJ[Debit])))+(SUM(IF((CRDJ[Date]=$A$4)*(CRDJ[Ofc Code]=(TRIM(L$7)))*(CRDJ[Account Code]=(TRIM($D84))),CRDJ[Debit])))+(SUM(IF((GJ[Date]=$A$4)*(GJ[Ofc Code]=(TRIM(L$7)))*(GJ[Account Code]=(TRIM($D84))),GJ[Debit])))-(SUM(IF((CkDJ[Date]=$A$4)*(CkDJ[Ofc Code]=(TRIM(L$7)))*(CkDJ[Account Code]=(TRIM($D84))),CkDJ[Credit])))+(SUM(IF((CsDJ[Date]=$A$4)*(CsDJ[Ofc Code]=(TRIM(L$7)))*(CsDJ[Account Code]=(TRIM($D84))),CsDJ[Credit])))+(SUM(IF((CRDJ[Date]=$A$4)*(CRDJ[Ofc Code]=(TRIM(L$7)))*(CRDJ[Account Code]=(TRIM($D84))),CRDJ[Credit])))+(SUM(IF((GJ[Date]=$A$4)*(GJ[Ofc Code]=(TRIM(L$7)))*(GJ[Account Code]=(TRIM($D84))),GJ[Credit])))</f>
        <v>0</v>
      </c>
      <c r="M84" s="211">
        <f t="array" ref="M84">(SUM(IF((CkDJ[Date]=$A$4)*(CkDJ[Ofc Code]=(TRIM(M$7)))*(CkDJ[Account Code]=(TRIM($D84))),CkDJ[Debit])))+(SUM(IF((CsDJ[Date]=$A$4)*(CsDJ[Ofc Code]=(TRIM(M$7)))*(CsDJ[Account Code]=(TRIM($D84))),CsDJ[Debit])))+(SUM(IF((CRDJ[Date]=$A$4)*(CRDJ[Ofc Code]=(TRIM(M$7)))*(CRDJ[Account Code]=(TRIM($D84))),CRDJ[Debit])))+(SUM(IF((GJ[Date]=$A$4)*(GJ[Ofc Code]=(TRIM(M$7)))*(GJ[Account Code]=(TRIM($D84))),GJ[Debit])))-(SUM(IF((CkDJ[Date]=$A$4)*(CkDJ[Ofc Code]=(TRIM(M$7)))*(CkDJ[Account Code]=(TRIM($D84))),CkDJ[Credit])))+(SUM(IF((CsDJ[Date]=$A$4)*(CsDJ[Ofc Code]=(TRIM(M$7)))*(CsDJ[Account Code]=(TRIM($D84))),CsDJ[Credit])))+(SUM(IF((CRDJ[Date]=$A$4)*(CRDJ[Ofc Code]=(TRIM(M$7)))*(CRDJ[Account Code]=(TRIM($D84))),CRDJ[Credit])))+(SUM(IF((GJ[Date]=$A$4)*(GJ[Ofc Code]=(TRIM(M$7)))*(GJ[Account Code]=(TRIM($D84))),GJ[Credit])))</f>
        <v>0</v>
      </c>
      <c r="N84" s="211">
        <f t="shared" ref="N84:N89" si="22">SUM(J84:M84)</f>
        <v>0</v>
      </c>
      <c r="O84" s="211">
        <f t="array" ref="O84">(SUM(IF((CkDJ[Date]=$A$4)*(CkDJ[Ofc Code]=(TRIM(O$7)))*(CkDJ[Account Code]=(TRIM($D84))),CkDJ[Debit])))+(SUM(IF((CsDJ[Date]=$A$4)*(CsDJ[Ofc Code]=(TRIM(O$7)))*(CsDJ[Account Code]=(TRIM($D84))),CsDJ[Debit])))+(SUM(IF((CRDJ[Date]=$A$4)*(CRDJ[Ofc Code]=(TRIM(O$7)))*(CRDJ[Account Code]=(TRIM($D84))),CRDJ[Debit])))+(SUM(IF((GJ[Date]=$A$4)*(GJ[Ofc Code]=(TRIM(O$7)))*(GJ[Account Code]=(TRIM($D84))),GJ[Debit])))-(SUM(IF((CkDJ[Date]=$A$4)*(CkDJ[Ofc Code]=(TRIM(O$7)))*(CkDJ[Account Code]=(TRIM($D84))),CkDJ[Credit])))+(SUM(IF((CsDJ[Date]=$A$4)*(CsDJ[Ofc Code]=(TRIM(O$7)))*(CsDJ[Account Code]=(TRIM($D84))),CsDJ[Credit])))+(SUM(IF((CRDJ[Date]=$A$4)*(CRDJ[Ofc Code]=(TRIM(O$7)))*(CRDJ[Account Code]=(TRIM($D84))),CRDJ[Credit])))+(SUM(IF((GJ[Date]=$A$4)*(GJ[Ofc Code]=(TRIM(O$7)))*(GJ[Account Code]=(TRIM($D84))),GJ[Credit])))</f>
        <v>0</v>
      </c>
      <c r="P84" s="211">
        <f t="array" ref="P84">(SUM(IF((CkDJ[Date]=$A$4)*(CkDJ[Ofc Code]=(TRIM(P$7)))*(CkDJ[Account Code]=(TRIM($D84))),CkDJ[Debit])))+(SUM(IF((CsDJ[Date]=$A$4)*(CsDJ[Ofc Code]=(TRIM(P$7)))*(CsDJ[Account Code]=(TRIM($D84))),CsDJ[Debit])))+(SUM(IF((CRDJ[Date]=$A$4)*(CRDJ[Ofc Code]=(TRIM(P$7)))*(CRDJ[Account Code]=(TRIM($D84))),CRDJ[Debit])))+(SUM(IF((GJ[Date]=$A$4)*(GJ[Ofc Code]=(TRIM(P$7)))*(GJ[Account Code]=(TRIM($D84))),GJ[Debit])))-(SUM(IF((CkDJ[Date]=$A$4)*(CkDJ[Ofc Code]=(TRIM(P$7)))*(CkDJ[Account Code]=(TRIM($D84))),CkDJ[Credit])))+(SUM(IF((CsDJ[Date]=$A$4)*(CsDJ[Ofc Code]=(TRIM(P$7)))*(CsDJ[Account Code]=(TRIM($D84))),CsDJ[Credit])))+(SUM(IF((CRDJ[Date]=$A$4)*(CRDJ[Ofc Code]=(TRIM(P$7)))*(CRDJ[Account Code]=(TRIM($D84))),CRDJ[Credit])))+(SUM(IF((GJ[Date]=$A$4)*(GJ[Ofc Code]=(TRIM(P$7)))*(GJ[Account Code]=(TRIM($D84))),GJ[Credit])))</f>
        <v>0</v>
      </c>
      <c r="Q84" s="211">
        <f t="array" ref="Q84">(SUM(IF((CkDJ[Date]=$A$4)*(CkDJ[Ofc Code]=(TRIM(Q$7)))*(CkDJ[Account Code]=(TRIM($D84))),CkDJ[Debit])))+(SUM(IF((CsDJ[Date]=$A$4)*(CsDJ[Ofc Code]=(TRIM(Q$7)))*(CsDJ[Account Code]=(TRIM($D84))),CsDJ[Debit])))+(SUM(IF((CRDJ[Date]=$A$4)*(CRDJ[Ofc Code]=(TRIM(Q$7)))*(CRDJ[Account Code]=(TRIM($D84))),CRDJ[Debit])))+(SUM(IF((GJ[Date]=$A$4)*(GJ[Ofc Code]=(TRIM(Q$7)))*(GJ[Account Code]=(TRIM($D84))),GJ[Debit])))-(SUM(IF((CkDJ[Date]=$A$4)*(CkDJ[Ofc Code]=(TRIM(Q$7)))*(CkDJ[Account Code]=(TRIM($D84))),CkDJ[Credit])))+(SUM(IF((CsDJ[Date]=$A$4)*(CsDJ[Ofc Code]=(TRIM(Q$7)))*(CsDJ[Account Code]=(TRIM($D84))),CsDJ[Credit])))+(SUM(IF((CRDJ[Date]=$A$4)*(CRDJ[Ofc Code]=(TRIM(Q$7)))*(CRDJ[Account Code]=(TRIM($D84))),CRDJ[Credit])))+(SUM(IF((GJ[Date]=$A$4)*(GJ[Ofc Code]=(TRIM(Q$7)))*(GJ[Account Code]=(TRIM($D84))),GJ[Credit])))</f>
        <v>0</v>
      </c>
      <c r="R84" s="211">
        <f t="array" ref="R84">(SUM(IF((CkDJ[Date]=$A$4)*(CkDJ[Ofc Code]=(TRIM(R$7)))*(CkDJ[Account Code]=(TRIM($D84))),CkDJ[Debit])))+(SUM(IF((CsDJ[Date]=$A$4)*(CsDJ[Ofc Code]=(TRIM(R$7)))*(CsDJ[Account Code]=(TRIM($D84))),CsDJ[Debit])))+(SUM(IF((CRDJ[Date]=$A$4)*(CRDJ[Ofc Code]=(TRIM(R$7)))*(CRDJ[Account Code]=(TRIM($D84))),CRDJ[Debit])))+(SUM(IF((GJ[Date]=$A$4)*(GJ[Ofc Code]=(TRIM(R$7)))*(GJ[Account Code]=(TRIM($D84))),GJ[Debit])))-(SUM(IF((CkDJ[Date]=$A$4)*(CkDJ[Ofc Code]=(TRIM(R$7)))*(CkDJ[Account Code]=(TRIM($D84))),CkDJ[Credit])))+(SUM(IF((CsDJ[Date]=$A$4)*(CsDJ[Ofc Code]=(TRIM(R$7)))*(CsDJ[Account Code]=(TRIM($D84))),CsDJ[Credit])))+(SUM(IF((CRDJ[Date]=$A$4)*(CRDJ[Ofc Code]=(TRIM(R$7)))*(CRDJ[Account Code]=(TRIM($D84))),CRDJ[Credit])))+(SUM(IF((GJ[Date]=$A$4)*(GJ[Ofc Code]=(TRIM(R$7)))*(GJ[Account Code]=(TRIM($D84))),GJ[Credit])))</f>
        <v>0</v>
      </c>
      <c r="S84" s="211">
        <f t="array" ref="S84">(SUM(IF((CkDJ[Date]=$A$4)*(CkDJ[Ofc Code]=(TRIM(S$7)))*(CkDJ[Account Code]=(TRIM($D84))),CkDJ[Debit])))+(SUM(IF((CsDJ[Date]=$A$4)*(CsDJ[Ofc Code]=(TRIM(S$7)))*(CsDJ[Account Code]=(TRIM($D84))),CsDJ[Debit])))+(SUM(IF((CRDJ[Date]=$A$4)*(CRDJ[Ofc Code]=(TRIM(S$7)))*(CRDJ[Account Code]=(TRIM($D84))),CRDJ[Debit])))+(SUM(IF((GJ[Date]=$A$4)*(GJ[Ofc Code]=(TRIM(S$7)))*(GJ[Account Code]=(TRIM($D84))),GJ[Debit])))-(SUM(IF((CkDJ[Date]=$A$4)*(CkDJ[Ofc Code]=(TRIM(S$7)))*(CkDJ[Account Code]=(TRIM($D84))),CkDJ[Credit])))+(SUM(IF((CsDJ[Date]=$A$4)*(CsDJ[Ofc Code]=(TRIM(S$7)))*(CsDJ[Account Code]=(TRIM($D84))),CsDJ[Credit])))+(SUM(IF((CRDJ[Date]=$A$4)*(CRDJ[Ofc Code]=(TRIM(S$7)))*(CRDJ[Account Code]=(TRIM($D84))),CRDJ[Credit])))+(SUM(IF((GJ[Date]=$A$4)*(GJ[Ofc Code]=(TRIM(S$7)))*(GJ[Account Code]=(TRIM($D84))),GJ[Credit])))</f>
        <v>0</v>
      </c>
      <c r="T84" s="211">
        <f t="shared" ref="T84:T89" si="23">SUM(O84:S84)</f>
        <v>0</v>
      </c>
      <c r="U84" s="211">
        <f t="shared" ref="U84:U89" si="24">E84+I84+N84+T84</f>
        <v>0</v>
      </c>
    </row>
    <row r="85" spans="1:21" ht="15">
      <c r="A85" s="212">
        <f t="shared" si="19"/>
        <v>27</v>
      </c>
      <c r="B85" s="194" t="s">
        <v>756</v>
      </c>
      <c r="C85" s="194" t="str">
        <f t="shared" si="20"/>
        <v>Repairs and Maintenance-Infrastructure Assets - Other Infrastructure Assets (Irrigation Canal &amp; Laterals)</v>
      </c>
      <c r="D85" s="207">
        <v>855</v>
      </c>
      <c r="E85" s="211">
        <f t="array" ref="E85">(SUM(IF((CkDJ[Date]=$A$4)*(CkDJ[Ofc Code]=(TRIM(E$7)))*(CkDJ[Account Code]=(TRIM($D85))),CkDJ[Debit])))+(SUM(IF((CsDJ[Date]=$A$4)*(CsDJ[Ofc Code]=(TRIM(E$7)))*(CsDJ[Account Code]=(TRIM($D85))),CsDJ[Debit])))+(SUM(IF((CRDJ[Date]=$A$4)*(CRDJ[Ofc Code]=(TRIM(E$7)))*(CRDJ[Account Code]=(TRIM($D85))),CRDJ[Debit])))+(SUM(IF((GJ[Date]=$A$4)*(GJ[Ofc Code]=(TRIM(E$7)))*(GJ[Account Code]=(TRIM($D85))),GJ[Debit])))-(SUM(IF((CkDJ[Date]=$A$4)*(CkDJ[Ofc Code]=(TRIM(E$7)))*(CkDJ[Account Code]=(TRIM($D85))),CkDJ[Credit])))+(SUM(IF((CsDJ[Date]=$A$4)*(CsDJ[Ofc Code]=(TRIM(E$7)))*(CsDJ[Account Code]=(TRIM($D85))),CsDJ[Credit])))+(SUM(IF((CRDJ[Date]=$A$4)*(CRDJ[Ofc Code]=(TRIM(E$7)))*(CRDJ[Account Code]=(TRIM($D85))),CRDJ[Credit])))+(SUM(IF((GJ[Date]=$A$4)*(GJ[Ofc Code]=(TRIM(E$7)))*(GJ[Account Code]=(TRIM($D85))),GJ[Credit])))</f>
        <v>0</v>
      </c>
      <c r="F85" s="211">
        <f t="array" ref="F85">(SUM(IF((CkDJ[Date]=$A$4)*(CkDJ[Ofc Code]=(TRIM(F$7)))*(CkDJ[Account Code]=(TRIM($D85))),CkDJ[Debit])))+(SUM(IF((CsDJ[Date]=$A$4)*(CsDJ[Ofc Code]=(TRIM(F$7)))*(CsDJ[Account Code]=(TRIM($D85))),CsDJ[Debit])))+(SUM(IF((CRDJ[Date]=$A$4)*(CRDJ[Ofc Code]=(TRIM(F$7)))*(CRDJ[Account Code]=(TRIM($D85))),CRDJ[Debit])))+(SUM(IF((GJ[Date]=$A$4)*(GJ[Ofc Code]=(TRIM(F$7)))*(GJ[Account Code]=(TRIM($D85))),GJ[Debit])))-(SUM(IF((CkDJ[Date]=$A$4)*(CkDJ[Ofc Code]=(TRIM(F$7)))*(CkDJ[Account Code]=(TRIM($D85))),CkDJ[Credit])))+(SUM(IF((CsDJ[Date]=$A$4)*(CsDJ[Ofc Code]=(TRIM(F$7)))*(CsDJ[Account Code]=(TRIM($D85))),CsDJ[Credit])))+(SUM(IF((CRDJ[Date]=$A$4)*(CRDJ[Ofc Code]=(TRIM(F$7)))*(CRDJ[Account Code]=(TRIM($D85))),CRDJ[Credit])))+(SUM(IF((GJ[Date]=$A$4)*(GJ[Ofc Code]=(TRIM(F$7)))*(GJ[Account Code]=(TRIM($D85))),GJ[Credit])))</f>
        <v>0</v>
      </c>
      <c r="G85" s="211">
        <f t="array" ref="G85">(SUM(IF((CkDJ[Date]=$A$4)*(CkDJ[Ofc Code]=(TRIM(G$7)))*(CkDJ[Account Code]=(TRIM($D85))),CkDJ[Debit])))+(SUM(IF((CsDJ[Date]=$A$4)*(CsDJ[Ofc Code]=(TRIM(G$7)))*(CsDJ[Account Code]=(TRIM($D85))),CsDJ[Debit])))+(SUM(IF((CRDJ[Date]=$A$4)*(CRDJ[Ofc Code]=(TRIM(G$7)))*(CRDJ[Account Code]=(TRIM($D85))),CRDJ[Debit])))+(SUM(IF((GJ[Date]=$A$4)*(GJ[Ofc Code]=(TRIM(G$7)))*(GJ[Account Code]=(TRIM($D85))),GJ[Debit])))-(SUM(IF((CkDJ[Date]=$A$4)*(CkDJ[Ofc Code]=(TRIM(G$7)))*(CkDJ[Account Code]=(TRIM($D85))),CkDJ[Credit])))+(SUM(IF((CsDJ[Date]=$A$4)*(CsDJ[Ofc Code]=(TRIM(G$7)))*(CsDJ[Account Code]=(TRIM($D85))),CsDJ[Credit])))+(SUM(IF((CRDJ[Date]=$A$4)*(CRDJ[Ofc Code]=(TRIM(G$7)))*(CRDJ[Account Code]=(TRIM($D85))),CRDJ[Credit])))+(SUM(IF((GJ[Date]=$A$4)*(GJ[Ofc Code]=(TRIM(G$7)))*(GJ[Account Code]=(TRIM($D85))),GJ[Credit])))</f>
        <v>0</v>
      </c>
      <c r="H85" s="211">
        <f t="array" ref="H85">(SUM(IF((CkDJ[Date]=$A$4)*(CkDJ[Ofc Code]=(TRIM(H$7)))*(CkDJ[Account Code]=(TRIM($D85))),CkDJ[Debit])))+(SUM(IF((CsDJ[Date]=$A$4)*(CsDJ[Ofc Code]=(TRIM(H$7)))*(CsDJ[Account Code]=(TRIM($D85))),CsDJ[Debit])))+(SUM(IF((CRDJ[Date]=$A$4)*(CRDJ[Ofc Code]=(TRIM(H$7)))*(CRDJ[Account Code]=(TRIM($D85))),CRDJ[Debit])))+(SUM(IF((GJ[Date]=$A$4)*(GJ[Ofc Code]=(TRIM(H$7)))*(GJ[Account Code]=(TRIM($D85))),GJ[Debit])))-(SUM(IF((CkDJ[Date]=$A$4)*(CkDJ[Ofc Code]=(TRIM(H$7)))*(CkDJ[Account Code]=(TRIM($D85))),CkDJ[Credit])))+(SUM(IF((CsDJ[Date]=$A$4)*(CsDJ[Ofc Code]=(TRIM(H$7)))*(CsDJ[Account Code]=(TRIM($D85))),CsDJ[Credit])))+(SUM(IF((CRDJ[Date]=$A$4)*(CRDJ[Ofc Code]=(TRIM(H$7)))*(CRDJ[Account Code]=(TRIM($D85))),CRDJ[Credit])))+(SUM(IF((GJ[Date]=$A$4)*(GJ[Ofc Code]=(TRIM(H$7)))*(GJ[Account Code]=(TRIM($D85))),GJ[Credit])))</f>
        <v>0</v>
      </c>
      <c r="I85" s="211">
        <f t="shared" si="21"/>
        <v>0</v>
      </c>
      <c r="J85" s="211">
        <f t="array" ref="J85">(SUM(IF((CkDJ[Date]=$A$4)*(CkDJ[Ofc Code]=(TRIM(J$7)))*(CkDJ[Account Code]=(TRIM($D85))),CkDJ[Debit])))+(SUM(IF((CsDJ[Date]=$A$4)*(CsDJ[Ofc Code]=(TRIM(J$7)))*(CsDJ[Account Code]=(TRIM($D85))),CsDJ[Debit])))+(SUM(IF((CRDJ[Date]=$A$4)*(CRDJ[Ofc Code]=(TRIM(J$7)))*(CRDJ[Account Code]=(TRIM($D85))),CRDJ[Debit])))+(SUM(IF((GJ[Date]=$A$4)*(GJ[Ofc Code]=(TRIM(J$7)))*(GJ[Account Code]=(TRIM($D85))),GJ[Debit])))-(SUM(IF((CkDJ[Date]=$A$4)*(CkDJ[Ofc Code]=(TRIM(J$7)))*(CkDJ[Account Code]=(TRIM($D85))),CkDJ[Credit])))+(SUM(IF((CsDJ[Date]=$A$4)*(CsDJ[Ofc Code]=(TRIM(J$7)))*(CsDJ[Account Code]=(TRIM($D85))),CsDJ[Credit])))+(SUM(IF((CRDJ[Date]=$A$4)*(CRDJ[Ofc Code]=(TRIM(J$7)))*(CRDJ[Account Code]=(TRIM($D85))),CRDJ[Credit])))+(SUM(IF((GJ[Date]=$A$4)*(GJ[Ofc Code]=(TRIM(J$7)))*(GJ[Account Code]=(TRIM($D85))),GJ[Credit])))</f>
        <v>0</v>
      </c>
      <c r="K85" s="211">
        <f t="array" ref="K85">(SUM(IF((CkDJ[Date]=$A$4)*(CkDJ[Ofc Code]=(TRIM(K$7)))*(CkDJ[Account Code]=(TRIM($D85))),CkDJ[Debit])))+(SUM(IF((CsDJ[Date]=$A$4)*(CsDJ[Ofc Code]=(TRIM(K$7)))*(CsDJ[Account Code]=(TRIM($D85))),CsDJ[Debit])))+(SUM(IF((CRDJ[Date]=$A$4)*(CRDJ[Ofc Code]=(TRIM(K$7)))*(CRDJ[Account Code]=(TRIM($D85))),CRDJ[Debit])))+(SUM(IF((GJ[Date]=$A$4)*(GJ[Ofc Code]=(TRIM(K$7)))*(GJ[Account Code]=(TRIM($D85))),GJ[Debit])))-(SUM(IF((CkDJ[Date]=$A$4)*(CkDJ[Ofc Code]=(TRIM(K$7)))*(CkDJ[Account Code]=(TRIM($D85))),CkDJ[Credit])))+(SUM(IF((CsDJ[Date]=$A$4)*(CsDJ[Ofc Code]=(TRIM(K$7)))*(CsDJ[Account Code]=(TRIM($D85))),CsDJ[Credit])))+(SUM(IF((CRDJ[Date]=$A$4)*(CRDJ[Ofc Code]=(TRIM(K$7)))*(CRDJ[Account Code]=(TRIM($D85))),CRDJ[Credit])))+(SUM(IF((GJ[Date]=$A$4)*(GJ[Ofc Code]=(TRIM(K$7)))*(GJ[Account Code]=(TRIM($D85))),GJ[Credit])))</f>
        <v>0</v>
      </c>
      <c r="L85" s="211">
        <f t="array" ref="L85">(SUM(IF((CkDJ[Date]=$A$4)*(CkDJ[Ofc Code]=(TRIM(L$7)))*(CkDJ[Account Code]=(TRIM($D85))),CkDJ[Debit])))+(SUM(IF((CsDJ[Date]=$A$4)*(CsDJ[Ofc Code]=(TRIM(L$7)))*(CsDJ[Account Code]=(TRIM($D85))),CsDJ[Debit])))+(SUM(IF((CRDJ[Date]=$A$4)*(CRDJ[Ofc Code]=(TRIM(L$7)))*(CRDJ[Account Code]=(TRIM($D85))),CRDJ[Debit])))+(SUM(IF((GJ[Date]=$A$4)*(GJ[Ofc Code]=(TRIM(L$7)))*(GJ[Account Code]=(TRIM($D85))),GJ[Debit])))-(SUM(IF((CkDJ[Date]=$A$4)*(CkDJ[Ofc Code]=(TRIM(L$7)))*(CkDJ[Account Code]=(TRIM($D85))),CkDJ[Credit])))+(SUM(IF((CsDJ[Date]=$A$4)*(CsDJ[Ofc Code]=(TRIM(L$7)))*(CsDJ[Account Code]=(TRIM($D85))),CsDJ[Credit])))+(SUM(IF((CRDJ[Date]=$A$4)*(CRDJ[Ofc Code]=(TRIM(L$7)))*(CRDJ[Account Code]=(TRIM($D85))),CRDJ[Credit])))+(SUM(IF((GJ[Date]=$A$4)*(GJ[Ofc Code]=(TRIM(L$7)))*(GJ[Account Code]=(TRIM($D85))),GJ[Credit])))</f>
        <v>0</v>
      </c>
      <c r="M85" s="211">
        <f t="array" ref="M85">(SUM(IF((CkDJ[Date]=$A$4)*(CkDJ[Ofc Code]=(TRIM(M$7)))*(CkDJ[Account Code]=(TRIM($D85))),CkDJ[Debit])))+(SUM(IF((CsDJ[Date]=$A$4)*(CsDJ[Ofc Code]=(TRIM(M$7)))*(CsDJ[Account Code]=(TRIM($D85))),CsDJ[Debit])))+(SUM(IF((CRDJ[Date]=$A$4)*(CRDJ[Ofc Code]=(TRIM(M$7)))*(CRDJ[Account Code]=(TRIM($D85))),CRDJ[Debit])))+(SUM(IF((GJ[Date]=$A$4)*(GJ[Ofc Code]=(TRIM(M$7)))*(GJ[Account Code]=(TRIM($D85))),GJ[Debit])))-(SUM(IF((CkDJ[Date]=$A$4)*(CkDJ[Ofc Code]=(TRIM(M$7)))*(CkDJ[Account Code]=(TRIM($D85))),CkDJ[Credit])))+(SUM(IF((CsDJ[Date]=$A$4)*(CsDJ[Ofc Code]=(TRIM(M$7)))*(CsDJ[Account Code]=(TRIM($D85))),CsDJ[Credit])))+(SUM(IF((CRDJ[Date]=$A$4)*(CRDJ[Ofc Code]=(TRIM(M$7)))*(CRDJ[Account Code]=(TRIM($D85))),CRDJ[Credit])))+(SUM(IF((GJ[Date]=$A$4)*(GJ[Ofc Code]=(TRIM(M$7)))*(GJ[Account Code]=(TRIM($D85))),GJ[Credit])))</f>
        <v>0</v>
      </c>
      <c r="N85" s="211">
        <f t="shared" si="22"/>
        <v>0</v>
      </c>
      <c r="O85" s="211">
        <f t="array" ref="O85">(SUM(IF((CkDJ[Date]=$A$4)*(CkDJ[Ofc Code]=(TRIM(O$7)))*(CkDJ[Account Code]=(TRIM($D85))),CkDJ[Debit])))+(SUM(IF((CsDJ[Date]=$A$4)*(CsDJ[Ofc Code]=(TRIM(O$7)))*(CsDJ[Account Code]=(TRIM($D85))),CsDJ[Debit])))+(SUM(IF((CRDJ[Date]=$A$4)*(CRDJ[Ofc Code]=(TRIM(O$7)))*(CRDJ[Account Code]=(TRIM($D85))),CRDJ[Debit])))+(SUM(IF((GJ[Date]=$A$4)*(GJ[Ofc Code]=(TRIM(O$7)))*(GJ[Account Code]=(TRIM($D85))),GJ[Debit])))-(SUM(IF((CkDJ[Date]=$A$4)*(CkDJ[Ofc Code]=(TRIM(O$7)))*(CkDJ[Account Code]=(TRIM($D85))),CkDJ[Credit])))+(SUM(IF((CsDJ[Date]=$A$4)*(CsDJ[Ofc Code]=(TRIM(O$7)))*(CsDJ[Account Code]=(TRIM($D85))),CsDJ[Credit])))+(SUM(IF((CRDJ[Date]=$A$4)*(CRDJ[Ofc Code]=(TRIM(O$7)))*(CRDJ[Account Code]=(TRIM($D85))),CRDJ[Credit])))+(SUM(IF((GJ[Date]=$A$4)*(GJ[Ofc Code]=(TRIM(O$7)))*(GJ[Account Code]=(TRIM($D85))),GJ[Credit])))</f>
        <v>0</v>
      </c>
      <c r="P85" s="211">
        <f t="array" ref="P85">(SUM(IF((CkDJ[Date]=$A$4)*(CkDJ[Ofc Code]=(TRIM(P$7)))*(CkDJ[Account Code]=(TRIM($D85))),CkDJ[Debit])))+(SUM(IF((CsDJ[Date]=$A$4)*(CsDJ[Ofc Code]=(TRIM(P$7)))*(CsDJ[Account Code]=(TRIM($D85))),CsDJ[Debit])))+(SUM(IF((CRDJ[Date]=$A$4)*(CRDJ[Ofc Code]=(TRIM(P$7)))*(CRDJ[Account Code]=(TRIM($D85))),CRDJ[Debit])))+(SUM(IF((GJ[Date]=$A$4)*(GJ[Ofc Code]=(TRIM(P$7)))*(GJ[Account Code]=(TRIM($D85))),GJ[Debit])))-(SUM(IF((CkDJ[Date]=$A$4)*(CkDJ[Ofc Code]=(TRIM(P$7)))*(CkDJ[Account Code]=(TRIM($D85))),CkDJ[Credit])))+(SUM(IF((CsDJ[Date]=$A$4)*(CsDJ[Ofc Code]=(TRIM(P$7)))*(CsDJ[Account Code]=(TRIM($D85))),CsDJ[Credit])))+(SUM(IF((CRDJ[Date]=$A$4)*(CRDJ[Ofc Code]=(TRIM(P$7)))*(CRDJ[Account Code]=(TRIM($D85))),CRDJ[Credit])))+(SUM(IF((GJ[Date]=$A$4)*(GJ[Ofc Code]=(TRIM(P$7)))*(GJ[Account Code]=(TRIM($D85))),GJ[Credit])))</f>
        <v>0</v>
      </c>
      <c r="Q85" s="211">
        <f t="array" ref="Q85">(SUM(IF((CkDJ[Date]=$A$4)*(CkDJ[Ofc Code]=(TRIM(Q$7)))*(CkDJ[Account Code]=(TRIM($D85))),CkDJ[Debit])))+(SUM(IF((CsDJ[Date]=$A$4)*(CsDJ[Ofc Code]=(TRIM(Q$7)))*(CsDJ[Account Code]=(TRIM($D85))),CsDJ[Debit])))+(SUM(IF((CRDJ[Date]=$A$4)*(CRDJ[Ofc Code]=(TRIM(Q$7)))*(CRDJ[Account Code]=(TRIM($D85))),CRDJ[Debit])))+(SUM(IF((GJ[Date]=$A$4)*(GJ[Ofc Code]=(TRIM(Q$7)))*(GJ[Account Code]=(TRIM($D85))),GJ[Debit])))-(SUM(IF((CkDJ[Date]=$A$4)*(CkDJ[Ofc Code]=(TRIM(Q$7)))*(CkDJ[Account Code]=(TRIM($D85))),CkDJ[Credit])))+(SUM(IF((CsDJ[Date]=$A$4)*(CsDJ[Ofc Code]=(TRIM(Q$7)))*(CsDJ[Account Code]=(TRIM($D85))),CsDJ[Credit])))+(SUM(IF((CRDJ[Date]=$A$4)*(CRDJ[Ofc Code]=(TRIM(Q$7)))*(CRDJ[Account Code]=(TRIM($D85))),CRDJ[Credit])))+(SUM(IF((GJ[Date]=$A$4)*(GJ[Ofc Code]=(TRIM(Q$7)))*(GJ[Account Code]=(TRIM($D85))),GJ[Credit])))</f>
        <v>0</v>
      </c>
      <c r="R85" s="211">
        <f t="array" ref="R85">(SUM(IF((CkDJ[Date]=$A$4)*(CkDJ[Ofc Code]=(TRIM(R$7)))*(CkDJ[Account Code]=(TRIM($D85))),CkDJ[Debit])))+(SUM(IF((CsDJ[Date]=$A$4)*(CsDJ[Ofc Code]=(TRIM(R$7)))*(CsDJ[Account Code]=(TRIM($D85))),CsDJ[Debit])))+(SUM(IF((CRDJ[Date]=$A$4)*(CRDJ[Ofc Code]=(TRIM(R$7)))*(CRDJ[Account Code]=(TRIM($D85))),CRDJ[Debit])))+(SUM(IF((GJ[Date]=$A$4)*(GJ[Ofc Code]=(TRIM(R$7)))*(GJ[Account Code]=(TRIM($D85))),GJ[Debit])))-(SUM(IF((CkDJ[Date]=$A$4)*(CkDJ[Ofc Code]=(TRIM(R$7)))*(CkDJ[Account Code]=(TRIM($D85))),CkDJ[Credit])))+(SUM(IF((CsDJ[Date]=$A$4)*(CsDJ[Ofc Code]=(TRIM(R$7)))*(CsDJ[Account Code]=(TRIM($D85))),CsDJ[Credit])))+(SUM(IF((CRDJ[Date]=$A$4)*(CRDJ[Ofc Code]=(TRIM(R$7)))*(CRDJ[Account Code]=(TRIM($D85))),CRDJ[Credit])))+(SUM(IF((GJ[Date]=$A$4)*(GJ[Ofc Code]=(TRIM(R$7)))*(GJ[Account Code]=(TRIM($D85))),GJ[Credit])))</f>
        <v>0</v>
      </c>
      <c r="S85" s="211">
        <f t="array" ref="S85">(SUM(IF((CkDJ[Date]=$A$4)*(CkDJ[Ofc Code]=(TRIM(S$7)))*(CkDJ[Account Code]=(TRIM($D85))),CkDJ[Debit])))+(SUM(IF((CsDJ[Date]=$A$4)*(CsDJ[Ofc Code]=(TRIM(S$7)))*(CsDJ[Account Code]=(TRIM($D85))),CsDJ[Debit])))+(SUM(IF((CRDJ[Date]=$A$4)*(CRDJ[Ofc Code]=(TRIM(S$7)))*(CRDJ[Account Code]=(TRIM($D85))),CRDJ[Debit])))+(SUM(IF((GJ[Date]=$A$4)*(GJ[Ofc Code]=(TRIM(S$7)))*(GJ[Account Code]=(TRIM($D85))),GJ[Debit])))-(SUM(IF((CkDJ[Date]=$A$4)*(CkDJ[Ofc Code]=(TRIM(S$7)))*(CkDJ[Account Code]=(TRIM($D85))),CkDJ[Credit])))+(SUM(IF((CsDJ[Date]=$A$4)*(CsDJ[Ofc Code]=(TRIM(S$7)))*(CsDJ[Account Code]=(TRIM($D85))),CsDJ[Credit])))+(SUM(IF((CRDJ[Date]=$A$4)*(CRDJ[Ofc Code]=(TRIM(S$7)))*(CRDJ[Account Code]=(TRIM($D85))),CRDJ[Credit])))+(SUM(IF((GJ[Date]=$A$4)*(GJ[Ofc Code]=(TRIM(S$7)))*(GJ[Account Code]=(TRIM($D85))),GJ[Credit])))</f>
        <v>0</v>
      </c>
      <c r="T85" s="211">
        <f t="shared" si="23"/>
        <v>0</v>
      </c>
      <c r="U85" s="211">
        <f t="shared" si="24"/>
        <v>0</v>
      </c>
    </row>
    <row r="86" spans="1:21" ht="15">
      <c r="A86" s="212">
        <f t="shared" si="19"/>
        <v>28</v>
      </c>
      <c r="B86" s="194" t="s">
        <v>756</v>
      </c>
      <c r="C86" s="194" t="str">
        <f t="shared" si="20"/>
        <v>Other Maintenance and Operating Expenses</v>
      </c>
      <c r="D86" s="207" t="s">
        <v>408</v>
      </c>
      <c r="E86" s="211">
        <f t="array" ref="E86">(SUM(IF((CkDJ[Date]=$A$4)*(CkDJ[Ofc Code]=(TRIM(E$7)))*(CkDJ[Account Code]=(TRIM($D86))),CkDJ[Debit])))+(SUM(IF((CsDJ[Date]=$A$4)*(CsDJ[Ofc Code]=(TRIM(E$7)))*(CsDJ[Account Code]=(TRIM($D86))),CsDJ[Debit])))+(SUM(IF((CRDJ[Date]=$A$4)*(CRDJ[Ofc Code]=(TRIM(E$7)))*(CRDJ[Account Code]=(TRIM($D86))),CRDJ[Debit])))+(SUM(IF((GJ[Date]=$A$4)*(GJ[Ofc Code]=(TRIM(E$7)))*(GJ[Account Code]=(TRIM($D86))),GJ[Debit])))-(SUM(IF((CkDJ[Date]=$A$4)*(CkDJ[Ofc Code]=(TRIM(E$7)))*(CkDJ[Account Code]=(TRIM($D86))),CkDJ[Credit])))+(SUM(IF((CsDJ[Date]=$A$4)*(CsDJ[Ofc Code]=(TRIM(E$7)))*(CsDJ[Account Code]=(TRIM($D86))),CsDJ[Credit])))+(SUM(IF((CRDJ[Date]=$A$4)*(CRDJ[Ofc Code]=(TRIM(E$7)))*(CRDJ[Account Code]=(TRIM($D86))),CRDJ[Credit])))+(SUM(IF((GJ[Date]=$A$4)*(GJ[Ofc Code]=(TRIM(E$7)))*(GJ[Account Code]=(TRIM($D86))),GJ[Credit])))</f>
        <v>0</v>
      </c>
      <c r="F86" s="211">
        <f t="array" ref="F86">(SUM(IF((CkDJ[Date]=$A$4)*(CkDJ[Ofc Code]=(TRIM(F$7)))*(CkDJ[Account Code]=(TRIM($D86))),CkDJ[Debit])))+(SUM(IF((CsDJ[Date]=$A$4)*(CsDJ[Ofc Code]=(TRIM(F$7)))*(CsDJ[Account Code]=(TRIM($D86))),CsDJ[Debit])))+(SUM(IF((CRDJ[Date]=$A$4)*(CRDJ[Ofc Code]=(TRIM(F$7)))*(CRDJ[Account Code]=(TRIM($D86))),CRDJ[Debit])))+(SUM(IF((GJ[Date]=$A$4)*(GJ[Ofc Code]=(TRIM(F$7)))*(GJ[Account Code]=(TRIM($D86))),GJ[Debit])))-(SUM(IF((CkDJ[Date]=$A$4)*(CkDJ[Ofc Code]=(TRIM(F$7)))*(CkDJ[Account Code]=(TRIM($D86))),CkDJ[Credit])))+(SUM(IF((CsDJ[Date]=$A$4)*(CsDJ[Ofc Code]=(TRIM(F$7)))*(CsDJ[Account Code]=(TRIM($D86))),CsDJ[Credit])))+(SUM(IF((CRDJ[Date]=$A$4)*(CRDJ[Ofc Code]=(TRIM(F$7)))*(CRDJ[Account Code]=(TRIM($D86))),CRDJ[Credit])))+(SUM(IF((GJ[Date]=$A$4)*(GJ[Ofc Code]=(TRIM(F$7)))*(GJ[Account Code]=(TRIM($D86))),GJ[Credit])))</f>
        <v>0</v>
      </c>
      <c r="G86" s="211">
        <f t="array" ref="G86">(SUM(IF((CkDJ[Date]=$A$4)*(CkDJ[Ofc Code]=(TRIM(G$7)))*(CkDJ[Account Code]=(TRIM($D86))),CkDJ[Debit])))+(SUM(IF((CsDJ[Date]=$A$4)*(CsDJ[Ofc Code]=(TRIM(G$7)))*(CsDJ[Account Code]=(TRIM($D86))),CsDJ[Debit])))+(SUM(IF((CRDJ[Date]=$A$4)*(CRDJ[Ofc Code]=(TRIM(G$7)))*(CRDJ[Account Code]=(TRIM($D86))),CRDJ[Debit])))+(SUM(IF((GJ[Date]=$A$4)*(GJ[Ofc Code]=(TRIM(G$7)))*(GJ[Account Code]=(TRIM($D86))),GJ[Debit])))-(SUM(IF((CkDJ[Date]=$A$4)*(CkDJ[Ofc Code]=(TRIM(G$7)))*(CkDJ[Account Code]=(TRIM($D86))),CkDJ[Credit])))+(SUM(IF((CsDJ[Date]=$A$4)*(CsDJ[Ofc Code]=(TRIM(G$7)))*(CsDJ[Account Code]=(TRIM($D86))),CsDJ[Credit])))+(SUM(IF((CRDJ[Date]=$A$4)*(CRDJ[Ofc Code]=(TRIM(G$7)))*(CRDJ[Account Code]=(TRIM($D86))),CRDJ[Credit])))+(SUM(IF((GJ[Date]=$A$4)*(GJ[Ofc Code]=(TRIM(G$7)))*(GJ[Account Code]=(TRIM($D86))),GJ[Credit])))</f>
        <v>0</v>
      </c>
      <c r="H86" s="211">
        <f t="array" ref="H86">(SUM(IF((CkDJ[Date]=$A$4)*(CkDJ[Ofc Code]=(TRIM(H$7)))*(CkDJ[Account Code]=(TRIM($D86))),CkDJ[Debit])))+(SUM(IF((CsDJ[Date]=$A$4)*(CsDJ[Ofc Code]=(TRIM(H$7)))*(CsDJ[Account Code]=(TRIM($D86))),CsDJ[Debit])))+(SUM(IF((CRDJ[Date]=$A$4)*(CRDJ[Ofc Code]=(TRIM(H$7)))*(CRDJ[Account Code]=(TRIM($D86))),CRDJ[Debit])))+(SUM(IF((GJ[Date]=$A$4)*(GJ[Ofc Code]=(TRIM(H$7)))*(GJ[Account Code]=(TRIM($D86))),GJ[Debit])))-(SUM(IF((CkDJ[Date]=$A$4)*(CkDJ[Ofc Code]=(TRIM(H$7)))*(CkDJ[Account Code]=(TRIM($D86))),CkDJ[Credit])))+(SUM(IF((CsDJ[Date]=$A$4)*(CsDJ[Ofc Code]=(TRIM(H$7)))*(CsDJ[Account Code]=(TRIM($D86))),CsDJ[Credit])))+(SUM(IF((CRDJ[Date]=$A$4)*(CRDJ[Ofc Code]=(TRIM(H$7)))*(CRDJ[Account Code]=(TRIM($D86))),CRDJ[Credit])))+(SUM(IF((GJ[Date]=$A$4)*(GJ[Ofc Code]=(TRIM(H$7)))*(GJ[Account Code]=(TRIM($D86))),GJ[Credit])))</f>
        <v>0</v>
      </c>
      <c r="I86" s="211">
        <f t="shared" si="21"/>
        <v>0</v>
      </c>
      <c r="J86" s="211">
        <f t="array" ref="J86">(SUM(IF((CkDJ[Date]=$A$4)*(CkDJ[Ofc Code]=(TRIM(J$7)))*(CkDJ[Account Code]=(TRIM($D86))),CkDJ[Debit])))+(SUM(IF((CsDJ[Date]=$A$4)*(CsDJ[Ofc Code]=(TRIM(J$7)))*(CsDJ[Account Code]=(TRIM($D86))),CsDJ[Debit])))+(SUM(IF((CRDJ[Date]=$A$4)*(CRDJ[Ofc Code]=(TRIM(J$7)))*(CRDJ[Account Code]=(TRIM($D86))),CRDJ[Debit])))+(SUM(IF((GJ[Date]=$A$4)*(GJ[Ofc Code]=(TRIM(J$7)))*(GJ[Account Code]=(TRIM($D86))),GJ[Debit])))-(SUM(IF((CkDJ[Date]=$A$4)*(CkDJ[Ofc Code]=(TRIM(J$7)))*(CkDJ[Account Code]=(TRIM($D86))),CkDJ[Credit])))+(SUM(IF((CsDJ[Date]=$A$4)*(CsDJ[Ofc Code]=(TRIM(J$7)))*(CsDJ[Account Code]=(TRIM($D86))),CsDJ[Credit])))+(SUM(IF((CRDJ[Date]=$A$4)*(CRDJ[Ofc Code]=(TRIM(J$7)))*(CRDJ[Account Code]=(TRIM($D86))),CRDJ[Credit])))+(SUM(IF((GJ[Date]=$A$4)*(GJ[Ofc Code]=(TRIM(J$7)))*(GJ[Account Code]=(TRIM($D86))),GJ[Credit])))</f>
        <v>0</v>
      </c>
      <c r="K86" s="211">
        <f t="array" ref="K86">(SUM(IF((CkDJ[Date]=$A$4)*(CkDJ[Ofc Code]=(TRIM(K$7)))*(CkDJ[Account Code]=(TRIM($D86))),CkDJ[Debit])))+(SUM(IF((CsDJ[Date]=$A$4)*(CsDJ[Ofc Code]=(TRIM(K$7)))*(CsDJ[Account Code]=(TRIM($D86))),CsDJ[Debit])))+(SUM(IF((CRDJ[Date]=$A$4)*(CRDJ[Ofc Code]=(TRIM(K$7)))*(CRDJ[Account Code]=(TRIM($D86))),CRDJ[Debit])))+(SUM(IF((GJ[Date]=$A$4)*(GJ[Ofc Code]=(TRIM(K$7)))*(GJ[Account Code]=(TRIM($D86))),GJ[Debit])))-(SUM(IF((CkDJ[Date]=$A$4)*(CkDJ[Ofc Code]=(TRIM(K$7)))*(CkDJ[Account Code]=(TRIM($D86))),CkDJ[Credit])))+(SUM(IF((CsDJ[Date]=$A$4)*(CsDJ[Ofc Code]=(TRIM(K$7)))*(CsDJ[Account Code]=(TRIM($D86))),CsDJ[Credit])))+(SUM(IF((CRDJ[Date]=$A$4)*(CRDJ[Ofc Code]=(TRIM(K$7)))*(CRDJ[Account Code]=(TRIM($D86))),CRDJ[Credit])))+(SUM(IF((GJ[Date]=$A$4)*(GJ[Ofc Code]=(TRIM(K$7)))*(GJ[Account Code]=(TRIM($D86))),GJ[Credit])))</f>
        <v>0</v>
      </c>
      <c r="L86" s="211">
        <f t="array" ref="L86">(SUM(IF((CkDJ[Date]=$A$4)*(CkDJ[Ofc Code]=(TRIM(L$7)))*(CkDJ[Account Code]=(TRIM($D86))),CkDJ[Debit])))+(SUM(IF((CsDJ[Date]=$A$4)*(CsDJ[Ofc Code]=(TRIM(L$7)))*(CsDJ[Account Code]=(TRIM($D86))),CsDJ[Debit])))+(SUM(IF((CRDJ[Date]=$A$4)*(CRDJ[Ofc Code]=(TRIM(L$7)))*(CRDJ[Account Code]=(TRIM($D86))),CRDJ[Debit])))+(SUM(IF((GJ[Date]=$A$4)*(GJ[Ofc Code]=(TRIM(L$7)))*(GJ[Account Code]=(TRIM($D86))),GJ[Debit])))-(SUM(IF((CkDJ[Date]=$A$4)*(CkDJ[Ofc Code]=(TRIM(L$7)))*(CkDJ[Account Code]=(TRIM($D86))),CkDJ[Credit])))+(SUM(IF((CsDJ[Date]=$A$4)*(CsDJ[Ofc Code]=(TRIM(L$7)))*(CsDJ[Account Code]=(TRIM($D86))),CsDJ[Credit])))+(SUM(IF((CRDJ[Date]=$A$4)*(CRDJ[Ofc Code]=(TRIM(L$7)))*(CRDJ[Account Code]=(TRIM($D86))),CRDJ[Credit])))+(SUM(IF((GJ[Date]=$A$4)*(GJ[Ofc Code]=(TRIM(L$7)))*(GJ[Account Code]=(TRIM($D86))),GJ[Credit])))</f>
        <v>0</v>
      </c>
      <c r="M86" s="211">
        <f t="array" ref="M86">(SUM(IF((CkDJ[Date]=$A$4)*(CkDJ[Ofc Code]=(TRIM(M$7)))*(CkDJ[Account Code]=(TRIM($D86))),CkDJ[Debit])))+(SUM(IF((CsDJ[Date]=$A$4)*(CsDJ[Ofc Code]=(TRIM(M$7)))*(CsDJ[Account Code]=(TRIM($D86))),CsDJ[Debit])))+(SUM(IF((CRDJ[Date]=$A$4)*(CRDJ[Ofc Code]=(TRIM(M$7)))*(CRDJ[Account Code]=(TRIM($D86))),CRDJ[Debit])))+(SUM(IF((GJ[Date]=$A$4)*(GJ[Ofc Code]=(TRIM(M$7)))*(GJ[Account Code]=(TRIM($D86))),GJ[Debit])))-(SUM(IF((CkDJ[Date]=$A$4)*(CkDJ[Ofc Code]=(TRIM(M$7)))*(CkDJ[Account Code]=(TRIM($D86))),CkDJ[Credit])))+(SUM(IF((CsDJ[Date]=$A$4)*(CsDJ[Ofc Code]=(TRIM(M$7)))*(CsDJ[Account Code]=(TRIM($D86))),CsDJ[Credit])))+(SUM(IF((CRDJ[Date]=$A$4)*(CRDJ[Ofc Code]=(TRIM(M$7)))*(CRDJ[Account Code]=(TRIM($D86))),CRDJ[Credit])))+(SUM(IF((GJ[Date]=$A$4)*(GJ[Ofc Code]=(TRIM(M$7)))*(GJ[Account Code]=(TRIM($D86))),GJ[Credit])))</f>
        <v>0</v>
      </c>
      <c r="N86" s="211">
        <f t="shared" si="22"/>
        <v>0</v>
      </c>
      <c r="O86" s="211">
        <f t="array" ref="O86">(SUM(IF((CkDJ[Date]=$A$4)*(CkDJ[Ofc Code]=(TRIM(O$7)))*(CkDJ[Account Code]=(TRIM($D86))),CkDJ[Debit])))+(SUM(IF((CsDJ[Date]=$A$4)*(CsDJ[Ofc Code]=(TRIM(O$7)))*(CsDJ[Account Code]=(TRIM($D86))),CsDJ[Debit])))+(SUM(IF((CRDJ[Date]=$A$4)*(CRDJ[Ofc Code]=(TRIM(O$7)))*(CRDJ[Account Code]=(TRIM($D86))),CRDJ[Debit])))+(SUM(IF((GJ[Date]=$A$4)*(GJ[Ofc Code]=(TRIM(O$7)))*(GJ[Account Code]=(TRIM($D86))),GJ[Debit])))-(SUM(IF((CkDJ[Date]=$A$4)*(CkDJ[Ofc Code]=(TRIM(O$7)))*(CkDJ[Account Code]=(TRIM($D86))),CkDJ[Credit])))+(SUM(IF((CsDJ[Date]=$A$4)*(CsDJ[Ofc Code]=(TRIM(O$7)))*(CsDJ[Account Code]=(TRIM($D86))),CsDJ[Credit])))+(SUM(IF((CRDJ[Date]=$A$4)*(CRDJ[Ofc Code]=(TRIM(O$7)))*(CRDJ[Account Code]=(TRIM($D86))),CRDJ[Credit])))+(SUM(IF((GJ[Date]=$A$4)*(GJ[Ofc Code]=(TRIM(O$7)))*(GJ[Account Code]=(TRIM($D86))),GJ[Credit])))</f>
        <v>0</v>
      </c>
      <c r="P86" s="211">
        <f t="array" ref="P86">(SUM(IF((CkDJ[Date]=$A$4)*(CkDJ[Ofc Code]=(TRIM(P$7)))*(CkDJ[Account Code]=(TRIM($D86))),CkDJ[Debit])))+(SUM(IF((CsDJ[Date]=$A$4)*(CsDJ[Ofc Code]=(TRIM(P$7)))*(CsDJ[Account Code]=(TRIM($D86))),CsDJ[Debit])))+(SUM(IF((CRDJ[Date]=$A$4)*(CRDJ[Ofc Code]=(TRIM(P$7)))*(CRDJ[Account Code]=(TRIM($D86))),CRDJ[Debit])))+(SUM(IF((GJ[Date]=$A$4)*(GJ[Ofc Code]=(TRIM(P$7)))*(GJ[Account Code]=(TRIM($D86))),GJ[Debit])))-(SUM(IF((CkDJ[Date]=$A$4)*(CkDJ[Ofc Code]=(TRIM(P$7)))*(CkDJ[Account Code]=(TRIM($D86))),CkDJ[Credit])))+(SUM(IF((CsDJ[Date]=$A$4)*(CsDJ[Ofc Code]=(TRIM(P$7)))*(CsDJ[Account Code]=(TRIM($D86))),CsDJ[Credit])))+(SUM(IF((CRDJ[Date]=$A$4)*(CRDJ[Ofc Code]=(TRIM(P$7)))*(CRDJ[Account Code]=(TRIM($D86))),CRDJ[Credit])))+(SUM(IF((GJ[Date]=$A$4)*(GJ[Ofc Code]=(TRIM(P$7)))*(GJ[Account Code]=(TRIM($D86))),GJ[Credit])))</f>
        <v>0</v>
      </c>
      <c r="Q86" s="211">
        <f t="array" ref="Q86">(SUM(IF((CkDJ[Date]=$A$4)*(CkDJ[Ofc Code]=(TRIM(Q$7)))*(CkDJ[Account Code]=(TRIM($D86))),CkDJ[Debit])))+(SUM(IF((CsDJ[Date]=$A$4)*(CsDJ[Ofc Code]=(TRIM(Q$7)))*(CsDJ[Account Code]=(TRIM($D86))),CsDJ[Debit])))+(SUM(IF((CRDJ[Date]=$A$4)*(CRDJ[Ofc Code]=(TRIM(Q$7)))*(CRDJ[Account Code]=(TRIM($D86))),CRDJ[Debit])))+(SUM(IF((GJ[Date]=$A$4)*(GJ[Ofc Code]=(TRIM(Q$7)))*(GJ[Account Code]=(TRIM($D86))),GJ[Debit])))-(SUM(IF((CkDJ[Date]=$A$4)*(CkDJ[Ofc Code]=(TRIM(Q$7)))*(CkDJ[Account Code]=(TRIM($D86))),CkDJ[Credit])))+(SUM(IF((CsDJ[Date]=$A$4)*(CsDJ[Ofc Code]=(TRIM(Q$7)))*(CsDJ[Account Code]=(TRIM($D86))),CsDJ[Credit])))+(SUM(IF((CRDJ[Date]=$A$4)*(CRDJ[Ofc Code]=(TRIM(Q$7)))*(CRDJ[Account Code]=(TRIM($D86))),CRDJ[Credit])))+(SUM(IF((GJ[Date]=$A$4)*(GJ[Ofc Code]=(TRIM(Q$7)))*(GJ[Account Code]=(TRIM($D86))),GJ[Credit])))</f>
        <v>0</v>
      </c>
      <c r="R86" s="211">
        <f t="array" ref="R86">(SUM(IF((CkDJ[Date]=$A$4)*(CkDJ[Ofc Code]=(TRIM(R$7)))*(CkDJ[Account Code]=(TRIM($D86))),CkDJ[Debit])))+(SUM(IF((CsDJ[Date]=$A$4)*(CsDJ[Ofc Code]=(TRIM(R$7)))*(CsDJ[Account Code]=(TRIM($D86))),CsDJ[Debit])))+(SUM(IF((CRDJ[Date]=$A$4)*(CRDJ[Ofc Code]=(TRIM(R$7)))*(CRDJ[Account Code]=(TRIM($D86))),CRDJ[Debit])))+(SUM(IF((GJ[Date]=$A$4)*(GJ[Ofc Code]=(TRIM(R$7)))*(GJ[Account Code]=(TRIM($D86))),GJ[Debit])))-(SUM(IF((CkDJ[Date]=$A$4)*(CkDJ[Ofc Code]=(TRIM(R$7)))*(CkDJ[Account Code]=(TRIM($D86))),CkDJ[Credit])))+(SUM(IF((CsDJ[Date]=$A$4)*(CsDJ[Ofc Code]=(TRIM(R$7)))*(CsDJ[Account Code]=(TRIM($D86))),CsDJ[Credit])))+(SUM(IF((CRDJ[Date]=$A$4)*(CRDJ[Ofc Code]=(TRIM(R$7)))*(CRDJ[Account Code]=(TRIM($D86))),CRDJ[Credit])))+(SUM(IF((GJ[Date]=$A$4)*(GJ[Ofc Code]=(TRIM(R$7)))*(GJ[Account Code]=(TRIM($D86))),GJ[Credit])))</f>
        <v>0</v>
      </c>
      <c r="S86" s="211">
        <f t="array" ref="S86">(SUM(IF((CkDJ[Date]=$A$4)*(CkDJ[Ofc Code]=(TRIM(S$7)))*(CkDJ[Account Code]=(TRIM($D86))),CkDJ[Debit])))+(SUM(IF((CsDJ[Date]=$A$4)*(CsDJ[Ofc Code]=(TRIM(S$7)))*(CsDJ[Account Code]=(TRIM($D86))),CsDJ[Debit])))+(SUM(IF((CRDJ[Date]=$A$4)*(CRDJ[Ofc Code]=(TRIM(S$7)))*(CRDJ[Account Code]=(TRIM($D86))),CRDJ[Debit])))+(SUM(IF((GJ[Date]=$A$4)*(GJ[Ofc Code]=(TRIM(S$7)))*(GJ[Account Code]=(TRIM($D86))),GJ[Debit])))-(SUM(IF((CkDJ[Date]=$A$4)*(CkDJ[Ofc Code]=(TRIM(S$7)))*(CkDJ[Account Code]=(TRIM($D86))),CkDJ[Credit])))+(SUM(IF((CsDJ[Date]=$A$4)*(CsDJ[Ofc Code]=(TRIM(S$7)))*(CsDJ[Account Code]=(TRIM($D86))),CsDJ[Credit])))+(SUM(IF((CRDJ[Date]=$A$4)*(CRDJ[Ofc Code]=(TRIM(S$7)))*(CRDJ[Account Code]=(TRIM($D86))),CRDJ[Credit])))+(SUM(IF((GJ[Date]=$A$4)*(GJ[Ofc Code]=(TRIM(S$7)))*(GJ[Account Code]=(TRIM($D86))),GJ[Credit])))</f>
        <v>0</v>
      </c>
      <c r="T86" s="211">
        <f t="shared" si="23"/>
        <v>0</v>
      </c>
      <c r="U86" s="211">
        <f t="shared" si="24"/>
        <v>0</v>
      </c>
    </row>
    <row r="87" spans="1:21" ht="15">
      <c r="A87" s="212">
        <f t="shared" si="19"/>
        <v>29</v>
      </c>
      <c r="B87" s="194" t="s">
        <v>756</v>
      </c>
      <c r="C87" s="194" t="str">
        <f t="shared" si="20"/>
        <v>Other Maintenance and Operating Expenses - Other Maintenance and Operating Expenses</v>
      </c>
      <c r="D87" s="207" t="s">
        <v>271</v>
      </c>
      <c r="E87" s="211">
        <f t="array" ref="E87">(SUM(IF((CkDJ[Date]=$A$4)*(CkDJ[Ofc Code]=(TRIM(E$7)))*(CkDJ[Account Code]=(TRIM($D87))),CkDJ[Debit])))+(SUM(IF((CsDJ[Date]=$A$4)*(CsDJ[Ofc Code]=(TRIM(E$7)))*(CsDJ[Account Code]=(TRIM($D87))),CsDJ[Debit])))+(SUM(IF((CRDJ[Date]=$A$4)*(CRDJ[Ofc Code]=(TRIM(E$7)))*(CRDJ[Account Code]=(TRIM($D87))),CRDJ[Debit])))+(SUM(IF((GJ[Date]=$A$4)*(GJ[Ofc Code]=(TRIM(E$7)))*(GJ[Account Code]=(TRIM($D87))),GJ[Debit])))-(SUM(IF((CkDJ[Date]=$A$4)*(CkDJ[Ofc Code]=(TRIM(E$7)))*(CkDJ[Account Code]=(TRIM($D87))),CkDJ[Credit])))+(SUM(IF((CsDJ[Date]=$A$4)*(CsDJ[Ofc Code]=(TRIM(E$7)))*(CsDJ[Account Code]=(TRIM($D87))),CsDJ[Credit])))+(SUM(IF((CRDJ[Date]=$A$4)*(CRDJ[Ofc Code]=(TRIM(E$7)))*(CRDJ[Account Code]=(TRIM($D87))),CRDJ[Credit])))+(SUM(IF((GJ[Date]=$A$4)*(GJ[Ofc Code]=(TRIM(E$7)))*(GJ[Account Code]=(TRIM($D87))),GJ[Credit])))</f>
        <v>0</v>
      </c>
      <c r="F87" s="211">
        <f t="array" ref="F87">(SUM(IF((CkDJ[Date]=$A$4)*(CkDJ[Ofc Code]=(TRIM(F$7)))*(CkDJ[Account Code]=(TRIM($D87))),CkDJ[Debit])))+(SUM(IF((CsDJ[Date]=$A$4)*(CsDJ[Ofc Code]=(TRIM(F$7)))*(CsDJ[Account Code]=(TRIM($D87))),CsDJ[Debit])))+(SUM(IF((CRDJ[Date]=$A$4)*(CRDJ[Ofc Code]=(TRIM(F$7)))*(CRDJ[Account Code]=(TRIM($D87))),CRDJ[Debit])))+(SUM(IF((GJ[Date]=$A$4)*(GJ[Ofc Code]=(TRIM(F$7)))*(GJ[Account Code]=(TRIM($D87))),GJ[Debit])))-(SUM(IF((CkDJ[Date]=$A$4)*(CkDJ[Ofc Code]=(TRIM(F$7)))*(CkDJ[Account Code]=(TRIM($D87))),CkDJ[Credit])))+(SUM(IF((CsDJ[Date]=$A$4)*(CsDJ[Ofc Code]=(TRIM(F$7)))*(CsDJ[Account Code]=(TRIM($D87))),CsDJ[Credit])))+(SUM(IF((CRDJ[Date]=$A$4)*(CRDJ[Ofc Code]=(TRIM(F$7)))*(CRDJ[Account Code]=(TRIM($D87))),CRDJ[Credit])))+(SUM(IF((GJ[Date]=$A$4)*(GJ[Ofc Code]=(TRIM(F$7)))*(GJ[Account Code]=(TRIM($D87))),GJ[Credit])))</f>
        <v>0</v>
      </c>
      <c r="G87" s="211">
        <f t="array" ref="G87">(SUM(IF((CkDJ[Date]=$A$4)*(CkDJ[Ofc Code]=(TRIM(G$7)))*(CkDJ[Account Code]=(TRIM($D87))),CkDJ[Debit])))+(SUM(IF((CsDJ[Date]=$A$4)*(CsDJ[Ofc Code]=(TRIM(G$7)))*(CsDJ[Account Code]=(TRIM($D87))),CsDJ[Debit])))+(SUM(IF((CRDJ[Date]=$A$4)*(CRDJ[Ofc Code]=(TRIM(G$7)))*(CRDJ[Account Code]=(TRIM($D87))),CRDJ[Debit])))+(SUM(IF((GJ[Date]=$A$4)*(GJ[Ofc Code]=(TRIM(G$7)))*(GJ[Account Code]=(TRIM($D87))),GJ[Debit])))-(SUM(IF((CkDJ[Date]=$A$4)*(CkDJ[Ofc Code]=(TRIM(G$7)))*(CkDJ[Account Code]=(TRIM($D87))),CkDJ[Credit])))+(SUM(IF((CsDJ[Date]=$A$4)*(CsDJ[Ofc Code]=(TRIM(G$7)))*(CsDJ[Account Code]=(TRIM($D87))),CsDJ[Credit])))+(SUM(IF((CRDJ[Date]=$A$4)*(CRDJ[Ofc Code]=(TRIM(G$7)))*(CRDJ[Account Code]=(TRIM($D87))),CRDJ[Credit])))+(SUM(IF((GJ[Date]=$A$4)*(GJ[Ofc Code]=(TRIM(G$7)))*(GJ[Account Code]=(TRIM($D87))),GJ[Credit])))</f>
        <v>0</v>
      </c>
      <c r="H87" s="211">
        <f t="array" ref="H87">(SUM(IF((CkDJ[Date]=$A$4)*(CkDJ[Ofc Code]=(TRIM(H$7)))*(CkDJ[Account Code]=(TRIM($D87))),CkDJ[Debit])))+(SUM(IF((CsDJ[Date]=$A$4)*(CsDJ[Ofc Code]=(TRIM(H$7)))*(CsDJ[Account Code]=(TRIM($D87))),CsDJ[Debit])))+(SUM(IF((CRDJ[Date]=$A$4)*(CRDJ[Ofc Code]=(TRIM(H$7)))*(CRDJ[Account Code]=(TRIM($D87))),CRDJ[Debit])))+(SUM(IF((GJ[Date]=$A$4)*(GJ[Ofc Code]=(TRIM(H$7)))*(GJ[Account Code]=(TRIM($D87))),GJ[Debit])))-(SUM(IF((CkDJ[Date]=$A$4)*(CkDJ[Ofc Code]=(TRIM(H$7)))*(CkDJ[Account Code]=(TRIM($D87))),CkDJ[Credit])))+(SUM(IF((CsDJ[Date]=$A$4)*(CsDJ[Ofc Code]=(TRIM(H$7)))*(CsDJ[Account Code]=(TRIM($D87))),CsDJ[Credit])))+(SUM(IF((CRDJ[Date]=$A$4)*(CRDJ[Ofc Code]=(TRIM(H$7)))*(CRDJ[Account Code]=(TRIM($D87))),CRDJ[Credit])))+(SUM(IF((GJ[Date]=$A$4)*(GJ[Ofc Code]=(TRIM(H$7)))*(GJ[Account Code]=(TRIM($D87))),GJ[Credit])))</f>
        <v>0</v>
      </c>
      <c r="I87" s="211">
        <f t="shared" si="21"/>
        <v>0</v>
      </c>
      <c r="J87" s="211">
        <f t="array" ref="J87">(SUM(IF((CkDJ[Date]=$A$4)*(CkDJ[Ofc Code]=(TRIM(J$7)))*(CkDJ[Account Code]=(TRIM($D87))),CkDJ[Debit])))+(SUM(IF((CsDJ[Date]=$A$4)*(CsDJ[Ofc Code]=(TRIM(J$7)))*(CsDJ[Account Code]=(TRIM($D87))),CsDJ[Debit])))+(SUM(IF((CRDJ[Date]=$A$4)*(CRDJ[Ofc Code]=(TRIM(J$7)))*(CRDJ[Account Code]=(TRIM($D87))),CRDJ[Debit])))+(SUM(IF((GJ[Date]=$A$4)*(GJ[Ofc Code]=(TRIM(J$7)))*(GJ[Account Code]=(TRIM($D87))),GJ[Debit])))-(SUM(IF((CkDJ[Date]=$A$4)*(CkDJ[Ofc Code]=(TRIM(J$7)))*(CkDJ[Account Code]=(TRIM($D87))),CkDJ[Credit])))+(SUM(IF((CsDJ[Date]=$A$4)*(CsDJ[Ofc Code]=(TRIM(J$7)))*(CsDJ[Account Code]=(TRIM($D87))),CsDJ[Credit])))+(SUM(IF((CRDJ[Date]=$A$4)*(CRDJ[Ofc Code]=(TRIM(J$7)))*(CRDJ[Account Code]=(TRIM($D87))),CRDJ[Credit])))+(SUM(IF((GJ[Date]=$A$4)*(GJ[Ofc Code]=(TRIM(J$7)))*(GJ[Account Code]=(TRIM($D87))),GJ[Credit])))</f>
        <v>0</v>
      </c>
      <c r="K87" s="211">
        <f t="array" ref="K87">(SUM(IF((CkDJ[Date]=$A$4)*(CkDJ[Ofc Code]=(TRIM(K$7)))*(CkDJ[Account Code]=(TRIM($D87))),CkDJ[Debit])))+(SUM(IF((CsDJ[Date]=$A$4)*(CsDJ[Ofc Code]=(TRIM(K$7)))*(CsDJ[Account Code]=(TRIM($D87))),CsDJ[Debit])))+(SUM(IF((CRDJ[Date]=$A$4)*(CRDJ[Ofc Code]=(TRIM(K$7)))*(CRDJ[Account Code]=(TRIM($D87))),CRDJ[Debit])))+(SUM(IF((GJ[Date]=$A$4)*(GJ[Ofc Code]=(TRIM(K$7)))*(GJ[Account Code]=(TRIM($D87))),GJ[Debit])))-(SUM(IF((CkDJ[Date]=$A$4)*(CkDJ[Ofc Code]=(TRIM(K$7)))*(CkDJ[Account Code]=(TRIM($D87))),CkDJ[Credit])))+(SUM(IF((CsDJ[Date]=$A$4)*(CsDJ[Ofc Code]=(TRIM(K$7)))*(CsDJ[Account Code]=(TRIM($D87))),CsDJ[Credit])))+(SUM(IF((CRDJ[Date]=$A$4)*(CRDJ[Ofc Code]=(TRIM(K$7)))*(CRDJ[Account Code]=(TRIM($D87))),CRDJ[Credit])))+(SUM(IF((GJ[Date]=$A$4)*(GJ[Ofc Code]=(TRIM(K$7)))*(GJ[Account Code]=(TRIM($D87))),GJ[Credit])))</f>
        <v>0</v>
      </c>
      <c r="L87" s="211">
        <f t="array" ref="L87">(SUM(IF((CkDJ[Date]=$A$4)*(CkDJ[Ofc Code]=(TRIM(L$7)))*(CkDJ[Account Code]=(TRIM($D87))),CkDJ[Debit])))+(SUM(IF((CsDJ[Date]=$A$4)*(CsDJ[Ofc Code]=(TRIM(L$7)))*(CsDJ[Account Code]=(TRIM($D87))),CsDJ[Debit])))+(SUM(IF((CRDJ[Date]=$A$4)*(CRDJ[Ofc Code]=(TRIM(L$7)))*(CRDJ[Account Code]=(TRIM($D87))),CRDJ[Debit])))+(SUM(IF((GJ[Date]=$A$4)*(GJ[Ofc Code]=(TRIM(L$7)))*(GJ[Account Code]=(TRIM($D87))),GJ[Debit])))-(SUM(IF((CkDJ[Date]=$A$4)*(CkDJ[Ofc Code]=(TRIM(L$7)))*(CkDJ[Account Code]=(TRIM($D87))),CkDJ[Credit])))+(SUM(IF((CsDJ[Date]=$A$4)*(CsDJ[Ofc Code]=(TRIM(L$7)))*(CsDJ[Account Code]=(TRIM($D87))),CsDJ[Credit])))+(SUM(IF((CRDJ[Date]=$A$4)*(CRDJ[Ofc Code]=(TRIM(L$7)))*(CRDJ[Account Code]=(TRIM($D87))),CRDJ[Credit])))+(SUM(IF((GJ[Date]=$A$4)*(GJ[Ofc Code]=(TRIM(L$7)))*(GJ[Account Code]=(TRIM($D87))),GJ[Credit])))</f>
        <v>0</v>
      </c>
      <c r="M87" s="211">
        <f t="array" ref="M87">(SUM(IF((CkDJ[Date]=$A$4)*(CkDJ[Ofc Code]=(TRIM(M$7)))*(CkDJ[Account Code]=(TRIM($D87))),CkDJ[Debit])))+(SUM(IF((CsDJ[Date]=$A$4)*(CsDJ[Ofc Code]=(TRIM(M$7)))*(CsDJ[Account Code]=(TRIM($D87))),CsDJ[Debit])))+(SUM(IF((CRDJ[Date]=$A$4)*(CRDJ[Ofc Code]=(TRIM(M$7)))*(CRDJ[Account Code]=(TRIM($D87))),CRDJ[Debit])))+(SUM(IF((GJ[Date]=$A$4)*(GJ[Ofc Code]=(TRIM(M$7)))*(GJ[Account Code]=(TRIM($D87))),GJ[Debit])))-(SUM(IF((CkDJ[Date]=$A$4)*(CkDJ[Ofc Code]=(TRIM(M$7)))*(CkDJ[Account Code]=(TRIM($D87))),CkDJ[Credit])))+(SUM(IF((CsDJ[Date]=$A$4)*(CsDJ[Ofc Code]=(TRIM(M$7)))*(CsDJ[Account Code]=(TRIM($D87))),CsDJ[Credit])))+(SUM(IF((CRDJ[Date]=$A$4)*(CRDJ[Ofc Code]=(TRIM(M$7)))*(CRDJ[Account Code]=(TRIM($D87))),CRDJ[Credit])))+(SUM(IF((GJ[Date]=$A$4)*(GJ[Ofc Code]=(TRIM(M$7)))*(GJ[Account Code]=(TRIM($D87))),GJ[Credit])))</f>
        <v>0</v>
      </c>
      <c r="N87" s="211">
        <f t="shared" si="22"/>
        <v>0</v>
      </c>
      <c r="O87" s="211">
        <f t="array" ref="O87">(SUM(IF((CkDJ[Date]=$A$4)*(CkDJ[Ofc Code]=(TRIM(O$7)))*(CkDJ[Account Code]=(TRIM($D87))),CkDJ[Debit])))+(SUM(IF((CsDJ[Date]=$A$4)*(CsDJ[Ofc Code]=(TRIM(O$7)))*(CsDJ[Account Code]=(TRIM($D87))),CsDJ[Debit])))+(SUM(IF((CRDJ[Date]=$A$4)*(CRDJ[Ofc Code]=(TRIM(O$7)))*(CRDJ[Account Code]=(TRIM($D87))),CRDJ[Debit])))+(SUM(IF((GJ[Date]=$A$4)*(GJ[Ofc Code]=(TRIM(O$7)))*(GJ[Account Code]=(TRIM($D87))),GJ[Debit])))-(SUM(IF((CkDJ[Date]=$A$4)*(CkDJ[Ofc Code]=(TRIM(O$7)))*(CkDJ[Account Code]=(TRIM($D87))),CkDJ[Credit])))+(SUM(IF((CsDJ[Date]=$A$4)*(CsDJ[Ofc Code]=(TRIM(O$7)))*(CsDJ[Account Code]=(TRIM($D87))),CsDJ[Credit])))+(SUM(IF((CRDJ[Date]=$A$4)*(CRDJ[Ofc Code]=(TRIM(O$7)))*(CRDJ[Account Code]=(TRIM($D87))),CRDJ[Credit])))+(SUM(IF((GJ[Date]=$A$4)*(GJ[Ofc Code]=(TRIM(O$7)))*(GJ[Account Code]=(TRIM($D87))),GJ[Credit])))</f>
        <v>0</v>
      </c>
      <c r="P87" s="211">
        <f t="array" ref="P87">(SUM(IF((CkDJ[Date]=$A$4)*(CkDJ[Ofc Code]=(TRIM(P$7)))*(CkDJ[Account Code]=(TRIM($D87))),CkDJ[Debit])))+(SUM(IF((CsDJ[Date]=$A$4)*(CsDJ[Ofc Code]=(TRIM(P$7)))*(CsDJ[Account Code]=(TRIM($D87))),CsDJ[Debit])))+(SUM(IF((CRDJ[Date]=$A$4)*(CRDJ[Ofc Code]=(TRIM(P$7)))*(CRDJ[Account Code]=(TRIM($D87))),CRDJ[Debit])))+(SUM(IF((GJ[Date]=$A$4)*(GJ[Ofc Code]=(TRIM(P$7)))*(GJ[Account Code]=(TRIM($D87))),GJ[Debit])))-(SUM(IF((CkDJ[Date]=$A$4)*(CkDJ[Ofc Code]=(TRIM(P$7)))*(CkDJ[Account Code]=(TRIM($D87))),CkDJ[Credit])))+(SUM(IF((CsDJ[Date]=$A$4)*(CsDJ[Ofc Code]=(TRIM(P$7)))*(CsDJ[Account Code]=(TRIM($D87))),CsDJ[Credit])))+(SUM(IF((CRDJ[Date]=$A$4)*(CRDJ[Ofc Code]=(TRIM(P$7)))*(CRDJ[Account Code]=(TRIM($D87))),CRDJ[Credit])))+(SUM(IF((GJ[Date]=$A$4)*(GJ[Ofc Code]=(TRIM(P$7)))*(GJ[Account Code]=(TRIM($D87))),GJ[Credit])))</f>
        <v>0</v>
      </c>
      <c r="Q87" s="211">
        <f t="array" ref="Q87">(SUM(IF((CkDJ[Date]=$A$4)*(CkDJ[Ofc Code]=(TRIM(Q$7)))*(CkDJ[Account Code]=(TRIM($D87))),CkDJ[Debit])))+(SUM(IF((CsDJ[Date]=$A$4)*(CsDJ[Ofc Code]=(TRIM(Q$7)))*(CsDJ[Account Code]=(TRIM($D87))),CsDJ[Debit])))+(SUM(IF((CRDJ[Date]=$A$4)*(CRDJ[Ofc Code]=(TRIM(Q$7)))*(CRDJ[Account Code]=(TRIM($D87))),CRDJ[Debit])))+(SUM(IF((GJ[Date]=$A$4)*(GJ[Ofc Code]=(TRIM(Q$7)))*(GJ[Account Code]=(TRIM($D87))),GJ[Debit])))-(SUM(IF((CkDJ[Date]=$A$4)*(CkDJ[Ofc Code]=(TRIM(Q$7)))*(CkDJ[Account Code]=(TRIM($D87))),CkDJ[Credit])))+(SUM(IF((CsDJ[Date]=$A$4)*(CsDJ[Ofc Code]=(TRIM(Q$7)))*(CsDJ[Account Code]=(TRIM($D87))),CsDJ[Credit])))+(SUM(IF((CRDJ[Date]=$A$4)*(CRDJ[Ofc Code]=(TRIM(Q$7)))*(CRDJ[Account Code]=(TRIM($D87))),CRDJ[Credit])))+(SUM(IF((GJ[Date]=$A$4)*(GJ[Ofc Code]=(TRIM(Q$7)))*(GJ[Account Code]=(TRIM($D87))),GJ[Credit])))</f>
        <v>0</v>
      </c>
      <c r="R87" s="211">
        <f t="array" ref="R87">(SUM(IF((CkDJ[Date]=$A$4)*(CkDJ[Ofc Code]=(TRIM(R$7)))*(CkDJ[Account Code]=(TRIM($D87))),CkDJ[Debit])))+(SUM(IF((CsDJ[Date]=$A$4)*(CsDJ[Ofc Code]=(TRIM(R$7)))*(CsDJ[Account Code]=(TRIM($D87))),CsDJ[Debit])))+(SUM(IF((CRDJ[Date]=$A$4)*(CRDJ[Ofc Code]=(TRIM(R$7)))*(CRDJ[Account Code]=(TRIM($D87))),CRDJ[Debit])))+(SUM(IF((GJ[Date]=$A$4)*(GJ[Ofc Code]=(TRIM(R$7)))*(GJ[Account Code]=(TRIM($D87))),GJ[Debit])))-(SUM(IF((CkDJ[Date]=$A$4)*(CkDJ[Ofc Code]=(TRIM(R$7)))*(CkDJ[Account Code]=(TRIM($D87))),CkDJ[Credit])))+(SUM(IF((CsDJ[Date]=$A$4)*(CsDJ[Ofc Code]=(TRIM(R$7)))*(CsDJ[Account Code]=(TRIM($D87))),CsDJ[Credit])))+(SUM(IF((CRDJ[Date]=$A$4)*(CRDJ[Ofc Code]=(TRIM(R$7)))*(CRDJ[Account Code]=(TRIM($D87))),CRDJ[Credit])))+(SUM(IF((GJ[Date]=$A$4)*(GJ[Ofc Code]=(TRIM(R$7)))*(GJ[Account Code]=(TRIM($D87))),GJ[Credit])))</f>
        <v>0</v>
      </c>
      <c r="S87" s="211">
        <f t="array" ref="S87">(SUM(IF((CkDJ[Date]=$A$4)*(CkDJ[Ofc Code]=(TRIM(S$7)))*(CkDJ[Account Code]=(TRIM($D87))),CkDJ[Debit])))+(SUM(IF((CsDJ[Date]=$A$4)*(CsDJ[Ofc Code]=(TRIM(S$7)))*(CsDJ[Account Code]=(TRIM($D87))),CsDJ[Debit])))+(SUM(IF((CRDJ[Date]=$A$4)*(CRDJ[Ofc Code]=(TRIM(S$7)))*(CRDJ[Account Code]=(TRIM($D87))),CRDJ[Debit])))+(SUM(IF((GJ[Date]=$A$4)*(GJ[Ofc Code]=(TRIM(S$7)))*(GJ[Account Code]=(TRIM($D87))),GJ[Debit])))-(SUM(IF((CkDJ[Date]=$A$4)*(CkDJ[Ofc Code]=(TRIM(S$7)))*(CkDJ[Account Code]=(TRIM($D87))),CkDJ[Credit])))+(SUM(IF((CsDJ[Date]=$A$4)*(CsDJ[Ofc Code]=(TRIM(S$7)))*(CsDJ[Account Code]=(TRIM($D87))),CsDJ[Credit])))+(SUM(IF((CRDJ[Date]=$A$4)*(CRDJ[Ofc Code]=(TRIM(S$7)))*(CRDJ[Account Code]=(TRIM($D87))),CRDJ[Credit])))+(SUM(IF((GJ[Date]=$A$4)*(GJ[Ofc Code]=(TRIM(S$7)))*(GJ[Account Code]=(TRIM($D87))),GJ[Credit])))</f>
        <v>0</v>
      </c>
      <c r="T87" s="211">
        <f t="shared" si="23"/>
        <v>0</v>
      </c>
      <c r="U87" s="211">
        <f t="shared" si="24"/>
        <v>0</v>
      </c>
    </row>
    <row r="88" spans="1:21" ht="15">
      <c r="A88" s="212">
        <f t="shared" si="19"/>
        <v>30</v>
      </c>
      <c r="B88" s="194" t="s">
        <v>756</v>
      </c>
      <c r="C88" s="194" t="str">
        <f t="shared" si="20"/>
        <v>Taxes, Duties and Licenses</v>
      </c>
      <c r="D88" s="207">
        <v>891</v>
      </c>
      <c r="E88" s="211">
        <f t="array" ref="E88">(SUM(IF((CkDJ[Date]=$A$4)*(CkDJ[Ofc Code]=(TRIM(E$7)))*(CkDJ[Account Code]=(TRIM($D88))),CkDJ[Debit])))+(SUM(IF((CsDJ[Date]=$A$4)*(CsDJ[Ofc Code]=(TRIM(E$7)))*(CsDJ[Account Code]=(TRIM($D88))),CsDJ[Debit])))+(SUM(IF((CRDJ[Date]=$A$4)*(CRDJ[Ofc Code]=(TRIM(E$7)))*(CRDJ[Account Code]=(TRIM($D88))),CRDJ[Debit])))+(SUM(IF((GJ[Date]=$A$4)*(GJ[Ofc Code]=(TRIM(E$7)))*(GJ[Account Code]=(TRIM($D88))),GJ[Debit])))-(SUM(IF((CkDJ[Date]=$A$4)*(CkDJ[Ofc Code]=(TRIM(E$7)))*(CkDJ[Account Code]=(TRIM($D88))),CkDJ[Credit])))+(SUM(IF((CsDJ[Date]=$A$4)*(CsDJ[Ofc Code]=(TRIM(E$7)))*(CsDJ[Account Code]=(TRIM($D88))),CsDJ[Credit])))+(SUM(IF((CRDJ[Date]=$A$4)*(CRDJ[Ofc Code]=(TRIM(E$7)))*(CRDJ[Account Code]=(TRIM($D88))),CRDJ[Credit])))+(SUM(IF((GJ[Date]=$A$4)*(GJ[Ofc Code]=(TRIM(E$7)))*(GJ[Account Code]=(TRIM($D88))),GJ[Credit])))</f>
        <v>0</v>
      </c>
      <c r="F88" s="211">
        <f t="array" ref="F88">(SUM(IF((CkDJ[Date]=$A$4)*(CkDJ[Ofc Code]=(TRIM(F$7)))*(CkDJ[Account Code]=(TRIM($D88))),CkDJ[Debit])))+(SUM(IF((CsDJ[Date]=$A$4)*(CsDJ[Ofc Code]=(TRIM(F$7)))*(CsDJ[Account Code]=(TRIM($D88))),CsDJ[Debit])))+(SUM(IF((CRDJ[Date]=$A$4)*(CRDJ[Ofc Code]=(TRIM(F$7)))*(CRDJ[Account Code]=(TRIM($D88))),CRDJ[Debit])))+(SUM(IF((GJ[Date]=$A$4)*(GJ[Ofc Code]=(TRIM(F$7)))*(GJ[Account Code]=(TRIM($D88))),GJ[Debit])))-(SUM(IF((CkDJ[Date]=$A$4)*(CkDJ[Ofc Code]=(TRIM(F$7)))*(CkDJ[Account Code]=(TRIM($D88))),CkDJ[Credit])))+(SUM(IF((CsDJ[Date]=$A$4)*(CsDJ[Ofc Code]=(TRIM(F$7)))*(CsDJ[Account Code]=(TRIM($D88))),CsDJ[Credit])))+(SUM(IF((CRDJ[Date]=$A$4)*(CRDJ[Ofc Code]=(TRIM(F$7)))*(CRDJ[Account Code]=(TRIM($D88))),CRDJ[Credit])))+(SUM(IF((GJ[Date]=$A$4)*(GJ[Ofc Code]=(TRIM(F$7)))*(GJ[Account Code]=(TRIM($D88))),GJ[Credit])))</f>
        <v>0</v>
      </c>
      <c r="G88" s="211">
        <f t="array" ref="G88">(SUM(IF((CkDJ[Date]=$A$4)*(CkDJ[Ofc Code]=(TRIM(G$7)))*(CkDJ[Account Code]=(TRIM($D88))),CkDJ[Debit])))+(SUM(IF((CsDJ[Date]=$A$4)*(CsDJ[Ofc Code]=(TRIM(G$7)))*(CsDJ[Account Code]=(TRIM($D88))),CsDJ[Debit])))+(SUM(IF((CRDJ[Date]=$A$4)*(CRDJ[Ofc Code]=(TRIM(G$7)))*(CRDJ[Account Code]=(TRIM($D88))),CRDJ[Debit])))+(SUM(IF((GJ[Date]=$A$4)*(GJ[Ofc Code]=(TRIM(G$7)))*(GJ[Account Code]=(TRIM($D88))),GJ[Debit])))-(SUM(IF((CkDJ[Date]=$A$4)*(CkDJ[Ofc Code]=(TRIM(G$7)))*(CkDJ[Account Code]=(TRIM($D88))),CkDJ[Credit])))+(SUM(IF((CsDJ[Date]=$A$4)*(CsDJ[Ofc Code]=(TRIM(G$7)))*(CsDJ[Account Code]=(TRIM($D88))),CsDJ[Credit])))+(SUM(IF((CRDJ[Date]=$A$4)*(CRDJ[Ofc Code]=(TRIM(G$7)))*(CRDJ[Account Code]=(TRIM($D88))),CRDJ[Credit])))+(SUM(IF((GJ[Date]=$A$4)*(GJ[Ofc Code]=(TRIM(G$7)))*(GJ[Account Code]=(TRIM($D88))),GJ[Credit])))</f>
        <v>0</v>
      </c>
      <c r="H88" s="211">
        <f t="array" ref="H88">(SUM(IF((CkDJ[Date]=$A$4)*(CkDJ[Ofc Code]=(TRIM(H$7)))*(CkDJ[Account Code]=(TRIM($D88))),CkDJ[Debit])))+(SUM(IF((CsDJ[Date]=$A$4)*(CsDJ[Ofc Code]=(TRIM(H$7)))*(CsDJ[Account Code]=(TRIM($D88))),CsDJ[Debit])))+(SUM(IF((CRDJ[Date]=$A$4)*(CRDJ[Ofc Code]=(TRIM(H$7)))*(CRDJ[Account Code]=(TRIM($D88))),CRDJ[Debit])))+(SUM(IF((GJ[Date]=$A$4)*(GJ[Ofc Code]=(TRIM(H$7)))*(GJ[Account Code]=(TRIM($D88))),GJ[Debit])))-(SUM(IF((CkDJ[Date]=$A$4)*(CkDJ[Ofc Code]=(TRIM(H$7)))*(CkDJ[Account Code]=(TRIM($D88))),CkDJ[Credit])))+(SUM(IF((CsDJ[Date]=$A$4)*(CsDJ[Ofc Code]=(TRIM(H$7)))*(CsDJ[Account Code]=(TRIM($D88))),CsDJ[Credit])))+(SUM(IF((CRDJ[Date]=$A$4)*(CRDJ[Ofc Code]=(TRIM(H$7)))*(CRDJ[Account Code]=(TRIM($D88))),CRDJ[Credit])))+(SUM(IF((GJ[Date]=$A$4)*(GJ[Ofc Code]=(TRIM(H$7)))*(GJ[Account Code]=(TRIM($D88))),GJ[Credit])))</f>
        <v>0</v>
      </c>
      <c r="I88" s="211">
        <f t="shared" si="21"/>
        <v>0</v>
      </c>
      <c r="J88" s="211">
        <f t="array" ref="J88">(SUM(IF((CkDJ[Date]=$A$4)*(CkDJ[Ofc Code]=(TRIM(J$7)))*(CkDJ[Account Code]=(TRIM($D88))),CkDJ[Debit])))+(SUM(IF((CsDJ[Date]=$A$4)*(CsDJ[Ofc Code]=(TRIM(J$7)))*(CsDJ[Account Code]=(TRIM($D88))),CsDJ[Debit])))+(SUM(IF((CRDJ[Date]=$A$4)*(CRDJ[Ofc Code]=(TRIM(J$7)))*(CRDJ[Account Code]=(TRIM($D88))),CRDJ[Debit])))+(SUM(IF((GJ[Date]=$A$4)*(GJ[Ofc Code]=(TRIM(J$7)))*(GJ[Account Code]=(TRIM($D88))),GJ[Debit])))-(SUM(IF((CkDJ[Date]=$A$4)*(CkDJ[Ofc Code]=(TRIM(J$7)))*(CkDJ[Account Code]=(TRIM($D88))),CkDJ[Credit])))+(SUM(IF((CsDJ[Date]=$A$4)*(CsDJ[Ofc Code]=(TRIM(J$7)))*(CsDJ[Account Code]=(TRIM($D88))),CsDJ[Credit])))+(SUM(IF((CRDJ[Date]=$A$4)*(CRDJ[Ofc Code]=(TRIM(J$7)))*(CRDJ[Account Code]=(TRIM($D88))),CRDJ[Credit])))+(SUM(IF((GJ[Date]=$A$4)*(GJ[Ofc Code]=(TRIM(J$7)))*(GJ[Account Code]=(TRIM($D88))),GJ[Credit])))</f>
        <v>0</v>
      </c>
      <c r="K88" s="211">
        <f t="array" ref="K88">(SUM(IF((CkDJ[Date]=$A$4)*(CkDJ[Ofc Code]=(TRIM(K$7)))*(CkDJ[Account Code]=(TRIM($D88))),CkDJ[Debit])))+(SUM(IF((CsDJ[Date]=$A$4)*(CsDJ[Ofc Code]=(TRIM(K$7)))*(CsDJ[Account Code]=(TRIM($D88))),CsDJ[Debit])))+(SUM(IF((CRDJ[Date]=$A$4)*(CRDJ[Ofc Code]=(TRIM(K$7)))*(CRDJ[Account Code]=(TRIM($D88))),CRDJ[Debit])))+(SUM(IF((GJ[Date]=$A$4)*(GJ[Ofc Code]=(TRIM(K$7)))*(GJ[Account Code]=(TRIM($D88))),GJ[Debit])))-(SUM(IF((CkDJ[Date]=$A$4)*(CkDJ[Ofc Code]=(TRIM(K$7)))*(CkDJ[Account Code]=(TRIM($D88))),CkDJ[Credit])))+(SUM(IF((CsDJ[Date]=$A$4)*(CsDJ[Ofc Code]=(TRIM(K$7)))*(CsDJ[Account Code]=(TRIM($D88))),CsDJ[Credit])))+(SUM(IF((CRDJ[Date]=$A$4)*(CRDJ[Ofc Code]=(TRIM(K$7)))*(CRDJ[Account Code]=(TRIM($D88))),CRDJ[Credit])))+(SUM(IF((GJ[Date]=$A$4)*(GJ[Ofc Code]=(TRIM(K$7)))*(GJ[Account Code]=(TRIM($D88))),GJ[Credit])))</f>
        <v>0</v>
      </c>
      <c r="L88" s="211">
        <f t="array" ref="L88">(SUM(IF((CkDJ[Date]=$A$4)*(CkDJ[Ofc Code]=(TRIM(L$7)))*(CkDJ[Account Code]=(TRIM($D88))),CkDJ[Debit])))+(SUM(IF((CsDJ[Date]=$A$4)*(CsDJ[Ofc Code]=(TRIM(L$7)))*(CsDJ[Account Code]=(TRIM($D88))),CsDJ[Debit])))+(SUM(IF((CRDJ[Date]=$A$4)*(CRDJ[Ofc Code]=(TRIM(L$7)))*(CRDJ[Account Code]=(TRIM($D88))),CRDJ[Debit])))+(SUM(IF((GJ[Date]=$A$4)*(GJ[Ofc Code]=(TRIM(L$7)))*(GJ[Account Code]=(TRIM($D88))),GJ[Debit])))-(SUM(IF((CkDJ[Date]=$A$4)*(CkDJ[Ofc Code]=(TRIM(L$7)))*(CkDJ[Account Code]=(TRIM($D88))),CkDJ[Credit])))+(SUM(IF((CsDJ[Date]=$A$4)*(CsDJ[Ofc Code]=(TRIM(L$7)))*(CsDJ[Account Code]=(TRIM($D88))),CsDJ[Credit])))+(SUM(IF((CRDJ[Date]=$A$4)*(CRDJ[Ofc Code]=(TRIM(L$7)))*(CRDJ[Account Code]=(TRIM($D88))),CRDJ[Credit])))+(SUM(IF((GJ[Date]=$A$4)*(GJ[Ofc Code]=(TRIM(L$7)))*(GJ[Account Code]=(TRIM($D88))),GJ[Credit])))</f>
        <v>0</v>
      </c>
      <c r="M88" s="211">
        <f t="array" ref="M88">(SUM(IF((CkDJ[Date]=$A$4)*(CkDJ[Ofc Code]=(TRIM(M$7)))*(CkDJ[Account Code]=(TRIM($D88))),CkDJ[Debit])))+(SUM(IF((CsDJ[Date]=$A$4)*(CsDJ[Ofc Code]=(TRIM(M$7)))*(CsDJ[Account Code]=(TRIM($D88))),CsDJ[Debit])))+(SUM(IF((CRDJ[Date]=$A$4)*(CRDJ[Ofc Code]=(TRIM(M$7)))*(CRDJ[Account Code]=(TRIM($D88))),CRDJ[Debit])))+(SUM(IF((GJ[Date]=$A$4)*(GJ[Ofc Code]=(TRIM(M$7)))*(GJ[Account Code]=(TRIM($D88))),GJ[Debit])))-(SUM(IF((CkDJ[Date]=$A$4)*(CkDJ[Ofc Code]=(TRIM(M$7)))*(CkDJ[Account Code]=(TRIM($D88))),CkDJ[Credit])))+(SUM(IF((CsDJ[Date]=$A$4)*(CsDJ[Ofc Code]=(TRIM(M$7)))*(CsDJ[Account Code]=(TRIM($D88))),CsDJ[Credit])))+(SUM(IF((CRDJ[Date]=$A$4)*(CRDJ[Ofc Code]=(TRIM(M$7)))*(CRDJ[Account Code]=(TRIM($D88))),CRDJ[Credit])))+(SUM(IF((GJ[Date]=$A$4)*(GJ[Ofc Code]=(TRIM(M$7)))*(GJ[Account Code]=(TRIM($D88))),GJ[Credit])))</f>
        <v>0</v>
      </c>
      <c r="N88" s="211">
        <f t="shared" si="22"/>
        <v>0</v>
      </c>
      <c r="O88" s="211">
        <f t="array" ref="O88">(SUM(IF((CkDJ[Date]=$A$4)*(CkDJ[Ofc Code]=(TRIM(O$7)))*(CkDJ[Account Code]=(TRIM($D88))),CkDJ[Debit])))+(SUM(IF((CsDJ[Date]=$A$4)*(CsDJ[Ofc Code]=(TRIM(O$7)))*(CsDJ[Account Code]=(TRIM($D88))),CsDJ[Debit])))+(SUM(IF((CRDJ[Date]=$A$4)*(CRDJ[Ofc Code]=(TRIM(O$7)))*(CRDJ[Account Code]=(TRIM($D88))),CRDJ[Debit])))+(SUM(IF((GJ[Date]=$A$4)*(GJ[Ofc Code]=(TRIM(O$7)))*(GJ[Account Code]=(TRIM($D88))),GJ[Debit])))-(SUM(IF((CkDJ[Date]=$A$4)*(CkDJ[Ofc Code]=(TRIM(O$7)))*(CkDJ[Account Code]=(TRIM($D88))),CkDJ[Credit])))+(SUM(IF((CsDJ[Date]=$A$4)*(CsDJ[Ofc Code]=(TRIM(O$7)))*(CsDJ[Account Code]=(TRIM($D88))),CsDJ[Credit])))+(SUM(IF((CRDJ[Date]=$A$4)*(CRDJ[Ofc Code]=(TRIM(O$7)))*(CRDJ[Account Code]=(TRIM($D88))),CRDJ[Credit])))+(SUM(IF((GJ[Date]=$A$4)*(GJ[Ofc Code]=(TRIM(O$7)))*(GJ[Account Code]=(TRIM($D88))),GJ[Credit])))</f>
        <v>0</v>
      </c>
      <c r="P88" s="211">
        <f t="array" ref="P88">(SUM(IF((CkDJ[Date]=$A$4)*(CkDJ[Ofc Code]=(TRIM(P$7)))*(CkDJ[Account Code]=(TRIM($D88))),CkDJ[Debit])))+(SUM(IF((CsDJ[Date]=$A$4)*(CsDJ[Ofc Code]=(TRIM(P$7)))*(CsDJ[Account Code]=(TRIM($D88))),CsDJ[Debit])))+(SUM(IF((CRDJ[Date]=$A$4)*(CRDJ[Ofc Code]=(TRIM(P$7)))*(CRDJ[Account Code]=(TRIM($D88))),CRDJ[Debit])))+(SUM(IF((GJ[Date]=$A$4)*(GJ[Ofc Code]=(TRIM(P$7)))*(GJ[Account Code]=(TRIM($D88))),GJ[Debit])))-(SUM(IF((CkDJ[Date]=$A$4)*(CkDJ[Ofc Code]=(TRIM(P$7)))*(CkDJ[Account Code]=(TRIM($D88))),CkDJ[Credit])))+(SUM(IF((CsDJ[Date]=$A$4)*(CsDJ[Ofc Code]=(TRIM(P$7)))*(CsDJ[Account Code]=(TRIM($D88))),CsDJ[Credit])))+(SUM(IF((CRDJ[Date]=$A$4)*(CRDJ[Ofc Code]=(TRIM(P$7)))*(CRDJ[Account Code]=(TRIM($D88))),CRDJ[Credit])))+(SUM(IF((GJ[Date]=$A$4)*(GJ[Ofc Code]=(TRIM(P$7)))*(GJ[Account Code]=(TRIM($D88))),GJ[Credit])))</f>
        <v>0</v>
      </c>
      <c r="Q88" s="211">
        <f t="array" ref="Q88">(SUM(IF((CkDJ[Date]=$A$4)*(CkDJ[Ofc Code]=(TRIM(Q$7)))*(CkDJ[Account Code]=(TRIM($D88))),CkDJ[Debit])))+(SUM(IF((CsDJ[Date]=$A$4)*(CsDJ[Ofc Code]=(TRIM(Q$7)))*(CsDJ[Account Code]=(TRIM($D88))),CsDJ[Debit])))+(SUM(IF((CRDJ[Date]=$A$4)*(CRDJ[Ofc Code]=(TRIM(Q$7)))*(CRDJ[Account Code]=(TRIM($D88))),CRDJ[Debit])))+(SUM(IF((GJ[Date]=$A$4)*(GJ[Ofc Code]=(TRIM(Q$7)))*(GJ[Account Code]=(TRIM($D88))),GJ[Debit])))-(SUM(IF((CkDJ[Date]=$A$4)*(CkDJ[Ofc Code]=(TRIM(Q$7)))*(CkDJ[Account Code]=(TRIM($D88))),CkDJ[Credit])))+(SUM(IF((CsDJ[Date]=$A$4)*(CsDJ[Ofc Code]=(TRIM(Q$7)))*(CsDJ[Account Code]=(TRIM($D88))),CsDJ[Credit])))+(SUM(IF((CRDJ[Date]=$A$4)*(CRDJ[Ofc Code]=(TRIM(Q$7)))*(CRDJ[Account Code]=(TRIM($D88))),CRDJ[Credit])))+(SUM(IF((GJ[Date]=$A$4)*(GJ[Ofc Code]=(TRIM(Q$7)))*(GJ[Account Code]=(TRIM($D88))),GJ[Credit])))</f>
        <v>0</v>
      </c>
      <c r="R88" s="211">
        <f t="array" ref="R88">(SUM(IF((CkDJ[Date]=$A$4)*(CkDJ[Ofc Code]=(TRIM(R$7)))*(CkDJ[Account Code]=(TRIM($D88))),CkDJ[Debit])))+(SUM(IF((CsDJ[Date]=$A$4)*(CsDJ[Ofc Code]=(TRIM(R$7)))*(CsDJ[Account Code]=(TRIM($D88))),CsDJ[Debit])))+(SUM(IF((CRDJ[Date]=$A$4)*(CRDJ[Ofc Code]=(TRIM(R$7)))*(CRDJ[Account Code]=(TRIM($D88))),CRDJ[Debit])))+(SUM(IF((GJ[Date]=$A$4)*(GJ[Ofc Code]=(TRIM(R$7)))*(GJ[Account Code]=(TRIM($D88))),GJ[Debit])))-(SUM(IF((CkDJ[Date]=$A$4)*(CkDJ[Ofc Code]=(TRIM(R$7)))*(CkDJ[Account Code]=(TRIM($D88))),CkDJ[Credit])))+(SUM(IF((CsDJ[Date]=$A$4)*(CsDJ[Ofc Code]=(TRIM(R$7)))*(CsDJ[Account Code]=(TRIM($D88))),CsDJ[Credit])))+(SUM(IF((CRDJ[Date]=$A$4)*(CRDJ[Ofc Code]=(TRIM(R$7)))*(CRDJ[Account Code]=(TRIM($D88))),CRDJ[Credit])))+(SUM(IF((GJ[Date]=$A$4)*(GJ[Ofc Code]=(TRIM(R$7)))*(GJ[Account Code]=(TRIM($D88))),GJ[Credit])))</f>
        <v>0</v>
      </c>
      <c r="S88" s="211">
        <f t="array" ref="S88">(SUM(IF((CkDJ[Date]=$A$4)*(CkDJ[Ofc Code]=(TRIM(S$7)))*(CkDJ[Account Code]=(TRIM($D88))),CkDJ[Debit])))+(SUM(IF((CsDJ[Date]=$A$4)*(CsDJ[Ofc Code]=(TRIM(S$7)))*(CsDJ[Account Code]=(TRIM($D88))),CsDJ[Debit])))+(SUM(IF((CRDJ[Date]=$A$4)*(CRDJ[Ofc Code]=(TRIM(S$7)))*(CRDJ[Account Code]=(TRIM($D88))),CRDJ[Debit])))+(SUM(IF((GJ[Date]=$A$4)*(GJ[Ofc Code]=(TRIM(S$7)))*(GJ[Account Code]=(TRIM($D88))),GJ[Debit])))-(SUM(IF((CkDJ[Date]=$A$4)*(CkDJ[Ofc Code]=(TRIM(S$7)))*(CkDJ[Account Code]=(TRIM($D88))),CkDJ[Credit])))+(SUM(IF((CsDJ[Date]=$A$4)*(CsDJ[Ofc Code]=(TRIM(S$7)))*(CsDJ[Account Code]=(TRIM($D88))),CsDJ[Credit])))+(SUM(IF((CRDJ[Date]=$A$4)*(CRDJ[Ofc Code]=(TRIM(S$7)))*(CRDJ[Account Code]=(TRIM($D88))),CRDJ[Credit])))+(SUM(IF((GJ[Date]=$A$4)*(GJ[Ofc Code]=(TRIM(S$7)))*(GJ[Account Code]=(TRIM($D88))),GJ[Credit])))</f>
        <v>0</v>
      </c>
      <c r="T88" s="211">
        <f t="shared" si="23"/>
        <v>0</v>
      </c>
      <c r="U88" s="211">
        <f t="shared" si="24"/>
        <v>0</v>
      </c>
    </row>
    <row r="89" spans="1:21" ht="15">
      <c r="A89" s="212">
        <f t="shared" si="19"/>
        <v>31</v>
      </c>
      <c r="B89" s="194" t="s">
        <v>756</v>
      </c>
      <c r="C89" s="194" t="str">
        <f t="shared" si="20"/>
        <v>Fidelity Bond Premiums</v>
      </c>
      <c r="D89" s="207">
        <v>892</v>
      </c>
      <c r="E89" s="211">
        <f t="array" ref="E89">(SUM(IF((CkDJ[Date]=$A$4)*(CkDJ[Ofc Code]=(TRIM(E$7)))*(CkDJ[Account Code]=(TRIM($D89))),CkDJ[Debit])))+(SUM(IF((CsDJ[Date]=$A$4)*(CsDJ[Ofc Code]=(TRIM(E$7)))*(CsDJ[Account Code]=(TRIM($D89))),CsDJ[Debit])))+(SUM(IF((CRDJ[Date]=$A$4)*(CRDJ[Ofc Code]=(TRIM(E$7)))*(CRDJ[Account Code]=(TRIM($D89))),CRDJ[Debit])))+(SUM(IF((GJ[Date]=$A$4)*(GJ[Ofc Code]=(TRIM(E$7)))*(GJ[Account Code]=(TRIM($D89))),GJ[Debit])))-(SUM(IF((CkDJ[Date]=$A$4)*(CkDJ[Ofc Code]=(TRIM(E$7)))*(CkDJ[Account Code]=(TRIM($D89))),CkDJ[Credit])))+(SUM(IF((CsDJ[Date]=$A$4)*(CsDJ[Ofc Code]=(TRIM(E$7)))*(CsDJ[Account Code]=(TRIM($D89))),CsDJ[Credit])))+(SUM(IF((CRDJ[Date]=$A$4)*(CRDJ[Ofc Code]=(TRIM(E$7)))*(CRDJ[Account Code]=(TRIM($D89))),CRDJ[Credit])))+(SUM(IF((GJ[Date]=$A$4)*(GJ[Ofc Code]=(TRIM(E$7)))*(GJ[Account Code]=(TRIM($D89))),GJ[Credit])))</f>
        <v>0</v>
      </c>
      <c r="F89" s="211">
        <f t="array" ref="F89">(SUM(IF((CkDJ[Date]=$A$4)*(CkDJ[Ofc Code]=(TRIM(F$7)))*(CkDJ[Account Code]=(TRIM($D89))),CkDJ[Debit])))+(SUM(IF((CsDJ[Date]=$A$4)*(CsDJ[Ofc Code]=(TRIM(F$7)))*(CsDJ[Account Code]=(TRIM($D89))),CsDJ[Debit])))+(SUM(IF((CRDJ[Date]=$A$4)*(CRDJ[Ofc Code]=(TRIM(F$7)))*(CRDJ[Account Code]=(TRIM($D89))),CRDJ[Debit])))+(SUM(IF((GJ[Date]=$A$4)*(GJ[Ofc Code]=(TRIM(F$7)))*(GJ[Account Code]=(TRIM($D89))),GJ[Debit])))-(SUM(IF((CkDJ[Date]=$A$4)*(CkDJ[Ofc Code]=(TRIM(F$7)))*(CkDJ[Account Code]=(TRIM($D89))),CkDJ[Credit])))+(SUM(IF((CsDJ[Date]=$A$4)*(CsDJ[Ofc Code]=(TRIM(F$7)))*(CsDJ[Account Code]=(TRIM($D89))),CsDJ[Credit])))+(SUM(IF((CRDJ[Date]=$A$4)*(CRDJ[Ofc Code]=(TRIM(F$7)))*(CRDJ[Account Code]=(TRIM($D89))),CRDJ[Credit])))+(SUM(IF((GJ[Date]=$A$4)*(GJ[Ofc Code]=(TRIM(F$7)))*(GJ[Account Code]=(TRIM($D89))),GJ[Credit])))</f>
        <v>0</v>
      </c>
      <c r="G89" s="211">
        <f t="array" ref="G89">(SUM(IF((CkDJ[Date]=$A$4)*(CkDJ[Ofc Code]=(TRIM(G$7)))*(CkDJ[Account Code]=(TRIM($D89))),CkDJ[Debit])))+(SUM(IF((CsDJ[Date]=$A$4)*(CsDJ[Ofc Code]=(TRIM(G$7)))*(CsDJ[Account Code]=(TRIM($D89))),CsDJ[Debit])))+(SUM(IF((CRDJ[Date]=$A$4)*(CRDJ[Ofc Code]=(TRIM(G$7)))*(CRDJ[Account Code]=(TRIM($D89))),CRDJ[Debit])))+(SUM(IF((GJ[Date]=$A$4)*(GJ[Ofc Code]=(TRIM(G$7)))*(GJ[Account Code]=(TRIM($D89))),GJ[Debit])))-(SUM(IF((CkDJ[Date]=$A$4)*(CkDJ[Ofc Code]=(TRIM(G$7)))*(CkDJ[Account Code]=(TRIM($D89))),CkDJ[Credit])))+(SUM(IF((CsDJ[Date]=$A$4)*(CsDJ[Ofc Code]=(TRIM(G$7)))*(CsDJ[Account Code]=(TRIM($D89))),CsDJ[Credit])))+(SUM(IF((CRDJ[Date]=$A$4)*(CRDJ[Ofc Code]=(TRIM(G$7)))*(CRDJ[Account Code]=(TRIM($D89))),CRDJ[Credit])))+(SUM(IF((GJ[Date]=$A$4)*(GJ[Ofc Code]=(TRIM(G$7)))*(GJ[Account Code]=(TRIM($D89))),GJ[Credit])))</f>
        <v>0</v>
      </c>
      <c r="H89" s="211">
        <f t="array" ref="H89">(SUM(IF((CkDJ[Date]=$A$4)*(CkDJ[Ofc Code]=(TRIM(H$7)))*(CkDJ[Account Code]=(TRIM($D89))),CkDJ[Debit])))+(SUM(IF((CsDJ[Date]=$A$4)*(CsDJ[Ofc Code]=(TRIM(H$7)))*(CsDJ[Account Code]=(TRIM($D89))),CsDJ[Debit])))+(SUM(IF((CRDJ[Date]=$A$4)*(CRDJ[Ofc Code]=(TRIM(H$7)))*(CRDJ[Account Code]=(TRIM($D89))),CRDJ[Debit])))+(SUM(IF((GJ[Date]=$A$4)*(GJ[Ofc Code]=(TRIM(H$7)))*(GJ[Account Code]=(TRIM($D89))),GJ[Debit])))-(SUM(IF((CkDJ[Date]=$A$4)*(CkDJ[Ofc Code]=(TRIM(H$7)))*(CkDJ[Account Code]=(TRIM($D89))),CkDJ[Credit])))+(SUM(IF((CsDJ[Date]=$A$4)*(CsDJ[Ofc Code]=(TRIM(H$7)))*(CsDJ[Account Code]=(TRIM($D89))),CsDJ[Credit])))+(SUM(IF((CRDJ[Date]=$A$4)*(CRDJ[Ofc Code]=(TRIM(H$7)))*(CRDJ[Account Code]=(TRIM($D89))),CRDJ[Credit])))+(SUM(IF((GJ[Date]=$A$4)*(GJ[Ofc Code]=(TRIM(H$7)))*(GJ[Account Code]=(TRIM($D89))),GJ[Credit])))</f>
        <v>0</v>
      </c>
      <c r="I89" s="211">
        <f t="shared" si="21"/>
        <v>0</v>
      </c>
      <c r="J89" s="211">
        <f t="array" ref="J89">(SUM(IF((CkDJ[Date]=$A$4)*(CkDJ[Ofc Code]=(TRIM(J$7)))*(CkDJ[Account Code]=(TRIM($D89))),CkDJ[Debit])))+(SUM(IF((CsDJ[Date]=$A$4)*(CsDJ[Ofc Code]=(TRIM(J$7)))*(CsDJ[Account Code]=(TRIM($D89))),CsDJ[Debit])))+(SUM(IF((CRDJ[Date]=$A$4)*(CRDJ[Ofc Code]=(TRIM(J$7)))*(CRDJ[Account Code]=(TRIM($D89))),CRDJ[Debit])))+(SUM(IF((GJ[Date]=$A$4)*(GJ[Ofc Code]=(TRIM(J$7)))*(GJ[Account Code]=(TRIM($D89))),GJ[Debit])))-(SUM(IF((CkDJ[Date]=$A$4)*(CkDJ[Ofc Code]=(TRIM(J$7)))*(CkDJ[Account Code]=(TRIM($D89))),CkDJ[Credit])))+(SUM(IF((CsDJ[Date]=$A$4)*(CsDJ[Ofc Code]=(TRIM(J$7)))*(CsDJ[Account Code]=(TRIM($D89))),CsDJ[Credit])))+(SUM(IF((CRDJ[Date]=$A$4)*(CRDJ[Ofc Code]=(TRIM(J$7)))*(CRDJ[Account Code]=(TRIM($D89))),CRDJ[Credit])))+(SUM(IF((GJ[Date]=$A$4)*(GJ[Ofc Code]=(TRIM(J$7)))*(GJ[Account Code]=(TRIM($D89))),GJ[Credit])))</f>
        <v>0</v>
      </c>
      <c r="K89" s="211">
        <f t="array" ref="K89">(SUM(IF((CkDJ[Date]=$A$4)*(CkDJ[Ofc Code]=(TRIM(K$7)))*(CkDJ[Account Code]=(TRIM($D89))),CkDJ[Debit])))+(SUM(IF((CsDJ[Date]=$A$4)*(CsDJ[Ofc Code]=(TRIM(K$7)))*(CsDJ[Account Code]=(TRIM($D89))),CsDJ[Debit])))+(SUM(IF((CRDJ[Date]=$A$4)*(CRDJ[Ofc Code]=(TRIM(K$7)))*(CRDJ[Account Code]=(TRIM($D89))),CRDJ[Debit])))+(SUM(IF((GJ[Date]=$A$4)*(GJ[Ofc Code]=(TRIM(K$7)))*(GJ[Account Code]=(TRIM($D89))),GJ[Debit])))-(SUM(IF((CkDJ[Date]=$A$4)*(CkDJ[Ofc Code]=(TRIM(K$7)))*(CkDJ[Account Code]=(TRIM($D89))),CkDJ[Credit])))+(SUM(IF((CsDJ[Date]=$A$4)*(CsDJ[Ofc Code]=(TRIM(K$7)))*(CsDJ[Account Code]=(TRIM($D89))),CsDJ[Credit])))+(SUM(IF((CRDJ[Date]=$A$4)*(CRDJ[Ofc Code]=(TRIM(K$7)))*(CRDJ[Account Code]=(TRIM($D89))),CRDJ[Credit])))+(SUM(IF((GJ[Date]=$A$4)*(GJ[Ofc Code]=(TRIM(K$7)))*(GJ[Account Code]=(TRIM($D89))),GJ[Credit])))</f>
        <v>0</v>
      </c>
      <c r="L89" s="211">
        <f t="array" ref="L89">(SUM(IF((CkDJ[Date]=$A$4)*(CkDJ[Ofc Code]=(TRIM(L$7)))*(CkDJ[Account Code]=(TRIM($D89))),CkDJ[Debit])))+(SUM(IF((CsDJ[Date]=$A$4)*(CsDJ[Ofc Code]=(TRIM(L$7)))*(CsDJ[Account Code]=(TRIM($D89))),CsDJ[Debit])))+(SUM(IF((CRDJ[Date]=$A$4)*(CRDJ[Ofc Code]=(TRIM(L$7)))*(CRDJ[Account Code]=(TRIM($D89))),CRDJ[Debit])))+(SUM(IF((GJ[Date]=$A$4)*(GJ[Ofc Code]=(TRIM(L$7)))*(GJ[Account Code]=(TRIM($D89))),GJ[Debit])))-(SUM(IF((CkDJ[Date]=$A$4)*(CkDJ[Ofc Code]=(TRIM(L$7)))*(CkDJ[Account Code]=(TRIM($D89))),CkDJ[Credit])))+(SUM(IF((CsDJ[Date]=$A$4)*(CsDJ[Ofc Code]=(TRIM(L$7)))*(CsDJ[Account Code]=(TRIM($D89))),CsDJ[Credit])))+(SUM(IF((CRDJ[Date]=$A$4)*(CRDJ[Ofc Code]=(TRIM(L$7)))*(CRDJ[Account Code]=(TRIM($D89))),CRDJ[Credit])))+(SUM(IF((GJ[Date]=$A$4)*(GJ[Ofc Code]=(TRIM(L$7)))*(GJ[Account Code]=(TRIM($D89))),GJ[Credit])))</f>
        <v>0</v>
      </c>
      <c r="M89" s="211">
        <f t="array" ref="M89">(SUM(IF((CkDJ[Date]=$A$4)*(CkDJ[Ofc Code]=(TRIM(M$7)))*(CkDJ[Account Code]=(TRIM($D89))),CkDJ[Debit])))+(SUM(IF((CsDJ[Date]=$A$4)*(CsDJ[Ofc Code]=(TRIM(M$7)))*(CsDJ[Account Code]=(TRIM($D89))),CsDJ[Debit])))+(SUM(IF((CRDJ[Date]=$A$4)*(CRDJ[Ofc Code]=(TRIM(M$7)))*(CRDJ[Account Code]=(TRIM($D89))),CRDJ[Debit])))+(SUM(IF((GJ[Date]=$A$4)*(GJ[Ofc Code]=(TRIM(M$7)))*(GJ[Account Code]=(TRIM($D89))),GJ[Debit])))-(SUM(IF((CkDJ[Date]=$A$4)*(CkDJ[Ofc Code]=(TRIM(M$7)))*(CkDJ[Account Code]=(TRIM($D89))),CkDJ[Credit])))+(SUM(IF((CsDJ[Date]=$A$4)*(CsDJ[Ofc Code]=(TRIM(M$7)))*(CsDJ[Account Code]=(TRIM($D89))),CsDJ[Credit])))+(SUM(IF((CRDJ[Date]=$A$4)*(CRDJ[Ofc Code]=(TRIM(M$7)))*(CRDJ[Account Code]=(TRIM($D89))),CRDJ[Credit])))+(SUM(IF((GJ[Date]=$A$4)*(GJ[Ofc Code]=(TRIM(M$7)))*(GJ[Account Code]=(TRIM($D89))),GJ[Credit])))</f>
        <v>0</v>
      </c>
      <c r="N89" s="211">
        <f t="shared" si="22"/>
        <v>0</v>
      </c>
      <c r="O89" s="211">
        <f t="array" ref="O89">(SUM(IF((CkDJ[Date]=$A$4)*(CkDJ[Ofc Code]=(TRIM(O$7)))*(CkDJ[Account Code]=(TRIM($D89))),CkDJ[Debit])))+(SUM(IF((CsDJ[Date]=$A$4)*(CsDJ[Ofc Code]=(TRIM(O$7)))*(CsDJ[Account Code]=(TRIM($D89))),CsDJ[Debit])))+(SUM(IF((CRDJ[Date]=$A$4)*(CRDJ[Ofc Code]=(TRIM(O$7)))*(CRDJ[Account Code]=(TRIM($D89))),CRDJ[Debit])))+(SUM(IF((GJ[Date]=$A$4)*(GJ[Ofc Code]=(TRIM(O$7)))*(GJ[Account Code]=(TRIM($D89))),GJ[Debit])))-(SUM(IF((CkDJ[Date]=$A$4)*(CkDJ[Ofc Code]=(TRIM(O$7)))*(CkDJ[Account Code]=(TRIM($D89))),CkDJ[Credit])))+(SUM(IF((CsDJ[Date]=$A$4)*(CsDJ[Ofc Code]=(TRIM(O$7)))*(CsDJ[Account Code]=(TRIM($D89))),CsDJ[Credit])))+(SUM(IF((CRDJ[Date]=$A$4)*(CRDJ[Ofc Code]=(TRIM(O$7)))*(CRDJ[Account Code]=(TRIM($D89))),CRDJ[Credit])))+(SUM(IF((GJ[Date]=$A$4)*(GJ[Ofc Code]=(TRIM(O$7)))*(GJ[Account Code]=(TRIM($D89))),GJ[Credit])))</f>
        <v>0</v>
      </c>
      <c r="P89" s="211">
        <f t="array" ref="P89">(SUM(IF((CkDJ[Date]=$A$4)*(CkDJ[Ofc Code]=(TRIM(P$7)))*(CkDJ[Account Code]=(TRIM($D89))),CkDJ[Debit])))+(SUM(IF((CsDJ[Date]=$A$4)*(CsDJ[Ofc Code]=(TRIM(P$7)))*(CsDJ[Account Code]=(TRIM($D89))),CsDJ[Debit])))+(SUM(IF((CRDJ[Date]=$A$4)*(CRDJ[Ofc Code]=(TRIM(P$7)))*(CRDJ[Account Code]=(TRIM($D89))),CRDJ[Debit])))+(SUM(IF((GJ[Date]=$A$4)*(GJ[Ofc Code]=(TRIM(P$7)))*(GJ[Account Code]=(TRIM($D89))),GJ[Debit])))-(SUM(IF((CkDJ[Date]=$A$4)*(CkDJ[Ofc Code]=(TRIM(P$7)))*(CkDJ[Account Code]=(TRIM($D89))),CkDJ[Credit])))+(SUM(IF((CsDJ[Date]=$A$4)*(CsDJ[Ofc Code]=(TRIM(P$7)))*(CsDJ[Account Code]=(TRIM($D89))),CsDJ[Credit])))+(SUM(IF((CRDJ[Date]=$A$4)*(CRDJ[Ofc Code]=(TRIM(P$7)))*(CRDJ[Account Code]=(TRIM($D89))),CRDJ[Credit])))+(SUM(IF((GJ[Date]=$A$4)*(GJ[Ofc Code]=(TRIM(P$7)))*(GJ[Account Code]=(TRIM($D89))),GJ[Credit])))</f>
        <v>0</v>
      </c>
      <c r="Q89" s="211">
        <f t="array" ref="Q89">(SUM(IF((CkDJ[Date]=$A$4)*(CkDJ[Ofc Code]=(TRIM(Q$7)))*(CkDJ[Account Code]=(TRIM($D89))),CkDJ[Debit])))+(SUM(IF((CsDJ[Date]=$A$4)*(CsDJ[Ofc Code]=(TRIM(Q$7)))*(CsDJ[Account Code]=(TRIM($D89))),CsDJ[Debit])))+(SUM(IF((CRDJ[Date]=$A$4)*(CRDJ[Ofc Code]=(TRIM(Q$7)))*(CRDJ[Account Code]=(TRIM($D89))),CRDJ[Debit])))+(SUM(IF((GJ[Date]=$A$4)*(GJ[Ofc Code]=(TRIM(Q$7)))*(GJ[Account Code]=(TRIM($D89))),GJ[Debit])))-(SUM(IF((CkDJ[Date]=$A$4)*(CkDJ[Ofc Code]=(TRIM(Q$7)))*(CkDJ[Account Code]=(TRIM($D89))),CkDJ[Credit])))+(SUM(IF((CsDJ[Date]=$A$4)*(CsDJ[Ofc Code]=(TRIM(Q$7)))*(CsDJ[Account Code]=(TRIM($D89))),CsDJ[Credit])))+(SUM(IF((CRDJ[Date]=$A$4)*(CRDJ[Ofc Code]=(TRIM(Q$7)))*(CRDJ[Account Code]=(TRIM($D89))),CRDJ[Credit])))+(SUM(IF((GJ[Date]=$A$4)*(GJ[Ofc Code]=(TRIM(Q$7)))*(GJ[Account Code]=(TRIM($D89))),GJ[Credit])))</f>
        <v>0</v>
      </c>
      <c r="R89" s="211">
        <f t="array" ref="R89">(SUM(IF((CkDJ[Date]=$A$4)*(CkDJ[Ofc Code]=(TRIM(R$7)))*(CkDJ[Account Code]=(TRIM($D89))),CkDJ[Debit])))+(SUM(IF((CsDJ[Date]=$A$4)*(CsDJ[Ofc Code]=(TRIM(R$7)))*(CsDJ[Account Code]=(TRIM($D89))),CsDJ[Debit])))+(SUM(IF((CRDJ[Date]=$A$4)*(CRDJ[Ofc Code]=(TRIM(R$7)))*(CRDJ[Account Code]=(TRIM($D89))),CRDJ[Debit])))+(SUM(IF((GJ[Date]=$A$4)*(GJ[Ofc Code]=(TRIM(R$7)))*(GJ[Account Code]=(TRIM($D89))),GJ[Debit])))-(SUM(IF((CkDJ[Date]=$A$4)*(CkDJ[Ofc Code]=(TRIM(R$7)))*(CkDJ[Account Code]=(TRIM($D89))),CkDJ[Credit])))+(SUM(IF((CsDJ[Date]=$A$4)*(CsDJ[Ofc Code]=(TRIM(R$7)))*(CsDJ[Account Code]=(TRIM($D89))),CsDJ[Credit])))+(SUM(IF((CRDJ[Date]=$A$4)*(CRDJ[Ofc Code]=(TRIM(R$7)))*(CRDJ[Account Code]=(TRIM($D89))),CRDJ[Credit])))+(SUM(IF((GJ[Date]=$A$4)*(GJ[Ofc Code]=(TRIM(R$7)))*(GJ[Account Code]=(TRIM($D89))),GJ[Credit])))</f>
        <v>0</v>
      </c>
      <c r="S89" s="211">
        <f t="array" ref="S89">(SUM(IF((CkDJ[Date]=$A$4)*(CkDJ[Ofc Code]=(TRIM(S$7)))*(CkDJ[Account Code]=(TRIM($D89))),CkDJ[Debit])))+(SUM(IF((CsDJ[Date]=$A$4)*(CsDJ[Ofc Code]=(TRIM(S$7)))*(CsDJ[Account Code]=(TRIM($D89))),CsDJ[Debit])))+(SUM(IF((CRDJ[Date]=$A$4)*(CRDJ[Ofc Code]=(TRIM(S$7)))*(CRDJ[Account Code]=(TRIM($D89))),CRDJ[Debit])))+(SUM(IF((GJ[Date]=$A$4)*(GJ[Ofc Code]=(TRIM(S$7)))*(GJ[Account Code]=(TRIM($D89))),GJ[Debit])))-(SUM(IF((CkDJ[Date]=$A$4)*(CkDJ[Ofc Code]=(TRIM(S$7)))*(CkDJ[Account Code]=(TRIM($D89))),CkDJ[Credit])))+(SUM(IF((CsDJ[Date]=$A$4)*(CsDJ[Ofc Code]=(TRIM(S$7)))*(CsDJ[Account Code]=(TRIM($D89))),CsDJ[Credit])))+(SUM(IF((CRDJ[Date]=$A$4)*(CRDJ[Ofc Code]=(TRIM(S$7)))*(CRDJ[Account Code]=(TRIM($D89))),CRDJ[Credit])))+(SUM(IF((GJ[Date]=$A$4)*(GJ[Ofc Code]=(TRIM(S$7)))*(GJ[Account Code]=(TRIM($D89))),GJ[Credit])))</f>
        <v>0</v>
      </c>
      <c r="T89" s="211">
        <f t="shared" si="23"/>
        <v>0</v>
      </c>
      <c r="U89" s="211">
        <f t="shared" si="24"/>
        <v>0</v>
      </c>
    </row>
    <row r="90" spans="1:21" ht="15">
      <c r="A90" s="212">
        <f t="shared" si="19"/>
        <v>32</v>
      </c>
      <c r="B90" s="194" t="s">
        <v>756</v>
      </c>
      <c r="C90" s="194" t="str">
        <f t="shared" si="14"/>
        <v>Insurance Expenses</v>
      </c>
      <c r="D90" s="207">
        <v>893</v>
      </c>
      <c r="E90" s="211">
        <f t="array" ref="E90">(SUM(IF((CkDJ[Date]=$A$4)*(CkDJ[Ofc Code]=(TRIM(E$7)))*(CkDJ[Account Code]=(TRIM($D90))),CkDJ[Debit])))+(SUM(IF((CsDJ[Date]=$A$4)*(CsDJ[Ofc Code]=(TRIM(E$7)))*(CsDJ[Account Code]=(TRIM($D90))),CsDJ[Debit])))+(SUM(IF((CRDJ[Date]=$A$4)*(CRDJ[Ofc Code]=(TRIM(E$7)))*(CRDJ[Account Code]=(TRIM($D90))),CRDJ[Debit])))+(SUM(IF((GJ[Date]=$A$4)*(GJ[Ofc Code]=(TRIM(E$7)))*(GJ[Account Code]=(TRIM($D90))),GJ[Debit])))-(SUM(IF((CkDJ[Date]=$A$4)*(CkDJ[Ofc Code]=(TRIM(E$7)))*(CkDJ[Account Code]=(TRIM($D90))),CkDJ[Credit])))+(SUM(IF((CsDJ[Date]=$A$4)*(CsDJ[Ofc Code]=(TRIM(E$7)))*(CsDJ[Account Code]=(TRIM($D90))),CsDJ[Credit])))+(SUM(IF((CRDJ[Date]=$A$4)*(CRDJ[Ofc Code]=(TRIM(E$7)))*(CRDJ[Account Code]=(TRIM($D90))),CRDJ[Credit])))+(SUM(IF((GJ[Date]=$A$4)*(GJ[Ofc Code]=(TRIM(E$7)))*(GJ[Account Code]=(TRIM($D90))),GJ[Credit])))</f>
        <v>0</v>
      </c>
      <c r="F90" s="211">
        <f t="array" ref="F90">(SUM(IF((CkDJ[Date]=$A$4)*(CkDJ[Ofc Code]=(TRIM(F$7)))*(CkDJ[Account Code]=(TRIM($D90))),CkDJ[Debit])))+(SUM(IF((CsDJ[Date]=$A$4)*(CsDJ[Ofc Code]=(TRIM(F$7)))*(CsDJ[Account Code]=(TRIM($D90))),CsDJ[Debit])))+(SUM(IF((CRDJ[Date]=$A$4)*(CRDJ[Ofc Code]=(TRIM(F$7)))*(CRDJ[Account Code]=(TRIM($D90))),CRDJ[Debit])))+(SUM(IF((GJ[Date]=$A$4)*(GJ[Ofc Code]=(TRIM(F$7)))*(GJ[Account Code]=(TRIM($D90))),GJ[Debit])))-(SUM(IF((CkDJ[Date]=$A$4)*(CkDJ[Ofc Code]=(TRIM(F$7)))*(CkDJ[Account Code]=(TRIM($D90))),CkDJ[Credit])))+(SUM(IF((CsDJ[Date]=$A$4)*(CsDJ[Ofc Code]=(TRIM(F$7)))*(CsDJ[Account Code]=(TRIM($D90))),CsDJ[Credit])))+(SUM(IF((CRDJ[Date]=$A$4)*(CRDJ[Ofc Code]=(TRIM(F$7)))*(CRDJ[Account Code]=(TRIM($D90))),CRDJ[Credit])))+(SUM(IF((GJ[Date]=$A$4)*(GJ[Ofc Code]=(TRIM(F$7)))*(GJ[Account Code]=(TRIM($D90))),GJ[Credit])))</f>
        <v>0</v>
      </c>
      <c r="G90" s="211">
        <f t="array" ref="G90">(SUM(IF((CkDJ[Date]=$A$4)*(CkDJ[Ofc Code]=(TRIM(G$7)))*(CkDJ[Account Code]=(TRIM($D90))),CkDJ[Debit])))+(SUM(IF((CsDJ[Date]=$A$4)*(CsDJ[Ofc Code]=(TRIM(G$7)))*(CsDJ[Account Code]=(TRIM($D90))),CsDJ[Debit])))+(SUM(IF((CRDJ[Date]=$A$4)*(CRDJ[Ofc Code]=(TRIM(G$7)))*(CRDJ[Account Code]=(TRIM($D90))),CRDJ[Debit])))+(SUM(IF((GJ[Date]=$A$4)*(GJ[Ofc Code]=(TRIM(G$7)))*(GJ[Account Code]=(TRIM($D90))),GJ[Debit])))-(SUM(IF((CkDJ[Date]=$A$4)*(CkDJ[Ofc Code]=(TRIM(G$7)))*(CkDJ[Account Code]=(TRIM($D90))),CkDJ[Credit])))+(SUM(IF((CsDJ[Date]=$A$4)*(CsDJ[Ofc Code]=(TRIM(G$7)))*(CsDJ[Account Code]=(TRIM($D90))),CsDJ[Credit])))+(SUM(IF((CRDJ[Date]=$A$4)*(CRDJ[Ofc Code]=(TRIM(G$7)))*(CRDJ[Account Code]=(TRIM($D90))),CRDJ[Credit])))+(SUM(IF((GJ[Date]=$A$4)*(GJ[Ofc Code]=(TRIM(G$7)))*(GJ[Account Code]=(TRIM($D90))),GJ[Credit])))</f>
        <v>0</v>
      </c>
      <c r="H90" s="211">
        <f t="array" ref="H90">(SUM(IF((CkDJ[Date]=$A$4)*(CkDJ[Ofc Code]=(TRIM(H$7)))*(CkDJ[Account Code]=(TRIM($D90))),CkDJ[Debit])))+(SUM(IF((CsDJ[Date]=$A$4)*(CsDJ[Ofc Code]=(TRIM(H$7)))*(CsDJ[Account Code]=(TRIM($D90))),CsDJ[Debit])))+(SUM(IF((CRDJ[Date]=$A$4)*(CRDJ[Ofc Code]=(TRIM(H$7)))*(CRDJ[Account Code]=(TRIM($D90))),CRDJ[Debit])))+(SUM(IF((GJ[Date]=$A$4)*(GJ[Ofc Code]=(TRIM(H$7)))*(GJ[Account Code]=(TRIM($D90))),GJ[Debit])))-(SUM(IF((CkDJ[Date]=$A$4)*(CkDJ[Ofc Code]=(TRIM(H$7)))*(CkDJ[Account Code]=(TRIM($D90))),CkDJ[Credit])))+(SUM(IF((CsDJ[Date]=$A$4)*(CsDJ[Ofc Code]=(TRIM(H$7)))*(CsDJ[Account Code]=(TRIM($D90))),CsDJ[Credit])))+(SUM(IF((CRDJ[Date]=$A$4)*(CRDJ[Ofc Code]=(TRIM(H$7)))*(CRDJ[Account Code]=(TRIM($D90))),CRDJ[Credit])))+(SUM(IF((GJ[Date]=$A$4)*(GJ[Ofc Code]=(TRIM(H$7)))*(GJ[Account Code]=(TRIM($D90))),GJ[Credit])))</f>
        <v>0</v>
      </c>
      <c r="I90" s="211">
        <f t="shared" si="15"/>
        <v>0</v>
      </c>
      <c r="J90" s="211">
        <f t="array" ref="J90">(SUM(IF((CkDJ[Date]=$A$4)*(CkDJ[Ofc Code]=(TRIM(J$7)))*(CkDJ[Account Code]=(TRIM($D90))),CkDJ[Debit])))+(SUM(IF((CsDJ[Date]=$A$4)*(CsDJ[Ofc Code]=(TRIM(J$7)))*(CsDJ[Account Code]=(TRIM($D90))),CsDJ[Debit])))+(SUM(IF((CRDJ[Date]=$A$4)*(CRDJ[Ofc Code]=(TRIM(J$7)))*(CRDJ[Account Code]=(TRIM($D90))),CRDJ[Debit])))+(SUM(IF((GJ[Date]=$A$4)*(GJ[Ofc Code]=(TRIM(J$7)))*(GJ[Account Code]=(TRIM($D90))),GJ[Debit])))-(SUM(IF((CkDJ[Date]=$A$4)*(CkDJ[Ofc Code]=(TRIM(J$7)))*(CkDJ[Account Code]=(TRIM($D90))),CkDJ[Credit])))+(SUM(IF((CsDJ[Date]=$A$4)*(CsDJ[Ofc Code]=(TRIM(J$7)))*(CsDJ[Account Code]=(TRIM($D90))),CsDJ[Credit])))+(SUM(IF((CRDJ[Date]=$A$4)*(CRDJ[Ofc Code]=(TRIM(J$7)))*(CRDJ[Account Code]=(TRIM($D90))),CRDJ[Credit])))+(SUM(IF((GJ[Date]=$A$4)*(GJ[Ofc Code]=(TRIM(J$7)))*(GJ[Account Code]=(TRIM($D90))),GJ[Credit])))</f>
        <v>0</v>
      </c>
      <c r="K90" s="211">
        <f t="array" ref="K90">(SUM(IF((CkDJ[Date]=$A$4)*(CkDJ[Ofc Code]=(TRIM(K$7)))*(CkDJ[Account Code]=(TRIM($D90))),CkDJ[Debit])))+(SUM(IF((CsDJ[Date]=$A$4)*(CsDJ[Ofc Code]=(TRIM(K$7)))*(CsDJ[Account Code]=(TRIM($D90))),CsDJ[Debit])))+(SUM(IF((CRDJ[Date]=$A$4)*(CRDJ[Ofc Code]=(TRIM(K$7)))*(CRDJ[Account Code]=(TRIM($D90))),CRDJ[Debit])))+(SUM(IF((GJ[Date]=$A$4)*(GJ[Ofc Code]=(TRIM(K$7)))*(GJ[Account Code]=(TRIM($D90))),GJ[Debit])))-(SUM(IF((CkDJ[Date]=$A$4)*(CkDJ[Ofc Code]=(TRIM(K$7)))*(CkDJ[Account Code]=(TRIM($D90))),CkDJ[Credit])))+(SUM(IF((CsDJ[Date]=$A$4)*(CsDJ[Ofc Code]=(TRIM(K$7)))*(CsDJ[Account Code]=(TRIM($D90))),CsDJ[Credit])))+(SUM(IF((CRDJ[Date]=$A$4)*(CRDJ[Ofc Code]=(TRIM(K$7)))*(CRDJ[Account Code]=(TRIM($D90))),CRDJ[Credit])))+(SUM(IF((GJ[Date]=$A$4)*(GJ[Ofc Code]=(TRIM(K$7)))*(GJ[Account Code]=(TRIM($D90))),GJ[Credit])))</f>
        <v>0</v>
      </c>
      <c r="L90" s="211">
        <f t="array" ref="L90">(SUM(IF((CkDJ[Date]=$A$4)*(CkDJ[Ofc Code]=(TRIM(L$7)))*(CkDJ[Account Code]=(TRIM($D90))),CkDJ[Debit])))+(SUM(IF((CsDJ[Date]=$A$4)*(CsDJ[Ofc Code]=(TRIM(L$7)))*(CsDJ[Account Code]=(TRIM($D90))),CsDJ[Debit])))+(SUM(IF((CRDJ[Date]=$A$4)*(CRDJ[Ofc Code]=(TRIM(L$7)))*(CRDJ[Account Code]=(TRIM($D90))),CRDJ[Debit])))+(SUM(IF((GJ[Date]=$A$4)*(GJ[Ofc Code]=(TRIM(L$7)))*(GJ[Account Code]=(TRIM($D90))),GJ[Debit])))-(SUM(IF((CkDJ[Date]=$A$4)*(CkDJ[Ofc Code]=(TRIM(L$7)))*(CkDJ[Account Code]=(TRIM($D90))),CkDJ[Credit])))+(SUM(IF((CsDJ[Date]=$A$4)*(CsDJ[Ofc Code]=(TRIM(L$7)))*(CsDJ[Account Code]=(TRIM($D90))),CsDJ[Credit])))+(SUM(IF((CRDJ[Date]=$A$4)*(CRDJ[Ofc Code]=(TRIM(L$7)))*(CRDJ[Account Code]=(TRIM($D90))),CRDJ[Credit])))+(SUM(IF((GJ[Date]=$A$4)*(GJ[Ofc Code]=(TRIM(L$7)))*(GJ[Account Code]=(TRIM($D90))),GJ[Credit])))</f>
        <v>0</v>
      </c>
      <c r="M90" s="211">
        <f t="array" ref="M90">(SUM(IF((CkDJ[Date]=$A$4)*(CkDJ[Ofc Code]=(TRIM(M$7)))*(CkDJ[Account Code]=(TRIM($D90))),CkDJ[Debit])))+(SUM(IF((CsDJ[Date]=$A$4)*(CsDJ[Ofc Code]=(TRIM(M$7)))*(CsDJ[Account Code]=(TRIM($D90))),CsDJ[Debit])))+(SUM(IF((CRDJ[Date]=$A$4)*(CRDJ[Ofc Code]=(TRIM(M$7)))*(CRDJ[Account Code]=(TRIM($D90))),CRDJ[Debit])))+(SUM(IF((GJ[Date]=$A$4)*(GJ[Ofc Code]=(TRIM(M$7)))*(GJ[Account Code]=(TRIM($D90))),GJ[Debit])))-(SUM(IF((CkDJ[Date]=$A$4)*(CkDJ[Ofc Code]=(TRIM(M$7)))*(CkDJ[Account Code]=(TRIM($D90))),CkDJ[Credit])))+(SUM(IF((CsDJ[Date]=$A$4)*(CsDJ[Ofc Code]=(TRIM(M$7)))*(CsDJ[Account Code]=(TRIM($D90))),CsDJ[Credit])))+(SUM(IF((CRDJ[Date]=$A$4)*(CRDJ[Ofc Code]=(TRIM(M$7)))*(CRDJ[Account Code]=(TRIM($D90))),CRDJ[Credit])))+(SUM(IF((GJ[Date]=$A$4)*(GJ[Ofc Code]=(TRIM(M$7)))*(GJ[Account Code]=(TRIM($D90))),GJ[Credit])))</f>
        <v>0</v>
      </c>
      <c r="N90" s="211">
        <f t="shared" si="16"/>
        <v>0</v>
      </c>
      <c r="O90" s="211">
        <f t="array" ref="O90">(SUM(IF((CkDJ[Date]=$A$4)*(CkDJ[Ofc Code]=(TRIM(O$7)))*(CkDJ[Account Code]=(TRIM($D90))),CkDJ[Debit])))+(SUM(IF((CsDJ[Date]=$A$4)*(CsDJ[Ofc Code]=(TRIM(O$7)))*(CsDJ[Account Code]=(TRIM($D90))),CsDJ[Debit])))+(SUM(IF((CRDJ[Date]=$A$4)*(CRDJ[Ofc Code]=(TRIM(O$7)))*(CRDJ[Account Code]=(TRIM($D90))),CRDJ[Debit])))+(SUM(IF((GJ[Date]=$A$4)*(GJ[Ofc Code]=(TRIM(O$7)))*(GJ[Account Code]=(TRIM($D90))),GJ[Debit])))-(SUM(IF((CkDJ[Date]=$A$4)*(CkDJ[Ofc Code]=(TRIM(O$7)))*(CkDJ[Account Code]=(TRIM($D90))),CkDJ[Credit])))+(SUM(IF((CsDJ[Date]=$A$4)*(CsDJ[Ofc Code]=(TRIM(O$7)))*(CsDJ[Account Code]=(TRIM($D90))),CsDJ[Credit])))+(SUM(IF((CRDJ[Date]=$A$4)*(CRDJ[Ofc Code]=(TRIM(O$7)))*(CRDJ[Account Code]=(TRIM($D90))),CRDJ[Credit])))+(SUM(IF((GJ[Date]=$A$4)*(GJ[Ofc Code]=(TRIM(O$7)))*(GJ[Account Code]=(TRIM($D90))),GJ[Credit])))</f>
        <v>0</v>
      </c>
      <c r="P90" s="211">
        <f t="array" ref="P90">(SUM(IF((CkDJ[Date]=$A$4)*(CkDJ[Ofc Code]=(TRIM(P$7)))*(CkDJ[Account Code]=(TRIM($D90))),CkDJ[Debit])))+(SUM(IF((CsDJ[Date]=$A$4)*(CsDJ[Ofc Code]=(TRIM(P$7)))*(CsDJ[Account Code]=(TRIM($D90))),CsDJ[Debit])))+(SUM(IF((CRDJ[Date]=$A$4)*(CRDJ[Ofc Code]=(TRIM(P$7)))*(CRDJ[Account Code]=(TRIM($D90))),CRDJ[Debit])))+(SUM(IF((GJ[Date]=$A$4)*(GJ[Ofc Code]=(TRIM(P$7)))*(GJ[Account Code]=(TRIM($D90))),GJ[Debit])))-(SUM(IF((CkDJ[Date]=$A$4)*(CkDJ[Ofc Code]=(TRIM(P$7)))*(CkDJ[Account Code]=(TRIM($D90))),CkDJ[Credit])))+(SUM(IF((CsDJ[Date]=$A$4)*(CsDJ[Ofc Code]=(TRIM(P$7)))*(CsDJ[Account Code]=(TRIM($D90))),CsDJ[Credit])))+(SUM(IF((CRDJ[Date]=$A$4)*(CRDJ[Ofc Code]=(TRIM(P$7)))*(CRDJ[Account Code]=(TRIM($D90))),CRDJ[Credit])))+(SUM(IF((GJ[Date]=$A$4)*(GJ[Ofc Code]=(TRIM(P$7)))*(GJ[Account Code]=(TRIM($D90))),GJ[Credit])))</f>
        <v>0</v>
      </c>
      <c r="Q90" s="211">
        <f t="array" ref="Q90">(SUM(IF((CkDJ[Date]=$A$4)*(CkDJ[Ofc Code]=(TRIM(Q$7)))*(CkDJ[Account Code]=(TRIM($D90))),CkDJ[Debit])))+(SUM(IF((CsDJ[Date]=$A$4)*(CsDJ[Ofc Code]=(TRIM(Q$7)))*(CsDJ[Account Code]=(TRIM($D90))),CsDJ[Debit])))+(SUM(IF((CRDJ[Date]=$A$4)*(CRDJ[Ofc Code]=(TRIM(Q$7)))*(CRDJ[Account Code]=(TRIM($D90))),CRDJ[Debit])))+(SUM(IF((GJ[Date]=$A$4)*(GJ[Ofc Code]=(TRIM(Q$7)))*(GJ[Account Code]=(TRIM($D90))),GJ[Debit])))-(SUM(IF((CkDJ[Date]=$A$4)*(CkDJ[Ofc Code]=(TRIM(Q$7)))*(CkDJ[Account Code]=(TRIM($D90))),CkDJ[Credit])))+(SUM(IF((CsDJ[Date]=$A$4)*(CsDJ[Ofc Code]=(TRIM(Q$7)))*(CsDJ[Account Code]=(TRIM($D90))),CsDJ[Credit])))+(SUM(IF((CRDJ[Date]=$A$4)*(CRDJ[Ofc Code]=(TRIM(Q$7)))*(CRDJ[Account Code]=(TRIM($D90))),CRDJ[Credit])))+(SUM(IF((GJ[Date]=$A$4)*(GJ[Ofc Code]=(TRIM(Q$7)))*(GJ[Account Code]=(TRIM($D90))),GJ[Credit])))</f>
        <v>0</v>
      </c>
      <c r="R90" s="211">
        <f t="array" ref="R90">(SUM(IF((CkDJ[Date]=$A$4)*(CkDJ[Ofc Code]=(TRIM(R$7)))*(CkDJ[Account Code]=(TRIM($D90))),CkDJ[Debit])))+(SUM(IF((CsDJ[Date]=$A$4)*(CsDJ[Ofc Code]=(TRIM(R$7)))*(CsDJ[Account Code]=(TRIM($D90))),CsDJ[Debit])))+(SUM(IF((CRDJ[Date]=$A$4)*(CRDJ[Ofc Code]=(TRIM(R$7)))*(CRDJ[Account Code]=(TRIM($D90))),CRDJ[Debit])))+(SUM(IF((GJ[Date]=$A$4)*(GJ[Ofc Code]=(TRIM(R$7)))*(GJ[Account Code]=(TRIM($D90))),GJ[Debit])))-(SUM(IF((CkDJ[Date]=$A$4)*(CkDJ[Ofc Code]=(TRIM(R$7)))*(CkDJ[Account Code]=(TRIM($D90))),CkDJ[Credit])))+(SUM(IF((CsDJ[Date]=$A$4)*(CsDJ[Ofc Code]=(TRIM(R$7)))*(CsDJ[Account Code]=(TRIM($D90))),CsDJ[Credit])))+(SUM(IF((CRDJ[Date]=$A$4)*(CRDJ[Ofc Code]=(TRIM(R$7)))*(CRDJ[Account Code]=(TRIM($D90))),CRDJ[Credit])))+(SUM(IF((GJ[Date]=$A$4)*(GJ[Ofc Code]=(TRIM(R$7)))*(GJ[Account Code]=(TRIM($D90))),GJ[Credit])))</f>
        <v>0</v>
      </c>
      <c r="S90" s="211">
        <f t="array" ref="S90">(SUM(IF((CkDJ[Date]=$A$4)*(CkDJ[Ofc Code]=(TRIM(S$7)))*(CkDJ[Account Code]=(TRIM($D90))),CkDJ[Debit])))+(SUM(IF((CsDJ[Date]=$A$4)*(CsDJ[Ofc Code]=(TRIM(S$7)))*(CsDJ[Account Code]=(TRIM($D90))),CsDJ[Debit])))+(SUM(IF((CRDJ[Date]=$A$4)*(CRDJ[Ofc Code]=(TRIM(S$7)))*(CRDJ[Account Code]=(TRIM($D90))),CRDJ[Debit])))+(SUM(IF((GJ[Date]=$A$4)*(GJ[Ofc Code]=(TRIM(S$7)))*(GJ[Account Code]=(TRIM($D90))),GJ[Debit])))-(SUM(IF((CkDJ[Date]=$A$4)*(CkDJ[Ofc Code]=(TRIM(S$7)))*(CkDJ[Account Code]=(TRIM($D90))),CkDJ[Credit])))+(SUM(IF((CsDJ[Date]=$A$4)*(CsDJ[Ofc Code]=(TRIM(S$7)))*(CsDJ[Account Code]=(TRIM($D90))),CsDJ[Credit])))+(SUM(IF((CRDJ[Date]=$A$4)*(CRDJ[Ofc Code]=(TRIM(S$7)))*(CRDJ[Account Code]=(TRIM($D90))),CRDJ[Credit])))+(SUM(IF((GJ[Date]=$A$4)*(GJ[Ofc Code]=(TRIM(S$7)))*(GJ[Account Code]=(TRIM($D90))),GJ[Credit])))</f>
        <v>0</v>
      </c>
      <c r="T90" s="211">
        <f t="shared" si="17"/>
        <v>0</v>
      </c>
      <c r="U90" s="211">
        <f t="shared" si="18"/>
        <v>0</v>
      </c>
    </row>
    <row r="91" spans="1:21" ht="15">
      <c r="A91" s="212">
        <f t="shared" si="19"/>
        <v>33</v>
      </c>
      <c r="B91" s="194" t="s">
        <v>756</v>
      </c>
      <c r="C91" s="194" t="str">
        <f t="shared" si="14"/>
        <v>Other Maintenance and Operating Expenses (Irrigator's Share/Remuneration/Subsidy)</v>
      </c>
      <c r="D91" s="207">
        <v>965</v>
      </c>
      <c r="E91" s="211">
        <f t="array" ref="E91">(SUM(IF((CkDJ[Date]=$A$4)*(CkDJ[Ofc Code]=(TRIM(E$7)))*(CkDJ[Account Code]=(TRIM($D91))),CkDJ[Debit])))+(SUM(IF((CsDJ[Date]=$A$4)*(CsDJ[Ofc Code]=(TRIM(E$7)))*(CsDJ[Account Code]=(TRIM($D91))),CsDJ[Debit])))+(SUM(IF((CRDJ[Date]=$A$4)*(CRDJ[Ofc Code]=(TRIM(E$7)))*(CRDJ[Account Code]=(TRIM($D91))),CRDJ[Debit])))+(SUM(IF((GJ[Date]=$A$4)*(GJ[Ofc Code]=(TRIM(E$7)))*(GJ[Account Code]=(TRIM($D91))),GJ[Debit])))-(SUM(IF((CkDJ[Date]=$A$4)*(CkDJ[Ofc Code]=(TRIM(E$7)))*(CkDJ[Account Code]=(TRIM($D91))),CkDJ[Credit])))+(SUM(IF((CsDJ[Date]=$A$4)*(CsDJ[Ofc Code]=(TRIM(E$7)))*(CsDJ[Account Code]=(TRIM($D91))),CsDJ[Credit])))+(SUM(IF((CRDJ[Date]=$A$4)*(CRDJ[Ofc Code]=(TRIM(E$7)))*(CRDJ[Account Code]=(TRIM($D91))),CRDJ[Credit])))+(SUM(IF((GJ[Date]=$A$4)*(GJ[Ofc Code]=(TRIM(E$7)))*(GJ[Account Code]=(TRIM($D91))),GJ[Credit])))</f>
        <v>0</v>
      </c>
      <c r="F91" s="211">
        <f t="array" ref="F91">(SUM(IF((CkDJ[Date]=$A$4)*(CkDJ[Ofc Code]=(TRIM(F$7)))*(CkDJ[Account Code]=(TRIM($D91))),CkDJ[Debit])))+(SUM(IF((CsDJ[Date]=$A$4)*(CsDJ[Ofc Code]=(TRIM(F$7)))*(CsDJ[Account Code]=(TRIM($D91))),CsDJ[Debit])))+(SUM(IF((CRDJ[Date]=$A$4)*(CRDJ[Ofc Code]=(TRIM(F$7)))*(CRDJ[Account Code]=(TRIM($D91))),CRDJ[Debit])))+(SUM(IF((GJ[Date]=$A$4)*(GJ[Ofc Code]=(TRIM(F$7)))*(GJ[Account Code]=(TRIM($D91))),GJ[Debit])))-(SUM(IF((CkDJ[Date]=$A$4)*(CkDJ[Ofc Code]=(TRIM(F$7)))*(CkDJ[Account Code]=(TRIM($D91))),CkDJ[Credit])))+(SUM(IF((CsDJ[Date]=$A$4)*(CsDJ[Ofc Code]=(TRIM(F$7)))*(CsDJ[Account Code]=(TRIM($D91))),CsDJ[Credit])))+(SUM(IF((CRDJ[Date]=$A$4)*(CRDJ[Ofc Code]=(TRIM(F$7)))*(CRDJ[Account Code]=(TRIM($D91))),CRDJ[Credit])))+(SUM(IF((GJ[Date]=$A$4)*(GJ[Ofc Code]=(TRIM(F$7)))*(GJ[Account Code]=(TRIM($D91))),GJ[Credit])))</f>
        <v>0</v>
      </c>
      <c r="G91" s="211">
        <f t="array" ref="G91">(SUM(IF((CkDJ[Date]=$A$4)*(CkDJ[Ofc Code]=(TRIM(G$7)))*(CkDJ[Account Code]=(TRIM($D91))),CkDJ[Debit])))+(SUM(IF((CsDJ[Date]=$A$4)*(CsDJ[Ofc Code]=(TRIM(G$7)))*(CsDJ[Account Code]=(TRIM($D91))),CsDJ[Debit])))+(SUM(IF((CRDJ[Date]=$A$4)*(CRDJ[Ofc Code]=(TRIM(G$7)))*(CRDJ[Account Code]=(TRIM($D91))),CRDJ[Debit])))+(SUM(IF((GJ[Date]=$A$4)*(GJ[Ofc Code]=(TRIM(G$7)))*(GJ[Account Code]=(TRIM($D91))),GJ[Debit])))-(SUM(IF((CkDJ[Date]=$A$4)*(CkDJ[Ofc Code]=(TRIM(G$7)))*(CkDJ[Account Code]=(TRIM($D91))),CkDJ[Credit])))+(SUM(IF((CsDJ[Date]=$A$4)*(CsDJ[Ofc Code]=(TRIM(G$7)))*(CsDJ[Account Code]=(TRIM($D91))),CsDJ[Credit])))+(SUM(IF((CRDJ[Date]=$A$4)*(CRDJ[Ofc Code]=(TRIM(G$7)))*(CRDJ[Account Code]=(TRIM($D91))),CRDJ[Credit])))+(SUM(IF((GJ[Date]=$A$4)*(GJ[Ofc Code]=(TRIM(G$7)))*(GJ[Account Code]=(TRIM($D91))),GJ[Credit])))</f>
        <v>0</v>
      </c>
      <c r="H91" s="211">
        <f t="array" ref="H91">(SUM(IF((CkDJ[Date]=$A$4)*(CkDJ[Ofc Code]=(TRIM(H$7)))*(CkDJ[Account Code]=(TRIM($D91))),CkDJ[Debit])))+(SUM(IF((CsDJ[Date]=$A$4)*(CsDJ[Ofc Code]=(TRIM(H$7)))*(CsDJ[Account Code]=(TRIM($D91))),CsDJ[Debit])))+(SUM(IF((CRDJ[Date]=$A$4)*(CRDJ[Ofc Code]=(TRIM(H$7)))*(CRDJ[Account Code]=(TRIM($D91))),CRDJ[Debit])))+(SUM(IF((GJ[Date]=$A$4)*(GJ[Ofc Code]=(TRIM(H$7)))*(GJ[Account Code]=(TRIM($D91))),GJ[Debit])))-(SUM(IF((CkDJ[Date]=$A$4)*(CkDJ[Ofc Code]=(TRIM(H$7)))*(CkDJ[Account Code]=(TRIM($D91))),CkDJ[Credit])))+(SUM(IF((CsDJ[Date]=$A$4)*(CsDJ[Ofc Code]=(TRIM(H$7)))*(CsDJ[Account Code]=(TRIM($D91))),CsDJ[Credit])))+(SUM(IF((CRDJ[Date]=$A$4)*(CRDJ[Ofc Code]=(TRIM(H$7)))*(CRDJ[Account Code]=(TRIM($D91))),CRDJ[Credit])))+(SUM(IF((GJ[Date]=$A$4)*(GJ[Ofc Code]=(TRIM(H$7)))*(GJ[Account Code]=(TRIM($D91))),GJ[Credit])))</f>
        <v>0</v>
      </c>
      <c r="I91" s="211">
        <f t="shared" si="15"/>
        <v>0</v>
      </c>
      <c r="J91" s="211">
        <f t="array" ref="J91">(SUM(IF((CkDJ[Date]=$A$4)*(CkDJ[Ofc Code]=(TRIM(J$7)))*(CkDJ[Account Code]=(TRIM($D91))),CkDJ[Debit])))+(SUM(IF((CsDJ[Date]=$A$4)*(CsDJ[Ofc Code]=(TRIM(J$7)))*(CsDJ[Account Code]=(TRIM($D91))),CsDJ[Debit])))+(SUM(IF((CRDJ[Date]=$A$4)*(CRDJ[Ofc Code]=(TRIM(J$7)))*(CRDJ[Account Code]=(TRIM($D91))),CRDJ[Debit])))+(SUM(IF((GJ[Date]=$A$4)*(GJ[Ofc Code]=(TRIM(J$7)))*(GJ[Account Code]=(TRIM($D91))),GJ[Debit])))-(SUM(IF((CkDJ[Date]=$A$4)*(CkDJ[Ofc Code]=(TRIM(J$7)))*(CkDJ[Account Code]=(TRIM($D91))),CkDJ[Credit])))+(SUM(IF((CsDJ[Date]=$A$4)*(CsDJ[Ofc Code]=(TRIM(J$7)))*(CsDJ[Account Code]=(TRIM($D91))),CsDJ[Credit])))+(SUM(IF((CRDJ[Date]=$A$4)*(CRDJ[Ofc Code]=(TRIM(J$7)))*(CRDJ[Account Code]=(TRIM($D91))),CRDJ[Credit])))+(SUM(IF((GJ[Date]=$A$4)*(GJ[Ofc Code]=(TRIM(J$7)))*(GJ[Account Code]=(TRIM($D91))),GJ[Credit])))</f>
        <v>0</v>
      </c>
      <c r="K91" s="211">
        <f t="array" ref="K91">(SUM(IF((CkDJ[Date]=$A$4)*(CkDJ[Ofc Code]=(TRIM(K$7)))*(CkDJ[Account Code]=(TRIM($D91))),CkDJ[Debit])))+(SUM(IF((CsDJ[Date]=$A$4)*(CsDJ[Ofc Code]=(TRIM(K$7)))*(CsDJ[Account Code]=(TRIM($D91))),CsDJ[Debit])))+(SUM(IF((CRDJ[Date]=$A$4)*(CRDJ[Ofc Code]=(TRIM(K$7)))*(CRDJ[Account Code]=(TRIM($D91))),CRDJ[Debit])))+(SUM(IF((GJ[Date]=$A$4)*(GJ[Ofc Code]=(TRIM(K$7)))*(GJ[Account Code]=(TRIM($D91))),GJ[Debit])))-(SUM(IF((CkDJ[Date]=$A$4)*(CkDJ[Ofc Code]=(TRIM(K$7)))*(CkDJ[Account Code]=(TRIM($D91))),CkDJ[Credit])))+(SUM(IF((CsDJ[Date]=$A$4)*(CsDJ[Ofc Code]=(TRIM(K$7)))*(CsDJ[Account Code]=(TRIM($D91))),CsDJ[Credit])))+(SUM(IF((CRDJ[Date]=$A$4)*(CRDJ[Ofc Code]=(TRIM(K$7)))*(CRDJ[Account Code]=(TRIM($D91))),CRDJ[Credit])))+(SUM(IF((GJ[Date]=$A$4)*(GJ[Ofc Code]=(TRIM(K$7)))*(GJ[Account Code]=(TRIM($D91))),GJ[Credit])))</f>
        <v>0</v>
      </c>
      <c r="L91" s="211">
        <f t="array" ref="L91">(SUM(IF((CkDJ[Date]=$A$4)*(CkDJ[Ofc Code]=(TRIM(L$7)))*(CkDJ[Account Code]=(TRIM($D91))),CkDJ[Debit])))+(SUM(IF((CsDJ[Date]=$A$4)*(CsDJ[Ofc Code]=(TRIM(L$7)))*(CsDJ[Account Code]=(TRIM($D91))),CsDJ[Debit])))+(SUM(IF((CRDJ[Date]=$A$4)*(CRDJ[Ofc Code]=(TRIM(L$7)))*(CRDJ[Account Code]=(TRIM($D91))),CRDJ[Debit])))+(SUM(IF((GJ[Date]=$A$4)*(GJ[Ofc Code]=(TRIM(L$7)))*(GJ[Account Code]=(TRIM($D91))),GJ[Debit])))-(SUM(IF((CkDJ[Date]=$A$4)*(CkDJ[Ofc Code]=(TRIM(L$7)))*(CkDJ[Account Code]=(TRIM($D91))),CkDJ[Credit])))+(SUM(IF((CsDJ[Date]=$A$4)*(CsDJ[Ofc Code]=(TRIM(L$7)))*(CsDJ[Account Code]=(TRIM($D91))),CsDJ[Credit])))+(SUM(IF((CRDJ[Date]=$A$4)*(CRDJ[Ofc Code]=(TRIM(L$7)))*(CRDJ[Account Code]=(TRIM($D91))),CRDJ[Credit])))+(SUM(IF((GJ[Date]=$A$4)*(GJ[Ofc Code]=(TRIM(L$7)))*(GJ[Account Code]=(TRIM($D91))),GJ[Credit])))</f>
        <v>0</v>
      </c>
      <c r="M91" s="211">
        <f t="array" ref="M91">(SUM(IF((CkDJ[Date]=$A$4)*(CkDJ[Ofc Code]=(TRIM(M$7)))*(CkDJ[Account Code]=(TRIM($D91))),CkDJ[Debit])))+(SUM(IF((CsDJ[Date]=$A$4)*(CsDJ[Ofc Code]=(TRIM(M$7)))*(CsDJ[Account Code]=(TRIM($D91))),CsDJ[Debit])))+(SUM(IF((CRDJ[Date]=$A$4)*(CRDJ[Ofc Code]=(TRIM(M$7)))*(CRDJ[Account Code]=(TRIM($D91))),CRDJ[Debit])))+(SUM(IF((GJ[Date]=$A$4)*(GJ[Ofc Code]=(TRIM(M$7)))*(GJ[Account Code]=(TRIM($D91))),GJ[Debit])))-(SUM(IF((CkDJ[Date]=$A$4)*(CkDJ[Ofc Code]=(TRIM(M$7)))*(CkDJ[Account Code]=(TRIM($D91))),CkDJ[Credit])))+(SUM(IF((CsDJ[Date]=$A$4)*(CsDJ[Ofc Code]=(TRIM(M$7)))*(CsDJ[Account Code]=(TRIM($D91))),CsDJ[Credit])))+(SUM(IF((CRDJ[Date]=$A$4)*(CRDJ[Ofc Code]=(TRIM(M$7)))*(CRDJ[Account Code]=(TRIM($D91))),CRDJ[Credit])))+(SUM(IF((GJ[Date]=$A$4)*(GJ[Ofc Code]=(TRIM(M$7)))*(GJ[Account Code]=(TRIM($D91))),GJ[Credit])))</f>
        <v>0</v>
      </c>
      <c r="N91" s="211">
        <f t="shared" si="16"/>
        <v>0</v>
      </c>
      <c r="O91" s="211">
        <f t="array" ref="O91">(SUM(IF((CkDJ[Date]=$A$4)*(CkDJ[Ofc Code]=(TRIM(O$7)))*(CkDJ[Account Code]=(TRIM($D91))),CkDJ[Debit])))+(SUM(IF((CsDJ[Date]=$A$4)*(CsDJ[Ofc Code]=(TRIM(O$7)))*(CsDJ[Account Code]=(TRIM($D91))),CsDJ[Debit])))+(SUM(IF((CRDJ[Date]=$A$4)*(CRDJ[Ofc Code]=(TRIM(O$7)))*(CRDJ[Account Code]=(TRIM($D91))),CRDJ[Debit])))+(SUM(IF((GJ[Date]=$A$4)*(GJ[Ofc Code]=(TRIM(O$7)))*(GJ[Account Code]=(TRIM($D91))),GJ[Debit])))-(SUM(IF((CkDJ[Date]=$A$4)*(CkDJ[Ofc Code]=(TRIM(O$7)))*(CkDJ[Account Code]=(TRIM($D91))),CkDJ[Credit])))+(SUM(IF((CsDJ[Date]=$A$4)*(CsDJ[Ofc Code]=(TRIM(O$7)))*(CsDJ[Account Code]=(TRIM($D91))),CsDJ[Credit])))+(SUM(IF((CRDJ[Date]=$A$4)*(CRDJ[Ofc Code]=(TRIM(O$7)))*(CRDJ[Account Code]=(TRIM($D91))),CRDJ[Credit])))+(SUM(IF((GJ[Date]=$A$4)*(GJ[Ofc Code]=(TRIM(O$7)))*(GJ[Account Code]=(TRIM($D91))),GJ[Credit])))</f>
        <v>0</v>
      </c>
      <c r="P91" s="211">
        <f t="array" ref="P91">(SUM(IF((CkDJ[Date]=$A$4)*(CkDJ[Ofc Code]=(TRIM(P$7)))*(CkDJ[Account Code]=(TRIM($D91))),CkDJ[Debit])))+(SUM(IF((CsDJ[Date]=$A$4)*(CsDJ[Ofc Code]=(TRIM(P$7)))*(CsDJ[Account Code]=(TRIM($D91))),CsDJ[Debit])))+(SUM(IF((CRDJ[Date]=$A$4)*(CRDJ[Ofc Code]=(TRIM(P$7)))*(CRDJ[Account Code]=(TRIM($D91))),CRDJ[Debit])))+(SUM(IF((GJ[Date]=$A$4)*(GJ[Ofc Code]=(TRIM(P$7)))*(GJ[Account Code]=(TRIM($D91))),GJ[Debit])))-(SUM(IF((CkDJ[Date]=$A$4)*(CkDJ[Ofc Code]=(TRIM(P$7)))*(CkDJ[Account Code]=(TRIM($D91))),CkDJ[Credit])))+(SUM(IF((CsDJ[Date]=$A$4)*(CsDJ[Ofc Code]=(TRIM(P$7)))*(CsDJ[Account Code]=(TRIM($D91))),CsDJ[Credit])))+(SUM(IF((CRDJ[Date]=$A$4)*(CRDJ[Ofc Code]=(TRIM(P$7)))*(CRDJ[Account Code]=(TRIM($D91))),CRDJ[Credit])))+(SUM(IF((GJ[Date]=$A$4)*(GJ[Ofc Code]=(TRIM(P$7)))*(GJ[Account Code]=(TRIM($D91))),GJ[Credit])))</f>
        <v>0</v>
      </c>
      <c r="Q91" s="211">
        <f t="array" ref="Q91">(SUM(IF((CkDJ[Date]=$A$4)*(CkDJ[Ofc Code]=(TRIM(Q$7)))*(CkDJ[Account Code]=(TRIM($D91))),CkDJ[Debit])))+(SUM(IF((CsDJ[Date]=$A$4)*(CsDJ[Ofc Code]=(TRIM(Q$7)))*(CsDJ[Account Code]=(TRIM($D91))),CsDJ[Debit])))+(SUM(IF((CRDJ[Date]=$A$4)*(CRDJ[Ofc Code]=(TRIM(Q$7)))*(CRDJ[Account Code]=(TRIM($D91))),CRDJ[Debit])))+(SUM(IF((GJ[Date]=$A$4)*(GJ[Ofc Code]=(TRIM(Q$7)))*(GJ[Account Code]=(TRIM($D91))),GJ[Debit])))-(SUM(IF((CkDJ[Date]=$A$4)*(CkDJ[Ofc Code]=(TRIM(Q$7)))*(CkDJ[Account Code]=(TRIM($D91))),CkDJ[Credit])))+(SUM(IF((CsDJ[Date]=$A$4)*(CsDJ[Ofc Code]=(TRIM(Q$7)))*(CsDJ[Account Code]=(TRIM($D91))),CsDJ[Credit])))+(SUM(IF((CRDJ[Date]=$A$4)*(CRDJ[Ofc Code]=(TRIM(Q$7)))*(CRDJ[Account Code]=(TRIM($D91))),CRDJ[Credit])))+(SUM(IF((GJ[Date]=$A$4)*(GJ[Ofc Code]=(TRIM(Q$7)))*(GJ[Account Code]=(TRIM($D91))),GJ[Credit])))</f>
        <v>0</v>
      </c>
      <c r="R91" s="211">
        <f t="array" ref="R91">(SUM(IF((CkDJ[Date]=$A$4)*(CkDJ[Ofc Code]=(TRIM(R$7)))*(CkDJ[Account Code]=(TRIM($D91))),CkDJ[Debit])))+(SUM(IF((CsDJ[Date]=$A$4)*(CsDJ[Ofc Code]=(TRIM(R$7)))*(CsDJ[Account Code]=(TRIM($D91))),CsDJ[Debit])))+(SUM(IF((CRDJ[Date]=$A$4)*(CRDJ[Ofc Code]=(TRIM(R$7)))*(CRDJ[Account Code]=(TRIM($D91))),CRDJ[Debit])))+(SUM(IF((GJ[Date]=$A$4)*(GJ[Ofc Code]=(TRIM(R$7)))*(GJ[Account Code]=(TRIM($D91))),GJ[Debit])))-(SUM(IF((CkDJ[Date]=$A$4)*(CkDJ[Ofc Code]=(TRIM(R$7)))*(CkDJ[Account Code]=(TRIM($D91))),CkDJ[Credit])))+(SUM(IF((CsDJ[Date]=$A$4)*(CsDJ[Ofc Code]=(TRIM(R$7)))*(CsDJ[Account Code]=(TRIM($D91))),CsDJ[Credit])))+(SUM(IF((CRDJ[Date]=$A$4)*(CRDJ[Ofc Code]=(TRIM(R$7)))*(CRDJ[Account Code]=(TRIM($D91))),CRDJ[Credit])))+(SUM(IF((GJ[Date]=$A$4)*(GJ[Ofc Code]=(TRIM(R$7)))*(GJ[Account Code]=(TRIM($D91))),GJ[Credit])))</f>
        <v>0</v>
      </c>
      <c r="S91" s="211">
        <f t="array" ref="S91">(SUM(IF((CkDJ[Date]=$A$4)*(CkDJ[Ofc Code]=(TRIM(S$7)))*(CkDJ[Account Code]=(TRIM($D91))),CkDJ[Debit])))+(SUM(IF((CsDJ[Date]=$A$4)*(CsDJ[Ofc Code]=(TRIM(S$7)))*(CsDJ[Account Code]=(TRIM($D91))),CsDJ[Debit])))+(SUM(IF((CRDJ[Date]=$A$4)*(CRDJ[Ofc Code]=(TRIM(S$7)))*(CRDJ[Account Code]=(TRIM($D91))),CRDJ[Debit])))+(SUM(IF((GJ[Date]=$A$4)*(GJ[Ofc Code]=(TRIM(S$7)))*(GJ[Account Code]=(TRIM($D91))),GJ[Debit])))-(SUM(IF((CkDJ[Date]=$A$4)*(CkDJ[Ofc Code]=(TRIM(S$7)))*(CkDJ[Account Code]=(TRIM($D91))),CkDJ[Credit])))+(SUM(IF((CsDJ[Date]=$A$4)*(CsDJ[Ofc Code]=(TRIM(S$7)))*(CsDJ[Account Code]=(TRIM($D91))),CsDJ[Credit])))+(SUM(IF((CRDJ[Date]=$A$4)*(CRDJ[Ofc Code]=(TRIM(S$7)))*(CRDJ[Account Code]=(TRIM($D91))),CRDJ[Credit])))+(SUM(IF((GJ[Date]=$A$4)*(GJ[Ofc Code]=(TRIM(S$7)))*(GJ[Account Code]=(TRIM($D91))),GJ[Credit])))</f>
        <v>0</v>
      </c>
      <c r="T91" s="211">
        <f t="shared" si="17"/>
        <v>0</v>
      </c>
      <c r="U91" s="211">
        <f t="shared" si="18"/>
        <v>0</v>
      </c>
    </row>
    <row r="92" spans="1:21" ht="15">
      <c r="A92" s="212">
        <f t="shared" si="19"/>
        <v>34</v>
      </c>
      <c r="B92" s="194" t="s">
        <v>756</v>
      </c>
      <c r="C92" s="194" t="e">
        <f t="shared" si="14"/>
        <v>#N/A</v>
      </c>
      <c r="D92" s="207">
        <v>966</v>
      </c>
      <c r="E92" s="211">
        <f t="array" ref="E92">(SUM(IF((CkDJ[Date]=$A$4)*(CkDJ[Ofc Code]=(TRIM(E$7)))*(CkDJ[Account Code]=(TRIM($D92))),CkDJ[Debit])))+(SUM(IF((CsDJ[Date]=$A$4)*(CsDJ[Ofc Code]=(TRIM(E$7)))*(CsDJ[Account Code]=(TRIM($D92))),CsDJ[Debit])))+(SUM(IF((CRDJ[Date]=$A$4)*(CRDJ[Ofc Code]=(TRIM(E$7)))*(CRDJ[Account Code]=(TRIM($D92))),CRDJ[Debit])))+(SUM(IF((GJ[Date]=$A$4)*(GJ[Ofc Code]=(TRIM(E$7)))*(GJ[Account Code]=(TRIM($D92))),GJ[Debit])))-(SUM(IF((CkDJ[Date]=$A$4)*(CkDJ[Ofc Code]=(TRIM(E$7)))*(CkDJ[Account Code]=(TRIM($D92))),CkDJ[Credit])))+(SUM(IF((CsDJ[Date]=$A$4)*(CsDJ[Ofc Code]=(TRIM(E$7)))*(CsDJ[Account Code]=(TRIM($D92))),CsDJ[Credit])))+(SUM(IF((CRDJ[Date]=$A$4)*(CRDJ[Ofc Code]=(TRIM(E$7)))*(CRDJ[Account Code]=(TRIM($D92))),CRDJ[Credit])))+(SUM(IF((GJ[Date]=$A$4)*(GJ[Ofc Code]=(TRIM(E$7)))*(GJ[Account Code]=(TRIM($D92))),GJ[Credit])))</f>
        <v>0</v>
      </c>
      <c r="F92" s="211">
        <f t="array" ref="F92">(SUM(IF((CkDJ[Date]=$A$4)*(CkDJ[Ofc Code]=(TRIM(F$7)))*(CkDJ[Account Code]=(TRIM($D92))),CkDJ[Debit])))+(SUM(IF((CsDJ[Date]=$A$4)*(CsDJ[Ofc Code]=(TRIM(F$7)))*(CsDJ[Account Code]=(TRIM($D92))),CsDJ[Debit])))+(SUM(IF((CRDJ[Date]=$A$4)*(CRDJ[Ofc Code]=(TRIM(F$7)))*(CRDJ[Account Code]=(TRIM($D92))),CRDJ[Debit])))+(SUM(IF((GJ[Date]=$A$4)*(GJ[Ofc Code]=(TRIM(F$7)))*(GJ[Account Code]=(TRIM($D92))),GJ[Debit])))-(SUM(IF((CkDJ[Date]=$A$4)*(CkDJ[Ofc Code]=(TRIM(F$7)))*(CkDJ[Account Code]=(TRIM($D92))),CkDJ[Credit])))+(SUM(IF((CsDJ[Date]=$A$4)*(CsDJ[Ofc Code]=(TRIM(F$7)))*(CsDJ[Account Code]=(TRIM($D92))),CsDJ[Credit])))+(SUM(IF((CRDJ[Date]=$A$4)*(CRDJ[Ofc Code]=(TRIM(F$7)))*(CRDJ[Account Code]=(TRIM($D92))),CRDJ[Credit])))+(SUM(IF((GJ[Date]=$A$4)*(GJ[Ofc Code]=(TRIM(F$7)))*(GJ[Account Code]=(TRIM($D92))),GJ[Credit])))</f>
        <v>0</v>
      </c>
      <c r="G92" s="211">
        <f t="array" ref="G92">(SUM(IF((CkDJ[Date]=$A$4)*(CkDJ[Ofc Code]=(TRIM(G$7)))*(CkDJ[Account Code]=(TRIM($D92))),CkDJ[Debit])))+(SUM(IF((CsDJ[Date]=$A$4)*(CsDJ[Ofc Code]=(TRIM(G$7)))*(CsDJ[Account Code]=(TRIM($D92))),CsDJ[Debit])))+(SUM(IF((CRDJ[Date]=$A$4)*(CRDJ[Ofc Code]=(TRIM(G$7)))*(CRDJ[Account Code]=(TRIM($D92))),CRDJ[Debit])))+(SUM(IF((GJ[Date]=$A$4)*(GJ[Ofc Code]=(TRIM(G$7)))*(GJ[Account Code]=(TRIM($D92))),GJ[Debit])))-(SUM(IF((CkDJ[Date]=$A$4)*(CkDJ[Ofc Code]=(TRIM(G$7)))*(CkDJ[Account Code]=(TRIM($D92))),CkDJ[Credit])))+(SUM(IF((CsDJ[Date]=$A$4)*(CsDJ[Ofc Code]=(TRIM(G$7)))*(CsDJ[Account Code]=(TRIM($D92))),CsDJ[Credit])))+(SUM(IF((CRDJ[Date]=$A$4)*(CRDJ[Ofc Code]=(TRIM(G$7)))*(CRDJ[Account Code]=(TRIM($D92))),CRDJ[Credit])))+(SUM(IF((GJ[Date]=$A$4)*(GJ[Ofc Code]=(TRIM(G$7)))*(GJ[Account Code]=(TRIM($D92))),GJ[Credit])))</f>
        <v>0</v>
      </c>
      <c r="H92" s="211">
        <f t="array" ref="H92">(SUM(IF((CkDJ[Date]=$A$4)*(CkDJ[Ofc Code]=(TRIM(H$7)))*(CkDJ[Account Code]=(TRIM($D92))),CkDJ[Debit])))+(SUM(IF((CsDJ[Date]=$A$4)*(CsDJ[Ofc Code]=(TRIM(H$7)))*(CsDJ[Account Code]=(TRIM($D92))),CsDJ[Debit])))+(SUM(IF((CRDJ[Date]=$A$4)*(CRDJ[Ofc Code]=(TRIM(H$7)))*(CRDJ[Account Code]=(TRIM($D92))),CRDJ[Debit])))+(SUM(IF((GJ[Date]=$A$4)*(GJ[Ofc Code]=(TRIM(H$7)))*(GJ[Account Code]=(TRIM($D92))),GJ[Debit])))-(SUM(IF((CkDJ[Date]=$A$4)*(CkDJ[Ofc Code]=(TRIM(H$7)))*(CkDJ[Account Code]=(TRIM($D92))),CkDJ[Credit])))+(SUM(IF((CsDJ[Date]=$A$4)*(CsDJ[Ofc Code]=(TRIM(H$7)))*(CsDJ[Account Code]=(TRIM($D92))),CsDJ[Credit])))+(SUM(IF((CRDJ[Date]=$A$4)*(CRDJ[Ofc Code]=(TRIM(H$7)))*(CRDJ[Account Code]=(TRIM($D92))),CRDJ[Credit])))+(SUM(IF((GJ[Date]=$A$4)*(GJ[Ofc Code]=(TRIM(H$7)))*(GJ[Account Code]=(TRIM($D92))),GJ[Credit])))</f>
        <v>0</v>
      </c>
      <c r="I92" s="211">
        <f t="shared" si="15"/>
        <v>0</v>
      </c>
      <c r="J92" s="211">
        <f t="array" ref="J92">(SUM(IF((CkDJ[Date]=$A$4)*(CkDJ[Ofc Code]=(TRIM(J$7)))*(CkDJ[Account Code]=(TRIM($D92))),CkDJ[Debit])))+(SUM(IF((CsDJ[Date]=$A$4)*(CsDJ[Ofc Code]=(TRIM(J$7)))*(CsDJ[Account Code]=(TRIM($D92))),CsDJ[Debit])))+(SUM(IF((CRDJ[Date]=$A$4)*(CRDJ[Ofc Code]=(TRIM(J$7)))*(CRDJ[Account Code]=(TRIM($D92))),CRDJ[Debit])))+(SUM(IF((GJ[Date]=$A$4)*(GJ[Ofc Code]=(TRIM(J$7)))*(GJ[Account Code]=(TRIM($D92))),GJ[Debit])))-(SUM(IF((CkDJ[Date]=$A$4)*(CkDJ[Ofc Code]=(TRIM(J$7)))*(CkDJ[Account Code]=(TRIM($D92))),CkDJ[Credit])))+(SUM(IF((CsDJ[Date]=$A$4)*(CsDJ[Ofc Code]=(TRIM(J$7)))*(CsDJ[Account Code]=(TRIM($D92))),CsDJ[Credit])))+(SUM(IF((CRDJ[Date]=$A$4)*(CRDJ[Ofc Code]=(TRIM(J$7)))*(CRDJ[Account Code]=(TRIM($D92))),CRDJ[Credit])))+(SUM(IF((GJ[Date]=$A$4)*(GJ[Ofc Code]=(TRIM(J$7)))*(GJ[Account Code]=(TRIM($D92))),GJ[Credit])))</f>
        <v>0</v>
      </c>
      <c r="K92" s="211">
        <f t="array" ref="K92">(SUM(IF((CkDJ[Date]=$A$4)*(CkDJ[Ofc Code]=(TRIM(K$7)))*(CkDJ[Account Code]=(TRIM($D92))),CkDJ[Debit])))+(SUM(IF((CsDJ[Date]=$A$4)*(CsDJ[Ofc Code]=(TRIM(K$7)))*(CsDJ[Account Code]=(TRIM($D92))),CsDJ[Debit])))+(SUM(IF((CRDJ[Date]=$A$4)*(CRDJ[Ofc Code]=(TRIM(K$7)))*(CRDJ[Account Code]=(TRIM($D92))),CRDJ[Debit])))+(SUM(IF((GJ[Date]=$A$4)*(GJ[Ofc Code]=(TRIM(K$7)))*(GJ[Account Code]=(TRIM($D92))),GJ[Debit])))-(SUM(IF((CkDJ[Date]=$A$4)*(CkDJ[Ofc Code]=(TRIM(K$7)))*(CkDJ[Account Code]=(TRIM($D92))),CkDJ[Credit])))+(SUM(IF((CsDJ[Date]=$A$4)*(CsDJ[Ofc Code]=(TRIM(K$7)))*(CsDJ[Account Code]=(TRIM($D92))),CsDJ[Credit])))+(SUM(IF((CRDJ[Date]=$A$4)*(CRDJ[Ofc Code]=(TRIM(K$7)))*(CRDJ[Account Code]=(TRIM($D92))),CRDJ[Credit])))+(SUM(IF((GJ[Date]=$A$4)*(GJ[Ofc Code]=(TRIM(K$7)))*(GJ[Account Code]=(TRIM($D92))),GJ[Credit])))</f>
        <v>0</v>
      </c>
      <c r="L92" s="211">
        <f t="array" ref="L92">(SUM(IF((CkDJ[Date]=$A$4)*(CkDJ[Ofc Code]=(TRIM(L$7)))*(CkDJ[Account Code]=(TRIM($D92))),CkDJ[Debit])))+(SUM(IF((CsDJ[Date]=$A$4)*(CsDJ[Ofc Code]=(TRIM(L$7)))*(CsDJ[Account Code]=(TRIM($D92))),CsDJ[Debit])))+(SUM(IF((CRDJ[Date]=$A$4)*(CRDJ[Ofc Code]=(TRIM(L$7)))*(CRDJ[Account Code]=(TRIM($D92))),CRDJ[Debit])))+(SUM(IF((GJ[Date]=$A$4)*(GJ[Ofc Code]=(TRIM(L$7)))*(GJ[Account Code]=(TRIM($D92))),GJ[Debit])))-(SUM(IF((CkDJ[Date]=$A$4)*(CkDJ[Ofc Code]=(TRIM(L$7)))*(CkDJ[Account Code]=(TRIM($D92))),CkDJ[Credit])))+(SUM(IF((CsDJ[Date]=$A$4)*(CsDJ[Ofc Code]=(TRIM(L$7)))*(CsDJ[Account Code]=(TRIM($D92))),CsDJ[Credit])))+(SUM(IF((CRDJ[Date]=$A$4)*(CRDJ[Ofc Code]=(TRIM(L$7)))*(CRDJ[Account Code]=(TRIM($D92))),CRDJ[Credit])))+(SUM(IF((GJ[Date]=$A$4)*(GJ[Ofc Code]=(TRIM(L$7)))*(GJ[Account Code]=(TRIM($D92))),GJ[Credit])))</f>
        <v>0</v>
      </c>
      <c r="M92" s="211">
        <f t="array" ref="M92">(SUM(IF((CkDJ[Date]=$A$4)*(CkDJ[Ofc Code]=(TRIM(M$7)))*(CkDJ[Account Code]=(TRIM($D92))),CkDJ[Debit])))+(SUM(IF((CsDJ[Date]=$A$4)*(CsDJ[Ofc Code]=(TRIM(M$7)))*(CsDJ[Account Code]=(TRIM($D92))),CsDJ[Debit])))+(SUM(IF((CRDJ[Date]=$A$4)*(CRDJ[Ofc Code]=(TRIM(M$7)))*(CRDJ[Account Code]=(TRIM($D92))),CRDJ[Debit])))+(SUM(IF((GJ[Date]=$A$4)*(GJ[Ofc Code]=(TRIM(M$7)))*(GJ[Account Code]=(TRIM($D92))),GJ[Debit])))-(SUM(IF((CkDJ[Date]=$A$4)*(CkDJ[Ofc Code]=(TRIM(M$7)))*(CkDJ[Account Code]=(TRIM($D92))),CkDJ[Credit])))+(SUM(IF((CsDJ[Date]=$A$4)*(CsDJ[Ofc Code]=(TRIM(M$7)))*(CsDJ[Account Code]=(TRIM($D92))),CsDJ[Credit])))+(SUM(IF((CRDJ[Date]=$A$4)*(CRDJ[Ofc Code]=(TRIM(M$7)))*(CRDJ[Account Code]=(TRIM($D92))),CRDJ[Credit])))+(SUM(IF((GJ[Date]=$A$4)*(GJ[Ofc Code]=(TRIM(M$7)))*(GJ[Account Code]=(TRIM($D92))),GJ[Credit])))</f>
        <v>0</v>
      </c>
      <c r="N92" s="211">
        <f t="shared" si="16"/>
        <v>0</v>
      </c>
      <c r="O92" s="211">
        <f t="array" ref="O92">(SUM(IF((CkDJ[Date]=$A$4)*(CkDJ[Ofc Code]=(TRIM(O$7)))*(CkDJ[Account Code]=(TRIM($D92))),CkDJ[Debit])))+(SUM(IF((CsDJ[Date]=$A$4)*(CsDJ[Ofc Code]=(TRIM(O$7)))*(CsDJ[Account Code]=(TRIM($D92))),CsDJ[Debit])))+(SUM(IF((CRDJ[Date]=$A$4)*(CRDJ[Ofc Code]=(TRIM(O$7)))*(CRDJ[Account Code]=(TRIM($D92))),CRDJ[Debit])))+(SUM(IF((GJ[Date]=$A$4)*(GJ[Ofc Code]=(TRIM(O$7)))*(GJ[Account Code]=(TRIM($D92))),GJ[Debit])))-(SUM(IF((CkDJ[Date]=$A$4)*(CkDJ[Ofc Code]=(TRIM(O$7)))*(CkDJ[Account Code]=(TRIM($D92))),CkDJ[Credit])))+(SUM(IF((CsDJ[Date]=$A$4)*(CsDJ[Ofc Code]=(TRIM(O$7)))*(CsDJ[Account Code]=(TRIM($D92))),CsDJ[Credit])))+(SUM(IF((CRDJ[Date]=$A$4)*(CRDJ[Ofc Code]=(TRIM(O$7)))*(CRDJ[Account Code]=(TRIM($D92))),CRDJ[Credit])))+(SUM(IF((GJ[Date]=$A$4)*(GJ[Ofc Code]=(TRIM(O$7)))*(GJ[Account Code]=(TRIM($D92))),GJ[Credit])))</f>
        <v>0</v>
      </c>
      <c r="P92" s="211">
        <f t="array" ref="P92">(SUM(IF((CkDJ[Date]=$A$4)*(CkDJ[Ofc Code]=(TRIM(P$7)))*(CkDJ[Account Code]=(TRIM($D92))),CkDJ[Debit])))+(SUM(IF((CsDJ[Date]=$A$4)*(CsDJ[Ofc Code]=(TRIM(P$7)))*(CsDJ[Account Code]=(TRIM($D92))),CsDJ[Debit])))+(SUM(IF((CRDJ[Date]=$A$4)*(CRDJ[Ofc Code]=(TRIM(P$7)))*(CRDJ[Account Code]=(TRIM($D92))),CRDJ[Debit])))+(SUM(IF((GJ[Date]=$A$4)*(GJ[Ofc Code]=(TRIM(P$7)))*(GJ[Account Code]=(TRIM($D92))),GJ[Debit])))-(SUM(IF((CkDJ[Date]=$A$4)*(CkDJ[Ofc Code]=(TRIM(P$7)))*(CkDJ[Account Code]=(TRIM($D92))),CkDJ[Credit])))+(SUM(IF((CsDJ[Date]=$A$4)*(CsDJ[Ofc Code]=(TRIM(P$7)))*(CsDJ[Account Code]=(TRIM($D92))),CsDJ[Credit])))+(SUM(IF((CRDJ[Date]=$A$4)*(CRDJ[Ofc Code]=(TRIM(P$7)))*(CRDJ[Account Code]=(TRIM($D92))),CRDJ[Credit])))+(SUM(IF((GJ[Date]=$A$4)*(GJ[Ofc Code]=(TRIM(P$7)))*(GJ[Account Code]=(TRIM($D92))),GJ[Credit])))</f>
        <v>0</v>
      </c>
      <c r="Q92" s="211">
        <f t="array" ref="Q92">(SUM(IF((CkDJ[Date]=$A$4)*(CkDJ[Ofc Code]=(TRIM(Q$7)))*(CkDJ[Account Code]=(TRIM($D92))),CkDJ[Debit])))+(SUM(IF((CsDJ[Date]=$A$4)*(CsDJ[Ofc Code]=(TRIM(Q$7)))*(CsDJ[Account Code]=(TRIM($D92))),CsDJ[Debit])))+(SUM(IF((CRDJ[Date]=$A$4)*(CRDJ[Ofc Code]=(TRIM(Q$7)))*(CRDJ[Account Code]=(TRIM($D92))),CRDJ[Debit])))+(SUM(IF((GJ[Date]=$A$4)*(GJ[Ofc Code]=(TRIM(Q$7)))*(GJ[Account Code]=(TRIM($D92))),GJ[Debit])))-(SUM(IF((CkDJ[Date]=$A$4)*(CkDJ[Ofc Code]=(TRIM(Q$7)))*(CkDJ[Account Code]=(TRIM($D92))),CkDJ[Credit])))+(SUM(IF((CsDJ[Date]=$A$4)*(CsDJ[Ofc Code]=(TRIM(Q$7)))*(CsDJ[Account Code]=(TRIM($D92))),CsDJ[Credit])))+(SUM(IF((CRDJ[Date]=$A$4)*(CRDJ[Ofc Code]=(TRIM(Q$7)))*(CRDJ[Account Code]=(TRIM($D92))),CRDJ[Credit])))+(SUM(IF((GJ[Date]=$A$4)*(GJ[Ofc Code]=(TRIM(Q$7)))*(GJ[Account Code]=(TRIM($D92))),GJ[Credit])))</f>
        <v>0</v>
      </c>
      <c r="R92" s="211">
        <f t="array" ref="R92">(SUM(IF((CkDJ[Date]=$A$4)*(CkDJ[Ofc Code]=(TRIM(R$7)))*(CkDJ[Account Code]=(TRIM($D92))),CkDJ[Debit])))+(SUM(IF((CsDJ[Date]=$A$4)*(CsDJ[Ofc Code]=(TRIM(R$7)))*(CsDJ[Account Code]=(TRIM($D92))),CsDJ[Debit])))+(SUM(IF((CRDJ[Date]=$A$4)*(CRDJ[Ofc Code]=(TRIM(R$7)))*(CRDJ[Account Code]=(TRIM($D92))),CRDJ[Debit])))+(SUM(IF((GJ[Date]=$A$4)*(GJ[Ofc Code]=(TRIM(R$7)))*(GJ[Account Code]=(TRIM($D92))),GJ[Debit])))-(SUM(IF((CkDJ[Date]=$A$4)*(CkDJ[Ofc Code]=(TRIM(R$7)))*(CkDJ[Account Code]=(TRIM($D92))),CkDJ[Credit])))+(SUM(IF((CsDJ[Date]=$A$4)*(CsDJ[Ofc Code]=(TRIM(R$7)))*(CsDJ[Account Code]=(TRIM($D92))),CsDJ[Credit])))+(SUM(IF((CRDJ[Date]=$A$4)*(CRDJ[Ofc Code]=(TRIM(R$7)))*(CRDJ[Account Code]=(TRIM($D92))),CRDJ[Credit])))+(SUM(IF((GJ[Date]=$A$4)*(GJ[Ofc Code]=(TRIM(R$7)))*(GJ[Account Code]=(TRIM($D92))),GJ[Credit])))</f>
        <v>0</v>
      </c>
      <c r="S92" s="211">
        <f t="array" ref="S92">(SUM(IF((CkDJ[Date]=$A$4)*(CkDJ[Ofc Code]=(TRIM(S$7)))*(CkDJ[Account Code]=(TRIM($D92))),CkDJ[Debit])))+(SUM(IF((CsDJ[Date]=$A$4)*(CsDJ[Ofc Code]=(TRIM(S$7)))*(CsDJ[Account Code]=(TRIM($D92))),CsDJ[Debit])))+(SUM(IF((CRDJ[Date]=$A$4)*(CRDJ[Ofc Code]=(TRIM(S$7)))*(CRDJ[Account Code]=(TRIM($D92))),CRDJ[Debit])))+(SUM(IF((GJ[Date]=$A$4)*(GJ[Ofc Code]=(TRIM(S$7)))*(GJ[Account Code]=(TRIM($D92))),GJ[Debit])))-(SUM(IF((CkDJ[Date]=$A$4)*(CkDJ[Ofc Code]=(TRIM(S$7)))*(CkDJ[Account Code]=(TRIM($D92))),CkDJ[Credit])))+(SUM(IF((CsDJ[Date]=$A$4)*(CsDJ[Ofc Code]=(TRIM(S$7)))*(CsDJ[Account Code]=(TRIM($D92))),CsDJ[Credit])))+(SUM(IF((CRDJ[Date]=$A$4)*(CRDJ[Ofc Code]=(TRIM(S$7)))*(CRDJ[Account Code]=(TRIM($D92))),CRDJ[Credit])))+(SUM(IF((GJ[Date]=$A$4)*(GJ[Ofc Code]=(TRIM(S$7)))*(GJ[Account Code]=(TRIM($D92))),GJ[Credit])))</f>
        <v>0</v>
      </c>
      <c r="T92" s="211">
        <f t="shared" si="17"/>
        <v>0</v>
      </c>
      <c r="U92" s="211">
        <f t="shared" si="18"/>
        <v>0</v>
      </c>
    </row>
    <row r="93" spans="1:21" ht="15">
      <c r="A93" s="212">
        <f t="shared" si="19"/>
        <v>35</v>
      </c>
      <c r="B93" s="194" t="s">
        <v>756</v>
      </c>
      <c r="C93" s="194" t="str">
        <f t="shared" si="14"/>
        <v>Other Maintenance and Operating Expenses - Other Maintenance and Operating Expenses</v>
      </c>
      <c r="D93" s="207">
        <v>969</v>
      </c>
      <c r="E93" s="211">
        <f t="array" ref="E93">(SUM(IF((CkDJ[Date]=$A$4)*(CkDJ[Ofc Code]=(TRIM(E$7)))*(CkDJ[Account Code]=(TRIM($D93))),CkDJ[Debit])))+(SUM(IF((CsDJ[Date]=$A$4)*(CsDJ[Ofc Code]=(TRIM(E$7)))*(CsDJ[Account Code]=(TRIM($D93))),CsDJ[Debit])))+(SUM(IF((CRDJ[Date]=$A$4)*(CRDJ[Ofc Code]=(TRIM(E$7)))*(CRDJ[Account Code]=(TRIM($D93))),CRDJ[Debit])))+(SUM(IF((GJ[Date]=$A$4)*(GJ[Ofc Code]=(TRIM(E$7)))*(GJ[Account Code]=(TRIM($D93))),GJ[Debit])))-(SUM(IF((CkDJ[Date]=$A$4)*(CkDJ[Ofc Code]=(TRIM(E$7)))*(CkDJ[Account Code]=(TRIM($D93))),CkDJ[Credit])))+(SUM(IF((CsDJ[Date]=$A$4)*(CsDJ[Ofc Code]=(TRIM(E$7)))*(CsDJ[Account Code]=(TRIM($D93))),CsDJ[Credit])))+(SUM(IF((CRDJ[Date]=$A$4)*(CRDJ[Ofc Code]=(TRIM(E$7)))*(CRDJ[Account Code]=(TRIM($D93))),CRDJ[Credit])))+(SUM(IF((GJ[Date]=$A$4)*(GJ[Ofc Code]=(TRIM(E$7)))*(GJ[Account Code]=(TRIM($D93))),GJ[Credit])))</f>
        <v>0</v>
      </c>
      <c r="F93" s="211">
        <f t="array" ref="F93">(SUM(IF((CkDJ[Date]=$A$4)*(CkDJ[Ofc Code]=(TRIM(F$7)))*(CkDJ[Account Code]=(TRIM($D93))),CkDJ[Debit])))+(SUM(IF((CsDJ[Date]=$A$4)*(CsDJ[Ofc Code]=(TRIM(F$7)))*(CsDJ[Account Code]=(TRIM($D93))),CsDJ[Debit])))+(SUM(IF((CRDJ[Date]=$A$4)*(CRDJ[Ofc Code]=(TRIM(F$7)))*(CRDJ[Account Code]=(TRIM($D93))),CRDJ[Debit])))+(SUM(IF((GJ[Date]=$A$4)*(GJ[Ofc Code]=(TRIM(F$7)))*(GJ[Account Code]=(TRIM($D93))),GJ[Debit])))-(SUM(IF((CkDJ[Date]=$A$4)*(CkDJ[Ofc Code]=(TRIM(F$7)))*(CkDJ[Account Code]=(TRIM($D93))),CkDJ[Credit])))+(SUM(IF((CsDJ[Date]=$A$4)*(CsDJ[Ofc Code]=(TRIM(F$7)))*(CsDJ[Account Code]=(TRIM($D93))),CsDJ[Credit])))+(SUM(IF((CRDJ[Date]=$A$4)*(CRDJ[Ofc Code]=(TRIM(F$7)))*(CRDJ[Account Code]=(TRIM($D93))),CRDJ[Credit])))+(SUM(IF((GJ[Date]=$A$4)*(GJ[Ofc Code]=(TRIM(F$7)))*(GJ[Account Code]=(TRIM($D93))),GJ[Credit])))</f>
        <v>0</v>
      </c>
      <c r="G93" s="211">
        <f t="array" ref="G93">(SUM(IF((CkDJ[Date]=$A$4)*(CkDJ[Ofc Code]=(TRIM(G$7)))*(CkDJ[Account Code]=(TRIM($D93))),CkDJ[Debit])))+(SUM(IF((CsDJ[Date]=$A$4)*(CsDJ[Ofc Code]=(TRIM(G$7)))*(CsDJ[Account Code]=(TRIM($D93))),CsDJ[Debit])))+(SUM(IF((CRDJ[Date]=$A$4)*(CRDJ[Ofc Code]=(TRIM(G$7)))*(CRDJ[Account Code]=(TRIM($D93))),CRDJ[Debit])))+(SUM(IF((GJ[Date]=$A$4)*(GJ[Ofc Code]=(TRIM(G$7)))*(GJ[Account Code]=(TRIM($D93))),GJ[Debit])))-(SUM(IF((CkDJ[Date]=$A$4)*(CkDJ[Ofc Code]=(TRIM(G$7)))*(CkDJ[Account Code]=(TRIM($D93))),CkDJ[Credit])))+(SUM(IF((CsDJ[Date]=$A$4)*(CsDJ[Ofc Code]=(TRIM(G$7)))*(CsDJ[Account Code]=(TRIM($D93))),CsDJ[Credit])))+(SUM(IF((CRDJ[Date]=$A$4)*(CRDJ[Ofc Code]=(TRIM(G$7)))*(CRDJ[Account Code]=(TRIM($D93))),CRDJ[Credit])))+(SUM(IF((GJ[Date]=$A$4)*(GJ[Ofc Code]=(TRIM(G$7)))*(GJ[Account Code]=(TRIM($D93))),GJ[Credit])))</f>
        <v>0</v>
      </c>
      <c r="H93" s="211">
        <f t="array" ref="H93">(SUM(IF((CkDJ[Date]=$A$4)*(CkDJ[Ofc Code]=(TRIM(H$7)))*(CkDJ[Account Code]=(TRIM($D93))),CkDJ[Debit])))+(SUM(IF((CsDJ[Date]=$A$4)*(CsDJ[Ofc Code]=(TRIM(H$7)))*(CsDJ[Account Code]=(TRIM($D93))),CsDJ[Debit])))+(SUM(IF((CRDJ[Date]=$A$4)*(CRDJ[Ofc Code]=(TRIM(H$7)))*(CRDJ[Account Code]=(TRIM($D93))),CRDJ[Debit])))+(SUM(IF((GJ[Date]=$A$4)*(GJ[Ofc Code]=(TRIM(H$7)))*(GJ[Account Code]=(TRIM($D93))),GJ[Debit])))-(SUM(IF((CkDJ[Date]=$A$4)*(CkDJ[Ofc Code]=(TRIM(H$7)))*(CkDJ[Account Code]=(TRIM($D93))),CkDJ[Credit])))+(SUM(IF((CsDJ[Date]=$A$4)*(CsDJ[Ofc Code]=(TRIM(H$7)))*(CsDJ[Account Code]=(TRIM($D93))),CsDJ[Credit])))+(SUM(IF((CRDJ[Date]=$A$4)*(CRDJ[Ofc Code]=(TRIM(H$7)))*(CRDJ[Account Code]=(TRIM($D93))),CRDJ[Credit])))+(SUM(IF((GJ[Date]=$A$4)*(GJ[Ofc Code]=(TRIM(H$7)))*(GJ[Account Code]=(TRIM($D93))),GJ[Credit])))</f>
        <v>0</v>
      </c>
      <c r="I93" s="211">
        <f t="shared" si="15"/>
        <v>0</v>
      </c>
      <c r="J93" s="211">
        <f t="array" ref="J93">(SUM(IF((CkDJ[Date]=$A$4)*(CkDJ[Ofc Code]=(TRIM(J$7)))*(CkDJ[Account Code]=(TRIM($D93))),CkDJ[Debit])))+(SUM(IF((CsDJ[Date]=$A$4)*(CsDJ[Ofc Code]=(TRIM(J$7)))*(CsDJ[Account Code]=(TRIM($D93))),CsDJ[Debit])))+(SUM(IF((CRDJ[Date]=$A$4)*(CRDJ[Ofc Code]=(TRIM(J$7)))*(CRDJ[Account Code]=(TRIM($D93))),CRDJ[Debit])))+(SUM(IF((GJ[Date]=$A$4)*(GJ[Ofc Code]=(TRIM(J$7)))*(GJ[Account Code]=(TRIM($D93))),GJ[Debit])))-(SUM(IF((CkDJ[Date]=$A$4)*(CkDJ[Ofc Code]=(TRIM(J$7)))*(CkDJ[Account Code]=(TRIM($D93))),CkDJ[Credit])))+(SUM(IF((CsDJ[Date]=$A$4)*(CsDJ[Ofc Code]=(TRIM(J$7)))*(CsDJ[Account Code]=(TRIM($D93))),CsDJ[Credit])))+(SUM(IF((CRDJ[Date]=$A$4)*(CRDJ[Ofc Code]=(TRIM(J$7)))*(CRDJ[Account Code]=(TRIM($D93))),CRDJ[Credit])))+(SUM(IF((GJ[Date]=$A$4)*(GJ[Ofc Code]=(TRIM(J$7)))*(GJ[Account Code]=(TRIM($D93))),GJ[Credit])))</f>
        <v>0</v>
      </c>
      <c r="K93" s="211">
        <f t="array" ref="K93">(SUM(IF((CkDJ[Date]=$A$4)*(CkDJ[Ofc Code]=(TRIM(K$7)))*(CkDJ[Account Code]=(TRIM($D93))),CkDJ[Debit])))+(SUM(IF((CsDJ[Date]=$A$4)*(CsDJ[Ofc Code]=(TRIM(K$7)))*(CsDJ[Account Code]=(TRIM($D93))),CsDJ[Debit])))+(SUM(IF((CRDJ[Date]=$A$4)*(CRDJ[Ofc Code]=(TRIM(K$7)))*(CRDJ[Account Code]=(TRIM($D93))),CRDJ[Debit])))+(SUM(IF((GJ[Date]=$A$4)*(GJ[Ofc Code]=(TRIM(K$7)))*(GJ[Account Code]=(TRIM($D93))),GJ[Debit])))-(SUM(IF((CkDJ[Date]=$A$4)*(CkDJ[Ofc Code]=(TRIM(K$7)))*(CkDJ[Account Code]=(TRIM($D93))),CkDJ[Credit])))+(SUM(IF((CsDJ[Date]=$A$4)*(CsDJ[Ofc Code]=(TRIM(K$7)))*(CsDJ[Account Code]=(TRIM($D93))),CsDJ[Credit])))+(SUM(IF((CRDJ[Date]=$A$4)*(CRDJ[Ofc Code]=(TRIM(K$7)))*(CRDJ[Account Code]=(TRIM($D93))),CRDJ[Credit])))+(SUM(IF((GJ[Date]=$A$4)*(GJ[Ofc Code]=(TRIM(K$7)))*(GJ[Account Code]=(TRIM($D93))),GJ[Credit])))</f>
        <v>0</v>
      </c>
      <c r="L93" s="211">
        <f t="array" ref="L93">(SUM(IF((CkDJ[Date]=$A$4)*(CkDJ[Ofc Code]=(TRIM(L$7)))*(CkDJ[Account Code]=(TRIM($D93))),CkDJ[Debit])))+(SUM(IF((CsDJ[Date]=$A$4)*(CsDJ[Ofc Code]=(TRIM(L$7)))*(CsDJ[Account Code]=(TRIM($D93))),CsDJ[Debit])))+(SUM(IF((CRDJ[Date]=$A$4)*(CRDJ[Ofc Code]=(TRIM(L$7)))*(CRDJ[Account Code]=(TRIM($D93))),CRDJ[Debit])))+(SUM(IF((GJ[Date]=$A$4)*(GJ[Ofc Code]=(TRIM(L$7)))*(GJ[Account Code]=(TRIM($D93))),GJ[Debit])))-(SUM(IF((CkDJ[Date]=$A$4)*(CkDJ[Ofc Code]=(TRIM(L$7)))*(CkDJ[Account Code]=(TRIM($D93))),CkDJ[Credit])))+(SUM(IF((CsDJ[Date]=$A$4)*(CsDJ[Ofc Code]=(TRIM(L$7)))*(CsDJ[Account Code]=(TRIM($D93))),CsDJ[Credit])))+(SUM(IF((CRDJ[Date]=$A$4)*(CRDJ[Ofc Code]=(TRIM(L$7)))*(CRDJ[Account Code]=(TRIM($D93))),CRDJ[Credit])))+(SUM(IF((GJ[Date]=$A$4)*(GJ[Ofc Code]=(TRIM(L$7)))*(GJ[Account Code]=(TRIM($D93))),GJ[Credit])))</f>
        <v>0</v>
      </c>
      <c r="M93" s="211">
        <f t="array" ref="M93">(SUM(IF((CkDJ[Date]=$A$4)*(CkDJ[Ofc Code]=(TRIM(M$7)))*(CkDJ[Account Code]=(TRIM($D93))),CkDJ[Debit])))+(SUM(IF((CsDJ[Date]=$A$4)*(CsDJ[Ofc Code]=(TRIM(M$7)))*(CsDJ[Account Code]=(TRIM($D93))),CsDJ[Debit])))+(SUM(IF((CRDJ[Date]=$A$4)*(CRDJ[Ofc Code]=(TRIM(M$7)))*(CRDJ[Account Code]=(TRIM($D93))),CRDJ[Debit])))+(SUM(IF((GJ[Date]=$A$4)*(GJ[Ofc Code]=(TRIM(M$7)))*(GJ[Account Code]=(TRIM($D93))),GJ[Debit])))-(SUM(IF((CkDJ[Date]=$A$4)*(CkDJ[Ofc Code]=(TRIM(M$7)))*(CkDJ[Account Code]=(TRIM($D93))),CkDJ[Credit])))+(SUM(IF((CsDJ[Date]=$A$4)*(CsDJ[Ofc Code]=(TRIM(M$7)))*(CsDJ[Account Code]=(TRIM($D93))),CsDJ[Credit])))+(SUM(IF((CRDJ[Date]=$A$4)*(CRDJ[Ofc Code]=(TRIM(M$7)))*(CRDJ[Account Code]=(TRIM($D93))),CRDJ[Credit])))+(SUM(IF((GJ[Date]=$A$4)*(GJ[Ofc Code]=(TRIM(M$7)))*(GJ[Account Code]=(TRIM($D93))),GJ[Credit])))</f>
        <v>0</v>
      </c>
      <c r="N93" s="211">
        <f t="shared" si="16"/>
        <v>0</v>
      </c>
      <c r="O93" s="211">
        <f t="array" ref="O93">(SUM(IF((CkDJ[Date]=$A$4)*(CkDJ[Ofc Code]=(TRIM(O$7)))*(CkDJ[Account Code]=(TRIM($D93))),CkDJ[Debit])))+(SUM(IF((CsDJ[Date]=$A$4)*(CsDJ[Ofc Code]=(TRIM(O$7)))*(CsDJ[Account Code]=(TRIM($D93))),CsDJ[Debit])))+(SUM(IF((CRDJ[Date]=$A$4)*(CRDJ[Ofc Code]=(TRIM(O$7)))*(CRDJ[Account Code]=(TRIM($D93))),CRDJ[Debit])))+(SUM(IF((GJ[Date]=$A$4)*(GJ[Ofc Code]=(TRIM(O$7)))*(GJ[Account Code]=(TRIM($D93))),GJ[Debit])))-(SUM(IF((CkDJ[Date]=$A$4)*(CkDJ[Ofc Code]=(TRIM(O$7)))*(CkDJ[Account Code]=(TRIM($D93))),CkDJ[Credit])))+(SUM(IF((CsDJ[Date]=$A$4)*(CsDJ[Ofc Code]=(TRIM(O$7)))*(CsDJ[Account Code]=(TRIM($D93))),CsDJ[Credit])))+(SUM(IF((CRDJ[Date]=$A$4)*(CRDJ[Ofc Code]=(TRIM(O$7)))*(CRDJ[Account Code]=(TRIM($D93))),CRDJ[Credit])))+(SUM(IF((GJ[Date]=$A$4)*(GJ[Ofc Code]=(TRIM(O$7)))*(GJ[Account Code]=(TRIM($D93))),GJ[Credit])))</f>
        <v>0</v>
      </c>
      <c r="P93" s="211">
        <f t="array" ref="P93">(SUM(IF((CkDJ[Date]=$A$4)*(CkDJ[Ofc Code]=(TRIM(P$7)))*(CkDJ[Account Code]=(TRIM($D93))),CkDJ[Debit])))+(SUM(IF((CsDJ[Date]=$A$4)*(CsDJ[Ofc Code]=(TRIM(P$7)))*(CsDJ[Account Code]=(TRIM($D93))),CsDJ[Debit])))+(SUM(IF((CRDJ[Date]=$A$4)*(CRDJ[Ofc Code]=(TRIM(P$7)))*(CRDJ[Account Code]=(TRIM($D93))),CRDJ[Debit])))+(SUM(IF((GJ[Date]=$A$4)*(GJ[Ofc Code]=(TRIM(P$7)))*(GJ[Account Code]=(TRIM($D93))),GJ[Debit])))-(SUM(IF((CkDJ[Date]=$A$4)*(CkDJ[Ofc Code]=(TRIM(P$7)))*(CkDJ[Account Code]=(TRIM($D93))),CkDJ[Credit])))+(SUM(IF((CsDJ[Date]=$A$4)*(CsDJ[Ofc Code]=(TRIM(P$7)))*(CsDJ[Account Code]=(TRIM($D93))),CsDJ[Credit])))+(SUM(IF((CRDJ[Date]=$A$4)*(CRDJ[Ofc Code]=(TRIM(P$7)))*(CRDJ[Account Code]=(TRIM($D93))),CRDJ[Credit])))+(SUM(IF((GJ[Date]=$A$4)*(GJ[Ofc Code]=(TRIM(P$7)))*(GJ[Account Code]=(TRIM($D93))),GJ[Credit])))</f>
        <v>0</v>
      </c>
      <c r="Q93" s="211">
        <f t="array" ref="Q93">(SUM(IF((CkDJ[Date]=$A$4)*(CkDJ[Ofc Code]=(TRIM(Q$7)))*(CkDJ[Account Code]=(TRIM($D93))),CkDJ[Debit])))+(SUM(IF((CsDJ[Date]=$A$4)*(CsDJ[Ofc Code]=(TRIM(Q$7)))*(CsDJ[Account Code]=(TRIM($D93))),CsDJ[Debit])))+(SUM(IF((CRDJ[Date]=$A$4)*(CRDJ[Ofc Code]=(TRIM(Q$7)))*(CRDJ[Account Code]=(TRIM($D93))),CRDJ[Debit])))+(SUM(IF((GJ[Date]=$A$4)*(GJ[Ofc Code]=(TRIM(Q$7)))*(GJ[Account Code]=(TRIM($D93))),GJ[Debit])))-(SUM(IF((CkDJ[Date]=$A$4)*(CkDJ[Ofc Code]=(TRIM(Q$7)))*(CkDJ[Account Code]=(TRIM($D93))),CkDJ[Credit])))+(SUM(IF((CsDJ[Date]=$A$4)*(CsDJ[Ofc Code]=(TRIM(Q$7)))*(CsDJ[Account Code]=(TRIM($D93))),CsDJ[Credit])))+(SUM(IF((CRDJ[Date]=$A$4)*(CRDJ[Ofc Code]=(TRIM(Q$7)))*(CRDJ[Account Code]=(TRIM($D93))),CRDJ[Credit])))+(SUM(IF((GJ[Date]=$A$4)*(GJ[Ofc Code]=(TRIM(Q$7)))*(GJ[Account Code]=(TRIM($D93))),GJ[Credit])))</f>
        <v>0</v>
      </c>
      <c r="R93" s="211">
        <f t="array" ref="R93">(SUM(IF((CkDJ[Date]=$A$4)*(CkDJ[Ofc Code]=(TRIM(R$7)))*(CkDJ[Account Code]=(TRIM($D93))),CkDJ[Debit])))+(SUM(IF((CsDJ[Date]=$A$4)*(CsDJ[Ofc Code]=(TRIM(R$7)))*(CsDJ[Account Code]=(TRIM($D93))),CsDJ[Debit])))+(SUM(IF((CRDJ[Date]=$A$4)*(CRDJ[Ofc Code]=(TRIM(R$7)))*(CRDJ[Account Code]=(TRIM($D93))),CRDJ[Debit])))+(SUM(IF((GJ[Date]=$A$4)*(GJ[Ofc Code]=(TRIM(R$7)))*(GJ[Account Code]=(TRIM($D93))),GJ[Debit])))-(SUM(IF((CkDJ[Date]=$A$4)*(CkDJ[Ofc Code]=(TRIM(R$7)))*(CkDJ[Account Code]=(TRIM($D93))),CkDJ[Credit])))+(SUM(IF((CsDJ[Date]=$A$4)*(CsDJ[Ofc Code]=(TRIM(R$7)))*(CsDJ[Account Code]=(TRIM($D93))),CsDJ[Credit])))+(SUM(IF((CRDJ[Date]=$A$4)*(CRDJ[Ofc Code]=(TRIM(R$7)))*(CRDJ[Account Code]=(TRIM($D93))),CRDJ[Credit])))+(SUM(IF((GJ[Date]=$A$4)*(GJ[Ofc Code]=(TRIM(R$7)))*(GJ[Account Code]=(TRIM($D93))),GJ[Credit])))</f>
        <v>0</v>
      </c>
      <c r="S93" s="211">
        <f t="array" ref="S93">(SUM(IF((CkDJ[Date]=$A$4)*(CkDJ[Ofc Code]=(TRIM(S$7)))*(CkDJ[Account Code]=(TRIM($D93))),CkDJ[Debit])))+(SUM(IF((CsDJ[Date]=$A$4)*(CsDJ[Ofc Code]=(TRIM(S$7)))*(CsDJ[Account Code]=(TRIM($D93))),CsDJ[Debit])))+(SUM(IF((CRDJ[Date]=$A$4)*(CRDJ[Ofc Code]=(TRIM(S$7)))*(CRDJ[Account Code]=(TRIM($D93))),CRDJ[Debit])))+(SUM(IF((GJ[Date]=$A$4)*(GJ[Ofc Code]=(TRIM(S$7)))*(GJ[Account Code]=(TRIM($D93))),GJ[Debit])))-(SUM(IF((CkDJ[Date]=$A$4)*(CkDJ[Ofc Code]=(TRIM(S$7)))*(CkDJ[Account Code]=(TRIM($D93))),CkDJ[Credit])))+(SUM(IF((CsDJ[Date]=$A$4)*(CsDJ[Ofc Code]=(TRIM(S$7)))*(CsDJ[Account Code]=(TRIM($D93))),CsDJ[Credit])))+(SUM(IF((CRDJ[Date]=$A$4)*(CRDJ[Ofc Code]=(TRIM(S$7)))*(CRDJ[Account Code]=(TRIM($D93))),CRDJ[Credit])))+(SUM(IF((GJ[Date]=$A$4)*(GJ[Ofc Code]=(TRIM(S$7)))*(GJ[Account Code]=(TRIM($D93))),GJ[Credit])))</f>
        <v>0</v>
      </c>
      <c r="T93" s="211">
        <f t="shared" si="17"/>
        <v>0</v>
      </c>
      <c r="U93" s="211">
        <f t="shared" si="18"/>
        <v>0</v>
      </c>
    </row>
    <row r="94" spans="1:21" ht="15">
      <c r="A94" s="212">
        <f t="shared" si="19"/>
        <v>36</v>
      </c>
      <c r="B94" s="194" t="s">
        <v>756</v>
      </c>
      <c r="C94" s="194" t="e">
        <f t="shared" si="14"/>
        <v>#N/A</v>
      </c>
      <c r="D94" s="207" t="s">
        <v>336</v>
      </c>
      <c r="E94" s="211">
        <f t="array" ref="E94">(SUM(IF((CkDJ[Date]=$A$4)*(CkDJ[Ofc Code]=(TRIM(E$7)))*(CkDJ[Account Code]=(TRIM($D94))),CkDJ[Debit])))+(SUM(IF((CsDJ[Date]=$A$4)*(CsDJ[Ofc Code]=(TRIM(E$7)))*(CsDJ[Account Code]=(TRIM($D94))),CsDJ[Debit])))+(SUM(IF((CRDJ[Date]=$A$4)*(CRDJ[Ofc Code]=(TRIM(E$7)))*(CRDJ[Account Code]=(TRIM($D94))),CRDJ[Debit])))+(SUM(IF((GJ[Date]=$A$4)*(GJ[Ofc Code]=(TRIM(E$7)))*(GJ[Account Code]=(TRIM($D94))),GJ[Debit])))-(SUM(IF((CkDJ[Date]=$A$4)*(CkDJ[Ofc Code]=(TRIM(E$7)))*(CkDJ[Account Code]=(TRIM($D94))),CkDJ[Credit])))+(SUM(IF((CsDJ[Date]=$A$4)*(CsDJ[Ofc Code]=(TRIM(E$7)))*(CsDJ[Account Code]=(TRIM($D94))),CsDJ[Credit])))+(SUM(IF((CRDJ[Date]=$A$4)*(CRDJ[Ofc Code]=(TRIM(E$7)))*(CRDJ[Account Code]=(TRIM($D94))),CRDJ[Credit])))+(SUM(IF((GJ[Date]=$A$4)*(GJ[Ofc Code]=(TRIM(E$7)))*(GJ[Account Code]=(TRIM($D94))),GJ[Credit])))</f>
        <v>0</v>
      </c>
      <c r="F94" s="211">
        <f t="array" ref="F94">(SUM(IF((CkDJ[Date]=$A$4)*(CkDJ[Ofc Code]=(TRIM(F$7)))*(CkDJ[Account Code]=(TRIM($D94))),CkDJ[Debit])))+(SUM(IF((CsDJ[Date]=$A$4)*(CsDJ[Ofc Code]=(TRIM(F$7)))*(CsDJ[Account Code]=(TRIM($D94))),CsDJ[Debit])))+(SUM(IF((CRDJ[Date]=$A$4)*(CRDJ[Ofc Code]=(TRIM(F$7)))*(CRDJ[Account Code]=(TRIM($D94))),CRDJ[Debit])))+(SUM(IF((GJ[Date]=$A$4)*(GJ[Ofc Code]=(TRIM(F$7)))*(GJ[Account Code]=(TRIM($D94))),GJ[Debit])))-(SUM(IF((CkDJ[Date]=$A$4)*(CkDJ[Ofc Code]=(TRIM(F$7)))*(CkDJ[Account Code]=(TRIM($D94))),CkDJ[Credit])))+(SUM(IF((CsDJ[Date]=$A$4)*(CsDJ[Ofc Code]=(TRIM(F$7)))*(CsDJ[Account Code]=(TRIM($D94))),CsDJ[Credit])))+(SUM(IF((CRDJ[Date]=$A$4)*(CRDJ[Ofc Code]=(TRIM(F$7)))*(CRDJ[Account Code]=(TRIM($D94))),CRDJ[Credit])))+(SUM(IF((GJ[Date]=$A$4)*(GJ[Ofc Code]=(TRIM(F$7)))*(GJ[Account Code]=(TRIM($D94))),GJ[Credit])))</f>
        <v>0</v>
      </c>
      <c r="G94" s="211">
        <f t="array" ref="G94">(SUM(IF((CkDJ[Date]=$A$4)*(CkDJ[Ofc Code]=(TRIM(G$7)))*(CkDJ[Account Code]=(TRIM($D94))),CkDJ[Debit])))+(SUM(IF((CsDJ[Date]=$A$4)*(CsDJ[Ofc Code]=(TRIM(G$7)))*(CsDJ[Account Code]=(TRIM($D94))),CsDJ[Debit])))+(SUM(IF((CRDJ[Date]=$A$4)*(CRDJ[Ofc Code]=(TRIM(G$7)))*(CRDJ[Account Code]=(TRIM($D94))),CRDJ[Debit])))+(SUM(IF((GJ[Date]=$A$4)*(GJ[Ofc Code]=(TRIM(G$7)))*(GJ[Account Code]=(TRIM($D94))),GJ[Debit])))-(SUM(IF((CkDJ[Date]=$A$4)*(CkDJ[Ofc Code]=(TRIM(G$7)))*(CkDJ[Account Code]=(TRIM($D94))),CkDJ[Credit])))+(SUM(IF((CsDJ[Date]=$A$4)*(CsDJ[Ofc Code]=(TRIM(G$7)))*(CsDJ[Account Code]=(TRIM($D94))),CsDJ[Credit])))+(SUM(IF((CRDJ[Date]=$A$4)*(CRDJ[Ofc Code]=(TRIM(G$7)))*(CRDJ[Account Code]=(TRIM($D94))),CRDJ[Credit])))+(SUM(IF((GJ[Date]=$A$4)*(GJ[Ofc Code]=(TRIM(G$7)))*(GJ[Account Code]=(TRIM($D94))),GJ[Credit])))</f>
        <v>0</v>
      </c>
      <c r="H94" s="211">
        <f t="array" ref="H94">(SUM(IF((CkDJ[Date]=$A$4)*(CkDJ[Ofc Code]=(TRIM(H$7)))*(CkDJ[Account Code]=(TRIM($D94))),CkDJ[Debit])))+(SUM(IF((CsDJ[Date]=$A$4)*(CsDJ[Ofc Code]=(TRIM(H$7)))*(CsDJ[Account Code]=(TRIM($D94))),CsDJ[Debit])))+(SUM(IF((CRDJ[Date]=$A$4)*(CRDJ[Ofc Code]=(TRIM(H$7)))*(CRDJ[Account Code]=(TRIM($D94))),CRDJ[Debit])))+(SUM(IF((GJ[Date]=$A$4)*(GJ[Ofc Code]=(TRIM(H$7)))*(GJ[Account Code]=(TRIM($D94))),GJ[Debit])))-(SUM(IF((CkDJ[Date]=$A$4)*(CkDJ[Ofc Code]=(TRIM(H$7)))*(CkDJ[Account Code]=(TRIM($D94))),CkDJ[Credit])))+(SUM(IF((CsDJ[Date]=$A$4)*(CsDJ[Ofc Code]=(TRIM(H$7)))*(CsDJ[Account Code]=(TRIM($D94))),CsDJ[Credit])))+(SUM(IF((CRDJ[Date]=$A$4)*(CRDJ[Ofc Code]=(TRIM(H$7)))*(CRDJ[Account Code]=(TRIM($D94))),CRDJ[Credit])))+(SUM(IF((GJ[Date]=$A$4)*(GJ[Ofc Code]=(TRIM(H$7)))*(GJ[Account Code]=(TRIM($D94))),GJ[Credit])))</f>
        <v>0</v>
      </c>
      <c r="I94" s="211">
        <f t="shared" si="15"/>
        <v>0</v>
      </c>
      <c r="J94" s="211">
        <f t="array" ref="J94">(SUM(IF((CkDJ[Date]=$A$4)*(CkDJ[Ofc Code]=(TRIM(J$7)))*(CkDJ[Account Code]=(TRIM($D94))),CkDJ[Debit])))+(SUM(IF((CsDJ[Date]=$A$4)*(CsDJ[Ofc Code]=(TRIM(J$7)))*(CsDJ[Account Code]=(TRIM($D94))),CsDJ[Debit])))+(SUM(IF((CRDJ[Date]=$A$4)*(CRDJ[Ofc Code]=(TRIM(J$7)))*(CRDJ[Account Code]=(TRIM($D94))),CRDJ[Debit])))+(SUM(IF((GJ[Date]=$A$4)*(GJ[Ofc Code]=(TRIM(J$7)))*(GJ[Account Code]=(TRIM($D94))),GJ[Debit])))-(SUM(IF((CkDJ[Date]=$A$4)*(CkDJ[Ofc Code]=(TRIM(J$7)))*(CkDJ[Account Code]=(TRIM($D94))),CkDJ[Credit])))+(SUM(IF((CsDJ[Date]=$A$4)*(CsDJ[Ofc Code]=(TRIM(J$7)))*(CsDJ[Account Code]=(TRIM($D94))),CsDJ[Credit])))+(SUM(IF((CRDJ[Date]=$A$4)*(CRDJ[Ofc Code]=(TRIM(J$7)))*(CRDJ[Account Code]=(TRIM($D94))),CRDJ[Credit])))+(SUM(IF((GJ[Date]=$A$4)*(GJ[Ofc Code]=(TRIM(J$7)))*(GJ[Account Code]=(TRIM($D94))),GJ[Credit])))</f>
        <v>0</v>
      </c>
      <c r="K94" s="211">
        <f t="array" ref="K94">(SUM(IF((CkDJ[Date]=$A$4)*(CkDJ[Ofc Code]=(TRIM(K$7)))*(CkDJ[Account Code]=(TRIM($D94))),CkDJ[Debit])))+(SUM(IF((CsDJ[Date]=$A$4)*(CsDJ[Ofc Code]=(TRIM(K$7)))*(CsDJ[Account Code]=(TRIM($D94))),CsDJ[Debit])))+(SUM(IF((CRDJ[Date]=$A$4)*(CRDJ[Ofc Code]=(TRIM(K$7)))*(CRDJ[Account Code]=(TRIM($D94))),CRDJ[Debit])))+(SUM(IF((GJ[Date]=$A$4)*(GJ[Ofc Code]=(TRIM(K$7)))*(GJ[Account Code]=(TRIM($D94))),GJ[Debit])))-(SUM(IF((CkDJ[Date]=$A$4)*(CkDJ[Ofc Code]=(TRIM(K$7)))*(CkDJ[Account Code]=(TRIM($D94))),CkDJ[Credit])))+(SUM(IF((CsDJ[Date]=$A$4)*(CsDJ[Ofc Code]=(TRIM(K$7)))*(CsDJ[Account Code]=(TRIM($D94))),CsDJ[Credit])))+(SUM(IF((CRDJ[Date]=$A$4)*(CRDJ[Ofc Code]=(TRIM(K$7)))*(CRDJ[Account Code]=(TRIM($D94))),CRDJ[Credit])))+(SUM(IF((GJ[Date]=$A$4)*(GJ[Ofc Code]=(TRIM(K$7)))*(GJ[Account Code]=(TRIM($D94))),GJ[Credit])))</f>
        <v>0</v>
      </c>
      <c r="L94" s="211">
        <f t="array" ref="L94">(SUM(IF((CkDJ[Date]=$A$4)*(CkDJ[Ofc Code]=(TRIM(L$7)))*(CkDJ[Account Code]=(TRIM($D94))),CkDJ[Debit])))+(SUM(IF((CsDJ[Date]=$A$4)*(CsDJ[Ofc Code]=(TRIM(L$7)))*(CsDJ[Account Code]=(TRIM($D94))),CsDJ[Debit])))+(SUM(IF((CRDJ[Date]=$A$4)*(CRDJ[Ofc Code]=(TRIM(L$7)))*(CRDJ[Account Code]=(TRIM($D94))),CRDJ[Debit])))+(SUM(IF((GJ[Date]=$A$4)*(GJ[Ofc Code]=(TRIM(L$7)))*(GJ[Account Code]=(TRIM($D94))),GJ[Debit])))-(SUM(IF((CkDJ[Date]=$A$4)*(CkDJ[Ofc Code]=(TRIM(L$7)))*(CkDJ[Account Code]=(TRIM($D94))),CkDJ[Credit])))+(SUM(IF((CsDJ[Date]=$A$4)*(CsDJ[Ofc Code]=(TRIM(L$7)))*(CsDJ[Account Code]=(TRIM($D94))),CsDJ[Credit])))+(SUM(IF((CRDJ[Date]=$A$4)*(CRDJ[Ofc Code]=(TRIM(L$7)))*(CRDJ[Account Code]=(TRIM($D94))),CRDJ[Credit])))+(SUM(IF((GJ[Date]=$A$4)*(GJ[Ofc Code]=(TRIM(L$7)))*(GJ[Account Code]=(TRIM($D94))),GJ[Credit])))</f>
        <v>0</v>
      </c>
      <c r="M94" s="211">
        <f t="array" ref="M94">(SUM(IF((CkDJ[Date]=$A$4)*(CkDJ[Ofc Code]=(TRIM(M$7)))*(CkDJ[Account Code]=(TRIM($D94))),CkDJ[Debit])))+(SUM(IF((CsDJ[Date]=$A$4)*(CsDJ[Ofc Code]=(TRIM(M$7)))*(CsDJ[Account Code]=(TRIM($D94))),CsDJ[Debit])))+(SUM(IF((CRDJ[Date]=$A$4)*(CRDJ[Ofc Code]=(TRIM(M$7)))*(CRDJ[Account Code]=(TRIM($D94))),CRDJ[Debit])))+(SUM(IF((GJ[Date]=$A$4)*(GJ[Ofc Code]=(TRIM(M$7)))*(GJ[Account Code]=(TRIM($D94))),GJ[Debit])))-(SUM(IF((CkDJ[Date]=$A$4)*(CkDJ[Ofc Code]=(TRIM(M$7)))*(CkDJ[Account Code]=(TRIM($D94))),CkDJ[Credit])))+(SUM(IF((CsDJ[Date]=$A$4)*(CsDJ[Ofc Code]=(TRIM(M$7)))*(CsDJ[Account Code]=(TRIM($D94))),CsDJ[Credit])))+(SUM(IF((CRDJ[Date]=$A$4)*(CRDJ[Ofc Code]=(TRIM(M$7)))*(CRDJ[Account Code]=(TRIM($D94))),CRDJ[Credit])))+(SUM(IF((GJ[Date]=$A$4)*(GJ[Ofc Code]=(TRIM(M$7)))*(GJ[Account Code]=(TRIM($D94))),GJ[Credit])))</f>
        <v>0</v>
      </c>
      <c r="N94" s="211">
        <f t="shared" si="16"/>
        <v>0</v>
      </c>
      <c r="O94" s="211">
        <f t="array" ref="O94">(SUM(IF((CkDJ[Date]=$A$4)*(CkDJ[Ofc Code]=(TRIM(O$7)))*(CkDJ[Account Code]=(TRIM($D94))),CkDJ[Debit])))+(SUM(IF((CsDJ[Date]=$A$4)*(CsDJ[Ofc Code]=(TRIM(O$7)))*(CsDJ[Account Code]=(TRIM($D94))),CsDJ[Debit])))+(SUM(IF((CRDJ[Date]=$A$4)*(CRDJ[Ofc Code]=(TRIM(O$7)))*(CRDJ[Account Code]=(TRIM($D94))),CRDJ[Debit])))+(SUM(IF((GJ[Date]=$A$4)*(GJ[Ofc Code]=(TRIM(O$7)))*(GJ[Account Code]=(TRIM($D94))),GJ[Debit])))-(SUM(IF((CkDJ[Date]=$A$4)*(CkDJ[Ofc Code]=(TRIM(O$7)))*(CkDJ[Account Code]=(TRIM($D94))),CkDJ[Credit])))+(SUM(IF((CsDJ[Date]=$A$4)*(CsDJ[Ofc Code]=(TRIM(O$7)))*(CsDJ[Account Code]=(TRIM($D94))),CsDJ[Credit])))+(SUM(IF((CRDJ[Date]=$A$4)*(CRDJ[Ofc Code]=(TRIM(O$7)))*(CRDJ[Account Code]=(TRIM($D94))),CRDJ[Credit])))+(SUM(IF((GJ[Date]=$A$4)*(GJ[Ofc Code]=(TRIM(O$7)))*(GJ[Account Code]=(TRIM($D94))),GJ[Credit])))</f>
        <v>0</v>
      </c>
      <c r="P94" s="211">
        <f t="array" ref="P94">(SUM(IF((CkDJ[Date]=$A$4)*(CkDJ[Ofc Code]=(TRIM(P$7)))*(CkDJ[Account Code]=(TRIM($D94))),CkDJ[Debit])))+(SUM(IF((CsDJ[Date]=$A$4)*(CsDJ[Ofc Code]=(TRIM(P$7)))*(CsDJ[Account Code]=(TRIM($D94))),CsDJ[Debit])))+(SUM(IF((CRDJ[Date]=$A$4)*(CRDJ[Ofc Code]=(TRIM(P$7)))*(CRDJ[Account Code]=(TRIM($D94))),CRDJ[Debit])))+(SUM(IF((GJ[Date]=$A$4)*(GJ[Ofc Code]=(TRIM(P$7)))*(GJ[Account Code]=(TRIM($D94))),GJ[Debit])))-(SUM(IF((CkDJ[Date]=$A$4)*(CkDJ[Ofc Code]=(TRIM(P$7)))*(CkDJ[Account Code]=(TRIM($D94))),CkDJ[Credit])))+(SUM(IF((CsDJ[Date]=$A$4)*(CsDJ[Ofc Code]=(TRIM(P$7)))*(CsDJ[Account Code]=(TRIM($D94))),CsDJ[Credit])))+(SUM(IF((CRDJ[Date]=$A$4)*(CRDJ[Ofc Code]=(TRIM(P$7)))*(CRDJ[Account Code]=(TRIM($D94))),CRDJ[Credit])))+(SUM(IF((GJ[Date]=$A$4)*(GJ[Ofc Code]=(TRIM(P$7)))*(GJ[Account Code]=(TRIM($D94))),GJ[Credit])))</f>
        <v>0</v>
      </c>
      <c r="Q94" s="211">
        <f t="array" ref="Q94">(SUM(IF((CkDJ[Date]=$A$4)*(CkDJ[Ofc Code]=(TRIM(Q$7)))*(CkDJ[Account Code]=(TRIM($D94))),CkDJ[Debit])))+(SUM(IF((CsDJ[Date]=$A$4)*(CsDJ[Ofc Code]=(TRIM(Q$7)))*(CsDJ[Account Code]=(TRIM($D94))),CsDJ[Debit])))+(SUM(IF((CRDJ[Date]=$A$4)*(CRDJ[Ofc Code]=(TRIM(Q$7)))*(CRDJ[Account Code]=(TRIM($D94))),CRDJ[Debit])))+(SUM(IF((GJ[Date]=$A$4)*(GJ[Ofc Code]=(TRIM(Q$7)))*(GJ[Account Code]=(TRIM($D94))),GJ[Debit])))-(SUM(IF((CkDJ[Date]=$A$4)*(CkDJ[Ofc Code]=(TRIM(Q$7)))*(CkDJ[Account Code]=(TRIM($D94))),CkDJ[Credit])))+(SUM(IF((CsDJ[Date]=$A$4)*(CsDJ[Ofc Code]=(TRIM(Q$7)))*(CsDJ[Account Code]=(TRIM($D94))),CsDJ[Credit])))+(SUM(IF((CRDJ[Date]=$A$4)*(CRDJ[Ofc Code]=(TRIM(Q$7)))*(CRDJ[Account Code]=(TRIM($D94))),CRDJ[Credit])))+(SUM(IF((GJ[Date]=$A$4)*(GJ[Ofc Code]=(TRIM(Q$7)))*(GJ[Account Code]=(TRIM($D94))),GJ[Credit])))</f>
        <v>0</v>
      </c>
      <c r="R94" s="211">
        <f t="array" ref="R94">(SUM(IF((CkDJ[Date]=$A$4)*(CkDJ[Ofc Code]=(TRIM(R$7)))*(CkDJ[Account Code]=(TRIM($D94))),CkDJ[Debit])))+(SUM(IF((CsDJ[Date]=$A$4)*(CsDJ[Ofc Code]=(TRIM(R$7)))*(CsDJ[Account Code]=(TRIM($D94))),CsDJ[Debit])))+(SUM(IF((CRDJ[Date]=$A$4)*(CRDJ[Ofc Code]=(TRIM(R$7)))*(CRDJ[Account Code]=(TRIM($D94))),CRDJ[Debit])))+(SUM(IF((GJ[Date]=$A$4)*(GJ[Ofc Code]=(TRIM(R$7)))*(GJ[Account Code]=(TRIM($D94))),GJ[Debit])))-(SUM(IF((CkDJ[Date]=$A$4)*(CkDJ[Ofc Code]=(TRIM(R$7)))*(CkDJ[Account Code]=(TRIM($D94))),CkDJ[Credit])))+(SUM(IF((CsDJ[Date]=$A$4)*(CsDJ[Ofc Code]=(TRIM(R$7)))*(CsDJ[Account Code]=(TRIM($D94))),CsDJ[Credit])))+(SUM(IF((CRDJ[Date]=$A$4)*(CRDJ[Ofc Code]=(TRIM(R$7)))*(CRDJ[Account Code]=(TRIM($D94))),CRDJ[Credit])))+(SUM(IF((GJ[Date]=$A$4)*(GJ[Ofc Code]=(TRIM(R$7)))*(GJ[Account Code]=(TRIM($D94))),GJ[Credit])))</f>
        <v>0</v>
      </c>
      <c r="S94" s="211">
        <f t="array" ref="S94">(SUM(IF((CkDJ[Date]=$A$4)*(CkDJ[Ofc Code]=(TRIM(S$7)))*(CkDJ[Account Code]=(TRIM($D94))),CkDJ[Debit])))+(SUM(IF((CsDJ[Date]=$A$4)*(CsDJ[Ofc Code]=(TRIM(S$7)))*(CsDJ[Account Code]=(TRIM($D94))),CsDJ[Debit])))+(SUM(IF((CRDJ[Date]=$A$4)*(CRDJ[Ofc Code]=(TRIM(S$7)))*(CRDJ[Account Code]=(TRIM($D94))),CRDJ[Debit])))+(SUM(IF((GJ[Date]=$A$4)*(GJ[Ofc Code]=(TRIM(S$7)))*(GJ[Account Code]=(TRIM($D94))),GJ[Debit])))-(SUM(IF((CkDJ[Date]=$A$4)*(CkDJ[Ofc Code]=(TRIM(S$7)))*(CkDJ[Account Code]=(TRIM($D94))),CkDJ[Credit])))+(SUM(IF((CsDJ[Date]=$A$4)*(CsDJ[Ofc Code]=(TRIM(S$7)))*(CsDJ[Account Code]=(TRIM($D94))),CsDJ[Credit])))+(SUM(IF((CRDJ[Date]=$A$4)*(CRDJ[Ofc Code]=(TRIM(S$7)))*(CRDJ[Account Code]=(TRIM($D94))),CRDJ[Credit])))+(SUM(IF((GJ[Date]=$A$4)*(GJ[Ofc Code]=(TRIM(S$7)))*(GJ[Account Code]=(TRIM($D94))),GJ[Credit])))</f>
        <v>0</v>
      </c>
      <c r="T94" s="211">
        <f t="shared" si="17"/>
        <v>0</v>
      </c>
      <c r="U94" s="211">
        <f t="shared" si="18"/>
        <v>0</v>
      </c>
    </row>
    <row r="95" spans="1:21" ht="15">
      <c r="A95" s="212">
        <f t="shared" si="19"/>
        <v>37</v>
      </c>
      <c r="B95" s="194" t="s">
        <v>756</v>
      </c>
      <c r="C95" s="194" t="e">
        <f t="shared" si="14"/>
        <v>#N/A</v>
      </c>
      <c r="D95" s="207" t="s">
        <v>337</v>
      </c>
      <c r="E95" s="211">
        <f t="array" ref="E95">(SUM(IF((CkDJ[Date]=$A$4)*(CkDJ[Ofc Code]=(TRIM(E$7)))*(CkDJ[Account Code]=(TRIM($D95))),CkDJ[Debit])))+(SUM(IF((CsDJ[Date]=$A$4)*(CsDJ[Ofc Code]=(TRIM(E$7)))*(CsDJ[Account Code]=(TRIM($D95))),CsDJ[Debit])))+(SUM(IF((CRDJ[Date]=$A$4)*(CRDJ[Ofc Code]=(TRIM(E$7)))*(CRDJ[Account Code]=(TRIM($D95))),CRDJ[Debit])))+(SUM(IF((GJ[Date]=$A$4)*(GJ[Ofc Code]=(TRIM(E$7)))*(GJ[Account Code]=(TRIM($D95))),GJ[Debit])))-(SUM(IF((CkDJ[Date]=$A$4)*(CkDJ[Ofc Code]=(TRIM(E$7)))*(CkDJ[Account Code]=(TRIM($D95))),CkDJ[Credit])))+(SUM(IF((CsDJ[Date]=$A$4)*(CsDJ[Ofc Code]=(TRIM(E$7)))*(CsDJ[Account Code]=(TRIM($D95))),CsDJ[Credit])))+(SUM(IF((CRDJ[Date]=$A$4)*(CRDJ[Ofc Code]=(TRIM(E$7)))*(CRDJ[Account Code]=(TRIM($D95))),CRDJ[Credit])))+(SUM(IF((GJ[Date]=$A$4)*(GJ[Ofc Code]=(TRIM(E$7)))*(GJ[Account Code]=(TRIM($D95))),GJ[Credit])))</f>
        <v>0</v>
      </c>
      <c r="F95" s="211">
        <f t="array" ref="F95">(SUM(IF((CkDJ[Date]=$A$4)*(CkDJ[Ofc Code]=(TRIM(F$7)))*(CkDJ[Account Code]=(TRIM($D95))),CkDJ[Debit])))+(SUM(IF((CsDJ[Date]=$A$4)*(CsDJ[Ofc Code]=(TRIM(F$7)))*(CsDJ[Account Code]=(TRIM($D95))),CsDJ[Debit])))+(SUM(IF((CRDJ[Date]=$A$4)*(CRDJ[Ofc Code]=(TRIM(F$7)))*(CRDJ[Account Code]=(TRIM($D95))),CRDJ[Debit])))+(SUM(IF((GJ[Date]=$A$4)*(GJ[Ofc Code]=(TRIM(F$7)))*(GJ[Account Code]=(TRIM($D95))),GJ[Debit])))-(SUM(IF((CkDJ[Date]=$A$4)*(CkDJ[Ofc Code]=(TRIM(F$7)))*(CkDJ[Account Code]=(TRIM($D95))),CkDJ[Credit])))+(SUM(IF((CsDJ[Date]=$A$4)*(CsDJ[Ofc Code]=(TRIM(F$7)))*(CsDJ[Account Code]=(TRIM($D95))),CsDJ[Credit])))+(SUM(IF((CRDJ[Date]=$A$4)*(CRDJ[Ofc Code]=(TRIM(F$7)))*(CRDJ[Account Code]=(TRIM($D95))),CRDJ[Credit])))+(SUM(IF((GJ[Date]=$A$4)*(GJ[Ofc Code]=(TRIM(F$7)))*(GJ[Account Code]=(TRIM($D95))),GJ[Credit])))</f>
        <v>0</v>
      </c>
      <c r="G95" s="211">
        <f t="array" ref="G95">(SUM(IF((CkDJ[Date]=$A$4)*(CkDJ[Ofc Code]=(TRIM(G$7)))*(CkDJ[Account Code]=(TRIM($D95))),CkDJ[Debit])))+(SUM(IF((CsDJ[Date]=$A$4)*(CsDJ[Ofc Code]=(TRIM(G$7)))*(CsDJ[Account Code]=(TRIM($D95))),CsDJ[Debit])))+(SUM(IF((CRDJ[Date]=$A$4)*(CRDJ[Ofc Code]=(TRIM(G$7)))*(CRDJ[Account Code]=(TRIM($D95))),CRDJ[Debit])))+(SUM(IF((GJ[Date]=$A$4)*(GJ[Ofc Code]=(TRIM(G$7)))*(GJ[Account Code]=(TRIM($D95))),GJ[Debit])))-(SUM(IF((CkDJ[Date]=$A$4)*(CkDJ[Ofc Code]=(TRIM(G$7)))*(CkDJ[Account Code]=(TRIM($D95))),CkDJ[Credit])))+(SUM(IF((CsDJ[Date]=$A$4)*(CsDJ[Ofc Code]=(TRIM(G$7)))*(CsDJ[Account Code]=(TRIM($D95))),CsDJ[Credit])))+(SUM(IF((CRDJ[Date]=$A$4)*(CRDJ[Ofc Code]=(TRIM(G$7)))*(CRDJ[Account Code]=(TRIM($D95))),CRDJ[Credit])))+(SUM(IF((GJ[Date]=$A$4)*(GJ[Ofc Code]=(TRIM(G$7)))*(GJ[Account Code]=(TRIM($D95))),GJ[Credit])))</f>
        <v>0</v>
      </c>
      <c r="H95" s="211">
        <f t="array" ref="H95">(SUM(IF((CkDJ[Date]=$A$4)*(CkDJ[Ofc Code]=(TRIM(H$7)))*(CkDJ[Account Code]=(TRIM($D95))),CkDJ[Debit])))+(SUM(IF((CsDJ[Date]=$A$4)*(CsDJ[Ofc Code]=(TRIM(H$7)))*(CsDJ[Account Code]=(TRIM($D95))),CsDJ[Debit])))+(SUM(IF((CRDJ[Date]=$A$4)*(CRDJ[Ofc Code]=(TRIM(H$7)))*(CRDJ[Account Code]=(TRIM($D95))),CRDJ[Debit])))+(SUM(IF((GJ[Date]=$A$4)*(GJ[Ofc Code]=(TRIM(H$7)))*(GJ[Account Code]=(TRIM($D95))),GJ[Debit])))-(SUM(IF((CkDJ[Date]=$A$4)*(CkDJ[Ofc Code]=(TRIM(H$7)))*(CkDJ[Account Code]=(TRIM($D95))),CkDJ[Credit])))+(SUM(IF((CsDJ[Date]=$A$4)*(CsDJ[Ofc Code]=(TRIM(H$7)))*(CsDJ[Account Code]=(TRIM($D95))),CsDJ[Credit])))+(SUM(IF((CRDJ[Date]=$A$4)*(CRDJ[Ofc Code]=(TRIM(H$7)))*(CRDJ[Account Code]=(TRIM($D95))),CRDJ[Credit])))+(SUM(IF((GJ[Date]=$A$4)*(GJ[Ofc Code]=(TRIM(H$7)))*(GJ[Account Code]=(TRIM($D95))),GJ[Credit])))</f>
        <v>0</v>
      </c>
      <c r="I95" s="211">
        <f t="shared" si="15"/>
        <v>0</v>
      </c>
      <c r="J95" s="211">
        <f t="array" ref="J95">(SUM(IF((CkDJ[Date]=$A$4)*(CkDJ[Ofc Code]=(TRIM(J$7)))*(CkDJ[Account Code]=(TRIM($D95))),CkDJ[Debit])))+(SUM(IF((CsDJ[Date]=$A$4)*(CsDJ[Ofc Code]=(TRIM(J$7)))*(CsDJ[Account Code]=(TRIM($D95))),CsDJ[Debit])))+(SUM(IF((CRDJ[Date]=$A$4)*(CRDJ[Ofc Code]=(TRIM(J$7)))*(CRDJ[Account Code]=(TRIM($D95))),CRDJ[Debit])))+(SUM(IF((GJ[Date]=$A$4)*(GJ[Ofc Code]=(TRIM(J$7)))*(GJ[Account Code]=(TRIM($D95))),GJ[Debit])))-(SUM(IF((CkDJ[Date]=$A$4)*(CkDJ[Ofc Code]=(TRIM(J$7)))*(CkDJ[Account Code]=(TRIM($D95))),CkDJ[Credit])))+(SUM(IF((CsDJ[Date]=$A$4)*(CsDJ[Ofc Code]=(TRIM(J$7)))*(CsDJ[Account Code]=(TRIM($D95))),CsDJ[Credit])))+(SUM(IF((CRDJ[Date]=$A$4)*(CRDJ[Ofc Code]=(TRIM(J$7)))*(CRDJ[Account Code]=(TRIM($D95))),CRDJ[Credit])))+(SUM(IF((GJ[Date]=$A$4)*(GJ[Ofc Code]=(TRIM(J$7)))*(GJ[Account Code]=(TRIM($D95))),GJ[Credit])))</f>
        <v>0</v>
      </c>
      <c r="K95" s="211">
        <f t="array" ref="K95">(SUM(IF((CkDJ[Date]=$A$4)*(CkDJ[Ofc Code]=(TRIM(K$7)))*(CkDJ[Account Code]=(TRIM($D95))),CkDJ[Debit])))+(SUM(IF((CsDJ[Date]=$A$4)*(CsDJ[Ofc Code]=(TRIM(K$7)))*(CsDJ[Account Code]=(TRIM($D95))),CsDJ[Debit])))+(SUM(IF((CRDJ[Date]=$A$4)*(CRDJ[Ofc Code]=(TRIM(K$7)))*(CRDJ[Account Code]=(TRIM($D95))),CRDJ[Debit])))+(SUM(IF((GJ[Date]=$A$4)*(GJ[Ofc Code]=(TRIM(K$7)))*(GJ[Account Code]=(TRIM($D95))),GJ[Debit])))-(SUM(IF((CkDJ[Date]=$A$4)*(CkDJ[Ofc Code]=(TRIM(K$7)))*(CkDJ[Account Code]=(TRIM($D95))),CkDJ[Credit])))+(SUM(IF((CsDJ[Date]=$A$4)*(CsDJ[Ofc Code]=(TRIM(K$7)))*(CsDJ[Account Code]=(TRIM($D95))),CsDJ[Credit])))+(SUM(IF((CRDJ[Date]=$A$4)*(CRDJ[Ofc Code]=(TRIM(K$7)))*(CRDJ[Account Code]=(TRIM($D95))),CRDJ[Credit])))+(SUM(IF((GJ[Date]=$A$4)*(GJ[Ofc Code]=(TRIM(K$7)))*(GJ[Account Code]=(TRIM($D95))),GJ[Credit])))</f>
        <v>0</v>
      </c>
      <c r="L95" s="211">
        <f t="array" ref="L95">(SUM(IF((CkDJ[Date]=$A$4)*(CkDJ[Ofc Code]=(TRIM(L$7)))*(CkDJ[Account Code]=(TRIM($D95))),CkDJ[Debit])))+(SUM(IF((CsDJ[Date]=$A$4)*(CsDJ[Ofc Code]=(TRIM(L$7)))*(CsDJ[Account Code]=(TRIM($D95))),CsDJ[Debit])))+(SUM(IF((CRDJ[Date]=$A$4)*(CRDJ[Ofc Code]=(TRIM(L$7)))*(CRDJ[Account Code]=(TRIM($D95))),CRDJ[Debit])))+(SUM(IF((GJ[Date]=$A$4)*(GJ[Ofc Code]=(TRIM(L$7)))*(GJ[Account Code]=(TRIM($D95))),GJ[Debit])))-(SUM(IF((CkDJ[Date]=$A$4)*(CkDJ[Ofc Code]=(TRIM(L$7)))*(CkDJ[Account Code]=(TRIM($D95))),CkDJ[Credit])))+(SUM(IF((CsDJ[Date]=$A$4)*(CsDJ[Ofc Code]=(TRIM(L$7)))*(CsDJ[Account Code]=(TRIM($D95))),CsDJ[Credit])))+(SUM(IF((CRDJ[Date]=$A$4)*(CRDJ[Ofc Code]=(TRIM(L$7)))*(CRDJ[Account Code]=(TRIM($D95))),CRDJ[Credit])))+(SUM(IF((GJ[Date]=$A$4)*(GJ[Ofc Code]=(TRIM(L$7)))*(GJ[Account Code]=(TRIM($D95))),GJ[Credit])))</f>
        <v>0</v>
      </c>
      <c r="M95" s="211">
        <f t="array" ref="M95">(SUM(IF((CkDJ[Date]=$A$4)*(CkDJ[Ofc Code]=(TRIM(M$7)))*(CkDJ[Account Code]=(TRIM($D95))),CkDJ[Debit])))+(SUM(IF((CsDJ[Date]=$A$4)*(CsDJ[Ofc Code]=(TRIM(M$7)))*(CsDJ[Account Code]=(TRIM($D95))),CsDJ[Debit])))+(SUM(IF((CRDJ[Date]=$A$4)*(CRDJ[Ofc Code]=(TRIM(M$7)))*(CRDJ[Account Code]=(TRIM($D95))),CRDJ[Debit])))+(SUM(IF((GJ[Date]=$A$4)*(GJ[Ofc Code]=(TRIM(M$7)))*(GJ[Account Code]=(TRIM($D95))),GJ[Debit])))-(SUM(IF((CkDJ[Date]=$A$4)*(CkDJ[Ofc Code]=(TRIM(M$7)))*(CkDJ[Account Code]=(TRIM($D95))),CkDJ[Credit])))+(SUM(IF((CsDJ[Date]=$A$4)*(CsDJ[Ofc Code]=(TRIM(M$7)))*(CsDJ[Account Code]=(TRIM($D95))),CsDJ[Credit])))+(SUM(IF((CRDJ[Date]=$A$4)*(CRDJ[Ofc Code]=(TRIM(M$7)))*(CRDJ[Account Code]=(TRIM($D95))),CRDJ[Credit])))+(SUM(IF((GJ[Date]=$A$4)*(GJ[Ofc Code]=(TRIM(M$7)))*(GJ[Account Code]=(TRIM($D95))),GJ[Credit])))</f>
        <v>0</v>
      </c>
      <c r="N95" s="211">
        <f t="shared" si="16"/>
        <v>0</v>
      </c>
      <c r="O95" s="211">
        <f t="array" ref="O95">(SUM(IF((CkDJ[Date]=$A$4)*(CkDJ[Ofc Code]=(TRIM(O$7)))*(CkDJ[Account Code]=(TRIM($D95))),CkDJ[Debit])))+(SUM(IF((CsDJ[Date]=$A$4)*(CsDJ[Ofc Code]=(TRIM(O$7)))*(CsDJ[Account Code]=(TRIM($D95))),CsDJ[Debit])))+(SUM(IF((CRDJ[Date]=$A$4)*(CRDJ[Ofc Code]=(TRIM(O$7)))*(CRDJ[Account Code]=(TRIM($D95))),CRDJ[Debit])))+(SUM(IF((GJ[Date]=$A$4)*(GJ[Ofc Code]=(TRIM(O$7)))*(GJ[Account Code]=(TRIM($D95))),GJ[Debit])))-(SUM(IF((CkDJ[Date]=$A$4)*(CkDJ[Ofc Code]=(TRIM(O$7)))*(CkDJ[Account Code]=(TRIM($D95))),CkDJ[Credit])))+(SUM(IF((CsDJ[Date]=$A$4)*(CsDJ[Ofc Code]=(TRIM(O$7)))*(CsDJ[Account Code]=(TRIM($D95))),CsDJ[Credit])))+(SUM(IF((CRDJ[Date]=$A$4)*(CRDJ[Ofc Code]=(TRIM(O$7)))*(CRDJ[Account Code]=(TRIM($D95))),CRDJ[Credit])))+(SUM(IF((GJ[Date]=$A$4)*(GJ[Ofc Code]=(TRIM(O$7)))*(GJ[Account Code]=(TRIM($D95))),GJ[Credit])))</f>
        <v>0</v>
      </c>
      <c r="P95" s="211">
        <f t="array" ref="P95">(SUM(IF((CkDJ[Date]=$A$4)*(CkDJ[Ofc Code]=(TRIM(P$7)))*(CkDJ[Account Code]=(TRIM($D95))),CkDJ[Debit])))+(SUM(IF((CsDJ[Date]=$A$4)*(CsDJ[Ofc Code]=(TRIM(P$7)))*(CsDJ[Account Code]=(TRIM($D95))),CsDJ[Debit])))+(SUM(IF((CRDJ[Date]=$A$4)*(CRDJ[Ofc Code]=(TRIM(P$7)))*(CRDJ[Account Code]=(TRIM($D95))),CRDJ[Debit])))+(SUM(IF((GJ[Date]=$A$4)*(GJ[Ofc Code]=(TRIM(P$7)))*(GJ[Account Code]=(TRIM($D95))),GJ[Debit])))-(SUM(IF((CkDJ[Date]=$A$4)*(CkDJ[Ofc Code]=(TRIM(P$7)))*(CkDJ[Account Code]=(TRIM($D95))),CkDJ[Credit])))+(SUM(IF((CsDJ[Date]=$A$4)*(CsDJ[Ofc Code]=(TRIM(P$7)))*(CsDJ[Account Code]=(TRIM($D95))),CsDJ[Credit])))+(SUM(IF((CRDJ[Date]=$A$4)*(CRDJ[Ofc Code]=(TRIM(P$7)))*(CRDJ[Account Code]=(TRIM($D95))),CRDJ[Credit])))+(SUM(IF((GJ[Date]=$A$4)*(GJ[Ofc Code]=(TRIM(P$7)))*(GJ[Account Code]=(TRIM($D95))),GJ[Credit])))</f>
        <v>0</v>
      </c>
      <c r="Q95" s="211">
        <f t="array" ref="Q95">(SUM(IF((CkDJ[Date]=$A$4)*(CkDJ[Ofc Code]=(TRIM(Q$7)))*(CkDJ[Account Code]=(TRIM($D95))),CkDJ[Debit])))+(SUM(IF((CsDJ[Date]=$A$4)*(CsDJ[Ofc Code]=(TRIM(Q$7)))*(CsDJ[Account Code]=(TRIM($D95))),CsDJ[Debit])))+(SUM(IF((CRDJ[Date]=$A$4)*(CRDJ[Ofc Code]=(TRIM(Q$7)))*(CRDJ[Account Code]=(TRIM($D95))),CRDJ[Debit])))+(SUM(IF((GJ[Date]=$A$4)*(GJ[Ofc Code]=(TRIM(Q$7)))*(GJ[Account Code]=(TRIM($D95))),GJ[Debit])))-(SUM(IF((CkDJ[Date]=$A$4)*(CkDJ[Ofc Code]=(TRIM(Q$7)))*(CkDJ[Account Code]=(TRIM($D95))),CkDJ[Credit])))+(SUM(IF((CsDJ[Date]=$A$4)*(CsDJ[Ofc Code]=(TRIM(Q$7)))*(CsDJ[Account Code]=(TRIM($D95))),CsDJ[Credit])))+(SUM(IF((CRDJ[Date]=$A$4)*(CRDJ[Ofc Code]=(TRIM(Q$7)))*(CRDJ[Account Code]=(TRIM($D95))),CRDJ[Credit])))+(SUM(IF((GJ[Date]=$A$4)*(GJ[Ofc Code]=(TRIM(Q$7)))*(GJ[Account Code]=(TRIM($D95))),GJ[Credit])))</f>
        <v>0</v>
      </c>
      <c r="R95" s="211">
        <f t="array" ref="R95">(SUM(IF((CkDJ[Date]=$A$4)*(CkDJ[Ofc Code]=(TRIM(R$7)))*(CkDJ[Account Code]=(TRIM($D95))),CkDJ[Debit])))+(SUM(IF((CsDJ[Date]=$A$4)*(CsDJ[Ofc Code]=(TRIM(R$7)))*(CsDJ[Account Code]=(TRIM($D95))),CsDJ[Debit])))+(SUM(IF((CRDJ[Date]=$A$4)*(CRDJ[Ofc Code]=(TRIM(R$7)))*(CRDJ[Account Code]=(TRIM($D95))),CRDJ[Debit])))+(SUM(IF((GJ[Date]=$A$4)*(GJ[Ofc Code]=(TRIM(R$7)))*(GJ[Account Code]=(TRIM($D95))),GJ[Debit])))-(SUM(IF((CkDJ[Date]=$A$4)*(CkDJ[Ofc Code]=(TRIM(R$7)))*(CkDJ[Account Code]=(TRIM($D95))),CkDJ[Credit])))+(SUM(IF((CsDJ[Date]=$A$4)*(CsDJ[Ofc Code]=(TRIM(R$7)))*(CsDJ[Account Code]=(TRIM($D95))),CsDJ[Credit])))+(SUM(IF((CRDJ[Date]=$A$4)*(CRDJ[Ofc Code]=(TRIM(R$7)))*(CRDJ[Account Code]=(TRIM($D95))),CRDJ[Credit])))+(SUM(IF((GJ[Date]=$A$4)*(GJ[Ofc Code]=(TRIM(R$7)))*(GJ[Account Code]=(TRIM($D95))),GJ[Credit])))</f>
        <v>0</v>
      </c>
      <c r="S95" s="211">
        <f t="array" ref="S95">(SUM(IF((CkDJ[Date]=$A$4)*(CkDJ[Ofc Code]=(TRIM(S$7)))*(CkDJ[Account Code]=(TRIM($D95))),CkDJ[Debit])))+(SUM(IF((CsDJ[Date]=$A$4)*(CsDJ[Ofc Code]=(TRIM(S$7)))*(CsDJ[Account Code]=(TRIM($D95))),CsDJ[Debit])))+(SUM(IF((CRDJ[Date]=$A$4)*(CRDJ[Ofc Code]=(TRIM(S$7)))*(CRDJ[Account Code]=(TRIM($D95))),CRDJ[Debit])))+(SUM(IF((GJ[Date]=$A$4)*(GJ[Ofc Code]=(TRIM(S$7)))*(GJ[Account Code]=(TRIM($D95))),GJ[Debit])))-(SUM(IF((CkDJ[Date]=$A$4)*(CkDJ[Ofc Code]=(TRIM(S$7)))*(CkDJ[Account Code]=(TRIM($D95))),CkDJ[Credit])))+(SUM(IF((CsDJ[Date]=$A$4)*(CsDJ[Ofc Code]=(TRIM(S$7)))*(CsDJ[Account Code]=(TRIM($D95))),CsDJ[Credit])))+(SUM(IF((CRDJ[Date]=$A$4)*(CRDJ[Ofc Code]=(TRIM(S$7)))*(CRDJ[Account Code]=(TRIM($D95))),CRDJ[Credit])))+(SUM(IF((GJ[Date]=$A$4)*(GJ[Ofc Code]=(TRIM(S$7)))*(GJ[Account Code]=(TRIM($D95))),GJ[Credit])))</f>
        <v>0</v>
      </c>
      <c r="T95" s="211">
        <f t="shared" si="17"/>
        <v>0</v>
      </c>
      <c r="U95" s="211">
        <f t="shared" si="18"/>
        <v>0</v>
      </c>
    </row>
    <row r="96" spans="1:21" ht="15">
      <c r="A96" s="212">
        <f t="shared" si="19"/>
        <v>38</v>
      </c>
      <c r="B96" s="194" t="s">
        <v>756</v>
      </c>
      <c r="C96" s="194" t="str">
        <f t="shared" si="14"/>
        <v>Bank Charges</v>
      </c>
      <c r="D96" s="207">
        <v>971</v>
      </c>
      <c r="E96" s="211">
        <f t="array" ref="E96">(SUM(IF((CkDJ[Date]=$A$4)*(CkDJ[Ofc Code]=(TRIM(E$7)))*(CkDJ[Account Code]=(TRIM($D96))),CkDJ[Debit])))+(SUM(IF((CsDJ[Date]=$A$4)*(CsDJ[Ofc Code]=(TRIM(E$7)))*(CsDJ[Account Code]=(TRIM($D96))),CsDJ[Debit])))+(SUM(IF((CRDJ[Date]=$A$4)*(CRDJ[Ofc Code]=(TRIM(E$7)))*(CRDJ[Account Code]=(TRIM($D96))),CRDJ[Debit])))+(SUM(IF((GJ[Date]=$A$4)*(GJ[Ofc Code]=(TRIM(E$7)))*(GJ[Account Code]=(TRIM($D96))),GJ[Debit])))-(SUM(IF((CkDJ[Date]=$A$4)*(CkDJ[Ofc Code]=(TRIM(E$7)))*(CkDJ[Account Code]=(TRIM($D96))),CkDJ[Credit])))+(SUM(IF((CsDJ[Date]=$A$4)*(CsDJ[Ofc Code]=(TRIM(E$7)))*(CsDJ[Account Code]=(TRIM($D96))),CsDJ[Credit])))+(SUM(IF((CRDJ[Date]=$A$4)*(CRDJ[Ofc Code]=(TRIM(E$7)))*(CRDJ[Account Code]=(TRIM($D96))),CRDJ[Credit])))+(SUM(IF((GJ[Date]=$A$4)*(GJ[Ofc Code]=(TRIM(E$7)))*(GJ[Account Code]=(TRIM($D96))),GJ[Credit])))</f>
        <v>0</v>
      </c>
      <c r="F96" s="211">
        <f t="array" ref="F96">(SUM(IF((CkDJ[Date]=$A$4)*(CkDJ[Ofc Code]=(TRIM(F$7)))*(CkDJ[Account Code]=(TRIM($D96))),CkDJ[Debit])))+(SUM(IF((CsDJ[Date]=$A$4)*(CsDJ[Ofc Code]=(TRIM(F$7)))*(CsDJ[Account Code]=(TRIM($D96))),CsDJ[Debit])))+(SUM(IF((CRDJ[Date]=$A$4)*(CRDJ[Ofc Code]=(TRIM(F$7)))*(CRDJ[Account Code]=(TRIM($D96))),CRDJ[Debit])))+(SUM(IF((GJ[Date]=$A$4)*(GJ[Ofc Code]=(TRIM(F$7)))*(GJ[Account Code]=(TRIM($D96))),GJ[Debit])))-(SUM(IF((CkDJ[Date]=$A$4)*(CkDJ[Ofc Code]=(TRIM(F$7)))*(CkDJ[Account Code]=(TRIM($D96))),CkDJ[Credit])))+(SUM(IF((CsDJ[Date]=$A$4)*(CsDJ[Ofc Code]=(TRIM(F$7)))*(CsDJ[Account Code]=(TRIM($D96))),CsDJ[Credit])))+(SUM(IF((CRDJ[Date]=$A$4)*(CRDJ[Ofc Code]=(TRIM(F$7)))*(CRDJ[Account Code]=(TRIM($D96))),CRDJ[Credit])))+(SUM(IF((GJ[Date]=$A$4)*(GJ[Ofc Code]=(TRIM(F$7)))*(GJ[Account Code]=(TRIM($D96))),GJ[Credit])))</f>
        <v>0</v>
      </c>
      <c r="G96" s="211">
        <f t="array" ref="G96">(SUM(IF((CkDJ[Date]=$A$4)*(CkDJ[Ofc Code]=(TRIM(G$7)))*(CkDJ[Account Code]=(TRIM($D96))),CkDJ[Debit])))+(SUM(IF((CsDJ[Date]=$A$4)*(CsDJ[Ofc Code]=(TRIM(G$7)))*(CsDJ[Account Code]=(TRIM($D96))),CsDJ[Debit])))+(SUM(IF((CRDJ[Date]=$A$4)*(CRDJ[Ofc Code]=(TRIM(G$7)))*(CRDJ[Account Code]=(TRIM($D96))),CRDJ[Debit])))+(SUM(IF((GJ[Date]=$A$4)*(GJ[Ofc Code]=(TRIM(G$7)))*(GJ[Account Code]=(TRIM($D96))),GJ[Debit])))-(SUM(IF((CkDJ[Date]=$A$4)*(CkDJ[Ofc Code]=(TRIM(G$7)))*(CkDJ[Account Code]=(TRIM($D96))),CkDJ[Credit])))+(SUM(IF((CsDJ[Date]=$A$4)*(CsDJ[Ofc Code]=(TRIM(G$7)))*(CsDJ[Account Code]=(TRIM($D96))),CsDJ[Credit])))+(SUM(IF((CRDJ[Date]=$A$4)*(CRDJ[Ofc Code]=(TRIM(G$7)))*(CRDJ[Account Code]=(TRIM($D96))),CRDJ[Credit])))+(SUM(IF((GJ[Date]=$A$4)*(GJ[Ofc Code]=(TRIM(G$7)))*(GJ[Account Code]=(TRIM($D96))),GJ[Credit])))</f>
        <v>0</v>
      </c>
      <c r="H96" s="211">
        <f t="array" ref="H96">(SUM(IF((CkDJ[Date]=$A$4)*(CkDJ[Ofc Code]=(TRIM(H$7)))*(CkDJ[Account Code]=(TRIM($D96))),CkDJ[Debit])))+(SUM(IF((CsDJ[Date]=$A$4)*(CsDJ[Ofc Code]=(TRIM(H$7)))*(CsDJ[Account Code]=(TRIM($D96))),CsDJ[Debit])))+(SUM(IF((CRDJ[Date]=$A$4)*(CRDJ[Ofc Code]=(TRIM(H$7)))*(CRDJ[Account Code]=(TRIM($D96))),CRDJ[Debit])))+(SUM(IF((GJ[Date]=$A$4)*(GJ[Ofc Code]=(TRIM(H$7)))*(GJ[Account Code]=(TRIM($D96))),GJ[Debit])))-(SUM(IF((CkDJ[Date]=$A$4)*(CkDJ[Ofc Code]=(TRIM(H$7)))*(CkDJ[Account Code]=(TRIM($D96))),CkDJ[Credit])))+(SUM(IF((CsDJ[Date]=$A$4)*(CsDJ[Ofc Code]=(TRIM(H$7)))*(CsDJ[Account Code]=(TRIM($D96))),CsDJ[Credit])))+(SUM(IF((CRDJ[Date]=$A$4)*(CRDJ[Ofc Code]=(TRIM(H$7)))*(CRDJ[Account Code]=(TRIM($D96))),CRDJ[Credit])))+(SUM(IF((GJ[Date]=$A$4)*(GJ[Ofc Code]=(TRIM(H$7)))*(GJ[Account Code]=(TRIM($D96))),GJ[Credit])))</f>
        <v>0</v>
      </c>
      <c r="I96" s="211">
        <f t="shared" si="15"/>
        <v>0</v>
      </c>
      <c r="J96" s="211">
        <f t="array" ref="J96">(SUM(IF((CkDJ[Date]=$A$4)*(CkDJ[Ofc Code]=(TRIM(J$7)))*(CkDJ[Account Code]=(TRIM($D96))),CkDJ[Debit])))+(SUM(IF((CsDJ[Date]=$A$4)*(CsDJ[Ofc Code]=(TRIM(J$7)))*(CsDJ[Account Code]=(TRIM($D96))),CsDJ[Debit])))+(SUM(IF((CRDJ[Date]=$A$4)*(CRDJ[Ofc Code]=(TRIM(J$7)))*(CRDJ[Account Code]=(TRIM($D96))),CRDJ[Debit])))+(SUM(IF((GJ[Date]=$A$4)*(GJ[Ofc Code]=(TRIM(J$7)))*(GJ[Account Code]=(TRIM($D96))),GJ[Debit])))-(SUM(IF((CkDJ[Date]=$A$4)*(CkDJ[Ofc Code]=(TRIM(J$7)))*(CkDJ[Account Code]=(TRIM($D96))),CkDJ[Credit])))+(SUM(IF((CsDJ[Date]=$A$4)*(CsDJ[Ofc Code]=(TRIM(J$7)))*(CsDJ[Account Code]=(TRIM($D96))),CsDJ[Credit])))+(SUM(IF((CRDJ[Date]=$A$4)*(CRDJ[Ofc Code]=(TRIM(J$7)))*(CRDJ[Account Code]=(TRIM($D96))),CRDJ[Credit])))+(SUM(IF((GJ[Date]=$A$4)*(GJ[Ofc Code]=(TRIM(J$7)))*(GJ[Account Code]=(TRIM($D96))),GJ[Credit])))</f>
        <v>0</v>
      </c>
      <c r="K96" s="211">
        <f t="array" ref="K96">(SUM(IF((CkDJ[Date]=$A$4)*(CkDJ[Ofc Code]=(TRIM(K$7)))*(CkDJ[Account Code]=(TRIM($D96))),CkDJ[Debit])))+(SUM(IF((CsDJ[Date]=$A$4)*(CsDJ[Ofc Code]=(TRIM(K$7)))*(CsDJ[Account Code]=(TRIM($D96))),CsDJ[Debit])))+(SUM(IF((CRDJ[Date]=$A$4)*(CRDJ[Ofc Code]=(TRIM(K$7)))*(CRDJ[Account Code]=(TRIM($D96))),CRDJ[Debit])))+(SUM(IF((GJ[Date]=$A$4)*(GJ[Ofc Code]=(TRIM(K$7)))*(GJ[Account Code]=(TRIM($D96))),GJ[Debit])))-(SUM(IF((CkDJ[Date]=$A$4)*(CkDJ[Ofc Code]=(TRIM(K$7)))*(CkDJ[Account Code]=(TRIM($D96))),CkDJ[Credit])))+(SUM(IF((CsDJ[Date]=$A$4)*(CsDJ[Ofc Code]=(TRIM(K$7)))*(CsDJ[Account Code]=(TRIM($D96))),CsDJ[Credit])))+(SUM(IF((CRDJ[Date]=$A$4)*(CRDJ[Ofc Code]=(TRIM(K$7)))*(CRDJ[Account Code]=(TRIM($D96))),CRDJ[Credit])))+(SUM(IF((GJ[Date]=$A$4)*(GJ[Ofc Code]=(TRIM(K$7)))*(GJ[Account Code]=(TRIM($D96))),GJ[Credit])))</f>
        <v>0</v>
      </c>
      <c r="L96" s="211">
        <f t="array" ref="L96">(SUM(IF((CkDJ[Date]=$A$4)*(CkDJ[Ofc Code]=(TRIM(L$7)))*(CkDJ[Account Code]=(TRIM($D96))),CkDJ[Debit])))+(SUM(IF((CsDJ[Date]=$A$4)*(CsDJ[Ofc Code]=(TRIM(L$7)))*(CsDJ[Account Code]=(TRIM($D96))),CsDJ[Debit])))+(SUM(IF((CRDJ[Date]=$A$4)*(CRDJ[Ofc Code]=(TRIM(L$7)))*(CRDJ[Account Code]=(TRIM($D96))),CRDJ[Debit])))+(SUM(IF((GJ[Date]=$A$4)*(GJ[Ofc Code]=(TRIM(L$7)))*(GJ[Account Code]=(TRIM($D96))),GJ[Debit])))-(SUM(IF((CkDJ[Date]=$A$4)*(CkDJ[Ofc Code]=(TRIM(L$7)))*(CkDJ[Account Code]=(TRIM($D96))),CkDJ[Credit])))+(SUM(IF((CsDJ[Date]=$A$4)*(CsDJ[Ofc Code]=(TRIM(L$7)))*(CsDJ[Account Code]=(TRIM($D96))),CsDJ[Credit])))+(SUM(IF((CRDJ[Date]=$A$4)*(CRDJ[Ofc Code]=(TRIM(L$7)))*(CRDJ[Account Code]=(TRIM($D96))),CRDJ[Credit])))+(SUM(IF((GJ[Date]=$A$4)*(GJ[Ofc Code]=(TRIM(L$7)))*(GJ[Account Code]=(TRIM($D96))),GJ[Credit])))</f>
        <v>0</v>
      </c>
      <c r="M96" s="211">
        <f t="array" ref="M96">(SUM(IF((CkDJ[Date]=$A$4)*(CkDJ[Ofc Code]=(TRIM(M$7)))*(CkDJ[Account Code]=(TRIM($D96))),CkDJ[Debit])))+(SUM(IF((CsDJ[Date]=$A$4)*(CsDJ[Ofc Code]=(TRIM(M$7)))*(CsDJ[Account Code]=(TRIM($D96))),CsDJ[Debit])))+(SUM(IF((CRDJ[Date]=$A$4)*(CRDJ[Ofc Code]=(TRIM(M$7)))*(CRDJ[Account Code]=(TRIM($D96))),CRDJ[Debit])))+(SUM(IF((GJ[Date]=$A$4)*(GJ[Ofc Code]=(TRIM(M$7)))*(GJ[Account Code]=(TRIM($D96))),GJ[Debit])))-(SUM(IF((CkDJ[Date]=$A$4)*(CkDJ[Ofc Code]=(TRIM(M$7)))*(CkDJ[Account Code]=(TRIM($D96))),CkDJ[Credit])))+(SUM(IF((CsDJ[Date]=$A$4)*(CsDJ[Ofc Code]=(TRIM(M$7)))*(CsDJ[Account Code]=(TRIM($D96))),CsDJ[Credit])))+(SUM(IF((CRDJ[Date]=$A$4)*(CRDJ[Ofc Code]=(TRIM(M$7)))*(CRDJ[Account Code]=(TRIM($D96))),CRDJ[Credit])))+(SUM(IF((GJ[Date]=$A$4)*(GJ[Ofc Code]=(TRIM(M$7)))*(GJ[Account Code]=(TRIM($D96))),GJ[Credit])))</f>
        <v>0</v>
      </c>
      <c r="N96" s="211">
        <f t="shared" si="16"/>
        <v>0</v>
      </c>
      <c r="O96" s="211">
        <f t="array" ref="O96">(SUM(IF((CkDJ[Date]=$A$4)*(CkDJ[Ofc Code]=(TRIM(O$7)))*(CkDJ[Account Code]=(TRIM($D96))),CkDJ[Debit])))+(SUM(IF((CsDJ[Date]=$A$4)*(CsDJ[Ofc Code]=(TRIM(O$7)))*(CsDJ[Account Code]=(TRIM($D96))),CsDJ[Debit])))+(SUM(IF((CRDJ[Date]=$A$4)*(CRDJ[Ofc Code]=(TRIM(O$7)))*(CRDJ[Account Code]=(TRIM($D96))),CRDJ[Debit])))+(SUM(IF((GJ[Date]=$A$4)*(GJ[Ofc Code]=(TRIM(O$7)))*(GJ[Account Code]=(TRIM($D96))),GJ[Debit])))-(SUM(IF((CkDJ[Date]=$A$4)*(CkDJ[Ofc Code]=(TRIM(O$7)))*(CkDJ[Account Code]=(TRIM($D96))),CkDJ[Credit])))+(SUM(IF((CsDJ[Date]=$A$4)*(CsDJ[Ofc Code]=(TRIM(O$7)))*(CsDJ[Account Code]=(TRIM($D96))),CsDJ[Credit])))+(SUM(IF((CRDJ[Date]=$A$4)*(CRDJ[Ofc Code]=(TRIM(O$7)))*(CRDJ[Account Code]=(TRIM($D96))),CRDJ[Credit])))+(SUM(IF((GJ[Date]=$A$4)*(GJ[Ofc Code]=(TRIM(O$7)))*(GJ[Account Code]=(TRIM($D96))),GJ[Credit])))</f>
        <v>0</v>
      </c>
      <c r="P96" s="211">
        <f t="array" ref="P96">(SUM(IF((CkDJ[Date]=$A$4)*(CkDJ[Ofc Code]=(TRIM(P$7)))*(CkDJ[Account Code]=(TRIM($D96))),CkDJ[Debit])))+(SUM(IF((CsDJ[Date]=$A$4)*(CsDJ[Ofc Code]=(TRIM(P$7)))*(CsDJ[Account Code]=(TRIM($D96))),CsDJ[Debit])))+(SUM(IF((CRDJ[Date]=$A$4)*(CRDJ[Ofc Code]=(TRIM(P$7)))*(CRDJ[Account Code]=(TRIM($D96))),CRDJ[Debit])))+(SUM(IF((GJ[Date]=$A$4)*(GJ[Ofc Code]=(TRIM(P$7)))*(GJ[Account Code]=(TRIM($D96))),GJ[Debit])))-(SUM(IF((CkDJ[Date]=$A$4)*(CkDJ[Ofc Code]=(TRIM(P$7)))*(CkDJ[Account Code]=(TRIM($D96))),CkDJ[Credit])))+(SUM(IF((CsDJ[Date]=$A$4)*(CsDJ[Ofc Code]=(TRIM(P$7)))*(CsDJ[Account Code]=(TRIM($D96))),CsDJ[Credit])))+(SUM(IF((CRDJ[Date]=$A$4)*(CRDJ[Ofc Code]=(TRIM(P$7)))*(CRDJ[Account Code]=(TRIM($D96))),CRDJ[Credit])))+(SUM(IF((GJ[Date]=$A$4)*(GJ[Ofc Code]=(TRIM(P$7)))*(GJ[Account Code]=(TRIM($D96))),GJ[Credit])))</f>
        <v>0</v>
      </c>
      <c r="Q96" s="211">
        <f t="array" ref="Q96">(SUM(IF((CkDJ[Date]=$A$4)*(CkDJ[Ofc Code]=(TRIM(Q$7)))*(CkDJ[Account Code]=(TRIM($D96))),CkDJ[Debit])))+(SUM(IF((CsDJ[Date]=$A$4)*(CsDJ[Ofc Code]=(TRIM(Q$7)))*(CsDJ[Account Code]=(TRIM($D96))),CsDJ[Debit])))+(SUM(IF((CRDJ[Date]=$A$4)*(CRDJ[Ofc Code]=(TRIM(Q$7)))*(CRDJ[Account Code]=(TRIM($D96))),CRDJ[Debit])))+(SUM(IF((GJ[Date]=$A$4)*(GJ[Ofc Code]=(TRIM(Q$7)))*(GJ[Account Code]=(TRIM($D96))),GJ[Debit])))-(SUM(IF((CkDJ[Date]=$A$4)*(CkDJ[Ofc Code]=(TRIM(Q$7)))*(CkDJ[Account Code]=(TRIM($D96))),CkDJ[Credit])))+(SUM(IF((CsDJ[Date]=$A$4)*(CsDJ[Ofc Code]=(TRIM(Q$7)))*(CsDJ[Account Code]=(TRIM($D96))),CsDJ[Credit])))+(SUM(IF((CRDJ[Date]=$A$4)*(CRDJ[Ofc Code]=(TRIM(Q$7)))*(CRDJ[Account Code]=(TRIM($D96))),CRDJ[Credit])))+(SUM(IF((GJ[Date]=$A$4)*(GJ[Ofc Code]=(TRIM(Q$7)))*(GJ[Account Code]=(TRIM($D96))),GJ[Credit])))</f>
        <v>0</v>
      </c>
      <c r="R96" s="211">
        <f t="array" ref="R96">(SUM(IF((CkDJ[Date]=$A$4)*(CkDJ[Ofc Code]=(TRIM(R$7)))*(CkDJ[Account Code]=(TRIM($D96))),CkDJ[Debit])))+(SUM(IF((CsDJ[Date]=$A$4)*(CsDJ[Ofc Code]=(TRIM(R$7)))*(CsDJ[Account Code]=(TRIM($D96))),CsDJ[Debit])))+(SUM(IF((CRDJ[Date]=$A$4)*(CRDJ[Ofc Code]=(TRIM(R$7)))*(CRDJ[Account Code]=(TRIM($D96))),CRDJ[Debit])))+(SUM(IF((GJ[Date]=$A$4)*(GJ[Ofc Code]=(TRIM(R$7)))*(GJ[Account Code]=(TRIM($D96))),GJ[Debit])))-(SUM(IF((CkDJ[Date]=$A$4)*(CkDJ[Ofc Code]=(TRIM(R$7)))*(CkDJ[Account Code]=(TRIM($D96))),CkDJ[Credit])))+(SUM(IF((CsDJ[Date]=$A$4)*(CsDJ[Ofc Code]=(TRIM(R$7)))*(CsDJ[Account Code]=(TRIM($D96))),CsDJ[Credit])))+(SUM(IF((CRDJ[Date]=$A$4)*(CRDJ[Ofc Code]=(TRIM(R$7)))*(CRDJ[Account Code]=(TRIM($D96))),CRDJ[Credit])))+(SUM(IF((GJ[Date]=$A$4)*(GJ[Ofc Code]=(TRIM(R$7)))*(GJ[Account Code]=(TRIM($D96))),GJ[Credit])))</f>
        <v>0</v>
      </c>
      <c r="S96" s="211">
        <f t="array" ref="S96">(SUM(IF((CkDJ[Date]=$A$4)*(CkDJ[Ofc Code]=(TRIM(S$7)))*(CkDJ[Account Code]=(TRIM($D96))),CkDJ[Debit])))+(SUM(IF((CsDJ[Date]=$A$4)*(CsDJ[Ofc Code]=(TRIM(S$7)))*(CsDJ[Account Code]=(TRIM($D96))),CsDJ[Debit])))+(SUM(IF((CRDJ[Date]=$A$4)*(CRDJ[Ofc Code]=(TRIM(S$7)))*(CRDJ[Account Code]=(TRIM($D96))),CRDJ[Debit])))+(SUM(IF((GJ[Date]=$A$4)*(GJ[Ofc Code]=(TRIM(S$7)))*(GJ[Account Code]=(TRIM($D96))),GJ[Debit])))-(SUM(IF((CkDJ[Date]=$A$4)*(CkDJ[Ofc Code]=(TRIM(S$7)))*(CkDJ[Account Code]=(TRIM($D96))),CkDJ[Credit])))+(SUM(IF((CsDJ[Date]=$A$4)*(CsDJ[Ofc Code]=(TRIM(S$7)))*(CsDJ[Account Code]=(TRIM($D96))),CsDJ[Credit])))+(SUM(IF((CRDJ[Date]=$A$4)*(CRDJ[Ofc Code]=(TRIM(S$7)))*(CRDJ[Account Code]=(TRIM($D96))),CRDJ[Credit])))+(SUM(IF((GJ[Date]=$A$4)*(GJ[Ofc Code]=(TRIM(S$7)))*(GJ[Account Code]=(TRIM($D96))),GJ[Credit])))</f>
        <v>0</v>
      </c>
      <c r="T96" s="211">
        <f t="shared" si="17"/>
        <v>0</v>
      </c>
      <c r="U96" s="211">
        <f t="shared" si="18"/>
        <v>0</v>
      </c>
    </row>
    <row r="97" spans="1:21" ht="15">
      <c r="A97" s="1326" t="s">
        <v>755</v>
      </c>
      <c r="B97" s="1327"/>
      <c r="C97" s="1327"/>
      <c r="D97" s="210"/>
      <c r="E97" s="208">
        <f t="shared" ref="E97:U97" si="25">SUM(E59:E96)</f>
        <v>0</v>
      </c>
      <c r="F97" s="208">
        <f t="shared" si="25"/>
        <v>0</v>
      </c>
      <c r="G97" s="208">
        <f t="shared" si="25"/>
        <v>0</v>
      </c>
      <c r="H97" s="208">
        <f t="shared" si="25"/>
        <v>0</v>
      </c>
      <c r="I97" s="208">
        <f t="shared" si="25"/>
        <v>0</v>
      </c>
      <c r="J97" s="208">
        <f t="shared" si="25"/>
        <v>0</v>
      </c>
      <c r="K97" s="208">
        <f t="shared" si="25"/>
        <v>0</v>
      </c>
      <c r="L97" s="208">
        <f t="shared" si="25"/>
        <v>0</v>
      </c>
      <c r="M97" s="208">
        <f t="shared" si="25"/>
        <v>0</v>
      </c>
      <c r="N97" s="208">
        <f t="shared" si="25"/>
        <v>0</v>
      </c>
      <c r="O97" s="208">
        <f t="shared" si="25"/>
        <v>0</v>
      </c>
      <c r="P97" s="208">
        <f t="shared" si="25"/>
        <v>0</v>
      </c>
      <c r="Q97" s="208">
        <f t="shared" si="25"/>
        <v>0</v>
      </c>
      <c r="R97" s="208">
        <f t="shared" si="25"/>
        <v>0</v>
      </c>
      <c r="S97" s="208">
        <f t="shared" si="25"/>
        <v>0</v>
      </c>
      <c r="T97" s="208">
        <f t="shared" si="25"/>
        <v>0</v>
      </c>
      <c r="U97" s="208">
        <f t="shared" si="25"/>
        <v>0</v>
      </c>
    </row>
    <row r="98" spans="1:21" ht="15">
      <c r="A98" s="1326" t="s">
        <v>754</v>
      </c>
      <c r="B98" s="1327"/>
      <c r="C98" s="1327"/>
      <c r="D98" s="210"/>
      <c r="E98" s="208">
        <f t="shared" ref="E98:U98" si="26">E57+E97</f>
        <v>0</v>
      </c>
      <c r="F98" s="208">
        <f t="shared" si="26"/>
        <v>0</v>
      </c>
      <c r="G98" s="208">
        <f t="shared" si="26"/>
        <v>0</v>
      </c>
      <c r="H98" s="208">
        <f t="shared" si="26"/>
        <v>0</v>
      </c>
      <c r="I98" s="208">
        <f t="shared" si="26"/>
        <v>0</v>
      </c>
      <c r="J98" s="208">
        <f t="shared" si="26"/>
        <v>0</v>
      </c>
      <c r="K98" s="208">
        <f t="shared" si="26"/>
        <v>0</v>
      </c>
      <c r="L98" s="208">
        <f t="shared" si="26"/>
        <v>0</v>
      </c>
      <c r="M98" s="208">
        <f t="shared" si="26"/>
        <v>0</v>
      </c>
      <c r="N98" s="208">
        <f t="shared" si="26"/>
        <v>0</v>
      </c>
      <c r="O98" s="208">
        <f t="shared" si="26"/>
        <v>0</v>
      </c>
      <c r="P98" s="208">
        <f t="shared" si="26"/>
        <v>0</v>
      </c>
      <c r="Q98" s="208">
        <f t="shared" si="26"/>
        <v>0</v>
      </c>
      <c r="R98" s="208">
        <f t="shared" si="26"/>
        <v>0</v>
      </c>
      <c r="S98" s="208">
        <f t="shared" si="26"/>
        <v>0</v>
      </c>
      <c r="T98" s="208">
        <f t="shared" si="26"/>
        <v>0</v>
      </c>
      <c r="U98" s="208">
        <f t="shared" si="26"/>
        <v>0</v>
      </c>
    </row>
    <row r="99" spans="1:21" ht="15">
      <c r="A99" s="1326" t="s">
        <v>753</v>
      </c>
      <c r="B99" s="1327"/>
      <c r="C99" s="1327"/>
      <c r="D99" s="209"/>
      <c r="E99" s="208">
        <f t="shared" ref="E99:U99" si="27">E32-E98</f>
        <v>0</v>
      </c>
      <c r="F99" s="208">
        <f t="shared" si="27"/>
        <v>0</v>
      </c>
      <c r="G99" s="208">
        <f t="shared" si="27"/>
        <v>0</v>
      </c>
      <c r="H99" s="208">
        <f t="shared" si="27"/>
        <v>0</v>
      </c>
      <c r="I99" s="208">
        <f t="shared" si="27"/>
        <v>0</v>
      </c>
      <c r="J99" s="208">
        <f t="shared" si="27"/>
        <v>0</v>
      </c>
      <c r="K99" s="208">
        <f t="shared" si="27"/>
        <v>0</v>
      </c>
      <c r="L99" s="208">
        <f t="shared" si="27"/>
        <v>0</v>
      </c>
      <c r="M99" s="208">
        <f t="shared" si="27"/>
        <v>0</v>
      </c>
      <c r="N99" s="208">
        <f t="shared" si="27"/>
        <v>0</v>
      </c>
      <c r="O99" s="208">
        <f t="shared" si="27"/>
        <v>0</v>
      </c>
      <c r="P99" s="208">
        <f t="shared" si="27"/>
        <v>0</v>
      </c>
      <c r="Q99" s="208">
        <f t="shared" si="27"/>
        <v>0</v>
      </c>
      <c r="R99" s="208">
        <f t="shared" si="27"/>
        <v>0</v>
      </c>
      <c r="S99" s="208">
        <f t="shared" si="27"/>
        <v>0</v>
      </c>
      <c r="T99" s="208">
        <f t="shared" si="27"/>
        <v>0</v>
      </c>
      <c r="U99" s="208">
        <f t="shared" si="27"/>
        <v>0</v>
      </c>
    </row>
    <row r="100" spans="1:21" ht="15">
      <c r="A100" s="1326" t="s">
        <v>749</v>
      </c>
      <c r="B100" s="1327"/>
      <c r="C100" s="1327"/>
      <c r="D100" s="209"/>
      <c r="E100" s="208" t="e">
        <f t="shared" ref="E100:U100" si="28">E32/E98</f>
        <v>#DIV/0!</v>
      </c>
      <c r="F100" s="208" t="e">
        <f t="shared" si="28"/>
        <v>#DIV/0!</v>
      </c>
      <c r="G100" s="208" t="e">
        <f t="shared" si="28"/>
        <v>#DIV/0!</v>
      </c>
      <c r="H100" s="208" t="e">
        <f t="shared" si="28"/>
        <v>#DIV/0!</v>
      </c>
      <c r="I100" s="208" t="e">
        <f t="shared" si="28"/>
        <v>#DIV/0!</v>
      </c>
      <c r="J100" s="208" t="e">
        <f t="shared" si="28"/>
        <v>#DIV/0!</v>
      </c>
      <c r="K100" s="208" t="e">
        <f t="shared" si="28"/>
        <v>#DIV/0!</v>
      </c>
      <c r="L100" s="208" t="e">
        <f t="shared" si="28"/>
        <v>#DIV/0!</v>
      </c>
      <c r="M100" s="208" t="e">
        <f t="shared" si="28"/>
        <v>#DIV/0!</v>
      </c>
      <c r="N100" s="208" t="e">
        <f t="shared" si="28"/>
        <v>#DIV/0!</v>
      </c>
      <c r="O100" s="208" t="e">
        <f t="shared" si="28"/>
        <v>#DIV/0!</v>
      </c>
      <c r="P100" s="208" t="e">
        <f t="shared" si="28"/>
        <v>#DIV/0!</v>
      </c>
      <c r="Q100" s="208" t="e">
        <f t="shared" si="28"/>
        <v>#DIV/0!</v>
      </c>
      <c r="R100" s="208" t="e">
        <f t="shared" si="28"/>
        <v>#DIV/0!</v>
      </c>
      <c r="S100" s="208" t="e">
        <f t="shared" si="28"/>
        <v>#DIV/0!</v>
      </c>
      <c r="T100" s="208" t="e">
        <f t="shared" si="28"/>
        <v>#DIV/0!</v>
      </c>
      <c r="U100" s="208" t="e">
        <f t="shared" si="28"/>
        <v>#DIV/0!</v>
      </c>
    </row>
    <row r="101" spans="1:21" ht="15">
      <c r="A101" s="1326" t="s">
        <v>752</v>
      </c>
      <c r="B101" s="1327"/>
      <c r="C101" s="1327"/>
      <c r="D101" s="207"/>
      <c r="E101" s="206">
        <f>-E99</f>
        <v>0</v>
      </c>
      <c r="F101" s="206" t="e">
        <f>+(F57)/(U57-E57)*E99</f>
        <v>#DIV/0!</v>
      </c>
      <c r="G101" s="206" t="e">
        <f>+(G57)/(U57-E57)*E99</f>
        <v>#DIV/0!</v>
      </c>
      <c r="H101" s="206" t="e">
        <f>+(H57)/(U57-E57)*E99</f>
        <v>#DIV/0!</v>
      </c>
      <c r="I101" s="206" t="e">
        <f>+(I57)/(U57-E57)*E99</f>
        <v>#DIV/0!</v>
      </c>
      <c r="J101" s="206" t="e">
        <f>+(J57)/(U57-E57)*E99</f>
        <v>#DIV/0!</v>
      </c>
      <c r="K101" s="206" t="e">
        <f>+(K57)/(U57-E57)*E99</f>
        <v>#DIV/0!</v>
      </c>
      <c r="L101" s="206" t="e">
        <f>+(L57)/(U57-E57)*E99</f>
        <v>#DIV/0!</v>
      </c>
      <c r="M101" s="206" t="e">
        <f>+(M57)/(U57-E57)*E99</f>
        <v>#DIV/0!</v>
      </c>
      <c r="N101" s="206" t="e">
        <f>+(N57)/(U57-E57)*E99</f>
        <v>#DIV/0!</v>
      </c>
      <c r="O101" s="206" t="e">
        <f>+(O57)/(U57-E57)*E99</f>
        <v>#DIV/0!</v>
      </c>
      <c r="P101" s="206" t="e">
        <f>+(P57)/(U57-E57)*E99</f>
        <v>#DIV/0!</v>
      </c>
      <c r="Q101" s="206" t="e">
        <f>+(Q57)/(U57-E57)*E99</f>
        <v>#DIV/0!</v>
      </c>
      <c r="R101" s="206" t="e">
        <f>+(R57)/(U57-E57)*E99</f>
        <v>#DIV/0!</v>
      </c>
      <c r="S101" s="206" t="e">
        <f>+(S57)/(U57-E57)*E99</f>
        <v>#DIV/0!</v>
      </c>
      <c r="T101" s="206" t="e">
        <f>+(T57)/(U57-E57)*E99</f>
        <v>#DIV/0!</v>
      </c>
      <c r="U101" s="204" t="e">
        <f>I101+N101+T101+E101</f>
        <v>#DIV/0!</v>
      </c>
    </row>
    <row r="102" spans="1:21" ht="15">
      <c r="A102" s="1326" t="s">
        <v>751</v>
      </c>
      <c r="B102" s="1327"/>
      <c r="C102" s="1327"/>
      <c r="D102" s="205"/>
      <c r="E102" s="204">
        <f>-E99-E101</f>
        <v>0</v>
      </c>
      <c r="F102" s="204" t="e">
        <f t="shared" ref="F102:U102" si="29">F99+F101</f>
        <v>#DIV/0!</v>
      </c>
      <c r="G102" s="204" t="e">
        <f t="shared" si="29"/>
        <v>#DIV/0!</v>
      </c>
      <c r="H102" s="204" t="e">
        <f t="shared" si="29"/>
        <v>#DIV/0!</v>
      </c>
      <c r="I102" s="204" t="e">
        <f t="shared" si="29"/>
        <v>#DIV/0!</v>
      </c>
      <c r="J102" s="204" t="e">
        <f t="shared" si="29"/>
        <v>#DIV/0!</v>
      </c>
      <c r="K102" s="204" t="e">
        <f t="shared" si="29"/>
        <v>#DIV/0!</v>
      </c>
      <c r="L102" s="204" t="e">
        <f t="shared" si="29"/>
        <v>#DIV/0!</v>
      </c>
      <c r="M102" s="204" t="e">
        <f t="shared" si="29"/>
        <v>#DIV/0!</v>
      </c>
      <c r="N102" s="204" t="e">
        <f t="shared" si="29"/>
        <v>#DIV/0!</v>
      </c>
      <c r="O102" s="204" t="e">
        <f t="shared" si="29"/>
        <v>#DIV/0!</v>
      </c>
      <c r="P102" s="204" t="e">
        <f t="shared" si="29"/>
        <v>#DIV/0!</v>
      </c>
      <c r="Q102" s="204" t="e">
        <f t="shared" si="29"/>
        <v>#DIV/0!</v>
      </c>
      <c r="R102" s="204" t="e">
        <f t="shared" si="29"/>
        <v>#DIV/0!</v>
      </c>
      <c r="S102" s="204" t="e">
        <f t="shared" si="29"/>
        <v>#DIV/0!</v>
      </c>
      <c r="T102" s="204" t="e">
        <f t="shared" si="29"/>
        <v>#DIV/0!</v>
      </c>
      <c r="U102" s="204" t="e">
        <f t="shared" si="29"/>
        <v>#DIV/0!</v>
      </c>
    </row>
    <row r="103" spans="1:21" ht="15">
      <c r="A103" s="1344" t="s">
        <v>750</v>
      </c>
      <c r="B103" s="1345"/>
      <c r="C103" s="1345"/>
      <c r="D103" s="203"/>
      <c r="E103" s="202"/>
      <c r="F103" s="202" t="e">
        <f>+(F57)/(I57-H57)*H102</f>
        <v>#DIV/0!</v>
      </c>
      <c r="G103" s="202" t="e">
        <f>+(G57)/(I57-H57)*H102</f>
        <v>#DIV/0!</v>
      </c>
      <c r="H103" s="202"/>
      <c r="I103" s="202"/>
      <c r="J103" s="202" t="e">
        <f>+(J57)/(N57-M57)*M102</f>
        <v>#DIV/0!</v>
      </c>
      <c r="K103" s="202" t="e">
        <f>+(K57)/(N57-M57)*M102</f>
        <v>#DIV/0!</v>
      </c>
      <c r="L103" s="202" t="e">
        <f>+(L57)/(N57-M57)*M102</f>
        <v>#DIV/0!</v>
      </c>
      <c r="M103" s="202"/>
      <c r="N103" s="202"/>
      <c r="O103" s="202" t="e">
        <f>+(O57)/(T57-S57)*S102</f>
        <v>#DIV/0!</v>
      </c>
      <c r="P103" s="202" t="e">
        <f>+(P57)/(T57-S57)*S102</f>
        <v>#DIV/0!</v>
      </c>
      <c r="Q103" s="202" t="e">
        <f>+(Q57)/(T57-S57)*S102</f>
        <v>#DIV/0!</v>
      </c>
      <c r="R103" s="202" t="e">
        <f>+(R57)/(T57-S57)*S102</f>
        <v>#DIV/0!</v>
      </c>
      <c r="S103" s="202"/>
      <c r="T103" s="202"/>
      <c r="U103" s="202"/>
    </row>
    <row r="104" spans="1:21" s="199" customFormat="1" ht="15" thickBot="1">
      <c r="A104" s="1341" t="s">
        <v>749</v>
      </c>
      <c r="B104" s="1342"/>
      <c r="C104" s="1342"/>
      <c r="D104" s="201"/>
      <c r="E104" s="200" t="e">
        <f t="shared" ref="E104:U104" si="30">E32/(E98-E101)</f>
        <v>#DIV/0!</v>
      </c>
      <c r="F104" s="200" t="e">
        <f t="shared" si="30"/>
        <v>#DIV/0!</v>
      </c>
      <c r="G104" s="200" t="e">
        <f t="shared" si="30"/>
        <v>#DIV/0!</v>
      </c>
      <c r="H104" s="200" t="e">
        <f t="shared" si="30"/>
        <v>#DIV/0!</v>
      </c>
      <c r="I104" s="200" t="e">
        <f t="shared" si="30"/>
        <v>#DIV/0!</v>
      </c>
      <c r="J104" s="200" t="e">
        <f t="shared" si="30"/>
        <v>#DIV/0!</v>
      </c>
      <c r="K104" s="200" t="e">
        <f t="shared" si="30"/>
        <v>#DIV/0!</v>
      </c>
      <c r="L104" s="200" t="e">
        <f t="shared" si="30"/>
        <v>#DIV/0!</v>
      </c>
      <c r="M104" s="200" t="e">
        <f t="shared" si="30"/>
        <v>#DIV/0!</v>
      </c>
      <c r="N104" s="200" t="e">
        <f t="shared" si="30"/>
        <v>#DIV/0!</v>
      </c>
      <c r="O104" s="200" t="e">
        <f t="shared" si="30"/>
        <v>#DIV/0!</v>
      </c>
      <c r="P104" s="200" t="e">
        <f t="shared" si="30"/>
        <v>#DIV/0!</v>
      </c>
      <c r="Q104" s="200" t="e">
        <f t="shared" si="30"/>
        <v>#DIV/0!</v>
      </c>
      <c r="R104" s="200" t="e">
        <f t="shared" si="30"/>
        <v>#DIV/0!</v>
      </c>
      <c r="S104" s="200" t="e">
        <f t="shared" si="30"/>
        <v>#DIV/0!</v>
      </c>
      <c r="T104" s="200" t="e">
        <f t="shared" si="30"/>
        <v>#DIV/0!</v>
      </c>
      <c r="U104" s="200" t="e">
        <f t="shared" si="30"/>
        <v>#DIV/0!</v>
      </c>
    </row>
    <row r="105" spans="1:21" ht="16.5" thickTop="1">
      <c r="A105" s="25"/>
      <c r="B105" s="25"/>
      <c r="C105" s="25"/>
      <c r="D105" s="198"/>
      <c r="E105" s="25"/>
      <c r="F105" s="25"/>
      <c r="I105" s="25"/>
      <c r="M105" s="25"/>
      <c r="O105" s="25"/>
      <c r="P105" s="25"/>
      <c r="Q105" s="25"/>
      <c r="R105" s="25"/>
      <c r="S105" s="25"/>
      <c r="T105" s="25"/>
    </row>
    <row r="106" spans="1:21" ht="15.75">
      <c r="A106" s="25"/>
      <c r="B106" s="25"/>
      <c r="C106" s="25"/>
      <c r="D106" s="198"/>
      <c r="E106" s="25"/>
      <c r="F106" s="25"/>
      <c r="I106" s="25"/>
      <c r="M106" s="25"/>
      <c r="O106" s="25"/>
      <c r="P106" s="25"/>
      <c r="Q106" s="25"/>
      <c r="R106" s="25"/>
      <c r="S106" s="25"/>
      <c r="T106" s="25"/>
    </row>
    <row r="107" spans="1:21" ht="15.75">
      <c r="A107" s="194"/>
      <c r="B107" s="25"/>
      <c r="C107" s="25" t="s">
        <v>482</v>
      </c>
      <c r="D107" s="231"/>
      <c r="E107" s="194"/>
      <c r="F107" s="194"/>
      <c r="I107" s="194"/>
      <c r="O107" s="25" t="s">
        <v>748</v>
      </c>
      <c r="Q107" s="25" t="s">
        <v>747</v>
      </c>
      <c r="R107" s="194"/>
      <c r="T107" s="25" t="s">
        <v>746</v>
      </c>
    </row>
    <row r="108" spans="1:21" ht="15">
      <c r="A108" s="194"/>
      <c r="B108" s="194"/>
      <c r="C108" s="194"/>
      <c r="D108" s="231"/>
      <c r="E108" s="194"/>
      <c r="F108" s="194"/>
      <c r="I108" s="194"/>
      <c r="O108" s="194"/>
      <c r="Q108" s="194"/>
      <c r="R108" s="194"/>
    </row>
    <row r="109" spans="1:21" ht="15">
      <c r="A109" s="194"/>
      <c r="D109" s="231"/>
      <c r="E109" s="194"/>
      <c r="F109" s="194"/>
      <c r="I109" s="194"/>
      <c r="O109" s="194"/>
      <c r="Q109" s="194"/>
      <c r="R109" s="194"/>
    </row>
    <row r="110" spans="1:21" ht="15.75">
      <c r="A110" s="194"/>
      <c r="D110" s="231"/>
      <c r="E110" s="194"/>
      <c r="F110" s="194"/>
      <c r="I110" s="195"/>
      <c r="O110" s="194"/>
      <c r="Q110" s="195"/>
      <c r="R110" s="195"/>
    </row>
    <row r="111" spans="1:21" ht="15.75">
      <c r="C111" s="1320" t="s">
        <v>483</v>
      </c>
      <c r="D111" s="1320"/>
      <c r="E111" s="171"/>
      <c r="F111" s="171"/>
      <c r="I111" s="167"/>
      <c r="M111" s="171"/>
      <c r="O111" s="1320" t="s">
        <v>745</v>
      </c>
      <c r="P111" s="1320"/>
      <c r="Q111" s="1320" t="s">
        <v>3</v>
      </c>
      <c r="R111" s="1320"/>
      <c r="S111" s="1320"/>
      <c r="T111" s="1320" t="s">
        <v>744</v>
      </c>
      <c r="U111" s="1320"/>
    </row>
    <row r="112" spans="1:21" ht="15.75">
      <c r="C112" s="1321" t="s">
        <v>743</v>
      </c>
      <c r="D112" s="1321"/>
      <c r="E112" s="25"/>
      <c r="F112" s="25"/>
      <c r="I112" s="52"/>
      <c r="M112" s="194"/>
      <c r="O112" s="1321" t="s">
        <v>742</v>
      </c>
      <c r="P112" s="1321"/>
      <c r="Q112" s="1321" t="s">
        <v>464</v>
      </c>
      <c r="R112" s="1321"/>
      <c r="S112" s="1321"/>
      <c r="T112" s="1339" t="s">
        <v>741</v>
      </c>
      <c r="U112" s="1339"/>
    </row>
  </sheetData>
  <mergeCells count="31">
    <mergeCell ref="Q111:S111"/>
    <mergeCell ref="T111:U111"/>
    <mergeCell ref="O112:P112"/>
    <mergeCell ref="Q112:S112"/>
    <mergeCell ref="T112:U112"/>
    <mergeCell ref="O111:P111"/>
    <mergeCell ref="A103:C103"/>
    <mergeCell ref="A104:C104"/>
    <mergeCell ref="A99:C99"/>
    <mergeCell ref="C111:D111"/>
    <mergeCell ref="C112:D112"/>
    <mergeCell ref="A32:C32"/>
    <mergeCell ref="E5:E6"/>
    <mergeCell ref="A100:C100"/>
    <mergeCell ref="A101:C101"/>
    <mergeCell ref="A102:C102"/>
    <mergeCell ref="A33:C33"/>
    <mergeCell ref="A57:C57"/>
    <mergeCell ref="A58:C58"/>
    <mergeCell ref="A97:C97"/>
    <mergeCell ref="A98:C98"/>
    <mergeCell ref="F5:I5"/>
    <mergeCell ref="J5:N5"/>
    <mergeCell ref="O5:T5"/>
    <mergeCell ref="U5:U6"/>
    <mergeCell ref="A7:C7"/>
    <mergeCell ref="A2:D2"/>
    <mergeCell ref="A3:D3"/>
    <mergeCell ref="A4:D4"/>
    <mergeCell ref="A5:C6"/>
    <mergeCell ref="D5:D6"/>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pageSetUpPr fitToPage="1"/>
  </sheetPr>
  <dimension ref="A1:I184"/>
  <sheetViews>
    <sheetView workbookViewId="0"/>
  </sheetViews>
  <sheetFormatPr defaultColWidth="9" defaultRowHeight="14.25"/>
  <cols>
    <col min="1" max="1" width="35.5" style="233" customWidth="1"/>
    <col min="2" max="2" width="0.125"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Regional Office</v>
      </c>
      <c r="C4" s="332"/>
      <c r="G4" s="331" t="s">
        <v>494</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79" si="0">G10-D10</f>
        <v>0</v>
      </c>
      <c r="I10" s="246">
        <f t="shared" ref="I10:I79"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500000</v>
      </c>
      <c r="D15" s="248">
        <f>SUM(D16:D18)</f>
        <v>500000</v>
      </c>
      <c r="E15" s="248">
        <f>SUM(E16:E18)</f>
        <v>0</v>
      </c>
      <c r="F15" s="248">
        <f>SUM(F16:F18)</f>
        <v>0</v>
      </c>
      <c r="G15" s="248">
        <f>SUM(G16:G18)</f>
        <v>0</v>
      </c>
      <c r="H15" s="242">
        <f t="shared" si="0"/>
        <v>-500000</v>
      </c>
      <c r="I15" s="242">
        <f t="shared" si="1"/>
        <v>0</v>
      </c>
    </row>
    <row r="16" spans="1:9" hidden="1">
      <c r="A16" s="243" t="s">
        <v>182</v>
      </c>
      <c r="B16" s="337" t="s">
        <v>146</v>
      </c>
      <c r="C16" s="245">
        <f t="array" ref="C16">SUM(IF((Budget[Account Code]=B16)*(Budget[Ofc Code]=$G$4),(Budget[Amount])))</f>
        <v>500000</v>
      </c>
      <c r="D16" s="245">
        <f t="array" ref="D16">SUM(IF((Budget[Account Code]=B16)*(Budget[Ofc Code]=$G$4)*(Budget[Date]&lt;=$D$7),(Budget[Amount])))</f>
        <v>500000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-500000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500000</v>
      </c>
      <c r="D24" s="250">
        <f>D9+D15+D19</f>
        <v>500000</v>
      </c>
      <c r="E24" s="250">
        <f>E9+E15+E19</f>
        <v>0</v>
      </c>
      <c r="F24" s="250">
        <f>F9+F15+F19</f>
        <v>0</v>
      </c>
      <c r="G24" s="250">
        <f>G9+G15+G19</f>
        <v>0</v>
      </c>
      <c r="H24" s="250">
        <f t="shared" si="0"/>
        <v>-500000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si="0"/>
        <v>0</v>
      </c>
      <c r="I26" s="246">
        <f t="shared" si="1"/>
        <v>0</v>
      </c>
    </row>
    <row r="27" spans="1:9">
      <c r="A27" s="241" t="s">
        <v>822</v>
      </c>
      <c r="B27" s="337"/>
      <c r="C27" s="248">
        <f>SUM(C28:C29)</f>
        <v>0</v>
      </c>
      <c r="D27" s="248">
        <f>SUM(D28:D29)</f>
        <v>0</v>
      </c>
      <c r="E27" s="248">
        <f>SUM(E28:E29)</f>
        <v>0</v>
      </c>
      <c r="F27" s="248">
        <f>SUM(F28:F29)</f>
        <v>0</v>
      </c>
      <c r="G27" s="248">
        <f>SUM(G28:G29)</f>
        <v>0</v>
      </c>
      <c r="H27" s="242">
        <f t="shared" si="0"/>
        <v>0</v>
      </c>
      <c r="I27" s="242">
        <f t="shared" si="1"/>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0"/>
        <v>0</v>
      </c>
      <c r="I28" s="246">
        <f t="shared" si="1"/>
        <v>0</v>
      </c>
    </row>
    <row r="29" spans="1:9">
      <c r="A29" s="243" t="s">
        <v>820</v>
      </c>
      <c r="B29" s="339"/>
      <c r="C29" s="245">
        <f>SUM(C30:C31)</f>
        <v>0</v>
      </c>
      <c r="D29" s="245">
        <f>SUM(D30:D31)</f>
        <v>0</v>
      </c>
      <c r="E29" s="245">
        <f>SUM(E30:E31)</f>
        <v>0</v>
      </c>
      <c r="F29" s="245">
        <f>SUM(F30:F31)</f>
        <v>0</v>
      </c>
      <c r="G29" s="245">
        <f>SUM(G30:G31)</f>
        <v>0</v>
      </c>
      <c r="H29" s="246">
        <f t="shared" si="0"/>
        <v>0</v>
      </c>
      <c r="I29" s="246">
        <f t="shared" si="1"/>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0"/>
        <v>0</v>
      </c>
      <c r="I30" s="246">
        <f t="shared" si="1"/>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0"/>
        <v>0</v>
      </c>
      <c r="I31" s="246">
        <f t="shared" si="1"/>
        <v>0</v>
      </c>
    </row>
    <row r="32" spans="1:9">
      <c r="A32" s="241" t="s">
        <v>817</v>
      </c>
      <c r="B32" s="339"/>
      <c r="C32" s="248">
        <f>SUM(C33:C35)</f>
        <v>0</v>
      </c>
      <c r="D32" s="248">
        <f>SUM(D33:D35)</f>
        <v>0</v>
      </c>
      <c r="E32" s="248">
        <f>SUM(E33:E35)</f>
        <v>0</v>
      </c>
      <c r="F32" s="248">
        <f>SUM(F33:F35)</f>
        <v>0</v>
      </c>
      <c r="G32" s="248">
        <f>SUM(G33:G35)</f>
        <v>0</v>
      </c>
      <c r="H32" s="242">
        <f t="shared" si="0"/>
        <v>0</v>
      </c>
      <c r="I32" s="242">
        <f t="shared" si="1"/>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0"/>
        <v>0</v>
      </c>
      <c r="I33" s="246">
        <f t="shared" si="1"/>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0"/>
        <v>0</v>
      </c>
      <c r="I35" s="246">
        <f t="shared" si="1"/>
        <v>0</v>
      </c>
    </row>
    <row r="36" spans="1:9">
      <c r="A36" s="241" t="s">
        <v>816</v>
      </c>
      <c r="B36" s="337"/>
      <c r="C36" s="248">
        <f>SUM(C37:C45)</f>
        <v>500000</v>
      </c>
      <c r="D36" s="248">
        <f>SUM(D37:D45)</f>
        <v>500000</v>
      </c>
      <c r="E36" s="248">
        <f>SUM(E37:E45)</f>
        <v>0</v>
      </c>
      <c r="F36" s="248">
        <f>SUM(F37:F45)</f>
        <v>0</v>
      </c>
      <c r="G36" s="248">
        <f>SUM(G37:G45)</f>
        <v>0</v>
      </c>
      <c r="H36" s="242">
        <f t="shared" si="0"/>
        <v>-500000</v>
      </c>
      <c r="I36" s="242">
        <f t="shared" si="1"/>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2">E37+F37</f>
        <v>0</v>
      </c>
      <c r="H37" s="246">
        <f t="shared" si="0"/>
        <v>0</v>
      </c>
      <c r="I37" s="246">
        <f t="shared" si="1"/>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2"/>
        <v>0</v>
      </c>
      <c r="H38" s="246">
        <f t="shared" si="0"/>
        <v>0</v>
      </c>
      <c r="I38" s="246">
        <f t="shared" si="1"/>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2"/>
        <v>0</v>
      </c>
      <c r="H39" s="246">
        <f t="shared" si="0"/>
        <v>0</v>
      </c>
      <c r="I39" s="246">
        <f t="shared" si="1"/>
        <v>0</v>
      </c>
    </row>
    <row r="40" spans="1:9" hidden="1">
      <c r="A40" s="272" t="s">
        <v>189</v>
      </c>
      <c r="B40" s="339" t="s">
        <v>155</v>
      </c>
      <c r="C40" s="245">
        <f t="array" ref="C40">SUM(IF((Budget[Account Code]=B40)*(Budget[Ofc Code]=$G$4),(Budget[Amount])))</f>
        <v>500000</v>
      </c>
      <c r="D40" s="245">
        <f t="array" ref="D40">SUM(IF((Budget[Account Code]=B40)*(Budget[Ofc Code]=$G$4)*(Budget[Date]&lt;=$D$7),(Budget[Amount])))</f>
        <v>500000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2"/>
        <v>0</v>
      </c>
      <c r="H40" s="246">
        <f t="shared" si="0"/>
        <v>-500000</v>
      </c>
      <c r="I40" s="246">
        <f t="shared" si="1"/>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2"/>
        <v>0</v>
      </c>
      <c r="H43" s="246">
        <f t="shared" si="0"/>
        <v>0</v>
      </c>
      <c r="I43" s="246">
        <f t="shared" si="1"/>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0"/>
        <v>0</v>
      </c>
      <c r="I44" s="246">
        <f t="shared" si="1"/>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0"/>
        <v>0</v>
      </c>
      <c r="I45" s="246">
        <f t="shared" si="1"/>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0"/>
        <v>0</v>
      </c>
      <c r="I46" s="242">
        <f t="shared" si="1"/>
        <v>0</v>
      </c>
    </row>
    <row r="47" spans="1:9">
      <c r="A47" s="249" t="s">
        <v>814</v>
      </c>
      <c r="B47" s="338"/>
      <c r="C47" s="250">
        <f>C26+C27+C32+C36+C46</f>
        <v>500000</v>
      </c>
      <c r="D47" s="250">
        <f>D26+D27+D32+D36+D46</f>
        <v>500000</v>
      </c>
      <c r="E47" s="250">
        <f>E26+E27+E32+E36+E46</f>
        <v>0</v>
      </c>
      <c r="F47" s="250">
        <f>F26+F27+F32+F36+F46</f>
        <v>0</v>
      </c>
      <c r="G47" s="250">
        <f>G26+G27+G32+G36+G46</f>
        <v>0</v>
      </c>
      <c r="H47" s="250">
        <f t="shared" si="0"/>
        <v>-500000</v>
      </c>
      <c r="I47" s="250">
        <f t="shared" si="1"/>
        <v>0</v>
      </c>
    </row>
    <row r="48" spans="1:9">
      <c r="A48" s="251" t="s">
        <v>813</v>
      </c>
      <c r="B48" s="338"/>
      <c r="C48" s="250">
        <f>C24+C47</f>
        <v>1000000</v>
      </c>
      <c r="D48" s="250">
        <f>D24+D47</f>
        <v>1000000</v>
      </c>
      <c r="E48" s="250">
        <f>E24+E47</f>
        <v>0</v>
      </c>
      <c r="F48" s="250">
        <f>F24+F47</f>
        <v>0</v>
      </c>
      <c r="G48" s="250">
        <f>G24+G47</f>
        <v>0</v>
      </c>
      <c r="H48" s="250">
        <f t="shared" si="0"/>
        <v>-1000000</v>
      </c>
      <c r="I48" s="250">
        <f t="shared" si="1"/>
        <v>0</v>
      </c>
    </row>
    <row r="49" spans="1:9">
      <c r="A49" s="239" t="s">
        <v>812</v>
      </c>
      <c r="B49" s="337"/>
      <c r="C49" s="240"/>
      <c r="D49" s="240"/>
      <c r="E49" s="240"/>
      <c r="F49" s="240"/>
      <c r="G49" s="246"/>
      <c r="H49" s="246"/>
      <c r="I49" s="246"/>
    </row>
    <row r="50" spans="1:9">
      <c r="A50" s="239" t="s">
        <v>811</v>
      </c>
      <c r="B50" s="337"/>
      <c r="C50" s="242">
        <f>C51+C75</f>
        <v>29849094.120000001</v>
      </c>
      <c r="D50" s="242">
        <f>D51+D75</f>
        <v>29849094.120000001</v>
      </c>
      <c r="E50" s="242">
        <f>E51+E75</f>
        <v>0</v>
      </c>
      <c r="F50" s="242">
        <f>F51+F75</f>
        <v>0</v>
      </c>
      <c r="G50" s="242">
        <f>G51+G75</f>
        <v>0</v>
      </c>
      <c r="H50" s="242">
        <f t="shared" si="0"/>
        <v>-29849094.120000001</v>
      </c>
      <c r="I50" s="242">
        <f t="shared" si="1"/>
        <v>0</v>
      </c>
    </row>
    <row r="51" spans="1:9">
      <c r="A51" s="243" t="s">
        <v>806</v>
      </c>
      <c r="B51" s="337"/>
      <c r="C51" s="246">
        <f>SUM(C52:C74)</f>
        <v>29849094.120000001</v>
      </c>
      <c r="D51" s="246">
        <f>SUM(D52:D74)</f>
        <v>29849094.120000001</v>
      </c>
      <c r="E51" s="246">
        <f>SUM(E52:E74)</f>
        <v>0</v>
      </c>
      <c r="F51" s="246">
        <f>SUM(F52:F74)</f>
        <v>0</v>
      </c>
      <c r="G51" s="246">
        <f>SUM(G52:G74)</f>
        <v>0</v>
      </c>
      <c r="H51" s="246">
        <f t="shared" si="0"/>
        <v>-29849094.120000001</v>
      </c>
      <c r="I51" s="246">
        <f t="shared" si="1"/>
        <v>0</v>
      </c>
    </row>
    <row r="52" spans="1:9" hidden="1">
      <c r="A52" s="247" t="s">
        <v>194</v>
      </c>
      <c r="B52" s="339" t="s">
        <v>162</v>
      </c>
      <c r="C52" s="245">
        <f t="array" ref="C52">SUM(IF((Budget[Account Code]=B52)*(Budget[Ofc Code]=$G$4),(Budget[Amount])))</f>
        <v>19870524</v>
      </c>
      <c r="D52" s="245">
        <f t="array" ref="D52">SUM(IF((Budget[Account Code]=B52)*(Budget[Ofc Code]=$G$4)*(Budget[Date]&lt;=$D$7),(Budget[Amount])))</f>
        <v>19870524</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58" si="3">E52+F52</f>
        <v>0</v>
      </c>
      <c r="H52" s="246">
        <f t="shared" si="0"/>
        <v>-19870524</v>
      </c>
      <c r="I52" s="246">
        <f t="shared" si="1"/>
        <v>0</v>
      </c>
    </row>
    <row r="53" spans="1:9" hidden="1">
      <c r="A53" s="247" t="s">
        <v>195</v>
      </c>
      <c r="B53" s="339" t="s">
        <v>163</v>
      </c>
      <c r="C53" s="245">
        <f t="array" ref="C53">SUM(IF((Budget[Account Code]=B53)*(Budget[Ofc Code]=$G$4),(Budget[Amount])))</f>
        <v>958116</v>
      </c>
      <c r="D53" s="245">
        <f t="array" ref="D53">SUM(IF((Budget[Account Code]=B53)*(Budget[Ofc Code]=$G$4)*(Budget[Date]&lt;=$D$7),(Budget[Amount])))</f>
        <v>958116</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3"/>
        <v>0</v>
      </c>
      <c r="H53" s="246">
        <f t="shared" si="0"/>
        <v>-958116</v>
      </c>
      <c r="I53" s="246">
        <f t="shared" si="1"/>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3"/>
        <v>0</v>
      </c>
      <c r="H54" s="246">
        <f t="shared" si="0"/>
        <v>0</v>
      </c>
      <c r="I54" s="246">
        <f t="shared" si="1"/>
        <v>0</v>
      </c>
    </row>
    <row r="55" spans="1:9" hidden="1">
      <c r="A55" s="247" t="s">
        <v>197</v>
      </c>
      <c r="B55" s="339" t="s">
        <v>164</v>
      </c>
      <c r="C55" s="245">
        <f t="array" ref="C55">SUM(IF((Budget[Account Code]=B55)*(Budget[Ofc Code]=$G$4),(Budget[Amount])))</f>
        <v>1440000</v>
      </c>
      <c r="D55" s="245">
        <f t="array" ref="D55">SUM(IF((Budget[Account Code]=B55)*(Budget[Ofc Code]=$G$4)*(Budget[Date]&lt;=$D$7),(Budget[Amount])))</f>
        <v>1440000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3"/>
        <v>0</v>
      </c>
      <c r="H55" s="246">
        <f t="shared" si="0"/>
        <v>-1440000</v>
      </c>
      <c r="I55" s="246">
        <f t="shared" si="1"/>
        <v>0</v>
      </c>
    </row>
    <row r="56" spans="1:9" hidden="1">
      <c r="A56" s="247" t="s">
        <v>198</v>
      </c>
      <c r="B56" s="339" t="s">
        <v>165</v>
      </c>
      <c r="C56" s="245">
        <f t="array" ref="C56">SUM(IF((Budget[Account Code]=B56)*(Budget[Ofc Code]=$G$4),(Budget[Amount])))</f>
        <v>120000</v>
      </c>
      <c r="D56" s="245">
        <f t="array" ref="D56">SUM(IF((Budget[Account Code]=B56)*(Budget[Ofc Code]=$G$4)*(Budget[Date]&lt;=$D$7),(Budget[Amount])))</f>
        <v>120000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3"/>
        <v>0</v>
      </c>
      <c r="H56" s="246">
        <f t="shared" si="0"/>
        <v>-120000</v>
      </c>
      <c r="I56" s="246">
        <f t="shared" si="1"/>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3"/>
        <v>0</v>
      </c>
      <c r="H57" s="246">
        <f t="shared" si="0"/>
        <v>0</v>
      </c>
      <c r="I57" s="246">
        <f t="shared" si="1"/>
        <v>0</v>
      </c>
    </row>
    <row r="58" spans="1:9" hidden="1">
      <c r="A58" s="247" t="s">
        <v>200</v>
      </c>
      <c r="B58" s="339" t="s">
        <v>167</v>
      </c>
      <c r="C58" s="245">
        <f t="array" ref="C58">SUM(IF((Budget[Account Code]=B58)*(Budget[Ofc Code]=$G$4),(Budget[Amount])))</f>
        <v>300000</v>
      </c>
      <c r="D58" s="245">
        <f t="array" ref="D58">SUM(IF((Budget[Account Code]=B58)*(Budget[Ofc Code]=$G$4)*(Budget[Date]&lt;=$D$7),(Budget[Amount])))</f>
        <v>300000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3"/>
        <v>0</v>
      </c>
      <c r="H58" s="246">
        <f t="shared" si="0"/>
        <v>-300000</v>
      </c>
      <c r="I58" s="246">
        <f t="shared" si="1"/>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ref="G60:G74" si="4">E60+F60</f>
        <v>0</v>
      </c>
      <c r="H60" s="246">
        <f t="shared" si="0"/>
        <v>0</v>
      </c>
      <c r="I60" s="246">
        <f t="shared" si="1"/>
        <v>0</v>
      </c>
    </row>
    <row r="61" spans="1:9" hidden="1">
      <c r="A61" s="247" t="s">
        <v>201</v>
      </c>
      <c r="B61" s="339" t="s">
        <v>5</v>
      </c>
      <c r="C61" s="245">
        <f t="array" ref="C61">SUM(IF((Budget[Account Code]=B61)*(Budget[Ofc Code]=$G$4),(Budget[Amount])))</f>
        <v>57600</v>
      </c>
      <c r="D61" s="245">
        <f t="array" ref="D61">SUM(IF((Budget[Account Code]=B61)*(Budget[Ofc Code]=$G$4)*(Budget[Date]&lt;=$D$7),(Budget[Amount])))</f>
        <v>57600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4"/>
        <v>0</v>
      </c>
      <c r="H61" s="246">
        <f t="shared" si="0"/>
        <v>-57600</v>
      </c>
      <c r="I61" s="246">
        <f t="shared" si="1"/>
        <v>0</v>
      </c>
    </row>
    <row r="62" spans="1:9" hidden="1">
      <c r="A62" s="247" t="s">
        <v>202</v>
      </c>
      <c r="B62" s="339" t="s">
        <v>6</v>
      </c>
      <c r="C62" s="245">
        <f t="array" ref="C62">SUM(IF((Budget[Account Code]=B62)*(Budget[Ofc Code]=$G$4),(Budget[Amount])))</f>
        <v>19008</v>
      </c>
      <c r="D62" s="245">
        <f t="array" ref="D62">SUM(IF((Budget[Account Code]=B62)*(Budget[Ofc Code]=$G$4)*(Budget[Date]&lt;=$D$7),(Budget[Amount])))</f>
        <v>19008</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4"/>
        <v>0</v>
      </c>
      <c r="H62" s="246">
        <f t="shared" si="0"/>
        <v>-19008</v>
      </c>
      <c r="I62" s="246">
        <f t="shared" si="1"/>
        <v>0</v>
      </c>
    </row>
    <row r="63" spans="1:9" hidden="1">
      <c r="A63" s="247" t="s">
        <v>203</v>
      </c>
      <c r="B63" s="339" t="s">
        <v>7</v>
      </c>
      <c r="C63" s="245">
        <f t="array" ref="C63">SUM(IF((Budget[Account Code]=B63)*(Budget[Ofc Code]=$G$4),(Budget[Amount])))</f>
        <v>10440</v>
      </c>
      <c r="D63" s="245">
        <f t="array" ref="D63">SUM(IF((Budget[Account Code]=B63)*(Budget[Ofc Code]=$G$4)*(Budget[Date]&lt;=$D$7),(Budget[Amount])))</f>
        <v>10440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4"/>
        <v>0</v>
      </c>
      <c r="H63" s="246">
        <f t="shared" si="0"/>
        <v>-10440</v>
      </c>
      <c r="I63" s="246">
        <f t="shared" si="1"/>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400000</v>
      </c>
      <c r="D65" s="245">
        <f t="array" ref="D65">SUM(IF((Budget[Account Code]=B65)*(Budget[Ofc Code]=$G$4)*(Budget[Date]&lt;=$D$7),(Budget[Amount])))</f>
        <v>400000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4"/>
        <v>0</v>
      </c>
      <c r="H65" s="246">
        <f t="shared" si="0"/>
        <v>-400000</v>
      </c>
      <c r="I65" s="246">
        <f t="shared" si="1"/>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4"/>
        <v>0</v>
      </c>
      <c r="H66" s="246">
        <f t="shared" si="0"/>
        <v>0</v>
      </c>
      <c r="I66" s="246">
        <f t="shared" si="1"/>
        <v>0</v>
      </c>
    </row>
    <row r="67" spans="1:9" hidden="1">
      <c r="A67" s="247" t="s">
        <v>205</v>
      </c>
      <c r="B67" s="339" t="s">
        <v>172</v>
      </c>
      <c r="C67" s="245">
        <f t="array" ref="C67">SUM(IF((Budget[Account Code]=B67)*(Budget[Ofc Code]=$G$4),(Budget[Amount])))</f>
        <v>300000</v>
      </c>
      <c r="D67" s="245">
        <f t="array" ref="D67">SUM(IF((Budget[Account Code]=B67)*(Budget[Ofc Code]=$G$4)*(Budget[Date]&lt;=$D$7),(Budget[Amount])))</f>
        <v>300000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4"/>
        <v>0</v>
      </c>
      <c r="H67" s="246">
        <f t="shared" si="0"/>
        <v>-300000</v>
      </c>
      <c r="I67" s="246">
        <f t="shared" si="1"/>
        <v>0</v>
      </c>
    </row>
    <row r="68" spans="1:9" hidden="1">
      <c r="A68" s="247" t="s">
        <v>207</v>
      </c>
      <c r="B68" s="339" t="s">
        <v>174</v>
      </c>
      <c r="C68" s="245">
        <f t="array" ref="C68">SUM(IF((Budget[Account Code]=B68)*(Budget[Ofc Code]=$G$4),(Budget[Amount])))</f>
        <v>3471440</v>
      </c>
      <c r="D68" s="245">
        <f t="array" ref="D68">SUM(IF((Budget[Account Code]=B68)*(Budget[Ofc Code]=$G$4)*(Budget[Date]&lt;=$D$7),(Budget[Amount])))</f>
        <v>3471440</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4"/>
        <v>0</v>
      </c>
      <c r="H68" s="246">
        <f t="shared" si="0"/>
        <v>-3471440</v>
      </c>
      <c r="I68" s="246">
        <f t="shared" si="1"/>
        <v>0</v>
      </c>
    </row>
    <row r="69" spans="1:9" hidden="1">
      <c r="A69" s="247" t="s">
        <v>208</v>
      </c>
      <c r="B69" s="339" t="s">
        <v>175</v>
      </c>
      <c r="C69" s="245">
        <f t="array" ref="C69">SUM(IF((Budget[Account Code]=B69)*(Budget[Ofc Code]=$G$4),(Budget[Amount])))</f>
        <v>2499436.7999999998</v>
      </c>
      <c r="D69" s="245">
        <f t="array" ref="D69">SUM(IF((Budget[Account Code]=B69)*(Budget[Ofc Code]=$G$4)*(Budget[Date]&lt;=$D$7),(Budget[Amount])))</f>
        <v>2499436.7999999998</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4"/>
        <v>0</v>
      </c>
      <c r="H69" s="246">
        <f t="shared" si="0"/>
        <v>-2499436.7999999998</v>
      </c>
      <c r="I69" s="246">
        <f t="shared" si="1"/>
        <v>0</v>
      </c>
    </row>
    <row r="70" spans="1:9" hidden="1">
      <c r="A70" s="247" t="s">
        <v>209</v>
      </c>
      <c r="B70" s="339" t="s">
        <v>176</v>
      </c>
      <c r="C70" s="245">
        <f t="array" ref="C70">SUM(IF((Budget[Account Code]=B70)*(Budget[Ofc Code]=$G$4),(Budget[Amount])))</f>
        <v>72000</v>
      </c>
      <c r="D70" s="245">
        <f t="array" ref="D70">SUM(IF((Budget[Account Code]=B70)*(Budget[Ofc Code]=$G$4)*(Budget[Date]&lt;=$D$7),(Budget[Amount])))</f>
        <v>72000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4"/>
        <v>0</v>
      </c>
      <c r="H70" s="246">
        <f t="shared" si="0"/>
        <v>-72000</v>
      </c>
      <c r="I70" s="246">
        <f t="shared" si="1"/>
        <v>0</v>
      </c>
    </row>
    <row r="71" spans="1:9" hidden="1">
      <c r="A71" s="247" t="s">
        <v>210</v>
      </c>
      <c r="B71" s="339" t="s">
        <v>177</v>
      </c>
      <c r="C71" s="245">
        <f t="array" ref="C71">SUM(IF((Budget[Account Code]=B71)*(Budget[Ofc Code]=$G$4),(Budget[Amount])))</f>
        <v>258529.32</v>
      </c>
      <c r="D71" s="245">
        <f t="array" ref="D71">SUM(IF((Budget[Account Code]=B71)*(Budget[Ofc Code]=$G$4)*(Budget[Date]&lt;=$D$7),(Budget[Amount])))</f>
        <v>258529.32</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4"/>
        <v>0</v>
      </c>
      <c r="H71" s="246">
        <f t="shared" si="0"/>
        <v>-258529.32</v>
      </c>
      <c r="I71" s="246">
        <f t="shared" si="1"/>
        <v>0</v>
      </c>
    </row>
    <row r="72" spans="1:9" hidden="1">
      <c r="A72" s="247" t="s">
        <v>211</v>
      </c>
      <c r="B72" s="339" t="s">
        <v>178</v>
      </c>
      <c r="C72" s="245">
        <f t="array" ref="C72">SUM(IF((Budget[Account Code]=B72)*(Budget[Ofc Code]=$G$4),(Budget[Amount])))</f>
        <v>72000</v>
      </c>
      <c r="D72" s="245">
        <f t="array" ref="D72">SUM(IF((Budget[Account Code]=B72)*(Budget[Ofc Code]=$G$4)*(Budget[Date]&lt;=$D$7),(Budget[Amount])))</f>
        <v>72000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4"/>
        <v>0</v>
      </c>
      <c r="H72" s="246">
        <f t="shared" si="0"/>
        <v>-72000</v>
      </c>
      <c r="I72" s="246">
        <f t="shared" si="1"/>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4"/>
        <v>0</v>
      </c>
      <c r="H74" s="246">
        <f t="shared" si="0"/>
        <v>0</v>
      </c>
      <c r="I74" s="246">
        <f t="shared" si="1"/>
        <v>0</v>
      </c>
    </row>
    <row r="75" spans="1:9">
      <c r="A75" s="243" t="s">
        <v>805</v>
      </c>
      <c r="B75" s="337"/>
      <c r="C75" s="245"/>
      <c r="D75" s="245"/>
      <c r="E75" s="246"/>
      <c r="F75" s="245"/>
      <c r="G75" s="246"/>
      <c r="H75" s="246"/>
      <c r="I75" s="246"/>
    </row>
    <row r="76" spans="1:9">
      <c r="A76" s="239" t="s">
        <v>810</v>
      </c>
      <c r="B76" s="337"/>
      <c r="C76" s="252">
        <f>C77+C139</f>
        <v>10594801.960000001</v>
      </c>
      <c r="D76" s="252">
        <f>D77+D139</f>
        <v>10594801.960000001</v>
      </c>
      <c r="E76" s="252">
        <f>E77+E139</f>
        <v>0</v>
      </c>
      <c r="F76" s="252">
        <f>F77+F139</f>
        <v>0</v>
      </c>
      <c r="G76" s="252">
        <f>G77+G139</f>
        <v>0</v>
      </c>
      <c r="H76" s="242">
        <f t="shared" si="0"/>
        <v>-10594801.960000001</v>
      </c>
      <c r="I76" s="242">
        <f t="shared" si="1"/>
        <v>0</v>
      </c>
    </row>
    <row r="77" spans="1:9">
      <c r="A77" s="253" t="s">
        <v>809</v>
      </c>
      <c r="B77" s="337"/>
      <c r="C77" s="254">
        <f>C78+C138</f>
        <v>10594801.960000001</v>
      </c>
      <c r="D77" s="254">
        <f>D78+D138</f>
        <v>10594801.960000001</v>
      </c>
      <c r="E77" s="254">
        <f>E78+E138</f>
        <v>0</v>
      </c>
      <c r="F77" s="254">
        <f>F78+F138</f>
        <v>0</v>
      </c>
      <c r="G77" s="254">
        <f>G78+G138</f>
        <v>0</v>
      </c>
      <c r="H77" s="246">
        <f t="shared" si="0"/>
        <v>-10594801.960000001</v>
      </c>
      <c r="I77" s="246">
        <f t="shared" si="1"/>
        <v>0</v>
      </c>
    </row>
    <row r="78" spans="1:9">
      <c r="A78" s="255" t="s">
        <v>806</v>
      </c>
      <c r="B78" s="337"/>
      <c r="C78" s="246">
        <f>SUM(C79:C137)</f>
        <v>10594801.960000001</v>
      </c>
      <c r="D78" s="246">
        <f>SUM(D79:D137)</f>
        <v>10594801.960000001</v>
      </c>
      <c r="E78" s="246">
        <f>SUM(E79:E137)</f>
        <v>0</v>
      </c>
      <c r="F78" s="246">
        <f>SUM(F79:F137)</f>
        <v>0</v>
      </c>
      <c r="G78" s="246">
        <f>SUM(G79:G137)</f>
        <v>0</v>
      </c>
      <c r="H78" s="246">
        <f t="shared" si="0"/>
        <v>-10594801.960000001</v>
      </c>
      <c r="I78" s="246">
        <f t="shared" si="1"/>
        <v>0</v>
      </c>
    </row>
    <row r="79" spans="1:9" hidden="1">
      <c r="A79" s="256" t="s">
        <v>284</v>
      </c>
      <c r="B79" s="339" t="s">
        <v>223</v>
      </c>
      <c r="C79" s="245">
        <f t="array" ref="C79">SUM(IF((Budget[Account Code]=B79)*(Budget[Ofc Code]=$G$4),(Budget[Amount])))</f>
        <v>180000</v>
      </c>
      <c r="D79" s="245">
        <f t="array" ref="D79">SUM(IF((Budget[Account Code]=B79)*(Budget[Ofc Code]=$G$4)*(Budget[Date]&lt;=$D$7),(Budget[Amount])))</f>
        <v>180000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5">E79+F79</f>
        <v>0</v>
      </c>
      <c r="H79" s="246">
        <f t="shared" si="0"/>
        <v>-180000</v>
      </c>
      <c r="I79" s="246">
        <f t="shared" si="1"/>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203820</v>
      </c>
      <c r="D81" s="245">
        <f t="array" ref="D81">SUM(IF((Budget[Account Code]=B81)*(Budget[Ofc Code]=$G$4)*(Budget[Date]&lt;=$D$7),(Budget[Amount])))</f>
        <v>203820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5"/>
        <v>0</v>
      </c>
      <c r="H81" s="246">
        <f t="shared" ref="H81:H147" si="6">G81-D81</f>
        <v>-203820</v>
      </c>
      <c r="I81" s="246">
        <f t="shared" ref="I81:I147" si="7">IF((D81=0),0,G81/D81)</f>
        <v>0</v>
      </c>
    </row>
    <row r="82" spans="1:9" hidden="1">
      <c r="A82" s="256" t="s">
        <v>286</v>
      </c>
      <c r="B82" s="339" t="s">
        <v>225</v>
      </c>
      <c r="C82" s="245">
        <f t="array" ref="C82">SUM(IF((Budget[Account Code]=B82)*(Budget[Ofc Code]=$G$4),(Budget[Amount])))</f>
        <v>314903</v>
      </c>
      <c r="D82" s="245">
        <f t="array" ref="D82">SUM(IF((Budget[Account Code]=B82)*(Budget[Ofc Code]=$G$4)*(Budget[Date]&lt;=$D$7),(Budget[Amount])))</f>
        <v>314903</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5"/>
        <v>0</v>
      </c>
      <c r="H82" s="246">
        <f t="shared" si="6"/>
        <v>-314903</v>
      </c>
      <c r="I82" s="246">
        <f t="shared" si="7"/>
        <v>0</v>
      </c>
    </row>
    <row r="83" spans="1:9" hidden="1">
      <c r="A83" s="256" t="s">
        <v>287</v>
      </c>
      <c r="B83" s="339" t="s">
        <v>226</v>
      </c>
      <c r="C83" s="245">
        <f t="array" ref="C83">SUM(IF((Budget[Account Code]=B83)*(Budget[Ofc Code]=$G$4),(Budget[Amount])))</f>
        <v>52600</v>
      </c>
      <c r="D83" s="245">
        <f t="array" ref="D83">SUM(IF((Budget[Account Code]=B83)*(Budget[Ofc Code]=$G$4)*(Budget[Date]&lt;=$D$7),(Budget[Amount])))</f>
        <v>52600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5"/>
        <v>0</v>
      </c>
      <c r="H83" s="246">
        <f t="shared" si="6"/>
        <v>-52600</v>
      </c>
      <c r="I83" s="246">
        <f t="shared" si="7"/>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5"/>
        <v>0</v>
      </c>
      <c r="H84" s="246">
        <f t="shared" si="6"/>
        <v>0</v>
      </c>
      <c r="I84" s="246">
        <f t="shared" si="7"/>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5"/>
        <v>0</v>
      </c>
      <c r="H85" s="246">
        <f t="shared" si="6"/>
        <v>0</v>
      </c>
      <c r="I85" s="246">
        <f t="shared" si="7"/>
        <v>0</v>
      </c>
    </row>
    <row r="86" spans="1:9" hidden="1">
      <c r="A86" s="256" t="s">
        <v>289</v>
      </c>
      <c r="B86" s="339" t="s">
        <v>229</v>
      </c>
      <c r="C86" s="245">
        <f t="array" ref="C86">SUM(IF((Budget[Account Code]=B86)*(Budget[Ofc Code]=$G$4),(Budget[Amount])))</f>
        <v>1300509</v>
      </c>
      <c r="D86" s="245">
        <f t="array" ref="D86">SUM(IF((Budget[Account Code]=B86)*(Budget[Ofc Code]=$G$4)*(Budget[Date]&lt;=$D$7),(Budget[Amount])))</f>
        <v>1300509</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5"/>
        <v>0</v>
      </c>
      <c r="H86" s="246">
        <f t="shared" si="6"/>
        <v>-1300509</v>
      </c>
      <c r="I86" s="246">
        <f t="shared" si="7"/>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5"/>
        <v>0</v>
      </c>
      <c r="H87" s="246">
        <f t="shared" si="6"/>
        <v>0</v>
      </c>
      <c r="I87" s="246">
        <f t="shared" si="7"/>
        <v>0</v>
      </c>
    </row>
    <row r="88" spans="1:9" hidden="1">
      <c r="A88" s="256" t="s">
        <v>291</v>
      </c>
      <c r="B88" s="339" t="s">
        <v>231</v>
      </c>
      <c r="C88" s="245">
        <f t="array" ref="C88">SUM(IF((Budget[Account Code]=B88)*(Budget[Ofc Code]=$G$4),(Budget[Amount])))</f>
        <v>162725</v>
      </c>
      <c r="D88" s="245">
        <f t="array" ref="D88">SUM(IF((Budget[Account Code]=B88)*(Budget[Ofc Code]=$G$4)*(Budget[Date]&lt;=$D$7),(Budget[Amount])))</f>
        <v>162725</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5"/>
        <v>0</v>
      </c>
      <c r="H88" s="246">
        <f t="shared" si="6"/>
        <v>-162725</v>
      </c>
      <c r="I88" s="246">
        <f t="shared" si="7"/>
        <v>0</v>
      </c>
    </row>
    <row r="89" spans="1:9" hidden="1">
      <c r="A89" s="256" t="s">
        <v>292</v>
      </c>
      <c r="B89" s="339" t="s">
        <v>232</v>
      </c>
      <c r="C89" s="245">
        <f t="array" ref="C89">SUM(IF((Budget[Account Code]=B89)*(Budget[Ofc Code]=$G$4),(Budget[Amount])))</f>
        <v>58668</v>
      </c>
      <c r="D89" s="245">
        <f t="array" ref="D89">SUM(IF((Budget[Account Code]=B89)*(Budget[Ofc Code]=$G$4)*(Budget[Date]&lt;=$D$7),(Budget[Amount])))</f>
        <v>58668</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5"/>
        <v>0</v>
      </c>
      <c r="H89" s="246">
        <f t="shared" si="6"/>
        <v>-58668</v>
      </c>
      <c r="I89" s="246">
        <f t="shared" si="7"/>
        <v>0</v>
      </c>
    </row>
    <row r="90" spans="1:9" hidden="1">
      <c r="A90" s="256" t="s">
        <v>293</v>
      </c>
      <c r="B90" s="339" t="s">
        <v>233</v>
      </c>
      <c r="C90" s="245">
        <f t="array" ref="C90">SUM(IF((Budget[Account Code]=B90)*(Budget[Ofc Code]=$G$4),(Budget[Amount])))</f>
        <v>999999.96</v>
      </c>
      <c r="D90" s="245">
        <f t="array" ref="D90">SUM(IF((Budget[Account Code]=B90)*(Budget[Ofc Code]=$G$4)*(Budget[Date]&lt;=$D$7),(Budget[Amount])))</f>
        <v>999999.96</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5"/>
        <v>0</v>
      </c>
      <c r="H90" s="246">
        <f t="shared" si="6"/>
        <v>-999999.96</v>
      </c>
      <c r="I90" s="246">
        <f t="shared" si="7"/>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5"/>
        <v>0</v>
      </c>
      <c r="H93" s="246">
        <f t="shared" si="6"/>
        <v>0</v>
      </c>
      <c r="I93" s="246">
        <f t="shared" si="7"/>
        <v>0</v>
      </c>
    </row>
    <row r="94" spans="1:9" hidden="1">
      <c r="A94" s="256" t="s">
        <v>295</v>
      </c>
      <c r="B94" s="339" t="s">
        <v>235</v>
      </c>
      <c r="C94" s="245">
        <f t="array" ref="C94">SUM(IF((Budget[Account Code]=B94)*(Budget[Ofc Code]=$G$4),(Budget[Amount])))</f>
        <v>272214</v>
      </c>
      <c r="D94" s="245">
        <f t="array" ref="D94">SUM(IF((Budget[Account Code]=B94)*(Budget[Ofc Code]=$G$4)*(Budget[Date]&lt;=$D$7),(Budget[Amount])))</f>
        <v>272214</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5"/>
        <v>0</v>
      </c>
      <c r="H94" s="246">
        <f t="shared" si="6"/>
        <v>-272214</v>
      </c>
      <c r="I94" s="246">
        <f t="shared" si="7"/>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5"/>
        <v>0</v>
      </c>
      <c r="H95" s="246">
        <f t="shared" si="6"/>
        <v>0</v>
      </c>
      <c r="I95" s="246">
        <f t="shared" si="7"/>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5"/>
        <v>0</v>
      </c>
      <c r="H96" s="246">
        <f t="shared" si="6"/>
        <v>0</v>
      </c>
      <c r="I96" s="246">
        <f t="shared" si="7"/>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5"/>
        <v>0</v>
      </c>
      <c r="H97" s="246">
        <f t="shared" si="6"/>
        <v>0</v>
      </c>
      <c r="I97" s="246">
        <f t="shared" si="7"/>
        <v>0</v>
      </c>
    </row>
    <row r="98" spans="1:9" hidden="1">
      <c r="A98" s="256" t="s">
        <v>1019</v>
      </c>
      <c r="B98" s="339" t="s">
        <v>239</v>
      </c>
      <c r="C98" s="245">
        <f t="array" ref="C98">SUM(IF((Budget[Account Code]=B98)*(Budget[Ofc Code]=$G$4),(Budget[Amount])))</f>
        <v>40800</v>
      </c>
      <c r="D98" s="245">
        <f t="array" ref="D98">SUM(IF((Budget[Account Code]=B98)*(Budget[Ofc Code]=$G$4)*(Budget[Date]&lt;=$D$7),(Budget[Amount])))</f>
        <v>40800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5"/>
        <v>0</v>
      </c>
      <c r="H98" s="246">
        <f t="shared" si="6"/>
        <v>-40800</v>
      </c>
      <c r="I98" s="246">
        <f t="shared" si="7"/>
        <v>0</v>
      </c>
    </row>
    <row r="99" spans="1:9" hidden="1">
      <c r="A99" s="256" t="s">
        <v>1020</v>
      </c>
      <c r="B99" s="339" t="s">
        <v>240</v>
      </c>
      <c r="C99" s="245">
        <f t="array" ref="C99">SUM(IF((Budget[Account Code]=B99)*(Budget[Ofc Code]=$G$4),(Budget[Amount])))</f>
        <v>58344</v>
      </c>
      <c r="D99" s="245">
        <f t="array" ref="D99">SUM(IF((Budget[Account Code]=B99)*(Budget[Ofc Code]=$G$4)*(Budget[Date]&lt;=$D$7),(Budget[Amount])))</f>
        <v>58344</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5"/>
        <v>0</v>
      </c>
      <c r="H99" s="246">
        <f t="shared" si="6"/>
        <v>-58344</v>
      </c>
      <c r="I99" s="246">
        <f t="shared" si="7"/>
        <v>0</v>
      </c>
    </row>
    <row r="100" spans="1:9" hidden="1">
      <c r="A100" s="256" t="s">
        <v>299</v>
      </c>
      <c r="B100" s="339" t="s">
        <v>241</v>
      </c>
      <c r="C100" s="245">
        <f t="array" ref="C100">SUM(IF((Budget[Account Code]=B100)*(Budget[Ofc Code]=$G$4),(Budget[Amount])))</f>
        <v>5141</v>
      </c>
      <c r="D100" s="245">
        <f t="array" ref="D100">SUM(IF((Budget[Account Code]=B100)*(Budget[Ofc Code]=$G$4)*(Budget[Date]&lt;=$D$7),(Budget[Amount])))</f>
        <v>5141</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5"/>
        <v>0</v>
      </c>
      <c r="H100" s="246">
        <f t="shared" si="6"/>
        <v>-5141</v>
      </c>
      <c r="I100" s="246">
        <f t="shared" si="7"/>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5"/>
        <v>0</v>
      </c>
      <c r="H101" s="246">
        <f t="shared" si="6"/>
        <v>0</v>
      </c>
      <c r="I101" s="246">
        <f t="shared" si="7"/>
        <v>0</v>
      </c>
    </row>
    <row r="102" spans="1:9" hidden="1">
      <c r="A102" s="256" t="s">
        <v>301</v>
      </c>
      <c r="B102" s="339" t="s">
        <v>243</v>
      </c>
      <c r="C102" s="245">
        <f t="array" ref="C102">SUM(IF((Budget[Account Code]=B102)*(Budget[Ofc Code]=$G$4),(Budget[Amount])))</f>
        <v>61200</v>
      </c>
      <c r="D102" s="245">
        <f t="array" ref="D102">SUM(IF((Budget[Account Code]=B102)*(Budget[Ofc Code]=$G$4)*(Budget[Date]&lt;=$D$7),(Budget[Amount])))</f>
        <v>61200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5"/>
        <v>0</v>
      </c>
      <c r="H102" s="246">
        <f t="shared" si="6"/>
        <v>-61200</v>
      </c>
      <c r="I102" s="246">
        <f t="shared" si="7"/>
        <v>0</v>
      </c>
    </row>
    <row r="103" spans="1:9" hidden="1">
      <c r="A103" s="256" t="s">
        <v>302</v>
      </c>
      <c r="B103" s="339" t="s">
        <v>244</v>
      </c>
      <c r="C103" s="245">
        <f t="array" ref="C103">SUM(IF((Budget[Account Code]=B103)*(Budget[Ofc Code]=$G$4),(Budget[Amount])))</f>
        <v>24480</v>
      </c>
      <c r="D103" s="245">
        <f t="array" ref="D103">SUM(IF((Budget[Account Code]=B103)*(Budget[Ofc Code]=$G$4)*(Budget[Date]&lt;=$D$7),(Budget[Amount])))</f>
        <v>24480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5"/>
        <v>0</v>
      </c>
      <c r="H103" s="246">
        <f t="shared" si="6"/>
        <v>-24480</v>
      </c>
      <c r="I103" s="246">
        <f t="shared" si="7"/>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5"/>
        <v>0</v>
      </c>
      <c r="H104" s="246">
        <f t="shared" si="6"/>
        <v>0</v>
      </c>
      <c r="I104" s="246">
        <f t="shared" si="7"/>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5"/>
        <v>0</v>
      </c>
      <c r="H105" s="246">
        <f t="shared" si="6"/>
        <v>0</v>
      </c>
      <c r="I105" s="246">
        <f t="shared" si="7"/>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5"/>
        <v>0</v>
      </c>
      <c r="H106" s="246">
        <f t="shared" si="6"/>
        <v>0</v>
      </c>
      <c r="I106" s="246">
        <f t="shared" si="7"/>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5"/>
        <v>0</v>
      </c>
      <c r="H107" s="246">
        <f t="shared" si="6"/>
        <v>0</v>
      </c>
      <c r="I107" s="246">
        <f t="shared" si="7"/>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5"/>
        <v>0</v>
      </c>
      <c r="H108" s="246">
        <f t="shared" si="6"/>
        <v>0</v>
      </c>
      <c r="I108" s="246">
        <f t="shared" si="7"/>
        <v>0</v>
      </c>
    </row>
    <row r="109" spans="1:9" hidden="1">
      <c r="A109" s="256" t="s">
        <v>1024</v>
      </c>
      <c r="B109" s="339" t="s">
        <v>248</v>
      </c>
      <c r="C109" s="245">
        <f t="array" ref="C109">SUM(IF((Budget[Account Code]=B109)*(Budget[Ofc Code]=$G$4),(Budget[Amount])))</f>
        <v>10200</v>
      </c>
      <c r="D109" s="245">
        <f t="array" ref="D109">SUM(IF((Budget[Account Code]=B109)*(Budget[Ofc Code]=$G$4)*(Budget[Date]&lt;=$D$7),(Budget[Amount])))</f>
        <v>10200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5"/>
        <v>0</v>
      </c>
      <c r="H109" s="246">
        <f t="shared" si="6"/>
        <v>-10200</v>
      </c>
      <c r="I109" s="246">
        <f t="shared" si="7"/>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5"/>
        <v>0</v>
      </c>
      <c r="H110" s="246">
        <f t="shared" si="6"/>
        <v>0</v>
      </c>
      <c r="I110" s="246">
        <f t="shared" si="7"/>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5"/>
        <v>0</v>
      </c>
      <c r="H111" s="246">
        <f t="shared" si="6"/>
        <v>0</v>
      </c>
      <c r="I111" s="246">
        <f t="shared" si="7"/>
        <v>0</v>
      </c>
    </row>
    <row r="112" spans="1:9" hidden="1">
      <c r="A112" s="256" t="s">
        <v>841</v>
      </c>
      <c r="B112" s="339" t="s">
        <v>251</v>
      </c>
      <c r="C112" s="245">
        <f t="array" ref="C112">SUM(IF((Budget[Account Code]=B112)*(Budget[Ofc Code]=$G$4),(Budget[Amount])))</f>
        <v>100000</v>
      </c>
      <c r="D112" s="245">
        <f t="array" ref="D112">SUM(IF((Budget[Account Code]=B112)*(Budget[Ofc Code]=$G$4)*(Budget[Date]&lt;=$D$7),(Budget[Amount])))</f>
        <v>100000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5"/>
        <v>0</v>
      </c>
      <c r="H112" s="246">
        <f t="shared" si="6"/>
        <v>-100000</v>
      </c>
      <c r="I112" s="246">
        <f t="shared" si="7"/>
        <v>0</v>
      </c>
    </row>
    <row r="113" spans="1:9" hidden="1">
      <c r="A113" s="256" t="s">
        <v>1026</v>
      </c>
      <c r="B113" s="339" t="s">
        <v>252</v>
      </c>
      <c r="C113" s="245">
        <f t="array" ref="C113">SUM(IF((Budget[Account Code]=B113)*(Budget[Ofc Code]=$G$4),(Budget[Amount])))</f>
        <v>5000000</v>
      </c>
      <c r="D113" s="245">
        <f t="array" ref="D113">SUM(IF((Budget[Account Code]=B113)*(Budget[Ofc Code]=$G$4)*(Budget[Date]&lt;=$D$7),(Budget[Amount])))</f>
        <v>5000000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5"/>
        <v>0</v>
      </c>
      <c r="H113" s="246">
        <f t="shared" si="6"/>
        <v>-5000000</v>
      </c>
      <c r="I113" s="246">
        <f t="shared" si="7"/>
        <v>0</v>
      </c>
    </row>
    <row r="114" spans="1:9" hidden="1">
      <c r="A114" s="256" t="s">
        <v>307</v>
      </c>
      <c r="B114" s="339" t="s">
        <v>253</v>
      </c>
      <c r="C114" s="245">
        <f t="array" ref="C114">SUM(IF((Budget[Account Code]=B114)*(Budget[Ofc Code]=$G$4),(Budget[Amount])))</f>
        <v>100000</v>
      </c>
      <c r="D114" s="245">
        <f t="array" ref="D114">SUM(IF((Budget[Account Code]=B114)*(Budget[Ofc Code]=$G$4)*(Budget[Date]&lt;=$D$7),(Budget[Amount])))</f>
        <v>100000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5"/>
        <v>0</v>
      </c>
      <c r="H114" s="246">
        <f t="shared" si="6"/>
        <v>-100000</v>
      </c>
      <c r="I114" s="246">
        <f t="shared" si="7"/>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5"/>
        <v>0</v>
      </c>
      <c r="H115" s="246">
        <f t="shared" si="6"/>
        <v>0</v>
      </c>
      <c r="I115" s="246">
        <f t="shared" si="7"/>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5"/>
        <v>0</v>
      </c>
      <c r="H116" s="246">
        <f t="shared" si="6"/>
        <v>0</v>
      </c>
      <c r="I116" s="246">
        <f t="shared" si="7"/>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5"/>
        <v>0</v>
      </c>
      <c r="H117" s="246">
        <f t="shared" si="6"/>
        <v>0</v>
      </c>
      <c r="I117" s="246">
        <f t="shared" si="7"/>
        <v>0</v>
      </c>
    </row>
    <row r="118" spans="1:9" hidden="1">
      <c r="A118" s="256" t="s">
        <v>311</v>
      </c>
      <c r="B118" s="339" t="s">
        <v>262</v>
      </c>
      <c r="C118" s="245">
        <f t="array" ref="C118">SUM(IF((Budget[Account Code]=B118)*(Budget[Ofc Code]=$G$4),(Budget[Amount])))</f>
        <v>528149</v>
      </c>
      <c r="D118" s="245">
        <f t="array" ref="D118">SUM(IF((Budget[Account Code]=B118)*(Budget[Ofc Code]=$G$4)*(Budget[Date]&lt;=$D$7),(Budget[Amount])))</f>
        <v>528149</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5"/>
        <v>0</v>
      </c>
      <c r="H118" s="246">
        <f t="shared" si="6"/>
        <v>-528149</v>
      </c>
      <c r="I118" s="246">
        <f t="shared" si="7"/>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5"/>
        <v>0</v>
      </c>
      <c r="H119" s="246">
        <f t="shared" si="6"/>
        <v>0</v>
      </c>
      <c r="I119" s="246">
        <f t="shared" si="7"/>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5"/>
        <v>0</v>
      </c>
      <c r="H120" s="246">
        <f t="shared" si="6"/>
        <v>0</v>
      </c>
      <c r="I120" s="246">
        <f t="shared" si="7"/>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5"/>
        <v>0</v>
      </c>
      <c r="H121" s="246">
        <f t="shared" si="6"/>
        <v>0</v>
      </c>
      <c r="I121" s="246">
        <f t="shared" si="7"/>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hidden="1">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941795</v>
      </c>
      <c r="D124" s="245">
        <f t="array" ref="D124">SUM(IF((Budget[Account Code]=B124)*(Budget[Ofc Code]=$G$4)*(Budget[Date]&lt;=$D$7),(Budget[Amount])))</f>
        <v>941795</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5"/>
        <v>0</v>
      </c>
      <c r="H124" s="246">
        <f t="shared" si="6"/>
        <v>-941795</v>
      </c>
      <c r="I124" s="246">
        <f t="shared" si="7"/>
        <v>0</v>
      </c>
    </row>
    <row r="125" spans="1:9" hidden="1">
      <c r="A125" s="256" t="s">
        <v>316</v>
      </c>
      <c r="B125" s="339" t="s">
        <v>272</v>
      </c>
      <c r="C125" s="245">
        <f t="array" ref="C125">SUM(IF((Budget[Account Code]=B125)*(Budget[Ofc Code]=$G$4),(Budget[Amount])))</f>
        <v>179254</v>
      </c>
      <c r="D125" s="245">
        <f t="array" ref="D125">SUM(IF((Budget[Account Code]=B125)*(Budget[Ofc Code]=$G$4)*(Budget[Date]&lt;=$D$7),(Budget[Amount])))</f>
        <v>179254</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5"/>
        <v>0</v>
      </c>
      <c r="H125" s="246">
        <f t="shared" si="6"/>
        <v>-179254</v>
      </c>
      <c r="I125" s="246">
        <f t="shared" si="7"/>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5"/>
        <v>0</v>
      </c>
      <c r="H126" s="246">
        <f t="shared" si="6"/>
        <v>0</v>
      </c>
      <c r="I126" s="246">
        <f t="shared" si="7"/>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5"/>
        <v>0</v>
      </c>
      <c r="H127" s="246">
        <f t="shared" si="6"/>
        <v>0</v>
      </c>
      <c r="I127" s="246">
        <f t="shared" si="7"/>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5"/>
        <v>0</v>
      </c>
      <c r="H128" s="246">
        <f t="shared" si="6"/>
        <v>0</v>
      </c>
      <c r="I128" s="246">
        <f t="shared" si="7"/>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5"/>
        <v>0</v>
      </c>
      <c r="H129" s="246">
        <f t="shared" si="6"/>
        <v>0</v>
      </c>
      <c r="I129" s="246">
        <f t="shared" si="7"/>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5"/>
        <v>0</v>
      </c>
      <c r="H130" s="246">
        <f t="shared" si="6"/>
        <v>0</v>
      </c>
      <c r="I130" s="246">
        <f t="shared" si="7"/>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5"/>
        <v>0</v>
      </c>
      <c r="H131" s="246">
        <f t="shared" si="6"/>
        <v>0</v>
      </c>
      <c r="I131" s="246">
        <f t="shared" si="7"/>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5"/>
        <v>0</v>
      </c>
      <c r="H132" s="246">
        <f t="shared" si="6"/>
        <v>0</v>
      </c>
      <c r="I132" s="246">
        <f t="shared" si="7"/>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5"/>
        <v>0</v>
      </c>
      <c r="H133" s="246">
        <f t="shared" si="6"/>
        <v>0</v>
      </c>
      <c r="I133" s="246">
        <f t="shared" si="7"/>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5"/>
        <v>0</v>
      </c>
      <c r="H134" s="246">
        <f t="shared" si="6"/>
        <v>0</v>
      </c>
      <c r="I134" s="246">
        <f t="shared" si="7"/>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5"/>
        <v>0</v>
      </c>
      <c r="H135" s="246">
        <f t="shared" si="6"/>
        <v>0</v>
      </c>
      <c r="I135" s="246">
        <f t="shared" si="7"/>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5"/>
        <v>0</v>
      </c>
      <c r="H136" s="246">
        <f t="shared" si="6"/>
        <v>0</v>
      </c>
      <c r="I136" s="246">
        <f t="shared" si="7"/>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5"/>
        <v>0</v>
      </c>
      <c r="H137" s="246">
        <f t="shared" si="6"/>
        <v>0</v>
      </c>
      <c r="I137" s="246">
        <f t="shared" si="7"/>
        <v>0</v>
      </c>
    </row>
    <row r="138" spans="1:9">
      <c r="A138" s="255" t="s">
        <v>805</v>
      </c>
      <c r="B138" s="337"/>
      <c r="C138" s="245"/>
      <c r="D138" s="245"/>
      <c r="E138" s="246"/>
      <c r="F138" s="245"/>
      <c r="G138" s="246"/>
      <c r="H138" s="246">
        <f t="shared" si="6"/>
        <v>0</v>
      </c>
      <c r="I138" s="246">
        <f t="shared" si="7"/>
        <v>0</v>
      </c>
    </row>
    <row r="139" spans="1:9">
      <c r="A139" s="253" t="s">
        <v>808</v>
      </c>
      <c r="B139" s="337"/>
      <c r="C139" s="242">
        <f>SUM(C140:C143)</f>
        <v>0</v>
      </c>
      <c r="D139" s="242">
        <f>SUM(D140:D143)</f>
        <v>0</v>
      </c>
      <c r="E139" s="242">
        <f>SUM(E140:E143)</f>
        <v>0</v>
      </c>
      <c r="F139" s="242">
        <f>SUM(F140:F143)</f>
        <v>0</v>
      </c>
      <c r="G139" s="242">
        <f>SUM(G140:G143)</f>
        <v>0</v>
      </c>
      <c r="H139" s="246">
        <f t="shared" si="6"/>
        <v>0</v>
      </c>
      <c r="I139" s="246">
        <f t="shared" si="7"/>
        <v>0</v>
      </c>
    </row>
    <row r="140" spans="1:9" hidden="1">
      <c r="A140" s="256" t="s">
        <v>342</v>
      </c>
      <c r="B140" s="339" t="s">
        <v>333</v>
      </c>
      <c r="C140" s="245">
        <f t="array" ref="C140">SUM(IF((Budget[Account Code]=B140)*(Budget[Ofc Code]=$G$4),(Budget[Amount])))</f>
        <v>0</v>
      </c>
      <c r="D140" s="245">
        <f t="array" ref="D140">SUM(IF((Budget[Account Code]=B140)*(Budget[Ofc Code]=$G$4)*(Budget[Date]&lt;=$D$7),(Budget[Amount])))</f>
        <v>0</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6"/>
        <v>0</v>
      </c>
      <c r="I140" s="246">
        <f t="shared" si="7"/>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6"/>
        <v>0</v>
      </c>
      <c r="I141" s="246">
        <f t="shared" si="7"/>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6"/>
        <v>0</v>
      </c>
      <c r="I142" s="246">
        <f t="shared" si="7"/>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6"/>
        <v>0</v>
      </c>
      <c r="I143" s="246">
        <f t="shared" si="7"/>
        <v>0</v>
      </c>
    </row>
    <row r="144" spans="1:9">
      <c r="A144" s="239" t="s">
        <v>807</v>
      </c>
      <c r="B144" s="337"/>
      <c r="C144" s="252">
        <f>C145+C146</f>
        <v>0</v>
      </c>
      <c r="D144" s="252">
        <f>D145+D146</f>
        <v>0</v>
      </c>
      <c r="E144" s="252">
        <f>E145+E146</f>
        <v>0</v>
      </c>
      <c r="F144" s="252">
        <f>F145+F146</f>
        <v>0</v>
      </c>
      <c r="G144" s="252">
        <f>G145+G146</f>
        <v>0</v>
      </c>
      <c r="H144" s="242">
        <f t="shared" si="6"/>
        <v>0</v>
      </c>
      <c r="I144" s="242">
        <f t="shared" si="7"/>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6"/>
        <v>0</v>
      </c>
      <c r="I145" s="246">
        <f t="shared" si="7"/>
        <v>0</v>
      </c>
    </row>
    <row r="146" spans="1:9">
      <c r="A146" s="243" t="s">
        <v>805</v>
      </c>
      <c r="B146" s="337"/>
      <c r="C146" s="245"/>
      <c r="D146" s="245"/>
      <c r="E146" s="246"/>
      <c r="F146" s="245"/>
      <c r="G146" s="343">
        <f>E146+F146</f>
        <v>0</v>
      </c>
      <c r="H146" s="246">
        <f t="shared" si="6"/>
        <v>0</v>
      </c>
      <c r="I146" s="246">
        <f t="shared" si="7"/>
        <v>0</v>
      </c>
    </row>
    <row r="147" spans="1:9">
      <c r="A147" s="251" t="s">
        <v>804</v>
      </c>
      <c r="B147" s="338"/>
      <c r="C147" s="250">
        <f>C50+C76+C144</f>
        <v>40443896.079999998</v>
      </c>
      <c r="D147" s="250">
        <f>D50+D76+D144</f>
        <v>40443896.079999998</v>
      </c>
      <c r="E147" s="250">
        <f>E50+E76+E144</f>
        <v>0</v>
      </c>
      <c r="F147" s="250">
        <f>F50+F76+F144</f>
        <v>0</v>
      </c>
      <c r="G147" s="250">
        <f>G50+G76+G144</f>
        <v>0</v>
      </c>
      <c r="H147" s="250">
        <f t="shared" si="6"/>
        <v>-40443896.079999998</v>
      </c>
      <c r="I147" s="250">
        <f t="shared" si="7"/>
        <v>0</v>
      </c>
    </row>
    <row r="148" spans="1:9">
      <c r="A148" s="251" t="s">
        <v>785</v>
      </c>
      <c r="B148" s="338"/>
      <c r="C148" s="250">
        <f>C48-C147</f>
        <v>-39443896.079999998</v>
      </c>
      <c r="D148" s="250">
        <f>D48-D147</f>
        <v>-39443896.079999998</v>
      </c>
      <c r="E148" s="250">
        <f>E48-E147</f>
        <v>0</v>
      </c>
      <c r="F148" s="250">
        <f>F48-F147</f>
        <v>0</v>
      </c>
      <c r="G148" s="250">
        <f>G48-G147</f>
        <v>0</v>
      </c>
      <c r="H148" s="250">
        <f t="shared" ref="H148:H184" si="8">G148-D148</f>
        <v>39443896.079999998</v>
      </c>
      <c r="I148" s="250">
        <f t="shared" ref="I148:I184" si="9">IF((D148=0),0,G148/D148)</f>
        <v>0</v>
      </c>
    </row>
    <row r="149" spans="1:9">
      <c r="A149" s="251" t="s">
        <v>749</v>
      </c>
      <c r="B149" s="338"/>
      <c r="C149" s="250">
        <f>C48/C147</f>
        <v>0.02</v>
      </c>
      <c r="D149" s="250">
        <f>D48/D147</f>
        <v>0.02</v>
      </c>
      <c r="E149" s="250" t="e">
        <f>E48/E147</f>
        <v>#DIV/0!</v>
      </c>
      <c r="F149" s="250" t="e">
        <f>F48/F147</f>
        <v>#DIV/0!</v>
      </c>
      <c r="G149" s="250" t="e">
        <f>G48/G147</f>
        <v>#DIV/0!</v>
      </c>
      <c r="H149" s="250" t="e">
        <f t="shared" si="8"/>
        <v>#DIV/0!</v>
      </c>
      <c r="I149" s="250" t="e">
        <f t="shared" si="9"/>
        <v>#DIV/0!</v>
      </c>
    </row>
    <row r="150" spans="1:9" hidden="1">
      <c r="A150" s="251" t="s">
        <v>803</v>
      </c>
      <c r="B150" s="338"/>
      <c r="C150" s="250"/>
      <c r="D150" s="250"/>
      <c r="E150" s="250"/>
      <c r="F150" s="250"/>
      <c r="G150" s="250"/>
      <c r="H150" s="250">
        <f t="shared" si="8"/>
        <v>0</v>
      </c>
      <c r="I150" s="250">
        <f t="shared" si="9"/>
        <v>0</v>
      </c>
    </row>
    <row r="151" spans="1:9" hidden="1">
      <c r="A151" s="251" t="s">
        <v>802</v>
      </c>
      <c r="B151" s="338"/>
      <c r="C151" s="250"/>
      <c r="D151" s="250"/>
      <c r="E151" s="250"/>
      <c r="F151" s="250"/>
      <c r="G151" s="250"/>
      <c r="H151" s="250">
        <f t="shared" si="8"/>
        <v>0</v>
      </c>
      <c r="I151" s="250">
        <f t="shared" si="9"/>
        <v>0</v>
      </c>
    </row>
    <row r="152" spans="1:9" ht="15.75" customHeight="1">
      <c r="A152" s="251" t="s">
        <v>785</v>
      </c>
      <c r="B152" s="338"/>
      <c r="C152" s="250">
        <f>C148+C150+C151</f>
        <v>-39443896.079999998</v>
      </c>
      <c r="D152" s="250">
        <f>D148+D150+D151</f>
        <v>-39443896.079999998</v>
      </c>
      <c r="E152" s="250">
        <f>E148+E150+E151</f>
        <v>0</v>
      </c>
      <c r="F152" s="250">
        <f>F148+F150+F151</f>
        <v>0</v>
      </c>
      <c r="G152" s="250">
        <f>G148+G150+G151</f>
        <v>0</v>
      </c>
      <c r="H152" s="250">
        <f t="shared" si="8"/>
        <v>39443896.079999998</v>
      </c>
      <c r="I152" s="250">
        <f t="shared" si="9"/>
        <v>0</v>
      </c>
    </row>
    <row r="153" spans="1:9">
      <c r="A153" s="251" t="s">
        <v>749</v>
      </c>
      <c r="B153" s="338"/>
      <c r="C153" s="250">
        <f>C48/(C147-C150-C151)</f>
        <v>0.02</v>
      </c>
      <c r="D153" s="250">
        <f>D48/(D147-D150-D151)</f>
        <v>0.02</v>
      </c>
      <c r="E153" s="250" t="e">
        <f>E48/(E147-E150-E151)</f>
        <v>#DIV/0!</v>
      </c>
      <c r="F153" s="250" t="e">
        <f>F48/(F147-F150-F151)</f>
        <v>#DIV/0!</v>
      </c>
      <c r="G153" s="250" t="e">
        <f>G48/(G147-G150-G151)</f>
        <v>#DIV/0!</v>
      </c>
      <c r="H153" s="250" t="e">
        <f t="shared" si="8"/>
        <v>#DIV/0!</v>
      </c>
      <c r="I153" s="250" t="e">
        <f t="shared" si="9"/>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10">E155+F155</f>
        <v>0</v>
      </c>
      <c r="H155" s="246">
        <f t="shared" si="8"/>
        <v>0</v>
      </c>
      <c r="I155" s="246">
        <f t="shared" si="9"/>
        <v>0</v>
      </c>
    </row>
    <row r="156" spans="1:9">
      <c r="A156" s="253" t="s">
        <v>798</v>
      </c>
      <c r="B156" s="339" t="s">
        <v>170</v>
      </c>
      <c r="C156" s="245">
        <f t="array" ref="C156">SUM(IF((Budget[Account Code]=B156)*(Budget[Ofc Code]=$G$4),(Budget[Amount])))</f>
        <v>300000</v>
      </c>
      <c r="D156" s="245">
        <f t="array" ref="D156">SUM(IF((Budget[Account Code]=B156)*(Budget[Ofc Code]=$G$4)*(Budget[Date]&lt;=$D$7),(Budget[Amount])))</f>
        <v>300000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10"/>
        <v>0</v>
      </c>
      <c r="H156" s="246">
        <f t="shared" si="8"/>
        <v>-300000</v>
      </c>
      <c r="I156" s="246">
        <f t="shared" si="9"/>
        <v>0</v>
      </c>
    </row>
    <row r="157" spans="1:9">
      <c r="A157" s="253" t="s">
        <v>797</v>
      </c>
      <c r="B157" s="339" t="s">
        <v>168</v>
      </c>
      <c r="C157" s="245">
        <f t="array" ref="C157">SUM(IF((Budget[Account Code]=B157)*(Budget[Ofc Code]=$G$4),(Budget[Amount])))</f>
        <v>1500000</v>
      </c>
      <c r="D157" s="245">
        <f t="array" ref="D157">SUM(IF((Budget[Account Code]=B157)*(Budget[Ofc Code]=$G$4)*(Budget[Date]&lt;=$D$7),(Budget[Amount])))</f>
        <v>1500000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10"/>
        <v>0</v>
      </c>
      <c r="H157" s="246">
        <f t="shared" si="8"/>
        <v>-1500000</v>
      </c>
      <c r="I157" s="246">
        <f t="shared" si="9"/>
        <v>0</v>
      </c>
    </row>
    <row r="158" spans="1:9">
      <c r="A158" s="253" t="s">
        <v>354</v>
      </c>
      <c r="B158" s="339" t="s">
        <v>216</v>
      </c>
      <c r="C158" s="245">
        <f t="array" ref="C158">SUM(IF((Budget[Account Code]=B158)*(Budget[Ofc Code]=$G$4),(Budget[Amount])))</f>
        <v>55000</v>
      </c>
      <c r="D158" s="245">
        <f t="array" ref="D158">SUM(IF((Budget[Account Code]=B158)*(Budget[Ofc Code]=$G$4)*(Budget[Date]&lt;=$D$7),(Budget[Amount])))</f>
        <v>55000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10"/>
        <v>0</v>
      </c>
      <c r="H158" s="246">
        <f t="shared" si="8"/>
        <v>-55000</v>
      </c>
      <c r="I158" s="246">
        <f t="shared" si="9"/>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10"/>
        <v>0</v>
      </c>
      <c r="H159" s="246">
        <f t="shared" si="8"/>
        <v>0</v>
      </c>
      <c r="I159" s="246">
        <f t="shared" si="9"/>
        <v>0</v>
      </c>
    </row>
    <row r="160" spans="1:9">
      <c r="A160" s="253" t="s">
        <v>304</v>
      </c>
      <c r="B160" s="339" t="s">
        <v>222</v>
      </c>
      <c r="C160" s="245">
        <f t="array" ref="C160">SUM(IF((Budget[Account Code]=B160)*(Budget[Ofc Code]=$G$4),(Budget[Amount])))</f>
        <v>116600.04</v>
      </c>
      <c r="D160" s="245">
        <f t="array" ref="D160">SUM(IF((Budget[Account Code]=B160)*(Budget[Ofc Code]=$G$4)*(Budget[Date]&lt;=$D$7),(Budget[Amount])))</f>
        <v>116600.04</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10"/>
        <v>0</v>
      </c>
      <c r="H160" s="246">
        <f t="shared" si="8"/>
        <v>-116600.04</v>
      </c>
      <c r="I160" s="246">
        <f t="shared" si="9"/>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10"/>
        <v>0</v>
      </c>
      <c r="H161" s="246">
        <f t="shared" si="8"/>
        <v>0</v>
      </c>
      <c r="I161" s="246">
        <f t="shared" si="9"/>
        <v>0</v>
      </c>
    </row>
    <row r="162" spans="1:9">
      <c r="A162" s="253" t="s">
        <v>794</v>
      </c>
      <c r="B162" s="339" t="s">
        <v>212</v>
      </c>
      <c r="C162" s="245">
        <f t="array" ref="C162">SUM(IF((Budget[Account Code]=B162)*(Budget[Ofc Code]=$G$4),(Budget[Amount])))</f>
        <v>1346071.12</v>
      </c>
      <c r="D162" s="245">
        <f t="array" ref="D162">SUM(IF((Budget[Account Code]=B162)*(Budget[Ofc Code]=$G$4)*(Budget[Date]&lt;=$D$7),(Budget[Amount])))</f>
        <v>1346071.12</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10"/>
        <v>0</v>
      </c>
      <c r="H162" s="246">
        <f t="shared" si="8"/>
        <v>-1346071.12</v>
      </c>
      <c r="I162" s="246">
        <f t="shared" si="9"/>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10"/>
        <v>0</v>
      </c>
      <c r="H163" s="246">
        <f t="shared" si="8"/>
        <v>0</v>
      </c>
      <c r="I163" s="246">
        <f t="shared" si="9"/>
        <v>0</v>
      </c>
    </row>
    <row r="164" spans="1:9">
      <c r="A164" s="251" t="s">
        <v>789</v>
      </c>
      <c r="B164" s="338"/>
      <c r="C164" s="250">
        <f>SUM(C155:C163)</f>
        <v>3317671.16</v>
      </c>
      <c r="D164" s="250">
        <f>SUM(D155:D163)</f>
        <v>3317671.16</v>
      </c>
      <c r="E164" s="250">
        <f>SUM(E155:E163)</f>
        <v>0</v>
      </c>
      <c r="F164" s="250">
        <f>SUM(F155:F163)</f>
        <v>0</v>
      </c>
      <c r="G164" s="250">
        <f>SUM(G155:G163)</f>
        <v>0</v>
      </c>
      <c r="H164" s="250">
        <f t="shared" si="8"/>
        <v>-3317671.16</v>
      </c>
      <c r="I164" s="250">
        <f t="shared" si="9"/>
        <v>0</v>
      </c>
    </row>
    <row r="165" spans="1:9">
      <c r="A165" s="251" t="s">
        <v>788</v>
      </c>
      <c r="B165" s="338"/>
      <c r="C165" s="250">
        <f>C147+C164</f>
        <v>43761567.240000002</v>
      </c>
      <c r="D165" s="250">
        <f>D147+D164</f>
        <v>43761567.240000002</v>
      </c>
      <c r="E165" s="250">
        <f>E147+E164</f>
        <v>0</v>
      </c>
      <c r="F165" s="250">
        <f>F147+F164</f>
        <v>0</v>
      </c>
      <c r="G165" s="250">
        <f>G147+G164</f>
        <v>0</v>
      </c>
      <c r="H165" s="250">
        <f t="shared" si="8"/>
        <v>-43761567.240000002</v>
      </c>
      <c r="I165" s="250">
        <f t="shared" si="9"/>
        <v>0</v>
      </c>
    </row>
    <row r="166" spans="1:9">
      <c r="A166" s="251" t="s">
        <v>785</v>
      </c>
      <c r="B166" s="338"/>
      <c r="C166" s="250">
        <f>C48-C165</f>
        <v>-42761567.240000002</v>
      </c>
      <c r="D166" s="250">
        <f>D48-D165</f>
        <v>-42761567.240000002</v>
      </c>
      <c r="E166" s="250">
        <f>E48-E165</f>
        <v>0</v>
      </c>
      <c r="F166" s="250">
        <f>F48-F165</f>
        <v>0</v>
      </c>
      <c r="G166" s="250">
        <f>G48-G165</f>
        <v>0</v>
      </c>
      <c r="H166" s="250">
        <f t="shared" si="8"/>
        <v>42761567.240000002</v>
      </c>
      <c r="I166" s="250">
        <f t="shared" si="9"/>
        <v>0</v>
      </c>
    </row>
    <row r="167" spans="1:9">
      <c r="A167" s="251" t="s">
        <v>749</v>
      </c>
      <c r="B167" s="338"/>
      <c r="C167" s="250">
        <f>C48/C165</f>
        <v>0.02</v>
      </c>
      <c r="D167" s="250">
        <f>D48/D165</f>
        <v>0.02</v>
      </c>
      <c r="E167" s="250" t="e">
        <f>E48/E165</f>
        <v>#DIV/0!</v>
      </c>
      <c r="F167" s="250" t="e">
        <f>F48/F165</f>
        <v>#DIV/0!</v>
      </c>
      <c r="G167" s="250" t="e">
        <f>G48/G165</f>
        <v>#DIV/0!</v>
      </c>
      <c r="H167" s="250" t="e">
        <f t="shared" si="8"/>
        <v>#DIV/0!</v>
      </c>
      <c r="I167" s="250" t="e">
        <f t="shared" si="9"/>
        <v>#DIV/0!</v>
      </c>
    </row>
    <row r="168" spans="1:9" hidden="1">
      <c r="A168" s="251" t="s">
        <v>787</v>
      </c>
      <c r="B168" s="338"/>
      <c r="C168" s="250"/>
      <c r="D168" s="250"/>
      <c r="E168" s="250"/>
      <c r="F168" s="250"/>
      <c r="G168" s="250"/>
      <c r="H168" s="250">
        <f t="shared" si="8"/>
        <v>0</v>
      </c>
      <c r="I168" s="250">
        <f t="shared" si="9"/>
        <v>0</v>
      </c>
    </row>
    <row r="169" spans="1:9" hidden="1">
      <c r="A169" s="251" t="s">
        <v>786</v>
      </c>
      <c r="B169" s="338"/>
      <c r="C169" s="250"/>
      <c r="D169" s="250"/>
      <c r="E169" s="250"/>
      <c r="F169" s="250"/>
      <c r="G169" s="250"/>
      <c r="H169" s="250">
        <f t="shared" si="8"/>
        <v>0</v>
      </c>
      <c r="I169" s="250">
        <f t="shared" si="9"/>
        <v>0</v>
      </c>
    </row>
    <row r="170" spans="1:9">
      <c r="A170" s="251" t="s">
        <v>785</v>
      </c>
      <c r="B170" s="338"/>
      <c r="C170" s="250">
        <f>C166+C168+C169</f>
        <v>-42761567.240000002</v>
      </c>
      <c r="D170" s="250">
        <f>D166+D168+D169</f>
        <v>-42761567.240000002</v>
      </c>
      <c r="E170" s="250">
        <f>E166+E168+E169</f>
        <v>0</v>
      </c>
      <c r="F170" s="250">
        <f>F166+F168+F169</f>
        <v>0</v>
      </c>
      <c r="G170" s="250">
        <f>G166+G168+G169</f>
        <v>0</v>
      </c>
      <c r="H170" s="250">
        <f t="shared" si="8"/>
        <v>42761567.240000002</v>
      </c>
      <c r="I170" s="250">
        <f t="shared" si="9"/>
        <v>0</v>
      </c>
    </row>
    <row r="171" spans="1:9">
      <c r="A171" s="251" t="s">
        <v>792</v>
      </c>
      <c r="B171" s="338"/>
      <c r="C171" s="250">
        <f>C48/(C165-C168-C169)</f>
        <v>0.02</v>
      </c>
      <c r="D171" s="250">
        <f>D48/(D165-D168-D169)</f>
        <v>0.02</v>
      </c>
      <c r="E171" s="250" t="e">
        <f>E48/(E165-E168-E169)</f>
        <v>#DIV/0!</v>
      </c>
      <c r="F171" s="250" t="e">
        <f>F48/(F165-F168-F169)</f>
        <v>#DIV/0!</v>
      </c>
      <c r="G171" s="250" t="e">
        <f>G48/(G165-G168-G169)</f>
        <v>#DIV/0!</v>
      </c>
      <c r="H171" s="250" t="e">
        <f t="shared" si="8"/>
        <v>#DIV/0!</v>
      </c>
      <c r="I171" s="250" t="e">
        <f t="shared" si="9"/>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si="8"/>
        <v>0</v>
      </c>
      <c r="I175" s="246">
        <f t="shared" si="9"/>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8"/>
        <v>0</v>
      </c>
      <c r="I177" s="250">
        <f t="shared" si="9"/>
        <v>0</v>
      </c>
    </row>
    <row r="178" spans="1:9">
      <c r="A178" s="251" t="s">
        <v>788</v>
      </c>
      <c r="B178" s="338"/>
      <c r="C178" s="250">
        <f>C165+C177</f>
        <v>43761567.240000002</v>
      </c>
      <c r="D178" s="250">
        <f>D165+D177</f>
        <v>43761567.240000002</v>
      </c>
      <c r="E178" s="250">
        <f>E165+E177</f>
        <v>0</v>
      </c>
      <c r="F178" s="250">
        <f>F165+F177</f>
        <v>0</v>
      </c>
      <c r="G178" s="250">
        <f>G165+G177</f>
        <v>0</v>
      </c>
      <c r="H178" s="250">
        <f t="shared" si="8"/>
        <v>-43761567.240000002</v>
      </c>
      <c r="I178" s="250">
        <f t="shared" si="9"/>
        <v>0</v>
      </c>
    </row>
    <row r="179" spans="1:9">
      <c r="A179" s="251" t="s">
        <v>785</v>
      </c>
      <c r="B179" s="338"/>
      <c r="C179" s="250">
        <f>C48-C178</f>
        <v>-42761567.240000002</v>
      </c>
      <c r="D179" s="250">
        <f>D48-D178</f>
        <v>-42761567.240000002</v>
      </c>
      <c r="E179" s="250">
        <f>E48-E178</f>
        <v>0</v>
      </c>
      <c r="F179" s="250">
        <f>F48-F178</f>
        <v>0</v>
      </c>
      <c r="G179" s="250">
        <f>G48-G178</f>
        <v>0</v>
      </c>
      <c r="H179" s="250">
        <f t="shared" si="8"/>
        <v>42761567.240000002</v>
      </c>
      <c r="I179" s="250">
        <f t="shared" si="9"/>
        <v>0</v>
      </c>
    </row>
    <row r="180" spans="1:9" hidden="1">
      <c r="A180" s="251" t="s">
        <v>749</v>
      </c>
      <c r="B180" s="338"/>
      <c r="C180" s="250"/>
      <c r="D180" s="250"/>
      <c r="E180" s="250"/>
      <c r="F180" s="250"/>
      <c r="G180" s="250"/>
      <c r="H180" s="250">
        <f t="shared" si="8"/>
        <v>0</v>
      </c>
      <c r="I180" s="250">
        <f t="shared" si="9"/>
        <v>0</v>
      </c>
    </row>
    <row r="181" spans="1:9" hidden="1">
      <c r="A181" s="251" t="s">
        <v>787</v>
      </c>
      <c r="B181" s="338"/>
      <c r="C181" s="250"/>
      <c r="D181" s="250"/>
      <c r="E181" s="250"/>
      <c r="F181" s="250"/>
      <c r="G181" s="250"/>
      <c r="H181" s="250">
        <f t="shared" si="8"/>
        <v>0</v>
      </c>
      <c r="I181" s="250">
        <f t="shared" si="9"/>
        <v>0</v>
      </c>
    </row>
    <row r="182" spans="1:9" hidden="1">
      <c r="A182" s="251" t="s">
        <v>786</v>
      </c>
      <c r="B182" s="338"/>
      <c r="C182" s="250"/>
      <c r="D182" s="250"/>
      <c r="E182" s="250"/>
      <c r="F182" s="250"/>
      <c r="G182" s="250"/>
      <c r="H182" s="250">
        <f t="shared" si="8"/>
        <v>0</v>
      </c>
      <c r="I182" s="250">
        <f t="shared" si="9"/>
        <v>0</v>
      </c>
    </row>
    <row r="183" spans="1:9" hidden="1">
      <c r="A183" s="251" t="s">
        <v>785</v>
      </c>
      <c r="B183" s="338"/>
      <c r="C183" s="250"/>
      <c r="D183" s="250"/>
      <c r="E183" s="250"/>
      <c r="F183" s="250"/>
      <c r="G183" s="250"/>
      <c r="H183" s="250">
        <f t="shared" si="8"/>
        <v>0</v>
      </c>
      <c r="I183" s="250">
        <f t="shared" si="9"/>
        <v>0</v>
      </c>
    </row>
    <row r="184" spans="1:9">
      <c r="A184" s="264" t="s">
        <v>749</v>
      </c>
      <c r="B184" s="338"/>
      <c r="C184" s="265">
        <f>C48/(C178-C181-C182)</f>
        <v>0.02</v>
      </c>
      <c r="D184" s="265">
        <f>D48/(D178-D181-D182)</f>
        <v>0.02</v>
      </c>
      <c r="E184" s="265" t="e">
        <f>E48/(E178-E181-E182)</f>
        <v>#DIV/0!</v>
      </c>
      <c r="F184" s="265" t="e">
        <f>F48/(F178-F181-F182)</f>
        <v>#DIV/0!</v>
      </c>
      <c r="G184" s="265" t="e">
        <f>G48/(G178-G181-G182)</f>
        <v>#DIV/0!</v>
      </c>
      <c r="H184" s="265" t="e">
        <f t="shared" si="8"/>
        <v>#DIV/0!</v>
      </c>
      <c r="I184" s="265" t="e">
        <f t="shared" si="9"/>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2"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pageSetUpPr fitToPage="1"/>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Norte IMO</v>
      </c>
      <c r="C4" s="332"/>
      <c r="G4" s="331" t="s">
        <v>484</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10900000</v>
      </c>
      <c r="D9" s="242">
        <f>D10+D11</f>
        <v>10900000</v>
      </c>
      <c r="E9" s="242">
        <f>E10+E11</f>
        <v>0</v>
      </c>
      <c r="F9" s="242">
        <f>F10+F11</f>
        <v>0</v>
      </c>
      <c r="G9" s="242">
        <f>G10+G11</f>
        <v>0</v>
      </c>
      <c r="H9" s="242">
        <f>G9-D9</f>
        <v>-10900000</v>
      </c>
      <c r="I9" s="242">
        <f>IF((D9=0),0,G9/D9)</f>
        <v>0</v>
      </c>
    </row>
    <row r="10" spans="1:9">
      <c r="A10" s="243" t="s">
        <v>821</v>
      </c>
      <c r="B10" s="337" t="s">
        <v>125</v>
      </c>
      <c r="C10" s="245">
        <f t="array" ref="C10">SUM(IF((Budget[Account Code]=B10)*(Budget[Sort Code]=$G$4),(Budget[Amount])))</f>
        <v>0</v>
      </c>
      <c r="D10" s="245">
        <f t="array" ref="D10">SUM(IF((Budget[Account Code]=B10)*(Budget[Sort Code]=$G$4)*(Budget[Date]&lt;=$D$7),(Budget[Amount])))</f>
        <v>0</v>
      </c>
      <c r="E10" s="245">
        <f t="array" ref="E10">((SUM(IF((CkDJ[Sort Code]=(TRIM(G$4)))*(CkDJ[Account Code]=(TRIM($B10)))*(CkDJ[Date]&lt;=$E$7),CkDJ[Credit])))+(SUM(IF((CsDJ[Sort Code]=(TRIM(G$4)))*(CsDJ[Account Code]=(TRIM($B10)))*(CsDJ[Date]&lt;=$E$7),CsDJ[Credit])))+(SUM(IF((CRDJ[Sort Code]=(TRIM(G$4)))*(CRDJ[Account Code]=(TRIM($B10)))*(CRDJ[Date]&lt;=$E$7),CRDJ[Credit])))+(SUM(IF((GJ[Sort Code]=(TRIM(G$4)))*(GJ[Account Code]=(TRIM($B10)))*(GJ[Date]&lt;=$E$7),GJ[Credit]))))-((SUM(IF((CkDJ[Sort Code]=(TRIM(G$4)))*(CkDJ[Account Code]=(TRIM($B10)))*(CkDJ[Date]&lt;=$E$7),CkDJ[Debit])))+(SUM(IF((CsDJ[Sort Code]=(TRIM(G$4)))*(CsDJ[Account Code]=(TRIM($B10)))*(CsDJ[Date]&lt;=$E$7),CsDJ[Debit])))+(SUM(IF((CRDJ[Sort Code]=(TRIM(G$4)))*(CRDJ[Account Code]=(TRIM($B10)))*(CRDJ[Date]&lt;=$E$7),CRDJ[Debit])))+(SUM(IF((GJ[Sort Code]=(TRIM(G$4)))*(GJ[Account Code]=(TRIM($B10)))*(GJ[Date]&lt;=$E$7),GJ[Debit]))))</f>
        <v>0</v>
      </c>
      <c r="F10" s="245">
        <f t="array" ref="F10">((SUM(IF((CkDJ[Date]=$A$3)*(CkDJ[Sort Code]=(TRIM(G$4)))*(CkDJ[Account Code]=(TRIM($B10))),CkDJ[Credit])))+(SUM(IF((CsDJ[Date]=$A$3)*(CsDJ[Sort Code]=(TRIM(G$4)))*(CsDJ[Account Code]=(TRIM($B10))),CsDJ[Credit])))+(SUM(IF((CRDJ[Date]=$A$3)*(CRDJ[Sort Code]=(TRIM(G$4)))*(CRDJ[Account Code]=(TRIM($B10))),CRDJ[Credit])))+(SUM(IF((GJ[Date]=$A$3)*(GJ[Sort Code]=(TRIM(G$4)))*(GJ[Account Code]=(TRIM($B10))),GJ[Credit]))))-((SUM(IF((CkDJ[Date]=$A$3)*(CkDJ[Sort Code]=(TRIM(G$4)))*(CkDJ[Account Code]=(TRIM($B10))),CkDJ[Debit])))+(SUM(IF((CsDJ[Date]=$A$3)*(CsDJ[Sort Code]=(TRIM(G$4)))*(CsDJ[Account Code]=(TRIM($B10))),CsDJ[Debit])))+(SUM(IF((CRDJ[Date]=$A$3)*(CRDJ[Sort Code]=(TRIM(G$4)))*(CRDJ[Account Code]=(TRIM($B10))),CRDJ[Debit])))+(SUM(IF((GJ[Date]=$A$3)*(GJ[Sort Code]=(TRIM(G$4)))*(GJ[Account Code]=(TRIM($B10))),GJ[Debit]))))</f>
        <v>0</v>
      </c>
      <c r="G10" s="343">
        <f>E10+F10</f>
        <v>0</v>
      </c>
      <c r="H10" s="246">
        <f t="shared" ref="H10:H23" si="0">G10-D10</f>
        <v>0</v>
      </c>
      <c r="I10" s="242">
        <f t="shared" ref="I10:I23" si="1">IF((D10=0),0,G10/D10)</f>
        <v>0</v>
      </c>
    </row>
    <row r="11" spans="1:9">
      <c r="A11" s="243" t="s">
        <v>820</v>
      </c>
      <c r="B11" s="337"/>
      <c r="C11" s="245">
        <f>SUM(C12:C14)</f>
        <v>10900000</v>
      </c>
      <c r="D11" s="245">
        <f>SUM(D12:D14)</f>
        <v>10900000</v>
      </c>
      <c r="E11" s="245">
        <f>SUM(E12:E14)</f>
        <v>0</v>
      </c>
      <c r="F11" s="245">
        <f>SUM(F12:F14)</f>
        <v>0</v>
      </c>
      <c r="G11" s="343">
        <f>SUM(G12:G14)</f>
        <v>0</v>
      </c>
      <c r="H11" s="246">
        <f t="shared" si="0"/>
        <v>-10900000</v>
      </c>
      <c r="I11" s="242">
        <f t="shared" si="1"/>
        <v>0</v>
      </c>
    </row>
    <row r="12" spans="1:9">
      <c r="A12" s="247" t="s">
        <v>809</v>
      </c>
      <c r="B12" s="337" t="s">
        <v>126</v>
      </c>
      <c r="C12" s="245">
        <f t="array" ref="C12">SUM(IF((Budget[Account Code]=B12)*(Budget[Sort Code]=$G$4),(Budget[Amount])))</f>
        <v>10900000</v>
      </c>
      <c r="D12" s="245">
        <f t="array" ref="D12">SUM(IF((Budget[Account Code]=B12)*(Budget[Sort Code]=$G$4)*(Budget[Date]&lt;=$D$7),(Budget[Amount])))</f>
        <v>10900000</v>
      </c>
      <c r="E12" s="245">
        <f t="array" ref="E12">((SUM(IF((CkDJ[Sort Code]=(TRIM(G$4)))*(CkDJ[Account Code]=(TRIM($B12)))*(CkDJ[Date]&lt;=$E$7),CkDJ[Credit])))+(SUM(IF((CsDJ[Sort Code]=(TRIM(G$4)))*(CsDJ[Account Code]=(TRIM($B12)))*(CsDJ[Date]&lt;=$E$7),CsDJ[Credit])))+(SUM(IF((CRDJ[Sort Code]=(TRIM(G$4)))*(CRDJ[Account Code]=(TRIM($B12)))*(CRDJ[Date]&lt;=$E$7),CRDJ[Credit])))+(SUM(IF((GJ[Sort Code]=(TRIM(G$4)))*(GJ[Account Code]=(TRIM($B12)))*(GJ[Date]&lt;=$E$7),GJ[Credit]))))-((SUM(IF((CkDJ[Sort Code]=(TRIM(G$4)))*(CkDJ[Account Code]=(TRIM($B12)))*(CkDJ[Date]&lt;=$E$7),CkDJ[Debit])))+(SUM(IF((CsDJ[Sort Code]=(TRIM(G$4)))*(CsDJ[Account Code]=(TRIM($B12)))*(CsDJ[Date]&lt;=$E$7),CsDJ[Debit])))+(SUM(IF((CRDJ[Sort Code]=(TRIM(G$4)))*(CRDJ[Account Code]=(TRIM($B12)))*(CRDJ[Date]&lt;=$E$7),CRDJ[Debit])))+(SUM(IF((GJ[Sort Code]=(TRIM(G$4)))*(GJ[Account Code]=(TRIM($B12)))*(GJ[Date]&lt;=$E$7),GJ[Debit]))))</f>
        <v>0</v>
      </c>
      <c r="F12" s="245">
        <f t="array" ref="F12">((SUM(IF((CkDJ[Date]=$A$3)*(CkDJ[Sort Code]=(TRIM(G$4)))*(CkDJ[Account Code]=(TRIM($B12))),CkDJ[Credit])))+(SUM(IF((CsDJ[Date]=$A$3)*(CsDJ[Sort Code]=(TRIM(G$4)))*(CsDJ[Account Code]=(TRIM($B12))),CsDJ[Credit])))+(SUM(IF((CRDJ[Date]=$A$3)*(CRDJ[Sort Code]=(TRIM(G$4)))*(CRDJ[Account Code]=(TRIM($B12))),CRDJ[Credit])))+(SUM(IF((GJ[Date]=$A$3)*(GJ[Sort Code]=(TRIM(G$4)))*(GJ[Account Code]=(TRIM($B12))),GJ[Credit]))))-((SUM(IF((CkDJ[Date]=$A$3)*(CkDJ[Sort Code]=(TRIM(G$4)))*(CkDJ[Account Code]=(TRIM($B12))),CkDJ[Debit])))+(SUM(IF((CsDJ[Date]=$A$3)*(CsDJ[Sort Code]=(TRIM(G$4)))*(CsDJ[Account Code]=(TRIM($B12))),CsDJ[Debit])))+(SUM(IF((CRDJ[Date]=$A$3)*(CRDJ[Sort Code]=(TRIM(G$4)))*(CRDJ[Account Code]=(TRIM($B12))),CRDJ[Debit])))+(SUM(IF((GJ[Date]=$A$3)*(GJ[Sort Code]=(TRIM(G$4)))*(GJ[Account Code]=(TRIM($B12))),GJ[Debit]))))</f>
        <v>0</v>
      </c>
      <c r="G12" s="343">
        <f>E12+F12</f>
        <v>0</v>
      </c>
      <c r="H12" s="246">
        <f t="shared" si="0"/>
        <v>-10900000</v>
      </c>
      <c r="I12" s="242">
        <f t="shared" si="1"/>
        <v>0</v>
      </c>
    </row>
    <row r="13" spans="1:9">
      <c r="A13" s="247" t="s">
        <v>828</v>
      </c>
      <c r="B13" s="337" t="s">
        <v>721</v>
      </c>
      <c r="C13" s="245">
        <f t="array" ref="C13">SUM(IF((Budget[Account Code]=B13)*(Budget[Sort Code]=$G$4),(Budget[Amount])))</f>
        <v>0</v>
      </c>
      <c r="D13" s="245">
        <f t="array" ref="D13">SUM(IF((Budget[Account Code]=B13)*(Budget[Sort Code]=$G$4)*(Budget[Date]&lt;=$D$7),(Budget[Amount])))</f>
        <v>0</v>
      </c>
      <c r="E13" s="245">
        <f t="array" ref="E13">((SUM(IF((CkDJ[Sort Code]=(TRIM(G$4)))*(CkDJ[Account Code]=(TRIM($B13)))*(CkDJ[Date]&lt;=$E$7),CkDJ[Credit])))+(SUM(IF((CsDJ[Sort Code]=(TRIM(G$4)))*(CsDJ[Account Code]=(TRIM($B13)))*(CsDJ[Date]&lt;=$E$7),CsDJ[Credit])))+(SUM(IF((CRDJ[Sort Code]=(TRIM(G$4)))*(CRDJ[Account Code]=(TRIM($B13)))*(CRDJ[Date]&lt;=$E$7),CRDJ[Credit])))+(SUM(IF((GJ[Sort Code]=(TRIM(G$4)))*(GJ[Account Code]=(TRIM($B13)))*(GJ[Date]&lt;=$E$7),GJ[Credit]))))-((SUM(IF((CkDJ[Sort Code]=(TRIM(G$4)))*(CkDJ[Account Code]=(TRIM($B13)))*(CkDJ[Date]&lt;=$E$7),CkDJ[Debit])))+(SUM(IF((CsDJ[Sort Code]=(TRIM(G$4)))*(CsDJ[Account Code]=(TRIM($B13)))*(CsDJ[Date]&lt;=$E$7),CsDJ[Debit])))+(SUM(IF((CRDJ[Sort Code]=(TRIM(G$4)))*(CRDJ[Account Code]=(TRIM($B13)))*(CRDJ[Date]&lt;=$E$7),CRDJ[Debit])))+(SUM(IF((GJ[Sort Code]=(TRIM(G$4)))*(GJ[Account Code]=(TRIM($B13)))*(GJ[Date]&lt;=$E$7),GJ[Debit]))))</f>
        <v>0</v>
      </c>
      <c r="F13" s="245">
        <f t="array" ref="F13">((SUM(IF((CkDJ[Date]=$A$3)*(CkDJ[Sort Code]=(TRIM(G$4)))*(CkDJ[Account Code]=(TRIM($B13))),CkDJ[Credit])))+(SUM(IF((CsDJ[Date]=$A$3)*(CsDJ[Sort Code]=(TRIM(G$4)))*(CsDJ[Account Code]=(TRIM($B13))),CsDJ[Credit])))+(SUM(IF((CRDJ[Date]=$A$3)*(CRDJ[Sort Code]=(TRIM(G$4)))*(CRDJ[Account Code]=(TRIM($B13))),CRDJ[Credit])))+(SUM(IF((GJ[Date]=$A$3)*(GJ[Sort Code]=(TRIM(G$4)))*(GJ[Account Code]=(TRIM($B13))),GJ[Credit]))))-((SUM(IF((CkDJ[Date]=$A$3)*(CkDJ[Sort Code]=(TRIM(G$4)))*(CkDJ[Account Code]=(TRIM($B13))),CkDJ[Debit])))+(SUM(IF((CsDJ[Date]=$A$3)*(CsDJ[Sort Code]=(TRIM(G$4)))*(CsDJ[Account Code]=(TRIM($B13))),CsDJ[Debit])))+(SUM(IF((CRDJ[Date]=$A$3)*(CRDJ[Sort Code]=(TRIM(G$4)))*(CRDJ[Account Code]=(TRIM($B13))),CRDJ[Debit])))+(SUM(IF((GJ[Date]=$A$3)*(GJ[Sort Code]=(TRIM(G$4)))*(GJ[Account Code]=(TRIM($B13))),GJ[Debit]))))</f>
        <v>0</v>
      </c>
      <c r="G13" s="343">
        <f>E13+F13</f>
        <v>0</v>
      </c>
      <c r="H13" s="246">
        <f t="shared" si="0"/>
        <v>0</v>
      </c>
      <c r="I13" s="242">
        <f t="shared" si="1"/>
        <v>0</v>
      </c>
    </row>
    <row r="14" spans="1:9">
      <c r="A14" s="247" t="s">
        <v>827</v>
      </c>
      <c r="B14" s="337" t="s">
        <v>143</v>
      </c>
      <c r="C14" s="245">
        <f t="array" ref="C14">SUM(IF((Budget[Account Code]=B14)*(Budget[Sort Code]=$G$4),(Budget[Amount])))</f>
        <v>0</v>
      </c>
      <c r="D14" s="245">
        <f t="array" ref="D14">SUM(IF((Budget[Account Code]=B14)*(Budget[Sort Code]=$G$4)*(Budget[Date]&lt;=$D$7),(Budget[Amount])))</f>
        <v>0</v>
      </c>
      <c r="E14" s="245">
        <f t="array" ref="E14">((SUM(IF((CkDJ[Sort Code]=(TRIM(G$4)))*(CkDJ[Account Code]=(TRIM($B14)))*(CkDJ[Date]&lt;=$E$7),CkDJ[Credit])))+(SUM(IF((CsDJ[Sort Code]=(TRIM(G$4)))*(CsDJ[Account Code]=(TRIM($B14)))*(CsDJ[Date]&lt;=$E$7),CsDJ[Credit])))+(SUM(IF((CRDJ[Sort Code]=(TRIM(G$4)))*(CRDJ[Account Code]=(TRIM($B14)))*(CRDJ[Date]&lt;=$E$7),CRDJ[Credit])))+(SUM(IF((GJ[Sort Code]=(TRIM(G$4)))*(GJ[Account Code]=(TRIM($B14)))*(GJ[Date]&lt;=$E$7),GJ[Credit]))))-((SUM(IF((CkDJ[Sort Code]=(TRIM(G$4)))*(CkDJ[Account Code]=(TRIM($B14)))*(CkDJ[Date]&lt;=$E$7),CkDJ[Debit])))+(SUM(IF((CsDJ[Sort Code]=(TRIM(G$4)))*(CsDJ[Account Code]=(TRIM($B14)))*(CsDJ[Date]&lt;=$E$7),CsDJ[Debit])))+(SUM(IF((CRDJ[Sort Code]=(TRIM(G$4)))*(CRDJ[Account Code]=(TRIM($B14)))*(CRDJ[Date]&lt;=$E$7),CRDJ[Debit])))+(SUM(IF((GJ[Sort Code]=(TRIM(G$4)))*(GJ[Account Code]=(TRIM($B14)))*(GJ[Date]&lt;=$E$7),GJ[Debit]))))</f>
        <v>0</v>
      </c>
      <c r="F14" s="245">
        <f t="array" ref="F14">((SUM(IF((CkDJ[Date]=$A$3)*(CkDJ[Sort Code]=(TRIM(G$4)))*(CkDJ[Account Code]=(TRIM($B14))),CkDJ[Credit])))+(SUM(IF((CsDJ[Date]=$A$3)*(CsDJ[Sort Code]=(TRIM(G$4)))*(CsDJ[Account Code]=(TRIM($B14))),CsDJ[Credit])))+(SUM(IF((CRDJ[Date]=$A$3)*(CRDJ[Sort Code]=(TRIM(G$4)))*(CRDJ[Account Code]=(TRIM($B14))),CRDJ[Credit])))+(SUM(IF((GJ[Date]=$A$3)*(GJ[Sort Code]=(TRIM(G$4)))*(GJ[Account Code]=(TRIM($B14))),GJ[Credit]))))-((SUM(IF((CkDJ[Date]=$A$3)*(CkDJ[Sort Code]=(TRIM(G$4)))*(CkDJ[Account Code]=(TRIM($B14))),CkDJ[Debit])))+(SUM(IF((CsDJ[Date]=$A$3)*(CsDJ[Sort Code]=(TRIM(G$4)))*(CsDJ[Account Code]=(TRIM($B14))),CsDJ[Debit])))+(SUM(IF((CRDJ[Date]=$A$3)*(CRDJ[Sort Code]=(TRIM(G$4)))*(CRDJ[Account Code]=(TRIM($B14))),CRDJ[Debit])))+(SUM(IF((GJ[Date]=$A$3)*(GJ[Sort Code]=(TRIM(G$4)))*(GJ[Account Code]=(TRIM($B14))),GJ[Debit]))))</f>
        <v>0</v>
      </c>
      <c r="G14" s="343">
        <f>E14+F14</f>
        <v>0</v>
      </c>
      <c r="H14" s="246">
        <f t="shared" si="0"/>
        <v>0</v>
      </c>
      <c r="I14" s="242">
        <f t="shared" si="1"/>
        <v>0</v>
      </c>
    </row>
    <row r="15" spans="1:9">
      <c r="A15" s="241" t="s">
        <v>826</v>
      </c>
      <c r="B15" s="337"/>
      <c r="C15" s="248">
        <f>SUM(C16:C18)</f>
        <v>0</v>
      </c>
      <c r="D15" s="248">
        <f>SUM(D16:D18)</f>
        <v>0</v>
      </c>
      <c r="E15" s="248">
        <f>SUM(E16:E18)</f>
        <v>0</v>
      </c>
      <c r="F15" s="248">
        <f>SUM(F16:F18)</f>
        <v>0</v>
      </c>
      <c r="G15" s="248">
        <f>SUM(G16:G18)</f>
        <v>0</v>
      </c>
      <c r="H15" s="242">
        <f t="shared" si="0"/>
        <v>0</v>
      </c>
      <c r="I15" s="242">
        <f t="shared" si="1"/>
        <v>0</v>
      </c>
    </row>
    <row r="16" spans="1:9" hidden="1">
      <c r="A16" s="243" t="s">
        <v>182</v>
      </c>
      <c r="B16" s="337" t="s">
        <v>146</v>
      </c>
      <c r="C16" s="245">
        <f t="array" ref="C16">SUM(IF((Budget[Account Code]=B16)*(Budget[Sort Code]=$G$4),(Budget[Amount])))</f>
        <v>0</v>
      </c>
      <c r="D16" s="245">
        <f t="array" ref="D16">SUM(IF((Budget[Account Code]=B16)*(Budget[Sort Code]=$G$4)*(Budget[Date]&lt;=$D$7),(Budget[Amount])))</f>
        <v>0</v>
      </c>
      <c r="E16" s="245">
        <f t="array" ref="E16">((SUM(IF((CkDJ[Sort Code]=(TRIM(G$4)))*(CkDJ[Account Code]=(TRIM($B16)))*(CkDJ[Date]&lt;=$E$7),CkDJ[Credit])))+(SUM(IF((CsDJ[Sort Code]=(TRIM(G$4)))*(CsDJ[Account Code]=(TRIM($B16)))*(CsDJ[Date]&lt;=$E$7),CsDJ[Credit])))+(SUM(IF((CRDJ[Sort Code]=(TRIM(G$4)))*(CRDJ[Account Code]=(TRIM($B16)))*(CRDJ[Date]&lt;=$E$7),CRDJ[Credit])))+(SUM(IF((GJ[Sort Code]=(TRIM(G$4)))*(GJ[Account Code]=(TRIM($B16)))*(GJ[Date]&lt;=$E$7),GJ[Credit]))))-((SUM(IF((CkDJ[Sort Code]=(TRIM(G$4)))*(CkDJ[Account Code]=(TRIM($B16)))*(CkDJ[Date]&lt;=$E$7),CkDJ[Debit])))+(SUM(IF((CsDJ[Sort Code]=(TRIM(G$4)))*(CsDJ[Account Code]=(TRIM($B16)))*(CsDJ[Date]&lt;=$E$7),CsDJ[Debit])))+(SUM(IF((CRDJ[Sort Code]=(TRIM(G$4)))*(CRDJ[Account Code]=(TRIM($B16)))*(CRDJ[Date]&lt;=$E$7),CRDJ[Debit])))+(SUM(IF((GJ[Sort Code]=(TRIM(G$4)))*(GJ[Account Code]=(TRIM($B16)))*(GJ[Date]&lt;=$E$7),GJ[Debit]))))</f>
        <v>0</v>
      </c>
      <c r="F16" s="245">
        <f t="array" ref="F16">((SUM(IF((CkDJ[Date]=$A$3)*(CkDJ[Sort Code]=(TRIM(G$4)))*(CkDJ[Account Code]=(TRIM($B16))),CkDJ[Credit])))+(SUM(IF((CsDJ[Date]=$A$3)*(CsDJ[Sort Code]=(TRIM(G$4)))*(CsDJ[Account Code]=(TRIM($B16))),CsDJ[Credit])))+(SUM(IF((CRDJ[Date]=$A$3)*(CRDJ[Sort Code]=(TRIM(G$4)))*(CRDJ[Account Code]=(TRIM($B16))),CRDJ[Credit])))+(SUM(IF((GJ[Date]=$A$3)*(GJ[Sort Code]=(TRIM(G$4)))*(GJ[Account Code]=(TRIM($B16))),GJ[Credit]))))-((SUM(IF((CkDJ[Date]=$A$3)*(CkDJ[Sort Code]=(TRIM(G$4)))*(CkDJ[Account Code]=(TRIM($B16))),CkDJ[Debit])))+(SUM(IF((CsDJ[Date]=$A$3)*(CsDJ[Sort Code]=(TRIM(G$4)))*(CsDJ[Account Code]=(TRIM($B16))),CsDJ[Debit])))+(SUM(IF((CRDJ[Date]=$A$3)*(CRDJ[Sort Code]=(TRIM(G$4)))*(CRDJ[Account Code]=(TRIM($B16))),CRDJ[Debit])))+(SUM(IF((GJ[Date]=$A$3)*(GJ[Sort Code]=(TRIM(G$4)))*(GJ[Account Code]=(TRIM($B16))),GJ[Debit]))))</f>
        <v>0</v>
      </c>
      <c r="G16" s="343">
        <f>E16+F16</f>
        <v>0</v>
      </c>
      <c r="H16" s="246">
        <f t="shared" si="0"/>
        <v>0</v>
      </c>
      <c r="I16" s="242">
        <f t="shared" si="1"/>
        <v>0</v>
      </c>
    </row>
    <row r="17" spans="1:9" hidden="1">
      <c r="A17" s="243" t="s">
        <v>183</v>
      </c>
      <c r="B17" s="337" t="s">
        <v>147</v>
      </c>
      <c r="C17" s="245">
        <f t="array" ref="C17">SUM(IF((Budget[Account Code]=B17)*(Budget[Sort Code]=$G$4),(Budget[Amount])))</f>
        <v>0</v>
      </c>
      <c r="D17" s="245">
        <f t="array" ref="D17">SUM(IF((Budget[Account Code]=B17)*(Budget[Sort Code]=$G$4)*(Budget[Date]&lt;=$D$7),(Budget[Amount])))</f>
        <v>0</v>
      </c>
      <c r="E17" s="245">
        <f t="array" ref="E17">((SUM(IF((CkDJ[Sort Code]=(TRIM(G$4)))*(CkDJ[Account Code]=(TRIM($B17)))*(CkDJ[Date]&lt;=$E$7),CkDJ[Credit])))+(SUM(IF((CsDJ[Sort Code]=(TRIM(G$4)))*(CsDJ[Account Code]=(TRIM($B17)))*(CsDJ[Date]&lt;=$E$7),CsDJ[Credit])))+(SUM(IF((CRDJ[Sort Code]=(TRIM(G$4)))*(CRDJ[Account Code]=(TRIM($B17)))*(CRDJ[Date]&lt;=$E$7),CRDJ[Credit])))+(SUM(IF((GJ[Sort Code]=(TRIM(G$4)))*(GJ[Account Code]=(TRIM($B17)))*(GJ[Date]&lt;=$E$7),GJ[Credit]))))-((SUM(IF((CkDJ[Sort Code]=(TRIM(G$4)))*(CkDJ[Account Code]=(TRIM($B17)))*(CkDJ[Date]&lt;=$E$7),CkDJ[Debit])))+(SUM(IF((CsDJ[Sort Code]=(TRIM(G$4)))*(CsDJ[Account Code]=(TRIM($B17)))*(CsDJ[Date]&lt;=$E$7),CsDJ[Debit])))+(SUM(IF((CRDJ[Sort Code]=(TRIM(G$4)))*(CRDJ[Account Code]=(TRIM($B17)))*(CRDJ[Date]&lt;=$E$7),CRDJ[Debit])))+(SUM(IF((GJ[Sort Code]=(TRIM(G$4)))*(GJ[Account Code]=(TRIM($B17)))*(GJ[Date]&lt;=$E$7),GJ[Debit]))))</f>
        <v>0</v>
      </c>
      <c r="F17" s="245">
        <f t="array" ref="F17">((SUM(IF((CkDJ[Date]=$A$3)*(CkDJ[Sort Code]=(TRIM(G$4)))*(CkDJ[Account Code]=(TRIM($B17))),CkDJ[Credit])))+(SUM(IF((CsDJ[Date]=$A$3)*(CsDJ[Sort Code]=(TRIM(G$4)))*(CsDJ[Account Code]=(TRIM($B17))),CsDJ[Credit])))+(SUM(IF((CRDJ[Date]=$A$3)*(CRDJ[Sort Code]=(TRIM(G$4)))*(CRDJ[Account Code]=(TRIM($B17))),CRDJ[Credit])))+(SUM(IF((GJ[Date]=$A$3)*(GJ[Sort Code]=(TRIM(G$4)))*(GJ[Account Code]=(TRIM($B17))),GJ[Credit]))))-((SUM(IF((CkDJ[Date]=$A$3)*(CkDJ[Sort Code]=(TRIM(G$4)))*(CkDJ[Account Code]=(TRIM($B17))),CkDJ[Debit])))+(SUM(IF((CsDJ[Date]=$A$3)*(CsDJ[Sort Code]=(TRIM(G$4)))*(CsDJ[Account Code]=(TRIM($B17))),CsDJ[Debit])))+(SUM(IF((CRDJ[Date]=$A$3)*(CRDJ[Sort Code]=(TRIM(G$4)))*(CRDJ[Account Code]=(TRIM($B17))),CRDJ[Debit])))+(SUM(IF((GJ[Date]=$A$3)*(GJ[Sort Code]=(TRIM(G$4)))*(GJ[Account Code]=(TRIM($B17))),GJ[Debit]))))</f>
        <v>0</v>
      </c>
      <c r="G17" s="343">
        <f>E17+F17</f>
        <v>0</v>
      </c>
      <c r="H17" s="246">
        <f t="shared" si="0"/>
        <v>0</v>
      </c>
      <c r="I17" s="242">
        <f t="shared" si="1"/>
        <v>0</v>
      </c>
    </row>
    <row r="18" spans="1:9" hidden="1">
      <c r="A18" s="243" t="s">
        <v>184</v>
      </c>
      <c r="B18" s="337" t="s">
        <v>148</v>
      </c>
      <c r="C18" s="245">
        <f t="array" ref="C18">SUM(IF((Budget[Account Code]=B18)*(Budget[Sort Code]=$G$4),(Budget[Amount])))</f>
        <v>0</v>
      </c>
      <c r="D18" s="245">
        <f t="array" ref="D18">SUM(IF((Budget[Account Code]=B18)*(Budget[Sort Code]=$G$4)*(Budget[Date]&lt;=$D$7),(Budget[Amount])))</f>
        <v>0</v>
      </c>
      <c r="E18" s="245">
        <f t="array" ref="E18">((SUM(IF((CkDJ[Sort Code]=(TRIM(G$4)))*(CkDJ[Account Code]=(TRIM($B18)))*(CkDJ[Date]&lt;=$E$7),CkDJ[Credit])))+(SUM(IF((CsDJ[Sort Code]=(TRIM(G$4)))*(CsDJ[Account Code]=(TRIM($B18)))*(CsDJ[Date]&lt;=$E$7),CsDJ[Credit])))+(SUM(IF((CRDJ[Sort Code]=(TRIM(G$4)))*(CRDJ[Account Code]=(TRIM($B18)))*(CRDJ[Date]&lt;=$E$7),CRDJ[Credit])))+(SUM(IF((GJ[Sort Code]=(TRIM(G$4)))*(GJ[Account Code]=(TRIM($B18)))*(GJ[Date]&lt;=$E$7),GJ[Credit]))))-((SUM(IF((CkDJ[Sort Code]=(TRIM(G$4)))*(CkDJ[Account Code]=(TRIM($B18)))*(CkDJ[Date]&lt;=$E$7),CkDJ[Debit])))+(SUM(IF((CsDJ[Sort Code]=(TRIM(G$4)))*(CsDJ[Account Code]=(TRIM($B18)))*(CsDJ[Date]&lt;=$E$7),CsDJ[Debit])))+(SUM(IF((CRDJ[Sort Code]=(TRIM(G$4)))*(CRDJ[Account Code]=(TRIM($B18)))*(CRDJ[Date]&lt;=$E$7),CRDJ[Debit])))+(SUM(IF((GJ[Sort Code]=(TRIM(G$4)))*(GJ[Account Code]=(TRIM($B18)))*(GJ[Date]&lt;=$E$7),GJ[Debit]))))</f>
        <v>0</v>
      </c>
      <c r="F18" s="245">
        <f t="array" ref="F18">((SUM(IF((CkDJ[Date]=$A$3)*(CkDJ[Sort Code]=(TRIM(G$4)))*(CkDJ[Account Code]=(TRIM($B18))),CkDJ[Credit])))+(SUM(IF((CsDJ[Date]=$A$3)*(CsDJ[Sort Code]=(TRIM(G$4)))*(CsDJ[Account Code]=(TRIM($B18))),CsDJ[Credit])))+(SUM(IF((CRDJ[Date]=$A$3)*(CRDJ[Sort Code]=(TRIM(G$4)))*(CRDJ[Account Code]=(TRIM($B18))),CRDJ[Credit])))+(SUM(IF((GJ[Date]=$A$3)*(GJ[Sort Code]=(TRIM(G$4)))*(GJ[Account Code]=(TRIM($B18))),GJ[Credit]))))-((SUM(IF((CkDJ[Date]=$A$3)*(CkDJ[Sort Code]=(TRIM(G$4)))*(CkDJ[Account Code]=(TRIM($B18))),CkDJ[Debit])))+(SUM(IF((CsDJ[Date]=$A$3)*(CsDJ[Sort Code]=(TRIM(G$4)))*(CsDJ[Account Code]=(TRIM($B18))),CsDJ[Debit])))+(SUM(IF((CRDJ[Date]=$A$3)*(CRDJ[Sort Code]=(TRIM(G$4)))*(CRDJ[Account Code]=(TRIM($B18))),CRDJ[Debit])))+(SUM(IF((GJ[Date]=$A$3)*(GJ[Sort Code]=(TRIM(G$4)))*(GJ[Account Code]=(TRIM($B18))),GJ[Debit]))))</f>
        <v>0</v>
      </c>
      <c r="G18" s="343">
        <f>E18+F18</f>
        <v>0</v>
      </c>
      <c r="H18" s="246">
        <f t="shared" si="0"/>
        <v>0</v>
      </c>
      <c r="I18" s="242">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Code]=B20)*(Budget[Sort Code]=$G$4),(Budget[Amount])))</f>
        <v>0</v>
      </c>
      <c r="D20" s="245">
        <f t="array" ref="D20">SUM(IF((Budget[Account Code]=B20)*(Budget[Sort Code]=$G$4)*(Budget[Date]&lt;=$D$7),(Budget[Amount])))</f>
        <v>0</v>
      </c>
      <c r="E20" s="245">
        <f t="array" ref="E20">((SUM(IF((CkDJ[Sort Code]=(TRIM(G$4)))*(CkDJ[Account Code]=(TRIM($B20)))*(CkDJ[Date]&lt;=$E$7),CkDJ[Credit])))+(SUM(IF((CsDJ[Sort Code]=(TRIM(G$4)))*(CsDJ[Account Code]=(TRIM($B20)))*(CsDJ[Date]&lt;=$E$7),CsDJ[Credit])))+(SUM(IF((CRDJ[Sort Code]=(TRIM(G$4)))*(CRDJ[Account Code]=(TRIM($B20)))*(CRDJ[Date]&lt;=$E$7),CRDJ[Credit])))+(SUM(IF((GJ[Sort Code]=(TRIM(G$4)))*(GJ[Account Code]=(TRIM($B20)))*(GJ[Date]&lt;=$E$7),GJ[Credit]))))-((SUM(IF((CkDJ[Sort Code]=(TRIM(G$4)))*(CkDJ[Account Code]=(TRIM($B20)))*(CkDJ[Date]&lt;=$E$7),CkDJ[Debit])))+(SUM(IF((CsDJ[Sort Code]=(TRIM(G$4)))*(CsDJ[Account Code]=(TRIM($B20)))*(CsDJ[Date]&lt;=$E$7),CsDJ[Debit])))+(SUM(IF((CRDJ[Sort Code]=(TRIM(G$4)))*(CRDJ[Account Code]=(TRIM($B20)))*(CRDJ[Date]&lt;=$E$7),CRDJ[Debit])))+(SUM(IF((GJ[Sort Code]=(TRIM(G$4)))*(GJ[Account Code]=(TRIM($B20)))*(GJ[Date]&lt;=$E$7),GJ[Debit]))))</f>
        <v>0</v>
      </c>
      <c r="F20" s="245">
        <f t="array" ref="F20">((SUM(IF((CkDJ[Date]=$A$3)*(CkDJ[Sort Code]=(TRIM(G$4)))*(CkDJ[Account Code]=(TRIM($B20))),CkDJ[Credit])))+(SUM(IF((CsDJ[Date]=$A$3)*(CsDJ[Sort Code]=(TRIM(G$4)))*(CsDJ[Account Code]=(TRIM($B20))),CsDJ[Credit])))+(SUM(IF((CRDJ[Date]=$A$3)*(CRDJ[Sort Code]=(TRIM(G$4)))*(CRDJ[Account Code]=(TRIM($B20))),CRDJ[Credit])))+(SUM(IF((GJ[Date]=$A$3)*(GJ[Sort Code]=(TRIM(G$4)))*(GJ[Account Code]=(TRIM($B20))),GJ[Credit]))))-((SUM(IF((CkDJ[Date]=$A$3)*(CkDJ[Sort Code]=(TRIM(G$4)))*(CkDJ[Account Code]=(TRIM($B20))),CkDJ[Debit])))+(SUM(IF((CsDJ[Date]=$A$3)*(CsDJ[Sort Code]=(TRIM(G$4)))*(CsDJ[Account Code]=(TRIM($B20))),CsDJ[Debit])))+(SUM(IF((CRDJ[Date]=$A$3)*(CRDJ[Sort Code]=(TRIM(G$4)))*(CRDJ[Account Code]=(TRIM($B20))),CRDJ[Debit])))+(SUM(IF((GJ[Date]=$A$3)*(GJ[Sort Code]=(TRIM(G$4)))*(GJ[Account Code]=(TRIM($B20))),GJ[Debit]))))</f>
        <v>0</v>
      </c>
      <c r="G20" s="343">
        <f>E20+F20</f>
        <v>0</v>
      </c>
      <c r="H20" s="246">
        <f t="shared" si="0"/>
        <v>0</v>
      </c>
      <c r="I20" s="242">
        <f t="shared" si="1"/>
        <v>0</v>
      </c>
    </row>
    <row r="21" spans="1:9">
      <c r="A21" s="243" t="s">
        <v>820</v>
      </c>
      <c r="B21" s="337"/>
      <c r="C21" s="245">
        <f>SUM(C22:C23)</f>
        <v>0</v>
      </c>
      <c r="D21" s="245">
        <f>SUM(D22:D23)</f>
        <v>0</v>
      </c>
      <c r="E21" s="245">
        <f>SUM(E22:E23)</f>
        <v>0</v>
      </c>
      <c r="F21" s="245">
        <f>SUM(F22:F23)</f>
        <v>0</v>
      </c>
      <c r="G21" s="245">
        <f>SUM(G22:G23)</f>
        <v>0</v>
      </c>
      <c r="H21" s="246">
        <f t="shared" si="0"/>
        <v>0</v>
      </c>
      <c r="I21" s="242">
        <f t="shared" si="1"/>
        <v>0</v>
      </c>
    </row>
    <row r="22" spans="1:9" hidden="1">
      <c r="A22" s="247" t="s">
        <v>819</v>
      </c>
      <c r="B22" s="337" t="s">
        <v>140</v>
      </c>
      <c r="C22" s="245">
        <f t="array" ref="C22">SUM(IF((Budget[Account Code]=B22)*(Budget[Sort Code]=$G$4),(Budget[Amount])))</f>
        <v>0</v>
      </c>
      <c r="D22" s="245">
        <f t="array" ref="D22">SUM(IF((Budget[Account Code]=B22)*(Budget[Sort Code]=$G$4)*(Budget[Date]&lt;=$D$7),(Budget[Amount])))</f>
        <v>0</v>
      </c>
      <c r="E22" s="245">
        <f t="array" ref="E22">((SUM(IF((CkDJ[Sort Code]=(TRIM(G$4)))*(CkDJ[Account Code]=(TRIM($B22)))*(CkDJ[Date]&lt;=$E$7),CkDJ[Credit])))+(SUM(IF((CsDJ[Sort Code]=(TRIM(G$4)))*(CsDJ[Account Code]=(TRIM($B22)))*(CsDJ[Date]&lt;=$E$7),CsDJ[Credit])))+(SUM(IF((CRDJ[Sort Code]=(TRIM(G$4)))*(CRDJ[Account Code]=(TRIM($B22)))*(CRDJ[Date]&lt;=$E$7),CRDJ[Credit])))+(SUM(IF((GJ[Sort Code]=(TRIM(G$4)))*(GJ[Account Code]=(TRIM($B22)))*(GJ[Date]&lt;=$E$7),GJ[Credit]))))-((SUM(IF((CkDJ[Sort Code]=(TRIM(G$4)))*(CkDJ[Account Code]=(TRIM($B22)))*(CkDJ[Date]&lt;=$E$7),CkDJ[Debit])))+(SUM(IF((CsDJ[Sort Code]=(TRIM(G$4)))*(CsDJ[Account Code]=(TRIM($B22)))*(CsDJ[Date]&lt;=$E$7),CsDJ[Debit])))+(SUM(IF((CRDJ[Sort Code]=(TRIM(G$4)))*(CRDJ[Account Code]=(TRIM($B22)))*(CRDJ[Date]&lt;=$E$7),CRDJ[Debit])))+(SUM(IF((GJ[Sort Code]=(TRIM(G$4)))*(GJ[Account Code]=(TRIM($B22)))*(GJ[Date]&lt;=$E$7),GJ[Debit]))))</f>
        <v>0</v>
      </c>
      <c r="F22" s="245">
        <f t="array" ref="F22">((SUM(IF((CkDJ[Date]=$A$3)*(CkDJ[Sort Code]=(TRIM(G$4)))*(CkDJ[Account Code]=(TRIM($B22))),CkDJ[Credit])))+(SUM(IF((CsDJ[Date]=$A$3)*(CsDJ[Sort Code]=(TRIM(G$4)))*(CsDJ[Account Code]=(TRIM($B22))),CsDJ[Credit])))+(SUM(IF((CRDJ[Date]=$A$3)*(CRDJ[Sort Code]=(TRIM(G$4)))*(CRDJ[Account Code]=(TRIM($B22))),CRDJ[Credit])))+(SUM(IF((GJ[Date]=$A$3)*(GJ[Sort Code]=(TRIM(G$4)))*(GJ[Account Code]=(TRIM($B22))),GJ[Credit]))))-((SUM(IF((CkDJ[Date]=$A$3)*(CkDJ[Sort Code]=(TRIM(G$4)))*(CkDJ[Account Code]=(TRIM($B22))),CkDJ[Debit])))+(SUM(IF((CsDJ[Date]=$A$3)*(CsDJ[Sort Code]=(TRIM(G$4)))*(CsDJ[Account Code]=(TRIM($B22))),CsDJ[Debit])))+(SUM(IF((CRDJ[Date]=$A$3)*(CRDJ[Sort Code]=(TRIM(G$4)))*(CRDJ[Account Code]=(TRIM($B22))),CRDJ[Debit])))+(SUM(IF((GJ[Date]=$A$3)*(GJ[Sort Code]=(TRIM(G$4)))*(GJ[Account Code]=(TRIM($B22))),GJ[Debit]))))</f>
        <v>0</v>
      </c>
      <c r="G22" s="343">
        <f>E22+F22</f>
        <v>0</v>
      </c>
      <c r="H22" s="246">
        <f t="shared" si="0"/>
        <v>0</v>
      </c>
      <c r="I22" s="242">
        <f t="shared" si="1"/>
        <v>0</v>
      </c>
    </row>
    <row r="23" spans="1:9" hidden="1">
      <c r="A23" s="247" t="s">
        <v>818</v>
      </c>
      <c r="B23" s="337" t="s">
        <v>144</v>
      </c>
      <c r="C23" s="245">
        <f t="array" ref="C23">SUM(IF((Budget[Account Code]=B23)*(Budget[Sort Code]=$G$4),(Budget[Amount])))</f>
        <v>0</v>
      </c>
      <c r="D23" s="245">
        <f t="array" ref="D23">SUM(IF((Budget[Account Code]=B23)*(Budget[Sort Code]=$G$4)*(Budget[Date]&lt;=$D$7),(Budget[Amount])))</f>
        <v>0</v>
      </c>
      <c r="E23" s="245">
        <f t="array" ref="E23">((SUM(IF((CkDJ[Sort Code]=(TRIM(G$4)))*(CkDJ[Account Code]=(TRIM($B23)))*(CkDJ[Date]&lt;=$E$7),CkDJ[Credit])))+(SUM(IF((CsDJ[Sort Code]=(TRIM(G$4)))*(CsDJ[Account Code]=(TRIM($B23)))*(CsDJ[Date]&lt;=$E$7),CsDJ[Credit])))+(SUM(IF((CRDJ[Sort Code]=(TRIM(G$4)))*(CRDJ[Account Code]=(TRIM($B23)))*(CRDJ[Date]&lt;=$E$7),CRDJ[Credit])))+(SUM(IF((GJ[Sort Code]=(TRIM(G$4)))*(GJ[Account Code]=(TRIM($B23)))*(GJ[Date]&lt;=$E$7),GJ[Credit]))))-((SUM(IF((CkDJ[Sort Code]=(TRIM(G$4)))*(CkDJ[Account Code]=(TRIM($B23)))*(CkDJ[Date]&lt;=$E$7),CkDJ[Debit])))+(SUM(IF((CsDJ[Sort Code]=(TRIM(G$4)))*(CsDJ[Account Code]=(TRIM($B23)))*(CsDJ[Date]&lt;=$E$7),CsDJ[Debit])))+(SUM(IF((CRDJ[Sort Code]=(TRIM(G$4)))*(CRDJ[Account Code]=(TRIM($B23)))*(CRDJ[Date]&lt;=$E$7),CRDJ[Debit])))+(SUM(IF((GJ[Sort Code]=(TRIM(G$4)))*(GJ[Account Code]=(TRIM($B23)))*(GJ[Date]&lt;=$E$7),GJ[Debit]))))</f>
        <v>0</v>
      </c>
      <c r="F23" s="245">
        <f t="array" ref="F23">((SUM(IF((CkDJ[Date]=$A$3)*(CkDJ[Sort Code]=(TRIM(G$4)))*(CkDJ[Account Code]=(TRIM($B23))),CkDJ[Credit])))+(SUM(IF((CsDJ[Date]=$A$3)*(CsDJ[Sort Code]=(TRIM(G$4)))*(CsDJ[Account Code]=(TRIM($B23))),CsDJ[Credit])))+(SUM(IF((CRDJ[Date]=$A$3)*(CRDJ[Sort Code]=(TRIM(G$4)))*(CRDJ[Account Code]=(TRIM($B23))),CRDJ[Credit])))+(SUM(IF((GJ[Date]=$A$3)*(GJ[Sort Code]=(TRIM(G$4)))*(GJ[Account Code]=(TRIM($B23))),GJ[Credit]))))-((SUM(IF((CkDJ[Date]=$A$3)*(CkDJ[Sort Code]=(TRIM(G$4)))*(CkDJ[Account Code]=(TRIM($B23))),CkDJ[Debit])))+(SUM(IF((CsDJ[Date]=$A$3)*(CsDJ[Sort Code]=(TRIM(G$4)))*(CsDJ[Account Code]=(TRIM($B23))),CsDJ[Debit])))+(SUM(IF((CRDJ[Date]=$A$3)*(CRDJ[Sort Code]=(TRIM(G$4)))*(CRDJ[Account Code]=(TRIM($B23))),CRDJ[Debit])))+(SUM(IF((GJ[Date]=$A$3)*(GJ[Sort Code]=(TRIM(G$4)))*(GJ[Account Code]=(TRIM($B23))),GJ[Debit]))))</f>
        <v>0</v>
      </c>
      <c r="G23" s="343">
        <f>E23+F23</f>
        <v>0</v>
      </c>
      <c r="H23" s="246">
        <f t="shared" si="0"/>
        <v>0</v>
      </c>
      <c r="I23" s="242">
        <f t="shared" si="1"/>
        <v>0</v>
      </c>
    </row>
    <row r="24" spans="1:9">
      <c r="A24" s="249" t="s">
        <v>814</v>
      </c>
      <c r="B24" s="338"/>
      <c r="C24" s="250">
        <f>C9+C15+C19</f>
        <v>10900000</v>
      </c>
      <c r="D24" s="250">
        <f>D9+D15+D19</f>
        <v>10900000</v>
      </c>
      <c r="E24" s="250">
        <f>E9+E15+E19</f>
        <v>0</v>
      </c>
      <c r="F24" s="250">
        <f>F9+F15+F19</f>
        <v>0</v>
      </c>
      <c r="G24" s="250">
        <f>G9+G15+G19</f>
        <v>0</v>
      </c>
      <c r="H24" s="250">
        <f>G24-D24</f>
        <v>-10900000</v>
      </c>
      <c r="I24" s="250">
        <f>IF((D24=0),0,G24/D24)</f>
        <v>0</v>
      </c>
    </row>
    <row r="25" spans="1:9">
      <c r="A25" s="239" t="s">
        <v>824</v>
      </c>
      <c r="B25" s="337"/>
      <c r="C25" s="240"/>
      <c r="D25" s="240"/>
      <c r="E25" s="240"/>
      <c r="F25" s="240"/>
      <c r="G25" s="246"/>
      <c r="H25" s="246"/>
      <c r="I25" s="246"/>
    </row>
    <row r="26" spans="1:9">
      <c r="A26" s="241" t="s">
        <v>823</v>
      </c>
      <c r="B26" s="337" t="s">
        <v>352</v>
      </c>
      <c r="C26" s="245">
        <f t="array" ref="C26">SUM(IF((Budget[Account Code]=B26)*(Budget[Sort Code]=$G$4),(Budget[Amount])))</f>
        <v>15000000</v>
      </c>
      <c r="D26" s="245">
        <f t="array" ref="D26">SUM(IF((Budget[Account Code]=B26)*(Budget[Sort Code]=$G$4)*(Budget[Date]&lt;=$D$7),(Budget[Amount])))</f>
        <v>15000000</v>
      </c>
      <c r="E26" s="245">
        <f t="array" ref="E26">((SUM(IF((CkDJ[Sort Code]=(TRIM(G$4)))*(CkDJ[Account Code]=(TRIM($B26)))*(CkDJ[Date]&lt;=$E$7),CkDJ[Credit])))+(SUM(IF((CsDJ[Sort Code]=(TRIM(G$4)))*(CsDJ[Account Code]=(TRIM($B26)))*(CsDJ[Date]&lt;=$E$7),CsDJ[Credit])))+(SUM(IF((CRDJ[Sort Code]=(TRIM(G$4)))*(CRDJ[Account Code]=(TRIM($B26)))*(CRDJ[Date]&lt;=$E$7),CRDJ[Credit])))+(SUM(IF((GJ[Sort Code]=(TRIM(G$4)))*(GJ[Account Code]=(TRIM($B26)))*(GJ[Date]&lt;=$E$7),GJ[Credit]))))-((SUM(IF((CkDJ[Sort Code]=(TRIM(G$4)))*(CkDJ[Account Code]=(TRIM($B26)))*(CkDJ[Date]&lt;=$E$7),CkDJ[Debit])))+(SUM(IF((CsDJ[Sort Code]=(TRIM(G$4)))*(CsDJ[Account Code]=(TRIM($B26)))*(CsDJ[Date]&lt;=$E$7),CsDJ[Debit])))+(SUM(IF((CRDJ[Sort Code]=(TRIM(G$4)))*(CRDJ[Account Code]=(TRIM($B26)))*(CRDJ[Date]&lt;=$E$7),CRDJ[Debit])))+(SUM(IF((GJ[Sort Code]=(TRIM(G$4)))*(GJ[Account Code]=(TRIM($B26)))*(GJ[Date]&lt;=$E$7),GJ[Debit]))))</f>
        <v>0</v>
      </c>
      <c r="F26" s="245">
        <f t="array" ref="F26">((SUM(IF((CkDJ[Date]=$A$3)*(CkDJ[Sort Code]=(TRIM(G$4)))*(CkDJ[Account Code]=(TRIM($B26))),CkDJ[Credit])))+(SUM(IF((CsDJ[Date]=$A$3)*(CsDJ[Sort Code]=(TRIM(G$4)))*(CsDJ[Account Code]=(TRIM($B26))),CsDJ[Credit])))+(SUM(IF((CRDJ[Date]=$A$3)*(CRDJ[Sort Code]=(TRIM(G$4)))*(CRDJ[Account Code]=(TRIM($B26))),CRDJ[Credit])))+(SUM(IF((GJ[Date]=$A$3)*(GJ[Sort Code]=(TRIM(G$4)))*(GJ[Account Code]=(TRIM($B26))),GJ[Credit]))))-((SUM(IF((CkDJ[Date]=$A$3)*(CkDJ[Sort Code]=(TRIM(G$4)))*(CkDJ[Account Code]=(TRIM($B26))),CkDJ[Debit])))+(SUM(IF((CsDJ[Date]=$A$3)*(CsDJ[Sort Code]=(TRIM(G$4)))*(CsDJ[Account Code]=(TRIM($B26))),CsDJ[Debit])))+(SUM(IF((CRDJ[Date]=$A$3)*(CRDJ[Sort Code]=(TRIM(G$4)))*(CRDJ[Account Code]=(TRIM($B26))),CRDJ[Debit])))+(SUM(IF((GJ[Date]=$A$3)*(GJ[Sort Code]=(TRIM(G$4)))*(GJ[Account Code]=(TRIM($B26))),GJ[Debit]))))</f>
        <v>0</v>
      </c>
      <c r="G26" s="343">
        <f>E26+F26</f>
        <v>0</v>
      </c>
      <c r="H26" s="246">
        <f t="shared" ref="H26:H46" si="2">G26-D26</f>
        <v>-15000000</v>
      </c>
      <c r="I26" s="246">
        <f t="shared" ref="I26:I46" si="3">IF((D26=0),0,G26/D26)</f>
        <v>0</v>
      </c>
    </row>
    <row r="27" spans="1:9">
      <c r="A27" s="241" t="s">
        <v>822</v>
      </c>
      <c r="B27" s="337"/>
      <c r="C27" s="248">
        <f>SUM(C28:C29)</f>
        <v>6762078.0599999996</v>
      </c>
      <c r="D27" s="248">
        <f>SUM(D28:D29)</f>
        <v>6762078.0599999996</v>
      </c>
      <c r="E27" s="248">
        <f>SUM(E28:E29)</f>
        <v>0</v>
      </c>
      <c r="F27" s="248">
        <f>SUM(F28:F29)</f>
        <v>0</v>
      </c>
      <c r="G27" s="248">
        <f>SUM(G28:G29)</f>
        <v>0</v>
      </c>
      <c r="H27" s="242">
        <f t="shared" si="2"/>
        <v>-6762078.0599999996</v>
      </c>
      <c r="I27" s="242">
        <f t="shared" si="3"/>
        <v>0</v>
      </c>
    </row>
    <row r="28" spans="1:9">
      <c r="A28" s="243" t="s">
        <v>821</v>
      </c>
      <c r="B28" s="339" t="s">
        <v>128</v>
      </c>
      <c r="C28" s="245">
        <f t="array" ref="C28">SUM(IF((Budget[Account Code]=B28)*(Budget[Sort Code]=$G$4),(Budget[Amount])))</f>
        <v>1725000</v>
      </c>
      <c r="D28" s="245">
        <f t="array" ref="D28">SUM(IF((Budget[Account Code]=B28)*(Budget[Sort Code]=$G$4)*(Budget[Date]&lt;=$D$7),(Budget[Amount])))</f>
        <v>1725000</v>
      </c>
      <c r="E28" s="245">
        <f t="array" ref="E28">((SUM(IF((CkDJ[Sort Code]=(TRIM(G$4)))*(CkDJ[Account Code]=(TRIM($B28)))*(CkDJ[Date]&lt;=$E$7),CkDJ[Credit])))+(SUM(IF((CsDJ[Sort Code]=(TRIM(G$4)))*(CsDJ[Account Code]=(TRIM($B28)))*(CsDJ[Date]&lt;=$E$7),CsDJ[Credit])))+(SUM(IF((CRDJ[Sort Code]=(TRIM(G$4)))*(CRDJ[Account Code]=(TRIM($B28)))*(CRDJ[Date]&lt;=$E$7),CRDJ[Credit])))+(SUM(IF((GJ[Sort Code]=(TRIM(G$4)))*(GJ[Account Code]=(TRIM($B28)))*(GJ[Date]&lt;=$E$7),GJ[Credit]))))-((SUM(IF((CkDJ[Sort Code]=(TRIM(G$4)))*(CkDJ[Account Code]=(TRIM($B28)))*(CkDJ[Date]&lt;=$E$7),CkDJ[Debit])))+(SUM(IF((CsDJ[Sort Code]=(TRIM(G$4)))*(CsDJ[Account Code]=(TRIM($B28)))*(CsDJ[Date]&lt;=$E$7),CsDJ[Debit])))+(SUM(IF((CRDJ[Sort Code]=(TRIM(G$4)))*(CRDJ[Account Code]=(TRIM($B28)))*(CRDJ[Date]&lt;=$E$7),CRDJ[Debit])))+(SUM(IF((GJ[Sort Code]=(TRIM(G$4)))*(GJ[Account Code]=(TRIM($B28)))*(GJ[Date]&lt;=$E$7),GJ[Debit]))))</f>
        <v>0</v>
      </c>
      <c r="F28" s="245">
        <f t="array" ref="F28">((SUM(IF((CkDJ[Date]=$A$3)*(CkDJ[Sort Code]=(TRIM(G$4)))*(CkDJ[Account Code]=(TRIM($B28))),CkDJ[Credit])))+(SUM(IF((CsDJ[Date]=$A$3)*(CsDJ[Sort Code]=(TRIM(G$4)))*(CsDJ[Account Code]=(TRIM($B28))),CsDJ[Credit])))+(SUM(IF((CRDJ[Date]=$A$3)*(CRDJ[Sort Code]=(TRIM(G$4)))*(CRDJ[Account Code]=(TRIM($B28))),CRDJ[Credit])))+(SUM(IF((GJ[Date]=$A$3)*(GJ[Sort Code]=(TRIM(G$4)))*(GJ[Account Code]=(TRIM($B28))),GJ[Credit]))))-((SUM(IF((CkDJ[Date]=$A$3)*(CkDJ[Sort Code]=(TRIM(G$4)))*(CkDJ[Account Code]=(TRIM($B28))),CkDJ[Debit])))+(SUM(IF((CsDJ[Date]=$A$3)*(CsDJ[Sort Code]=(TRIM(G$4)))*(CsDJ[Account Code]=(TRIM($B28))),CsDJ[Debit])))+(SUM(IF((CRDJ[Date]=$A$3)*(CRDJ[Sort Code]=(TRIM(G$4)))*(CRDJ[Account Code]=(TRIM($B28))),CRDJ[Debit])))+(SUM(IF((GJ[Date]=$A$3)*(GJ[Sort Code]=(TRIM(G$4)))*(GJ[Account Code]=(TRIM($B28))),GJ[Debit]))))</f>
        <v>0</v>
      </c>
      <c r="G28" s="343">
        <f>E28+F28</f>
        <v>0</v>
      </c>
      <c r="H28" s="246">
        <f t="shared" si="2"/>
        <v>-1725000</v>
      </c>
      <c r="I28" s="246">
        <f t="shared" si="3"/>
        <v>0</v>
      </c>
    </row>
    <row r="29" spans="1:9">
      <c r="A29" s="243" t="s">
        <v>820</v>
      </c>
      <c r="B29" s="339"/>
      <c r="C29" s="245">
        <f>SUM(C30:C31)</f>
        <v>5037078.0599999996</v>
      </c>
      <c r="D29" s="245">
        <f>SUM(D30:D31)</f>
        <v>5037078.0599999996</v>
      </c>
      <c r="E29" s="245">
        <f>SUM(E30:E31)</f>
        <v>0</v>
      </c>
      <c r="F29" s="245">
        <f>SUM(F30:F31)</f>
        <v>0</v>
      </c>
      <c r="G29" s="245">
        <f>SUM(G30:G31)</f>
        <v>0</v>
      </c>
      <c r="H29" s="246">
        <f t="shared" si="2"/>
        <v>-5037078.0599999996</v>
      </c>
      <c r="I29" s="246">
        <f t="shared" si="3"/>
        <v>0</v>
      </c>
    </row>
    <row r="30" spans="1:9" hidden="1">
      <c r="A30" s="247" t="s">
        <v>819</v>
      </c>
      <c r="B30" s="339" t="s">
        <v>129</v>
      </c>
      <c r="C30" s="245">
        <f t="array" ref="C30">SUM(IF((Budget[Account Code]=B30)*(Budget[Sort Code]=$G$4),(Budget[Amount])))</f>
        <v>5037078.0599999996</v>
      </c>
      <c r="D30" s="245">
        <f t="array" ref="D30">SUM(IF((Budget[Account Code]=B30)*(Budget[Sort Code]=$G$4)*(Budget[Date]&lt;=$D$7),(Budget[Amount])))</f>
        <v>5037078.0599999996</v>
      </c>
      <c r="E30" s="245">
        <f t="array" ref="E30">((SUM(IF((CkDJ[Sort Code]=(TRIM(G$4)))*(CkDJ[Account Code]=(TRIM($B30)))*(CkDJ[Date]&lt;=$E$7),CkDJ[Credit])))+(SUM(IF((CsDJ[Sort Code]=(TRIM(G$4)))*(CsDJ[Account Code]=(TRIM($B30)))*(CsDJ[Date]&lt;=$E$7),CsDJ[Credit])))+(SUM(IF((CRDJ[Sort Code]=(TRIM(G$4)))*(CRDJ[Account Code]=(TRIM($B30)))*(CRDJ[Date]&lt;=$E$7),CRDJ[Credit])))+(SUM(IF((GJ[Sort Code]=(TRIM(G$4)))*(GJ[Account Code]=(TRIM($B30)))*(GJ[Date]&lt;=$E$7),GJ[Credit]))))-((SUM(IF((CkDJ[Sort Code]=(TRIM(G$4)))*(CkDJ[Account Code]=(TRIM($B30)))*(CkDJ[Date]&lt;=$E$7),CkDJ[Debit])))+(SUM(IF((CsDJ[Sort Code]=(TRIM(G$4)))*(CsDJ[Account Code]=(TRIM($B30)))*(CsDJ[Date]&lt;=$E$7),CsDJ[Debit])))+(SUM(IF((CRDJ[Sort Code]=(TRIM(G$4)))*(CRDJ[Account Code]=(TRIM($B30)))*(CRDJ[Date]&lt;=$E$7),CRDJ[Debit])))+(SUM(IF((GJ[Sort Code]=(TRIM(G$4)))*(GJ[Account Code]=(TRIM($B30)))*(GJ[Date]&lt;=$E$7),GJ[Debit]))))</f>
        <v>0</v>
      </c>
      <c r="F30" s="245">
        <f t="array" ref="F30">((SUM(IF((CkDJ[Date]=$A$3)*(CkDJ[Sort Code]=(TRIM(G$4)))*(CkDJ[Account Code]=(TRIM($B30))),CkDJ[Credit])))+(SUM(IF((CsDJ[Date]=$A$3)*(CsDJ[Sort Code]=(TRIM(G$4)))*(CsDJ[Account Code]=(TRIM($B30))),CsDJ[Credit])))+(SUM(IF((CRDJ[Date]=$A$3)*(CRDJ[Sort Code]=(TRIM(G$4)))*(CRDJ[Account Code]=(TRIM($B30))),CRDJ[Credit])))+(SUM(IF((GJ[Date]=$A$3)*(GJ[Sort Code]=(TRIM(G$4)))*(GJ[Account Code]=(TRIM($B30))),GJ[Credit]))))-((SUM(IF((CkDJ[Date]=$A$3)*(CkDJ[Sort Code]=(TRIM(G$4)))*(CkDJ[Account Code]=(TRIM($B30))),CkDJ[Debit])))+(SUM(IF((CsDJ[Date]=$A$3)*(CsDJ[Sort Code]=(TRIM(G$4)))*(CsDJ[Account Code]=(TRIM($B30))),CsDJ[Debit])))+(SUM(IF((CRDJ[Date]=$A$3)*(CRDJ[Sort Code]=(TRIM(G$4)))*(CRDJ[Account Code]=(TRIM($B30))),CRDJ[Debit])))+(SUM(IF((GJ[Date]=$A$3)*(GJ[Sort Code]=(TRIM(G$4)))*(GJ[Account Code]=(TRIM($B30))),GJ[Debit]))))</f>
        <v>0</v>
      </c>
      <c r="G30" s="343">
        <f>E30+F30</f>
        <v>0</v>
      </c>
      <c r="H30" s="246">
        <f t="shared" si="2"/>
        <v>-5037078.0599999996</v>
      </c>
      <c r="I30" s="246">
        <f t="shared" si="3"/>
        <v>0</v>
      </c>
    </row>
    <row r="31" spans="1:9" hidden="1">
      <c r="A31" s="247" t="s">
        <v>818</v>
      </c>
      <c r="B31" s="339" t="s">
        <v>145</v>
      </c>
      <c r="C31" s="245">
        <f t="array" ref="C31">SUM(IF((Budget[Account Code]=B31)*(Budget[Sort Code]=$G$4),(Budget[Amount])))</f>
        <v>0</v>
      </c>
      <c r="D31" s="245">
        <f t="array" ref="D31">SUM(IF((Budget[Account Code]=B31)*(Budget[Sort Code]=$G$4)*(Budget[Date]&lt;=$D$7),(Budget[Amount])))</f>
        <v>0</v>
      </c>
      <c r="E31" s="245">
        <f t="array" ref="E31">((SUM(IF((CkDJ[Sort Code]=(TRIM(G$4)))*(CkDJ[Account Code]=(TRIM($B31)))*(CkDJ[Date]&lt;=$E$7),CkDJ[Credit])))+(SUM(IF((CsDJ[Sort Code]=(TRIM(G$4)))*(CsDJ[Account Code]=(TRIM($B31)))*(CsDJ[Date]&lt;=$E$7),CsDJ[Credit])))+(SUM(IF((CRDJ[Sort Code]=(TRIM(G$4)))*(CRDJ[Account Code]=(TRIM($B31)))*(CRDJ[Date]&lt;=$E$7),CRDJ[Credit])))+(SUM(IF((GJ[Sort Code]=(TRIM(G$4)))*(GJ[Account Code]=(TRIM($B31)))*(GJ[Date]&lt;=$E$7),GJ[Credit]))))-((SUM(IF((CkDJ[Sort Code]=(TRIM(G$4)))*(CkDJ[Account Code]=(TRIM($B31)))*(CkDJ[Date]&lt;=$E$7),CkDJ[Debit])))+(SUM(IF((CsDJ[Sort Code]=(TRIM(G$4)))*(CsDJ[Account Code]=(TRIM($B31)))*(CsDJ[Date]&lt;=$E$7),CsDJ[Debit])))+(SUM(IF((CRDJ[Sort Code]=(TRIM(G$4)))*(CRDJ[Account Code]=(TRIM($B31)))*(CRDJ[Date]&lt;=$E$7),CRDJ[Debit])))+(SUM(IF((GJ[Sort Code]=(TRIM(G$4)))*(GJ[Account Code]=(TRIM($B31)))*(GJ[Date]&lt;=$E$7),GJ[Debit]))))</f>
        <v>0</v>
      </c>
      <c r="F31" s="245">
        <f t="array" ref="F31">((SUM(IF((CkDJ[Date]=$A$3)*(CkDJ[Sort Code]=(TRIM(G$4)))*(CkDJ[Account Code]=(TRIM($B31))),CkDJ[Credit])))+(SUM(IF((CsDJ[Date]=$A$3)*(CsDJ[Sort Code]=(TRIM(G$4)))*(CsDJ[Account Code]=(TRIM($B31))),CsDJ[Credit])))+(SUM(IF((CRDJ[Date]=$A$3)*(CRDJ[Sort Code]=(TRIM(G$4)))*(CRDJ[Account Code]=(TRIM($B31))),CRDJ[Credit])))+(SUM(IF((GJ[Date]=$A$3)*(GJ[Sort Code]=(TRIM(G$4)))*(GJ[Account Code]=(TRIM($B31))),GJ[Credit]))))-((SUM(IF((CkDJ[Date]=$A$3)*(CkDJ[Sort Code]=(TRIM(G$4)))*(CkDJ[Account Code]=(TRIM($B31))),CkDJ[Debit])))+(SUM(IF((CsDJ[Date]=$A$3)*(CsDJ[Sort Code]=(TRIM(G$4)))*(CsDJ[Account Code]=(TRIM($B31))),CsDJ[Debit])))+(SUM(IF((CRDJ[Date]=$A$3)*(CRDJ[Sort Code]=(TRIM(G$4)))*(CRDJ[Account Code]=(TRIM($B31))),CRDJ[Debit])))+(SUM(IF((GJ[Date]=$A$3)*(GJ[Sort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Code]=B33)*(Budget[Sort Code]=$G$4),(Budget[Amount])))</f>
        <v>0</v>
      </c>
      <c r="D33" s="245">
        <f t="array" ref="D33">SUM(IF((Budget[Account Code]=B33)*(Budget[Sort Code]=$G$4)*(Budget[Date]&lt;=$D$7),(Budget[Amount])))</f>
        <v>0</v>
      </c>
      <c r="E33" s="245">
        <f t="array" ref="E33">((SUM(IF((CkDJ[Sort Code]=(TRIM(G$4)))*(CkDJ[Account Code]=(TRIM($B33)))*(CkDJ[Date]&lt;=$E$7),CkDJ[Credit])))+(SUM(IF((CsDJ[Sort Code]=(TRIM(G$4)))*(CsDJ[Account Code]=(TRIM($B33)))*(CsDJ[Date]&lt;=$E$7),CsDJ[Credit])))+(SUM(IF((CRDJ[Sort Code]=(TRIM(G$4)))*(CRDJ[Account Code]=(TRIM($B33)))*(CRDJ[Date]&lt;=$E$7),CRDJ[Credit])))+(SUM(IF((GJ[Sort Code]=(TRIM(G$4)))*(GJ[Account Code]=(TRIM($B33)))*(GJ[Date]&lt;=$E$7),GJ[Credit]))))-((SUM(IF((CkDJ[Sort Code]=(TRIM(G$4)))*(CkDJ[Account Code]=(TRIM($B33)))*(CkDJ[Date]&lt;=$E$7),CkDJ[Debit])))+(SUM(IF((CsDJ[Sort Code]=(TRIM(G$4)))*(CsDJ[Account Code]=(TRIM($B33)))*(CsDJ[Date]&lt;=$E$7),CsDJ[Debit])))+(SUM(IF((CRDJ[Sort Code]=(TRIM(G$4)))*(CRDJ[Account Code]=(TRIM($B33)))*(CRDJ[Date]&lt;=$E$7),CRDJ[Debit])))+(SUM(IF((GJ[Sort Code]=(TRIM(G$4)))*(GJ[Account Code]=(TRIM($B33)))*(GJ[Date]&lt;=$E$7),GJ[Debit]))))</f>
        <v>0</v>
      </c>
      <c r="F33" s="245">
        <f t="array" ref="F33">((SUM(IF((CkDJ[Date]=$A$3)*(CkDJ[Sort Code]=(TRIM(G$4)))*(CkDJ[Account Code]=(TRIM($B33))),CkDJ[Credit])))+(SUM(IF((CsDJ[Date]=$A$3)*(CsDJ[Sort Code]=(TRIM(G$4)))*(CsDJ[Account Code]=(TRIM($B33))),CsDJ[Credit])))+(SUM(IF((CRDJ[Date]=$A$3)*(CRDJ[Sort Code]=(TRIM(G$4)))*(CRDJ[Account Code]=(TRIM($B33))),CRDJ[Credit])))+(SUM(IF((GJ[Date]=$A$3)*(GJ[Sort Code]=(TRIM(G$4)))*(GJ[Account Code]=(TRIM($B33))),GJ[Credit]))))-((SUM(IF((CkDJ[Date]=$A$3)*(CkDJ[Sort Code]=(TRIM(G$4)))*(CkDJ[Account Code]=(TRIM($B33))),CkDJ[Debit])))+(SUM(IF((CsDJ[Date]=$A$3)*(CsDJ[Sort Code]=(TRIM(G$4)))*(CsDJ[Account Code]=(TRIM($B33))),CsDJ[Debit])))+(SUM(IF((CRDJ[Date]=$A$3)*(CRDJ[Sort Code]=(TRIM(G$4)))*(CRDJ[Account Code]=(TRIM($B33))),CRDJ[Debit])))+(SUM(IF((GJ[Date]=$A$3)*(GJ[Sort Code]=(TRIM(G$4)))*(GJ[Account Code]=(TRIM($B33))),GJ[Debit]))))</f>
        <v>0</v>
      </c>
      <c r="G33" s="343">
        <f>E33+F33</f>
        <v>0</v>
      </c>
      <c r="H33" s="246">
        <f t="shared" si="2"/>
        <v>0</v>
      </c>
      <c r="I33" s="246">
        <f t="shared" si="3"/>
        <v>0</v>
      </c>
    </row>
    <row r="34" spans="1:9" hidden="1">
      <c r="A34" s="272" t="s">
        <v>180</v>
      </c>
      <c r="B34" s="339" t="s">
        <v>141</v>
      </c>
      <c r="C34" s="245">
        <f t="array" ref="C34">SUM(IF((Budget[Account Code]=B34)*(Budget[Sort Code]=$G$4),(Budget[Amount])))</f>
        <v>0</v>
      </c>
      <c r="D34" s="245">
        <f t="array" ref="D34">SUM(IF((Budget[Account Code]=B34)*(Budget[Sort Code]=$G$4)*(Budget[Date]&lt;=$D$7),(Budget[Amount])))</f>
        <v>0</v>
      </c>
      <c r="E34" s="245">
        <f t="array" ref="E34">((SUM(IF((CkDJ[Sort Code]=(TRIM(G$4)))*(CkDJ[Account Code]=(TRIM($B34)))*(CkDJ[Date]&lt;=$E$7),CkDJ[Credit])))+(SUM(IF((CsDJ[Sort Code]=(TRIM(G$4)))*(CsDJ[Account Code]=(TRIM($B34)))*(CsDJ[Date]&lt;=$E$7),CsDJ[Credit])))+(SUM(IF((CRDJ[Sort Code]=(TRIM(G$4)))*(CRDJ[Account Code]=(TRIM($B34)))*(CRDJ[Date]&lt;=$E$7),CRDJ[Credit])))+(SUM(IF((GJ[Sort Code]=(TRIM(G$4)))*(GJ[Account Code]=(TRIM($B34)))*(GJ[Date]&lt;=$E$7),GJ[Credit]))))-((SUM(IF((CkDJ[Sort Code]=(TRIM(G$4)))*(CkDJ[Account Code]=(TRIM($B34)))*(CkDJ[Date]&lt;=$E$7),CkDJ[Debit])))+(SUM(IF((CsDJ[Sort Code]=(TRIM(G$4)))*(CsDJ[Account Code]=(TRIM($B34)))*(CsDJ[Date]&lt;=$E$7),CsDJ[Debit])))+(SUM(IF((CRDJ[Sort Code]=(TRIM(G$4)))*(CRDJ[Account Code]=(TRIM($B34)))*(CRDJ[Date]&lt;=$E$7),CRDJ[Debit])))+(SUM(IF((GJ[Sort Code]=(TRIM(G$4)))*(GJ[Account Code]=(TRIM($B34)))*(GJ[Date]&lt;=$E$7),GJ[Debit]))))</f>
        <v>0</v>
      </c>
      <c r="F34" s="245">
        <f t="array" ref="F34">((SUM(IF((CkDJ[Date]=$A$3)*(CkDJ[Sort Code]=(TRIM(G$4)))*(CkDJ[Account Code]=(TRIM($B34))),CkDJ[Credit])))+(SUM(IF((CsDJ[Date]=$A$3)*(CsDJ[Sort Code]=(TRIM(G$4)))*(CsDJ[Account Code]=(TRIM($B34))),CsDJ[Credit])))+(SUM(IF((CRDJ[Date]=$A$3)*(CRDJ[Sort Code]=(TRIM(G$4)))*(CRDJ[Account Code]=(TRIM($B34))),CRDJ[Credit])))+(SUM(IF((GJ[Date]=$A$3)*(GJ[Sort Code]=(TRIM(G$4)))*(GJ[Account Code]=(TRIM($B34))),GJ[Credit]))))-((SUM(IF((CkDJ[Date]=$A$3)*(CkDJ[Sort Code]=(TRIM(G$4)))*(CkDJ[Account Code]=(TRIM($B34))),CkDJ[Debit])))+(SUM(IF((CsDJ[Date]=$A$3)*(CsDJ[Sort Code]=(TRIM(G$4)))*(CsDJ[Account Code]=(TRIM($B34))),CsDJ[Debit])))+(SUM(IF((CRDJ[Date]=$A$3)*(CRDJ[Sort Code]=(TRIM(G$4)))*(CRDJ[Account Code]=(TRIM($B34))),CRDJ[Debit])))+(SUM(IF((GJ[Date]=$A$3)*(GJ[Sort Code]=(TRIM(G$4)))*(GJ[Account Code]=(TRIM($B34))),GJ[Debit]))))</f>
        <v>0</v>
      </c>
      <c r="G34" s="343">
        <f>E34+F34</f>
        <v>0</v>
      </c>
      <c r="H34" s="246">
        <f>G34-D34</f>
        <v>0</v>
      </c>
      <c r="I34" s="246">
        <f>IF((D34=0),0,G34/D34)</f>
        <v>0</v>
      </c>
    </row>
    <row r="35" spans="1:9" hidden="1">
      <c r="A35" s="272" t="s">
        <v>181</v>
      </c>
      <c r="B35" s="339" t="s">
        <v>142</v>
      </c>
      <c r="C35" s="245">
        <f t="array" ref="C35">SUM(IF((Budget[Account Code]=B35)*(Budget[Sort Code]=$G$4),(Budget[Amount])))</f>
        <v>0</v>
      </c>
      <c r="D35" s="245">
        <f t="array" ref="D35">SUM(IF((Budget[Account Code]=B35)*(Budget[Sort Code]=$G$4)*(Budget[Date]&lt;=$D$7),(Budget[Amount])))</f>
        <v>0</v>
      </c>
      <c r="E35" s="245">
        <f t="array" ref="E35">((SUM(IF((CkDJ[Sort Code]=(TRIM(G$4)))*(CkDJ[Account Code]=(TRIM($B35)))*(CkDJ[Date]&lt;=$E$7),CkDJ[Credit])))+(SUM(IF((CsDJ[Sort Code]=(TRIM(G$4)))*(CsDJ[Account Code]=(TRIM($B35)))*(CsDJ[Date]&lt;=$E$7),CsDJ[Credit])))+(SUM(IF((CRDJ[Sort Code]=(TRIM(G$4)))*(CRDJ[Account Code]=(TRIM($B35)))*(CRDJ[Date]&lt;=$E$7),CRDJ[Credit])))+(SUM(IF((GJ[Sort Code]=(TRIM(G$4)))*(GJ[Account Code]=(TRIM($B35)))*(GJ[Date]&lt;=$E$7),GJ[Credit]))))-((SUM(IF((CkDJ[Sort Code]=(TRIM(G$4)))*(CkDJ[Account Code]=(TRIM($B35)))*(CkDJ[Date]&lt;=$E$7),CkDJ[Debit])))+(SUM(IF((CsDJ[Sort Code]=(TRIM(G$4)))*(CsDJ[Account Code]=(TRIM($B35)))*(CsDJ[Date]&lt;=$E$7),CsDJ[Debit])))+(SUM(IF((CRDJ[Sort Code]=(TRIM(G$4)))*(CRDJ[Account Code]=(TRIM($B35)))*(CRDJ[Date]&lt;=$E$7),CRDJ[Debit])))+(SUM(IF((GJ[Sort Code]=(TRIM(G$4)))*(GJ[Account Code]=(TRIM($B35)))*(GJ[Date]&lt;=$E$7),GJ[Debit]))))</f>
        <v>0</v>
      </c>
      <c r="F35" s="245">
        <f t="array" ref="F35">((SUM(IF((CkDJ[Date]=$A$3)*(CkDJ[Sort Code]=(TRIM(G$4)))*(CkDJ[Account Code]=(TRIM($B35))),CkDJ[Credit])))+(SUM(IF((CsDJ[Date]=$A$3)*(CsDJ[Sort Code]=(TRIM(G$4)))*(CsDJ[Account Code]=(TRIM($B35))),CsDJ[Credit])))+(SUM(IF((CRDJ[Date]=$A$3)*(CRDJ[Sort Code]=(TRIM(G$4)))*(CRDJ[Account Code]=(TRIM($B35))),CRDJ[Credit])))+(SUM(IF((GJ[Date]=$A$3)*(GJ[Sort Code]=(TRIM(G$4)))*(GJ[Account Code]=(TRIM($B35))),GJ[Credit]))))-((SUM(IF((CkDJ[Date]=$A$3)*(CkDJ[Sort Code]=(TRIM(G$4)))*(CkDJ[Account Code]=(TRIM($B35))),CkDJ[Debit])))+(SUM(IF((CsDJ[Date]=$A$3)*(CsDJ[Sort Code]=(TRIM(G$4)))*(CsDJ[Account Code]=(TRIM($B35))),CsDJ[Debit])))+(SUM(IF((CRDJ[Date]=$A$3)*(CRDJ[Sort Code]=(TRIM(G$4)))*(CRDJ[Account Code]=(TRIM($B35))),CRDJ[Debit])))+(SUM(IF((GJ[Date]=$A$3)*(GJ[Sort Code]=(TRIM(G$4)))*(GJ[Account Code]=(TRIM($B35))),GJ[Debit]))))</f>
        <v>0</v>
      </c>
      <c r="G35" s="343">
        <f>E35+F35</f>
        <v>0</v>
      </c>
      <c r="H35" s="246">
        <f t="shared" si="2"/>
        <v>0</v>
      </c>
      <c r="I35" s="246">
        <f t="shared" si="3"/>
        <v>0</v>
      </c>
    </row>
    <row r="36" spans="1:9">
      <c r="A36" s="241" t="s">
        <v>816</v>
      </c>
      <c r="B36" s="337"/>
      <c r="C36" s="248">
        <f>SUM(C37:C45)</f>
        <v>2950000</v>
      </c>
      <c r="D36" s="248">
        <f>SUM(D37:D45)</f>
        <v>2950000</v>
      </c>
      <c r="E36" s="248">
        <f>SUM(E37:E45)</f>
        <v>0</v>
      </c>
      <c r="F36" s="248">
        <f>SUM(F37:F45)</f>
        <v>0</v>
      </c>
      <c r="G36" s="248">
        <f>SUM(G37:G45)</f>
        <v>0</v>
      </c>
      <c r="H36" s="242">
        <f t="shared" si="2"/>
        <v>-2950000</v>
      </c>
      <c r="I36" s="242">
        <f t="shared" si="3"/>
        <v>0</v>
      </c>
    </row>
    <row r="37" spans="1:9" hidden="1">
      <c r="A37" s="272" t="s">
        <v>186</v>
      </c>
      <c r="B37" s="339" t="s">
        <v>150</v>
      </c>
      <c r="C37" s="245">
        <f t="array" ref="C37">SUM(IF((Budget[Account Code]=B37)*(Budget[Sort Code]=$G$4),(Budget[Amount])))</f>
        <v>20000</v>
      </c>
      <c r="D37" s="245">
        <f t="array" ref="D37">SUM(IF((Budget[Account Code]=B37)*(Budget[Sort Code]=$G$4)*(Budget[Date]&lt;=$D$7),(Budget[Amount])))</f>
        <v>20000</v>
      </c>
      <c r="E37" s="245">
        <f t="array" ref="E37">((SUM(IF((CkDJ[Sort Code]=(TRIM(G$4)))*(CkDJ[Account Code]=(TRIM($B37)))*(CkDJ[Date]&lt;=$E$7),CkDJ[Credit])))+(SUM(IF((CsDJ[Sort Code]=(TRIM(G$4)))*(CsDJ[Account Code]=(TRIM($B37)))*(CsDJ[Date]&lt;=$E$7),CsDJ[Credit])))+(SUM(IF((CRDJ[Sort Code]=(TRIM(G$4)))*(CRDJ[Account Code]=(TRIM($B37)))*(CRDJ[Date]&lt;=$E$7),CRDJ[Credit])))+(SUM(IF((GJ[Sort Code]=(TRIM(G$4)))*(GJ[Account Code]=(TRIM($B37)))*(GJ[Date]&lt;=$E$7),GJ[Credit]))))-((SUM(IF((CkDJ[Sort Code]=(TRIM(G$4)))*(CkDJ[Account Code]=(TRIM($B37)))*(CkDJ[Date]&lt;=$E$7),CkDJ[Debit])))+(SUM(IF((CsDJ[Sort Code]=(TRIM(G$4)))*(CsDJ[Account Code]=(TRIM($B37)))*(CsDJ[Date]&lt;=$E$7),CsDJ[Debit])))+(SUM(IF((CRDJ[Sort Code]=(TRIM(G$4)))*(CRDJ[Account Code]=(TRIM($B37)))*(CRDJ[Date]&lt;=$E$7),CRDJ[Debit])))+(SUM(IF((GJ[Sort Code]=(TRIM(G$4)))*(GJ[Account Code]=(TRIM($B37)))*(GJ[Date]&lt;=$E$7),GJ[Debit]))))</f>
        <v>0</v>
      </c>
      <c r="F37" s="245">
        <f t="array" ref="F37">((SUM(IF((CkDJ[Date]=$A$3)*(CkDJ[Sort Code]=(TRIM(G$4)))*(CkDJ[Account Code]=(TRIM($B37))),CkDJ[Credit])))+(SUM(IF((CsDJ[Date]=$A$3)*(CsDJ[Sort Code]=(TRIM(G$4)))*(CsDJ[Account Code]=(TRIM($B37))),CsDJ[Credit])))+(SUM(IF((CRDJ[Date]=$A$3)*(CRDJ[Sort Code]=(TRIM(G$4)))*(CRDJ[Account Code]=(TRIM($B37))),CRDJ[Credit])))+(SUM(IF((GJ[Date]=$A$3)*(GJ[Sort Code]=(TRIM(G$4)))*(GJ[Account Code]=(TRIM($B37))),GJ[Credit]))))-((SUM(IF((CkDJ[Date]=$A$3)*(CkDJ[Sort Code]=(TRIM(G$4)))*(CkDJ[Account Code]=(TRIM($B37))),CkDJ[Debit])))+(SUM(IF((CsDJ[Date]=$A$3)*(CsDJ[Sort Code]=(TRIM(G$4)))*(CsDJ[Account Code]=(TRIM($B37))),CsDJ[Debit])))+(SUM(IF((CRDJ[Date]=$A$3)*(CRDJ[Sort Code]=(TRIM(G$4)))*(CRDJ[Account Code]=(TRIM($B37))),CRDJ[Debit])))+(SUM(IF((GJ[Date]=$A$3)*(GJ[Sort Code]=(TRIM(G$4)))*(GJ[Account Code]=(TRIM($B37))),GJ[Debit]))))</f>
        <v>0</v>
      </c>
      <c r="G37" s="343">
        <f t="shared" ref="G37:G45" si="4">E37+F37</f>
        <v>0</v>
      </c>
      <c r="H37" s="246">
        <f t="shared" si="2"/>
        <v>-20000</v>
      </c>
      <c r="I37" s="246">
        <f t="shared" si="3"/>
        <v>0</v>
      </c>
    </row>
    <row r="38" spans="1:9" hidden="1">
      <c r="A38" s="272" t="s">
        <v>187</v>
      </c>
      <c r="B38" s="339" t="s">
        <v>153</v>
      </c>
      <c r="C38" s="245">
        <f t="array" ref="C38">SUM(IF((Budget[Account Code]=B38)*(Budget[Sort Code]=$G$4),(Budget[Amount])))</f>
        <v>0</v>
      </c>
      <c r="D38" s="245">
        <f t="array" ref="D38">SUM(IF((Budget[Account Code]=B38)*(Budget[Sort Code]=$G$4)*(Budget[Date]&lt;=$D$7),(Budget[Amount])))</f>
        <v>0</v>
      </c>
      <c r="E38" s="245">
        <f t="array" ref="E38">((SUM(IF((CkDJ[Sort Code]=(TRIM(G$4)))*(CkDJ[Account Code]=(TRIM($B38)))*(CkDJ[Date]&lt;=$E$7),CkDJ[Credit])))+(SUM(IF((CsDJ[Sort Code]=(TRIM(G$4)))*(CsDJ[Account Code]=(TRIM($B38)))*(CsDJ[Date]&lt;=$E$7),CsDJ[Credit])))+(SUM(IF((CRDJ[Sort Code]=(TRIM(G$4)))*(CRDJ[Account Code]=(TRIM($B38)))*(CRDJ[Date]&lt;=$E$7),CRDJ[Credit])))+(SUM(IF((GJ[Sort Code]=(TRIM(G$4)))*(GJ[Account Code]=(TRIM($B38)))*(GJ[Date]&lt;=$E$7),GJ[Credit]))))-((SUM(IF((CkDJ[Sort Code]=(TRIM(G$4)))*(CkDJ[Account Code]=(TRIM($B38)))*(CkDJ[Date]&lt;=$E$7),CkDJ[Debit])))+(SUM(IF((CsDJ[Sort Code]=(TRIM(G$4)))*(CsDJ[Account Code]=(TRIM($B38)))*(CsDJ[Date]&lt;=$E$7),CsDJ[Debit])))+(SUM(IF((CRDJ[Sort Code]=(TRIM(G$4)))*(CRDJ[Account Code]=(TRIM($B38)))*(CRDJ[Date]&lt;=$E$7),CRDJ[Debit])))+(SUM(IF((GJ[Sort Code]=(TRIM(G$4)))*(GJ[Account Code]=(TRIM($B38)))*(GJ[Date]&lt;=$E$7),GJ[Debit]))))</f>
        <v>0</v>
      </c>
      <c r="F38" s="245">
        <f t="array" ref="F38">((SUM(IF((CkDJ[Date]=$A$3)*(CkDJ[Sort Code]=(TRIM(G$4)))*(CkDJ[Account Code]=(TRIM($B38))),CkDJ[Credit])))+(SUM(IF((CsDJ[Date]=$A$3)*(CsDJ[Sort Code]=(TRIM(G$4)))*(CsDJ[Account Code]=(TRIM($B38))),CsDJ[Credit])))+(SUM(IF((CRDJ[Date]=$A$3)*(CRDJ[Sort Code]=(TRIM(G$4)))*(CRDJ[Account Code]=(TRIM($B38))),CRDJ[Credit])))+(SUM(IF((GJ[Date]=$A$3)*(GJ[Sort Code]=(TRIM(G$4)))*(GJ[Account Code]=(TRIM($B38))),GJ[Credit]))))-((SUM(IF((CkDJ[Date]=$A$3)*(CkDJ[Sort Code]=(TRIM(G$4)))*(CkDJ[Account Code]=(TRIM($B38))),CkDJ[Debit])))+(SUM(IF((CsDJ[Date]=$A$3)*(CsDJ[Sort Code]=(TRIM(G$4)))*(CsDJ[Account Code]=(TRIM($B38))),CsDJ[Debit])))+(SUM(IF((CRDJ[Date]=$A$3)*(CRDJ[Sort Code]=(TRIM(G$4)))*(CRDJ[Account Code]=(TRIM($B38))),CRDJ[Debit])))+(SUM(IF((GJ[Date]=$A$3)*(GJ[Sort Code]=(TRIM(G$4)))*(GJ[Account Code]=(TRIM($B38))),GJ[Debit]))))</f>
        <v>0</v>
      </c>
      <c r="G38" s="343">
        <f t="shared" si="4"/>
        <v>0</v>
      </c>
      <c r="H38" s="246">
        <f t="shared" si="2"/>
        <v>0</v>
      </c>
      <c r="I38" s="246">
        <f t="shared" si="3"/>
        <v>0</v>
      </c>
    </row>
    <row r="39" spans="1:9" hidden="1">
      <c r="A39" s="272" t="s">
        <v>188</v>
      </c>
      <c r="B39" s="339" t="s">
        <v>154</v>
      </c>
      <c r="C39" s="245">
        <f t="array" ref="C39">SUM(IF((Budget[Account Code]=B39)*(Budget[Sort Code]=$G$4),(Budget[Amount])))</f>
        <v>0</v>
      </c>
      <c r="D39" s="245">
        <f t="array" ref="D39">SUM(IF((Budget[Account Code]=B39)*(Budget[Sort Code]=$G$4)*(Budget[Date]&lt;=$D$7),(Budget[Amount])))</f>
        <v>0</v>
      </c>
      <c r="E39" s="245">
        <f t="array" ref="E39">((SUM(IF((CkDJ[Sort Code]=(TRIM(G$4)))*(CkDJ[Account Code]=(TRIM($B39)))*(CkDJ[Date]&lt;=$E$7),CkDJ[Credit])))+(SUM(IF((CsDJ[Sort Code]=(TRIM(G$4)))*(CsDJ[Account Code]=(TRIM($B39)))*(CsDJ[Date]&lt;=$E$7),CsDJ[Credit])))+(SUM(IF((CRDJ[Sort Code]=(TRIM(G$4)))*(CRDJ[Account Code]=(TRIM($B39)))*(CRDJ[Date]&lt;=$E$7),CRDJ[Credit])))+(SUM(IF((GJ[Sort Code]=(TRIM(G$4)))*(GJ[Account Code]=(TRIM($B39)))*(GJ[Date]&lt;=$E$7),GJ[Credit]))))-((SUM(IF((CkDJ[Sort Code]=(TRIM(G$4)))*(CkDJ[Account Code]=(TRIM($B39)))*(CkDJ[Date]&lt;=$E$7),CkDJ[Debit])))+(SUM(IF((CsDJ[Sort Code]=(TRIM(G$4)))*(CsDJ[Account Code]=(TRIM($B39)))*(CsDJ[Date]&lt;=$E$7),CsDJ[Debit])))+(SUM(IF((CRDJ[Sort Code]=(TRIM(G$4)))*(CRDJ[Account Code]=(TRIM($B39)))*(CRDJ[Date]&lt;=$E$7),CRDJ[Debit])))+(SUM(IF((GJ[Sort Code]=(TRIM(G$4)))*(GJ[Account Code]=(TRIM($B39)))*(GJ[Date]&lt;=$E$7),GJ[Debit]))))</f>
        <v>0</v>
      </c>
      <c r="F39" s="245">
        <f t="array" ref="F39">((SUM(IF((CkDJ[Date]=$A$3)*(CkDJ[Sort Code]=(TRIM(G$4)))*(CkDJ[Account Code]=(TRIM($B39))),CkDJ[Credit])))+(SUM(IF((CsDJ[Date]=$A$3)*(CsDJ[Sort Code]=(TRIM(G$4)))*(CsDJ[Account Code]=(TRIM($B39))),CsDJ[Credit])))+(SUM(IF((CRDJ[Date]=$A$3)*(CRDJ[Sort Code]=(TRIM(G$4)))*(CRDJ[Account Code]=(TRIM($B39))),CRDJ[Credit])))+(SUM(IF((GJ[Date]=$A$3)*(GJ[Sort Code]=(TRIM(G$4)))*(GJ[Account Code]=(TRIM($B39))),GJ[Credit]))))-((SUM(IF((CkDJ[Date]=$A$3)*(CkDJ[Sort Code]=(TRIM(G$4)))*(CkDJ[Account Code]=(TRIM($B39))),CkDJ[Debit])))+(SUM(IF((CsDJ[Date]=$A$3)*(CsDJ[Sort Code]=(TRIM(G$4)))*(CsDJ[Account Code]=(TRIM($B39))),CsDJ[Debit])))+(SUM(IF((CRDJ[Date]=$A$3)*(CRDJ[Sort Code]=(TRIM(G$4)))*(CRDJ[Account Code]=(TRIM($B39))),CRDJ[Debit])))+(SUM(IF((GJ[Date]=$A$3)*(GJ[Sort Code]=(TRIM(G$4)))*(GJ[Account Code]=(TRIM($B39))),GJ[Debit]))))</f>
        <v>0</v>
      </c>
      <c r="G39" s="343">
        <f t="shared" si="4"/>
        <v>0</v>
      </c>
      <c r="H39" s="246">
        <f t="shared" si="2"/>
        <v>0</v>
      </c>
      <c r="I39" s="246">
        <f t="shared" si="3"/>
        <v>0</v>
      </c>
    </row>
    <row r="40" spans="1:9" hidden="1">
      <c r="A40" s="272" t="s">
        <v>189</v>
      </c>
      <c r="B40" s="339" t="s">
        <v>155</v>
      </c>
      <c r="C40" s="245">
        <f t="array" ref="C40">SUM(IF((Budget[Account Code]=B40)*(Budget[Sort Code]=$G$4),(Budget[Amount])))</f>
        <v>280000</v>
      </c>
      <c r="D40" s="245">
        <f t="array" ref="D40">SUM(IF((Budget[Account Code]=B40)*(Budget[Sort Code]=$G$4)*(Budget[Date]&lt;=$D$7),(Budget[Amount])))</f>
        <v>280000</v>
      </c>
      <c r="E40" s="245">
        <f t="array" ref="E40">((SUM(IF((CkDJ[Sort Code]=(TRIM(G$4)))*(CkDJ[Account Code]=(TRIM($B40)))*(CkDJ[Date]&lt;=$E$7),CkDJ[Credit])))+(SUM(IF((CsDJ[Sort Code]=(TRIM(G$4)))*(CsDJ[Account Code]=(TRIM($B40)))*(CsDJ[Date]&lt;=$E$7),CsDJ[Credit])))+(SUM(IF((CRDJ[Sort Code]=(TRIM(G$4)))*(CRDJ[Account Code]=(TRIM($B40)))*(CRDJ[Date]&lt;=$E$7),CRDJ[Credit])))+(SUM(IF((GJ[Sort Code]=(TRIM(G$4)))*(GJ[Account Code]=(TRIM($B40)))*(GJ[Date]&lt;=$E$7),GJ[Credit]))))-((SUM(IF((CkDJ[Sort Code]=(TRIM(G$4)))*(CkDJ[Account Code]=(TRIM($B40)))*(CkDJ[Date]&lt;=$E$7),CkDJ[Debit])))+(SUM(IF((CsDJ[Sort Code]=(TRIM(G$4)))*(CsDJ[Account Code]=(TRIM($B40)))*(CsDJ[Date]&lt;=$E$7),CsDJ[Debit])))+(SUM(IF((CRDJ[Sort Code]=(TRIM(G$4)))*(CRDJ[Account Code]=(TRIM($B40)))*(CRDJ[Date]&lt;=$E$7),CRDJ[Debit])))+(SUM(IF((GJ[Sort Code]=(TRIM(G$4)))*(GJ[Account Code]=(TRIM($B40)))*(GJ[Date]&lt;=$E$7),GJ[Debit]))))</f>
        <v>0</v>
      </c>
      <c r="F40" s="245">
        <f t="array" ref="F40">((SUM(IF((CkDJ[Date]=$A$3)*(CkDJ[Sort Code]=(TRIM(G$4)))*(CkDJ[Account Code]=(TRIM($B40))),CkDJ[Credit])))+(SUM(IF((CsDJ[Date]=$A$3)*(CsDJ[Sort Code]=(TRIM(G$4)))*(CsDJ[Account Code]=(TRIM($B40))),CsDJ[Credit])))+(SUM(IF((CRDJ[Date]=$A$3)*(CRDJ[Sort Code]=(TRIM(G$4)))*(CRDJ[Account Code]=(TRIM($B40))),CRDJ[Credit])))+(SUM(IF((GJ[Date]=$A$3)*(GJ[Sort Code]=(TRIM(G$4)))*(GJ[Account Code]=(TRIM($B40))),GJ[Credit]))))-((SUM(IF((CkDJ[Date]=$A$3)*(CkDJ[Sort Code]=(TRIM(G$4)))*(CkDJ[Account Code]=(TRIM($B40))),CkDJ[Debit])))+(SUM(IF((CsDJ[Date]=$A$3)*(CsDJ[Sort Code]=(TRIM(G$4)))*(CsDJ[Account Code]=(TRIM($B40))),CsDJ[Debit])))+(SUM(IF((CRDJ[Date]=$A$3)*(CRDJ[Sort Code]=(TRIM(G$4)))*(CRDJ[Account Code]=(TRIM($B40))),CRDJ[Debit])))+(SUM(IF((GJ[Date]=$A$3)*(GJ[Sort Code]=(TRIM(G$4)))*(GJ[Account Code]=(TRIM($B40))),GJ[Debit]))))</f>
        <v>0</v>
      </c>
      <c r="G40" s="343">
        <f t="shared" si="4"/>
        <v>0</v>
      </c>
      <c r="H40" s="246">
        <f t="shared" si="2"/>
        <v>-280000</v>
      </c>
      <c r="I40" s="246">
        <f t="shared" si="3"/>
        <v>0</v>
      </c>
    </row>
    <row r="41" spans="1:9" hidden="1">
      <c r="A41" s="272" t="s">
        <v>1269</v>
      </c>
      <c r="B41" s="339" t="s">
        <v>156</v>
      </c>
      <c r="C41" s="245">
        <f t="array" ref="C41">SUM(IF((Budget[Account Code]=B41)*(Budget[Sort Code]=$G$4),(Budget[Amount])))</f>
        <v>0</v>
      </c>
      <c r="D41" s="245">
        <f t="array" ref="D41">SUM(IF((Budget[Account Code]=B41)*(Budget[Sort Code]=$G$4)*(Budget[Date]&lt;=$D$7),(Budget[Amount])))</f>
        <v>0</v>
      </c>
      <c r="E41" s="245">
        <f t="array" ref="E41">((SUM(IF((CkDJ[Sort Code]=(TRIM(G$4)))*(CkDJ[Account Code]=(TRIM($B41)))*(CkDJ[Date]&lt;=$E$7),CkDJ[Credit])))+(SUM(IF((CsDJ[Sort Code]=(TRIM(G$4)))*(CsDJ[Account Code]=(TRIM($B41)))*(CsDJ[Date]&lt;=$E$7),CsDJ[Credit])))+(SUM(IF((CRDJ[Sort Code]=(TRIM(G$4)))*(CRDJ[Account Code]=(TRIM($B41)))*(CRDJ[Date]&lt;=$E$7),CRDJ[Credit])))+(SUM(IF((GJ[Sort Code]=(TRIM(G$4)))*(GJ[Account Code]=(TRIM($B41)))*(GJ[Date]&lt;=$E$7),GJ[Credit]))))-((SUM(IF((CkDJ[Sort Code]=(TRIM(G$4)))*(CkDJ[Account Code]=(TRIM($B41)))*(CkDJ[Date]&lt;=$E$7),CkDJ[Debit])))+(SUM(IF((CsDJ[Sort Code]=(TRIM(G$4)))*(CsDJ[Account Code]=(TRIM($B41)))*(CsDJ[Date]&lt;=$E$7),CsDJ[Debit])))+(SUM(IF((CRDJ[Sort Code]=(TRIM(G$4)))*(CRDJ[Account Code]=(TRIM($B41)))*(CRDJ[Date]&lt;=$E$7),CRDJ[Debit])))+(SUM(IF((GJ[Sort Code]=(TRIM(G$4)))*(GJ[Account Code]=(TRIM($B41)))*(GJ[Date]&lt;=$E$7),GJ[Debit]))))</f>
        <v>0</v>
      </c>
      <c r="F41" s="245">
        <f t="array" ref="F41">((SUM(IF((CkDJ[Date]=$A$3)*(CkDJ[Sort Code]=(TRIM(G$4)))*(CkDJ[Account Code]=(TRIM($B41))),CkDJ[Credit])))+(SUM(IF((CsDJ[Date]=$A$3)*(CsDJ[Sort Code]=(TRIM(G$4)))*(CsDJ[Account Code]=(TRIM($B41))),CsDJ[Credit])))+(SUM(IF((CRDJ[Date]=$A$3)*(CRDJ[Sort Code]=(TRIM(G$4)))*(CRDJ[Account Code]=(TRIM($B41))),CRDJ[Credit])))+(SUM(IF((GJ[Date]=$A$3)*(GJ[Sort Code]=(TRIM(G$4)))*(GJ[Account Code]=(TRIM($B41))),GJ[Credit]))))-((SUM(IF((CkDJ[Date]=$A$3)*(CkDJ[Sort Code]=(TRIM(G$4)))*(CkDJ[Account Code]=(TRIM($B41))),CkDJ[Debit])))+(SUM(IF((CsDJ[Date]=$A$3)*(CsDJ[Sort Code]=(TRIM(G$4)))*(CsDJ[Account Code]=(TRIM($B41))),CsDJ[Debit])))+(SUM(IF((CRDJ[Date]=$A$3)*(CRDJ[Sort Code]=(TRIM(G$4)))*(CRDJ[Account Code]=(TRIM($B41))),CRDJ[Debit])))+(SUM(IF((GJ[Date]=$A$3)*(GJ[Sort Code]=(TRIM(G$4)))*(GJ[Account Code]=(TRIM($B41))),GJ[Debit]))))</f>
        <v>0</v>
      </c>
      <c r="G41" s="343">
        <f t="shared" si="4"/>
        <v>0</v>
      </c>
      <c r="H41" s="246">
        <f t="shared" si="2"/>
        <v>0</v>
      </c>
      <c r="I41" s="246">
        <f t="shared" si="3"/>
        <v>0</v>
      </c>
    </row>
    <row r="42" spans="1:9" hidden="1">
      <c r="A42" s="272" t="s">
        <v>190</v>
      </c>
      <c r="B42" s="339" t="s">
        <v>157</v>
      </c>
      <c r="C42" s="245">
        <f t="array" ref="C42">SUM(IF((Budget[Account Code]=B42)*(Budget[Sort Code]=$G$4),(Budget[Amount])))</f>
        <v>0</v>
      </c>
      <c r="D42" s="245">
        <f t="array" ref="D42">SUM(IF((Budget[Account Code]=B42)*(Budget[Sort Code]=$G$4)*(Budget[Date]&lt;=$D$7),(Budget[Amount])))</f>
        <v>0</v>
      </c>
      <c r="E42" s="245">
        <f t="array" ref="E42">((SUM(IF((CkDJ[Sort Code]=(TRIM(G$4)))*(CkDJ[Account Code]=(TRIM($B42)))*(CkDJ[Date]&lt;=$E$7),CkDJ[Credit])))+(SUM(IF((CsDJ[Sort Code]=(TRIM(G$4)))*(CsDJ[Account Code]=(TRIM($B42)))*(CsDJ[Date]&lt;=$E$7),CsDJ[Credit])))+(SUM(IF((CRDJ[Sort Code]=(TRIM(G$4)))*(CRDJ[Account Code]=(TRIM($B42)))*(CRDJ[Date]&lt;=$E$7),CRDJ[Credit])))+(SUM(IF((GJ[Sort Code]=(TRIM(G$4)))*(GJ[Account Code]=(TRIM($B42)))*(GJ[Date]&lt;=$E$7),GJ[Credit]))))-((SUM(IF((CkDJ[Sort Code]=(TRIM(G$4)))*(CkDJ[Account Code]=(TRIM($B42)))*(CkDJ[Date]&lt;=$E$7),CkDJ[Debit])))+(SUM(IF((CsDJ[Sort Code]=(TRIM(G$4)))*(CsDJ[Account Code]=(TRIM($B42)))*(CsDJ[Date]&lt;=$E$7),CsDJ[Debit])))+(SUM(IF((CRDJ[Sort Code]=(TRIM(G$4)))*(CRDJ[Account Code]=(TRIM($B42)))*(CRDJ[Date]&lt;=$E$7),CRDJ[Debit])))+(SUM(IF((GJ[Sort Code]=(TRIM(G$4)))*(GJ[Account Code]=(TRIM($B42)))*(GJ[Date]&lt;=$E$7),GJ[Debit]))))</f>
        <v>0</v>
      </c>
      <c r="F42" s="245">
        <f t="array" ref="F42">((SUM(IF((CkDJ[Date]=$A$3)*(CkDJ[Sort Code]=(TRIM(G$4)))*(CkDJ[Account Code]=(TRIM($B42))),CkDJ[Credit])))+(SUM(IF((CsDJ[Date]=$A$3)*(CsDJ[Sort Code]=(TRIM(G$4)))*(CsDJ[Account Code]=(TRIM($B42))),CsDJ[Credit])))+(SUM(IF((CRDJ[Date]=$A$3)*(CRDJ[Sort Code]=(TRIM(G$4)))*(CRDJ[Account Code]=(TRIM($B42))),CRDJ[Credit])))+(SUM(IF((GJ[Date]=$A$3)*(GJ[Sort Code]=(TRIM(G$4)))*(GJ[Account Code]=(TRIM($B42))),GJ[Credit]))))-((SUM(IF((CkDJ[Date]=$A$3)*(CkDJ[Sort Code]=(TRIM(G$4)))*(CkDJ[Account Code]=(TRIM($B42))),CkDJ[Debit])))+(SUM(IF((CsDJ[Date]=$A$3)*(CsDJ[Sort Code]=(TRIM(G$4)))*(CsDJ[Account Code]=(TRIM($B42))),CsDJ[Debit])))+(SUM(IF((CRDJ[Date]=$A$3)*(CRDJ[Sort Code]=(TRIM(G$4)))*(CRDJ[Account Code]=(TRIM($B42))),CRDJ[Debit])))+(SUM(IF((GJ[Date]=$A$3)*(GJ[Sort Code]=(TRIM(G$4)))*(GJ[Account Code]=(TRIM($B42))),GJ[Debit]))))</f>
        <v>0</v>
      </c>
      <c r="G42" s="343">
        <f>E42+F42</f>
        <v>0</v>
      </c>
      <c r="H42" s="246">
        <f>G42-D42</f>
        <v>0</v>
      </c>
      <c r="I42" s="246">
        <f>IF((D42=0),0,G42/D42)</f>
        <v>0</v>
      </c>
    </row>
    <row r="43" spans="1:9" hidden="1">
      <c r="A43" s="272" t="s">
        <v>192</v>
      </c>
      <c r="B43" s="339" t="s">
        <v>159</v>
      </c>
      <c r="C43" s="245">
        <f t="array" ref="C43">SUM(IF((Budget[Account Code]=B43)*(Budget[Sort Code]=$G$4),(Budget[Amount])))</f>
        <v>0</v>
      </c>
      <c r="D43" s="245">
        <f t="array" ref="D43">SUM(IF((Budget[Account Code]=B43)*(Budget[Sort Code]=$G$4)*(Budget[Date]&lt;=$D$7),(Budget[Amount])))</f>
        <v>0</v>
      </c>
      <c r="E43" s="245">
        <f t="array" ref="E43">((SUM(IF((CkDJ[Sort Code]=(TRIM(G$4)))*(CkDJ[Account Code]=(TRIM($B43)))*(CkDJ[Date]&lt;=$E$7),CkDJ[Credit])))+(SUM(IF((CsDJ[Sort Code]=(TRIM(G$4)))*(CsDJ[Account Code]=(TRIM($B43)))*(CsDJ[Date]&lt;=$E$7),CsDJ[Credit])))+(SUM(IF((CRDJ[Sort Code]=(TRIM(G$4)))*(CRDJ[Account Code]=(TRIM($B43)))*(CRDJ[Date]&lt;=$E$7),CRDJ[Credit])))+(SUM(IF((GJ[Sort Code]=(TRIM(G$4)))*(GJ[Account Code]=(TRIM($B43)))*(GJ[Date]&lt;=$E$7),GJ[Credit]))))-((SUM(IF((CkDJ[Sort Code]=(TRIM(G$4)))*(CkDJ[Account Code]=(TRIM($B43)))*(CkDJ[Date]&lt;=$E$7),CkDJ[Debit])))+(SUM(IF((CsDJ[Sort Code]=(TRIM(G$4)))*(CsDJ[Account Code]=(TRIM($B43)))*(CsDJ[Date]&lt;=$E$7),CsDJ[Debit])))+(SUM(IF((CRDJ[Sort Code]=(TRIM(G$4)))*(CRDJ[Account Code]=(TRIM($B43)))*(CRDJ[Date]&lt;=$E$7),CRDJ[Debit])))+(SUM(IF((GJ[Sort Code]=(TRIM(G$4)))*(GJ[Account Code]=(TRIM($B43)))*(GJ[Date]&lt;=$E$7),GJ[Debit]))))</f>
        <v>0</v>
      </c>
      <c r="F43" s="245">
        <f t="array" ref="F43">((SUM(IF((CkDJ[Date]=$A$3)*(CkDJ[Sort Code]=(TRIM(G$4)))*(CkDJ[Account Code]=(TRIM($B43))),CkDJ[Credit])))+(SUM(IF((CsDJ[Date]=$A$3)*(CsDJ[Sort Code]=(TRIM(G$4)))*(CsDJ[Account Code]=(TRIM($B43))),CsDJ[Credit])))+(SUM(IF((CRDJ[Date]=$A$3)*(CRDJ[Sort Code]=(TRIM(G$4)))*(CRDJ[Account Code]=(TRIM($B43))),CRDJ[Credit])))+(SUM(IF((GJ[Date]=$A$3)*(GJ[Sort Code]=(TRIM(G$4)))*(GJ[Account Code]=(TRIM($B43))),GJ[Credit]))))-((SUM(IF((CkDJ[Date]=$A$3)*(CkDJ[Sort Code]=(TRIM(G$4)))*(CkDJ[Account Code]=(TRIM($B43))),CkDJ[Debit])))+(SUM(IF((CsDJ[Date]=$A$3)*(CsDJ[Sort Code]=(TRIM(G$4)))*(CsDJ[Account Code]=(TRIM($B43))),CsDJ[Debit])))+(SUM(IF((CRDJ[Date]=$A$3)*(CRDJ[Sort Code]=(TRIM(G$4)))*(CRDJ[Account Code]=(TRIM($B43))),CRDJ[Debit])))+(SUM(IF((GJ[Date]=$A$3)*(GJ[Sort Code]=(TRIM(G$4)))*(GJ[Account Code]=(TRIM($B43))),GJ[Debit]))))</f>
        <v>0</v>
      </c>
      <c r="G43" s="343">
        <f t="shared" si="4"/>
        <v>0</v>
      </c>
      <c r="H43" s="246">
        <f t="shared" si="2"/>
        <v>0</v>
      </c>
      <c r="I43" s="246">
        <f t="shared" si="3"/>
        <v>0</v>
      </c>
    </row>
    <row r="44" spans="1:9" hidden="1">
      <c r="A44" s="272" t="s">
        <v>193</v>
      </c>
      <c r="B44" s="339" t="s">
        <v>160</v>
      </c>
      <c r="C44" s="245">
        <f t="array" ref="C44">SUM(IF((Budget[Account Code]=B44)*(Budget[Sort Code]=$G$4),(Budget[Amount])))</f>
        <v>2650000</v>
      </c>
      <c r="D44" s="245">
        <f t="array" ref="D44">SUM(IF((Budget[Account Code]=B44)*(Budget[Sort Code]=$G$4)*(Budget[Date]&lt;=$D$7),(Budget[Amount])))</f>
        <v>2650000</v>
      </c>
      <c r="E44" s="245">
        <f t="array" ref="E44">((SUM(IF((CkDJ[Sort Code]=(TRIM(G$4)))*(CkDJ[Account Code]=(TRIM($B44)))*(CkDJ[Date]&lt;=$E$7),CkDJ[Credit])))+(SUM(IF((CsDJ[Sort Code]=(TRIM(G$4)))*(CsDJ[Account Code]=(TRIM($B44)))*(CsDJ[Date]&lt;=$E$7),CsDJ[Credit])))+(SUM(IF((CRDJ[Sort Code]=(TRIM(G$4)))*(CRDJ[Account Code]=(TRIM($B44)))*(CRDJ[Date]&lt;=$E$7),CRDJ[Credit])))+(SUM(IF((GJ[Sort Code]=(TRIM(G$4)))*(GJ[Account Code]=(TRIM($B44)))*(GJ[Date]&lt;=$E$7),GJ[Credit]))))-((SUM(IF((CkDJ[Sort Code]=(TRIM(G$4)))*(CkDJ[Account Code]=(TRIM($B44)))*(CkDJ[Date]&lt;=$E$7),CkDJ[Debit])))+(SUM(IF((CsDJ[Sort Code]=(TRIM(G$4)))*(CsDJ[Account Code]=(TRIM($B44)))*(CsDJ[Date]&lt;=$E$7),CsDJ[Debit])))+(SUM(IF((CRDJ[Sort Code]=(TRIM(G$4)))*(CRDJ[Account Code]=(TRIM($B44)))*(CRDJ[Date]&lt;=$E$7),CRDJ[Debit])))+(SUM(IF((GJ[Sort Code]=(TRIM(G$4)))*(GJ[Account Code]=(TRIM($B44)))*(GJ[Date]&lt;=$E$7),GJ[Debit]))))</f>
        <v>0</v>
      </c>
      <c r="F44" s="245">
        <f t="array" ref="F44">((SUM(IF((CkDJ[Date]=$A$3)*(CkDJ[Sort Code]=(TRIM(G$4)))*(CkDJ[Account Code]=(TRIM($B44))),CkDJ[Credit])))+(SUM(IF((CsDJ[Date]=$A$3)*(CsDJ[Sort Code]=(TRIM(G$4)))*(CsDJ[Account Code]=(TRIM($B44))),CsDJ[Credit])))+(SUM(IF((CRDJ[Date]=$A$3)*(CRDJ[Sort Code]=(TRIM(G$4)))*(CRDJ[Account Code]=(TRIM($B44))),CRDJ[Credit])))+(SUM(IF((GJ[Date]=$A$3)*(GJ[Sort Code]=(TRIM(G$4)))*(GJ[Account Code]=(TRIM($B44))),GJ[Credit]))))-((SUM(IF((CkDJ[Date]=$A$3)*(CkDJ[Sort Code]=(TRIM(G$4)))*(CkDJ[Account Code]=(TRIM($B44))),CkDJ[Debit])))+(SUM(IF((CsDJ[Date]=$A$3)*(CsDJ[Sort Code]=(TRIM(G$4)))*(CsDJ[Account Code]=(TRIM($B44))),CsDJ[Debit])))+(SUM(IF((CRDJ[Date]=$A$3)*(CRDJ[Sort Code]=(TRIM(G$4)))*(CRDJ[Account Code]=(TRIM($B44))),CRDJ[Debit])))+(SUM(IF((GJ[Date]=$A$3)*(GJ[Sort Code]=(TRIM(G$4)))*(GJ[Account Code]=(TRIM($B44))),GJ[Debit]))))</f>
        <v>0</v>
      </c>
      <c r="G44" s="343">
        <f t="shared" si="4"/>
        <v>0</v>
      </c>
      <c r="H44" s="246">
        <f t="shared" si="2"/>
        <v>-2650000</v>
      </c>
      <c r="I44" s="246">
        <f t="shared" si="3"/>
        <v>0</v>
      </c>
    </row>
    <row r="45" spans="1:9" hidden="1">
      <c r="A45" s="272" t="s">
        <v>191</v>
      </c>
      <c r="B45" s="339" t="s">
        <v>161</v>
      </c>
      <c r="C45" s="245">
        <f t="array" ref="C45">SUM(IF((Budget[Account Code]=B45)*(Budget[Sort Code]=$G$4),(Budget[Amount])))</f>
        <v>0</v>
      </c>
      <c r="D45" s="245">
        <f t="array" ref="D45">SUM(IF((Budget[Account Code]=B45)*(Budget[Sort Code]=$G$4)*(Budget[Date]&lt;=$D$7),(Budget[Amount])))</f>
        <v>0</v>
      </c>
      <c r="E45" s="245">
        <f t="array" ref="E45">((SUM(IF((CkDJ[Sort Code]=(TRIM(G$4)))*(CkDJ[Account Code]=(TRIM($B45)))*(CkDJ[Date]&lt;=$E$7),CkDJ[Credit])))+(SUM(IF((CsDJ[Sort Code]=(TRIM(G$4)))*(CsDJ[Account Code]=(TRIM($B45)))*(CsDJ[Date]&lt;=$E$7),CsDJ[Credit])))+(SUM(IF((CRDJ[Sort Code]=(TRIM(G$4)))*(CRDJ[Account Code]=(TRIM($B45)))*(CRDJ[Date]&lt;=$E$7),CRDJ[Credit])))+(SUM(IF((GJ[Sort Code]=(TRIM(G$4)))*(GJ[Account Code]=(TRIM($B45)))*(GJ[Date]&lt;=$E$7),GJ[Credit]))))-((SUM(IF((CkDJ[Sort Code]=(TRIM(G$4)))*(CkDJ[Account Code]=(TRIM($B45)))*(CkDJ[Date]&lt;=$E$7),CkDJ[Debit])))+(SUM(IF((CsDJ[Sort Code]=(TRIM(G$4)))*(CsDJ[Account Code]=(TRIM($B45)))*(CsDJ[Date]&lt;=$E$7),CsDJ[Debit])))+(SUM(IF((CRDJ[Sort Code]=(TRIM(G$4)))*(CRDJ[Account Code]=(TRIM($B45)))*(CRDJ[Date]&lt;=$E$7),CRDJ[Debit])))+(SUM(IF((GJ[Sort Code]=(TRIM(G$4)))*(GJ[Account Code]=(TRIM($B45)))*(GJ[Date]&lt;=$E$7),GJ[Debit]))))</f>
        <v>0</v>
      </c>
      <c r="F45" s="245">
        <f t="array" ref="F45">((SUM(IF((CkDJ[Date]=$A$3)*(CkDJ[Sort Code]=(TRIM(G$4)))*(CkDJ[Account Code]=(TRIM($B45))),CkDJ[Credit])))+(SUM(IF((CsDJ[Date]=$A$3)*(CsDJ[Sort Code]=(TRIM(G$4)))*(CsDJ[Account Code]=(TRIM($B45))),CsDJ[Credit])))+(SUM(IF((CRDJ[Date]=$A$3)*(CRDJ[Sort Code]=(TRIM(G$4)))*(CRDJ[Account Code]=(TRIM($B45))),CRDJ[Credit])))+(SUM(IF((GJ[Date]=$A$3)*(GJ[Sort Code]=(TRIM(G$4)))*(GJ[Account Code]=(TRIM($B45))),GJ[Credit]))))-((SUM(IF((CkDJ[Date]=$A$3)*(CkDJ[Sort Code]=(TRIM(G$4)))*(CkDJ[Account Code]=(TRIM($B45))),CkDJ[Debit])))+(SUM(IF((CsDJ[Date]=$A$3)*(CsDJ[Sort Code]=(TRIM(G$4)))*(CsDJ[Account Code]=(TRIM($B45))),CsDJ[Debit])))+(SUM(IF((CRDJ[Date]=$A$3)*(CRDJ[Sort Code]=(TRIM(G$4)))*(CRDJ[Account Code]=(TRIM($B45))),CRDJ[Debit])))+(SUM(IF((GJ[Date]=$A$3)*(GJ[Sort Code]=(TRIM(G$4)))*(GJ[Account Code]=(TRIM($B45))),GJ[Debit]))))</f>
        <v>0</v>
      </c>
      <c r="G45" s="343">
        <f t="shared" si="4"/>
        <v>0</v>
      </c>
      <c r="H45" s="246">
        <f t="shared" si="2"/>
        <v>0</v>
      </c>
      <c r="I45" s="246">
        <f t="shared" si="3"/>
        <v>0</v>
      </c>
    </row>
    <row r="46" spans="1:9">
      <c r="A46" s="241" t="s">
        <v>815</v>
      </c>
      <c r="B46" s="337"/>
      <c r="C46" s="248"/>
      <c r="D46" s="248"/>
      <c r="E46" s="344">
        <f>G46-F46</f>
        <v>0</v>
      </c>
      <c r="F46" s="248"/>
      <c r="G46" s="343">
        <f t="array" ref="G46">((SUM(IF((CkDJ[Sort Code]=(TRIM(G$4)))*(CkDJ[Account Code]=(TRIM($B46))),CkDJ[Credit])))+(SUM(IF((CsDJ[Sort Code]=(TRIM(G$4)))*(CsDJ[Account Code]=(TRIM($B46))),CsDJ[Credit])))+(SUM(IF((CRDJ[Sort Code]=(TRIM(G$4)))*(CRDJ[Account Code]=(TRIM($B46))),CRDJ[Credit])))+(SUM(IF((GJ[Sort Code]=(TRIM(G$4)))*(GJ[Account Code]=(TRIM($B46))),GJ[Credit]))))-((SUM(IF((CkDJ[Sort Code]=(TRIM(G$4)))*(CkDJ[Account Code]=(TRIM($B46))),CkDJ[Debit])))+(SUM(IF((CsDJ[Sort Code]=(TRIM(G$4)))*(CsDJ[Account Code]=(TRIM($B46))),CsDJ[Debit])))+(SUM(IF((CRDJ[Sort Code]=(TRIM(G$4)))*(CRDJ[Account Code]=(TRIM($B46))),CRDJ[Debit])))+(SUM(IF((GJ[Sort Code]=(TRIM(G$4)))*(GJ[Account Code]=(TRIM($B46))),GJ[Debit]))))</f>
        <v>0</v>
      </c>
      <c r="H46" s="242">
        <f t="shared" si="2"/>
        <v>0</v>
      </c>
      <c r="I46" s="242">
        <f t="shared" si="3"/>
        <v>0</v>
      </c>
    </row>
    <row r="47" spans="1:9">
      <c r="A47" s="249" t="s">
        <v>814</v>
      </c>
      <c r="B47" s="338"/>
      <c r="C47" s="250">
        <f>C26+C27+C32+C36+C46</f>
        <v>24712078.059999999</v>
      </c>
      <c r="D47" s="250">
        <f>D26+D27+D32+D36+D46</f>
        <v>24712078.059999999</v>
      </c>
      <c r="E47" s="250">
        <f>E26+E27+E32+E36+E46</f>
        <v>0</v>
      </c>
      <c r="F47" s="250">
        <f>F26+F27+F32+F36+F46</f>
        <v>0</v>
      </c>
      <c r="G47" s="250">
        <f>G26+G27+G32+G36+G46</f>
        <v>0</v>
      </c>
      <c r="H47" s="250">
        <f>G47-D47</f>
        <v>-24712078.059999999</v>
      </c>
      <c r="I47" s="250">
        <f>IF((D47=0),0,G47/D47)</f>
        <v>0</v>
      </c>
    </row>
    <row r="48" spans="1:9">
      <c r="A48" s="251" t="s">
        <v>813</v>
      </c>
      <c r="B48" s="338"/>
      <c r="C48" s="250">
        <f>C24+C47</f>
        <v>35612078.060000002</v>
      </c>
      <c r="D48" s="250">
        <f>D24+D47</f>
        <v>35612078.060000002</v>
      </c>
      <c r="E48" s="250">
        <f>E24+E47</f>
        <v>0</v>
      </c>
      <c r="F48" s="250">
        <f>F24+F47</f>
        <v>0</v>
      </c>
      <c r="G48" s="250">
        <f>G24+G47</f>
        <v>0</v>
      </c>
      <c r="H48" s="250">
        <f>G48-D48</f>
        <v>-35612078.060000002</v>
      </c>
      <c r="I48" s="250">
        <f>IF((D48=0),0,G48/D48)</f>
        <v>0</v>
      </c>
    </row>
    <row r="49" spans="1:9">
      <c r="A49" s="239" t="s">
        <v>812</v>
      </c>
      <c r="B49" s="337"/>
      <c r="C49" s="240"/>
      <c r="D49" s="240"/>
      <c r="E49" s="240"/>
      <c r="F49" s="240"/>
      <c r="G49" s="246"/>
      <c r="H49" s="246"/>
      <c r="I49" s="246"/>
    </row>
    <row r="50" spans="1:9">
      <c r="A50" s="239" t="s">
        <v>811</v>
      </c>
      <c r="B50" s="337"/>
      <c r="C50" s="242">
        <f>C51+C75</f>
        <v>28536327.399999999</v>
      </c>
      <c r="D50" s="242">
        <f>D51+D75</f>
        <v>28536327.399999999</v>
      </c>
      <c r="E50" s="242">
        <f>E51+E75</f>
        <v>0</v>
      </c>
      <c r="F50" s="242">
        <f>F51+F75</f>
        <v>0</v>
      </c>
      <c r="G50" s="242">
        <f>G51+G75</f>
        <v>0</v>
      </c>
      <c r="H50" s="242">
        <f t="shared" ref="H50:H119" si="5">G50-D50</f>
        <v>-28536327.399999999</v>
      </c>
      <c r="I50" s="242">
        <f t="shared" ref="I50:I119" si="6">IF((D50=0),0,G50/D50)</f>
        <v>0</v>
      </c>
    </row>
    <row r="51" spans="1:9">
      <c r="A51" s="243" t="s">
        <v>806</v>
      </c>
      <c r="B51" s="337"/>
      <c r="C51" s="246">
        <f>SUM(C52:C74)</f>
        <v>28536327.399999999</v>
      </c>
      <c r="D51" s="246">
        <f>SUM(D52:D74)</f>
        <v>28536327.399999999</v>
      </c>
      <c r="E51" s="246">
        <f>SUM(E52:E74)</f>
        <v>0</v>
      </c>
      <c r="F51" s="246">
        <f>SUM(F52:F74)</f>
        <v>0</v>
      </c>
      <c r="G51" s="246">
        <f>SUM(G52:G74)</f>
        <v>0</v>
      </c>
      <c r="H51" s="246">
        <f t="shared" si="5"/>
        <v>-28536327.399999999</v>
      </c>
      <c r="I51" s="246">
        <f t="shared" si="6"/>
        <v>0</v>
      </c>
    </row>
    <row r="52" spans="1:9" hidden="1">
      <c r="A52" s="247" t="s">
        <v>194</v>
      </c>
      <c r="B52" s="339" t="s">
        <v>162</v>
      </c>
      <c r="C52" s="245">
        <f t="array" ref="C52">SUM(IF((Budget[Account Code]=B52)*(Budget[Sort Code]=$G$4),(Budget[Amount])))</f>
        <v>17860514</v>
      </c>
      <c r="D52" s="245">
        <f t="array" ref="D52">SUM(IF((Budget[Account Code]=B52)*(Budget[Sort Code]=$G$4)*(Budget[Date]&lt;=$D$7),(Budget[Amount])))</f>
        <v>17860514</v>
      </c>
      <c r="E52" s="245">
        <f t="array" ref="E52">((SUM(IF((CkDJ[Sort Code]=(TRIM(G$4)))*(CkDJ[Account Code]=(TRIM($B52)))*(CkDJ[Date]&lt;=$E$7),CkDJ[Debit])))+(SUM(IF((CsDJ[Sort Code]=(TRIM(G$4)))*(CsDJ[Account Code]=(TRIM($B52)))*(CsDJ[Date]&lt;=$E$7),CsDJ[Debit])))+(SUM(IF((CRDJ[Sort Code]=(TRIM(G$4)))*(CRDJ[Account Code]=(TRIM($B52)))*(CRDJ[Date]&lt;=$E$7),CRDJ[Debit])))+(SUM(IF((GJ[Sort Code]=(TRIM(G$4)))*(GJ[Account Code]=(TRIM($B52)))*(GJ[Date]&lt;=$E$7),GJ[Debit]))))-((SUM(IF((CkDJ[Sort Code]=(TRIM(G$4)))*(CkDJ[Account Code]=(TRIM($B52)))*(CkDJ[Date]&lt;=$E$7),CkDJ[Credit])))+(SUM(IF((CsDJ[Sort Code]=(TRIM(G$4)))*(CsDJ[Account Code]=(TRIM($B52)))*(CsDJ[Date]&lt;=$E$7),CsDJ[Credit])))+(SUM(IF((CRDJ[Sort Code]=(TRIM(G$4)))*(CRDJ[Account Code]=(TRIM($B52)))*(CRDJ[Date]&lt;=$E$7),CRDJ[Credit])))+(SUM(IF((GJ[Sort Code]=(TRIM(G$4)))*(GJ[Account Code]=(TRIM($B52)))*(GJ[Date]&lt;=$E$7),GJ[Credit]))))</f>
        <v>0</v>
      </c>
      <c r="F52" s="245">
        <f t="array" ref="F52">((SUM(IF((CkDJ[Date]=$A$3)*(CkDJ[Sort Code]=(TRIM(G$4)))*(CkDJ[Account Code]=(TRIM($B52))),CkDJ[Debit])))+(SUM(IF((CsDJ[Date]=$A$3)*(CsDJ[Sort Code]=(TRIM(G$4)))*(CsDJ[Account Code]=(TRIM($B52))),CsDJ[Debit])))+(SUM(IF((CRDJ[Date]=$A$3)*(CRDJ[Sort Code]=(TRIM(G$4)))*(CRDJ[Account Code]=(TRIM($B52))),CRDJ[Debit])))+(SUM(IF((GJ[Date]=$A$3)*(GJ[Sort Code]=(TRIM(G$4)))*(GJ[Account Code]=(TRIM($B52))),GJ[Debit]))))-((SUM(IF((CkDJ[Date]=$A$3)*(CkDJ[Sort Code]=(TRIM(G$4)))*(CkDJ[Account Code]=(TRIM($B52))),CkDJ[Credit])))+(SUM(IF((CsDJ[Date]=$A$3)*(CsDJ[Sort Code]=(TRIM(G$4)))*(CsDJ[Account Code]=(TRIM($B52))),CsDJ[Credit])))+(SUM(IF((CRDJ[Date]=$A$3)*(CRDJ[Sort Code]=(TRIM(G$4)))*(CRDJ[Account Code]=(TRIM($B52))),CRDJ[Credit])))+(SUM(IF((GJ[Date]=$A$3)*(GJ[Sort Code]=(TRIM(G$4)))*(GJ[Account Code]=(TRIM($B52))),GJ[Credit]))))</f>
        <v>0</v>
      </c>
      <c r="G52" s="343">
        <f t="shared" ref="G52:G57" si="7">E52+F52</f>
        <v>0</v>
      </c>
      <c r="H52" s="246">
        <f t="shared" si="5"/>
        <v>-17860514</v>
      </c>
      <c r="I52" s="246">
        <f t="shared" si="6"/>
        <v>0</v>
      </c>
    </row>
    <row r="53" spans="1:9" hidden="1">
      <c r="A53" s="247" t="s">
        <v>195</v>
      </c>
      <c r="B53" s="339" t="s">
        <v>163</v>
      </c>
      <c r="C53" s="245">
        <f t="array" ref="C53">SUM(IF((Budget[Account Code]=B53)*(Budget[Sort Code]=$G$4),(Budget[Amount])))</f>
        <v>1885656</v>
      </c>
      <c r="D53" s="245">
        <f t="array" ref="D53">SUM(IF((Budget[Account Code]=B53)*(Budget[Sort Code]=$G$4)*(Budget[Date]&lt;=$D$7),(Budget[Amount])))</f>
        <v>1885656</v>
      </c>
      <c r="E53" s="245">
        <f t="array" ref="E53">((SUM(IF((CkDJ[Sort Code]=(TRIM(G$4)))*(CkDJ[Account Code]=(TRIM($B53)))*(CkDJ[Date]&lt;=$E$7),CkDJ[Debit])))+(SUM(IF((CsDJ[Sort Code]=(TRIM(G$4)))*(CsDJ[Account Code]=(TRIM($B53)))*(CsDJ[Date]&lt;=$E$7),CsDJ[Debit])))+(SUM(IF((CRDJ[Sort Code]=(TRIM(G$4)))*(CRDJ[Account Code]=(TRIM($B53)))*(CRDJ[Date]&lt;=$E$7),CRDJ[Debit])))+(SUM(IF((GJ[Sort Code]=(TRIM(G$4)))*(GJ[Account Code]=(TRIM($B53)))*(GJ[Date]&lt;=$E$7),GJ[Debit]))))-((SUM(IF((CkDJ[Sort Code]=(TRIM(G$4)))*(CkDJ[Account Code]=(TRIM($B53)))*(CkDJ[Date]&lt;=$E$7),CkDJ[Credit])))+(SUM(IF((CsDJ[Sort Code]=(TRIM(G$4)))*(CsDJ[Account Code]=(TRIM($B53)))*(CsDJ[Date]&lt;=$E$7),CsDJ[Credit])))+(SUM(IF((CRDJ[Sort Code]=(TRIM(G$4)))*(CRDJ[Account Code]=(TRIM($B53)))*(CRDJ[Date]&lt;=$E$7),CRDJ[Credit])))+(SUM(IF((GJ[Sort Code]=(TRIM(G$4)))*(GJ[Account Code]=(TRIM($B53)))*(GJ[Date]&lt;=$E$7),GJ[Credit]))))</f>
        <v>0</v>
      </c>
      <c r="F53" s="245">
        <f t="array" ref="F53">((SUM(IF((CkDJ[Date]=$A$3)*(CkDJ[Sort Code]=(TRIM(G$4)))*(CkDJ[Account Code]=(TRIM($B53))),CkDJ[Debit])))+(SUM(IF((CsDJ[Date]=$A$3)*(CsDJ[Sort Code]=(TRIM(G$4)))*(CsDJ[Account Code]=(TRIM($B53))),CsDJ[Debit])))+(SUM(IF((CRDJ[Date]=$A$3)*(CRDJ[Sort Code]=(TRIM(G$4)))*(CRDJ[Account Code]=(TRIM($B53))),CRDJ[Debit])))+(SUM(IF((GJ[Date]=$A$3)*(GJ[Sort Code]=(TRIM(G$4)))*(GJ[Account Code]=(TRIM($B53))),GJ[Debit]))))-((SUM(IF((CkDJ[Date]=$A$3)*(CkDJ[Sort Code]=(TRIM(G$4)))*(CkDJ[Account Code]=(TRIM($B53))),CkDJ[Credit])))+(SUM(IF((CsDJ[Date]=$A$3)*(CsDJ[Sort Code]=(TRIM(G$4)))*(CsDJ[Account Code]=(TRIM($B53))),CsDJ[Credit])))+(SUM(IF((CRDJ[Date]=$A$3)*(CRDJ[Sort Code]=(TRIM(G$4)))*(CRDJ[Account Code]=(TRIM($B53))),CRDJ[Credit])))+(SUM(IF((GJ[Date]=$A$3)*(GJ[Sort Code]=(TRIM(G$4)))*(GJ[Account Code]=(TRIM($B53))),GJ[Credit]))))</f>
        <v>0</v>
      </c>
      <c r="G53" s="343">
        <f t="shared" si="7"/>
        <v>0</v>
      </c>
      <c r="H53" s="246">
        <f t="shared" si="5"/>
        <v>-1885656</v>
      </c>
      <c r="I53" s="246">
        <f t="shared" si="6"/>
        <v>0</v>
      </c>
    </row>
    <row r="54" spans="1:9" hidden="1">
      <c r="A54" s="247" t="s">
        <v>196</v>
      </c>
      <c r="B54" s="339" t="s">
        <v>1013</v>
      </c>
      <c r="C54" s="245">
        <f t="array" ref="C54">SUM(IF((Budget[Account Code]=B54)*(Budget[Sort Code]=$G$4),(Budget[Amount])))</f>
        <v>0</v>
      </c>
      <c r="D54" s="245">
        <f t="array" ref="D54">SUM(IF((Budget[Account Code]=B54)*(Budget[Sort Code]=$G$4)*(Budget[Date]&lt;=$D$7),(Budget[Amount])))</f>
        <v>0</v>
      </c>
      <c r="E54" s="245">
        <f t="array" ref="E54">((SUM(IF((CkDJ[Sort Code]=(TRIM(G$4)))*(CkDJ[Account Code]=(TRIM($B54)))*(CkDJ[Date]&lt;=$E$7),CkDJ[Debit])))+(SUM(IF((CsDJ[Sort Code]=(TRIM(G$4)))*(CsDJ[Account Code]=(TRIM($B54)))*(CsDJ[Date]&lt;=$E$7),CsDJ[Debit])))+(SUM(IF((CRDJ[Sort Code]=(TRIM(G$4)))*(CRDJ[Account Code]=(TRIM($B54)))*(CRDJ[Date]&lt;=$E$7),CRDJ[Debit])))+(SUM(IF((GJ[Sort Code]=(TRIM(G$4)))*(GJ[Account Code]=(TRIM($B54)))*(GJ[Date]&lt;=$E$7),GJ[Debit]))))-((SUM(IF((CkDJ[Sort Code]=(TRIM(G$4)))*(CkDJ[Account Code]=(TRIM($B54)))*(CkDJ[Date]&lt;=$E$7),CkDJ[Credit])))+(SUM(IF((CsDJ[Sort Code]=(TRIM(G$4)))*(CsDJ[Account Code]=(TRIM($B54)))*(CsDJ[Date]&lt;=$E$7),CsDJ[Credit])))+(SUM(IF((CRDJ[Sort Code]=(TRIM(G$4)))*(CRDJ[Account Code]=(TRIM($B54)))*(CRDJ[Date]&lt;=$E$7),CRDJ[Credit])))+(SUM(IF((GJ[Sort Code]=(TRIM(G$4)))*(GJ[Account Code]=(TRIM($B54)))*(GJ[Date]&lt;=$E$7),GJ[Credit]))))</f>
        <v>0</v>
      </c>
      <c r="F54" s="245">
        <f t="array" ref="F54">((SUM(IF((CkDJ[Date]=$A$3)*(CkDJ[Sort Code]=(TRIM(G$4)))*(CkDJ[Account Code]=(TRIM($B54))),CkDJ[Debit])))+(SUM(IF((CsDJ[Date]=$A$3)*(CsDJ[Sort Code]=(TRIM(G$4)))*(CsDJ[Account Code]=(TRIM($B54))),CsDJ[Debit])))+(SUM(IF((CRDJ[Date]=$A$3)*(CRDJ[Sort Code]=(TRIM(G$4)))*(CRDJ[Account Code]=(TRIM($B54))),CRDJ[Debit])))+(SUM(IF((GJ[Date]=$A$3)*(GJ[Sort Code]=(TRIM(G$4)))*(GJ[Account Code]=(TRIM($B54))),GJ[Debit]))))-((SUM(IF((CkDJ[Date]=$A$3)*(CkDJ[Sort Code]=(TRIM(G$4)))*(CkDJ[Account Code]=(TRIM($B54))),CkDJ[Credit])))+(SUM(IF((CsDJ[Date]=$A$3)*(CsDJ[Sort Code]=(TRIM(G$4)))*(CsDJ[Account Code]=(TRIM($B54))),CsDJ[Credit])))+(SUM(IF((CRDJ[Date]=$A$3)*(CRDJ[Sort Code]=(TRIM(G$4)))*(CRDJ[Account Code]=(TRIM($B54))),CRDJ[Credit])))+(SUM(IF((GJ[Date]=$A$3)*(GJ[Sort Code]=(TRIM(G$4)))*(GJ[Account Code]=(TRIM($B54))),GJ[Credit]))))</f>
        <v>0</v>
      </c>
      <c r="G54" s="343">
        <f t="shared" si="7"/>
        <v>0</v>
      </c>
      <c r="H54" s="246">
        <f t="shared" si="5"/>
        <v>0</v>
      </c>
      <c r="I54" s="246">
        <f t="shared" si="6"/>
        <v>0</v>
      </c>
    </row>
    <row r="55" spans="1:9" hidden="1">
      <c r="A55" s="247" t="s">
        <v>197</v>
      </c>
      <c r="B55" s="339" t="s">
        <v>164</v>
      </c>
      <c r="C55" s="245">
        <f t="array" ref="C55">SUM(IF((Budget[Account Code]=B55)*(Budget[Sort Code]=$G$4),(Budget[Amount])))</f>
        <v>1800000</v>
      </c>
      <c r="D55" s="245">
        <f t="array" ref="D55">SUM(IF((Budget[Account Code]=B55)*(Budget[Sort Code]=$G$4)*(Budget[Date]&lt;=$D$7),(Budget[Amount])))</f>
        <v>1800000</v>
      </c>
      <c r="E55" s="245">
        <f t="array" ref="E55">((SUM(IF((CkDJ[Sort Code]=(TRIM(G$4)))*(CkDJ[Account Code]=(TRIM($B55)))*(CkDJ[Date]&lt;=$E$7),CkDJ[Debit])))+(SUM(IF((CsDJ[Sort Code]=(TRIM(G$4)))*(CsDJ[Account Code]=(TRIM($B55)))*(CsDJ[Date]&lt;=$E$7),CsDJ[Debit])))+(SUM(IF((CRDJ[Sort Code]=(TRIM(G$4)))*(CRDJ[Account Code]=(TRIM($B55)))*(CRDJ[Date]&lt;=$E$7),CRDJ[Debit])))+(SUM(IF((GJ[Sort Code]=(TRIM(G$4)))*(GJ[Account Code]=(TRIM($B55)))*(GJ[Date]&lt;=$E$7),GJ[Debit]))))-((SUM(IF((CkDJ[Sort Code]=(TRIM(G$4)))*(CkDJ[Account Code]=(TRIM($B55)))*(CkDJ[Date]&lt;=$E$7),CkDJ[Credit])))+(SUM(IF((CsDJ[Sort Code]=(TRIM(G$4)))*(CsDJ[Account Code]=(TRIM($B55)))*(CsDJ[Date]&lt;=$E$7),CsDJ[Credit])))+(SUM(IF((CRDJ[Sort Code]=(TRIM(G$4)))*(CRDJ[Account Code]=(TRIM($B55)))*(CRDJ[Date]&lt;=$E$7),CRDJ[Credit])))+(SUM(IF((GJ[Sort Code]=(TRIM(G$4)))*(GJ[Account Code]=(TRIM($B55)))*(GJ[Date]&lt;=$E$7),GJ[Credit]))))</f>
        <v>0</v>
      </c>
      <c r="F55" s="245">
        <f t="array" ref="F55">((SUM(IF((CkDJ[Date]=$A$3)*(CkDJ[Sort Code]=(TRIM(G$4)))*(CkDJ[Account Code]=(TRIM($B55))),CkDJ[Debit])))+(SUM(IF((CsDJ[Date]=$A$3)*(CsDJ[Sort Code]=(TRIM(G$4)))*(CsDJ[Account Code]=(TRIM($B55))),CsDJ[Debit])))+(SUM(IF((CRDJ[Date]=$A$3)*(CRDJ[Sort Code]=(TRIM(G$4)))*(CRDJ[Account Code]=(TRIM($B55))),CRDJ[Debit])))+(SUM(IF((GJ[Date]=$A$3)*(GJ[Sort Code]=(TRIM(G$4)))*(GJ[Account Code]=(TRIM($B55))),GJ[Debit]))))-((SUM(IF((CkDJ[Date]=$A$3)*(CkDJ[Sort Code]=(TRIM(G$4)))*(CkDJ[Account Code]=(TRIM($B55))),CkDJ[Credit])))+(SUM(IF((CsDJ[Date]=$A$3)*(CsDJ[Sort Code]=(TRIM(G$4)))*(CsDJ[Account Code]=(TRIM($B55))),CsDJ[Credit])))+(SUM(IF((CRDJ[Date]=$A$3)*(CRDJ[Sort Code]=(TRIM(G$4)))*(CRDJ[Account Code]=(TRIM($B55))),CRDJ[Credit])))+(SUM(IF((GJ[Date]=$A$3)*(GJ[Sort Code]=(TRIM(G$4)))*(GJ[Account Code]=(TRIM($B55))),GJ[Credit]))))</f>
        <v>0</v>
      </c>
      <c r="G55" s="343">
        <f t="shared" si="7"/>
        <v>0</v>
      </c>
      <c r="H55" s="246">
        <f t="shared" si="5"/>
        <v>-1800000</v>
      </c>
      <c r="I55" s="246">
        <f t="shared" si="6"/>
        <v>0</v>
      </c>
    </row>
    <row r="56" spans="1:9" hidden="1">
      <c r="A56" s="247" t="s">
        <v>198</v>
      </c>
      <c r="B56" s="339" t="s">
        <v>165</v>
      </c>
      <c r="C56" s="245">
        <f t="array" ref="C56">SUM(IF((Budget[Account Code]=B56)*(Budget[Sort Code]=$G$4),(Budget[Amount])))</f>
        <v>60000</v>
      </c>
      <c r="D56" s="245">
        <f t="array" ref="D56">SUM(IF((Budget[Account Code]=B56)*(Budget[Sort Code]=$G$4)*(Budget[Date]&lt;=$D$7),(Budget[Amount])))</f>
        <v>60000</v>
      </c>
      <c r="E56" s="245">
        <f t="array" ref="E56">((SUM(IF((CkDJ[Sort Code]=(TRIM(G$4)))*(CkDJ[Account Code]=(TRIM($B56)))*(CkDJ[Date]&lt;=$E$7),CkDJ[Debit])))+(SUM(IF((CsDJ[Sort Code]=(TRIM(G$4)))*(CsDJ[Account Code]=(TRIM($B56)))*(CsDJ[Date]&lt;=$E$7),CsDJ[Debit])))+(SUM(IF((CRDJ[Sort Code]=(TRIM(G$4)))*(CRDJ[Account Code]=(TRIM($B56)))*(CRDJ[Date]&lt;=$E$7),CRDJ[Debit])))+(SUM(IF((GJ[Sort Code]=(TRIM(G$4)))*(GJ[Account Code]=(TRIM($B56)))*(GJ[Date]&lt;=$E$7),GJ[Debit]))))-((SUM(IF((CkDJ[Sort Code]=(TRIM(G$4)))*(CkDJ[Account Code]=(TRIM($B56)))*(CkDJ[Date]&lt;=$E$7),CkDJ[Credit])))+(SUM(IF((CsDJ[Sort Code]=(TRIM(G$4)))*(CsDJ[Account Code]=(TRIM($B56)))*(CsDJ[Date]&lt;=$E$7),CsDJ[Credit])))+(SUM(IF((CRDJ[Sort Code]=(TRIM(G$4)))*(CRDJ[Account Code]=(TRIM($B56)))*(CRDJ[Date]&lt;=$E$7),CRDJ[Credit])))+(SUM(IF((GJ[Sort Code]=(TRIM(G$4)))*(GJ[Account Code]=(TRIM($B56)))*(GJ[Date]&lt;=$E$7),GJ[Credit]))))</f>
        <v>0</v>
      </c>
      <c r="F56" s="245">
        <f t="array" ref="F56">((SUM(IF((CkDJ[Date]=$A$3)*(CkDJ[Sort Code]=(TRIM(G$4)))*(CkDJ[Account Code]=(TRIM($B56))),CkDJ[Debit])))+(SUM(IF((CsDJ[Date]=$A$3)*(CsDJ[Sort Code]=(TRIM(G$4)))*(CsDJ[Account Code]=(TRIM($B56))),CsDJ[Debit])))+(SUM(IF((CRDJ[Date]=$A$3)*(CRDJ[Sort Code]=(TRIM(G$4)))*(CRDJ[Account Code]=(TRIM($B56))),CRDJ[Debit])))+(SUM(IF((GJ[Date]=$A$3)*(GJ[Sort Code]=(TRIM(G$4)))*(GJ[Account Code]=(TRIM($B56))),GJ[Debit]))))-((SUM(IF((CkDJ[Date]=$A$3)*(CkDJ[Sort Code]=(TRIM(G$4)))*(CkDJ[Account Code]=(TRIM($B56))),CkDJ[Credit])))+(SUM(IF((CsDJ[Date]=$A$3)*(CsDJ[Sort Code]=(TRIM(G$4)))*(CsDJ[Account Code]=(TRIM($B56))),CsDJ[Credit])))+(SUM(IF((CRDJ[Date]=$A$3)*(CRDJ[Sort Code]=(TRIM(G$4)))*(CRDJ[Account Code]=(TRIM($B56))),CRDJ[Credit])))+(SUM(IF((GJ[Date]=$A$3)*(GJ[Sort Code]=(TRIM(G$4)))*(GJ[Account Code]=(TRIM($B56))),GJ[Credit]))))</f>
        <v>0</v>
      </c>
      <c r="G56" s="343">
        <f t="shared" si="7"/>
        <v>0</v>
      </c>
      <c r="H56" s="246">
        <f t="shared" si="5"/>
        <v>-60000</v>
      </c>
      <c r="I56" s="246">
        <f t="shared" si="6"/>
        <v>0</v>
      </c>
    </row>
    <row r="57" spans="1:9" hidden="1">
      <c r="A57" s="247" t="s">
        <v>199</v>
      </c>
      <c r="B57" s="339" t="s">
        <v>166</v>
      </c>
      <c r="C57" s="245">
        <f t="array" ref="C57">SUM(IF((Budget[Account Code]=B57)*(Budget[Sort Code]=$G$4),(Budget[Amount])))</f>
        <v>0</v>
      </c>
      <c r="D57" s="245">
        <f t="array" ref="D57">SUM(IF((Budget[Account Code]=B57)*(Budget[Sort Code]=$G$4)*(Budget[Date]&lt;=$D$7),(Budget[Amount])))</f>
        <v>0</v>
      </c>
      <c r="E57" s="245">
        <f t="array" ref="E57">((SUM(IF((CkDJ[Sort Code]=(TRIM(G$4)))*(CkDJ[Account Code]=(TRIM($B57)))*(CkDJ[Date]&lt;=$E$7),CkDJ[Debit])))+(SUM(IF((CsDJ[Sort Code]=(TRIM(G$4)))*(CsDJ[Account Code]=(TRIM($B57)))*(CsDJ[Date]&lt;=$E$7),CsDJ[Debit])))+(SUM(IF((CRDJ[Sort Code]=(TRIM(G$4)))*(CRDJ[Account Code]=(TRIM($B57)))*(CRDJ[Date]&lt;=$E$7),CRDJ[Debit])))+(SUM(IF((GJ[Sort Code]=(TRIM(G$4)))*(GJ[Account Code]=(TRIM($B57)))*(GJ[Date]&lt;=$E$7),GJ[Debit]))))-((SUM(IF((CkDJ[Sort Code]=(TRIM(G$4)))*(CkDJ[Account Code]=(TRIM($B57)))*(CkDJ[Date]&lt;=$E$7),CkDJ[Credit])))+(SUM(IF((CsDJ[Sort Code]=(TRIM(G$4)))*(CsDJ[Account Code]=(TRIM($B57)))*(CsDJ[Date]&lt;=$E$7),CsDJ[Credit])))+(SUM(IF((CRDJ[Sort Code]=(TRIM(G$4)))*(CRDJ[Account Code]=(TRIM($B57)))*(CRDJ[Date]&lt;=$E$7),CRDJ[Credit])))+(SUM(IF((GJ[Sort Code]=(TRIM(G$4)))*(GJ[Account Code]=(TRIM($B57)))*(GJ[Date]&lt;=$E$7),GJ[Credit]))))</f>
        <v>0</v>
      </c>
      <c r="F57" s="245">
        <f t="array" ref="F57">((SUM(IF((CkDJ[Date]=$A$3)*(CkDJ[Sort Code]=(TRIM(G$4)))*(CkDJ[Account Code]=(TRIM($B57))),CkDJ[Debit])))+(SUM(IF((CsDJ[Date]=$A$3)*(CsDJ[Sort Code]=(TRIM(G$4)))*(CsDJ[Account Code]=(TRIM($B57))),CsDJ[Debit])))+(SUM(IF((CRDJ[Date]=$A$3)*(CRDJ[Sort Code]=(TRIM(G$4)))*(CRDJ[Account Code]=(TRIM($B57))),CRDJ[Debit])))+(SUM(IF((GJ[Date]=$A$3)*(GJ[Sort Code]=(TRIM(G$4)))*(GJ[Account Code]=(TRIM($B57))),GJ[Debit]))))-((SUM(IF((CkDJ[Date]=$A$3)*(CkDJ[Sort Code]=(TRIM(G$4)))*(CkDJ[Account Code]=(TRIM($B57))),CkDJ[Credit])))+(SUM(IF((CsDJ[Date]=$A$3)*(CsDJ[Sort Code]=(TRIM(G$4)))*(CsDJ[Account Code]=(TRIM($B57))),CsDJ[Credit])))+(SUM(IF((CRDJ[Date]=$A$3)*(CRDJ[Sort Code]=(TRIM(G$4)))*(CRDJ[Account Code]=(TRIM($B57))),CRDJ[Credit])))+(SUM(IF((GJ[Date]=$A$3)*(GJ[Sort Code]=(TRIM(G$4)))*(GJ[Account Code]=(TRIM($B57))),GJ[Credit]))))</f>
        <v>0</v>
      </c>
      <c r="G57" s="343">
        <f t="shared" si="7"/>
        <v>0</v>
      </c>
      <c r="H57" s="246">
        <f t="shared" si="5"/>
        <v>0</v>
      </c>
      <c r="I57" s="246">
        <f t="shared" si="6"/>
        <v>0</v>
      </c>
    </row>
    <row r="58" spans="1:9" hidden="1">
      <c r="A58" s="247" t="s">
        <v>200</v>
      </c>
      <c r="B58" s="339" t="s">
        <v>167</v>
      </c>
      <c r="C58" s="245">
        <f t="array" ref="C58">SUM(IF((Budget[Account Code]=B58)*(Budget[Sort Code]=$G$4),(Budget[Amount])))</f>
        <v>375000</v>
      </c>
      <c r="D58" s="245">
        <f t="array" ref="D58">SUM(IF((Budget[Account Code]=B58)*(Budget[Sort Code]=$G$4)*(Budget[Date]&lt;=$D$7),(Budget[Amount])))</f>
        <v>375000</v>
      </c>
      <c r="E58" s="245">
        <f t="array" ref="E58">((SUM(IF((CkDJ[Sort Code]=(TRIM(G$4)))*(CkDJ[Account Code]=(TRIM($B58)))*(CkDJ[Date]&lt;=$E$7),CkDJ[Debit])))+(SUM(IF((CsDJ[Sort Code]=(TRIM(G$4)))*(CsDJ[Account Code]=(TRIM($B58)))*(CsDJ[Date]&lt;=$E$7),CsDJ[Debit])))+(SUM(IF((CRDJ[Sort Code]=(TRIM(G$4)))*(CRDJ[Account Code]=(TRIM($B58)))*(CRDJ[Date]&lt;=$E$7),CRDJ[Debit])))+(SUM(IF((GJ[Sort Code]=(TRIM(G$4)))*(GJ[Account Code]=(TRIM($B58)))*(GJ[Date]&lt;=$E$7),GJ[Debit]))))-((SUM(IF((CkDJ[Sort Code]=(TRIM(G$4)))*(CkDJ[Account Code]=(TRIM($B58)))*(CkDJ[Date]&lt;=$E$7),CkDJ[Credit])))+(SUM(IF((CsDJ[Sort Code]=(TRIM(G$4)))*(CsDJ[Account Code]=(TRIM($B58)))*(CsDJ[Date]&lt;=$E$7),CsDJ[Credit])))+(SUM(IF((CRDJ[Sort Code]=(TRIM(G$4)))*(CRDJ[Account Code]=(TRIM($B58)))*(CRDJ[Date]&lt;=$E$7),CRDJ[Credit])))+(SUM(IF((GJ[Sort Code]=(TRIM(G$4)))*(GJ[Account Code]=(TRIM($B58)))*(GJ[Date]&lt;=$E$7),GJ[Credit]))))</f>
        <v>0</v>
      </c>
      <c r="F58" s="245">
        <f t="array" ref="F58">((SUM(IF((CkDJ[Date]=$A$3)*(CkDJ[Sort Code]=(TRIM(G$4)))*(CkDJ[Account Code]=(TRIM($B58))),CkDJ[Debit])))+(SUM(IF((CsDJ[Date]=$A$3)*(CsDJ[Sort Code]=(TRIM(G$4)))*(CsDJ[Account Code]=(TRIM($B58))),CsDJ[Debit])))+(SUM(IF((CRDJ[Date]=$A$3)*(CRDJ[Sort Code]=(TRIM(G$4)))*(CRDJ[Account Code]=(TRIM($B58))),CRDJ[Debit])))+(SUM(IF((GJ[Date]=$A$3)*(GJ[Sort Code]=(TRIM(G$4)))*(GJ[Account Code]=(TRIM($B58))),GJ[Debit]))))-((SUM(IF((CkDJ[Date]=$A$3)*(CkDJ[Sort Code]=(TRIM(G$4)))*(CkDJ[Account Code]=(TRIM($B58))),CkDJ[Credit])))+(SUM(IF((CsDJ[Date]=$A$3)*(CsDJ[Sort Code]=(TRIM(G$4)))*(CsDJ[Account Code]=(TRIM($B58))),CsDJ[Credit])))+(SUM(IF((CRDJ[Date]=$A$3)*(CRDJ[Sort Code]=(TRIM(G$4)))*(CRDJ[Account Code]=(TRIM($B58))),CRDJ[Credit])))+(SUM(IF((GJ[Date]=$A$3)*(GJ[Sort Code]=(TRIM(G$4)))*(GJ[Account Code]=(TRIM($B58))),GJ[Credit]))))</f>
        <v>0</v>
      </c>
      <c r="G58" s="343">
        <f>E58+F58</f>
        <v>0</v>
      </c>
      <c r="H58" s="246">
        <f t="shared" si="5"/>
        <v>-375000</v>
      </c>
      <c r="I58" s="246">
        <f t="shared" si="6"/>
        <v>0</v>
      </c>
    </row>
    <row r="59" spans="1:9" hidden="1">
      <c r="A59" s="247" t="s">
        <v>1476</v>
      </c>
      <c r="B59" s="339" t="s">
        <v>1262</v>
      </c>
      <c r="C59" s="245">
        <f t="array" ref="C59">SUM(IF((Budget[Account Code]=B59)*(Budget[Sort Code]=$G$4),(Budget[Amount])))</f>
        <v>0</v>
      </c>
      <c r="D59" s="245">
        <f t="array" ref="D59">SUM(IF((Budget[Account Code]=B59)*(Budget[Sort Code]=$G$4)*(Budget[Date]&lt;=$D$7),(Budget[Amount])))</f>
        <v>0</v>
      </c>
      <c r="E59" s="245">
        <f t="array" ref="E59">((SUM(IF((CkDJ[Sort Code]=(TRIM(G$4)))*(CkDJ[Account Code]=(TRIM($B59)))*(CkDJ[Date]&lt;=$E$7),CkDJ[Debit])))+(SUM(IF((CsDJ[Sort Code]=(TRIM(G$4)))*(CsDJ[Account Code]=(TRIM($B59)))*(CsDJ[Date]&lt;=$E$7),CsDJ[Debit])))+(SUM(IF((CRDJ[Sort Code]=(TRIM(G$4)))*(CRDJ[Account Code]=(TRIM($B59)))*(CRDJ[Date]&lt;=$E$7),CRDJ[Debit])))+(SUM(IF((GJ[Sort Code]=(TRIM(G$4)))*(GJ[Account Code]=(TRIM($B59)))*(GJ[Date]&lt;=$E$7),GJ[Debit]))))-((SUM(IF((CkDJ[Sort Code]=(TRIM(G$4)))*(CkDJ[Account Code]=(TRIM($B59)))*(CkDJ[Date]&lt;=$E$7),CkDJ[Credit])))+(SUM(IF((CsDJ[Sort Code]=(TRIM(G$4)))*(CsDJ[Account Code]=(TRIM($B59)))*(CsDJ[Date]&lt;=$E$7),CsDJ[Credit])))+(SUM(IF((CRDJ[Sort Code]=(TRIM(G$4)))*(CRDJ[Account Code]=(TRIM($B59)))*(CRDJ[Date]&lt;=$E$7),CRDJ[Credit])))+(SUM(IF((GJ[Sort Code]=(TRIM(G$4)))*(GJ[Account Code]=(TRIM($B59)))*(GJ[Date]&lt;=$E$7),GJ[Credit]))))</f>
        <v>0</v>
      </c>
      <c r="F59" s="245">
        <f t="array" ref="F59">((SUM(IF((CkDJ[Date]=$A$3)*(CkDJ[Sort Code]=(TRIM(G$4)))*(CkDJ[Account Code]=(TRIM($B59))),CkDJ[Debit])))+(SUM(IF((CsDJ[Date]=$A$3)*(CsDJ[Sort Code]=(TRIM(G$4)))*(CsDJ[Account Code]=(TRIM($B59))),CsDJ[Debit])))+(SUM(IF((CRDJ[Date]=$A$3)*(CRDJ[Sort Code]=(TRIM(G$4)))*(CRDJ[Account Code]=(TRIM($B59))),CRDJ[Debit])))+(SUM(IF((GJ[Date]=$A$3)*(GJ[Sort Code]=(TRIM(G$4)))*(GJ[Account Code]=(TRIM($B59))),GJ[Debit]))))-((SUM(IF((CkDJ[Date]=$A$3)*(CkDJ[Sort Code]=(TRIM(G$4)))*(CkDJ[Account Code]=(TRIM($B59))),CkDJ[Credit])))+(SUM(IF((CsDJ[Date]=$A$3)*(CsDJ[Sort Code]=(TRIM(G$4)))*(CsDJ[Account Code]=(TRIM($B59))),CsDJ[Credit])))+(SUM(IF((CRDJ[Date]=$A$3)*(CRDJ[Sort Code]=(TRIM(G$4)))*(CRDJ[Account Code]=(TRIM($B59))),CRDJ[Credit])))+(SUM(IF((GJ[Date]=$A$3)*(GJ[Sort Code]=(TRIM(G$4)))*(GJ[Account Code]=(TRIM($B59))),GJ[Credit]))))</f>
        <v>0</v>
      </c>
      <c r="G59" s="343">
        <f>E59+F59</f>
        <v>0</v>
      </c>
      <c r="H59" s="246">
        <f>G59-D59</f>
        <v>0</v>
      </c>
      <c r="I59" s="246">
        <f>IF((D59=0),0,G59/D59)</f>
        <v>0</v>
      </c>
    </row>
    <row r="60" spans="1:9" hidden="1">
      <c r="A60" s="247" t="s">
        <v>204</v>
      </c>
      <c r="B60" s="339" t="s">
        <v>171</v>
      </c>
      <c r="C60" s="245">
        <f t="array" ref="C60">SUM(IF((Budget[Account Code]=B60)*(Budget[Sort Code]=$G$4),(Budget[Amount])))</f>
        <v>0</v>
      </c>
      <c r="D60" s="245">
        <f t="array" ref="D60">SUM(IF((Budget[Account Code]=B60)*(Budget[Sort Code]=$G$4)*(Budget[Date]&lt;=$D$7),(Budget[Amount])))</f>
        <v>0</v>
      </c>
      <c r="E60" s="245">
        <f t="array" ref="E60">((SUM(IF((CkDJ[Sort Code]=(TRIM(G$4)))*(CkDJ[Account Code]=(TRIM($B60)))*(CkDJ[Date]&lt;=$E$7),CkDJ[Debit])))+(SUM(IF((CsDJ[Sort Code]=(TRIM(G$4)))*(CsDJ[Account Code]=(TRIM($B60)))*(CsDJ[Date]&lt;=$E$7),CsDJ[Debit])))+(SUM(IF((CRDJ[Sort Code]=(TRIM(G$4)))*(CRDJ[Account Code]=(TRIM($B60)))*(CRDJ[Date]&lt;=$E$7),CRDJ[Debit])))+(SUM(IF((GJ[Sort Code]=(TRIM(G$4)))*(GJ[Account Code]=(TRIM($B60)))*(GJ[Date]&lt;=$E$7),GJ[Debit]))))-((SUM(IF((CkDJ[Sort Code]=(TRIM(G$4)))*(CkDJ[Account Code]=(TRIM($B60)))*(CkDJ[Date]&lt;=$E$7),CkDJ[Credit])))+(SUM(IF((CsDJ[Sort Code]=(TRIM(G$4)))*(CsDJ[Account Code]=(TRIM($B60)))*(CsDJ[Date]&lt;=$E$7),CsDJ[Credit])))+(SUM(IF((CRDJ[Sort Code]=(TRIM(G$4)))*(CRDJ[Account Code]=(TRIM($B60)))*(CRDJ[Date]&lt;=$E$7),CRDJ[Credit])))+(SUM(IF((GJ[Sort Code]=(TRIM(G$4)))*(GJ[Account Code]=(TRIM($B60)))*(GJ[Date]&lt;=$E$7),GJ[Credit]))))</f>
        <v>0</v>
      </c>
      <c r="F60" s="245">
        <f t="array" ref="F60">((SUM(IF((CkDJ[Date]=$A$3)*(CkDJ[Sort Code]=(TRIM(G$4)))*(CkDJ[Account Code]=(TRIM($B60))),CkDJ[Debit])))+(SUM(IF((CsDJ[Date]=$A$3)*(CsDJ[Sort Code]=(TRIM(G$4)))*(CsDJ[Account Code]=(TRIM($B60))),CsDJ[Debit])))+(SUM(IF((CRDJ[Date]=$A$3)*(CRDJ[Sort Code]=(TRIM(G$4)))*(CRDJ[Account Code]=(TRIM($B60))),CRDJ[Debit])))+(SUM(IF((GJ[Date]=$A$3)*(GJ[Sort Code]=(TRIM(G$4)))*(GJ[Account Code]=(TRIM($B60))),GJ[Debit]))))-((SUM(IF((CkDJ[Date]=$A$3)*(CkDJ[Sort Code]=(TRIM(G$4)))*(CkDJ[Account Code]=(TRIM($B60))),CkDJ[Credit])))+(SUM(IF((CsDJ[Date]=$A$3)*(CsDJ[Sort Code]=(TRIM(G$4)))*(CsDJ[Account Code]=(TRIM($B60))),CsDJ[Credit])))+(SUM(IF((CRDJ[Date]=$A$3)*(CRDJ[Sort Code]=(TRIM(G$4)))*(CRDJ[Account Code]=(TRIM($B60))),CRDJ[Credit])))+(SUM(IF((GJ[Date]=$A$3)*(GJ[Sort Code]=(TRIM(G$4)))*(GJ[Account Code]=(TRIM($B60))),GJ[Credit]))))</f>
        <v>0</v>
      </c>
      <c r="G60" s="343">
        <f t="shared" ref="G60:G74" si="8">E60+F60</f>
        <v>0</v>
      </c>
      <c r="H60" s="246">
        <f t="shared" si="5"/>
        <v>0</v>
      </c>
      <c r="I60" s="246">
        <f t="shared" si="6"/>
        <v>0</v>
      </c>
    </row>
    <row r="61" spans="1:9" hidden="1">
      <c r="A61" s="247" t="s">
        <v>201</v>
      </c>
      <c r="B61" s="339" t="s">
        <v>5</v>
      </c>
      <c r="C61" s="245">
        <f t="array" ref="C61">SUM(IF((Budget[Account Code]=B61)*(Budget[Sort Code]=$G$4),(Budget[Amount])))</f>
        <v>84000</v>
      </c>
      <c r="D61" s="245">
        <f t="array" ref="D61">SUM(IF((Budget[Account Code]=B61)*(Budget[Sort Code]=$G$4)*(Budget[Date]&lt;=$D$7),(Budget[Amount])))</f>
        <v>84000</v>
      </c>
      <c r="E61" s="245">
        <f t="array" ref="E61">((SUM(IF((CkDJ[Sort Code]=(TRIM(G$4)))*(CkDJ[Account Code]=(TRIM($B61)))*(CkDJ[Date]&lt;=$E$7),CkDJ[Debit])))+(SUM(IF((CsDJ[Sort Code]=(TRIM(G$4)))*(CsDJ[Account Code]=(TRIM($B61)))*(CsDJ[Date]&lt;=$E$7),CsDJ[Debit])))+(SUM(IF((CRDJ[Sort Code]=(TRIM(G$4)))*(CRDJ[Account Code]=(TRIM($B61)))*(CRDJ[Date]&lt;=$E$7),CRDJ[Debit])))+(SUM(IF((GJ[Sort Code]=(TRIM(G$4)))*(GJ[Account Code]=(TRIM($B61)))*(GJ[Date]&lt;=$E$7),GJ[Debit]))))-((SUM(IF((CkDJ[Sort Code]=(TRIM(G$4)))*(CkDJ[Account Code]=(TRIM($B61)))*(CkDJ[Date]&lt;=$E$7),CkDJ[Credit])))+(SUM(IF((CsDJ[Sort Code]=(TRIM(G$4)))*(CsDJ[Account Code]=(TRIM($B61)))*(CsDJ[Date]&lt;=$E$7),CsDJ[Credit])))+(SUM(IF((CRDJ[Sort Code]=(TRIM(G$4)))*(CRDJ[Account Code]=(TRIM($B61)))*(CRDJ[Date]&lt;=$E$7),CRDJ[Credit])))+(SUM(IF((GJ[Sort Code]=(TRIM(G$4)))*(GJ[Account Code]=(TRIM($B61)))*(GJ[Date]&lt;=$E$7),GJ[Credit]))))</f>
        <v>0</v>
      </c>
      <c r="F61" s="245">
        <f t="array" ref="F61">((SUM(IF((CkDJ[Date]=$A$3)*(CkDJ[Sort Code]=(TRIM(G$4)))*(CkDJ[Account Code]=(TRIM($B61))),CkDJ[Debit])))+(SUM(IF((CsDJ[Date]=$A$3)*(CsDJ[Sort Code]=(TRIM(G$4)))*(CsDJ[Account Code]=(TRIM($B61))),CsDJ[Debit])))+(SUM(IF((CRDJ[Date]=$A$3)*(CRDJ[Sort Code]=(TRIM(G$4)))*(CRDJ[Account Code]=(TRIM($B61))),CRDJ[Debit])))+(SUM(IF((GJ[Date]=$A$3)*(GJ[Sort Code]=(TRIM(G$4)))*(GJ[Account Code]=(TRIM($B61))),GJ[Debit]))))-((SUM(IF((CkDJ[Date]=$A$3)*(CkDJ[Sort Code]=(TRIM(G$4)))*(CkDJ[Account Code]=(TRIM($B61))),CkDJ[Credit])))+(SUM(IF((CsDJ[Date]=$A$3)*(CsDJ[Sort Code]=(TRIM(G$4)))*(CsDJ[Account Code]=(TRIM($B61))),CsDJ[Credit])))+(SUM(IF((CRDJ[Date]=$A$3)*(CRDJ[Sort Code]=(TRIM(G$4)))*(CRDJ[Account Code]=(TRIM($B61))),CRDJ[Credit])))+(SUM(IF((GJ[Date]=$A$3)*(GJ[Sort Code]=(TRIM(G$4)))*(GJ[Account Code]=(TRIM($B61))),GJ[Credit]))))</f>
        <v>0</v>
      </c>
      <c r="G61" s="343">
        <f t="shared" si="8"/>
        <v>0</v>
      </c>
      <c r="H61" s="246">
        <f t="shared" si="5"/>
        <v>-84000</v>
      </c>
      <c r="I61" s="246">
        <f t="shared" si="6"/>
        <v>0</v>
      </c>
    </row>
    <row r="62" spans="1:9" hidden="1">
      <c r="A62" s="247" t="s">
        <v>202</v>
      </c>
      <c r="B62" s="339" t="s">
        <v>6</v>
      </c>
      <c r="C62" s="245">
        <f t="array" ref="C62">SUM(IF((Budget[Account Code]=B62)*(Budget[Sort Code]=$G$4),(Budget[Amount])))</f>
        <v>27684</v>
      </c>
      <c r="D62" s="245">
        <f t="array" ref="D62">SUM(IF((Budget[Account Code]=B62)*(Budget[Sort Code]=$G$4)*(Budget[Date]&lt;=$D$7),(Budget[Amount])))</f>
        <v>27684</v>
      </c>
      <c r="E62" s="245">
        <f t="array" ref="E62">((SUM(IF((CkDJ[Sort Code]=(TRIM(G$4)))*(CkDJ[Account Code]=(TRIM($B62)))*(CkDJ[Date]&lt;=$E$7),CkDJ[Debit])))+(SUM(IF((CsDJ[Sort Code]=(TRIM(G$4)))*(CsDJ[Account Code]=(TRIM($B62)))*(CsDJ[Date]&lt;=$E$7),CsDJ[Debit])))+(SUM(IF((CRDJ[Sort Code]=(TRIM(G$4)))*(CRDJ[Account Code]=(TRIM($B62)))*(CRDJ[Date]&lt;=$E$7),CRDJ[Debit])))+(SUM(IF((GJ[Sort Code]=(TRIM(G$4)))*(GJ[Account Code]=(TRIM($B62)))*(GJ[Date]&lt;=$E$7),GJ[Debit]))))-((SUM(IF((CkDJ[Sort Code]=(TRIM(G$4)))*(CkDJ[Account Code]=(TRIM($B62)))*(CkDJ[Date]&lt;=$E$7),CkDJ[Credit])))+(SUM(IF((CsDJ[Sort Code]=(TRIM(G$4)))*(CsDJ[Account Code]=(TRIM($B62)))*(CsDJ[Date]&lt;=$E$7),CsDJ[Credit])))+(SUM(IF((CRDJ[Sort Code]=(TRIM(G$4)))*(CRDJ[Account Code]=(TRIM($B62)))*(CRDJ[Date]&lt;=$E$7),CRDJ[Credit])))+(SUM(IF((GJ[Sort Code]=(TRIM(G$4)))*(GJ[Account Code]=(TRIM($B62)))*(GJ[Date]&lt;=$E$7),GJ[Credit]))))</f>
        <v>0</v>
      </c>
      <c r="F62" s="245">
        <f t="array" ref="F62">((SUM(IF((CkDJ[Date]=$A$3)*(CkDJ[Sort Code]=(TRIM(G$4)))*(CkDJ[Account Code]=(TRIM($B62))),CkDJ[Debit])))+(SUM(IF((CsDJ[Date]=$A$3)*(CsDJ[Sort Code]=(TRIM(G$4)))*(CsDJ[Account Code]=(TRIM($B62))),CsDJ[Debit])))+(SUM(IF((CRDJ[Date]=$A$3)*(CRDJ[Sort Code]=(TRIM(G$4)))*(CRDJ[Account Code]=(TRIM($B62))),CRDJ[Debit])))+(SUM(IF((GJ[Date]=$A$3)*(GJ[Sort Code]=(TRIM(G$4)))*(GJ[Account Code]=(TRIM($B62))),GJ[Debit]))))-((SUM(IF((CkDJ[Date]=$A$3)*(CkDJ[Sort Code]=(TRIM(G$4)))*(CkDJ[Account Code]=(TRIM($B62))),CkDJ[Credit])))+(SUM(IF((CsDJ[Date]=$A$3)*(CsDJ[Sort Code]=(TRIM(G$4)))*(CsDJ[Account Code]=(TRIM($B62))),CsDJ[Credit])))+(SUM(IF((CRDJ[Date]=$A$3)*(CRDJ[Sort Code]=(TRIM(G$4)))*(CRDJ[Account Code]=(TRIM($B62))),CRDJ[Credit])))+(SUM(IF((GJ[Date]=$A$3)*(GJ[Sort Code]=(TRIM(G$4)))*(GJ[Account Code]=(TRIM($B62))),GJ[Credit]))))</f>
        <v>0</v>
      </c>
      <c r="G62" s="343">
        <f t="shared" si="8"/>
        <v>0</v>
      </c>
      <c r="H62" s="246">
        <f t="shared" si="5"/>
        <v>-27684</v>
      </c>
      <c r="I62" s="246">
        <f t="shared" si="6"/>
        <v>0</v>
      </c>
    </row>
    <row r="63" spans="1:9" hidden="1">
      <c r="A63" s="247" t="s">
        <v>203</v>
      </c>
      <c r="B63" s="339" t="s">
        <v>7</v>
      </c>
      <c r="C63" s="245">
        <f t="array" ref="C63">SUM(IF((Budget[Account Code]=B63)*(Budget[Sort Code]=$G$4),(Budget[Amount])))</f>
        <v>7560</v>
      </c>
      <c r="D63" s="245">
        <f t="array" ref="D63">SUM(IF((Budget[Account Code]=B63)*(Budget[Sort Code]=$G$4)*(Budget[Date]&lt;=$D$7),(Budget[Amount])))</f>
        <v>7560</v>
      </c>
      <c r="E63" s="245">
        <f t="array" ref="E63">((SUM(IF((CkDJ[Sort Code]=(TRIM(G$4)))*(CkDJ[Account Code]=(TRIM($B63)))*(CkDJ[Date]&lt;=$E$7),CkDJ[Debit])))+(SUM(IF((CsDJ[Sort Code]=(TRIM(G$4)))*(CsDJ[Account Code]=(TRIM($B63)))*(CsDJ[Date]&lt;=$E$7),CsDJ[Debit])))+(SUM(IF((CRDJ[Sort Code]=(TRIM(G$4)))*(CRDJ[Account Code]=(TRIM($B63)))*(CRDJ[Date]&lt;=$E$7),CRDJ[Debit])))+(SUM(IF((GJ[Sort Code]=(TRIM(G$4)))*(GJ[Account Code]=(TRIM($B63)))*(GJ[Date]&lt;=$E$7),GJ[Debit]))))-((SUM(IF((CkDJ[Sort Code]=(TRIM(G$4)))*(CkDJ[Account Code]=(TRIM($B63)))*(CkDJ[Date]&lt;=$E$7),CkDJ[Credit])))+(SUM(IF((CsDJ[Sort Code]=(TRIM(G$4)))*(CsDJ[Account Code]=(TRIM($B63)))*(CsDJ[Date]&lt;=$E$7),CsDJ[Credit])))+(SUM(IF((CRDJ[Sort Code]=(TRIM(G$4)))*(CRDJ[Account Code]=(TRIM($B63)))*(CRDJ[Date]&lt;=$E$7),CRDJ[Credit])))+(SUM(IF((GJ[Sort Code]=(TRIM(G$4)))*(GJ[Account Code]=(TRIM($B63)))*(GJ[Date]&lt;=$E$7),GJ[Credit]))))</f>
        <v>0</v>
      </c>
      <c r="F63" s="245">
        <f t="array" ref="F63">((SUM(IF((CkDJ[Date]=$A$3)*(CkDJ[Sort Code]=(TRIM(G$4)))*(CkDJ[Account Code]=(TRIM($B63))),CkDJ[Debit])))+(SUM(IF((CsDJ[Date]=$A$3)*(CsDJ[Sort Code]=(TRIM(G$4)))*(CsDJ[Account Code]=(TRIM($B63))),CsDJ[Debit])))+(SUM(IF((CRDJ[Date]=$A$3)*(CRDJ[Sort Code]=(TRIM(G$4)))*(CRDJ[Account Code]=(TRIM($B63))),CRDJ[Debit])))+(SUM(IF((GJ[Date]=$A$3)*(GJ[Sort Code]=(TRIM(G$4)))*(GJ[Account Code]=(TRIM($B63))),GJ[Debit]))))-((SUM(IF((CkDJ[Date]=$A$3)*(CkDJ[Sort Code]=(TRIM(G$4)))*(CkDJ[Account Code]=(TRIM($B63))),CkDJ[Credit])))+(SUM(IF((CsDJ[Date]=$A$3)*(CsDJ[Sort Code]=(TRIM(G$4)))*(CsDJ[Account Code]=(TRIM($B63))),CsDJ[Credit])))+(SUM(IF((CRDJ[Date]=$A$3)*(CRDJ[Sort Code]=(TRIM(G$4)))*(CRDJ[Account Code]=(TRIM($B63))),CRDJ[Credit])))+(SUM(IF((GJ[Date]=$A$3)*(GJ[Sort Code]=(TRIM(G$4)))*(GJ[Account Code]=(TRIM($B63))),GJ[Credit]))))</f>
        <v>0</v>
      </c>
      <c r="G63" s="343">
        <f t="shared" si="8"/>
        <v>0</v>
      </c>
      <c r="H63" s="246">
        <f t="shared" si="5"/>
        <v>-7560</v>
      </c>
      <c r="I63" s="246">
        <f t="shared" si="6"/>
        <v>0</v>
      </c>
    </row>
    <row r="64" spans="1:9">
      <c r="A64" s="247" t="s">
        <v>1378</v>
      </c>
      <c r="B64" s="339" t="s">
        <v>169</v>
      </c>
      <c r="C64" s="245">
        <f t="array" ref="C64">SUM(IF((Budget[Account Code]=B64)*(Budget[Sort Code]=$G$4),(Budget[Amount])))</f>
        <v>0</v>
      </c>
      <c r="D64" s="245">
        <f t="array" ref="D64">SUM(IF((Budget[Account Code]=B64)*(Budget[Sort Code]=$G$4)*(Budget[Date]&lt;=$D$7),(Budget[Amount])))</f>
        <v>0</v>
      </c>
      <c r="E64" s="245">
        <f t="array" ref="E64">((SUM(IF((CkDJ[Sort Code]=(TRIM(G$4)))*(CkDJ[Account Code]=(TRIM($B64)))*(CkDJ[Date]&lt;=$E$7),CkDJ[Debit])))+(SUM(IF((CsDJ[Sort Code]=(TRIM(G$4)))*(CsDJ[Account Code]=(TRIM($B64)))*(CsDJ[Date]&lt;=$E$7),CsDJ[Debit])))+(SUM(IF((CRDJ[Sort Code]=(TRIM(G$4)))*(CRDJ[Account Code]=(TRIM($B64)))*(CRDJ[Date]&lt;=$E$7),CRDJ[Debit])))+(SUM(IF((GJ[Sort Code]=(TRIM(G$4)))*(GJ[Account Code]=(TRIM($B64)))*(GJ[Date]&lt;=$E$7),GJ[Debit]))))-((SUM(IF((CkDJ[Sort Code]=(TRIM(G$4)))*(CkDJ[Account Code]=(TRIM($B64)))*(CkDJ[Date]&lt;=$E$7),CkDJ[Credit])))+(SUM(IF((CsDJ[Sort Code]=(TRIM(G$4)))*(CsDJ[Account Code]=(TRIM($B64)))*(CsDJ[Date]&lt;=$E$7),CsDJ[Credit])))+(SUM(IF((CRDJ[Sort Code]=(TRIM(G$4)))*(CRDJ[Account Code]=(TRIM($B64)))*(CRDJ[Date]&lt;=$E$7),CRDJ[Credit])))+(SUM(IF((GJ[Sort Code]=(TRIM(G$4)))*(GJ[Account Code]=(TRIM($B64)))*(GJ[Date]&lt;=$E$7),GJ[Credit]))))</f>
        <v>0</v>
      </c>
      <c r="F64" s="245">
        <f t="array" ref="F64">((SUM(IF((CkDJ[Date]=$A$3)*(CkDJ[Sort Code]=(TRIM(G$4)))*(CkDJ[Account Code]=(TRIM($B64))),CkDJ[Debit])))+(SUM(IF((CsDJ[Date]=$A$3)*(CsDJ[Sort Code]=(TRIM(G$4)))*(CsDJ[Account Code]=(TRIM($B64))),CsDJ[Debit])))+(SUM(IF((CRDJ[Date]=$A$3)*(CRDJ[Sort Code]=(TRIM(G$4)))*(CRDJ[Account Code]=(TRIM($B64))),CRDJ[Debit])))+(SUM(IF((GJ[Date]=$A$3)*(GJ[Sort Code]=(TRIM(G$4)))*(GJ[Account Code]=(TRIM($B64))),GJ[Debit]))))-((SUM(IF((CkDJ[Date]=$A$3)*(CkDJ[Sort Code]=(TRIM(G$4)))*(CkDJ[Account Code]=(TRIM($B64))),CkDJ[Credit])))+(SUM(IF((CsDJ[Date]=$A$3)*(CsDJ[Sort Code]=(TRIM(G$4)))*(CsDJ[Account Code]=(TRIM($B64))),CsDJ[Credit])))+(SUM(IF((CRDJ[Date]=$A$3)*(CRDJ[Sort Code]=(TRIM(G$4)))*(CRDJ[Account Code]=(TRIM($B64))),CRDJ[Credit])))+(SUM(IF((GJ[Date]=$A$3)*(GJ[Sort Code]=(TRIM(G$4)))*(GJ[Account Code]=(TRIM($B64))),GJ[Credit]))))</f>
        <v>0</v>
      </c>
      <c r="G64" s="343">
        <f t="shared" si="8"/>
        <v>0</v>
      </c>
      <c r="H64" s="246">
        <f t="shared" si="5"/>
        <v>0</v>
      </c>
      <c r="I64" s="246">
        <f t="shared" si="6"/>
        <v>0</v>
      </c>
    </row>
    <row r="65" spans="1:9" hidden="1">
      <c r="A65" s="247" t="s">
        <v>206</v>
      </c>
      <c r="B65" s="339" t="s">
        <v>173</v>
      </c>
      <c r="C65" s="245">
        <f t="array" ref="C65">SUM(IF((Budget[Account Code]=B65)*(Budget[Sort Code]=$G$4),(Budget[Amount])))</f>
        <v>0</v>
      </c>
      <c r="D65" s="245">
        <f t="array" ref="D65">SUM(IF((Budget[Account Code]=B65)*(Budget[Sort Code]=$G$4)*(Budget[Date]&lt;=$D$7),(Budget[Amount])))</f>
        <v>0</v>
      </c>
      <c r="E65" s="245">
        <f t="array" ref="E65">((SUM(IF((CkDJ[Sort Code]=(TRIM(G$4)))*(CkDJ[Account Code]=(TRIM($B65)))*(CkDJ[Date]&lt;=$E$7),CkDJ[Debit])))+(SUM(IF((CsDJ[Sort Code]=(TRIM(G$4)))*(CsDJ[Account Code]=(TRIM($B65)))*(CsDJ[Date]&lt;=$E$7),CsDJ[Debit])))+(SUM(IF((CRDJ[Sort Code]=(TRIM(G$4)))*(CRDJ[Account Code]=(TRIM($B65)))*(CRDJ[Date]&lt;=$E$7),CRDJ[Debit])))+(SUM(IF((GJ[Sort Code]=(TRIM(G$4)))*(GJ[Account Code]=(TRIM($B65)))*(GJ[Date]&lt;=$E$7),GJ[Debit]))))-((SUM(IF((CkDJ[Sort Code]=(TRIM(G$4)))*(CkDJ[Account Code]=(TRIM($B65)))*(CkDJ[Date]&lt;=$E$7),CkDJ[Credit])))+(SUM(IF((CsDJ[Sort Code]=(TRIM(G$4)))*(CsDJ[Account Code]=(TRIM($B65)))*(CsDJ[Date]&lt;=$E$7),CsDJ[Credit])))+(SUM(IF((CRDJ[Sort Code]=(TRIM(G$4)))*(CRDJ[Account Code]=(TRIM($B65)))*(CRDJ[Date]&lt;=$E$7),CRDJ[Credit])))+(SUM(IF((GJ[Sort Code]=(TRIM(G$4)))*(GJ[Account Code]=(TRIM($B65)))*(GJ[Date]&lt;=$E$7),GJ[Credit]))))</f>
        <v>0</v>
      </c>
      <c r="F65" s="245">
        <f t="array" ref="F65">((SUM(IF((CkDJ[Date]=$A$3)*(CkDJ[Sort Code]=(TRIM(G$4)))*(CkDJ[Account Code]=(TRIM($B65))),CkDJ[Debit])))+(SUM(IF((CsDJ[Date]=$A$3)*(CsDJ[Sort Code]=(TRIM(G$4)))*(CsDJ[Account Code]=(TRIM($B65))),CsDJ[Debit])))+(SUM(IF((CRDJ[Date]=$A$3)*(CRDJ[Sort Code]=(TRIM(G$4)))*(CRDJ[Account Code]=(TRIM($B65))),CRDJ[Debit])))+(SUM(IF((GJ[Date]=$A$3)*(GJ[Sort Code]=(TRIM(G$4)))*(GJ[Account Code]=(TRIM($B65))),GJ[Debit]))))-((SUM(IF((CkDJ[Date]=$A$3)*(CkDJ[Sort Code]=(TRIM(G$4)))*(CkDJ[Account Code]=(TRIM($B65))),CkDJ[Credit])))+(SUM(IF((CsDJ[Date]=$A$3)*(CsDJ[Sort Code]=(TRIM(G$4)))*(CsDJ[Account Code]=(TRIM($B65))),CsDJ[Credit])))+(SUM(IF((CRDJ[Date]=$A$3)*(CRDJ[Sort Code]=(TRIM(G$4)))*(CRDJ[Account Code]=(TRIM($B65))),CRDJ[Credit])))+(SUM(IF((GJ[Date]=$A$3)*(GJ[Sort Code]=(TRIM(G$4)))*(GJ[Account Code]=(TRIM($B65))),GJ[Credit]))))</f>
        <v>0</v>
      </c>
      <c r="G65" s="343">
        <f t="shared" si="8"/>
        <v>0</v>
      </c>
      <c r="H65" s="246">
        <f t="shared" si="5"/>
        <v>0</v>
      </c>
      <c r="I65" s="246">
        <f t="shared" si="6"/>
        <v>0</v>
      </c>
    </row>
    <row r="66" spans="1:9" hidden="1">
      <c r="A66" s="247" t="s">
        <v>219</v>
      </c>
      <c r="B66" s="339" t="s">
        <v>214</v>
      </c>
      <c r="C66" s="245">
        <f t="array" ref="C66">SUM(IF((Budget[Account Code]=B66)*(Budget[Sort Code]=$G$4),(Budget[Amount])))</f>
        <v>0</v>
      </c>
      <c r="D66" s="245">
        <f t="array" ref="D66">SUM(IF((Budget[Account Code]=B66)*(Budget[Sort Code]=$G$4)*(Budget[Date]&lt;=$D$7),(Budget[Amount])))</f>
        <v>0</v>
      </c>
      <c r="E66" s="245">
        <f t="array" ref="E66">((SUM(IF((CkDJ[Sort Code]=(TRIM(G$4)))*(CkDJ[Account Code]=(TRIM($B66)))*(CkDJ[Date]&lt;=$E$7),CkDJ[Debit])))+(SUM(IF((CsDJ[Sort Code]=(TRIM(G$4)))*(CsDJ[Account Code]=(TRIM($B66)))*(CsDJ[Date]&lt;=$E$7),CsDJ[Debit])))+(SUM(IF((CRDJ[Sort Code]=(TRIM(G$4)))*(CRDJ[Account Code]=(TRIM($B66)))*(CRDJ[Date]&lt;=$E$7),CRDJ[Debit])))+(SUM(IF((GJ[Sort Code]=(TRIM(G$4)))*(GJ[Account Code]=(TRIM($B66)))*(GJ[Date]&lt;=$E$7),GJ[Debit]))))-((SUM(IF((CkDJ[Sort Code]=(TRIM(G$4)))*(CkDJ[Account Code]=(TRIM($B66)))*(CkDJ[Date]&lt;=$E$7),CkDJ[Credit])))+(SUM(IF((CsDJ[Sort Code]=(TRIM(G$4)))*(CsDJ[Account Code]=(TRIM($B66)))*(CsDJ[Date]&lt;=$E$7),CsDJ[Credit])))+(SUM(IF((CRDJ[Sort Code]=(TRIM(G$4)))*(CRDJ[Account Code]=(TRIM($B66)))*(CRDJ[Date]&lt;=$E$7),CRDJ[Credit])))+(SUM(IF((GJ[Sort Code]=(TRIM(G$4)))*(GJ[Account Code]=(TRIM($B66)))*(GJ[Date]&lt;=$E$7),GJ[Credit]))))</f>
        <v>0</v>
      </c>
      <c r="F66" s="245">
        <f t="array" ref="F66">((SUM(IF((CkDJ[Date]=$A$3)*(CkDJ[Sort Code]=(TRIM(G$4)))*(CkDJ[Account Code]=(TRIM($B66))),CkDJ[Debit])))+(SUM(IF((CsDJ[Date]=$A$3)*(CsDJ[Sort Code]=(TRIM(G$4)))*(CsDJ[Account Code]=(TRIM($B66))),CsDJ[Debit])))+(SUM(IF((CRDJ[Date]=$A$3)*(CRDJ[Sort Code]=(TRIM(G$4)))*(CRDJ[Account Code]=(TRIM($B66))),CRDJ[Debit])))+(SUM(IF((GJ[Date]=$A$3)*(GJ[Sort Code]=(TRIM(G$4)))*(GJ[Account Code]=(TRIM($B66))),GJ[Debit]))))-((SUM(IF((CkDJ[Date]=$A$3)*(CkDJ[Sort Code]=(TRIM(G$4)))*(CkDJ[Account Code]=(TRIM($B66))),CkDJ[Credit])))+(SUM(IF((CsDJ[Date]=$A$3)*(CsDJ[Sort Code]=(TRIM(G$4)))*(CsDJ[Account Code]=(TRIM($B66))),CsDJ[Credit])))+(SUM(IF((CRDJ[Date]=$A$3)*(CRDJ[Sort Code]=(TRIM(G$4)))*(CRDJ[Account Code]=(TRIM($B66))),CRDJ[Credit])))+(SUM(IF((GJ[Date]=$A$3)*(GJ[Sort Code]=(TRIM(G$4)))*(GJ[Account Code]=(TRIM($B66))),GJ[Credit]))))</f>
        <v>0</v>
      </c>
      <c r="G66" s="343">
        <f t="shared" si="8"/>
        <v>0</v>
      </c>
      <c r="H66" s="246">
        <f t="shared" si="5"/>
        <v>0</v>
      </c>
      <c r="I66" s="246">
        <f t="shared" si="6"/>
        <v>0</v>
      </c>
    </row>
    <row r="67" spans="1:9" hidden="1">
      <c r="A67" s="247" t="s">
        <v>205</v>
      </c>
      <c r="B67" s="339" t="s">
        <v>172</v>
      </c>
      <c r="C67" s="245">
        <f t="array" ref="C67">SUM(IF((Budget[Account Code]=B67)*(Budget[Sort Code]=$G$4),(Budget[Amount])))</f>
        <v>375000</v>
      </c>
      <c r="D67" s="245">
        <f t="array" ref="D67">SUM(IF((Budget[Account Code]=B67)*(Budget[Sort Code]=$G$4)*(Budget[Date]&lt;=$D$7),(Budget[Amount])))</f>
        <v>375000</v>
      </c>
      <c r="E67" s="245">
        <f t="array" ref="E67">((SUM(IF((CkDJ[Sort Code]=(TRIM(G$4)))*(CkDJ[Account Code]=(TRIM($B67)))*(CkDJ[Date]&lt;=$E$7),CkDJ[Debit])))+(SUM(IF((CsDJ[Sort Code]=(TRIM(G$4)))*(CsDJ[Account Code]=(TRIM($B67)))*(CsDJ[Date]&lt;=$E$7),CsDJ[Debit])))+(SUM(IF((CRDJ[Sort Code]=(TRIM(G$4)))*(CRDJ[Account Code]=(TRIM($B67)))*(CRDJ[Date]&lt;=$E$7),CRDJ[Debit])))+(SUM(IF((GJ[Sort Code]=(TRIM(G$4)))*(GJ[Account Code]=(TRIM($B67)))*(GJ[Date]&lt;=$E$7),GJ[Debit]))))-((SUM(IF((CkDJ[Sort Code]=(TRIM(G$4)))*(CkDJ[Account Code]=(TRIM($B67)))*(CkDJ[Date]&lt;=$E$7),CkDJ[Credit])))+(SUM(IF((CsDJ[Sort Code]=(TRIM(G$4)))*(CsDJ[Account Code]=(TRIM($B67)))*(CsDJ[Date]&lt;=$E$7),CsDJ[Credit])))+(SUM(IF((CRDJ[Sort Code]=(TRIM(G$4)))*(CRDJ[Account Code]=(TRIM($B67)))*(CRDJ[Date]&lt;=$E$7),CRDJ[Credit])))+(SUM(IF((GJ[Sort Code]=(TRIM(G$4)))*(GJ[Account Code]=(TRIM($B67)))*(GJ[Date]&lt;=$E$7),GJ[Credit]))))</f>
        <v>0</v>
      </c>
      <c r="F67" s="245">
        <f t="array" ref="F67">((SUM(IF((CkDJ[Date]=$A$3)*(CkDJ[Sort Code]=(TRIM(G$4)))*(CkDJ[Account Code]=(TRIM($B67))),CkDJ[Debit])))+(SUM(IF((CsDJ[Date]=$A$3)*(CsDJ[Sort Code]=(TRIM(G$4)))*(CsDJ[Account Code]=(TRIM($B67))),CsDJ[Debit])))+(SUM(IF((CRDJ[Date]=$A$3)*(CRDJ[Sort Code]=(TRIM(G$4)))*(CRDJ[Account Code]=(TRIM($B67))),CRDJ[Debit])))+(SUM(IF((GJ[Date]=$A$3)*(GJ[Sort Code]=(TRIM(G$4)))*(GJ[Account Code]=(TRIM($B67))),GJ[Debit]))))-((SUM(IF((CkDJ[Date]=$A$3)*(CkDJ[Sort Code]=(TRIM(G$4)))*(CkDJ[Account Code]=(TRIM($B67))),CkDJ[Credit])))+(SUM(IF((CsDJ[Date]=$A$3)*(CsDJ[Sort Code]=(TRIM(G$4)))*(CsDJ[Account Code]=(TRIM($B67))),CsDJ[Credit])))+(SUM(IF((CRDJ[Date]=$A$3)*(CRDJ[Sort Code]=(TRIM(G$4)))*(CRDJ[Account Code]=(TRIM($B67))),CRDJ[Credit])))+(SUM(IF((GJ[Date]=$A$3)*(GJ[Sort Code]=(TRIM(G$4)))*(GJ[Account Code]=(TRIM($B67))),GJ[Credit]))))</f>
        <v>0</v>
      </c>
      <c r="G67" s="343">
        <f t="shared" si="8"/>
        <v>0</v>
      </c>
      <c r="H67" s="246">
        <f t="shared" si="5"/>
        <v>-375000</v>
      </c>
      <c r="I67" s="246">
        <f t="shared" si="6"/>
        <v>0</v>
      </c>
    </row>
    <row r="68" spans="1:9" hidden="1">
      <c r="A68" s="247" t="s">
        <v>207</v>
      </c>
      <c r="B68" s="339" t="s">
        <v>174</v>
      </c>
      <c r="C68" s="245">
        <f t="array" ref="C68">SUM(IF((Budget[Account Code]=B68)*(Budget[Sort Code]=$G$4),(Budget[Amount])))</f>
        <v>3292127</v>
      </c>
      <c r="D68" s="245">
        <f t="array" ref="D68">SUM(IF((Budget[Account Code]=B68)*(Budget[Sort Code]=$G$4)*(Budget[Date]&lt;=$D$7),(Budget[Amount])))</f>
        <v>3292127</v>
      </c>
      <c r="E68" s="245">
        <f t="array" ref="E68">((SUM(IF((CkDJ[Sort Code]=(TRIM(G$4)))*(CkDJ[Account Code]=(TRIM($B68)))*(CkDJ[Date]&lt;=$E$7),CkDJ[Debit])))+(SUM(IF((CsDJ[Sort Code]=(TRIM(G$4)))*(CsDJ[Account Code]=(TRIM($B68)))*(CsDJ[Date]&lt;=$E$7),CsDJ[Debit])))+(SUM(IF((CRDJ[Sort Code]=(TRIM(G$4)))*(CRDJ[Account Code]=(TRIM($B68)))*(CRDJ[Date]&lt;=$E$7),CRDJ[Debit])))+(SUM(IF((GJ[Sort Code]=(TRIM(G$4)))*(GJ[Account Code]=(TRIM($B68)))*(GJ[Date]&lt;=$E$7),GJ[Debit]))))-((SUM(IF((CkDJ[Sort Code]=(TRIM(G$4)))*(CkDJ[Account Code]=(TRIM($B68)))*(CkDJ[Date]&lt;=$E$7),CkDJ[Credit])))+(SUM(IF((CsDJ[Sort Code]=(TRIM(G$4)))*(CsDJ[Account Code]=(TRIM($B68)))*(CsDJ[Date]&lt;=$E$7),CsDJ[Credit])))+(SUM(IF((CRDJ[Sort Code]=(TRIM(G$4)))*(CRDJ[Account Code]=(TRIM($B68)))*(CRDJ[Date]&lt;=$E$7),CRDJ[Credit])))+(SUM(IF((GJ[Sort Code]=(TRIM(G$4)))*(GJ[Account Code]=(TRIM($B68)))*(GJ[Date]&lt;=$E$7),GJ[Credit]))))</f>
        <v>0</v>
      </c>
      <c r="F68" s="245">
        <f t="array" ref="F68">((SUM(IF((CkDJ[Date]=$A$3)*(CkDJ[Sort Code]=(TRIM(G$4)))*(CkDJ[Account Code]=(TRIM($B68))),CkDJ[Debit])))+(SUM(IF((CsDJ[Date]=$A$3)*(CsDJ[Sort Code]=(TRIM(G$4)))*(CsDJ[Account Code]=(TRIM($B68))),CsDJ[Debit])))+(SUM(IF((CRDJ[Date]=$A$3)*(CRDJ[Sort Code]=(TRIM(G$4)))*(CRDJ[Account Code]=(TRIM($B68))),CRDJ[Debit])))+(SUM(IF((GJ[Date]=$A$3)*(GJ[Sort Code]=(TRIM(G$4)))*(GJ[Account Code]=(TRIM($B68))),GJ[Debit]))))-((SUM(IF((CkDJ[Date]=$A$3)*(CkDJ[Sort Code]=(TRIM(G$4)))*(CkDJ[Account Code]=(TRIM($B68))),CkDJ[Credit])))+(SUM(IF((CsDJ[Date]=$A$3)*(CsDJ[Sort Code]=(TRIM(G$4)))*(CsDJ[Account Code]=(TRIM($B68))),CsDJ[Credit])))+(SUM(IF((CRDJ[Date]=$A$3)*(CRDJ[Sort Code]=(TRIM(G$4)))*(CRDJ[Account Code]=(TRIM($B68))),CRDJ[Credit])))+(SUM(IF((GJ[Date]=$A$3)*(GJ[Sort Code]=(TRIM(G$4)))*(GJ[Account Code]=(TRIM($B68))),GJ[Credit]))))</f>
        <v>0</v>
      </c>
      <c r="G68" s="343">
        <f t="shared" si="8"/>
        <v>0</v>
      </c>
      <c r="H68" s="246">
        <f t="shared" si="5"/>
        <v>-3292127</v>
      </c>
      <c r="I68" s="246">
        <f t="shared" si="6"/>
        <v>0</v>
      </c>
    </row>
    <row r="69" spans="1:9" hidden="1">
      <c r="A69" s="247" t="s">
        <v>208</v>
      </c>
      <c r="B69" s="339" t="s">
        <v>175</v>
      </c>
      <c r="C69" s="245">
        <f t="array" ref="C69">SUM(IF((Budget[Account Code]=B69)*(Budget[Sort Code]=$G$4),(Budget[Amount])))</f>
        <v>2369540.4</v>
      </c>
      <c r="D69" s="245">
        <f t="array" ref="D69">SUM(IF((Budget[Account Code]=B69)*(Budget[Sort Code]=$G$4)*(Budget[Date]&lt;=$D$7),(Budget[Amount])))</f>
        <v>2369540.4</v>
      </c>
      <c r="E69" s="245">
        <f t="array" ref="E69">((SUM(IF((CkDJ[Sort Code]=(TRIM(G$4)))*(CkDJ[Account Code]=(TRIM($B69)))*(CkDJ[Date]&lt;=$E$7),CkDJ[Debit])))+(SUM(IF((CsDJ[Sort Code]=(TRIM(G$4)))*(CsDJ[Account Code]=(TRIM($B69)))*(CsDJ[Date]&lt;=$E$7),CsDJ[Debit])))+(SUM(IF((CRDJ[Sort Code]=(TRIM(G$4)))*(CRDJ[Account Code]=(TRIM($B69)))*(CRDJ[Date]&lt;=$E$7),CRDJ[Debit])))+(SUM(IF((GJ[Sort Code]=(TRIM(G$4)))*(GJ[Account Code]=(TRIM($B69)))*(GJ[Date]&lt;=$E$7),GJ[Debit]))))-((SUM(IF((CkDJ[Sort Code]=(TRIM(G$4)))*(CkDJ[Account Code]=(TRIM($B69)))*(CkDJ[Date]&lt;=$E$7),CkDJ[Credit])))+(SUM(IF((CsDJ[Sort Code]=(TRIM(G$4)))*(CsDJ[Account Code]=(TRIM($B69)))*(CsDJ[Date]&lt;=$E$7),CsDJ[Credit])))+(SUM(IF((CRDJ[Sort Code]=(TRIM(G$4)))*(CRDJ[Account Code]=(TRIM($B69)))*(CRDJ[Date]&lt;=$E$7),CRDJ[Credit])))+(SUM(IF((GJ[Sort Code]=(TRIM(G$4)))*(GJ[Account Code]=(TRIM($B69)))*(GJ[Date]&lt;=$E$7),GJ[Credit]))))</f>
        <v>0</v>
      </c>
      <c r="F69" s="245">
        <f t="array" ref="F69">((SUM(IF((CkDJ[Date]=$A$3)*(CkDJ[Sort Code]=(TRIM(G$4)))*(CkDJ[Account Code]=(TRIM($B69))),CkDJ[Debit])))+(SUM(IF((CsDJ[Date]=$A$3)*(CsDJ[Sort Code]=(TRIM(G$4)))*(CsDJ[Account Code]=(TRIM($B69))),CsDJ[Debit])))+(SUM(IF((CRDJ[Date]=$A$3)*(CRDJ[Sort Code]=(TRIM(G$4)))*(CRDJ[Account Code]=(TRIM($B69))),CRDJ[Debit])))+(SUM(IF((GJ[Date]=$A$3)*(GJ[Sort Code]=(TRIM(G$4)))*(GJ[Account Code]=(TRIM($B69))),GJ[Debit]))))-((SUM(IF((CkDJ[Date]=$A$3)*(CkDJ[Sort Code]=(TRIM(G$4)))*(CkDJ[Account Code]=(TRIM($B69))),CkDJ[Credit])))+(SUM(IF((CsDJ[Date]=$A$3)*(CsDJ[Sort Code]=(TRIM(G$4)))*(CsDJ[Account Code]=(TRIM($B69))),CsDJ[Credit])))+(SUM(IF((CRDJ[Date]=$A$3)*(CRDJ[Sort Code]=(TRIM(G$4)))*(CRDJ[Account Code]=(TRIM($B69))),CRDJ[Credit])))+(SUM(IF((GJ[Date]=$A$3)*(GJ[Sort Code]=(TRIM(G$4)))*(GJ[Account Code]=(TRIM($B69))),GJ[Credit]))))</f>
        <v>0</v>
      </c>
      <c r="G69" s="343">
        <f t="shared" si="8"/>
        <v>0</v>
      </c>
      <c r="H69" s="246">
        <f t="shared" si="5"/>
        <v>-2369540.4</v>
      </c>
      <c r="I69" s="246">
        <f t="shared" si="6"/>
        <v>0</v>
      </c>
    </row>
    <row r="70" spans="1:9" hidden="1">
      <c r="A70" s="247" t="s">
        <v>209</v>
      </c>
      <c r="B70" s="339" t="s">
        <v>176</v>
      </c>
      <c r="C70" s="245">
        <f t="array" ref="C70">SUM(IF((Budget[Account Code]=B70)*(Budget[Sort Code]=$G$4),(Budget[Amount])))</f>
        <v>90900</v>
      </c>
      <c r="D70" s="245">
        <f t="array" ref="D70">SUM(IF((Budget[Account Code]=B70)*(Budget[Sort Code]=$G$4)*(Budget[Date]&lt;=$D$7),(Budget[Amount])))</f>
        <v>90900</v>
      </c>
      <c r="E70" s="245">
        <f t="array" ref="E70">((SUM(IF((CkDJ[Sort Code]=(TRIM(G$4)))*(CkDJ[Account Code]=(TRIM($B70)))*(CkDJ[Date]&lt;=$E$7),CkDJ[Debit])))+(SUM(IF((CsDJ[Sort Code]=(TRIM(G$4)))*(CsDJ[Account Code]=(TRIM($B70)))*(CsDJ[Date]&lt;=$E$7),CsDJ[Debit])))+(SUM(IF((CRDJ[Sort Code]=(TRIM(G$4)))*(CRDJ[Account Code]=(TRIM($B70)))*(CRDJ[Date]&lt;=$E$7),CRDJ[Debit])))+(SUM(IF((GJ[Sort Code]=(TRIM(G$4)))*(GJ[Account Code]=(TRIM($B70)))*(GJ[Date]&lt;=$E$7),GJ[Debit]))))-((SUM(IF((CkDJ[Sort Code]=(TRIM(G$4)))*(CkDJ[Account Code]=(TRIM($B70)))*(CkDJ[Date]&lt;=$E$7),CkDJ[Credit])))+(SUM(IF((CsDJ[Sort Code]=(TRIM(G$4)))*(CsDJ[Account Code]=(TRIM($B70)))*(CsDJ[Date]&lt;=$E$7),CsDJ[Credit])))+(SUM(IF((CRDJ[Sort Code]=(TRIM(G$4)))*(CRDJ[Account Code]=(TRIM($B70)))*(CRDJ[Date]&lt;=$E$7),CRDJ[Credit])))+(SUM(IF((GJ[Sort Code]=(TRIM(G$4)))*(GJ[Account Code]=(TRIM($B70)))*(GJ[Date]&lt;=$E$7),GJ[Credit]))))</f>
        <v>0</v>
      </c>
      <c r="F70" s="245">
        <f t="array" ref="F70">((SUM(IF((CkDJ[Date]=$A$3)*(CkDJ[Sort Code]=(TRIM(G$4)))*(CkDJ[Account Code]=(TRIM($B70))),CkDJ[Debit])))+(SUM(IF((CsDJ[Date]=$A$3)*(CsDJ[Sort Code]=(TRIM(G$4)))*(CsDJ[Account Code]=(TRIM($B70))),CsDJ[Debit])))+(SUM(IF((CRDJ[Date]=$A$3)*(CRDJ[Sort Code]=(TRIM(G$4)))*(CRDJ[Account Code]=(TRIM($B70))),CRDJ[Debit])))+(SUM(IF((GJ[Date]=$A$3)*(GJ[Sort Code]=(TRIM(G$4)))*(GJ[Account Code]=(TRIM($B70))),GJ[Debit]))))-((SUM(IF((CkDJ[Date]=$A$3)*(CkDJ[Sort Code]=(TRIM(G$4)))*(CkDJ[Account Code]=(TRIM($B70))),CkDJ[Credit])))+(SUM(IF((CsDJ[Date]=$A$3)*(CsDJ[Sort Code]=(TRIM(G$4)))*(CsDJ[Account Code]=(TRIM($B70))),CsDJ[Credit])))+(SUM(IF((CRDJ[Date]=$A$3)*(CRDJ[Sort Code]=(TRIM(G$4)))*(CRDJ[Account Code]=(TRIM($B70))),CRDJ[Credit])))+(SUM(IF((GJ[Date]=$A$3)*(GJ[Sort Code]=(TRIM(G$4)))*(GJ[Account Code]=(TRIM($B70))),GJ[Credit]))))</f>
        <v>0</v>
      </c>
      <c r="G70" s="343">
        <f t="shared" si="8"/>
        <v>0</v>
      </c>
      <c r="H70" s="246">
        <f t="shared" si="5"/>
        <v>-90900</v>
      </c>
      <c r="I70" s="246">
        <f t="shared" si="6"/>
        <v>0</v>
      </c>
    </row>
    <row r="71" spans="1:9" hidden="1">
      <c r="A71" s="247" t="s">
        <v>210</v>
      </c>
      <c r="B71" s="339" t="s">
        <v>177</v>
      </c>
      <c r="C71" s="245">
        <f t="array" ref="C71">SUM(IF((Budget[Account Code]=B71)*(Budget[Sort Code]=$G$4),(Budget[Amount])))</f>
        <v>218346</v>
      </c>
      <c r="D71" s="245">
        <f t="array" ref="D71">SUM(IF((Budget[Account Code]=B71)*(Budget[Sort Code]=$G$4)*(Budget[Date]&lt;=$D$7),(Budget[Amount])))</f>
        <v>218346</v>
      </c>
      <c r="E71" s="245">
        <f t="array" ref="E71">((SUM(IF((CkDJ[Sort Code]=(TRIM(G$4)))*(CkDJ[Account Code]=(TRIM($B71)))*(CkDJ[Date]&lt;=$E$7),CkDJ[Debit])))+(SUM(IF((CsDJ[Sort Code]=(TRIM(G$4)))*(CsDJ[Account Code]=(TRIM($B71)))*(CsDJ[Date]&lt;=$E$7),CsDJ[Debit])))+(SUM(IF((CRDJ[Sort Code]=(TRIM(G$4)))*(CRDJ[Account Code]=(TRIM($B71)))*(CRDJ[Date]&lt;=$E$7),CRDJ[Debit])))+(SUM(IF((GJ[Sort Code]=(TRIM(G$4)))*(GJ[Account Code]=(TRIM($B71)))*(GJ[Date]&lt;=$E$7),GJ[Debit]))))-((SUM(IF((CkDJ[Sort Code]=(TRIM(G$4)))*(CkDJ[Account Code]=(TRIM($B71)))*(CkDJ[Date]&lt;=$E$7),CkDJ[Credit])))+(SUM(IF((CsDJ[Sort Code]=(TRIM(G$4)))*(CsDJ[Account Code]=(TRIM($B71)))*(CsDJ[Date]&lt;=$E$7),CsDJ[Credit])))+(SUM(IF((CRDJ[Sort Code]=(TRIM(G$4)))*(CRDJ[Account Code]=(TRIM($B71)))*(CRDJ[Date]&lt;=$E$7),CRDJ[Credit])))+(SUM(IF((GJ[Sort Code]=(TRIM(G$4)))*(GJ[Account Code]=(TRIM($B71)))*(GJ[Date]&lt;=$E$7),GJ[Credit]))))</f>
        <v>0</v>
      </c>
      <c r="F71" s="245">
        <f t="array" ref="F71">((SUM(IF((CkDJ[Date]=$A$3)*(CkDJ[Sort Code]=(TRIM(G$4)))*(CkDJ[Account Code]=(TRIM($B71))),CkDJ[Debit])))+(SUM(IF((CsDJ[Date]=$A$3)*(CsDJ[Sort Code]=(TRIM(G$4)))*(CsDJ[Account Code]=(TRIM($B71))),CsDJ[Debit])))+(SUM(IF((CRDJ[Date]=$A$3)*(CRDJ[Sort Code]=(TRIM(G$4)))*(CRDJ[Account Code]=(TRIM($B71))),CRDJ[Debit])))+(SUM(IF((GJ[Date]=$A$3)*(GJ[Sort Code]=(TRIM(G$4)))*(GJ[Account Code]=(TRIM($B71))),GJ[Debit]))))-((SUM(IF((CkDJ[Date]=$A$3)*(CkDJ[Sort Code]=(TRIM(G$4)))*(CkDJ[Account Code]=(TRIM($B71))),CkDJ[Credit])))+(SUM(IF((CsDJ[Date]=$A$3)*(CsDJ[Sort Code]=(TRIM(G$4)))*(CsDJ[Account Code]=(TRIM($B71))),CsDJ[Credit])))+(SUM(IF((CRDJ[Date]=$A$3)*(CRDJ[Sort Code]=(TRIM(G$4)))*(CRDJ[Account Code]=(TRIM($B71))),CRDJ[Credit])))+(SUM(IF((GJ[Date]=$A$3)*(GJ[Sort Code]=(TRIM(G$4)))*(GJ[Account Code]=(TRIM($B71))),GJ[Credit]))))</f>
        <v>0</v>
      </c>
      <c r="G71" s="343">
        <f t="shared" si="8"/>
        <v>0</v>
      </c>
      <c r="H71" s="246">
        <f t="shared" si="5"/>
        <v>-218346</v>
      </c>
      <c r="I71" s="246">
        <f t="shared" si="6"/>
        <v>0</v>
      </c>
    </row>
    <row r="72" spans="1:9" hidden="1">
      <c r="A72" s="247" t="s">
        <v>211</v>
      </c>
      <c r="B72" s="339" t="s">
        <v>178</v>
      </c>
      <c r="C72" s="245">
        <f t="array" ref="C72">SUM(IF((Budget[Account Code]=B72)*(Budget[Sort Code]=$G$4),(Budget[Amount])))</f>
        <v>90000</v>
      </c>
      <c r="D72" s="245">
        <f t="array" ref="D72">SUM(IF((Budget[Account Code]=B72)*(Budget[Sort Code]=$G$4)*(Budget[Date]&lt;=$D$7),(Budget[Amount])))</f>
        <v>90000</v>
      </c>
      <c r="E72" s="245">
        <f t="array" ref="E72">((SUM(IF((CkDJ[Sort Code]=(TRIM(G$4)))*(CkDJ[Account Code]=(TRIM($B72)))*(CkDJ[Date]&lt;=$E$7),CkDJ[Debit])))+(SUM(IF((CsDJ[Sort Code]=(TRIM(G$4)))*(CsDJ[Account Code]=(TRIM($B72)))*(CsDJ[Date]&lt;=$E$7),CsDJ[Debit])))+(SUM(IF((CRDJ[Sort Code]=(TRIM(G$4)))*(CRDJ[Account Code]=(TRIM($B72)))*(CRDJ[Date]&lt;=$E$7),CRDJ[Debit])))+(SUM(IF((GJ[Sort Code]=(TRIM(G$4)))*(GJ[Account Code]=(TRIM($B72)))*(GJ[Date]&lt;=$E$7),GJ[Debit]))))-((SUM(IF((CkDJ[Sort Code]=(TRIM(G$4)))*(CkDJ[Account Code]=(TRIM($B72)))*(CkDJ[Date]&lt;=$E$7),CkDJ[Credit])))+(SUM(IF((CsDJ[Sort Code]=(TRIM(G$4)))*(CsDJ[Account Code]=(TRIM($B72)))*(CsDJ[Date]&lt;=$E$7),CsDJ[Credit])))+(SUM(IF((CRDJ[Sort Code]=(TRIM(G$4)))*(CRDJ[Account Code]=(TRIM($B72)))*(CRDJ[Date]&lt;=$E$7),CRDJ[Credit])))+(SUM(IF((GJ[Sort Code]=(TRIM(G$4)))*(GJ[Account Code]=(TRIM($B72)))*(GJ[Date]&lt;=$E$7),GJ[Credit]))))</f>
        <v>0</v>
      </c>
      <c r="F72" s="245">
        <f t="array" ref="F72">((SUM(IF((CkDJ[Date]=$A$3)*(CkDJ[Sort Code]=(TRIM(G$4)))*(CkDJ[Account Code]=(TRIM($B72))),CkDJ[Debit])))+(SUM(IF((CsDJ[Date]=$A$3)*(CsDJ[Sort Code]=(TRIM(G$4)))*(CsDJ[Account Code]=(TRIM($B72))),CsDJ[Debit])))+(SUM(IF((CRDJ[Date]=$A$3)*(CRDJ[Sort Code]=(TRIM(G$4)))*(CRDJ[Account Code]=(TRIM($B72))),CRDJ[Debit])))+(SUM(IF((GJ[Date]=$A$3)*(GJ[Sort Code]=(TRIM(G$4)))*(GJ[Account Code]=(TRIM($B72))),GJ[Debit]))))-((SUM(IF((CkDJ[Date]=$A$3)*(CkDJ[Sort Code]=(TRIM(G$4)))*(CkDJ[Account Code]=(TRIM($B72))),CkDJ[Credit])))+(SUM(IF((CsDJ[Date]=$A$3)*(CsDJ[Sort Code]=(TRIM(G$4)))*(CsDJ[Account Code]=(TRIM($B72))),CsDJ[Credit])))+(SUM(IF((CRDJ[Date]=$A$3)*(CRDJ[Sort Code]=(TRIM(G$4)))*(CRDJ[Account Code]=(TRIM($B72))),CRDJ[Credit])))+(SUM(IF((GJ[Date]=$A$3)*(GJ[Sort Code]=(TRIM(G$4)))*(GJ[Account Code]=(TRIM($B72))),GJ[Credit]))))</f>
        <v>0</v>
      </c>
      <c r="G72" s="343">
        <f t="shared" si="8"/>
        <v>0</v>
      </c>
      <c r="H72" s="246">
        <f t="shared" si="5"/>
        <v>-90000</v>
      </c>
      <c r="I72" s="246">
        <f t="shared" si="6"/>
        <v>0</v>
      </c>
    </row>
    <row r="73" spans="1:9" hidden="1">
      <c r="A73" s="247" t="s">
        <v>1016</v>
      </c>
      <c r="B73" s="339" t="s">
        <v>985</v>
      </c>
      <c r="C73" s="245">
        <f t="array" ref="C73">SUM(IF((Budget[Account Code]=B73)*(Budget[Sort Code]=$G$4),(Budget[Amount])))</f>
        <v>0</v>
      </c>
      <c r="D73" s="245">
        <f t="array" ref="D73">SUM(IF((Budget[Account Code]=B73)*(Budget[Sort Code]=$G$4)*(Budget[Date]&lt;=$D$7),(Budget[Amount])))</f>
        <v>0</v>
      </c>
      <c r="E73" s="245">
        <f t="array" ref="E73">((SUM(IF((CkDJ[Sort Code]=(TRIM(G$4)))*(CkDJ[Account Code]=(TRIM($B73)))*(CkDJ[Date]&lt;=$E$7),CkDJ[Debit])))+(SUM(IF((CsDJ[Sort Code]=(TRIM(G$4)))*(CsDJ[Account Code]=(TRIM($B73)))*(CsDJ[Date]&lt;=$E$7),CsDJ[Debit])))+(SUM(IF((CRDJ[Sort Code]=(TRIM(G$4)))*(CRDJ[Account Code]=(TRIM($B73)))*(CRDJ[Date]&lt;=$E$7),CRDJ[Debit])))+(SUM(IF((GJ[Sort Code]=(TRIM(G$4)))*(GJ[Account Code]=(TRIM($B73)))*(GJ[Date]&lt;=$E$7),GJ[Debit]))))-((SUM(IF((CkDJ[Sort Code]=(TRIM(G$4)))*(CkDJ[Account Code]=(TRIM($B73)))*(CkDJ[Date]&lt;=$E$7),CkDJ[Credit])))+(SUM(IF((CsDJ[Sort Code]=(TRIM(G$4)))*(CsDJ[Account Code]=(TRIM($B73)))*(CsDJ[Date]&lt;=$E$7),CsDJ[Credit])))+(SUM(IF((CRDJ[Sort Code]=(TRIM(G$4)))*(CRDJ[Account Code]=(TRIM($B73)))*(CRDJ[Date]&lt;=$E$7),CRDJ[Credit])))+(SUM(IF((GJ[Sort Code]=(TRIM(G$4)))*(GJ[Account Code]=(TRIM($B73)))*(GJ[Date]&lt;=$E$7),GJ[Credit]))))</f>
        <v>0</v>
      </c>
      <c r="F73" s="245">
        <f t="array" ref="F73">((SUM(IF((CkDJ[Date]=$A$3)*(CkDJ[Sort Code]=(TRIM(G$4)))*(CkDJ[Account Code]=(TRIM($B73))),CkDJ[Debit])))+(SUM(IF((CsDJ[Date]=$A$3)*(CsDJ[Sort Code]=(TRIM(G$4)))*(CsDJ[Account Code]=(TRIM($B73))),CsDJ[Debit])))+(SUM(IF((CRDJ[Date]=$A$3)*(CRDJ[Sort Code]=(TRIM(G$4)))*(CRDJ[Account Code]=(TRIM($B73))),CRDJ[Debit])))+(SUM(IF((GJ[Date]=$A$3)*(GJ[Sort Code]=(TRIM(G$4)))*(GJ[Account Code]=(TRIM($B73))),GJ[Debit]))))-((SUM(IF((CkDJ[Date]=$A$3)*(CkDJ[Sort Code]=(TRIM(G$4)))*(CkDJ[Account Code]=(TRIM($B73))),CkDJ[Credit])))+(SUM(IF((CsDJ[Date]=$A$3)*(CsDJ[Sort Code]=(TRIM(G$4)))*(CsDJ[Account Code]=(TRIM($B73))),CsDJ[Credit])))+(SUM(IF((CRDJ[Date]=$A$3)*(CRDJ[Sort Code]=(TRIM(G$4)))*(CRDJ[Account Code]=(TRIM($B73))),CRDJ[Credit])))+(SUM(IF((GJ[Date]=$A$3)*(GJ[Sort Code]=(TRIM(G$4)))*(GJ[Account Code]=(TRIM($B73))),GJ[Credit]))))</f>
        <v>0</v>
      </c>
      <c r="G73" s="343">
        <f>E73+F73</f>
        <v>0</v>
      </c>
      <c r="H73" s="246">
        <f>G73-D73</f>
        <v>0</v>
      </c>
      <c r="I73" s="246">
        <f>IF((D73=0),0,G73/D73)</f>
        <v>0</v>
      </c>
    </row>
    <row r="74" spans="1:9" hidden="1">
      <c r="A74" s="247" t="s">
        <v>218</v>
      </c>
      <c r="B74" s="339" t="s">
        <v>213</v>
      </c>
      <c r="C74" s="245">
        <f t="array" ref="C74">SUM(IF((Budget[Account Code]=B74)*(Budget[Sort Code]=$G$4),(Budget[Amount])))</f>
        <v>0</v>
      </c>
      <c r="D74" s="245">
        <f t="array" ref="D74">SUM(IF((Budget[Account Code]=B74)*(Budget[Sort Code]=$G$4)*(Budget[Date]&lt;=$D$7),(Budget[Amount])))</f>
        <v>0</v>
      </c>
      <c r="E74" s="245">
        <f t="array" ref="E74">((SUM(IF((CkDJ[Sort Code]=(TRIM(G$4)))*(CkDJ[Account Code]=(TRIM($B74)))*(CkDJ[Date]&lt;=$E$7),CkDJ[Debit])))+(SUM(IF((CsDJ[Sort Code]=(TRIM(G$4)))*(CsDJ[Account Code]=(TRIM($B74)))*(CsDJ[Date]&lt;=$E$7),CsDJ[Debit])))+(SUM(IF((CRDJ[Sort Code]=(TRIM(G$4)))*(CRDJ[Account Code]=(TRIM($B74)))*(CRDJ[Date]&lt;=$E$7),CRDJ[Debit])))+(SUM(IF((GJ[Sort Code]=(TRIM(G$4)))*(GJ[Account Code]=(TRIM($B74)))*(GJ[Date]&lt;=$E$7),GJ[Debit]))))-((SUM(IF((CkDJ[Sort Code]=(TRIM(G$4)))*(CkDJ[Account Code]=(TRIM($B74)))*(CkDJ[Date]&lt;=$E$7),CkDJ[Credit])))+(SUM(IF((CsDJ[Sort Code]=(TRIM(G$4)))*(CsDJ[Account Code]=(TRIM($B74)))*(CsDJ[Date]&lt;=$E$7),CsDJ[Credit])))+(SUM(IF((CRDJ[Sort Code]=(TRIM(G$4)))*(CRDJ[Account Code]=(TRIM($B74)))*(CRDJ[Date]&lt;=$E$7),CRDJ[Credit])))+(SUM(IF((GJ[Sort Code]=(TRIM(G$4)))*(GJ[Account Code]=(TRIM($B74)))*(GJ[Date]&lt;=$E$7),GJ[Credit]))))</f>
        <v>0</v>
      </c>
      <c r="F74" s="245">
        <f t="array" ref="F74">((SUM(IF((CkDJ[Date]=$A$3)*(CkDJ[Sort Code]=(TRIM(G$4)))*(CkDJ[Account Code]=(TRIM($B74))),CkDJ[Debit])))+(SUM(IF((CsDJ[Date]=$A$3)*(CsDJ[Sort Code]=(TRIM(G$4)))*(CsDJ[Account Code]=(TRIM($B74))),CsDJ[Debit])))+(SUM(IF((CRDJ[Date]=$A$3)*(CRDJ[Sort Code]=(TRIM(G$4)))*(CRDJ[Account Code]=(TRIM($B74))),CRDJ[Debit])))+(SUM(IF((GJ[Date]=$A$3)*(GJ[Sort Code]=(TRIM(G$4)))*(GJ[Account Code]=(TRIM($B74))),GJ[Debit]))))-((SUM(IF((CkDJ[Date]=$A$3)*(CkDJ[Sort Code]=(TRIM(G$4)))*(CkDJ[Account Code]=(TRIM($B74))),CkDJ[Credit])))+(SUM(IF((CsDJ[Date]=$A$3)*(CsDJ[Sort Code]=(TRIM(G$4)))*(CsDJ[Account Code]=(TRIM($B74))),CsDJ[Credit])))+(SUM(IF((CRDJ[Date]=$A$3)*(CRDJ[Sort Code]=(TRIM(G$4)))*(CRDJ[Account Code]=(TRIM($B74))),CRDJ[Credit])))+(SUM(IF((GJ[Date]=$A$3)*(GJ[Sort Code]=(TRIM(G$4)))*(GJ[Account Code]=(TRIM($B74))),GJ[Credit]))))</f>
        <v>0</v>
      </c>
      <c r="G74" s="343">
        <f t="shared" si="8"/>
        <v>0</v>
      </c>
      <c r="H74" s="246">
        <f t="shared" si="5"/>
        <v>0</v>
      </c>
      <c r="I74" s="246">
        <f t="shared" si="6"/>
        <v>0</v>
      </c>
    </row>
    <row r="75" spans="1:9">
      <c r="A75" s="243" t="s">
        <v>805</v>
      </c>
      <c r="B75" s="337"/>
      <c r="C75" s="245"/>
      <c r="D75" s="245"/>
      <c r="E75" s="246"/>
      <c r="F75" s="245"/>
      <c r="G75" s="246"/>
      <c r="H75" s="246"/>
      <c r="I75" s="246"/>
    </row>
    <row r="76" spans="1:9">
      <c r="A76" s="239" t="s">
        <v>810</v>
      </c>
      <c r="B76" s="337"/>
      <c r="C76" s="252">
        <f>C77+C139</f>
        <v>22008438.43</v>
      </c>
      <c r="D76" s="252">
        <f>D77+D139</f>
        <v>22008438.43</v>
      </c>
      <c r="E76" s="252">
        <f>E77+E139</f>
        <v>0</v>
      </c>
      <c r="F76" s="252">
        <f>F77+F139</f>
        <v>0</v>
      </c>
      <c r="G76" s="252">
        <f>G77+G139</f>
        <v>0</v>
      </c>
      <c r="H76" s="242">
        <f t="shared" si="5"/>
        <v>-22008438.43</v>
      </c>
      <c r="I76" s="242">
        <f t="shared" si="6"/>
        <v>0</v>
      </c>
    </row>
    <row r="77" spans="1:9">
      <c r="A77" s="253" t="s">
        <v>809</v>
      </c>
      <c r="B77" s="337"/>
      <c r="C77" s="254">
        <f>C78+C138</f>
        <v>13338438.470000001</v>
      </c>
      <c r="D77" s="254">
        <f>D78+D138</f>
        <v>13338438.470000001</v>
      </c>
      <c r="E77" s="254">
        <f>E78+E138</f>
        <v>0</v>
      </c>
      <c r="F77" s="254">
        <f>F78+F138</f>
        <v>0</v>
      </c>
      <c r="G77" s="254">
        <f>G78+G138</f>
        <v>0</v>
      </c>
      <c r="H77" s="246">
        <f t="shared" si="5"/>
        <v>-13338438.470000001</v>
      </c>
      <c r="I77" s="246">
        <f t="shared" si="6"/>
        <v>0</v>
      </c>
    </row>
    <row r="78" spans="1:9">
      <c r="A78" s="255" t="s">
        <v>806</v>
      </c>
      <c r="B78" s="337"/>
      <c r="C78" s="246">
        <f>SUM(C79:C137)</f>
        <v>13338438.470000001</v>
      </c>
      <c r="D78" s="246">
        <f>SUM(D79:D137)</f>
        <v>13338438.470000001</v>
      </c>
      <c r="E78" s="246">
        <f>SUM(E79:E137)</f>
        <v>0</v>
      </c>
      <c r="F78" s="246">
        <f>SUM(F79:F137)</f>
        <v>0</v>
      </c>
      <c r="G78" s="246">
        <f>SUM(G79:G137)</f>
        <v>0</v>
      </c>
      <c r="H78" s="246">
        <f t="shared" si="5"/>
        <v>-13338438.470000001</v>
      </c>
      <c r="I78" s="246">
        <f t="shared" si="6"/>
        <v>0</v>
      </c>
    </row>
    <row r="79" spans="1:9" hidden="1">
      <c r="A79" s="256" t="s">
        <v>284</v>
      </c>
      <c r="B79" s="339" t="s">
        <v>223</v>
      </c>
      <c r="C79" s="245">
        <f t="array" ref="C79">SUM(IF((Budget[Account Code]=B79)*(Budget[Sort Code]=$G$4),(Budget[Amount])))</f>
        <v>236160</v>
      </c>
      <c r="D79" s="245">
        <f t="array" ref="D79">SUM(IF((Budget[Account Code]=B79)*(Budget[Sort Code]=$G$4)*(Budget[Date]&lt;=$D$7),(Budget[Amount])))</f>
        <v>236160</v>
      </c>
      <c r="E79" s="245">
        <f t="array" ref="E79">((SUM(IF((CkDJ[Sort Code]=(TRIM(G$4)))*(CkDJ[Account Code]=(TRIM($B79)))*(CkDJ[Date]&lt;=$E$7),CkDJ[Debit])))+(SUM(IF((CsDJ[Sort Code]=(TRIM(G$4)))*(CsDJ[Account Code]=(TRIM($B79)))*(CsDJ[Date]&lt;=$E$7),CsDJ[Debit])))+(SUM(IF((CRDJ[Sort Code]=(TRIM(G$4)))*(CRDJ[Account Code]=(TRIM($B79)))*(CRDJ[Date]&lt;=$E$7),CRDJ[Debit])))+(SUM(IF((GJ[Sort Code]=(TRIM(G$4)))*(GJ[Account Code]=(TRIM($B79)))*(GJ[Date]&lt;=$E$7),GJ[Debit]))))-((SUM(IF((CkDJ[Sort Code]=(TRIM(G$4)))*(CkDJ[Account Code]=(TRIM($B79)))*(CkDJ[Date]&lt;=$E$7),CkDJ[Credit])))+(SUM(IF((CsDJ[Sort Code]=(TRIM(G$4)))*(CsDJ[Account Code]=(TRIM($B79)))*(CsDJ[Date]&lt;=$E$7),CsDJ[Credit])))+(SUM(IF((CRDJ[Sort Code]=(TRIM(G$4)))*(CRDJ[Account Code]=(TRIM($B79)))*(CRDJ[Date]&lt;=$E$7),CRDJ[Credit])))+(SUM(IF((GJ[Sort Code]=(TRIM(G$4)))*(GJ[Account Code]=(TRIM($B79)))*(GJ[Date]&lt;=$E$7),GJ[Credit]))))</f>
        <v>0</v>
      </c>
      <c r="F79" s="245">
        <f t="array" ref="F79">((SUM(IF((CkDJ[Date]=$A$3)*(CkDJ[Sort Code]=(TRIM(G$4)))*(CkDJ[Account Code]=(TRIM($B79))),CkDJ[Debit])))+(SUM(IF((CsDJ[Date]=$A$3)*(CsDJ[Sort Code]=(TRIM(G$4)))*(CsDJ[Account Code]=(TRIM($B79))),CsDJ[Debit])))+(SUM(IF((CRDJ[Date]=$A$3)*(CRDJ[Sort Code]=(TRIM(G$4)))*(CRDJ[Account Code]=(TRIM($B79))),CRDJ[Debit])))+(SUM(IF((GJ[Date]=$A$3)*(GJ[Sort Code]=(TRIM(G$4)))*(GJ[Account Code]=(TRIM($B79))),GJ[Debit]))))-((SUM(IF((CkDJ[Date]=$A$3)*(CkDJ[Sort Code]=(TRIM(G$4)))*(CkDJ[Account Code]=(TRIM($B79))),CkDJ[Credit])))+(SUM(IF((CsDJ[Date]=$A$3)*(CsDJ[Sort Code]=(TRIM(G$4)))*(CsDJ[Account Code]=(TRIM($B79))),CsDJ[Credit])))+(SUM(IF((CRDJ[Date]=$A$3)*(CRDJ[Sort Code]=(TRIM(G$4)))*(CRDJ[Account Code]=(TRIM($B79))),CRDJ[Credit])))+(SUM(IF((GJ[Date]=$A$3)*(GJ[Sort Code]=(TRIM(G$4)))*(GJ[Account Code]=(TRIM($B79))),GJ[Credit]))))</f>
        <v>0</v>
      </c>
      <c r="G79" s="343">
        <f t="shared" ref="G79:G137" si="9">E79+F79</f>
        <v>0</v>
      </c>
      <c r="H79" s="246">
        <f t="shared" si="5"/>
        <v>-236160</v>
      </c>
      <c r="I79" s="246">
        <f t="shared" si="6"/>
        <v>0</v>
      </c>
    </row>
    <row r="80" spans="1:9" hidden="1">
      <c r="A80" s="256" t="s">
        <v>284</v>
      </c>
      <c r="B80" s="339" t="s">
        <v>1233</v>
      </c>
      <c r="C80" s="245">
        <f t="array" ref="C80">SUM(IF((Budget[Account Code]=B80)*(Budget[Sort Code]=$G$4),(Budget[Amount])))</f>
        <v>0</v>
      </c>
      <c r="D80" s="245">
        <f t="array" ref="D80">SUM(IF((Budget[Account Code]=B80)*(Budget[Sort Code]=$G$4)*(Budget[Date]&lt;=$D$7),(Budget[Amount])))</f>
        <v>0</v>
      </c>
      <c r="E80" s="245">
        <f t="array" ref="E80">((SUM(IF((CkDJ[Sort Code]=(TRIM(G$4)))*(CkDJ[Account Code]=(TRIM($B80)))*(CkDJ[Date]&lt;=$E$7),CkDJ[Debit])))+(SUM(IF((CsDJ[Sort Code]=(TRIM(G$4)))*(CsDJ[Account Code]=(TRIM($B80)))*(CsDJ[Date]&lt;=$E$7),CsDJ[Debit])))+(SUM(IF((CRDJ[Sort Code]=(TRIM(G$4)))*(CRDJ[Account Code]=(TRIM($B80)))*(CRDJ[Date]&lt;=$E$7),CRDJ[Debit])))+(SUM(IF((GJ[Sort Code]=(TRIM(G$4)))*(GJ[Account Code]=(TRIM($B80)))*(GJ[Date]&lt;=$E$7),GJ[Debit]))))-((SUM(IF((CkDJ[Sort Code]=(TRIM(G$4)))*(CkDJ[Account Code]=(TRIM($B80)))*(CkDJ[Date]&lt;=$E$7),CkDJ[Credit])))+(SUM(IF((CsDJ[Sort Code]=(TRIM(G$4)))*(CsDJ[Account Code]=(TRIM($B80)))*(CsDJ[Date]&lt;=$E$7),CsDJ[Credit])))+(SUM(IF((CRDJ[Sort Code]=(TRIM(G$4)))*(CRDJ[Account Code]=(TRIM($B80)))*(CRDJ[Date]&lt;=$E$7),CRDJ[Credit])))+(SUM(IF((GJ[Sort Code]=(TRIM(G$4)))*(GJ[Account Code]=(TRIM($B80)))*(GJ[Date]&lt;=$E$7),GJ[Credit]))))</f>
        <v>0</v>
      </c>
      <c r="F80" s="245">
        <f t="array" ref="F80">((SUM(IF((CkDJ[Date]=$A$3)*(CkDJ[Sort Code]=(TRIM(G$4)))*(CkDJ[Account Code]=(TRIM($B80))),CkDJ[Debit])))+(SUM(IF((CsDJ[Date]=$A$3)*(CsDJ[Sort Code]=(TRIM(G$4)))*(CsDJ[Account Code]=(TRIM($B80))),CsDJ[Debit])))+(SUM(IF((CRDJ[Date]=$A$3)*(CRDJ[Sort Code]=(TRIM(G$4)))*(CRDJ[Account Code]=(TRIM($B80))),CRDJ[Debit])))+(SUM(IF((GJ[Date]=$A$3)*(GJ[Sort Code]=(TRIM(G$4)))*(GJ[Account Code]=(TRIM($B80))),GJ[Debit]))))-((SUM(IF((CkDJ[Date]=$A$3)*(CkDJ[Sort Code]=(TRIM(G$4)))*(CkDJ[Account Code]=(TRIM($B80))),CkDJ[Credit])))+(SUM(IF((CsDJ[Date]=$A$3)*(CsDJ[Sort Code]=(TRIM(G$4)))*(CsDJ[Account Code]=(TRIM($B80))),CsDJ[Credit])))+(SUM(IF((CRDJ[Date]=$A$3)*(CRDJ[Sort Code]=(TRIM(G$4)))*(CRDJ[Account Code]=(TRIM($B80))),CRDJ[Credit])))+(SUM(IF((GJ[Date]=$A$3)*(GJ[Sort Code]=(TRIM(G$4)))*(GJ[Account Code]=(TRIM($B80))),GJ[Credit]))))</f>
        <v>0</v>
      </c>
      <c r="G80" s="343">
        <f>E80+F80</f>
        <v>0</v>
      </c>
      <c r="H80" s="246">
        <f>G80-D80</f>
        <v>0</v>
      </c>
      <c r="I80" s="246">
        <f>IF((D80=0),0,G80/D80)</f>
        <v>0</v>
      </c>
    </row>
    <row r="81" spans="1:9" hidden="1">
      <c r="A81" s="256" t="s">
        <v>285</v>
      </c>
      <c r="B81" s="339" t="s">
        <v>224</v>
      </c>
      <c r="C81" s="245">
        <f t="array" ref="C81">SUM(IF((Budget[Account Code]=B81)*(Budget[Sort Code]=$G$4),(Budget[Amount])))</f>
        <v>75000</v>
      </c>
      <c r="D81" s="245">
        <f t="array" ref="D81">SUM(IF((Budget[Account Code]=B81)*(Budget[Sort Code]=$G$4)*(Budget[Date]&lt;=$D$7),(Budget[Amount])))</f>
        <v>75000</v>
      </c>
      <c r="E81" s="245">
        <f t="array" ref="E81">((SUM(IF((CkDJ[Sort Code]=(TRIM(G$4)))*(CkDJ[Account Code]=(TRIM($B81)))*(CkDJ[Date]&lt;=$E$7),CkDJ[Debit])))+(SUM(IF((CsDJ[Sort Code]=(TRIM(G$4)))*(CsDJ[Account Code]=(TRIM($B81)))*(CsDJ[Date]&lt;=$E$7),CsDJ[Debit])))+(SUM(IF((CRDJ[Sort Code]=(TRIM(G$4)))*(CRDJ[Account Code]=(TRIM($B81)))*(CRDJ[Date]&lt;=$E$7),CRDJ[Debit])))+(SUM(IF((GJ[Sort Code]=(TRIM(G$4)))*(GJ[Account Code]=(TRIM($B81)))*(GJ[Date]&lt;=$E$7),GJ[Debit]))))-((SUM(IF((CkDJ[Sort Code]=(TRIM(G$4)))*(CkDJ[Account Code]=(TRIM($B81)))*(CkDJ[Date]&lt;=$E$7),CkDJ[Credit])))+(SUM(IF((CsDJ[Sort Code]=(TRIM(G$4)))*(CsDJ[Account Code]=(TRIM($B81)))*(CsDJ[Date]&lt;=$E$7),CsDJ[Credit])))+(SUM(IF((CRDJ[Sort Code]=(TRIM(G$4)))*(CRDJ[Account Code]=(TRIM($B81)))*(CRDJ[Date]&lt;=$E$7),CRDJ[Credit])))+(SUM(IF((GJ[Sort Code]=(TRIM(G$4)))*(GJ[Account Code]=(TRIM($B81)))*(GJ[Date]&lt;=$E$7),GJ[Credit]))))</f>
        <v>0</v>
      </c>
      <c r="F81" s="245">
        <f t="array" ref="F81">((SUM(IF((CkDJ[Date]=$A$3)*(CkDJ[Sort Code]=(TRIM(G$4)))*(CkDJ[Account Code]=(TRIM($B81))),CkDJ[Debit])))+(SUM(IF((CsDJ[Date]=$A$3)*(CsDJ[Sort Code]=(TRIM(G$4)))*(CsDJ[Account Code]=(TRIM($B81))),CsDJ[Debit])))+(SUM(IF((CRDJ[Date]=$A$3)*(CRDJ[Sort Code]=(TRIM(G$4)))*(CRDJ[Account Code]=(TRIM($B81))),CRDJ[Debit])))+(SUM(IF((GJ[Date]=$A$3)*(GJ[Sort Code]=(TRIM(G$4)))*(GJ[Account Code]=(TRIM($B81))),GJ[Debit]))))-((SUM(IF((CkDJ[Date]=$A$3)*(CkDJ[Sort Code]=(TRIM(G$4)))*(CkDJ[Account Code]=(TRIM($B81))),CkDJ[Credit])))+(SUM(IF((CsDJ[Date]=$A$3)*(CsDJ[Sort Code]=(TRIM(G$4)))*(CsDJ[Account Code]=(TRIM($B81))),CsDJ[Credit])))+(SUM(IF((CRDJ[Date]=$A$3)*(CRDJ[Sort Code]=(TRIM(G$4)))*(CRDJ[Account Code]=(TRIM($B81))),CRDJ[Credit])))+(SUM(IF((GJ[Date]=$A$3)*(GJ[Sort Code]=(TRIM(G$4)))*(GJ[Account Code]=(TRIM($B81))),GJ[Credit]))))</f>
        <v>0</v>
      </c>
      <c r="G81" s="343">
        <f t="shared" si="9"/>
        <v>0</v>
      </c>
      <c r="H81" s="246">
        <f t="shared" si="5"/>
        <v>-75000</v>
      </c>
      <c r="I81" s="246">
        <f t="shared" si="6"/>
        <v>0</v>
      </c>
    </row>
    <row r="82" spans="1:9" hidden="1">
      <c r="A82" s="256" t="s">
        <v>286</v>
      </c>
      <c r="B82" s="339" t="s">
        <v>225</v>
      </c>
      <c r="C82" s="245">
        <f t="array" ref="C82">SUM(IF((Budget[Account Code]=B82)*(Budget[Sort Code]=$G$4),(Budget[Amount])))</f>
        <v>363000</v>
      </c>
      <c r="D82" s="245">
        <f t="array" ref="D82">SUM(IF((Budget[Account Code]=B82)*(Budget[Sort Code]=$G$4)*(Budget[Date]&lt;=$D$7),(Budget[Amount])))</f>
        <v>363000</v>
      </c>
      <c r="E82" s="245">
        <f t="array" ref="E82">((SUM(IF((CkDJ[Sort Code]=(TRIM(G$4)))*(CkDJ[Account Code]=(TRIM($B82)))*(CkDJ[Date]&lt;=$E$7),CkDJ[Debit])))+(SUM(IF((CsDJ[Sort Code]=(TRIM(G$4)))*(CsDJ[Account Code]=(TRIM($B82)))*(CsDJ[Date]&lt;=$E$7),CsDJ[Debit])))+(SUM(IF((CRDJ[Sort Code]=(TRIM(G$4)))*(CRDJ[Account Code]=(TRIM($B82)))*(CRDJ[Date]&lt;=$E$7),CRDJ[Debit])))+(SUM(IF((GJ[Sort Code]=(TRIM(G$4)))*(GJ[Account Code]=(TRIM($B82)))*(GJ[Date]&lt;=$E$7),GJ[Debit]))))-((SUM(IF((CkDJ[Sort Code]=(TRIM(G$4)))*(CkDJ[Account Code]=(TRIM($B82)))*(CkDJ[Date]&lt;=$E$7),CkDJ[Credit])))+(SUM(IF((CsDJ[Sort Code]=(TRIM(G$4)))*(CsDJ[Account Code]=(TRIM($B82)))*(CsDJ[Date]&lt;=$E$7),CsDJ[Credit])))+(SUM(IF((CRDJ[Sort Code]=(TRIM(G$4)))*(CRDJ[Account Code]=(TRIM($B82)))*(CRDJ[Date]&lt;=$E$7),CRDJ[Credit])))+(SUM(IF((GJ[Sort Code]=(TRIM(G$4)))*(GJ[Account Code]=(TRIM($B82)))*(GJ[Date]&lt;=$E$7),GJ[Credit]))))</f>
        <v>0</v>
      </c>
      <c r="F82" s="245">
        <f t="array" ref="F82">((SUM(IF((CkDJ[Date]=$A$3)*(CkDJ[Sort Code]=(TRIM(G$4)))*(CkDJ[Account Code]=(TRIM($B82))),CkDJ[Debit])))+(SUM(IF((CsDJ[Date]=$A$3)*(CsDJ[Sort Code]=(TRIM(G$4)))*(CsDJ[Account Code]=(TRIM($B82))),CsDJ[Debit])))+(SUM(IF((CRDJ[Date]=$A$3)*(CRDJ[Sort Code]=(TRIM(G$4)))*(CRDJ[Account Code]=(TRIM($B82))),CRDJ[Debit])))+(SUM(IF((GJ[Date]=$A$3)*(GJ[Sort Code]=(TRIM(G$4)))*(GJ[Account Code]=(TRIM($B82))),GJ[Debit]))))-((SUM(IF((CkDJ[Date]=$A$3)*(CkDJ[Sort Code]=(TRIM(G$4)))*(CkDJ[Account Code]=(TRIM($B82))),CkDJ[Credit])))+(SUM(IF((CsDJ[Date]=$A$3)*(CsDJ[Sort Code]=(TRIM(G$4)))*(CsDJ[Account Code]=(TRIM($B82))),CsDJ[Credit])))+(SUM(IF((CRDJ[Date]=$A$3)*(CRDJ[Sort Code]=(TRIM(G$4)))*(CRDJ[Account Code]=(TRIM($B82))),CRDJ[Credit])))+(SUM(IF((GJ[Date]=$A$3)*(GJ[Sort Code]=(TRIM(G$4)))*(GJ[Account Code]=(TRIM($B82))),GJ[Credit]))))</f>
        <v>0</v>
      </c>
      <c r="G82" s="343">
        <f t="shared" si="9"/>
        <v>0</v>
      </c>
      <c r="H82" s="246">
        <f t="shared" si="5"/>
        <v>-363000</v>
      </c>
      <c r="I82" s="246">
        <f t="shared" si="6"/>
        <v>0</v>
      </c>
    </row>
    <row r="83" spans="1:9" hidden="1">
      <c r="A83" s="256" t="s">
        <v>287</v>
      </c>
      <c r="B83" s="339" t="s">
        <v>226</v>
      </c>
      <c r="C83" s="245">
        <f t="array" ref="C83">SUM(IF((Budget[Account Code]=B83)*(Budget[Sort Code]=$G$4),(Budget[Amount])))</f>
        <v>143000</v>
      </c>
      <c r="D83" s="245">
        <f t="array" ref="D83">SUM(IF((Budget[Account Code]=B83)*(Budget[Sort Code]=$G$4)*(Budget[Date]&lt;=$D$7),(Budget[Amount])))</f>
        <v>143000</v>
      </c>
      <c r="E83" s="245">
        <f t="array" ref="E83">((SUM(IF((CkDJ[Sort Code]=(TRIM(G$4)))*(CkDJ[Account Code]=(TRIM($B83)))*(CkDJ[Date]&lt;=$E$7),CkDJ[Debit])))+(SUM(IF((CsDJ[Sort Code]=(TRIM(G$4)))*(CsDJ[Account Code]=(TRIM($B83)))*(CsDJ[Date]&lt;=$E$7),CsDJ[Debit])))+(SUM(IF((CRDJ[Sort Code]=(TRIM(G$4)))*(CRDJ[Account Code]=(TRIM($B83)))*(CRDJ[Date]&lt;=$E$7),CRDJ[Debit])))+(SUM(IF((GJ[Sort Code]=(TRIM(G$4)))*(GJ[Account Code]=(TRIM($B83)))*(GJ[Date]&lt;=$E$7),GJ[Debit]))))-((SUM(IF((CkDJ[Sort Code]=(TRIM(G$4)))*(CkDJ[Account Code]=(TRIM($B83)))*(CkDJ[Date]&lt;=$E$7),CkDJ[Credit])))+(SUM(IF((CsDJ[Sort Code]=(TRIM(G$4)))*(CsDJ[Account Code]=(TRIM($B83)))*(CsDJ[Date]&lt;=$E$7),CsDJ[Credit])))+(SUM(IF((CRDJ[Sort Code]=(TRIM(G$4)))*(CRDJ[Account Code]=(TRIM($B83)))*(CRDJ[Date]&lt;=$E$7),CRDJ[Credit])))+(SUM(IF((GJ[Sort Code]=(TRIM(G$4)))*(GJ[Account Code]=(TRIM($B83)))*(GJ[Date]&lt;=$E$7),GJ[Credit]))))</f>
        <v>0</v>
      </c>
      <c r="F83" s="245">
        <f t="array" ref="F83">((SUM(IF((CkDJ[Date]=$A$3)*(CkDJ[Sort Code]=(TRIM(G$4)))*(CkDJ[Account Code]=(TRIM($B83))),CkDJ[Debit])))+(SUM(IF((CsDJ[Date]=$A$3)*(CsDJ[Sort Code]=(TRIM(G$4)))*(CsDJ[Account Code]=(TRIM($B83))),CsDJ[Debit])))+(SUM(IF((CRDJ[Date]=$A$3)*(CRDJ[Sort Code]=(TRIM(G$4)))*(CRDJ[Account Code]=(TRIM($B83))),CRDJ[Debit])))+(SUM(IF((GJ[Date]=$A$3)*(GJ[Sort Code]=(TRIM(G$4)))*(GJ[Account Code]=(TRIM($B83))),GJ[Debit]))))-((SUM(IF((CkDJ[Date]=$A$3)*(CkDJ[Sort Code]=(TRIM(G$4)))*(CkDJ[Account Code]=(TRIM($B83))),CkDJ[Credit])))+(SUM(IF((CsDJ[Date]=$A$3)*(CsDJ[Sort Code]=(TRIM(G$4)))*(CsDJ[Account Code]=(TRIM($B83))),CsDJ[Credit])))+(SUM(IF((CRDJ[Date]=$A$3)*(CRDJ[Sort Code]=(TRIM(G$4)))*(CRDJ[Account Code]=(TRIM($B83))),CRDJ[Credit])))+(SUM(IF((GJ[Date]=$A$3)*(GJ[Sort Code]=(TRIM(G$4)))*(GJ[Account Code]=(TRIM($B83))),GJ[Credit]))))</f>
        <v>0</v>
      </c>
      <c r="G83" s="343">
        <f t="shared" si="9"/>
        <v>0</v>
      </c>
      <c r="H83" s="246">
        <f t="shared" si="5"/>
        <v>-143000</v>
      </c>
      <c r="I83" s="246">
        <f t="shared" si="6"/>
        <v>0</v>
      </c>
    </row>
    <row r="84" spans="1:9" hidden="1">
      <c r="A84" s="256" t="s">
        <v>1017</v>
      </c>
      <c r="B84" s="339" t="s">
        <v>227</v>
      </c>
      <c r="C84" s="245">
        <f t="array" ref="C84">SUM(IF((Budget[Account Code]=B84)*(Budget[Sort Code]=$G$4),(Budget[Amount])))</f>
        <v>11000.04</v>
      </c>
      <c r="D84" s="245">
        <f t="array" ref="D84">SUM(IF((Budget[Account Code]=B84)*(Budget[Sort Code]=$G$4)*(Budget[Date]&lt;=$D$7),(Budget[Amount])))</f>
        <v>11000.04</v>
      </c>
      <c r="E84" s="245">
        <f t="array" ref="E84">((SUM(IF((CkDJ[Sort Code]=(TRIM(G$4)))*(CkDJ[Account Code]=(TRIM($B84)))*(CkDJ[Date]&lt;=$E$7),CkDJ[Debit])))+(SUM(IF((CsDJ[Sort Code]=(TRIM(G$4)))*(CsDJ[Account Code]=(TRIM($B84)))*(CsDJ[Date]&lt;=$E$7),CsDJ[Debit])))+(SUM(IF((CRDJ[Sort Code]=(TRIM(G$4)))*(CRDJ[Account Code]=(TRIM($B84)))*(CRDJ[Date]&lt;=$E$7),CRDJ[Debit])))+(SUM(IF((GJ[Sort Code]=(TRIM(G$4)))*(GJ[Account Code]=(TRIM($B84)))*(GJ[Date]&lt;=$E$7),GJ[Debit]))))-((SUM(IF((CkDJ[Sort Code]=(TRIM(G$4)))*(CkDJ[Account Code]=(TRIM($B84)))*(CkDJ[Date]&lt;=$E$7),CkDJ[Credit])))+(SUM(IF((CsDJ[Sort Code]=(TRIM(G$4)))*(CsDJ[Account Code]=(TRIM($B84)))*(CsDJ[Date]&lt;=$E$7),CsDJ[Credit])))+(SUM(IF((CRDJ[Sort Code]=(TRIM(G$4)))*(CRDJ[Account Code]=(TRIM($B84)))*(CRDJ[Date]&lt;=$E$7),CRDJ[Credit])))+(SUM(IF((GJ[Sort Code]=(TRIM(G$4)))*(GJ[Account Code]=(TRIM($B84)))*(GJ[Date]&lt;=$E$7),GJ[Credit]))))</f>
        <v>0</v>
      </c>
      <c r="F84" s="245">
        <f t="array" ref="F84">((SUM(IF((CkDJ[Date]=$A$3)*(CkDJ[Sort Code]=(TRIM(G$4)))*(CkDJ[Account Code]=(TRIM($B84))),CkDJ[Debit])))+(SUM(IF((CsDJ[Date]=$A$3)*(CsDJ[Sort Code]=(TRIM(G$4)))*(CsDJ[Account Code]=(TRIM($B84))),CsDJ[Debit])))+(SUM(IF((CRDJ[Date]=$A$3)*(CRDJ[Sort Code]=(TRIM(G$4)))*(CRDJ[Account Code]=(TRIM($B84))),CRDJ[Debit])))+(SUM(IF((GJ[Date]=$A$3)*(GJ[Sort Code]=(TRIM(G$4)))*(GJ[Account Code]=(TRIM($B84))),GJ[Debit]))))-((SUM(IF((CkDJ[Date]=$A$3)*(CkDJ[Sort Code]=(TRIM(G$4)))*(CkDJ[Account Code]=(TRIM($B84))),CkDJ[Credit])))+(SUM(IF((CsDJ[Date]=$A$3)*(CsDJ[Sort Code]=(TRIM(G$4)))*(CsDJ[Account Code]=(TRIM($B84))),CsDJ[Credit])))+(SUM(IF((CRDJ[Date]=$A$3)*(CRDJ[Sort Code]=(TRIM(G$4)))*(CRDJ[Account Code]=(TRIM($B84))),CRDJ[Credit])))+(SUM(IF((GJ[Date]=$A$3)*(GJ[Sort Code]=(TRIM(G$4)))*(GJ[Account Code]=(TRIM($B84))),GJ[Credit]))))</f>
        <v>0</v>
      </c>
      <c r="G84" s="343">
        <f t="shared" si="9"/>
        <v>0</v>
      </c>
      <c r="H84" s="246">
        <f t="shared" si="5"/>
        <v>-11000.04</v>
      </c>
      <c r="I84" s="246">
        <f t="shared" si="6"/>
        <v>0</v>
      </c>
    </row>
    <row r="85" spans="1:9" hidden="1">
      <c r="A85" s="256" t="s">
        <v>1018</v>
      </c>
      <c r="B85" s="339" t="s">
        <v>228</v>
      </c>
      <c r="C85" s="245">
        <f t="array" ref="C85">SUM(IF((Budget[Account Code]=B85)*(Budget[Sort Code]=$G$4),(Budget[Amount])))</f>
        <v>16499.88</v>
      </c>
      <c r="D85" s="245">
        <f t="array" ref="D85">SUM(IF((Budget[Account Code]=B85)*(Budget[Sort Code]=$G$4)*(Budget[Date]&lt;=$D$7),(Budget[Amount])))</f>
        <v>16499.88</v>
      </c>
      <c r="E85" s="245">
        <f t="array" ref="E85">((SUM(IF((CkDJ[Sort Code]=(TRIM(G$4)))*(CkDJ[Account Code]=(TRIM($B85)))*(CkDJ[Date]&lt;=$E$7),CkDJ[Debit])))+(SUM(IF((CsDJ[Sort Code]=(TRIM(G$4)))*(CsDJ[Account Code]=(TRIM($B85)))*(CsDJ[Date]&lt;=$E$7),CsDJ[Debit])))+(SUM(IF((CRDJ[Sort Code]=(TRIM(G$4)))*(CRDJ[Account Code]=(TRIM($B85)))*(CRDJ[Date]&lt;=$E$7),CRDJ[Debit])))+(SUM(IF((GJ[Sort Code]=(TRIM(G$4)))*(GJ[Account Code]=(TRIM($B85)))*(GJ[Date]&lt;=$E$7),GJ[Debit]))))-((SUM(IF((CkDJ[Sort Code]=(TRIM(G$4)))*(CkDJ[Account Code]=(TRIM($B85)))*(CkDJ[Date]&lt;=$E$7),CkDJ[Credit])))+(SUM(IF((CsDJ[Sort Code]=(TRIM(G$4)))*(CsDJ[Account Code]=(TRIM($B85)))*(CsDJ[Date]&lt;=$E$7),CsDJ[Credit])))+(SUM(IF((CRDJ[Sort Code]=(TRIM(G$4)))*(CRDJ[Account Code]=(TRIM($B85)))*(CRDJ[Date]&lt;=$E$7),CRDJ[Credit])))+(SUM(IF((GJ[Sort Code]=(TRIM(G$4)))*(GJ[Account Code]=(TRIM($B85)))*(GJ[Date]&lt;=$E$7),GJ[Credit]))))</f>
        <v>0</v>
      </c>
      <c r="F85" s="245">
        <f t="array" ref="F85">((SUM(IF((CkDJ[Date]=$A$3)*(CkDJ[Sort Code]=(TRIM(G$4)))*(CkDJ[Account Code]=(TRIM($B85))),CkDJ[Debit])))+(SUM(IF((CsDJ[Date]=$A$3)*(CsDJ[Sort Code]=(TRIM(G$4)))*(CsDJ[Account Code]=(TRIM($B85))),CsDJ[Debit])))+(SUM(IF((CRDJ[Date]=$A$3)*(CRDJ[Sort Code]=(TRIM(G$4)))*(CRDJ[Account Code]=(TRIM($B85))),CRDJ[Debit])))+(SUM(IF((GJ[Date]=$A$3)*(GJ[Sort Code]=(TRIM(G$4)))*(GJ[Account Code]=(TRIM($B85))),GJ[Debit]))))-((SUM(IF((CkDJ[Date]=$A$3)*(CkDJ[Sort Code]=(TRIM(G$4)))*(CkDJ[Account Code]=(TRIM($B85))),CkDJ[Credit])))+(SUM(IF((CsDJ[Date]=$A$3)*(CsDJ[Sort Code]=(TRIM(G$4)))*(CsDJ[Account Code]=(TRIM($B85))),CsDJ[Credit])))+(SUM(IF((CRDJ[Date]=$A$3)*(CRDJ[Sort Code]=(TRIM(G$4)))*(CRDJ[Account Code]=(TRIM($B85))),CRDJ[Credit])))+(SUM(IF((GJ[Date]=$A$3)*(GJ[Sort Code]=(TRIM(G$4)))*(GJ[Account Code]=(TRIM($B85))),GJ[Credit]))))</f>
        <v>0</v>
      </c>
      <c r="G85" s="343">
        <f t="shared" si="9"/>
        <v>0</v>
      </c>
      <c r="H85" s="246">
        <f t="shared" si="5"/>
        <v>-16499.88</v>
      </c>
      <c r="I85" s="246">
        <f t="shared" si="6"/>
        <v>0</v>
      </c>
    </row>
    <row r="86" spans="1:9" hidden="1">
      <c r="A86" s="256" t="s">
        <v>289</v>
      </c>
      <c r="B86" s="339" t="s">
        <v>229</v>
      </c>
      <c r="C86" s="245">
        <f t="array" ref="C86">SUM(IF((Budget[Account Code]=B86)*(Budget[Sort Code]=$G$4),(Budget[Amount])))</f>
        <v>4151172.12</v>
      </c>
      <c r="D86" s="245">
        <f t="array" ref="D86">SUM(IF((Budget[Account Code]=B86)*(Budget[Sort Code]=$G$4)*(Budget[Date]&lt;=$D$7),(Budget[Amount])))</f>
        <v>4151172.12</v>
      </c>
      <c r="E86" s="245">
        <f t="array" ref="E86">((SUM(IF((CkDJ[Sort Code]=(TRIM(G$4)))*(CkDJ[Account Code]=(TRIM($B86)))*(CkDJ[Date]&lt;=$E$7),CkDJ[Debit])))+(SUM(IF((CsDJ[Sort Code]=(TRIM(G$4)))*(CsDJ[Account Code]=(TRIM($B86)))*(CsDJ[Date]&lt;=$E$7),CsDJ[Debit])))+(SUM(IF((CRDJ[Sort Code]=(TRIM(G$4)))*(CRDJ[Account Code]=(TRIM($B86)))*(CRDJ[Date]&lt;=$E$7),CRDJ[Debit])))+(SUM(IF((GJ[Sort Code]=(TRIM(G$4)))*(GJ[Account Code]=(TRIM($B86)))*(GJ[Date]&lt;=$E$7),GJ[Debit]))))-((SUM(IF((CkDJ[Sort Code]=(TRIM(G$4)))*(CkDJ[Account Code]=(TRIM($B86)))*(CkDJ[Date]&lt;=$E$7),CkDJ[Credit])))+(SUM(IF((CsDJ[Sort Code]=(TRIM(G$4)))*(CsDJ[Account Code]=(TRIM($B86)))*(CsDJ[Date]&lt;=$E$7),CsDJ[Credit])))+(SUM(IF((CRDJ[Sort Code]=(TRIM(G$4)))*(CRDJ[Account Code]=(TRIM($B86)))*(CRDJ[Date]&lt;=$E$7),CRDJ[Credit])))+(SUM(IF((GJ[Sort Code]=(TRIM(G$4)))*(GJ[Account Code]=(TRIM($B86)))*(GJ[Date]&lt;=$E$7),GJ[Credit]))))</f>
        <v>0</v>
      </c>
      <c r="F86" s="245">
        <f t="array" ref="F86">((SUM(IF((CkDJ[Date]=$A$3)*(CkDJ[Sort Code]=(TRIM(G$4)))*(CkDJ[Account Code]=(TRIM($B86))),CkDJ[Debit])))+(SUM(IF((CsDJ[Date]=$A$3)*(CsDJ[Sort Code]=(TRIM(G$4)))*(CsDJ[Account Code]=(TRIM($B86))),CsDJ[Debit])))+(SUM(IF((CRDJ[Date]=$A$3)*(CRDJ[Sort Code]=(TRIM(G$4)))*(CRDJ[Account Code]=(TRIM($B86))),CRDJ[Debit])))+(SUM(IF((GJ[Date]=$A$3)*(GJ[Sort Code]=(TRIM(G$4)))*(GJ[Account Code]=(TRIM($B86))),GJ[Debit]))))-((SUM(IF((CkDJ[Date]=$A$3)*(CkDJ[Sort Code]=(TRIM(G$4)))*(CkDJ[Account Code]=(TRIM($B86))),CkDJ[Credit])))+(SUM(IF((CsDJ[Date]=$A$3)*(CsDJ[Sort Code]=(TRIM(G$4)))*(CsDJ[Account Code]=(TRIM($B86))),CsDJ[Credit])))+(SUM(IF((CRDJ[Date]=$A$3)*(CRDJ[Sort Code]=(TRIM(G$4)))*(CRDJ[Account Code]=(TRIM($B86))),CRDJ[Credit])))+(SUM(IF((GJ[Date]=$A$3)*(GJ[Sort Code]=(TRIM(G$4)))*(GJ[Account Code]=(TRIM($B86))),GJ[Credit]))))</f>
        <v>0</v>
      </c>
      <c r="G86" s="343">
        <f t="shared" si="9"/>
        <v>0</v>
      </c>
      <c r="H86" s="246">
        <f t="shared" si="5"/>
        <v>-4151172.12</v>
      </c>
      <c r="I86" s="246">
        <f t="shared" si="6"/>
        <v>0</v>
      </c>
    </row>
    <row r="87" spans="1:9" hidden="1">
      <c r="A87" s="256" t="s">
        <v>290</v>
      </c>
      <c r="B87" s="339" t="s">
        <v>230</v>
      </c>
      <c r="C87" s="245">
        <f t="array" ref="C87">SUM(IF((Budget[Account Code]=B87)*(Budget[Sort Code]=$G$4),(Budget[Amount])))</f>
        <v>0</v>
      </c>
      <c r="D87" s="245">
        <f t="array" ref="D87">SUM(IF((Budget[Account Code]=B87)*(Budget[Sort Code]=$G$4)*(Budget[Date]&lt;=$D$7),(Budget[Amount])))</f>
        <v>0</v>
      </c>
      <c r="E87" s="245">
        <f t="array" ref="E87">((SUM(IF((CkDJ[Sort Code]=(TRIM(G$4)))*(CkDJ[Account Code]=(TRIM($B87)))*(CkDJ[Date]&lt;=$E$7),CkDJ[Debit])))+(SUM(IF((CsDJ[Sort Code]=(TRIM(G$4)))*(CsDJ[Account Code]=(TRIM($B87)))*(CsDJ[Date]&lt;=$E$7),CsDJ[Debit])))+(SUM(IF((CRDJ[Sort Code]=(TRIM(G$4)))*(CRDJ[Account Code]=(TRIM($B87)))*(CRDJ[Date]&lt;=$E$7),CRDJ[Debit])))+(SUM(IF((GJ[Sort Code]=(TRIM(G$4)))*(GJ[Account Code]=(TRIM($B87)))*(GJ[Date]&lt;=$E$7),GJ[Debit]))))-((SUM(IF((CkDJ[Sort Code]=(TRIM(G$4)))*(CkDJ[Account Code]=(TRIM($B87)))*(CkDJ[Date]&lt;=$E$7),CkDJ[Credit])))+(SUM(IF((CsDJ[Sort Code]=(TRIM(G$4)))*(CsDJ[Account Code]=(TRIM($B87)))*(CsDJ[Date]&lt;=$E$7),CsDJ[Credit])))+(SUM(IF((CRDJ[Sort Code]=(TRIM(G$4)))*(CRDJ[Account Code]=(TRIM($B87)))*(CRDJ[Date]&lt;=$E$7),CRDJ[Credit])))+(SUM(IF((GJ[Sort Code]=(TRIM(G$4)))*(GJ[Account Code]=(TRIM($B87)))*(GJ[Date]&lt;=$E$7),GJ[Credit]))))</f>
        <v>0</v>
      </c>
      <c r="F87" s="245">
        <f t="array" ref="F87">((SUM(IF((CkDJ[Date]=$A$3)*(CkDJ[Sort Code]=(TRIM(G$4)))*(CkDJ[Account Code]=(TRIM($B87))),CkDJ[Debit])))+(SUM(IF((CsDJ[Date]=$A$3)*(CsDJ[Sort Code]=(TRIM(G$4)))*(CsDJ[Account Code]=(TRIM($B87))),CsDJ[Debit])))+(SUM(IF((CRDJ[Date]=$A$3)*(CRDJ[Sort Code]=(TRIM(G$4)))*(CRDJ[Account Code]=(TRIM($B87))),CRDJ[Debit])))+(SUM(IF((GJ[Date]=$A$3)*(GJ[Sort Code]=(TRIM(G$4)))*(GJ[Account Code]=(TRIM($B87))),GJ[Debit]))))-((SUM(IF((CkDJ[Date]=$A$3)*(CkDJ[Sort Code]=(TRIM(G$4)))*(CkDJ[Account Code]=(TRIM($B87))),CkDJ[Credit])))+(SUM(IF((CsDJ[Date]=$A$3)*(CsDJ[Sort Code]=(TRIM(G$4)))*(CsDJ[Account Code]=(TRIM($B87))),CsDJ[Credit])))+(SUM(IF((CRDJ[Date]=$A$3)*(CRDJ[Sort Code]=(TRIM(G$4)))*(CRDJ[Account Code]=(TRIM($B87))),CRDJ[Credit])))+(SUM(IF((GJ[Date]=$A$3)*(GJ[Sort Code]=(TRIM(G$4)))*(GJ[Account Code]=(TRIM($B87))),GJ[Credit]))))</f>
        <v>0</v>
      </c>
      <c r="G87" s="343">
        <f t="shared" si="9"/>
        <v>0</v>
      </c>
      <c r="H87" s="246">
        <f t="shared" si="5"/>
        <v>0</v>
      </c>
      <c r="I87" s="246">
        <f t="shared" si="6"/>
        <v>0</v>
      </c>
    </row>
    <row r="88" spans="1:9" hidden="1">
      <c r="A88" s="256" t="s">
        <v>291</v>
      </c>
      <c r="B88" s="339" t="s">
        <v>231</v>
      </c>
      <c r="C88" s="245">
        <f t="array" ref="C88">SUM(IF((Budget[Account Code]=B88)*(Budget[Sort Code]=$G$4),(Budget[Amount])))</f>
        <v>264000.12</v>
      </c>
      <c r="D88" s="245">
        <f t="array" ref="D88">SUM(IF((Budget[Account Code]=B88)*(Budget[Sort Code]=$G$4)*(Budget[Date]&lt;=$D$7),(Budget[Amount])))</f>
        <v>264000.12</v>
      </c>
      <c r="E88" s="245">
        <f t="array" ref="E88">((SUM(IF((CkDJ[Sort Code]=(TRIM(G$4)))*(CkDJ[Account Code]=(TRIM($B88)))*(CkDJ[Date]&lt;=$E$7),CkDJ[Debit])))+(SUM(IF((CsDJ[Sort Code]=(TRIM(G$4)))*(CsDJ[Account Code]=(TRIM($B88)))*(CsDJ[Date]&lt;=$E$7),CsDJ[Debit])))+(SUM(IF((CRDJ[Sort Code]=(TRIM(G$4)))*(CRDJ[Account Code]=(TRIM($B88)))*(CRDJ[Date]&lt;=$E$7),CRDJ[Debit])))+(SUM(IF((GJ[Sort Code]=(TRIM(G$4)))*(GJ[Account Code]=(TRIM($B88)))*(GJ[Date]&lt;=$E$7),GJ[Debit]))))-((SUM(IF((CkDJ[Sort Code]=(TRIM(G$4)))*(CkDJ[Account Code]=(TRIM($B88)))*(CkDJ[Date]&lt;=$E$7),CkDJ[Credit])))+(SUM(IF((CsDJ[Sort Code]=(TRIM(G$4)))*(CsDJ[Account Code]=(TRIM($B88)))*(CsDJ[Date]&lt;=$E$7),CsDJ[Credit])))+(SUM(IF((CRDJ[Sort Code]=(TRIM(G$4)))*(CRDJ[Account Code]=(TRIM($B88)))*(CRDJ[Date]&lt;=$E$7),CRDJ[Credit])))+(SUM(IF((GJ[Sort Code]=(TRIM(G$4)))*(GJ[Account Code]=(TRIM($B88)))*(GJ[Date]&lt;=$E$7),GJ[Credit]))))</f>
        <v>0</v>
      </c>
      <c r="F88" s="245">
        <f t="array" ref="F88">((SUM(IF((CkDJ[Date]=$A$3)*(CkDJ[Sort Code]=(TRIM(G$4)))*(CkDJ[Account Code]=(TRIM($B88))),CkDJ[Debit])))+(SUM(IF((CsDJ[Date]=$A$3)*(CsDJ[Sort Code]=(TRIM(G$4)))*(CsDJ[Account Code]=(TRIM($B88))),CsDJ[Debit])))+(SUM(IF((CRDJ[Date]=$A$3)*(CRDJ[Sort Code]=(TRIM(G$4)))*(CRDJ[Account Code]=(TRIM($B88))),CRDJ[Debit])))+(SUM(IF((GJ[Date]=$A$3)*(GJ[Sort Code]=(TRIM(G$4)))*(GJ[Account Code]=(TRIM($B88))),GJ[Debit]))))-((SUM(IF((CkDJ[Date]=$A$3)*(CkDJ[Sort Code]=(TRIM(G$4)))*(CkDJ[Account Code]=(TRIM($B88))),CkDJ[Credit])))+(SUM(IF((CsDJ[Date]=$A$3)*(CsDJ[Sort Code]=(TRIM(G$4)))*(CsDJ[Account Code]=(TRIM($B88))),CsDJ[Credit])))+(SUM(IF((CRDJ[Date]=$A$3)*(CRDJ[Sort Code]=(TRIM(G$4)))*(CRDJ[Account Code]=(TRIM($B88))),CRDJ[Credit])))+(SUM(IF((GJ[Date]=$A$3)*(GJ[Sort Code]=(TRIM(G$4)))*(GJ[Account Code]=(TRIM($B88))),GJ[Credit]))))</f>
        <v>0</v>
      </c>
      <c r="G88" s="343">
        <f t="shared" si="9"/>
        <v>0</v>
      </c>
      <c r="H88" s="246">
        <f t="shared" si="5"/>
        <v>-264000.12</v>
      </c>
      <c r="I88" s="246">
        <f t="shared" si="6"/>
        <v>0</v>
      </c>
    </row>
    <row r="89" spans="1:9" hidden="1">
      <c r="A89" s="256" t="s">
        <v>292</v>
      </c>
      <c r="B89" s="339" t="s">
        <v>232</v>
      </c>
      <c r="C89" s="245">
        <f t="array" ref="C89">SUM(IF((Budget[Account Code]=B89)*(Budget[Sort Code]=$G$4),(Budget[Amount])))</f>
        <v>153999.96</v>
      </c>
      <c r="D89" s="245">
        <f t="array" ref="D89">SUM(IF((Budget[Account Code]=B89)*(Budget[Sort Code]=$G$4)*(Budget[Date]&lt;=$D$7),(Budget[Amount])))</f>
        <v>153999.96</v>
      </c>
      <c r="E89" s="245">
        <f t="array" ref="E89">((SUM(IF((CkDJ[Sort Code]=(TRIM(G$4)))*(CkDJ[Account Code]=(TRIM($B89)))*(CkDJ[Date]&lt;=$E$7),CkDJ[Debit])))+(SUM(IF((CsDJ[Sort Code]=(TRIM(G$4)))*(CsDJ[Account Code]=(TRIM($B89)))*(CsDJ[Date]&lt;=$E$7),CsDJ[Debit])))+(SUM(IF((CRDJ[Sort Code]=(TRIM(G$4)))*(CRDJ[Account Code]=(TRIM($B89)))*(CRDJ[Date]&lt;=$E$7),CRDJ[Debit])))+(SUM(IF((GJ[Sort Code]=(TRIM(G$4)))*(GJ[Account Code]=(TRIM($B89)))*(GJ[Date]&lt;=$E$7),GJ[Debit]))))-((SUM(IF((CkDJ[Sort Code]=(TRIM(G$4)))*(CkDJ[Account Code]=(TRIM($B89)))*(CkDJ[Date]&lt;=$E$7),CkDJ[Credit])))+(SUM(IF((CsDJ[Sort Code]=(TRIM(G$4)))*(CsDJ[Account Code]=(TRIM($B89)))*(CsDJ[Date]&lt;=$E$7),CsDJ[Credit])))+(SUM(IF((CRDJ[Sort Code]=(TRIM(G$4)))*(CRDJ[Account Code]=(TRIM($B89)))*(CRDJ[Date]&lt;=$E$7),CRDJ[Credit])))+(SUM(IF((GJ[Sort Code]=(TRIM(G$4)))*(GJ[Account Code]=(TRIM($B89)))*(GJ[Date]&lt;=$E$7),GJ[Credit]))))</f>
        <v>0</v>
      </c>
      <c r="F89" s="245">
        <f t="array" ref="F89">((SUM(IF((CkDJ[Date]=$A$3)*(CkDJ[Sort Code]=(TRIM(G$4)))*(CkDJ[Account Code]=(TRIM($B89))),CkDJ[Debit])))+(SUM(IF((CsDJ[Date]=$A$3)*(CsDJ[Sort Code]=(TRIM(G$4)))*(CsDJ[Account Code]=(TRIM($B89))),CsDJ[Debit])))+(SUM(IF((CRDJ[Date]=$A$3)*(CRDJ[Sort Code]=(TRIM(G$4)))*(CRDJ[Account Code]=(TRIM($B89))),CRDJ[Debit])))+(SUM(IF((GJ[Date]=$A$3)*(GJ[Sort Code]=(TRIM(G$4)))*(GJ[Account Code]=(TRIM($B89))),GJ[Debit]))))-((SUM(IF((CkDJ[Date]=$A$3)*(CkDJ[Sort Code]=(TRIM(G$4)))*(CkDJ[Account Code]=(TRIM($B89))),CkDJ[Credit])))+(SUM(IF((CsDJ[Date]=$A$3)*(CsDJ[Sort Code]=(TRIM(G$4)))*(CsDJ[Account Code]=(TRIM($B89))),CsDJ[Credit])))+(SUM(IF((CRDJ[Date]=$A$3)*(CRDJ[Sort Code]=(TRIM(G$4)))*(CRDJ[Account Code]=(TRIM($B89))),CRDJ[Credit])))+(SUM(IF((GJ[Date]=$A$3)*(GJ[Sort Code]=(TRIM(G$4)))*(GJ[Account Code]=(TRIM($B89))),GJ[Credit]))))</f>
        <v>0</v>
      </c>
      <c r="G89" s="343">
        <f t="shared" si="9"/>
        <v>0</v>
      </c>
      <c r="H89" s="246">
        <f t="shared" si="5"/>
        <v>-153999.96</v>
      </c>
      <c r="I89" s="246">
        <f t="shared" si="6"/>
        <v>0</v>
      </c>
    </row>
    <row r="90" spans="1:9" hidden="1">
      <c r="A90" s="256" t="s">
        <v>293</v>
      </c>
      <c r="B90" s="339" t="s">
        <v>233</v>
      </c>
      <c r="C90" s="245">
        <f t="array" ref="C90">SUM(IF((Budget[Account Code]=B90)*(Budget[Sort Code]=$G$4),(Budget[Amount])))</f>
        <v>2749999.92</v>
      </c>
      <c r="D90" s="245">
        <f t="array" ref="D90">SUM(IF((Budget[Account Code]=B90)*(Budget[Sort Code]=$G$4)*(Budget[Date]&lt;=$D$7),(Budget[Amount])))</f>
        <v>2749999.92</v>
      </c>
      <c r="E90" s="245">
        <f t="array" ref="E90">((SUM(IF((CkDJ[Sort Code]=(TRIM(G$4)))*(CkDJ[Account Code]=(TRIM($B90)))*(CkDJ[Date]&lt;=$E$7),CkDJ[Debit])))+(SUM(IF((CsDJ[Sort Code]=(TRIM(G$4)))*(CsDJ[Account Code]=(TRIM($B90)))*(CsDJ[Date]&lt;=$E$7),CsDJ[Debit])))+(SUM(IF((CRDJ[Sort Code]=(TRIM(G$4)))*(CRDJ[Account Code]=(TRIM($B90)))*(CRDJ[Date]&lt;=$E$7),CRDJ[Debit])))+(SUM(IF((GJ[Sort Code]=(TRIM(G$4)))*(GJ[Account Code]=(TRIM($B90)))*(GJ[Date]&lt;=$E$7),GJ[Debit]))))-((SUM(IF((CkDJ[Sort Code]=(TRIM(G$4)))*(CkDJ[Account Code]=(TRIM($B90)))*(CkDJ[Date]&lt;=$E$7),CkDJ[Credit])))+(SUM(IF((CsDJ[Sort Code]=(TRIM(G$4)))*(CsDJ[Account Code]=(TRIM($B90)))*(CsDJ[Date]&lt;=$E$7),CsDJ[Credit])))+(SUM(IF((CRDJ[Sort Code]=(TRIM(G$4)))*(CRDJ[Account Code]=(TRIM($B90)))*(CRDJ[Date]&lt;=$E$7),CRDJ[Credit])))+(SUM(IF((GJ[Sort Code]=(TRIM(G$4)))*(GJ[Account Code]=(TRIM($B90)))*(GJ[Date]&lt;=$E$7),GJ[Credit]))))</f>
        <v>0</v>
      </c>
      <c r="F90" s="245">
        <f t="array" ref="F90">((SUM(IF((CkDJ[Date]=$A$3)*(CkDJ[Sort Code]=(TRIM(G$4)))*(CkDJ[Account Code]=(TRIM($B90))),CkDJ[Debit])))+(SUM(IF((CsDJ[Date]=$A$3)*(CsDJ[Sort Code]=(TRIM(G$4)))*(CsDJ[Account Code]=(TRIM($B90))),CsDJ[Debit])))+(SUM(IF((CRDJ[Date]=$A$3)*(CRDJ[Sort Code]=(TRIM(G$4)))*(CRDJ[Account Code]=(TRIM($B90))),CRDJ[Debit])))+(SUM(IF((GJ[Date]=$A$3)*(GJ[Sort Code]=(TRIM(G$4)))*(GJ[Account Code]=(TRIM($B90))),GJ[Debit]))))-((SUM(IF((CkDJ[Date]=$A$3)*(CkDJ[Sort Code]=(TRIM(G$4)))*(CkDJ[Account Code]=(TRIM($B90))),CkDJ[Credit])))+(SUM(IF((CsDJ[Date]=$A$3)*(CsDJ[Sort Code]=(TRIM(G$4)))*(CsDJ[Account Code]=(TRIM($B90))),CsDJ[Credit])))+(SUM(IF((CRDJ[Date]=$A$3)*(CRDJ[Sort Code]=(TRIM(G$4)))*(CRDJ[Account Code]=(TRIM($B90))),CRDJ[Credit])))+(SUM(IF((GJ[Date]=$A$3)*(GJ[Sort Code]=(TRIM(G$4)))*(GJ[Account Code]=(TRIM($B90))),GJ[Credit]))))</f>
        <v>0</v>
      </c>
      <c r="G90" s="343">
        <f t="shared" si="9"/>
        <v>0</v>
      </c>
      <c r="H90" s="246">
        <f t="shared" si="5"/>
        <v>-2749999.92</v>
      </c>
      <c r="I90" s="246">
        <f t="shared" si="6"/>
        <v>0</v>
      </c>
    </row>
    <row r="91" spans="1:9" hidden="1">
      <c r="A91" s="256" t="s">
        <v>1475</v>
      </c>
      <c r="B91" s="339" t="s">
        <v>1265</v>
      </c>
      <c r="C91" s="245">
        <f t="array" ref="C91">SUM(IF((Budget[Account Code]=B91)*(Budget[Sort Code]=$G$4),(Budget[Amount])))</f>
        <v>0</v>
      </c>
      <c r="D91" s="245">
        <f t="array" ref="D91">SUM(IF((Budget[Account Code]=B91)*(Budget[Sort Code]=$G$4)*(Budget[Date]&lt;=$D$7),(Budget[Amount])))</f>
        <v>0</v>
      </c>
      <c r="E91" s="245">
        <f t="array" ref="E91">((SUM(IF((CkDJ[Sort Code]=(TRIM(G$4)))*(CkDJ[Account Code]=(TRIM($B91)))*(CkDJ[Date]&lt;=$E$7),CkDJ[Debit])))+(SUM(IF((CsDJ[Sort Code]=(TRIM(G$4)))*(CsDJ[Account Code]=(TRIM($B91)))*(CsDJ[Date]&lt;=$E$7),CsDJ[Debit])))+(SUM(IF((CRDJ[Sort Code]=(TRIM(G$4)))*(CRDJ[Account Code]=(TRIM($B91)))*(CRDJ[Date]&lt;=$E$7),CRDJ[Debit])))+(SUM(IF((GJ[Sort Code]=(TRIM(G$4)))*(GJ[Account Code]=(TRIM($B91)))*(GJ[Date]&lt;=$E$7),GJ[Debit]))))-((SUM(IF((CkDJ[Sort Code]=(TRIM(G$4)))*(CkDJ[Account Code]=(TRIM($B91)))*(CkDJ[Date]&lt;=$E$7),CkDJ[Credit])))+(SUM(IF((CsDJ[Sort Code]=(TRIM(G$4)))*(CsDJ[Account Code]=(TRIM($B91)))*(CsDJ[Date]&lt;=$E$7),CsDJ[Credit])))+(SUM(IF((CRDJ[Sort Code]=(TRIM(G$4)))*(CRDJ[Account Code]=(TRIM($B91)))*(CRDJ[Date]&lt;=$E$7),CRDJ[Credit])))+(SUM(IF((GJ[Sort Code]=(TRIM(G$4)))*(GJ[Account Code]=(TRIM($B91)))*(GJ[Date]&lt;=$E$7),GJ[Credit]))))</f>
        <v>0</v>
      </c>
      <c r="F91" s="245">
        <f t="array" ref="F91">((SUM(IF((CkDJ[Date]=$A$3)*(CkDJ[Sort Code]=(TRIM(G$4)))*(CkDJ[Account Code]=(TRIM($B91))),CkDJ[Debit])))+(SUM(IF((CsDJ[Date]=$A$3)*(CsDJ[Sort Code]=(TRIM(G$4)))*(CsDJ[Account Code]=(TRIM($B91))),CsDJ[Debit])))+(SUM(IF((CRDJ[Date]=$A$3)*(CRDJ[Sort Code]=(TRIM(G$4)))*(CRDJ[Account Code]=(TRIM($B91))),CRDJ[Debit])))+(SUM(IF((GJ[Date]=$A$3)*(GJ[Sort Code]=(TRIM(G$4)))*(GJ[Account Code]=(TRIM($B91))),GJ[Debit]))))-((SUM(IF((CkDJ[Date]=$A$3)*(CkDJ[Sort Code]=(TRIM(G$4)))*(CkDJ[Account Code]=(TRIM($B91))),CkDJ[Credit])))+(SUM(IF((CsDJ[Date]=$A$3)*(CsDJ[Sort Code]=(TRIM(G$4)))*(CsDJ[Account Code]=(TRIM($B91))),CsDJ[Credit])))+(SUM(IF((CRDJ[Date]=$A$3)*(CRDJ[Sort Code]=(TRIM(G$4)))*(CRDJ[Account Code]=(TRIM($B91))),CRDJ[Credit])))+(SUM(IF((GJ[Date]=$A$3)*(GJ[Sort Code]=(TRIM(G$4)))*(GJ[Account Code]=(TRIM($B91))),GJ[Credit]))))</f>
        <v>0</v>
      </c>
      <c r="G91" s="343">
        <f>E91+F91</f>
        <v>0</v>
      </c>
      <c r="H91" s="246">
        <f>G91-D91</f>
        <v>0</v>
      </c>
      <c r="I91" s="246">
        <f>IF((D91=0),0,G91/D91)</f>
        <v>0</v>
      </c>
    </row>
    <row r="92" spans="1:9" hidden="1">
      <c r="A92" s="256" t="s">
        <v>1475</v>
      </c>
      <c r="B92" s="339" t="s">
        <v>1266</v>
      </c>
      <c r="C92" s="245">
        <f t="array" ref="C92">SUM(IF((Budget[Account Code]=B92)*(Budget[Sort Code]=$G$4),(Budget[Amount])))</f>
        <v>0</v>
      </c>
      <c r="D92" s="245">
        <f t="array" ref="D92">SUM(IF((Budget[Account Code]=B92)*(Budget[Sort Code]=$G$4)*(Budget[Date]&lt;=$D$7),(Budget[Amount])))</f>
        <v>0</v>
      </c>
      <c r="E92" s="245">
        <f t="array" ref="E92">((SUM(IF((CkDJ[Sort Code]=(TRIM(G$4)))*(CkDJ[Account Code]=(TRIM($B92)))*(CkDJ[Date]&lt;=$E$7),CkDJ[Debit])))+(SUM(IF((CsDJ[Sort Code]=(TRIM(G$4)))*(CsDJ[Account Code]=(TRIM($B92)))*(CsDJ[Date]&lt;=$E$7),CsDJ[Debit])))+(SUM(IF((CRDJ[Sort Code]=(TRIM(G$4)))*(CRDJ[Account Code]=(TRIM($B92)))*(CRDJ[Date]&lt;=$E$7),CRDJ[Debit])))+(SUM(IF((GJ[Sort Code]=(TRIM(G$4)))*(GJ[Account Code]=(TRIM($B92)))*(GJ[Date]&lt;=$E$7),GJ[Debit]))))-((SUM(IF((CkDJ[Sort Code]=(TRIM(G$4)))*(CkDJ[Account Code]=(TRIM($B92)))*(CkDJ[Date]&lt;=$E$7),CkDJ[Credit])))+(SUM(IF((CsDJ[Sort Code]=(TRIM(G$4)))*(CsDJ[Account Code]=(TRIM($B92)))*(CsDJ[Date]&lt;=$E$7),CsDJ[Credit])))+(SUM(IF((CRDJ[Sort Code]=(TRIM(G$4)))*(CRDJ[Account Code]=(TRIM($B92)))*(CRDJ[Date]&lt;=$E$7),CRDJ[Credit])))+(SUM(IF((GJ[Sort Code]=(TRIM(G$4)))*(GJ[Account Code]=(TRIM($B92)))*(GJ[Date]&lt;=$E$7),GJ[Credit]))))</f>
        <v>0</v>
      </c>
      <c r="F92" s="245">
        <f t="array" ref="F92">((SUM(IF((CkDJ[Date]=$A$3)*(CkDJ[Sort Code]=(TRIM(G$4)))*(CkDJ[Account Code]=(TRIM($B92))),CkDJ[Debit])))+(SUM(IF((CsDJ[Date]=$A$3)*(CsDJ[Sort Code]=(TRIM(G$4)))*(CsDJ[Account Code]=(TRIM($B92))),CsDJ[Debit])))+(SUM(IF((CRDJ[Date]=$A$3)*(CRDJ[Sort Code]=(TRIM(G$4)))*(CRDJ[Account Code]=(TRIM($B92))),CRDJ[Debit])))+(SUM(IF((GJ[Date]=$A$3)*(GJ[Sort Code]=(TRIM(G$4)))*(GJ[Account Code]=(TRIM($B92))),GJ[Debit]))))-((SUM(IF((CkDJ[Date]=$A$3)*(CkDJ[Sort Code]=(TRIM(G$4)))*(CkDJ[Account Code]=(TRIM($B92))),CkDJ[Credit])))+(SUM(IF((CsDJ[Date]=$A$3)*(CsDJ[Sort Code]=(TRIM(G$4)))*(CsDJ[Account Code]=(TRIM($B92))),CsDJ[Credit])))+(SUM(IF((CRDJ[Date]=$A$3)*(CRDJ[Sort Code]=(TRIM(G$4)))*(CRDJ[Account Code]=(TRIM($B92))),CRDJ[Credit])))+(SUM(IF((GJ[Date]=$A$3)*(GJ[Sort Code]=(TRIM(G$4)))*(GJ[Account Code]=(TRIM($B92))),GJ[Credit]))))</f>
        <v>0</v>
      </c>
      <c r="G92" s="343">
        <f>E92+F92</f>
        <v>0</v>
      </c>
      <c r="H92" s="246">
        <f>G92-D92</f>
        <v>0</v>
      </c>
      <c r="I92" s="246">
        <f>IF((D92=0),0,G92/D92)</f>
        <v>0</v>
      </c>
    </row>
    <row r="93" spans="1:9" hidden="1">
      <c r="A93" s="256" t="s">
        <v>294</v>
      </c>
      <c r="B93" s="339" t="s">
        <v>234</v>
      </c>
      <c r="C93" s="245">
        <f t="array" ref="C93">SUM(IF((Budget[Account Code]=B93)*(Budget[Sort Code]=$G$4),(Budget[Amount])))</f>
        <v>9999.9599999999991</v>
      </c>
      <c r="D93" s="245">
        <f t="array" ref="D93">SUM(IF((Budget[Account Code]=B93)*(Budget[Sort Code]=$G$4)*(Budget[Date]&lt;=$D$7),(Budget[Amount])))</f>
        <v>9999.9599999999991</v>
      </c>
      <c r="E93" s="245">
        <f t="array" ref="E93">((SUM(IF((CkDJ[Sort Code]=(TRIM(G$4)))*(CkDJ[Account Code]=(TRIM($B93)))*(CkDJ[Date]&lt;=$E$7),CkDJ[Debit])))+(SUM(IF((CsDJ[Sort Code]=(TRIM(G$4)))*(CsDJ[Account Code]=(TRIM($B93)))*(CsDJ[Date]&lt;=$E$7),CsDJ[Debit])))+(SUM(IF((CRDJ[Sort Code]=(TRIM(G$4)))*(CRDJ[Account Code]=(TRIM($B93)))*(CRDJ[Date]&lt;=$E$7),CRDJ[Debit])))+(SUM(IF((GJ[Sort Code]=(TRIM(G$4)))*(GJ[Account Code]=(TRIM($B93)))*(GJ[Date]&lt;=$E$7),GJ[Debit]))))-((SUM(IF((CkDJ[Sort Code]=(TRIM(G$4)))*(CkDJ[Account Code]=(TRIM($B93)))*(CkDJ[Date]&lt;=$E$7),CkDJ[Credit])))+(SUM(IF((CsDJ[Sort Code]=(TRIM(G$4)))*(CsDJ[Account Code]=(TRIM($B93)))*(CsDJ[Date]&lt;=$E$7),CsDJ[Credit])))+(SUM(IF((CRDJ[Sort Code]=(TRIM(G$4)))*(CRDJ[Account Code]=(TRIM($B93)))*(CRDJ[Date]&lt;=$E$7),CRDJ[Credit])))+(SUM(IF((GJ[Sort Code]=(TRIM(G$4)))*(GJ[Account Code]=(TRIM($B93)))*(GJ[Date]&lt;=$E$7),GJ[Credit]))))</f>
        <v>0</v>
      </c>
      <c r="F93" s="245">
        <f t="array" ref="F93">((SUM(IF((CkDJ[Date]=$A$3)*(CkDJ[Sort Code]=(TRIM(G$4)))*(CkDJ[Account Code]=(TRIM($B93))),CkDJ[Debit])))+(SUM(IF((CsDJ[Date]=$A$3)*(CsDJ[Sort Code]=(TRIM(G$4)))*(CsDJ[Account Code]=(TRIM($B93))),CsDJ[Debit])))+(SUM(IF((CRDJ[Date]=$A$3)*(CRDJ[Sort Code]=(TRIM(G$4)))*(CRDJ[Account Code]=(TRIM($B93))),CRDJ[Debit])))+(SUM(IF((GJ[Date]=$A$3)*(GJ[Sort Code]=(TRIM(G$4)))*(GJ[Account Code]=(TRIM($B93))),GJ[Debit]))))-((SUM(IF((CkDJ[Date]=$A$3)*(CkDJ[Sort Code]=(TRIM(G$4)))*(CkDJ[Account Code]=(TRIM($B93))),CkDJ[Credit])))+(SUM(IF((CsDJ[Date]=$A$3)*(CsDJ[Sort Code]=(TRIM(G$4)))*(CsDJ[Account Code]=(TRIM($B93))),CsDJ[Credit])))+(SUM(IF((CRDJ[Date]=$A$3)*(CRDJ[Sort Code]=(TRIM(G$4)))*(CRDJ[Account Code]=(TRIM($B93))),CRDJ[Credit])))+(SUM(IF((GJ[Date]=$A$3)*(GJ[Sort Code]=(TRIM(G$4)))*(GJ[Account Code]=(TRIM($B93))),GJ[Credit]))))</f>
        <v>0</v>
      </c>
      <c r="G93" s="343">
        <f t="shared" si="9"/>
        <v>0</v>
      </c>
      <c r="H93" s="246">
        <f t="shared" si="5"/>
        <v>-9999.9599999999991</v>
      </c>
      <c r="I93" s="246">
        <f t="shared" si="6"/>
        <v>0</v>
      </c>
    </row>
    <row r="94" spans="1:9" hidden="1">
      <c r="A94" s="256" t="s">
        <v>295</v>
      </c>
      <c r="B94" s="339" t="s">
        <v>235</v>
      </c>
      <c r="C94" s="245">
        <f t="array" ref="C94">SUM(IF((Budget[Account Code]=B94)*(Budget[Sort Code]=$G$4),(Budget[Amount])))</f>
        <v>241560</v>
      </c>
      <c r="D94" s="245">
        <f t="array" ref="D94">SUM(IF((Budget[Account Code]=B94)*(Budget[Sort Code]=$G$4)*(Budget[Date]&lt;=$D$7),(Budget[Amount])))</f>
        <v>241560</v>
      </c>
      <c r="E94" s="245">
        <f t="array" ref="E94">((SUM(IF((CkDJ[Sort Code]=(TRIM(G$4)))*(CkDJ[Account Code]=(TRIM($B94)))*(CkDJ[Date]&lt;=$E$7),CkDJ[Debit])))+(SUM(IF((CsDJ[Sort Code]=(TRIM(G$4)))*(CsDJ[Account Code]=(TRIM($B94)))*(CsDJ[Date]&lt;=$E$7),CsDJ[Debit])))+(SUM(IF((CRDJ[Sort Code]=(TRIM(G$4)))*(CRDJ[Account Code]=(TRIM($B94)))*(CRDJ[Date]&lt;=$E$7),CRDJ[Debit])))+(SUM(IF((GJ[Sort Code]=(TRIM(G$4)))*(GJ[Account Code]=(TRIM($B94)))*(GJ[Date]&lt;=$E$7),GJ[Debit]))))-((SUM(IF((CkDJ[Sort Code]=(TRIM(G$4)))*(CkDJ[Account Code]=(TRIM($B94)))*(CkDJ[Date]&lt;=$E$7),CkDJ[Credit])))+(SUM(IF((CsDJ[Sort Code]=(TRIM(G$4)))*(CsDJ[Account Code]=(TRIM($B94)))*(CsDJ[Date]&lt;=$E$7),CsDJ[Credit])))+(SUM(IF((CRDJ[Sort Code]=(TRIM(G$4)))*(CRDJ[Account Code]=(TRIM($B94)))*(CRDJ[Date]&lt;=$E$7),CRDJ[Credit])))+(SUM(IF((GJ[Sort Code]=(TRIM(G$4)))*(GJ[Account Code]=(TRIM($B94)))*(GJ[Date]&lt;=$E$7),GJ[Credit]))))</f>
        <v>0</v>
      </c>
      <c r="F94" s="245">
        <f t="array" ref="F94">((SUM(IF((CkDJ[Date]=$A$3)*(CkDJ[Sort Code]=(TRIM(G$4)))*(CkDJ[Account Code]=(TRIM($B94))),CkDJ[Debit])))+(SUM(IF((CsDJ[Date]=$A$3)*(CsDJ[Sort Code]=(TRIM(G$4)))*(CsDJ[Account Code]=(TRIM($B94))),CsDJ[Debit])))+(SUM(IF((CRDJ[Date]=$A$3)*(CRDJ[Sort Code]=(TRIM(G$4)))*(CRDJ[Account Code]=(TRIM($B94))),CRDJ[Debit])))+(SUM(IF((GJ[Date]=$A$3)*(GJ[Sort Code]=(TRIM(G$4)))*(GJ[Account Code]=(TRIM($B94))),GJ[Debit]))))-((SUM(IF((CkDJ[Date]=$A$3)*(CkDJ[Sort Code]=(TRIM(G$4)))*(CkDJ[Account Code]=(TRIM($B94))),CkDJ[Credit])))+(SUM(IF((CsDJ[Date]=$A$3)*(CsDJ[Sort Code]=(TRIM(G$4)))*(CsDJ[Account Code]=(TRIM($B94))),CsDJ[Credit])))+(SUM(IF((CRDJ[Date]=$A$3)*(CRDJ[Sort Code]=(TRIM(G$4)))*(CRDJ[Account Code]=(TRIM($B94))),CRDJ[Credit])))+(SUM(IF((GJ[Date]=$A$3)*(GJ[Sort Code]=(TRIM(G$4)))*(GJ[Account Code]=(TRIM($B94))),GJ[Credit]))))</f>
        <v>0</v>
      </c>
      <c r="G94" s="343">
        <f t="shared" si="9"/>
        <v>0</v>
      </c>
      <c r="H94" s="246">
        <f t="shared" si="5"/>
        <v>-241560</v>
      </c>
      <c r="I94" s="246">
        <f t="shared" si="6"/>
        <v>0</v>
      </c>
    </row>
    <row r="95" spans="1:9" hidden="1">
      <c r="A95" s="256" t="s">
        <v>296</v>
      </c>
      <c r="B95" s="339" t="s">
        <v>236</v>
      </c>
      <c r="C95" s="245">
        <f t="array" ref="C95">SUM(IF((Budget[Account Code]=B95)*(Budget[Sort Code]=$G$4),(Budget[Amount])))</f>
        <v>30360</v>
      </c>
      <c r="D95" s="245">
        <f t="array" ref="D95">SUM(IF((Budget[Account Code]=B95)*(Budget[Sort Code]=$G$4)*(Budget[Date]&lt;=$D$7),(Budget[Amount])))</f>
        <v>30360</v>
      </c>
      <c r="E95" s="245">
        <f t="array" ref="E95">((SUM(IF((CkDJ[Sort Code]=(TRIM(G$4)))*(CkDJ[Account Code]=(TRIM($B95)))*(CkDJ[Date]&lt;=$E$7),CkDJ[Debit])))+(SUM(IF((CsDJ[Sort Code]=(TRIM(G$4)))*(CsDJ[Account Code]=(TRIM($B95)))*(CsDJ[Date]&lt;=$E$7),CsDJ[Debit])))+(SUM(IF((CRDJ[Sort Code]=(TRIM(G$4)))*(CRDJ[Account Code]=(TRIM($B95)))*(CRDJ[Date]&lt;=$E$7),CRDJ[Debit])))+(SUM(IF((GJ[Sort Code]=(TRIM(G$4)))*(GJ[Account Code]=(TRIM($B95)))*(GJ[Date]&lt;=$E$7),GJ[Debit]))))-((SUM(IF((CkDJ[Sort Code]=(TRIM(G$4)))*(CkDJ[Account Code]=(TRIM($B95)))*(CkDJ[Date]&lt;=$E$7),CkDJ[Credit])))+(SUM(IF((CsDJ[Sort Code]=(TRIM(G$4)))*(CsDJ[Account Code]=(TRIM($B95)))*(CsDJ[Date]&lt;=$E$7),CsDJ[Credit])))+(SUM(IF((CRDJ[Sort Code]=(TRIM(G$4)))*(CRDJ[Account Code]=(TRIM($B95)))*(CRDJ[Date]&lt;=$E$7),CRDJ[Credit])))+(SUM(IF((GJ[Sort Code]=(TRIM(G$4)))*(GJ[Account Code]=(TRIM($B95)))*(GJ[Date]&lt;=$E$7),GJ[Credit]))))</f>
        <v>0</v>
      </c>
      <c r="F95" s="245">
        <f t="array" ref="F95">((SUM(IF((CkDJ[Date]=$A$3)*(CkDJ[Sort Code]=(TRIM(G$4)))*(CkDJ[Account Code]=(TRIM($B95))),CkDJ[Debit])))+(SUM(IF((CsDJ[Date]=$A$3)*(CsDJ[Sort Code]=(TRIM(G$4)))*(CsDJ[Account Code]=(TRIM($B95))),CsDJ[Debit])))+(SUM(IF((CRDJ[Date]=$A$3)*(CRDJ[Sort Code]=(TRIM(G$4)))*(CRDJ[Account Code]=(TRIM($B95))),CRDJ[Debit])))+(SUM(IF((GJ[Date]=$A$3)*(GJ[Sort Code]=(TRIM(G$4)))*(GJ[Account Code]=(TRIM($B95))),GJ[Debit]))))-((SUM(IF((CkDJ[Date]=$A$3)*(CkDJ[Sort Code]=(TRIM(G$4)))*(CkDJ[Account Code]=(TRIM($B95))),CkDJ[Credit])))+(SUM(IF((CsDJ[Date]=$A$3)*(CsDJ[Sort Code]=(TRIM(G$4)))*(CsDJ[Account Code]=(TRIM($B95))),CsDJ[Credit])))+(SUM(IF((CRDJ[Date]=$A$3)*(CRDJ[Sort Code]=(TRIM(G$4)))*(CRDJ[Account Code]=(TRIM($B95))),CRDJ[Credit])))+(SUM(IF((GJ[Date]=$A$3)*(GJ[Sort Code]=(TRIM(G$4)))*(GJ[Account Code]=(TRIM($B95))),GJ[Credit]))))</f>
        <v>0</v>
      </c>
      <c r="G95" s="343">
        <f t="shared" si="9"/>
        <v>0</v>
      </c>
      <c r="H95" s="246">
        <f t="shared" si="5"/>
        <v>-30360</v>
      </c>
      <c r="I95" s="246">
        <f t="shared" si="6"/>
        <v>0</v>
      </c>
    </row>
    <row r="96" spans="1:9" hidden="1">
      <c r="A96" s="256" t="s">
        <v>297</v>
      </c>
      <c r="B96" s="339" t="s">
        <v>237</v>
      </c>
      <c r="C96" s="245">
        <f t="array" ref="C96">SUM(IF((Budget[Account Code]=B96)*(Budget[Sort Code]=$G$4),(Budget[Amount])))</f>
        <v>0</v>
      </c>
      <c r="D96" s="245">
        <f t="array" ref="D96">SUM(IF((Budget[Account Code]=B96)*(Budget[Sort Code]=$G$4)*(Budget[Date]&lt;=$D$7),(Budget[Amount])))</f>
        <v>0</v>
      </c>
      <c r="E96" s="245">
        <f t="array" ref="E96">((SUM(IF((CkDJ[Sort Code]=(TRIM(G$4)))*(CkDJ[Account Code]=(TRIM($B96)))*(CkDJ[Date]&lt;=$E$7),CkDJ[Debit])))+(SUM(IF((CsDJ[Sort Code]=(TRIM(G$4)))*(CsDJ[Account Code]=(TRIM($B96)))*(CsDJ[Date]&lt;=$E$7),CsDJ[Debit])))+(SUM(IF((CRDJ[Sort Code]=(TRIM(G$4)))*(CRDJ[Account Code]=(TRIM($B96)))*(CRDJ[Date]&lt;=$E$7),CRDJ[Debit])))+(SUM(IF((GJ[Sort Code]=(TRIM(G$4)))*(GJ[Account Code]=(TRIM($B96)))*(GJ[Date]&lt;=$E$7),GJ[Debit]))))-((SUM(IF((CkDJ[Sort Code]=(TRIM(G$4)))*(CkDJ[Account Code]=(TRIM($B96)))*(CkDJ[Date]&lt;=$E$7),CkDJ[Credit])))+(SUM(IF((CsDJ[Sort Code]=(TRIM(G$4)))*(CsDJ[Account Code]=(TRIM($B96)))*(CsDJ[Date]&lt;=$E$7),CsDJ[Credit])))+(SUM(IF((CRDJ[Sort Code]=(TRIM(G$4)))*(CRDJ[Account Code]=(TRIM($B96)))*(CRDJ[Date]&lt;=$E$7),CRDJ[Credit])))+(SUM(IF((GJ[Sort Code]=(TRIM(G$4)))*(GJ[Account Code]=(TRIM($B96)))*(GJ[Date]&lt;=$E$7),GJ[Credit]))))</f>
        <v>0</v>
      </c>
      <c r="F96" s="245">
        <f t="array" ref="F96">((SUM(IF((CkDJ[Date]=$A$3)*(CkDJ[Sort Code]=(TRIM(G$4)))*(CkDJ[Account Code]=(TRIM($B96))),CkDJ[Debit])))+(SUM(IF((CsDJ[Date]=$A$3)*(CsDJ[Sort Code]=(TRIM(G$4)))*(CsDJ[Account Code]=(TRIM($B96))),CsDJ[Debit])))+(SUM(IF((CRDJ[Date]=$A$3)*(CRDJ[Sort Code]=(TRIM(G$4)))*(CRDJ[Account Code]=(TRIM($B96))),CRDJ[Debit])))+(SUM(IF((GJ[Date]=$A$3)*(GJ[Sort Code]=(TRIM(G$4)))*(GJ[Account Code]=(TRIM($B96))),GJ[Debit]))))-((SUM(IF((CkDJ[Date]=$A$3)*(CkDJ[Sort Code]=(TRIM(G$4)))*(CkDJ[Account Code]=(TRIM($B96))),CkDJ[Credit])))+(SUM(IF((CsDJ[Date]=$A$3)*(CsDJ[Sort Code]=(TRIM(G$4)))*(CsDJ[Account Code]=(TRIM($B96))),CsDJ[Credit])))+(SUM(IF((CRDJ[Date]=$A$3)*(CRDJ[Sort Code]=(TRIM(G$4)))*(CRDJ[Account Code]=(TRIM($B96))),CRDJ[Credit])))+(SUM(IF((GJ[Date]=$A$3)*(GJ[Sort Code]=(TRIM(G$4)))*(GJ[Account Code]=(TRIM($B96))),GJ[Credit]))))</f>
        <v>0</v>
      </c>
      <c r="G96" s="343">
        <f t="shared" si="9"/>
        <v>0</v>
      </c>
      <c r="H96" s="246">
        <f t="shared" si="5"/>
        <v>0</v>
      </c>
      <c r="I96" s="246">
        <f t="shared" si="6"/>
        <v>0</v>
      </c>
    </row>
    <row r="97" spans="1:9" hidden="1">
      <c r="A97" s="256" t="s">
        <v>298</v>
      </c>
      <c r="B97" s="339" t="s">
        <v>238</v>
      </c>
      <c r="C97" s="245">
        <f t="array" ref="C97">SUM(IF((Budget[Account Code]=B97)*(Budget[Sort Code]=$G$4),(Budget[Amount])))</f>
        <v>0</v>
      </c>
      <c r="D97" s="245">
        <f t="array" ref="D97">SUM(IF((Budget[Account Code]=B97)*(Budget[Sort Code]=$G$4)*(Budget[Date]&lt;=$D$7),(Budget[Amount])))</f>
        <v>0</v>
      </c>
      <c r="E97" s="245">
        <f t="array" ref="E97">((SUM(IF((CkDJ[Sort Code]=(TRIM(G$4)))*(CkDJ[Account Code]=(TRIM($B97)))*(CkDJ[Date]&lt;=$E$7),CkDJ[Debit])))+(SUM(IF((CsDJ[Sort Code]=(TRIM(G$4)))*(CsDJ[Account Code]=(TRIM($B97)))*(CsDJ[Date]&lt;=$E$7),CsDJ[Debit])))+(SUM(IF((CRDJ[Sort Code]=(TRIM(G$4)))*(CRDJ[Account Code]=(TRIM($B97)))*(CRDJ[Date]&lt;=$E$7),CRDJ[Debit])))+(SUM(IF((GJ[Sort Code]=(TRIM(G$4)))*(GJ[Account Code]=(TRIM($B97)))*(GJ[Date]&lt;=$E$7),GJ[Debit]))))-((SUM(IF((CkDJ[Sort Code]=(TRIM(G$4)))*(CkDJ[Account Code]=(TRIM($B97)))*(CkDJ[Date]&lt;=$E$7),CkDJ[Credit])))+(SUM(IF((CsDJ[Sort Code]=(TRIM(G$4)))*(CsDJ[Account Code]=(TRIM($B97)))*(CsDJ[Date]&lt;=$E$7),CsDJ[Credit])))+(SUM(IF((CRDJ[Sort Code]=(TRIM(G$4)))*(CRDJ[Account Code]=(TRIM($B97)))*(CRDJ[Date]&lt;=$E$7),CRDJ[Credit])))+(SUM(IF((GJ[Sort Code]=(TRIM(G$4)))*(GJ[Account Code]=(TRIM($B97)))*(GJ[Date]&lt;=$E$7),GJ[Credit]))))</f>
        <v>0</v>
      </c>
      <c r="F97" s="245">
        <f t="array" ref="F97">((SUM(IF((CkDJ[Date]=$A$3)*(CkDJ[Sort Code]=(TRIM(G$4)))*(CkDJ[Account Code]=(TRIM($B97))),CkDJ[Debit])))+(SUM(IF((CsDJ[Date]=$A$3)*(CsDJ[Sort Code]=(TRIM(G$4)))*(CsDJ[Account Code]=(TRIM($B97))),CsDJ[Debit])))+(SUM(IF((CRDJ[Date]=$A$3)*(CRDJ[Sort Code]=(TRIM(G$4)))*(CRDJ[Account Code]=(TRIM($B97))),CRDJ[Debit])))+(SUM(IF((GJ[Date]=$A$3)*(GJ[Sort Code]=(TRIM(G$4)))*(GJ[Account Code]=(TRIM($B97))),GJ[Debit]))))-((SUM(IF((CkDJ[Date]=$A$3)*(CkDJ[Sort Code]=(TRIM(G$4)))*(CkDJ[Account Code]=(TRIM($B97))),CkDJ[Credit])))+(SUM(IF((CsDJ[Date]=$A$3)*(CsDJ[Sort Code]=(TRIM(G$4)))*(CsDJ[Account Code]=(TRIM($B97))),CsDJ[Credit])))+(SUM(IF((CRDJ[Date]=$A$3)*(CRDJ[Sort Code]=(TRIM(G$4)))*(CRDJ[Account Code]=(TRIM($B97))),CRDJ[Credit])))+(SUM(IF((GJ[Date]=$A$3)*(GJ[Sort Code]=(TRIM(G$4)))*(GJ[Account Code]=(TRIM($B97))),GJ[Credit]))))</f>
        <v>0</v>
      </c>
      <c r="G97" s="343">
        <f t="shared" si="9"/>
        <v>0</v>
      </c>
      <c r="H97" s="246">
        <f t="shared" si="5"/>
        <v>0</v>
      </c>
      <c r="I97" s="246">
        <f t="shared" si="6"/>
        <v>0</v>
      </c>
    </row>
    <row r="98" spans="1:9" hidden="1">
      <c r="A98" s="256" t="s">
        <v>1019</v>
      </c>
      <c r="B98" s="339" t="s">
        <v>239</v>
      </c>
      <c r="C98" s="245">
        <f t="array" ref="C98">SUM(IF((Budget[Account Code]=B98)*(Budget[Sort Code]=$G$4),(Budget[Amount])))</f>
        <v>0</v>
      </c>
      <c r="D98" s="245">
        <f t="array" ref="D98">SUM(IF((Budget[Account Code]=B98)*(Budget[Sort Code]=$G$4)*(Budget[Date]&lt;=$D$7),(Budget[Amount])))</f>
        <v>0</v>
      </c>
      <c r="E98" s="245">
        <f t="array" ref="E98">((SUM(IF((CkDJ[Sort Code]=(TRIM(G$4)))*(CkDJ[Account Code]=(TRIM($B98)))*(CkDJ[Date]&lt;=$E$7),CkDJ[Debit])))+(SUM(IF((CsDJ[Sort Code]=(TRIM(G$4)))*(CsDJ[Account Code]=(TRIM($B98)))*(CsDJ[Date]&lt;=$E$7),CsDJ[Debit])))+(SUM(IF((CRDJ[Sort Code]=(TRIM(G$4)))*(CRDJ[Account Code]=(TRIM($B98)))*(CRDJ[Date]&lt;=$E$7),CRDJ[Debit])))+(SUM(IF((GJ[Sort Code]=(TRIM(G$4)))*(GJ[Account Code]=(TRIM($B98)))*(GJ[Date]&lt;=$E$7),GJ[Debit]))))-((SUM(IF((CkDJ[Sort Code]=(TRIM(G$4)))*(CkDJ[Account Code]=(TRIM($B98)))*(CkDJ[Date]&lt;=$E$7),CkDJ[Credit])))+(SUM(IF((CsDJ[Sort Code]=(TRIM(G$4)))*(CsDJ[Account Code]=(TRIM($B98)))*(CsDJ[Date]&lt;=$E$7),CsDJ[Credit])))+(SUM(IF((CRDJ[Sort Code]=(TRIM(G$4)))*(CRDJ[Account Code]=(TRIM($B98)))*(CRDJ[Date]&lt;=$E$7),CRDJ[Credit])))+(SUM(IF((GJ[Sort Code]=(TRIM(G$4)))*(GJ[Account Code]=(TRIM($B98)))*(GJ[Date]&lt;=$E$7),GJ[Credit]))))</f>
        <v>0</v>
      </c>
      <c r="F98" s="245">
        <f t="array" ref="F98">((SUM(IF((CkDJ[Date]=$A$3)*(CkDJ[Sort Code]=(TRIM(G$4)))*(CkDJ[Account Code]=(TRIM($B98))),CkDJ[Debit])))+(SUM(IF((CsDJ[Date]=$A$3)*(CsDJ[Sort Code]=(TRIM(G$4)))*(CsDJ[Account Code]=(TRIM($B98))),CsDJ[Debit])))+(SUM(IF((CRDJ[Date]=$A$3)*(CRDJ[Sort Code]=(TRIM(G$4)))*(CRDJ[Account Code]=(TRIM($B98))),CRDJ[Debit])))+(SUM(IF((GJ[Date]=$A$3)*(GJ[Sort Code]=(TRIM(G$4)))*(GJ[Account Code]=(TRIM($B98))),GJ[Debit]))))-((SUM(IF((CkDJ[Date]=$A$3)*(CkDJ[Sort Code]=(TRIM(G$4)))*(CkDJ[Account Code]=(TRIM($B98))),CkDJ[Credit])))+(SUM(IF((CsDJ[Date]=$A$3)*(CsDJ[Sort Code]=(TRIM(G$4)))*(CsDJ[Account Code]=(TRIM($B98))),CsDJ[Credit])))+(SUM(IF((CRDJ[Date]=$A$3)*(CRDJ[Sort Code]=(TRIM(G$4)))*(CRDJ[Account Code]=(TRIM($B98))),CRDJ[Credit])))+(SUM(IF((GJ[Date]=$A$3)*(GJ[Sort Code]=(TRIM(G$4)))*(GJ[Account Code]=(TRIM($B98))),GJ[Credit]))))</f>
        <v>0</v>
      </c>
      <c r="G98" s="343">
        <f t="shared" si="9"/>
        <v>0</v>
      </c>
      <c r="H98" s="246">
        <f t="shared" si="5"/>
        <v>0</v>
      </c>
      <c r="I98" s="246">
        <f t="shared" si="6"/>
        <v>0</v>
      </c>
    </row>
    <row r="99" spans="1:9" hidden="1">
      <c r="A99" s="256" t="s">
        <v>1020</v>
      </c>
      <c r="B99" s="339" t="s">
        <v>240</v>
      </c>
      <c r="C99" s="245">
        <f t="array" ref="C99">SUM(IF((Budget[Account Code]=B99)*(Budget[Sort Code]=$G$4),(Budget[Amount])))</f>
        <v>9999.9599999999991</v>
      </c>
      <c r="D99" s="245">
        <f t="array" ref="D99">SUM(IF((Budget[Account Code]=B99)*(Budget[Sort Code]=$G$4)*(Budget[Date]&lt;=$D$7),(Budget[Amount])))</f>
        <v>9999.9599999999991</v>
      </c>
      <c r="E99" s="245">
        <f t="array" ref="E99">((SUM(IF((CkDJ[Sort Code]=(TRIM(G$4)))*(CkDJ[Account Code]=(TRIM($B99)))*(CkDJ[Date]&lt;=$E$7),CkDJ[Debit])))+(SUM(IF((CsDJ[Sort Code]=(TRIM(G$4)))*(CsDJ[Account Code]=(TRIM($B99)))*(CsDJ[Date]&lt;=$E$7),CsDJ[Debit])))+(SUM(IF((CRDJ[Sort Code]=(TRIM(G$4)))*(CRDJ[Account Code]=(TRIM($B99)))*(CRDJ[Date]&lt;=$E$7),CRDJ[Debit])))+(SUM(IF((GJ[Sort Code]=(TRIM(G$4)))*(GJ[Account Code]=(TRIM($B99)))*(GJ[Date]&lt;=$E$7),GJ[Debit]))))-((SUM(IF((CkDJ[Sort Code]=(TRIM(G$4)))*(CkDJ[Account Code]=(TRIM($B99)))*(CkDJ[Date]&lt;=$E$7),CkDJ[Credit])))+(SUM(IF((CsDJ[Sort Code]=(TRIM(G$4)))*(CsDJ[Account Code]=(TRIM($B99)))*(CsDJ[Date]&lt;=$E$7),CsDJ[Credit])))+(SUM(IF((CRDJ[Sort Code]=(TRIM(G$4)))*(CRDJ[Account Code]=(TRIM($B99)))*(CRDJ[Date]&lt;=$E$7),CRDJ[Credit])))+(SUM(IF((GJ[Sort Code]=(TRIM(G$4)))*(GJ[Account Code]=(TRIM($B99)))*(GJ[Date]&lt;=$E$7),GJ[Credit]))))</f>
        <v>0</v>
      </c>
      <c r="F99" s="245">
        <f t="array" ref="F99">((SUM(IF((CkDJ[Date]=$A$3)*(CkDJ[Sort Code]=(TRIM(G$4)))*(CkDJ[Account Code]=(TRIM($B99))),CkDJ[Debit])))+(SUM(IF((CsDJ[Date]=$A$3)*(CsDJ[Sort Code]=(TRIM(G$4)))*(CsDJ[Account Code]=(TRIM($B99))),CsDJ[Debit])))+(SUM(IF((CRDJ[Date]=$A$3)*(CRDJ[Sort Code]=(TRIM(G$4)))*(CRDJ[Account Code]=(TRIM($B99))),CRDJ[Debit])))+(SUM(IF((GJ[Date]=$A$3)*(GJ[Sort Code]=(TRIM(G$4)))*(GJ[Account Code]=(TRIM($B99))),GJ[Debit]))))-((SUM(IF((CkDJ[Date]=$A$3)*(CkDJ[Sort Code]=(TRIM(G$4)))*(CkDJ[Account Code]=(TRIM($B99))),CkDJ[Credit])))+(SUM(IF((CsDJ[Date]=$A$3)*(CsDJ[Sort Code]=(TRIM(G$4)))*(CsDJ[Account Code]=(TRIM($B99))),CsDJ[Credit])))+(SUM(IF((CRDJ[Date]=$A$3)*(CRDJ[Sort Code]=(TRIM(G$4)))*(CRDJ[Account Code]=(TRIM($B99))),CRDJ[Credit])))+(SUM(IF((GJ[Date]=$A$3)*(GJ[Sort Code]=(TRIM(G$4)))*(GJ[Account Code]=(TRIM($B99))),GJ[Credit]))))</f>
        <v>0</v>
      </c>
      <c r="G99" s="343">
        <f t="shared" si="9"/>
        <v>0</v>
      </c>
      <c r="H99" s="246">
        <f t="shared" si="5"/>
        <v>-9999.9599999999991</v>
      </c>
      <c r="I99" s="246">
        <f t="shared" si="6"/>
        <v>0</v>
      </c>
    </row>
    <row r="100" spans="1:9" hidden="1">
      <c r="A100" s="256" t="s">
        <v>299</v>
      </c>
      <c r="B100" s="339" t="s">
        <v>241</v>
      </c>
      <c r="C100" s="245">
        <f t="array" ref="C100">SUM(IF((Budget[Account Code]=B100)*(Budget[Sort Code]=$G$4),(Budget[Amount])))</f>
        <v>0</v>
      </c>
      <c r="D100" s="245">
        <f t="array" ref="D100">SUM(IF((Budget[Account Code]=B100)*(Budget[Sort Code]=$G$4)*(Budget[Date]&lt;=$D$7),(Budget[Amount])))</f>
        <v>0</v>
      </c>
      <c r="E100" s="245">
        <f t="array" ref="E100">((SUM(IF((CkDJ[Sort Code]=(TRIM(G$4)))*(CkDJ[Account Code]=(TRIM($B100)))*(CkDJ[Date]&lt;=$E$7),CkDJ[Debit])))+(SUM(IF((CsDJ[Sort Code]=(TRIM(G$4)))*(CsDJ[Account Code]=(TRIM($B100)))*(CsDJ[Date]&lt;=$E$7),CsDJ[Debit])))+(SUM(IF((CRDJ[Sort Code]=(TRIM(G$4)))*(CRDJ[Account Code]=(TRIM($B100)))*(CRDJ[Date]&lt;=$E$7),CRDJ[Debit])))+(SUM(IF((GJ[Sort Code]=(TRIM(G$4)))*(GJ[Account Code]=(TRIM($B100)))*(GJ[Date]&lt;=$E$7),GJ[Debit]))))-((SUM(IF((CkDJ[Sort Code]=(TRIM(G$4)))*(CkDJ[Account Code]=(TRIM($B100)))*(CkDJ[Date]&lt;=$E$7),CkDJ[Credit])))+(SUM(IF((CsDJ[Sort Code]=(TRIM(G$4)))*(CsDJ[Account Code]=(TRIM($B100)))*(CsDJ[Date]&lt;=$E$7),CsDJ[Credit])))+(SUM(IF((CRDJ[Sort Code]=(TRIM(G$4)))*(CRDJ[Account Code]=(TRIM($B100)))*(CRDJ[Date]&lt;=$E$7),CRDJ[Credit])))+(SUM(IF((GJ[Sort Code]=(TRIM(G$4)))*(GJ[Account Code]=(TRIM($B100)))*(GJ[Date]&lt;=$E$7),GJ[Credit]))))</f>
        <v>0</v>
      </c>
      <c r="F100" s="245">
        <f t="array" ref="F100">((SUM(IF((CkDJ[Date]=$A$3)*(CkDJ[Sort Code]=(TRIM(G$4)))*(CkDJ[Account Code]=(TRIM($B100))),CkDJ[Debit])))+(SUM(IF((CsDJ[Date]=$A$3)*(CsDJ[Sort Code]=(TRIM(G$4)))*(CsDJ[Account Code]=(TRIM($B100))),CsDJ[Debit])))+(SUM(IF((CRDJ[Date]=$A$3)*(CRDJ[Sort Code]=(TRIM(G$4)))*(CRDJ[Account Code]=(TRIM($B100))),CRDJ[Debit])))+(SUM(IF((GJ[Date]=$A$3)*(GJ[Sort Code]=(TRIM(G$4)))*(GJ[Account Code]=(TRIM($B100))),GJ[Debit]))))-((SUM(IF((CkDJ[Date]=$A$3)*(CkDJ[Sort Code]=(TRIM(G$4)))*(CkDJ[Account Code]=(TRIM($B100))),CkDJ[Credit])))+(SUM(IF((CsDJ[Date]=$A$3)*(CsDJ[Sort Code]=(TRIM(G$4)))*(CsDJ[Account Code]=(TRIM($B100))),CsDJ[Credit])))+(SUM(IF((CRDJ[Date]=$A$3)*(CRDJ[Sort Code]=(TRIM(G$4)))*(CRDJ[Account Code]=(TRIM($B100))),CRDJ[Credit])))+(SUM(IF((GJ[Date]=$A$3)*(GJ[Sort Code]=(TRIM(G$4)))*(GJ[Account Code]=(TRIM($B100))),GJ[Credit]))))</f>
        <v>0</v>
      </c>
      <c r="G100" s="343">
        <f t="shared" si="9"/>
        <v>0</v>
      </c>
      <c r="H100" s="246">
        <f t="shared" si="5"/>
        <v>0</v>
      </c>
      <c r="I100" s="246">
        <f t="shared" si="6"/>
        <v>0</v>
      </c>
    </row>
    <row r="101" spans="1:9" hidden="1">
      <c r="A101" s="256" t="s">
        <v>300</v>
      </c>
      <c r="B101" s="339" t="s">
        <v>242</v>
      </c>
      <c r="C101" s="245">
        <f t="array" ref="C101">SUM(IF((Budget[Account Code]=B101)*(Budget[Sort Code]=$G$4),(Budget[Amount])))</f>
        <v>0</v>
      </c>
      <c r="D101" s="245">
        <f t="array" ref="D101">SUM(IF((Budget[Account Code]=B101)*(Budget[Sort Code]=$G$4)*(Budget[Date]&lt;=$D$7),(Budget[Amount])))</f>
        <v>0</v>
      </c>
      <c r="E101" s="245">
        <f t="array" ref="E101">((SUM(IF((CkDJ[Sort Code]=(TRIM(G$4)))*(CkDJ[Account Code]=(TRIM($B101)))*(CkDJ[Date]&lt;=$E$7),CkDJ[Debit])))+(SUM(IF((CsDJ[Sort Code]=(TRIM(G$4)))*(CsDJ[Account Code]=(TRIM($B101)))*(CsDJ[Date]&lt;=$E$7),CsDJ[Debit])))+(SUM(IF((CRDJ[Sort Code]=(TRIM(G$4)))*(CRDJ[Account Code]=(TRIM($B101)))*(CRDJ[Date]&lt;=$E$7),CRDJ[Debit])))+(SUM(IF((GJ[Sort Code]=(TRIM(G$4)))*(GJ[Account Code]=(TRIM($B101)))*(GJ[Date]&lt;=$E$7),GJ[Debit]))))-((SUM(IF((CkDJ[Sort Code]=(TRIM(G$4)))*(CkDJ[Account Code]=(TRIM($B101)))*(CkDJ[Date]&lt;=$E$7),CkDJ[Credit])))+(SUM(IF((CsDJ[Sort Code]=(TRIM(G$4)))*(CsDJ[Account Code]=(TRIM($B101)))*(CsDJ[Date]&lt;=$E$7),CsDJ[Credit])))+(SUM(IF((CRDJ[Sort Code]=(TRIM(G$4)))*(CRDJ[Account Code]=(TRIM($B101)))*(CRDJ[Date]&lt;=$E$7),CRDJ[Credit])))+(SUM(IF((GJ[Sort Code]=(TRIM(G$4)))*(GJ[Account Code]=(TRIM($B101)))*(GJ[Date]&lt;=$E$7),GJ[Credit]))))</f>
        <v>0</v>
      </c>
      <c r="F101" s="245">
        <f t="array" ref="F101">((SUM(IF((CkDJ[Date]=$A$3)*(CkDJ[Sort Code]=(TRIM(G$4)))*(CkDJ[Account Code]=(TRIM($B101))),CkDJ[Debit])))+(SUM(IF((CsDJ[Date]=$A$3)*(CsDJ[Sort Code]=(TRIM(G$4)))*(CsDJ[Account Code]=(TRIM($B101))),CsDJ[Debit])))+(SUM(IF((CRDJ[Date]=$A$3)*(CRDJ[Sort Code]=(TRIM(G$4)))*(CRDJ[Account Code]=(TRIM($B101))),CRDJ[Debit])))+(SUM(IF((GJ[Date]=$A$3)*(GJ[Sort Code]=(TRIM(G$4)))*(GJ[Account Code]=(TRIM($B101))),GJ[Debit]))))-((SUM(IF((CkDJ[Date]=$A$3)*(CkDJ[Sort Code]=(TRIM(G$4)))*(CkDJ[Account Code]=(TRIM($B101))),CkDJ[Credit])))+(SUM(IF((CsDJ[Date]=$A$3)*(CsDJ[Sort Code]=(TRIM(G$4)))*(CsDJ[Account Code]=(TRIM($B101))),CsDJ[Credit])))+(SUM(IF((CRDJ[Date]=$A$3)*(CRDJ[Sort Code]=(TRIM(G$4)))*(CRDJ[Account Code]=(TRIM($B101))),CRDJ[Credit])))+(SUM(IF((GJ[Date]=$A$3)*(GJ[Sort Code]=(TRIM(G$4)))*(GJ[Account Code]=(TRIM($B101))),GJ[Credit]))))</f>
        <v>0</v>
      </c>
      <c r="G101" s="343">
        <f t="shared" si="9"/>
        <v>0</v>
      </c>
      <c r="H101" s="246">
        <f t="shared" si="5"/>
        <v>0</v>
      </c>
      <c r="I101" s="246">
        <f t="shared" si="6"/>
        <v>0</v>
      </c>
    </row>
    <row r="102" spans="1:9" hidden="1">
      <c r="A102" s="256" t="s">
        <v>301</v>
      </c>
      <c r="B102" s="339" t="s">
        <v>243</v>
      </c>
      <c r="C102" s="245">
        <f t="array" ref="C102">SUM(IF((Budget[Account Code]=B102)*(Budget[Sort Code]=$G$4),(Budget[Amount])))</f>
        <v>0</v>
      </c>
      <c r="D102" s="245">
        <f t="array" ref="D102">SUM(IF((Budget[Account Code]=B102)*(Budget[Sort Code]=$G$4)*(Budget[Date]&lt;=$D$7),(Budget[Amount])))</f>
        <v>0</v>
      </c>
      <c r="E102" s="245">
        <f t="array" ref="E102">((SUM(IF((CkDJ[Sort Code]=(TRIM(G$4)))*(CkDJ[Account Code]=(TRIM($B102)))*(CkDJ[Date]&lt;=$E$7),CkDJ[Debit])))+(SUM(IF((CsDJ[Sort Code]=(TRIM(G$4)))*(CsDJ[Account Code]=(TRIM($B102)))*(CsDJ[Date]&lt;=$E$7),CsDJ[Debit])))+(SUM(IF((CRDJ[Sort Code]=(TRIM(G$4)))*(CRDJ[Account Code]=(TRIM($B102)))*(CRDJ[Date]&lt;=$E$7),CRDJ[Debit])))+(SUM(IF((GJ[Sort Code]=(TRIM(G$4)))*(GJ[Account Code]=(TRIM($B102)))*(GJ[Date]&lt;=$E$7),GJ[Debit]))))-((SUM(IF((CkDJ[Sort Code]=(TRIM(G$4)))*(CkDJ[Account Code]=(TRIM($B102)))*(CkDJ[Date]&lt;=$E$7),CkDJ[Credit])))+(SUM(IF((CsDJ[Sort Code]=(TRIM(G$4)))*(CsDJ[Account Code]=(TRIM($B102)))*(CsDJ[Date]&lt;=$E$7),CsDJ[Credit])))+(SUM(IF((CRDJ[Sort Code]=(TRIM(G$4)))*(CRDJ[Account Code]=(TRIM($B102)))*(CRDJ[Date]&lt;=$E$7),CRDJ[Credit])))+(SUM(IF((GJ[Sort Code]=(TRIM(G$4)))*(GJ[Account Code]=(TRIM($B102)))*(GJ[Date]&lt;=$E$7),GJ[Credit]))))</f>
        <v>0</v>
      </c>
      <c r="F102" s="245">
        <f t="array" ref="F102">((SUM(IF((CkDJ[Date]=$A$3)*(CkDJ[Sort Code]=(TRIM(G$4)))*(CkDJ[Account Code]=(TRIM($B102))),CkDJ[Debit])))+(SUM(IF((CsDJ[Date]=$A$3)*(CsDJ[Sort Code]=(TRIM(G$4)))*(CsDJ[Account Code]=(TRIM($B102))),CsDJ[Debit])))+(SUM(IF((CRDJ[Date]=$A$3)*(CRDJ[Sort Code]=(TRIM(G$4)))*(CRDJ[Account Code]=(TRIM($B102))),CRDJ[Debit])))+(SUM(IF((GJ[Date]=$A$3)*(GJ[Sort Code]=(TRIM(G$4)))*(GJ[Account Code]=(TRIM($B102))),GJ[Debit]))))-((SUM(IF((CkDJ[Date]=$A$3)*(CkDJ[Sort Code]=(TRIM(G$4)))*(CkDJ[Account Code]=(TRIM($B102))),CkDJ[Credit])))+(SUM(IF((CsDJ[Date]=$A$3)*(CsDJ[Sort Code]=(TRIM(G$4)))*(CsDJ[Account Code]=(TRIM($B102))),CsDJ[Credit])))+(SUM(IF((CRDJ[Date]=$A$3)*(CRDJ[Sort Code]=(TRIM(G$4)))*(CRDJ[Account Code]=(TRIM($B102))),CRDJ[Credit])))+(SUM(IF((GJ[Date]=$A$3)*(GJ[Sort Code]=(TRIM(G$4)))*(GJ[Account Code]=(TRIM($B102))),GJ[Credit]))))</f>
        <v>0</v>
      </c>
      <c r="G102" s="343">
        <f t="shared" si="9"/>
        <v>0</v>
      </c>
      <c r="H102" s="246">
        <f t="shared" si="5"/>
        <v>0</v>
      </c>
      <c r="I102" s="246">
        <f t="shared" si="6"/>
        <v>0</v>
      </c>
    </row>
    <row r="103" spans="1:9" hidden="1">
      <c r="A103" s="256" t="s">
        <v>302</v>
      </c>
      <c r="B103" s="339" t="s">
        <v>244</v>
      </c>
      <c r="C103" s="245">
        <f t="array" ref="C103">SUM(IF((Budget[Account Code]=B103)*(Budget[Sort Code]=$G$4),(Budget[Amount])))</f>
        <v>0</v>
      </c>
      <c r="D103" s="245">
        <f t="array" ref="D103">SUM(IF((Budget[Account Code]=B103)*(Budget[Sort Code]=$G$4)*(Budget[Date]&lt;=$D$7),(Budget[Amount])))</f>
        <v>0</v>
      </c>
      <c r="E103" s="245">
        <f t="array" ref="E103">((SUM(IF((CkDJ[Sort Code]=(TRIM(G$4)))*(CkDJ[Account Code]=(TRIM($B103)))*(CkDJ[Date]&lt;=$E$7),CkDJ[Debit])))+(SUM(IF((CsDJ[Sort Code]=(TRIM(G$4)))*(CsDJ[Account Code]=(TRIM($B103)))*(CsDJ[Date]&lt;=$E$7),CsDJ[Debit])))+(SUM(IF((CRDJ[Sort Code]=(TRIM(G$4)))*(CRDJ[Account Code]=(TRIM($B103)))*(CRDJ[Date]&lt;=$E$7),CRDJ[Debit])))+(SUM(IF((GJ[Sort Code]=(TRIM(G$4)))*(GJ[Account Code]=(TRIM($B103)))*(GJ[Date]&lt;=$E$7),GJ[Debit]))))-((SUM(IF((CkDJ[Sort Code]=(TRIM(G$4)))*(CkDJ[Account Code]=(TRIM($B103)))*(CkDJ[Date]&lt;=$E$7),CkDJ[Credit])))+(SUM(IF((CsDJ[Sort Code]=(TRIM(G$4)))*(CsDJ[Account Code]=(TRIM($B103)))*(CsDJ[Date]&lt;=$E$7),CsDJ[Credit])))+(SUM(IF((CRDJ[Sort Code]=(TRIM(G$4)))*(CRDJ[Account Code]=(TRIM($B103)))*(CRDJ[Date]&lt;=$E$7),CRDJ[Credit])))+(SUM(IF((GJ[Sort Code]=(TRIM(G$4)))*(GJ[Account Code]=(TRIM($B103)))*(GJ[Date]&lt;=$E$7),GJ[Credit]))))</f>
        <v>0</v>
      </c>
      <c r="F103" s="245">
        <f t="array" ref="F103">((SUM(IF((CkDJ[Date]=$A$3)*(CkDJ[Sort Code]=(TRIM(G$4)))*(CkDJ[Account Code]=(TRIM($B103))),CkDJ[Debit])))+(SUM(IF((CsDJ[Date]=$A$3)*(CsDJ[Sort Code]=(TRIM(G$4)))*(CsDJ[Account Code]=(TRIM($B103))),CsDJ[Debit])))+(SUM(IF((CRDJ[Date]=$A$3)*(CRDJ[Sort Code]=(TRIM(G$4)))*(CRDJ[Account Code]=(TRIM($B103))),CRDJ[Debit])))+(SUM(IF((GJ[Date]=$A$3)*(GJ[Sort Code]=(TRIM(G$4)))*(GJ[Account Code]=(TRIM($B103))),GJ[Debit]))))-((SUM(IF((CkDJ[Date]=$A$3)*(CkDJ[Sort Code]=(TRIM(G$4)))*(CkDJ[Account Code]=(TRIM($B103))),CkDJ[Credit])))+(SUM(IF((CsDJ[Date]=$A$3)*(CsDJ[Sort Code]=(TRIM(G$4)))*(CsDJ[Account Code]=(TRIM($B103))),CsDJ[Credit])))+(SUM(IF((CRDJ[Date]=$A$3)*(CRDJ[Sort Code]=(TRIM(G$4)))*(CRDJ[Account Code]=(TRIM($B103))),CRDJ[Credit])))+(SUM(IF((GJ[Date]=$A$3)*(GJ[Sort Code]=(TRIM(G$4)))*(GJ[Account Code]=(TRIM($B103))),GJ[Credit]))))</f>
        <v>0</v>
      </c>
      <c r="G103" s="343">
        <f t="shared" si="9"/>
        <v>0</v>
      </c>
      <c r="H103" s="246">
        <f t="shared" si="5"/>
        <v>0</v>
      </c>
      <c r="I103" s="246">
        <f t="shared" si="6"/>
        <v>0</v>
      </c>
    </row>
    <row r="104" spans="1:9" hidden="1">
      <c r="A104" s="256" t="s">
        <v>347</v>
      </c>
      <c r="B104" s="339" t="s">
        <v>338</v>
      </c>
      <c r="C104" s="245">
        <f t="array" ref="C104">SUM(IF((Budget[Account Code]=B104)*(Budget[Sort Code]=$G$4),(Budget[Amount])))</f>
        <v>0</v>
      </c>
      <c r="D104" s="245">
        <f t="array" ref="D104">SUM(IF((Budget[Account Code]=B104)*(Budget[Sort Code]=$G$4)*(Budget[Date]&lt;=$D$7),(Budget[Amount])))</f>
        <v>0</v>
      </c>
      <c r="E104" s="245">
        <f t="array" ref="E104">((SUM(IF((CkDJ[Sort Code]=(TRIM(G$4)))*(CkDJ[Account Code]=(TRIM($B104)))*(CkDJ[Date]&lt;=$E$7),CkDJ[Debit])))+(SUM(IF((CsDJ[Sort Code]=(TRIM(G$4)))*(CsDJ[Account Code]=(TRIM($B104)))*(CsDJ[Date]&lt;=$E$7),CsDJ[Debit])))+(SUM(IF((CRDJ[Sort Code]=(TRIM(G$4)))*(CRDJ[Account Code]=(TRIM($B104)))*(CRDJ[Date]&lt;=$E$7),CRDJ[Debit])))+(SUM(IF((GJ[Sort Code]=(TRIM(G$4)))*(GJ[Account Code]=(TRIM($B104)))*(GJ[Date]&lt;=$E$7),GJ[Debit]))))-((SUM(IF((CkDJ[Sort Code]=(TRIM(G$4)))*(CkDJ[Account Code]=(TRIM($B104)))*(CkDJ[Date]&lt;=$E$7),CkDJ[Credit])))+(SUM(IF((CsDJ[Sort Code]=(TRIM(G$4)))*(CsDJ[Account Code]=(TRIM($B104)))*(CsDJ[Date]&lt;=$E$7),CsDJ[Credit])))+(SUM(IF((CRDJ[Sort Code]=(TRIM(G$4)))*(CRDJ[Account Code]=(TRIM($B104)))*(CRDJ[Date]&lt;=$E$7),CRDJ[Credit])))+(SUM(IF((GJ[Sort Code]=(TRIM(G$4)))*(GJ[Account Code]=(TRIM($B104)))*(GJ[Date]&lt;=$E$7),GJ[Credit]))))</f>
        <v>0</v>
      </c>
      <c r="F104" s="245">
        <f t="array" ref="F104">((SUM(IF((CkDJ[Date]=$A$3)*(CkDJ[Sort Code]=(TRIM(G$4)))*(CkDJ[Account Code]=(TRIM($B104))),CkDJ[Debit])))+(SUM(IF((CsDJ[Date]=$A$3)*(CsDJ[Sort Code]=(TRIM(G$4)))*(CsDJ[Account Code]=(TRIM($B104))),CsDJ[Debit])))+(SUM(IF((CRDJ[Date]=$A$3)*(CRDJ[Sort Code]=(TRIM(G$4)))*(CRDJ[Account Code]=(TRIM($B104))),CRDJ[Debit])))+(SUM(IF((GJ[Date]=$A$3)*(GJ[Sort Code]=(TRIM(G$4)))*(GJ[Account Code]=(TRIM($B104))),GJ[Debit]))))-((SUM(IF((CkDJ[Date]=$A$3)*(CkDJ[Sort Code]=(TRIM(G$4)))*(CkDJ[Account Code]=(TRIM($B104))),CkDJ[Credit])))+(SUM(IF((CsDJ[Date]=$A$3)*(CsDJ[Sort Code]=(TRIM(G$4)))*(CsDJ[Account Code]=(TRIM($B104))),CsDJ[Credit])))+(SUM(IF((CRDJ[Date]=$A$3)*(CRDJ[Sort Code]=(TRIM(G$4)))*(CRDJ[Account Code]=(TRIM($B104))),CRDJ[Credit])))+(SUM(IF((GJ[Date]=$A$3)*(GJ[Sort Code]=(TRIM(G$4)))*(GJ[Account Code]=(TRIM($B104))),GJ[Credit]))))</f>
        <v>0</v>
      </c>
      <c r="G104" s="343">
        <f t="shared" si="9"/>
        <v>0</v>
      </c>
      <c r="H104" s="246">
        <f t="shared" si="5"/>
        <v>0</v>
      </c>
      <c r="I104" s="246">
        <f t="shared" si="6"/>
        <v>0</v>
      </c>
    </row>
    <row r="105" spans="1:9" hidden="1">
      <c r="A105" s="256" t="s">
        <v>348</v>
      </c>
      <c r="B105" s="339" t="s">
        <v>339</v>
      </c>
      <c r="C105" s="245">
        <f t="array" ref="C105">SUM(IF((Budget[Account Code]=B105)*(Budget[Sort Code]=$G$4),(Budget[Amount])))</f>
        <v>0</v>
      </c>
      <c r="D105" s="245">
        <f t="array" ref="D105">SUM(IF((Budget[Account Code]=B105)*(Budget[Sort Code]=$G$4)*(Budget[Date]&lt;=$D$7),(Budget[Amount])))</f>
        <v>0</v>
      </c>
      <c r="E105" s="245">
        <f t="array" ref="E105">((SUM(IF((CkDJ[Sort Code]=(TRIM(G$4)))*(CkDJ[Account Code]=(TRIM($B105)))*(CkDJ[Date]&lt;=$E$7),CkDJ[Debit])))+(SUM(IF((CsDJ[Sort Code]=(TRIM(G$4)))*(CsDJ[Account Code]=(TRIM($B105)))*(CsDJ[Date]&lt;=$E$7),CsDJ[Debit])))+(SUM(IF((CRDJ[Sort Code]=(TRIM(G$4)))*(CRDJ[Account Code]=(TRIM($B105)))*(CRDJ[Date]&lt;=$E$7),CRDJ[Debit])))+(SUM(IF((GJ[Sort Code]=(TRIM(G$4)))*(GJ[Account Code]=(TRIM($B105)))*(GJ[Date]&lt;=$E$7),GJ[Debit]))))-((SUM(IF((CkDJ[Sort Code]=(TRIM(G$4)))*(CkDJ[Account Code]=(TRIM($B105)))*(CkDJ[Date]&lt;=$E$7),CkDJ[Credit])))+(SUM(IF((CsDJ[Sort Code]=(TRIM(G$4)))*(CsDJ[Account Code]=(TRIM($B105)))*(CsDJ[Date]&lt;=$E$7),CsDJ[Credit])))+(SUM(IF((CRDJ[Sort Code]=(TRIM(G$4)))*(CRDJ[Account Code]=(TRIM($B105)))*(CRDJ[Date]&lt;=$E$7),CRDJ[Credit])))+(SUM(IF((GJ[Sort Code]=(TRIM(G$4)))*(GJ[Account Code]=(TRIM($B105)))*(GJ[Date]&lt;=$E$7),GJ[Credit]))))</f>
        <v>0</v>
      </c>
      <c r="F105" s="245">
        <f t="array" ref="F105">((SUM(IF((CkDJ[Date]=$A$3)*(CkDJ[Sort Code]=(TRIM(G$4)))*(CkDJ[Account Code]=(TRIM($B105))),CkDJ[Debit])))+(SUM(IF((CsDJ[Date]=$A$3)*(CsDJ[Sort Code]=(TRIM(G$4)))*(CsDJ[Account Code]=(TRIM($B105))),CsDJ[Debit])))+(SUM(IF((CRDJ[Date]=$A$3)*(CRDJ[Sort Code]=(TRIM(G$4)))*(CRDJ[Account Code]=(TRIM($B105))),CRDJ[Debit])))+(SUM(IF((GJ[Date]=$A$3)*(GJ[Sort Code]=(TRIM(G$4)))*(GJ[Account Code]=(TRIM($B105))),GJ[Debit]))))-((SUM(IF((CkDJ[Date]=$A$3)*(CkDJ[Sort Code]=(TRIM(G$4)))*(CkDJ[Account Code]=(TRIM($B105))),CkDJ[Credit])))+(SUM(IF((CsDJ[Date]=$A$3)*(CsDJ[Sort Code]=(TRIM(G$4)))*(CsDJ[Account Code]=(TRIM($B105))),CsDJ[Credit])))+(SUM(IF((CRDJ[Date]=$A$3)*(CRDJ[Sort Code]=(TRIM(G$4)))*(CRDJ[Account Code]=(TRIM($B105))),CRDJ[Credit])))+(SUM(IF((GJ[Date]=$A$3)*(GJ[Sort Code]=(TRIM(G$4)))*(GJ[Account Code]=(TRIM($B105))),GJ[Credit]))))</f>
        <v>0</v>
      </c>
      <c r="G105" s="343">
        <f t="shared" si="9"/>
        <v>0</v>
      </c>
      <c r="H105" s="246">
        <f t="shared" si="5"/>
        <v>0</v>
      </c>
      <c r="I105" s="246">
        <f t="shared" si="6"/>
        <v>0</v>
      </c>
    </row>
    <row r="106" spans="1:9" hidden="1">
      <c r="A106" s="256" t="s">
        <v>1021</v>
      </c>
      <c r="B106" s="339" t="s">
        <v>245</v>
      </c>
      <c r="C106" s="245">
        <f t="array" ref="C106">SUM(IF((Budget[Account Code]=B106)*(Budget[Sort Code]=$G$4),(Budget[Amount])))</f>
        <v>0</v>
      </c>
      <c r="D106" s="245">
        <f t="array" ref="D106">SUM(IF((Budget[Account Code]=B106)*(Budget[Sort Code]=$G$4)*(Budget[Date]&lt;=$D$7),(Budget[Amount])))</f>
        <v>0</v>
      </c>
      <c r="E106" s="245">
        <f t="array" ref="E106">((SUM(IF((CkDJ[Sort Code]=(TRIM(G$4)))*(CkDJ[Account Code]=(TRIM($B106)))*(CkDJ[Date]&lt;=$E$7),CkDJ[Debit])))+(SUM(IF((CsDJ[Sort Code]=(TRIM(G$4)))*(CsDJ[Account Code]=(TRIM($B106)))*(CsDJ[Date]&lt;=$E$7),CsDJ[Debit])))+(SUM(IF((CRDJ[Sort Code]=(TRIM(G$4)))*(CRDJ[Account Code]=(TRIM($B106)))*(CRDJ[Date]&lt;=$E$7),CRDJ[Debit])))+(SUM(IF((GJ[Sort Code]=(TRIM(G$4)))*(GJ[Account Code]=(TRIM($B106)))*(GJ[Date]&lt;=$E$7),GJ[Debit]))))-((SUM(IF((CkDJ[Sort Code]=(TRIM(G$4)))*(CkDJ[Account Code]=(TRIM($B106)))*(CkDJ[Date]&lt;=$E$7),CkDJ[Credit])))+(SUM(IF((CsDJ[Sort Code]=(TRIM(G$4)))*(CsDJ[Account Code]=(TRIM($B106)))*(CsDJ[Date]&lt;=$E$7),CsDJ[Credit])))+(SUM(IF((CRDJ[Sort Code]=(TRIM(G$4)))*(CRDJ[Account Code]=(TRIM($B106)))*(CRDJ[Date]&lt;=$E$7),CRDJ[Credit])))+(SUM(IF((GJ[Sort Code]=(TRIM(G$4)))*(GJ[Account Code]=(TRIM($B106)))*(GJ[Date]&lt;=$E$7),GJ[Credit]))))</f>
        <v>0</v>
      </c>
      <c r="F106" s="245">
        <f t="array" ref="F106">((SUM(IF((CkDJ[Date]=$A$3)*(CkDJ[Sort Code]=(TRIM(G$4)))*(CkDJ[Account Code]=(TRIM($B106))),CkDJ[Debit])))+(SUM(IF((CsDJ[Date]=$A$3)*(CsDJ[Sort Code]=(TRIM(G$4)))*(CsDJ[Account Code]=(TRIM($B106))),CsDJ[Debit])))+(SUM(IF((CRDJ[Date]=$A$3)*(CRDJ[Sort Code]=(TRIM(G$4)))*(CRDJ[Account Code]=(TRIM($B106))),CRDJ[Debit])))+(SUM(IF((GJ[Date]=$A$3)*(GJ[Sort Code]=(TRIM(G$4)))*(GJ[Account Code]=(TRIM($B106))),GJ[Debit]))))-((SUM(IF((CkDJ[Date]=$A$3)*(CkDJ[Sort Code]=(TRIM(G$4)))*(CkDJ[Account Code]=(TRIM($B106))),CkDJ[Credit])))+(SUM(IF((CsDJ[Date]=$A$3)*(CsDJ[Sort Code]=(TRIM(G$4)))*(CsDJ[Account Code]=(TRIM($B106))),CsDJ[Credit])))+(SUM(IF((CRDJ[Date]=$A$3)*(CRDJ[Sort Code]=(TRIM(G$4)))*(CRDJ[Account Code]=(TRIM($B106))),CRDJ[Credit])))+(SUM(IF((GJ[Date]=$A$3)*(GJ[Sort Code]=(TRIM(G$4)))*(GJ[Account Code]=(TRIM($B106))),GJ[Credit]))))</f>
        <v>0</v>
      </c>
      <c r="G106" s="343">
        <f t="shared" si="9"/>
        <v>0</v>
      </c>
      <c r="H106" s="246">
        <f t="shared" si="5"/>
        <v>0</v>
      </c>
      <c r="I106" s="246">
        <f t="shared" si="6"/>
        <v>0</v>
      </c>
    </row>
    <row r="107" spans="1:9" hidden="1">
      <c r="A107" s="256" t="s">
        <v>1022</v>
      </c>
      <c r="B107" s="339" t="s">
        <v>246</v>
      </c>
      <c r="C107" s="245">
        <f t="array" ref="C107">SUM(IF((Budget[Account Code]=B107)*(Budget[Sort Code]=$G$4),(Budget[Amount])))</f>
        <v>0</v>
      </c>
      <c r="D107" s="245">
        <f t="array" ref="D107">SUM(IF((Budget[Account Code]=B107)*(Budget[Sort Code]=$G$4)*(Budget[Date]&lt;=$D$7),(Budget[Amount])))</f>
        <v>0</v>
      </c>
      <c r="E107" s="245">
        <f t="array" ref="E107">((SUM(IF((CkDJ[Sort Code]=(TRIM(G$4)))*(CkDJ[Account Code]=(TRIM($B107)))*(CkDJ[Date]&lt;=$E$7),CkDJ[Debit])))+(SUM(IF((CsDJ[Sort Code]=(TRIM(G$4)))*(CsDJ[Account Code]=(TRIM($B107)))*(CsDJ[Date]&lt;=$E$7),CsDJ[Debit])))+(SUM(IF((CRDJ[Sort Code]=(TRIM(G$4)))*(CRDJ[Account Code]=(TRIM($B107)))*(CRDJ[Date]&lt;=$E$7),CRDJ[Debit])))+(SUM(IF((GJ[Sort Code]=(TRIM(G$4)))*(GJ[Account Code]=(TRIM($B107)))*(GJ[Date]&lt;=$E$7),GJ[Debit]))))-((SUM(IF((CkDJ[Sort Code]=(TRIM(G$4)))*(CkDJ[Account Code]=(TRIM($B107)))*(CkDJ[Date]&lt;=$E$7),CkDJ[Credit])))+(SUM(IF((CsDJ[Sort Code]=(TRIM(G$4)))*(CsDJ[Account Code]=(TRIM($B107)))*(CsDJ[Date]&lt;=$E$7),CsDJ[Credit])))+(SUM(IF((CRDJ[Sort Code]=(TRIM(G$4)))*(CRDJ[Account Code]=(TRIM($B107)))*(CRDJ[Date]&lt;=$E$7),CRDJ[Credit])))+(SUM(IF((GJ[Sort Code]=(TRIM(G$4)))*(GJ[Account Code]=(TRIM($B107)))*(GJ[Date]&lt;=$E$7),GJ[Credit]))))</f>
        <v>0</v>
      </c>
      <c r="F107" s="245">
        <f t="array" ref="F107">((SUM(IF((CkDJ[Date]=$A$3)*(CkDJ[Sort Code]=(TRIM(G$4)))*(CkDJ[Account Code]=(TRIM($B107))),CkDJ[Debit])))+(SUM(IF((CsDJ[Date]=$A$3)*(CsDJ[Sort Code]=(TRIM(G$4)))*(CsDJ[Account Code]=(TRIM($B107))),CsDJ[Debit])))+(SUM(IF((CRDJ[Date]=$A$3)*(CRDJ[Sort Code]=(TRIM(G$4)))*(CRDJ[Account Code]=(TRIM($B107))),CRDJ[Debit])))+(SUM(IF((GJ[Date]=$A$3)*(GJ[Sort Code]=(TRIM(G$4)))*(GJ[Account Code]=(TRIM($B107))),GJ[Debit]))))-((SUM(IF((CkDJ[Date]=$A$3)*(CkDJ[Sort Code]=(TRIM(G$4)))*(CkDJ[Account Code]=(TRIM($B107))),CkDJ[Credit])))+(SUM(IF((CsDJ[Date]=$A$3)*(CsDJ[Sort Code]=(TRIM(G$4)))*(CsDJ[Account Code]=(TRIM($B107))),CsDJ[Credit])))+(SUM(IF((CRDJ[Date]=$A$3)*(CRDJ[Sort Code]=(TRIM(G$4)))*(CRDJ[Account Code]=(TRIM($B107))),CRDJ[Credit])))+(SUM(IF((GJ[Date]=$A$3)*(GJ[Sort Code]=(TRIM(G$4)))*(GJ[Account Code]=(TRIM($B107))),GJ[Credit]))))</f>
        <v>0</v>
      </c>
      <c r="G107" s="343">
        <f t="shared" si="9"/>
        <v>0</v>
      </c>
      <c r="H107" s="246">
        <f t="shared" si="5"/>
        <v>0</v>
      </c>
      <c r="I107" s="246">
        <f t="shared" si="6"/>
        <v>0</v>
      </c>
    </row>
    <row r="108" spans="1:9" hidden="1">
      <c r="A108" s="256" t="s">
        <v>1023</v>
      </c>
      <c r="B108" s="339" t="s">
        <v>247</v>
      </c>
      <c r="C108" s="245">
        <f t="array" ref="C108">SUM(IF((Budget[Account Code]=B108)*(Budget[Sort Code]=$G$4),(Budget[Amount])))</f>
        <v>0</v>
      </c>
      <c r="D108" s="245">
        <f t="array" ref="D108">SUM(IF((Budget[Account Code]=B108)*(Budget[Sort Code]=$G$4)*(Budget[Date]&lt;=$D$7),(Budget[Amount])))</f>
        <v>0</v>
      </c>
      <c r="E108" s="245">
        <f t="array" ref="E108">((SUM(IF((CkDJ[Sort Code]=(TRIM(G$4)))*(CkDJ[Account Code]=(TRIM($B108)))*(CkDJ[Date]&lt;=$E$7),CkDJ[Debit])))+(SUM(IF((CsDJ[Sort Code]=(TRIM(G$4)))*(CsDJ[Account Code]=(TRIM($B108)))*(CsDJ[Date]&lt;=$E$7),CsDJ[Debit])))+(SUM(IF((CRDJ[Sort Code]=(TRIM(G$4)))*(CRDJ[Account Code]=(TRIM($B108)))*(CRDJ[Date]&lt;=$E$7),CRDJ[Debit])))+(SUM(IF((GJ[Sort Code]=(TRIM(G$4)))*(GJ[Account Code]=(TRIM($B108)))*(GJ[Date]&lt;=$E$7),GJ[Debit]))))-((SUM(IF((CkDJ[Sort Code]=(TRIM(G$4)))*(CkDJ[Account Code]=(TRIM($B108)))*(CkDJ[Date]&lt;=$E$7),CkDJ[Credit])))+(SUM(IF((CsDJ[Sort Code]=(TRIM(G$4)))*(CsDJ[Account Code]=(TRIM($B108)))*(CsDJ[Date]&lt;=$E$7),CsDJ[Credit])))+(SUM(IF((CRDJ[Sort Code]=(TRIM(G$4)))*(CRDJ[Account Code]=(TRIM($B108)))*(CRDJ[Date]&lt;=$E$7),CRDJ[Credit])))+(SUM(IF((GJ[Sort Code]=(TRIM(G$4)))*(GJ[Account Code]=(TRIM($B108)))*(GJ[Date]&lt;=$E$7),GJ[Credit]))))</f>
        <v>0</v>
      </c>
      <c r="F108" s="245">
        <f t="array" ref="F108">((SUM(IF((CkDJ[Date]=$A$3)*(CkDJ[Sort Code]=(TRIM(G$4)))*(CkDJ[Account Code]=(TRIM($B108))),CkDJ[Debit])))+(SUM(IF((CsDJ[Date]=$A$3)*(CsDJ[Sort Code]=(TRIM(G$4)))*(CsDJ[Account Code]=(TRIM($B108))),CsDJ[Debit])))+(SUM(IF((CRDJ[Date]=$A$3)*(CRDJ[Sort Code]=(TRIM(G$4)))*(CRDJ[Account Code]=(TRIM($B108))),CRDJ[Debit])))+(SUM(IF((GJ[Date]=$A$3)*(GJ[Sort Code]=(TRIM(G$4)))*(GJ[Account Code]=(TRIM($B108))),GJ[Debit]))))-((SUM(IF((CkDJ[Date]=$A$3)*(CkDJ[Sort Code]=(TRIM(G$4)))*(CkDJ[Account Code]=(TRIM($B108))),CkDJ[Credit])))+(SUM(IF((CsDJ[Date]=$A$3)*(CsDJ[Sort Code]=(TRIM(G$4)))*(CsDJ[Account Code]=(TRIM($B108))),CsDJ[Credit])))+(SUM(IF((CRDJ[Date]=$A$3)*(CRDJ[Sort Code]=(TRIM(G$4)))*(CRDJ[Account Code]=(TRIM($B108))),CRDJ[Credit])))+(SUM(IF((GJ[Date]=$A$3)*(GJ[Sort Code]=(TRIM(G$4)))*(GJ[Account Code]=(TRIM($B108))),GJ[Credit]))))</f>
        <v>0</v>
      </c>
      <c r="G108" s="343">
        <f t="shared" si="9"/>
        <v>0</v>
      </c>
      <c r="H108" s="246">
        <f t="shared" si="5"/>
        <v>0</v>
      </c>
      <c r="I108" s="246">
        <f t="shared" si="6"/>
        <v>0</v>
      </c>
    </row>
    <row r="109" spans="1:9" hidden="1">
      <c r="A109" s="256" t="s">
        <v>1024</v>
      </c>
      <c r="B109" s="339" t="s">
        <v>248</v>
      </c>
      <c r="C109" s="245">
        <f t="array" ref="C109">SUM(IF((Budget[Account Code]=B109)*(Budget[Sort Code]=$G$4),(Budget[Amount])))</f>
        <v>0</v>
      </c>
      <c r="D109" s="245">
        <f t="array" ref="D109">SUM(IF((Budget[Account Code]=B109)*(Budget[Sort Code]=$G$4)*(Budget[Date]&lt;=$D$7),(Budget[Amount])))</f>
        <v>0</v>
      </c>
      <c r="E109" s="245">
        <f t="array" ref="E109">((SUM(IF((CkDJ[Sort Code]=(TRIM(G$4)))*(CkDJ[Account Code]=(TRIM($B109)))*(CkDJ[Date]&lt;=$E$7),CkDJ[Debit])))+(SUM(IF((CsDJ[Sort Code]=(TRIM(G$4)))*(CsDJ[Account Code]=(TRIM($B109)))*(CsDJ[Date]&lt;=$E$7),CsDJ[Debit])))+(SUM(IF((CRDJ[Sort Code]=(TRIM(G$4)))*(CRDJ[Account Code]=(TRIM($B109)))*(CRDJ[Date]&lt;=$E$7),CRDJ[Debit])))+(SUM(IF((GJ[Sort Code]=(TRIM(G$4)))*(GJ[Account Code]=(TRIM($B109)))*(GJ[Date]&lt;=$E$7),GJ[Debit]))))-((SUM(IF((CkDJ[Sort Code]=(TRIM(G$4)))*(CkDJ[Account Code]=(TRIM($B109)))*(CkDJ[Date]&lt;=$E$7),CkDJ[Credit])))+(SUM(IF((CsDJ[Sort Code]=(TRIM(G$4)))*(CsDJ[Account Code]=(TRIM($B109)))*(CsDJ[Date]&lt;=$E$7),CsDJ[Credit])))+(SUM(IF((CRDJ[Sort Code]=(TRIM(G$4)))*(CRDJ[Account Code]=(TRIM($B109)))*(CRDJ[Date]&lt;=$E$7),CRDJ[Credit])))+(SUM(IF((GJ[Sort Code]=(TRIM(G$4)))*(GJ[Account Code]=(TRIM($B109)))*(GJ[Date]&lt;=$E$7),GJ[Credit]))))</f>
        <v>0</v>
      </c>
      <c r="F109" s="245">
        <f t="array" ref="F109">((SUM(IF((CkDJ[Date]=$A$3)*(CkDJ[Sort Code]=(TRIM(G$4)))*(CkDJ[Account Code]=(TRIM($B109))),CkDJ[Debit])))+(SUM(IF((CsDJ[Date]=$A$3)*(CsDJ[Sort Code]=(TRIM(G$4)))*(CsDJ[Account Code]=(TRIM($B109))),CsDJ[Debit])))+(SUM(IF((CRDJ[Date]=$A$3)*(CRDJ[Sort Code]=(TRIM(G$4)))*(CRDJ[Account Code]=(TRIM($B109))),CRDJ[Debit])))+(SUM(IF((GJ[Date]=$A$3)*(GJ[Sort Code]=(TRIM(G$4)))*(GJ[Account Code]=(TRIM($B109))),GJ[Debit]))))-((SUM(IF((CkDJ[Date]=$A$3)*(CkDJ[Sort Code]=(TRIM(G$4)))*(CkDJ[Account Code]=(TRIM($B109))),CkDJ[Credit])))+(SUM(IF((CsDJ[Date]=$A$3)*(CsDJ[Sort Code]=(TRIM(G$4)))*(CsDJ[Account Code]=(TRIM($B109))),CsDJ[Credit])))+(SUM(IF((CRDJ[Date]=$A$3)*(CRDJ[Sort Code]=(TRIM(G$4)))*(CRDJ[Account Code]=(TRIM($B109))),CRDJ[Credit])))+(SUM(IF((GJ[Date]=$A$3)*(GJ[Sort Code]=(TRIM(G$4)))*(GJ[Account Code]=(TRIM($B109))),GJ[Credit]))))</f>
        <v>0</v>
      </c>
      <c r="G109" s="343">
        <f t="shared" si="9"/>
        <v>0</v>
      </c>
      <c r="H109" s="246">
        <f t="shared" si="5"/>
        <v>0</v>
      </c>
      <c r="I109" s="246">
        <f t="shared" si="6"/>
        <v>0</v>
      </c>
    </row>
    <row r="110" spans="1:9" hidden="1">
      <c r="A110" s="256" t="s">
        <v>1025</v>
      </c>
      <c r="B110" s="339" t="s">
        <v>249</v>
      </c>
      <c r="C110" s="245">
        <f t="array" ref="C110">SUM(IF((Budget[Account Code]=B110)*(Budget[Sort Code]=$G$4),(Budget[Amount])))</f>
        <v>0</v>
      </c>
      <c r="D110" s="245">
        <f t="array" ref="D110">SUM(IF((Budget[Account Code]=B110)*(Budget[Sort Code]=$G$4)*(Budget[Date]&lt;=$D$7),(Budget[Amount])))</f>
        <v>0</v>
      </c>
      <c r="E110" s="245">
        <f t="array" ref="E110">((SUM(IF((CkDJ[Sort Code]=(TRIM(G$4)))*(CkDJ[Account Code]=(TRIM($B110)))*(CkDJ[Date]&lt;=$E$7),CkDJ[Debit])))+(SUM(IF((CsDJ[Sort Code]=(TRIM(G$4)))*(CsDJ[Account Code]=(TRIM($B110)))*(CsDJ[Date]&lt;=$E$7),CsDJ[Debit])))+(SUM(IF((CRDJ[Sort Code]=(TRIM(G$4)))*(CRDJ[Account Code]=(TRIM($B110)))*(CRDJ[Date]&lt;=$E$7),CRDJ[Debit])))+(SUM(IF((GJ[Sort Code]=(TRIM(G$4)))*(GJ[Account Code]=(TRIM($B110)))*(GJ[Date]&lt;=$E$7),GJ[Debit]))))-((SUM(IF((CkDJ[Sort Code]=(TRIM(G$4)))*(CkDJ[Account Code]=(TRIM($B110)))*(CkDJ[Date]&lt;=$E$7),CkDJ[Credit])))+(SUM(IF((CsDJ[Sort Code]=(TRIM(G$4)))*(CsDJ[Account Code]=(TRIM($B110)))*(CsDJ[Date]&lt;=$E$7),CsDJ[Credit])))+(SUM(IF((CRDJ[Sort Code]=(TRIM(G$4)))*(CRDJ[Account Code]=(TRIM($B110)))*(CRDJ[Date]&lt;=$E$7),CRDJ[Credit])))+(SUM(IF((GJ[Sort Code]=(TRIM(G$4)))*(GJ[Account Code]=(TRIM($B110)))*(GJ[Date]&lt;=$E$7),GJ[Credit]))))</f>
        <v>0</v>
      </c>
      <c r="F110" s="245">
        <f t="array" ref="F110">((SUM(IF((CkDJ[Date]=$A$3)*(CkDJ[Sort Code]=(TRIM(G$4)))*(CkDJ[Account Code]=(TRIM($B110))),CkDJ[Debit])))+(SUM(IF((CsDJ[Date]=$A$3)*(CsDJ[Sort Code]=(TRIM(G$4)))*(CsDJ[Account Code]=(TRIM($B110))),CsDJ[Debit])))+(SUM(IF((CRDJ[Date]=$A$3)*(CRDJ[Sort Code]=(TRIM(G$4)))*(CRDJ[Account Code]=(TRIM($B110))),CRDJ[Debit])))+(SUM(IF((GJ[Date]=$A$3)*(GJ[Sort Code]=(TRIM(G$4)))*(GJ[Account Code]=(TRIM($B110))),GJ[Debit]))))-((SUM(IF((CkDJ[Date]=$A$3)*(CkDJ[Sort Code]=(TRIM(G$4)))*(CkDJ[Account Code]=(TRIM($B110))),CkDJ[Credit])))+(SUM(IF((CsDJ[Date]=$A$3)*(CsDJ[Sort Code]=(TRIM(G$4)))*(CsDJ[Account Code]=(TRIM($B110))),CsDJ[Credit])))+(SUM(IF((CRDJ[Date]=$A$3)*(CRDJ[Sort Code]=(TRIM(G$4)))*(CRDJ[Account Code]=(TRIM($B110))),CRDJ[Credit])))+(SUM(IF((GJ[Date]=$A$3)*(GJ[Sort Code]=(TRIM(G$4)))*(GJ[Account Code]=(TRIM($B110))),GJ[Credit]))))</f>
        <v>0</v>
      </c>
      <c r="G110" s="343">
        <f t="shared" si="9"/>
        <v>0</v>
      </c>
      <c r="H110" s="246">
        <f t="shared" si="5"/>
        <v>0</v>
      </c>
      <c r="I110" s="246">
        <f t="shared" si="6"/>
        <v>0</v>
      </c>
    </row>
    <row r="111" spans="1:9" hidden="1">
      <c r="A111" s="256" t="s">
        <v>302</v>
      </c>
      <c r="B111" s="339" t="s">
        <v>250</v>
      </c>
      <c r="C111" s="245">
        <f t="array" ref="C111">SUM(IF((Budget[Account Code]=B111)*(Budget[Sort Code]=$G$4),(Budget[Amount])))</f>
        <v>250200</v>
      </c>
      <c r="D111" s="245">
        <f t="array" ref="D111">SUM(IF((Budget[Account Code]=B111)*(Budget[Sort Code]=$G$4)*(Budget[Date]&lt;=$D$7),(Budget[Amount])))</f>
        <v>250200</v>
      </c>
      <c r="E111" s="245">
        <f t="array" ref="E111">((SUM(IF((CkDJ[Sort Code]=(TRIM(G$4)))*(CkDJ[Account Code]=(TRIM($B111)))*(CkDJ[Date]&lt;=$E$7),CkDJ[Debit])))+(SUM(IF((CsDJ[Sort Code]=(TRIM(G$4)))*(CsDJ[Account Code]=(TRIM($B111)))*(CsDJ[Date]&lt;=$E$7),CsDJ[Debit])))+(SUM(IF((CRDJ[Sort Code]=(TRIM(G$4)))*(CRDJ[Account Code]=(TRIM($B111)))*(CRDJ[Date]&lt;=$E$7),CRDJ[Debit])))+(SUM(IF((GJ[Sort Code]=(TRIM(G$4)))*(GJ[Account Code]=(TRIM($B111)))*(GJ[Date]&lt;=$E$7),GJ[Debit]))))-((SUM(IF((CkDJ[Sort Code]=(TRIM(G$4)))*(CkDJ[Account Code]=(TRIM($B111)))*(CkDJ[Date]&lt;=$E$7),CkDJ[Credit])))+(SUM(IF((CsDJ[Sort Code]=(TRIM(G$4)))*(CsDJ[Account Code]=(TRIM($B111)))*(CsDJ[Date]&lt;=$E$7),CsDJ[Credit])))+(SUM(IF((CRDJ[Sort Code]=(TRIM(G$4)))*(CRDJ[Account Code]=(TRIM($B111)))*(CRDJ[Date]&lt;=$E$7),CRDJ[Credit])))+(SUM(IF((GJ[Sort Code]=(TRIM(G$4)))*(GJ[Account Code]=(TRIM($B111)))*(GJ[Date]&lt;=$E$7),GJ[Credit]))))</f>
        <v>0</v>
      </c>
      <c r="F111" s="245">
        <f t="array" ref="F111">((SUM(IF((CkDJ[Date]=$A$3)*(CkDJ[Sort Code]=(TRIM(G$4)))*(CkDJ[Account Code]=(TRIM($B111))),CkDJ[Debit])))+(SUM(IF((CsDJ[Date]=$A$3)*(CsDJ[Sort Code]=(TRIM(G$4)))*(CsDJ[Account Code]=(TRIM($B111))),CsDJ[Debit])))+(SUM(IF((CRDJ[Date]=$A$3)*(CRDJ[Sort Code]=(TRIM(G$4)))*(CRDJ[Account Code]=(TRIM($B111))),CRDJ[Debit])))+(SUM(IF((GJ[Date]=$A$3)*(GJ[Sort Code]=(TRIM(G$4)))*(GJ[Account Code]=(TRIM($B111))),GJ[Debit]))))-((SUM(IF((CkDJ[Date]=$A$3)*(CkDJ[Sort Code]=(TRIM(G$4)))*(CkDJ[Account Code]=(TRIM($B111))),CkDJ[Credit])))+(SUM(IF((CsDJ[Date]=$A$3)*(CsDJ[Sort Code]=(TRIM(G$4)))*(CsDJ[Account Code]=(TRIM($B111))),CsDJ[Credit])))+(SUM(IF((CRDJ[Date]=$A$3)*(CRDJ[Sort Code]=(TRIM(G$4)))*(CRDJ[Account Code]=(TRIM($B111))),CRDJ[Credit])))+(SUM(IF((GJ[Date]=$A$3)*(GJ[Sort Code]=(TRIM(G$4)))*(GJ[Account Code]=(TRIM($B111))),GJ[Credit]))))</f>
        <v>0</v>
      </c>
      <c r="G111" s="343">
        <f t="shared" si="9"/>
        <v>0</v>
      </c>
      <c r="H111" s="246">
        <f t="shared" si="5"/>
        <v>-250200</v>
      </c>
      <c r="I111" s="246">
        <f t="shared" si="6"/>
        <v>0</v>
      </c>
    </row>
    <row r="112" spans="1:9" hidden="1">
      <c r="A112" s="256" t="s">
        <v>841</v>
      </c>
      <c r="B112" s="339" t="s">
        <v>251</v>
      </c>
      <c r="C112" s="245">
        <f t="array" ref="C112">SUM(IF((Budget[Account Code]=B112)*(Budget[Sort Code]=$G$4),(Budget[Amount])))</f>
        <v>3550000.12</v>
      </c>
      <c r="D112" s="245">
        <f t="array" ref="D112">SUM(IF((Budget[Account Code]=B112)*(Budget[Sort Code]=$G$4)*(Budget[Date]&lt;=$D$7),(Budget[Amount])))</f>
        <v>3550000.12</v>
      </c>
      <c r="E112" s="245">
        <f t="array" ref="E112">((SUM(IF((CkDJ[Sort Code]=(TRIM(G$4)))*(CkDJ[Account Code]=(TRIM($B112)))*(CkDJ[Date]&lt;=$E$7),CkDJ[Debit])))+(SUM(IF((CsDJ[Sort Code]=(TRIM(G$4)))*(CsDJ[Account Code]=(TRIM($B112)))*(CsDJ[Date]&lt;=$E$7),CsDJ[Debit])))+(SUM(IF((CRDJ[Sort Code]=(TRIM(G$4)))*(CRDJ[Account Code]=(TRIM($B112)))*(CRDJ[Date]&lt;=$E$7),CRDJ[Debit])))+(SUM(IF((GJ[Sort Code]=(TRIM(G$4)))*(GJ[Account Code]=(TRIM($B112)))*(GJ[Date]&lt;=$E$7),GJ[Debit]))))-((SUM(IF((CkDJ[Sort Code]=(TRIM(G$4)))*(CkDJ[Account Code]=(TRIM($B112)))*(CkDJ[Date]&lt;=$E$7),CkDJ[Credit])))+(SUM(IF((CsDJ[Sort Code]=(TRIM(G$4)))*(CsDJ[Account Code]=(TRIM($B112)))*(CsDJ[Date]&lt;=$E$7),CsDJ[Credit])))+(SUM(IF((CRDJ[Sort Code]=(TRIM(G$4)))*(CRDJ[Account Code]=(TRIM($B112)))*(CRDJ[Date]&lt;=$E$7),CRDJ[Credit])))+(SUM(IF((GJ[Sort Code]=(TRIM(G$4)))*(GJ[Account Code]=(TRIM($B112)))*(GJ[Date]&lt;=$E$7),GJ[Credit]))))</f>
        <v>0</v>
      </c>
      <c r="F112" s="245">
        <f t="array" ref="F112">((SUM(IF((CkDJ[Date]=$A$3)*(CkDJ[Sort Code]=(TRIM(G$4)))*(CkDJ[Account Code]=(TRIM($B112))),CkDJ[Debit])))+(SUM(IF((CsDJ[Date]=$A$3)*(CsDJ[Sort Code]=(TRIM(G$4)))*(CsDJ[Account Code]=(TRIM($B112))),CsDJ[Debit])))+(SUM(IF((CRDJ[Date]=$A$3)*(CRDJ[Sort Code]=(TRIM(G$4)))*(CRDJ[Account Code]=(TRIM($B112))),CRDJ[Debit])))+(SUM(IF((GJ[Date]=$A$3)*(GJ[Sort Code]=(TRIM(G$4)))*(GJ[Account Code]=(TRIM($B112))),GJ[Debit]))))-((SUM(IF((CkDJ[Date]=$A$3)*(CkDJ[Sort Code]=(TRIM(G$4)))*(CkDJ[Account Code]=(TRIM($B112))),CkDJ[Credit])))+(SUM(IF((CsDJ[Date]=$A$3)*(CsDJ[Sort Code]=(TRIM(G$4)))*(CsDJ[Account Code]=(TRIM($B112))),CsDJ[Credit])))+(SUM(IF((CRDJ[Date]=$A$3)*(CRDJ[Sort Code]=(TRIM(G$4)))*(CRDJ[Account Code]=(TRIM($B112))),CRDJ[Credit])))+(SUM(IF((GJ[Date]=$A$3)*(GJ[Sort Code]=(TRIM(G$4)))*(GJ[Account Code]=(TRIM($B112))),GJ[Credit]))))</f>
        <v>0</v>
      </c>
      <c r="G112" s="343">
        <f t="shared" si="9"/>
        <v>0</v>
      </c>
      <c r="H112" s="246">
        <f t="shared" si="5"/>
        <v>-3550000.12</v>
      </c>
      <c r="I112" s="246">
        <f t="shared" si="6"/>
        <v>0</v>
      </c>
    </row>
    <row r="113" spans="1:9" hidden="1">
      <c r="A113" s="256" t="s">
        <v>1026</v>
      </c>
      <c r="B113" s="339" t="s">
        <v>252</v>
      </c>
      <c r="C113" s="245">
        <f t="array" ref="C113">SUM(IF((Budget[Account Code]=B113)*(Budget[Sort Code]=$G$4),(Budget[Amount])))</f>
        <v>0</v>
      </c>
      <c r="D113" s="245">
        <f t="array" ref="D113">SUM(IF((Budget[Account Code]=B113)*(Budget[Sort Code]=$G$4)*(Budget[Date]&lt;=$D$7),(Budget[Amount])))</f>
        <v>0</v>
      </c>
      <c r="E113" s="245">
        <f t="array" ref="E113">((SUM(IF((CkDJ[Sort Code]=(TRIM(G$4)))*(CkDJ[Account Code]=(TRIM($B113)))*(CkDJ[Date]&lt;=$E$7),CkDJ[Debit])))+(SUM(IF((CsDJ[Sort Code]=(TRIM(G$4)))*(CsDJ[Account Code]=(TRIM($B113)))*(CsDJ[Date]&lt;=$E$7),CsDJ[Debit])))+(SUM(IF((CRDJ[Sort Code]=(TRIM(G$4)))*(CRDJ[Account Code]=(TRIM($B113)))*(CRDJ[Date]&lt;=$E$7),CRDJ[Debit])))+(SUM(IF((GJ[Sort Code]=(TRIM(G$4)))*(GJ[Account Code]=(TRIM($B113)))*(GJ[Date]&lt;=$E$7),GJ[Debit]))))-((SUM(IF((CkDJ[Sort Code]=(TRIM(G$4)))*(CkDJ[Account Code]=(TRIM($B113)))*(CkDJ[Date]&lt;=$E$7),CkDJ[Credit])))+(SUM(IF((CsDJ[Sort Code]=(TRIM(G$4)))*(CsDJ[Account Code]=(TRIM($B113)))*(CsDJ[Date]&lt;=$E$7),CsDJ[Credit])))+(SUM(IF((CRDJ[Sort Code]=(TRIM(G$4)))*(CRDJ[Account Code]=(TRIM($B113)))*(CRDJ[Date]&lt;=$E$7),CRDJ[Credit])))+(SUM(IF((GJ[Sort Code]=(TRIM(G$4)))*(GJ[Account Code]=(TRIM($B113)))*(GJ[Date]&lt;=$E$7),GJ[Credit]))))</f>
        <v>0</v>
      </c>
      <c r="F113" s="245">
        <f t="array" ref="F113">((SUM(IF((CkDJ[Date]=$A$3)*(CkDJ[Sort Code]=(TRIM(G$4)))*(CkDJ[Account Code]=(TRIM($B113))),CkDJ[Debit])))+(SUM(IF((CsDJ[Date]=$A$3)*(CsDJ[Sort Code]=(TRIM(G$4)))*(CsDJ[Account Code]=(TRIM($B113))),CsDJ[Debit])))+(SUM(IF((CRDJ[Date]=$A$3)*(CRDJ[Sort Code]=(TRIM(G$4)))*(CRDJ[Account Code]=(TRIM($B113))),CRDJ[Debit])))+(SUM(IF((GJ[Date]=$A$3)*(GJ[Sort Code]=(TRIM(G$4)))*(GJ[Account Code]=(TRIM($B113))),GJ[Debit]))))-((SUM(IF((CkDJ[Date]=$A$3)*(CkDJ[Sort Code]=(TRIM(G$4)))*(CkDJ[Account Code]=(TRIM($B113))),CkDJ[Credit])))+(SUM(IF((CsDJ[Date]=$A$3)*(CsDJ[Sort Code]=(TRIM(G$4)))*(CsDJ[Account Code]=(TRIM($B113))),CsDJ[Credit])))+(SUM(IF((CRDJ[Date]=$A$3)*(CRDJ[Sort Code]=(TRIM(G$4)))*(CRDJ[Account Code]=(TRIM($B113))),CRDJ[Credit])))+(SUM(IF((GJ[Date]=$A$3)*(GJ[Sort Code]=(TRIM(G$4)))*(GJ[Account Code]=(TRIM($B113))),GJ[Credit]))))</f>
        <v>0</v>
      </c>
      <c r="G113" s="343">
        <f t="shared" si="9"/>
        <v>0</v>
      </c>
      <c r="H113" s="246">
        <f t="shared" si="5"/>
        <v>0</v>
      </c>
      <c r="I113" s="246">
        <f t="shared" si="6"/>
        <v>0</v>
      </c>
    </row>
    <row r="114" spans="1:9" hidden="1">
      <c r="A114" s="256" t="s">
        <v>307</v>
      </c>
      <c r="B114" s="339" t="s">
        <v>253</v>
      </c>
      <c r="C114" s="245">
        <f t="array" ref="C114">SUM(IF((Budget[Account Code]=B114)*(Budget[Sort Code]=$G$4),(Budget[Amount])))</f>
        <v>0</v>
      </c>
      <c r="D114" s="245">
        <f t="array" ref="D114">SUM(IF((Budget[Account Code]=B114)*(Budget[Sort Code]=$G$4)*(Budget[Date]&lt;=$D$7),(Budget[Amount])))</f>
        <v>0</v>
      </c>
      <c r="E114" s="245">
        <f t="array" ref="E114">((SUM(IF((CkDJ[Sort Code]=(TRIM(G$4)))*(CkDJ[Account Code]=(TRIM($B114)))*(CkDJ[Date]&lt;=$E$7),CkDJ[Debit])))+(SUM(IF((CsDJ[Sort Code]=(TRIM(G$4)))*(CsDJ[Account Code]=(TRIM($B114)))*(CsDJ[Date]&lt;=$E$7),CsDJ[Debit])))+(SUM(IF((CRDJ[Sort Code]=(TRIM(G$4)))*(CRDJ[Account Code]=(TRIM($B114)))*(CRDJ[Date]&lt;=$E$7),CRDJ[Debit])))+(SUM(IF((GJ[Sort Code]=(TRIM(G$4)))*(GJ[Account Code]=(TRIM($B114)))*(GJ[Date]&lt;=$E$7),GJ[Debit]))))-((SUM(IF((CkDJ[Sort Code]=(TRIM(G$4)))*(CkDJ[Account Code]=(TRIM($B114)))*(CkDJ[Date]&lt;=$E$7),CkDJ[Credit])))+(SUM(IF((CsDJ[Sort Code]=(TRIM(G$4)))*(CsDJ[Account Code]=(TRIM($B114)))*(CsDJ[Date]&lt;=$E$7),CsDJ[Credit])))+(SUM(IF((CRDJ[Sort Code]=(TRIM(G$4)))*(CRDJ[Account Code]=(TRIM($B114)))*(CRDJ[Date]&lt;=$E$7),CRDJ[Credit])))+(SUM(IF((GJ[Sort Code]=(TRIM(G$4)))*(GJ[Account Code]=(TRIM($B114)))*(GJ[Date]&lt;=$E$7),GJ[Credit]))))</f>
        <v>0</v>
      </c>
      <c r="F114" s="245">
        <f t="array" ref="F114">((SUM(IF((CkDJ[Date]=$A$3)*(CkDJ[Sort Code]=(TRIM(G$4)))*(CkDJ[Account Code]=(TRIM($B114))),CkDJ[Debit])))+(SUM(IF((CsDJ[Date]=$A$3)*(CsDJ[Sort Code]=(TRIM(G$4)))*(CsDJ[Account Code]=(TRIM($B114))),CsDJ[Debit])))+(SUM(IF((CRDJ[Date]=$A$3)*(CRDJ[Sort Code]=(TRIM(G$4)))*(CRDJ[Account Code]=(TRIM($B114))),CRDJ[Debit])))+(SUM(IF((GJ[Date]=$A$3)*(GJ[Sort Code]=(TRIM(G$4)))*(GJ[Account Code]=(TRIM($B114))),GJ[Debit]))))-((SUM(IF((CkDJ[Date]=$A$3)*(CkDJ[Sort Code]=(TRIM(G$4)))*(CkDJ[Account Code]=(TRIM($B114))),CkDJ[Credit])))+(SUM(IF((CsDJ[Date]=$A$3)*(CsDJ[Sort Code]=(TRIM(G$4)))*(CsDJ[Account Code]=(TRIM($B114))),CsDJ[Credit])))+(SUM(IF((CRDJ[Date]=$A$3)*(CRDJ[Sort Code]=(TRIM(G$4)))*(CRDJ[Account Code]=(TRIM($B114))),CRDJ[Credit])))+(SUM(IF((GJ[Date]=$A$3)*(GJ[Sort Code]=(TRIM(G$4)))*(GJ[Account Code]=(TRIM($B114))),GJ[Credit]))))</f>
        <v>0</v>
      </c>
      <c r="G114" s="343">
        <f t="shared" si="9"/>
        <v>0</v>
      </c>
      <c r="H114" s="246">
        <f t="shared" si="5"/>
        <v>0</v>
      </c>
      <c r="I114" s="246">
        <f t="shared" si="6"/>
        <v>0</v>
      </c>
    </row>
    <row r="115" spans="1:9" hidden="1">
      <c r="A115" s="256" t="s">
        <v>308</v>
      </c>
      <c r="B115" s="339" t="s">
        <v>256</v>
      </c>
      <c r="C115" s="245">
        <f t="array" ref="C115">SUM(IF((Budget[Account Code]=B115)*(Budget[Sort Code]=$G$4),(Budget[Amount])))</f>
        <v>0</v>
      </c>
      <c r="D115" s="245">
        <f t="array" ref="D115">SUM(IF((Budget[Account Code]=B115)*(Budget[Sort Code]=$G$4)*(Budget[Date]&lt;=$D$7),(Budget[Amount])))</f>
        <v>0</v>
      </c>
      <c r="E115" s="245">
        <f t="array" ref="E115">((SUM(IF((CkDJ[Sort Code]=(TRIM(G$4)))*(CkDJ[Account Code]=(TRIM($B115)))*(CkDJ[Date]&lt;=$E$7),CkDJ[Debit])))+(SUM(IF((CsDJ[Sort Code]=(TRIM(G$4)))*(CsDJ[Account Code]=(TRIM($B115)))*(CsDJ[Date]&lt;=$E$7),CsDJ[Debit])))+(SUM(IF((CRDJ[Sort Code]=(TRIM(G$4)))*(CRDJ[Account Code]=(TRIM($B115)))*(CRDJ[Date]&lt;=$E$7),CRDJ[Debit])))+(SUM(IF((GJ[Sort Code]=(TRIM(G$4)))*(GJ[Account Code]=(TRIM($B115)))*(GJ[Date]&lt;=$E$7),GJ[Debit]))))-((SUM(IF((CkDJ[Sort Code]=(TRIM(G$4)))*(CkDJ[Account Code]=(TRIM($B115)))*(CkDJ[Date]&lt;=$E$7),CkDJ[Credit])))+(SUM(IF((CsDJ[Sort Code]=(TRIM(G$4)))*(CsDJ[Account Code]=(TRIM($B115)))*(CsDJ[Date]&lt;=$E$7),CsDJ[Credit])))+(SUM(IF((CRDJ[Sort Code]=(TRIM(G$4)))*(CRDJ[Account Code]=(TRIM($B115)))*(CRDJ[Date]&lt;=$E$7),CRDJ[Credit])))+(SUM(IF((GJ[Sort Code]=(TRIM(G$4)))*(GJ[Account Code]=(TRIM($B115)))*(GJ[Date]&lt;=$E$7),GJ[Credit]))))</f>
        <v>0</v>
      </c>
      <c r="F115" s="245">
        <f t="array" ref="F115">((SUM(IF((CkDJ[Date]=$A$3)*(CkDJ[Sort Code]=(TRIM(G$4)))*(CkDJ[Account Code]=(TRIM($B115))),CkDJ[Debit])))+(SUM(IF((CsDJ[Date]=$A$3)*(CsDJ[Sort Code]=(TRIM(G$4)))*(CsDJ[Account Code]=(TRIM($B115))),CsDJ[Debit])))+(SUM(IF((CRDJ[Date]=$A$3)*(CRDJ[Sort Code]=(TRIM(G$4)))*(CRDJ[Account Code]=(TRIM($B115))),CRDJ[Debit])))+(SUM(IF((GJ[Date]=$A$3)*(GJ[Sort Code]=(TRIM(G$4)))*(GJ[Account Code]=(TRIM($B115))),GJ[Debit]))))-((SUM(IF((CkDJ[Date]=$A$3)*(CkDJ[Sort Code]=(TRIM(G$4)))*(CkDJ[Account Code]=(TRIM($B115))),CkDJ[Credit])))+(SUM(IF((CsDJ[Date]=$A$3)*(CsDJ[Sort Code]=(TRIM(G$4)))*(CsDJ[Account Code]=(TRIM($B115))),CsDJ[Credit])))+(SUM(IF((CRDJ[Date]=$A$3)*(CRDJ[Sort Code]=(TRIM(G$4)))*(CRDJ[Account Code]=(TRIM($B115))),CRDJ[Credit])))+(SUM(IF((GJ[Date]=$A$3)*(GJ[Sort Code]=(TRIM(G$4)))*(GJ[Account Code]=(TRIM($B115))),GJ[Credit]))))</f>
        <v>0</v>
      </c>
      <c r="G115" s="343">
        <f t="shared" si="9"/>
        <v>0</v>
      </c>
      <c r="H115" s="246">
        <f t="shared" si="5"/>
        <v>0</v>
      </c>
      <c r="I115" s="246">
        <f t="shared" si="6"/>
        <v>0</v>
      </c>
    </row>
    <row r="116" spans="1:9" hidden="1">
      <c r="A116" s="256" t="s">
        <v>309</v>
      </c>
      <c r="B116" s="339" t="s">
        <v>258</v>
      </c>
      <c r="C116" s="245">
        <f t="array" ref="C116">SUM(IF((Budget[Account Code]=B116)*(Budget[Sort Code]=$G$4),(Budget[Amount])))</f>
        <v>0</v>
      </c>
      <c r="D116" s="245">
        <f t="array" ref="D116">SUM(IF((Budget[Account Code]=B116)*(Budget[Sort Code]=$G$4)*(Budget[Date]&lt;=$D$7),(Budget[Amount])))</f>
        <v>0</v>
      </c>
      <c r="E116" s="245">
        <f t="array" ref="E116">((SUM(IF((CkDJ[Sort Code]=(TRIM(G$4)))*(CkDJ[Account Code]=(TRIM($B116)))*(CkDJ[Date]&lt;=$E$7),CkDJ[Debit])))+(SUM(IF((CsDJ[Sort Code]=(TRIM(G$4)))*(CsDJ[Account Code]=(TRIM($B116)))*(CsDJ[Date]&lt;=$E$7),CsDJ[Debit])))+(SUM(IF((CRDJ[Sort Code]=(TRIM(G$4)))*(CRDJ[Account Code]=(TRIM($B116)))*(CRDJ[Date]&lt;=$E$7),CRDJ[Debit])))+(SUM(IF((GJ[Sort Code]=(TRIM(G$4)))*(GJ[Account Code]=(TRIM($B116)))*(GJ[Date]&lt;=$E$7),GJ[Debit]))))-((SUM(IF((CkDJ[Sort Code]=(TRIM(G$4)))*(CkDJ[Account Code]=(TRIM($B116)))*(CkDJ[Date]&lt;=$E$7),CkDJ[Credit])))+(SUM(IF((CsDJ[Sort Code]=(TRIM(G$4)))*(CsDJ[Account Code]=(TRIM($B116)))*(CsDJ[Date]&lt;=$E$7),CsDJ[Credit])))+(SUM(IF((CRDJ[Sort Code]=(TRIM(G$4)))*(CRDJ[Account Code]=(TRIM($B116)))*(CRDJ[Date]&lt;=$E$7),CRDJ[Credit])))+(SUM(IF((GJ[Sort Code]=(TRIM(G$4)))*(GJ[Account Code]=(TRIM($B116)))*(GJ[Date]&lt;=$E$7),GJ[Credit]))))</f>
        <v>0</v>
      </c>
      <c r="F116" s="245">
        <f t="array" ref="F116">((SUM(IF((CkDJ[Date]=$A$3)*(CkDJ[Sort Code]=(TRIM(G$4)))*(CkDJ[Account Code]=(TRIM($B116))),CkDJ[Debit])))+(SUM(IF((CsDJ[Date]=$A$3)*(CsDJ[Sort Code]=(TRIM(G$4)))*(CsDJ[Account Code]=(TRIM($B116))),CsDJ[Debit])))+(SUM(IF((CRDJ[Date]=$A$3)*(CRDJ[Sort Code]=(TRIM(G$4)))*(CRDJ[Account Code]=(TRIM($B116))),CRDJ[Debit])))+(SUM(IF((GJ[Date]=$A$3)*(GJ[Sort Code]=(TRIM(G$4)))*(GJ[Account Code]=(TRIM($B116))),GJ[Debit]))))-((SUM(IF((CkDJ[Date]=$A$3)*(CkDJ[Sort Code]=(TRIM(G$4)))*(CkDJ[Account Code]=(TRIM($B116))),CkDJ[Credit])))+(SUM(IF((CsDJ[Date]=$A$3)*(CsDJ[Sort Code]=(TRIM(G$4)))*(CsDJ[Account Code]=(TRIM($B116))),CsDJ[Credit])))+(SUM(IF((CRDJ[Date]=$A$3)*(CRDJ[Sort Code]=(TRIM(G$4)))*(CRDJ[Account Code]=(TRIM($B116))),CRDJ[Credit])))+(SUM(IF((GJ[Date]=$A$3)*(GJ[Sort Code]=(TRIM(G$4)))*(GJ[Account Code]=(TRIM($B116))),GJ[Credit]))))</f>
        <v>0</v>
      </c>
      <c r="G116" s="343">
        <f t="shared" si="9"/>
        <v>0</v>
      </c>
      <c r="H116" s="246">
        <f t="shared" si="5"/>
        <v>0</v>
      </c>
      <c r="I116" s="246">
        <f t="shared" si="6"/>
        <v>0</v>
      </c>
    </row>
    <row r="117" spans="1:9" hidden="1">
      <c r="A117" s="256" t="s">
        <v>310</v>
      </c>
      <c r="B117" s="339" t="s">
        <v>261</v>
      </c>
      <c r="C117" s="245">
        <f t="array" ref="C117">SUM(IF((Budget[Account Code]=B117)*(Budget[Sort Code]=$G$4),(Budget[Amount])))</f>
        <v>0</v>
      </c>
      <c r="D117" s="245">
        <f t="array" ref="D117">SUM(IF((Budget[Account Code]=B117)*(Budget[Sort Code]=$G$4)*(Budget[Date]&lt;=$D$7),(Budget[Amount])))</f>
        <v>0</v>
      </c>
      <c r="E117" s="245">
        <f t="array" ref="E117">((SUM(IF((CkDJ[Sort Code]=(TRIM(G$4)))*(CkDJ[Account Code]=(TRIM($B117)))*(CkDJ[Date]&lt;=$E$7),CkDJ[Debit])))+(SUM(IF((CsDJ[Sort Code]=(TRIM(G$4)))*(CsDJ[Account Code]=(TRIM($B117)))*(CsDJ[Date]&lt;=$E$7),CsDJ[Debit])))+(SUM(IF((CRDJ[Sort Code]=(TRIM(G$4)))*(CRDJ[Account Code]=(TRIM($B117)))*(CRDJ[Date]&lt;=$E$7),CRDJ[Debit])))+(SUM(IF((GJ[Sort Code]=(TRIM(G$4)))*(GJ[Account Code]=(TRIM($B117)))*(GJ[Date]&lt;=$E$7),GJ[Debit]))))-((SUM(IF((CkDJ[Sort Code]=(TRIM(G$4)))*(CkDJ[Account Code]=(TRIM($B117)))*(CkDJ[Date]&lt;=$E$7),CkDJ[Credit])))+(SUM(IF((CsDJ[Sort Code]=(TRIM(G$4)))*(CsDJ[Account Code]=(TRIM($B117)))*(CsDJ[Date]&lt;=$E$7),CsDJ[Credit])))+(SUM(IF((CRDJ[Sort Code]=(TRIM(G$4)))*(CRDJ[Account Code]=(TRIM($B117)))*(CRDJ[Date]&lt;=$E$7),CRDJ[Credit])))+(SUM(IF((GJ[Sort Code]=(TRIM(G$4)))*(GJ[Account Code]=(TRIM($B117)))*(GJ[Date]&lt;=$E$7),GJ[Credit]))))</f>
        <v>0</v>
      </c>
      <c r="F117" s="245">
        <f t="array" ref="F117">((SUM(IF((CkDJ[Date]=$A$3)*(CkDJ[Sort Code]=(TRIM(G$4)))*(CkDJ[Account Code]=(TRIM($B117))),CkDJ[Debit])))+(SUM(IF((CsDJ[Date]=$A$3)*(CsDJ[Sort Code]=(TRIM(G$4)))*(CsDJ[Account Code]=(TRIM($B117))),CsDJ[Debit])))+(SUM(IF((CRDJ[Date]=$A$3)*(CRDJ[Sort Code]=(TRIM(G$4)))*(CRDJ[Account Code]=(TRIM($B117))),CRDJ[Debit])))+(SUM(IF((GJ[Date]=$A$3)*(GJ[Sort Code]=(TRIM(G$4)))*(GJ[Account Code]=(TRIM($B117))),GJ[Debit]))))-((SUM(IF((CkDJ[Date]=$A$3)*(CkDJ[Sort Code]=(TRIM(G$4)))*(CkDJ[Account Code]=(TRIM($B117))),CkDJ[Credit])))+(SUM(IF((CsDJ[Date]=$A$3)*(CsDJ[Sort Code]=(TRIM(G$4)))*(CsDJ[Account Code]=(TRIM($B117))),CsDJ[Credit])))+(SUM(IF((CRDJ[Date]=$A$3)*(CRDJ[Sort Code]=(TRIM(G$4)))*(CRDJ[Account Code]=(TRIM($B117))),CRDJ[Credit])))+(SUM(IF((GJ[Date]=$A$3)*(GJ[Sort Code]=(TRIM(G$4)))*(GJ[Account Code]=(TRIM($B117))),GJ[Credit]))))</f>
        <v>0</v>
      </c>
      <c r="G117" s="343">
        <f t="shared" si="9"/>
        <v>0</v>
      </c>
      <c r="H117" s="246">
        <f t="shared" si="5"/>
        <v>0</v>
      </c>
      <c r="I117" s="246">
        <f t="shared" si="6"/>
        <v>0</v>
      </c>
    </row>
    <row r="118" spans="1:9" hidden="1">
      <c r="A118" s="256" t="s">
        <v>311</v>
      </c>
      <c r="B118" s="339" t="s">
        <v>262</v>
      </c>
      <c r="C118" s="245">
        <f t="array" ref="C118">SUM(IF((Budget[Account Code]=B118)*(Budget[Sort Code]=$G$4),(Budget[Amount])))</f>
        <v>1047026.64</v>
      </c>
      <c r="D118" s="245">
        <f t="array" ref="D118">SUM(IF((Budget[Account Code]=B118)*(Budget[Sort Code]=$G$4)*(Budget[Date]&lt;=$D$7),(Budget[Amount])))</f>
        <v>1047026.64</v>
      </c>
      <c r="E118" s="245">
        <f t="array" ref="E118">((SUM(IF((CkDJ[Sort Code]=(TRIM(G$4)))*(CkDJ[Account Code]=(TRIM($B118)))*(CkDJ[Date]&lt;=$E$7),CkDJ[Debit])))+(SUM(IF((CsDJ[Sort Code]=(TRIM(G$4)))*(CsDJ[Account Code]=(TRIM($B118)))*(CsDJ[Date]&lt;=$E$7),CsDJ[Debit])))+(SUM(IF((CRDJ[Sort Code]=(TRIM(G$4)))*(CRDJ[Account Code]=(TRIM($B118)))*(CRDJ[Date]&lt;=$E$7),CRDJ[Debit])))+(SUM(IF((GJ[Sort Code]=(TRIM(G$4)))*(GJ[Account Code]=(TRIM($B118)))*(GJ[Date]&lt;=$E$7),GJ[Debit]))))-((SUM(IF((CkDJ[Sort Code]=(TRIM(G$4)))*(CkDJ[Account Code]=(TRIM($B118)))*(CkDJ[Date]&lt;=$E$7),CkDJ[Credit])))+(SUM(IF((CsDJ[Sort Code]=(TRIM(G$4)))*(CsDJ[Account Code]=(TRIM($B118)))*(CsDJ[Date]&lt;=$E$7),CsDJ[Credit])))+(SUM(IF((CRDJ[Sort Code]=(TRIM(G$4)))*(CRDJ[Account Code]=(TRIM($B118)))*(CRDJ[Date]&lt;=$E$7),CRDJ[Credit])))+(SUM(IF((GJ[Sort Code]=(TRIM(G$4)))*(GJ[Account Code]=(TRIM($B118)))*(GJ[Date]&lt;=$E$7),GJ[Credit]))))</f>
        <v>0</v>
      </c>
      <c r="F118" s="245">
        <f t="array" ref="F118">((SUM(IF((CkDJ[Date]=$A$3)*(CkDJ[Sort Code]=(TRIM(G$4)))*(CkDJ[Account Code]=(TRIM($B118))),CkDJ[Debit])))+(SUM(IF((CsDJ[Date]=$A$3)*(CsDJ[Sort Code]=(TRIM(G$4)))*(CsDJ[Account Code]=(TRIM($B118))),CsDJ[Debit])))+(SUM(IF((CRDJ[Date]=$A$3)*(CRDJ[Sort Code]=(TRIM(G$4)))*(CRDJ[Account Code]=(TRIM($B118))),CRDJ[Debit])))+(SUM(IF((GJ[Date]=$A$3)*(GJ[Sort Code]=(TRIM(G$4)))*(GJ[Account Code]=(TRIM($B118))),GJ[Debit]))))-((SUM(IF((CkDJ[Date]=$A$3)*(CkDJ[Sort Code]=(TRIM(G$4)))*(CkDJ[Account Code]=(TRIM($B118))),CkDJ[Credit])))+(SUM(IF((CsDJ[Date]=$A$3)*(CsDJ[Sort Code]=(TRIM(G$4)))*(CsDJ[Account Code]=(TRIM($B118))),CsDJ[Credit])))+(SUM(IF((CRDJ[Date]=$A$3)*(CRDJ[Sort Code]=(TRIM(G$4)))*(CRDJ[Account Code]=(TRIM($B118))),CRDJ[Credit])))+(SUM(IF((GJ[Date]=$A$3)*(GJ[Sort Code]=(TRIM(G$4)))*(GJ[Account Code]=(TRIM($B118))),GJ[Credit]))))</f>
        <v>0</v>
      </c>
      <c r="G118" s="343">
        <f t="shared" si="9"/>
        <v>0</v>
      </c>
      <c r="H118" s="246">
        <f t="shared" si="5"/>
        <v>-1047026.64</v>
      </c>
      <c r="I118" s="246">
        <f t="shared" si="6"/>
        <v>0</v>
      </c>
    </row>
    <row r="119" spans="1:9" hidden="1">
      <c r="A119" s="256" t="s">
        <v>312</v>
      </c>
      <c r="B119" s="339" t="s">
        <v>264</v>
      </c>
      <c r="C119" s="245">
        <f t="array" ref="C119">SUM(IF((Budget[Account Code]=B119)*(Budget[Sort Code]=$G$4),(Budget[Amount])))</f>
        <v>0</v>
      </c>
      <c r="D119" s="245">
        <f t="array" ref="D119">SUM(IF((Budget[Account Code]=B119)*(Budget[Sort Code]=$G$4)*(Budget[Date]&lt;=$D$7),(Budget[Amount])))</f>
        <v>0</v>
      </c>
      <c r="E119" s="245">
        <f t="array" ref="E119">((SUM(IF((CkDJ[Sort Code]=(TRIM(G$4)))*(CkDJ[Account Code]=(TRIM($B119)))*(CkDJ[Date]&lt;=$E$7),CkDJ[Debit])))+(SUM(IF((CsDJ[Sort Code]=(TRIM(G$4)))*(CsDJ[Account Code]=(TRIM($B119)))*(CsDJ[Date]&lt;=$E$7),CsDJ[Debit])))+(SUM(IF((CRDJ[Sort Code]=(TRIM(G$4)))*(CRDJ[Account Code]=(TRIM($B119)))*(CRDJ[Date]&lt;=$E$7),CRDJ[Debit])))+(SUM(IF((GJ[Sort Code]=(TRIM(G$4)))*(GJ[Account Code]=(TRIM($B119)))*(GJ[Date]&lt;=$E$7),GJ[Debit]))))-((SUM(IF((CkDJ[Sort Code]=(TRIM(G$4)))*(CkDJ[Account Code]=(TRIM($B119)))*(CkDJ[Date]&lt;=$E$7),CkDJ[Credit])))+(SUM(IF((CsDJ[Sort Code]=(TRIM(G$4)))*(CsDJ[Account Code]=(TRIM($B119)))*(CsDJ[Date]&lt;=$E$7),CsDJ[Credit])))+(SUM(IF((CRDJ[Sort Code]=(TRIM(G$4)))*(CRDJ[Account Code]=(TRIM($B119)))*(CRDJ[Date]&lt;=$E$7),CRDJ[Credit])))+(SUM(IF((GJ[Sort Code]=(TRIM(G$4)))*(GJ[Account Code]=(TRIM($B119)))*(GJ[Date]&lt;=$E$7),GJ[Credit]))))</f>
        <v>0</v>
      </c>
      <c r="F119" s="245">
        <f t="array" ref="F119">((SUM(IF((CkDJ[Date]=$A$3)*(CkDJ[Sort Code]=(TRIM(G$4)))*(CkDJ[Account Code]=(TRIM($B119))),CkDJ[Debit])))+(SUM(IF((CsDJ[Date]=$A$3)*(CsDJ[Sort Code]=(TRIM(G$4)))*(CsDJ[Account Code]=(TRIM($B119))),CsDJ[Debit])))+(SUM(IF((CRDJ[Date]=$A$3)*(CRDJ[Sort Code]=(TRIM(G$4)))*(CRDJ[Account Code]=(TRIM($B119))),CRDJ[Debit])))+(SUM(IF((GJ[Date]=$A$3)*(GJ[Sort Code]=(TRIM(G$4)))*(GJ[Account Code]=(TRIM($B119))),GJ[Debit]))))-((SUM(IF((CkDJ[Date]=$A$3)*(CkDJ[Sort Code]=(TRIM(G$4)))*(CkDJ[Account Code]=(TRIM($B119))),CkDJ[Credit])))+(SUM(IF((CsDJ[Date]=$A$3)*(CsDJ[Sort Code]=(TRIM(G$4)))*(CsDJ[Account Code]=(TRIM($B119))),CsDJ[Credit])))+(SUM(IF((CRDJ[Date]=$A$3)*(CRDJ[Sort Code]=(TRIM(G$4)))*(CRDJ[Account Code]=(TRIM($B119))),CRDJ[Credit])))+(SUM(IF((GJ[Date]=$A$3)*(GJ[Sort Code]=(TRIM(G$4)))*(GJ[Account Code]=(TRIM($B119))),GJ[Credit]))))</f>
        <v>0</v>
      </c>
      <c r="G119" s="343">
        <f t="shared" si="9"/>
        <v>0</v>
      </c>
      <c r="H119" s="246">
        <f t="shared" si="5"/>
        <v>0</v>
      </c>
      <c r="I119" s="246">
        <f t="shared" si="6"/>
        <v>0</v>
      </c>
    </row>
    <row r="120" spans="1:9" hidden="1">
      <c r="A120" s="256" t="s">
        <v>313</v>
      </c>
      <c r="B120" s="339" t="s">
        <v>265</v>
      </c>
      <c r="C120" s="245">
        <f t="array" ref="C120">SUM(IF((Budget[Account Code]=B120)*(Budget[Sort Code]=$G$4),(Budget[Amount])))</f>
        <v>0</v>
      </c>
      <c r="D120" s="245">
        <f t="array" ref="D120">SUM(IF((Budget[Account Code]=B120)*(Budget[Sort Code]=$G$4)*(Budget[Date]&lt;=$D$7),(Budget[Amount])))</f>
        <v>0</v>
      </c>
      <c r="E120" s="245">
        <f t="array" ref="E120">((SUM(IF((CkDJ[Sort Code]=(TRIM(G$4)))*(CkDJ[Account Code]=(TRIM($B120)))*(CkDJ[Date]&lt;=$E$7),CkDJ[Debit])))+(SUM(IF((CsDJ[Sort Code]=(TRIM(G$4)))*(CsDJ[Account Code]=(TRIM($B120)))*(CsDJ[Date]&lt;=$E$7),CsDJ[Debit])))+(SUM(IF((CRDJ[Sort Code]=(TRIM(G$4)))*(CRDJ[Account Code]=(TRIM($B120)))*(CRDJ[Date]&lt;=$E$7),CRDJ[Debit])))+(SUM(IF((GJ[Sort Code]=(TRIM(G$4)))*(GJ[Account Code]=(TRIM($B120)))*(GJ[Date]&lt;=$E$7),GJ[Debit]))))-((SUM(IF((CkDJ[Sort Code]=(TRIM(G$4)))*(CkDJ[Account Code]=(TRIM($B120)))*(CkDJ[Date]&lt;=$E$7),CkDJ[Credit])))+(SUM(IF((CsDJ[Sort Code]=(TRIM(G$4)))*(CsDJ[Account Code]=(TRIM($B120)))*(CsDJ[Date]&lt;=$E$7),CsDJ[Credit])))+(SUM(IF((CRDJ[Sort Code]=(TRIM(G$4)))*(CRDJ[Account Code]=(TRIM($B120)))*(CRDJ[Date]&lt;=$E$7),CRDJ[Credit])))+(SUM(IF((GJ[Sort Code]=(TRIM(G$4)))*(GJ[Account Code]=(TRIM($B120)))*(GJ[Date]&lt;=$E$7),GJ[Credit]))))</f>
        <v>0</v>
      </c>
      <c r="F120" s="245">
        <f t="array" ref="F120">((SUM(IF((CkDJ[Date]=$A$3)*(CkDJ[Sort Code]=(TRIM(G$4)))*(CkDJ[Account Code]=(TRIM($B120))),CkDJ[Debit])))+(SUM(IF((CsDJ[Date]=$A$3)*(CsDJ[Sort Code]=(TRIM(G$4)))*(CsDJ[Account Code]=(TRIM($B120))),CsDJ[Debit])))+(SUM(IF((CRDJ[Date]=$A$3)*(CRDJ[Sort Code]=(TRIM(G$4)))*(CRDJ[Account Code]=(TRIM($B120))),CRDJ[Debit])))+(SUM(IF((GJ[Date]=$A$3)*(GJ[Sort Code]=(TRIM(G$4)))*(GJ[Account Code]=(TRIM($B120))),GJ[Debit]))))-((SUM(IF((CkDJ[Date]=$A$3)*(CkDJ[Sort Code]=(TRIM(G$4)))*(CkDJ[Account Code]=(TRIM($B120))),CkDJ[Credit])))+(SUM(IF((CsDJ[Date]=$A$3)*(CsDJ[Sort Code]=(TRIM(G$4)))*(CsDJ[Account Code]=(TRIM($B120))),CsDJ[Credit])))+(SUM(IF((CRDJ[Date]=$A$3)*(CRDJ[Sort Code]=(TRIM(G$4)))*(CRDJ[Account Code]=(TRIM($B120))),CRDJ[Credit])))+(SUM(IF((GJ[Date]=$A$3)*(GJ[Sort Code]=(TRIM(G$4)))*(GJ[Account Code]=(TRIM($B120))),GJ[Credit]))))</f>
        <v>0</v>
      </c>
      <c r="G120" s="343">
        <f t="shared" si="9"/>
        <v>0</v>
      </c>
      <c r="H120" s="246">
        <f t="shared" ref="H120:H184" si="10">G120-D120</f>
        <v>0</v>
      </c>
      <c r="I120" s="246">
        <f t="shared" ref="I120:I184" si="11">IF((D120=0),0,G120/D120)</f>
        <v>0</v>
      </c>
    </row>
    <row r="121" spans="1:9" hidden="1">
      <c r="A121" s="256" t="s">
        <v>1027</v>
      </c>
      <c r="B121" s="339" t="s">
        <v>269</v>
      </c>
      <c r="C121" s="245">
        <f t="array" ref="C121">SUM(IF((Budget[Account Code]=B121)*(Budget[Sort Code]=$G$4),(Budget[Amount])))</f>
        <v>0</v>
      </c>
      <c r="D121" s="245">
        <f t="array" ref="D121">SUM(IF((Budget[Account Code]=B121)*(Budget[Sort Code]=$G$4)*(Budget[Date]&lt;=$D$7),(Budget[Amount])))</f>
        <v>0</v>
      </c>
      <c r="E121" s="245">
        <f t="array" ref="E121">((SUM(IF((CkDJ[Sort Code]=(TRIM(G$4)))*(CkDJ[Account Code]=(TRIM($B121)))*(CkDJ[Date]&lt;=$E$7),CkDJ[Debit])))+(SUM(IF((CsDJ[Sort Code]=(TRIM(G$4)))*(CsDJ[Account Code]=(TRIM($B121)))*(CsDJ[Date]&lt;=$E$7),CsDJ[Debit])))+(SUM(IF((CRDJ[Sort Code]=(TRIM(G$4)))*(CRDJ[Account Code]=(TRIM($B121)))*(CRDJ[Date]&lt;=$E$7),CRDJ[Debit])))+(SUM(IF((GJ[Sort Code]=(TRIM(G$4)))*(GJ[Account Code]=(TRIM($B121)))*(GJ[Date]&lt;=$E$7),GJ[Debit]))))-((SUM(IF((CkDJ[Sort Code]=(TRIM(G$4)))*(CkDJ[Account Code]=(TRIM($B121)))*(CkDJ[Date]&lt;=$E$7),CkDJ[Credit])))+(SUM(IF((CsDJ[Sort Code]=(TRIM(G$4)))*(CsDJ[Account Code]=(TRIM($B121)))*(CsDJ[Date]&lt;=$E$7),CsDJ[Credit])))+(SUM(IF((CRDJ[Sort Code]=(TRIM(G$4)))*(CRDJ[Account Code]=(TRIM($B121)))*(CRDJ[Date]&lt;=$E$7),CRDJ[Credit])))+(SUM(IF((GJ[Sort Code]=(TRIM(G$4)))*(GJ[Account Code]=(TRIM($B121)))*(GJ[Date]&lt;=$E$7),GJ[Credit]))))</f>
        <v>0</v>
      </c>
      <c r="F121" s="245">
        <f t="array" ref="F121">((SUM(IF((CkDJ[Date]=$A$3)*(CkDJ[Sort Code]=(TRIM(G$4)))*(CkDJ[Account Code]=(TRIM($B121))),CkDJ[Debit])))+(SUM(IF((CsDJ[Date]=$A$3)*(CsDJ[Sort Code]=(TRIM(G$4)))*(CsDJ[Account Code]=(TRIM($B121))),CsDJ[Debit])))+(SUM(IF((CRDJ[Date]=$A$3)*(CRDJ[Sort Code]=(TRIM(G$4)))*(CRDJ[Account Code]=(TRIM($B121))),CRDJ[Debit])))+(SUM(IF((GJ[Date]=$A$3)*(GJ[Sort Code]=(TRIM(G$4)))*(GJ[Account Code]=(TRIM($B121))),GJ[Debit]))))-((SUM(IF((CkDJ[Date]=$A$3)*(CkDJ[Sort Code]=(TRIM(G$4)))*(CkDJ[Account Code]=(TRIM($B121))),CkDJ[Credit])))+(SUM(IF((CsDJ[Date]=$A$3)*(CsDJ[Sort Code]=(TRIM(G$4)))*(CsDJ[Account Code]=(TRIM($B121))),CsDJ[Credit])))+(SUM(IF((CRDJ[Date]=$A$3)*(CRDJ[Sort Code]=(TRIM(G$4)))*(CRDJ[Account Code]=(TRIM($B121))),CRDJ[Credit])))+(SUM(IF((GJ[Date]=$A$3)*(GJ[Sort Code]=(TRIM(G$4)))*(GJ[Account Code]=(TRIM($B121))),GJ[Credit]))))</f>
        <v>0</v>
      </c>
      <c r="G121" s="343">
        <f t="shared" si="9"/>
        <v>0</v>
      </c>
      <c r="H121" s="246">
        <f t="shared" si="10"/>
        <v>0</v>
      </c>
      <c r="I121" s="246">
        <f t="shared" si="11"/>
        <v>0</v>
      </c>
    </row>
    <row r="122" spans="1:9" hidden="1">
      <c r="A122" s="256" t="s">
        <v>409</v>
      </c>
      <c r="B122" s="339" t="s">
        <v>408</v>
      </c>
      <c r="C122" s="245">
        <f t="array" ref="C122">SUM(IF((Budget[Account Code]=B122)*(Budget[Sort Code]=$G$4),(Budget[Amount])))</f>
        <v>0</v>
      </c>
      <c r="D122" s="245">
        <f t="array" ref="D122">SUM(IF((Budget[Account Code]=B122)*(Budget[Sort Code]=$G$4)*(Budget[Date]&lt;=$D$7),(Budget[Amount])))</f>
        <v>0</v>
      </c>
      <c r="E122" s="245">
        <f t="array" ref="E122">((SUM(IF((CkDJ[Sort Code]=(TRIM(G$4)))*(CkDJ[Account Code]=(TRIM($B122)))*(CkDJ[Date]&lt;=$E$7),CkDJ[Debit])))+(SUM(IF((CsDJ[Sort Code]=(TRIM(G$4)))*(CsDJ[Account Code]=(TRIM($B122)))*(CsDJ[Date]&lt;=$E$7),CsDJ[Debit])))+(SUM(IF((CRDJ[Sort Code]=(TRIM(G$4)))*(CRDJ[Account Code]=(TRIM($B122)))*(CRDJ[Date]&lt;=$E$7),CRDJ[Debit])))+(SUM(IF((GJ[Sort Code]=(TRIM(G$4)))*(GJ[Account Code]=(TRIM($B122)))*(GJ[Date]&lt;=$E$7),GJ[Debit]))))-((SUM(IF((CkDJ[Sort Code]=(TRIM(G$4)))*(CkDJ[Account Code]=(TRIM($B122)))*(CkDJ[Date]&lt;=$E$7),CkDJ[Credit])))+(SUM(IF((CsDJ[Sort Code]=(TRIM(G$4)))*(CsDJ[Account Code]=(TRIM($B122)))*(CsDJ[Date]&lt;=$E$7),CsDJ[Credit])))+(SUM(IF((CRDJ[Sort Code]=(TRIM(G$4)))*(CRDJ[Account Code]=(TRIM($B122)))*(CRDJ[Date]&lt;=$E$7),CRDJ[Credit])))+(SUM(IF((GJ[Sort Code]=(TRIM(G$4)))*(GJ[Account Code]=(TRIM($B122)))*(GJ[Date]&lt;=$E$7),GJ[Credit]))))</f>
        <v>0</v>
      </c>
      <c r="F122" s="245">
        <f t="array" ref="F122">((SUM(IF((CkDJ[Date]=$A$3)*(CkDJ[Sort Code]=(TRIM(G$4)))*(CkDJ[Account Code]=(TRIM($B122))),CkDJ[Debit])))+(SUM(IF((CsDJ[Date]=$A$3)*(CsDJ[Sort Code]=(TRIM(G$4)))*(CsDJ[Account Code]=(TRIM($B122))),CsDJ[Debit])))+(SUM(IF((CRDJ[Date]=$A$3)*(CRDJ[Sort Code]=(TRIM(G$4)))*(CRDJ[Account Code]=(TRIM($B122))),CRDJ[Debit])))+(SUM(IF((GJ[Date]=$A$3)*(GJ[Sort Code]=(TRIM(G$4)))*(GJ[Account Code]=(TRIM($B122))),GJ[Debit]))))-((SUM(IF((CkDJ[Date]=$A$3)*(CkDJ[Sort Code]=(TRIM(G$4)))*(CkDJ[Account Code]=(TRIM($B122))),CkDJ[Credit])))+(SUM(IF((CsDJ[Date]=$A$3)*(CsDJ[Sort Code]=(TRIM(G$4)))*(CsDJ[Account Code]=(TRIM($B122))),CsDJ[Credit])))+(SUM(IF((CRDJ[Date]=$A$3)*(CRDJ[Sort Code]=(TRIM(G$4)))*(CRDJ[Account Code]=(TRIM($B122))),CRDJ[Credit])))+(SUM(IF((GJ[Date]=$A$3)*(GJ[Sort Code]=(TRIM(G$4)))*(GJ[Account Code]=(TRIM($B122))),GJ[Credit]))))</f>
        <v>0</v>
      </c>
      <c r="G122" s="343">
        <f>E122+F122</f>
        <v>0</v>
      </c>
      <c r="H122" s="246">
        <f>G122-D122</f>
        <v>0</v>
      </c>
      <c r="I122" s="246">
        <f>IF((D122=0),0,G122/D122)</f>
        <v>0</v>
      </c>
    </row>
    <row r="123" spans="1:9" hidden="1">
      <c r="A123" s="256" t="s">
        <v>315</v>
      </c>
      <c r="B123" s="339" t="s">
        <v>270</v>
      </c>
      <c r="C123" s="245">
        <f t="array" ref="C123">SUM(IF((Budget[Account Code]=B123)*(Budget[Sort Code]=$G$4),(Budget[Amount])))</f>
        <v>0</v>
      </c>
      <c r="D123" s="245">
        <f t="array" ref="D123">SUM(IF((Budget[Account Code]=B123)*(Budget[Sort Code]=$G$4)*(Budget[Date]&lt;=$D$7),(Budget[Amount])))</f>
        <v>0</v>
      </c>
      <c r="E123" s="245">
        <f t="array" ref="E123">((SUM(IF((CkDJ[Sort Code]=(TRIM(G$4)))*(CkDJ[Account Code]=(TRIM($B123)))*(CkDJ[Date]&lt;=$E$7),CkDJ[Debit])))+(SUM(IF((CsDJ[Sort Code]=(TRIM(G$4)))*(CsDJ[Account Code]=(TRIM($B123)))*(CsDJ[Date]&lt;=$E$7),CsDJ[Debit])))+(SUM(IF((CRDJ[Sort Code]=(TRIM(G$4)))*(CRDJ[Account Code]=(TRIM($B123)))*(CRDJ[Date]&lt;=$E$7),CRDJ[Debit])))+(SUM(IF((GJ[Sort Code]=(TRIM(G$4)))*(GJ[Account Code]=(TRIM($B123)))*(GJ[Date]&lt;=$E$7),GJ[Debit]))))-((SUM(IF((CkDJ[Sort Code]=(TRIM(G$4)))*(CkDJ[Account Code]=(TRIM($B123)))*(CkDJ[Date]&lt;=$E$7),CkDJ[Credit])))+(SUM(IF((CsDJ[Sort Code]=(TRIM(G$4)))*(CsDJ[Account Code]=(TRIM($B123)))*(CsDJ[Date]&lt;=$E$7),CsDJ[Credit])))+(SUM(IF((CRDJ[Sort Code]=(TRIM(G$4)))*(CRDJ[Account Code]=(TRIM($B123)))*(CRDJ[Date]&lt;=$E$7),CRDJ[Credit])))+(SUM(IF((GJ[Sort Code]=(TRIM(G$4)))*(GJ[Account Code]=(TRIM($B123)))*(GJ[Date]&lt;=$E$7),GJ[Credit]))))</f>
        <v>0</v>
      </c>
      <c r="F123" s="245">
        <f t="array" ref="F123">((SUM(IF((CkDJ[Date]=$A$3)*(CkDJ[Sort Code]=(TRIM(G$4)))*(CkDJ[Account Code]=(TRIM($B123))),CkDJ[Debit])))+(SUM(IF((CsDJ[Date]=$A$3)*(CsDJ[Sort Code]=(TRIM(G$4)))*(CsDJ[Account Code]=(TRIM($B123))),CsDJ[Debit])))+(SUM(IF((CRDJ[Date]=$A$3)*(CRDJ[Sort Code]=(TRIM(G$4)))*(CRDJ[Account Code]=(TRIM($B123))),CRDJ[Debit])))+(SUM(IF((GJ[Date]=$A$3)*(GJ[Sort Code]=(TRIM(G$4)))*(GJ[Account Code]=(TRIM($B123))),GJ[Debit]))))-((SUM(IF((CkDJ[Date]=$A$3)*(CkDJ[Sort Code]=(TRIM(G$4)))*(CkDJ[Account Code]=(TRIM($B123))),CkDJ[Credit])))+(SUM(IF((CsDJ[Date]=$A$3)*(CsDJ[Sort Code]=(TRIM(G$4)))*(CsDJ[Account Code]=(TRIM($B123))),CsDJ[Credit])))+(SUM(IF((CRDJ[Date]=$A$3)*(CRDJ[Sort Code]=(TRIM(G$4)))*(CRDJ[Account Code]=(TRIM($B123))),CRDJ[Credit])))+(SUM(IF((GJ[Date]=$A$3)*(GJ[Sort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Code]=B124)*(Budget[Sort Code]=$G$4),(Budget[Amount])))</f>
        <v>0</v>
      </c>
      <c r="D124" s="245">
        <f t="array" ref="D124">SUM(IF((Budget[Account Code]=B124)*(Budget[Sort Code]=$G$4)*(Budget[Date]&lt;=$D$7),(Budget[Amount])))</f>
        <v>0</v>
      </c>
      <c r="E124" s="245">
        <f t="array" ref="E124">((SUM(IF((CkDJ[Sort Code]=(TRIM(G$4)))*(CkDJ[Account Code]=(TRIM($B124)))*(CkDJ[Date]&lt;=$E$7),CkDJ[Debit])))+(SUM(IF((CsDJ[Sort Code]=(TRIM(G$4)))*(CsDJ[Account Code]=(TRIM($B124)))*(CsDJ[Date]&lt;=$E$7),CsDJ[Debit])))+(SUM(IF((CRDJ[Sort Code]=(TRIM(G$4)))*(CRDJ[Account Code]=(TRIM($B124)))*(CRDJ[Date]&lt;=$E$7),CRDJ[Debit])))+(SUM(IF((GJ[Sort Code]=(TRIM(G$4)))*(GJ[Account Code]=(TRIM($B124)))*(GJ[Date]&lt;=$E$7),GJ[Debit]))))-((SUM(IF((CkDJ[Sort Code]=(TRIM(G$4)))*(CkDJ[Account Code]=(TRIM($B124)))*(CkDJ[Date]&lt;=$E$7),CkDJ[Credit])))+(SUM(IF((CsDJ[Sort Code]=(TRIM(G$4)))*(CsDJ[Account Code]=(TRIM($B124)))*(CsDJ[Date]&lt;=$E$7),CsDJ[Credit])))+(SUM(IF((CRDJ[Sort Code]=(TRIM(G$4)))*(CRDJ[Account Code]=(TRIM($B124)))*(CRDJ[Date]&lt;=$E$7),CRDJ[Credit])))+(SUM(IF((GJ[Sort Code]=(TRIM(G$4)))*(GJ[Account Code]=(TRIM($B124)))*(GJ[Date]&lt;=$E$7),GJ[Credit]))))</f>
        <v>0</v>
      </c>
      <c r="F124" s="245">
        <f t="array" ref="F124">((SUM(IF((CkDJ[Date]=$A$3)*(CkDJ[Sort Code]=(TRIM(G$4)))*(CkDJ[Account Code]=(TRIM($B124))),CkDJ[Debit])))+(SUM(IF((CsDJ[Date]=$A$3)*(CsDJ[Sort Code]=(TRIM(G$4)))*(CsDJ[Account Code]=(TRIM($B124))),CsDJ[Debit])))+(SUM(IF((CRDJ[Date]=$A$3)*(CRDJ[Sort Code]=(TRIM(G$4)))*(CRDJ[Account Code]=(TRIM($B124))),CRDJ[Debit])))+(SUM(IF((GJ[Date]=$A$3)*(GJ[Sort Code]=(TRIM(G$4)))*(GJ[Account Code]=(TRIM($B124))),GJ[Debit]))))-((SUM(IF((CkDJ[Date]=$A$3)*(CkDJ[Sort Code]=(TRIM(G$4)))*(CkDJ[Account Code]=(TRIM($B124))),CkDJ[Credit])))+(SUM(IF((CsDJ[Date]=$A$3)*(CsDJ[Sort Code]=(TRIM(G$4)))*(CsDJ[Account Code]=(TRIM($B124))),CsDJ[Credit])))+(SUM(IF((CRDJ[Date]=$A$3)*(CRDJ[Sort Code]=(TRIM(G$4)))*(CRDJ[Account Code]=(TRIM($B124))),CRDJ[Credit])))+(SUM(IF((GJ[Date]=$A$3)*(GJ[Sort Code]=(TRIM(G$4)))*(GJ[Account Code]=(TRIM($B124))),GJ[Credit]))))</f>
        <v>0</v>
      </c>
      <c r="G124" s="343">
        <f t="shared" si="9"/>
        <v>0</v>
      </c>
      <c r="H124" s="246">
        <f t="shared" si="10"/>
        <v>0</v>
      </c>
      <c r="I124" s="246">
        <f t="shared" si="11"/>
        <v>0</v>
      </c>
    </row>
    <row r="125" spans="1:9" hidden="1">
      <c r="A125" s="256" t="s">
        <v>316</v>
      </c>
      <c r="B125" s="339" t="s">
        <v>272</v>
      </c>
      <c r="C125" s="245">
        <f t="array" ref="C125">SUM(IF((Budget[Account Code]=B125)*(Budget[Sort Code]=$G$4),(Budget[Amount])))</f>
        <v>35459.75</v>
      </c>
      <c r="D125" s="245">
        <f t="array" ref="D125">SUM(IF((Budget[Account Code]=B125)*(Budget[Sort Code]=$G$4)*(Budget[Date]&lt;=$D$7),(Budget[Amount])))</f>
        <v>35459.75</v>
      </c>
      <c r="E125" s="245">
        <f t="array" ref="E125">((SUM(IF((CkDJ[Sort Code]=(TRIM(G$4)))*(CkDJ[Account Code]=(TRIM($B125)))*(CkDJ[Date]&lt;=$E$7),CkDJ[Debit])))+(SUM(IF((CsDJ[Sort Code]=(TRIM(G$4)))*(CsDJ[Account Code]=(TRIM($B125)))*(CsDJ[Date]&lt;=$E$7),CsDJ[Debit])))+(SUM(IF((CRDJ[Sort Code]=(TRIM(G$4)))*(CRDJ[Account Code]=(TRIM($B125)))*(CRDJ[Date]&lt;=$E$7),CRDJ[Debit])))+(SUM(IF((GJ[Sort Code]=(TRIM(G$4)))*(GJ[Account Code]=(TRIM($B125)))*(GJ[Date]&lt;=$E$7),GJ[Debit]))))-((SUM(IF((CkDJ[Sort Code]=(TRIM(G$4)))*(CkDJ[Account Code]=(TRIM($B125)))*(CkDJ[Date]&lt;=$E$7),CkDJ[Credit])))+(SUM(IF((CsDJ[Sort Code]=(TRIM(G$4)))*(CsDJ[Account Code]=(TRIM($B125)))*(CsDJ[Date]&lt;=$E$7),CsDJ[Credit])))+(SUM(IF((CRDJ[Sort Code]=(TRIM(G$4)))*(CRDJ[Account Code]=(TRIM($B125)))*(CRDJ[Date]&lt;=$E$7),CRDJ[Credit])))+(SUM(IF((GJ[Sort Code]=(TRIM(G$4)))*(GJ[Account Code]=(TRIM($B125)))*(GJ[Date]&lt;=$E$7),GJ[Credit]))))</f>
        <v>0</v>
      </c>
      <c r="F125" s="245">
        <f t="array" ref="F125">((SUM(IF((CkDJ[Date]=$A$3)*(CkDJ[Sort Code]=(TRIM(G$4)))*(CkDJ[Account Code]=(TRIM($B125))),CkDJ[Debit])))+(SUM(IF((CsDJ[Date]=$A$3)*(CsDJ[Sort Code]=(TRIM(G$4)))*(CsDJ[Account Code]=(TRIM($B125))),CsDJ[Debit])))+(SUM(IF((CRDJ[Date]=$A$3)*(CRDJ[Sort Code]=(TRIM(G$4)))*(CRDJ[Account Code]=(TRIM($B125))),CRDJ[Debit])))+(SUM(IF((GJ[Date]=$A$3)*(GJ[Sort Code]=(TRIM(G$4)))*(GJ[Account Code]=(TRIM($B125))),GJ[Debit]))))-((SUM(IF((CkDJ[Date]=$A$3)*(CkDJ[Sort Code]=(TRIM(G$4)))*(CkDJ[Account Code]=(TRIM($B125))),CkDJ[Credit])))+(SUM(IF((CsDJ[Date]=$A$3)*(CsDJ[Sort Code]=(TRIM(G$4)))*(CsDJ[Account Code]=(TRIM($B125))),CsDJ[Credit])))+(SUM(IF((CRDJ[Date]=$A$3)*(CRDJ[Sort Code]=(TRIM(G$4)))*(CRDJ[Account Code]=(TRIM($B125))),CRDJ[Credit])))+(SUM(IF((GJ[Date]=$A$3)*(GJ[Sort Code]=(TRIM(G$4)))*(GJ[Account Code]=(TRIM($B125))),GJ[Credit]))))</f>
        <v>0</v>
      </c>
      <c r="G125" s="343">
        <f t="shared" si="9"/>
        <v>0</v>
      </c>
      <c r="H125" s="246">
        <f t="shared" si="10"/>
        <v>-35459.75</v>
      </c>
      <c r="I125" s="246">
        <f t="shared" si="11"/>
        <v>0</v>
      </c>
    </row>
    <row r="126" spans="1:9" hidden="1">
      <c r="A126" s="256" t="s">
        <v>317</v>
      </c>
      <c r="B126" s="339" t="s">
        <v>273</v>
      </c>
      <c r="C126" s="245">
        <f t="array" ref="C126">SUM(IF((Budget[Account Code]=B126)*(Budget[Sort Code]=$G$4),(Budget[Amount])))</f>
        <v>0</v>
      </c>
      <c r="D126" s="245">
        <f t="array" ref="D126">SUM(IF((Budget[Account Code]=B126)*(Budget[Sort Code]=$G$4)*(Budget[Date]&lt;=$D$7),(Budget[Amount])))</f>
        <v>0</v>
      </c>
      <c r="E126" s="245">
        <f t="array" ref="E126">((SUM(IF((CkDJ[Sort Code]=(TRIM(G$4)))*(CkDJ[Account Code]=(TRIM($B126)))*(CkDJ[Date]&lt;=$E$7),CkDJ[Debit])))+(SUM(IF((CsDJ[Sort Code]=(TRIM(G$4)))*(CsDJ[Account Code]=(TRIM($B126)))*(CsDJ[Date]&lt;=$E$7),CsDJ[Debit])))+(SUM(IF((CRDJ[Sort Code]=(TRIM(G$4)))*(CRDJ[Account Code]=(TRIM($B126)))*(CRDJ[Date]&lt;=$E$7),CRDJ[Debit])))+(SUM(IF((GJ[Sort Code]=(TRIM(G$4)))*(GJ[Account Code]=(TRIM($B126)))*(GJ[Date]&lt;=$E$7),GJ[Debit]))))-((SUM(IF((CkDJ[Sort Code]=(TRIM(G$4)))*(CkDJ[Account Code]=(TRIM($B126)))*(CkDJ[Date]&lt;=$E$7),CkDJ[Credit])))+(SUM(IF((CsDJ[Sort Code]=(TRIM(G$4)))*(CsDJ[Account Code]=(TRIM($B126)))*(CsDJ[Date]&lt;=$E$7),CsDJ[Credit])))+(SUM(IF((CRDJ[Sort Code]=(TRIM(G$4)))*(CRDJ[Account Code]=(TRIM($B126)))*(CRDJ[Date]&lt;=$E$7),CRDJ[Credit])))+(SUM(IF((GJ[Sort Code]=(TRIM(G$4)))*(GJ[Account Code]=(TRIM($B126)))*(GJ[Date]&lt;=$E$7),GJ[Credit]))))</f>
        <v>0</v>
      </c>
      <c r="F126" s="245">
        <f t="array" ref="F126">((SUM(IF((CkDJ[Date]=$A$3)*(CkDJ[Sort Code]=(TRIM(G$4)))*(CkDJ[Account Code]=(TRIM($B126))),CkDJ[Debit])))+(SUM(IF((CsDJ[Date]=$A$3)*(CsDJ[Sort Code]=(TRIM(G$4)))*(CsDJ[Account Code]=(TRIM($B126))),CsDJ[Debit])))+(SUM(IF((CRDJ[Date]=$A$3)*(CRDJ[Sort Code]=(TRIM(G$4)))*(CRDJ[Account Code]=(TRIM($B126))),CRDJ[Debit])))+(SUM(IF((GJ[Date]=$A$3)*(GJ[Sort Code]=(TRIM(G$4)))*(GJ[Account Code]=(TRIM($B126))),GJ[Debit]))))-((SUM(IF((CkDJ[Date]=$A$3)*(CkDJ[Sort Code]=(TRIM(G$4)))*(CkDJ[Account Code]=(TRIM($B126))),CkDJ[Credit])))+(SUM(IF((CsDJ[Date]=$A$3)*(CsDJ[Sort Code]=(TRIM(G$4)))*(CsDJ[Account Code]=(TRIM($B126))),CsDJ[Credit])))+(SUM(IF((CRDJ[Date]=$A$3)*(CRDJ[Sort Code]=(TRIM(G$4)))*(CRDJ[Account Code]=(TRIM($B126))),CRDJ[Credit])))+(SUM(IF((GJ[Date]=$A$3)*(GJ[Sort Code]=(TRIM(G$4)))*(GJ[Account Code]=(TRIM($B126))),GJ[Credit]))))</f>
        <v>0</v>
      </c>
      <c r="G126" s="343">
        <f t="shared" si="9"/>
        <v>0</v>
      </c>
      <c r="H126" s="246">
        <f t="shared" si="10"/>
        <v>0</v>
      </c>
      <c r="I126" s="246">
        <f t="shared" si="11"/>
        <v>0</v>
      </c>
    </row>
    <row r="127" spans="1:9" hidden="1">
      <c r="A127" s="256" t="s">
        <v>318</v>
      </c>
      <c r="B127" s="339" t="s">
        <v>274</v>
      </c>
      <c r="C127" s="245">
        <f t="array" ref="C127">SUM(IF((Budget[Account Code]=B127)*(Budget[Sort Code]=$G$4),(Budget[Amount])))</f>
        <v>0</v>
      </c>
      <c r="D127" s="245">
        <f t="array" ref="D127">SUM(IF((Budget[Account Code]=B127)*(Budget[Sort Code]=$G$4)*(Budget[Date]&lt;=$D$7),(Budget[Amount])))</f>
        <v>0</v>
      </c>
      <c r="E127" s="245">
        <f t="array" ref="E127">((SUM(IF((CkDJ[Sort Code]=(TRIM(G$4)))*(CkDJ[Account Code]=(TRIM($B127)))*(CkDJ[Date]&lt;=$E$7),CkDJ[Debit])))+(SUM(IF((CsDJ[Sort Code]=(TRIM(G$4)))*(CsDJ[Account Code]=(TRIM($B127)))*(CsDJ[Date]&lt;=$E$7),CsDJ[Debit])))+(SUM(IF((CRDJ[Sort Code]=(TRIM(G$4)))*(CRDJ[Account Code]=(TRIM($B127)))*(CRDJ[Date]&lt;=$E$7),CRDJ[Debit])))+(SUM(IF((GJ[Sort Code]=(TRIM(G$4)))*(GJ[Account Code]=(TRIM($B127)))*(GJ[Date]&lt;=$E$7),GJ[Debit]))))-((SUM(IF((CkDJ[Sort Code]=(TRIM(G$4)))*(CkDJ[Account Code]=(TRIM($B127)))*(CkDJ[Date]&lt;=$E$7),CkDJ[Credit])))+(SUM(IF((CsDJ[Sort Code]=(TRIM(G$4)))*(CsDJ[Account Code]=(TRIM($B127)))*(CsDJ[Date]&lt;=$E$7),CsDJ[Credit])))+(SUM(IF((CRDJ[Sort Code]=(TRIM(G$4)))*(CRDJ[Account Code]=(TRIM($B127)))*(CRDJ[Date]&lt;=$E$7),CRDJ[Credit])))+(SUM(IF((GJ[Sort Code]=(TRIM(G$4)))*(GJ[Account Code]=(TRIM($B127)))*(GJ[Date]&lt;=$E$7),GJ[Credit]))))</f>
        <v>0</v>
      </c>
      <c r="F127" s="245">
        <f t="array" ref="F127">((SUM(IF((CkDJ[Date]=$A$3)*(CkDJ[Sort Code]=(TRIM(G$4)))*(CkDJ[Account Code]=(TRIM($B127))),CkDJ[Debit])))+(SUM(IF((CsDJ[Date]=$A$3)*(CsDJ[Sort Code]=(TRIM(G$4)))*(CsDJ[Account Code]=(TRIM($B127))),CsDJ[Debit])))+(SUM(IF((CRDJ[Date]=$A$3)*(CRDJ[Sort Code]=(TRIM(G$4)))*(CRDJ[Account Code]=(TRIM($B127))),CRDJ[Debit])))+(SUM(IF((GJ[Date]=$A$3)*(GJ[Sort Code]=(TRIM(G$4)))*(GJ[Account Code]=(TRIM($B127))),GJ[Debit]))))-((SUM(IF((CkDJ[Date]=$A$3)*(CkDJ[Sort Code]=(TRIM(G$4)))*(CkDJ[Account Code]=(TRIM($B127))),CkDJ[Credit])))+(SUM(IF((CsDJ[Date]=$A$3)*(CsDJ[Sort Code]=(TRIM(G$4)))*(CsDJ[Account Code]=(TRIM($B127))),CsDJ[Credit])))+(SUM(IF((CRDJ[Date]=$A$3)*(CRDJ[Sort Code]=(TRIM(G$4)))*(CRDJ[Account Code]=(TRIM($B127))),CRDJ[Credit])))+(SUM(IF((GJ[Date]=$A$3)*(GJ[Sort Code]=(TRIM(G$4)))*(GJ[Account Code]=(TRIM($B127))),GJ[Credit]))))</f>
        <v>0</v>
      </c>
      <c r="G127" s="343">
        <f t="shared" si="9"/>
        <v>0</v>
      </c>
      <c r="H127" s="246">
        <f t="shared" si="10"/>
        <v>0</v>
      </c>
      <c r="I127" s="246">
        <f t="shared" si="11"/>
        <v>0</v>
      </c>
    </row>
    <row r="128" spans="1:9" hidden="1">
      <c r="A128" s="256" t="s">
        <v>1028</v>
      </c>
      <c r="B128" s="339" t="s">
        <v>332</v>
      </c>
      <c r="C128" s="245">
        <f t="array" ref="C128">SUM(IF((Budget[Account Code]=B128)*(Budget[Sort Code]=$G$4),(Budget[Amount])))</f>
        <v>0</v>
      </c>
      <c r="D128" s="245">
        <f t="array" ref="D128">SUM(IF((Budget[Account Code]=B128)*(Budget[Sort Code]=$G$4)*(Budget[Date]&lt;=$D$7),(Budget[Amount])))</f>
        <v>0</v>
      </c>
      <c r="E128" s="245">
        <f t="array" ref="E128">((SUM(IF((CkDJ[Sort Code]=(TRIM(G$4)))*(CkDJ[Account Code]=(TRIM($B128)))*(CkDJ[Date]&lt;=$E$7),CkDJ[Debit])))+(SUM(IF((CsDJ[Sort Code]=(TRIM(G$4)))*(CsDJ[Account Code]=(TRIM($B128)))*(CsDJ[Date]&lt;=$E$7),CsDJ[Debit])))+(SUM(IF((CRDJ[Sort Code]=(TRIM(G$4)))*(CRDJ[Account Code]=(TRIM($B128)))*(CRDJ[Date]&lt;=$E$7),CRDJ[Debit])))+(SUM(IF((GJ[Sort Code]=(TRIM(G$4)))*(GJ[Account Code]=(TRIM($B128)))*(GJ[Date]&lt;=$E$7),GJ[Debit]))))-((SUM(IF((CkDJ[Sort Code]=(TRIM(G$4)))*(CkDJ[Account Code]=(TRIM($B128)))*(CkDJ[Date]&lt;=$E$7),CkDJ[Credit])))+(SUM(IF((CsDJ[Sort Code]=(TRIM(G$4)))*(CsDJ[Account Code]=(TRIM($B128)))*(CsDJ[Date]&lt;=$E$7),CsDJ[Credit])))+(SUM(IF((CRDJ[Sort Code]=(TRIM(G$4)))*(CRDJ[Account Code]=(TRIM($B128)))*(CRDJ[Date]&lt;=$E$7),CRDJ[Credit])))+(SUM(IF((GJ[Sort Code]=(TRIM(G$4)))*(GJ[Account Code]=(TRIM($B128)))*(GJ[Date]&lt;=$E$7),GJ[Credit]))))</f>
        <v>0</v>
      </c>
      <c r="F128" s="245">
        <f t="array" ref="F128">((SUM(IF((CkDJ[Date]=$A$3)*(CkDJ[Sort Code]=(TRIM(G$4)))*(CkDJ[Account Code]=(TRIM($B128))),CkDJ[Debit])))+(SUM(IF((CsDJ[Date]=$A$3)*(CsDJ[Sort Code]=(TRIM(G$4)))*(CsDJ[Account Code]=(TRIM($B128))),CsDJ[Debit])))+(SUM(IF((CRDJ[Date]=$A$3)*(CRDJ[Sort Code]=(TRIM(G$4)))*(CRDJ[Account Code]=(TRIM($B128))),CRDJ[Debit])))+(SUM(IF((GJ[Date]=$A$3)*(GJ[Sort Code]=(TRIM(G$4)))*(GJ[Account Code]=(TRIM($B128))),GJ[Debit]))))-((SUM(IF((CkDJ[Date]=$A$3)*(CkDJ[Sort Code]=(TRIM(G$4)))*(CkDJ[Account Code]=(TRIM($B128))),CkDJ[Credit])))+(SUM(IF((CsDJ[Date]=$A$3)*(CsDJ[Sort Code]=(TRIM(G$4)))*(CsDJ[Account Code]=(TRIM($B128))),CsDJ[Credit])))+(SUM(IF((CRDJ[Date]=$A$3)*(CRDJ[Sort Code]=(TRIM(G$4)))*(CRDJ[Account Code]=(TRIM($B128))),CRDJ[Credit])))+(SUM(IF((GJ[Date]=$A$3)*(GJ[Sort Code]=(TRIM(G$4)))*(GJ[Account Code]=(TRIM($B128))),GJ[Credit]))))</f>
        <v>0</v>
      </c>
      <c r="G128" s="343">
        <f t="shared" si="9"/>
        <v>0</v>
      </c>
      <c r="H128" s="246">
        <f t="shared" si="10"/>
        <v>0</v>
      </c>
      <c r="I128" s="246">
        <f t="shared" si="11"/>
        <v>0</v>
      </c>
    </row>
    <row r="129" spans="1:9" hidden="1">
      <c r="A129" s="256" t="s">
        <v>343</v>
      </c>
      <c r="B129" s="339" t="s">
        <v>334</v>
      </c>
      <c r="C129" s="245">
        <f t="array" ref="C129">SUM(IF((Budget[Account Code]=B129)*(Budget[Sort Code]=$G$4),(Budget[Amount])))</f>
        <v>0</v>
      </c>
      <c r="D129" s="245">
        <f t="array" ref="D129">SUM(IF((Budget[Account Code]=B129)*(Budget[Sort Code]=$G$4)*(Budget[Date]&lt;=$D$7),(Budget[Amount])))</f>
        <v>0</v>
      </c>
      <c r="E129" s="245">
        <f t="array" ref="E129">((SUM(IF((CkDJ[Sort Code]=(TRIM(G$4)))*(CkDJ[Account Code]=(TRIM($B129)))*(CkDJ[Date]&lt;=$E$7),CkDJ[Debit])))+(SUM(IF((CsDJ[Sort Code]=(TRIM(G$4)))*(CsDJ[Account Code]=(TRIM($B129)))*(CsDJ[Date]&lt;=$E$7),CsDJ[Debit])))+(SUM(IF((CRDJ[Sort Code]=(TRIM(G$4)))*(CRDJ[Account Code]=(TRIM($B129)))*(CRDJ[Date]&lt;=$E$7),CRDJ[Debit])))+(SUM(IF((GJ[Sort Code]=(TRIM(G$4)))*(GJ[Account Code]=(TRIM($B129)))*(GJ[Date]&lt;=$E$7),GJ[Debit]))))-((SUM(IF((CkDJ[Sort Code]=(TRIM(G$4)))*(CkDJ[Account Code]=(TRIM($B129)))*(CkDJ[Date]&lt;=$E$7),CkDJ[Credit])))+(SUM(IF((CsDJ[Sort Code]=(TRIM(G$4)))*(CsDJ[Account Code]=(TRIM($B129)))*(CsDJ[Date]&lt;=$E$7),CsDJ[Credit])))+(SUM(IF((CRDJ[Sort Code]=(TRIM(G$4)))*(CRDJ[Account Code]=(TRIM($B129)))*(CRDJ[Date]&lt;=$E$7),CRDJ[Credit])))+(SUM(IF((GJ[Sort Code]=(TRIM(G$4)))*(GJ[Account Code]=(TRIM($B129)))*(GJ[Date]&lt;=$E$7),GJ[Credit]))))</f>
        <v>0</v>
      </c>
      <c r="F129" s="245">
        <f t="array" ref="F129">((SUM(IF((CkDJ[Date]=$A$3)*(CkDJ[Sort Code]=(TRIM(G$4)))*(CkDJ[Account Code]=(TRIM($B129))),CkDJ[Debit])))+(SUM(IF((CsDJ[Date]=$A$3)*(CsDJ[Sort Code]=(TRIM(G$4)))*(CsDJ[Account Code]=(TRIM($B129))),CsDJ[Debit])))+(SUM(IF((CRDJ[Date]=$A$3)*(CRDJ[Sort Code]=(TRIM(G$4)))*(CRDJ[Account Code]=(TRIM($B129))),CRDJ[Debit])))+(SUM(IF((GJ[Date]=$A$3)*(GJ[Sort Code]=(TRIM(G$4)))*(GJ[Account Code]=(TRIM($B129))),GJ[Debit]))))-((SUM(IF((CkDJ[Date]=$A$3)*(CkDJ[Sort Code]=(TRIM(G$4)))*(CkDJ[Account Code]=(TRIM($B129))),CkDJ[Credit])))+(SUM(IF((CsDJ[Date]=$A$3)*(CsDJ[Sort Code]=(TRIM(G$4)))*(CsDJ[Account Code]=(TRIM($B129))),CsDJ[Credit])))+(SUM(IF((CRDJ[Date]=$A$3)*(CRDJ[Sort Code]=(TRIM(G$4)))*(CRDJ[Account Code]=(TRIM($B129))),CRDJ[Credit])))+(SUM(IF((GJ[Date]=$A$3)*(GJ[Sort Code]=(TRIM(G$4)))*(GJ[Account Code]=(TRIM($B129))),GJ[Credit]))))</f>
        <v>0</v>
      </c>
      <c r="G129" s="343">
        <f t="shared" si="9"/>
        <v>0</v>
      </c>
      <c r="H129" s="246">
        <f t="shared" si="10"/>
        <v>0</v>
      </c>
      <c r="I129" s="246">
        <f t="shared" si="11"/>
        <v>0</v>
      </c>
    </row>
    <row r="130" spans="1:9" hidden="1">
      <c r="A130" s="256" t="s">
        <v>344</v>
      </c>
      <c r="B130" s="339" t="s">
        <v>335</v>
      </c>
      <c r="C130" s="245">
        <f t="array" ref="C130">SUM(IF((Budget[Account Code]=B130)*(Budget[Sort Code]=$G$4),(Budget[Amount])))</f>
        <v>0</v>
      </c>
      <c r="D130" s="245">
        <f t="array" ref="D130">SUM(IF((Budget[Account Code]=B130)*(Budget[Sort Code]=$G$4)*(Budget[Date]&lt;=$D$7),(Budget[Amount])))</f>
        <v>0</v>
      </c>
      <c r="E130" s="245">
        <f t="array" ref="E130">((SUM(IF((CkDJ[Sort Code]=(TRIM(G$4)))*(CkDJ[Account Code]=(TRIM($B130)))*(CkDJ[Date]&lt;=$E$7),CkDJ[Debit])))+(SUM(IF((CsDJ[Sort Code]=(TRIM(G$4)))*(CsDJ[Account Code]=(TRIM($B130)))*(CsDJ[Date]&lt;=$E$7),CsDJ[Debit])))+(SUM(IF((CRDJ[Sort Code]=(TRIM(G$4)))*(CRDJ[Account Code]=(TRIM($B130)))*(CRDJ[Date]&lt;=$E$7),CRDJ[Debit])))+(SUM(IF((GJ[Sort Code]=(TRIM(G$4)))*(GJ[Account Code]=(TRIM($B130)))*(GJ[Date]&lt;=$E$7),GJ[Debit]))))-((SUM(IF((CkDJ[Sort Code]=(TRIM(G$4)))*(CkDJ[Account Code]=(TRIM($B130)))*(CkDJ[Date]&lt;=$E$7),CkDJ[Credit])))+(SUM(IF((CsDJ[Sort Code]=(TRIM(G$4)))*(CsDJ[Account Code]=(TRIM($B130)))*(CsDJ[Date]&lt;=$E$7),CsDJ[Credit])))+(SUM(IF((CRDJ[Sort Code]=(TRIM(G$4)))*(CRDJ[Account Code]=(TRIM($B130)))*(CRDJ[Date]&lt;=$E$7),CRDJ[Credit])))+(SUM(IF((GJ[Sort Code]=(TRIM(G$4)))*(GJ[Account Code]=(TRIM($B130)))*(GJ[Date]&lt;=$E$7),GJ[Credit]))))</f>
        <v>0</v>
      </c>
      <c r="F130" s="245">
        <f t="array" ref="F130">((SUM(IF((CkDJ[Date]=$A$3)*(CkDJ[Sort Code]=(TRIM(G$4)))*(CkDJ[Account Code]=(TRIM($B130))),CkDJ[Debit])))+(SUM(IF((CsDJ[Date]=$A$3)*(CsDJ[Sort Code]=(TRIM(G$4)))*(CsDJ[Account Code]=(TRIM($B130))),CsDJ[Debit])))+(SUM(IF((CRDJ[Date]=$A$3)*(CRDJ[Sort Code]=(TRIM(G$4)))*(CRDJ[Account Code]=(TRIM($B130))),CRDJ[Debit])))+(SUM(IF((GJ[Date]=$A$3)*(GJ[Sort Code]=(TRIM(G$4)))*(GJ[Account Code]=(TRIM($B130))),GJ[Debit]))))-((SUM(IF((CkDJ[Date]=$A$3)*(CkDJ[Sort Code]=(TRIM(G$4)))*(CkDJ[Account Code]=(TRIM($B130))),CkDJ[Credit])))+(SUM(IF((CsDJ[Date]=$A$3)*(CsDJ[Sort Code]=(TRIM(G$4)))*(CsDJ[Account Code]=(TRIM($B130))),CsDJ[Credit])))+(SUM(IF((CRDJ[Date]=$A$3)*(CRDJ[Sort Code]=(TRIM(G$4)))*(CRDJ[Account Code]=(TRIM($B130))),CRDJ[Credit])))+(SUM(IF((GJ[Date]=$A$3)*(GJ[Sort Code]=(TRIM(G$4)))*(GJ[Account Code]=(TRIM($B130))),GJ[Credit]))))</f>
        <v>0</v>
      </c>
      <c r="G130" s="343">
        <f t="shared" si="9"/>
        <v>0</v>
      </c>
      <c r="H130" s="246">
        <f t="shared" si="10"/>
        <v>0</v>
      </c>
      <c r="I130" s="246">
        <f t="shared" si="11"/>
        <v>0</v>
      </c>
    </row>
    <row r="131" spans="1:9" hidden="1">
      <c r="A131" s="256" t="s">
        <v>368</v>
      </c>
      <c r="B131" s="339" t="s">
        <v>405</v>
      </c>
      <c r="C131" s="245">
        <f t="array" ref="C131">SUM(IF((Budget[Account Code]=B131)*(Budget[Sort Code]=$G$4),(Budget[Amount])))</f>
        <v>0</v>
      </c>
      <c r="D131" s="245">
        <f t="array" ref="D131">SUM(IF((Budget[Account Code]=B131)*(Budget[Sort Code]=$G$4)*(Budget[Date]&lt;=$D$7),(Budget[Amount])))</f>
        <v>0</v>
      </c>
      <c r="E131" s="245">
        <f t="array" ref="E131">((SUM(IF((CkDJ[Sort Code]=(TRIM(G$4)))*(CkDJ[Account Code]=(TRIM($B131)))*(CkDJ[Date]&lt;=$E$7),CkDJ[Debit])))+(SUM(IF((CsDJ[Sort Code]=(TRIM(G$4)))*(CsDJ[Account Code]=(TRIM($B131)))*(CsDJ[Date]&lt;=$E$7),CsDJ[Debit])))+(SUM(IF((CRDJ[Sort Code]=(TRIM(G$4)))*(CRDJ[Account Code]=(TRIM($B131)))*(CRDJ[Date]&lt;=$E$7),CRDJ[Debit])))+(SUM(IF((GJ[Sort Code]=(TRIM(G$4)))*(GJ[Account Code]=(TRIM($B131)))*(GJ[Date]&lt;=$E$7),GJ[Debit]))))-((SUM(IF((CkDJ[Sort Code]=(TRIM(G$4)))*(CkDJ[Account Code]=(TRIM($B131)))*(CkDJ[Date]&lt;=$E$7),CkDJ[Credit])))+(SUM(IF((CsDJ[Sort Code]=(TRIM(G$4)))*(CsDJ[Account Code]=(TRIM($B131)))*(CsDJ[Date]&lt;=$E$7),CsDJ[Credit])))+(SUM(IF((CRDJ[Sort Code]=(TRIM(G$4)))*(CRDJ[Account Code]=(TRIM($B131)))*(CRDJ[Date]&lt;=$E$7),CRDJ[Credit])))+(SUM(IF((GJ[Sort Code]=(TRIM(G$4)))*(GJ[Account Code]=(TRIM($B131)))*(GJ[Date]&lt;=$E$7),GJ[Credit]))))</f>
        <v>0</v>
      </c>
      <c r="F131" s="245">
        <f t="array" ref="F131">((SUM(IF((CkDJ[Date]=$A$3)*(CkDJ[Sort Code]=(TRIM(G$4)))*(CkDJ[Account Code]=(TRIM($B131))),CkDJ[Debit])))+(SUM(IF((CsDJ[Date]=$A$3)*(CsDJ[Sort Code]=(TRIM(G$4)))*(CsDJ[Account Code]=(TRIM($B131))),CsDJ[Debit])))+(SUM(IF((CRDJ[Date]=$A$3)*(CRDJ[Sort Code]=(TRIM(G$4)))*(CRDJ[Account Code]=(TRIM($B131))),CRDJ[Debit])))+(SUM(IF((GJ[Date]=$A$3)*(GJ[Sort Code]=(TRIM(G$4)))*(GJ[Account Code]=(TRIM($B131))),GJ[Debit]))))-((SUM(IF((CkDJ[Date]=$A$3)*(CkDJ[Sort Code]=(TRIM(G$4)))*(CkDJ[Account Code]=(TRIM($B131))),CkDJ[Credit])))+(SUM(IF((CsDJ[Date]=$A$3)*(CsDJ[Sort Code]=(TRIM(G$4)))*(CsDJ[Account Code]=(TRIM($B131))),CsDJ[Credit])))+(SUM(IF((CRDJ[Date]=$A$3)*(CRDJ[Sort Code]=(TRIM(G$4)))*(CRDJ[Account Code]=(TRIM($B131))),CRDJ[Credit])))+(SUM(IF((GJ[Date]=$A$3)*(GJ[Sort Code]=(TRIM(G$4)))*(GJ[Account Code]=(TRIM($B131))),GJ[Credit]))))</f>
        <v>0</v>
      </c>
      <c r="G131" s="343">
        <f t="shared" si="9"/>
        <v>0</v>
      </c>
      <c r="H131" s="246">
        <f t="shared" si="10"/>
        <v>0</v>
      </c>
      <c r="I131" s="246">
        <f t="shared" si="11"/>
        <v>0</v>
      </c>
    </row>
    <row r="132" spans="1:9" hidden="1">
      <c r="A132" s="256" t="s">
        <v>345</v>
      </c>
      <c r="B132" s="339" t="s">
        <v>336</v>
      </c>
      <c r="C132" s="245">
        <f t="array" ref="C132">SUM(IF((Budget[Account Code]=B132)*(Budget[Sort Code]=$G$4),(Budget[Amount])))</f>
        <v>0</v>
      </c>
      <c r="D132" s="245">
        <f t="array" ref="D132">SUM(IF((Budget[Account Code]=B132)*(Budget[Sort Code]=$G$4)*(Budget[Date]&lt;=$D$7),(Budget[Amount])))</f>
        <v>0</v>
      </c>
      <c r="E132" s="245">
        <f t="array" ref="E132">((SUM(IF((CkDJ[Sort Code]=(TRIM(G$4)))*(CkDJ[Account Code]=(TRIM($B132)))*(CkDJ[Date]&lt;=$E$7),CkDJ[Debit])))+(SUM(IF((CsDJ[Sort Code]=(TRIM(G$4)))*(CsDJ[Account Code]=(TRIM($B132)))*(CsDJ[Date]&lt;=$E$7),CsDJ[Debit])))+(SUM(IF((CRDJ[Sort Code]=(TRIM(G$4)))*(CRDJ[Account Code]=(TRIM($B132)))*(CRDJ[Date]&lt;=$E$7),CRDJ[Debit])))+(SUM(IF((GJ[Sort Code]=(TRIM(G$4)))*(GJ[Account Code]=(TRIM($B132)))*(GJ[Date]&lt;=$E$7),GJ[Debit]))))-((SUM(IF((CkDJ[Sort Code]=(TRIM(G$4)))*(CkDJ[Account Code]=(TRIM($B132)))*(CkDJ[Date]&lt;=$E$7),CkDJ[Credit])))+(SUM(IF((CsDJ[Sort Code]=(TRIM(G$4)))*(CsDJ[Account Code]=(TRIM($B132)))*(CsDJ[Date]&lt;=$E$7),CsDJ[Credit])))+(SUM(IF((CRDJ[Sort Code]=(TRIM(G$4)))*(CRDJ[Account Code]=(TRIM($B132)))*(CRDJ[Date]&lt;=$E$7),CRDJ[Credit])))+(SUM(IF((GJ[Sort Code]=(TRIM(G$4)))*(GJ[Account Code]=(TRIM($B132)))*(GJ[Date]&lt;=$E$7),GJ[Credit]))))</f>
        <v>0</v>
      </c>
      <c r="F132" s="245">
        <f t="array" ref="F132">((SUM(IF((CkDJ[Date]=$A$3)*(CkDJ[Sort Code]=(TRIM(G$4)))*(CkDJ[Account Code]=(TRIM($B132))),CkDJ[Debit])))+(SUM(IF((CsDJ[Date]=$A$3)*(CsDJ[Sort Code]=(TRIM(G$4)))*(CsDJ[Account Code]=(TRIM($B132))),CsDJ[Debit])))+(SUM(IF((CRDJ[Date]=$A$3)*(CRDJ[Sort Code]=(TRIM(G$4)))*(CRDJ[Account Code]=(TRIM($B132))),CRDJ[Debit])))+(SUM(IF((GJ[Date]=$A$3)*(GJ[Sort Code]=(TRIM(G$4)))*(GJ[Account Code]=(TRIM($B132))),GJ[Debit]))))-((SUM(IF((CkDJ[Date]=$A$3)*(CkDJ[Sort Code]=(TRIM(G$4)))*(CkDJ[Account Code]=(TRIM($B132))),CkDJ[Credit])))+(SUM(IF((CsDJ[Date]=$A$3)*(CsDJ[Sort Code]=(TRIM(G$4)))*(CsDJ[Account Code]=(TRIM($B132))),CsDJ[Credit])))+(SUM(IF((CRDJ[Date]=$A$3)*(CRDJ[Sort Code]=(TRIM(G$4)))*(CRDJ[Account Code]=(TRIM($B132))),CRDJ[Credit])))+(SUM(IF((GJ[Date]=$A$3)*(GJ[Sort Code]=(TRIM(G$4)))*(GJ[Account Code]=(TRIM($B132))),GJ[Credit]))))</f>
        <v>0</v>
      </c>
      <c r="G132" s="343">
        <f t="shared" si="9"/>
        <v>0</v>
      </c>
      <c r="H132" s="246">
        <f t="shared" si="10"/>
        <v>0</v>
      </c>
      <c r="I132" s="246">
        <f t="shared" si="11"/>
        <v>0</v>
      </c>
    </row>
    <row r="133" spans="1:9" hidden="1">
      <c r="A133" s="256" t="s">
        <v>346</v>
      </c>
      <c r="B133" s="339" t="s">
        <v>337</v>
      </c>
      <c r="C133" s="245">
        <f t="array" ref="C133">SUM(IF((Budget[Account Code]=B133)*(Budget[Sort Code]=$G$4),(Budget[Amount])))</f>
        <v>0</v>
      </c>
      <c r="D133" s="245">
        <f t="array" ref="D133">SUM(IF((Budget[Account Code]=B133)*(Budget[Sort Code]=$G$4)*(Budget[Date]&lt;=$D$7),(Budget[Amount])))</f>
        <v>0</v>
      </c>
      <c r="E133" s="245">
        <f t="array" ref="E133">((SUM(IF((CkDJ[Sort Code]=(TRIM(G$4)))*(CkDJ[Account Code]=(TRIM($B133)))*(CkDJ[Date]&lt;=$E$7),CkDJ[Debit])))+(SUM(IF((CsDJ[Sort Code]=(TRIM(G$4)))*(CsDJ[Account Code]=(TRIM($B133)))*(CsDJ[Date]&lt;=$E$7),CsDJ[Debit])))+(SUM(IF((CRDJ[Sort Code]=(TRIM(G$4)))*(CRDJ[Account Code]=(TRIM($B133)))*(CRDJ[Date]&lt;=$E$7),CRDJ[Debit])))+(SUM(IF((GJ[Sort Code]=(TRIM(G$4)))*(GJ[Account Code]=(TRIM($B133)))*(GJ[Date]&lt;=$E$7),GJ[Debit]))))-((SUM(IF((CkDJ[Sort Code]=(TRIM(G$4)))*(CkDJ[Account Code]=(TRIM($B133)))*(CkDJ[Date]&lt;=$E$7),CkDJ[Credit])))+(SUM(IF((CsDJ[Sort Code]=(TRIM(G$4)))*(CsDJ[Account Code]=(TRIM($B133)))*(CsDJ[Date]&lt;=$E$7),CsDJ[Credit])))+(SUM(IF((CRDJ[Sort Code]=(TRIM(G$4)))*(CRDJ[Account Code]=(TRIM($B133)))*(CRDJ[Date]&lt;=$E$7),CRDJ[Credit])))+(SUM(IF((GJ[Sort Code]=(TRIM(G$4)))*(GJ[Account Code]=(TRIM($B133)))*(GJ[Date]&lt;=$E$7),GJ[Credit]))))</f>
        <v>0</v>
      </c>
      <c r="F133" s="245">
        <f t="array" ref="F133">((SUM(IF((CkDJ[Date]=$A$3)*(CkDJ[Sort Code]=(TRIM(G$4)))*(CkDJ[Account Code]=(TRIM($B133))),CkDJ[Debit])))+(SUM(IF((CsDJ[Date]=$A$3)*(CsDJ[Sort Code]=(TRIM(G$4)))*(CsDJ[Account Code]=(TRIM($B133))),CsDJ[Debit])))+(SUM(IF((CRDJ[Date]=$A$3)*(CRDJ[Sort Code]=(TRIM(G$4)))*(CRDJ[Account Code]=(TRIM($B133))),CRDJ[Debit])))+(SUM(IF((GJ[Date]=$A$3)*(GJ[Sort Code]=(TRIM(G$4)))*(GJ[Account Code]=(TRIM($B133))),GJ[Debit]))))-((SUM(IF((CkDJ[Date]=$A$3)*(CkDJ[Sort Code]=(TRIM(G$4)))*(CkDJ[Account Code]=(TRIM($B133))),CkDJ[Credit])))+(SUM(IF((CsDJ[Date]=$A$3)*(CsDJ[Sort Code]=(TRIM(G$4)))*(CsDJ[Account Code]=(TRIM($B133))),CsDJ[Credit])))+(SUM(IF((CRDJ[Date]=$A$3)*(CRDJ[Sort Code]=(TRIM(G$4)))*(CRDJ[Account Code]=(TRIM($B133))),CRDJ[Credit])))+(SUM(IF((GJ[Date]=$A$3)*(GJ[Sort Code]=(TRIM(G$4)))*(GJ[Account Code]=(TRIM($B133))),GJ[Credit]))))</f>
        <v>0</v>
      </c>
      <c r="G133" s="343">
        <f t="shared" si="9"/>
        <v>0</v>
      </c>
      <c r="H133" s="246">
        <f t="shared" si="10"/>
        <v>0</v>
      </c>
      <c r="I133" s="246">
        <f t="shared" si="11"/>
        <v>0</v>
      </c>
    </row>
    <row r="134" spans="1:9" hidden="1">
      <c r="A134" s="256" t="s">
        <v>1030</v>
      </c>
      <c r="B134" s="339" t="s">
        <v>986</v>
      </c>
      <c r="C134" s="245">
        <f t="array" ref="C134">SUM(IF((Budget[Account Code]=B134)*(Budget[Sort Code]=$G$4),(Budget[Amount])))</f>
        <v>0</v>
      </c>
      <c r="D134" s="245">
        <f t="array" ref="D134">SUM(IF((Budget[Account Code]=B134)*(Budget[Sort Code]=$G$4)*(Budget[Date]&lt;=$D$7),(Budget[Amount])))</f>
        <v>0</v>
      </c>
      <c r="E134" s="245">
        <f t="array" ref="E134">((SUM(IF((CkDJ[Sort Code]=(TRIM(G$4)))*(CkDJ[Account Code]=(TRIM($B134)))*(CkDJ[Date]&lt;=$E$7),CkDJ[Debit])))+(SUM(IF((CsDJ[Sort Code]=(TRIM(G$4)))*(CsDJ[Account Code]=(TRIM($B134)))*(CsDJ[Date]&lt;=$E$7),CsDJ[Debit])))+(SUM(IF((CRDJ[Sort Code]=(TRIM(G$4)))*(CRDJ[Account Code]=(TRIM($B134)))*(CRDJ[Date]&lt;=$E$7),CRDJ[Debit])))+(SUM(IF((GJ[Sort Code]=(TRIM(G$4)))*(GJ[Account Code]=(TRIM($B134)))*(GJ[Date]&lt;=$E$7),GJ[Debit]))))-((SUM(IF((CkDJ[Sort Code]=(TRIM(G$4)))*(CkDJ[Account Code]=(TRIM($B134)))*(CkDJ[Date]&lt;=$E$7),CkDJ[Credit])))+(SUM(IF((CsDJ[Sort Code]=(TRIM(G$4)))*(CsDJ[Account Code]=(TRIM($B134)))*(CsDJ[Date]&lt;=$E$7),CsDJ[Credit])))+(SUM(IF((CRDJ[Sort Code]=(TRIM(G$4)))*(CRDJ[Account Code]=(TRIM($B134)))*(CRDJ[Date]&lt;=$E$7),CRDJ[Credit])))+(SUM(IF((GJ[Sort Code]=(TRIM(G$4)))*(GJ[Account Code]=(TRIM($B134)))*(GJ[Date]&lt;=$E$7),GJ[Credit]))))</f>
        <v>0</v>
      </c>
      <c r="F134" s="245">
        <f t="array" ref="F134">((SUM(IF((CkDJ[Date]=$A$3)*(CkDJ[Sort Code]=(TRIM(G$4)))*(CkDJ[Account Code]=(TRIM($B134))),CkDJ[Debit])))+(SUM(IF((CsDJ[Date]=$A$3)*(CsDJ[Sort Code]=(TRIM(G$4)))*(CsDJ[Account Code]=(TRIM($B134))),CsDJ[Debit])))+(SUM(IF((CRDJ[Date]=$A$3)*(CRDJ[Sort Code]=(TRIM(G$4)))*(CRDJ[Account Code]=(TRIM($B134))),CRDJ[Debit])))+(SUM(IF((GJ[Date]=$A$3)*(GJ[Sort Code]=(TRIM(G$4)))*(GJ[Account Code]=(TRIM($B134))),GJ[Debit]))))-((SUM(IF((CkDJ[Date]=$A$3)*(CkDJ[Sort Code]=(TRIM(G$4)))*(CkDJ[Account Code]=(TRIM($B134))),CkDJ[Credit])))+(SUM(IF((CsDJ[Date]=$A$3)*(CsDJ[Sort Code]=(TRIM(G$4)))*(CsDJ[Account Code]=(TRIM($B134))),CsDJ[Credit])))+(SUM(IF((CRDJ[Date]=$A$3)*(CRDJ[Sort Code]=(TRIM(G$4)))*(CRDJ[Account Code]=(TRIM($B134))),CRDJ[Credit])))+(SUM(IF((GJ[Date]=$A$3)*(GJ[Sort Code]=(TRIM(G$4)))*(GJ[Account Code]=(TRIM($B134))),GJ[Credit]))))</f>
        <v>0</v>
      </c>
      <c r="G134" s="343">
        <f t="shared" si="9"/>
        <v>0</v>
      </c>
      <c r="H134" s="246">
        <f t="shared" si="10"/>
        <v>0</v>
      </c>
      <c r="I134" s="246">
        <f t="shared" si="11"/>
        <v>0</v>
      </c>
    </row>
    <row r="135" spans="1:9" hidden="1">
      <c r="A135" s="256" t="s">
        <v>1029</v>
      </c>
      <c r="B135" s="339" t="s">
        <v>987</v>
      </c>
      <c r="C135" s="245">
        <f t="array" ref="C135">SUM(IF((Budget[Account Code]=B135)*(Budget[Sort Code]=$G$4),(Budget[Amount])))</f>
        <v>0</v>
      </c>
      <c r="D135" s="245">
        <f t="array" ref="D135">SUM(IF((Budget[Account Code]=B135)*(Budget[Sort Code]=$G$4)*(Budget[Date]&lt;=$D$7),(Budget[Amount])))</f>
        <v>0</v>
      </c>
      <c r="E135" s="245">
        <f t="array" ref="E135">((SUM(IF((CkDJ[Sort Code]=(TRIM(G$4)))*(CkDJ[Account Code]=(TRIM($B135)))*(CkDJ[Date]&lt;=$E$7),CkDJ[Debit])))+(SUM(IF((CsDJ[Sort Code]=(TRIM(G$4)))*(CsDJ[Account Code]=(TRIM($B135)))*(CsDJ[Date]&lt;=$E$7),CsDJ[Debit])))+(SUM(IF((CRDJ[Sort Code]=(TRIM(G$4)))*(CRDJ[Account Code]=(TRIM($B135)))*(CRDJ[Date]&lt;=$E$7),CRDJ[Debit])))+(SUM(IF((GJ[Sort Code]=(TRIM(G$4)))*(GJ[Account Code]=(TRIM($B135)))*(GJ[Date]&lt;=$E$7),GJ[Debit]))))-((SUM(IF((CkDJ[Sort Code]=(TRIM(G$4)))*(CkDJ[Account Code]=(TRIM($B135)))*(CkDJ[Date]&lt;=$E$7),CkDJ[Credit])))+(SUM(IF((CsDJ[Sort Code]=(TRIM(G$4)))*(CsDJ[Account Code]=(TRIM($B135)))*(CsDJ[Date]&lt;=$E$7),CsDJ[Credit])))+(SUM(IF((CRDJ[Sort Code]=(TRIM(G$4)))*(CRDJ[Account Code]=(TRIM($B135)))*(CRDJ[Date]&lt;=$E$7),CRDJ[Credit])))+(SUM(IF((GJ[Sort Code]=(TRIM(G$4)))*(GJ[Account Code]=(TRIM($B135)))*(GJ[Date]&lt;=$E$7),GJ[Credit]))))</f>
        <v>0</v>
      </c>
      <c r="F135" s="245">
        <f t="array" ref="F135">((SUM(IF((CkDJ[Date]=$A$3)*(CkDJ[Sort Code]=(TRIM(G$4)))*(CkDJ[Account Code]=(TRIM($B135))),CkDJ[Debit])))+(SUM(IF((CsDJ[Date]=$A$3)*(CsDJ[Sort Code]=(TRIM(G$4)))*(CsDJ[Account Code]=(TRIM($B135))),CsDJ[Debit])))+(SUM(IF((CRDJ[Date]=$A$3)*(CRDJ[Sort Code]=(TRIM(G$4)))*(CRDJ[Account Code]=(TRIM($B135))),CRDJ[Debit])))+(SUM(IF((GJ[Date]=$A$3)*(GJ[Sort Code]=(TRIM(G$4)))*(GJ[Account Code]=(TRIM($B135))),GJ[Debit]))))-((SUM(IF((CkDJ[Date]=$A$3)*(CkDJ[Sort Code]=(TRIM(G$4)))*(CkDJ[Account Code]=(TRIM($B135))),CkDJ[Credit])))+(SUM(IF((CsDJ[Date]=$A$3)*(CsDJ[Sort Code]=(TRIM(G$4)))*(CsDJ[Account Code]=(TRIM($B135))),CsDJ[Credit])))+(SUM(IF((CRDJ[Date]=$A$3)*(CRDJ[Sort Code]=(TRIM(G$4)))*(CRDJ[Account Code]=(TRIM($B135))),CRDJ[Credit])))+(SUM(IF((GJ[Date]=$A$3)*(GJ[Sort Code]=(TRIM(G$4)))*(GJ[Account Code]=(TRIM($B135))),GJ[Credit]))))</f>
        <v>0</v>
      </c>
      <c r="G135" s="343">
        <f t="shared" si="9"/>
        <v>0</v>
      </c>
      <c r="H135" s="246">
        <f t="shared" si="10"/>
        <v>0</v>
      </c>
      <c r="I135" s="246">
        <f t="shared" si="11"/>
        <v>0</v>
      </c>
    </row>
    <row r="136" spans="1:9" hidden="1">
      <c r="A136" s="256" t="s">
        <v>990</v>
      </c>
      <c r="B136" s="339" t="s">
        <v>988</v>
      </c>
      <c r="C136" s="245">
        <f t="array" ref="C136">SUM(IF((Budget[Account Code]=B136)*(Budget[Sort Code]=$G$4),(Budget[Amount])))</f>
        <v>0</v>
      </c>
      <c r="D136" s="245">
        <f t="array" ref="D136">SUM(IF((Budget[Account Code]=B136)*(Budget[Sort Code]=$G$4)*(Budget[Date]&lt;=$D$7),(Budget[Amount])))</f>
        <v>0</v>
      </c>
      <c r="E136" s="245">
        <f t="array" ref="E136">((SUM(IF((CkDJ[Sort Code]=(TRIM(G$4)))*(CkDJ[Account Code]=(TRIM($B136)))*(CkDJ[Date]&lt;=$E$7),CkDJ[Debit])))+(SUM(IF((CsDJ[Sort Code]=(TRIM(G$4)))*(CsDJ[Account Code]=(TRIM($B136)))*(CsDJ[Date]&lt;=$E$7),CsDJ[Debit])))+(SUM(IF((CRDJ[Sort Code]=(TRIM(G$4)))*(CRDJ[Account Code]=(TRIM($B136)))*(CRDJ[Date]&lt;=$E$7),CRDJ[Debit])))+(SUM(IF((GJ[Sort Code]=(TRIM(G$4)))*(GJ[Account Code]=(TRIM($B136)))*(GJ[Date]&lt;=$E$7),GJ[Debit]))))-((SUM(IF((CkDJ[Sort Code]=(TRIM(G$4)))*(CkDJ[Account Code]=(TRIM($B136)))*(CkDJ[Date]&lt;=$E$7),CkDJ[Credit])))+(SUM(IF((CsDJ[Sort Code]=(TRIM(G$4)))*(CsDJ[Account Code]=(TRIM($B136)))*(CsDJ[Date]&lt;=$E$7),CsDJ[Credit])))+(SUM(IF((CRDJ[Sort Code]=(TRIM(G$4)))*(CRDJ[Account Code]=(TRIM($B136)))*(CRDJ[Date]&lt;=$E$7),CRDJ[Credit])))+(SUM(IF((GJ[Sort Code]=(TRIM(G$4)))*(GJ[Account Code]=(TRIM($B136)))*(GJ[Date]&lt;=$E$7),GJ[Credit]))))</f>
        <v>0</v>
      </c>
      <c r="F136" s="245">
        <f t="array" ref="F136">((SUM(IF((CkDJ[Date]=$A$3)*(CkDJ[Sort Code]=(TRIM(G$4)))*(CkDJ[Account Code]=(TRIM($B136))),CkDJ[Debit])))+(SUM(IF((CsDJ[Date]=$A$3)*(CsDJ[Sort Code]=(TRIM(G$4)))*(CsDJ[Account Code]=(TRIM($B136))),CsDJ[Debit])))+(SUM(IF((CRDJ[Date]=$A$3)*(CRDJ[Sort Code]=(TRIM(G$4)))*(CRDJ[Account Code]=(TRIM($B136))),CRDJ[Debit])))+(SUM(IF((GJ[Date]=$A$3)*(GJ[Sort Code]=(TRIM(G$4)))*(GJ[Account Code]=(TRIM($B136))),GJ[Debit]))))-((SUM(IF((CkDJ[Date]=$A$3)*(CkDJ[Sort Code]=(TRIM(G$4)))*(CkDJ[Account Code]=(TRIM($B136))),CkDJ[Credit])))+(SUM(IF((CsDJ[Date]=$A$3)*(CsDJ[Sort Code]=(TRIM(G$4)))*(CsDJ[Account Code]=(TRIM($B136))),CsDJ[Credit])))+(SUM(IF((CRDJ[Date]=$A$3)*(CRDJ[Sort Code]=(TRIM(G$4)))*(CRDJ[Account Code]=(TRIM($B136))),CRDJ[Credit])))+(SUM(IF((GJ[Date]=$A$3)*(GJ[Sort Code]=(TRIM(G$4)))*(GJ[Account Code]=(TRIM($B136))),GJ[Credit]))))</f>
        <v>0</v>
      </c>
      <c r="G136" s="343">
        <f t="shared" si="9"/>
        <v>0</v>
      </c>
      <c r="H136" s="246">
        <f t="shared" si="10"/>
        <v>0</v>
      </c>
      <c r="I136" s="246">
        <f t="shared" si="11"/>
        <v>0</v>
      </c>
    </row>
    <row r="137" spans="1:9" hidden="1">
      <c r="A137" s="256" t="s">
        <v>349</v>
      </c>
      <c r="B137" s="339" t="s">
        <v>340</v>
      </c>
      <c r="C137" s="245">
        <f t="array" ref="C137">SUM(IF((Budget[Account Code]=B137)*(Budget[Sort Code]=$G$4),(Budget[Amount])))</f>
        <v>0</v>
      </c>
      <c r="D137" s="245">
        <f t="array" ref="D137">SUM(IF((Budget[Account Code]=B137)*(Budget[Sort Code]=$G$4)*(Budget[Date]&lt;=$D$7),(Budget[Amount])))</f>
        <v>0</v>
      </c>
      <c r="E137" s="245">
        <f t="array" ref="E137">((SUM(IF((CkDJ[Sort Code]=(TRIM(G$4)))*(CkDJ[Account Code]=(TRIM($B137)))*(CkDJ[Date]&lt;=$E$7),CkDJ[Debit])))+(SUM(IF((CsDJ[Sort Code]=(TRIM(G$4)))*(CsDJ[Account Code]=(TRIM($B137)))*(CsDJ[Date]&lt;=$E$7),CsDJ[Debit])))+(SUM(IF((CRDJ[Sort Code]=(TRIM(G$4)))*(CRDJ[Account Code]=(TRIM($B137)))*(CRDJ[Date]&lt;=$E$7),CRDJ[Debit])))+(SUM(IF((GJ[Sort Code]=(TRIM(G$4)))*(GJ[Account Code]=(TRIM($B137)))*(GJ[Date]&lt;=$E$7),GJ[Debit]))))-((SUM(IF((CkDJ[Sort Code]=(TRIM(G$4)))*(CkDJ[Account Code]=(TRIM($B137)))*(CkDJ[Date]&lt;=$E$7),CkDJ[Credit])))+(SUM(IF((CsDJ[Sort Code]=(TRIM(G$4)))*(CsDJ[Account Code]=(TRIM($B137)))*(CsDJ[Date]&lt;=$E$7),CsDJ[Credit])))+(SUM(IF((CRDJ[Sort Code]=(TRIM(G$4)))*(CRDJ[Account Code]=(TRIM($B137)))*(CRDJ[Date]&lt;=$E$7),CRDJ[Credit])))+(SUM(IF((GJ[Sort Code]=(TRIM(G$4)))*(GJ[Account Code]=(TRIM($B137)))*(GJ[Date]&lt;=$E$7),GJ[Credit]))))</f>
        <v>0</v>
      </c>
      <c r="F137" s="245">
        <f t="array" ref="F137">((SUM(IF((CkDJ[Date]=$A$3)*(CkDJ[Sort Code]=(TRIM(G$4)))*(CkDJ[Account Code]=(TRIM($B137))),CkDJ[Debit])))+(SUM(IF((CsDJ[Date]=$A$3)*(CsDJ[Sort Code]=(TRIM(G$4)))*(CsDJ[Account Code]=(TRIM($B137))),CsDJ[Debit])))+(SUM(IF((CRDJ[Date]=$A$3)*(CRDJ[Sort Code]=(TRIM(G$4)))*(CRDJ[Account Code]=(TRIM($B137))),CRDJ[Debit])))+(SUM(IF((GJ[Date]=$A$3)*(GJ[Sort Code]=(TRIM(G$4)))*(GJ[Account Code]=(TRIM($B137))),GJ[Debit]))))-((SUM(IF((CkDJ[Date]=$A$3)*(CkDJ[Sort Code]=(TRIM(G$4)))*(CkDJ[Account Code]=(TRIM($B137))),CkDJ[Credit])))+(SUM(IF((CsDJ[Date]=$A$3)*(CsDJ[Sort Code]=(TRIM(G$4)))*(CsDJ[Account Code]=(TRIM($B137))),CsDJ[Credit])))+(SUM(IF((CRDJ[Date]=$A$3)*(CRDJ[Sort Code]=(TRIM(G$4)))*(CRDJ[Account Code]=(TRIM($B137))),CRDJ[Credit])))+(SUM(IF((GJ[Date]=$A$3)*(GJ[Sort Code]=(TRIM(G$4)))*(GJ[Account Code]=(TRIM($B137))),GJ[Credit]))))</f>
        <v>0</v>
      </c>
      <c r="G137" s="343">
        <f t="shared" si="9"/>
        <v>0</v>
      </c>
      <c r="H137" s="246">
        <f t="shared" si="10"/>
        <v>0</v>
      </c>
      <c r="I137" s="246">
        <f t="shared" si="11"/>
        <v>0</v>
      </c>
    </row>
    <row r="138" spans="1:9">
      <c r="A138" s="255" t="s">
        <v>805</v>
      </c>
      <c r="B138" s="337"/>
      <c r="C138" s="245"/>
      <c r="D138" s="245"/>
      <c r="E138" s="246"/>
      <c r="F138" s="245"/>
      <c r="G138" s="246"/>
      <c r="H138" s="246">
        <f t="shared" si="10"/>
        <v>0</v>
      </c>
      <c r="I138" s="246">
        <f t="shared" si="11"/>
        <v>0</v>
      </c>
    </row>
    <row r="139" spans="1:9">
      <c r="A139" s="253" t="s">
        <v>808</v>
      </c>
      <c r="B139" s="337"/>
      <c r="C139" s="242">
        <f>SUM(C140:C143)</f>
        <v>8669999.9600000009</v>
      </c>
      <c r="D139" s="242">
        <f>SUM(D140:D143)</f>
        <v>8669999.9600000009</v>
      </c>
      <c r="E139" s="242">
        <f>SUM(E140:E143)</f>
        <v>0</v>
      </c>
      <c r="F139" s="242">
        <f>SUM(F140:F143)</f>
        <v>0</v>
      </c>
      <c r="G139" s="242">
        <f>SUM(G140:G143)</f>
        <v>0</v>
      </c>
      <c r="H139" s="246">
        <f t="shared" si="10"/>
        <v>-8669999.9600000009</v>
      </c>
      <c r="I139" s="246">
        <f t="shared" si="11"/>
        <v>0</v>
      </c>
    </row>
    <row r="140" spans="1:9" hidden="1">
      <c r="A140" s="256" t="s">
        <v>342</v>
      </c>
      <c r="B140" s="339" t="s">
        <v>333</v>
      </c>
      <c r="C140" s="245">
        <f t="array" ref="C140">SUM(IF((Budget[Account Code]=B140)*(Budget[Sort Code]=$G$4),(Budget[Amount])))</f>
        <v>8669999.9600000009</v>
      </c>
      <c r="D140" s="245">
        <f t="array" ref="D140">SUM(IF((Budget[Account Code]=B140)*(Budget[Sort Code]=$G$4)*(Budget[Date]&lt;=$D$7),(Budget[Amount])))</f>
        <v>8669999.9600000009</v>
      </c>
      <c r="E140" s="245">
        <f t="array" ref="E140">((SUM(IF((CkDJ[Sort Code]=(TRIM(G$4)))*(CkDJ[Account Code]=(TRIM($B140)))*(CkDJ[Date]&lt;=$E$7),CkDJ[Debit])))+(SUM(IF((CsDJ[Sort Code]=(TRIM(G$4)))*(CsDJ[Account Code]=(TRIM($B140)))*(CsDJ[Date]&lt;=$E$7),CsDJ[Debit])))+(SUM(IF((CRDJ[Sort Code]=(TRIM(G$4)))*(CRDJ[Account Code]=(TRIM($B140)))*(CRDJ[Date]&lt;=$E$7),CRDJ[Debit])))+(SUM(IF((GJ[Sort Code]=(TRIM(G$4)))*(GJ[Account Code]=(TRIM($B140)))*(GJ[Date]&lt;=$E$7),GJ[Debit]))))-((SUM(IF((CkDJ[Sort Code]=(TRIM(G$4)))*(CkDJ[Account Code]=(TRIM($B140)))*(CkDJ[Date]&lt;=$E$7),CkDJ[Credit])))+(SUM(IF((CsDJ[Sort Code]=(TRIM(G$4)))*(CsDJ[Account Code]=(TRIM($B140)))*(CsDJ[Date]&lt;=$E$7),CsDJ[Credit])))+(SUM(IF((CRDJ[Sort Code]=(TRIM(G$4)))*(CRDJ[Account Code]=(TRIM($B140)))*(CRDJ[Date]&lt;=$E$7),CRDJ[Credit])))+(SUM(IF((GJ[Sort Code]=(TRIM(G$4)))*(GJ[Account Code]=(TRIM($B140)))*(GJ[Date]&lt;=$E$7),GJ[Credit]))))</f>
        <v>0</v>
      </c>
      <c r="F140" s="245">
        <f t="array" ref="F140">((SUM(IF((CkDJ[Date]=$A$3)*(CkDJ[Sort Code]=(TRIM(G$4)))*(CkDJ[Account Code]=(TRIM($B140))),CkDJ[Debit])))+(SUM(IF((CsDJ[Date]=$A$3)*(CsDJ[Sort Code]=(TRIM(G$4)))*(CsDJ[Account Code]=(TRIM($B140))),CsDJ[Debit])))+(SUM(IF((CRDJ[Date]=$A$3)*(CRDJ[Sort Code]=(TRIM(G$4)))*(CRDJ[Account Code]=(TRIM($B140))),CRDJ[Debit])))+(SUM(IF((GJ[Date]=$A$3)*(GJ[Sort Code]=(TRIM(G$4)))*(GJ[Account Code]=(TRIM($B140))),GJ[Debit]))))-((SUM(IF((CkDJ[Date]=$A$3)*(CkDJ[Sort Code]=(TRIM(G$4)))*(CkDJ[Account Code]=(TRIM($B140))),CkDJ[Credit])))+(SUM(IF((CsDJ[Date]=$A$3)*(CsDJ[Sort Code]=(TRIM(G$4)))*(CsDJ[Account Code]=(TRIM($B140))),CsDJ[Credit])))+(SUM(IF((CRDJ[Date]=$A$3)*(CRDJ[Sort Code]=(TRIM(G$4)))*(CRDJ[Account Code]=(TRIM($B140))),CRDJ[Credit])))+(SUM(IF((GJ[Date]=$A$3)*(GJ[Sort Code]=(TRIM(G$4)))*(GJ[Account Code]=(TRIM($B140))),GJ[Credit]))))</f>
        <v>0</v>
      </c>
      <c r="G140" s="343">
        <f>E140+F140</f>
        <v>0</v>
      </c>
      <c r="H140" s="246">
        <f t="shared" si="10"/>
        <v>-8669999.9600000009</v>
      </c>
      <c r="I140" s="246">
        <f t="shared" si="11"/>
        <v>0</v>
      </c>
    </row>
    <row r="141" spans="1:9" hidden="1">
      <c r="A141" s="256" t="s">
        <v>1031</v>
      </c>
      <c r="B141" s="339" t="s">
        <v>992</v>
      </c>
      <c r="C141" s="245">
        <f t="array" ref="C141">SUM(IF((Budget[Account Code]=B141)*(Budget[Sort Code]=$G$4),(Budget[Amount])))</f>
        <v>0</v>
      </c>
      <c r="D141" s="245">
        <f t="array" ref="D141">SUM(IF((Budget[Account Code]=B141)*(Budget[Sort Code]=$G$4)*(Budget[Date]&lt;=$D$7),(Budget[Amount])))</f>
        <v>0</v>
      </c>
      <c r="E141" s="245">
        <f t="array" ref="E141">((SUM(IF((CkDJ[Sort Code]=(TRIM(G$4)))*(CkDJ[Account Code]=(TRIM($B141)))*(CkDJ[Date]&lt;=$E$7),CkDJ[Debit])))+(SUM(IF((CsDJ[Sort Code]=(TRIM(G$4)))*(CsDJ[Account Code]=(TRIM($B141)))*(CsDJ[Date]&lt;=$E$7),CsDJ[Debit])))+(SUM(IF((CRDJ[Sort Code]=(TRIM(G$4)))*(CRDJ[Account Code]=(TRIM($B141)))*(CRDJ[Date]&lt;=$E$7),CRDJ[Debit])))+(SUM(IF((GJ[Sort Code]=(TRIM(G$4)))*(GJ[Account Code]=(TRIM($B141)))*(GJ[Date]&lt;=$E$7),GJ[Debit]))))-((SUM(IF((CkDJ[Sort Code]=(TRIM(G$4)))*(CkDJ[Account Code]=(TRIM($B141)))*(CkDJ[Date]&lt;=$E$7),CkDJ[Credit])))+(SUM(IF((CsDJ[Sort Code]=(TRIM(G$4)))*(CsDJ[Account Code]=(TRIM($B141)))*(CsDJ[Date]&lt;=$E$7),CsDJ[Credit])))+(SUM(IF((CRDJ[Sort Code]=(TRIM(G$4)))*(CRDJ[Account Code]=(TRIM($B141)))*(CRDJ[Date]&lt;=$E$7),CRDJ[Credit])))+(SUM(IF((GJ[Sort Code]=(TRIM(G$4)))*(GJ[Account Code]=(TRIM($B141)))*(GJ[Date]&lt;=$E$7),GJ[Credit]))))</f>
        <v>0</v>
      </c>
      <c r="F141" s="245">
        <f t="array" ref="F141">((SUM(IF((CkDJ[Date]=$A$3)*(CkDJ[Sort Code]=(TRIM(G$4)))*(CkDJ[Account Code]=(TRIM($B141))),CkDJ[Debit])))+(SUM(IF((CsDJ[Date]=$A$3)*(CsDJ[Sort Code]=(TRIM(G$4)))*(CsDJ[Account Code]=(TRIM($B141))),CsDJ[Debit])))+(SUM(IF((CRDJ[Date]=$A$3)*(CRDJ[Sort Code]=(TRIM(G$4)))*(CRDJ[Account Code]=(TRIM($B141))),CRDJ[Debit])))+(SUM(IF((GJ[Date]=$A$3)*(GJ[Sort Code]=(TRIM(G$4)))*(GJ[Account Code]=(TRIM($B141))),GJ[Debit]))))-((SUM(IF((CkDJ[Date]=$A$3)*(CkDJ[Sort Code]=(TRIM(G$4)))*(CkDJ[Account Code]=(TRIM($B141))),CkDJ[Credit])))+(SUM(IF((CsDJ[Date]=$A$3)*(CsDJ[Sort Code]=(TRIM(G$4)))*(CsDJ[Account Code]=(TRIM($B141))),CsDJ[Credit])))+(SUM(IF((CRDJ[Date]=$A$3)*(CRDJ[Sort Code]=(TRIM(G$4)))*(CRDJ[Account Code]=(TRIM($B141))),CRDJ[Credit])))+(SUM(IF((GJ[Date]=$A$3)*(GJ[Sort Code]=(TRIM(G$4)))*(GJ[Account Code]=(TRIM($B141))),GJ[Credit]))))</f>
        <v>0</v>
      </c>
      <c r="G141" s="343">
        <f>E141+F141</f>
        <v>0</v>
      </c>
      <c r="H141" s="246">
        <f t="shared" si="10"/>
        <v>0</v>
      </c>
      <c r="I141" s="246">
        <f t="shared" si="11"/>
        <v>0</v>
      </c>
    </row>
    <row r="142" spans="1:9" hidden="1">
      <c r="A142" s="256" t="s">
        <v>1032</v>
      </c>
      <c r="B142" s="339" t="s">
        <v>993</v>
      </c>
      <c r="C142" s="245">
        <f t="array" ref="C142">SUM(IF((Budget[Account Code]=B142)*(Budget[Sort Code]=$G$4),(Budget[Amount])))</f>
        <v>0</v>
      </c>
      <c r="D142" s="245">
        <f t="array" ref="D142">SUM(IF((Budget[Account Code]=B142)*(Budget[Sort Code]=$G$4)*(Budget[Date]&lt;=$D$7),(Budget[Amount])))</f>
        <v>0</v>
      </c>
      <c r="E142" s="245">
        <f t="array" ref="E142">((SUM(IF((CkDJ[Sort Code]=(TRIM(G$4)))*(CkDJ[Account Code]=(TRIM($B142)))*(CkDJ[Date]&lt;=$E$7),CkDJ[Debit])))+(SUM(IF((CsDJ[Sort Code]=(TRIM(G$4)))*(CsDJ[Account Code]=(TRIM($B142)))*(CsDJ[Date]&lt;=$E$7),CsDJ[Debit])))+(SUM(IF((CRDJ[Sort Code]=(TRIM(G$4)))*(CRDJ[Account Code]=(TRIM($B142)))*(CRDJ[Date]&lt;=$E$7),CRDJ[Debit])))+(SUM(IF((GJ[Sort Code]=(TRIM(G$4)))*(GJ[Account Code]=(TRIM($B142)))*(GJ[Date]&lt;=$E$7),GJ[Debit]))))-((SUM(IF((CkDJ[Sort Code]=(TRIM(G$4)))*(CkDJ[Account Code]=(TRIM($B142)))*(CkDJ[Date]&lt;=$E$7),CkDJ[Credit])))+(SUM(IF((CsDJ[Sort Code]=(TRIM(G$4)))*(CsDJ[Account Code]=(TRIM($B142)))*(CsDJ[Date]&lt;=$E$7),CsDJ[Credit])))+(SUM(IF((CRDJ[Sort Code]=(TRIM(G$4)))*(CRDJ[Account Code]=(TRIM($B142)))*(CRDJ[Date]&lt;=$E$7),CRDJ[Credit])))+(SUM(IF((GJ[Sort Code]=(TRIM(G$4)))*(GJ[Account Code]=(TRIM($B142)))*(GJ[Date]&lt;=$E$7),GJ[Credit]))))</f>
        <v>0</v>
      </c>
      <c r="F142" s="245">
        <f t="array" ref="F142">((SUM(IF((CkDJ[Date]=$A$3)*(CkDJ[Sort Code]=(TRIM(G$4)))*(CkDJ[Account Code]=(TRIM($B142))),CkDJ[Debit])))+(SUM(IF((CsDJ[Date]=$A$3)*(CsDJ[Sort Code]=(TRIM(G$4)))*(CsDJ[Account Code]=(TRIM($B142))),CsDJ[Debit])))+(SUM(IF((CRDJ[Date]=$A$3)*(CRDJ[Sort Code]=(TRIM(G$4)))*(CRDJ[Account Code]=(TRIM($B142))),CRDJ[Debit])))+(SUM(IF((GJ[Date]=$A$3)*(GJ[Sort Code]=(TRIM(G$4)))*(GJ[Account Code]=(TRIM($B142))),GJ[Debit]))))-((SUM(IF((CkDJ[Date]=$A$3)*(CkDJ[Sort Code]=(TRIM(G$4)))*(CkDJ[Account Code]=(TRIM($B142))),CkDJ[Credit])))+(SUM(IF((CsDJ[Date]=$A$3)*(CsDJ[Sort Code]=(TRIM(G$4)))*(CsDJ[Account Code]=(TRIM($B142))),CsDJ[Credit])))+(SUM(IF((CRDJ[Date]=$A$3)*(CRDJ[Sort Code]=(TRIM(G$4)))*(CRDJ[Account Code]=(TRIM($B142))),CRDJ[Credit])))+(SUM(IF((GJ[Date]=$A$3)*(GJ[Sort Code]=(TRIM(G$4)))*(GJ[Account Code]=(TRIM($B142))),GJ[Credit]))))</f>
        <v>0</v>
      </c>
      <c r="G142" s="343">
        <f>E142+F142</f>
        <v>0</v>
      </c>
      <c r="H142" s="246">
        <f t="shared" si="10"/>
        <v>0</v>
      </c>
      <c r="I142" s="246">
        <f t="shared" si="11"/>
        <v>0</v>
      </c>
    </row>
    <row r="143" spans="1:9" hidden="1">
      <c r="A143" s="253"/>
      <c r="B143" s="337" t="s">
        <v>799</v>
      </c>
      <c r="C143" s="245">
        <f t="array" ref="C143">SUM(IF((Budget[Account Code]=B143)*(Budget[Sort Code]=$G$4),(Budget[Amount])))</f>
        <v>0</v>
      </c>
      <c r="D143" s="245">
        <f t="array" ref="D143">SUM(IF((Budget[Account Code]=B143)*(Budget[Sort Code]=$G$4)*(Budget[Date]&lt;=$D$7),(Budget[Amount])))</f>
        <v>0</v>
      </c>
      <c r="E143" s="245">
        <f t="array" ref="E143">((SUM(IF((CkDJ[Sort Code]=(TRIM(G$4)))*(CkDJ[Account Code]=(TRIM($B143)))*(CkDJ[Date]&lt;=$E$7),CkDJ[Debit])))+(SUM(IF((CsDJ[Sort Code]=(TRIM(G$4)))*(CsDJ[Account Code]=(TRIM($B143)))*(CsDJ[Date]&lt;=$E$7),CsDJ[Debit])))+(SUM(IF((CRDJ[Sort Code]=(TRIM(G$4)))*(CRDJ[Account Code]=(TRIM($B143)))*(CRDJ[Date]&lt;=$E$7),CRDJ[Debit])))+(SUM(IF((GJ[Sort Code]=(TRIM(G$4)))*(GJ[Account Code]=(TRIM($B143)))*(GJ[Date]&lt;=$E$7),GJ[Debit]))))-((SUM(IF((CkDJ[Sort Code]=(TRIM(G$4)))*(CkDJ[Account Code]=(TRIM($B143)))*(CkDJ[Date]&lt;=$E$7),CkDJ[Credit])))+(SUM(IF((CsDJ[Sort Code]=(TRIM(G$4)))*(CsDJ[Account Code]=(TRIM($B143)))*(CsDJ[Date]&lt;=$E$7),CsDJ[Credit])))+(SUM(IF((CRDJ[Sort Code]=(TRIM(G$4)))*(CRDJ[Account Code]=(TRIM($B143)))*(CRDJ[Date]&lt;=$E$7),CRDJ[Credit])))+(SUM(IF((GJ[Sort Code]=(TRIM(G$4)))*(GJ[Account Code]=(TRIM($B143)))*(GJ[Date]&lt;=$E$7),GJ[Credit]))))</f>
        <v>0</v>
      </c>
      <c r="F143" s="245">
        <f t="array" ref="F143">((SUM(IF((CkDJ[Date]=$A$3)*(CkDJ[Sort Code]=(TRIM(G$4)))*(CkDJ[Account Code]=(TRIM($B143))),CkDJ[Debit])))+(SUM(IF((CsDJ[Date]=$A$3)*(CsDJ[Sort Code]=(TRIM(G$4)))*(CsDJ[Account Code]=(TRIM($B143))),CsDJ[Debit])))+(SUM(IF((CRDJ[Date]=$A$3)*(CRDJ[Sort Code]=(TRIM(G$4)))*(CRDJ[Account Code]=(TRIM($B143))),CRDJ[Debit])))+(SUM(IF((GJ[Date]=$A$3)*(GJ[Sort Code]=(TRIM(G$4)))*(GJ[Account Code]=(TRIM($B143))),GJ[Debit]))))-((SUM(IF((CkDJ[Date]=$A$3)*(CkDJ[Sort Code]=(TRIM(G$4)))*(CkDJ[Account Code]=(TRIM($B143))),CkDJ[Credit])))+(SUM(IF((CsDJ[Date]=$A$3)*(CsDJ[Sort Code]=(TRIM(G$4)))*(CsDJ[Account Code]=(TRIM($B143))),CsDJ[Credit])))+(SUM(IF((CRDJ[Date]=$A$3)*(CRDJ[Sort Code]=(TRIM(G$4)))*(CRDJ[Account Code]=(TRIM($B143))),CRDJ[Credit])))+(SUM(IF((GJ[Date]=$A$3)*(GJ[Sort Code]=(TRIM(G$4)))*(GJ[Account Code]=(TRIM($B143))),GJ[Credit]))))</f>
        <v>0</v>
      </c>
      <c r="G143" s="343">
        <f>E143+F143</f>
        <v>0</v>
      </c>
      <c r="H143" s="246">
        <f t="shared" si="10"/>
        <v>0</v>
      </c>
      <c r="I143" s="246">
        <f t="shared" si="11"/>
        <v>0</v>
      </c>
    </row>
    <row r="144" spans="1:9">
      <c r="A144" s="239" t="s">
        <v>807</v>
      </c>
      <c r="B144" s="337"/>
      <c r="C144" s="252">
        <f>C145+C146</f>
        <v>15000000</v>
      </c>
      <c r="D144" s="252">
        <f>D145+D146</f>
        <v>15000000</v>
      </c>
      <c r="E144" s="252">
        <f>E145+E146</f>
        <v>0</v>
      </c>
      <c r="F144" s="252">
        <f>F145+F146</f>
        <v>0</v>
      </c>
      <c r="G144" s="252">
        <f>G145+G146</f>
        <v>0</v>
      </c>
      <c r="H144" s="242">
        <f t="shared" si="10"/>
        <v>-15000000</v>
      </c>
      <c r="I144" s="242">
        <f t="shared" si="11"/>
        <v>0</v>
      </c>
    </row>
    <row r="145" spans="1:9">
      <c r="A145" s="243" t="s">
        <v>806</v>
      </c>
      <c r="B145" s="339" t="s">
        <v>991</v>
      </c>
      <c r="C145" s="245">
        <f t="array" ref="C145">SUM(IF((Budget[Account Code]=B145)*(Budget[Sort Code]=$G$4),(Budget[Amount])))</f>
        <v>15000000</v>
      </c>
      <c r="D145" s="245">
        <f t="array" ref="D145">SUM(IF((Budget[Account Code]=B145)*(Budget[Sort Code]=$G$4)*(Budget[Date]&lt;=$D$7),(Budget[Amount])))</f>
        <v>15000000</v>
      </c>
      <c r="E145" s="245">
        <f t="array" ref="E145">((SUM(IF((CkDJ[Sort Code]=(TRIM(G$4)))*(CkDJ[Account Code]=(TRIM($B145)))*(CkDJ[Date]&lt;=$E$7),CkDJ[Debit])))+(SUM(IF((CsDJ[Sort Code]=(TRIM(G$4)))*(CsDJ[Account Code]=(TRIM($B145)))*(CsDJ[Date]&lt;=$E$7),CsDJ[Debit])))+(SUM(IF((CRDJ[Sort Code]=(TRIM(G$4)))*(CRDJ[Account Code]=(TRIM($B145)))*(CRDJ[Date]&lt;=$E$7),CRDJ[Debit])))+(SUM(IF((GJ[Sort Code]=(TRIM(G$4)))*(GJ[Account Code]=(TRIM($B145)))*(GJ[Date]&lt;=$E$7),GJ[Debit]))))-((SUM(IF((CkDJ[Sort Code]=(TRIM(G$4)))*(CkDJ[Account Code]=(TRIM($B145)))*(CkDJ[Date]&lt;=$E$7),CkDJ[Credit])))+(SUM(IF((CsDJ[Sort Code]=(TRIM(G$4)))*(CsDJ[Account Code]=(TRIM($B145)))*(CsDJ[Date]&lt;=$E$7),CsDJ[Credit])))+(SUM(IF((CRDJ[Sort Code]=(TRIM(G$4)))*(CRDJ[Account Code]=(TRIM($B145)))*(CRDJ[Date]&lt;=$E$7),CRDJ[Credit])))+(SUM(IF((GJ[Sort Code]=(TRIM(G$4)))*(GJ[Account Code]=(TRIM($B145)))*(GJ[Date]&lt;=$E$7),GJ[Credit]))))</f>
        <v>0</v>
      </c>
      <c r="F145" s="245">
        <f t="array" ref="F145">((SUM(IF((CkDJ[Date]=$A$3)*(CkDJ[Sort Code]=(TRIM(G$4)))*(CkDJ[Account Code]=(TRIM($B145))),CkDJ[Debit])))+(SUM(IF((CsDJ[Date]=$A$3)*(CsDJ[Sort Code]=(TRIM(G$4)))*(CsDJ[Account Code]=(TRIM($B145))),CsDJ[Debit])))+(SUM(IF((CRDJ[Date]=$A$3)*(CRDJ[Sort Code]=(TRIM(G$4)))*(CRDJ[Account Code]=(TRIM($B145))),CRDJ[Debit])))+(SUM(IF((GJ[Date]=$A$3)*(GJ[Sort Code]=(TRIM(G$4)))*(GJ[Account Code]=(TRIM($B145))),GJ[Debit]))))-((SUM(IF((CkDJ[Date]=$A$3)*(CkDJ[Sort Code]=(TRIM(G$4)))*(CkDJ[Account Code]=(TRIM($B145))),CkDJ[Credit])))+(SUM(IF((CsDJ[Date]=$A$3)*(CsDJ[Sort Code]=(TRIM(G$4)))*(CsDJ[Account Code]=(TRIM($B145))),CsDJ[Credit])))+(SUM(IF((CRDJ[Date]=$A$3)*(CRDJ[Sort Code]=(TRIM(G$4)))*(CRDJ[Account Code]=(TRIM($B145))),CRDJ[Credit])))+(SUM(IF((GJ[Date]=$A$3)*(GJ[Sort Code]=(TRIM(G$4)))*(GJ[Account Code]=(TRIM($B145))),GJ[Credit]))))</f>
        <v>0</v>
      </c>
      <c r="G145" s="343">
        <f>E145+F145</f>
        <v>0</v>
      </c>
      <c r="H145" s="246">
        <f t="shared" si="10"/>
        <v>-15000000</v>
      </c>
      <c r="I145" s="246">
        <f t="shared" si="11"/>
        <v>0</v>
      </c>
    </row>
    <row r="146" spans="1:9">
      <c r="A146" s="243" t="s">
        <v>805</v>
      </c>
      <c r="B146" s="337"/>
      <c r="C146" s="245"/>
      <c r="D146" s="245"/>
      <c r="E146" s="246"/>
      <c r="F146" s="245"/>
      <c r="G146" s="343">
        <f>E146+F146</f>
        <v>0</v>
      </c>
      <c r="H146" s="246">
        <f t="shared" si="10"/>
        <v>0</v>
      </c>
      <c r="I146" s="246">
        <f t="shared" si="11"/>
        <v>0</v>
      </c>
    </row>
    <row r="147" spans="1:9">
      <c r="A147" s="251" t="s">
        <v>804</v>
      </c>
      <c r="B147" s="338"/>
      <c r="C147" s="250">
        <f>C50+C76+C144</f>
        <v>65544765.829999998</v>
      </c>
      <c r="D147" s="250">
        <f>D50+D76+D144</f>
        <v>65544765.829999998</v>
      </c>
      <c r="E147" s="250">
        <f>E50+E76+E144</f>
        <v>0</v>
      </c>
      <c r="F147" s="250">
        <f>F50+F76+F144</f>
        <v>0</v>
      </c>
      <c r="G147" s="250">
        <f>G50+G76+G144</f>
        <v>0</v>
      </c>
      <c r="H147" s="250">
        <f t="shared" si="10"/>
        <v>-65544765.829999998</v>
      </c>
      <c r="I147" s="250">
        <f t="shared" si="11"/>
        <v>0</v>
      </c>
    </row>
    <row r="148" spans="1:9">
      <c r="A148" s="251" t="s">
        <v>785</v>
      </c>
      <c r="B148" s="338"/>
      <c r="C148" s="250">
        <f>C48-C147</f>
        <v>-29932687.77</v>
      </c>
      <c r="D148" s="250">
        <f>D48-D147</f>
        <v>-29932687.77</v>
      </c>
      <c r="E148" s="250">
        <f>E48-E147</f>
        <v>0</v>
      </c>
      <c r="F148" s="250">
        <f>F48-F147</f>
        <v>0</v>
      </c>
      <c r="G148" s="250">
        <f>G48-G147</f>
        <v>0</v>
      </c>
      <c r="H148" s="250">
        <f t="shared" si="10"/>
        <v>29932687.77</v>
      </c>
      <c r="I148" s="250">
        <f t="shared" si="11"/>
        <v>0</v>
      </c>
    </row>
    <row r="149" spans="1:9">
      <c r="A149" s="251" t="s">
        <v>749</v>
      </c>
      <c r="B149" s="338"/>
      <c r="C149" s="250">
        <f>C48/C147</f>
        <v>0.54</v>
      </c>
      <c r="D149" s="250">
        <f>D48/D147</f>
        <v>0.54</v>
      </c>
      <c r="E149" s="250" t="e">
        <f>E48/E147</f>
        <v>#DIV/0!</v>
      </c>
      <c r="F149" s="250" t="e">
        <f>F48/F147</f>
        <v>#DIV/0!</v>
      </c>
      <c r="G149" s="250" t="e">
        <f>G48/G147</f>
        <v>#DIV/0!</v>
      </c>
      <c r="H149" s="250" t="e">
        <f t="shared" si="10"/>
        <v>#DIV/0!</v>
      </c>
      <c r="I149" s="250" t="e">
        <f t="shared" si="11"/>
        <v>#DIV/0!</v>
      </c>
    </row>
    <row r="150" spans="1:9" hidden="1">
      <c r="A150" s="251" t="s">
        <v>803</v>
      </c>
      <c r="B150" s="338"/>
      <c r="C150" s="250"/>
      <c r="D150" s="250"/>
      <c r="E150" s="250"/>
      <c r="F150" s="250"/>
      <c r="G150" s="250"/>
      <c r="H150" s="250">
        <f t="shared" si="10"/>
        <v>0</v>
      </c>
      <c r="I150" s="250">
        <f t="shared" si="11"/>
        <v>0</v>
      </c>
    </row>
    <row r="151" spans="1:9" hidden="1">
      <c r="A151" s="251" t="s">
        <v>802</v>
      </c>
      <c r="B151" s="338"/>
      <c r="C151" s="250"/>
      <c r="D151" s="250"/>
      <c r="E151" s="250"/>
      <c r="F151" s="250"/>
      <c r="G151" s="250"/>
      <c r="H151" s="250">
        <f t="shared" si="10"/>
        <v>0</v>
      </c>
      <c r="I151" s="250">
        <f t="shared" si="11"/>
        <v>0</v>
      </c>
    </row>
    <row r="152" spans="1:9" ht="15.75" customHeight="1">
      <c r="A152" s="251" t="s">
        <v>785</v>
      </c>
      <c r="B152" s="338"/>
      <c r="C152" s="250">
        <f>C148+C150+C151</f>
        <v>-29932687.77</v>
      </c>
      <c r="D152" s="250">
        <f>D148+D150+D151</f>
        <v>-29932687.77</v>
      </c>
      <c r="E152" s="250">
        <f>E148+E150+E151</f>
        <v>0</v>
      </c>
      <c r="F152" s="250">
        <f>F148+F150+F151</f>
        <v>0</v>
      </c>
      <c r="G152" s="250">
        <f>G148+G150+G151</f>
        <v>0</v>
      </c>
      <c r="H152" s="250">
        <f t="shared" si="10"/>
        <v>29932687.77</v>
      </c>
      <c r="I152" s="250">
        <f t="shared" si="11"/>
        <v>0</v>
      </c>
    </row>
    <row r="153" spans="1:9">
      <c r="A153" s="251" t="s">
        <v>749</v>
      </c>
      <c r="B153" s="338"/>
      <c r="C153" s="250">
        <f>C48/(C147-C150-C151)</f>
        <v>0.54</v>
      </c>
      <c r="D153" s="250">
        <f>D48/(D147-D150-D151)</f>
        <v>0.54</v>
      </c>
      <c r="E153" s="250" t="e">
        <f>E48/(E147-E150-E151)</f>
        <v>#DIV/0!</v>
      </c>
      <c r="F153" s="250" t="e">
        <f>F48/(F147-F150-F151)</f>
        <v>#DIV/0!</v>
      </c>
      <c r="G153" s="250" t="e">
        <f>G48/(G147-G150-G151)</f>
        <v>#DIV/0!</v>
      </c>
      <c r="H153" s="250" t="e">
        <f t="shared" si="10"/>
        <v>#DIV/0!</v>
      </c>
      <c r="I153" s="250" t="e">
        <f t="shared" si="11"/>
        <v>#DIV/0!</v>
      </c>
    </row>
    <row r="154" spans="1:9">
      <c r="A154" s="257" t="s">
        <v>801</v>
      </c>
      <c r="B154" s="340"/>
      <c r="C154" s="258"/>
      <c r="D154" s="258"/>
      <c r="E154" s="271"/>
      <c r="F154" s="271"/>
      <c r="G154" s="263"/>
      <c r="H154" s="263"/>
      <c r="I154" s="263"/>
    </row>
    <row r="155" spans="1:9">
      <c r="A155" s="253" t="s">
        <v>800</v>
      </c>
      <c r="B155" s="337" t="s">
        <v>799</v>
      </c>
      <c r="C155" s="245">
        <f t="array" ref="C155">SUM(IF((Budget[Account Code]=B155)*(Budget[Sort Code]=$G$4),(Budget[Amount])))</f>
        <v>0</v>
      </c>
      <c r="D155" s="245">
        <f t="array" ref="D155">SUM(IF((Budget[Account Code]=B155)*(Budget[Sort Code]=$G$4)*(Budget[Date]&lt;=$D$7),(Budget[Amount])))</f>
        <v>0</v>
      </c>
      <c r="E155" s="245">
        <f t="array" ref="E155">((SUM(IF((CkDJ[Sort Code]=(TRIM(G$4)))*(CkDJ[Account Code]=(TRIM($B155)))*(CkDJ[Date]&lt;=$E$7),CkDJ[Debit])))+(SUM(IF((CsDJ[Sort Code]=(TRIM(G$4)))*(CsDJ[Account Code]=(TRIM($B155)))*(CsDJ[Date]&lt;=$E$7),CsDJ[Debit])))+(SUM(IF((CRDJ[Sort Code]=(TRIM(G$4)))*(CRDJ[Account Code]=(TRIM($B155)))*(CRDJ[Date]&lt;=$E$7),CRDJ[Debit])))+(SUM(IF((GJ[Sort Code]=(TRIM(G$4)))*(GJ[Account Code]=(TRIM($B155)))*(GJ[Date]&lt;=$E$7),GJ[Debit]))))-((SUM(IF((CkDJ[Sort Code]=(TRIM(G$4)))*(CkDJ[Account Code]=(TRIM($B155)))*(CkDJ[Date]&lt;=$E$7),CkDJ[Credit])))+(SUM(IF((CsDJ[Sort Code]=(TRIM(G$4)))*(CsDJ[Account Code]=(TRIM($B155)))*(CsDJ[Date]&lt;=$E$7),CsDJ[Credit])))+(SUM(IF((CRDJ[Sort Code]=(TRIM(G$4)))*(CRDJ[Account Code]=(TRIM($B155)))*(CRDJ[Date]&lt;=$E$7),CRDJ[Credit])))+(SUM(IF((GJ[Sort Code]=(TRIM(G$4)))*(GJ[Account Code]=(TRIM($B155)))*(GJ[Date]&lt;=$E$7),GJ[Credit]))))</f>
        <v>0</v>
      </c>
      <c r="F155" s="245">
        <f t="array" ref="F155">((SUM(IF((CkDJ[Date]=$A$3)*(CkDJ[Sort Code]=(TRIM(G$4)))*(CkDJ[Account Code]=(TRIM($B155))),CkDJ[Debit])))+(SUM(IF((CsDJ[Date]=$A$3)*(CsDJ[Sort Code]=(TRIM(G$4)))*(CsDJ[Account Code]=(TRIM($B155))),CsDJ[Debit])))+(SUM(IF((CRDJ[Date]=$A$3)*(CRDJ[Sort Code]=(TRIM(G$4)))*(CRDJ[Account Code]=(TRIM($B155))),CRDJ[Debit])))+(SUM(IF((GJ[Date]=$A$3)*(GJ[Sort Code]=(TRIM(G$4)))*(GJ[Account Code]=(TRIM($B155))),GJ[Debit]))))-((SUM(IF((CkDJ[Date]=$A$3)*(CkDJ[Sort Code]=(TRIM(G$4)))*(CkDJ[Account Code]=(TRIM($B155))),CkDJ[Credit])))+(SUM(IF((CsDJ[Date]=$A$3)*(CsDJ[Sort Code]=(TRIM(G$4)))*(CsDJ[Account Code]=(TRIM($B155))),CsDJ[Credit])))+(SUM(IF((CRDJ[Date]=$A$3)*(CRDJ[Sort Code]=(TRIM(G$4)))*(CRDJ[Account Code]=(TRIM($B155))),CRDJ[Credit])))+(SUM(IF((GJ[Date]=$A$3)*(GJ[Sort Code]=(TRIM(G$4)))*(GJ[Account Code]=(TRIM($B155))),GJ[Credit]))))</f>
        <v>0</v>
      </c>
      <c r="G155" s="343">
        <f t="shared" ref="G155:G163" si="12">E155+F155</f>
        <v>0</v>
      </c>
      <c r="H155" s="246">
        <f t="shared" si="10"/>
        <v>0</v>
      </c>
      <c r="I155" s="246">
        <f t="shared" si="11"/>
        <v>0</v>
      </c>
    </row>
    <row r="156" spans="1:9">
      <c r="A156" s="253" t="s">
        <v>798</v>
      </c>
      <c r="B156" s="339" t="s">
        <v>170</v>
      </c>
      <c r="C156" s="245">
        <f t="array" ref="C156">SUM(IF((Budget[Account Code]=B156)*(Budget[Sort Code]=$G$4),(Budget[Amount])))</f>
        <v>1648347</v>
      </c>
      <c r="D156" s="245">
        <f t="array" ref="D156">SUM(IF((Budget[Account Code]=B156)*(Budget[Sort Code]=$G$4)*(Budget[Date]&lt;=$D$7),(Budget[Amount])))</f>
        <v>1648347</v>
      </c>
      <c r="E156" s="245">
        <f t="array" ref="E156">((SUM(IF((CkDJ[Sort Code]=(TRIM(G$4)))*(CkDJ[Account Code]=(TRIM($B156)))*(CkDJ[Date]&lt;=$E$7),CkDJ[Debit])))+(SUM(IF((CsDJ[Sort Code]=(TRIM(G$4)))*(CsDJ[Account Code]=(TRIM($B156)))*(CsDJ[Date]&lt;=$E$7),CsDJ[Debit])))+(SUM(IF((CRDJ[Sort Code]=(TRIM(G$4)))*(CRDJ[Account Code]=(TRIM($B156)))*(CRDJ[Date]&lt;=$E$7),CRDJ[Debit])))+(SUM(IF((GJ[Sort Code]=(TRIM(G$4)))*(GJ[Account Code]=(TRIM($B156)))*(GJ[Date]&lt;=$E$7),GJ[Debit]))))-((SUM(IF((CkDJ[Sort Code]=(TRIM(G$4)))*(CkDJ[Account Code]=(TRIM($B156)))*(CkDJ[Date]&lt;=$E$7),CkDJ[Credit])))+(SUM(IF((CsDJ[Sort Code]=(TRIM(G$4)))*(CsDJ[Account Code]=(TRIM($B156)))*(CsDJ[Date]&lt;=$E$7),CsDJ[Credit])))+(SUM(IF((CRDJ[Sort Code]=(TRIM(G$4)))*(CRDJ[Account Code]=(TRIM($B156)))*(CRDJ[Date]&lt;=$E$7),CRDJ[Credit])))+(SUM(IF((GJ[Sort Code]=(TRIM(G$4)))*(GJ[Account Code]=(TRIM($B156)))*(GJ[Date]&lt;=$E$7),GJ[Credit]))))</f>
        <v>0</v>
      </c>
      <c r="F156" s="245">
        <f t="array" ref="F156">((SUM(IF((CkDJ[Date]=$A$3)*(CkDJ[Sort Code]=(TRIM(G$4)))*(CkDJ[Account Code]=(TRIM($B156))),CkDJ[Debit])))+(SUM(IF((CsDJ[Date]=$A$3)*(CsDJ[Sort Code]=(TRIM(G$4)))*(CsDJ[Account Code]=(TRIM($B156))),CsDJ[Debit])))+(SUM(IF((CRDJ[Date]=$A$3)*(CRDJ[Sort Code]=(TRIM(G$4)))*(CRDJ[Account Code]=(TRIM($B156))),CRDJ[Debit])))+(SUM(IF((GJ[Date]=$A$3)*(GJ[Sort Code]=(TRIM(G$4)))*(GJ[Account Code]=(TRIM($B156))),GJ[Debit]))))-((SUM(IF((CkDJ[Date]=$A$3)*(CkDJ[Sort Code]=(TRIM(G$4)))*(CkDJ[Account Code]=(TRIM($B156))),CkDJ[Credit])))+(SUM(IF((CsDJ[Date]=$A$3)*(CsDJ[Sort Code]=(TRIM(G$4)))*(CsDJ[Account Code]=(TRIM($B156))),CsDJ[Credit])))+(SUM(IF((CRDJ[Date]=$A$3)*(CRDJ[Sort Code]=(TRIM(G$4)))*(CRDJ[Account Code]=(TRIM($B156))),CRDJ[Credit])))+(SUM(IF((GJ[Date]=$A$3)*(GJ[Sort Code]=(TRIM(G$4)))*(GJ[Account Code]=(TRIM($B156))),GJ[Credit]))))</f>
        <v>0</v>
      </c>
      <c r="G156" s="343">
        <f t="shared" si="12"/>
        <v>0</v>
      </c>
      <c r="H156" s="246">
        <f t="shared" si="10"/>
        <v>-1648347</v>
      </c>
      <c r="I156" s="246">
        <f t="shared" si="11"/>
        <v>0</v>
      </c>
    </row>
    <row r="157" spans="1:9">
      <c r="A157" s="253" t="s">
        <v>797</v>
      </c>
      <c r="B157" s="339" t="s">
        <v>168</v>
      </c>
      <c r="C157" s="245">
        <f t="array" ref="C157">SUM(IF((Budget[Account Code]=B157)*(Budget[Sort Code]=$G$4),(Budget[Amount])))</f>
        <v>0</v>
      </c>
      <c r="D157" s="245">
        <f t="array" ref="D157">SUM(IF((Budget[Account Code]=B157)*(Budget[Sort Code]=$G$4)*(Budget[Date]&lt;=$D$7),(Budget[Amount])))</f>
        <v>0</v>
      </c>
      <c r="E157" s="245">
        <f t="array" ref="E157">((SUM(IF((CkDJ[Sort Code]=(TRIM(G$4)))*(CkDJ[Account Code]=(TRIM($B157)))*(CkDJ[Date]&lt;=$E$7),CkDJ[Debit])))+(SUM(IF((CsDJ[Sort Code]=(TRIM(G$4)))*(CsDJ[Account Code]=(TRIM($B157)))*(CsDJ[Date]&lt;=$E$7),CsDJ[Debit])))+(SUM(IF((CRDJ[Sort Code]=(TRIM(G$4)))*(CRDJ[Account Code]=(TRIM($B157)))*(CRDJ[Date]&lt;=$E$7),CRDJ[Debit])))+(SUM(IF((GJ[Sort Code]=(TRIM(G$4)))*(GJ[Account Code]=(TRIM($B157)))*(GJ[Date]&lt;=$E$7),GJ[Debit]))))-((SUM(IF((CkDJ[Sort Code]=(TRIM(G$4)))*(CkDJ[Account Code]=(TRIM($B157)))*(CkDJ[Date]&lt;=$E$7),CkDJ[Credit])))+(SUM(IF((CsDJ[Sort Code]=(TRIM(G$4)))*(CsDJ[Account Code]=(TRIM($B157)))*(CsDJ[Date]&lt;=$E$7),CsDJ[Credit])))+(SUM(IF((CRDJ[Sort Code]=(TRIM(G$4)))*(CRDJ[Account Code]=(TRIM($B157)))*(CRDJ[Date]&lt;=$E$7),CRDJ[Credit])))+(SUM(IF((GJ[Sort Code]=(TRIM(G$4)))*(GJ[Account Code]=(TRIM($B157)))*(GJ[Date]&lt;=$E$7),GJ[Credit]))))</f>
        <v>0</v>
      </c>
      <c r="F157" s="245">
        <f t="array" ref="F157">((SUM(IF((CkDJ[Date]=$A$3)*(CkDJ[Sort Code]=(TRIM(G$4)))*(CkDJ[Account Code]=(TRIM($B157))),CkDJ[Debit])))+(SUM(IF((CsDJ[Date]=$A$3)*(CsDJ[Sort Code]=(TRIM(G$4)))*(CsDJ[Account Code]=(TRIM($B157))),CsDJ[Debit])))+(SUM(IF((CRDJ[Date]=$A$3)*(CRDJ[Sort Code]=(TRIM(G$4)))*(CRDJ[Account Code]=(TRIM($B157))),CRDJ[Debit])))+(SUM(IF((GJ[Date]=$A$3)*(GJ[Sort Code]=(TRIM(G$4)))*(GJ[Account Code]=(TRIM($B157))),GJ[Debit]))))-((SUM(IF((CkDJ[Date]=$A$3)*(CkDJ[Sort Code]=(TRIM(G$4)))*(CkDJ[Account Code]=(TRIM($B157))),CkDJ[Credit])))+(SUM(IF((CsDJ[Date]=$A$3)*(CsDJ[Sort Code]=(TRIM(G$4)))*(CsDJ[Account Code]=(TRIM($B157))),CsDJ[Credit])))+(SUM(IF((CRDJ[Date]=$A$3)*(CRDJ[Sort Code]=(TRIM(G$4)))*(CRDJ[Account Code]=(TRIM($B157))),CRDJ[Credit])))+(SUM(IF((GJ[Date]=$A$3)*(GJ[Sort Code]=(TRIM(G$4)))*(GJ[Account Code]=(TRIM($B157))),GJ[Credit]))))</f>
        <v>0</v>
      </c>
      <c r="G157" s="343">
        <f t="shared" si="12"/>
        <v>0</v>
      </c>
      <c r="H157" s="246">
        <f t="shared" si="10"/>
        <v>0</v>
      </c>
      <c r="I157" s="246">
        <f t="shared" si="11"/>
        <v>0</v>
      </c>
    </row>
    <row r="158" spans="1:9">
      <c r="A158" s="253" t="s">
        <v>354</v>
      </c>
      <c r="B158" s="339" t="s">
        <v>216</v>
      </c>
      <c r="C158" s="245">
        <f t="array" ref="C158">SUM(IF((Budget[Account Code]=B158)*(Budget[Sort Code]=$G$4),(Budget[Amount])))</f>
        <v>70000</v>
      </c>
      <c r="D158" s="245">
        <f t="array" ref="D158">SUM(IF((Budget[Account Code]=B158)*(Budget[Sort Code]=$G$4)*(Budget[Date]&lt;=$D$7),(Budget[Amount])))</f>
        <v>70000</v>
      </c>
      <c r="E158" s="245">
        <f t="array" ref="E158">((SUM(IF((CkDJ[Sort Code]=(TRIM(G$4)))*(CkDJ[Account Code]=(TRIM($B158)))*(CkDJ[Date]&lt;=$E$7),CkDJ[Debit])))+(SUM(IF((CsDJ[Sort Code]=(TRIM(G$4)))*(CsDJ[Account Code]=(TRIM($B158)))*(CsDJ[Date]&lt;=$E$7),CsDJ[Debit])))+(SUM(IF((CRDJ[Sort Code]=(TRIM(G$4)))*(CRDJ[Account Code]=(TRIM($B158)))*(CRDJ[Date]&lt;=$E$7),CRDJ[Debit])))+(SUM(IF((GJ[Sort Code]=(TRIM(G$4)))*(GJ[Account Code]=(TRIM($B158)))*(GJ[Date]&lt;=$E$7),GJ[Debit]))))-((SUM(IF((CkDJ[Sort Code]=(TRIM(G$4)))*(CkDJ[Account Code]=(TRIM($B158)))*(CkDJ[Date]&lt;=$E$7),CkDJ[Credit])))+(SUM(IF((CsDJ[Sort Code]=(TRIM(G$4)))*(CsDJ[Account Code]=(TRIM($B158)))*(CsDJ[Date]&lt;=$E$7),CsDJ[Credit])))+(SUM(IF((CRDJ[Sort Code]=(TRIM(G$4)))*(CRDJ[Account Code]=(TRIM($B158)))*(CRDJ[Date]&lt;=$E$7),CRDJ[Credit])))+(SUM(IF((GJ[Sort Code]=(TRIM(G$4)))*(GJ[Account Code]=(TRIM($B158)))*(GJ[Date]&lt;=$E$7),GJ[Credit]))))</f>
        <v>0</v>
      </c>
      <c r="F158" s="245">
        <f t="array" ref="F158">((SUM(IF((CkDJ[Date]=$A$3)*(CkDJ[Sort Code]=(TRIM(G$4)))*(CkDJ[Account Code]=(TRIM($B158))),CkDJ[Debit])))+(SUM(IF((CsDJ[Date]=$A$3)*(CsDJ[Sort Code]=(TRIM(G$4)))*(CsDJ[Account Code]=(TRIM($B158))),CsDJ[Debit])))+(SUM(IF((CRDJ[Date]=$A$3)*(CRDJ[Sort Code]=(TRIM(G$4)))*(CRDJ[Account Code]=(TRIM($B158))),CRDJ[Debit])))+(SUM(IF((GJ[Date]=$A$3)*(GJ[Sort Code]=(TRIM(G$4)))*(GJ[Account Code]=(TRIM($B158))),GJ[Debit]))))-((SUM(IF((CkDJ[Date]=$A$3)*(CkDJ[Sort Code]=(TRIM(G$4)))*(CkDJ[Account Code]=(TRIM($B158))),CkDJ[Credit])))+(SUM(IF((CsDJ[Date]=$A$3)*(CsDJ[Sort Code]=(TRIM(G$4)))*(CsDJ[Account Code]=(TRIM($B158))),CsDJ[Credit])))+(SUM(IF((CRDJ[Date]=$A$3)*(CRDJ[Sort Code]=(TRIM(G$4)))*(CRDJ[Account Code]=(TRIM($B158))),CRDJ[Credit])))+(SUM(IF((GJ[Date]=$A$3)*(GJ[Sort Code]=(TRIM(G$4)))*(GJ[Account Code]=(TRIM($B158))),GJ[Credit]))))</f>
        <v>0</v>
      </c>
      <c r="G158" s="343">
        <f t="shared" si="12"/>
        <v>0</v>
      </c>
      <c r="H158" s="246">
        <f t="shared" si="10"/>
        <v>-70000</v>
      </c>
      <c r="I158" s="246">
        <f t="shared" si="11"/>
        <v>0</v>
      </c>
    </row>
    <row r="159" spans="1:9">
      <c r="A159" s="253" t="s">
        <v>796</v>
      </c>
      <c r="B159" s="337" t="s">
        <v>331</v>
      </c>
      <c r="C159" s="245">
        <f t="array" ref="C159">SUM(IF((Budget[Account Code]=B159)*(Budget[Sort Code]=$G$4),(Budget[Amount])))</f>
        <v>0</v>
      </c>
      <c r="D159" s="245">
        <f t="array" ref="D159">SUM(IF((Budget[Account Code]=B159)*(Budget[Sort Code]=$G$4)*(Budget[Date]&lt;=$D$7),(Budget[Amount])))</f>
        <v>0</v>
      </c>
      <c r="E159" s="245">
        <f t="array" ref="E159">((SUM(IF((CkDJ[Sort Code]=(TRIM(G$4)))*(CkDJ[Account Code]=(TRIM($B159)))*(CkDJ[Date]&lt;=$E$7),CkDJ[Debit])))+(SUM(IF((CsDJ[Sort Code]=(TRIM(G$4)))*(CsDJ[Account Code]=(TRIM($B159)))*(CsDJ[Date]&lt;=$E$7),CsDJ[Debit])))+(SUM(IF((CRDJ[Sort Code]=(TRIM(G$4)))*(CRDJ[Account Code]=(TRIM($B159)))*(CRDJ[Date]&lt;=$E$7),CRDJ[Debit])))+(SUM(IF((GJ[Sort Code]=(TRIM(G$4)))*(GJ[Account Code]=(TRIM($B159)))*(GJ[Date]&lt;=$E$7),GJ[Debit]))))-((SUM(IF((CkDJ[Sort Code]=(TRIM(G$4)))*(CkDJ[Account Code]=(TRIM($B159)))*(CkDJ[Date]&lt;=$E$7),CkDJ[Credit])))+(SUM(IF((CsDJ[Sort Code]=(TRIM(G$4)))*(CsDJ[Account Code]=(TRIM($B159)))*(CsDJ[Date]&lt;=$E$7),CsDJ[Credit])))+(SUM(IF((CRDJ[Sort Code]=(TRIM(G$4)))*(CRDJ[Account Code]=(TRIM($B159)))*(CRDJ[Date]&lt;=$E$7),CRDJ[Credit])))+(SUM(IF((GJ[Sort Code]=(TRIM(G$4)))*(GJ[Account Code]=(TRIM($B159)))*(GJ[Date]&lt;=$E$7),GJ[Credit]))))</f>
        <v>0</v>
      </c>
      <c r="F159" s="245">
        <f t="array" ref="F159">((SUM(IF((CkDJ[Date]=$A$3)*(CkDJ[Sort Code]=(TRIM(G$4)))*(CkDJ[Account Code]=(TRIM($B159))),CkDJ[Debit])))+(SUM(IF((CsDJ[Date]=$A$3)*(CsDJ[Sort Code]=(TRIM(G$4)))*(CsDJ[Account Code]=(TRIM($B159))),CsDJ[Debit])))+(SUM(IF((CRDJ[Date]=$A$3)*(CRDJ[Sort Code]=(TRIM(G$4)))*(CRDJ[Account Code]=(TRIM($B159))),CRDJ[Debit])))+(SUM(IF((GJ[Date]=$A$3)*(GJ[Sort Code]=(TRIM(G$4)))*(GJ[Account Code]=(TRIM($B159))),GJ[Debit]))))-((SUM(IF((CkDJ[Date]=$A$3)*(CkDJ[Sort Code]=(TRIM(G$4)))*(CkDJ[Account Code]=(TRIM($B159))),CkDJ[Credit])))+(SUM(IF((CsDJ[Date]=$A$3)*(CsDJ[Sort Code]=(TRIM(G$4)))*(CsDJ[Account Code]=(TRIM($B159))),CsDJ[Credit])))+(SUM(IF((CRDJ[Date]=$A$3)*(CRDJ[Sort Code]=(TRIM(G$4)))*(CRDJ[Account Code]=(TRIM($B159))),CRDJ[Credit])))+(SUM(IF((GJ[Date]=$A$3)*(GJ[Sort Code]=(TRIM(G$4)))*(GJ[Account Code]=(TRIM($B159))),GJ[Credit]))))</f>
        <v>0</v>
      </c>
      <c r="G159" s="343">
        <f t="shared" si="12"/>
        <v>0</v>
      </c>
      <c r="H159" s="246">
        <f t="shared" si="10"/>
        <v>0</v>
      </c>
      <c r="I159" s="246">
        <f t="shared" si="11"/>
        <v>0</v>
      </c>
    </row>
    <row r="160" spans="1:9">
      <c r="A160" s="253" t="s">
        <v>304</v>
      </c>
      <c r="B160" s="339" t="s">
        <v>222</v>
      </c>
      <c r="C160" s="245">
        <f t="array" ref="C160">SUM(IF((Budget[Account Code]=B160)*(Budget[Sort Code]=$G$4),(Budget[Amount])))</f>
        <v>80000</v>
      </c>
      <c r="D160" s="245">
        <f t="array" ref="D160">SUM(IF((Budget[Account Code]=B160)*(Budget[Sort Code]=$G$4)*(Budget[Date]&lt;=$D$7),(Budget[Amount])))</f>
        <v>80000</v>
      </c>
      <c r="E160" s="245">
        <f t="array" ref="E160">((SUM(IF((CkDJ[Sort Code]=(TRIM(G$4)))*(CkDJ[Account Code]=(TRIM($B160)))*(CkDJ[Date]&lt;=$E$7),CkDJ[Debit])))+(SUM(IF((CsDJ[Sort Code]=(TRIM(G$4)))*(CsDJ[Account Code]=(TRIM($B160)))*(CsDJ[Date]&lt;=$E$7),CsDJ[Debit])))+(SUM(IF((CRDJ[Sort Code]=(TRIM(G$4)))*(CRDJ[Account Code]=(TRIM($B160)))*(CRDJ[Date]&lt;=$E$7),CRDJ[Debit])))+(SUM(IF((GJ[Sort Code]=(TRIM(G$4)))*(GJ[Account Code]=(TRIM($B160)))*(GJ[Date]&lt;=$E$7),GJ[Debit]))))-((SUM(IF((CkDJ[Sort Code]=(TRIM(G$4)))*(CkDJ[Account Code]=(TRIM($B160)))*(CkDJ[Date]&lt;=$E$7),CkDJ[Credit])))+(SUM(IF((CsDJ[Sort Code]=(TRIM(G$4)))*(CsDJ[Account Code]=(TRIM($B160)))*(CsDJ[Date]&lt;=$E$7),CsDJ[Credit])))+(SUM(IF((CRDJ[Sort Code]=(TRIM(G$4)))*(CRDJ[Account Code]=(TRIM($B160)))*(CRDJ[Date]&lt;=$E$7),CRDJ[Credit])))+(SUM(IF((GJ[Sort Code]=(TRIM(G$4)))*(GJ[Account Code]=(TRIM($B160)))*(GJ[Date]&lt;=$E$7),GJ[Credit]))))</f>
        <v>0</v>
      </c>
      <c r="F160" s="245">
        <f t="array" ref="F160">((SUM(IF((CkDJ[Date]=$A$3)*(CkDJ[Sort Code]=(TRIM(G$4)))*(CkDJ[Account Code]=(TRIM($B160))),CkDJ[Debit])))+(SUM(IF((CsDJ[Date]=$A$3)*(CsDJ[Sort Code]=(TRIM(G$4)))*(CsDJ[Account Code]=(TRIM($B160))),CsDJ[Debit])))+(SUM(IF((CRDJ[Date]=$A$3)*(CRDJ[Sort Code]=(TRIM(G$4)))*(CRDJ[Account Code]=(TRIM($B160))),CRDJ[Debit])))+(SUM(IF((GJ[Date]=$A$3)*(GJ[Sort Code]=(TRIM(G$4)))*(GJ[Account Code]=(TRIM($B160))),GJ[Debit]))))-((SUM(IF((CkDJ[Date]=$A$3)*(CkDJ[Sort Code]=(TRIM(G$4)))*(CkDJ[Account Code]=(TRIM($B160))),CkDJ[Credit])))+(SUM(IF((CsDJ[Date]=$A$3)*(CsDJ[Sort Code]=(TRIM(G$4)))*(CsDJ[Account Code]=(TRIM($B160))),CsDJ[Credit])))+(SUM(IF((CRDJ[Date]=$A$3)*(CRDJ[Sort Code]=(TRIM(G$4)))*(CRDJ[Account Code]=(TRIM($B160))),CRDJ[Credit])))+(SUM(IF((GJ[Date]=$A$3)*(GJ[Sort Code]=(TRIM(G$4)))*(GJ[Account Code]=(TRIM($B160))),GJ[Credit]))))</f>
        <v>0</v>
      </c>
      <c r="G160" s="343">
        <f t="shared" si="12"/>
        <v>0</v>
      </c>
      <c r="H160" s="246">
        <f t="shared" si="10"/>
        <v>-80000</v>
      </c>
      <c r="I160" s="246">
        <f t="shared" si="11"/>
        <v>0</v>
      </c>
    </row>
    <row r="161" spans="1:9">
      <c r="A161" s="253" t="s">
        <v>795</v>
      </c>
      <c r="B161" s="337"/>
      <c r="C161" s="245">
        <f t="array" ref="C161">SUM(IF((Budget[Account Code]=B161)*(Budget[Sort Code]=$G$4),(Budget[Amount])))</f>
        <v>0</v>
      </c>
      <c r="D161" s="245">
        <f t="array" ref="D161">SUM(IF((Budget[Account Code]=B161)*(Budget[Sort Code]=$G$4)*(Budget[Date]&lt;=$D$7),(Budget[Amount])))</f>
        <v>0</v>
      </c>
      <c r="E161" s="245">
        <f t="array" ref="E161">((SUM(IF((CkDJ[Sort Code]=(TRIM(G$4)))*(CkDJ[Account Code]=(TRIM($B161)))*(CkDJ[Date]&lt;=$E$7),CkDJ[Debit])))+(SUM(IF((CsDJ[Sort Code]=(TRIM(G$4)))*(CsDJ[Account Code]=(TRIM($B161)))*(CsDJ[Date]&lt;=$E$7),CsDJ[Debit])))+(SUM(IF((CRDJ[Sort Code]=(TRIM(G$4)))*(CRDJ[Account Code]=(TRIM($B161)))*(CRDJ[Date]&lt;=$E$7),CRDJ[Debit])))+(SUM(IF((GJ[Sort Code]=(TRIM(G$4)))*(GJ[Account Code]=(TRIM($B161)))*(GJ[Date]&lt;=$E$7),GJ[Debit]))))-((SUM(IF((CkDJ[Sort Code]=(TRIM(G$4)))*(CkDJ[Account Code]=(TRIM($B161)))*(CkDJ[Date]&lt;=$E$7),CkDJ[Credit])))+(SUM(IF((CsDJ[Sort Code]=(TRIM(G$4)))*(CsDJ[Account Code]=(TRIM($B161)))*(CsDJ[Date]&lt;=$E$7),CsDJ[Credit])))+(SUM(IF((CRDJ[Sort Code]=(TRIM(G$4)))*(CRDJ[Account Code]=(TRIM($B161)))*(CRDJ[Date]&lt;=$E$7),CRDJ[Credit])))+(SUM(IF((GJ[Sort Code]=(TRIM(G$4)))*(GJ[Account Code]=(TRIM($B161)))*(GJ[Date]&lt;=$E$7),GJ[Credit]))))</f>
        <v>0</v>
      </c>
      <c r="F161" s="245">
        <f t="array" ref="F161">((SUM(IF((CkDJ[Date]=$A$3)*(CkDJ[Sort Code]=(TRIM(G$4)))*(CkDJ[Account Code]=(TRIM($B161))),CkDJ[Debit])))+(SUM(IF((CsDJ[Date]=$A$3)*(CsDJ[Sort Code]=(TRIM(G$4)))*(CsDJ[Account Code]=(TRIM($B161))),CsDJ[Debit])))+(SUM(IF((CRDJ[Date]=$A$3)*(CRDJ[Sort Code]=(TRIM(G$4)))*(CRDJ[Account Code]=(TRIM($B161))),CRDJ[Debit])))+(SUM(IF((GJ[Date]=$A$3)*(GJ[Sort Code]=(TRIM(G$4)))*(GJ[Account Code]=(TRIM($B161))),GJ[Debit]))))-((SUM(IF((CkDJ[Date]=$A$3)*(CkDJ[Sort Code]=(TRIM(G$4)))*(CkDJ[Account Code]=(TRIM($B161))),CkDJ[Credit])))+(SUM(IF((CsDJ[Date]=$A$3)*(CsDJ[Sort Code]=(TRIM(G$4)))*(CsDJ[Account Code]=(TRIM($B161))),CsDJ[Credit])))+(SUM(IF((CRDJ[Date]=$A$3)*(CRDJ[Sort Code]=(TRIM(G$4)))*(CRDJ[Account Code]=(TRIM($B161))),CRDJ[Credit])))+(SUM(IF((GJ[Date]=$A$3)*(GJ[Sort Code]=(TRIM(G$4)))*(GJ[Account Code]=(TRIM($B161))),GJ[Credit]))))</f>
        <v>0</v>
      </c>
      <c r="G161" s="343">
        <f t="shared" si="12"/>
        <v>0</v>
      </c>
      <c r="H161" s="246">
        <f t="shared" si="10"/>
        <v>0</v>
      </c>
      <c r="I161" s="246">
        <f t="shared" si="11"/>
        <v>0</v>
      </c>
    </row>
    <row r="162" spans="1:9">
      <c r="A162" s="253" t="s">
        <v>794</v>
      </c>
      <c r="B162" s="339" t="s">
        <v>212</v>
      </c>
      <c r="C162" s="245">
        <f t="array" ref="C162">SUM(IF((Budget[Account Code]=B162)*(Budget[Sort Code]=$G$4),(Budget[Amount])))</f>
        <v>1783583.33</v>
      </c>
      <c r="D162" s="245">
        <f t="array" ref="D162">SUM(IF((Budget[Account Code]=B162)*(Budget[Sort Code]=$G$4)*(Budget[Date]&lt;=$D$7),(Budget[Amount])))</f>
        <v>1783583.33</v>
      </c>
      <c r="E162" s="245">
        <f t="array" ref="E162">((SUM(IF((CkDJ[Sort Code]=(TRIM(G$4)))*(CkDJ[Account Code]=(TRIM($B162)))*(CkDJ[Date]&lt;=$E$7),CkDJ[Debit])))+(SUM(IF((CsDJ[Sort Code]=(TRIM(G$4)))*(CsDJ[Account Code]=(TRIM($B162)))*(CsDJ[Date]&lt;=$E$7),CsDJ[Debit])))+(SUM(IF((CRDJ[Sort Code]=(TRIM(G$4)))*(CRDJ[Account Code]=(TRIM($B162)))*(CRDJ[Date]&lt;=$E$7),CRDJ[Debit])))+(SUM(IF((GJ[Sort Code]=(TRIM(G$4)))*(GJ[Account Code]=(TRIM($B162)))*(GJ[Date]&lt;=$E$7),GJ[Debit]))))-((SUM(IF((CkDJ[Sort Code]=(TRIM(G$4)))*(CkDJ[Account Code]=(TRIM($B162)))*(CkDJ[Date]&lt;=$E$7),CkDJ[Credit])))+(SUM(IF((CsDJ[Sort Code]=(TRIM(G$4)))*(CsDJ[Account Code]=(TRIM($B162)))*(CsDJ[Date]&lt;=$E$7),CsDJ[Credit])))+(SUM(IF((CRDJ[Sort Code]=(TRIM(G$4)))*(CRDJ[Account Code]=(TRIM($B162)))*(CRDJ[Date]&lt;=$E$7),CRDJ[Credit])))+(SUM(IF((GJ[Sort Code]=(TRIM(G$4)))*(GJ[Account Code]=(TRIM($B162)))*(GJ[Date]&lt;=$E$7),GJ[Credit]))))</f>
        <v>0</v>
      </c>
      <c r="F162" s="245">
        <f t="array" ref="F162">((SUM(IF((CkDJ[Date]=$A$3)*(CkDJ[Sort Code]=(TRIM(G$4)))*(CkDJ[Account Code]=(TRIM($B162))),CkDJ[Debit])))+(SUM(IF((CsDJ[Date]=$A$3)*(CsDJ[Sort Code]=(TRIM(G$4)))*(CsDJ[Account Code]=(TRIM($B162))),CsDJ[Debit])))+(SUM(IF((CRDJ[Date]=$A$3)*(CRDJ[Sort Code]=(TRIM(G$4)))*(CRDJ[Account Code]=(TRIM($B162))),CRDJ[Debit])))+(SUM(IF((GJ[Date]=$A$3)*(GJ[Sort Code]=(TRIM(G$4)))*(GJ[Account Code]=(TRIM($B162))),GJ[Debit]))))-((SUM(IF((CkDJ[Date]=$A$3)*(CkDJ[Sort Code]=(TRIM(G$4)))*(CkDJ[Account Code]=(TRIM($B162))),CkDJ[Credit])))+(SUM(IF((CsDJ[Date]=$A$3)*(CsDJ[Sort Code]=(TRIM(G$4)))*(CsDJ[Account Code]=(TRIM($B162))),CsDJ[Credit])))+(SUM(IF((CRDJ[Date]=$A$3)*(CRDJ[Sort Code]=(TRIM(G$4)))*(CRDJ[Account Code]=(TRIM($B162))),CRDJ[Credit])))+(SUM(IF((GJ[Date]=$A$3)*(GJ[Sort Code]=(TRIM(G$4)))*(GJ[Account Code]=(TRIM($B162))),GJ[Credit]))))</f>
        <v>0</v>
      </c>
      <c r="G162" s="343">
        <f t="shared" si="12"/>
        <v>0</v>
      </c>
      <c r="H162" s="246">
        <f t="shared" si="10"/>
        <v>-1783583.33</v>
      </c>
      <c r="I162" s="246">
        <f t="shared" si="11"/>
        <v>0</v>
      </c>
    </row>
    <row r="163" spans="1:9">
      <c r="A163" s="253" t="s">
        <v>793</v>
      </c>
      <c r="B163" s="337"/>
      <c r="C163" s="245">
        <f t="array" ref="C163">SUM(IF((Budget[Account Code]=B163)*(Budget[Sort Code]=$G$4),(Budget[Amount])))</f>
        <v>0</v>
      </c>
      <c r="D163" s="245">
        <f t="array" ref="D163">SUM(IF((Budget[Account Code]=B163)*(Budget[Sort Code]=$G$4)*(Budget[Date]&lt;=$D$7),(Budget[Amount])))</f>
        <v>0</v>
      </c>
      <c r="E163" s="245">
        <f t="array" ref="E163">((SUM(IF((CkDJ[Sort Code]=(TRIM(G$4)))*(CkDJ[Account Code]=(TRIM($B163)))*(CkDJ[Date]&lt;=$E$7),CkDJ[Debit])))+(SUM(IF((CsDJ[Sort Code]=(TRIM(G$4)))*(CsDJ[Account Code]=(TRIM($B163)))*(CsDJ[Date]&lt;=$E$7),CsDJ[Debit])))+(SUM(IF((CRDJ[Sort Code]=(TRIM(G$4)))*(CRDJ[Account Code]=(TRIM($B163)))*(CRDJ[Date]&lt;=$E$7),CRDJ[Debit])))+(SUM(IF((GJ[Sort Code]=(TRIM(G$4)))*(GJ[Account Code]=(TRIM($B163)))*(GJ[Date]&lt;=$E$7),GJ[Debit]))))-((SUM(IF((CkDJ[Sort Code]=(TRIM(G$4)))*(CkDJ[Account Code]=(TRIM($B163)))*(CkDJ[Date]&lt;=$E$7),CkDJ[Credit])))+(SUM(IF((CsDJ[Sort Code]=(TRIM(G$4)))*(CsDJ[Account Code]=(TRIM($B163)))*(CsDJ[Date]&lt;=$E$7),CsDJ[Credit])))+(SUM(IF((CRDJ[Sort Code]=(TRIM(G$4)))*(CRDJ[Account Code]=(TRIM($B163)))*(CRDJ[Date]&lt;=$E$7),CRDJ[Credit])))+(SUM(IF((GJ[Sort Code]=(TRIM(G$4)))*(GJ[Account Code]=(TRIM($B163)))*(GJ[Date]&lt;=$E$7),GJ[Credit]))))</f>
        <v>0</v>
      </c>
      <c r="F163" s="245">
        <f t="array" ref="F163">((SUM(IF((CkDJ[Date]=$A$3)*(CkDJ[Sort Code]=(TRIM(G$4)))*(CkDJ[Account Code]=(TRIM($B163))),CkDJ[Debit])))+(SUM(IF((CsDJ[Date]=$A$3)*(CsDJ[Sort Code]=(TRIM(G$4)))*(CsDJ[Account Code]=(TRIM($B163))),CsDJ[Debit])))+(SUM(IF((CRDJ[Date]=$A$3)*(CRDJ[Sort Code]=(TRIM(G$4)))*(CRDJ[Account Code]=(TRIM($B163))),CRDJ[Debit])))+(SUM(IF((GJ[Date]=$A$3)*(GJ[Sort Code]=(TRIM(G$4)))*(GJ[Account Code]=(TRIM($B163))),GJ[Debit]))))-((SUM(IF((CkDJ[Date]=$A$3)*(CkDJ[Sort Code]=(TRIM(G$4)))*(CkDJ[Account Code]=(TRIM($B163))),CkDJ[Credit])))+(SUM(IF((CsDJ[Date]=$A$3)*(CsDJ[Sort Code]=(TRIM(G$4)))*(CsDJ[Account Code]=(TRIM($B163))),CsDJ[Credit])))+(SUM(IF((CRDJ[Date]=$A$3)*(CRDJ[Sort Code]=(TRIM(G$4)))*(CRDJ[Account Code]=(TRIM($B163))),CRDJ[Credit])))+(SUM(IF((GJ[Date]=$A$3)*(GJ[Sort Code]=(TRIM(G$4)))*(GJ[Account Code]=(TRIM($B163))),GJ[Credit]))))</f>
        <v>0</v>
      </c>
      <c r="G163" s="343">
        <f t="shared" si="12"/>
        <v>0</v>
      </c>
      <c r="H163" s="246">
        <f t="shared" si="10"/>
        <v>0</v>
      </c>
      <c r="I163" s="246">
        <f t="shared" si="11"/>
        <v>0</v>
      </c>
    </row>
    <row r="164" spans="1:9">
      <c r="A164" s="251" t="s">
        <v>789</v>
      </c>
      <c r="B164" s="338"/>
      <c r="C164" s="250">
        <f>SUM(C155:C163)</f>
        <v>3581930.33</v>
      </c>
      <c r="D164" s="250">
        <f>SUM(D155:D163)</f>
        <v>3581930.33</v>
      </c>
      <c r="E164" s="250">
        <f>SUM(E155:E163)</f>
        <v>0</v>
      </c>
      <c r="F164" s="250">
        <f>SUM(F155:F163)</f>
        <v>0</v>
      </c>
      <c r="G164" s="250">
        <f>SUM(G155:G163)</f>
        <v>0</v>
      </c>
      <c r="H164" s="250">
        <f t="shared" si="10"/>
        <v>-3581930.33</v>
      </c>
      <c r="I164" s="250">
        <f t="shared" si="11"/>
        <v>0</v>
      </c>
    </row>
    <row r="165" spans="1:9">
      <c r="A165" s="251" t="s">
        <v>788</v>
      </c>
      <c r="B165" s="338"/>
      <c r="C165" s="250">
        <f>C147+C164</f>
        <v>69126696.159999996</v>
      </c>
      <c r="D165" s="250">
        <f>D147+D164</f>
        <v>69126696.159999996</v>
      </c>
      <c r="E165" s="250">
        <f>E147+E164</f>
        <v>0</v>
      </c>
      <c r="F165" s="250">
        <f>F147+F164</f>
        <v>0</v>
      </c>
      <c r="G165" s="250">
        <f>G147+G164</f>
        <v>0</v>
      </c>
      <c r="H165" s="250">
        <f t="shared" si="10"/>
        <v>-69126696.159999996</v>
      </c>
      <c r="I165" s="250">
        <f t="shared" si="11"/>
        <v>0</v>
      </c>
    </row>
    <row r="166" spans="1:9">
      <c r="A166" s="251" t="s">
        <v>785</v>
      </c>
      <c r="B166" s="338"/>
      <c r="C166" s="250">
        <f>C48-C165</f>
        <v>-33514618.100000001</v>
      </c>
      <c r="D166" s="250">
        <f>D48-D165</f>
        <v>-33514618.100000001</v>
      </c>
      <c r="E166" s="250">
        <f>E48-E165</f>
        <v>0</v>
      </c>
      <c r="F166" s="250">
        <f>F48-F165</f>
        <v>0</v>
      </c>
      <c r="G166" s="250">
        <f>G48-G165</f>
        <v>0</v>
      </c>
      <c r="H166" s="250">
        <f t="shared" si="10"/>
        <v>33514618.100000001</v>
      </c>
      <c r="I166" s="250">
        <f t="shared" si="11"/>
        <v>0</v>
      </c>
    </row>
    <row r="167" spans="1:9">
      <c r="A167" s="251" t="s">
        <v>749</v>
      </c>
      <c r="B167" s="338"/>
      <c r="C167" s="250">
        <f>C48/C165</f>
        <v>0.52</v>
      </c>
      <c r="D167" s="250">
        <f>D48/D165</f>
        <v>0.52</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-33514618.100000001</v>
      </c>
      <c r="D170" s="250">
        <f>D166+D168+D169</f>
        <v>-33514618.100000001</v>
      </c>
      <c r="E170" s="250">
        <f>E166+E168+E169</f>
        <v>0</v>
      </c>
      <c r="F170" s="250">
        <f>F166+F168+F169</f>
        <v>0</v>
      </c>
      <c r="G170" s="250">
        <f>G166+G168+G169</f>
        <v>0</v>
      </c>
      <c r="H170" s="250">
        <f t="shared" si="10"/>
        <v>33514618.100000001</v>
      </c>
      <c r="I170" s="250">
        <f t="shared" si="11"/>
        <v>0</v>
      </c>
    </row>
    <row r="171" spans="1:9">
      <c r="A171" s="251" t="s">
        <v>792</v>
      </c>
      <c r="B171" s="338"/>
      <c r="C171" s="250">
        <f>C48/(C165-C168-C169)</f>
        <v>0.52</v>
      </c>
      <c r="D171" s="250">
        <f>D48/(D165-D168-D169)</f>
        <v>0.52</v>
      </c>
      <c r="E171" s="250" t="e">
        <f>E48/(E165-E168-E169)</f>
        <v>#DIV/0!</v>
      </c>
      <c r="F171" s="250" t="e">
        <f>F48/(F165-F168-F169)</f>
        <v>#DIV/0!</v>
      </c>
      <c r="G171" s="250" t="e">
        <f>G48/(G165-G168-G169)</f>
        <v>#DIV/0!</v>
      </c>
      <c r="H171" s="250" t="e">
        <f t="shared" si="10"/>
        <v>#DIV/0!</v>
      </c>
      <c r="I171" s="250" t="e">
        <f t="shared" si="11"/>
        <v>#DIV/0!</v>
      </c>
    </row>
    <row r="172" spans="1:9">
      <c r="A172" s="259"/>
      <c r="C172" s="260"/>
      <c r="D172" s="260"/>
      <c r="E172" s="345"/>
      <c r="F172" s="345"/>
      <c r="G172" s="345"/>
      <c r="H172" s="345"/>
      <c r="I172" s="346"/>
    </row>
    <row r="173" spans="1:9">
      <c r="A173" s="333" t="s">
        <v>791</v>
      </c>
      <c r="B173" s="341"/>
      <c r="C173" s="334"/>
      <c r="D173" s="334"/>
      <c r="E173" s="334"/>
      <c r="F173" s="334"/>
      <c r="G173" s="334"/>
      <c r="H173" s="334"/>
      <c r="I173" s="347"/>
    </row>
    <row r="174" spans="1:9">
      <c r="A174" s="261"/>
      <c r="B174" s="340"/>
      <c r="C174" s="262"/>
      <c r="D174" s="262"/>
      <c r="E174" s="348"/>
      <c r="F174" s="348"/>
      <c r="G174" s="263"/>
      <c r="H174" s="263">
        <f t="shared" si="10"/>
        <v>0</v>
      </c>
      <c r="I174" s="263">
        <f t="shared" si="11"/>
        <v>0</v>
      </c>
    </row>
    <row r="175" spans="1:9">
      <c r="A175" s="253" t="s">
        <v>790</v>
      </c>
      <c r="B175" s="339" t="s">
        <v>267</v>
      </c>
      <c r="C175" s="245">
        <f t="array" ref="C175">SUM(IF((Budget[Account Code]=B175)*(Budget[Sort Code]=$G$4),(Budget[Amount])))</f>
        <v>4000000</v>
      </c>
      <c r="D175" s="245">
        <f t="array" ref="D175">SUM(IF((Budget[Account Code]=B175)*(Budget[Sort Code]=$G$4)*(Budget[Date]&lt;=$D$7),(Budget[Amount])))</f>
        <v>4000000</v>
      </c>
      <c r="E175" s="245">
        <f t="array" ref="E175">((SUM(IF((CkDJ[Sort Code]=(TRIM(G$4)))*(CkDJ[Account Code]=(TRIM($B175)))*(CkDJ[Date]&lt;=$E$7),CkDJ[Debit])))+(SUM(IF((CsDJ[Sort Code]=(TRIM(G$4)))*(CsDJ[Account Code]=(TRIM($B175)))*(CsDJ[Date]&lt;=$E$7),CsDJ[Debit])))+(SUM(IF((CRDJ[Sort Code]=(TRIM(G$4)))*(CRDJ[Account Code]=(TRIM($B175)))*(CRDJ[Date]&lt;=$E$7),CRDJ[Debit])))+(SUM(IF((GJ[Sort Code]=(TRIM(G$4)))*(GJ[Account Code]=(TRIM($B175)))*(GJ[Date]&lt;=$E$7),GJ[Debit]))))-((SUM(IF((CkDJ[Sort Code]=(TRIM(G$4)))*(CkDJ[Account Code]=(TRIM($B175)))*(CkDJ[Date]&lt;=$E$7),CkDJ[Credit])))+(SUM(IF((CsDJ[Sort Code]=(TRIM(G$4)))*(CsDJ[Account Code]=(TRIM($B175)))*(CsDJ[Date]&lt;=$E$7),CsDJ[Credit])))+(SUM(IF((CRDJ[Sort Code]=(TRIM(G$4)))*(CRDJ[Account Code]=(TRIM($B175)))*(CRDJ[Date]&lt;=$E$7),CRDJ[Credit])))+(SUM(IF((GJ[Sort Code]=(TRIM(G$4)))*(GJ[Account Code]=(TRIM($B175)))*(GJ[Date]&lt;=$E$7),GJ[Credit]))))</f>
        <v>0</v>
      </c>
      <c r="F175" s="245">
        <f t="array" ref="F175">((SUM(IF((CkDJ[Date]=$A$3)*(CkDJ[Sort Code]=(TRIM(G$4)))*(CkDJ[Account Code]=(TRIM($B175))),CkDJ[Debit])))+(SUM(IF((CsDJ[Date]=$A$3)*(CsDJ[Sort Code]=(TRIM(G$4)))*(CsDJ[Account Code]=(TRIM($B175))),CsDJ[Debit])))+(SUM(IF((CRDJ[Date]=$A$3)*(CRDJ[Sort Code]=(TRIM(G$4)))*(CRDJ[Account Code]=(TRIM($B175))),CRDJ[Debit])))+(SUM(IF((GJ[Date]=$A$3)*(GJ[Sort Code]=(TRIM(G$4)))*(GJ[Account Code]=(TRIM($B175))),GJ[Debit]))))-((SUM(IF((CkDJ[Date]=$A$3)*(CkDJ[Sort Code]=(TRIM(G$4)))*(CkDJ[Account Code]=(TRIM($B175))),CkDJ[Credit])))+(SUM(IF((CsDJ[Date]=$A$3)*(CsDJ[Sort Code]=(TRIM(G$4)))*(CsDJ[Account Code]=(TRIM($B175))),CsDJ[Credit])))+(SUM(IF((CRDJ[Date]=$A$3)*(CRDJ[Sort Code]=(TRIM(G$4)))*(CRDJ[Account Code]=(TRIM($B175))),CRDJ[Credit])))+(SUM(IF((GJ[Date]=$A$3)*(GJ[Sort Code]=(TRIM(G$4)))*(GJ[Account Code]=(TRIM($B175))),GJ[Credit]))))</f>
        <v>0</v>
      </c>
      <c r="G175" s="343">
        <f>E175+F175</f>
        <v>0</v>
      </c>
      <c r="H175" s="246">
        <f t="shared" si="10"/>
        <v>-4000000</v>
      </c>
      <c r="I175" s="246">
        <f t="shared" si="11"/>
        <v>0</v>
      </c>
    </row>
    <row r="176" spans="1:9">
      <c r="A176" s="253"/>
      <c r="B176" s="337"/>
      <c r="C176" s="244"/>
      <c r="D176" s="244"/>
      <c r="E176" s="245"/>
      <c r="F176" s="245"/>
      <c r="G176" s="246"/>
      <c r="H176" s="246">
        <f t="shared" si="10"/>
        <v>0</v>
      </c>
      <c r="I176" s="246">
        <f t="shared" si="11"/>
        <v>0</v>
      </c>
    </row>
    <row r="177" spans="1:9">
      <c r="A177" s="251" t="s">
        <v>789</v>
      </c>
      <c r="B177" s="338"/>
      <c r="C177" s="250">
        <f>SUM(C174:C176)</f>
        <v>4000000</v>
      </c>
      <c r="D177" s="250">
        <f>SUM(D174:D176)</f>
        <v>4000000</v>
      </c>
      <c r="E177" s="250">
        <f>SUM(E174:E176)</f>
        <v>0</v>
      </c>
      <c r="F177" s="250">
        <f>SUM(F174:F176)</f>
        <v>0</v>
      </c>
      <c r="G177" s="250">
        <f>SUM(G174:G176)</f>
        <v>0</v>
      </c>
      <c r="H177" s="250">
        <f t="shared" si="10"/>
        <v>-4000000</v>
      </c>
      <c r="I177" s="250">
        <f t="shared" si="11"/>
        <v>0</v>
      </c>
    </row>
    <row r="178" spans="1:9">
      <c r="A178" s="251" t="s">
        <v>788</v>
      </c>
      <c r="B178" s="338"/>
      <c r="C178" s="250">
        <f>C165+C177</f>
        <v>73126696.159999996</v>
      </c>
      <c r="D178" s="250">
        <f>D165+D177</f>
        <v>73126696.159999996</v>
      </c>
      <c r="E178" s="250">
        <f>E165+E177</f>
        <v>0</v>
      </c>
      <c r="F178" s="250">
        <f>F165+F177</f>
        <v>0</v>
      </c>
      <c r="G178" s="250">
        <f>G165+G177</f>
        <v>0</v>
      </c>
      <c r="H178" s="250">
        <f t="shared" si="10"/>
        <v>-73126696.159999996</v>
      </c>
      <c r="I178" s="250">
        <f t="shared" si="11"/>
        <v>0</v>
      </c>
    </row>
    <row r="179" spans="1:9">
      <c r="A179" s="251" t="s">
        <v>785</v>
      </c>
      <c r="B179" s="338"/>
      <c r="C179" s="250">
        <f>C48-C178</f>
        <v>-37514618.100000001</v>
      </c>
      <c r="D179" s="250">
        <f>D48-D178</f>
        <v>-37514618.100000001</v>
      </c>
      <c r="E179" s="250">
        <f>E48-E178</f>
        <v>0</v>
      </c>
      <c r="F179" s="250">
        <f>F48-F178</f>
        <v>0</v>
      </c>
      <c r="G179" s="250">
        <f>G48-G178</f>
        <v>0</v>
      </c>
      <c r="H179" s="250">
        <f t="shared" si="10"/>
        <v>37514618.100000001</v>
      </c>
      <c r="I179" s="250">
        <f t="shared" si="11"/>
        <v>0</v>
      </c>
    </row>
    <row r="180" spans="1:9" hidden="1">
      <c r="A180" s="251" t="s">
        <v>749</v>
      </c>
      <c r="B180" s="338"/>
      <c r="C180" s="250"/>
      <c r="D180" s="250"/>
      <c r="E180" s="250"/>
      <c r="F180" s="250"/>
      <c r="G180" s="250"/>
      <c r="H180" s="250">
        <f t="shared" si="10"/>
        <v>0</v>
      </c>
      <c r="I180" s="250">
        <f t="shared" si="11"/>
        <v>0</v>
      </c>
    </row>
    <row r="181" spans="1:9" hidden="1">
      <c r="A181" s="251" t="s">
        <v>787</v>
      </c>
      <c r="B181" s="338"/>
      <c r="C181" s="250"/>
      <c r="D181" s="250"/>
      <c r="E181" s="250"/>
      <c r="F181" s="250"/>
      <c r="G181" s="250"/>
      <c r="H181" s="250">
        <f t="shared" si="10"/>
        <v>0</v>
      </c>
      <c r="I181" s="250">
        <f t="shared" si="11"/>
        <v>0</v>
      </c>
    </row>
    <row r="182" spans="1:9" hidden="1">
      <c r="A182" s="251" t="s">
        <v>786</v>
      </c>
      <c r="B182" s="338"/>
      <c r="C182" s="250"/>
      <c r="D182" s="250"/>
      <c r="E182" s="250"/>
      <c r="F182" s="250"/>
      <c r="G182" s="250"/>
      <c r="H182" s="250">
        <f t="shared" si="10"/>
        <v>0</v>
      </c>
      <c r="I182" s="250">
        <f t="shared" si="11"/>
        <v>0</v>
      </c>
    </row>
    <row r="183" spans="1:9" hidden="1">
      <c r="A183" s="251" t="s">
        <v>785</v>
      </c>
      <c r="B183" s="338"/>
      <c r="C183" s="250"/>
      <c r="D183" s="250"/>
      <c r="E183" s="250"/>
      <c r="F183" s="250"/>
      <c r="G183" s="250"/>
      <c r="H183" s="250">
        <f t="shared" si="10"/>
        <v>0</v>
      </c>
      <c r="I183" s="250">
        <f t="shared" si="11"/>
        <v>0</v>
      </c>
    </row>
    <row r="184" spans="1:9">
      <c r="A184" s="264" t="s">
        <v>749</v>
      </c>
      <c r="B184" s="338"/>
      <c r="C184" s="265">
        <f>C48/(C178-C181-C182)</f>
        <v>0.49</v>
      </c>
      <c r="D184" s="265">
        <f>D48/(D178-D181-D182)</f>
        <v>0.49</v>
      </c>
      <c r="E184" s="265" t="e">
        <f>E48/(E178-E181-E182)</f>
        <v>#DIV/0!</v>
      </c>
      <c r="F184" s="265" t="e">
        <f>F48/(F178-F181-F182)</f>
        <v>#DIV/0!</v>
      </c>
      <c r="G184" s="265" t="e">
        <f>G48/(G178-G181-G182)</f>
        <v>#DIV/0!</v>
      </c>
      <c r="H184" s="265" t="e">
        <f t="shared" si="10"/>
        <v>#DIV/0!</v>
      </c>
      <c r="I184" s="265" t="e">
        <f t="shared" si="11"/>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2"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pageSetUpPr fitToPage="1"/>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Sur IMO</v>
      </c>
      <c r="C4" s="332"/>
      <c r="G4" s="331" t="s">
        <v>485</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Code]=B10)*(Budget[Sort Code]=$G$4),(Budget[Amount])))</f>
        <v>0</v>
      </c>
      <c r="D10" s="245">
        <f t="array" ref="D10">SUM(IF((Budget[Account Code]=B10)*(Budget[Sort Code]=$G$4)*(Budget[Date]&lt;=$D$7),(Budget[Amount])))</f>
        <v>0</v>
      </c>
      <c r="E10" s="245">
        <f t="array" ref="E10">((SUM(IF((CkDJ[Sort Code]=(TRIM(G$4)))*(CkDJ[Account Code]=(TRIM($B10)))*(CkDJ[Date]&lt;=$E$7),CkDJ[Credit])))+(SUM(IF((CsDJ[Sort Code]=(TRIM(G$4)))*(CsDJ[Account Code]=(TRIM($B10)))*(CsDJ[Date]&lt;=$E$7),CsDJ[Credit])))+(SUM(IF((CRDJ[Sort Code]=(TRIM(G$4)))*(CRDJ[Account Code]=(TRIM($B10)))*(CRDJ[Date]&lt;=$E$7),CRDJ[Credit])))+(SUM(IF((GJ[Sort Code]=(TRIM(G$4)))*(GJ[Account Code]=(TRIM($B10)))*(GJ[Date]&lt;=$E$7),GJ[Credit]))))-((SUM(IF((CkDJ[Sort Code]=(TRIM(G$4)))*(CkDJ[Account Code]=(TRIM($B10)))*(CkDJ[Date]&lt;=$E$7),CkDJ[Debit])))+(SUM(IF((CsDJ[Sort Code]=(TRIM(G$4)))*(CsDJ[Account Code]=(TRIM($B10)))*(CsDJ[Date]&lt;=$E$7),CsDJ[Debit])))+(SUM(IF((CRDJ[Sort Code]=(TRIM(G$4)))*(CRDJ[Account Code]=(TRIM($B10)))*(CRDJ[Date]&lt;=$E$7),CRDJ[Debit])))+(SUM(IF((GJ[Sort Code]=(TRIM(G$4)))*(GJ[Account Code]=(TRIM($B10)))*(GJ[Date]&lt;=$E$7),GJ[Debit]))))</f>
        <v>0</v>
      </c>
      <c r="F10" s="245">
        <f t="array" ref="F10">((SUM(IF((CkDJ[Date]=$A$3)*(CkDJ[Sort Code]=(TRIM(G$4)))*(CkDJ[Account Code]=(TRIM($B10))),CkDJ[Credit])))+(SUM(IF((CsDJ[Date]=$A$3)*(CsDJ[Sort Code]=(TRIM(G$4)))*(CsDJ[Account Code]=(TRIM($B10))),CsDJ[Credit])))+(SUM(IF((CRDJ[Date]=$A$3)*(CRDJ[Sort Code]=(TRIM(G$4)))*(CRDJ[Account Code]=(TRIM($B10))),CRDJ[Credit])))+(SUM(IF((GJ[Date]=$A$3)*(GJ[Sort Code]=(TRIM(G$4)))*(GJ[Account Code]=(TRIM($B10))),GJ[Credit]))))-((SUM(IF((CkDJ[Date]=$A$3)*(CkDJ[Sort Code]=(TRIM(G$4)))*(CkDJ[Account Code]=(TRIM($B10))),CkDJ[Debit])))+(SUM(IF((CsDJ[Date]=$A$3)*(CsDJ[Sort Code]=(TRIM(G$4)))*(CsDJ[Account Code]=(TRIM($B10))),CsDJ[Debit])))+(SUM(IF((CRDJ[Date]=$A$3)*(CRDJ[Sort Code]=(TRIM(G$4)))*(CRDJ[Account Code]=(TRIM($B10))),CRDJ[Debit])))+(SUM(IF((GJ[Date]=$A$3)*(GJ[Sort Code]=(TRIM(G$4)))*(GJ[Account Code]=(TRIM($B10))),GJ[Debit]))))</f>
        <v>0</v>
      </c>
      <c r="G10" s="343">
        <f>E10+F10</f>
        <v>0</v>
      </c>
      <c r="H10" s="246">
        <f t="shared" ref="H10:H24" si="0">G10-D10</f>
        <v>0</v>
      </c>
      <c r="I10" s="242">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2">
        <f t="shared" si="1"/>
        <v>0</v>
      </c>
    </row>
    <row r="12" spans="1:9">
      <c r="A12" s="247" t="s">
        <v>809</v>
      </c>
      <c r="B12" s="337" t="s">
        <v>126</v>
      </c>
      <c r="C12" s="245">
        <f t="array" ref="C12">SUM(IF((Budget[Account Code]=B12)*(Budget[Sort Code]=$G$4),(Budget[Amount])))</f>
        <v>0</v>
      </c>
      <c r="D12" s="245">
        <f t="array" ref="D12">SUM(IF((Budget[Account Code]=B12)*(Budget[Sort Code]=$G$4)*(Budget[Date]&lt;=$D$7),(Budget[Amount])))</f>
        <v>0</v>
      </c>
      <c r="E12" s="245">
        <f t="array" ref="E12">((SUM(IF((CkDJ[Sort Code]=(TRIM(G$4)))*(CkDJ[Account Code]=(TRIM($B12)))*(CkDJ[Date]&lt;=$E$7),CkDJ[Credit])))+(SUM(IF((CsDJ[Sort Code]=(TRIM(G$4)))*(CsDJ[Account Code]=(TRIM($B12)))*(CsDJ[Date]&lt;=$E$7),CsDJ[Credit])))+(SUM(IF((CRDJ[Sort Code]=(TRIM(G$4)))*(CRDJ[Account Code]=(TRIM($B12)))*(CRDJ[Date]&lt;=$E$7),CRDJ[Credit])))+(SUM(IF((GJ[Sort Code]=(TRIM(G$4)))*(GJ[Account Code]=(TRIM($B12)))*(GJ[Date]&lt;=$E$7),GJ[Credit]))))-((SUM(IF((CkDJ[Sort Code]=(TRIM(G$4)))*(CkDJ[Account Code]=(TRIM($B12)))*(CkDJ[Date]&lt;=$E$7),CkDJ[Debit])))+(SUM(IF((CsDJ[Sort Code]=(TRIM(G$4)))*(CsDJ[Account Code]=(TRIM($B12)))*(CsDJ[Date]&lt;=$E$7),CsDJ[Debit])))+(SUM(IF((CRDJ[Sort Code]=(TRIM(G$4)))*(CRDJ[Account Code]=(TRIM($B12)))*(CRDJ[Date]&lt;=$E$7),CRDJ[Debit])))+(SUM(IF((GJ[Sort Code]=(TRIM(G$4)))*(GJ[Account Code]=(TRIM($B12)))*(GJ[Date]&lt;=$E$7),GJ[Debit]))))</f>
        <v>0</v>
      </c>
      <c r="F12" s="245">
        <f t="array" ref="F12">((SUM(IF((CkDJ[Date]=$A$3)*(CkDJ[Sort Code]=(TRIM(G$4)))*(CkDJ[Account Code]=(TRIM($B12))),CkDJ[Credit])))+(SUM(IF((CsDJ[Date]=$A$3)*(CsDJ[Sort Code]=(TRIM(G$4)))*(CsDJ[Account Code]=(TRIM($B12))),CsDJ[Credit])))+(SUM(IF((CRDJ[Date]=$A$3)*(CRDJ[Sort Code]=(TRIM(G$4)))*(CRDJ[Account Code]=(TRIM($B12))),CRDJ[Credit])))+(SUM(IF((GJ[Date]=$A$3)*(GJ[Sort Code]=(TRIM(G$4)))*(GJ[Account Code]=(TRIM($B12))),GJ[Credit]))))-((SUM(IF((CkDJ[Date]=$A$3)*(CkDJ[Sort Code]=(TRIM(G$4)))*(CkDJ[Account Code]=(TRIM($B12))),CkDJ[Debit])))+(SUM(IF((CsDJ[Date]=$A$3)*(CsDJ[Sort Code]=(TRIM(G$4)))*(CsDJ[Account Code]=(TRIM($B12))),CsDJ[Debit])))+(SUM(IF((CRDJ[Date]=$A$3)*(CRDJ[Sort Code]=(TRIM(G$4)))*(CRDJ[Account Code]=(TRIM($B12))),CRDJ[Debit])))+(SUM(IF((GJ[Date]=$A$3)*(GJ[Sort Code]=(TRIM(G$4)))*(GJ[Account Code]=(TRIM($B12))),GJ[Debit]))))</f>
        <v>0</v>
      </c>
      <c r="G12" s="343">
        <f>E12+F12</f>
        <v>0</v>
      </c>
      <c r="H12" s="246">
        <f t="shared" si="0"/>
        <v>0</v>
      </c>
      <c r="I12" s="242">
        <f t="shared" si="1"/>
        <v>0</v>
      </c>
    </row>
    <row r="13" spans="1:9">
      <c r="A13" s="247" t="s">
        <v>828</v>
      </c>
      <c r="B13" s="337" t="s">
        <v>721</v>
      </c>
      <c r="C13" s="245">
        <f t="array" ref="C13">SUM(IF((Budget[Account Code]=B13)*(Budget[Sort Code]=$G$4),(Budget[Amount])))</f>
        <v>0</v>
      </c>
      <c r="D13" s="245">
        <f t="array" ref="D13">SUM(IF((Budget[Account Code]=B13)*(Budget[Sort Code]=$G$4)*(Budget[Date]&lt;=$D$7),(Budget[Amount])))</f>
        <v>0</v>
      </c>
      <c r="E13" s="245">
        <f t="array" ref="E13">((SUM(IF((CkDJ[Sort Code]=(TRIM(G$4)))*(CkDJ[Account Code]=(TRIM($B13)))*(CkDJ[Date]&lt;=$E$7),CkDJ[Credit])))+(SUM(IF((CsDJ[Sort Code]=(TRIM(G$4)))*(CsDJ[Account Code]=(TRIM($B13)))*(CsDJ[Date]&lt;=$E$7),CsDJ[Credit])))+(SUM(IF((CRDJ[Sort Code]=(TRIM(G$4)))*(CRDJ[Account Code]=(TRIM($B13)))*(CRDJ[Date]&lt;=$E$7),CRDJ[Credit])))+(SUM(IF((GJ[Sort Code]=(TRIM(G$4)))*(GJ[Account Code]=(TRIM($B13)))*(GJ[Date]&lt;=$E$7),GJ[Credit]))))-((SUM(IF((CkDJ[Sort Code]=(TRIM(G$4)))*(CkDJ[Account Code]=(TRIM($B13)))*(CkDJ[Date]&lt;=$E$7),CkDJ[Debit])))+(SUM(IF((CsDJ[Sort Code]=(TRIM(G$4)))*(CsDJ[Account Code]=(TRIM($B13)))*(CsDJ[Date]&lt;=$E$7),CsDJ[Debit])))+(SUM(IF((CRDJ[Sort Code]=(TRIM(G$4)))*(CRDJ[Account Code]=(TRIM($B13)))*(CRDJ[Date]&lt;=$E$7),CRDJ[Debit])))+(SUM(IF((GJ[Sort Code]=(TRIM(G$4)))*(GJ[Account Code]=(TRIM($B13)))*(GJ[Date]&lt;=$E$7),GJ[Debit]))))</f>
        <v>0</v>
      </c>
      <c r="F13" s="245">
        <f t="array" ref="F13">((SUM(IF((CkDJ[Date]=$A$3)*(CkDJ[Sort Code]=(TRIM(G$4)))*(CkDJ[Account Code]=(TRIM($B13))),CkDJ[Credit])))+(SUM(IF((CsDJ[Date]=$A$3)*(CsDJ[Sort Code]=(TRIM(G$4)))*(CsDJ[Account Code]=(TRIM($B13))),CsDJ[Credit])))+(SUM(IF((CRDJ[Date]=$A$3)*(CRDJ[Sort Code]=(TRIM(G$4)))*(CRDJ[Account Code]=(TRIM($B13))),CRDJ[Credit])))+(SUM(IF((GJ[Date]=$A$3)*(GJ[Sort Code]=(TRIM(G$4)))*(GJ[Account Code]=(TRIM($B13))),GJ[Credit]))))-((SUM(IF((CkDJ[Date]=$A$3)*(CkDJ[Sort Code]=(TRIM(G$4)))*(CkDJ[Account Code]=(TRIM($B13))),CkDJ[Debit])))+(SUM(IF((CsDJ[Date]=$A$3)*(CsDJ[Sort Code]=(TRIM(G$4)))*(CsDJ[Account Code]=(TRIM($B13))),CsDJ[Debit])))+(SUM(IF((CRDJ[Date]=$A$3)*(CRDJ[Sort Code]=(TRIM(G$4)))*(CRDJ[Account Code]=(TRIM($B13))),CRDJ[Debit])))+(SUM(IF((GJ[Date]=$A$3)*(GJ[Sort Code]=(TRIM(G$4)))*(GJ[Account Code]=(TRIM($B13))),GJ[Debit]))))</f>
        <v>0</v>
      </c>
      <c r="G13" s="343">
        <f>E13+F13</f>
        <v>0</v>
      </c>
      <c r="H13" s="246">
        <f t="shared" si="0"/>
        <v>0</v>
      </c>
      <c r="I13" s="242">
        <f t="shared" si="1"/>
        <v>0</v>
      </c>
    </row>
    <row r="14" spans="1:9">
      <c r="A14" s="247" t="s">
        <v>827</v>
      </c>
      <c r="B14" s="337" t="s">
        <v>143</v>
      </c>
      <c r="C14" s="245">
        <f t="array" ref="C14">SUM(IF((Budget[Account Code]=B14)*(Budget[Sort Code]=$G$4),(Budget[Amount])))</f>
        <v>0</v>
      </c>
      <c r="D14" s="245">
        <f t="array" ref="D14">SUM(IF((Budget[Account Code]=B14)*(Budget[Sort Code]=$G$4)*(Budget[Date]&lt;=$D$7),(Budget[Amount])))</f>
        <v>0</v>
      </c>
      <c r="E14" s="245">
        <f t="array" ref="E14">((SUM(IF((CkDJ[Sort Code]=(TRIM(G$4)))*(CkDJ[Account Code]=(TRIM($B14)))*(CkDJ[Date]&lt;=$E$7),CkDJ[Credit])))+(SUM(IF((CsDJ[Sort Code]=(TRIM(G$4)))*(CsDJ[Account Code]=(TRIM($B14)))*(CsDJ[Date]&lt;=$E$7),CsDJ[Credit])))+(SUM(IF((CRDJ[Sort Code]=(TRIM(G$4)))*(CRDJ[Account Code]=(TRIM($B14)))*(CRDJ[Date]&lt;=$E$7),CRDJ[Credit])))+(SUM(IF((GJ[Sort Code]=(TRIM(G$4)))*(GJ[Account Code]=(TRIM($B14)))*(GJ[Date]&lt;=$E$7),GJ[Credit]))))-((SUM(IF((CkDJ[Sort Code]=(TRIM(G$4)))*(CkDJ[Account Code]=(TRIM($B14)))*(CkDJ[Date]&lt;=$E$7),CkDJ[Debit])))+(SUM(IF((CsDJ[Sort Code]=(TRIM(G$4)))*(CsDJ[Account Code]=(TRIM($B14)))*(CsDJ[Date]&lt;=$E$7),CsDJ[Debit])))+(SUM(IF((CRDJ[Sort Code]=(TRIM(G$4)))*(CRDJ[Account Code]=(TRIM($B14)))*(CRDJ[Date]&lt;=$E$7),CRDJ[Debit])))+(SUM(IF((GJ[Sort Code]=(TRIM(G$4)))*(GJ[Account Code]=(TRIM($B14)))*(GJ[Date]&lt;=$E$7),GJ[Debit]))))</f>
        <v>0</v>
      </c>
      <c r="F14" s="245">
        <f t="array" ref="F14">((SUM(IF((CkDJ[Date]=$A$3)*(CkDJ[Sort Code]=(TRIM(G$4)))*(CkDJ[Account Code]=(TRIM($B14))),CkDJ[Credit])))+(SUM(IF((CsDJ[Date]=$A$3)*(CsDJ[Sort Code]=(TRIM(G$4)))*(CsDJ[Account Code]=(TRIM($B14))),CsDJ[Credit])))+(SUM(IF((CRDJ[Date]=$A$3)*(CRDJ[Sort Code]=(TRIM(G$4)))*(CRDJ[Account Code]=(TRIM($B14))),CRDJ[Credit])))+(SUM(IF((GJ[Date]=$A$3)*(GJ[Sort Code]=(TRIM(G$4)))*(GJ[Account Code]=(TRIM($B14))),GJ[Credit]))))-((SUM(IF((CkDJ[Date]=$A$3)*(CkDJ[Sort Code]=(TRIM(G$4)))*(CkDJ[Account Code]=(TRIM($B14))),CkDJ[Debit])))+(SUM(IF((CsDJ[Date]=$A$3)*(CsDJ[Sort Code]=(TRIM(G$4)))*(CsDJ[Account Code]=(TRIM($B14))),CsDJ[Debit])))+(SUM(IF((CRDJ[Date]=$A$3)*(CRDJ[Sort Code]=(TRIM(G$4)))*(CRDJ[Account Code]=(TRIM($B14))),CRDJ[Debit])))+(SUM(IF((GJ[Date]=$A$3)*(GJ[Sort Code]=(TRIM(G$4)))*(GJ[Account Code]=(TRIM($B14))),GJ[Debit]))))</f>
        <v>0</v>
      </c>
      <c r="G14" s="343">
        <f>E14+F14</f>
        <v>0</v>
      </c>
      <c r="H14" s="246">
        <f t="shared" si="0"/>
        <v>0</v>
      </c>
      <c r="I14" s="242">
        <f t="shared" si="1"/>
        <v>0</v>
      </c>
    </row>
    <row r="15" spans="1:9">
      <c r="A15" s="241" t="s">
        <v>826</v>
      </c>
      <c r="B15" s="337"/>
      <c r="C15" s="248">
        <f>SUM(C16:C18)</f>
        <v>1500000</v>
      </c>
      <c r="D15" s="248">
        <f>SUM(D16:D18)</f>
        <v>1500000</v>
      </c>
      <c r="E15" s="248">
        <f>SUM(E16:E18)</f>
        <v>0</v>
      </c>
      <c r="F15" s="248">
        <f>SUM(F16:F18)</f>
        <v>0</v>
      </c>
      <c r="G15" s="248">
        <f>SUM(G16:G18)</f>
        <v>0</v>
      </c>
      <c r="H15" s="242">
        <f t="shared" si="0"/>
        <v>-1500000</v>
      </c>
      <c r="I15" s="242">
        <f t="shared" si="1"/>
        <v>0</v>
      </c>
    </row>
    <row r="16" spans="1:9" hidden="1">
      <c r="A16" s="243" t="s">
        <v>182</v>
      </c>
      <c r="B16" s="337" t="s">
        <v>146</v>
      </c>
      <c r="C16" s="245">
        <f t="array" ref="C16">SUM(IF((Budget[Account Code]=B16)*(Budget[Sort Code]=$G$4),(Budget[Amount])))</f>
        <v>1500000</v>
      </c>
      <c r="D16" s="245">
        <f t="array" ref="D16">SUM(IF((Budget[Account Code]=B16)*(Budget[Sort Code]=$G$4)*(Budget[Date]&lt;=$D$7),(Budget[Amount])))</f>
        <v>1500000</v>
      </c>
      <c r="E16" s="245">
        <f t="array" ref="E16">((SUM(IF((CkDJ[Sort Code]=(TRIM(G$4)))*(CkDJ[Account Code]=(TRIM($B16)))*(CkDJ[Date]&lt;=$E$7),CkDJ[Credit])))+(SUM(IF((CsDJ[Sort Code]=(TRIM(G$4)))*(CsDJ[Account Code]=(TRIM($B16)))*(CsDJ[Date]&lt;=$E$7),CsDJ[Credit])))+(SUM(IF((CRDJ[Sort Code]=(TRIM(G$4)))*(CRDJ[Account Code]=(TRIM($B16)))*(CRDJ[Date]&lt;=$E$7),CRDJ[Credit])))+(SUM(IF((GJ[Sort Code]=(TRIM(G$4)))*(GJ[Account Code]=(TRIM($B16)))*(GJ[Date]&lt;=$E$7),GJ[Credit]))))-((SUM(IF((CkDJ[Sort Code]=(TRIM(G$4)))*(CkDJ[Account Code]=(TRIM($B16)))*(CkDJ[Date]&lt;=$E$7),CkDJ[Debit])))+(SUM(IF((CsDJ[Sort Code]=(TRIM(G$4)))*(CsDJ[Account Code]=(TRIM($B16)))*(CsDJ[Date]&lt;=$E$7),CsDJ[Debit])))+(SUM(IF((CRDJ[Sort Code]=(TRIM(G$4)))*(CRDJ[Account Code]=(TRIM($B16)))*(CRDJ[Date]&lt;=$E$7),CRDJ[Debit])))+(SUM(IF((GJ[Sort Code]=(TRIM(G$4)))*(GJ[Account Code]=(TRIM($B16)))*(GJ[Date]&lt;=$E$7),GJ[Debit]))))</f>
        <v>0</v>
      </c>
      <c r="F16" s="245">
        <f t="array" ref="F16">((SUM(IF((CkDJ[Date]=$A$3)*(CkDJ[Sort Code]=(TRIM(G$4)))*(CkDJ[Account Code]=(TRIM($B16))),CkDJ[Credit])))+(SUM(IF((CsDJ[Date]=$A$3)*(CsDJ[Sort Code]=(TRIM(G$4)))*(CsDJ[Account Code]=(TRIM($B16))),CsDJ[Credit])))+(SUM(IF((CRDJ[Date]=$A$3)*(CRDJ[Sort Code]=(TRIM(G$4)))*(CRDJ[Account Code]=(TRIM($B16))),CRDJ[Credit])))+(SUM(IF((GJ[Date]=$A$3)*(GJ[Sort Code]=(TRIM(G$4)))*(GJ[Account Code]=(TRIM($B16))),GJ[Credit]))))-((SUM(IF((CkDJ[Date]=$A$3)*(CkDJ[Sort Code]=(TRIM(G$4)))*(CkDJ[Account Code]=(TRIM($B16))),CkDJ[Debit])))+(SUM(IF((CsDJ[Date]=$A$3)*(CsDJ[Sort Code]=(TRIM(G$4)))*(CsDJ[Account Code]=(TRIM($B16))),CsDJ[Debit])))+(SUM(IF((CRDJ[Date]=$A$3)*(CRDJ[Sort Code]=(TRIM(G$4)))*(CRDJ[Account Code]=(TRIM($B16))),CRDJ[Debit])))+(SUM(IF((GJ[Date]=$A$3)*(GJ[Sort Code]=(TRIM(G$4)))*(GJ[Account Code]=(TRIM($B16))),GJ[Debit]))))</f>
        <v>0</v>
      </c>
      <c r="G16" s="343">
        <f>E16+F16</f>
        <v>0</v>
      </c>
      <c r="H16" s="246">
        <f t="shared" si="0"/>
        <v>-1500000</v>
      </c>
      <c r="I16" s="242">
        <f t="shared" si="1"/>
        <v>0</v>
      </c>
    </row>
    <row r="17" spans="1:9" hidden="1">
      <c r="A17" s="243" t="s">
        <v>183</v>
      </c>
      <c r="B17" s="337" t="s">
        <v>147</v>
      </c>
      <c r="C17" s="245">
        <f t="array" ref="C17">SUM(IF((Budget[Account Code]=B17)*(Budget[Sort Code]=$G$4),(Budget[Amount])))</f>
        <v>0</v>
      </c>
      <c r="D17" s="245">
        <f t="array" ref="D17">SUM(IF((Budget[Account Code]=B17)*(Budget[Sort Code]=$G$4)*(Budget[Date]&lt;=$D$7),(Budget[Amount])))</f>
        <v>0</v>
      </c>
      <c r="E17" s="245">
        <f t="array" ref="E17">((SUM(IF((CkDJ[Sort Code]=(TRIM(G$4)))*(CkDJ[Account Code]=(TRIM($B17)))*(CkDJ[Date]&lt;=$E$7),CkDJ[Credit])))+(SUM(IF((CsDJ[Sort Code]=(TRIM(G$4)))*(CsDJ[Account Code]=(TRIM($B17)))*(CsDJ[Date]&lt;=$E$7),CsDJ[Credit])))+(SUM(IF((CRDJ[Sort Code]=(TRIM(G$4)))*(CRDJ[Account Code]=(TRIM($B17)))*(CRDJ[Date]&lt;=$E$7),CRDJ[Credit])))+(SUM(IF((GJ[Sort Code]=(TRIM(G$4)))*(GJ[Account Code]=(TRIM($B17)))*(GJ[Date]&lt;=$E$7),GJ[Credit]))))-((SUM(IF((CkDJ[Sort Code]=(TRIM(G$4)))*(CkDJ[Account Code]=(TRIM($B17)))*(CkDJ[Date]&lt;=$E$7),CkDJ[Debit])))+(SUM(IF((CsDJ[Sort Code]=(TRIM(G$4)))*(CsDJ[Account Code]=(TRIM($B17)))*(CsDJ[Date]&lt;=$E$7),CsDJ[Debit])))+(SUM(IF((CRDJ[Sort Code]=(TRIM(G$4)))*(CRDJ[Account Code]=(TRIM($B17)))*(CRDJ[Date]&lt;=$E$7),CRDJ[Debit])))+(SUM(IF((GJ[Sort Code]=(TRIM(G$4)))*(GJ[Account Code]=(TRIM($B17)))*(GJ[Date]&lt;=$E$7),GJ[Debit]))))</f>
        <v>0</v>
      </c>
      <c r="F17" s="245">
        <f t="array" ref="F17">((SUM(IF((CkDJ[Date]=$A$3)*(CkDJ[Sort Code]=(TRIM(G$4)))*(CkDJ[Account Code]=(TRIM($B17))),CkDJ[Credit])))+(SUM(IF((CsDJ[Date]=$A$3)*(CsDJ[Sort Code]=(TRIM(G$4)))*(CsDJ[Account Code]=(TRIM($B17))),CsDJ[Credit])))+(SUM(IF((CRDJ[Date]=$A$3)*(CRDJ[Sort Code]=(TRIM(G$4)))*(CRDJ[Account Code]=(TRIM($B17))),CRDJ[Credit])))+(SUM(IF((GJ[Date]=$A$3)*(GJ[Sort Code]=(TRIM(G$4)))*(GJ[Account Code]=(TRIM($B17))),GJ[Credit]))))-((SUM(IF((CkDJ[Date]=$A$3)*(CkDJ[Sort Code]=(TRIM(G$4)))*(CkDJ[Account Code]=(TRIM($B17))),CkDJ[Debit])))+(SUM(IF((CsDJ[Date]=$A$3)*(CsDJ[Sort Code]=(TRIM(G$4)))*(CsDJ[Account Code]=(TRIM($B17))),CsDJ[Debit])))+(SUM(IF((CRDJ[Date]=$A$3)*(CRDJ[Sort Code]=(TRIM(G$4)))*(CRDJ[Account Code]=(TRIM($B17))),CRDJ[Debit])))+(SUM(IF((GJ[Date]=$A$3)*(GJ[Sort Code]=(TRIM(G$4)))*(GJ[Account Code]=(TRIM($B17))),GJ[Debit]))))</f>
        <v>0</v>
      </c>
      <c r="G17" s="343">
        <f>E17+F17</f>
        <v>0</v>
      </c>
      <c r="H17" s="246">
        <f t="shared" si="0"/>
        <v>0</v>
      </c>
      <c r="I17" s="242">
        <f t="shared" si="1"/>
        <v>0</v>
      </c>
    </row>
    <row r="18" spans="1:9" hidden="1">
      <c r="A18" s="243" t="s">
        <v>184</v>
      </c>
      <c r="B18" s="337" t="s">
        <v>148</v>
      </c>
      <c r="C18" s="245">
        <f t="array" ref="C18">SUM(IF((Budget[Account Code]=B18)*(Budget[Sort Code]=$G$4),(Budget[Amount])))</f>
        <v>0</v>
      </c>
      <c r="D18" s="245">
        <f t="array" ref="D18">SUM(IF((Budget[Account Code]=B18)*(Budget[Sort Code]=$G$4)*(Budget[Date]&lt;=$D$7),(Budget[Amount])))</f>
        <v>0</v>
      </c>
      <c r="E18" s="245">
        <f t="array" ref="E18">((SUM(IF((CkDJ[Sort Code]=(TRIM(G$4)))*(CkDJ[Account Code]=(TRIM($B18)))*(CkDJ[Date]&lt;=$E$7),CkDJ[Credit])))+(SUM(IF((CsDJ[Sort Code]=(TRIM(G$4)))*(CsDJ[Account Code]=(TRIM($B18)))*(CsDJ[Date]&lt;=$E$7),CsDJ[Credit])))+(SUM(IF((CRDJ[Sort Code]=(TRIM(G$4)))*(CRDJ[Account Code]=(TRIM($B18)))*(CRDJ[Date]&lt;=$E$7),CRDJ[Credit])))+(SUM(IF((GJ[Sort Code]=(TRIM(G$4)))*(GJ[Account Code]=(TRIM($B18)))*(GJ[Date]&lt;=$E$7),GJ[Credit]))))-((SUM(IF((CkDJ[Sort Code]=(TRIM(G$4)))*(CkDJ[Account Code]=(TRIM($B18)))*(CkDJ[Date]&lt;=$E$7),CkDJ[Debit])))+(SUM(IF((CsDJ[Sort Code]=(TRIM(G$4)))*(CsDJ[Account Code]=(TRIM($B18)))*(CsDJ[Date]&lt;=$E$7),CsDJ[Debit])))+(SUM(IF((CRDJ[Sort Code]=(TRIM(G$4)))*(CRDJ[Account Code]=(TRIM($B18)))*(CRDJ[Date]&lt;=$E$7),CRDJ[Debit])))+(SUM(IF((GJ[Sort Code]=(TRIM(G$4)))*(GJ[Account Code]=(TRIM($B18)))*(GJ[Date]&lt;=$E$7),GJ[Debit]))))</f>
        <v>0</v>
      </c>
      <c r="F18" s="245">
        <f t="array" ref="F18">((SUM(IF((CkDJ[Date]=$A$3)*(CkDJ[Sort Code]=(TRIM(G$4)))*(CkDJ[Account Code]=(TRIM($B18))),CkDJ[Credit])))+(SUM(IF((CsDJ[Date]=$A$3)*(CsDJ[Sort Code]=(TRIM(G$4)))*(CsDJ[Account Code]=(TRIM($B18))),CsDJ[Credit])))+(SUM(IF((CRDJ[Date]=$A$3)*(CRDJ[Sort Code]=(TRIM(G$4)))*(CRDJ[Account Code]=(TRIM($B18))),CRDJ[Credit])))+(SUM(IF((GJ[Date]=$A$3)*(GJ[Sort Code]=(TRIM(G$4)))*(GJ[Account Code]=(TRIM($B18))),GJ[Credit]))))-((SUM(IF((CkDJ[Date]=$A$3)*(CkDJ[Sort Code]=(TRIM(G$4)))*(CkDJ[Account Code]=(TRIM($B18))),CkDJ[Debit])))+(SUM(IF((CsDJ[Date]=$A$3)*(CsDJ[Sort Code]=(TRIM(G$4)))*(CsDJ[Account Code]=(TRIM($B18))),CsDJ[Debit])))+(SUM(IF((CRDJ[Date]=$A$3)*(CRDJ[Sort Code]=(TRIM(G$4)))*(CRDJ[Account Code]=(TRIM($B18))),CRDJ[Debit])))+(SUM(IF((GJ[Date]=$A$3)*(GJ[Sort Code]=(TRIM(G$4)))*(GJ[Account Code]=(TRIM($B18))),GJ[Debit]))))</f>
        <v>0</v>
      </c>
      <c r="G18" s="343">
        <f>E18+F18</f>
        <v>0</v>
      </c>
      <c r="H18" s="246">
        <f t="shared" si="0"/>
        <v>0</v>
      </c>
      <c r="I18" s="242">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Code]=B20)*(Budget[Sort Code]=$G$4),(Budget[Amount])))</f>
        <v>0</v>
      </c>
      <c r="D20" s="245">
        <f t="array" ref="D20">SUM(IF((Budget[Account Code]=B20)*(Budget[Sort Code]=$G$4)*(Budget[Date]&lt;=$D$7),(Budget[Amount])))</f>
        <v>0</v>
      </c>
      <c r="E20" s="245">
        <f t="array" ref="E20">((SUM(IF((CkDJ[Sort Code]=(TRIM(G$4)))*(CkDJ[Account Code]=(TRIM($B20)))*(CkDJ[Date]&lt;=$E$7),CkDJ[Credit])))+(SUM(IF((CsDJ[Sort Code]=(TRIM(G$4)))*(CsDJ[Account Code]=(TRIM($B20)))*(CsDJ[Date]&lt;=$E$7),CsDJ[Credit])))+(SUM(IF((CRDJ[Sort Code]=(TRIM(G$4)))*(CRDJ[Account Code]=(TRIM($B20)))*(CRDJ[Date]&lt;=$E$7),CRDJ[Credit])))+(SUM(IF((GJ[Sort Code]=(TRIM(G$4)))*(GJ[Account Code]=(TRIM($B20)))*(GJ[Date]&lt;=$E$7),GJ[Credit]))))-((SUM(IF((CkDJ[Sort Code]=(TRIM(G$4)))*(CkDJ[Account Code]=(TRIM($B20)))*(CkDJ[Date]&lt;=$E$7),CkDJ[Debit])))+(SUM(IF((CsDJ[Sort Code]=(TRIM(G$4)))*(CsDJ[Account Code]=(TRIM($B20)))*(CsDJ[Date]&lt;=$E$7),CsDJ[Debit])))+(SUM(IF((CRDJ[Sort Code]=(TRIM(G$4)))*(CRDJ[Account Code]=(TRIM($B20)))*(CRDJ[Date]&lt;=$E$7),CRDJ[Debit])))+(SUM(IF((GJ[Sort Code]=(TRIM(G$4)))*(GJ[Account Code]=(TRIM($B20)))*(GJ[Date]&lt;=$E$7),GJ[Debit]))))</f>
        <v>0</v>
      </c>
      <c r="F20" s="245">
        <f t="array" ref="F20">((SUM(IF((CkDJ[Date]=$A$3)*(CkDJ[Sort Code]=(TRIM(G$4)))*(CkDJ[Account Code]=(TRIM($B20))),CkDJ[Credit])))+(SUM(IF((CsDJ[Date]=$A$3)*(CsDJ[Sort Code]=(TRIM(G$4)))*(CsDJ[Account Code]=(TRIM($B20))),CsDJ[Credit])))+(SUM(IF((CRDJ[Date]=$A$3)*(CRDJ[Sort Code]=(TRIM(G$4)))*(CRDJ[Account Code]=(TRIM($B20))),CRDJ[Credit])))+(SUM(IF((GJ[Date]=$A$3)*(GJ[Sort Code]=(TRIM(G$4)))*(GJ[Account Code]=(TRIM($B20))),GJ[Credit]))))-((SUM(IF((CkDJ[Date]=$A$3)*(CkDJ[Sort Code]=(TRIM(G$4)))*(CkDJ[Account Code]=(TRIM($B20))),CkDJ[Debit])))+(SUM(IF((CsDJ[Date]=$A$3)*(CsDJ[Sort Code]=(TRIM(G$4)))*(CsDJ[Account Code]=(TRIM($B20))),CsDJ[Debit])))+(SUM(IF((CRDJ[Date]=$A$3)*(CRDJ[Sort Code]=(TRIM(G$4)))*(CRDJ[Account Code]=(TRIM($B20))),CRDJ[Debit])))+(SUM(IF((GJ[Date]=$A$3)*(GJ[Sort Code]=(TRIM(G$4)))*(GJ[Account Code]=(TRIM($B20))),GJ[Debit]))))</f>
        <v>0</v>
      </c>
      <c r="G20" s="343">
        <f>E20+F20</f>
        <v>0</v>
      </c>
      <c r="H20" s="246">
        <f t="shared" si="0"/>
        <v>0</v>
      </c>
      <c r="I20" s="242">
        <f t="shared" si="1"/>
        <v>0</v>
      </c>
    </row>
    <row r="21" spans="1:9">
      <c r="A21" s="243" t="s">
        <v>820</v>
      </c>
      <c r="B21" s="337"/>
      <c r="C21" s="245">
        <f>SUM(C22:C23)</f>
        <v>0</v>
      </c>
      <c r="D21" s="245">
        <f>SUM(D22:D23)</f>
        <v>0</v>
      </c>
      <c r="E21" s="245">
        <f>SUM(E22:E23)</f>
        <v>0</v>
      </c>
      <c r="F21" s="245">
        <f>SUM(F22:F23)</f>
        <v>0</v>
      </c>
      <c r="G21" s="245">
        <f>SUM(G22:G23)</f>
        <v>0</v>
      </c>
      <c r="H21" s="246">
        <f t="shared" si="0"/>
        <v>0</v>
      </c>
      <c r="I21" s="242">
        <f t="shared" si="1"/>
        <v>0</v>
      </c>
    </row>
    <row r="22" spans="1:9" hidden="1">
      <c r="A22" s="247" t="s">
        <v>819</v>
      </c>
      <c r="B22" s="337" t="s">
        <v>140</v>
      </c>
      <c r="C22" s="245">
        <f t="array" ref="C22">SUM(IF((Budget[Account Code]=B22)*(Budget[Sort Code]=$G$4),(Budget[Amount])))</f>
        <v>0</v>
      </c>
      <c r="D22" s="245">
        <f t="array" ref="D22">SUM(IF((Budget[Account Code]=B22)*(Budget[Sort Code]=$G$4)*(Budget[Date]&lt;=$D$7),(Budget[Amount])))</f>
        <v>0</v>
      </c>
      <c r="E22" s="245">
        <f t="array" ref="E22">((SUM(IF((CkDJ[Sort Code]=(TRIM(G$4)))*(CkDJ[Account Code]=(TRIM($B22)))*(CkDJ[Date]&lt;=$E$7),CkDJ[Credit])))+(SUM(IF((CsDJ[Sort Code]=(TRIM(G$4)))*(CsDJ[Account Code]=(TRIM($B22)))*(CsDJ[Date]&lt;=$E$7),CsDJ[Credit])))+(SUM(IF((CRDJ[Sort Code]=(TRIM(G$4)))*(CRDJ[Account Code]=(TRIM($B22)))*(CRDJ[Date]&lt;=$E$7),CRDJ[Credit])))+(SUM(IF((GJ[Sort Code]=(TRIM(G$4)))*(GJ[Account Code]=(TRIM($B22)))*(GJ[Date]&lt;=$E$7),GJ[Credit]))))-((SUM(IF((CkDJ[Sort Code]=(TRIM(G$4)))*(CkDJ[Account Code]=(TRIM($B22)))*(CkDJ[Date]&lt;=$E$7),CkDJ[Debit])))+(SUM(IF((CsDJ[Sort Code]=(TRIM(G$4)))*(CsDJ[Account Code]=(TRIM($B22)))*(CsDJ[Date]&lt;=$E$7),CsDJ[Debit])))+(SUM(IF((CRDJ[Sort Code]=(TRIM(G$4)))*(CRDJ[Account Code]=(TRIM($B22)))*(CRDJ[Date]&lt;=$E$7),CRDJ[Debit])))+(SUM(IF((GJ[Sort Code]=(TRIM(G$4)))*(GJ[Account Code]=(TRIM($B22)))*(GJ[Date]&lt;=$E$7),GJ[Debit]))))</f>
        <v>0</v>
      </c>
      <c r="F22" s="245">
        <f t="array" ref="F22">((SUM(IF((CkDJ[Date]=$A$3)*(CkDJ[Sort Code]=(TRIM(G$4)))*(CkDJ[Account Code]=(TRIM($B22))),CkDJ[Credit])))+(SUM(IF((CsDJ[Date]=$A$3)*(CsDJ[Sort Code]=(TRIM(G$4)))*(CsDJ[Account Code]=(TRIM($B22))),CsDJ[Credit])))+(SUM(IF((CRDJ[Date]=$A$3)*(CRDJ[Sort Code]=(TRIM(G$4)))*(CRDJ[Account Code]=(TRIM($B22))),CRDJ[Credit])))+(SUM(IF((GJ[Date]=$A$3)*(GJ[Sort Code]=(TRIM(G$4)))*(GJ[Account Code]=(TRIM($B22))),GJ[Credit]))))-((SUM(IF((CkDJ[Date]=$A$3)*(CkDJ[Sort Code]=(TRIM(G$4)))*(CkDJ[Account Code]=(TRIM($B22))),CkDJ[Debit])))+(SUM(IF((CsDJ[Date]=$A$3)*(CsDJ[Sort Code]=(TRIM(G$4)))*(CsDJ[Account Code]=(TRIM($B22))),CsDJ[Debit])))+(SUM(IF((CRDJ[Date]=$A$3)*(CRDJ[Sort Code]=(TRIM(G$4)))*(CRDJ[Account Code]=(TRIM($B22))),CRDJ[Debit])))+(SUM(IF((GJ[Date]=$A$3)*(GJ[Sort Code]=(TRIM(G$4)))*(GJ[Account Code]=(TRIM($B22))),GJ[Debit]))))</f>
        <v>0</v>
      </c>
      <c r="G22" s="343">
        <f>E22+F22</f>
        <v>0</v>
      </c>
      <c r="H22" s="246">
        <f t="shared" si="0"/>
        <v>0</v>
      </c>
      <c r="I22" s="242">
        <f t="shared" si="1"/>
        <v>0</v>
      </c>
    </row>
    <row r="23" spans="1:9" hidden="1">
      <c r="A23" s="247" t="s">
        <v>818</v>
      </c>
      <c r="B23" s="337" t="s">
        <v>144</v>
      </c>
      <c r="C23" s="245">
        <f t="array" ref="C23">SUM(IF((Budget[Account Code]=B23)*(Budget[Sort Code]=$G$4),(Budget[Amount])))</f>
        <v>0</v>
      </c>
      <c r="D23" s="245">
        <f t="array" ref="D23">SUM(IF((Budget[Account Code]=B23)*(Budget[Sort Code]=$G$4)*(Budget[Date]&lt;=$D$7),(Budget[Amount])))</f>
        <v>0</v>
      </c>
      <c r="E23" s="245">
        <f t="array" ref="E23">((SUM(IF((CkDJ[Sort Code]=(TRIM(G$4)))*(CkDJ[Account Code]=(TRIM($B23)))*(CkDJ[Date]&lt;=$E$7),CkDJ[Credit])))+(SUM(IF((CsDJ[Sort Code]=(TRIM(G$4)))*(CsDJ[Account Code]=(TRIM($B23)))*(CsDJ[Date]&lt;=$E$7),CsDJ[Credit])))+(SUM(IF((CRDJ[Sort Code]=(TRIM(G$4)))*(CRDJ[Account Code]=(TRIM($B23)))*(CRDJ[Date]&lt;=$E$7),CRDJ[Credit])))+(SUM(IF((GJ[Sort Code]=(TRIM(G$4)))*(GJ[Account Code]=(TRIM($B23)))*(GJ[Date]&lt;=$E$7),GJ[Credit]))))-((SUM(IF((CkDJ[Sort Code]=(TRIM(G$4)))*(CkDJ[Account Code]=(TRIM($B23)))*(CkDJ[Date]&lt;=$E$7),CkDJ[Debit])))+(SUM(IF((CsDJ[Sort Code]=(TRIM(G$4)))*(CsDJ[Account Code]=(TRIM($B23)))*(CsDJ[Date]&lt;=$E$7),CsDJ[Debit])))+(SUM(IF((CRDJ[Sort Code]=(TRIM(G$4)))*(CRDJ[Account Code]=(TRIM($B23)))*(CRDJ[Date]&lt;=$E$7),CRDJ[Debit])))+(SUM(IF((GJ[Sort Code]=(TRIM(G$4)))*(GJ[Account Code]=(TRIM($B23)))*(GJ[Date]&lt;=$E$7),GJ[Debit]))))</f>
        <v>0</v>
      </c>
      <c r="F23" s="245">
        <f t="array" ref="F23">((SUM(IF((CkDJ[Date]=$A$3)*(CkDJ[Sort Code]=(TRIM(G$4)))*(CkDJ[Account Code]=(TRIM($B23))),CkDJ[Credit])))+(SUM(IF((CsDJ[Date]=$A$3)*(CsDJ[Sort Code]=(TRIM(G$4)))*(CsDJ[Account Code]=(TRIM($B23))),CsDJ[Credit])))+(SUM(IF((CRDJ[Date]=$A$3)*(CRDJ[Sort Code]=(TRIM(G$4)))*(CRDJ[Account Code]=(TRIM($B23))),CRDJ[Credit])))+(SUM(IF((GJ[Date]=$A$3)*(GJ[Sort Code]=(TRIM(G$4)))*(GJ[Account Code]=(TRIM($B23))),GJ[Credit]))))-((SUM(IF((CkDJ[Date]=$A$3)*(CkDJ[Sort Code]=(TRIM(G$4)))*(CkDJ[Account Code]=(TRIM($B23))),CkDJ[Debit])))+(SUM(IF((CsDJ[Date]=$A$3)*(CsDJ[Sort Code]=(TRIM(G$4)))*(CsDJ[Account Code]=(TRIM($B23))),CsDJ[Debit])))+(SUM(IF((CRDJ[Date]=$A$3)*(CRDJ[Sort Code]=(TRIM(G$4)))*(CRDJ[Account Code]=(TRIM($B23))),CRDJ[Debit])))+(SUM(IF((GJ[Date]=$A$3)*(GJ[Sort Code]=(TRIM(G$4)))*(GJ[Account Code]=(TRIM($B23))),GJ[Debit]))))</f>
        <v>0</v>
      </c>
      <c r="G23" s="343">
        <f>E23+F23</f>
        <v>0</v>
      </c>
      <c r="H23" s="246">
        <f t="shared" si="0"/>
        <v>0</v>
      </c>
      <c r="I23" s="242">
        <f t="shared" si="1"/>
        <v>0</v>
      </c>
    </row>
    <row r="24" spans="1:9">
      <c r="A24" s="249" t="s">
        <v>814</v>
      </c>
      <c r="B24" s="338"/>
      <c r="C24" s="250">
        <f>C9+C15+C19</f>
        <v>1500000</v>
      </c>
      <c r="D24" s="250">
        <f>D9+D15+D19</f>
        <v>1500000</v>
      </c>
      <c r="E24" s="250">
        <f>E9+E15+E19</f>
        <v>0</v>
      </c>
      <c r="F24" s="250">
        <f>F9+F15+F19</f>
        <v>0</v>
      </c>
      <c r="G24" s="250">
        <f>G9+G15+G19</f>
        <v>0</v>
      </c>
      <c r="H24" s="250">
        <f t="shared" si="0"/>
        <v>-1500000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Code]=B26)*(Budget[Sort Code]=$G$4),(Budget[Amount])))</f>
        <v>0</v>
      </c>
      <c r="D26" s="245">
        <f t="array" ref="D26">SUM(IF((Budget[Account Code]=B26)*(Budget[Sort Code]=$G$4)*(Budget[Date]&lt;=$D$7),(Budget[Amount])))</f>
        <v>0</v>
      </c>
      <c r="E26" s="245">
        <f t="array" ref="E26">((SUM(IF((CkDJ[Sort Code]=(TRIM(G$4)))*(CkDJ[Account Code]=(TRIM($B26)))*(CkDJ[Date]&lt;=$E$7),CkDJ[Credit])))+(SUM(IF((CsDJ[Sort Code]=(TRIM(G$4)))*(CsDJ[Account Code]=(TRIM($B26)))*(CsDJ[Date]&lt;=$E$7),CsDJ[Credit])))+(SUM(IF((CRDJ[Sort Code]=(TRIM(G$4)))*(CRDJ[Account Code]=(TRIM($B26)))*(CRDJ[Date]&lt;=$E$7),CRDJ[Credit])))+(SUM(IF((GJ[Sort Code]=(TRIM(G$4)))*(GJ[Account Code]=(TRIM($B26)))*(GJ[Date]&lt;=$E$7),GJ[Credit]))))-((SUM(IF((CkDJ[Sort Code]=(TRIM(G$4)))*(CkDJ[Account Code]=(TRIM($B26)))*(CkDJ[Date]&lt;=$E$7),CkDJ[Debit])))+(SUM(IF((CsDJ[Sort Code]=(TRIM(G$4)))*(CsDJ[Account Code]=(TRIM($B26)))*(CsDJ[Date]&lt;=$E$7),CsDJ[Debit])))+(SUM(IF((CRDJ[Sort Code]=(TRIM(G$4)))*(CRDJ[Account Code]=(TRIM($B26)))*(CRDJ[Date]&lt;=$E$7),CRDJ[Debit])))+(SUM(IF((GJ[Sort Code]=(TRIM(G$4)))*(GJ[Account Code]=(TRIM($B26)))*(GJ[Date]&lt;=$E$7),GJ[Debit]))))</f>
        <v>0</v>
      </c>
      <c r="F26" s="245">
        <f t="array" ref="F26">((SUM(IF((CkDJ[Date]=$A$3)*(CkDJ[Sort Code]=(TRIM(G$4)))*(CkDJ[Account Code]=(TRIM($B26))),CkDJ[Credit])))+(SUM(IF((CsDJ[Date]=$A$3)*(CsDJ[Sort Code]=(TRIM(G$4)))*(CsDJ[Account Code]=(TRIM($B26))),CsDJ[Credit])))+(SUM(IF((CRDJ[Date]=$A$3)*(CRDJ[Sort Code]=(TRIM(G$4)))*(CRDJ[Account Code]=(TRIM($B26))),CRDJ[Credit])))+(SUM(IF((GJ[Date]=$A$3)*(GJ[Sort Code]=(TRIM(G$4)))*(GJ[Account Code]=(TRIM($B26))),GJ[Credit]))))-((SUM(IF((CkDJ[Date]=$A$3)*(CkDJ[Sort Code]=(TRIM(G$4)))*(CkDJ[Account Code]=(TRIM($B26))),CkDJ[Debit])))+(SUM(IF((CsDJ[Date]=$A$3)*(CsDJ[Sort Code]=(TRIM(G$4)))*(CsDJ[Account Code]=(TRIM($B26))),CsDJ[Debit])))+(SUM(IF((CRDJ[Date]=$A$3)*(CRDJ[Sort Code]=(TRIM(G$4)))*(CRDJ[Account Code]=(TRIM($B26))),CRDJ[Debit])))+(SUM(IF((GJ[Date]=$A$3)*(GJ[Sort Code]=(TRIM(G$4)))*(GJ[Account Code]=(TRIM($B26))),GJ[Debit]))))</f>
        <v>0</v>
      </c>
      <c r="G26" s="343">
        <f>E26+F26</f>
        <v>0</v>
      </c>
      <c r="H26" s="246">
        <f t="shared" ref="H26:H48" si="2">G26-D26</f>
        <v>0</v>
      </c>
      <c r="I26" s="246">
        <f t="shared" ref="I26:I4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Code]=B28)*(Budget[Sort Code]=$G$4),(Budget[Amount])))</f>
        <v>0</v>
      </c>
      <c r="D28" s="245">
        <f t="array" ref="D28">SUM(IF((Budget[Account Code]=B28)*(Budget[Sort Code]=$G$4)*(Budget[Date]&lt;=$D$7),(Budget[Amount])))</f>
        <v>0</v>
      </c>
      <c r="E28" s="245">
        <f t="array" ref="E28">((SUM(IF((CkDJ[Sort Code]=(TRIM(G$4)))*(CkDJ[Account Code]=(TRIM($B28)))*(CkDJ[Date]&lt;=$E$7),CkDJ[Credit])))+(SUM(IF((CsDJ[Sort Code]=(TRIM(G$4)))*(CsDJ[Account Code]=(TRIM($B28)))*(CsDJ[Date]&lt;=$E$7),CsDJ[Credit])))+(SUM(IF((CRDJ[Sort Code]=(TRIM(G$4)))*(CRDJ[Account Code]=(TRIM($B28)))*(CRDJ[Date]&lt;=$E$7),CRDJ[Credit])))+(SUM(IF((GJ[Sort Code]=(TRIM(G$4)))*(GJ[Account Code]=(TRIM($B28)))*(GJ[Date]&lt;=$E$7),GJ[Credit]))))-((SUM(IF((CkDJ[Sort Code]=(TRIM(G$4)))*(CkDJ[Account Code]=(TRIM($B28)))*(CkDJ[Date]&lt;=$E$7),CkDJ[Debit])))+(SUM(IF((CsDJ[Sort Code]=(TRIM(G$4)))*(CsDJ[Account Code]=(TRIM($B28)))*(CsDJ[Date]&lt;=$E$7),CsDJ[Debit])))+(SUM(IF((CRDJ[Sort Code]=(TRIM(G$4)))*(CRDJ[Account Code]=(TRIM($B28)))*(CRDJ[Date]&lt;=$E$7),CRDJ[Debit])))+(SUM(IF((GJ[Sort Code]=(TRIM(G$4)))*(GJ[Account Code]=(TRIM($B28)))*(GJ[Date]&lt;=$E$7),GJ[Debit]))))</f>
        <v>0</v>
      </c>
      <c r="F28" s="245">
        <f t="array" ref="F28">((SUM(IF((CkDJ[Date]=$A$3)*(CkDJ[Sort Code]=(TRIM(G$4)))*(CkDJ[Account Code]=(TRIM($B28))),CkDJ[Credit])))+(SUM(IF((CsDJ[Date]=$A$3)*(CsDJ[Sort Code]=(TRIM(G$4)))*(CsDJ[Account Code]=(TRIM($B28))),CsDJ[Credit])))+(SUM(IF((CRDJ[Date]=$A$3)*(CRDJ[Sort Code]=(TRIM(G$4)))*(CRDJ[Account Code]=(TRIM($B28))),CRDJ[Credit])))+(SUM(IF((GJ[Date]=$A$3)*(GJ[Sort Code]=(TRIM(G$4)))*(GJ[Account Code]=(TRIM($B28))),GJ[Credit]))))-((SUM(IF((CkDJ[Date]=$A$3)*(CkDJ[Sort Code]=(TRIM(G$4)))*(CkDJ[Account Code]=(TRIM($B28))),CkDJ[Debit])))+(SUM(IF((CsDJ[Date]=$A$3)*(CsDJ[Sort Code]=(TRIM(G$4)))*(CsDJ[Account Code]=(TRIM($B28))),CsDJ[Debit])))+(SUM(IF((CRDJ[Date]=$A$3)*(CRDJ[Sort Code]=(TRIM(G$4)))*(CRDJ[Account Code]=(TRIM($B28))),CRDJ[Debit])))+(SUM(IF((GJ[Date]=$A$3)*(GJ[Sort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Code]=B30)*(Budget[Sort Code]=$G$4),(Budget[Amount])))</f>
        <v>0</v>
      </c>
      <c r="D30" s="245">
        <f t="array" ref="D30">SUM(IF((Budget[Account Code]=B30)*(Budget[Sort Code]=$G$4)*(Budget[Date]&lt;=$D$7),(Budget[Amount])))</f>
        <v>0</v>
      </c>
      <c r="E30" s="245">
        <f t="array" ref="E30">((SUM(IF((CkDJ[Sort Code]=(TRIM(G$4)))*(CkDJ[Account Code]=(TRIM($B30)))*(CkDJ[Date]&lt;=$E$7),CkDJ[Credit])))+(SUM(IF((CsDJ[Sort Code]=(TRIM(G$4)))*(CsDJ[Account Code]=(TRIM($B30)))*(CsDJ[Date]&lt;=$E$7),CsDJ[Credit])))+(SUM(IF((CRDJ[Sort Code]=(TRIM(G$4)))*(CRDJ[Account Code]=(TRIM($B30)))*(CRDJ[Date]&lt;=$E$7),CRDJ[Credit])))+(SUM(IF((GJ[Sort Code]=(TRIM(G$4)))*(GJ[Account Code]=(TRIM($B30)))*(GJ[Date]&lt;=$E$7),GJ[Credit]))))-((SUM(IF((CkDJ[Sort Code]=(TRIM(G$4)))*(CkDJ[Account Code]=(TRIM($B30)))*(CkDJ[Date]&lt;=$E$7),CkDJ[Debit])))+(SUM(IF((CsDJ[Sort Code]=(TRIM(G$4)))*(CsDJ[Account Code]=(TRIM($B30)))*(CsDJ[Date]&lt;=$E$7),CsDJ[Debit])))+(SUM(IF((CRDJ[Sort Code]=(TRIM(G$4)))*(CRDJ[Account Code]=(TRIM($B30)))*(CRDJ[Date]&lt;=$E$7),CRDJ[Debit])))+(SUM(IF((GJ[Sort Code]=(TRIM(G$4)))*(GJ[Account Code]=(TRIM($B30)))*(GJ[Date]&lt;=$E$7),GJ[Debit]))))</f>
        <v>0</v>
      </c>
      <c r="F30" s="245">
        <f t="array" ref="F30">((SUM(IF((CkDJ[Date]=$A$3)*(CkDJ[Sort Code]=(TRIM(G$4)))*(CkDJ[Account Code]=(TRIM($B30))),CkDJ[Credit])))+(SUM(IF((CsDJ[Date]=$A$3)*(CsDJ[Sort Code]=(TRIM(G$4)))*(CsDJ[Account Code]=(TRIM($B30))),CsDJ[Credit])))+(SUM(IF((CRDJ[Date]=$A$3)*(CRDJ[Sort Code]=(TRIM(G$4)))*(CRDJ[Account Code]=(TRIM($B30))),CRDJ[Credit])))+(SUM(IF((GJ[Date]=$A$3)*(GJ[Sort Code]=(TRIM(G$4)))*(GJ[Account Code]=(TRIM($B30))),GJ[Credit]))))-((SUM(IF((CkDJ[Date]=$A$3)*(CkDJ[Sort Code]=(TRIM(G$4)))*(CkDJ[Account Code]=(TRIM($B30))),CkDJ[Debit])))+(SUM(IF((CsDJ[Date]=$A$3)*(CsDJ[Sort Code]=(TRIM(G$4)))*(CsDJ[Account Code]=(TRIM($B30))),CsDJ[Debit])))+(SUM(IF((CRDJ[Date]=$A$3)*(CRDJ[Sort Code]=(TRIM(G$4)))*(CRDJ[Account Code]=(TRIM($B30))),CRDJ[Debit])))+(SUM(IF((GJ[Date]=$A$3)*(GJ[Sort Code]=(TRIM(G$4)))*(GJ[Account Code]=(TRIM($B30))),GJ[Debit]))))</f>
        <v>0</v>
      </c>
      <c r="G30" s="343">
        <f>E30+F30</f>
        <v>0</v>
      </c>
      <c r="H30" s="246">
        <f t="shared" si="2"/>
        <v>0</v>
      </c>
      <c r="I30" s="246">
        <f t="shared" si="3"/>
        <v>0</v>
      </c>
    </row>
    <row r="31" spans="1:9" hidden="1">
      <c r="A31" s="247" t="s">
        <v>818</v>
      </c>
      <c r="B31" s="339" t="s">
        <v>145</v>
      </c>
      <c r="C31" s="245">
        <f t="array" ref="C31">SUM(IF((Budget[Account Code]=B31)*(Budget[Sort Code]=$G$4),(Budget[Amount])))</f>
        <v>0</v>
      </c>
      <c r="D31" s="245">
        <f t="array" ref="D31">SUM(IF((Budget[Account Code]=B31)*(Budget[Sort Code]=$G$4)*(Budget[Date]&lt;=$D$7),(Budget[Amount])))</f>
        <v>0</v>
      </c>
      <c r="E31" s="245">
        <f t="array" ref="E31">((SUM(IF((CkDJ[Sort Code]=(TRIM(G$4)))*(CkDJ[Account Code]=(TRIM($B31)))*(CkDJ[Date]&lt;=$E$7),CkDJ[Credit])))+(SUM(IF((CsDJ[Sort Code]=(TRIM(G$4)))*(CsDJ[Account Code]=(TRIM($B31)))*(CsDJ[Date]&lt;=$E$7),CsDJ[Credit])))+(SUM(IF((CRDJ[Sort Code]=(TRIM(G$4)))*(CRDJ[Account Code]=(TRIM($B31)))*(CRDJ[Date]&lt;=$E$7),CRDJ[Credit])))+(SUM(IF((GJ[Sort Code]=(TRIM(G$4)))*(GJ[Account Code]=(TRIM($B31)))*(GJ[Date]&lt;=$E$7),GJ[Credit]))))-((SUM(IF((CkDJ[Sort Code]=(TRIM(G$4)))*(CkDJ[Account Code]=(TRIM($B31)))*(CkDJ[Date]&lt;=$E$7),CkDJ[Debit])))+(SUM(IF((CsDJ[Sort Code]=(TRIM(G$4)))*(CsDJ[Account Code]=(TRIM($B31)))*(CsDJ[Date]&lt;=$E$7),CsDJ[Debit])))+(SUM(IF((CRDJ[Sort Code]=(TRIM(G$4)))*(CRDJ[Account Code]=(TRIM($B31)))*(CRDJ[Date]&lt;=$E$7),CRDJ[Debit])))+(SUM(IF((GJ[Sort Code]=(TRIM(G$4)))*(GJ[Account Code]=(TRIM($B31)))*(GJ[Date]&lt;=$E$7),GJ[Debit]))))</f>
        <v>0</v>
      </c>
      <c r="F31" s="245">
        <f t="array" ref="F31">((SUM(IF((CkDJ[Date]=$A$3)*(CkDJ[Sort Code]=(TRIM(G$4)))*(CkDJ[Account Code]=(TRIM($B31))),CkDJ[Credit])))+(SUM(IF((CsDJ[Date]=$A$3)*(CsDJ[Sort Code]=(TRIM(G$4)))*(CsDJ[Account Code]=(TRIM($B31))),CsDJ[Credit])))+(SUM(IF((CRDJ[Date]=$A$3)*(CRDJ[Sort Code]=(TRIM(G$4)))*(CRDJ[Account Code]=(TRIM($B31))),CRDJ[Credit])))+(SUM(IF((GJ[Date]=$A$3)*(GJ[Sort Code]=(TRIM(G$4)))*(GJ[Account Code]=(TRIM($B31))),GJ[Credit]))))-((SUM(IF((CkDJ[Date]=$A$3)*(CkDJ[Sort Code]=(TRIM(G$4)))*(CkDJ[Account Code]=(TRIM($B31))),CkDJ[Debit])))+(SUM(IF((CsDJ[Date]=$A$3)*(CsDJ[Sort Code]=(TRIM(G$4)))*(CsDJ[Account Code]=(TRIM($B31))),CsDJ[Debit])))+(SUM(IF((CRDJ[Date]=$A$3)*(CRDJ[Sort Code]=(TRIM(G$4)))*(CRDJ[Account Code]=(TRIM($B31))),CRDJ[Debit])))+(SUM(IF((GJ[Date]=$A$3)*(GJ[Sort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Code]=B33)*(Budget[Sort Code]=$G$4),(Budget[Amount])))</f>
        <v>0</v>
      </c>
      <c r="D33" s="245">
        <f t="array" ref="D33">SUM(IF((Budget[Account Code]=B33)*(Budget[Sort Code]=$G$4)*(Budget[Date]&lt;=$D$7),(Budget[Amount])))</f>
        <v>0</v>
      </c>
      <c r="E33" s="245">
        <f t="array" ref="E33">((SUM(IF((CkDJ[Sort Code]=(TRIM(G$4)))*(CkDJ[Account Code]=(TRIM($B33)))*(CkDJ[Date]&lt;=$E$7),CkDJ[Credit])))+(SUM(IF((CsDJ[Sort Code]=(TRIM(G$4)))*(CsDJ[Account Code]=(TRIM($B33)))*(CsDJ[Date]&lt;=$E$7),CsDJ[Credit])))+(SUM(IF((CRDJ[Sort Code]=(TRIM(G$4)))*(CRDJ[Account Code]=(TRIM($B33)))*(CRDJ[Date]&lt;=$E$7),CRDJ[Credit])))+(SUM(IF((GJ[Sort Code]=(TRIM(G$4)))*(GJ[Account Code]=(TRIM($B33)))*(GJ[Date]&lt;=$E$7),GJ[Credit]))))-((SUM(IF((CkDJ[Sort Code]=(TRIM(G$4)))*(CkDJ[Account Code]=(TRIM($B33)))*(CkDJ[Date]&lt;=$E$7),CkDJ[Debit])))+(SUM(IF((CsDJ[Sort Code]=(TRIM(G$4)))*(CsDJ[Account Code]=(TRIM($B33)))*(CsDJ[Date]&lt;=$E$7),CsDJ[Debit])))+(SUM(IF((CRDJ[Sort Code]=(TRIM(G$4)))*(CRDJ[Account Code]=(TRIM($B33)))*(CRDJ[Date]&lt;=$E$7),CRDJ[Debit])))+(SUM(IF((GJ[Sort Code]=(TRIM(G$4)))*(GJ[Account Code]=(TRIM($B33)))*(GJ[Date]&lt;=$E$7),GJ[Debit]))))</f>
        <v>0</v>
      </c>
      <c r="F33" s="245">
        <f t="array" ref="F33">((SUM(IF((CkDJ[Date]=$A$3)*(CkDJ[Sort Code]=(TRIM(G$4)))*(CkDJ[Account Code]=(TRIM($B33))),CkDJ[Credit])))+(SUM(IF((CsDJ[Date]=$A$3)*(CsDJ[Sort Code]=(TRIM(G$4)))*(CsDJ[Account Code]=(TRIM($B33))),CsDJ[Credit])))+(SUM(IF((CRDJ[Date]=$A$3)*(CRDJ[Sort Code]=(TRIM(G$4)))*(CRDJ[Account Code]=(TRIM($B33))),CRDJ[Credit])))+(SUM(IF((GJ[Date]=$A$3)*(GJ[Sort Code]=(TRIM(G$4)))*(GJ[Account Code]=(TRIM($B33))),GJ[Credit]))))-((SUM(IF((CkDJ[Date]=$A$3)*(CkDJ[Sort Code]=(TRIM(G$4)))*(CkDJ[Account Code]=(TRIM($B33))),CkDJ[Debit])))+(SUM(IF((CsDJ[Date]=$A$3)*(CsDJ[Sort Code]=(TRIM(G$4)))*(CsDJ[Account Code]=(TRIM($B33))),CsDJ[Debit])))+(SUM(IF((CRDJ[Date]=$A$3)*(CRDJ[Sort Code]=(TRIM(G$4)))*(CRDJ[Account Code]=(TRIM($B33))),CRDJ[Debit])))+(SUM(IF((GJ[Date]=$A$3)*(GJ[Sort Code]=(TRIM(G$4)))*(GJ[Account Code]=(TRIM($B33))),GJ[Debit]))))</f>
        <v>0</v>
      </c>
      <c r="G33" s="343">
        <f>E33+F33</f>
        <v>0</v>
      </c>
      <c r="H33" s="246">
        <f t="shared" si="2"/>
        <v>0</v>
      </c>
      <c r="I33" s="246">
        <f t="shared" si="3"/>
        <v>0</v>
      </c>
    </row>
    <row r="34" spans="1:9" hidden="1">
      <c r="A34" s="272" t="s">
        <v>180</v>
      </c>
      <c r="B34" s="339" t="s">
        <v>141</v>
      </c>
      <c r="C34" s="245">
        <f t="array" ref="C34">SUM(IF((Budget[Account Code]=B34)*(Budget[Sort Code]=$G$4),(Budget[Amount])))</f>
        <v>0</v>
      </c>
      <c r="D34" s="245">
        <f t="array" ref="D34">SUM(IF((Budget[Account Code]=B34)*(Budget[Sort Code]=$G$4)*(Budget[Date]&lt;=$D$7),(Budget[Amount])))</f>
        <v>0</v>
      </c>
      <c r="E34" s="245">
        <f t="array" ref="E34">((SUM(IF((CkDJ[Sort Code]=(TRIM(G$4)))*(CkDJ[Account Code]=(TRIM($B34)))*(CkDJ[Date]&lt;=$E$7),CkDJ[Credit])))+(SUM(IF((CsDJ[Sort Code]=(TRIM(G$4)))*(CsDJ[Account Code]=(TRIM($B34)))*(CsDJ[Date]&lt;=$E$7),CsDJ[Credit])))+(SUM(IF((CRDJ[Sort Code]=(TRIM(G$4)))*(CRDJ[Account Code]=(TRIM($B34)))*(CRDJ[Date]&lt;=$E$7),CRDJ[Credit])))+(SUM(IF((GJ[Sort Code]=(TRIM(G$4)))*(GJ[Account Code]=(TRIM($B34)))*(GJ[Date]&lt;=$E$7),GJ[Credit]))))-((SUM(IF((CkDJ[Sort Code]=(TRIM(G$4)))*(CkDJ[Account Code]=(TRIM($B34)))*(CkDJ[Date]&lt;=$E$7),CkDJ[Debit])))+(SUM(IF((CsDJ[Sort Code]=(TRIM(G$4)))*(CsDJ[Account Code]=(TRIM($B34)))*(CsDJ[Date]&lt;=$E$7),CsDJ[Debit])))+(SUM(IF((CRDJ[Sort Code]=(TRIM(G$4)))*(CRDJ[Account Code]=(TRIM($B34)))*(CRDJ[Date]&lt;=$E$7),CRDJ[Debit])))+(SUM(IF((GJ[Sort Code]=(TRIM(G$4)))*(GJ[Account Code]=(TRIM($B34)))*(GJ[Date]&lt;=$E$7),GJ[Debit]))))</f>
        <v>0</v>
      </c>
      <c r="F34" s="245">
        <f t="array" ref="F34">((SUM(IF((CkDJ[Date]=$A$3)*(CkDJ[Sort Code]=(TRIM(G$4)))*(CkDJ[Account Code]=(TRIM($B34))),CkDJ[Credit])))+(SUM(IF((CsDJ[Date]=$A$3)*(CsDJ[Sort Code]=(TRIM(G$4)))*(CsDJ[Account Code]=(TRIM($B34))),CsDJ[Credit])))+(SUM(IF((CRDJ[Date]=$A$3)*(CRDJ[Sort Code]=(TRIM(G$4)))*(CRDJ[Account Code]=(TRIM($B34))),CRDJ[Credit])))+(SUM(IF((GJ[Date]=$A$3)*(GJ[Sort Code]=(TRIM(G$4)))*(GJ[Account Code]=(TRIM($B34))),GJ[Credit]))))-((SUM(IF((CkDJ[Date]=$A$3)*(CkDJ[Sort Code]=(TRIM(G$4)))*(CkDJ[Account Code]=(TRIM($B34))),CkDJ[Debit])))+(SUM(IF((CsDJ[Date]=$A$3)*(CsDJ[Sort Code]=(TRIM(G$4)))*(CsDJ[Account Code]=(TRIM($B34))),CsDJ[Debit])))+(SUM(IF((CRDJ[Date]=$A$3)*(CRDJ[Sort Code]=(TRIM(G$4)))*(CRDJ[Account Code]=(TRIM($B34))),CRDJ[Debit])))+(SUM(IF((GJ[Date]=$A$3)*(GJ[Sort Code]=(TRIM(G$4)))*(GJ[Account Code]=(TRIM($B34))),GJ[Debit]))))</f>
        <v>0</v>
      </c>
      <c r="G34" s="343">
        <f>E34+F34</f>
        <v>0</v>
      </c>
      <c r="H34" s="246">
        <f>G34-D34</f>
        <v>0</v>
      </c>
      <c r="I34" s="246">
        <f>IF((D34=0),0,G34/D34)</f>
        <v>0</v>
      </c>
    </row>
    <row r="35" spans="1:9" hidden="1">
      <c r="A35" s="272" t="s">
        <v>181</v>
      </c>
      <c r="B35" s="339" t="s">
        <v>142</v>
      </c>
      <c r="C35" s="245">
        <f t="array" ref="C35">SUM(IF((Budget[Account Code]=B35)*(Budget[Sort Code]=$G$4),(Budget[Amount])))</f>
        <v>0</v>
      </c>
      <c r="D35" s="245">
        <f t="array" ref="D35">SUM(IF((Budget[Account Code]=B35)*(Budget[Sort Code]=$G$4)*(Budget[Date]&lt;=$D$7),(Budget[Amount])))</f>
        <v>0</v>
      </c>
      <c r="E35" s="245">
        <f t="array" ref="E35">((SUM(IF((CkDJ[Sort Code]=(TRIM(G$4)))*(CkDJ[Account Code]=(TRIM($B35)))*(CkDJ[Date]&lt;=$E$7),CkDJ[Credit])))+(SUM(IF((CsDJ[Sort Code]=(TRIM(G$4)))*(CsDJ[Account Code]=(TRIM($B35)))*(CsDJ[Date]&lt;=$E$7),CsDJ[Credit])))+(SUM(IF((CRDJ[Sort Code]=(TRIM(G$4)))*(CRDJ[Account Code]=(TRIM($B35)))*(CRDJ[Date]&lt;=$E$7),CRDJ[Credit])))+(SUM(IF((GJ[Sort Code]=(TRIM(G$4)))*(GJ[Account Code]=(TRIM($B35)))*(GJ[Date]&lt;=$E$7),GJ[Credit]))))-((SUM(IF((CkDJ[Sort Code]=(TRIM(G$4)))*(CkDJ[Account Code]=(TRIM($B35)))*(CkDJ[Date]&lt;=$E$7),CkDJ[Debit])))+(SUM(IF((CsDJ[Sort Code]=(TRIM(G$4)))*(CsDJ[Account Code]=(TRIM($B35)))*(CsDJ[Date]&lt;=$E$7),CsDJ[Debit])))+(SUM(IF((CRDJ[Sort Code]=(TRIM(G$4)))*(CRDJ[Account Code]=(TRIM($B35)))*(CRDJ[Date]&lt;=$E$7),CRDJ[Debit])))+(SUM(IF((GJ[Sort Code]=(TRIM(G$4)))*(GJ[Account Code]=(TRIM($B35)))*(GJ[Date]&lt;=$E$7),GJ[Debit]))))</f>
        <v>0</v>
      </c>
      <c r="F35" s="245">
        <f t="array" ref="F35">((SUM(IF((CkDJ[Date]=$A$3)*(CkDJ[Sort Code]=(TRIM(G$4)))*(CkDJ[Account Code]=(TRIM($B35))),CkDJ[Credit])))+(SUM(IF((CsDJ[Date]=$A$3)*(CsDJ[Sort Code]=(TRIM(G$4)))*(CsDJ[Account Code]=(TRIM($B35))),CsDJ[Credit])))+(SUM(IF((CRDJ[Date]=$A$3)*(CRDJ[Sort Code]=(TRIM(G$4)))*(CRDJ[Account Code]=(TRIM($B35))),CRDJ[Credit])))+(SUM(IF((GJ[Date]=$A$3)*(GJ[Sort Code]=(TRIM(G$4)))*(GJ[Account Code]=(TRIM($B35))),GJ[Credit]))))-((SUM(IF((CkDJ[Date]=$A$3)*(CkDJ[Sort Code]=(TRIM(G$4)))*(CkDJ[Account Code]=(TRIM($B35))),CkDJ[Debit])))+(SUM(IF((CsDJ[Date]=$A$3)*(CsDJ[Sort Code]=(TRIM(G$4)))*(CsDJ[Account Code]=(TRIM($B35))),CsDJ[Debit])))+(SUM(IF((CRDJ[Date]=$A$3)*(CRDJ[Sort Code]=(TRIM(G$4)))*(CRDJ[Account Code]=(TRIM($B35))),CRDJ[Debit])))+(SUM(IF((GJ[Date]=$A$3)*(GJ[Sort Code]=(TRIM(G$4)))*(GJ[Account Code]=(TRIM($B35))),GJ[Debit]))))</f>
        <v>0</v>
      </c>
      <c r="G35" s="343">
        <f>E35+F35</f>
        <v>0</v>
      </c>
      <c r="H35" s="246">
        <f t="shared" si="2"/>
        <v>0</v>
      </c>
      <c r="I35" s="246">
        <f t="shared" si="3"/>
        <v>0</v>
      </c>
    </row>
    <row r="36" spans="1:9">
      <c r="A36" s="241" t="s">
        <v>816</v>
      </c>
      <c r="B36" s="337"/>
      <c r="C36" s="248">
        <f>SUM(C37:C45)</f>
        <v>1628000</v>
      </c>
      <c r="D36" s="248">
        <f>SUM(D37:D45)</f>
        <v>1628000</v>
      </c>
      <c r="E36" s="248">
        <f>SUM(E37:E45)</f>
        <v>0</v>
      </c>
      <c r="F36" s="248">
        <f>SUM(F37:F45)</f>
        <v>0</v>
      </c>
      <c r="G36" s="248">
        <f>SUM(G37:G45)</f>
        <v>0</v>
      </c>
      <c r="H36" s="242">
        <f t="shared" si="2"/>
        <v>-1628000</v>
      </c>
      <c r="I36" s="242">
        <f t="shared" si="3"/>
        <v>0</v>
      </c>
    </row>
    <row r="37" spans="1:9" hidden="1">
      <c r="A37" s="272" t="s">
        <v>186</v>
      </c>
      <c r="B37" s="339" t="s">
        <v>150</v>
      </c>
      <c r="C37" s="245">
        <f t="array" ref="C37">SUM(IF((Budget[Account Code]=B37)*(Budget[Sort Code]=$G$4),(Budget[Amount])))</f>
        <v>0</v>
      </c>
      <c r="D37" s="245">
        <f t="array" ref="D37">SUM(IF((Budget[Account Code]=B37)*(Budget[Sort Code]=$G$4)*(Budget[Date]&lt;=$D$7),(Budget[Amount])))</f>
        <v>0</v>
      </c>
      <c r="E37" s="245">
        <f t="array" ref="E37">((SUM(IF((CkDJ[Sort Code]=(TRIM(G$4)))*(CkDJ[Account Code]=(TRIM($B37)))*(CkDJ[Date]&lt;=$E$7),CkDJ[Credit])))+(SUM(IF((CsDJ[Sort Code]=(TRIM(G$4)))*(CsDJ[Account Code]=(TRIM($B37)))*(CsDJ[Date]&lt;=$E$7),CsDJ[Credit])))+(SUM(IF((CRDJ[Sort Code]=(TRIM(G$4)))*(CRDJ[Account Code]=(TRIM($B37)))*(CRDJ[Date]&lt;=$E$7),CRDJ[Credit])))+(SUM(IF((GJ[Sort Code]=(TRIM(G$4)))*(GJ[Account Code]=(TRIM($B37)))*(GJ[Date]&lt;=$E$7),GJ[Credit]))))-((SUM(IF((CkDJ[Sort Code]=(TRIM(G$4)))*(CkDJ[Account Code]=(TRIM($B37)))*(CkDJ[Date]&lt;=$E$7),CkDJ[Debit])))+(SUM(IF((CsDJ[Sort Code]=(TRIM(G$4)))*(CsDJ[Account Code]=(TRIM($B37)))*(CsDJ[Date]&lt;=$E$7),CsDJ[Debit])))+(SUM(IF((CRDJ[Sort Code]=(TRIM(G$4)))*(CRDJ[Account Code]=(TRIM($B37)))*(CRDJ[Date]&lt;=$E$7),CRDJ[Debit])))+(SUM(IF((GJ[Sort Code]=(TRIM(G$4)))*(GJ[Account Code]=(TRIM($B37)))*(GJ[Date]&lt;=$E$7),GJ[Debit]))))</f>
        <v>0</v>
      </c>
      <c r="F37" s="245">
        <f t="array" ref="F37">((SUM(IF((CkDJ[Date]=$A$3)*(CkDJ[Sort Code]=(TRIM(G$4)))*(CkDJ[Account Code]=(TRIM($B37))),CkDJ[Credit])))+(SUM(IF((CsDJ[Date]=$A$3)*(CsDJ[Sort Code]=(TRIM(G$4)))*(CsDJ[Account Code]=(TRIM($B37))),CsDJ[Credit])))+(SUM(IF((CRDJ[Date]=$A$3)*(CRDJ[Sort Code]=(TRIM(G$4)))*(CRDJ[Account Code]=(TRIM($B37))),CRDJ[Credit])))+(SUM(IF((GJ[Date]=$A$3)*(GJ[Sort Code]=(TRIM(G$4)))*(GJ[Account Code]=(TRIM($B37))),GJ[Credit]))))-((SUM(IF((CkDJ[Date]=$A$3)*(CkDJ[Sort Code]=(TRIM(G$4)))*(CkDJ[Account Code]=(TRIM($B37))),CkDJ[Debit])))+(SUM(IF((CsDJ[Date]=$A$3)*(CsDJ[Sort Code]=(TRIM(G$4)))*(CsDJ[Account Code]=(TRIM($B37))),CsDJ[Debit])))+(SUM(IF((CRDJ[Date]=$A$3)*(CRDJ[Sort Code]=(TRIM(G$4)))*(CRDJ[Account Code]=(TRIM($B37))),CRDJ[Debit])))+(SUM(IF((GJ[Date]=$A$3)*(GJ[Sort Code]=(TRIM(G$4)))*(GJ[Account Code]=(TRIM($B37))),GJ[Debit]))))</f>
        <v>0</v>
      </c>
      <c r="G37" s="343">
        <f t="shared" ref="G37:G45" si="4">E37+F37</f>
        <v>0</v>
      </c>
      <c r="H37" s="246">
        <f t="shared" si="2"/>
        <v>0</v>
      </c>
      <c r="I37" s="246">
        <f t="shared" si="3"/>
        <v>0</v>
      </c>
    </row>
    <row r="38" spans="1:9" hidden="1">
      <c r="A38" s="272" t="s">
        <v>187</v>
      </c>
      <c r="B38" s="339" t="s">
        <v>153</v>
      </c>
      <c r="C38" s="245">
        <f t="array" ref="C38">SUM(IF((Budget[Account Code]=B38)*(Budget[Sort Code]=$G$4),(Budget[Amount])))</f>
        <v>0</v>
      </c>
      <c r="D38" s="245">
        <f t="array" ref="D38">SUM(IF((Budget[Account Code]=B38)*(Budget[Sort Code]=$G$4)*(Budget[Date]&lt;=$D$7),(Budget[Amount])))</f>
        <v>0</v>
      </c>
      <c r="E38" s="245">
        <f t="array" ref="E38">((SUM(IF((CkDJ[Sort Code]=(TRIM(G$4)))*(CkDJ[Account Code]=(TRIM($B38)))*(CkDJ[Date]&lt;=$E$7),CkDJ[Credit])))+(SUM(IF((CsDJ[Sort Code]=(TRIM(G$4)))*(CsDJ[Account Code]=(TRIM($B38)))*(CsDJ[Date]&lt;=$E$7),CsDJ[Credit])))+(SUM(IF((CRDJ[Sort Code]=(TRIM(G$4)))*(CRDJ[Account Code]=(TRIM($B38)))*(CRDJ[Date]&lt;=$E$7),CRDJ[Credit])))+(SUM(IF((GJ[Sort Code]=(TRIM(G$4)))*(GJ[Account Code]=(TRIM($B38)))*(GJ[Date]&lt;=$E$7),GJ[Credit]))))-((SUM(IF((CkDJ[Sort Code]=(TRIM(G$4)))*(CkDJ[Account Code]=(TRIM($B38)))*(CkDJ[Date]&lt;=$E$7),CkDJ[Debit])))+(SUM(IF((CsDJ[Sort Code]=(TRIM(G$4)))*(CsDJ[Account Code]=(TRIM($B38)))*(CsDJ[Date]&lt;=$E$7),CsDJ[Debit])))+(SUM(IF((CRDJ[Sort Code]=(TRIM(G$4)))*(CRDJ[Account Code]=(TRIM($B38)))*(CRDJ[Date]&lt;=$E$7),CRDJ[Debit])))+(SUM(IF((GJ[Sort Code]=(TRIM(G$4)))*(GJ[Account Code]=(TRIM($B38)))*(GJ[Date]&lt;=$E$7),GJ[Debit]))))</f>
        <v>0</v>
      </c>
      <c r="F38" s="245">
        <f t="array" ref="F38">((SUM(IF((CkDJ[Date]=$A$3)*(CkDJ[Sort Code]=(TRIM(G$4)))*(CkDJ[Account Code]=(TRIM($B38))),CkDJ[Credit])))+(SUM(IF((CsDJ[Date]=$A$3)*(CsDJ[Sort Code]=(TRIM(G$4)))*(CsDJ[Account Code]=(TRIM($B38))),CsDJ[Credit])))+(SUM(IF((CRDJ[Date]=$A$3)*(CRDJ[Sort Code]=(TRIM(G$4)))*(CRDJ[Account Code]=(TRIM($B38))),CRDJ[Credit])))+(SUM(IF((GJ[Date]=$A$3)*(GJ[Sort Code]=(TRIM(G$4)))*(GJ[Account Code]=(TRIM($B38))),GJ[Credit]))))-((SUM(IF((CkDJ[Date]=$A$3)*(CkDJ[Sort Code]=(TRIM(G$4)))*(CkDJ[Account Code]=(TRIM($B38))),CkDJ[Debit])))+(SUM(IF((CsDJ[Date]=$A$3)*(CsDJ[Sort Code]=(TRIM(G$4)))*(CsDJ[Account Code]=(TRIM($B38))),CsDJ[Debit])))+(SUM(IF((CRDJ[Date]=$A$3)*(CRDJ[Sort Code]=(TRIM(G$4)))*(CRDJ[Account Code]=(TRIM($B38))),CRDJ[Debit])))+(SUM(IF((GJ[Date]=$A$3)*(GJ[Sort Code]=(TRIM(G$4)))*(GJ[Account Code]=(TRIM($B38))),GJ[Debit]))))</f>
        <v>0</v>
      </c>
      <c r="G38" s="343">
        <f t="shared" si="4"/>
        <v>0</v>
      </c>
      <c r="H38" s="246">
        <f t="shared" si="2"/>
        <v>0</v>
      </c>
      <c r="I38" s="246">
        <f t="shared" si="3"/>
        <v>0</v>
      </c>
    </row>
    <row r="39" spans="1:9" hidden="1">
      <c r="A39" s="272" t="s">
        <v>188</v>
      </c>
      <c r="B39" s="339" t="s">
        <v>154</v>
      </c>
      <c r="C39" s="245">
        <f t="array" ref="C39">SUM(IF((Budget[Account Code]=B39)*(Budget[Sort Code]=$G$4),(Budget[Amount])))</f>
        <v>0</v>
      </c>
      <c r="D39" s="245">
        <f t="array" ref="D39">SUM(IF((Budget[Account Code]=B39)*(Budget[Sort Code]=$G$4)*(Budget[Date]&lt;=$D$7),(Budget[Amount])))</f>
        <v>0</v>
      </c>
      <c r="E39" s="245">
        <f t="array" ref="E39">((SUM(IF((CkDJ[Sort Code]=(TRIM(G$4)))*(CkDJ[Account Code]=(TRIM($B39)))*(CkDJ[Date]&lt;=$E$7),CkDJ[Credit])))+(SUM(IF((CsDJ[Sort Code]=(TRIM(G$4)))*(CsDJ[Account Code]=(TRIM($B39)))*(CsDJ[Date]&lt;=$E$7),CsDJ[Credit])))+(SUM(IF((CRDJ[Sort Code]=(TRIM(G$4)))*(CRDJ[Account Code]=(TRIM($B39)))*(CRDJ[Date]&lt;=$E$7),CRDJ[Credit])))+(SUM(IF((GJ[Sort Code]=(TRIM(G$4)))*(GJ[Account Code]=(TRIM($B39)))*(GJ[Date]&lt;=$E$7),GJ[Credit]))))-((SUM(IF((CkDJ[Sort Code]=(TRIM(G$4)))*(CkDJ[Account Code]=(TRIM($B39)))*(CkDJ[Date]&lt;=$E$7),CkDJ[Debit])))+(SUM(IF((CsDJ[Sort Code]=(TRIM(G$4)))*(CsDJ[Account Code]=(TRIM($B39)))*(CsDJ[Date]&lt;=$E$7),CsDJ[Debit])))+(SUM(IF((CRDJ[Sort Code]=(TRIM(G$4)))*(CRDJ[Account Code]=(TRIM($B39)))*(CRDJ[Date]&lt;=$E$7),CRDJ[Debit])))+(SUM(IF((GJ[Sort Code]=(TRIM(G$4)))*(GJ[Account Code]=(TRIM($B39)))*(GJ[Date]&lt;=$E$7),GJ[Debit]))))</f>
        <v>0</v>
      </c>
      <c r="F39" s="245">
        <f t="array" ref="F39">((SUM(IF((CkDJ[Date]=$A$3)*(CkDJ[Sort Code]=(TRIM(G$4)))*(CkDJ[Account Code]=(TRIM($B39))),CkDJ[Credit])))+(SUM(IF((CsDJ[Date]=$A$3)*(CsDJ[Sort Code]=(TRIM(G$4)))*(CsDJ[Account Code]=(TRIM($B39))),CsDJ[Credit])))+(SUM(IF((CRDJ[Date]=$A$3)*(CRDJ[Sort Code]=(TRIM(G$4)))*(CRDJ[Account Code]=(TRIM($B39))),CRDJ[Credit])))+(SUM(IF((GJ[Date]=$A$3)*(GJ[Sort Code]=(TRIM(G$4)))*(GJ[Account Code]=(TRIM($B39))),GJ[Credit]))))-((SUM(IF((CkDJ[Date]=$A$3)*(CkDJ[Sort Code]=(TRIM(G$4)))*(CkDJ[Account Code]=(TRIM($B39))),CkDJ[Debit])))+(SUM(IF((CsDJ[Date]=$A$3)*(CsDJ[Sort Code]=(TRIM(G$4)))*(CsDJ[Account Code]=(TRIM($B39))),CsDJ[Debit])))+(SUM(IF((CRDJ[Date]=$A$3)*(CRDJ[Sort Code]=(TRIM(G$4)))*(CRDJ[Account Code]=(TRIM($B39))),CRDJ[Debit])))+(SUM(IF((GJ[Date]=$A$3)*(GJ[Sort Code]=(TRIM(G$4)))*(GJ[Account Code]=(TRIM($B39))),GJ[Debit]))))</f>
        <v>0</v>
      </c>
      <c r="G39" s="343">
        <f t="shared" si="4"/>
        <v>0</v>
      </c>
      <c r="H39" s="246">
        <f t="shared" si="2"/>
        <v>0</v>
      </c>
      <c r="I39" s="246">
        <f t="shared" si="3"/>
        <v>0</v>
      </c>
    </row>
    <row r="40" spans="1:9" hidden="1">
      <c r="A40" s="272" t="s">
        <v>189</v>
      </c>
      <c r="B40" s="339" t="s">
        <v>155</v>
      </c>
      <c r="C40" s="245">
        <f t="array" ref="C40">SUM(IF((Budget[Account Code]=B40)*(Budget[Sort Code]=$G$4),(Budget[Amount])))</f>
        <v>0</v>
      </c>
      <c r="D40" s="245">
        <f t="array" ref="D40">SUM(IF((Budget[Account Code]=B40)*(Budget[Sort Code]=$G$4)*(Budget[Date]&lt;=$D$7),(Budget[Amount])))</f>
        <v>0</v>
      </c>
      <c r="E40" s="245">
        <f t="array" ref="E40">((SUM(IF((CkDJ[Sort Code]=(TRIM(G$4)))*(CkDJ[Account Code]=(TRIM($B40)))*(CkDJ[Date]&lt;=$E$7),CkDJ[Credit])))+(SUM(IF((CsDJ[Sort Code]=(TRIM(G$4)))*(CsDJ[Account Code]=(TRIM($B40)))*(CsDJ[Date]&lt;=$E$7),CsDJ[Credit])))+(SUM(IF((CRDJ[Sort Code]=(TRIM(G$4)))*(CRDJ[Account Code]=(TRIM($B40)))*(CRDJ[Date]&lt;=$E$7),CRDJ[Credit])))+(SUM(IF((GJ[Sort Code]=(TRIM(G$4)))*(GJ[Account Code]=(TRIM($B40)))*(GJ[Date]&lt;=$E$7),GJ[Credit]))))-((SUM(IF((CkDJ[Sort Code]=(TRIM(G$4)))*(CkDJ[Account Code]=(TRIM($B40)))*(CkDJ[Date]&lt;=$E$7),CkDJ[Debit])))+(SUM(IF((CsDJ[Sort Code]=(TRIM(G$4)))*(CsDJ[Account Code]=(TRIM($B40)))*(CsDJ[Date]&lt;=$E$7),CsDJ[Debit])))+(SUM(IF((CRDJ[Sort Code]=(TRIM(G$4)))*(CRDJ[Account Code]=(TRIM($B40)))*(CRDJ[Date]&lt;=$E$7),CRDJ[Debit])))+(SUM(IF((GJ[Sort Code]=(TRIM(G$4)))*(GJ[Account Code]=(TRIM($B40)))*(GJ[Date]&lt;=$E$7),GJ[Debit]))))</f>
        <v>0</v>
      </c>
      <c r="F40" s="245">
        <f t="array" ref="F40">((SUM(IF((CkDJ[Date]=$A$3)*(CkDJ[Sort Code]=(TRIM(G$4)))*(CkDJ[Account Code]=(TRIM($B40))),CkDJ[Credit])))+(SUM(IF((CsDJ[Date]=$A$3)*(CsDJ[Sort Code]=(TRIM(G$4)))*(CsDJ[Account Code]=(TRIM($B40))),CsDJ[Credit])))+(SUM(IF((CRDJ[Date]=$A$3)*(CRDJ[Sort Code]=(TRIM(G$4)))*(CRDJ[Account Code]=(TRIM($B40))),CRDJ[Credit])))+(SUM(IF((GJ[Date]=$A$3)*(GJ[Sort Code]=(TRIM(G$4)))*(GJ[Account Code]=(TRIM($B40))),GJ[Credit]))))-((SUM(IF((CkDJ[Date]=$A$3)*(CkDJ[Sort Code]=(TRIM(G$4)))*(CkDJ[Account Code]=(TRIM($B40))),CkDJ[Debit])))+(SUM(IF((CsDJ[Date]=$A$3)*(CsDJ[Sort Code]=(TRIM(G$4)))*(CsDJ[Account Code]=(TRIM($B40))),CsDJ[Debit])))+(SUM(IF((CRDJ[Date]=$A$3)*(CRDJ[Sort Code]=(TRIM(G$4)))*(CRDJ[Account Code]=(TRIM($B40))),CRDJ[Debit])))+(SUM(IF((GJ[Date]=$A$3)*(GJ[Sort Code]=(TRIM(G$4)))*(GJ[Account Code]=(TRIM($B40))),GJ[Debit]))))</f>
        <v>0</v>
      </c>
      <c r="G40" s="343">
        <f t="shared" si="4"/>
        <v>0</v>
      </c>
      <c r="H40" s="246">
        <f t="shared" si="2"/>
        <v>0</v>
      </c>
      <c r="I40" s="246">
        <f t="shared" si="3"/>
        <v>0</v>
      </c>
    </row>
    <row r="41" spans="1:9" hidden="1">
      <c r="A41" s="272" t="s">
        <v>1269</v>
      </c>
      <c r="B41" s="339" t="s">
        <v>156</v>
      </c>
      <c r="C41" s="245">
        <f t="array" ref="C41">SUM(IF((Budget[Account Code]=B41)*(Budget[Sort Code]=$G$4),(Budget[Amount])))</f>
        <v>0</v>
      </c>
      <c r="D41" s="245">
        <f t="array" ref="D41">SUM(IF((Budget[Account Code]=B41)*(Budget[Sort Code]=$G$4)*(Budget[Date]&lt;=$D$7),(Budget[Amount])))</f>
        <v>0</v>
      </c>
      <c r="E41" s="245">
        <f t="array" ref="E41">((SUM(IF((CkDJ[Sort Code]=(TRIM(G$4)))*(CkDJ[Account Code]=(TRIM($B41)))*(CkDJ[Date]&lt;=$E$7),CkDJ[Credit])))+(SUM(IF((CsDJ[Sort Code]=(TRIM(G$4)))*(CsDJ[Account Code]=(TRIM($B41)))*(CsDJ[Date]&lt;=$E$7),CsDJ[Credit])))+(SUM(IF((CRDJ[Sort Code]=(TRIM(G$4)))*(CRDJ[Account Code]=(TRIM($B41)))*(CRDJ[Date]&lt;=$E$7),CRDJ[Credit])))+(SUM(IF((GJ[Sort Code]=(TRIM(G$4)))*(GJ[Account Code]=(TRIM($B41)))*(GJ[Date]&lt;=$E$7),GJ[Credit]))))-((SUM(IF((CkDJ[Sort Code]=(TRIM(G$4)))*(CkDJ[Account Code]=(TRIM($B41)))*(CkDJ[Date]&lt;=$E$7),CkDJ[Debit])))+(SUM(IF((CsDJ[Sort Code]=(TRIM(G$4)))*(CsDJ[Account Code]=(TRIM($B41)))*(CsDJ[Date]&lt;=$E$7),CsDJ[Debit])))+(SUM(IF((CRDJ[Sort Code]=(TRIM(G$4)))*(CRDJ[Account Code]=(TRIM($B41)))*(CRDJ[Date]&lt;=$E$7),CRDJ[Debit])))+(SUM(IF((GJ[Sort Code]=(TRIM(G$4)))*(GJ[Account Code]=(TRIM($B41)))*(GJ[Date]&lt;=$E$7),GJ[Debit]))))</f>
        <v>0</v>
      </c>
      <c r="F41" s="245">
        <f t="array" ref="F41">((SUM(IF((CkDJ[Date]=$A$3)*(CkDJ[Sort Code]=(TRIM(G$4)))*(CkDJ[Account Code]=(TRIM($B41))),CkDJ[Credit])))+(SUM(IF((CsDJ[Date]=$A$3)*(CsDJ[Sort Code]=(TRIM(G$4)))*(CsDJ[Account Code]=(TRIM($B41))),CsDJ[Credit])))+(SUM(IF((CRDJ[Date]=$A$3)*(CRDJ[Sort Code]=(TRIM(G$4)))*(CRDJ[Account Code]=(TRIM($B41))),CRDJ[Credit])))+(SUM(IF((GJ[Date]=$A$3)*(GJ[Sort Code]=(TRIM(G$4)))*(GJ[Account Code]=(TRIM($B41))),GJ[Credit]))))-((SUM(IF((CkDJ[Date]=$A$3)*(CkDJ[Sort Code]=(TRIM(G$4)))*(CkDJ[Account Code]=(TRIM($B41))),CkDJ[Debit])))+(SUM(IF((CsDJ[Date]=$A$3)*(CsDJ[Sort Code]=(TRIM(G$4)))*(CsDJ[Account Code]=(TRIM($B41))),CsDJ[Debit])))+(SUM(IF((CRDJ[Date]=$A$3)*(CRDJ[Sort Code]=(TRIM(G$4)))*(CRDJ[Account Code]=(TRIM($B41))),CRDJ[Debit])))+(SUM(IF((GJ[Date]=$A$3)*(GJ[Sort Code]=(TRIM(G$4)))*(GJ[Account Code]=(TRIM($B41))),GJ[Debit]))))</f>
        <v>0</v>
      </c>
      <c r="G41" s="343">
        <f>E41+F41</f>
        <v>0</v>
      </c>
      <c r="H41" s="246">
        <f>G41-D41</f>
        <v>0</v>
      </c>
      <c r="I41" s="246">
        <f>IF((D41=0),0,G41/D41)</f>
        <v>0</v>
      </c>
    </row>
    <row r="42" spans="1:9" hidden="1">
      <c r="A42" s="272" t="s">
        <v>190</v>
      </c>
      <c r="B42" s="339" t="s">
        <v>157</v>
      </c>
      <c r="C42" s="245">
        <f t="array" ref="C42">SUM(IF((Budget[Account Code]=B42)*(Budget[Sort Code]=$G$4),(Budget[Amount])))</f>
        <v>0</v>
      </c>
      <c r="D42" s="245">
        <f t="array" ref="D42">SUM(IF((Budget[Account Code]=B42)*(Budget[Sort Code]=$G$4)*(Budget[Date]&lt;=$D$7),(Budget[Amount])))</f>
        <v>0</v>
      </c>
      <c r="E42" s="245">
        <f t="array" ref="E42">((SUM(IF((CkDJ[Sort Code]=(TRIM(G$4)))*(CkDJ[Account Code]=(TRIM($B42)))*(CkDJ[Date]&lt;=$E$7),CkDJ[Credit])))+(SUM(IF((CsDJ[Sort Code]=(TRIM(G$4)))*(CsDJ[Account Code]=(TRIM($B42)))*(CsDJ[Date]&lt;=$E$7),CsDJ[Credit])))+(SUM(IF((CRDJ[Sort Code]=(TRIM(G$4)))*(CRDJ[Account Code]=(TRIM($B42)))*(CRDJ[Date]&lt;=$E$7),CRDJ[Credit])))+(SUM(IF((GJ[Sort Code]=(TRIM(G$4)))*(GJ[Account Code]=(TRIM($B42)))*(GJ[Date]&lt;=$E$7),GJ[Credit]))))-((SUM(IF((CkDJ[Sort Code]=(TRIM(G$4)))*(CkDJ[Account Code]=(TRIM($B42)))*(CkDJ[Date]&lt;=$E$7),CkDJ[Debit])))+(SUM(IF((CsDJ[Sort Code]=(TRIM(G$4)))*(CsDJ[Account Code]=(TRIM($B42)))*(CsDJ[Date]&lt;=$E$7),CsDJ[Debit])))+(SUM(IF((CRDJ[Sort Code]=(TRIM(G$4)))*(CRDJ[Account Code]=(TRIM($B42)))*(CRDJ[Date]&lt;=$E$7),CRDJ[Debit])))+(SUM(IF((GJ[Sort Code]=(TRIM(G$4)))*(GJ[Account Code]=(TRIM($B42)))*(GJ[Date]&lt;=$E$7),GJ[Debit]))))</f>
        <v>0</v>
      </c>
      <c r="F42" s="245">
        <f t="array" ref="F42">((SUM(IF((CkDJ[Date]=$A$3)*(CkDJ[Sort Code]=(TRIM(G$4)))*(CkDJ[Account Code]=(TRIM($B42))),CkDJ[Credit])))+(SUM(IF((CsDJ[Date]=$A$3)*(CsDJ[Sort Code]=(TRIM(G$4)))*(CsDJ[Account Code]=(TRIM($B42))),CsDJ[Credit])))+(SUM(IF((CRDJ[Date]=$A$3)*(CRDJ[Sort Code]=(TRIM(G$4)))*(CRDJ[Account Code]=(TRIM($B42))),CRDJ[Credit])))+(SUM(IF((GJ[Date]=$A$3)*(GJ[Sort Code]=(TRIM(G$4)))*(GJ[Account Code]=(TRIM($B42))),GJ[Credit]))))-((SUM(IF((CkDJ[Date]=$A$3)*(CkDJ[Sort Code]=(TRIM(G$4)))*(CkDJ[Account Code]=(TRIM($B42))),CkDJ[Debit])))+(SUM(IF((CsDJ[Date]=$A$3)*(CsDJ[Sort Code]=(TRIM(G$4)))*(CsDJ[Account Code]=(TRIM($B42))),CsDJ[Debit])))+(SUM(IF((CRDJ[Date]=$A$3)*(CRDJ[Sort Code]=(TRIM(G$4)))*(CRDJ[Account Code]=(TRIM($B42))),CRDJ[Debit])))+(SUM(IF((GJ[Date]=$A$3)*(GJ[Sort Code]=(TRIM(G$4)))*(GJ[Account Code]=(TRIM($B42))),GJ[Debit]))))</f>
        <v>0</v>
      </c>
      <c r="G42" s="343">
        <f t="shared" si="4"/>
        <v>0</v>
      </c>
      <c r="H42" s="246">
        <f t="shared" si="2"/>
        <v>0</v>
      </c>
      <c r="I42" s="246">
        <f t="shared" si="3"/>
        <v>0</v>
      </c>
    </row>
    <row r="43" spans="1:9" hidden="1">
      <c r="A43" s="272" t="s">
        <v>192</v>
      </c>
      <c r="B43" s="339" t="s">
        <v>159</v>
      </c>
      <c r="C43" s="245">
        <f t="array" ref="C43">SUM(IF((Budget[Account Code]=B43)*(Budget[Sort Code]=$G$4),(Budget[Amount])))</f>
        <v>0</v>
      </c>
      <c r="D43" s="245">
        <f t="array" ref="D43">SUM(IF((Budget[Account Code]=B43)*(Budget[Sort Code]=$G$4)*(Budget[Date]&lt;=$D$7),(Budget[Amount])))</f>
        <v>0</v>
      </c>
      <c r="E43" s="245">
        <f t="array" ref="E43">((SUM(IF((CkDJ[Sort Code]=(TRIM(G$4)))*(CkDJ[Account Code]=(TRIM($B43)))*(CkDJ[Date]&lt;=$E$7),CkDJ[Credit])))+(SUM(IF((CsDJ[Sort Code]=(TRIM(G$4)))*(CsDJ[Account Code]=(TRIM($B43)))*(CsDJ[Date]&lt;=$E$7),CsDJ[Credit])))+(SUM(IF((CRDJ[Sort Code]=(TRIM(G$4)))*(CRDJ[Account Code]=(TRIM($B43)))*(CRDJ[Date]&lt;=$E$7),CRDJ[Credit])))+(SUM(IF((GJ[Sort Code]=(TRIM(G$4)))*(GJ[Account Code]=(TRIM($B43)))*(GJ[Date]&lt;=$E$7),GJ[Credit]))))-((SUM(IF((CkDJ[Sort Code]=(TRIM(G$4)))*(CkDJ[Account Code]=(TRIM($B43)))*(CkDJ[Date]&lt;=$E$7),CkDJ[Debit])))+(SUM(IF((CsDJ[Sort Code]=(TRIM(G$4)))*(CsDJ[Account Code]=(TRIM($B43)))*(CsDJ[Date]&lt;=$E$7),CsDJ[Debit])))+(SUM(IF((CRDJ[Sort Code]=(TRIM(G$4)))*(CRDJ[Account Code]=(TRIM($B43)))*(CRDJ[Date]&lt;=$E$7),CRDJ[Debit])))+(SUM(IF((GJ[Sort Code]=(TRIM(G$4)))*(GJ[Account Code]=(TRIM($B43)))*(GJ[Date]&lt;=$E$7),GJ[Debit]))))</f>
        <v>0</v>
      </c>
      <c r="F43" s="245">
        <f t="array" ref="F43">((SUM(IF((CkDJ[Date]=$A$3)*(CkDJ[Sort Code]=(TRIM(G$4)))*(CkDJ[Account Code]=(TRIM($B43))),CkDJ[Credit])))+(SUM(IF((CsDJ[Date]=$A$3)*(CsDJ[Sort Code]=(TRIM(G$4)))*(CsDJ[Account Code]=(TRIM($B43))),CsDJ[Credit])))+(SUM(IF((CRDJ[Date]=$A$3)*(CRDJ[Sort Code]=(TRIM(G$4)))*(CRDJ[Account Code]=(TRIM($B43))),CRDJ[Credit])))+(SUM(IF((GJ[Date]=$A$3)*(GJ[Sort Code]=(TRIM(G$4)))*(GJ[Account Code]=(TRIM($B43))),GJ[Credit]))))-((SUM(IF((CkDJ[Date]=$A$3)*(CkDJ[Sort Code]=(TRIM(G$4)))*(CkDJ[Account Code]=(TRIM($B43))),CkDJ[Debit])))+(SUM(IF((CsDJ[Date]=$A$3)*(CsDJ[Sort Code]=(TRIM(G$4)))*(CsDJ[Account Code]=(TRIM($B43))),CsDJ[Debit])))+(SUM(IF((CRDJ[Date]=$A$3)*(CRDJ[Sort Code]=(TRIM(G$4)))*(CRDJ[Account Code]=(TRIM($B43))),CRDJ[Debit])))+(SUM(IF((GJ[Date]=$A$3)*(GJ[Sort Code]=(TRIM(G$4)))*(GJ[Account Code]=(TRIM($B43))),GJ[Debit]))))</f>
        <v>0</v>
      </c>
      <c r="G43" s="343">
        <f t="shared" si="4"/>
        <v>0</v>
      </c>
      <c r="H43" s="246">
        <f t="shared" si="2"/>
        <v>0</v>
      </c>
      <c r="I43" s="246">
        <f t="shared" si="3"/>
        <v>0</v>
      </c>
    </row>
    <row r="44" spans="1:9" hidden="1">
      <c r="A44" s="272" t="s">
        <v>193</v>
      </c>
      <c r="B44" s="339" t="s">
        <v>160</v>
      </c>
      <c r="C44" s="245">
        <f t="array" ref="C44">SUM(IF((Budget[Account Code]=B44)*(Budget[Sort Code]=$G$4),(Budget[Amount])))</f>
        <v>1628000</v>
      </c>
      <c r="D44" s="245">
        <f t="array" ref="D44">SUM(IF((Budget[Account Code]=B44)*(Budget[Sort Code]=$G$4)*(Budget[Date]&lt;=$D$7),(Budget[Amount])))</f>
        <v>1628000</v>
      </c>
      <c r="E44" s="245">
        <f t="array" ref="E44">((SUM(IF((CkDJ[Sort Code]=(TRIM(G$4)))*(CkDJ[Account Code]=(TRIM($B44)))*(CkDJ[Date]&lt;=$E$7),CkDJ[Credit])))+(SUM(IF((CsDJ[Sort Code]=(TRIM(G$4)))*(CsDJ[Account Code]=(TRIM($B44)))*(CsDJ[Date]&lt;=$E$7),CsDJ[Credit])))+(SUM(IF((CRDJ[Sort Code]=(TRIM(G$4)))*(CRDJ[Account Code]=(TRIM($B44)))*(CRDJ[Date]&lt;=$E$7),CRDJ[Credit])))+(SUM(IF((GJ[Sort Code]=(TRIM(G$4)))*(GJ[Account Code]=(TRIM($B44)))*(GJ[Date]&lt;=$E$7),GJ[Credit]))))-((SUM(IF((CkDJ[Sort Code]=(TRIM(G$4)))*(CkDJ[Account Code]=(TRIM($B44)))*(CkDJ[Date]&lt;=$E$7),CkDJ[Debit])))+(SUM(IF((CsDJ[Sort Code]=(TRIM(G$4)))*(CsDJ[Account Code]=(TRIM($B44)))*(CsDJ[Date]&lt;=$E$7),CsDJ[Debit])))+(SUM(IF((CRDJ[Sort Code]=(TRIM(G$4)))*(CRDJ[Account Code]=(TRIM($B44)))*(CRDJ[Date]&lt;=$E$7),CRDJ[Debit])))+(SUM(IF((GJ[Sort Code]=(TRIM(G$4)))*(GJ[Account Code]=(TRIM($B44)))*(GJ[Date]&lt;=$E$7),GJ[Debit]))))</f>
        <v>0</v>
      </c>
      <c r="F44" s="245">
        <f t="array" ref="F44">((SUM(IF((CkDJ[Date]=$A$3)*(CkDJ[Sort Code]=(TRIM(G$4)))*(CkDJ[Account Code]=(TRIM($B44))),CkDJ[Credit])))+(SUM(IF((CsDJ[Date]=$A$3)*(CsDJ[Sort Code]=(TRIM(G$4)))*(CsDJ[Account Code]=(TRIM($B44))),CsDJ[Credit])))+(SUM(IF((CRDJ[Date]=$A$3)*(CRDJ[Sort Code]=(TRIM(G$4)))*(CRDJ[Account Code]=(TRIM($B44))),CRDJ[Credit])))+(SUM(IF((GJ[Date]=$A$3)*(GJ[Sort Code]=(TRIM(G$4)))*(GJ[Account Code]=(TRIM($B44))),GJ[Credit]))))-((SUM(IF((CkDJ[Date]=$A$3)*(CkDJ[Sort Code]=(TRIM(G$4)))*(CkDJ[Account Code]=(TRIM($B44))),CkDJ[Debit])))+(SUM(IF((CsDJ[Date]=$A$3)*(CsDJ[Sort Code]=(TRIM(G$4)))*(CsDJ[Account Code]=(TRIM($B44))),CsDJ[Debit])))+(SUM(IF((CRDJ[Date]=$A$3)*(CRDJ[Sort Code]=(TRIM(G$4)))*(CRDJ[Account Code]=(TRIM($B44))),CRDJ[Debit])))+(SUM(IF((GJ[Date]=$A$3)*(GJ[Sort Code]=(TRIM(G$4)))*(GJ[Account Code]=(TRIM($B44))),GJ[Debit]))))</f>
        <v>0</v>
      </c>
      <c r="G44" s="343">
        <f t="shared" si="4"/>
        <v>0</v>
      </c>
      <c r="H44" s="246">
        <f t="shared" si="2"/>
        <v>-1628000</v>
      </c>
      <c r="I44" s="246">
        <f t="shared" si="3"/>
        <v>0</v>
      </c>
    </row>
    <row r="45" spans="1:9" hidden="1">
      <c r="A45" s="272" t="s">
        <v>191</v>
      </c>
      <c r="B45" s="339" t="s">
        <v>161</v>
      </c>
      <c r="C45" s="245">
        <f t="array" ref="C45">SUM(IF((Budget[Account Code]=B45)*(Budget[Sort Code]=$G$4),(Budget[Amount])))</f>
        <v>0</v>
      </c>
      <c r="D45" s="245">
        <f t="array" ref="D45">SUM(IF((Budget[Account Code]=B45)*(Budget[Sort Code]=$G$4)*(Budget[Date]&lt;=$D$7),(Budget[Amount])))</f>
        <v>0</v>
      </c>
      <c r="E45" s="245">
        <f t="array" ref="E45">((SUM(IF((CkDJ[Sort Code]=(TRIM(G$4)))*(CkDJ[Account Code]=(TRIM($B45)))*(CkDJ[Date]&lt;=$E$7),CkDJ[Credit])))+(SUM(IF((CsDJ[Sort Code]=(TRIM(G$4)))*(CsDJ[Account Code]=(TRIM($B45)))*(CsDJ[Date]&lt;=$E$7),CsDJ[Credit])))+(SUM(IF((CRDJ[Sort Code]=(TRIM(G$4)))*(CRDJ[Account Code]=(TRIM($B45)))*(CRDJ[Date]&lt;=$E$7),CRDJ[Credit])))+(SUM(IF((GJ[Sort Code]=(TRIM(G$4)))*(GJ[Account Code]=(TRIM($B45)))*(GJ[Date]&lt;=$E$7),GJ[Credit]))))-((SUM(IF((CkDJ[Sort Code]=(TRIM(G$4)))*(CkDJ[Account Code]=(TRIM($B45)))*(CkDJ[Date]&lt;=$E$7),CkDJ[Debit])))+(SUM(IF((CsDJ[Sort Code]=(TRIM(G$4)))*(CsDJ[Account Code]=(TRIM($B45)))*(CsDJ[Date]&lt;=$E$7),CsDJ[Debit])))+(SUM(IF((CRDJ[Sort Code]=(TRIM(G$4)))*(CRDJ[Account Code]=(TRIM($B45)))*(CRDJ[Date]&lt;=$E$7),CRDJ[Debit])))+(SUM(IF((GJ[Sort Code]=(TRIM(G$4)))*(GJ[Account Code]=(TRIM($B45)))*(GJ[Date]&lt;=$E$7),GJ[Debit]))))</f>
        <v>0</v>
      </c>
      <c r="F45" s="245">
        <f t="array" ref="F45">((SUM(IF((CkDJ[Date]=$A$3)*(CkDJ[Sort Code]=(TRIM(G$4)))*(CkDJ[Account Code]=(TRIM($B45))),CkDJ[Credit])))+(SUM(IF((CsDJ[Date]=$A$3)*(CsDJ[Sort Code]=(TRIM(G$4)))*(CsDJ[Account Code]=(TRIM($B45))),CsDJ[Credit])))+(SUM(IF((CRDJ[Date]=$A$3)*(CRDJ[Sort Code]=(TRIM(G$4)))*(CRDJ[Account Code]=(TRIM($B45))),CRDJ[Credit])))+(SUM(IF((GJ[Date]=$A$3)*(GJ[Sort Code]=(TRIM(G$4)))*(GJ[Account Code]=(TRIM($B45))),GJ[Credit]))))-((SUM(IF((CkDJ[Date]=$A$3)*(CkDJ[Sort Code]=(TRIM(G$4)))*(CkDJ[Account Code]=(TRIM($B45))),CkDJ[Debit])))+(SUM(IF((CsDJ[Date]=$A$3)*(CsDJ[Sort Code]=(TRIM(G$4)))*(CsDJ[Account Code]=(TRIM($B45))),CsDJ[Debit])))+(SUM(IF((CRDJ[Date]=$A$3)*(CRDJ[Sort Code]=(TRIM(G$4)))*(CRDJ[Account Code]=(TRIM($B45))),CRDJ[Debit])))+(SUM(IF((GJ[Date]=$A$3)*(GJ[Sort Code]=(TRIM(G$4)))*(GJ[Account Code]=(TRIM($B45))),GJ[Debit]))))</f>
        <v>0</v>
      </c>
      <c r="G45" s="343">
        <f t="shared" si="4"/>
        <v>0</v>
      </c>
      <c r="H45" s="246">
        <f t="shared" si="2"/>
        <v>0</v>
      </c>
      <c r="I45" s="246">
        <f t="shared" si="3"/>
        <v>0</v>
      </c>
    </row>
    <row r="46" spans="1:9">
      <c r="A46" s="241" t="s">
        <v>815</v>
      </c>
      <c r="B46" s="337"/>
      <c r="C46" s="248"/>
      <c r="D46" s="248"/>
      <c r="E46" s="344">
        <f>G46-F46</f>
        <v>0</v>
      </c>
      <c r="F46" s="248"/>
      <c r="G46" s="343">
        <f t="array" ref="G46">((SUM(IF((CkDJ[Sort Code]=(TRIM(G$4)))*(CkDJ[Account Code]=(TRIM($B46))),CkDJ[Credit])))+(SUM(IF((CsDJ[Sort Code]=(TRIM(G$4)))*(CsDJ[Account Code]=(TRIM($B46))),CsDJ[Credit])))+(SUM(IF((CRDJ[Sort Code]=(TRIM(G$4)))*(CRDJ[Account Code]=(TRIM($B46))),CRDJ[Credit])))+(SUM(IF((GJ[Sort Code]=(TRIM(G$4)))*(GJ[Account Code]=(TRIM($B46))),GJ[Credit]))))-((SUM(IF((CkDJ[Sort Code]=(TRIM(G$4)))*(CkDJ[Account Code]=(TRIM($B46))),CkDJ[Debit])))+(SUM(IF((CsDJ[Sort Code]=(TRIM(G$4)))*(CsDJ[Account Code]=(TRIM($B46))),CsDJ[Debit])))+(SUM(IF((CRDJ[Sort Code]=(TRIM(G$4)))*(CRDJ[Account Code]=(TRIM($B46))),CRDJ[Debit])))+(SUM(IF((GJ[Sort Code]=(TRIM(G$4)))*(GJ[Account Code]=(TRIM($B46))),GJ[Debit]))))</f>
        <v>0</v>
      </c>
      <c r="H46" s="242">
        <f t="shared" si="2"/>
        <v>0</v>
      </c>
      <c r="I46" s="242">
        <f t="shared" si="3"/>
        <v>0</v>
      </c>
    </row>
    <row r="47" spans="1:9">
      <c r="A47" s="249" t="s">
        <v>814</v>
      </c>
      <c r="B47" s="338"/>
      <c r="C47" s="250">
        <f>C26+C27+C32+C36+C46</f>
        <v>1628000</v>
      </c>
      <c r="D47" s="250">
        <f>D26+D27+D32+D36+D46</f>
        <v>1628000</v>
      </c>
      <c r="E47" s="250">
        <f>E26+E27+E32+E36+E46</f>
        <v>0</v>
      </c>
      <c r="F47" s="250">
        <f>F26+F27+F32+F36+F46</f>
        <v>0</v>
      </c>
      <c r="G47" s="250">
        <f>G26+G27+G32+G36+G46</f>
        <v>0</v>
      </c>
      <c r="H47" s="250">
        <f t="shared" si="2"/>
        <v>-1628000</v>
      </c>
      <c r="I47" s="250">
        <f t="shared" si="3"/>
        <v>0</v>
      </c>
    </row>
    <row r="48" spans="1:9">
      <c r="A48" s="251" t="s">
        <v>813</v>
      </c>
      <c r="B48" s="338"/>
      <c r="C48" s="250">
        <f>C24+C47</f>
        <v>3128000</v>
      </c>
      <c r="D48" s="250">
        <f>D24+D47</f>
        <v>3128000</v>
      </c>
      <c r="E48" s="250">
        <f>E24+E47</f>
        <v>0</v>
      </c>
      <c r="F48" s="250">
        <f>F24+F47</f>
        <v>0</v>
      </c>
      <c r="G48" s="250">
        <f>G24+G47</f>
        <v>0</v>
      </c>
      <c r="H48" s="250">
        <f t="shared" si="2"/>
        <v>-3128000</v>
      </c>
      <c r="I48" s="250">
        <f t="shared" si="3"/>
        <v>0</v>
      </c>
    </row>
    <row r="49" spans="1:9">
      <c r="A49" s="239" t="s">
        <v>812</v>
      </c>
      <c r="B49" s="337"/>
      <c r="C49" s="240"/>
      <c r="D49" s="240"/>
      <c r="E49" s="240"/>
      <c r="F49" s="240"/>
      <c r="G49" s="246"/>
      <c r="H49" s="246"/>
      <c r="I49" s="246"/>
    </row>
    <row r="50" spans="1:9">
      <c r="A50" s="239" t="s">
        <v>811</v>
      </c>
      <c r="B50" s="337"/>
      <c r="C50" s="242">
        <f>C51+C75</f>
        <v>24175060.399999999</v>
      </c>
      <c r="D50" s="242">
        <f>D51+D75</f>
        <v>24175060.399999999</v>
      </c>
      <c r="E50" s="242">
        <f>E51+E75</f>
        <v>0</v>
      </c>
      <c r="F50" s="242">
        <f>F51+F75</f>
        <v>0</v>
      </c>
      <c r="G50" s="242">
        <f>G51+G75</f>
        <v>0</v>
      </c>
      <c r="H50" s="242">
        <f t="shared" ref="H50:H119" si="5">G50-D50</f>
        <v>-24175060.399999999</v>
      </c>
      <c r="I50" s="242">
        <f t="shared" ref="I50:I119" si="6">IF((D50=0),0,G50/D50)</f>
        <v>0</v>
      </c>
    </row>
    <row r="51" spans="1:9">
      <c r="A51" s="243" t="s">
        <v>806</v>
      </c>
      <c r="B51" s="337"/>
      <c r="C51" s="246">
        <f>SUM(C52:C74)</f>
        <v>24175060.399999999</v>
      </c>
      <c r="D51" s="246">
        <f>SUM(D52:D74)</f>
        <v>24175060.399999999</v>
      </c>
      <c r="E51" s="246">
        <f>SUM(E52:E74)</f>
        <v>0</v>
      </c>
      <c r="F51" s="246">
        <f>SUM(F52:F74)</f>
        <v>0</v>
      </c>
      <c r="G51" s="246">
        <f>SUM(G52:G74)</f>
        <v>0</v>
      </c>
      <c r="H51" s="246">
        <f t="shared" si="5"/>
        <v>-24175060.399999999</v>
      </c>
      <c r="I51" s="246">
        <f t="shared" si="6"/>
        <v>0</v>
      </c>
    </row>
    <row r="52" spans="1:9" hidden="1">
      <c r="A52" s="247" t="s">
        <v>194</v>
      </c>
      <c r="B52" s="339" t="s">
        <v>162</v>
      </c>
      <c r="C52" s="245">
        <f t="array" ref="C52">SUM(IF((Budget[Account Code]=B52)*(Budget[Sort Code]=$G$4),(Budget[Amount])))</f>
        <v>15598824</v>
      </c>
      <c r="D52" s="245">
        <f t="array" ref="D52">SUM(IF((Budget[Account Code]=B52)*(Budget[Sort Code]=$G$4)*(Budget[Date]&lt;=$D$7),(Budget[Amount])))</f>
        <v>15598824</v>
      </c>
      <c r="E52" s="245">
        <f t="array" ref="E52">((SUM(IF((CkDJ[Sort Code]=(TRIM(G$4)))*(CkDJ[Account Code]=(TRIM($B52)))*(CkDJ[Date]&lt;=$E$7),CkDJ[Debit])))+(SUM(IF((CsDJ[Sort Code]=(TRIM(G$4)))*(CsDJ[Account Code]=(TRIM($B52)))*(CsDJ[Date]&lt;=$E$7),CsDJ[Debit])))+(SUM(IF((CRDJ[Sort Code]=(TRIM(G$4)))*(CRDJ[Account Code]=(TRIM($B52)))*(CRDJ[Date]&lt;=$E$7),CRDJ[Debit])))+(SUM(IF((GJ[Sort Code]=(TRIM(G$4)))*(GJ[Account Code]=(TRIM($B52)))*(GJ[Date]&lt;=$E$7),GJ[Debit]))))-((SUM(IF((CkDJ[Sort Code]=(TRIM(G$4)))*(CkDJ[Account Code]=(TRIM($B52)))*(CkDJ[Date]&lt;=$E$7),CkDJ[Credit])))+(SUM(IF((CsDJ[Sort Code]=(TRIM(G$4)))*(CsDJ[Account Code]=(TRIM($B52)))*(CsDJ[Date]&lt;=$E$7),CsDJ[Credit])))+(SUM(IF((CRDJ[Sort Code]=(TRIM(G$4)))*(CRDJ[Account Code]=(TRIM($B52)))*(CRDJ[Date]&lt;=$E$7),CRDJ[Credit])))+(SUM(IF((GJ[Sort Code]=(TRIM(G$4)))*(GJ[Account Code]=(TRIM($B52)))*(GJ[Date]&lt;=$E$7),GJ[Credit]))))</f>
        <v>0</v>
      </c>
      <c r="F52" s="245">
        <f t="array" ref="F52">((SUM(IF((CkDJ[Date]=$A$3)*(CkDJ[Sort Code]=(TRIM(G$4)))*(CkDJ[Account Code]=(TRIM($B52))),CkDJ[Debit])))+(SUM(IF((CsDJ[Date]=$A$3)*(CsDJ[Sort Code]=(TRIM(G$4)))*(CsDJ[Account Code]=(TRIM($B52))),CsDJ[Debit])))+(SUM(IF((CRDJ[Date]=$A$3)*(CRDJ[Sort Code]=(TRIM(G$4)))*(CRDJ[Account Code]=(TRIM($B52))),CRDJ[Debit])))+(SUM(IF((GJ[Date]=$A$3)*(GJ[Sort Code]=(TRIM(G$4)))*(GJ[Account Code]=(TRIM($B52))),GJ[Debit]))))-((SUM(IF((CkDJ[Date]=$A$3)*(CkDJ[Sort Code]=(TRIM(G$4)))*(CkDJ[Account Code]=(TRIM($B52))),CkDJ[Credit])))+(SUM(IF((CsDJ[Date]=$A$3)*(CsDJ[Sort Code]=(TRIM(G$4)))*(CsDJ[Account Code]=(TRIM($B52))),CsDJ[Credit])))+(SUM(IF((CRDJ[Date]=$A$3)*(CRDJ[Sort Code]=(TRIM(G$4)))*(CRDJ[Account Code]=(TRIM($B52))),CRDJ[Credit])))+(SUM(IF((GJ[Date]=$A$3)*(GJ[Sort Code]=(TRIM(G$4)))*(GJ[Account Code]=(TRIM($B52))),GJ[Credit]))))</f>
        <v>0</v>
      </c>
      <c r="G52" s="343">
        <f t="shared" ref="G52:G57" si="7">E52+F52</f>
        <v>0</v>
      </c>
      <c r="H52" s="246">
        <f t="shared" si="5"/>
        <v>-15598824</v>
      </c>
      <c r="I52" s="246">
        <f t="shared" si="6"/>
        <v>0</v>
      </c>
    </row>
    <row r="53" spans="1:9" hidden="1">
      <c r="A53" s="247" t="s">
        <v>195</v>
      </c>
      <c r="B53" s="339" t="s">
        <v>163</v>
      </c>
      <c r="C53" s="245">
        <f t="array" ref="C53">SUM(IF((Budget[Account Code]=B53)*(Budget[Sort Code]=$G$4),(Budget[Amount])))</f>
        <v>828168</v>
      </c>
      <c r="D53" s="245">
        <f t="array" ref="D53">SUM(IF((Budget[Account Code]=B53)*(Budget[Sort Code]=$G$4)*(Budget[Date]&lt;=$D$7),(Budget[Amount])))</f>
        <v>828168</v>
      </c>
      <c r="E53" s="245">
        <f t="array" ref="E53">((SUM(IF((CkDJ[Sort Code]=(TRIM(G$4)))*(CkDJ[Account Code]=(TRIM($B53)))*(CkDJ[Date]&lt;=$E$7),CkDJ[Debit])))+(SUM(IF((CsDJ[Sort Code]=(TRIM(G$4)))*(CsDJ[Account Code]=(TRIM($B53)))*(CsDJ[Date]&lt;=$E$7),CsDJ[Debit])))+(SUM(IF((CRDJ[Sort Code]=(TRIM(G$4)))*(CRDJ[Account Code]=(TRIM($B53)))*(CRDJ[Date]&lt;=$E$7),CRDJ[Debit])))+(SUM(IF((GJ[Sort Code]=(TRIM(G$4)))*(GJ[Account Code]=(TRIM($B53)))*(GJ[Date]&lt;=$E$7),GJ[Debit]))))-((SUM(IF((CkDJ[Sort Code]=(TRIM(G$4)))*(CkDJ[Account Code]=(TRIM($B53)))*(CkDJ[Date]&lt;=$E$7),CkDJ[Credit])))+(SUM(IF((CsDJ[Sort Code]=(TRIM(G$4)))*(CsDJ[Account Code]=(TRIM($B53)))*(CsDJ[Date]&lt;=$E$7),CsDJ[Credit])))+(SUM(IF((CRDJ[Sort Code]=(TRIM(G$4)))*(CRDJ[Account Code]=(TRIM($B53)))*(CRDJ[Date]&lt;=$E$7),CRDJ[Credit])))+(SUM(IF((GJ[Sort Code]=(TRIM(G$4)))*(GJ[Account Code]=(TRIM($B53)))*(GJ[Date]&lt;=$E$7),GJ[Credit]))))</f>
        <v>0</v>
      </c>
      <c r="F53" s="245">
        <f t="array" ref="F53">((SUM(IF((CkDJ[Date]=$A$3)*(CkDJ[Sort Code]=(TRIM(G$4)))*(CkDJ[Account Code]=(TRIM($B53))),CkDJ[Debit])))+(SUM(IF((CsDJ[Date]=$A$3)*(CsDJ[Sort Code]=(TRIM(G$4)))*(CsDJ[Account Code]=(TRIM($B53))),CsDJ[Debit])))+(SUM(IF((CRDJ[Date]=$A$3)*(CRDJ[Sort Code]=(TRIM(G$4)))*(CRDJ[Account Code]=(TRIM($B53))),CRDJ[Debit])))+(SUM(IF((GJ[Date]=$A$3)*(GJ[Sort Code]=(TRIM(G$4)))*(GJ[Account Code]=(TRIM($B53))),GJ[Debit]))))-((SUM(IF((CkDJ[Date]=$A$3)*(CkDJ[Sort Code]=(TRIM(G$4)))*(CkDJ[Account Code]=(TRIM($B53))),CkDJ[Credit])))+(SUM(IF((CsDJ[Date]=$A$3)*(CsDJ[Sort Code]=(TRIM(G$4)))*(CsDJ[Account Code]=(TRIM($B53))),CsDJ[Credit])))+(SUM(IF((CRDJ[Date]=$A$3)*(CRDJ[Sort Code]=(TRIM(G$4)))*(CRDJ[Account Code]=(TRIM($B53))),CRDJ[Credit])))+(SUM(IF((GJ[Date]=$A$3)*(GJ[Sort Code]=(TRIM(G$4)))*(GJ[Account Code]=(TRIM($B53))),GJ[Credit]))))</f>
        <v>0</v>
      </c>
      <c r="G53" s="343">
        <f t="shared" si="7"/>
        <v>0</v>
      </c>
      <c r="H53" s="246">
        <f t="shared" si="5"/>
        <v>-828168</v>
      </c>
      <c r="I53" s="246">
        <f t="shared" si="6"/>
        <v>0</v>
      </c>
    </row>
    <row r="54" spans="1:9" hidden="1">
      <c r="A54" s="247" t="s">
        <v>196</v>
      </c>
      <c r="B54" s="339" t="s">
        <v>1013</v>
      </c>
      <c r="C54" s="245">
        <f t="array" ref="C54">SUM(IF((Budget[Account Code]=B54)*(Budget[Sort Code]=$G$4),(Budget[Amount])))</f>
        <v>0</v>
      </c>
      <c r="D54" s="245">
        <f t="array" ref="D54">SUM(IF((Budget[Account Code]=B54)*(Budget[Sort Code]=$G$4)*(Budget[Date]&lt;=$D$7),(Budget[Amount])))</f>
        <v>0</v>
      </c>
      <c r="E54" s="245">
        <f t="array" ref="E54">((SUM(IF((CkDJ[Sort Code]=(TRIM(G$4)))*(CkDJ[Account Code]=(TRIM($B54)))*(CkDJ[Date]&lt;=$E$7),CkDJ[Debit])))+(SUM(IF((CsDJ[Sort Code]=(TRIM(G$4)))*(CsDJ[Account Code]=(TRIM($B54)))*(CsDJ[Date]&lt;=$E$7),CsDJ[Debit])))+(SUM(IF((CRDJ[Sort Code]=(TRIM(G$4)))*(CRDJ[Account Code]=(TRIM($B54)))*(CRDJ[Date]&lt;=$E$7),CRDJ[Debit])))+(SUM(IF((GJ[Sort Code]=(TRIM(G$4)))*(GJ[Account Code]=(TRIM($B54)))*(GJ[Date]&lt;=$E$7),GJ[Debit]))))-((SUM(IF((CkDJ[Sort Code]=(TRIM(G$4)))*(CkDJ[Account Code]=(TRIM($B54)))*(CkDJ[Date]&lt;=$E$7),CkDJ[Credit])))+(SUM(IF((CsDJ[Sort Code]=(TRIM(G$4)))*(CsDJ[Account Code]=(TRIM($B54)))*(CsDJ[Date]&lt;=$E$7),CsDJ[Credit])))+(SUM(IF((CRDJ[Sort Code]=(TRIM(G$4)))*(CRDJ[Account Code]=(TRIM($B54)))*(CRDJ[Date]&lt;=$E$7),CRDJ[Credit])))+(SUM(IF((GJ[Sort Code]=(TRIM(G$4)))*(GJ[Account Code]=(TRIM($B54)))*(GJ[Date]&lt;=$E$7),GJ[Credit]))))</f>
        <v>0</v>
      </c>
      <c r="F54" s="245">
        <f t="array" ref="F54">((SUM(IF((CkDJ[Date]=$A$3)*(CkDJ[Sort Code]=(TRIM(G$4)))*(CkDJ[Account Code]=(TRIM($B54))),CkDJ[Debit])))+(SUM(IF((CsDJ[Date]=$A$3)*(CsDJ[Sort Code]=(TRIM(G$4)))*(CsDJ[Account Code]=(TRIM($B54))),CsDJ[Debit])))+(SUM(IF((CRDJ[Date]=$A$3)*(CRDJ[Sort Code]=(TRIM(G$4)))*(CRDJ[Account Code]=(TRIM($B54))),CRDJ[Debit])))+(SUM(IF((GJ[Date]=$A$3)*(GJ[Sort Code]=(TRIM(G$4)))*(GJ[Account Code]=(TRIM($B54))),GJ[Debit]))))-((SUM(IF((CkDJ[Date]=$A$3)*(CkDJ[Sort Code]=(TRIM(G$4)))*(CkDJ[Account Code]=(TRIM($B54))),CkDJ[Credit])))+(SUM(IF((CsDJ[Date]=$A$3)*(CsDJ[Sort Code]=(TRIM(G$4)))*(CsDJ[Account Code]=(TRIM($B54))),CsDJ[Credit])))+(SUM(IF((CRDJ[Date]=$A$3)*(CRDJ[Sort Code]=(TRIM(G$4)))*(CRDJ[Account Code]=(TRIM($B54))),CRDJ[Credit])))+(SUM(IF((GJ[Date]=$A$3)*(GJ[Sort Code]=(TRIM(G$4)))*(GJ[Account Code]=(TRIM($B54))),GJ[Credit]))))</f>
        <v>0</v>
      </c>
      <c r="G54" s="343">
        <f t="shared" si="7"/>
        <v>0</v>
      </c>
      <c r="H54" s="246">
        <f t="shared" si="5"/>
        <v>0</v>
      </c>
      <c r="I54" s="246">
        <f t="shared" si="6"/>
        <v>0</v>
      </c>
    </row>
    <row r="55" spans="1:9" hidden="1">
      <c r="A55" s="247" t="s">
        <v>197</v>
      </c>
      <c r="B55" s="339" t="s">
        <v>164</v>
      </c>
      <c r="C55" s="245">
        <f t="array" ref="C55">SUM(IF((Budget[Account Code]=B55)*(Budget[Sort Code]=$G$4),(Budget[Amount])))</f>
        <v>1512000</v>
      </c>
      <c r="D55" s="245">
        <f t="array" ref="D55">SUM(IF((Budget[Account Code]=B55)*(Budget[Sort Code]=$G$4)*(Budget[Date]&lt;=$D$7),(Budget[Amount])))</f>
        <v>1512000</v>
      </c>
      <c r="E55" s="245">
        <f t="array" ref="E55">((SUM(IF((CkDJ[Sort Code]=(TRIM(G$4)))*(CkDJ[Account Code]=(TRIM($B55)))*(CkDJ[Date]&lt;=$E$7),CkDJ[Debit])))+(SUM(IF((CsDJ[Sort Code]=(TRIM(G$4)))*(CsDJ[Account Code]=(TRIM($B55)))*(CsDJ[Date]&lt;=$E$7),CsDJ[Debit])))+(SUM(IF((CRDJ[Sort Code]=(TRIM(G$4)))*(CRDJ[Account Code]=(TRIM($B55)))*(CRDJ[Date]&lt;=$E$7),CRDJ[Debit])))+(SUM(IF((GJ[Sort Code]=(TRIM(G$4)))*(GJ[Account Code]=(TRIM($B55)))*(GJ[Date]&lt;=$E$7),GJ[Debit]))))-((SUM(IF((CkDJ[Sort Code]=(TRIM(G$4)))*(CkDJ[Account Code]=(TRIM($B55)))*(CkDJ[Date]&lt;=$E$7),CkDJ[Credit])))+(SUM(IF((CsDJ[Sort Code]=(TRIM(G$4)))*(CsDJ[Account Code]=(TRIM($B55)))*(CsDJ[Date]&lt;=$E$7),CsDJ[Credit])))+(SUM(IF((CRDJ[Sort Code]=(TRIM(G$4)))*(CRDJ[Account Code]=(TRIM($B55)))*(CRDJ[Date]&lt;=$E$7),CRDJ[Credit])))+(SUM(IF((GJ[Sort Code]=(TRIM(G$4)))*(GJ[Account Code]=(TRIM($B55)))*(GJ[Date]&lt;=$E$7),GJ[Credit]))))</f>
        <v>0</v>
      </c>
      <c r="F55" s="245">
        <f t="array" ref="F55">((SUM(IF((CkDJ[Date]=$A$3)*(CkDJ[Sort Code]=(TRIM(G$4)))*(CkDJ[Account Code]=(TRIM($B55))),CkDJ[Debit])))+(SUM(IF((CsDJ[Date]=$A$3)*(CsDJ[Sort Code]=(TRIM(G$4)))*(CsDJ[Account Code]=(TRIM($B55))),CsDJ[Debit])))+(SUM(IF((CRDJ[Date]=$A$3)*(CRDJ[Sort Code]=(TRIM(G$4)))*(CRDJ[Account Code]=(TRIM($B55))),CRDJ[Debit])))+(SUM(IF((GJ[Date]=$A$3)*(GJ[Sort Code]=(TRIM(G$4)))*(GJ[Account Code]=(TRIM($B55))),GJ[Debit]))))-((SUM(IF((CkDJ[Date]=$A$3)*(CkDJ[Sort Code]=(TRIM(G$4)))*(CkDJ[Account Code]=(TRIM($B55))),CkDJ[Credit])))+(SUM(IF((CsDJ[Date]=$A$3)*(CsDJ[Sort Code]=(TRIM(G$4)))*(CsDJ[Account Code]=(TRIM($B55))),CsDJ[Credit])))+(SUM(IF((CRDJ[Date]=$A$3)*(CRDJ[Sort Code]=(TRIM(G$4)))*(CRDJ[Account Code]=(TRIM($B55))),CRDJ[Credit])))+(SUM(IF((GJ[Date]=$A$3)*(GJ[Sort Code]=(TRIM(G$4)))*(GJ[Account Code]=(TRIM($B55))),GJ[Credit]))))</f>
        <v>0</v>
      </c>
      <c r="G55" s="343">
        <f t="shared" si="7"/>
        <v>0</v>
      </c>
      <c r="H55" s="246">
        <f t="shared" si="5"/>
        <v>-1512000</v>
      </c>
      <c r="I55" s="246">
        <f t="shared" si="6"/>
        <v>0</v>
      </c>
    </row>
    <row r="56" spans="1:9" hidden="1">
      <c r="A56" s="247" t="s">
        <v>198</v>
      </c>
      <c r="B56" s="339" t="s">
        <v>165</v>
      </c>
      <c r="C56" s="245">
        <f t="array" ref="C56">SUM(IF((Budget[Account Code]=B56)*(Budget[Sort Code]=$G$4),(Budget[Amount])))</f>
        <v>120000</v>
      </c>
      <c r="D56" s="245">
        <f t="array" ref="D56">SUM(IF((Budget[Account Code]=B56)*(Budget[Sort Code]=$G$4)*(Budget[Date]&lt;=$D$7),(Budget[Amount])))</f>
        <v>120000</v>
      </c>
      <c r="E56" s="245">
        <f t="array" ref="E56">((SUM(IF((CkDJ[Sort Code]=(TRIM(G$4)))*(CkDJ[Account Code]=(TRIM($B56)))*(CkDJ[Date]&lt;=$E$7),CkDJ[Debit])))+(SUM(IF((CsDJ[Sort Code]=(TRIM(G$4)))*(CsDJ[Account Code]=(TRIM($B56)))*(CsDJ[Date]&lt;=$E$7),CsDJ[Debit])))+(SUM(IF((CRDJ[Sort Code]=(TRIM(G$4)))*(CRDJ[Account Code]=(TRIM($B56)))*(CRDJ[Date]&lt;=$E$7),CRDJ[Debit])))+(SUM(IF((GJ[Sort Code]=(TRIM(G$4)))*(GJ[Account Code]=(TRIM($B56)))*(GJ[Date]&lt;=$E$7),GJ[Debit]))))-((SUM(IF((CkDJ[Sort Code]=(TRIM(G$4)))*(CkDJ[Account Code]=(TRIM($B56)))*(CkDJ[Date]&lt;=$E$7),CkDJ[Credit])))+(SUM(IF((CsDJ[Sort Code]=(TRIM(G$4)))*(CsDJ[Account Code]=(TRIM($B56)))*(CsDJ[Date]&lt;=$E$7),CsDJ[Credit])))+(SUM(IF((CRDJ[Sort Code]=(TRIM(G$4)))*(CRDJ[Account Code]=(TRIM($B56)))*(CRDJ[Date]&lt;=$E$7),CRDJ[Credit])))+(SUM(IF((GJ[Sort Code]=(TRIM(G$4)))*(GJ[Account Code]=(TRIM($B56)))*(GJ[Date]&lt;=$E$7),GJ[Credit]))))</f>
        <v>0</v>
      </c>
      <c r="F56" s="245">
        <f t="array" ref="F56">((SUM(IF((CkDJ[Date]=$A$3)*(CkDJ[Sort Code]=(TRIM(G$4)))*(CkDJ[Account Code]=(TRIM($B56))),CkDJ[Debit])))+(SUM(IF((CsDJ[Date]=$A$3)*(CsDJ[Sort Code]=(TRIM(G$4)))*(CsDJ[Account Code]=(TRIM($B56))),CsDJ[Debit])))+(SUM(IF((CRDJ[Date]=$A$3)*(CRDJ[Sort Code]=(TRIM(G$4)))*(CRDJ[Account Code]=(TRIM($B56))),CRDJ[Debit])))+(SUM(IF((GJ[Date]=$A$3)*(GJ[Sort Code]=(TRIM(G$4)))*(GJ[Account Code]=(TRIM($B56))),GJ[Debit]))))-((SUM(IF((CkDJ[Date]=$A$3)*(CkDJ[Sort Code]=(TRIM(G$4)))*(CkDJ[Account Code]=(TRIM($B56))),CkDJ[Credit])))+(SUM(IF((CsDJ[Date]=$A$3)*(CsDJ[Sort Code]=(TRIM(G$4)))*(CsDJ[Account Code]=(TRIM($B56))),CsDJ[Credit])))+(SUM(IF((CRDJ[Date]=$A$3)*(CRDJ[Sort Code]=(TRIM(G$4)))*(CRDJ[Account Code]=(TRIM($B56))),CRDJ[Credit])))+(SUM(IF((GJ[Date]=$A$3)*(GJ[Sort Code]=(TRIM(G$4)))*(GJ[Account Code]=(TRIM($B56))),GJ[Credit]))))</f>
        <v>0</v>
      </c>
      <c r="G56" s="343">
        <f t="shared" si="7"/>
        <v>0</v>
      </c>
      <c r="H56" s="246">
        <f t="shared" si="5"/>
        <v>-120000</v>
      </c>
      <c r="I56" s="246">
        <f t="shared" si="6"/>
        <v>0</v>
      </c>
    </row>
    <row r="57" spans="1:9" hidden="1">
      <c r="A57" s="247" t="s">
        <v>199</v>
      </c>
      <c r="B57" s="339" t="s">
        <v>166</v>
      </c>
      <c r="C57" s="245">
        <f t="array" ref="C57">SUM(IF((Budget[Account Code]=B57)*(Budget[Sort Code]=$G$4),(Budget[Amount])))</f>
        <v>0</v>
      </c>
      <c r="D57" s="245">
        <f t="array" ref="D57">SUM(IF((Budget[Account Code]=B57)*(Budget[Sort Code]=$G$4)*(Budget[Date]&lt;=$D$7),(Budget[Amount])))</f>
        <v>0</v>
      </c>
      <c r="E57" s="245">
        <f t="array" ref="E57">((SUM(IF((CkDJ[Sort Code]=(TRIM(G$4)))*(CkDJ[Account Code]=(TRIM($B57)))*(CkDJ[Date]&lt;=$E$7),CkDJ[Debit])))+(SUM(IF((CsDJ[Sort Code]=(TRIM(G$4)))*(CsDJ[Account Code]=(TRIM($B57)))*(CsDJ[Date]&lt;=$E$7),CsDJ[Debit])))+(SUM(IF((CRDJ[Sort Code]=(TRIM(G$4)))*(CRDJ[Account Code]=(TRIM($B57)))*(CRDJ[Date]&lt;=$E$7),CRDJ[Debit])))+(SUM(IF((GJ[Sort Code]=(TRIM(G$4)))*(GJ[Account Code]=(TRIM($B57)))*(GJ[Date]&lt;=$E$7),GJ[Debit]))))-((SUM(IF((CkDJ[Sort Code]=(TRIM(G$4)))*(CkDJ[Account Code]=(TRIM($B57)))*(CkDJ[Date]&lt;=$E$7),CkDJ[Credit])))+(SUM(IF((CsDJ[Sort Code]=(TRIM(G$4)))*(CsDJ[Account Code]=(TRIM($B57)))*(CsDJ[Date]&lt;=$E$7),CsDJ[Credit])))+(SUM(IF((CRDJ[Sort Code]=(TRIM(G$4)))*(CRDJ[Account Code]=(TRIM($B57)))*(CRDJ[Date]&lt;=$E$7),CRDJ[Credit])))+(SUM(IF((GJ[Sort Code]=(TRIM(G$4)))*(GJ[Account Code]=(TRIM($B57)))*(GJ[Date]&lt;=$E$7),GJ[Credit]))))</f>
        <v>0</v>
      </c>
      <c r="F57" s="245">
        <f t="array" ref="F57">((SUM(IF((CkDJ[Date]=$A$3)*(CkDJ[Sort Code]=(TRIM(G$4)))*(CkDJ[Account Code]=(TRIM($B57))),CkDJ[Debit])))+(SUM(IF((CsDJ[Date]=$A$3)*(CsDJ[Sort Code]=(TRIM(G$4)))*(CsDJ[Account Code]=(TRIM($B57))),CsDJ[Debit])))+(SUM(IF((CRDJ[Date]=$A$3)*(CRDJ[Sort Code]=(TRIM(G$4)))*(CRDJ[Account Code]=(TRIM($B57))),CRDJ[Debit])))+(SUM(IF((GJ[Date]=$A$3)*(GJ[Sort Code]=(TRIM(G$4)))*(GJ[Account Code]=(TRIM($B57))),GJ[Debit]))))-((SUM(IF((CkDJ[Date]=$A$3)*(CkDJ[Sort Code]=(TRIM(G$4)))*(CkDJ[Account Code]=(TRIM($B57))),CkDJ[Credit])))+(SUM(IF((CsDJ[Date]=$A$3)*(CsDJ[Sort Code]=(TRIM(G$4)))*(CsDJ[Account Code]=(TRIM($B57))),CsDJ[Credit])))+(SUM(IF((CRDJ[Date]=$A$3)*(CRDJ[Sort Code]=(TRIM(G$4)))*(CRDJ[Account Code]=(TRIM($B57))),CRDJ[Credit])))+(SUM(IF((GJ[Date]=$A$3)*(GJ[Sort Code]=(TRIM(G$4)))*(GJ[Account Code]=(TRIM($B57))),GJ[Credit]))))</f>
        <v>0</v>
      </c>
      <c r="G57" s="343">
        <f t="shared" si="7"/>
        <v>0</v>
      </c>
      <c r="H57" s="246">
        <f t="shared" si="5"/>
        <v>0</v>
      </c>
      <c r="I57" s="246">
        <f t="shared" si="6"/>
        <v>0</v>
      </c>
    </row>
    <row r="58" spans="1:9" hidden="1">
      <c r="A58" s="247" t="s">
        <v>200</v>
      </c>
      <c r="B58" s="339" t="s">
        <v>167</v>
      </c>
      <c r="C58" s="245">
        <f t="array" ref="C58">SUM(IF((Budget[Account Code]=B58)*(Budget[Sort Code]=$G$4),(Budget[Amount])))</f>
        <v>328000</v>
      </c>
      <c r="D58" s="245">
        <f t="array" ref="D58">SUM(IF((Budget[Account Code]=B58)*(Budget[Sort Code]=$G$4)*(Budget[Date]&lt;=$D$7),(Budget[Amount])))</f>
        <v>328000</v>
      </c>
      <c r="E58" s="245">
        <f t="array" ref="E58">((SUM(IF((CkDJ[Sort Code]=(TRIM(G$4)))*(CkDJ[Account Code]=(TRIM($B58)))*(CkDJ[Date]&lt;=$E$7),CkDJ[Debit])))+(SUM(IF((CsDJ[Sort Code]=(TRIM(G$4)))*(CsDJ[Account Code]=(TRIM($B58)))*(CsDJ[Date]&lt;=$E$7),CsDJ[Debit])))+(SUM(IF((CRDJ[Sort Code]=(TRIM(G$4)))*(CRDJ[Account Code]=(TRIM($B58)))*(CRDJ[Date]&lt;=$E$7),CRDJ[Debit])))+(SUM(IF((GJ[Sort Code]=(TRIM(G$4)))*(GJ[Account Code]=(TRIM($B58)))*(GJ[Date]&lt;=$E$7),GJ[Debit]))))-((SUM(IF((CkDJ[Sort Code]=(TRIM(G$4)))*(CkDJ[Account Code]=(TRIM($B58)))*(CkDJ[Date]&lt;=$E$7),CkDJ[Credit])))+(SUM(IF((CsDJ[Sort Code]=(TRIM(G$4)))*(CsDJ[Account Code]=(TRIM($B58)))*(CsDJ[Date]&lt;=$E$7),CsDJ[Credit])))+(SUM(IF((CRDJ[Sort Code]=(TRIM(G$4)))*(CRDJ[Account Code]=(TRIM($B58)))*(CRDJ[Date]&lt;=$E$7),CRDJ[Credit])))+(SUM(IF((GJ[Sort Code]=(TRIM(G$4)))*(GJ[Account Code]=(TRIM($B58)))*(GJ[Date]&lt;=$E$7),GJ[Credit]))))</f>
        <v>0</v>
      </c>
      <c r="F58" s="245">
        <f t="array" ref="F58">((SUM(IF((CkDJ[Date]=$A$3)*(CkDJ[Sort Code]=(TRIM(G$4)))*(CkDJ[Account Code]=(TRIM($B58))),CkDJ[Debit])))+(SUM(IF((CsDJ[Date]=$A$3)*(CsDJ[Sort Code]=(TRIM(G$4)))*(CsDJ[Account Code]=(TRIM($B58))),CsDJ[Debit])))+(SUM(IF((CRDJ[Date]=$A$3)*(CRDJ[Sort Code]=(TRIM(G$4)))*(CRDJ[Account Code]=(TRIM($B58))),CRDJ[Debit])))+(SUM(IF((GJ[Date]=$A$3)*(GJ[Sort Code]=(TRIM(G$4)))*(GJ[Account Code]=(TRIM($B58))),GJ[Debit]))))-((SUM(IF((CkDJ[Date]=$A$3)*(CkDJ[Sort Code]=(TRIM(G$4)))*(CkDJ[Account Code]=(TRIM($B58))),CkDJ[Credit])))+(SUM(IF((CsDJ[Date]=$A$3)*(CsDJ[Sort Code]=(TRIM(G$4)))*(CsDJ[Account Code]=(TRIM($B58))),CsDJ[Credit])))+(SUM(IF((CRDJ[Date]=$A$3)*(CRDJ[Sort Code]=(TRIM(G$4)))*(CRDJ[Account Code]=(TRIM($B58))),CRDJ[Credit])))+(SUM(IF((GJ[Date]=$A$3)*(GJ[Sort Code]=(TRIM(G$4)))*(GJ[Account Code]=(TRIM($B58))),GJ[Credit]))))</f>
        <v>0</v>
      </c>
      <c r="G58" s="343">
        <f>E58+F58</f>
        <v>0</v>
      </c>
      <c r="H58" s="246">
        <f t="shared" si="5"/>
        <v>-328000</v>
      </c>
      <c r="I58" s="246">
        <f t="shared" si="6"/>
        <v>0</v>
      </c>
    </row>
    <row r="59" spans="1:9" hidden="1">
      <c r="A59" s="247" t="s">
        <v>1476</v>
      </c>
      <c r="B59" s="339" t="s">
        <v>1262</v>
      </c>
      <c r="C59" s="245">
        <f t="array" ref="C59">SUM(IF((Budget[Account Code]=B59)*(Budget[Sort Code]=$G$4),(Budget[Amount])))</f>
        <v>0</v>
      </c>
      <c r="D59" s="245">
        <f t="array" ref="D59">SUM(IF((Budget[Account Code]=B59)*(Budget[Sort Code]=$G$4)*(Budget[Date]&lt;=$D$7),(Budget[Amount])))</f>
        <v>0</v>
      </c>
      <c r="E59" s="245">
        <f t="array" ref="E59">((SUM(IF((CkDJ[Sort Code]=(TRIM(G$4)))*(CkDJ[Account Code]=(TRIM($B59)))*(CkDJ[Date]&lt;=$E$7),CkDJ[Debit])))+(SUM(IF((CsDJ[Sort Code]=(TRIM(G$4)))*(CsDJ[Account Code]=(TRIM($B59)))*(CsDJ[Date]&lt;=$E$7),CsDJ[Debit])))+(SUM(IF((CRDJ[Sort Code]=(TRIM(G$4)))*(CRDJ[Account Code]=(TRIM($B59)))*(CRDJ[Date]&lt;=$E$7),CRDJ[Debit])))+(SUM(IF((GJ[Sort Code]=(TRIM(G$4)))*(GJ[Account Code]=(TRIM($B59)))*(GJ[Date]&lt;=$E$7),GJ[Debit]))))-((SUM(IF((CkDJ[Sort Code]=(TRIM(G$4)))*(CkDJ[Account Code]=(TRIM($B59)))*(CkDJ[Date]&lt;=$E$7),CkDJ[Credit])))+(SUM(IF((CsDJ[Sort Code]=(TRIM(G$4)))*(CsDJ[Account Code]=(TRIM($B59)))*(CsDJ[Date]&lt;=$E$7),CsDJ[Credit])))+(SUM(IF((CRDJ[Sort Code]=(TRIM(G$4)))*(CRDJ[Account Code]=(TRIM($B59)))*(CRDJ[Date]&lt;=$E$7),CRDJ[Credit])))+(SUM(IF((GJ[Sort Code]=(TRIM(G$4)))*(GJ[Account Code]=(TRIM($B59)))*(GJ[Date]&lt;=$E$7),GJ[Credit]))))</f>
        <v>0</v>
      </c>
      <c r="F59" s="245">
        <f t="array" ref="F59">((SUM(IF((CkDJ[Date]=$A$3)*(CkDJ[Sort Code]=(TRIM(G$4)))*(CkDJ[Account Code]=(TRIM($B59))),CkDJ[Debit])))+(SUM(IF((CsDJ[Date]=$A$3)*(CsDJ[Sort Code]=(TRIM(G$4)))*(CsDJ[Account Code]=(TRIM($B59))),CsDJ[Debit])))+(SUM(IF((CRDJ[Date]=$A$3)*(CRDJ[Sort Code]=(TRIM(G$4)))*(CRDJ[Account Code]=(TRIM($B59))),CRDJ[Debit])))+(SUM(IF((GJ[Date]=$A$3)*(GJ[Sort Code]=(TRIM(G$4)))*(GJ[Account Code]=(TRIM($B59))),GJ[Debit]))))-((SUM(IF((CkDJ[Date]=$A$3)*(CkDJ[Sort Code]=(TRIM(G$4)))*(CkDJ[Account Code]=(TRIM($B59))),CkDJ[Credit])))+(SUM(IF((CsDJ[Date]=$A$3)*(CsDJ[Sort Code]=(TRIM(G$4)))*(CsDJ[Account Code]=(TRIM($B59))),CsDJ[Credit])))+(SUM(IF((CRDJ[Date]=$A$3)*(CRDJ[Sort Code]=(TRIM(G$4)))*(CRDJ[Account Code]=(TRIM($B59))),CRDJ[Credit])))+(SUM(IF((GJ[Date]=$A$3)*(GJ[Sort Code]=(TRIM(G$4)))*(GJ[Account Code]=(TRIM($B59))),GJ[Credit]))))</f>
        <v>0</v>
      </c>
      <c r="G59" s="343">
        <f>E59+F59</f>
        <v>0</v>
      </c>
      <c r="H59" s="246">
        <f>G59-D59</f>
        <v>0</v>
      </c>
      <c r="I59" s="246">
        <f>IF((D59=0),0,G59/D59)</f>
        <v>0</v>
      </c>
    </row>
    <row r="60" spans="1:9" hidden="1">
      <c r="A60" s="247" t="s">
        <v>204</v>
      </c>
      <c r="B60" s="339" t="s">
        <v>171</v>
      </c>
      <c r="C60" s="245">
        <f t="array" ref="C60">SUM(IF((Budget[Account Code]=B60)*(Budget[Sort Code]=$G$4),(Budget[Amount])))</f>
        <v>0</v>
      </c>
      <c r="D60" s="245">
        <f t="array" ref="D60">SUM(IF((Budget[Account Code]=B60)*(Budget[Sort Code]=$G$4)*(Budget[Date]&lt;=$D$7),(Budget[Amount])))</f>
        <v>0</v>
      </c>
      <c r="E60" s="245">
        <f t="array" ref="E60">((SUM(IF((CkDJ[Sort Code]=(TRIM(G$4)))*(CkDJ[Account Code]=(TRIM($B60)))*(CkDJ[Date]&lt;=$E$7),CkDJ[Debit])))+(SUM(IF((CsDJ[Sort Code]=(TRIM(G$4)))*(CsDJ[Account Code]=(TRIM($B60)))*(CsDJ[Date]&lt;=$E$7),CsDJ[Debit])))+(SUM(IF((CRDJ[Sort Code]=(TRIM(G$4)))*(CRDJ[Account Code]=(TRIM($B60)))*(CRDJ[Date]&lt;=$E$7),CRDJ[Debit])))+(SUM(IF((GJ[Sort Code]=(TRIM(G$4)))*(GJ[Account Code]=(TRIM($B60)))*(GJ[Date]&lt;=$E$7),GJ[Debit]))))-((SUM(IF((CkDJ[Sort Code]=(TRIM(G$4)))*(CkDJ[Account Code]=(TRIM($B60)))*(CkDJ[Date]&lt;=$E$7),CkDJ[Credit])))+(SUM(IF((CsDJ[Sort Code]=(TRIM(G$4)))*(CsDJ[Account Code]=(TRIM($B60)))*(CsDJ[Date]&lt;=$E$7),CsDJ[Credit])))+(SUM(IF((CRDJ[Sort Code]=(TRIM(G$4)))*(CRDJ[Account Code]=(TRIM($B60)))*(CRDJ[Date]&lt;=$E$7),CRDJ[Credit])))+(SUM(IF((GJ[Sort Code]=(TRIM(G$4)))*(GJ[Account Code]=(TRIM($B60)))*(GJ[Date]&lt;=$E$7),GJ[Credit]))))</f>
        <v>0</v>
      </c>
      <c r="F60" s="245">
        <f t="array" ref="F60">((SUM(IF((CkDJ[Date]=$A$3)*(CkDJ[Sort Code]=(TRIM(G$4)))*(CkDJ[Account Code]=(TRIM($B60))),CkDJ[Debit])))+(SUM(IF((CsDJ[Date]=$A$3)*(CsDJ[Sort Code]=(TRIM(G$4)))*(CsDJ[Account Code]=(TRIM($B60))),CsDJ[Debit])))+(SUM(IF((CRDJ[Date]=$A$3)*(CRDJ[Sort Code]=(TRIM(G$4)))*(CRDJ[Account Code]=(TRIM($B60))),CRDJ[Debit])))+(SUM(IF((GJ[Date]=$A$3)*(GJ[Sort Code]=(TRIM(G$4)))*(GJ[Account Code]=(TRIM($B60))),GJ[Debit]))))-((SUM(IF((CkDJ[Date]=$A$3)*(CkDJ[Sort Code]=(TRIM(G$4)))*(CkDJ[Account Code]=(TRIM($B60))),CkDJ[Credit])))+(SUM(IF((CsDJ[Date]=$A$3)*(CsDJ[Sort Code]=(TRIM(G$4)))*(CsDJ[Account Code]=(TRIM($B60))),CsDJ[Credit])))+(SUM(IF((CRDJ[Date]=$A$3)*(CRDJ[Sort Code]=(TRIM(G$4)))*(CRDJ[Account Code]=(TRIM($B60))),CRDJ[Credit])))+(SUM(IF((GJ[Date]=$A$3)*(GJ[Sort Code]=(TRIM(G$4)))*(GJ[Account Code]=(TRIM($B60))),GJ[Credit]))))</f>
        <v>0</v>
      </c>
      <c r="G60" s="343">
        <f t="shared" ref="G60:G74" si="8">E60+F60</f>
        <v>0</v>
      </c>
      <c r="H60" s="246">
        <f t="shared" si="5"/>
        <v>0</v>
      </c>
      <c r="I60" s="246">
        <f t="shared" si="6"/>
        <v>0</v>
      </c>
    </row>
    <row r="61" spans="1:9" hidden="1">
      <c r="A61" s="247" t="s">
        <v>201</v>
      </c>
      <c r="B61" s="339" t="s">
        <v>5</v>
      </c>
      <c r="C61" s="245">
        <f t="array" ref="C61">SUM(IF((Budget[Account Code]=B61)*(Budget[Sort Code]=$G$4),(Budget[Amount])))</f>
        <v>36000</v>
      </c>
      <c r="D61" s="245">
        <f t="array" ref="D61">SUM(IF((Budget[Account Code]=B61)*(Budget[Sort Code]=$G$4)*(Budget[Date]&lt;=$D$7),(Budget[Amount])))</f>
        <v>36000</v>
      </c>
      <c r="E61" s="245">
        <f t="array" ref="E61">((SUM(IF((CkDJ[Sort Code]=(TRIM(G$4)))*(CkDJ[Account Code]=(TRIM($B61)))*(CkDJ[Date]&lt;=$E$7),CkDJ[Debit])))+(SUM(IF((CsDJ[Sort Code]=(TRIM(G$4)))*(CsDJ[Account Code]=(TRIM($B61)))*(CsDJ[Date]&lt;=$E$7),CsDJ[Debit])))+(SUM(IF((CRDJ[Sort Code]=(TRIM(G$4)))*(CRDJ[Account Code]=(TRIM($B61)))*(CRDJ[Date]&lt;=$E$7),CRDJ[Debit])))+(SUM(IF((GJ[Sort Code]=(TRIM(G$4)))*(GJ[Account Code]=(TRIM($B61)))*(GJ[Date]&lt;=$E$7),GJ[Debit]))))-((SUM(IF((CkDJ[Sort Code]=(TRIM(G$4)))*(CkDJ[Account Code]=(TRIM($B61)))*(CkDJ[Date]&lt;=$E$7),CkDJ[Credit])))+(SUM(IF((CsDJ[Sort Code]=(TRIM(G$4)))*(CsDJ[Account Code]=(TRIM($B61)))*(CsDJ[Date]&lt;=$E$7),CsDJ[Credit])))+(SUM(IF((CRDJ[Sort Code]=(TRIM(G$4)))*(CRDJ[Account Code]=(TRIM($B61)))*(CRDJ[Date]&lt;=$E$7),CRDJ[Credit])))+(SUM(IF((GJ[Sort Code]=(TRIM(G$4)))*(GJ[Account Code]=(TRIM($B61)))*(GJ[Date]&lt;=$E$7),GJ[Credit]))))</f>
        <v>0</v>
      </c>
      <c r="F61" s="245">
        <f t="array" ref="F61">((SUM(IF((CkDJ[Date]=$A$3)*(CkDJ[Sort Code]=(TRIM(G$4)))*(CkDJ[Account Code]=(TRIM($B61))),CkDJ[Debit])))+(SUM(IF((CsDJ[Date]=$A$3)*(CsDJ[Sort Code]=(TRIM(G$4)))*(CsDJ[Account Code]=(TRIM($B61))),CsDJ[Debit])))+(SUM(IF((CRDJ[Date]=$A$3)*(CRDJ[Sort Code]=(TRIM(G$4)))*(CRDJ[Account Code]=(TRIM($B61))),CRDJ[Debit])))+(SUM(IF((GJ[Date]=$A$3)*(GJ[Sort Code]=(TRIM(G$4)))*(GJ[Account Code]=(TRIM($B61))),GJ[Debit]))))-((SUM(IF((CkDJ[Date]=$A$3)*(CkDJ[Sort Code]=(TRIM(G$4)))*(CkDJ[Account Code]=(TRIM($B61))),CkDJ[Credit])))+(SUM(IF((CsDJ[Date]=$A$3)*(CsDJ[Sort Code]=(TRIM(G$4)))*(CsDJ[Account Code]=(TRIM($B61))),CsDJ[Credit])))+(SUM(IF((CRDJ[Date]=$A$3)*(CRDJ[Sort Code]=(TRIM(G$4)))*(CRDJ[Account Code]=(TRIM($B61))),CRDJ[Credit])))+(SUM(IF((GJ[Date]=$A$3)*(GJ[Sort Code]=(TRIM(G$4)))*(GJ[Account Code]=(TRIM($B61))),GJ[Credit]))))</f>
        <v>0</v>
      </c>
      <c r="G61" s="343">
        <f t="shared" si="8"/>
        <v>0</v>
      </c>
      <c r="H61" s="246">
        <f t="shared" si="5"/>
        <v>-36000</v>
      </c>
      <c r="I61" s="246">
        <f t="shared" si="6"/>
        <v>0</v>
      </c>
    </row>
    <row r="62" spans="1:9" hidden="1">
      <c r="A62" s="247" t="s">
        <v>202</v>
      </c>
      <c r="B62" s="339" t="s">
        <v>6</v>
      </c>
      <c r="C62" s="245">
        <f t="array" ref="C62">SUM(IF((Budget[Account Code]=B62)*(Budget[Sort Code]=$G$4),(Budget[Amount])))</f>
        <v>11880</v>
      </c>
      <c r="D62" s="245">
        <f t="array" ref="D62">SUM(IF((Budget[Account Code]=B62)*(Budget[Sort Code]=$G$4)*(Budget[Date]&lt;=$D$7),(Budget[Amount])))</f>
        <v>11880</v>
      </c>
      <c r="E62" s="245">
        <f t="array" ref="E62">((SUM(IF((CkDJ[Sort Code]=(TRIM(G$4)))*(CkDJ[Account Code]=(TRIM($B62)))*(CkDJ[Date]&lt;=$E$7),CkDJ[Debit])))+(SUM(IF((CsDJ[Sort Code]=(TRIM(G$4)))*(CsDJ[Account Code]=(TRIM($B62)))*(CsDJ[Date]&lt;=$E$7),CsDJ[Debit])))+(SUM(IF((CRDJ[Sort Code]=(TRIM(G$4)))*(CRDJ[Account Code]=(TRIM($B62)))*(CRDJ[Date]&lt;=$E$7),CRDJ[Debit])))+(SUM(IF((GJ[Sort Code]=(TRIM(G$4)))*(GJ[Account Code]=(TRIM($B62)))*(GJ[Date]&lt;=$E$7),GJ[Debit]))))-((SUM(IF((CkDJ[Sort Code]=(TRIM(G$4)))*(CkDJ[Account Code]=(TRIM($B62)))*(CkDJ[Date]&lt;=$E$7),CkDJ[Credit])))+(SUM(IF((CsDJ[Sort Code]=(TRIM(G$4)))*(CsDJ[Account Code]=(TRIM($B62)))*(CsDJ[Date]&lt;=$E$7),CsDJ[Credit])))+(SUM(IF((CRDJ[Sort Code]=(TRIM(G$4)))*(CRDJ[Account Code]=(TRIM($B62)))*(CRDJ[Date]&lt;=$E$7),CRDJ[Credit])))+(SUM(IF((GJ[Sort Code]=(TRIM(G$4)))*(GJ[Account Code]=(TRIM($B62)))*(GJ[Date]&lt;=$E$7),GJ[Credit]))))</f>
        <v>0</v>
      </c>
      <c r="F62" s="245">
        <f t="array" ref="F62">((SUM(IF((CkDJ[Date]=$A$3)*(CkDJ[Sort Code]=(TRIM(G$4)))*(CkDJ[Account Code]=(TRIM($B62))),CkDJ[Debit])))+(SUM(IF((CsDJ[Date]=$A$3)*(CsDJ[Sort Code]=(TRIM(G$4)))*(CsDJ[Account Code]=(TRIM($B62))),CsDJ[Debit])))+(SUM(IF((CRDJ[Date]=$A$3)*(CRDJ[Sort Code]=(TRIM(G$4)))*(CRDJ[Account Code]=(TRIM($B62))),CRDJ[Debit])))+(SUM(IF((GJ[Date]=$A$3)*(GJ[Sort Code]=(TRIM(G$4)))*(GJ[Account Code]=(TRIM($B62))),GJ[Debit]))))-((SUM(IF((CkDJ[Date]=$A$3)*(CkDJ[Sort Code]=(TRIM(G$4)))*(CkDJ[Account Code]=(TRIM($B62))),CkDJ[Credit])))+(SUM(IF((CsDJ[Date]=$A$3)*(CsDJ[Sort Code]=(TRIM(G$4)))*(CsDJ[Account Code]=(TRIM($B62))),CsDJ[Credit])))+(SUM(IF((CRDJ[Date]=$A$3)*(CRDJ[Sort Code]=(TRIM(G$4)))*(CRDJ[Account Code]=(TRIM($B62))),CRDJ[Credit])))+(SUM(IF((GJ[Date]=$A$3)*(GJ[Sort Code]=(TRIM(G$4)))*(GJ[Account Code]=(TRIM($B62))),GJ[Credit]))))</f>
        <v>0</v>
      </c>
      <c r="G62" s="343">
        <f t="shared" si="8"/>
        <v>0</v>
      </c>
      <c r="H62" s="246">
        <f t="shared" si="5"/>
        <v>-11880</v>
      </c>
      <c r="I62" s="246">
        <f t="shared" si="6"/>
        <v>0</v>
      </c>
    </row>
    <row r="63" spans="1:9" hidden="1">
      <c r="A63" s="247" t="s">
        <v>203</v>
      </c>
      <c r="B63" s="339" t="s">
        <v>7</v>
      </c>
      <c r="C63" s="245">
        <f t="array" ref="C63">SUM(IF((Budget[Account Code]=B63)*(Budget[Sort Code]=$G$4),(Budget[Amount])))</f>
        <v>2160</v>
      </c>
      <c r="D63" s="245">
        <f t="array" ref="D63">SUM(IF((Budget[Account Code]=B63)*(Budget[Sort Code]=$G$4)*(Budget[Date]&lt;=$D$7),(Budget[Amount])))</f>
        <v>2160</v>
      </c>
      <c r="E63" s="245">
        <f t="array" ref="E63">((SUM(IF((CkDJ[Sort Code]=(TRIM(G$4)))*(CkDJ[Account Code]=(TRIM($B63)))*(CkDJ[Date]&lt;=$E$7),CkDJ[Debit])))+(SUM(IF((CsDJ[Sort Code]=(TRIM(G$4)))*(CsDJ[Account Code]=(TRIM($B63)))*(CsDJ[Date]&lt;=$E$7),CsDJ[Debit])))+(SUM(IF((CRDJ[Sort Code]=(TRIM(G$4)))*(CRDJ[Account Code]=(TRIM($B63)))*(CRDJ[Date]&lt;=$E$7),CRDJ[Debit])))+(SUM(IF((GJ[Sort Code]=(TRIM(G$4)))*(GJ[Account Code]=(TRIM($B63)))*(GJ[Date]&lt;=$E$7),GJ[Debit]))))-((SUM(IF((CkDJ[Sort Code]=(TRIM(G$4)))*(CkDJ[Account Code]=(TRIM($B63)))*(CkDJ[Date]&lt;=$E$7),CkDJ[Credit])))+(SUM(IF((CsDJ[Sort Code]=(TRIM(G$4)))*(CsDJ[Account Code]=(TRIM($B63)))*(CsDJ[Date]&lt;=$E$7),CsDJ[Credit])))+(SUM(IF((CRDJ[Sort Code]=(TRIM(G$4)))*(CRDJ[Account Code]=(TRIM($B63)))*(CRDJ[Date]&lt;=$E$7),CRDJ[Credit])))+(SUM(IF((GJ[Sort Code]=(TRIM(G$4)))*(GJ[Account Code]=(TRIM($B63)))*(GJ[Date]&lt;=$E$7),GJ[Credit]))))</f>
        <v>0</v>
      </c>
      <c r="F63" s="245">
        <f t="array" ref="F63">((SUM(IF((CkDJ[Date]=$A$3)*(CkDJ[Sort Code]=(TRIM(G$4)))*(CkDJ[Account Code]=(TRIM($B63))),CkDJ[Debit])))+(SUM(IF((CsDJ[Date]=$A$3)*(CsDJ[Sort Code]=(TRIM(G$4)))*(CsDJ[Account Code]=(TRIM($B63))),CsDJ[Debit])))+(SUM(IF((CRDJ[Date]=$A$3)*(CRDJ[Sort Code]=(TRIM(G$4)))*(CRDJ[Account Code]=(TRIM($B63))),CRDJ[Debit])))+(SUM(IF((GJ[Date]=$A$3)*(GJ[Sort Code]=(TRIM(G$4)))*(GJ[Account Code]=(TRIM($B63))),GJ[Debit]))))-((SUM(IF((CkDJ[Date]=$A$3)*(CkDJ[Sort Code]=(TRIM(G$4)))*(CkDJ[Account Code]=(TRIM($B63))),CkDJ[Credit])))+(SUM(IF((CsDJ[Date]=$A$3)*(CsDJ[Sort Code]=(TRIM(G$4)))*(CsDJ[Account Code]=(TRIM($B63))),CsDJ[Credit])))+(SUM(IF((CRDJ[Date]=$A$3)*(CRDJ[Sort Code]=(TRIM(G$4)))*(CRDJ[Account Code]=(TRIM($B63))),CRDJ[Credit])))+(SUM(IF((GJ[Date]=$A$3)*(GJ[Sort Code]=(TRIM(G$4)))*(GJ[Account Code]=(TRIM($B63))),GJ[Credit]))))</f>
        <v>0</v>
      </c>
      <c r="G63" s="343">
        <f t="shared" si="8"/>
        <v>0</v>
      </c>
      <c r="H63" s="246">
        <f t="shared" si="5"/>
        <v>-2160</v>
      </c>
      <c r="I63" s="246">
        <f t="shared" si="6"/>
        <v>0</v>
      </c>
    </row>
    <row r="64" spans="1:9">
      <c r="A64" s="247" t="s">
        <v>1378</v>
      </c>
      <c r="B64" s="339" t="s">
        <v>169</v>
      </c>
      <c r="C64" s="245">
        <f t="array" ref="C64">SUM(IF((Budget[Account Code]=B64)*(Budget[Sort Code]=$G$4),(Budget[Amount])))</f>
        <v>0</v>
      </c>
      <c r="D64" s="245">
        <f t="array" ref="D64">SUM(IF((Budget[Account Code]=B64)*(Budget[Sort Code]=$G$4)*(Budget[Date]&lt;=$D$7),(Budget[Amount])))</f>
        <v>0</v>
      </c>
      <c r="E64" s="245">
        <f t="array" ref="E64">((SUM(IF((CkDJ[Sort Code]=(TRIM(G$4)))*(CkDJ[Account Code]=(TRIM($B64)))*(CkDJ[Date]&lt;=$E$7),CkDJ[Debit])))+(SUM(IF((CsDJ[Sort Code]=(TRIM(G$4)))*(CsDJ[Account Code]=(TRIM($B64)))*(CsDJ[Date]&lt;=$E$7),CsDJ[Debit])))+(SUM(IF((CRDJ[Sort Code]=(TRIM(G$4)))*(CRDJ[Account Code]=(TRIM($B64)))*(CRDJ[Date]&lt;=$E$7),CRDJ[Debit])))+(SUM(IF((GJ[Sort Code]=(TRIM(G$4)))*(GJ[Account Code]=(TRIM($B64)))*(GJ[Date]&lt;=$E$7),GJ[Debit]))))-((SUM(IF((CkDJ[Sort Code]=(TRIM(G$4)))*(CkDJ[Account Code]=(TRIM($B64)))*(CkDJ[Date]&lt;=$E$7),CkDJ[Credit])))+(SUM(IF((CsDJ[Sort Code]=(TRIM(G$4)))*(CsDJ[Account Code]=(TRIM($B64)))*(CsDJ[Date]&lt;=$E$7),CsDJ[Credit])))+(SUM(IF((CRDJ[Sort Code]=(TRIM(G$4)))*(CRDJ[Account Code]=(TRIM($B64)))*(CRDJ[Date]&lt;=$E$7),CRDJ[Credit])))+(SUM(IF((GJ[Sort Code]=(TRIM(G$4)))*(GJ[Account Code]=(TRIM($B64)))*(GJ[Date]&lt;=$E$7),GJ[Credit]))))</f>
        <v>0</v>
      </c>
      <c r="F64" s="245">
        <f t="array" ref="F64">((SUM(IF((CkDJ[Date]=$A$3)*(CkDJ[Sort Code]=(TRIM(G$4)))*(CkDJ[Account Code]=(TRIM($B64))),CkDJ[Debit])))+(SUM(IF((CsDJ[Date]=$A$3)*(CsDJ[Sort Code]=(TRIM(G$4)))*(CsDJ[Account Code]=(TRIM($B64))),CsDJ[Debit])))+(SUM(IF((CRDJ[Date]=$A$3)*(CRDJ[Sort Code]=(TRIM(G$4)))*(CRDJ[Account Code]=(TRIM($B64))),CRDJ[Debit])))+(SUM(IF((GJ[Date]=$A$3)*(GJ[Sort Code]=(TRIM(G$4)))*(GJ[Account Code]=(TRIM($B64))),GJ[Debit]))))-((SUM(IF((CkDJ[Date]=$A$3)*(CkDJ[Sort Code]=(TRIM(G$4)))*(CkDJ[Account Code]=(TRIM($B64))),CkDJ[Credit])))+(SUM(IF((CsDJ[Date]=$A$3)*(CsDJ[Sort Code]=(TRIM(G$4)))*(CsDJ[Account Code]=(TRIM($B64))),CsDJ[Credit])))+(SUM(IF((CRDJ[Date]=$A$3)*(CRDJ[Sort Code]=(TRIM(G$4)))*(CRDJ[Account Code]=(TRIM($B64))),CRDJ[Credit])))+(SUM(IF((GJ[Date]=$A$3)*(GJ[Sort Code]=(TRIM(G$4)))*(GJ[Account Code]=(TRIM($B64))),GJ[Credit]))))</f>
        <v>0</v>
      </c>
      <c r="G64" s="343">
        <f t="shared" si="8"/>
        <v>0</v>
      </c>
      <c r="H64" s="246">
        <f t="shared" si="5"/>
        <v>0</v>
      </c>
      <c r="I64" s="246">
        <f t="shared" si="6"/>
        <v>0</v>
      </c>
    </row>
    <row r="65" spans="1:9" hidden="1">
      <c r="A65" s="247" t="s">
        <v>206</v>
      </c>
      <c r="B65" s="339" t="s">
        <v>173</v>
      </c>
      <c r="C65" s="245">
        <f t="array" ref="C65">SUM(IF((Budget[Account Code]=B65)*(Budget[Sort Code]=$G$4),(Budget[Amount])))</f>
        <v>300000</v>
      </c>
      <c r="D65" s="245">
        <f t="array" ref="D65">SUM(IF((Budget[Account Code]=B65)*(Budget[Sort Code]=$G$4)*(Budget[Date]&lt;=$D$7),(Budget[Amount])))</f>
        <v>300000</v>
      </c>
      <c r="E65" s="245">
        <f t="array" ref="E65">((SUM(IF((CkDJ[Sort Code]=(TRIM(G$4)))*(CkDJ[Account Code]=(TRIM($B65)))*(CkDJ[Date]&lt;=$E$7),CkDJ[Debit])))+(SUM(IF((CsDJ[Sort Code]=(TRIM(G$4)))*(CsDJ[Account Code]=(TRIM($B65)))*(CsDJ[Date]&lt;=$E$7),CsDJ[Debit])))+(SUM(IF((CRDJ[Sort Code]=(TRIM(G$4)))*(CRDJ[Account Code]=(TRIM($B65)))*(CRDJ[Date]&lt;=$E$7),CRDJ[Debit])))+(SUM(IF((GJ[Sort Code]=(TRIM(G$4)))*(GJ[Account Code]=(TRIM($B65)))*(GJ[Date]&lt;=$E$7),GJ[Debit]))))-((SUM(IF((CkDJ[Sort Code]=(TRIM(G$4)))*(CkDJ[Account Code]=(TRIM($B65)))*(CkDJ[Date]&lt;=$E$7),CkDJ[Credit])))+(SUM(IF((CsDJ[Sort Code]=(TRIM(G$4)))*(CsDJ[Account Code]=(TRIM($B65)))*(CsDJ[Date]&lt;=$E$7),CsDJ[Credit])))+(SUM(IF((CRDJ[Sort Code]=(TRIM(G$4)))*(CRDJ[Account Code]=(TRIM($B65)))*(CRDJ[Date]&lt;=$E$7),CRDJ[Credit])))+(SUM(IF((GJ[Sort Code]=(TRIM(G$4)))*(GJ[Account Code]=(TRIM($B65)))*(GJ[Date]&lt;=$E$7),GJ[Credit]))))</f>
        <v>0</v>
      </c>
      <c r="F65" s="245">
        <f t="array" ref="F65">((SUM(IF((CkDJ[Date]=$A$3)*(CkDJ[Sort Code]=(TRIM(G$4)))*(CkDJ[Account Code]=(TRIM($B65))),CkDJ[Debit])))+(SUM(IF((CsDJ[Date]=$A$3)*(CsDJ[Sort Code]=(TRIM(G$4)))*(CsDJ[Account Code]=(TRIM($B65))),CsDJ[Debit])))+(SUM(IF((CRDJ[Date]=$A$3)*(CRDJ[Sort Code]=(TRIM(G$4)))*(CRDJ[Account Code]=(TRIM($B65))),CRDJ[Debit])))+(SUM(IF((GJ[Date]=$A$3)*(GJ[Sort Code]=(TRIM(G$4)))*(GJ[Account Code]=(TRIM($B65))),GJ[Debit]))))-((SUM(IF((CkDJ[Date]=$A$3)*(CkDJ[Sort Code]=(TRIM(G$4)))*(CkDJ[Account Code]=(TRIM($B65))),CkDJ[Credit])))+(SUM(IF((CsDJ[Date]=$A$3)*(CsDJ[Sort Code]=(TRIM(G$4)))*(CsDJ[Account Code]=(TRIM($B65))),CsDJ[Credit])))+(SUM(IF((CRDJ[Date]=$A$3)*(CRDJ[Sort Code]=(TRIM(G$4)))*(CRDJ[Account Code]=(TRIM($B65))),CRDJ[Credit])))+(SUM(IF((GJ[Date]=$A$3)*(GJ[Sort Code]=(TRIM(G$4)))*(GJ[Account Code]=(TRIM($B65))),GJ[Credit]))))</f>
        <v>0</v>
      </c>
      <c r="G65" s="343">
        <f t="shared" si="8"/>
        <v>0</v>
      </c>
      <c r="H65" s="246">
        <f t="shared" si="5"/>
        <v>-300000</v>
      </c>
      <c r="I65" s="246">
        <f t="shared" si="6"/>
        <v>0</v>
      </c>
    </row>
    <row r="66" spans="1:9" hidden="1">
      <c r="A66" s="247" t="s">
        <v>219</v>
      </c>
      <c r="B66" s="339" t="s">
        <v>214</v>
      </c>
      <c r="C66" s="245">
        <f t="array" ref="C66">SUM(IF((Budget[Account Code]=B66)*(Budget[Sort Code]=$G$4),(Budget[Amount])))</f>
        <v>0</v>
      </c>
      <c r="D66" s="245">
        <f t="array" ref="D66">SUM(IF((Budget[Account Code]=B66)*(Budget[Sort Code]=$G$4)*(Budget[Date]&lt;=$D$7),(Budget[Amount])))</f>
        <v>0</v>
      </c>
      <c r="E66" s="245">
        <f t="array" ref="E66">((SUM(IF((CkDJ[Sort Code]=(TRIM(G$4)))*(CkDJ[Account Code]=(TRIM($B66)))*(CkDJ[Date]&lt;=$E$7),CkDJ[Debit])))+(SUM(IF((CsDJ[Sort Code]=(TRIM(G$4)))*(CsDJ[Account Code]=(TRIM($B66)))*(CsDJ[Date]&lt;=$E$7),CsDJ[Debit])))+(SUM(IF((CRDJ[Sort Code]=(TRIM(G$4)))*(CRDJ[Account Code]=(TRIM($B66)))*(CRDJ[Date]&lt;=$E$7),CRDJ[Debit])))+(SUM(IF((GJ[Sort Code]=(TRIM(G$4)))*(GJ[Account Code]=(TRIM($B66)))*(GJ[Date]&lt;=$E$7),GJ[Debit]))))-((SUM(IF((CkDJ[Sort Code]=(TRIM(G$4)))*(CkDJ[Account Code]=(TRIM($B66)))*(CkDJ[Date]&lt;=$E$7),CkDJ[Credit])))+(SUM(IF((CsDJ[Sort Code]=(TRIM(G$4)))*(CsDJ[Account Code]=(TRIM($B66)))*(CsDJ[Date]&lt;=$E$7),CsDJ[Credit])))+(SUM(IF((CRDJ[Sort Code]=(TRIM(G$4)))*(CRDJ[Account Code]=(TRIM($B66)))*(CRDJ[Date]&lt;=$E$7),CRDJ[Credit])))+(SUM(IF((GJ[Sort Code]=(TRIM(G$4)))*(GJ[Account Code]=(TRIM($B66)))*(GJ[Date]&lt;=$E$7),GJ[Credit]))))</f>
        <v>0</v>
      </c>
      <c r="F66" s="245">
        <f t="array" ref="F66">((SUM(IF((CkDJ[Date]=$A$3)*(CkDJ[Sort Code]=(TRIM(G$4)))*(CkDJ[Account Code]=(TRIM($B66))),CkDJ[Debit])))+(SUM(IF((CsDJ[Date]=$A$3)*(CsDJ[Sort Code]=(TRIM(G$4)))*(CsDJ[Account Code]=(TRIM($B66))),CsDJ[Debit])))+(SUM(IF((CRDJ[Date]=$A$3)*(CRDJ[Sort Code]=(TRIM(G$4)))*(CRDJ[Account Code]=(TRIM($B66))),CRDJ[Debit])))+(SUM(IF((GJ[Date]=$A$3)*(GJ[Sort Code]=(TRIM(G$4)))*(GJ[Account Code]=(TRIM($B66))),GJ[Debit]))))-((SUM(IF((CkDJ[Date]=$A$3)*(CkDJ[Sort Code]=(TRIM(G$4)))*(CkDJ[Account Code]=(TRIM($B66))),CkDJ[Credit])))+(SUM(IF((CsDJ[Date]=$A$3)*(CsDJ[Sort Code]=(TRIM(G$4)))*(CsDJ[Account Code]=(TRIM($B66))),CsDJ[Credit])))+(SUM(IF((CRDJ[Date]=$A$3)*(CRDJ[Sort Code]=(TRIM(G$4)))*(CRDJ[Account Code]=(TRIM($B66))),CRDJ[Credit])))+(SUM(IF((GJ[Date]=$A$3)*(GJ[Sort Code]=(TRIM(G$4)))*(GJ[Account Code]=(TRIM($B66))),GJ[Credit]))))</f>
        <v>0</v>
      </c>
      <c r="G66" s="343">
        <f t="shared" si="8"/>
        <v>0</v>
      </c>
      <c r="H66" s="246">
        <f t="shared" si="5"/>
        <v>0</v>
      </c>
      <c r="I66" s="246">
        <f t="shared" si="6"/>
        <v>0</v>
      </c>
    </row>
    <row r="67" spans="1:9" hidden="1">
      <c r="A67" s="247" t="s">
        <v>205</v>
      </c>
      <c r="B67" s="339" t="s">
        <v>172</v>
      </c>
      <c r="C67" s="245">
        <f t="array" ref="C67">SUM(IF((Budget[Account Code]=B67)*(Budget[Sort Code]=$G$4),(Budget[Amount])))</f>
        <v>365000</v>
      </c>
      <c r="D67" s="245">
        <f t="array" ref="D67">SUM(IF((Budget[Account Code]=B67)*(Budget[Sort Code]=$G$4)*(Budget[Date]&lt;=$D$7),(Budget[Amount])))</f>
        <v>365000</v>
      </c>
      <c r="E67" s="245">
        <f t="array" ref="E67">((SUM(IF((CkDJ[Sort Code]=(TRIM(G$4)))*(CkDJ[Account Code]=(TRIM($B67)))*(CkDJ[Date]&lt;=$E$7),CkDJ[Debit])))+(SUM(IF((CsDJ[Sort Code]=(TRIM(G$4)))*(CsDJ[Account Code]=(TRIM($B67)))*(CsDJ[Date]&lt;=$E$7),CsDJ[Debit])))+(SUM(IF((CRDJ[Sort Code]=(TRIM(G$4)))*(CRDJ[Account Code]=(TRIM($B67)))*(CRDJ[Date]&lt;=$E$7),CRDJ[Debit])))+(SUM(IF((GJ[Sort Code]=(TRIM(G$4)))*(GJ[Account Code]=(TRIM($B67)))*(GJ[Date]&lt;=$E$7),GJ[Debit]))))-((SUM(IF((CkDJ[Sort Code]=(TRIM(G$4)))*(CkDJ[Account Code]=(TRIM($B67)))*(CkDJ[Date]&lt;=$E$7),CkDJ[Credit])))+(SUM(IF((CsDJ[Sort Code]=(TRIM(G$4)))*(CsDJ[Account Code]=(TRIM($B67)))*(CsDJ[Date]&lt;=$E$7),CsDJ[Credit])))+(SUM(IF((CRDJ[Sort Code]=(TRIM(G$4)))*(CRDJ[Account Code]=(TRIM($B67)))*(CRDJ[Date]&lt;=$E$7),CRDJ[Credit])))+(SUM(IF((GJ[Sort Code]=(TRIM(G$4)))*(GJ[Account Code]=(TRIM($B67)))*(GJ[Date]&lt;=$E$7),GJ[Credit]))))</f>
        <v>0</v>
      </c>
      <c r="F67" s="245">
        <f t="array" ref="F67">((SUM(IF((CkDJ[Date]=$A$3)*(CkDJ[Sort Code]=(TRIM(G$4)))*(CkDJ[Account Code]=(TRIM($B67))),CkDJ[Debit])))+(SUM(IF((CsDJ[Date]=$A$3)*(CsDJ[Sort Code]=(TRIM(G$4)))*(CsDJ[Account Code]=(TRIM($B67))),CsDJ[Debit])))+(SUM(IF((CRDJ[Date]=$A$3)*(CRDJ[Sort Code]=(TRIM(G$4)))*(CRDJ[Account Code]=(TRIM($B67))),CRDJ[Debit])))+(SUM(IF((GJ[Date]=$A$3)*(GJ[Sort Code]=(TRIM(G$4)))*(GJ[Account Code]=(TRIM($B67))),GJ[Debit]))))-((SUM(IF((CkDJ[Date]=$A$3)*(CkDJ[Sort Code]=(TRIM(G$4)))*(CkDJ[Account Code]=(TRIM($B67))),CkDJ[Credit])))+(SUM(IF((CsDJ[Date]=$A$3)*(CsDJ[Sort Code]=(TRIM(G$4)))*(CsDJ[Account Code]=(TRIM($B67))),CsDJ[Credit])))+(SUM(IF((CRDJ[Date]=$A$3)*(CRDJ[Sort Code]=(TRIM(G$4)))*(CRDJ[Account Code]=(TRIM($B67))),CRDJ[Credit])))+(SUM(IF((GJ[Date]=$A$3)*(GJ[Sort Code]=(TRIM(G$4)))*(GJ[Account Code]=(TRIM($B67))),GJ[Credit]))))</f>
        <v>0</v>
      </c>
      <c r="G67" s="343">
        <f t="shared" si="8"/>
        <v>0</v>
      </c>
      <c r="H67" s="246">
        <f t="shared" si="5"/>
        <v>-365000</v>
      </c>
      <c r="I67" s="246">
        <f t="shared" si="6"/>
        <v>0</v>
      </c>
    </row>
    <row r="68" spans="1:9" hidden="1">
      <c r="A68" s="247" t="s">
        <v>207</v>
      </c>
      <c r="B68" s="339" t="s">
        <v>174</v>
      </c>
      <c r="C68" s="245">
        <f t="array" ref="C68">SUM(IF((Budget[Account Code]=B68)*(Budget[Sort Code]=$G$4),(Budget[Amount])))</f>
        <v>2737832</v>
      </c>
      <c r="D68" s="245">
        <f t="array" ref="D68">SUM(IF((Budget[Account Code]=B68)*(Budget[Sort Code]=$G$4)*(Budget[Date]&lt;=$D$7),(Budget[Amount])))</f>
        <v>2737832</v>
      </c>
      <c r="E68" s="245">
        <f t="array" ref="E68">((SUM(IF((CkDJ[Sort Code]=(TRIM(G$4)))*(CkDJ[Account Code]=(TRIM($B68)))*(CkDJ[Date]&lt;=$E$7),CkDJ[Debit])))+(SUM(IF((CsDJ[Sort Code]=(TRIM(G$4)))*(CsDJ[Account Code]=(TRIM($B68)))*(CsDJ[Date]&lt;=$E$7),CsDJ[Debit])))+(SUM(IF((CRDJ[Sort Code]=(TRIM(G$4)))*(CRDJ[Account Code]=(TRIM($B68)))*(CRDJ[Date]&lt;=$E$7),CRDJ[Debit])))+(SUM(IF((GJ[Sort Code]=(TRIM(G$4)))*(GJ[Account Code]=(TRIM($B68)))*(GJ[Date]&lt;=$E$7),GJ[Debit]))))-((SUM(IF((CkDJ[Sort Code]=(TRIM(G$4)))*(CkDJ[Account Code]=(TRIM($B68)))*(CkDJ[Date]&lt;=$E$7),CkDJ[Credit])))+(SUM(IF((CsDJ[Sort Code]=(TRIM(G$4)))*(CsDJ[Account Code]=(TRIM($B68)))*(CsDJ[Date]&lt;=$E$7),CsDJ[Credit])))+(SUM(IF((CRDJ[Sort Code]=(TRIM(G$4)))*(CRDJ[Account Code]=(TRIM($B68)))*(CRDJ[Date]&lt;=$E$7),CRDJ[Credit])))+(SUM(IF((GJ[Sort Code]=(TRIM(G$4)))*(GJ[Account Code]=(TRIM($B68)))*(GJ[Date]&lt;=$E$7),GJ[Credit]))))</f>
        <v>0</v>
      </c>
      <c r="F68" s="245">
        <f t="array" ref="F68">((SUM(IF((CkDJ[Date]=$A$3)*(CkDJ[Sort Code]=(TRIM(G$4)))*(CkDJ[Account Code]=(TRIM($B68))),CkDJ[Debit])))+(SUM(IF((CsDJ[Date]=$A$3)*(CsDJ[Sort Code]=(TRIM(G$4)))*(CsDJ[Account Code]=(TRIM($B68))),CsDJ[Debit])))+(SUM(IF((CRDJ[Date]=$A$3)*(CRDJ[Sort Code]=(TRIM(G$4)))*(CRDJ[Account Code]=(TRIM($B68))),CRDJ[Debit])))+(SUM(IF((GJ[Date]=$A$3)*(GJ[Sort Code]=(TRIM(G$4)))*(GJ[Account Code]=(TRIM($B68))),GJ[Debit]))))-((SUM(IF((CkDJ[Date]=$A$3)*(CkDJ[Sort Code]=(TRIM(G$4)))*(CkDJ[Account Code]=(TRIM($B68))),CkDJ[Credit])))+(SUM(IF((CsDJ[Date]=$A$3)*(CsDJ[Sort Code]=(TRIM(G$4)))*(CsDJ[Account Code]=(TRIM($B68))),CsDJ[Credit])))+(SUM(IF((CRDJ[Date]=$A$3)*(CRDJ[Sort Code]=(TRIM(G$4)))*(CRDJ[Account Code]=(TRIM($B68))),CRDJ[Credit])))+(SUM(IF((GJ[Date]=$A$3)*(GJ[Sort Code]=(TRIM(G$4)))*(GJ[Account Code]=(TRIM($B68))),GJ[Credit]))))</f>
        <v>0</v>
      </c>
      <c r="G68" s="343">
        <f t="shared" si="8"/>
        <v>0</v>
      </c>
      <c r="H68" s="246">
        <f t="shared" si="5"/>
        <v>-2737832</v>
      </c>
      <c r="I68" s="246">
        <f t="shared" si="6"/>
        <v>0</v>
      </c>
    </row>
    <row r="69" spans="1:9" hidden="1">
      <c r="A69" s="247" t="s">
        <v>208</v>
      </c>
      <c r="B69" s="339" t="s">
        <v>175</v>
      </c>
      <c r="C69" s="245">
        <f t="array" ref="C69">SUM(IF((Budget[Account Code]=B69)*(Budget[Sort Code]=$G$4),(Budget[Amount])))</f>
        <v>1971242.4</v>
      </c>
      <c r="D69" s="245">
        <f t="array" ref="D69">SUM(IF((Budget[Account Code]=B69)*(Budget[Sort Code]=$G$4)*(Budget[Date]&lt;=$D$7),(Budget[Amount])))</f>
        <v>1971242.4</v>
      </c>
      <c r="E69" s="245">
        <f t="array" ref="E69">((SUM(IF((CkDJ[Sort Code]=(TRIM(G$4)))*(CkDJ[Account Code]=(TRIM($B69)))*(CkDJ[Date]&lt;=$E$7),CkDJ[Debit])))+(SUM(IF((CsDJ[Sort Code]=(TRIM(G$4)))*(CsDJ[Account Code]=(TRIM($B69)))*(CsDJ[Date]&lt;=$E$7),CsDJ[Debit])))+(SUM(IF((CRDJ[Sort Code]=(TRIM(G$4)))*(CRDJ[Account Code]=(TRIM($B69)))*(CRDJ[Date]&lt;=$E$7),CRDJ[Debit])))+(SUM(IF((GJ[Sort Code]=(TRIM(G$4)))*(GJ[Account Code]=(TRIM($B69)))*(GJ[Date]&lt;=$E$7),GJ[Debit]))))-((SUM(IF((CkDJ[Sort Code]=(TRIM(G$4)))*(CkDJ[Account Code]=(TRIM($B69)))*(CkDJ[Date]&lt;=$E$7),CkDJ[Credit])))+(SUM(IF((CsDJ[Sort Code]=(TRIM(G$4)))*(CsDJ[Account Code]=(TRIM($B69)))*(CsDJ[Date]&lt;=$E$7),CsDJ[Credit])))+(SUM(IF((CRDJ[Sort Code]=(TRIM(G$4)))*(CRDJ[Account Code]=(TRIM($B69)))*(CRDJ[Date]&lt;=$E$7),CRDJ[Credit])))+(SUM(IF((GJ[Sort Code]=(TRIM(G$4)))*(GJ[Account Code]=(TRIM($B69)))*(GJ[Date]&lt;=$E$7),GJ[Credit]))))</f>
        <v>0</v>
      </c>
      <c r="F69" s="245">
        <f t="array" ref="F69">((SUM(IF((CkDJ[Date]=$A$3)*(CkDJ[Sort Code]=(TRIM(G$4)))*(CkDJ[Account Code]=(TRIM($B69))),CkDJ[Debit])))+(SUM(IF((CsDJ[Date]=$A$3)*(CsDJ[Sort Code]=(TRIM(G$4)))*(CsDJ[Account Code]=(TRIM($B69))),CsDJ[Debit])))+(SUM(IF((CRDJ[Date]=$A$3)*(CRDJ[Sort Code]=(TRIM(G$4)))*(CRDJ[Account Code]=(TRIM($B69))),CRDJ[Debit])))+(SUM(IF((GJ[Date]=$A$3)*(GJ[Sort Code]=(TRIM(G$4)))*(GJ[Account Code]=(TRIM($B69))),GJ[Debit]))))-((SUM(IF((CkDJ[Date]=$A$3)*(CkDJ[Sort Code]=(TRIM(G$4)))*(CkDJ[Account Code]=(TRIM($B69))),CkDJ[Credit])))+(SUM(IF((CsDJ[Date]=$A$3)*(CsDJ[Sort Code]=(TRIM(G$4)))*(CsDJ[Account Code]=(TRIM($B69))),CsDJ[Credit])))+(SUM(IF((CRDJ[Date]=$A$3)*(CRDJ[Sort Code]=(TRIM(G$4)))*(CRDJ[Account Code]=(TRIM($B69))),CRDJ[Credit])))+(SUM(IF((GJ[Date]=$A$3)*(GJ[Sort Code]=(TRIM(G$4)))*(GJ[Account Code]=(TRIM($B69))),GJ[Credit]))))</f>
        <v>0</v>
      </c>
      <c r="G69" s="343">
        <f t="shared" si="8"/>
        <v>0</v>
      </c>
      <c r="H69" s="246">
        <f t="shared" si="5"/>
        <v>-1971242.4</v>
      </c>
      <c r="I69" s="246">
        <f t="shared" si="6"/>
        <v>0</v>
      </c>
    </row>
    <row r="70" spans="1:9" hidden="1">
      <c r="A70" s="247" t="s">
        <v>209</v>
      </c>
      <c r="B70" s="339" t="s">
        <v>176</v>
      </c>
      <c r="C70" s="245">
        <f t="array" ref="C70">SUM(IF((Budget[Account Code]=B70)*(Budget[Sort Code]=$G$4),(Budget[Amount])))</f>
        <v>75720</v>
      </c>
      <c r="D70" s="245">
        <f t="array" ref="D70">SUM(IF((Budget[Account Code]=B70)*(Budget[Sort Code]=$G$4)*(Budget[Date]&lt;=$D$7),(Budget[Amount])))</f>
        <v>75720</v>
      </c>
      <c r="E70" s="245">
        <f t="array" ref="E70">((SUM(IF((CkDJ[Sort Code]=(TRIM(G$4)))*(CkDJ[Account Code]=(TRIM($B70)))*(CkDJ[Date]&lt;=$E$7),CkDJ[Debit])))+(SUM(IF((CsDJ[Sort Code]=(TRIM(G$4)))*(CsDJ[Account Code]=(TRIM($B70)))*(CsDJ[Date]&lt;=$E$7),CsDJ[Debit])))+(SUM(IF((CRDJ[Sort Code]=(TRIM(G$4)))*(CRDJ[Account Code]=(TRIM($B70)))*(CRDJ[Date]&lt;=$E$7),CRDJ[Debit])))+(SUM(IF((GJ[Sort Code]=(TRIM(G$4)))*(GJ[Account Code]=(TRIM($B70)))*(GJ[Date]&lt;=$E$7),GJ[Debit]))))-((SUM(IF((CkDJ[Sort Code]=(TRIM(G$4)))*(CkDJ[Account Code]=(TRIM($B70)))*(CkDJ[Date]&lt;=$E$7),CkDJ[Credit])))+(SUM(IF((CsDJ[Sort Code]=(TRIM(G$4)))*(CsDJ[Account Code]=(TRIM($B70)))*(CsDJ[Date]&lt;=$E$7),CsDJ[Credit])))+(SUM(IF((CRDJ[Sort Code]=(TRIM(G$4)))*(CRDJ[Account Code]=(TRIM($B70)))*(CRDJ[Date]&lt;=$E$7),CRDJ[Credit])))+(SUM(IF((GJ[Sort Code]=(TRIM(G$4)))*(GJ[Account Code]=(TRIM($B70)))*(GJ[Date]&lt;=$E$7),GJ[Credit]))))</f>
        <v>0</v>
      </c>
      <c r="F70" s="245">
        <f t="array" ref="F70">((SUM(IF((CkDJ[Date]=$A$3)*(CkDJ[Sort Code]=(TRIM(G$4)))*(CkDJ[Account Code]=(TRIM($B70))),CkDJ[Debit])))+(SUM(IF((CsDJ[Date]=$A$3)*(CsDJ[Sort Code]=(TRIM(G$4)))*(CsDJ[Account Code]=(TRIM($B70))),CsDJ[Debit])))+(SUM(IF((CRDJ[Date]=$A$3)*(CRDJ[Sort Code]=(TRIM(G$4)))*(CRDJ[Account Code]=(TRIM($B70))),CRDJ[Debit])))+(SUM(IF((GJ[Date]=$A$3)*(GJ[Sort Code]=(TRIM(G$4)))*(GJ[Account Code]=(TRIM($B70))),GJ[Debit]))))-((SUM(IF((CkDJ[Date]=$A$3)*(CkDJ[Sort Code]=(TRIM(G$4)))*(CkDJ[Account Code]=(TRIM($B70))),CkDJ[Credit])))+(SUM(IF((CsDJ[Date]=$A$3)*(CsDJ[Sort Code]=(TRIM(G$4)))*(CsDJ[Account Code]=(TRIM($B70))),CsDJ[Credit])))+(SUM(IF((CRDJ[Date]=$A$3)*(CRDJ[Sort Code]=(TRIM(G$4)))*(CRDJ[Account Code]=(TRIM($B70))),CRDJ[Credit])))+(SUM(IF((GJ[Date]=$A$3)*(GJ[Sort Code]=(TRIM(G$4)))*(GJ[Account Code]=(TRIM($B70))),GJ[Credit]))))</f>
        <v>0</v>
      </c>
      <c r="G70" s="343">
        <f t="shared" si="8"/>
        <v>0</v>
      </c>
      <c r="H70" s="246">
        <f t="shared" si="5"/>
        <v>-75720</v>
      </c>
      <c r="I70" s="246">
        <f t="shared" si="6"/>
        <v>0</v>
      </c>
    </row>
    <row r="71" spans="1:9" hidden="1">
      <c r="A71" s="247" t="s">
        <v>210</v>
      </c>
      <c r="B71" s="339" t="s">
        <v>177</v>
      </c>
      <c r="C71" s="245">
        <f t="array" ref="C71">SUM(IF((Budget[Account Code]=B71)*(Budget[Sort Code]=$G$4),(Budget[Amount])))</f>
        <v>212514</v>
      </c>
      <c r="D71" s="245">
        <f t="array" ref="D71">SUM(IF((Budget[Account Code]=B71)*(Budget[Sort Code]=$G$4)*(Budget[Date]&lt;=$D$7),(Budget[Amount])))</f>
        <v>212514</v>
      </c>
      <c r="E71" s="245">
        <f t="array" ref="E71">((SUM(IF((CkDJ[Sort Code]=(TRIM(G$4)))*(CkDJ[Account Code]=(TRIM($B71)))*(CkDJ[Date]&lt;=$E$7),CkDJ[Debit])))+(SUM(IF((CsDJ[Sort Code]=(TRIM(G$4)))*(CsDJ[Account Code]=(TRIM($B71)))*(CsDJ[Date]&lt;=$E$7),CsDJ[Debit])))+(SUM(IF((CRDJ[Sort Code]=(TRIM(G$4)))*(CRDJ[Account Code]=(TRIM($B71)))*(CRDJ[Date]&lt;=$E$7),CRDJ[Debit])))+(SUM(IF((GJ[Sort Code]=(TRIM(G$4)))*(GJ[Account Code]=(TRIM($B71)))*(GJ[Date]&lt;=$E$7),GJ[Debit]))))-((SUM(IF((CkDJ[Sort Code]=(TRIM(G$4)))*(CkDJ[Account Code]=(TRIM($B71)))*(CkDJ[Date]&lt;=$E$7),CkDJ[Credit])))+(SUM(IF((CsDJ[Sort Code]=(TRIM(G$4)))*(CsDJ[Account Code]=(TRIM($B71)))*(CsDJ[Date]&lt;=$E$7),CsDJ[Credit])))+(SUM(IF((CRDJ[Sort Code]=(TRIM(G$4)))*(CRDJ[Account Code]=(TRIM($B71)))*(CRDJ[Date]&lt;=$E$7),CRDJ[Credit])))+(SUM(IF((GJ[Sort Code]=(TRIM(G$4)))*(GJ[Account Code]=(TRIM($B71)))*(GJ[Date]&lt;=$E$7),GJ[Credit]))))</f>
        <v>0</v>
      </c>
      <c r="F71" s="245">
        <f t="array" ref="F71">((SUM(IF((CkDJ[Date]=$A$3)*(CkDJ[Sort Code]=(TRIM(G$4)))*(CkDJ[Account Code]=(TRIM($B71))),CkDJ[Debit])))+(SUM(IF((CsDJ[Date]=$A$3)*(CsDJ[Sort Code]=(TRIM(G$4)))*(CsDJ[Account Code]=(TRIM($B71))),CsDJ[Debit])))+(SUM(IF((CRDJ[Date]=$A$3)*(CRDJ[Sort Code]=(TRIM(G$4)))*(CRDJ[Account Code]=(TRIM($B71))),CRDJ[Debit])))+(SUM(IF((GJ[Date]=$A$3)*(GJ[Sort Code]=(TRIM(G$4)))*(GJ[Account Code]=(TRIM($B71))),GJ[Debit]))))-((SUM(IF((CkDJ[Date]=$A$3)*(CkDJ[Sort Code]=(TRIM(G$4)))*(CkDJ[Account Code]=(TRIM($B71))),CkDJ[Credit])))+(SUM(IF((CsDJ[Date]=$A$3)*(CsDJ[Sort Code]=(TRIM(G$4)))*(CsDJ[Account Code]=(TRIM($B71))),CsDJ[Credit])))+(SUM(IF((CRDJ[Date]=$A$3)*(CRDJ[Sort Code]=(TRIM(G$4)))*(CRDJ[Account Code]=(TRIM($B71))),CRDJ[Credit])))+(SUM(IF((GJ[Date]=$A$3)*(GJ[Sort Code]=(TRIM(G$4)))*(GJ[Account Code]=(TRIM($B71))),GJ[Credit]))))</f>
        <v>0</v>
      </c>
      <c r="G71" s="343">
        <f t="shared" si="8"/>
        <v>0</v>
      </c>
      <c r="H71" s="246">
        <f t="shared" si="5"/>
        <v>-212514</v>
      </c>
      <c r="I71" s="246">
        <f t="shared" si="6"/>
        <v>0</v>
      </c>
    </row>
    <row r="72" spans="1:9" hidden="1">
      <c r="A72" s="247" t="s">
        <v>211</v>
      </c>
      <c r="B72" s="339" t="s">
        <v>178</v>
      </c>
      <c r="C72" s="245">
        <f t="array" ref="C72">SUM(IF((Budget[Account Code]=B72)*(Budget[Sort Code]=$G$4),(Budget[Amount])))</f>
        <v>75720</v>
      </c>
      <c r="D72" s="245">
        <f t="array" ref="D72">SUM(IF((Budget[Account Code]=B72)*(Budget[Sort Code]=$G$4)*(Budget[Date]&lt;=$D$7),(Budget[Amount])))</f>
        <v>75720</v>
      </c>
      <c r="E72" s="245">
        <f t="array" ref="E72">((SUM(IF((CkDJ[Sort Code]=(TRIM(G$4)))*(CkDJ[Account Code]=(TRIM($B72)))*(CkDJ[Date]&lt;=$E$7),CkDJ[Debit])))+(SUM(IF((CsDJ[Sort Code]=(TRIM(G$4)))*(CsDJ[Account Code]=(TRIM($B72)))*(CsDJ[Date]&lt;=$E$7),CsDJ[Debit])))+(SUM(IF((CRDJ[Sort Code]=(TRIM(G$4)))*(CRDJ[Account Code]=(TRIM($B72)))*(CRDJ[Date]&lt;=$E$7),CRDJ[Debit])))+(SUM(IF((GJ[Sort Code]=(TRIM(G$4)))*(GJ[Account Code]=(TRIM($B72)))*(GJ[Date]&lt;=$E$7),GJ[Debit]))))-((SUM(IF((CkDJ[Sort Code]=(TRIM(G$4)))*(CkDJ[Account Code]=(TRIM($B72)))*(CkDJ[Date]&lt;=$E$7),CkDJ[Credit])))+(SUM(IF((CsDJ[Sort Code]=(TRIM(G$4)))*(CsDJ[Account Code]=(TRIM($B72)))*(CsDJ[Date]&lt;=$E$7),CsDJ[Credit])))+(SUM(IF((CRDJ[Sort Code]=(TRIM(G$4)))*(CRDJ[Account Code]=(TRIM($B72)))*(CRDJ[Date]&lt;=$E$7),CRDJ[Credit])))+(SUM(IF((GJ[Sort Code]=(TRIM(G$4)))*(GJ[Account Code]=(TRIM($B72)))*(GJ[Date]&lt;=$E$7),GJ[Credit]))))</f>
        <v>0</v>
      </c>
      <c r="F72" s="245">
        <f t="array" ref="F72">((SUM(IF((CkDJ[Date]=$A$3)*(CkDJ[Sort Code]=(TRIM(G$4)))*(CkDJ[Account Code]=(TRIM($B72))),CkDJ[Debit])))+(SUM(IF((CsDJ[Date]=$A$3)*(CsDJ[Sort Code]=(TRIM(G$4)))*(CsDJ[Account Code]=(TRIM($B72))),CsDJ[Debit])))+(SUM(IF((CRDJ[Date]=$A$3)*(CRDJ[Sort Code]=(TRIM(G$4)))*(CRDJ[Account Code]=(TRIM($B72))),CRDJ[Debit])))+(SUM(IF((GJ[Date]=$A$3)*(GJ[Sort Code]=(TRIM(G$4)))*(GJ[Account Code]=(TRIM($B72))),GJ[Debit]))))-((SUM(IF((CkDJ[Date]=$A$3)*(CkDJ[Sort Code]=(TRIM(G$4)))*(CkDJ[Account Code]=(TRIM($B72))),CkDJ[Credit])))+(SUM(IF((CsDJ[Date]=$A$3)*(CsDJ[Sort Code]=(TRIM(G$4)))*(CsDJ[Account Code]=(TRIM($B72))),CsDJ[Credit])))+(SUM(IF((CRDJ[Date]=$A$3)*(CRDJ[Sort Code]=(TRIM(G$4)))*(CRDJ[Account Code]=(TRIM($B72))),CRDJ[Credit])))+(SUM(IF((GJ[Date]=$A$3)*(GJ[Sort Code]=(TRIM(G$4)))*(GJ[Account Code]=(TRIM($B72))),GJ[Credit]))))</f>
        <v>0</v>
      </c>
      <c r="G72" s="343">
        <f t="shared" si="8"/>
        <v>0</v>
      </c>
      <c r="H72" s="246">
        <f t="shared" si="5"/>
        <v>-75720</v>
      </c>
      <c r="I72" s="246">
        <f t="shared" si="6"/>
        <v>0</v>
      </c>
    </row>
    <row r="73" spans="1:9" hidden="1">
      <c r="A73" s="247" t="s">
        <v>1016</v>
      </c>
      <c r="B73" s="339" t="s">
        <v>985</v>
      </c>
      <c r="C73" s="245">
        <f t="array" ref="C73">SUM(IF((Budget[Account Code]=B73)*(Budget[Sort Code]=$G$4),(Budget[Amount])))</f>
        <v>0</v>
      </c>
      <c r="D73" s="245">
        <f t="array" ref="D73">SUM(IF((Budget[Account Code]=B73)*(Budget[Sort Code]=$G$4)*(Budget[Date]&lt;=$D$7),(Budget[Amount])))</f>
        <v>0</v>
      </c>
      <c r="E73" s="245">
        <f t="array" ref="E73">((SUM(IF((CkDJ[Sort Code]=(TRIM(G$4)))*(CkDJ[Account Code]=(TRIM($B73)))*(CkDJ[Date]&lt;=$E$7),CkDJ[Debit])))+(SUM(IF((CsDJ[Sort Code]=(TRIM(G$4)))*(CsDJ[Account Code]=(TRIM($B73)))*(CsDJ[Date]&lt;=$E$7),CsDJ[Debit])))+(SUM(IF((CRDJ[Sort Code]=(TRIM(G$4)))*(CRDJ[Account Code]=(TRIM($B73)))*(CRDJ[Date]&lt;=$E$7),CRDJ[Debit])))+(SUM(IF((GJ[Sort Code]=(TRIM(G$4)))*(GJ[Account Code]=(TRIM($B73)))*(GJ[Date]&lt;=$E$7),GJ[Debit]))))-((SUM(IF((CkDJ[Sort Code]=(TRIM(G$4)))*(CkDJ[Account Code]=(TRIM($B73)))*(CkDJ[Date]&lt;=$E$7),CkDJ[Credit])))+(SUM(IF((CsDJ[Sort Code]=(TRIM(G$4)))*(CsDJ[Account Code]=(TRIM($B73)))*(CsDJ[Date]&lt;=$E$7),CsDJ[Credit])))+(SUM(IF((CRDJ[Sort Code]=(TRIM(G$4)))*(CRDJ[Account Code]=(TRIM($B73)))*(CRDJ[Date]&lt;=$E$7),CRDJ[Credit])))+(SUM(IF((GJ[Sort Code]=(TRIM(G$4)))*(GJ[Account Code]=(TRIM($B73)))*(GJ[Date]&lt;=$E$7),GJ[Credit]))))</f>
        <v>0</v>
      </c>
      <c r="F73" s="245">
        <f t="array" ref="F73">((SUM(IF((CkDJ[Date]=$A$3)*(CkDJ[Sort Code]=(TRIM(G$4)))*(CkDJ[Account Code]=(TRIM($B73))),CkDJ[Debit])))+(SUM(IF((CsDJ[Date]=$A$3)*(CsDJ[Sort Code]=(TRIM(G$4)))*(CsDJ[Account Code]=(TRIM($B73))),CsDJ[Debit])))+(SUM(IF((CRDJ[Date]=$A$3)*(CRDJ[Sort Code]=(TRIM(G$4)))*(CRDJ[Account Code]=(TRIM($B73))),CRDJ[Debit])))+(SUM(IF((GJ[Date]=$A$3)*(GJ[Sort Code]=(TRIM(G$4)))*(GJ[Account Code]=(TRIM($B73))),GJ[Debit]))))-((SUM(IF((CkDJ[Date]=$A$3)*(CkDJ[Sort Code]=(TRIM(G$4)))*(CkDJ[Account Code]=(TRIM($B73))),CkDJ[Credit])))+(SUM(IF((CsDJ[Date]=$A$3)*(CsDJ[Sort Code]=(TRIM(G$4)))*(CsDJ[Account Code]=(TRIM($B73))),CsDJ[Credit])))+(SUM(IF((CRDJ[Date]=$A$3)*(CRDJ[Sort Code]=(TRIM(G$4)))*(CRDJ[Account Code]=(TRIM($B73))),CRDJ[Credit])))+(SUM(IF((GJ[Date]=$A$3)*(GJ[Sort Code]=(TRIM(G$4)))*(GJ[Account Code]=(TRIM($B73))),GJ[Credit]))))</f>
        <v>0</v>
      </c>
      <c r="G73" s="343">
        <f>E73+F73</f>
        <v>0</v>
      </c>
      <c r="H73" s="246">
        <f>G73-D73</f>
        <v>0</v>
      </c>
      <c r="I73" s="246">
        <f>IF((D73=0),0,G73/D73)</f>
        <v>0</v>
      </c>
    </row>
    <row r="74" spans="1:9" hidden="1">
      <c r="A74" s="247" t="s">
        <v>218</v>
      </c>
      <c r="B74" s="339" t="s">
        <v>213</v>
      </c>
      <c r="C74" s="245">
        <f t="array" ref="C74">SUM(IF((Budget[Account Code]=B74)*(Budget[Sort Code]=$G$4),(Budget[Amount])))</f>
        <v>0</v>
      </c>
      <c r="D74" s="245">
        <f t="array" ref="D74">SUM(IF((Budget[Account Code]=B74)*(Budget[Sort Code]=$G$4)*(Budget[Date]&lt;=$D$7),(Budget[Amount])))</f>
        <v>0</v>
      </c>
      <c r="E74" s="245">
        <f t="array" ref="E74">((SUM(IF((CkDJ[Sort Code]=(TRIM(G$4)))*(CkDJ[Account Code]=(TRIM($B74)))*(CkDJ[Date]&lt;=$E$7),CkDJ[Debit])))+(SUM(IF((CsDJ[Sort Code]=(TRIM(G$4)))*(CsDJ[Account Code]=(TRIM($B74)))*(CsDJ[Date]&lt;=$E$7),CsDJ[Debit])))+(SUM(IF((CRDJ[Sort Code]=(TRIM(G$4)))*(CRDJ[Account Code]=(TRIM($B74)))*(CRDJ[Date]&lt;=$E$7),CRDJ[Debit])))+(SUM(IF((GJ[Sort Code]=(TRIM(G$4)))*(GJ[Account Code]=(TRIM($B74)))*(GJ[Date]&lt;=$E$7),GJ[Debit]))))-((SUM(IF((CkDJ[Sort Code]=(TRIM(G$4)))*(CkDJ[Account Code]=(TRIM($B74)))*(CkDJ[Date]&lt;=$E$7),CkDJ[Credit])))+(SUM(IF((CsDJ[Sort Code]=(TRIM(G$4)))*(CsDJ[Account Code]=(TRIM($B74)))*(CsDJ[Date]&lt;=$E$7),CsDJ[Credit])))+(SUM(IF((CRDJ[Sort Code]=(TRIM(G$4)))*(CRDJ[Account Code]=(TRIM($B74)))*(CRDJ[Date]&lt;=$E$7),CRDJ[Credit])))+(SUM(IF((GJ[Sort Code]=(TRIM(G$4)))*(GJ[Account Code]=(TRIM($B74)))*(GJ[Date]&lt;=$E$7),GJ[Credit]))))</f>
        <v>0</v>
      </c>
      <c r="F74" s="245">
        <f t="array" ref="F74">((SUM(IF((CkDJ[Date]=$A$3)*(CkDJ[Sort Code]=(TRIM(G$4)))*(CkDJ[Account Code]=(TRIM($B74))),CkDJ[Debit])))+(SUM(IF((CsDJ[Date]=$A$3)*(CsDJ[Sort Code]=(TRIM(G$4)))*(CsDJ[Account Code]=(TRIM($B74))),CsDJ[Debit])))+(SUM(IF((CRDJ[Date]=$A$3)*(CRDJ[Sort Code]=(TRIM(G$4)))*(CRDJ[Account Code]=(TRIM($B74))),CRDJ[Debit])))+(SUM(IF((GJ[Date]=$A$3)*(GJ[Sort Code]=(TRIM(G$4)))*(GJ[Account Code]=(TRIM($B74))),GJ[Debit]))))-((SUM(IF((CkDJ[Date]=$A$3)*(CkDJ[Sort Code]=(TRIM(G$4)))*(CkDJ[Account Code]=(TRIM($B74))),CkDJ[Credit])))+(SUM(IF((CsDJ[Date]=$A$3)*(CsDJ[Sort Code]=(TRIM(G$4)))*(CsDJ[Account Code]=(TRIM($B74))),CsDJ[Credit])))+(SUM(IF((CRDJ[Date]=$A$3)*(CRDJ[Sort Code]=(TRIM(G$4)))*(CRDJ[Account Code]=(TRIM($B74))),CRDJ[Credit])))+(SUM(IF((GJ[Date]=$A$3)*(GJ[Sort Code]=(TRIM(G$4)))*(GJ[Account Code]=(TRIM($B74))),GJ[Credit]))))</f>
        <v>0</v>
      </c>
      <c r="G74" s="343">
        <f t="shared" si="8"/>
        <v>0</v>
      </c>
      <c r="H74" s="246">
        <f t="shared" si="5"/>
        <v>0</v>
      </c>
      <c r="I74" s="246">
        <f t="shared" si="6"/>
        <v>0</v>
      </c>
    </row>
    <row r="75" spans="1:9">
      <c r="A75" s="243" t="s">
        <v>805</v>
      </c>
      <c r="B75" s="337"/>
      <c r="C75" s="245"/>
      <c r="D75" s="245"/>
      <c r="E75" s="246"/>
      <c r="F75" s="245"/>
      <c r="G75" s="246"/>
      <c r="H75" s="246"/>
      <c r="I75" s="246"/>
    </row>
    <row r="76" spans="1:9">
      <c r="A76" s="239" t="s">
        <v>810</v>
      </c>
      <c r="B76" s="337"/>
      <c r="C76" s="252">
        <f>C77+C139</f>
        <v>8100704.4699999997</v>
      </c>
      <c r="D76" s="252">
        <f>D77+D139</f>
        <v>8100704.4699999997</v>
      </c>
      <c r="E76" s="252">
        <f>E77+E139</f>
        <v>0</v>
      </c>
      <c r="F76" s="252">
        <f>F77+F139</f>
        <v>0</v>
      </c>
      <c r="G76" s="252">
        <f>G77+G139</f>
        <v>0</v>
      </c>
      <c r="H76" s="242">
        <f t="shared" si="5"/>
        <v>-8100704.4699999997</v>
      </c>
      <c r="I76" s="242">
        <f t="shared" si="6"/>
        <v>0</v>
      </c>
    </row>
    <row r="77" spans="1:9">
      <c r="A77" s="253" t="s">
        <v>809</v>
      </c>
      <c r="B77" s="337"/>
      <c r="C77" s="254">
        <f>C78+C138</f>
        <v>5206596.42</v>
      </c>
      <c r="D77" s="254">
        <f>D78+D138</f>
        <v>5206596.42</v>
      </c>
      <c r="E77" s="254">
        <f>E78+E138</f>
        <v>0</v>
      </c>
      <c r="F77" s="254">
        <f>F78+F138</f>
        <v>0</v>
      </c>
      <c r="G77" s="254">
        <f>G78+G138</f>
        <v>0</v>
      </c>
      <c r="H77" s="246">
        <f t="shared" si="5"/>
        <v>-5206596.42</v>
      </c>
      <c r="I77" s="246">
        <f t="shared" si="6"/>
        <v>0</v>
      </c>
    </row>
    <row r="78" spans="1:9">
      <c r="A78" s="255" t="s">
        <v>806</v>
      </c>
      <c r="B78" s="337"/>
      <c r="C78" s="246">
        <f>SUM(C79:C137)</f>
        <v>5206596.42</v>
      </c>
      <c r="D78" s="246">
        <f>SUM(D79:D137)</f>
        <v>5206596.42</v>
      </c>
      <c r="E78" s="246">
        <f>SUM(E79:E137)</f>
        <v>0</v>
      </c>
      <c r="F78" s="246">
        <f>SUM(F79:F137)</f>
        <v>0</v>
      </c>
      <c r="G78" s="246">
        <f>SUM(G79:G137)</f>
        <v>0</v>
      </c>
      <c r="H78" s="246">
        <f t="shared" si="5"/>
        <v>-5206596.42</v>
      </c>
      <c r="I78" s="246">
        <f t="shared" si="6"/>
        <v>0</v>
      </c>
    </row>
    <row r="79" spans="1:9" hidden="1">
      <c r="A79" s="256" t="s">
        <v>284</v>
      </c>
      <c r="B79" s="339" t="s">
        <v>223</v>
      </c>
      <c r="C79" s="245">
        <f t="array" ref="C79">SUM(IF((Budget[Account Code]=B79)*(Budget[Sort Code]=$G$4),(Budget[Amount])))</f>
        <v>100000</v>
      </c>
      <c r="D79" s="245">
        <f t="array" ref="D79">SUM(IF((Budget[Account Code]=B79)*(Budget[Sort Code]=$G$4)*(Budget[Date]&lt;=$D$7),(Budget[Amount])))</f>
        <v>100000</v>
      </c>
      <c r="E79" s="245">
        <f t="array" ref="E79">((SUM(IF((CkDJ[Sort Code]=(TRIM(G$4)))*(CkDJ[Account Code]=(TRIM($B79)))*(CkDJ[Date]&lt;=$E$7),CkDJ[Debit])))+(SUM(IF((CsDJ[Sort Code]=(TRIM(G$4)))*(CsDJ[Account Code]=(TRIM($B79)))*(CsDJ[Date]&lt;=$E$7),CsDJ[Debit])))+(SUM(IF((CRDJ[Sort Code]=(TRIM(G$4)))*(CRDJ[Account Code]=(TRIM($B79)))*(CRDJ[Date]&lt;=$E$7),CRDJ[Debit])))+(SUM(IF((GJ[Sort Code]=(TRIM(G$4)))*(GJ[Account Code]=(TRIM($B79)))*(GJ[Date]&lt;=$E$7),GJ[Debit]))))-((SUM(IF((CkDJ[Sort Code]=(TRIM(G$4)))*(CkDJ[Account Code]=(TRIM($B79)))*(CkDJ[Date]&lt;=$E$7),CkDJ[Credit])))+(SUM(IF((CsDJ[Sort Code]=(TRIM(G$4)))*(CsDJ[Account Code]=(TRIM($B79)))*(CsDJ[Date]&lt;=$E$7),CsDJ[Credit])))+(SUM(IF((CRDJ[Sort Code]=(TRIM(G$4)))*(CRDJ[Account Code]=(TRIM($B79)))*(CRDJ[Date]&lt;=$E$7),CRDJ[Credit])))+(SUM(IF((GJ[Sort Code]=(TRIM(G$4)))*(GJ[Account Code]=(TRIM($B79)))*(GJ[Date]&lt;=$E$7),GJ[Credit]))))</f>
        <v>0</v>
      </c>
      <c r="F79" s="245">
        <f t="array" ref="F79">((SUM(IF((CkDJ[Date]=$A$3)*(CkDJ[Sort Code]=(TRIM(G$4)))*(CkDJ[Account Code]=(TRIM($B79))),CkDJ[Debit])))+(SUM(IF((CsDJ[Date]=$A$3)*(CsDJ[Sort Code]=(TRIM(G$4)))*(CsDJ[Account Code]=(TRIM($B79))),CsDJ[Debit])))+(SUM(IF((CRDJ[Date]=$A$3)*(CRDJ[Sort Code]=(TRIM(G$4)))*(CRDJ[Account Code]=(TRIM($B79))),CRDJ[Debit])))+(SUM(IF((GJ[Date]=$A$3)*(GJ[Sort Code]=(TRIM(G$4)))*(GJ[Account Code]=(TRIM($B79))),GJ[Debit]))))-((SUM(IF((CkDJ[Date]=$A$3)*(CkDJ[Sort Code]=(TRIM(G$4)))*(CkDJ[Account Code]=(TRIM($B79))),CkDJ[Credit])))+(SUM(IF((CsDJ[Date]=$A$3)*(CsDJ[Sort Code]=(TRIM(G$4)))*(CsDJ[Account Code]=(TRIM($B79))),CsDJ[Credit])))+(SUM(IF((CRDJ[Date]=$A$3)*(CRDJ[Sort Code]=(TRIM(G$4)))*(CRDJ[Account Code]=(TRIM($B79))),CRDJ[Credit])))+(SUM(IF((GJ[Date]=$A$3)*(GJ[Sort Code]=(TRIM(G$4)))*(GJ[Account Code]=(TRIM($B79))),GJ[Credit]))))</f>
        <v>0</v>
      </c>
      <c r="G79" s="343">
        <f t="shared" ref="G79:G137" si="9">E79+F79</f>
        <v>0</v>
      </c>
      <c r="H79" s="246">
        <f t="shared" si="5"/>
        <v>-100000</v>
      </c>
      <c r="I79" s="246">
        <f t="shared" si="6"/>
        <v>0</v>
      </c>
    </row>
    <row r="80" spans="1:9" hidden="1">
      <c r="A80" s="256" t="s">
        <v>284</v>
      </c>
      <c r="B80" s="339" t="s">
        <v>1233</v>
      </c>
      <c r="C80" s="245">
        <f t="array" ref="C80">SUM(IF((Budget[Account Code]=B80)*(Budget[Sort Code]=$G$4),(Budget[Amount])))</f>
        <v>0</v>
      </c>
      <c r="D80" s="245">
        <f t="array" ref="D80">SUM(IF((Budget[Account Code]=B80)*(Budget[Sort Code]=$G$4)*(Budget[Date]&lt;=$D$7),(Budget[Amount])))</f>
        <v>0</v>
      </c>
      <c r="E80" s="245">
        <f t="array" ref="E80">((SUM(IF((CkDJ[Sort Code]=(TRIM(G$4)))*(CkDJ[Account Code]=(TRIM($B80)))*(CkDJ[Date]&lt;=$E$7),CkDJ[Debit])))+(SUM(IF((CsDJ[Sort Code]=(TRIM(G$4)))*(CsDJ[Account Code]=(TRIM($B80)))*(CsDJ[Date]&lt;=$E$7),CsDJ[Debit])))+(SUM(IF((CRDJ[Sort Code]=(TRIM(G$4)))*(CRDJ[Account Code]=(TRIM($B80)))*(CRDJ[Date]&lt;=$E$7),CRDJ[Debit])))+(SUM(IF((GJ[Sort Code]=(TRIM(G$4)))*(GJ[Account Code]=(TRIM($B80)))*(GJ[Date]&lt;=$E$7),GJ[Debit]))))-((SUM(IF((CkDJ[Sort Code]=(TRIM(G$4)))*(CkDJ[Account Code]=(TRIM($B80)))*(CkDJ[Date]&lt;=$E$7),CkDJ[Credit])))+(SUM(IF((CsDJ[Sort Code]=(TRIM(G$4)))*(CsDJ[Account Code]=(TRIM($B80)))*(CsDJ[Date]&lt;=$E$7),CsDJ[Credit])))+(SUM(IF((CRDJ[Sort Code]=(TRIM(G$4)))*(CRDJ[Account Code]=(TRIM($B80)))*(CRDJ[Date]&lt;=$E$7),CRDJ[Credit])))+(SUM(IF((GJ[Sort Code]=(TRIM(G$4)))*(GJ[Account Code]=(TRIM($B80)))*(GJ[Date]&lt;=$E$7),GJ[Credit]))))</f>
        <v>0</v>
      </c>
      <c r="F80" s="245">
        <f t="array" ref="F80">((SUM(IF((CkDJ[Date]=$A$3)*(CkDJ[Sort Code]=(TRIM(G$4)))*(CkDJ[Account Code]=(TRIM($B80))),CkDJ[Debit])))+(SUM(IF((CsDJ[Date]=$A$3)*(CsDJ[Sort Code]=(TRIM(G$4)))*(CsDJ[Account Code]=(TRIM($B80))),CsDJ[Debit])))+(SUM(IF((CRDJ[Date]=$A$3)*(CRDJ[Sort Code]=(TRIM(G$4)))*(CRDJ[Account Code]=(TRIM($B80))),CRDJ[Debit])))+(SUM(IF((GJ[Date]=$A$3)*(GJ[Sort Code]=(TRIM(G$4)))*(GJ[Account Code]=(TRIM($B80))),GJ[Debit]))))-((SUM(IF((CkDJ[Date]=$A$3)*(CkDJ[Sort Code]=(TRIM(G$4)))*(CkDJ[Account Code]=(TRIM($B80))),CkDJ[Credit])))+(SUM(IF((CsDJ[Date]=$A$3)*(CsDJ[Sort Code]=(TRIM(G$4)))*(CsDJ[Account Code]=(TRIM($B80))),CsDJ[Credit])))+(SUM(IF((CRDJ[Date]=$A$3)*(CRDJ[Sort Code]=(TRIM(G$4)))*(CRDJ[Account Code]=(TRIM($B80))),CRDJ[Credit])))+(SUM(IF((GJ[Date]=$A$3)*(GJ[Sort Code]=(TRIM(G$4)))*(GJ[Account Code]=(TRIM($B80))),GJ[Credit]))))</f>
        <v>0</v>
      </c>
      <c r="G80" s="343">
        <f>E80+F80</f>
        <v>0</v>
      </c>
      <c r="H80" s="246">
        <f>G80-D80</f>
        <v>0</v>
      </c>
      <c r="I80" s="246">
        <f>IF((D80=0),0,G80/D80)</f>
        <v>0</v>
      </c>
    </row>
    <row r="81" spans="1:9" hidden="1">
      <c r="A81" s="256" t="s">
        <v>285</v>
      </c>
      <c r="B81" s="339" t="s">
        <v>224</v>
      </c>
      <c r="C81" s="245">
        <f t="array" ref="C81">SUM(IF((Budget[Account Code]=B81)*(Budget[Sort Code]=$G$4),(Budget[Amount])))</f>
        <v>150000</v>
      </c>
      <c r="D81" s="245">
        <f t="array" ref="D81">SUM(IF((Budget[Account Code]=B81)*(Budget[Sort Code]=$G$4)*(Budget[Date]&lt;=$D$7),(Budget[Amount])))</f>
        <v>150000</v>
      </c>
      <c r="E81" s="245">
        <f t="array" ref="E81">((SUM(IF((CkDJ[Sort Code]=(TRIM(G$4)))*(CkDJ[Account Code]=(TRIM($B81)))*(CkDJ[Date]&lt;=$E$7),CkDJ[Debit])))+(SUM(IF((CsDJ[Sort Code]=(TRIM(G$4)))*(CsDJ[Account Code]=(TRIM($B81)))*(CsDJ[Date]&lt;=$E$7),CsDJ[Debit])))+(SUM(IF((CRDJ[Sort Code]=(TRIM(G$4)))*(CRDJ[Account Code]=(TRIM($B81)))*(CRDJ[Date]&lt;=$E$7),CRDJ[Debit])))+(SUM(IF((GJ[Sort Code]=(TRIM(G$4)))*(GJ[Account Code]=(TRIM($B81)))*(GJ[Date]&lt;=$E$7),GJ[Debit]))))-((SUM(IF((CkDJ[Sort Code]=(TRIM(G$4)))*(CkDJ[Account Code]=(TRIM($B81)))*(CkDJ[Date]&lt;=$E$7),CkDJ[Credit])))+(SUM(IF((CsDJ[Sort Code]=(TRIM(G$4)))*(CsDJ[Account Code]=(TRIM($B81)))*(CsDJ[Date]&lt;=$E$7),CsDJ[Credit])))+(SUM(IF((CRDJ[Sort Code]=(TRIM(G$4)))*(CRDJ[Account Code]=(TRIM($B81)))*(CRDJ[Date]&lt;=$E$7),CRDJ[Credit])))+(SUM(IF((GJ[Sort Code]=(TRIM(G$4)))*(GJ[Account Code]=(TRIM($B81)))*(GJ[Date]&lt;=$E$7),GJ[Credit]))))</f>
        <v>0</v>
      </c>
      <c r="F81" s="245">
        <f t="array" ref="F81">((SUM(IF((CkDJ[Date]=$A$3)*(CkDJ[Sort Code]=(TRIM(G$4)))*(CkDJ[Account Code]=(TRIM($B81))),CkDJ[Debit])))+(SUM(IF((CsDJ[Date]=$A$3)*(CsDJ[Sort Code]=(TRIM(G$4)))*(CsDJ[Account Code]=(TRIM($B81))),CsDJ[Debit])))+(SUM(IF((CRDJ[Date]=$A$3)*(CRDJ[Sort Code]=(TRIM(G$4)))*(CRDJ[Account Code]=(TRIM($B81))),CRDJ[Debit])))+(SUM(IF((GJ[Date]=$A$3)*(GJ[Sort Code]=(TRIM(G$4)))*(GJ[Account Code]=(TRIM($B81))),GJ[Debit]))))-((SUM(IF((CkDJ[Date]=$A$3)*(CkDJ[Sort Code]=(TRIM(G$4)))*(CkDJ[Account Code]=(TRIM($B81))),CkDJ[Credit])))+(SUM(IF((CsDJ[Date]=$A$3)*(CsDJ[Sort Code]=(TRIM(G$4)))*(CsDJ[Account Code]=(TRIM($B81))),CsDJ[Credit])))+(SUM(IF((CRDJ[Date]=$A$3)*(CRDJ[Sort Code]=(TRIM(G$4)))*(CRDJ[Account Code]=(TRIM($B81))),CRDJ[Credit])))+(SUM(IF((GJ[Date]=$A$3)*(GJ[Sort Code]=(TRIM(G$4)))*(GJ[Account Code]=(TRIM($B81))),GJ[Credit]))))</f>
        <v>0</v>
      </c>
      <c r="G81" s="343">
        <f t="shared" si="9"/>
        <v>0</v>
      </c>
      <c r="H81" s="246">
        <f t="shared" si="5"/>
        <v>-150000</v>
      </c>
      <c r="I81" s="246">
        <f t="shared" si="6"/>
        <v>0</v>
      </c>
    </row>
    <row r="82" spans="1:9" hidden="1">
      <c r="A82" s="256" t="s">
        <v>286</v>
      </c>
      <c r="B82" s="339" t="s">
        <v>225</v>
      </c>
      <c r="C82" s="245">
        <f t="array" ref="C82">SUM(IF((Budget[Account Code]=B82)*(Budget[Sort Code]=$G$4),(Budget[Amount])))</f>
        <v>500000</v>
      </c>
      <c r="D82" s="245">
        <f t="array" ref="D82">SUM(IF((Budget[Account Code]=B82)*(Budget[Sort Code]=$G$4)*(Budget[Date]&lt;=$D$7),(Budget[Amount])))</f>
        <v>500000</v>
      </c>
      <c r="E82" s="245">
        <f t="array" ref="E82">((SUM(IF((CkDJ[Sort Code]=(TRIM(G$4)))*(CkDJ[Account Code]=(TRIM($B82)))*(CkDJ[Date]&lt;=$E$7),CkDJ[Debit])))+(SUM(IF((CsDJ[Sort Code]=(TRIM(G$4)))*(CsDJ[Account Code]=(TRIM($B82)))*(CsDJ[Date]&lt;=$E$7),CsDJ[Debit])))+(SUM(IF((CRDJ[Sort Code]=(TRIM(G$4)))*(CRDJ[Account Code]=(TRIM($B82)))*(CRDJ[Date]&lt;=$E$7),CRDJ[Debit])))+(SUM(IF((GJ[Sort Code]=(TRIM(G$4)))*(GJ[Account Code]=(TRIM($B82)))*(GJ[Date]&lt;=$E$7),GJ[Debit]))))-((SUM(IF((CkDJ[Sort Code]=(TRIM(G$4)))*(CkDJ[Account Code]=(TRIM($B82)))*(CkDJ[Date]&lt;=$E$7),CkDJ[Credit])))+(SUM(IF((CsDJ[Sort Code]=(TRIM(G$4)))*(CsDJ[Account Code]=(TRIM($B82)))*(CsDJ[Date]&lt;=$E$7),CsDJ[Credit])))+(SUM(IF((CRDJ[Sort Code]=(TRIM(G$4)))*(CRDJ[Account Code]=(TRIM($B82)))*(CRDJ[Date]&lt;=$E$7),CRDJ[Credit])))+(SUM(IF((GJ[Sort Code]=(TRIM(G$4)))*(GJ[Account Code]=(TRIM($B82)))*(GJ[Date]&lt;=$E$7),GJ[Credit]))))</f>
        <v>0</v>
      </c>
      <c r="F82" s="245">
        <f t="array" ref="F82">((SUM(IF((CkDJ[Date]=$A$3)*(CkDJ[Sort Code]=(TRIM(G$4)))*(CkDJ[Account Code]=(TRIM($B82))),CkDJ[Debit])))+(SUM(IF((CsDJ[Date]=$A$3)*(CsDJ[Sort Code]=(TRIM(G$4)))*(CsDJ[Account Code]=(TRIM($B82))),CsDJ[Debit])))+(SUM(IF((CRDJ[Date]=$A$3)*(CRDJ[Sort Code]=(TRIM(G$4)))*(CRDJ[Account Code]=(TRIM($B82))),CRDJ[Debit])))+(SUM(IF((GJ[Date]=$A$3)*(GJ[Sort Code]=(TRIM(G$4)))*(GJ[Account Code]=(TRIM($B82))),GJ[Debit]))))-((SUM(IF((CkDJ[Date]=$A$3)*(CkDJ[Sort Code]=(TRIM(G$4)))*(CkDJ[Account Code]=(TRIM($B82))),CkDJ[Credit])))+(SUM(IF((CsDJ[Date]=$A$3)*(CsDJ[Sort Code]=(TRIM(G$4)))*(CsDJ[Account Code]=(TRIM($B82))),CsDJ[Credit])))+(SUM(IF((CRDJ[Date]=$A$3)*(CRDJ[Sort Code]=(TRIM(G$4)))*(CRDJ[Account Code]=(TRIM($B82))),CRDJ[Credit])))+(SUM(IF((GJ[Date]=$A$3)*(GJ[Sort Code]=(TRIM(G$4)))*(GJ[Account Code]=(TRIM($B82))),GJ[Credit]))))</f>
        <v>0</v>
      </c>
      <c r="G82" s="343">
        <f t="shared" si="9"/>
        <v>0</v>
      </c>
      <c r="H82" s="246">
        <f t="shared" si="5"/>
        <v>-500000</v>
      </c>
      <c r="I82" s="246">
        <f t="shared" si="6"/>
        <v>0</v>
      </c>
    </row>
    <row r="83" spans="1:9" hidden="1">
      <c r="A83" s="256" t="s">
        <v>287</v>
      </c>
      <c r="B83" s="339" t="s">
        <v>226</v>
      </c>
      <c r="C83" s="245">
        <f t="array" ref="C83">SUM(IF((Budget[Account Code]=B83)*(Budget[Sort Code]=$G$4),(Budget[Amount])))</f>
        <v>0</v>
      </c>
      <c r="D83" s="245">
        <f t="array" ref="D83">SUM(IF((Budget[Account Code]=B83)*(Budget[Sort Code]=$G$4)*(Budget[Date]&lt;=$D$7),(Budget[Amount])))</f>
        <v>0</v>
      </c>
      <c r="E83" s="245">
        <f t="array" ref="E83">((SUM(IF((CkDJ[Sort Code]=(TRIM(G$4)))*(CkDJ[Account Code]=(TRIM($B83)))*(CkDJ[Date]&lt;=$E$7),CkDJ[Debit])))+(SUM(IF((CsDJ[Sort Code]=(TRIM(G$4)))*(CsDJ[Account Code]=(TRIM($B83)))*(CsDJ[Date]&lt;=$E$7),CsDJ[Debit])))+(SUM(IF((CRDJ[Sort Code]=(TRIM(G$4)))*(CRDJ[Account Code]=(TRIM($B83)))*(CRDJ[Date]&lt;=$E$7),CRDJ[Debit])))+(SUM(IF((GJ[Sort Code]=(TRIM(G$4)))*(GJ[Account Code]=(TRIM($B83)))*(GJ[Date]&lt;=$E$7),GJ[Debit]))))-((SUM(IF((CkDJ[Sort Code]=(TRIM(G$4)))*(CkDJ[Account Code]=(TRIM($B83)))*(CkDJ[Date]&lt;=$E$7),CkDJ[Credit])))+(SUM(IF((CsDJ[Sort Code]=(TRIM(G$4)))*(CsDJ[Account Code]=(TRIM($B83)))*(CsDJ[Date]&lt;=$E$7),CsDJ[Credit])))+(SUM(IF((CRDJ[Sort Code]=(TRIM(G$4)))*(CRDJ[Account Code]=(TRIM($B83)))*(CRDJ[Date]&lt;=$E$7),CRDJ[Credit])))+(SUM(IF((GJ[Sort Code]=(TRIM(G$4)))*(GJ[Account Code]=(TRIM($B83)))*(GJ[Date]&lt;=$E$7),GJ[Credit]))))</f>
        <v>0</v>
      </c>
      <c r="F83" s="245">
        <f t="array" ref="F83">((SUM(IF((CkDJ[Date]=$A$3)*(CkDJ[Sort Code]=(TRIM(G$4)))*(CkDJ[Account Code]=(TRIM($B83))),CkDJ[Debit])))+(SUM(IF((CsDJ[Date]=$A$3)*(CsDJ[Sort Code]=(TRIM(G$4)))*(CsDJ[Account Code]=(TRIM($B83))),CsDJ[Debit])))+(SUM(IF((CRDJ[Date]=$A$3)*(CRDJ[Sort Code]=(TRIM(G$4)))*(CRDJ[Account Code]=(TRIM($B83))),CRDJ[Debit])))+(SUM(IF((GJ[Date]=$A$3)*(GJ[Sort Code]=(TRIM(G$4)))*(GJ[Account Code]=(TRIM($B83))),GJ[Debit]))))-((SUM(IF((CkDJ[Date]=$A$3)*(CkDJ[Sort Code]=(TRIM(G$4)))*(CkDJ[Account Code]=(TRIM($B83))),CkDJ[Credit])))+(SUM(IF((CsDJ[Date]=$A$3)*(CsDJ[Sort Code]=(TRIM(G$4)))*(CsDJ[Account Code]=(TRIM($B83))),CsDJ[Credit])))+(SUM(IF((CRDJ[Date]=$A$3)*(CRDJ[Sort Code]=(TRIM(G$4)))*(CRDJ[Account Code]=(TRIM($B83))),CRDJ[Credit])))+(SUM(IF((GJ[Date]=$A$3)*(GJ[Sort Code]=(TRIM(G$4)))*(GJ[Account Code]=(TRIM($B83))),GJ[Credit]))))</f>
        <v>0</v>
      </c>
      <c r="G83" s="343">
        <f t="shared" si="9"/>
        <v>0</v>
      </c>
      <c r="H83" s="246">
        <f t="shared" si="5"/>
        <v>0</v>
      </c>
      <c r="I83" s="246">
        <f t="shared" si="6"/>
        <v>0</v>
      </c>
    </row>
    <row r="84" spans="1:9" hidden="1">
      <c r="A84" s="256" t="s">
        <v>1017</v>
      </c>
      <c r="B84" s="339" t="s">
        <v>227</v>
      </c>
      <c r="C84" s="245">
        <f t="array" ref="C84">SUM(IF((Budget[Account Code]=B84)*(Budget[Sort Code]=$G$4),(Budget[Amount])))</f>
        <v>0</v>
      </c>
      <c r="D84" s="245">
        <f t="array" ref="D84">SUM(IF((Budget[Account Code]=B84)*(Budget[Sort Code]=$G$4)*(Budget[Date]&lt;=$D$7),(Budget[Amount])))</f>
        <v>0</v>
      </c>
      <c r="E84" s="245">
        <f t="array" ref="E84">((SUM(IF((CkDJ[Sort Code]=(TRIM(G$4)))*(CkDJ[Account Code]=(TRIM($B84)))*(CkDJ[Date]&lt;=$E$7),CkDJ[Debit])))+(SUM(IF((CsDJ[Sort Code]=(TRIM(G$4)))*(CsDJ[Account Code]=(TRIM($B84)))*(CsDJ[Date]&lt;=$E$7),CsDJ[Debit])))+(SUM(IF((CRDJ[Sort Code]=(TRIM(G$4)))*(CRDJ[Account Code]=(TRIM($B84)))*(CRDJ[Date]&lt;=$E$7),CRDJ[Debit])))+(SUM(IF((GJ[Sort Code]=(TRIM(G$4)))*(GJ[Account Code]=(TRIM($B84)))*(GJ[Date]&lt;=$E$7),GJ[Debit]))))-((SUM(IF((CkDJ[Sort Code]=(TRIM(G$4)))*(CkDJ[Account Code]=(TRIM($B84)))*(CkDJ[Date]&lt;=$E$7),CkDJ[Credit])))+(SUM(IF((CsDJ[Sort Code]=(TRIM(G$4)))*(CsDJ[Account Code]=(TRIM($B84)))*(CsDJ[Date]&lt;=$E$7),CsDJ[Credit])))+(SUM(IF((CRDJ[Sort Code]=(TRIM(G$4)))*(CRDJ[Account Code]=(TRIM($B84)))*(CRDJ[Date]&lt;=$E$7),CRDJ[Credit])))+(SUM(IF((GJ[Sort Code]=(TRIM(G$4)))*(GJ[Account Code]=(TRIM($B84)))*(GJ[Date]&lt;=$E$7),GJ[Credit]))))</f>
        <v>0</v>
      </c>
      <c r="F84" s="245">
        <f t="array" ref="F84">((SUM(IF((CkDJ[Date]=$A$3)*(CkDJ[Sort Code]=(TRIM(G$4)))*(CkDJ[Account Code]=(TRIM($B84))),CkDJ[Debit])))+(SUM(IF((CsDJ[Date]=$A$3)*(CsDJ[Sort Code]=(TRIM(G$4)))*(CsDJ[Account Code]=(TRIM($B84))),CsDJ[Debit])))+(SUM(IF((CRDJ[Date]=$A$3)*(CRDJ[Sort Code]=(TRIM(G$4)))*(CRDJ[Account Code]=(TRIM($B84))),CRDJ[Debit])))+(SUM(IF((GJ[Date]=$A$3)*(GJ[Sort Code]=(TRIM(G$4)))*(GJ[Account Code]=(TRIM($B84))),GJ[Debit]))))-((SUM(IF((CkDJ[Date]=$A$3)*(CkDJ[Sort Code]=(TRIM(G$4)))*(CkDJ[Account Code]=(TRIM($B84))),CkDJ[Credit])))+(SUM(IF((CsDJ[Date]=$A$3)*(CsDJ[Sort Code]=(TRIM(G$4)))*(CsDJ[Account Code]=(TRIM($B84))),CsDJ[Credit])))+(SUM(IF((CRDJ[Date]=$A$3)*(CRDJ[Sort Code]=(TRIM(G$4)))*(CRDJ[Account Code]=(TRIM($B84))),CRDJ[Credit])))+(SUM(IF((GJ[Date]=$A$3)*(GJ[Sort Code]=(TRIM(G$4)))*(GJ[Account Code]=(TRIM($B84))),GJ[Credit]))))</f>
        <v>0</v>
      </c>
      <c r="G84" s="343">
        <f t="shared" si="9"/>
        <v>0</v>
      </c>
      <c r="H84" s="246">
        <f t="shared" si="5"/>
        <v>0</v>
      </c>
      <c r="I84" s="246">
        <f t="shared" si="6"/>
        <v>0</v>
      </c>
    </row>
    <row r="85" spans="1:9" hidden="1">
      <c r="A85" s="256" t="s">
        <v>1018</v>
      </c>
      <c r="B85" s="339" t="s">
        <v>228</v>
      </c>
      <c r="C85" s="245">
        <f t="array" ref="C85">SUM(IF((Budget[Account Code]=B85)*(Budget[Sort Code]=$G$4),(Budget[Amount])))</f>
        <v>0</v>
      </c>
      <c r="D85" s="245">
        <f t="array" ref="D85">SUM(IF((Budget[Account Code]=B85)*(Budget[Sort Code]=$G$4)*(Budget[Date]&lt;=$D$7),(Budget[Amount])))</f>
        <v>0</v>
      </c>
      <c r="E85" s="245">
        <f t="array" ref="E85">((SUM(IF((CkDJ[Sort Code]=(TRIM(G$4)))*(CkDJ[Account Code]=(TRIM($B85)))*(CkDJ[Date]&lt;=$E$7),CkDJ[Debit])))+(SUM(IF((CsDJ[Sort Code]=(TRIM(G$4)))*(CsDJ[Account Code]=(TRIM($B85)))*(CsDJ[Date]&lt;=$E$7),CsDJ[Debit])))+(SUM(IF((CRDJ[Sort Code]=(TRIM(G$4)))*(CRDJ[Account Code]=(TRIM($B85)))*(CRDJ[Date]&lt;=$E$7),CRDJ[Debit])))+(SUM(IF((GJ[Sort Code]=(TRIM(G$4)))*(GJ[Account Code]=(TRIM($B85)))*(GJ[Date]&lt;=$E$7),GJ[Debit]))))-((SUM(IF((CkDJ[Sort Code]=(TRIM(G$4)))*(CkDJ[Account Code]=(TRIM($B85)))*(CkDJ[Date]&lt;=$E$7),CkDJ[Credit])))+(SUM(IF((CsDJ[Sort Code]=(TRIM(G$4)))*(CsDJ[Account Code]=(TRIM($B85)))*(CsDJ[Date]&lt;=$E$7),CsDJ[Credit])))+(SUM(IF((CRDJ[Sort Code]=(TRIM(G$4)))*(CRDJ[Account Code]=(TRIM($B85)))*(CRDJ[Date]&lt;=$E$7),CRDJ[Credit])))+(SUM(IF((GJ[Sort Code]=(TRIM(G$4)))*(GJ[Account Code]=(TRIM($B85)))*(GJ[Date]&lt;=$E$7),GJ[Credit]))))</f>
        <v>0</v>
      </c>
      <c r="F85" s="245">
        <f t="array" ref="F85">((SUM(IF((CkDJ[Date]=$A$3)*(CkDJ[Sort Code]=(TRIM(G$4)))*(CkDJ[Account Code]=(TRIM($B85))),CkDJ[Debit])))+(SUM(IF((CsDJ[Date]=$A$3)*(CsDJ[Sort Code]=(TRIM(G$4)))*(CsDJ[Account Code]=(TRIM($B85))),CsDJ[Debit])))+(SUM(IF((CRDJ[Date]=$A$3)*(CRDJ[Sort Code]=(TRIM(G$4)))*(CRDJ[Account Code]=(TRIM($B85))),CRDJ[Debit])))+(SUM(IF((GJ[Date]=$A$3)*(GJ[Sort Code]=(TRIM(G$4)))*(GJ[Account Code]=(TRIM($B85))),GJ[Debit]))))-((SUM(IF((CkDJ[Date]=$A$3)*(CkDJ[Sort Code]=(TRIM(G$4)))*(CkDJ[Account Code]=(TRIM($B85))),CkDJ[Credit])))+(SUM(IF((CsDJ[Date]=$A$3)*(CsDJ[Sort Code]=(TRIM(G$4)))*(CsDJ[Account Code]=(TRIM($B85))),CsDJ[Credit])))+(SUM(IF((CRDJ[Date]=$A$3)*(CRDJ[Sort Code]=(TRIM(G$4)))*(CRDJ[Account Code]=(TRIM($B85))),CRDJ[Credit])))+(SUM(IF((GJ[Date]=$A$3)*(GJ[Sort Code]=(TRIM(G$4)))*(GJ[Account Code]=(TRIM($B85))),GJ[Credit]))))</f>
        <v>0</v>
      </c>
      <c r="G85" s="343">
        <f t="shared" si="9"/>
        <v>0</v>
      </c>
      <c r="H85" s="246">
        <f t="shared" si="5"/>
        <v>0</v>
      </c>
      <c r="I85" s="246">
        <f t="shared" si="6"/>
        <v>0</v>
      </c>
    </row>
    <row r="86" spans="1:9" hidden="1">
      <c r="A86" s="256" t="s">
        <v>289</v>
      </c>
      <c r="B86" s="339" t="s">
        <v>229</v>
      </c>
      <c r="C86" s="245">
        <f t="array" ref="C86">SUM(IF((Budget[Account Code]=B86)*(Budget[Sort Code]=$G$4),(Budget[Amount])))</f>
        <v>1000000</v>
      </c>
      <c r="D86" s="245">
        <f t="array" ref="D86">SUM(IF((Budget[Account Code]=B86)*(Budget[Sort Code]=$G$4)*(Budget[Date]&lt;=$D$7),(Budget[Amount])))</f>
        <v>1000000</v>
      </c>
      <c r="E86" s="245">
        <f t="array" ref="E86">((SUM(IF((CkDJ[Sort Code]=(TRIM(G$4)))*(CkDJ[Account Code]=(TRIM($B86)))*(CkDJ[Date]&lt;=$E$7),CkDJ[Debit])))+(SUM(IF((CsDJ[Sort Code]=(TRIM(G$4)))*(CsDJ[Account Code]=(TRIM($B86)))*(CsDJ[Date]&lt;=$E$7),CsDJ[Debit])))+(SUM(IF((CRDJ[Sort Code]=(TRIM(G$4)))*(CRDJ[Account Code]=(TRIM($B86)))*(CRDJ[Date]&lt;=$E$7),CRDJ[Debit])))+(SUM(IF((GJ[Sort Code]=(TRIM(G$4)))*(GJ[Account Code]=(TRIM($B86)))*(GJ[Date]&lt;=$E$7),GJ[Debit]))))-((SUM(IF((CkDJ[Sort Code]=(TRIM(G$4)))*(CkDJ[Account Code]=(TRIM($B86)))*(CkDJ[Date]&lt;=$E$7),CkDJ[Credit])))+(SUM(IF((CsDJ[Sort Code]=(TRIM(G$4)))*(CsDJ[Account Code]=(TRIM($B86)))*(CsDJ[Date]&lt;=$E$7),CsDJ[Credit])))+(SUM(IF((CRDJ[Sort Code]=(TRIM(G$4)))*(CRDJ[Account Code]=(TRIM($B86)))*(CRDJ[Date]&lt;=$E$7),CRDJ[Credit])))+(SUM(IF((GJ[Sort Code]=(TRIM(G$4)))*(GJ[Account Code]=(TRIM($B86)))*(GJ[Date]&lt;=$E$7),GJ[Credit]))))</f>
        <v>0</v>
      </c>
      <c r="F86" s="245">
        <f t="array" ref="F86">((SUM(IF((CkDJ[Date]=$A$3)*(CkDJ[Sort Code]=(TRIM(G$4)))*(CkDJ[Account Code]=(TRIM($B86))),CkDJ[Debit])))+(SUM(IF((CsDJ[Date]=$A$3)*(CsDJ[Sort Code]=(TRIM(G$4)))*(CsDJ[Account Code]=(TRIM($B86))),CsDJ[Debit])))+(SUM(IF((CRDJ[Date]=$A$3)*(CRDJ[Sort Code]=(TRIM(G$4)))*(CRDJ[Account Code]=(TRIM($B86))),CRDJ[Debit])))+(SUM(IF((GJ[Date]=$A$3)*(GJ[Sort Code]=(TRIM(G$4)))*(GJ[Account Code]=(TRIM($B86))),GJ[Debit]))))-((SUM(IF((CkDJ[Date]=$A$3)*(CkDJ[Sort Code]=(TRIM(G$4)))*(CkDJ[Account Code]=(TRIM($B86))),CkDJ[Credit])))+(SUM(IF((CsDJ[Date]=$A$3)*(CsDJ[Sort Code]=(TRIM(G$4)))*(CsDJ[Account Code]=(TRIM($B86))),CsDJ[Credit])))+(SUM(IF((CRDJ[Date]=$A$3)*(CRDJ[Sort Code]=(TRIM(G$4)))*(CRDJ[Account Code]=(TRIM($B86))),CRDJ[Credit])))+(SUM(IF((GJ[Date]=$A$3)*(GJ[Sort Code]=(TRIM(G$4)))*(GJ[Account Code]=(TRIM($B86))),GJ[Credit]))))</f>
        <v>0</v>
      </c>
      <c r="G86" s="343">
        <f t="shared" si="9"/>
        <v>0</v>
      </c>
      <c r="H86" s="246">
        <f t="shared" si="5"/>
        <v>-1000000</v>
      </c>
      <c r="I86" s="246">
        <f t="shared" si="6"/>
        <v>0</v>
      </c>
    </row>
    <row r="87" spans="1:9" hidden="1">
      <c r="A87" s="256" t="s">
        <v>290</v>
      </c>
      <c r="B87" s="339" t="s">
        <v>230</v>
      </c>
      <c r="C87" s="245">
        <f t="array" ref="C87">SUM(IF((Budget[Account Code]=B87)*(Budget[Sort Code]=$G$4),(Budget[Amount])))</f>
        <v>0</v>
      </c>
      <c r="D87" s="245">
        <f t="array" ref="D87">SUM(IF((Budget[Account Code]=B87)*(Budget[Sort Code]=$G$4)*(Budget[Date]&lt;=$D$7),(Budget[Amount])))</f>
        <v>0</v>
      </c>
      <c r="E87" s="245">
        <f t="array" ref="E87">((SUM(IF((CkDJ[Sort Code]=(TRIM(G$4)))*(CkDJ[Account Code]=(TRIM($B87)))*(CkDJ[Date]&lt;=$E$7),CkDJ[Debit])))+(SUM(IF((CsDJ[Sort Code]=(TRIM(G$4)))*(CsDJ[Account Code]=(TRIM($B87)))*(CsDJ[Date]&lt;=$E$7),CsDJ[Debit])))+(SUM(IF((CRDJ[Sort Code]=(TRIM(G$4)))*(CRDJ[Account Code]=(TRIM($B87)))*(CRDJ[Date]&lt;=$E$7),CRDJ[Debit])))+(SUM(IF((GJ[Sort Code]=(TRIM(G$4)))*(GJ[Account Code]=(TRIM($B87)))*(GJ[Date]&lt;=$E$7),GJ[Debit]))))-((SUM(IF((CkDJ[Sort Code]=(TRIM(G$4)))*(CkDJ[Account Code]=(TRIM($B87)))*(CkDJ[Date]&lt;=$E$7),CkDJ[Credit])))+(SUM(IF((CsDJ[Sort Code]=(TRIM(G$4)))*(CsDJ[Account Code]=(TRIM($B87)))*(CsDJ[Date]&lt;=$E$7),CsDJ[Credit])))+(SUM(IF((CRDJ[Sort Code]=(TRIM(G$4)))*(CRDJ[Account Code]=(TRIM($B87)))*(CRDJ[Date]&lt;=$E$7),CRDJ[Credit])))+(SUM(IF((GJ[Sort Code]=(TRIM(G$4)))*(GJ[Account Code]=(TRIM($B87)))*(GJ[Date]&lt;=$E$7),GJ[Credit]))))</f>
        <v>0</v>
      </c>
      <c r="F87" s="245">
        <f t="array" ref="F87">((SUM(IF((CkDJ[Date]=$A$3)*(CkDJ[Sort Code]=(TRIM(G$4)))*(CkDJ[Account Code]=(TRIM($B87))),CkDJ[Debit])))+(SUM(IF((CsDJ[Date]=$A$3)*(CsDJ[Sort Code]=(TRIM(G$4)))*(CsDJ[Account Code]=(TRIM($B87))),CsDJ[Debit])))+(SUM(IF((CRDJ[Date]=$A$3)*(CRDJ[Sort Code]=(TRIM(G$4)))*(CRDJ[Account Code]=(TRIM($B87))),CRDJ[Debit])))+(SUM(IF((GJ[Date]=$A$3)*(GJ[Sort Code]=(TRIM(G$4)))*(GJ[Account Code]=(TRIM($B87))),GJ[Debit]))))-((SUM(IF((CkDJ[Date]=$A$3)*(CkDJ[Sort Code]=(TRIM(G$4)))*(CkDJ[Account Code]=(TRIM($B87))),CkDJ[Credit])))+(SUM(IF((CsDJ[Date]=$A$3)*(CsDJ[Sort Code]=(TRIM(G$4)))*(CsDJ[Account Code]=(TRIM($B87))),CsDJ[Credit])))+(SUM(IF((CRDJ[Date]=$A$3)*(CRDJ[Sort Code]=(TRIM(G$4)))*(CRDJ[Account Code]=(TRIM($B87))),CRDJ[Credit])))+(SUM(IF((GJ[Date]=$A$3)*(GJ[Sort Code]=(TRIM(G$4)))*(GJ[Account Code]=(TRIM($B87))),GJ[Credit]))))</f>
        <v>0</v>
      </c>
      <c r="G87" s="343">
        <f t="shared" si="9"/>
        <v>0</v>
      </c>
      <c r="H87" s="246">
        <f t="shared" si="5"/>
        <v>0</v>
      </c>
      <c r="I87" s="246">
        <f t="shared" si="6"/>
        <v>0</v>
      </c>
    </row>
    <row r="88" spans="1:9" hidden="1">
      <c r="A88" s="256" t="s">
        <v>291</v>
      </c>
      <c r="B88" s="339" t="s">
        <v>231</v>
      </c>
      <c r="C88" s="245">
        <f t="array" ref="C88">SUM(IF((Budget[Account Code]=B88)*(Budget[Sort Code]=$G$4),(Budget[Amount])))</f>
        <v>125000</v>
      </c>
      <c r="D88" s="245">
        <f t="array" ref="D88">SUM(IF((Budget[Account Code]=B88)*(Budget[Sort Code]=$G$4)*(Budget[Date]&lt;=$D$7),(Budget[Amount])))</f>
        <v>125000</v>
      </c>
      <c r="E88" s="245">
        <f t="array" ref="E88">((SUM(IF((CkDJ[Sort Code]=(TRIM(G$4)))*(CkDJ[Account Code]=(TRIM($B88)))*(CkDJ[Date]&lt;=$E$7),CkDJ[Debit])))+(SUM(IF((CsDJ[Sort Code]=(TRIM(G$4)))*(CsDJ[Account Code]=(TRIM($B88)))*(CsDJ[Date]&lt;=$E$7),CsDJ[Debit])))+(SUM(IF((CRDJ[Sort Code]=(TRIM(G$4)))*(CRDJ[Account Code]=(TRIM($B88)))*(CRDJ[Date]&lt;=$E$7),CRDJ[Debit])))+(SUM(IF((GJ[Sort Code]=(TRIM(G$4)))*(GJ[Account Code]=(TRIM($B88)))*(GJ[Date]&lt;=$E$7),GJ[Debit]))))-((SUM(IF((CkDJ[Sort Code]=(TRIM(G$4)))*(CkDJ[Account Code]=(TRIM($B88)))*(CkDJ[Date]&lt;=$E$7),CkDJ[Credit])))+(SUM(IF((CsDJ[Sort Code]=(TRIM(G$4)))*(CsDJ[Account Code]=(TRIM($B88)))*(CsDJ[Date]&lt;=$E$7),CsDJ[Credit])))+(SUM(IF((CRDJ[Sort Code]=(TRIM(G$4)))*(CRDJ[Account Code]=(TRIM($B88)))*(CRDJ[Date]&lt;=$E$7),CRDJ[Credit])))+(SUM(IF((GJ[Sort Code]=(TRIM(G$4)))*(GJ[Account Code]=(TRIM($B88)))*(GJ[Date]&lt;=$E$7),GJ[Credit]))))</f>
        <v>0</v>
      </c>
      <c r="F88" s="245">
        <f t="array" ref="F88">((SUM(IF((CkDJ[Date]=$A$3)*(CkDJ[Sort Code]=(TRIM(G$4)))*(CkDJ[Account Code]=(TRIM($B88))),CkDJ[Debit])))+(SUM(IF((CsDJ[Date]=$A$3)*(CsDJ[Sort Code]=(TRIM(G$4)))*(CsDJ[Account Code]=(TRIM($B88))),CsDJ[Debit])))+(SUM(IF((CRDJ[Date]=$A$3)*(CRDJ[Sort Code]=(TRIM(G$4)))*(CRDJ[Account Code]=(TRIM($B88))),CRDJ[Debit])))+(SUM(IF((GJ[Date]=$A$3)*(GJ[Sort Code]=(TRIM(G$4)))*(GJ[Account Code]=(TRIM($B88))),GJ[Debit]))))-((SUM(IF((CkDJ[Date]=$A$3)*(CkDJ[Sort Code]=(TRIM(G$4)))*(CkDJ[Account Code]=(TRIM($B88))),CkDJ[Credit])))+(SUM(IF((CsDJ[Date]=$A$3)*(CsDJ[Sort Code]=(TRIM(G$4)))*(CsDJ[Account Code]=(TRIM($B88))),CsDJ[Credit])))+(SUM(IF((CRDJ[Date]=$A$3)*(CRDJ[Sort Code]=(TRIM(G$4)))*(CRDJ[Account Code]=(TRIM($B88))),CRDJ[Credit])))+(SUM(IF((GJ[Date]=$A$3)*(GJ[Sort Code]=(TRIM(G$4)))*(GJ[Account Code]=(TRIM($B88))),GJ[Credit]))))</f>
        <v>0</v>
      </c>
      <c r="G88" s="343">
        <f t="shared" si="9"/>
        <v>0</v>
      </c>
      <c r="H88" s="246">
        <f t="shared" si="5"/>
        <v>-125000</v>
      </c>
      <c r="I88" s="246">
        <f t="shared" si="6"/>
        <v>0</v>
      </c>
    </row>
    <row r="89" spans="1:9" hidden="1">
      <c r="A89" s="256" t="s">
        <v>292</v>
      </c>
      <c r="B89" s="339" t="s">
        <v>232</v>
      </c>
      <c r="C89" s="245">
        <f t="array" ref="C89">SUM(IF((Budget[Account Code]=B89)*(Budget[Sort Code]=$G$4),(Budget[Amount])))</f>
        <v>67200</v>
      </c>
      <c r="D89" s="245">
        <f t="array" ref="D89">SUM(IF((Budget[Account Code]=B89)*(Budget[Sort Code]=$G$4)*(Budget[Date]&lt;=$D$7),(Budget[Amount])))</f>
        <v>67200</v>
      </c>
      <c r="E89" s="245">
        <f t="array" ref="E89">((SUM(IF((CkDJ[Sort Code]=(TRIM(G$4)))*(CkDJ[Account Code]=(TRIM($B89)))*(CkDJ[Date]&lt;=$E$7),CkDJ[Debit])))+(SUM(IF((CsDJ[Sort Code]=(TRIM(G$4)))*(CsDJ[Account Code]=(TRIM($B89)))*(CsDJ[Date]&lt;=$E$7),CsDJ[Debit])))+(SUM(IF((CRDJ[Sort Code]=(TRIM(G$4)))*(CRDJ[Account Code]=(TRIM($B89)))*(CRDJ[Date]&lt;=$E$7),CRDJ[Debit])))+(SUM(IF((GJ[Sort Code]=(TRIM(G$4)))*(GJ[Account Code]=(TRIM($B89)))*(GJ[Date]&lt;=$E$7),GJ[Debit]))))-((SUM(IF((CkDJ[Sort Code]=(TRIM(G$4)))*(CkDJ[Account Code]=(TRIM($B89)))*(CkDJ[Date]&lt;=$E$7),CkDJ[Credit])))+(SUM(IF((CsDJ[Sort Code]=(TRIM(G$4)))*(CsDJ[Account Code]=(TRIM($B89)))*(CsDJ[Date]&lt;=$E$7),CsDJ[Credit])))+(SUM(IF((CRDJ[Sort Code]=(TRIM(G$4)))*(CRDJ[Account Code]=(TRIM($B89)))*(CRDJ[Date]&lt;=$E$7),CRDJ[Credit])))+(SUM(IF((GJ[Sort Code]=(TRIM(G$4)))*(GJ[Account Code]=(TRIM($B89)))*(GJ[Date]&lt;=$E$7),GJ[Credit]))))</f>
        <v>0</v>
      </c>
      <c r="F89" s="245">
        <f t="array" ref="F89">((SUM(IF((CkDJ[Date]=$A$3)*(CkDJ[Sort Code]=(TRIM(G$4)))*(CkDJ[Account Code]=(TRIM($B89))),CkDJ[Debit])))+(SUM(IF((CsDJ[Date]=$A$3)*(CsDJ[Sort Code]=(TRIM(G$4)))*(CsDJ[Account Code]=(TRIM($B89))),CsDJ[Debit])))+(SUM(IF((CRDJ[Date]=$A$3)*(CRDJ[Sort Code]=(TRIM(G$4)))*(CRDJ[Account Code]=(TRIM($B89))),CRDJ[Debit])))+(SUM(IF((GJ[Date]=$A$3)*(GJ[Sort Code]=(TRIM(G$4)))*(GJ[Account Code]=(TRIM($B89))),GJ[Debit]))))-((SUM(IF((CkDJ[Date]=$A$3)*(CkDJ[Sort Code]=(TRIM(G$4)))*(CkDJ[Account Code]=(TRIM($B89))),CkDJ[Credit])))+(SUM(IF((CsDJ[Date]=$A$3)*(CsDJ[Sort Code]=(TRIM(G$4)))*(CsDJ[Account Code]=(TRIM($B89))),CsDJ[Credit])))+(SUM(IF((CRDJ[Date]=$A$3)*(CRDJ[Sort Code]=(TRIM(G$4)))*(CRDJ[Account Code]=(TRIM($B89))),CRDJ[Credit])))+(SUM(IF((GJ[Date]=$A$3)*(GJ[Sort Code]=(TRIM(G$4)))*(GJ[Account Code]=(TRIM($B89))),GJ[Credit]))))</f>
        <v>0</v>
      </c>
      <c r="G89" s="343">
        <f t="shared" si="9"/>
        <v>0</v>
      </c>
      <c r="H89" s="246">
        <f t="shared" si="5"/>
        <v>-67200</v>
      </c>
      <c r="I89" s="246">
        <f t="shared" si="6"/>
        <v>0</v>
      </c>
    </row>
    <row r="90" spans="1:9" hidden="1">
      <c r="A90" s="256" t="s">
        <v>293</v>
      </c>
      <c r="B90" s="339" t="s">
        <v>233</v>
      </c>
      <c r="C90" s="245">
        <f t="array" ref="C90">SUM(IF((Budget[Account Code]=B90)*(Budget[Sort Code]=$G$4),(Budget[Amount])))</f>
        <v>828000</v>
      </c>
      <c r="D90" s="245">
        <f t="array" ref="D90">SUM(IF((Budget[Account Code]=B90)*(Budget[Sort Code]=$G$4)*(Budget[Date]&lt;=$D$7),(Budget[Amount])))</f>
        <v>828000</v>
      </c>
      <c r="E90" s="245">
        <f t="array" ref="E90">((SUM(IF((CkDJ[Sort Code]=(TRIM(G$4)))*(CkDJ[Account Code]=(TRIM($B90)))*(CkDJ[Date]&lt;=$E$7),CkDJ[Debit])))+(SUM(IF((CsDJ[Sort Code]=(TRIM(G$4)))*(CsDJ[Account Code]=(TRIM($B90)))*(CsDJ[Date]&lt;=$E$7),CsDJ[Debit])))+(SUM(IF((CRDJ[Sort Code]=(TRIM(G$4)))*(CRDJ[Account Code]=(TRIM($B90)))*(CRDJ[Date]&lt;=$E$7),CRDJ[Debit])))+(SUM(IF((GJ[Sort Code]=(TRIM(G$4)))*(GJ[Account Code]=(TRIM($B90)))*(GJ[Date]&lt;=$E$7),GJ[Debit]))))-((SUM(IF((CkDJ[Sort Code]=(TRIM(G$4)))*(CkDJ[Account Code]=(TRIM($B90)))*(CkDJ[Date]&lt;=$E$7),CkDJ[Credit])))+(SUM(IF((CsDJ[Sort Code]=(TRIM(G$4)))*(CsDJ[Account Code]=(TRIM($B90)))*(CsDJ[Date]&lt;=$E$7),CsDJ[Credit])))+(SUM(IF((CRDJ[Sort Code]=(TRIM(G$4)))*(CRDJ[Account Code]=(TRIM($B90)))*(CRDJ[Date]&lt;=$E$7),CRDJ[Credit])))+(SUM(IF((GJ[Sort Code]=(TRIM(G$4)))*(GJ[Account Code]=(TRIM($B90)))*(GJ[Date]&lt;=$E$7),GJ[Credit]))))</f>
        <v>0</v>
      </c>
      <c r="F90" s="245">
        <f t="array" ref="F90">((SUM(IF((CkDJ[Date]=$A$3)*(CkDJ[Sort Code]=(TRIM(G$4)))*(CkDJ[Account Code]=(TRIM($B90))),CkDJ[Debit])))+(SUM(IF((CsDJ[Date]=$A$3)*(CsDJ[Sort Code]=(TRIM(G$4)))*(CsDJ[Account Code]=(TRIM($B90))),CsDJ[Debit])))+(SUM(IF((CRDJ[Date]=$A$3)*(CRDJ[Sort Code]=(TRIM(G$4)))*(CRDJ[Account Code]=(TRIM($B90))),CRDJ[Debit])))+(SUM(IF((GJ[Date]=$A$3)*(GJ[Sort Code]=(TRIM(G$4)))*(GJ[Account Code]=(TRIM($B90))),GJ[Debit]))))-((SUM(IF((CkDJ[Date]=$A$3)*(CkDJ[Sort Code]=(TRIM(G$4)))*(CkDJ[Account Code]=(TRIM($B90))),CkDJ[Credit])))+(SUM(IF((CsDJ[Date]=$A$3)*(CsDJ[Sort Code]=(TRIM(G$4)))*(CsDJ[Account Code]=(TRIM($B90))),CsDJ[Credit])))+(SUM(IF((CRDJ[Date]=$A$3)*(CRDJ[Sort Code]=(TRIM(G$4)))*(CRDJ[Account Code]=(TRIM($B90))),CRDJ[Credit])))+(SUM(IF((GJ[Date]=$A$3)*(GJ[Sort Code]=(TRIM(G$4)))*(GJ[Account Code]=(TRIM($B90))),GJ[Credit]))))</f>
        <v>0</v>
      </c>
      <c r="G90" s="343">
        <f t="shared" si="9"/>
        <v>0</v>
      </c>
      <c r="H90" s="246">
        <f t="shared" si="5"/>
        <v>-828000</v>
      </c>
      <c r="I90" s="246">
        <f t="shared" si="6"/>
        <v>0</v>
      </c>
    </row>
    <row r="91" spans="1:9" hidden="1">
      <c r="A91" s="256" t="s">
        <v>1475</v>
      </c>
      <c r="B91" s="339" t="s">
        <v>1265</v>
      </c>
      <c r="C91" s="245">
        <f t="array" ref="C91">SUM(IF((Budget[Account Code]=B91)*(Budget[Sort Code]=$G$4),(Budget[Amount])))</f>
        <v>0</v>
      </c>
      <c r="D91" s="245">
        <f t="array" ref="D91">SUM(IF((Budget[Account Code]=B91)*(Budget[Sort Code]=$G$4)*(Budget[Date]&lt;=$D$7),(Budget[Amount])))</f>
        <v>0</v>
      </c>
      <c r="E91" s="245">
        <f t="array" ref="E91">((SUM(IF((CkDJ[Sort Code]=(TRIM(G$4)))*(CkDJ[Account Code]=(TRIM($B91)))*(CkDJ[Date]&lt;=$E$7),CkDJ[Debit])))+(SUM(IF((CsDJ[Sort Code]=(TRIM(G$4)))*(CsDJ[Account Code]=(TRIM($B91)))*(CsDJ[Date]&lt;=$E$7),CsDJ[Debit])))+(SUM(IF((CRDJ[Sort Code]=(TRIM(G$4)))*(CRDJ[Account Code]=(TRIM($B91)))*(CRDJ[Date]&lt;=$E$7),CRDJ[Debit])))+(SUM(IF((GJ[Sort Code]=(TRIM(G$4)))*(GJ[Account Code]=(TRIM($B91)))*(GJ[Date]&lt;=$E$7),GJ[Debit]))))-((SUM(IF((CkDJ[Sort Code]=(TRIM(G$4)))*(CkDJ[Account Code]=(TRIM($B91)))*(CkDJ[Date]&lt;=$E$7),CkDJ[Credit])))+(SUM(IF((CsDJ[Sort Code]=(TRIM(G$4)))*(CsDJ[Account Code]=(TRIM($B91)))*(CsDJ[Date]&lt;=$E$7),CsDJ[Credit])))+(SUM(IF((CRDJ[Sort Code]=(TRIM(G$4)))*(CRDJ[Account Code]=(TRIM($B91)))*(CRDJ[Date]&lt;=$E$7),CRDJ[Credit])))+(SUM(IF((GJ[Sort Code]=(TRIM(G$4)))*(GJ[Account Code]=(TRIM($B91)))*(GJ[Date]&lt;=$E$7),GJ[Credit]))))</f>
        <v>0</v>
      </c>
      <c r="F91" s="245">
        <f t="array" ref="F91">((SUM(IF((CkDJ[Date]=$A$3)*(CkDJ[Sort Code]=(TRIM(G$4)))*(CkDJ[Account Code]=(TRIM($B91))),CkDJ[Debit])))+(SUM(IF((CsDJ[Date]=$A$3)*(CsDJ[Sort Code]=(TRIM(G$4)))*(CsDJ[Account Code]=(TRIM($B91))),CsDJ[Debit])))+(SUM(IF((CRDJ[Date]=$A$3)*(CRDJ[Sort Code]=(TRIM(G$4)))*(CRDJ[Account Code]=(TRIM($B91))),CRDJ[Debit])))+(SUM(IF((GJ[Date]=$A$3)*(GJ[Sort Code]=(TRIM(G$4)))*(GJ[Account Code]=(TRIM($B91))),GJ[Debit]))))-((SUM(IF((CkDJ[Date]=$A$3)*(CkDJ[Sort Code]=(TRIM(G$4)))*(CkDJ[Account Code]=(TRIM($B91))),CkDJ[Credit])))+(SUM(IF((CsDJ[Date]=$A$3)*(CsDJ[Sort Code]=(TRIM(G$4)))*(CsDJ[Account Code]=(TRIM($B91))),CsDJ[Credit])))+(SUM(IF((CRDJ[Date]=$A$3)*(CRDJ[Sort Code]=(TRIM(G$4)))*(CRDJ[Account Code]=(TRIM($B91))),CRDJ[Credit])))+(SUM(IF((GJ[Date]=$A$3)*(GJ[Sort Code]=(TRIM(G$4)))*(GJ[Account Code]=(TRIM($B91))),GJ[Credit]))))</f>
        <v>0</v>
      </c>
      <c r="G91" s="343">
        <f>E91+F91</f>
        <v>0</v>
      </c>
      <c r="H91" s="246">
        <f>G91-D91</f>
        <v>0</v>
      </c>
      <c r="I91" s="246">
        <f>IF((D91=0),0,G91/D91)</f>
        <v>0</v>
      </c>
    </row>
    <row r="92" spans="1:9" hidden="1">
      <c r="A92" s="256" t="s">
        <v>1475</v>
      </c>
      <c r="B92" s="339" t="s">
        <v>1266</v>
      </c>
      <c r="C92" s="245">
        <f t="array" ref="C92">SUM(IF((Budget[Account Code]=B92)*(Budget[Sort Code]=$G$4),(Budget[Amount])))</f>
        <v>0</v>
      </c>
      <c r="D92" s="245">
        <f t="array" ref="D92">SUM(IF((Budget[Account Code]=B92)*(Budget[Sort Code]=$G$4)*(Budget[Date]&lt;=$D$7),(Budget[Amount])))</f>
        <v>0</v>
      </c>
      <c r="E92" s="245">
        <f t="array" ref="E92">((SUM(IF((CkDJ[Sort Code]=(TRIM(G$4)))*(CkDJ[Account Code]=(TRIM($B92)))*(CkDJ[Date]&lt;=$E$7),CkDJ[Debit])))+(SUM(IF((CsDJ[Sort Code]=(TRIM(G$4)))*(CsDJ[Account Code]=(TRIM($B92)))*(CsDJ[Date]&lt;=$E$7),CsDJ[Debit])))+(SUM(IF((CRDJ[Sort Code]=(TRIM(G$4)))*(CRDJ[Account Code]=(TRIM($B92)))*(CRDJ[Date]&lt;=$E$7),CRDJ[Debit])))+(SUM(IF((GJ[Sort Code]=(TRIM(G$4)))*(GJ[Account Code]=(TRIM($B92)))*(GJ[Date]&lt;=$E$7),GJ[Debit]))))-((SUM(IF((CkDJ[Sort Code]=(TRIM(G$4)))*(CkDJ[Account Code]=(TRIM($B92)))*(CkDJ[Date]&lt;=$E$7),CkDJ[Credit])))+(SUM(IF((CsDJ[Sort Code]=(TRIM(G$4)))*(CsDJ[Account Code]=(TRIM($B92)))*(CsDJ[Date]&lt;=$E$7),CsDJ[Credit])))+(SUM(IF((CRDJ[Sort Code]=(TRIM(G$4)))*(CRDJ[Account Code]=(TRIM($B92)))*(CRDJ[Date]&lt;=$E$7),CRDJ[Credit])))+(SUM(IF((GJ[Sort Code]=(TRIM(G$4)))*(GJ[Account Code]=(TRIM($B92)))*(GJ[Date]&lt;=$E$7),GJ[Credit]))))</f>
        <v>0</v>
      </c>
      <c r="F92" s="245">
        <f t="array" ref="F92">((SUM(IF((CkDJ[Date]=$A$3)*(CkDJ[Sort Code]=(TRIM(G$4)))*(CkDJ[Account Code]=(TRIM($B92))),CkDJ[Debit])))+(SUM(IF((CsDJ[Date]=$A$3)*(CsDJ[Sort Code]=(TRIM(G$4)))*(CsDJ[Account Code]=(TRIM($B92))),CsDJ[Debit])))+(SUM(IF((CRDJ[Date]=$A$3)*(CRDJ[Sort Code]=(TRIM(G$4)))*(CRDJ[Account Code]=(TRIM($B92))),CRDJ[Debit])))+(SUM(IF((GJ[Date]=$A$3)*(GJ[Sort Code]=(TRIM(G$4)))*(GJ[Account Code]=(TRIM($B92))),GJ[Debit]))))-((SUM(IF((CkDJ[Date]=$A$3)*(CkDJ[Sort Code]=(TRIM(G$4)))*(CkDJ[Account Code]=(TRIM($B92))),CkDJ[Credit])))+(SUM(IF((CsDJ[Date]=$A$3)*(CsDJ[Sort Code]=(TRIM(G$4)))*(CsDJ[Account Code]=(TRIM($B92))),CsDJ[Credit])))+(SUM(IF((CRDJ[Date]=$A$3)*(CRDJ[Sort Code]=(TRIM(G$4)))*(CRDJ[Account Code]=(TRIM($B92))),CRDJ[Credit])))+(SUM(IF((GJ[Date]=$A$3)*(GJ[Sort Code]=(TRIM(G$4)))*(GJ[Account Code]=(TRIM($B92))),GJ[Credit]))))</f>
        <v>0</v>
      </c>
      <c r="G92" s="343">
        <f>E92+F92</f>
        <v>0</v>
      </c>
      <c r="H92" s="246">
        <f>G92-D92</f>
        <v>0</v>
      </c>
      <c r="I92" s="246">
        <f>IF((D92=0),0,G92/D92)</f>
        <v>0</v>
      </c>
    </row>
    <row r="93" spans="1:9" hidden="1">
      <c r="A93" s="256" t="s">
        <v>294</v>
      </c>
      <c r="B93" s="339" t="s">
        <v>234</v>
      </c>
      <c r="C93" s="245">
        <f t="array" ref="C93">SUM(IF((Budget[Account Code]=B93)*(Budget[Sort Code]=$G$4),(Budget[Amount])))</f>
        <v>0</v>
      </c>
      <c r="D93" s="245">
        <f t="array" ref="D93">SUM(IF((Budget[Account Code]=B93)*(Budget[Sort Code]=$G$4)*(Budget[Date]&lt;=$D$7),(Budget[Amount])))</f>
        <v>0</v>
      </c>
      <c r="E93" s="245">
        <f t="array" ref="E93">((SUM(IF((CkDJ[Sort Code]=(TRIM(G$4)))*(CkDJ[Account Code]=(TRIM($B93)))*(CkDJ[Date]&lt;=$E$7),CkDJ[Debit])))+(SUM(IF((CsDJ[Sort Code]=(TRIM(G$4)))*(CsDJ[Account Code]=(TRIM($B93)))*(CsDJ[Date]&lt;=$E$7),CsDJ[Debit])))+(SUM(IF((CRDJ[Sort Code]=(TRIM(G$4)))*(CRDJ[Account Code]=(TRIM($B93)))*(CRDJ[Date]&lt;=$E$7),CRDJ[Debit])))+(SUM(IF((GJ[Sort Code]=(TRIM(G$4)))*(GJ[Account Code]=(TRIM($B93)))*(GJ[Date]&lt;=$E$7),GJ[Debit]))))-((SUM(IF((CkDJ[Sort Code]=(TRIM(G$4)))*(CkDJ[Account Code]=(TRIM($B93)))*(CkDJ[Date]&lt;=$E$7),CkDJ[Credit])))+(SUM(IF((CsDJ[Sort Code]=(TRIM(G$4)))*(CsDJ[Account Code]=(TRIM($B93)))*(CsDJ[Date]&lt;=$E$7),CsDJ[Credit])))+(SUM(IF((CRDJ[Sort Code]=(TRIM(G$4)))*(CRDJ[Account Code]=(TRIM($B93)))*(CRDJ[Date]&lt;=$E$7),CRDJ[Credit])))+(SUM(IF((GJ[Sort Code]=(TRIM(G$4)))*(GJ[Account Code]=(TRIM($B93)))*(GJ[Date]&lt;=$E$7),GJ[Credit]))))</f>
        <v>0</v>
      </c>
      <c r="F93" s="245">
        <f t="array" ref="F93">((SUM(IF((CkDJ[Date]=$A$3)*(CkDJ[Sort Code]=(TRIM(G$4)))*(CkDJ[Account Code]=(TRIM($B93))),CkDJ[Debit])))+(SUM(IF((CsDJ[Date]=$A$3)*(CsDJ[Sort Code]=(TRIM(G$4)))*(CsDJ[Account Code]=(TRIM($B93))),CsDJ[Debit])))+(SUM(IF((CRDJ[Date]=$A$3)*(CRDJ[Sort Code]=(TRIM(G$4)))*(CRDJ[Account Code]=(TRIM($B93))),CRDJ[Debit])))+(SUM(IF((GJ[Date]=$A$3)*(GJ[Sort Code]=(TRIM(G$4)))*(GJ[Account Code]=(TRIM($B93))),GJ[Debit]))))-((SUM(IF((CkDJ[Date]=$A$3)*(CkDJ[Sort Code]=(TRIM(G$4)))*(CkDJ[Account Code]=(TRIM($B93))),CkDJ[Credit])))+(SUM(IF((CsDJ[Date]=$A$3)*(CsDJ[Sort Code]=(TRIM(G$4)))*(CsDJ[Account Code]=(TRIM($B93))),CsDJ[Credit])))+(SUM(IF((CRDJ[Date]=$A$3)*(CRDJ[Sort Code]=(TRIM(G$4)))*(CRDJ[Account Code]=(TRIM($B93))),CRDJ[Credit])))+(SUM(IF((GJ[Date]=$A$3)*(GJ[Sort Code]=(TRIM(G$4)))*(GJ[Account Code]=(TRIM($B93))),GJ[Credit]))))</f>
        <v>0</v>
      </c>
      <c r="G93" s="343">
        <f t="shared" si="9"/>
        <v>0</v>
      </c>
      <c r="H93" s="246">
        <f t="shared" si="5"/>
        <v>0</v>
      </c>
      <c r="I93" s="246">
        <f t="shared" si="6"/>
        <v>0</v>
      </c>
    </row>
    <row r="94" spans="1:9" hidden="1">
      <c r="A94" s="256" t="s">
        <v>295</v>
      </c>
      <c r="B94" s="339" t="s">
        <v>235</v>
      </c>
      <c r="C94" s="245">
        <f t="array" ref="C94">SUM(IF((Budget[Account Code]=B94)*(Budget[Sort Code]=$G$4),(Budget[Amount])))</f>
        <v>204036</v>
      </c>
      <c r="D94" s="245">
        <f t="array" ref="D94">SUM(IF((Budget[Account Code]=B94)*(Budget[Sort Code]=$G$4)*(Budget[Date]&lt;=$D$7),(Budget[Amount])))</f>
        <v>204036</v>
      </c>
      <c r="E94" s="245">
        <f t="array" ref="E94">((SUM(IF((CkDJ[Sort Code]=(TRIM(G$4)))*(CkDJ[Account Code]=(TRIM($B94)))*(CkDJ[Date]&lt;=$E$7),CkDJ[Debit])))+(SUM(IF((CsDJ[Sort Code]=(TRIM(G$4)))*(CsDJ[Account Code]=(TRIM($B94)))*(CsDJ[Date]&lt;=$E$7),CsDJ[Debit])))+(SUM(IF((CRDJ[Sort Code]=(TRIM(G$4)))*(CRDJ[Account Code]=(TRIM($B94)))*(CRDJ[Date]&lt;=$E$7),CRDJ[Debit])))+(SUM(IF((GJ[Sort Code]=(TRIM(G$4)))*(GJ[Account Code]=(TRIM($B94)))*(GJ[Date]&lt;=$E$7),GJ[Debit]))))-((SUM(IF((CkDJ[Sort Code]=(TRIM(G$4)))*(CkDJ[Account Code]=(TRIM($B94)))*(CkDJ[Date]&lt;=$E$7),CkDJ[Credit])))+(SUM(IF((CsDJ[Sort Code]=(TRIM(G$4)))*(CsDJ[Account Code]=(TRIM($B94)))*(CsDJ[Date]&lt;=$E$7),CsDJ[Credit])))+(SUM(IF((CRDJ[Sort Code]=(TRIM(G$4)))*(CRDJ[Account Code]=(TRIM($B94)))*(CRDJ[Date]&lt;=$E$7),CRDJ[Credit])))+(SUM(IF((GJ[Sort Code]=(TRIM(G$4)))*(GJ[Account Code]=(TRIM($B94)))*(GJ[Date]&lt;=$E$7),GJ[Credit]))))</f>
        <v>0</v>
      </c>
      <c r="F94" s="245">
        <f t="array" ref="F94">((SUM(IF((CkDJ[Date]=$A$3)*(CkDJ[Sort Code]=(TRIM(G$4)))*(CkDJ[Account Code]=(TRIM($B94))),CkDJ[Debit])))+(SUM(IF((CsDJ[Date]=$A$3)*(CsDJ[Sort Code]=(TRIM(G$4)))*(CsDJ[Account Code]=(TRIM($B94))),CsDJ[Debit])))+(SUM(IF((CRDJ[Date]=$A$3)*(CRDJ[Sort Code]=(TRIM(G$4)))*(CRDJ[Account Code]=(TRIM($B94))),CRDJ[Debit])))+(SUM(IF((GJ[Date]=$A$3)*(GJ[Sort Code]=(TRIM(G$4)))*(GJ[Account Code]=(TRIM($B94))),GJ[Debit]))))-((SUM(IF((CkDJ[Date]=$A$3)*(CkDJ[Sort Code]=(TRIM(G$4)))*(CkDJ[Account Code]=(TRIM($B94))),CkDJ[Credit])))+(SUM(IF((CsDJ[Date]=$A$3)*(CsDJ[Sort Code]=(TRIM(G$4)))*(CsDJ[Account Code]=(TRIM($B94))),CsDJ[Credit])))+(SUM(IF((CRDJ[Date]=$A$3)*(CRDJ[Sort Code]=(TRIM(G$4)))*(CRDJ[Account Code]=(TRIM($B94))),CRDJ[Credit])))+(SUM(IF((GJ[Date]=$A$3)*(GJ[Sort Code]=(TRIM(G$4)))*(GJ[Account Code]=(TRIM($B94))),GJ[Credit]))))</f>
        <v>0</v>
      </c>
      <c r="G94" s="343">
        <f t="shared" si="9"/>
        <v>0</v>
      </c>
      <c r="H94" s="246">
        <f t="shared" si="5"/>
        <v>-204036</v>
      </c>
      <c r="I94" s="246">
        <f t="shared" si="6"/>
        <v>0</v>
      </c>
    </row>
    <row r="95" spans="1:9" hidden="1">
      <c r="A95" s="256" t="s">
        <v>296</v>
      </c>
      <c r="B95" s="339" t="s">
        <v>236</v>
      </c>
      <c r="C95" s="245">
        <f t="array" ref="C95">SUM(IF((Budget[Account Code]=B95)*(Budget[Sort Code]=$G$4),(Budget[Amount])))</f>
        <v>61200</v>
      </c>
      <c r="D95" s="245">
        <f t="array" ref="D95">SUM(IF((Budget[Account Code]=B95)*(Budget[Sort Code]=$G$4)*(Budget[Date]&lt;=$D$7),(Budget[Amount])))</f>
        <v>61200</v>
      </c>
      <c r="E95" s="245">
        <f t="array" ref="E95">((SUM(IF((CkDJ[Sort Code]=(TRIM(G$4)))*(CkDJ[Account Code]=(TRIM($B95)))*(CkDJ[Date]&lt;=$E$7),CkDJ[Debit])))+(SUM(IF((CsDJ[Sort Code]=(TRIM(G$4)))*(CsDJ[Account Code]=(TRIM($B95)))*(CsDJ[Date]&lt;=$E$7),CsDJ[Debit])))+(SUM(IF((CRDJ[Sort Code]=(TRIM(G$4)))*(CRDJ[Account Code]=(TRIM($B95)))*(CRDJ[Date]&lt;=$E$7),CRDJ[Debit])))+(SUM(IF((GJ[Sort Code]=(TRIM(G$4)))*(GJ[Account Code]=(TRIM($B95)))*(GJ[Date]&lt;=$E$7),GJ[Debit]))))-((SUM(IF((CkDJ[Sort Code]=(TRIM(G$4)))*(CkDJ[Account Code]=(TRIM($B95)))*(CkDJ[Date]&lt;=$E$7),CkDJ[Credit])))+(SUM(IF((CsDJ[Sort Code]=(TRIM(G$4)))*(CsDJ[Account Code]=(TRIM($B95)))*(CsDJ[Date]&lt;=$E$7),CsDJ[Credit])))+(SUM(IF((CRDJ[Sort Code]=(TRIM(G$4)))*(CRDJ[Account Code]=(TRIM($B95)))*(CRDJ[Date]&lt;=$E$7),CRDJ[Credit])))+(SUM(IF((GJ[Sort Code]=(TRIM(G$4)))*(GJ[Account Code]=(TRIM($B95)))*(GJ[Date]&lt;=$E$7),GJ[Credit]))))</f>
        <v>0</v>
      </c>
      <c r="F95" s="245">
        <f t="array" ref="F95">((SUM(IF((CkDJ[Date]=$A$3)*(CkDJ[Sort Code]=(TRIM(G$4)))*(CkDJ[Account Code]=(TRIM($B95))),CkDJ[Debit])))+(SUM(IF((CsDJ[Date]=$A$3)*(CsDJ[Sort Code]=(TRIM(G$4)))*(CsDJ[Account Code]=(TRIM($B95))),CsDJ[Debit])))+(SUM(IF((CRDJ[Date]=$A$3)*(CRDJ[Sort Code]=(TRIM(G$4)))*(CRDJ[Account Code]=(TRIM($B95))),CRDJ[Debit])))+(SUM(IF((GJ[Date]=$A$3)*(GJ[Sort Code]=(TRIM(G$4)))*(GJ[Account Code]=(TRIM($B95))),GJ[Debit]))))-((SUM(IF((CkDJ[Date]=$A$3)*(CkDJ[Sort Code]=(TRIM(G$4)))*(CkDJ[Account Code]=(TRIM($B95))),CkDJ[Credit])))+(SUM(IF((CsDJ[Date]=$A$3)*(CsDJ[Sort Code]=(TRIM(G$4)))*(CsDJ[Account Code]=(TRIM($B95))),CsDJ[Credit])))+(SUM(IF((CRDJ[Date]=$A$3)*(CRDJ[Sort Code]=(TRIM(G$4)))*(CRDJ[Account Code]=(TRIM($B95))),CRDJ[Credit])))+(SUM(IF((GJ[Date]=$A$3)*(GJ[Sort Code]=(TRIM(G$4)))*(GJ[Account Code]=(TRIM($B95))),GJ[Credit]))))</f>
        <v>0</v>
      </c>
      <c r="G95" s="343">
        <f t="shared" si="9"/>
        <v>0</v>
      </c>
      <c r="H95" s="246">
        <f t="shared" si="5"/>
        <v>-61200</v>
      </c>
      <c r="I95" s="246">
        <f t="shared" si="6"/>
        <v>0</v>
      </c>
    </row>
    <row r="96" spans="1:9" hidden="1">
      <c r="A96" s="256" t="s">
        <v>297</v>
      </c>
      <c r="B96" s="339" t="s">
        <v>237</v>
      </c>
      <c r="C96" s="245">
        <f t="array" ref="C96">SUM(IF((Budget[Account Code]=B96)*(Budget[Sort Code]=$G$4),(Budget[Amount])))</f>
        <v>0</v>
      </c>
      <c r="D96" s="245">
        <f t="array" ref="D96">SUM(IF((Budget[Account Code]=B96)*(Budget[Sort Code]=$G$4)*(Budget[Date]&lt;=$D$7),(Budget[Amount])))</f>
        <v>0</v>
      </c>
      <c r="E96" s="245">
        <f t="array" ref="E96">((SUM(IF((CkDJ[Sort Code]=(TRIM(G$4)))*(CkDJ[Account Code]=(TRIM($B96)))*(CkDJ[Date]&lt;=$E$7),CkDJ[Debit])))+(SUM(IF((CsDJ[Sort Code]=(TRIM(G$4)))*(CsDJ[Account Code]=(TRIM($B96)))*(CsDJ[Date]&lt;=$E$7),CsDJ[Debit])))+(SUM(IF((CRDJ[Sort Code]=(TRIM(G$4)))*(CRDJ[Account Code]=(TRIM($B96)))*(CRDJ[Date]&lt;=$E$7),CRDJ[Debit])))+(SUM(IF((GJ[Sort Code]=(TRIM(G$4)))*(GJ[Account Code]=(TRIM($B96)))*(GJ[Date]&lt;=$E$7),GJ[Debit]))))-((SUM(IF((CkDJ[Sort Code]=(TRIM(G$4)))*(CkDJ[Account Code]=(TRIM($B96)))*(CkDJ[Date]&lt;=$E$7),CkDJ[Credit])))+(SUM(IF((CsDJ[Sort Code]=(TRIM(G$4)))*(CsDJ[Account Code]=(TRIM($B96)))*(CsDJ[Date]&lt;=$E$7),CsDJ[Credit])))+(SUM(IF((CRDJ[Sort Code]=(TRIM(G$4)))*(CRDJ[Account Code]=(TRIM($B96)))*(CRDJ[Date]&lt;=$E$7),CRDJ[Credit])))+(SUM(IF((GJ[Sort Code]=(TRIM(G$4)))*(GJ[Account Code]=(TRIM($B96)))*(GJ[Date]&lt;=$E$7),GJ[Credit]))))</f>
        <v>0</v>
      </c>
      <c r="F96" s="245">
        <f t="array" ref="F96">((SUM(IF((CkDJ[Date]=$A$3)*(CkDJ[Sort Code]=(TRIM(G$4)))*(CkDJ[Account Code]=(TRIM($B96))),CkDJ[Debit])))+(SUM(IF((CsDJ[Date]=$A$3)*(CsDJ[Sort Code]=(TRIM(G$4)))*(CsDJ[Account Code]=(TRIM($B96))),CsDJ[Debit])))+(SUM(IF((CRDJ[Date]=$A$3)*(CRDJ[Sort Code]=(TRIM(G$4)))*(CRDJ[Account Code]=(TRIM($B96))),CRDJ[Debit])))+(SUM(IF((GJ[Date]=$A$3)*(GJ[Sort Code]=(TRIM(G$4)))*(GJ[Account Code]=(TRIM($B96))),GJ[Debit]))))-((SUM(IF((CkDJ[Date]=$A$3)*(CkDJ[Sort Code]=(TRIM(G$4)))*(CkDJ[Account Code]=(TRIM($B96))),CkDJ[Credit])))+(SUM(IF((CsDJ[Date]=$A$3)*(CsDJ[Sort Code]=(TRIM(G$4)))*(CsDJ[Account Code]=(TRIM($B96))),CsDJ[Credit])))+(SUM(IF((CRDJ[Date]=$A$3)*(CRDJ[Sort Code]=(TRIM(G$4)))*(CRDJ[Account Code]=(TRIM($B96))),CRDJ[Credit])))+(SUM(IF((GJ[Date]=$A$3)*(GJ[Sort Code]=(TRIM(G$4)))*(GJ[Account Code]=(TRIM($B96))),GJ[Credit]))))</f>
        <v>0</v>
      </c>
      <c r="G96" s="343">
        <f t="shared" si="9"/>
        <v>0</v>
      </c>
      <c r="H96" s="246">
        <f t="shared" si="5"/>
        <v>0</v>
      </c>
      <c r="I96" s="246">
        <f t="shared" si="6"/>
        <v>0</v>
      </c>
    </row>
    <row r="97" spans="1:9" hidden="1">
      <c r="A97" s="256" t="s">
        <v>298</v>
      </c>
      <c r="B97" s="339" t="s">
        <v>238</v>
      </c>
      <c r="C97" s="245">
        <f t="array" ref="C97">SUM(IF((Budget[Account Code]=B97)*(Budget[Sort Code]=$G$4),(Budget[Amount])))</f>
        <v>0</v>
      </c>
      <c r="D97" s="245">
        <f t="array" ref="D97">SUM(IF((Budget[Account Code]=B97)*(Budget[Sort Code]=$G$4)*(Budget[Date]&lt;=$D$7),(Budget[Amount])))</f>
        <v>0</v>
      </c>
      <c r="E97" s="245">
        <f t="array" ref="E97">((SUM(IF((CkDJ[Sort Code]=(TRIM(G$4)))*(CkDJ[Account Code]=(TRIM($B97)))*(CkDJ[Date]&lt;=$E$7),CkDJ[Debit])))+(SUM(IF((CsDJ[Sort Code]=(TRIM(G$4)))*(CsDJ[Account Code]=(TRIM($B97)))*(CsDJ[Date]&lt;=$E$7),CsDJ[Debit])))+(SUM(IF((CRDJ[Sort Code]=(TRIM(G$4)))*(CRDJ[Account Code]=(TRIM($B97)))*(CRDJ[Date]&lt;=$E$7),CRDJ[Debit])))+(SUM(IF((GJ[Sort Code]=(TRIM(G$4)))*(GJ[Account Code]=(TRIM($B97)))*(GJ[Date]&lt;=$E$7),GJ[Debit]))))-((SUM(IF((CkDJ[Sort Code]=(TRIM(G$4)))*(CkDJ[Account Code]=(TRIM($B97)))*(CkDJ[Date]&lt;=$E$7),CkDJ[Credit])))+(SUM(IF((CsDJ[Sort Code]=(TRIM(G$4)))*(CsDJ[Account Code]=(TRIM($B97)))*(CsDJ[Date]&lt;=$E$7),CsDJ[Credit])))+(SUM(IF((CRDJ[Sort Code]=(TRIM(G$4)))*(CRDJ[Account Code]=(TRIM($B97)))*(CRDJ[Date]&lt;=$E$7),CRDJ[Credit])))+(SUM(IF((GJ[Sort Code]=(TRIM(G$4)))*(GJ[Account Code]=(TRIM($B97)))*(GJ[Date]&lt;=$E$7),GJ[Credit]))))</f>
        <v>0</v>
      </c>
      <c r="F97" s="245">
        <f t="array" ref="F97">((SUM(IF((CkDJ[Date]=$A$3)*(CkDJ[Sort Code]=(TRIM(G$4)))*(CkDJ[Account Code]=(TRIM($B97))),CkDJ[Debit])))+(SUM(IF((CsDJ[Date]=$A$3)*(CsDJ[Sort Code]=(TRIM(G$4)))*(CsDJ[Account Code]=(TRIM($B97))),CsDJ[Debit])))+(SUM(IF((CRDJ[Date]=$A$3)*(CRDJ[Sort Code]=(TRIM(G$4)))*(CRDJ[Account Code]=(TRIM($B97))),CRDJ[Debit])))+(SUM(IF((GJ[Date]=$A$3)*(GJ[Sort Code]=(TRIM(G$4)))*(GJ[Account Code]=(TRIM($B97))),GJ[Debit]))))-((SUM(IF((CkDJ[Date]=$A$3)*(CkDJ[Sort Code]=(TRIM(G$4)))*(CkDJ[Account Code]=(TRIM($B97))),CkDJ[Credit])))+(SUM(IF((CsDJ[Date]=$A$3)*(CsDJ[Sort Code]=(TRIM(G$4)))*(CsDJ[Account Code]=(TRIM($B97))),CsDJ[Credit])))+(SUM(IF((CRDJ[Date]=$A$3)*(CRDJ[Sort Code]=(TRIM(G$4)))*(CRDJ[Account Code]=(TRIM($B97))),CRDJ[Credit])))+(SUM(IF((GJ[Date]=$A$3)*(GJ[Sort Code]=(TRIM(G$4)))*(GJ[Account Code]=(TRIM($B97))),GJ[Credit]))))</f>
        <v>0</v>
      </c>
      <c r="G97" s="343">
        <f t="shared" si="9"/>
        <v>0</v>
      </c>
      <c r="H97" s="246">
        <f t="shared" si="5"/>
        <v>0</v>
      </c>
      <c r="I97" s="246">
        <f t="shared" si="6"/>
        <v>0</v>
      </c>
    </row>
    <row r="98" spans="1:9" hidden="1">
      <c r="A98" s="256" t="s">
        <v>1019</v>
      </c>
      <c r="B98" s="339" t="s">
        <v>239</v>
      </c>
      <c r="C98" s="245">
        <f t="array" ref="C98">SUM(IF((Budget[Account Code]=B98)*(Budget[Sort Code]=$G$4),(Budget[Amount])))</f>
        <v>0</v>
      </c>
      <c r="D98" s="245">
        <f t="array" ref="D98">SUM(IF((Budget[Account Code]=B98)*(Budget[Sort Code]=$G$4)*(Budget[Date]&lt;=$D$7),(Budget[Amount])))</f>
        <v>0</v>
      </c>
      <c r="E98" s="245">
        <f t="array" ref="E98">((SUM(IF((CkDJ[Sort Code]=(TRIM(G$4)))*(CkDJ[Account Code]=(TRIM($B98)))*(CkDJ[Date]&lt;=$E$7),CkDJ[Debit])))+(SUM(IF((CsDJ[Sort Code]=(TRIM(G$4)))*(CsDJ[Account Code]=(TRIM($B98)))*(CsDJ[Date]&lt;=$E$7),CsDJ[Debit])))+(SUM(IF((CRDJ[Sort Code]=(TRIM(G$4)))*(CRDJ[Account Code]=(TRIM($B98)))*(CRDJ[Date]&lt;=$E$7),CRDJ[Debit])))+(SUM(IF((GJ[Sort Code]=(TRIM(G$4)))*(GJ[Account Code]=(TRIM($B98)))*(GJ[Date]&lt;=$E$7),GJ[Debit]))))-((SUM(IF((CkDJ[Sort Code]=(TRIM(G$4)))*(CkDJ[Account Code]=(TRIM($B98)))*(CkDJ[Date]&lt;=$E$7),CkDJ[Credit])))+(SUM(IF((CsDJ[Sort Code]=(TRIM(G$4)))*(CsDJ[Account Code]=(TRIM($B98)))*(CsDJ[Date]&lt;=$E$7),CsDJ[Credit])))+(SUM(IF((CRDJ[Sort Code]=(TRIM(G$4)))*(CRDJ[Account Code]=(TRIM($B98)))*(CRDJ[Date]&lt;=$E$7),CRDJ[Credit])))+(SUM(IF((GJ[Sort Code]=(TRIM(G$4)))*(GJ[Account Code]=(TRIM($B98)))*(GJ[Date]&lt;=$E$7),GJ[Credit]))))</f>
        <v>0</v>
      </c>
      <c r="F98" s="245">
        <f t="array" ref="F98">((SUM(IF((CkDJ[Date]=$A$3)*(CkDJ[Sort Code]=(TRIM(G$4)))*(CkDJ[Account Code]=(TRIM($B98))),CkDJ[Debit])))+(SUM(IF((CsDJ[Date]=$A$3)*(CsDJ[Sort Code]=(TRIM(G$4)))*(CsDJ[Account Code]=(TRIM($B98))),CsDJ[Debit])))+(SUM(IF((CRDJ[Date]=$A$3)*(CRDJ[Sort Code]=(TRIM(G$4)))*(CRDJ[Account Code]=(TRIM($B98))),CRDJ[Debit])))+(SUM(IF((GJ[Date]=$A$3)*(GJ[Sort Code]=(TRIM(G$4)))*(GJ[Account Code]=(TRIM($B98))),GJ[Debit]))))-((SUM(IF((CkDJ[Date]=$A$3)*(CkDJ[Sort Code]=(TRIM(G$4)))*(CkDJ[Account Code]=(TRIM($B98))),CkDJ[Credit])))+(SUM(IF((CsDJ[Date]=$A$3)*(CsDJ[Sort Code]=(TRIM(G$4)))*(CsDJ[Account Code]=(TRIM($B98))),CsDJ[Credit])))+(SUM(IF((CRDJ[Date]=$A$3)*(CRDJ[Sort Code]=(TRIM(G$4)))*(CRDJ[Account Code]=(TRIM($B98))),CRDJ[Credit])))+(SUM(IF((GJ[Date]=$A$3)*(GJ[Sort Code]=(TRIM(G$4)))*(GJ[Account Code]=(TRIM($B98))),GJ[Credit]))))</f>
        <v>0</v>
      </c>
      <c r="G98" s="343">
        <f t="shared" si="9"/>
        <v>0</v>
      </c>
      <c r="H98" s="246">
        <f t="shared" si="5"/>
        <v>0</v>
      </c>
      <c r="I98" s="246">
        <f t="shared" si="6"/>
        <v>0</v>
      </c>
    </row>
    <row r="99" spans="1:9" hidden="1">
      <c r="A99" s="256" t="s">
        <v>1020</v>
      </c>
      <c r="B99" s="339" t="s">
        <v>240</v>
      </c>
      <c r="C99" s="245">
        <f t="array" ref="C99">SUM(IF((Budget[Account Code]=B99)*(Budget[Sort Code]=$G$4),(Budget[Amount])))</f>
        <v>0</v>
      </c>
      <c r="D99" s="245">
        <f t="array" ref="D99">SUM(IF((Budget[Account Code]=B99)*(Budget[Sort Code]=$G$4)*(Budget[Date]&lt;=$D$7),(Budget[Amount])))</f>
        <v>0</v>
      </c>
      <c r="E99" s="245">
        <f t="array" ref="E99">((SUM(IF((CkDJ[Sort Code]=(TRIM(G$4)))*(CkDJ[Account Code]=(TRIM($B99)))*(CkDJ[Date]&lt;=$E$7),CkDJ[Debit])))+(SUM(IF((CsDJ[Sort Code]=(TRIM(G$4)))*(CsDJ[Account Code]=(TRIM($B99)))*(CsDJ[Date]&lt;=$E$7),CsDJ[Debit])))+(SUM(IF((CRDJ[Sort Code]=(TRIM(G$4)))*(CRDJ[Account Code]=(TRIM($B99)))*(CRDJ[Date]&lt;=$E$7),CRDJ[Debit])))+(SUM(IF((GJ[Sort Code]=(TRIM(G$4)))*(GJ[Account Code]=(TRIM($B99)))*(GJ[Date]&lt;=$E$7),GJ[Debit]))))-((SUM(IF((CkDJ[Sort Code]=(TRIM(G$4)))*(CkDJ[Account Code]=(TRIM($B99)))*(CkDJ[Date]&lt;=$E$7),CkDJ[Credit])))+(SUM(IF((CsDJ[Sort Code]=(TRIM(G$4)))*(CsDJ[Account Code]=(TRIM($B99)))*(CsDJ[Date]&lt;=$E$7),CsDJ[Credit])))+(SUM(IF((CRDJ[Sort Code]=(TRIM(G$4)))*(CRDJ[Account Code]=(TRIM($B99)))*(CRDJ[Date]&lt;=$E$7),CRDJ[Credit])))+(SUM(IF((GJ[Sort Code]=(TRIM(G$4)))*(GJ[Account Code]=(TRIM($B99)))*(GJ[Date]&lt;=$E$7),GJ[Credit]))))</f>
        <v>0</v>
      </c>
      <c r="F99" s="245">
        <f t="array" ref="F99">((SUM(IF((CkDJ[Date]=$A$3)*(CkDJ[Sort Code]=(TRIM(G$4)))*(CkDJ[Account Code]=(TRIM($B99))),CkDJ[Debit])))+(SUM(IF((CsDJ[Date]=$A$3)*(CsDJ[Sort Code]=(TRIM(G$4)))*(CsDJ[Account Code]=(TRIM($B99))),CsDJ[Debit])))+(SUM(IF((CRDJ[Date]=$A$3)*(CRDJ[Sort Code]=(TRIM(G$4)))*(CRDJ[Account Code]=(TRIM($B99))),CRDJ[Debit])))+(SUM(IF((GJ[Date]=$A$3)*(GJ[Sort Code]=(TRIM(G$4)))*(GJ[Account Code]=(TRIM($B99))),GJ[Debit]))))-((SUM(IF((CkDJ[Date]=$A$3)*(CkDJ[Sort Code]=(TRIM(G$4)))*(CkDJ[Account Code]=(TRIM($B99))),CkDJ[Credit])))+(SUM(IF((CsDJ[Date]=$A$3)*(CsDJ[Sort Code]=(TRIM(G$4)))*(CsDJ[Account Code]=(TRIM($B99))),CsDJ[Credit])))+(SUM(IF((CRDJ[Date]=$A$3)*(CRDJ[Sort Code]=(TRIM(G$4)))*(CRDJ[Account Code]=(TRIM($B99))),CRDJ[Credit])))+(SUM(IF((GJ[Date]=$A$3)*(GJ[Sort Code]=(TRIM(G$4)))*(GJ[Account Code]=(TRIM($B99))),GJ[Credit]))))</f>
        <v>0</v>
      </c>
      <c r="G99" s="343">
        <f t="shared" si="9"/>
        <v>0</v>
      </c>
      <c r="H99" s="246">
        <f t="shared" si="5"/>
        <v>0</v>
      </c>
      <c r="I99" s="246">
        <f t="shared" si="6"/>
        <v>0</v>
      </c>
    </row>
    <row r="100" spans="1:9" hidden="1">
      <c r="A100" s="256" t="s">
        <v>299</v>
      </c>
      <c r="B100" s="339" t="s">
        <v>241</v>
      </c>
      <c r="C100" s="245">
        <f t="array" ref="C100">SUM(IF((Budget[Account Code]=B100)*(Budget[Sort Code]=$G$4),(Budget[Amount])))</f>
        <v>0</v>
      </c>
      <c r="D100" s="245">
        <f t="array" ref="D100">SUM(IF((Budget[Account Code]=B100)*(Budget[Sort Code]=$G$4)*(Budget[Date]&lt;=$D$7),(Budget[Amount])))</f>
        <v>0</v>
      </c>
      <c r="E100" s="245">
        <f t="array" ref="E100">((SUM(IF((CkDJ[Sort Code]=(TRIM(G$4)))*(CkDJ[Account Code]=(TRIM($B100)))*(CkDJ[Date]&lt;=$E$7),CkDJ[Debit])))+(SUM(IF((CsDJ[Sort Code]=(TRIM(G$4)))*(CsDJ[Account Code]=(TRIM($B100)))*(CsDJ[Date]&lt;=$E$7),CsDJ[Debit])))+(SUM(IF((CRDJ[Sort Code]=(TRIM(G$4)))*(CRDJ[Account Code]=(TRIM($B100)))*(CRDJ[Date]&lt;=$E$7),CRDJ[Debit])))+(SUM(IF((GJ[Sort Code]=(TRIM(G$4)))*(GJ[Account Code]=(TRIM($B100)))*(GJ[Date]&lt;=$E$7),GJ[Debit]))))-((SUM(IF((CkDJ[Sort Code]=(TRIM(G$4)))*(CkDJ[Account Code]=(TRIM($B100)))*(CkDJ[Date]&lt;=$E$7),CkDJ[Credit])))+(SUM(IF((CsDJ[Sort Code]=(TRIM(G$4)))*(CsDJ[Account Code]=(TRIM($B100)))*(CsDJ[Date]&lt;=$E$7),CsDJ[Credit])))+(SUM(IF((CRDJ[Sort Code]=(TRIM(G$4)))*(CRDJ[Account Code]=(TRIM($B100)))*(CRDJ[Date]&lt;=$E$7),CRDJ[Credit])))+(SUM(IF((GJ[Sort Code]=(TRIM(G$4)))*(GJ[Account Code]=(TRIM($B100)))*(GJ[Date]&lt;=$E$7),GJ[Credit]))))</f>
        <v>0</v>
      </c>
      <c r="F100" s="245">
        <f t="array" ref="F100">((SUM(IF((CkDJ[Date]=$A$3)*(CkDJ[Sort Code]=(TRIM(G$4)))*(CkDJ[Account Code]=(TRIM($B100))),CkDJ[Debit])))+(SUM(IF((CsDJ[Date]=$A$3)*(CsDJ[Sort Code]=(TRIM(G$4)))*(CsDJ[Account Code]=(TRIM($B100))),CsDJ[Debit])))+(SUM(IF((CRDJ[Date]=$A$3)*(CRDJ[Sort Code]=(TRIM(G$4)))*(CRDJ[Account Code]=(TRIM($B100))),CRDJ[Debit])))+(SUM(IF((GJ[Date]=$A$3)*(GJ[Sort Code]=(TRIM(G$4)))*(GJ[Account Code]=(TRIM($B100))),GJ[Debit]))))-((SUM(IF((CkDJ[Date]=$A$3)*(CkDJ[Sort Code]=(TRIM(G$4)))*(CkDJ[Account Code]=(TRIM($B100))),CkDJ[Credit])))+(SUM(IF((CsDJ[Date]=$A$3)*(CsDJ[Sort Code]=(TRIM(G$4)))*(CsDJ[Account Code]=(TRIM($B100))),CsDJ[Credit])))+(SUM(IF((CRDJ[Date]=$A$3)*(CRDJ[Sort Code]=(TRIM(G$4)))*(CRDJ[Account Code]=(TRIM($B100))),CRDJ[Credit])))+(SUM(IF((GJ[Date]=$A$3)*(GJ[Sort Code]=(TRIM(G$4)))*(GJ[Account Code]=(TRIM($B100))),GJ[Credit]))))</f>
        <v>0</v>
      </c>
      <c r="G100" s="343">
        <f t="shared" si="9"/>
        <v>0</v>
      </c>
      <c r="H100" s="246">
        <f t="shared" si="5"/>
        <v>0</v>
      </c>
      <c r="I100" s="246">
        <f t="shared" si="6"/>
        <v>0</v>
      </c>
    </row>
    <row r="101" spans="1:9" hidden="1">
      <c r="A101" s="256" t="s">
        <v>300</v>
      </c>
      <c r="B101" s="339" t="s">
        <v>242</v>
      </c>
      <c r="C101" s="245">
        <f t="array" ref="C101">SUM(IF((Budget[Account Code]=B101)*(Budget[Sort Code]=$G$4),(Budget[Amount])))</f>
        <v>0</v>
      </c>
      <c r="D101" s="245">
        <f t="array" ref="D101">SUM(IF((Budget[Account Code]=B101)*(Budget[Sort Code]=$G$4)*(Budget[Date]&lt;=$D$7),(Budget[Amount])))</f>
        <v>0</v>
      </c>
      <c r="E101" s="245">
        <f t="array" ref="E101">((SUM(IF((CkDJ[Sort Code]=(TRIM(G$4)))*(CkDJ[Account Code]=(TRIM($B101)))*(CkDJ[Date]&lt;=$E$7),CkDJ[Debit])))+(SUM(IF((CsDJ[Sort Code]=(TRIM(G$4)))*(CsDJ[Account Code]=(TRIM($B101)))*(CsDJ[Date]&lt;=$E$7),CsDJ[Debit])))+(SUM(IF((CRDJ[Sort Code]=(TRIM(G$4)))*(CRDJ[Account Code]=(TRIM($B101)))*(CRDJ[Date]&lt;=$E$7),CRDJ[Debit])))+(SUM(IF((GJ[Sort Code]=(TRIM(G$4)))*(GJ[Account Code]=(TRIM($B101)))*(GJ[Date]&lt;=$E$7),GJ[Debit]))))-((SUM(IF((CkDJ[Sort Code]=(TRIM(G$4)))*(CkDJ[Account Code]=(TRIM($B101)))*(CkDJ[Date]&lt;=$E$7),CkDJ[Credit])))+(SUM(IF((CsDJ[Sort Code]=(TRIM(G$4)))*(CsDJ[Account Code]=(TRIM($B101)))*(CsDJ[Date]&lt;=$E$7),CsDJ[Credit])))+(SUM(IF((CRDJ[Sort Code]=(TRIM(G$4)))*(CRDJ[Account Code]=(TRIM($B101)))*(CRDJ[Date]&lt;=$E$7),CRDJ[Credit])))+(SUM(IF((GJ[Sort Code]=(TRIM(G$4)))*(GJ[Account Code]=(TRIM($B101)))*(GJ[Date]&lt;=$E$7),GJ[Credit]))))</f>
        <v>0</v>
      </c>
      <c r="F101" s="245">
        <f t="array" ref="F101">((SUM(IF((CkDJ[Date]=$A$3)*(CkDJ[Sort Code]=(TRIM(G$4)))*(CkDJ[Account Code]=(TRIM($B101))),CkDJ[Debit])))+(SUM(IF((CsDJ[Date]=$A$3)*(CsDJ[Sort Code]=(TRIM(G$4)))*(CsDJ[Account Code]=(TRIM($B101))),CsDJ[Debit])))+(SUM(IF((CRDJ[Date]=$A$3)*(CRDJ[Sort Code]=(TRIM(G$4)))*(CRDJ[Account Code]=(TRIM($B101))),CRDJ[Debit])))+(SUM(IF((GJ[Date]=$A$3)*(GJ[Sort Code]=(TRIM(G$4)))*(GJ[Account Code]=(TRIM($B101))),GJ[Debit]))))-((SUM(IF((CkDJ[Date]=$A$3)*(CkDJ[Sort Code]=(TRIM(G$4)))*(CkDJ[Account Code]=(TRIM($B101))),CkDJ[Credit])))+(SUM(IF((CsDJ[Date]=$A$3)*(CsDJ[Sort Code]=(TRIM(G$4)))*(CsDJ[Account Code]=(TRIM($B101))),CsDJ[Credit])))+(SUM(IF((CRDJ[Date]=$A$3)*(CRDJ[Sort Code]=(TRIM(G$4)))*(CRDJ[Account Code]=(TRIM($B101))),CRDJ[Credit])))+(SUM(IF((GJ[Date]=$A$3)*(GJ[Sort Code]=(TRIM(G$4)))*(GJ[Account Code]=(TRIM($B101))),GJ[Credit]))))</f>
        <v>0</v>
      </c>
      <c r="G101" s="343">
        <f t="shared" si="9"/>
        <v>0</v>
      </c>
      <c r="H101" s="246">
        <f t="shared" si="5"/>
        <v>0</v>
      </c>
      <c r="I101" s="246">
        <f t="shared" si="6"/>
        <v>0</v>
      </c>
    </row>
    <row r="102" spans="1:9" hidden="1">
      <c r="A102" s="256" t="s">
        <v>301</v>
      </c>
      <c r="B102" s="339" t="s">
        <v>243</v>
      </c>
      <c r="C102" s="245">
        <f t="array" ref="C102">SUM(IF((Budget[Account Code]=B102)*(Budget[Sort Code]=$G$4),(Budget[Amount])))</f>
        <v>0</v>
      </c>
      <c r="D102" s="245">
        <f t="array" ref="D102">SUM(IF((Budget[Account Code]=B102)*(Budget[Sort Code]=$G$4)*(Budget[Date]&lt;=$D$7),(Budget[Amount])))</f>
        <v>0</v>
      </c>
      <c r="E102" s="245">
        <f t="array" ref="E102">((SUM(IF((CkDJ[Sort Code]=(TRIM(G$4)))*(CkDJ[Account Code]=(TRIM($B102)))*(CkDJ[Date]&lt;=$E$7),CkDJ[Debit])))+(SUM(IF((CsDJ[Sort Code]=(TRIM(G$4)))*(CsDJ[Account Code]=(TRIM($B102)))*(CsDJ[Date]&lt;=$E$7),CsDJ[Debit])))+(SUM(IF((CRDJ[Sort Code]=(TRIM(G$4)))*(CRDJ[Account Code]=(TRIM($B102)))*(CRDJ[Date]&lt;=$E$7),CRDJ[Debit])))+(SUM(IF((GJ[Sort Code]=(TRIM(G$4)))*(GJ[Account Code]=(TRIM($B102)))*(GJ[Date]&lt;=$E$7),GJ[Debit]))))-((SUM(IF((CkDJ[Sort Code]=(TRIM(G$4)))*(CkDJ[Account Code]=(TRIM($B102)))*(CkDJ[Date]&lt;=$E$7),CkDJ[Credit])))+(SUM(IF((CsDJ[Sort Code]=(TRIM(G$4)))*(CsDJ[Account Code]=(TRIM($B102)))*(CsDJ[Date]&lt;=$E$7),CsDJ[Credit])))+(SUM(IF((CRDJ[Sort Code]=(TRIM(G$4)))*(CRDJ[Account Code]=(TRIM($B102)))*(CRDJ[Date]&lt;=$E$7),CRDJ[Credit])))+(SUM(IF((GJ[Sort Code]=(TRIM(G$4)))*(GJ[Account Code]=(TRIM($B102)))*(GJ[Date]&lt;=$E$7),GJ[Credit]))))</f>
        <v>0</v>
      </c>
      <c r="F102" s="245">
        <f t="array" ref="F102">((SUM(IF((CkDJ[Date]=$A$3)*(CkDJ[Sort Code]=(TRIM(G$4)))*(CkDJ[Account Code]=(TRIM($B102))),CkDJ[Debit])))+(SUM(IF((CsDJ[Date]=$A$3)*(CsDJ[Sort Code]=(TRIM(G$4)))*(CsDJ[Account Code]=(TRIM($B102))),CsDJ[Debit])))+(SUM(IF((CRDJ[Date]=$A$3)*(CRDJ[Sort Code]=(TRIM(G$4)))*(CRDJ[Account Code]=(TRIM($B102))),CRDJ[Debit])))+(SUM(IF((GJ[Date]=$A$3)*(GJ[Sort Code]=(TRIM(G$4)))*(GJ[Account Code]=(TRIM($B102))),GJ[Debit]))))-((SUM(IF((CkDJ[Date]=$A$3)*(CkDJ[Sort Code]=(TRIM(G$4)))*(CkDJ[Account Code]=(TRIM($B102))),CkDJ[Credit])))+(SUM(IF((CsDJ[Date]=$A$3)*(CsDJ[Sort Code]=(TRIM(G$4)))*(CsDJ[Account Code]=(TRIM($B102))),CsDJ[Credit])))+(SUM(IF((CRDJ[Date]=$A$3)*(CRDJ[Sort Code]=(TRIM(G$4)))*(CRDJ[Account Code]=(TRIM($B102))),CRDJ[Credit])))+(SUM(IF((GJ[Date]=$A$3)*(GJ[Sort Code]=(TRIM(G$4)))*(GJ[Account Code]=(TRIM($B102))),GJ[Credit]))))</f>
        <v>0</v>
      </c>
      <c r="G102" s="343">
        <f t="shared" si="9"/>
        <v>0</v>
      </c>
      <c r="H102" s="246">
        <f t="shared" si="5"/>
        <v>0</v>
      </c>
      <c r="I102" s="246">
        <f t="shared" si="6"/>
        <v>0</v>
      </c>
    </row>
    <row r="103" spans="1:9" hidden="1">
      <c r="A103" s="256" t="s">
        <v>302</v>
      </c>
      <c r="B103" s="339" t="s">
        <v>244</v>
      </c>
      <c r="C103" s="245">
        <f t="array" ref="C103">SUM(IF((Budget[Account Code]=B103)*(Budget[Sort Code]=$G$4),(Budget[Amount])))</f>
        <v>0</v>
      </c>
      <c r="D103" s="245">
        <f t="array" ref="D103">SUM(IF((Budget[Account Code]=B103)*(Budget[Sort Code]=$G$4)*(Budget[Date]&lt;=$D$7),(Budget[Amount])))</f>
        <v>0</v>
      </c>
      <c r="E103" s="245">
        <f t="array" ref="E103">((SUM(IF((CkDJ[Sort Code]=(TRIM(G$4)))*(CkDJ[Account Code]=(TRIM($B103)))*(CkDJ[Date]&lt;=$E$7),CkDJ[Debit])))+(SUM(IF((CsDJ[Sort Code]=(TRIM(G$4)))*(CsDJ[Account Code]=(TRIM($B103)))*(CsDJ[Date]&lt;=$E$7),CsDJ[Debit])))+(SUM(IF((CRDJ[Sort Code]=(TRIM(G$4)))*(CRDJ[Account Code]=(TRIM($B103)))*(CRDJ[Date]&lt;=$E$7),CRDJ[Debit])))+(SUM(IF((GJ[Sort Code]=(TRIM(G$4)))*(GJ[Account Code]=(TRIM($B103)))*(GJ[Date]&lt;=$E$7),GJ[Debit]))))-((SUM(IF((CkDJ[Sort Code]=(TRIM(G$4)))*(CkDJ[Account Code]=(TRIM($B103)))*(CkDJ[Date]&lt;=$E$7),CkDJ[Credit])))+(SUM(IF((CsDJ[Sort Code]=(TRIM(G$4)))*(CsDJ[Account Code]=(TRIM($B103)))*(CsDJ[Date]&lt;=$E$7),CsDJ[Credit])))+(SUM(IF((CRDJ[Sort Code]=(TRIM(G$4)))*(CRDJ[Account Code]=(TRIM($B103)))*(CRDJ[Date]&lt;=$E$7),CRDJ[Credit])))+(SUM(IF((GJ[Sort Code]=(TRIM(G$4)))*(GJ[Account Code]=(TRIM($B103)))*(GJ[Date]&lt;=$E$7),GJ[Credit]))))</f>
        <v>0</v>
      </c>
      <c r="F103" s="245">
        <f t="array" ref="F103">((SUM(IF((CkDJ[Date]=$A$3)*(CkDJ[Sort Code]=(TRIM(G$4)))*(CkDJ[Account Code]=(TRIM($B103))),CkDJ[Debit])))+(SUM(IF((CsDJ[Date]=$A$3)*(CsDJ[Sort Code]=(TRIM(G$4)))*(CsDJ[Account Code]=(TRIM($B103))),CsDJ[Debit])))+(SUM(IF((CRDJ[Date]=$A$3)*(CRDJ[Sort Code]=(TRIM(G$4)))*(CRDJ[Account Code]=(TRIM($B103))),CRDJ[Debit])))+(SUM(IF((GJ[Date]=$A$3)*(GJ[Sort Code]=(TRIM(G$4)))*(GJ[Account Code]=(TRIM($B103))),GJ[Debit]))))-((SUM(IF((CkDJ[Date]=$A$3)*(CkDJ[Sort Code]=(TRIM(G$4)))*(CkDJ[Account Code]=(TRIM($B103))),CkDJ[Credit])))+(SUM(IF((CsDJ[Date]=$A$3)*(CsDJ[Sort Code]=(TRIM(G$4)))*(CsDJ[Account Code]=(TRIM($B103))),CsDJ[Credit])))+(SUM(IF((CRDJ[Date]=$A$3)*(CRDJ[Sort Code]=(TRIM(G$4)))*(CRDJ[Account Code]=(TRIM($B103))),CRDJ[Credit])))+(SUM(IF((GJ[Date]=$A$3)*(GJ[Sort Code]=(TRIM(G$4)))*(GJ[Account Code]=(TRIM($B103))),GJ[Credit]))))</f>
        <v>0</v>
      </c>
      <c r="G103" s="343">
        <f t="shared" si="9"/>
        <v>0</v>
      </c>
      <c r="H103" s="246">
        <f t="shared" si="5"/>
        <v>0</v>
      </c>
      <c r="I103" s="246">
        <f t="shared" si="6"/>
        <v>0</v>
      </c>
    </row>
    <row r="104" spans="1:9" hidden="1">
      <c r="A104" s="256" t="s">
        <v>347</v>
      </c>
      <c r="B104" s="339" t="s">
        <v>338</v>
      </c>
      <c r="C104" s="245">
        <f t="array" ref="C104">SUM(IF((Budget[Account Code]=B104)*(Budget[Sort Code]=$G$4),(Budget[Amount])))</f>
        <v>0</v>
      </c>
      <c r="D104" s="245">
        <f t="array" ref="D104">SUM(IF((Budget[Account Code]=B104)*(Budget[Sort Code]=$G$4)*(Budget[Date]&lt;=$D$7),(Budget[Amount])))</f>
        <v>0</v>
      </c>
      <c r="E104" s="245">
        <f t="array" ref="E104">((SUM(IF((CkDJ[Sort Code]=(TRIM(G$4)))*(CkDJ[Account Code]=(TRIM($B104)))*(CkDJ[Date]&lt;=$E$7),CkDJ[Debit])))+(SUM(IF((CsDJ[Sort Code]=(TRIM(G$4)))*(CsDJ[Account Code]=(TRIM($B104)))*(CsDJ[Date]&lt;=$E$7),CsDJ[Debit])))+(SUM(IF((CRDJ[Sort Code]=(TRIM(G$4)))*(CRDJ[Account Code]=(TRIM($B104)))*(CRDJ[Date]&lt;=$E$7),CRDJ[Debit])))+(SUM(IF((GJ[Sort Code]=(TRIM(G$4)))*(GJ[Account Code]=(TRIM($B104)))*(GJ[Date]&lt;=$E$7),GJ[Debit]))))-((SUM(IF((CkDJ[Sort Code]=(TRIM(G$4)))*(CkDJ[Account Code]=(TRIM($B104)))*(CkDJ[Date]&lt;=$E$7),CkDJ[Credit])))+(SUM(IF((CsDJ[Sort Code]=(TRIM(G$4)))*(CsDJ[Account Code]=(TRIM($B104)))*(CsDJ[Date]&lt;=$E$7),CsDJ[Credit])))+(SUM(IF((CRDJ[Sort Code]=(TRIM(G$4)))*(CRDJ[Account Code]=(TRIM($B104)))*(CRDJ[Date]&lt;=$E$7),CRDJ[Credit])))+(SUM(IF((GJ[Sort Code]=(TRIM(G$4)))*(GJ[Account Code]=(TRIM($B104)))*(GJ[Date]&lt;=$E$7),GJ[Credit]))))</f>
        <v>0</v>
      </c>
      <c r="F104" s="245">
        <f t="array" ref="F104">((SUM(IF((CkDJ[Date]=$A$3)*(CkDJ[Sort Code]=(TRIM(G$4)))*(CkDJ[Account Code]=(TRIM($B104))),CkDJ[Debit])))+(SUM(IF((CsDJ[Date]=$A$3)*(CsDJ[Sort Code]=(TRIM(G$4)))*(CsDJ[Account Code]=(TRIM($B104))),CsDJ[Debit])))+(SUM(IF((CRDJ[Date]=$A$3)*(CRDJ[Sort Code]=(TRIM(G$4)))*(CRDJ[Account Code]=(TRIM($B104))),CRDJ[Debit])))+(SUM(IF((GJ[Date]=$A$3)*(GJ[Sort Code]=(TRIM(G$4)))*(GJ[Account Code]=(TRIM($B104))),GJ[Debit]))))-((SUM(IF((CkDJ[Date]=$A$3)*(CkDJ[Sort Code]=(TRIM(G$4)))*(CkDJ[Account Code]=(TRIM($B104))),CkDJ[Credit])))+(SUM(IF((CsDJ[Date]=$A$3)*(CsDJ[Sort Code]=(TRIM(G$4)))*(CsDJ[Account Code]=(TRIM($B104))),CsDJ[Credit])))+(SUM(IF((CRDJ[Date]=$A$3)*(CRDJ[Sort Code]=(TRIM(G$4)))*(CRDJ[Account Code]=(TRIM($B104))),CRDJ[Credit])))+(SUM(IF((GJ[Date]=$A$3)*(GJ[Sort Code]=(TRIM(G$4)))*(GJ[Account Code]=(TRIM($B104))),GJ[Credit]))))</f>
        <v>0</v>
      </c>
      <c r="G104" s="343">
        <f t="shared" si="9"/>
        <v>0</v>
      </c>
      <c r="H104" s="246">
        <f t="shared" si="5"/>
        <v>0</v>
      </c>
      <c r="I104" s="246">
        <f t="shared" si="6"/>
        <v>0</v>
      </c>
    </row>
    <row r="105" spans="1:9" hidden="1">
      <c r="A105" s="256" t="s">
        <v>348</v>
      </c>
      <c r="B105" s="339" t="s">
        <v>339</v>
      </c>
      <c r="C105" s="245">
        <f t="array" ref="C105">SUM(IF((Budget[Account Code]=B105)*(Budget[Sort Code]=$G$4),(Budget[Amount])))</f>
        <v>0</v>
      </c>
      <c r="D105" s="245">
        <f t="array" ref="D105">SUM(IF((Budget[Account Code]=B105)*(Budget[Sort Code]=$G$4)*(Budget[Date]&lt;=$D$7),(Budget[Amount])))</f>
        <v>0</v>
      </c>
      <c r="E105" s="245">
        <f t="array" ref="E105">((SUM(IF((CkDJ[Sort Code]=(TRIM(G$4)))*(CkDJ[Account Code]=(TRIM($B105)))*(CkDJ[Date]&lt;=$E$7),CkDJ[Debit])))+(SUM(IF((CsDJ[Sort Code]=(TRIM(G$4)))*(CsDJ[Account Code]=(TRIM($B105)))*(CsDJ[Date]&lt;=$E$7),CsDJ[Debit])))+(SUM(IF((CRDJ[Sort Code]=(TRIM(G$4)))*(CRDJ[Account Code]=(TRIM($B105)))*(CRDJ[Date]&lt;=$E$7),CRDJ[Debit])))+(SUM(IF((GJ[Sort Code]=(TRIM(G$4)))*(GJ[Account Code]=(TRIM($B105)))*(GJ[Date]&lt;=$E$7),GJ[Debit]))))-((SUM(IF((CkDJ[Sort Code]=(TRIM(G$4)))*(CkDJ[Account Code]=(TRIM($B105)))*(CkDJ[Date]&lt;=$E$7),CkDJ[Credit])))+(SUM(IF((CsDJ[Sort Code]=(TRIM(G$4)))*(CsDJ[Account Code]=(TRIM($B105)))*(CsDJ[Date]&lt;=$E$7),CsDJ[Credit])))+(SUM(IF((CRDJ[Sort Code]=(TRIM(G$4)))*(CRDJ[Account Code]=(TRIM($B105)))*(CRDJ[Date]&lt;=$E$7),CRDJ[Credit])))+(SUM(IF((GJ[Sort Code]=(TRIM(G$4)))*(GJ[Account Code]=(TRIM($B105)))*(GJ[Date]&lt;=$E$7),GJ[Credit]))))</f>
        <v>0</v>
      </c>
      <c r="F105" s="245">
        <f t="array" ref="F105">((SUM(IF((CkDJ[Date]=$A$3)*(CkDJ[Sort Code]=(TRIM(G$4)))*(CkDJ[Account Code]=(TRIM($B105))),CkDJ[Debit])))+(SUM(IF((CsDJ[Date]=$A$3)*(CsDJ[Sort Code]=(TRIM(G$4)))*(CsDJ[Account Code]=(TRIM($B105))),CsDJ[Debit])))+(SUM(IF((CRDJ[Date]=$A$3)*(CRDJ[Sort Code]=(TRIM(G$4)))*(CRDJ[Account Code]=(TRIM($B105))),CRDJ[Debit])))+(SUM(IF((GJ[Date]=$A$3)*(GJ[Sort Code]=(TRIM(G$4)))*(GJ[Account Code]=(TRIM($B105))),GJ[Debit]))))-((SUM(IF((CkDJ[Date]=$A$3)*(CkDJ[Sort Code]=(TRIM(G$4)))*(CkDJ[Account Code]=(TRIM($B105))),CkDJ[Credit])))+(SUM(IF((CsDJ[Date]=$A$3)*(CsDJ[Sort Code]=(TRIM(G$4)))*(CsDJ[Account Code]=(TRIM($B105))),CsDJ[Credit])))+(SUM(IF((CRDJ[Date]=$A$3)*(CRDJ[Sort Code]=(TRIM(G$4)))*(CRDJ[Account Code]=(TRIM($B105))),CRDJ[Credit])))+(SUM(IF((GJ[Date]=$A$3)*(GJ[Sort Code]=(TRIM(G$4)))*(GJ[Account Code]=(TRIM($B105))),GJ[Credit]))))</f>
        <v>0</v>
      </c>
      <c r="G105" s="343">
        <f t="shared" si="9"/>
        <v>0</v>
      </c>
      <c r="H105" s="246">
        <f t="shared" si="5"/>
        <v>0</v>
      </c>
      <c r="I105" s="246">
        <f t="shared" si="6"/>
        <v>0</v>
      </c>
    </row>
    <row r="106" spans="1:9" hidden="1">
      <c r="A106" s="256" t="s">
        <v>1021</v>
      </c>
      <c r="B106" s="339" t="s">
        <v>245</v>
      </c>
      <c r="C106" s="245">
        <f t="array" ref="C106">SUM(IF((Budget[Account Code]=B106)*(Budget[Sort Code]=$G$4),(Budget[Amount])))</f>
        <v>0</v>
      </c>
      <c r="D106" s="245">
        <f t="array" ref="D106">SUM(IF((Budget[Account Code]=B106)*(Budget[Sort Code]=$G$4)*(Budget[Date]&lt;=$D$7),(Budget[Amount])))</f>
        <v>0</v>
      </c>
      <c r="E106" s="245">
        <f t="array" ref="E106">((SUM(IF((CkDJ[Sort Code]=(TRIM(G$4)))*(CkDJ[Account Code]=(TRIM($B106)))*(CkDJ[Date]&lt;=$E$7),CkDJ[Debit])))+(SUM(IF((CsDJ[Sort Code]=(TRIM(G$4)))*(CsDJ[Account Code]=(TRIM($B106)))*(CsDJ[Date]&lt;=$E$7),CsDJ[Debit])))+(SUM(IF((CRDJ[Sort Code]=(TRIM(G$4)))*(CRDJ[Account Code]=(TRIM($B106)))*(CRDJ[Date]&lt;=$E$7),CRDJ[Debit])))+(SUM(IF((GJ[Sort Code]=(TRIM(G$4)))*(GJ[Account Code]=(TRIM($B106)))*(GJ[Date]&lt;=$E$7),GJ[Debit]))))-((SUM(IF((CkDJ[Sort Code]=(TRIM(G$4)))*(CkDJ[Account Code]=(TRIM($B106)))*(CkDJ[Date]&lt;=$E$7),CkDJ[Credit])))+(SUM(IF((CsDJ[Sort Code]=(TRIM(G$4)))*(CsDJ[Account Code]=(TRIM($B106)))*(CsDJ[Date]&lt;=$E$7),CsDJ[Credit])))+(SUM(IF((CRDJ[Sort Code]=(TRIM(G$4)))*(CRDJ[Account Code]=(TRIM($B106)))*(CRDJ[Date]&lt;=$E$7),CRDJ[Credit])))+(SUM(IF((GJ[Sort Code]=(TRIM(G$4)))*(GJ[Account Code]=(TRIM($B106)))*(GJ[Date]&lt;=$E$7),GJ[Credit]))))</f>
        <v>0</v>
      </c>
      <c r="F106" s="245">
        <f t="array" ref="F106">((SUM(IF((CkDJ[Date]=$A$3)*(CkDJ[Sort Code]=(TRIM(G$4)))*(CkDJ[Account Code]=(TRIM($B106))),CkDJ[Debit])))+(SUM(IF((CsDJ[Date]=$A$3)*(CsDJ[Sort Code]=(TRIM(G$4)))*(CsDJ[Account Code]=(TRIM($B106))),CsDJ[Debit])))+(SUM(IF((CRDJ[Date]=$A$3)*(CRDJ[Sort Code]=(TRIM(G$4)))*(CRDJ[Account Code]=(TRIM($B106))),CRDJ[Debit])))+(SUM(IF((GJ[Date]=$A$3)*(GJ[Sort Code]=(TRIM(G$4)))*(GJ[Account Code]=(TRIM($B106))),GJ[Debit]))))-((SUM(IF((CkDJ[Date]=$A$3)*(CkDJ[Sort Code]=(TRIM(G$4)))*(CkDJ[Account Code]=(TRIM($B106))),CkDJ[Credit])))+(SUM(IF((CsDJ[Date]=$A$3)*(CsDJ[Sort Code]=(TRIM(G$4)))*(CsDJ[Account Code]=(TRIM($B106))),CsDJ[Credit])))+(SUM(IF((CRDJ[Date]=$A$3)*(CRDJ[Sort Code]=(TRIM(G$4)))*(CRDJ[Account Code]=(TRIM($B106))),CRDJ[Credit])))+(SUM(IF((GJ[Date]=$A$3)*(GJ[Sort Code]=(TRIM(G$4)))*(GJ[Account Code]=(TRIM($B106))),GJ[Credit]))))</f>
        <v>0</v>
      </c>
      <c r="G106" s="343">
        <f t="shared" si="9"/>
        <v>0</v>
      </c>
      <c r="H106" s="246">
        <f t="shared" si="5"/>
        <v>0</v>
      </c>
      <c r="I106" s="246">
        <f t="shared" si="6"/>
        <v>0</v>
      </c>
    </row>
    <row r="107" spans="1:9" hidden="1">
      <c r="A107" s="256" t="s">
        <v>1022</v>
      </c>
      <c r="B107" s="339" t="s">
        <v>246</v>
      </c>
      <c r="C107" s="245">
        <f t="array" ref="C107">SUM(IF((Budget[Account Code]=B107)*(Budget[Sort Code]=$G$4),(Budget[Amount])))</f>
        <v>0</v>
      </c>
      <c r="D107" s="245">
        <f t="array" ref="D107">SUM(IF((Budget[Account Code]=B107)*(Budget[Sort Code]=$G$4)*(Budget[Date]&lt;=$D$7),(Budget[Amount])))</f>
        <v>0</v>
      </c>
      <c r="E107" s="245">
        <f t="array" ref="E107">((SUM(IF((CkDJ[Sort Code]=(TRIM(G$4)))*(CkDJ[Account Code]=(TRIM($B107)))*(CkDJ[Date]&lt;=$E$7),CkDJ[Debit])))+(SUM(IF((CsDJ[Sort Code]=(TRIM(G$4)))*(CsDJ[Account Code]=(TRIM($B107)))*(CsDJ[Date]&lt;=$E$7),CsDJ[Debit])))+(SUM(IF((CRDJ[Sort Code]=(TRIM(G$4)))*(CRDJ[Account Code]=(TRIM($B107)))*(CRDJ[Date]&lt;=$E$7),CRDJ[Debit])))+(SUM(IF((GJ[Sort Code]=(TRIM(G$4)))*(GJ[Account Code]=(TRIM($B107)))*(GJ[Date]&lt;=$E$7),GJ[Debit]))))-((SUM(IF((CkDJ[Sort Code]=(TRIM(G$4)))*(CkDJ[Account Code]=(TRIM($B107)))*(CkDJ[Date]&lt;=$E$7),CkDJ[Credit])))+(SUM(IF((CsDJ[Sort Code]=(TRIM(G$4)))*(CsDJ[Account Code]=(TRIM($B107)))*(CsDJ[Date]&lt;=$E$7),CsDJ[Credit])))+(SUM(IF((CRDJ[Sort Code]=(TRIM(G$4)))*(CRDJ[Account Code]=(TRIM($B107)))*(CRDJ[Date]&lt;=$E$7),CRDJ[Credit])))+(SUM(IF((GJ[Sort Code]=(TRIM(G$4)))*(GJ[Account Code]=(TRIM($B107)))*(GJ[Date]&lt;=$E$7),GJ[Credit]))))</f>
        <v>0</v>
      </c>
      <c r="F107" s="245">
        <f t="array" ref="F107">((SUM(IF((CkDJ[Date]=$A$3)*(CkDJ[Sort Code]=(TRIM(G$4)))*(CkDJ[Account Code]=(TRIM($B107))),CkDJ[Debit])))+(SUM(IF((CsDJ[Date]=$A$3)*(CsDJ[Sort Code]=(TRIM(G$4)))*(CsDJ[Account Code]=(TRIM($B107))),CsDJ[Debit])))+(SUM(IF((CRDJ[Date]=$A$3)*(CRDJ[Sort Code]=(TRIM(G$4)))*(CRDJ[Account Code]=(TRIM($B107))),CRDJ[Debit])))+(SUM(IF((GJ[Date]=$A$3)*(GJ[Sort Code]=(TRIM(G$4)))*(GJ[Account Code]=(TRIM($B107))),GJ[Debit]))))-((SUM(IF((CkDJ[Date]=$A$3)*(CkDJ[Sort Code]=(TRIM(G$4)))*(CkDJ[Account Code]=(TRIM($B107))),CkDJ[Credit])))+(SUM(IF((CsDJ[Date]=$A$3)*(CsDJ[Sort Code]=(TRIM(G$4)))*(CsDJ[Account Code]=(TRIM($B107))),CsDJ[Credit])))+(SUM(IF((CRDJ[Date]=$A$3)*(CRDJ[Sort Code]=(TRIM(G$4)))*(CRDJ[Account Code]=(TRIM($B107))),CRDJ[Credit])))+(SUM(IF((GJ[Date]=$A$3)*(GJ[Sort Code]=(TRIM(G$4)))*(GJ[Account Code]=(TRIM($B107))),GJ[Credit]))))</f>
        <v>0</v>
      </c>
      <c r="G107" s="343">
        <f t="shared" si="9"/>
        <v>0</v>
      </c>
      <c r="H107" s="246">
        <f t="shared" si="5"/>
        <v>0</v>
      </c>
      <c r="I107" s="246">
        <f t="shared" si="6"/>
        <v>0</v>
      </c>
    </row>
    <row r="108" spans="1:9" hidden="1">
      <c r="A108" s="256" t="s">
        <v>1023</v>
      </c>
      <c r="B108" s="339" t="s">
        <v>247</v>
      </c>
      <c r="C108" s="245">
        <f t="array" ref="C108">SUM(IF((Budget[Account Code]=B108)*(Budget[Sort Code]=$G$4),(Budget[Amount])))</f>
        <v>0</v>
      </c>
      <c r="D108" s="245">
        <f t="array" ref="D108">SUM(IF((Budget[Account Code]=B108)*(Budget[Sort Code]=$G$4)*(Budget[Date]&lt;=$D$7),(Budget[Amount])))</f>
        <v>0</v>
      </c>
      <c r="E108" s="245">
        <f t="array" ref="E108">((SUM(IF((CkDJ[Sort Code]=(TRIM(G$4)))*(CkDJ[Account Code]=(TRIM($B108)))*(CkDJ[Date]&lt;=$E$7),CkDJ[Debit])))+(SUM(IF((CsDJ[Sort Code]=(TRIM(G$4)))*(CsDJ[Account Code]=(TRIM($B108)))*(CsDJ[Date]&lt;=$E$7),CsDJ[Debit])))+(SUM(IF((CRDJ[Sort Code]=(TRIM(G$4)))*(CRDJ[Account Code]=(TRIM($B108)))*(CRDJ[Date]&lt;=$E$7),CRDJ[Debit])))+(SUM(IF((GJ[Sort Code]=(TRIM(G$4)))*(GJ[Account Code]=(TRIM($B108)))*(GJ[Date]&lt;=$E$7),GJ[Debit]))))-((SUM(IF((CkDJ[Sort Code]=(TRIM(G$4)))*(CkDJ[Account Code]=(TRIM($B108)))*(CkDJ[Date]&lt;=$E$7),CkDJ[Credit])))+(SUM(IF((CsDJ[Sort Code]=(TRIM(G$4)))*(CsDJ[Account Code]=(TRIM($B108)))*(CsDJ[Date]&lt;=$E$7),CsDJ[Credit])))+(SUM(IF((CRDJ[Sort Code]=(TRIM(G$4)))*(CRDJ[Account Code]=(TRIM($B108)))*(CRDJ[Date]&lt;=$E$7),CRDJ[Credit])))+(SUM(IF((GJ[Sort Code]=(TRIM(G$4)))*(GJ[Account Code]=(TRIM($B108)))*(GJ[Date]&lt;=$E$7),GJ[Credit]))))</f>
        <v>0</v>
      </c>
      <c r="F108" s="245">
        <f t="array" ref="F108">((SUM(IF((CkDJ[Date]=$A$3)*(CkDJ[Sort Code]=(TRIM(G$4)))*(CkDJ[Account Code]=(TRIM($B108))),CkDJ[Debit])))+(SUM(IF((CsDJ[Date]=$A$3)*(CsDJ[Sort Code]=(TRIM(G$4)))*(CsDJ[Account Code]=(TRIM($B108))),CsDJ[Debit])))+(SUM(IF((CRDJ[Date]=$A$3)*(CRDJ[Sort Code]=(TRIM(G$4)))*(CRDJ[Account Code]=(TRIM($B108))),CRDJ[Debit])))+(SUM(IF((GJ[Date]=$A$3)*(GJ[Sort Code]=(TRIM(G$4)))*(GJ[Account Code]=(TRIM($B108))),GJ[Debit]))))-((SUM(IF((CkDJ[Date]=$A$3)*(CkDJ[Sort Code]=(TRIM(G$4)))*(CkDJ[Account Code]=(TRIM($B108))),CkDJ[Credit])))+(SUM(IF((CsDJ[Date]=$A$3)*(CsDJ[Sort Code]=(TRIM(G$4)))*(CsDJ[Account Code]=(TRIM($B108))),CsDJ[Credit])))+(SUM(IF((CRDJ[Date]=$A$3)*(CRDJ[Sort Code]=(TRIM(G$4)))*(CRDJ[Account Code]=(TRIM($B108))),CRDJ[Credit])))+(SUM(IF((GJ[Date]=$A$3)*(GJ[Sort Code]=(TRIM(G$4)))*(GJ[Account Code]=(TRIM($B108))),GJ[Credit]))))</f>
        <v>0</v>
      </c>
      <c r="G108" s="343">
        <f t="shared" si="9"/>
        <v>0</v>
      </c>
      <c r="H108" s="246">
        <f t="shared" si="5"/>
        <v>0</v>
      </c>
      <c r="I108" s="246">
        <f t="shared" si="6"/>
        <v>0</v>
      </c>
    </row>
    <row r="109" spans="1:9" hidden="1">
      <c r="A109" s="256" t="s">
        <v>1024</v>
      </c>
      <c r="B109" s="339" t="s">
        <v>248</v>
      </c>
      <c r="C109" s="245">
        <f t="array" ref="C109">SUM(IF((Budget[Account Code]=B109)*(Budget[Sort Code]=$G$4),(Budget[Amount])))</f>
        <v>0</v>
      </c>
      <c r="D109" s="245">
        <f t="array" ref="D109">SUM(IF((Budget[Account Code]=B109)*(Budget[Sort Code]=$G$4)*(Budget[Date]&lt;=$D$7),(Budget[Amount])))</f>
        <v>0</v>
      </c>
      <c r="E109" s="245">
        <f t="array" ref="E109">((SUM(IF((CkDJ[Sort Code]=(TRIM(G$4)))*(CkDJ[Account Code]=(TRIM($B109)))*(CkDJ[Date]&lt;=$E$7),CkDJ[Debit])))+(SUM(IF((CsDJ[Sort Code]=(TRIM(G$4)))*(CsDJ[Account Code]=(TRIM($B109)))*(CsDJ[Date]&lt;=$E$7),CsDJ[Debit])))+(SUM(IF((CRDJ[Sort Code]=(TRIM(G$4)))*(CRDJ[Account Code]=(TRIM($B109)))*(CRDJ[Date]&lt;=$E$7),CRDJ[Debit])))+(SUM(IF((GJ[Sort Code]=(TRIM(G$4)))*(GJ[Account Code]=(TRIM($B109)))*(GJ[Date]&lt;=$E$7),GJ[Debit]))))-((SUM(IF((CkDJ[Sort Code]=(TRIM(G$4)))*(CkDJ[Account Code]=(TRIM($B109)))*(CkDJ[Date]&lt;=$E$7),CkDJ[Credit])))+(SUM(IF((CsDJ[Sort Code]=(TRIM(G$4)))*(CsDJ[Account Code]=(TRIM($B109)))*(CsDJ[Date]&lt;=$E$7),CsDJ[Credit])))+(SUM(IF((CRDJ[Sort Code]=(TRIM(G$4)))*(CRDJ[Account Code]=(TRIM($B109)))*(CRDJ[Date]&lt;=$E$7),CRDJ[Credit])))+(SUM(IF((GJ[Sort Code]=(TRIM(G$4)))*(GJ[Account Code]=(TRIM($B109)))*(GJ[Date]&lt;=$E$7),GJ[Credit]))))</f>
        <v>0</v>
      </c>
      <c r="F109" s="245">
        <f t="array" ref="F109">((SUM(IF((CkDJ[Date]=$A$3)*(CkDJ[Sort Code]=(TRIM(G$4)))*(CkDJ[Account Code]=(TRIM($B109))),CkDJ[Debit])))+(SUM(IF((CsDJ[Date]=$A$3)*(CsDJ[Sort Code]=(TRIM(G$4)))*(CsDJ[Account Code]=(TRIM($B109))),CsDJ[Debit])))+(SUM(IF((CRDJ[Date]=$A$3)*(CRDJ[Sort Code]=(TRIM(G$4)))*(CRDJ[Account Code]=(TRIM($B109))),CRDJ[Debit])))+(SUM(IF((GJ[Date]=$A$3)*(GJ[Sort Code]=(TRIM(G$4)))*(GJ[Account Code]=(TRIM($B109))),GJ[Debit]))))-((SUM(IF((CkDJ[Date]=$A$3)*(CkDJ[Sort Code]=(TRIM(G$4)))*(CkDJ[Account Code]=(TRIM($B109))),CkDJ[Credit])))+(SUM(IF((CsDJ[Date]=$A$3)*(CsDJ[Sort Code]=(TRIM(G$4)))*(CsDJ[Account Code]=(TRIM($B109))),CsDJ[Credit])))+(SUM(IF((CRDJ[Date]=$A$3)*(CRDJ[Sort Code]=(TRIM(G$4)))*(CRDJ[Account Code]=(TRIM($B109))),CRDJ[Credit])))+(SUM(IF((GJ[Date]=$A$3)*(GJ[Sort Code]=(TRIM(G$4)))*(GJ[Account Code]=(TRIM($B109))),GJ[Credit]))))</f>
        <v>0</v>
      </c>
      <c r="G109" s="343">
        <f t="shared" si="9"/>
        <v>0</v>
      </c>
      <c r="H109" s="246">
        <f t="shared" si="5"/>
        <v>0</v>
      </c>
      <c r="I109" s="246">
        <f t="shared" si="6"/>
        <v>0</v>
      </c>
    </row>
    <row r="110" spans="1:9" hidden="1">
      <c r="A110" s="256" t="s">
        <v>1025</v>
      </c>
      <c r="B110" s="339" t="s">
        <v>249</v>
      </c>
      <c r="C110" s="245">
        <f t="array" ref="C110">SUM(IF((Budget[Account Code]=B110)*(Budget[Sort Code]=$G$4),(Budget[Amount])))</f>
        <v>0</v>
      </c>
      <c r="D110" s="245">
        <f t="array" ref="D110">SUM(IF((Budget[Account Code]=B110)*(Budget[Sort Code]=$G$4)*(Budget[Date]&lt;=$D$7),(Budget[Amount])))</f>
        <v>0</v>
      </c>
      <c r="E110" s="245">
        <f t="array" ref="E110">((SUM(IF((CkDJ[Sort Code]=(TRIM(G$4)))*(CkDJ[Account Code]=(TRIM($B110)))*(CkDJ[Date]&lt;=$E$7),CkDJ[Debit])))+(SUM(IF((CsDJ[Sort Code]=(TRIM(G$4)))*(CsDJ[Account Code]=(TRIM($B110)))*(CsDJ[Date]&lt;=$E$7),CsDJ[Debit])))+(SUM(IF((CRDJ[Sort Code]=(TRIM(G$4)))*(CRDJ[Account Code]=(TRIM($B110)))*(CRDJ[Date]&lt;=$E$7),CRDJ[Debit])))+(SUM(IF((GJ[Sort Code]=(TRIM(G$4)))*(GJ[Account Code]=(TRIM($B110)))*(GJ[Date]&lt;=$E$7),GJ[Debit]))))-((SUM(IF((CkDJ[Sort Code]=(TRIM(G$4)))*(CkDJ[Account Code]=(TRIM($B110)))*(CkDJ[Date]&lt;=$E$7),CkDJ[Credit])))+(SUM(IF((CsDJ[Sort Code]=(TRIM(G$4)))*(CsDJ[Account Code]=(TRIM($B110)))*(CsDJ[Date]&lt;=$E$7),CsDJ[Credit])))+(SUM(IF((CRDJ[Sort Code]=(TRIM(G$4)))*(CRDJ[Account Code]=(TRIM($B110)))*(CRDJ[Date]&lt;=$E$7),CRDJ[Credit])))+(SUM(IF((GJ[Sort Code]=(TRIM(G$4)))*(GJ[Account Code]=(TRIM($B110)))*(GJ[Date]&lt;=$E$7),GJ[Credit]))))</f>
        <v>0</v>
      </c>
      <c r="F110" s="245">
        <f t="array" ref="F110">((SUM(IF((CkDJ[Date]=$A$3)*(CkDJ[Sort Code]=(TRIM(G$4)))*(CkDJ[Account Code]=(TRIM($B110))),CkDJ[Debit])))+(SUM(IF((CsDJ[Date]=$A$3)*(CsDJ[Sort Code]=(TRIM(G$4)))*(CsDJ[Account Code]=(TRIM($B110))),CsDJ[Debit])))+(SUM(IF((CRDJ[Date]=$A$3)*(CRDJ[Sort Code]=(TRIM(G$4)))*(CRDJ[Account Code]=(TRIM($B110))),CRDJ[Debit])))+(SUM(IF((GJ[Date]=$A$3)*(GJ[Sort Code]=(TRIM(G$4)))*(GJ[Account Code]=(TRIM($B110))),GJ[Debit]))))-((SUM(IF((CkDJ[Date]=$A$3)*(CkDJ[Sort Code]=(TRIM(G$4)))*(CkDJ[Account Code]=(TRIM($B110))),CkDJ[Credit])))+(SUM(IF((CsDJ[Date]=$A$3)*(CsDJ[Sort Code]=(TRIM(G$4)))*(CsDJ[Account Code]=(TRIM($B110))),CsDJ[Credit])))+(SUM(IF((CRDJ[Date]=$A$3)*(CRDJ[Sort Code]=(TRIM(G$4)))*(CRDJ[Account Code]=(TRIM($B110))),CRDJ[Credit])))+(SUM(IF((GJ[Date]=$A$3)*(GJ[Sort Code]=(TRIM(G$4)))*(GJ[Account Code]=(TRIM($B110))),GJ[Credit]))))</f>
        <v>0</v>
      </c>
      <c r="G110" s="343">
        <f t="shared" si="9"/>
        <v>0</v>
      </c>
      <c r="H110" s="246">
        <f t="shared" si="5"/>
        <v>0</v>
      </c>
      <c r="I110" s="246">
        <f t="shared" si="6"/>
        <v>0</v>
      </c>
    </row>
    <row r="111" spans="1:9" hidden="1">
      <c r="A111" s="256" t="s">
        <v>302</v>
      </c>
      <c r="B111" s="339" t="s">
        <v>250</v>
      </c>
      <c r="C111" s="245">
        <f t="array" ref="C111">SUM(IF((Budget[Account Code]=B111)*(Budget[Sort Code]=$G$4),(Budget[Amount])))</f>
        <v>0</v>
      </c>
      <c r="D111" s="245">
        <f t="array" ref="D111">SUM(IF((Budget[Account Code]=B111)*(Budget[Sort Code]=$G$4)*(Budget[Date]&lt;=$D$7),(Budget[Amount])))</f>
        <v>0</v>
      </c>
      <c r="E111" s="245">
        <f t="array" ref="E111">((SUM(IF((CkDJ[Sort Code]=(TRIM(G$4)))*(CkDJ[Account Code]=(TRIM($B111)))*(CkDJ[Date]&lt;=$E$7),CkDJ[Debit])))+(SUM(IF((CsDJ[Sort Code]=(TRIM(G$4)))*(CsDJ[Account Code]=(TRIM($B111)))*(CsDJ[Date]&lt;=$E$7),CsDJ[Debit])))+(SUM(IF((CRDJ[Sort Code]=(TRIM(G$4)))*(CRDJ[Account Code]=(TRIM($B111)))*(CRDJ[Date]&lt;=$E$7),CRDJ[Debit])))+(SUM(IF((GJ[Sort Code]=(TRIM(G$4)))*(GJ[Account Code]=(TRIM($B111)))*(GJ[Date]&lt;=$E$7),GJ[Debit]))))-((SUM(IF((CkDJ[Sort Code]=(TRIM(G$4)))*(CkDJ[Account Code]=(TRIM($B111)))*(CkDJ[Date]&lt;=$E$7),CkDJ[Credit])))+(SUM(IF((CsDJ[Sort Code]=(TRIM(G$4)))*(CsDJ[Account Code]=(TRIM($B111)))*(CsDJ[Date]&lt;=$E$7),CsDJ[Credit])))+(SUM(IF((CRDJ[Sort Code]=(TRIM(G$4)))*(CRDJ[Account Code]=(TRIM($B111)))*(CRDJ[Date]&lt;=$E$7),CRDJ[Credit])))+(SUM(IF((GJ[Sort Code]=(TRIM(G$4)))*(GJ[Account Code]=(TRIM($B111)))*(GJ[Date]&lt;=$E$7),GJ[Credit]))))</f>
        <v>0</v>
      </c>
      <c r="F111" s="245">
        <f t="array" ref="F111">((SUM(IF((CkDJ[Date]=$A$3)*(CkDJ[Sort Code]=(TRIM(G$4)))*(CkDJ[Account Code]=(TRIM($B111))),CkDJ[Debit])))+(SUM(IF((CsDJ[Date]=$A$3)*(CsDJ[Sort Code]=(TRIM(G$4)))*(CsDJ[Account Code]=(TRIM($B111))),CsDJ[Debit])))+(SUM(IF((CRDJ[Date]=$A$3)*(CRDJ[Sort Code]=(TRIM(G$4)))*(CRDJ[Account Code]=(TRIM($B111))),CRDJ[Debit])))+(SUM(IF((GJ[Date]=$A$3)*(GJ[Sort Code]=(TRIM(G$4)))*(GJ[Account Code]=(TRIM($B111))),GJ[Debit]))))-((SUM(IF((CkDJ[Date]=$A$3)*(CkDJ[Sort Code]=(TRIM(G$4)))*(CkDJ[Account Code]=(TRIM($B111))),CkDJ[Credit])))+(SUM(IF((CsDJ[Date]=$A$3)*(CsDJ[Sort Code]=(TRIM(G$4)))*(CsDJ[Account Code]=(TRIM($B111))),CsDJ[Credit])))+(SUM(IF((CRDJ[Date]=$A$3)*(CRDJ[Sort Code]=(TRIM(G$4)))*(CRDJ[Account Code]=(TRIM($B111))),CRDJ[Credit])))+(SUM(IF((GJ[Date]=$A$3)*(GJ[Sort Code]=(TRIM(G$4)))*(GJ[Account Code]=(TRIM($B111))),GJ[Credit]))))</f>
        <v>0</v>
      </c>
      <c r="G111" s="343">
        <f t="shared" si="9"/>
        <v>0</v>
      </c>
      <c r="H111" s="246">
        <f t="shared" si="5"/>
        <v>0</v>
      </c>
      <c r="I111" s="246">
        <f t="shared" si="6"/>
        <v>0</v>
      </c>
    </row>
    <row r="112" spans="1:9" hidden="1">
      <c r="A112" s="256" t="s">
        <v>841</v>
      </c>
      <c r="B112" s="339" t="s">
        <v>251</v>
      </c>
      <c r="C112" s="245">
        <f t="array" ref="C112">SUM(IF((Budget[Account Code]=B112)*(Budget[Sort Code]=$G$4),(Budget[Amount])))</f>
        <v>1500000</v>
      </c>
      <c r="D112" s="245">
        <f t="array" ref="D112">SUM(IF((Budget[Account Code]=B112)*(Budget[Sort Code]=$G$4)*(Budget[Date]&lt;=$D$7),(Budget[Amount])))</f>
        <v>1500000</v>
      </c>
      <c r="E112" s="245">
        <f t="array" ref="E112">((SUM(IF((CkDJ[Sort Code]=(TRIM(G$4)))*(CkDJ[Account Code]=(TRIM($B112)))*(CkDJ[Date]&lt;=$E$7),CkDJ[Debit])))+(SUM(IF((CsDJ[Sort Code]=(TRIM(G$4)))*(CsDJ[Account Code]=(TRIM($B112)))*(CsDJ[Date]&lt;=$E$7),CsDJ[Debit])))+(SUM(IF((CRDJ[Sort Code]=(TRIM(G$4)))*(CRDJ[Account Code]=(TRIM($B112)))*(CRDJ[Date]&lt;=$E$7),CRDJ[Debit])))+(SUM(IF((GJ[Sort Code]=(TRIM(G$4)))*(GJ[Account Code]=(TRIM($B112)))*(GJ[Date]&lt;=$E$7),GJ[Debit]))))-((SUM(IF((CkDJ[Sort Code]=(TRIM(G$4)))*(CkDJ[Account Code]=(TRIM($B112)))*(CkDJ[Date]&lt;=$E$7),CkDJ[Credit])))+(SUM(IF((CsDJ[Sort Code]=(TRIM(G$4)))*(CsDJ[Account Code]=(TRIM($B112)))*(CsDJ[Date]&lt;=$E$7),CsDJ[Credit])))+(SUM(IF((CRDJ[Sort Code]=(TRIM(G$4)))*(CRDJ[Account Code]=(TRIM($B112)))*(CRDJ[Date]&lt;=$E$7),CRDJ[Credit])))+(SUM(IF((GJ[Sort Code]=(TRIM(G$4)))*(GJ[Account Code]=(TRIM($B112)))*(GJ[Date]&lt;=$E$7),GJ[Credit]))))</f>
        <v>0</v>
      </c>
      <c r="F112" s="245">
        <f t="array" ref="F112">((SUM(IF((CkDJ[Date]=$A$3)*(CkDJ[Sort Code]=(TRIM(G$4)))*(CkDJ[Account Code]=(TRIM($B112))),CkDJ[Debit])))+(SUM(IF((CsDJ[Date]=$A$3)*(CsDJ[Sort Code]=(TRIM(G$4)))*(CsDJ[Account Code]=(TRIM($B112))),CsDJ[Debit])))+(SUM(IF((CRDJ[Date]=$A$3)*(CRDJ[Sort Code]=(TRIM(G$4)))*(CRDJ[Account Code]=(TRIM($B112))),CRDJ[Debit])))+(SUM(IF((GJ[Date]=$A$3)*(GJ[Sort Code]=(TRIM(G$4)))*(GJ[Account Code]=(TRIM($B112))),GJ[Debit]))))-((SUM(IF((CkDJ[Date]=$A$3)*(CkDJ[Sort Code]=(TRIM(G$4)))*(CkDJ[Account Code]=(TRIM($B112))),CkDJ[Credit])))+(SUM(IF((CsDJ[Date]=$A$3)*(CsDJ[Sort Code]=(TRIM(G$4)))*(CsDJ[Account Code]=(TRIM($B112))),CsDJ[Credit])))+(SUM(IF((CRDJ[Date]=$A$3)*(CRDJ[Sort Code]=(TRIM(G$4)))*(CRDJ[Account Code]=(TRIM($B112))),CRDJ[Credit])))+(SUM(IF((GJ[Date]=$A$3)*(GJ[Sort Code]=(TRIM(G$4)))*(GJ[Account Code]=(TRIM($B112))),GJ[Credit]))))</f>
        <v>0</v>
      </c>
      <c r="G112" s="343">
        <f t="shared" si="9"/>
        <v>0</v>
      </c>
      <c r="H112" s="246">
        <f t="shared" si="5"/>
        <v>-1500000</v>
      </c>
      <c r="I112" s="246">
        <f t="shared" si="6"/>
        <v>0</v>
      </c>
    </row>
    <row r="113" spans="1:9" hidden="1">
      <c r="A113" s="256" t="s">
        <v>1026</v>
      </c>
      <c r="B113" s="339" t="s">
        <v>252</v>
      </c>
      <c r="C113" s="245">
        <f t="array" ref="C113">SUM(IF((Budget[Account Code]=B113)*(Budget[Sort Code]=$G$4),(Budget[Amount])))</f>
        <v>0</v>
      </c>
      <c r="D113" s="245">
        <f t="array" ref="D113">SUM(IF((Budget[Account Code]=B113)*(Budget[Sort Code]=$G$4)*(Budget[Date]&lt;=$D$7),(Budget[Amount])))</f>
        <v>0</v>
      </c>
      <c r="E113" s="245">
        <f t="array" ref="E113">((SUM(IF((CkDJ[Sort Code]=(TRIM(G$4)))*(CkDJ[Account Code]=(TRIM($B113)))*(CkDJ[Date]&lt;=$E$7),CkDJ[Debit])))+(SUM(IF((CsDJ[Sort Code]=(TRIM(G$4)))*(CsDJ[Account Code]=(TRIM($B113)))*(CsDJ[Date]&lt;=$E$7),CsDJ[Debit])))+(SUM(IF((CRDJ[Sort Code]=(TRIM(G$4)))*(CRDJ[Account Code]=(TRIM($B113)))*(CRDJ[Date]&lt;=$E$7),CRDJ[Debit])))+(SUM(IF((GJ[Sort Code]=(TRIM(G$4)))*(GJ[Account Code]=(TRIM($B113)))*(GJ[Date]&lt;=$E$7),GJ[Debit]))))-((SUM(IF((CkDJ[Sort Code]=(TRIM(G$4)))*(CkDJ[Account Code]=(TRIM($B113)))*(CkDJ[Date]&lt;=$E$7),CkDJ[Credit])))+(SUM(IF((CsDJ[Sort Code]=(TRIM(G$4)))*(CsDJ[Account Code]=(TRIM($B113)))*(CsDJ[Date]&lt;=$E$7),CsDJ[Credit])))+(SUM(IF((CRDJ[Sort Code]=(TRIM(G$4)))*(CRDJ[Account Code]=(TRIM($B113)))*(CRDJ[Date]&lt;=$E$7),CRDJ[Credit])))+(SUM(IF((GJ[Sort Code]=(TRIM(G$4)))*(GJ[Account Code]=(TRIM($B113)))*(GJ[Date]&lt;=$E$7),GJ[Credit]))))</f>
        <v>0</v>
      </c>
      <c r="F113" s="245">
        <f t="array" ref="F113">((SUM(IF((CkDJ[Date]=$A$3)*(CkDJ[Sort Code]=(TRIM(G$4)))*(CkDJ[Account Code]=(TRIM($B113))),CkDJ[Debit])))+(SUM(IF((CsDJ[Date]=$A$3)*(CsDJ[Sort Code]=(TRIM(G$4)))*(CsDJ[Account Code]=(TRIM($B113))),CsDJ[Debit])))+(SUM(IF((CRDJ[Date]=$A$3)*(CRDJ[Sort Code]=(TRIM(G$4)))*(CRDJ[Account Code]=(TRIM($B113))),CRDJ[Debit])))+(SUM(IF((GJ[Date]=$A$3)*(GJ[Sort Code]=(TRIM(G$4)))*(GJ[Account Code]=(TRIM($B113))),GJ[Debit]))))-((SUM(IF((CkDJ[Date]=$A$3)*(CkDJ[Sort Code]=(TRIM(G$4)))*(CkDJ[Account Code]=(TRIM($B113))),CkDJ[Credit])))+(SUM(IF((CsDJ[Date]=$A$3)*(CsDJ[Sort Code]=(TRIM(G$4)))*(CsDJ[Account Code]=(TRIM($B113))),CsDJ[Credit])))+(SUM(IF((CRDJ[Date]=$A$3)*(CRDJ[Sort Code]=(TRIM(G$4)))*(CRDJ[Account Code]=(TRIM($B113))),CRDJ[Credit])))+(SUM(IF((GJ[Date]=$A$3)*(GJ[Sort Code]=(TRIM(G$4)))*(GJ[Account Code]=(TRIM($B113))),GJ[Credit]))))</f>
        <v>0</v>
      </c>
      <c r="G113" s="343">
        <f t="shared" si="9"/>
        <v>0</v>
      </c>
      <c r="H113" s="246">
        <f t="shared" si="5"/>
        <v>0</v>
      </c>
      <c r="I113" s="246">
        <f t="shared" si="6"/>
        <v>0</v>
      </c>
    </row>
    <row r="114" spans="1:9" hidden="1">
      <c r="A114" s="256" t="s">
        <v>307</v>
      </c>
      <c r="B114" s="339" t="s">
        <v>253</v>
      </c>
      <c r="C114" s="245">
        <f t="array" ref="C114">SUM(IF((Budget[Account Code]=B114)*(Budget[Sort Code]=$G$4),(Budget[Amount])))</f>
        <v>0</v>
      </c>
      <c r="D114" s="245">
        <f t="array" ref="D114">SUM(IF((Budget[Account Code]=B114)*(Budget[Sort Code]=$G$4)*(Budget[Date]&lt;=$D$7),(Budget[Amount])))</f>
        <v>0</v>
      </c>
      <c r="E114" s="245">
        <f t="array" ref="E114">((SUM(IF((CkDJ[Sort Code]=(TRIM(G$4)))*(CkDJ[Account Code]=(TRIM($B114)))*(CkDJ[Date]&lt;=$E$7),CkDJ[Debit])))+(SUM(IF((CsDJ[Sort Code]=(TRIM(G$4)))*(CsDJ[Account Code]=(TRIM($B114)))*(CsDJ[Date]&lt;=$E$7),CsDJ[Debit])))+(SUM(IF((CRDJ[Sort Code]=(TRIM(G$4)))*(CRDJ[Account Code]=(TRIM($B114)))*(CRDJ[Date]&lt;=$E$7),CRDJ[Debit])))+(SUM(IF((GJ[Sort Code]=(TRIM(G$4)))*(GJ[Account Code]=(TRIM($B114)))*(GJ[Date]&lt;=$E$7),GJ[Debit]))))-((SUM(IF((CkDJ[Sort Code]=(TRIM(G$4)))*(CkDJ[Account Code]=(TRIM($B114)))*(CkDJ[Date]&lt;=$E$7),CkDJ[Credit])))+(SUM(IF((CsDJ[Sort Code]=(TRIM(G$4)))*(CsDJ[Account Code]=(TRIM($B114)))*(CsDJ[Date]&lt;=$E$7),CsDJ[Credit])))+(SUM(IF((CRDJ[Sort Code]=(TRIM(G$4)))*(CRDJ[Account Code]=(TRIM($B114)))*(CRDJ[Date]&lt;=$E$7),CRDJ[Credit])))+(SUM(IF((GJ[Sort Code]=(TRIM(G$4)))*(GJ[Account Code]=(TRIM($B114)))*(GJ[Date]&lt;=$E$7),GJ[Credit]))))</f>
        <v>0</v>
      </c>
      <c r="F114" s="245">
        <f t="array" ref="F114">((SUM(IF((CkDJ[Date]=$A$3)*(CkDJ[Sort Code]=(TRIM(G$4)))*(CkDJ[Account Code]=(TRIM($B114))),CkDJ[Debit])))+(SUM(IF((CsDJ[Date]=$A$3)*(CsDJ[Sort Code]=(TRIM(G$4)))*(CsDJ[Account Code]=(TRIM($B114))),CsDJ[Debit])))+(SUM(IF((CRDJ[Date]=$A$3)*(CRDJ[Sort Code]=(TRIM(G$4)))*(CRDJ[Account Code]=(TRIM($B114))),CRDJ[Debit])))+(SUM(IF((GJ[Date]=$A$3)*(GJ[Sort Code]=(TRIM(G$4)))*(GJ[Account Code]=(TRIM($B114))),GJ[Debit]))))-((SUM(IF((CkDJ[Date]=$A$3)*(CkDJ[Sort Code]=(TRIM(G$4)))*(CkDJ[Account Code]=(TRIM($B114))),CkDJ[Credit])))+(SUM(IF((CsDJ[Date]=$A$3)*(CsDJ[Sort Code]=(TRIM(G$4)))*(CsDJ[Account Code]=(TRIM($B114))),CsDJ[Credit])))+(SUM(IF((CRDJ[Date]=$A$3)*(CRDJ[Sort Code]=(TRIM(G$4)))*(CRDJ[Account Code]=(TRIM($B114))),CRDJ[Credit])))+(SUM(IF((GJ[Date]=$A$3)*(GJ[Sort Code]=(TRIM(G$4)))*(GJ[Account Code]=(TRIM($B114))),GJ[Credit]))))</f>
        <v>0</v>
      </c>
      <c r="G114" s="343">
        <f t="shared" si="9"/>
        <v>0</v>
      </c>
      <c r="H114" s="246">
        <f t="shared" si="5"/>
        <v>0</v>
      </c>
      <c r="I114" s="246">
        <f t="shared" si="6"/>
        <v>0</v>
      </c>
    </row>
    <row r="115" spans="1:9" hidden="1">
      <c r="A115" s="256" t="s">
        <v>308</v>
      </c>
      <c r="B115" s="339" t="s">
        <v>256</v>
      </c>
      <c r="C115" s="245">
        <f t="array" ref="C115">SUM(IF((Budget[Account Code]=B115)*(Budget[Sort Code]=$G$4),(Budget[Amount])))</f>
        <v>0</v>
      </c>
      <c r="D115" s="245">
        <f t="array" ref="D115">SUM(IF((Budget[Account Code]=B115)*(Budget[Sort Code]=$G$4)*(Budget[Date]&lt;=$D$7),(Budget[Amount])))</f>
        <v>0</v>
      </c>
      <c r="E115" s="245">
        <f t="array" ref="E115">((SUM(IF((CkDJ[Sort Code]=(TRIM(G$4)))*(CkDJ[Account Code]=(TRIM($B115)))*(CkDJ[Date]&lt;=$E$7),CkDJ[Debit])))+(SUM(IF((CsDJ[Sort Code]=(TRIM(G$4)))*(CsDJ[Account Code]=(TRIM($B115)))*(CsDJ[Date]&lt;=$E$7),CsDJ[Debit])))+(SUM(IF((CRDJ[Sort Code]=(TRIM(G$4)))*(CRDJ[Account Code]=(TRIM($B115)))*(CRDJ[Date]&lt;=$E$7),CRDJ[Debit])))+(SUM(IF((GJ[Sort Code]=(TRIM(G$4)))*(GJ[Account Code]=(TRIM($B115)))*(GJ[Date]&lt;=$E$7),GJ[Debit]))))-((SUM(IF((CkDJ[Sort Code]=(TRIM(G$4)))*(CkDJ[Account Code]=(TRIM($B115)))*(CkDJ[Date]&lt;=$E$7),CkDJ[Credit])))+(SUM(IF((CsDJ[Sort Code]=(TRIM(G$4)))*(CsDJ[Account Code]=(TRIM($B115)))*(CsDJ[Date]&lt;=$E$7),CsDJ[Credit])))+(SUM(IF((CRDJ[Sort Code]=(TRIM(G$4)))*(CRDJ[Account Code]=(TRIM($B115)))*(CRDJ[Date]&lt;=$E$7),CRDJ[Credit])))+(SUM(IF((GJ[Sort Code]=(TRIM(G$4)))*(GJ[Account Code]=(TRIM($B115)))*(GJ[Date]&lt;=$E$7),GJ[Credit]))))</f>
        <v>0</v>
      </c>
      <c r="F115" s="245">
        <f t="array" ref="F115">((SUM(IF((CkDJ[Date]=$A$3)*(CkDJ[Sort Code]=(TRIM(G$4)))*(CkDJ[Account Code]=(TRIM($B115))),CkDJ[Debit])))+(SUM(IF((CsDJ[Date]=$A$3)*(CsDJ[Sort Code]=(TRIM(G$4)))*(CsDJ[Account Code]=(TRIM($B115))),CsDJ[Debit])))+(SUM(IF((CRDJ[Date]=$A$3)*(CRDJ[Sort Code]=(TRIM(G$4)))*(CRDJ[Account Code]=(TRIM($B115))),CRDJ[Debit])))+(SUM(IF((GJ[Date]=$A$3)*(GJ[Sort Code]=(TRIM(G$4)))*(GJ[Account Code]=(TRIM($B115))),GJ[Debit]))))-((SUM(IF((CkDJ[Date]=$A$3)*(CkDJ[Sort Code]=(TRIM(G$4)))*(CkDJ[Account Code]=(TRIM($B115))),CkDJ[Credit])))+(SUM(IF((CsDJ[Date]=$A$3)*(CsDJ[Sort Code]=(TRIM(G$4)))*(CsDJ[Account Code]=(TRIM($B115))),CsDJ[Credit])))+(SUM(IF((CRDJ[Date]=$A$3)*(CRDJ[Sort Code]=(TRIM(G$4)))*(CRDJ[Account Code]=(TRIM($B115))),CRDJ[Credit])))+(SUM(IF((GJ[Date]=$A$3)*(GJ[Sort Code]=(TRIM(G$4)))*(GJ[Account Code]=(TRIM($B115))),GJ[Credit]))))</f>
        <v>0</v>
      </c>
      <c r="G115" s="343">
        <f t="shared" si="9"/>
        <v>0</v>
      </c>
      <c r="H115" s="246">
        <f t="shared" si="5"/>
        <v>0</v>
      </c>
      <c r="I115" s="246">
        <f t="shared" si="6"/>
        <v>0</v>
      </c>
    </row>
    <row r="116" spans="1:9" hidden="1">
      <c r="A116" s="256" t="s">
        <v>309</v>
      </c>
      <c r="B116" s="339" t="s">
        <v>258</v>
      </c>
      <c r="C116" s="245">
        <f t="array" ref="C116">SUM(IF((Budget[Account Code]=B116)*(Budget[Sort Code]=$G$4),(Budget[Amount])))</f>
        <v>0</v>
      </c>
      <c r="D116" s="245">
        <f t="array" ref="D116">SUM(IF((Budget[Account Code]=B116)*(Budget[Sort Code]=$G$4)*(Budget[Date]&lt;=$D$7),(Budget[Amount])))</f>
        <v>0</v>
      </c>
      <c r="E116" s="245">
        <f t="array" ref="E116">((SUM(IF((CkDJ[Sort Code]=(TRIM(G$4)))*(CkDJ[Account Code]=(TRIM($B116)))*(CkDJ[Date]&lt;=$E$7),CkDJ[Debit])))+(SUM(IF((CsDJ[Sort Code]=(TRIM(G$4)))*(CsDJ[Account Code]=(TRIM($B116)))*(CsDJ[Date]&lt;=$E$7),CsDJ[Debit])))+(SUM(IF((CRDJ[Sort Code]=(TRIM(G$4)))*(CRDJ[Account Code]=(TRIM($B116)))*(CRDJ[Date]&lt;=$E$7),CRDJ[Debit])))+(SUM(IF((GJ[Sort Code]=(TRIM(G$4)))*(GJ[Account Code]=(TRIM($B116)))*(GJ[Date]&lt;=$E$7),GJ[Debit]))))-((SUM(IF((CkDJ[Sort Code]=(TRIM(G$4)))*(CkDJ[Account Code]=(TRIM($B116)))*(CkDJ[Date]&lt;=$E$7),CkDJ[Credit])))+(SUM(IF((CsDJ[Sort Code]=(TRIM(G$4)))*(CsDJ[Account Code]=(TRIM($B116)))*(CsDJ[Date]&lt;=$E$7),CsDJ[Credit])))+(SUM(IF((CRDJ[Sort Code]=(TRIM(G$4)))*(CRDJ[Account Code]=(TRIM($B116)))*(CRDJ[Date]&lt;=$E$7),CRDJ[Credit])))+(SUM(IF((GJ[Sort Code]=(TRIM(G$4)))*(GJ[Account Code]=(TRIM($B116)))*(GJ[Date]&lt;=$E$7),GJ[Credit]))))</f>
        <v>0</v>
      </c>
      <c r="F116" s="245">
        <f t="array" ref="F116">((SUM(IF((CkDJ[Date]=$A$3)*(CkDJ[Sort Code]=(TRIM(G$4)))*(CkDJ[Account Code]=(TRIM($B116))),CkDJ[Debit])))+(SUM(IF((CsDJ[Date]=$A$3)*(CsDJ[Sort Code]=(TRIM(G$4)))*(CsDJ[Account Code]=(TRIM($B116))),CsDJ[Debit])))+(SUM(IF((CRDJ[Date]=$A$3)*(CRDJ[Sort Code]=(TRIM(G$4)))*(CRDJ[Account Code]=(TRIM($B116))),CRDJ[Debit])))+(SUM(IF((GJ[Date]=$A$3)*(GJ[Sort Code]=(TRIM(G$4)))*(GJ[Account Code]=(TRIM($B116))),GJ[Debit]))))-((SUM(IF((CkDJ[Date]=$A$3)*(CkDJ[Sort Code]=(TRIM(G$4)))*(CkDJ[Account Code]=(TRIM($B116))),CkDJ[Credit])))+(SUM(IF((CsDJ[Date]=$A$3)*(CsDJ[Sort Code]=(TRIM(G$4)))*(CsDJ[Account Code]=(TRIM($B116))),CsDJ[Credit])))+(SUM(IF((CRDJ[Date]=$A$3)*(CRDJ[Sort Code]=(TRIM(G$4)))*(CRDJ[Account Code]=(TRIM($B116))),CRDJ[Credit])))+(SUM(IF((GJ[Date]=$A$3)*(GJ[Sort Code]=(TRIM(G$4)))*(GJ[Account Code]=(TRIM($B116))),GJ[Credit]))))</f>
        <v>0</v>
      </c>
      <c r="G116" s="343">
        <f t="shared" si="9"/>
        <v>0</v>
      </c>
      <c r="H116" s="246">
        <f t="shared" si="5"/>
        <v>0</v>
      </c>
      <c r="I116" s="246">
        <f t="shared" si="6"/>
        <v>0</v>
      </c>
    </row>
    <row r="117" spans="1:9" hidden="1">
      <c r="A117" s="256" t="s">
        <v>310</v>
      </c>
      <c r="B117" s="339" t="s">
        <v>261</v>
      </c>
      <c r="C117" s="245">
        <f t="array" ref="C117">SUM(IF((Budget[Account Code]=B117)*(Budget[Sort Code]=$G$4),(Budget[Amount])))</f>
        <v>0</v>
      </c>
      <c r="D117" s="245">
        <f t="array" ref="D117">SUM(IF((Budget[Account Code]=B117)*(Budget[Sort Code]=$G$4)*(Budget[Date]&lt;=$D$7),(Budget[Amount])))</f>
        <v>0</v>
      </c>
      <c r="E117" s="245">
        <f t="array" ref="E117">((SUM(IF((CkDJ[Sort Code]=(TRIM(G$4)))*(CkDJ[Account Code]=(TRIM($B117)))*(CkDJ[Date]&lt;=$E$7),CkDJ[Debit])))+(SUM(IF((CsDJ[Sort Code]=(TRIM(G$4)))*(CsDJ[Account Code]=(TRIM($B117)))*(CsDJ[Date]&lt;=$E$7),CsDJ[Debit])))+(SUM(IF((CRDJ[Sort Code]=(TRIM(G$4)))*(CRDJ[Account Code]=(TRIM($B117)))*(CRDJ[Date]&lt;=$E$7),CRDJ[Debit])))+(SUM(IF((GJ[Sort Code]=(TRIM(G$4)))*(GJ[Account Code]=(TRIM($B117)))*(GJ[Date]&lt;=$E$7),GJ[Debit]))))-((SUM(IF((CkDJ[Sort Code]=(TRIM(G$4)))*(CkDJ[Account Code]=(TRIM($B117)))*(CkDJ[Date]&lt;=$E$7),CkDJ[Credit])))+(SUM(IF((CsDJ[Sort Code]=(TRIM(G$4)))*(CsDJ[Account Code]=(TRIM($B117)))*(CsDJ[Date]&lt;=$E$7),CsDJ[Credit])))+(SUM(IF((CRDJ[Sort Code]=(TRIM(G$4)))*(CRDJ[Account Code]=(TRIM($B117)))*(CRDJ[Date]&lt;=$E$7),CRDJ[Credit])))+(SUM(IF((GJ[Sort Code]=(TRIM(G$4)))*(GJ[Account Code]=(TRIM($B117)))*(GJ[Date]&lt;=$E$7),GJ[Credit]))))</f>
        <v>0</v>
      </c>
      <c r="F117" s="245">
        <f t="array" ref="F117">((SUM(IF((CkDJ[Date]=$A$3)*(CkDJ[Sort Code]=(TRIM(G$4)))*(CkDJ[Account Code]=(TRIM($B117))),CkDJ[Debit])))+(SUM(IF((CsDJ[Date]=$A$3)*(CsDJ[Sort Code]=(TRIM(G$4)))*(CsDJ[Account Code]=(TRIM($B117))),CsDJ[Debit])))+(SUM(IF((CRDJ[Date]=$A$3)*(CRDJ[Sort Code]=(TRIM(G$4)))*(CRDJ[Account Code]=(TRIM($B117))),CRDJ[Debit])))+(SUM(IF((GJ[Date]=$A$3)*(GJ[Sort Code]=(TRIM(G$4)))*(GJ[Account Code]=(TRIM($B117))),GJ[Debit]))))-((SUM(IF((CkDJ[Date]=$A$3)*(CkDJ[Sort Code]=(TRIM(G$4)))*(CkDJ[Account Code]=(TRIM($B117))),CkDJ[Credit])))+(SUM(IF((CsDJ[Date]=$A$3)*(CsDJ[Sort Code]=(TRIM(G$4)))*(CsDJ[Account Code]=(TRIM($B117))),CsDJ[Credit])))+(SUM(IF((CRDJ[Date]=$A$3)*(CRDJ[Sort Code]=(TRIM(G$4)))*(CRDJ[Account Code]=(TRIM($B117))),CRDJ[Credit])))+(SUM(IF((GJ[Date]=$A$3)*(GJ[Sort Code]=(TRIM(G$4)))*(GJ[Account Code]=(TRIM($B117))),GJ[Credit]))))</f>
        <v>0</v>
      </c>
      <c r="G117" s="343">
        <f t="shared" si="9"/>
        <v>0</v>
      </c>
      <c r="H117" s="246">
        <f t="shared" si="5"/>
        <v>0</v>
      </c>
      <c r="I117" s="246">
        <f t="shared" si="6"/>
        <v>0</v>
      </c>
    </row>
    <row r="118" spans="1:9" hidden="1">
      <c r="A118" s="256" t="s">
        <v>311</v>
      </c>
      <c r="B118" s="339" t="s">
        <v>262</v>
      </c>
      <c r="C118" s="245">
        <f t="array" ref="C118">SUM(IF((Budget[Account Code]=B118)*(Budget[Sort Code]=$G$4),(Budget[Amount])))</f>
        <v>400000</v>
      </c>
      <c r="D118" s="245">
        <f t="array" ref="D118">SUM(IF((Budget[Account Code]=B118)*(Budget[Sort Code]=$G$4)*(Budget[Date]&lt;=$D$7),(Budget[Amount])))</f>
        <v>400000</v>
      </c>
      <c r="E118" s="245">
        <f t="array" ref="E118">((SUM(IF((CkDJ[Sort Code]=(TRIM(G$4)))*(CkDJ[Account Code]=(TRIM($B118)))*(CkDJ[Date]&lt;=$E$7),CkDJ[Debit])))+(SUM(IF((CsDJ[Sort Code]=(TRIM(G$4)))*(CsDJ[Account Code]=(TRIM($B118)))*(CsDJ[Date]&lt;=$E$7),CsDJ[Debit])))+(SUM(IF((CRDJ[Sort Code]=(TRIM(G$4)))*(CRDJ[Account Code]=(TRIM($B118)))*(CRDJ[Date]&lt;=$E$7),CRDJ[Debit])))+(SUM(IF((GJ[Sort Code]=(TRIM(G$4)))*(GJ[Account Code]=(TRIM($B118)))*(GJ[Date]&lt;=$E$7),GJ[Debit]))))-((SUM(IF((CkDJ[Sort Code]=(TRIM(G$4)))*(CkDJ[Account Code]=(TRIM($B118)))*(CkDJ[Date]&lt;=$E$7),CkDJ[Credit])))+(SUM(IF((CsDJ[Sort Code]=(TRIM(G$4)))*(CsDJ[Account Code]=(TRIM($B118)))*(CsDJ[Date]&lt;=$E$7),CsDJ[Credit])))+(SUM(IF((CRDJ[Sort Code]=(TRIM(G$4)))*(CRDJ[Account Code]=(TRIM($B118)))*(CRDJ[Date]&lt;=$E$7),CRDJ[Credit])))+(SUM(IF((GJ[Sort Code]=(TRIM(G$4)))*(GJ[Account Code]=(TRIM($B118)))*(GJ[Date]&lt;=$E$7),GJ[Credit]))))</f>
        <v>0</v>
      </c>
      <c r="F118" s="245">
        <f t="array" ref="F118">((SUM(IF((CkDJ[Date]=$A$3)*(CkDJ[Sort Code]=(TRIM(G$4)))*(CkDJ[Account Code]=(TRIM($B118))),CkDJ[Debit])))+(SUM(IF((CsDJ[Date]=$A$3)*(CsDJ[Sort Code]=(TRIM(G$4)))*(CsDJ[Account Code]=(TRIM($B118))),CsDJ[Debit])))+(SUM(IF((CRDJ[Date]=$A$3)*(CRDJ[Sort Code]=(TRIM(G$4)))*(CRDJ[Account Code]=(TRIM($B118))),CRDJ[Debit])))+(SUM(IF((GJ[Date]=$A$3)*(GJ[Sort Code]=(TRIM(G$4)))*(GJ[Account Code]=(TRIM($B118))),GJ[Debit]))))-((SUM(IF((CkDJ[Date]=$A$3)*(CkDJ[Sort Code]=(TRIM(G$4)))*(CkDJ[Account Code]=(TRIM($B118))),CkDJ[Credit])))+(SUM(IF((CsDJ[Date]=$A$3)*(CsDJ[Sort Code]=(TRIM(G$4)))*(CsDJ[Account Code]=(TRIM($B118))),CsDJ[Credit])))+(SUM(IF((CRDJ[Date]=$A$3)*(CRDJ[Sort Code]=(TRIM(G$4)))*(CRDJ[Account Code]=(TRIM($B118))),CRDJ[Credit])))+(SUM(IF((GJ[Date]=$A$3)*(GJ[Sort Code]=(TRIM(G$4)))*(GJ[Account Code]=(TRIM($B118))),GJ[Credit]))))</f>
        <v>0</v>
      </c>
      <c r="G118" s="343">
        <f t="shared" si="9"/>
        <v>0</v>
      </c>
      <c r="H118" s="246">
        <f t="shared" si="5"/>
        <v>-400000</v>
      </c>
      <c r="I118" s="246">
        <f t="shared" si="6"/>
        <v>0</v>
      </c>
    </row>
    <row r="119" spans="1:9" hidden="1">
      <c r="A119" s="256" t="s">
        <v>312</v>
      </c>
      <c r="B119" s="339" t="s">
        <v>264</v>
      </c>
      <c r="C119" s="245">
        <f t="array" ref="C119">SUM(IF((Budget[Account Code]=B119)*(Budget[Sort Code]=$G$4),(Budget[Amount])))</f>
        <v>0</v>
      </c>
      <c r="D119" s="245">
        <f t="array" ref="D119">SUM(IF((Budget[Account Code]=B119)*(Budget[Sort Code]=$G$4)*(Budget[Date]&lt;=$D$7),(Budget[Amount])))</f>
        <v>0</v>
      </c>
      <c r="E119" s="245">
        <f t="array" ref="E119">((SUM(IF((CkDJ[Sort Code]=(TRIM(G$4)))*(CkDJ[Account Code]=(TRIM($B119)))*(CkDJ[Date]&lt;=$E$7),CkDJ[Debit])))+(SUM(IF((CsDJ[Sort Code]=(TRIM(G$4)))*(CsDJ[Account Code]=(TRIM($B119)))*(CsDJ[Date]&lt;=$E$7),CsDJ[Debit])))+(SUM(IF((CRDJ[Sort Code]=(TRIM(G$4)))*(CRDJ[Account Code]=(TRIM($B119)))*(CRDJ[Date]&lt;=$E$7),CRDJ[Debit])))+(SUM(IF((GJ[Sort Code]=(TRIM(G$4)))*(GJ[Account Code]=(TRIM($B119)))*(GJ[Date]&lt;=$E$7),GJ[Debit]))))-((SUM(IF((CkDJ[Sort Code]=(TRIM(G$4)))*(CkDJ[Account Code]=(TRIM($B119)))*(CkDJ[Date]&lt;=$E$7),CkDJ[Credit])))+(SUM(IF((CsDJ[Sort Code]=(TRIM(G$4)))*(CsDJ[Account Code]=(TRIM($B119)))*(CsDJ[Date]&lt;=$E$7),CsDJ[Credit])))+(SUM(IF((CRDJ[Sort Code]=(TRIM(G$4)))*(CRDJ[Account Code]=(TRIM($B119)))*(CRDJ[Date]&lt;=$E$7),CRDJ[Credit])))+(SUM(IF((GJ[Sort Code]=(TRIM(G$4)))*(GJ[Account Code]=(TRIM($B119)))*(GJ[Date]&lt;=$E$7),GJ[Credit]))))</f>
        <v>0</v>
      </c>
      <c r="F119" s="245">
        <f t="array" ref="F119">((SUM(IF((CkDJ[Date]=$A$3)*(CkDJ[Sort Code]=(TRIM(G$4)))*(CkDJ[Account Code]=(TRIM($B119))),CkDJ[Debit])))+(SUM(IF((CsDJ[Date]=$A$3)*(CsDJ[Sort Code]=(TRIM(G$4)))*(CsDJ[Account Code]=(TRIM($B119))),CsDJ[Debit])))+(SUM(IF((CRDJ[Date]=$A$3)*(CRDJ[Sort Code]=(TRIM(G$4)))*(CRDJ[Account Code]=(TRIM($B119))),CRDJ[Debit])))+(SUM(IF((GJ[Date]=$A$3)*(GJ[Sort Code]=(TRIM(G$4)))*(GJ[Account Code]=(TRIM($B119))),GJ[Debit]))))-((SUM(IF((CkDJ[Date]=$A$3)*(CkDJ[Sort Code]=(TRIM(G$4)))*(CkDJ[Account Code]=(TRIM($B119))),CkDJ[Credit])))+(SUM(IF((CsDJ[Date]=$A$3)*(CsDJ[Sort Code]=(TRIM(G$4)))*(CsDJ[Account Code]=(TRIM($B119))),CsDJ[Credit])))+(SUM(IF((CRDJ[Date]=$A$3)*(CRDJ[Sort Code]=(TRIM(G$4)))*(CRDJ[Account Code]=(TRIM($B119))),CRDJ[Credit])))+(SUM(IF((GJ[Date]=$A$3)*(GJ[Sort Code]=(TRIM(G$4)))*(GJ[Account Code]=(TRIM($B119))),GJ[Credit]))))</f>
        <v>0</v>
      </c>
      <c r="G119" s="343">
        <f t="shared" si="9"/>
        <v>0</v>
      </c>
      <c r="H119" s="246">
        <f t="shared" si="5"/>
        <v>0</v>
      </c>
      <c r="I119" s="246">
        <f t="shared" si="6"/>
        <v>0</v>
      </c>
    </row>
    <row r="120" spans="1:9" hidden="1">
      <c r="A120" s="256" t="s">
        <v>313</v>
      </c>
      <c r="B120" s="339" t="s">
        <v>265</v>
      </c>
      <c r="C120" s="245">
        <f t="array" ref="C120">SUM(IF((Budget[Account Code]=B120)*(Budget[Sort Code]=$G$4),(Budget[Amount])))</f>
        <v>100000</v>
      </c>
      <c r="D120" s="245">
        <f t="array" ref="D120">SUM(IF((Budget[Account Code]=B120)*(Budget[Sort Code]=$G$4)*(Budget[Date]&lt;=$D$7),(Budget[Amount])))</f>
        <v>100000</v>
      </c>
      <c r="E120" s="245">
        <f t="array" ref="E120">((SUM(IF((CkDJ[Sort Code]=(TRIM(G$4)))*(CkDJ[Account Code]=(TRIM($B120)))*(CkDJ[Date]&lt;=$E$7),CkDJ[Debit])))+(SUM(IF((CsDJ[Sort Code]=(TRIM(G$4)))*(CsDJ[Account Code]=(TRIM($B120)))*(CsDJ[Date]&lt;=$E$7),CsDJ[Debit])))+(SUM(IF((CRDJ[Sort Code]=(TRIM(G$4)))*(CRDJ[Account Code]=(TRIM($B120)))*(CRDJ[Date]&lt;=$E$7),CRDJ[Debit])))+(SUM(IF((GJ[Sort Code]=(TRIM(G$4)))*(GJ[Account Code]=(TRIM($B120)))*(GJ[Date]&lt;=$E$7),GJ[Debit]))))-((SUM(IF((CkDJ[Sort Code]=(TRIM(G$4)))*(CkDJ[Account Code]=(TRIM($B120)))*(CkDJ[Date]&lt;=$E$7),CkDJ[Credit])))+(SUM(IF((CsDJ[Sort Code]=(TRIM(G$4)))*(CsDJ[Account Code]=(TRIM($B120)))*(CsDJ[Date]&lt;=$E$7),CsDJ[Credit])))+(SUM(IF((CRDJ[Sort Code]=(TRIM(G$4)))*(CRDJ[Account Code]=(TRIM($B120)))*(CRDJ[Date]&lt;=$E$7),CRDJ[Credit])))+(SUM(IF((GJ[Sort Code]=(TRIM(G$4)))*(GJ[Account Code]=(TRIM($B120)))*(GJ[Date]&lt;=$E$7),GJ[Credit]))))</f>
        <v>0</v>
      </c>
      <c r="F120" s="245">
        <f t="array" ref="F120">((SUM(IF((CkDJ[Date]=$A$3)*(CkDJ[Sort Code]=(TRIM(G$4)))*(CkDJ[Account Code]=(TRIM($B120))),CkDJ[Debit])))+(SUM(IF((CsDJ[Date]=$A$3)*(CsDJ[Sort Code]=(TRIM(G$4)))*(CsDJ[Account Code]=(TRIM($B120))),CsDJ[Debit])))+(SUM(IF((CRDJ[Date]=$A$3)*(CRDJ[Sort Code]=(TRIM(G$4)))*(CRDJ[Account Code]=(TRIM($B120))),CRDJ[Debit])))+(SUM(IF((GJ[Date]=$A$3)*(GJ[Sort Code]=(TRIM(G$4)))*(GJ[Account Code]=(TRIM($B120))),GJ[Debit]))))-((SUM(IF((CkDJ[Date]=$A$3)*(CkDJ[Sort Code]=(TRIM(G$4)))*(CkDJ[Account Code]=(TRIM($B120))),CkDJ[Credit])))+(SUM(IF((CsDJ[Date]=$A$3)*(CsDJ[Sort Code]=(TRIM(G$4)))*(CsDJ[Account Code]=(TRIM($B120))),CsDJ[Credit])))+(SUM(IF((CRDJ[Date]=$A$3)*(CRDJ[Sort Code]=(TRIM(G$4)))*(CRDJ[Account Code]=(TRIM($B120))),CRDJ[Credit])))+(SUM(IF((GJ[Date]=$A$3)*(GJ[Sort Code]=(TRIM(G$4)))*(GJ[Account Code]=(TRIM($B120))),GJ[Credit]))))</f>
        <v>0</v>
      </c>
      <c r="G120" s="343">
        <f t="shared" si="9"/>
        <v>0</v>
      </c>
      <c r="H120" s="246">
        <f t="shared" ref="H120:H153" si="10">G120-D120</f>
        <v>-100000</v>
      </c>
      <c r="I120" s="246">
        <f t="shared" ref="I120:I153" si="11">IF((D120=0),0,G120/D120)</f>
        <v>0</v>
      </c>
    </row>
    <row r="121" spans="1:9" hidden="1">
      <c r="A121" s="256" t="s">
        <v>1027</v>
      </c>
      <c r="B121" s="339" t="s">
        <v>269</v>
      </c>
      <c r="C121" s="245">
        <f t="array" ref="C121">SUM(IF((Budget[Account Code]=B121)*(Budget[Sort Code]=$G$4),(Budget[Amount])))</f>
        <v>0</v>
      </c>
      <c r="D121" s="245">
        <f t="array" ref="D121">SUM(IF((Budget[Account Code]=B121)*(Budget[Sort Code]=$G$4)*(Budget[Date]&lt;=$D$7),(Budget[Amount])))</f>
        <v>0</v>
      </c>
      <c r="E121" s="245">
        <f t="array" ref="E121">((SUM(IF((CkDJ[Sort Code]=(TRIM(G$4)))*(CkDJ[Account Code]=(TRIM($B121)))*(CkDJ[Date]&lt;=$E$7),CkDJ[Debit])))+(SUM(IF((CsDJ[Sort Code]=(TRIM(G$4)))*(CsDJ[Account Code]=(TRIM($B121)))*(CsDJ[Date]&lt;=$E$7),CsDJ[Debit])))+(SUM(IF((CRDJ[Sort Code]=(TRIM(G$4)))*(CRDJ[Account Code]=(TRIM($B121)))*(CRDJ[Date]&lt;=$E$7),CRDJ[Debit])))+(SUM(IF((GJ[Sort Code]=(TRIM(G$4)))*(GJ[Account Code]=(TRIM($B121)))*(GJ[Date]&lt;=$E$7),GJ[Debit]))))-((SUM(IF((CkDJ[Sort Code]=(TRIM(G$4)))*(CkDJ[Account Code]=(TRIM($B121)))*(CkDJ[Date]&lt;=$E$7),CkDJ[Credit])))+(SUM(IF((CsDJ[Sort Code]=(TRIM(G$4)))*(CsDJ[Account Code]=(TRIM($B121)))*(CsDJ[Date]&lt;=$E$7),CsDJ[Credit])))+(SUM(IF((CRDJ[Sort Code]=(TRIM(G$4)))*(CRDJ[Account Code]=(TRIM($B121)))*(CRDJ[Date]&lt;=$E$7),CRDJ[Credit])))+(SUM(IF((GJ[Sort Code]=(TRIM(G$4)))*(GJ[Account Code]=(TRIM($B121)))*(GJ[Date]&lt;=$E$7),GJ[Credit]))))</f>
        <v>0</v>
      </c>
      <c r="F121" s="245">
        <f t="array" ref="F121">((SUM(IF((CkDJ[Date]=$A$3)*(CkDJ[Sort Code]=(TRIM(G$4)))*(CkDJ[Account Code]=(TRIM($B121))),CkDJ[Debit])))+(SUM(IF((CsDJ[Date]=$A$3)*(CsDJ[Sort Code]=(TRIM(G$4)))*(CsDJ[Account Code]=(TRIM($B121))),CsDJ[Debit])))+(SUM(IF((CRDJ[Date]=$A$3)*(CRDJ[Sort Code]=(TRIM(G$4)))*(CRDJ[Account Code]=(TRIM($B121))),CRDJ[Debit])))+(SUM(IF((GJ[Date]=$A$3)*(GJ[Sort Code]=(TRIM(G$4)))*(GJ[Account Code]=(TRIM($B121))),GJ[Debit]))))-((SUM(IF((CkDJ[Date]=$A$3)*(CkDJ[Sort Code]=(TRIM(G$4)))*(CkDJ[Account Code]=(TRIM($B121))),CkDJ[Credit])))+(SUM(IF((CsDJ[Date]=$A$3)*(CsDJ[Sort Code]=(TRIM(G$4)))*(CsDJ[Account Code]=(TRIM($B121))),CsDJ[Credit])))+(SUM(IF((CRDJ[Date]=$A$3)*(CRDJ[Sort Code]=(TRIM(G$4)))*(CRDJ[Account Code]=(TRIM($B121))),CRDJ[Credit])))+(SUM(IF((GJ[Date]=$A$3)*(GJ[Sort Code]=(TRIM(G$4)))*(GJ[Account Code]=(TRIM($B121))),GJ[Credit]))))</f>
        <v>0</v>
      </c>
      <c r="G121" s="343">
        <f t="shared" si="9"/>
        <v>0</v>
      </c>
      <c r="H121" s="246">
        <f t="shared" si="10"/>
        <v>0</v>
      </c>
      <c r="I121" s="246">
        <f t="shared" si="11"/>
        <v>0</v>
      </c>
    </row>
    <row r="122" spans="1:9" hidden="1">
      <c r="A122" s="256" t="s">
        <v>409</v>
      </c>
      <c r="B122" s="339" t="s">
        <v>408</v>
      </c>
      <c r="C122" s="245">
        <f t="array" ref="C122">SUM(IF((Budget[Account Code]=B122)*(Budget[Sort Code]=$G$4),(Budget[Amount])))</f>
        <v>0</v>
      </c>
      <c r="D122" s="245">
        <f t="array" ref="D122">SUM(IF((Budget[Account Code]=B122)*(Budget[Sort Code]=$G$4)*(Budget[Date]&lt;=$D$7),(Budget[Amount])))</f>
        <v>0</v>
      </c>
      <c r="E122" s="245">
        <f t="array" ref="E122">((SUM(IF((CkDJ[Sort Code]=(TRIM(G$4)))*(CkDJ[Account Code]=(TRIM($B122)))*(CkDJ[Date]&lt;=$E$7),CkDJ[Debit])))+(SUM(IF((CsDJ[Sort Code]=(TRIM(G$4)))*(CsDJ[Account Code]=(TRIM($B122)))*(CsDJ[Date]&lt;=$E$7),CsDJ[Debit])))+(SUM(IF((CRDJ[Sort Code]=(TRIM(G$4)))*(CRDJ[Account Code]=(TRIM($B122)))*(CRDJ[Date]&lt;=$E$7),CRDJ[Debit])))+(SUM(IF((GJ[Sort Code]=(TRIM(G$4)))*(GJ[Account Code]=(TRIM($B122)))*(GJ[Date]&lt;=$E$7),GJ[Debit]))))-((SUM(IF((CkDJ[Sort Code]=(TRIM(G$4)))*(CkDJ[Account Code]=(TRIM($B122)))*(CkDJ[Date]&lt;=$E$7),CkDJ[Credit])))+(SUM(IF((CsDJ[Sort Code]=(TRIM(G$4)))*(CsDJ[Account Code]=(TRIM($B122)))*(CsDJ[Date]&lt;=$E$7),CsDJ[Credit])))+(SUM(IF((CRDJ[Sort Code]=(TRIM(G$4)))*(CRDJ[Account Code]=(TRIM($B122)))*(CRDJ[Date]&lt;=$E$7),CRDJ[Credit])))+(SUM(IF((GJ[Sort Code]=(TRIM(G$4)))*(GJ[Account Code]=(TRIM($B122)))*(GJ[Date]&lt;=$E$7),GJ[Credit]))))</f>
        <v>0</v>
      </c>
      <c r="F122" s="245">
        <f t="array" ref="F122">((SUM(IF((CkDJ[Date]=$A$3)*(CkDJ[Sort Code]=(TRIM(G$4)))*(CkDJ[Account Code]=(TRIM($B122))),CkDJ[Debit])))+(SUM(IF((CsDJ[Date]=$A$3)*(CsDJ[Sort Code]=(TRIM(G$4)))*(CsDJ[Account Code]=(TRIM($B122))),CsDJ[Debit])))+(SUM(IF((CRDJ[Date]=$A$3)*(CRDJ[Sort Code]=(TRIM(G$4)))*(CRDJ[Account Code]=(TRIM($B122))),CRDJ[Debit])))+(SUM(IF((GJ[Date]=$A$3)*(GJ[Sort Code]=(TRIM(G$4)))*(GJ[Account Code]=(TRIM($B122))),GJ[Debit]))))-((SUM(IF((CkDJ[Date]=$A$3)*(CkDJ[Sort Code]=(TRIM(G$4)))*(CkDJ[Account Code]=(TRIM($B122))),CkDJ[Credit])))+(SUM(IF((CsDJ[Date]=$A$3)*(CsDJ[Sort Code]=(TRIM(G$4)))*(CsDJ[Account Code]=(TRIM($B122))),CsDJ[Credit])))+(SUM(IF((CRDJ[Date]=$A$3)*(CRDJ[Sort Code]=(TRIM(G$4)))*(CRDJ[Account Code]=(TRIM($B122))),CRDJ[Credit])))+(SUM(IF((GJ[Date]=$A$3)*(GJ[Sort Code]=(TRIM(G$4)))*(GJ[Account Code]=(TRIM($B122))),GJ[Credit]))))</f>
        <v>0</v>
      </c>
      <c r="G122" s="343">
        <f>E122+F122</f>
        <v>0</v>
      </c>
      <c r="H122" s="246">
        <f>G122-D122</f>
        <v>0</v>
      </c>
      <c r="I122" s="246">
        <f>IF((D122=0),0,G122/D122)</f>
        <v>0</v>
      </c>
    </row>
    <row r="123" spans="1:9" hidden="1">
      <c r="A123" s="256" t="s">
        <v>315</v>
      </c>
      <c r="B123" s="339" t="s">
        <v>270</v>
      </c>
      <c r="C123" s="245">
        <f t="array" ref="C123">SUM(IF((Budget[Account Code]=B123)*(Budget[Sort Code]=$G$4),(Budget[Amount])))</f>
        <v>0</v>
      </c>
      <c r="D123" s="245">
        <f t="array" ref="D123">SUM(IF((Budget[Account Code]=B123)*(Budget[Sort Code]=$G$4)*(Budget[Date]&lt;=$D$7),(Budget[Amount])))</f>
        <v>0</v>
      </c>
      <c r="E123" s="245">
        <f t="array" ref="E123">((SUM(IF((CkDJ[Sort Code]=(TRIM(G$4)))*(CkDJ[Account Code]=(TRIM($B123)))*(CkDJ[Date]&lt;=$E$7),CkDJ[Debit])))+(SUM(IF((CsDJ[Sort Code]=(TRIM(G$4)))*(CsDJ[Account Code]=(TRIM($B123)))*(CsDJ[Date]&lt;=$E$7),CsDJ[Debit])))+(SUM(IF((CRDJ[Sort Code]=(TRIM(G$4)))*(CRDJ[Account Code]=(TRIM($B123)))*(CRDJ[Date]&lt;=$E$7),CRDJ[Debit])))+(SUM(IF((GJ[Sort Code]=(TRIM(G$4)))*(GJ[Account Code]=(TRIM($B123)))*(GJ[Date]&lt;=$E$7),GJ[Debit]))))-((SUM(IF((CkDJ[Sort Code]=(TRIM(G$4)))*(CkDJ[Account Code]=(TRIM($B123)))*(CkDJ[Date]&lt;=$E$7),CkDJ[Credit])))+(SUM(IF((CsDJ[Sort Code]=(TRIM(G$4)))*(CsDJ[Account Code]=(TRIM($B123)))*(CsDJ[Date]&lt;=$E$7),CsDJ[Credit])))+(SUM(IF((CRDJ[Sort Code]=(TRIM(G$4)))*(CRDJ[Account Code]=(TRIM($B123)))*(CRDJ[Date]&lt;=$E$7),CRDJ[Credit])))+(SUM(IF((GJ[Sort Code]=(TRIM(G$4)))*(GJ[Account Code]=(TRIM($B123)))*(GJ[Date]&lt;=$E$7),GJ[Credit]))))</f>
        <v>0</v>
      </c>
      <c r="F123" s="245">
        <f t="array" ref="F123">((SUM(IF((CkDJ[Date]=$A$3)*(CkDJ[Sort Code]=(TRIM(G$4)))*(CkDJ[Account Code]=(TRIM($B123))),CkDJ[Debit])))+(SUM(IF((CsDJ[Date]=$A$3)*(CsDJ[Sort Code]=(TRIM(G$4)))*(CsDJ[Account Code]=(TRIM($B123))),CsDJ[Debit])))+(SUM(IF((CRDJ[Date]=$A$3)*(CRDJ[Sort Code]=(TRIM(G$4)))*(CRDJ[Account Code]=(TRIM($B123))),CRDJ[Debit])))+(SUM(IF((GJ[Date]=$A$3)*(GJ[Sort Code]=(TRIM(G$4)))*(GJ[Account Code]=(TRIM($B123))),GJ[Debit]))))-((SUM(IF((CkDJ[Date]=$A$3)*(CkDJ[Sort Code]=(TRIM(G$4)))*(CkDJ[Account Code]=(TRIM($B123))),CkDJ[Credit])))+(SUM(IF((CsDJ[Date]=$A$3)*(CsDJ[Sort Code]=(TRIM(G$4)))*(CsDJ[Account Code]=(TRIM($B123))),CsDJ[Credit])))+(SUM(IF((CRDJ[Date]=$A$3)*(CRDJ[Sort Code]=(TRIM(G$4)))*(CRDJ[Account Code]=(TRIM($B123))),CRDJ[Credit])))+(SUM(IF((GJ[Date]=$A$3)*(GJ[Sort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Code]=B124)*(Budget[Sort Code]=$G$4),(Budget[Amount])))</f>
        <v>0</v>
      </c>
      <c r="D124" s="245">
        <f t="array" ref="D124">SUM(IF((Budget[Account Code]=B124)*(Budget[Sort Code]=$G$4)*(Budget[Date]&lt;=$D$7),(Budget[Amount])))</f>
        <v>0</v>
      </c>
      <c r="E124" s="245">
        <f t="array" ref="E124">((SUM(IF((CkDJ[Sort Code]=(TRIM(G$4)))*(CkDJ[Account Code]=(TRIM($B124)))*(CkDJ[Date]&lt;=$E$7),CkDJ[Debit])))+(SUM(IF((CsDJ[Sort Code]=(TRIM(G$4)))*(CsDJ[Account Code]=(TRIM($B124)))*(CsDJ[Date]&lt;=$E$7),CsDJ[Debit])))+(SUM(IF((CRDJ[Sort Code]=(TRIM(G$4)))*(CRDJ[Account Code]=(TRIM($B124)))*(CRDJ[Date]&lt;=$E$7),CRDJ[Debit])))+(SUM(IF((GJ[Sort Code]=(TRIM(G$4)))*(GJ[Account Code]=(TRIM($B124)))*(GJ[Date]&lt;=$E$7),GJ[Debit]))))-((SUM(IF((CkDJ[Sort Code]=(TRIM(G$4)))*(CkDJ[Account Code]=(TRIM($B124)))*(CkDJ[Date]&lt;=$E$7),CkDJ[Credit])))+(SUM(IF((CsDJ[Sort Code]=(TRIM(G$4)))*(CsDJ[Account Code]=(TRIM($B124)))*(CsDJ[Date]&lt;=$E$7),CsDJ[Credit])))+(SUM(IF((CRDJ[Sort Code]=(TRIM(G$4)))*(CRDJ[Account Code]=(TRIM($B124)))*(CRDJ[Date]&lt;=$E$7),CRDJ[Credit])))+(SUM(IF((GJ[Sort Code]=(TRIM(G$4)))*(GJ[Account Code]=(TRIM($B124)))*(GJ[Date]&lt;=$E$7),GJ[Credit]))))</f>
        <v>0</v>
      </c>
      <c r="F124" s="245">
        <f t="array" ref="F124">((SUM(IF((CkDJ[Date]=$A$3)*(CkDJ[Sort Code]=(TRIM(G$4)))*(CkDJ[Account Code]=(TRIM($B124))),CkDJ[Debit])))+(SUM(IF((CsDJ[Date]=$A$3)*(CsDJ[Sort Code]=(TRIM(G$4)))*(CsDJ[Account Code]=(TRIM($B124))),CsDJ[Debit])))+(SUM(IF((CRDJ[Date]=$A$3)*(CRDJ[Sort Code]=(TRIM(G$4)))*(CRDJ[Account Code]=(TRIM($B124))),CRDJ[Debit])))+(SUM(IF((GJ[Date]=$A$3)*(GJ[Sort Code]=(TRIM(G$4)))*(GJ[Account Code]=(TRIM($B124))),GJ[Debit]))))-((SUM(IF((CkDJ[Date]=$A$3)*(CkDJ[Sort Code]=(TRIM(G$4)))*(CkDJ[Account Code]=(TRIM($B124))),CkDJ[Credit])))+(SUM(IF((CsDJ[Date]=$A$3)*(CsDJ[Sort Code]=(TRIM(G$4)))*(CsDJ[Account Code]=(TRIM($B124))),CsDJ[Credit])))+(SUM(IF((CRDJ[Date]=$A$3)*(CRDJ[Sort Code]=(TRIM(G$4)))*(CRDJ[Account Code]=(TRIM($B124))),CRDJ[Credit])))+(SUM(IF((GJ[Date]=$A$3)*(GJ[Sort Code]=(TRIM(G$4)))*(GJ[Account Code]=(TRIM($B124))),GJ[Credit]))))</f>
        <v>0</v>
      </c>
      <c r="G124" s="343">
        <f t="shared" si="9"/>
        <v>0</v>
      </c>
      <c r="H124" s="246">
        <f t="shared" si="10"/>
        <v>0</v>
      </c>
      <c r="I124" s="246">
        <f t="shared" si="11"/>
        <v>0</v>
      </c>
    </row>
    <row r="125" spans="1:9" hidden="1">
      <c r="A125" s="256" t="s">
        <v>316</v>
      </c>
      <c r="B125" s="339" t="s">
        <v>272</v>
      </c>
      <c r="C125" s="245">
        <f t="array" ref="C125">SUM(IF((Budget[Account Code]=B125)*(Budget[Sort Code]=$G$4),(Budget[Amount])))</f>
        <v>171160.42</v>
      </c>
      <c r="D125" s="245">
        <f t="array" ref="D125">SUM(IF((Budget[Account Code]=B125)*(Budget[Sort Code]=$G$4)*(Budget[Date]&lt;=$D$7),(Budget[Amount])))</f>
        <v>171160.42</v>
      </c>
      <c r="E125" s="245">
        <f t="array" ref="E125">((SUM(IF((CkDJ[Sort Code]=(TRIM(G$4)))*(CkDJ[Account Code]=(TRIM($B125)))*(CkDJ[Date]&lt;=$E$7),CkDJ[Debit])))+(SUM(IF((CsDJ[Sort Code]=(TRIM(G$4)))*(CsDJ[Account Code]=(TRIM($B125)))*(CsDJ[Date]&lt;=$E$7),CsDJ[Debit])))+(SUM(IF((CRDJ[Sort Code]=(TRIM(G$4)))*(CRDJ[Account Code]=(TRIM($B125)))*(CRDJ[Date]&lt;=$E$7),CRDJ[Debit])))+(SUM(IF((GJ[Sort Code]=(TRIM(G$4)))*(GJ[Account Code]=(TRIM($B125)))*(GJ[Date]&lt;=$E$7),GJ[Debit]))))-((SUM(IF((CkDJ[Sort Code]=(TRIM(G$4)))*(CkDJ[Account Code]=(TRIM($B125)))*(CkDJ[Date]&lt;=$E$7),CkDJ[Credit])))+(SUM(IF((CsDJ[Sort Code]=(TRIM(G$4)))*(CsDJ[Account Code]=(TRIM($B125)))*(CsDJ[Date]&lt;=$E$7),CsDJ[Credit])))+(SUM(IF((CRDJ[Sort Code]=(TRIM(G$4)))*(CRDJ[Account Code]=(TRIM($B125)))*(CRDJ[Date]&lt;=$E$7),CRDJ[Credit])))+(SUM(IF((GJ[Sort Code]=(TRIM(G$4)))*(GJ[Account Code]=(TRIM($B125)))*(GJ[Date]&lt;=$E$7),GJ[Credit]))))</f>
        <v>0</v>
      </c>
      <c r="F125" s="245">
        <f t="array" ref="F125">((SUM(IF((CkDJ[Date]=$A$3)*(CkDJ[Sort Code]=(TRIM(G$4)))*(CkDJ[Account Code]=(TRIM($B125))),CkDJ[Debit])))+(SUM(IF((CsDJ[Date]=$A$3)*(CsDJ[Sort Code]=(TRIM(G$4)))*(CsDJ[Account Code]=(TRIM($B125))),CsDJ[Debit])))+(SUM(IF((CRDJ[Date]=$A$3)*(CRDJ[Sort Code]=(TRIM(G$4)))*(CRDJ[Account Code]=(TRIM($B125))),CRDJ[Debit])))+(SUM(IF((GJ[Date]=$A$3)*(GJ[Sort Code]=(TRIM(G$4)))*(GJ[Account Code]=(TRIM($B125))),GJ[Debit]))))-((SUM(IF((CkDJ[Date]=$A$3)*(CkDJ[Sort Code]=(TRIM(G$4)))*(CkDJ[Account Code]=(TRIM($B125))),CkDJ[Credit])))+(SUM(IF((CsDJ[Date]=$A$3)*(CsDJ[Sort Code]=(TRIM(G$4)))*(CsDJ[Account Code]=(TRIM($B125))),CsDJ[Credit])))+(SUM(IF((CRDJ[Date]=$A$3)*(CRDJ[Sort Code]=(TRIM(G$4)))*(CRDJ[Account Code]=(TRIM($B125))),CRDJ[Credit])))+(SUM(IF((GJ[Date]=$A$3)*(GJ[Sort Code]=(TRIM(G$4)))*(GJ[Account Code]=(TRIM($B125))),GJ[Credit]))))</f>
        <v>0</v>
      </c>
      <c r="G125" s="343">
        <f t="shared" si="9"/>
        <v>0</v>
      </c>
      <c r="H125" s="246">
        <f t="shared" si="10"/>
        <v>-171160.42</v>
      </c>
      <c r="I125" s="246">
        <f t="shared" si="11"/>
        <v>0</v>
      </c>
    </row>
    <row r="126" spans="1:9" hidden="1">
      <c r="A126" s="256" t="s">
        <v>317</v>
      </c>
      <c r="B126" s="339" t="s">
        <v>273</v>
      </c>
      <c r="C126" s="245">
        <f t="array" ref="C126">SUM(IF((Budget[Account Code]=B126)*(Budget[Sort Code]=$G$4),(Budget[Amount])))</f>
        <v>0</v>
      </c>
      <c r="D126" s="245">
        <f t="array" ref="D126">SUM(IF((Budget[Account Code]=B126)*(Budget[Sort Code]=$G$4)*(Budget[Date]&lt;=$D$7),(Budget[Amount])))</f>
        <v>0</v>
      </c>
      <c r="E126" s="245">
        <f t="array" ref="E126">((SUM(IF((CkDJ[Sort Code]=(TRIM(G$4)))*(CkDJ[Account Code]=(TRIM($B126)))*(CkDJ[Date]&lt;=$E$7),CkDJ[Debit])))+(SUM(IF((CsDJ[Sort Code]=(TRIM(G$4)))*(CsDJ[Account Code]=(TRIM($B126)))*(CsDJ[Date]&lt;=$E$7),CsDJ[Debit])))+(SUM(IF((CRDJ[Sort Code]=(TRIM(G$4)))*(CRDJ[Account Code]=(TRIM($B126)))*(CRDJ[Date]&lt;=$E$7),CRDJ[Debit])))+(SUM(IF((GJ[Sort Code]=(TRIM(G$4)))*(GJ[Account Code]=(TRIM($B126)))*(GJ[Date]&lt;=$E$7),GJ[Debit]))))-((SUM(IF((CkDJ[Sort Code]=(TRIM(G$4)))*(CkDJ[Account Code]=(TRIM($B126)))*(CkDJ[Date]&lt;=$E$7),CkDJ[Credit])))+(SUM(IF((CsDJ[Sort Code]=(TRIM(G$4)))*(CsDJ[Account Code]=(TRIM($B126)))*(CsDJ[Date]&lt;=$E$7),CsDJ[Credit])))+(SUM(IF((CRDJ[Sort Code]=(TRIM(G$4)))*(CRDJ[Account Code]=(TRIM($B126)))*(CRDJ[Date]&lt;=$E$7),CRDJ[Credit])))+(SUM(IF((GJ[Sort Code]=(TRIM(G$4)))*(GJ[Account Code]=(TRIM($B126)))*(GJ[Date]&lt;=$E$7),GJ[Credit]))))</f>
        <v>0</v>
      </c>
      <c r="F126" s="245">
        <f t="array" ref="F126">((SUM(IF((CkDJ[Date]=$A$3)*(CkDJ[Sort Code]=(TRIM(G$4)))*(CkDJ[Account Code]=(TRIM($B126))),CkDJ[Debit])))+(SUM(IF((CsDJ[Date]=$A$3)*(CsDJ[Sort Code]=(TRIM(G$4)))*(CsDJ[Account Code]=(TRIM($B126))),CsDJ[Debit])))+(SUM(IF((CRDJ[Date]=$A$3)*(CRDJ[Sort Code]=(TRIM(G$4)))*(CRDJ[Account Code]=(TRIM($B126))),CRDJ[Debit])))+(SUM(IF((GJ[Date]=$A$3)*(GJ[Sort Code]=(TRIM(G$4)))*(GJ[Account Code]=(TRIM($B126))),GJ[Debit]))))-((SUM(IF((CkDJ[Date]=$A$3)*(CkDJ[Sort Code]=(TRIM(G$4)))*(CkDJ[Account Code]=(TRIM($B126))),CkDJ[Credit])))+(SUM(IF((CsDJ[Date]=$A$3)*(CsDJ[Sort Code]=(TRIM(G$4)))*(CsDJ[Account Code]=(TRIM($B126))),CsDJ[Credit])))+(SUM(IF((CRDJ[Date]=$A$3)*(CRDJ[Sort Code]=(TRIM(G$4)))*(CRDJ[Account Code]=(TRIM($B126))),CRDJ[Credit])))+(SUM(IF((GJ[Date]=$A$3)*(GJ[Sort Code]=(TRIM(G$4)))*(GJ[Account Code]=(TRIM($B126))),GJ[Credit]))))</f>
        <v>0</v>
      </c>
      <c r="G126" s="343">
        <f t="shared" si="9"/>
        <v>0</v>
      </c>
      <c r="H126" s="246">
        <f t="shared" si="10"/>
        <v>0</v>
      </c>
      <c r="I126" s="246">
        <f t="shared" si="11"/>
        <v>0</v>
      </c>
    </row>
    <row r="127" spans="1:9" hidden="1">
      <c r="A127" s="256" t="s">
        <v>318</v>
      </c>
      <c r="B127" s="339" t="s">
        <v>274</v>
      </c>
      <c r="C127" s="245">
        <f t="array" ref="C127">SUM(IF((Budget[Account Code]=B127)*(Budget[Sort Code]=$G$4),(Budget[Amount])))</f>
        <v>0</v>
      </c>
      <c r="D127" s="245">
        <f t="array" ref="D127">SUM(IF((Budget[Account Code]=B127)*(Budget[Sort Code]=$G$4)*(Budget[Date]&lt;=$D$7),(Budget[Amount])))</f>
        <v>0</v>
      </c>
      <c r="E127" s="245">
        <f t="array" ref="E127">((SUM(IF((CkDJ[Sort Code]=(TRIM(G$4)))*(CkDJ[Account Code]=(TRIM($B127)))*(CkDJ[Date]&lt;=$E$7),CkDJ[Debit])))+(SUM(IF((CsDJ[Sort Code]=(TRIM(G$4)))*(CsDJ[Account Code]=(TRIM($B127)))*(CsDJ[Date]&lt;=$E$7),CsDJ[Debit])))+(SUM(IF((CRDJ[Sort Code]=(TRIM(G$4)))*(CRDJ[Account Code]=(TRIM($B127)))*(CRDJ[Date]&lt;=$E$7),CRDJ[Debit])))+(SUM(IF((GJ[Sort Code]=(TRIM(G$4)))*(GJ[Account Code]=(TRIM($B127)))*(GJ[Date]&lt;=$E$7),GJ[Debit]))))-((SUM(IF((CkDJ[Sort Code]=(TRIM(G$4)))*(CkDJ[Account Code]=(TRIM($B127)))*(CkDJ[Date]&lt;=$E$7),CkDJ[Credit])))+(SUM(IF((CsDJ[Sort Code]=(TRIM(G$4)))*(CsDJ[Account Code]=(TRIM($B127)))*(CsDJ[Date]&lt;=$E$7),CsDJ[Credit])))+(SUM(IF((CRDJ[Sort Code]=(TRIM(G$4)))*(CRDJ[Account Code]=(TRIM($B127)))*(CRDJ[Date]&lt;=$E$7),CRDJ[Credit])))+(SUM(IF((GJ[Sort Code]=(TRIM(G$4)))*(GJ[Account Code]=(TRIM($B127)))*(GJ[Date]&lt;=$E$7),GJ[Credit]))))</f>
        <v>0</v>
      </c>
      <c r="F127" s="245">
        <f t="array" ref="F127">((SUM(IF((CkDJ[Date]=$A$3)*(CkDJ[Sort Code]=(TRIM(G$4)))*(CkDJ[Account Code]=(TRIM($B127))),CkDJ[Debit])))+(SUM(IF((CsDJ[Date]=$A$3)*(CsDJ[Sort Code]=(TRIM(G$4)))*(CsDJ[Account Code]=(TRIM($B127))),CsDJ[Debit])))+(SUM(IF((CRDJ[Date]=$A$3)*(CRDJ[Sort Code]=(TRIM(G$4)))*(CRDJ[Account Code]=(TRIM($B127))),CRDJ[Debit])))+(SUM(IF((GJ[Date]=$A$3)*(GJ[Sort Code]=(TRIM(G$4)))*(GJ[Account Code]=(TRIM($B127))),GJ[Debit]))))-((SUM(IF((CkDJ[Date]=$A$3)*(CkDJ[Sort Code]=(TRIM(G$4)))*(CkDJ[Account Code]=(TRIM($B127))),CkDJ[Credit])))+(SUM(IF((CsDJ[Date]=$A$3)*(CsDJ[Sort Code]=(TRIM(G$4)))*(CsDJ[Account Code]=(TRIM($B127))),CsDJ[Credit])))+(SUM(IF((CRDJ[Date]=$A$3)*(CRDJ[Sort Code]=(TRIM(G$4)))*(CRDJ[Account Code]=(TRIM($B127))),CRDJ[Credit])))+(SUM(IF((GJ[Date]=$A$3)*(GJ[Sort Code]=(TRIM(G$4)))*(GJ[Account Code]=(TRIM($B127))),GJ[Credit]))))</f>
        <v>0</v>
      </c>
      <c r="G127" s="343">
        <f t="shared" si="9"/>
        <v>0</v>
      </c>
      <c r="H127" s="246">
        <f t="shared" si="10"/>
        <v>0</v>
      </c>
      <c r="I127" s="246">
        <f t="shared" si="11"/>
        <v>0</v>
      </c>
    </row>
    <row r="128" spans="1:9" hidden="1">
      <c r="A128" s="256" t="s">
        <v>1028</v>
      </c>
      <c r="B128" s="339" t="s">
        <v>332</v>
      </c>
      <c r="C128" s="245">
        <f t="array" ref="C128">SUM(IF((Budget[Account Code]=B128)*(Budget[Sort Code]=$G$4),(Budget[Amount])))</f>
        <v>0</v>
      </c>
      <c r="D128" s="245">
        <f t="array" ref="D128">SUM(IF((Budget[Account Code]=B128)*(Budget[Sort Code]=$G$4)*(Budget[Date]&lt;=$D$7),(Budget[Amount])))</f>
        <v>0</v>
      </c>
      <c r="E128" s="245">
        <f t="array" ref="E128">((SUM(IF((CkDJ[Sort Code]=(TRIM(G$4)))*(CkDJ[Account Code]=(TRIM($B128)))*(CkDJ[Date]&lt;=$E$7),CkDJ[Debit])))+(SUM(IF((CsDJ[Sort Code]=(TRIM(G$4)))*(CsDJ[Account Code]=(TRIM($B128)))*(CsDJ[Date]&lt;=$E$7),CsDJ[Debit])))+(SUM(IF((CRDJ[Sort Code]=(TRIM(G$4)))*(CRDJ[Account Code]=(TRIM($B128)))*(CRDJ[Date]&lt;=$E$7),CRDJ[Debit])))+(SUM(IF((GJ[Sort Code]=(TRIM(G$4)))*(GJ[Account Code]=(TRIM($B128)))*(GJ[Date]&lt;=$E$7),GJ[Debit]))))-((SUM(IF((CkDJ[Sort Code]=(TRIM(G$4)))*(CkDJ[Account Code]=(TRIM($B128)))*(CkDJ[Date]&lt;=$E$7),CkDJ[Credit])))+(SUM(IF((CsDJ[Sort Code]=(TRIM(G$4)))*(CsDJ[Account Code]=(TRIM($B128)))*(CsDJ[Date]&lt;=$E$7),CsDJ[Credit])))+(SUM(IF((CRDJ[Sort Code]=(TRIM(G$4)))*(CRDJ[Account Code]=(TRIM($B128)))*(CRDJ[Date]&lt;=$E$7),CRDJ[Credit])))+(SUM(IF((GJ[Sort Code]=(TRIM(G$4)))*(GJ[Account Code]=(TRIM($B128)))*(GJ[Date]&lt;=$E$7),GJ[Credit]))))</f>
        <v>0</v>
      </c>
      <c r="F128" s="245">
        <f t="array" ref="F128">((SUM(IF((CkDJ[Date]=$A$3)*(CkDJ[Sort Code]=(TRIM(G$4)))*(CkDJ[Account Code]=(TRIM($B128))),CkDJ[Debit])))+(SUM(IF((CsDJ[Date]=$A$3)*(CsDJ[Sort Code]=(TRIM(G$4)))*(CsDJ[Account Code]=(TRIM($B128))),CsDJ[Debit])))+(SUM(IF((CRDJ[Date]=$A$3)*(CRDJ[Sort Code]=(TRIM(G$4)))*(CRDJ[Account Code]=(TRIM($B128))),CRDJ[Debit])))+(SUM(IF((GJ[Date]=$A$3)*(GJ[Sort Code]=(TRIM(G$4)))*(GJ[Account Code]=(TRIM($B128))),GJ[Debit]))))-((SUM(IF((CkDJ[Date]=$A$3)*(CkDJ[Sort Code]=(TRIM(G$4)))*(CkDJ[Account Code]=(TRIM($B128))),CkDJ[Credit])))+(SUM(IF((CsDJ[Date]=$A$3)*(CsDJ[Sort Code]=(TRIM(G$4)))*(CsDJ[Account Code]=(TRIM($B128))),CsDJ[Credit])))+(SUM(IF((CRDJ[Date]=$A$3)*(CRDJ[Sort Code]=(TRIM(G$4)))*(CRDJ[Account Code]=(TRIM($B128))),CRDJ[Credit])))+(SUM(IF((GJ[Date]=$A$3)*(GJ[Sort Code]=(TRIM(G$4)))*(GJ[Account Code]=(TRIM($B128))),GJ[Credit]))))</f>
        <v>0</v>
      </c>
      <c r="G128" s="343">
        <f t="shared" si="9"/>
        <v>0</v>
      </c>
      <c r="H128" s="246">
        <f t="shared" si="10"/>
        <v>0</v>
      </c>
      <c r="I128" s="246">
        <f t="shared" si="11"/>
        <v>0</v>
      </c>
    </row>
    <row r="129" spans="1:9" hidden="1">
      <c r="A129" s="256" t="s">
        <v>343</v>
      </c>
      <c r="B129" s="339" t="s">
        <v>334</v>
      </c>
      <c r="C129" s="245">
        <f t="array" ref="C129">SUM(IF((Budget[Account Code]=B129)*(Budget[Sort Code]=$G$4),(Budget[Amount])))</f>
        <v>0</v>
      </c>
      <c r="D129" s="245">
        <f t="array" ref="D129">SUM(IF((Budget[Account Code]=B129)*(Budget[Sort Code]=$G$4)*(Budget[Date]&lt;=$D$7),(Budget[Amount])))</f>
        <v>0</v>
      </c>
      <c r="E129" s="245">
        <f t="array" ref="E129">((SUM(IF((CkDJ[Sort Code]=(TRIM(G$4)))*(CkDJ[Account Code]=(TRIM($B129)))*(CkDJ[Date]&lt;=$E$7),CkDJ[Debit])))+(SUM(IF((CsDJ[Sort Code]=(TRIM(G$4)))*(CsDJ[Account Code]=(TRIM($B129)))*(CsDJ[Date]&lt;=$E$7),CsDJ[Debit])))+(SUM(IF((CRDJ[Sort Code]=(TRIM(G$4)))*(CRDJ[Account Code]=(TRIM($B129)))*(CRDJ[Date]&lt;=$E$7),CRDJ[Debit])))+(SUM(IF((GJ[Sort Code]=(TRIM(G$4)))*(GJ[Account Code]=(TRIM($B129)))*(GJ[Date]&lt;=$E$7),GJ[Debit]))))-((SUM(IF((CkDJ[Sort Code]=(TRIM(G$4)))*(CkDJ[Account Code]=(TRIM($B129)))*(CkDJ[Date]&lt;=$E$7),CkDJ[Credit])))+(SUM(IF((CsDJ[Sort Code]=(TRIM(G$4)))*(CsDJ[Account Code]=(TRIM($B129)))*(CsDJ[Date]&lt;=$E$7),CsDJ[Credit])))+(SUM(IF((CRDJ[Sort Code]=(TRIM(G$4)))*(CRDJ[Account Code]=(TRIM($B129)))*(CRDJ[Date]&lt;=$E$7),CRDJ[Credit])))+(SUM(IF((GJ[Sort Code]=(TRIM(G$4)))*(GJ[Account Code]=(TRIM($B129)))*(GJ[Date]&lt;=$E$7),GJ[Credit]))))</f>
        <v>0</v>
      </c>
      <c r="F129" s="245">
        <f t="array" ref="F129">((SUM(IF((CkDJ[Date]=$A$3)*(CkDJ[Sort Code]=(TRIM(G$4)))*(CkDJ[Account Code]=(TRIM($B129))),CkDJ[Debit])))+(SUM(IF((CsDJ[Date]=$A$3)*(CsDJ[Sort Code]=(TRIM(G$4)))*(CsDJ[Account Code]=(TRIM($B129))),CsDJ[Debit])))+(SUM(IF((CRDJ[Date]=$A$3)*(CRDJ[Sort Code]=(TRIM(G$4)))*(CRDJ[Account Code]=(TRIM($B129))),CRDJ[Debit])))+(SUM(IF((GJ[Date]=$A$3)*(GJ[Sort Code]=(TRIM(G$4)))*(GJ[Account Code]=(TRIM($B129))),GJ[Debit]))))-((SUM(IF((CkDJ[Date]=$A$3)*(CkDJ[Sort Code]=(TRIM(G$4)))*(CkDJ[Account Code]=(TRIM($B129))),CkDJ[Credit])))+(SUM(IF((CsDJ[Date]=$A$3)*(CsDJ[Sort Code]=(TRIM(G$4)))*(CsDJ[Account Code]=(TRIM($B129))),CsDJ[Credit])))+(SUM(IF((CRDJ[Date]=$A$3)*(CRDJ[Sort Code]=(TRIM(G$4)))*(CRDJ[Account Code]=(TRIM($B129))),CRDJ[Credit])))+(SUM(IF((GJ[Date]=$A$3)*(GJ[Sort Code]=(TRIM(G$4)))*(GJ[Account Code]=(TRIM($B129))),GJ[Credit]))))</f>
        <v>0</v>
      </c>
      <c r="G129" s="343">
        <f t="shared" si="9"/>
        <v>0</v>
      </c>
      <c r="H129" s="246">
        <f t="shared" si="10"/>
        <v>0</v>
      </c>
      <c r="I129" s="246">
        <f t="shared" si="11"/>
        <v>0</v>
      </c>
    </row>
    <row r="130" spans="1:9" hidden="1">
      <c r="A130" s="256" t="s">
        <v>344</v>
      </c>
      <c r="B130" s="339" t="s">
        <v>335</v>
      </c>
      <c r="C130" s="245">
        <f t="array" ref="C130">SUM(IF((Budget[Account Code]=B130)*(Budget[Sort Code]=$G$4),(Budget[Amount])))</f>
        <v>0</v>
      </c>
      <c r="D130" s="245">
        <f t="array" ref="D130">SUM(IF((Budget[Account Code]=B130)*(Budget[Sort Code]=$G$4)*(Budget[Date]&lt;=$D$7),(Budget[Amount])))</f>
        <v>0</v>
      </c>
      <c r="E130" s="245">
        <f t="array" ref="E130">((SUM(IF((CkDJ[Sort Code]=(TRIM(G$4)))*(CkDJ[Account Code]=(TRIM($B130)))*(CkDJ[Date]&lt;=$E$7),CkDJ[Debit])))+(SUM(IF((CsDJ[Sort Code]=(TRIM(G$4)))*(CsDJ[Account Code]=(TRIM($B130)))*(CsDJ[Date]&lt;=$E$7),CsDJ[Debit])))+(SUM(IF((CRDJ[Sort Code]=(TRIM(G$4)))*(CRDJ[Account Code]=(TRIM($B130)))*(CRDJ[Date]&lt;=$E$7),CRDJ[Debit])))+(SUM(IF((GJ[Sort Code]=(TRIM(G$4)))*(GJ[Account Code]=(TRIM($B130)))*(GJ[Date]&lt;=$E$7),GJ[Debit]))))-((SUM(IF((CkDJ[Sort Code]=(TRIM(G$4)))*(CkDJ[Account Code]=(TRIM($B130)))*(CkDJ[Date]&lt;=$E$7),CkDJ[Credit])))+(SUM(IF((CsDJ[Sort Code]=(TRIM(G$4)))*(CsDJ[Account Code]=(TRIM($B130)))*(CsDJ[Date]&lt;=$E$7),CsDJ[Credit])))+(SUM(IF((CRDJ[Sort Code]=(TRIM(G$4)))*(CRDJ[Account Code]=(TRIM($B130)))*(CRDJ[Date]&lt;=$E$7),CRDJ[Credit])))+(SUM(IF((GJ[Sort Code]=(TRIM(G$4)))*(GJ[Account Code]=(TRIM($B130)))*(GJ[Date]&lt;=$E$7),GJ[Credit]))))</f>
        <v>0</v>
      </c>
      <c r="F130" s="245">
        <f t="array" ref="F130">((SUM(IF((CkDJ[Date]=$A$3)*(CkDJ[Sort Code]=(TRIM(G$4)))*(CkDJ[Account Code]=(TRIM($B130))),CkDJ[Debit])))+(SUM(IF((CsDJ[Date]=$A$3)*(CsDJ[Sort Code]=(TRIM(G$4)))*(CsDJ[Account Code]=(TRIM($B130))),CsDJ[Debit])))+(SUM(IF((CRDJ[Date]=$A$3)*(CRDJ[Sort Code]=(TRIM(G$4)))*(CRDJ[Account Code]=(TRIM($B130))),CRDJ[Debit])))+(SUM(IF((GJ[Date]=$A$3)*(GJ[Sort Code]=(TRIM(G$4)))*(GJ[Account Code]=(TRIM($B130))),GJ[Debit]))))-((SUM(IF((CkDJ[Date]=$A$3)*(CkDJ[Sort Code]=(TRIM(G$4)))*(CkDJ[Account Code]=(TRIM($B130))),CkDJ[Credit])))+(SUM(IF((CsDJ[Date]=$A$3)*(CsDJ[Sort Code]=(TRIM(G$4)))*(CsDJ[Account Code]=(TRIM($B130))),CsDJ[Credit])))+(SUM(IF((CRDJ[Date]=$A$3)*(CRDJ[Sort Code]=(TRIM(G$4)))*(CRDJ[Account Code]=(TRIM($B130))),CRDJ[Credit])))+(SUM(IF((GJ[Date]=$A$3)*(GJ[Sort Code]=(TRIM(G$4)))*(GJ[Account Code]=(TRIM($B130))),GJ[Credit]))))</f>
        <v>0</v>
      </c>
      <c r="G130" s="343">
        <f t="shared" si="9"/>
        <v>0</v>
      </c>
      <c r="H130" s="246">
        <f t="shared" si="10"/>
        <v>0</v>
      </c>
      <c r="I130" s="246">
        <f t="shared" si="11"/>
        <v>0</v>
      </c>
    </row>
    <row r="131" spans="1:9" hidden="1">
      <c r="A131" s="256" t="s">
        <v>368</v>
      </c>
      <c r="B131" s="339" t="s">
        <v>405</v>
      </c>
      <c r="C131" s="245">
        <f t="array" ref="C131">SUM(IF((Budget[Account Code]=B131)*(Budget[Sort Code]=$G$4),(Budget[Amount])))</f>
        <v>0</v>
      </c>
      <c r="D131" s="245">
        <f t="array" ref="D131">SUM(IF((Budget[Account Code]=B131)*(Budget[Sort Code]=$G$4)*(Budget[Date]&lt;=$D$7),(Budget[Amount])))</f>
        <v>0</v>
      </c>
      <c r="E131" s="245">
        <f t="array" ref="E131">((SUM(IF((CkDJ[Sort Code]=(TRIM(G$4)))*(CkDJ[Account Code]=(TRIM($B131)))*(CkDJ[Date]&lt;=$E$7),CkDJ[Debit])))+(SUM(IF((CsDJ[Sort Code]=(TRIM(G$4)))*(CsDJ[Account Code]=(TRIM($B131)))*(CsDJ[Date]&lt;=$E$7),CsDJ[Debit])))+(SUM(IF((CRDJ[Sort Code]=(TRIM(G$4)))*(CRDJ[Account Code]=(TRIM($B131)))*(CRDJ[Date]&lt;=$E$7),CRDJ[Debit])))+(SUM(IF((GJ[Sort Code]=(TRIM(G$4)))*(GJ[Account Code]=(TRIM($B131)))*(GJ[Date]&lt;=$E$7),GJ[Debit]))))-((SUM(IF((CkDJ[Sort Code]=(TRIM(G$4)))*(CkDJ[Account Code]=(TRIM($B131)))*(CkDJ[Date]&lt;=$E$7),CkDJ[Credit])))+(SUM(IF((CsDJ[Sort Code]=(TRIM(G$4)))*(CsDJ[Account Code]=(TRIM($B131)))*(CsDJ[Date]&lt;=$E$7),CsDJ[Credit])))+(SUM(IF((CRDJ[Sort Code]=(TRIM(G$4)))*(CRDJ[Account Code]=(TRIM($B131)))*(CRDJ[Date]&lt;=$E$7),CRDJ[Credit])))+(SUM(IF((GJ[Sort Code]=(TRIM(G$4)))*(GJ[Account Code]=(TRIM($B131)))*(GJ[Date]&lt;=$E$7),GJ[Credit]))))</f>
        <v>0</v>
      </c>
      <c r="F131" s="245">
        <f t="array" ref="F131">((SUM(IF((CkDJ[Date]=$A$3)*(CkDJ[Sort Code]=(TRIM(G$4)))*(CkDJ[Account Code]=(TRIM($B131))),CkDJ[Debit])))+(SUM(IF((CsDJ[Date]=$A$3)*(CsDJ[Sort Code]=(TRIM(G$4)))*(CsDJ[Account Code]=(TRIM($B131))),CsDJ[Debit])))+(SUM(IF((CRDJ[Date]=$A$3)*(CRDJ[Sort Code]=(TRIM(G$4)))*(CRDJ[Account Code]=(TRIM($B131))),CRDJ[Debit])))+(SUM(IF((GJ[Date]=$A$3)*(GJ[Sort Code]=(TRIM(G$4)))*(GJ[Account Code]=(TRIM($B131))),GJ[Debit]))))-((SUM(IF((CkDJ[Date]=$A$3)*(CkDJ[Sort Code]=(TRIM(G$4)))*(CkDJ[Account Code]=(TRIM($B131))),CkDJ[Credit])))+(SUM(IF((CsDJ[Date]=$A$3)*(CsDJ[Sort Code]=(TRIM(G$4)))*(CsDJ[Account Code]=(TRIM($B131))),CsDJ[Credit])))+(SUM(IF((CRDJ[Date]=$A$3)*(CRDJ[Sort Code]=(TRIM(G$4)))*(CRDJ[Account Code]=(TRIM($B131))),CRDJ[Credit])))+(SUM(IF((GJ[Date]=$A$3)*(GJ[Sort Code]=(TRIM(G$4)))*(GJ[Account Code]=(TRIM($B131))),GJ[Credit]))))</f>
        <v>0</v>
      </c>
      <c r="G131" s="343">
        <f t="shared" si="9"/>
        <v>0</v>
      </c>
      <c r="H131" s="246">
        <f t="shared" si="10"/>
        <v>0</v>
      </c>
      <c r="I131" s="246">
        <f t="shared" si="11"/>
        <v>0</v>
      </c>
    </row>
    <row r="132" spans="1:9" hidden="1">
      <c r="A132" s="256" t="s">
        <v>345</v>
      </c>
      <c r="B132" s="339" t="s">
        <v>336</v>
      </c>
      <c r="C132" s="245">
        <f t="array" ref="C132">SUM(IF((Budget[Account Code]=B132)*(Budget[Sort Code]=$G$4),(Budget[Amount])))</f>
        <v>0</v>
      </c>
      <c r="D132" s="245">
        <f t="array" ref="D132">SUM(IF((Budget[Account Code]=B132)*(Budget[Sort Code]=$G$4)*(Budget[Date]&lt;=$D$7),(Budget[Amount])))</f>
        <v>0</v>
      </c>
      <c r="E132" s="245">
        <f t="array" ref="E132">((SUM(IF((CkDJ[Sort Code]=(TRIM(G$4)))*(CkDJ[Account Code]=(TRIM($B132)))*(CkDJ[Date]&lt;=$E$7),CkDJ[Debit])))+(SUM(IF((CsDJ[Sort Code]=(TRIM(G$4)))*(CsDJ[Account Code]=(TRIM($B132)))*(CsDJ[Date]&lt;=$E$7),CsDJ[Debit])))+(SUM(IF((CRDJ[Sort Code]=(TRIM(G$4)))*(CRDJ[Account Code]=(TRIM($B132)))*(CRDJ[Date]&lt;=$E$7),CRDJ[Debit])))+(SUM(IF((GJ[Sort Code]=(TRIM(G$4)))*(GJ[Account Code]=(TRIM($B132)))*(GJ[Date]&lt;=$E$7),GJ[Debit]))))-((SUM(IF((CkDJ[Sort Code]=(TRIM(G$4)))*(CkDJ[Account Code]=(TRIM($B132)))*(CkDJ[Date]&lt;=$E$7),CkDJ[Credit])))+(SUM(IF((CsDJ[Sort Code]=(TRIM(G$4)))*(CsDJ[Account Code]=(TRIM($B132)))*(CsDJ[Date]&lt;=$E$7),CsDJ[Credit])))+(SUM(IF((CRDJ[Sort Code]=(TRIM(G$4)))*(CRDJ[Account Code]=(TRIM($B132)))*(CRDJ[Date]&lt;=$E$7),CRDJ[Credit])))+(SUM(IF((GJ[Sort Code]=(TRIM(G$4)))*(GJ[Account Code]=(TRIM($B132)))*(GJ[Date]&lt;=$E$7),GJ[Credit]))))</f>
        <v>0</v>
      </c>
      <c r="F132" s="245">
        <f t="array" ref="F132">((SUM(IF((CkDJ[Date]=$A$3)*(CkDJ[Sort Code]=(TRIM(G$4)))*(CkDJ[Account Code]=(TRIM($B132))),CkDJ[Debit])))+(SUM(IF((CsDJ[Date]=$A$3)*(CsDJ[Sort Code]=(TRIM(G$4)))*(CsDJ[Account Code]=(TRIM($B132))),CsDJ[Debit])))+(SUM(IF((CRDJ[Date]=$A$3)*(CRDJ[Sort Code]=(TRIM(G$4)))*(CRDJ[Account Code]=(TRIM($B132))),CRDJ[Debit])))+(SUM(IF((GJ[Date]=$A$3)*(GJ[Sort Code]=(TRIM(G$4)))*(GJ[Account Code]=(TRIM($B132))),GJ[Debit]))))-((SUM(IF((CkDJ[Date]=$A$3)*(CkDJ[Sort Code]=(TRIM(G$4)))*(CkDJ[Account Code]=(TRIM($B132))),CkDJ[Credit])))+(SUM(IF((CsDJ[Date]=$A$3)*(CsDJ[Sort Code]=(TRIM(G$4)))*(CsDJ[Account Code]=(TRIM($B132))),CsDJ[Credit])))+(SUM(IF((CRDJ[Date]=$A$3)*(CRDJ[Sort Code]=(TRIM(G$4)))*(CRDJ[Account Code]=(TRIM($B132))),CRDJ[Credit])))+(SUM(IF((GJ[Date]=$A$3)*(GJ[Sort Code]=(TRIM(G$4)))*(GJ[Account Code]=(TRIM($B132))),GJ[Credit]))))</f>
        <v>0</v>
      </c>
      <c r="G132" s="343">
        <f t="shared" si="9"/>
        <v>0</v>
      </c>
      <c r="H132" s="246">
        <f t="shared" si="10"/>
        <v>0</v>
      </c>
      <c r="I132" s="246">
        <f t="shared" si="11"/>
        <v>0</v>
      </c>
    </row>
    <row r="133" spans="1:9" hidden="1">
      <c r="A133" s="256" t="s">
        <v>346</v>
      </c>
      <c r="B133" s="339" t="s">
        <v>337</v>
      </c>
      <c r="C133" s="245">
        <f t="array" ref="C133">SUM(IF((Budget[Account Code]=B133)*(Budget[Sort Code]=$G$4),(Budget[Amount])))</f>
        <v>0</v>
      </c>
      <c r="D133" s="245">
        <f t="array" ref="D133">SUM(IF((Budget[Account Code]=B133)*(Budget[Sort Code]=$G$4)*(Budget[Date]&lt;=$D$7),(Budget[Amount])))</f>
        <v>0</v>
      </c>
      <c r="E133" s="245">
        <f t="array" ref="E133">((SUM(IF((CkDJ[Sort Code]=(TRIM(G$4)))*(CkDJ[Account Code]=(TRIM($B133)))*(CkDJ[Date]&lt;=$E$7),CkDJ[Debit])))+(SUM(IF((CsDJ[Sort Code]=(TRIM(G$4)))*(CsDJ[Account Code]=(TRIM($B133)))*(CsDJ[Date]&lt;=$E$7),CsDJ[Debit])))+(SUM(IF((CRDJ[Sort Code]=(TRIM(G$4)))*(CRDJ[Account Code]=(TRIM($B133)))*(CRDJ[Date]&lt;=$E$7),CRDJ[Debit])))+(SUM(IF((GJ[Sort Code]=(TRIM(G$4)))*(GJ[Account Code]=(TRIM($B133)))*(GJ[Date]&lt;=$E$7),GJ[Debit]))))-((SUM(IF((CkDJ[Sort Code]=(TRIM(G$4)))*(CkDJ[Account Code]=(TRIM($B133)))*(CkDJ[Date]&lt;=$E$7),CkDJ[Credit])))+(SUM(IF((CsDJ[Sort Code]=(TRIM(G$4)))*(CsDJ[Account Code]=(TRIM($B133)))*(CsDJ[Date]&lt;=$E$7),CsDJ[Credit])))+(SUM(IF((CRDJ[Sort Code]=(TRIM(G$4)))*(CRDJ[Account Code]=(TRIM($B133)))*(CRDJ[Date]&lt;=$E$7),CRDJ[Credit])))+(SUM(IF((GJ[Sort Code]=(TRIM(G$4)))*(GJ[Account Code]=(TRIM($B133)))*(GJ[Date]&lt;=$E$7),GJ[Credit]))))</f>
        <v>0</v>
      </c>
      <c r="F133" s="245">
        <f t="array" ref="F133">((SUM(IF((CkDJ[Date]=$A$3)*(CkDJ[Sort Code]=(TRIM(G$4)))*(CkDJ[Account Code]=(TRIM($B133))),CkDJ[Debit])))+(SUM(IF((CsDJ[Date]=$A$3)*(CsDJ[Sort Code]=(TRIM(G$4)))*(CsDJ[Account Code]=(TRIM($B133))),CsDJ[Debit])))+(SUM(IF((CRDJ[Date]=$A$3)*(CRDJ[Sort Code]=(TRIM(G$4)))*(CRDJ[Account Code]=(TRIM($B133))),CRDJ[Debit])))+(SUM(IF((GJ[Date]=$A$3)*(GJ[Sort Code]=(TRIM(G$4)))*(GJ[Account Code]=(TRIM($B133))),GJ[Debit]))))-((SUM(IF((CkDJ[Date]=$A$3)*(CkDJ[Sort Code]=(TRIM(G$4)))*(CkDJ[Account Code]=(TRIM($B133))),CkDJ[Credit])))+(SUM(IF((CsDJ[Date]=$A$3)*(CsDJ[Sort Code]=(TRIM(G$4)))*(CsDJ[Account Code]=(TRIM($B133))),CsDJ[Credit])))+(SUM(IF((CRDJ[Date]=$A$3)*(CRDJ[Sort Code]=(TRIM(G$4)))*(CRDJ[Account Code]=(TRIM($B133))),CRDJ[Credit])))+(SUM(IF((GJ[Date]=$A$3)*(GJ[Sort Code]=(TRIM(G$4)))*(GJ[Account Code]=(TRIM($B133))),GJ[Credit]))))</f>
        <v>0</v>
      </c>
      <c r="G133" s="343">
        <f t="shared" si="9"/>
        <v>0</v>
      </c>
      <c r="H133" s="246">
        <f t="shared" si="10"/>
        <v>0</v>
      </c>
      <c r="I133" s="246">
        <f t="shared" si="11"/>
        <v>0</v>
      </c>
    </row>
    <row r="134" spans="1:9" hidden="1">
      <c r="A134" s="256" t="s">
        <v>1030</v>
      </c>
      <c r="B134" s="339" t="s">
        <v>986</v>
      </c>
      <c r="C134" s="245">
        <f t="array" ref="C134">SUM(IF((Budget[Account Code]=B134)*(Budget[Sort Code]=$G$4),(Budget[Amount])))</f>
        <v>0</v>
      </c>
      <c r="D134" s="245">
        <f t="array" ref="D134">SUM(IF((Budget[Account Code]=B134)*(Budget[Sort Code]=$G$4)*(Budget[Date]&lt;=$D$7),(Budget[Amount])))</f>
        <v>0</v>
      </c>
      <c r="E134" s="245">
        <f t="array" ref="E134">((SUM(IF((CkDJ[Sort Code]=(TRIM(G$4)))*(CkDJ[Account Code]=(TRIM($B134)))*(CkDJ[Date]&lt;=$E$7),CkDJ[Debit])))+(SUM(IF((CsDJ[Sort Code]=(TRIM(G$4)))*(CsDJ[Account Code]=(TRIM($B134)))*(CsDJ[Date]&lt;=$E$7),CsDJ[Debit])))+(SUM(IF((CRDJ[Sort Code]=(TRIM(G$4)))*(CRDJ[Account Code]=(TRIM($B134)))*(CRDJ[Date]&lt;=$E$7),CRDJ[Debit])))+(SUM(IF((GJ[Sort Code]=(TRIM(G$4)))*(GJ[Account Code]=(TRIM($B134)))*(GJ[Date]&lt;=$E$7),GJ[Debit]))))-((SUM(IF((CkDJ[Sort Code]=(TRIM(G$4)))*(CkDJ[Account Code]=(TRIM($B134)))*(CkDJ[Date]&lt;=$E$7),CkDJ[Credit])))+(SUM(IF((CsDJ[Sort Code]=(TRIM(G$4)))*(CsDJ[Account Code]=(TRIM($B134)))*(CsDJ[Date]&lt;=$E$7),CsDJ[Credit])))+(SUM(IF((CRDJ[Sort Code]=(TRIM(G$4)))*(CRDJ[Account Code]=(TRIM($B134)))*(CRDJ[Date]&lt;=$E$7),CRDJ[Credit])))+(SUM(IF((GJ[Sort Code]=(TRIM(G$4)))*(GJ[Account Code]=(TRIM($B134)))*(GJ[Date]&lt;=$E$7),GJ[Credit]))))</f>
        <v>0</v>
      </c>
      <c r="F134" s="245">
        <f t="array" ref="F134">((SUM(IF((CkDJ[Date]=$A$3)*(CkDJ[Sort Code]=(TRIM(G$4)))*(CkDJ[Account Code]=(TRIM($B134))),CkDJ[Debit])))+(SUM(IF((CsDJ[Date]=$A$3)*(CsDJ[Sort Code]=(TRIM(G$4)))*(CsDJ[Account Code]=(TRIM($B134))),CsDJ[Debit])))+(SUM(IF((CRDJ[Date]=$A$3)*(CRDJ[Sort Code]=(TRIM(G$4)))*(CRDJ[Account Code]=(TRIM($B134))),CRDJ[Debit])))+(SUM(IF((GJ[Date]=$A$3)*(GJ[Sort Code]=(TRIM(G$4)))*(GJ[Account Code]=(TRIM($B134))),GJ[Debit]))))-((SUM(IF((CkDJ[Date]=$A$3)*(CkDJ[Sort Code]=(TRIM(G$4)))*(CkDJ[Account Code]=(TRIM($B134))),CkDJ[Credit])))+(SUM(IF((CsDJ[Date]=$A$3)*(CsDJ[Sort Code]=(TRIM(G$4)))*(CsDJ[Account Code]=(TRIM($B134))),CsDJ[Credit])))+(SUM(IF((CRDJ[Date]=$A$3)*(CRDJ[Sort Code]=(TRIM(G$4)))*(CRDJ[Account Code]=(TRIM($B134))),CRDJ[Credit])))+(SUM(IF((GJ[Date]=$A$3)*(GJ[Sort Code]=(TRIM(G$4)))*(GJ[Account Code]=(TRIM($B134))),GJ[Credit]))))</f>
        <v>0</v>
      </c>
      <c r="G134" s="343">
        <f t="shared" si="9"/>
        <v>0</v>
      </c>
      <c r="H134" s="246">
        <f t="shared" si="10"/>
        <v>0</v>
      </c>
      <c r="I134" s="246">
        <f t="shared" si="11"/>
        <v>0</v>
      </c>
    </row>
    <row r="135" spans="1:9" hidden="1">
      <c r="A135" s="256" t="s">
        <v>1029</v>
      </c>
      <c r="B135" s="339" t="s">
        <v>987</v>
      </c>
      <c r="C135" s="245">
        <f t="array" ref="C135">SUM(IF((Budget[Account Code]=B135)*(Budget[Sort Code]=$G$4),(Budget[Amount])))</f>
        <v>0</v>
      </c>
      <c r="D135" s="245">
        <f t="array" ref="D135">SUM(IF((Budget[Account Code]=B135)*(Budget[Sort Code]=$G$4)*(Budget[Date]&lt;=$D$7),(Budget[Amount])))</f>
        <v>0</v>
      </c>
      <c r="E135" s="245">
        <f t="array" ref="E135">((SUM(IF((CkDJ[Sort Code]=(TRIM(G$4)))*(CkDJ[Account Code]=(TRIM($B135)))*(CkDJ[Date]&lt;=$E$7),CkDJ[Debit])))+(SUM(IF((CsDJ[Sort Code]=(TRIM(G$4)))*(CsDJ[Account Code]=(TRIM($B135)))*(CsDJ[Date]&lt;=$E$7),CsDJ[Debit])))+(SUM(IF((CRDJ[Sort Code]=(TRIM(G$4)))*(CRDJ[Account Code]=(TRIM($B135)))*(CRDJ[Date]&lt;=$E$7),CRDJ[Debit])))+(SUM(IF((GJ[Sort Code]=(TRIM(G$4)))*(GJ[Account Code]=(TRIM($B135)))*(GJ[Date]&lt;=$E$7),GJ[Debit]))))-((SUM(IF((CkDJ[Sort Code]=(TRIM(G$4)))*(CkDJ[Account Code]=(TRIM($B135)))*(CkDJ[Date]&lt;=$E$7),CkDJ[Credit])))+(SUM(IF((CsDJ[Sort Code]=(TRIM(G$4)))*(CsDJ[Account Code]=(TRIM($B135)))*(CsDJ[Date]&lt;=$E$7),CsDJ[Credit])))+(SUM(IF((CRDJ[Sort Code]=(TRIM(G$4)))*(CRDJ[Account Code]=(TRIM($B135)))*(CRDJ[Date]&lt;=$E$7),CRDJ[Credit])))+(SUM(IF((GJ[Sort Code]=(TRIM(G$4)))*(GJ[Account Code]=(TRIM($B135)))*(GJ[Date]&lt;=$E$7),GJ[Credit]))))</f>
        <v>0</v>
      </c>
      <c r="F135" s="245">
        <f t="array" ref="F135">((SUM(IF((CkDJ[Date]=$A$3)*(CkDJ[Sort Code]=(TRIM(G$4)))*(CkDJ[Account Code]=(TRIM($B135))),CkDJ[Debit])))+(SUM(IF((CsDJ[Date]=$A$3)*(CsDJ[Sort Code]=(TRIM(G$4)))*(CsDJ[Account Code]=(TRIM($B135))),CsDJ[Debit])))+(SUM(IF((CRDJ[Date]=$A$3)*(CRDJ[Sort Code]=(TRIM(G$4)))*(CRDJ[Account Code]=(TRIM($B135))),CRDJ[Debit])))+(SUM(IF((GJ[Date]=$A$3)*(GJ[Sort Code]=(TRIM(G$4)))*(GJ[Account Code]=(TRIM($B135))),GJ[Debit]))))-((SUM(IF((CkDJ[Date]=$A$3)*(CkDJ[Sort Code]=(TRIM(G$4)))*(CkDJ[Account Code]=(TRIM($B135))),CkDJ[Credit])))+(SUM(IF((CsDJ[Date]=$A$3)*(CsDJ[Sort Code]=(TRIM(G$4)))*(CsDJ[Account Code]=(TRIM($B135))),CsDJ[Credit])))+(SUM(IF((CRDJ[Date]=$A$3)*(CRDJ[Sort Code]=(TRIM(G$4)))*(CRDJ[Account Code]=(TRIM($B135))),CRDJ[Credit])))+(SUM(IF((GJ[Date]=$A$3)*(GJ[Sort Code]=(TRIM(G$4)))*(GJ[Account Code]=(TRIM($B135))),GJ[Credit]))))</f>
        <v>0</v>
      </c>
      <c r="G135" s="343">
        <f t="shared" si="9"/>
        <v>0</v>
      </c>
      <c r="H135" s="246">
        <f t="shared" si="10"/>
        <v>0</v>
      </c>
      <c r="I135" s="246">
        <f t="shared" si="11"/>
        <v>0</v>
      </c>
    </row>
    <row r="136" spans="1:9" hidden="1">
      <c r="A136" s="256" t="s">
        <v>990</v>
      </c>
      <c r="B136" s="339" t="s">
        <v>988</v>
      </c>
      <c r="C136" s="245">
        <f t="array" ref="C136">SUM(IF((Budget[Account Code]=B136)*(Budget[Sort Code]=$G$4),(Budget[Amount])))</f>
        <v>0</v>
      </c>
      <c r="D136" s="245">
        <f t="array" ref="D136">SUM(IF((Budget[Account Code]=B136)*(Budget[Sort Code]=$G$4)*(Budget[Date]&lt;=$D$7),(Budget[Amount])))</f>
        <v>0</v>
      </c>
      <c r="E136" s="245">
        <f t="array" ref="E136">((SUM(IF((CkDJ[Sort Code]=(TRIM(G$4)))*(CkDJ[Account Code]=(TRIM($B136)))*(CkDJ[Date]&lt;=$E$7),CkDJ[Debit])))+(SUM(IF((CsDJ[Sort Code]=(TRIM(G$4)))*(CsDJ[Account Code]=(TRIM($B136)))*(CsDJ[Date]&lt;=$E$7),CsDJ[Debit])))+(SUM(IF((CRDJ[Sort Code]=(TRIM(G$4)))*(CRDJ[Account Code]=(TRIM($B136)))*(CRDJ[Date]&lt;=$E$7),CRDJ[Debit])))+(SUM(IF((GJ[Sort Code]=(TRIM(G$4)))*(GJ[Account Code]=(TRIM($B136)))*(GJ[Date]&lt;=$E$7),GJ[Debit]))))-((SUM(IF((CkDJ[Sort Code]=(TRIM(G$4)))*(CkDJ[Account Code]=(TRIM($B136)))*(CkDJ[Date]&lt;=$E$7),CkDJ[Credit])))+(SUM(IF((CsDJ[Sort Code]=(TRIM(G$4)))*(CsDJ[Account Code]=(TRIM($B136)))*(CsDJ[Date]&lt;=$E$7),CsDJ[Credit])))+(SUM(IF((CRDJ[Sort Code]=(TRIM(G$4)))*(CRDJ[Account Code]=(TRIM($B136)))*(CRDJ[Date]&lt;=$E$7),CRDJ[Credit])))+(SUM(IF((GJ[Sort Code]=(TRIM(G$4)))*(GJ[Account Code]=(TRIM($B136)))*(GJ[Date]&lt;=$E$7),GJ[Credit]))))</f>
        <v>0</v>
      </c>
      <c r="F136" s="245">
        <f t="array" ref="F136">((SUM(IF((CkDJ[Date]=$A$3)*(CkDJ[Sort Code]=(TRIM(G$4)))*(CkDJ[Account Code]=(TRIM($B136))),CkDJ[Debit])))+(SUM(IF((CsDJ[Date]=$A$3)*(CsDJ[Sort Code]=(TRIM(G$4)))*(CsDJ[Account Code]=(TRIM($B136))),CsDJ[Debit])))+(SUM(IF((CRDJ[Date]=$A$3)*(CRDJ[Sort Code]=(TRIM(G$4)))*(CRDJ[Account Code]=(TRIM($B136))),CRDJ[Debit])))+(SUM(IF((GJ[Date]=$A$3)*(GJ[Sort Code]=(TRIM(G$4)))*(GJ[Account Code]=(TRIM($B136))),GJ[Debit]))))-((SUM(IF((CkDJ[Date]=$A$3)*(CkDJ[Sort Code]=(TRIM(G$4)))*(CkDJ[Account Code]=(TRIM($B136))),CkDJ[Credit])))+(SUM(IF((CsDJ[Date]=$A$3)*(CsDJ[Sort Code]=(TRIM(G$4)))*(CsDJ[Account Code]=(TRIM($B136))),CsDJ[Credit])))+(SUM(IF((CRDJ[Date]=$A$3)*(CRDJ[Sort Code]=(TRIM(G$4)))*(CRDJ[Account Code]=(TRIM($B136))),CRDJ[Credit])))+(SUM(IF((GJ[Date]=$A$3)*(GJ[Sort Code]=(TRIM(G$4)))*(GJ[Account Code]=(TRIM($B136))),GJ[Credit]))))</f>
        <v>0</v>
      </c>
      <c r="G136" s="343">
        <f t="shared" si="9"/>
        <v>0</v>
      </c>
      <c r="H136" s="246">
        <f t="shared" si="10"/>
        <v>0</v>
      </c>
      <c r="I136" s="246">
        <f t="shared" si="11"/>
        <v>0</v>
      </c>
    </row>
    <row r="137" spans="1:9" hidden="1">
      <c r="A137" s="256" t="s">
        <v>349</v>
      </c>
      <c r="B137" s="339" t="s">
        <v>340</v>
      </c>
      <c r="C137" s="245">
        <f t="array" ref="C137">SUM(IF((Budget[Account Code]=B137)*(Budget[Sort Code]=$G$4),(Budget[Amount])))</f>
        <v>0</v>
      </c>
      <c r="D137" s="245">
        <f t="array" ref="D137">SUM(IF((Budget[Account Code]=B137)*(Budget[Sort Code]=$G$4)*(Budget[Date]&lt;=$D$7),(Budget[Amount])))</f>
        <v>0</v>
      </c>
      <c r="E137" s="245">
        <f t="array" ref="E137">((SUM(IF((CkDJ[Sort Code]=(TRIM(G$4)))*(CkDJ[Account Code]=(TRIM($B137)))*(CkDJ[Date]&lt;=$E$7),CkDJ[Debit])))+(SUM(IF((CsDJ[Sort Code]=(TRIM(G$4)))*(CsDJ[Account Code]=(TRIM($B137)))*(CsDJ[Date]&lt;=$E$7),CsDJ[Debit])))+(SUM(IF((CRDJ[Sort Code]=(TRIM(G$4)))*(CRDJ[Account Code]=(TRIM($B137)))*(CRDJ[Date]&lt;=$E$7),CRDJ[Debit])))+(SUM(IF((GJ[Sort Code]=(TRIM(G$4)))*(GJ[Account Code]=(TRIM($B137)))*(GJ[Date]&lt;=$E$7),GJ[Debit]))))-((SUM(IF((CkDJ[Sort Code]=(TRIM(G$4)))*(CkDJ[Account Code]=(TRIM($B137)))*(CkDJ[Date]&lt;=$E$7),CkDJ[Credit])))+(SUM(IF((CsDJ[Sort Code]=(TRIM(G$4)))*(CsDJ[Account Code]=(TRIM($B137)))*(CsDJ[Date]&lt;=$E$7),CsDJ[Credit])))+(SUM(IF((CRDJ[Sort Code]=(TRIM(G$4)))*(CRDJ[Account Code]=(TRIM($B137)))*(CRDJ[Date]&lt;=$E$7),CRDJ[Credit])))+(SUM(IF((GJ[Sort Code]=(TRIM(G$4)))*(GJ[Account Code]=(TRIM($B137)))*(GJ[Date]&lt;=$E$7),GJ[Credit]))))</f>
        <v>0</v>
      </c>
      <c r="F137" s="245">
        <f t="array" ref="F137">((SUM(IF((CkDJ[Date]=$A$3)*(CkDJ[Sort Code]=(TRIM(G$4)))*(CkDJ[Account Code]=(TRIM($B137))),CkDJ[Debit])))+(SUM(IF((CsDJ[Date]=$A$3)*(CsDJ[Sort Code]=(TRIM(G$4)))*(CsDJ[Account Code]=(TRIM($B137))),CsDJ[Debit])))+(SUM(IF((CRDJ[Date]=$A$3)*(CRDJ[Sort Code]=(TRIM(G$4)))*(CRDJ[Account Code]=(TRIM($B137))),CRDJ[Debit])))+(SUM(IF((GJ[Date]=$A$3)*(GJ[Sort Code]=(TRIM(G$4)))*(GJ[Account Code]=(TRIM($B137))),GJ[Debit]))))-((SUM(IF((CkDJ[Date]=$A$3)*(CkDJ[Sort Code]=(TRIM(G$4)))*(CkDJ[Account Code]=(TRIM($B137))),CkDJ[Credit])))+(SUM(IF((CsDJ[Date]=$A$3)*(CsDJ[Sort Code]=(TRIM(G$4)))*(CsDJ[Account Code]=(TRIM($B137))),CsDJ[Credit])))+(SUM(IF((CRDJ[Date]=$A$3)*(CRDJ[Sort Code]=(TRIM(G$4)))*(CRDJ[Account Code]=(TRIM($B137))),CRDJ[Credit])))+(SUM(IF((GJ[Date]=$A$3)*(GJ[Sort Code]=(TRIM(G$4)))*(GJ[Account Code]=(TRIM($B137))),GJ[Credit]))))</f>
        <v>0</v>
      </c>
      <c r="G137" s="343">
        <f t="shared" si="9"/>
        <v>0</v>
      </c>
      <c r="H137" s="246">
        <f t="shared" si="10"/>
        <v>0</v>
      </c>
      <c r="I137" s="246">
        <f t="shared" si="11"/>
        <v>0</v>
      </c>
    </row>
    <row r="138" spans="1:9">
      <c r="A138" s="255" t="s">
        <v>805</v>
      </c>
      <c r="B138" s="337"/>
      <c r="C138" s="245"/>
      <c r="D138" s="245"/>
      <c r="E138" s="246"/>
      <c r="F138" s="245"/>
      <c r="G138" s="246"/>
      <c r="H138" s="246">
        <f t="shared" si="10"/>
        <v>0</v>
      </c>
      <c r="I138" s="246">
        <f t="shared" si="11"/>
        <v>0</v>
      </c>
    </row>
    <row r="139" spans="1:9">
      <c r="A139" s="253" t="s">
        <v>808</v>
      </c>
      <c r="B139" s="337"/>
      <c r="C139" s="242">
        <f>SUM(C140:C143)</f>
        <v>2894108.05</v>
      </c>
      <c r="D139" s="242">
        <f>SUM(D140:D143)</f>
        <v>2894108.05</v>
      </c>
      <c r="E139" s="242">
        <f>SUM(E140:E143)</f>
        <v>0</v>
      </c>
      <c r="F139" s="242">
        <f>SUM(F140:F143)</f>
        <v>0</v>
      </c>
      <c r="G139" s="242">
        <f>SUM(G140:G143)</f>
        <v>0</v>
      </c>
      <c r="H139" s="246">
        <f t="shared" si="10"/>
        <v>-2894108.05</v>
      </c>
      <c r="I139" s="246">
        <f t="shared" si="11"/>
        <v>0</v>
      </c>
    </row>
    <row r="140" spans="1:9" hidden="1">
      <c r="A140" s="256" t="s">
        <v>342</v>
      </c>
      <c r="B140" s="339" t="s">
        <v>333</v>
      </c>
      <c r="C140" s="245">
        <f t="array" ref="C140">SUM(IF((Budget[Account Code]=B140)*(Budget[Sort Code]=$G$4),(Budget[Amount])))</f>
        <v>2894108.05</v>
      </c>
      <c r="D140" s="245">
        <f t="array" ref="D140">SUM(IF((Budget[Account Code]=B140)*(Budget[Sort Code]=$G$4)*(Budget[Date]&lt;=$D$7),(Budget[Amount])))</f>
        <v>2894108.05</v>
      </c>
      <c r="E140" s="245">
        <f t="array" ref="E140">((SUM(IF((CkDJ[Sort Code]=(TRIM(G$4)))*(CkDJ[Account Code]=(TRIM($B140)))*(CkDJ[Date]&lt;=$E$7),CkDJ[Debit])))+(SUM(IF((CsDJ[Sort Code]=(TRIM(G$4)))*(CsDJ[Account Code]=(TRIM($B140)))*(CsDJ[Date]&lt;=$E$7),CsDJ[Debit])))+(SUM(IF((CRDJ[Sort Code]=(TRIM(G$4)))*(CRDJ[Account Code]=(TRIM($B140)))*(CRDJ[Date]&lt;=$E$7),CRDJ[Debit])))+(SUM(IF((GJ[Sort Code]=(TRIM(G$4)))*(GJ[Account Code]=(TRIM($B140)))*(GJ[Date]&lt;=$E$7),GJ[Debit]))))-((SUM(IF((CkDJ[Sort Code]=(TRIM(G$4)))*(CkDJ[Account Code]=(TRIM($B140)))*(CkDJ[Date]&lt;=$E$7),CkDJ[Credit])))+(SUM(IF((CsDJ[Sort Code]=(TRIM(G$4)))*(CsDJ[Account Code]=(TRIM($B140)))*(CsDJ[Date]&lt;=$E$7),CsDJ[Credit])))+(SUM(IF((CRDJ[Sort Code]=(TRIM(G$4)))*(CRDJ[Account Code]=(TRIM($B140)))*(CRDJ[Date]&lt;=$E$7),CRDJ[Credit])))+(SUM(IF((GJ[Sort Code]=(TRIM(G$4)))*(GJ[Account Code]=(TRIM($B140)))*(GJ[Date]&lt;=$E$7),GJ[Credit]))))</f>
        <v>0</v>
      </c>
      <c r="F140" s="245">
        <f t="array" ref="F140">((SUM(IF((CkDJ[Date]=$A$3)*(CkDJ[Sort Code]=(TRIM(G$4)))*(CkDJ[Account Code]=(TRIM($B140))),CkDJ[Debit])))+(SUM(IF((CsDJ[Date]=$A$3)*(CsDJ[Sort Code]=(TRIM(G$4)))*(CsDJ[Account Code]=(TRIM($B140))),CsDJ[Debit])))+(SUM(IF((CRDJ[Date]=$A$3)*(CRDJ[Sort Code]=(TRIM(G$4)))*(CRDJ[Account Code]=(TRIM($B140))),CRDJ[Debit])))+(SUM(IF((GJ[Date]=$A$3)*(GJ[Sort Code]=(TRIM(G$4)))*(GJ[Account Code]=(TRIM($B140))),GJ[Debit]))))-((SUM(IF((CkDJ[Date]=$A$3)*(CkDJ[Sort Code]=(TRIM(G$4)))*(CkDJ[Account Code]=(TRIM($B140))),CkDJ[Credit])))+(SUM(IF((CsDJ[Date]=$A$3)*(CsDJ[Sort Code]=(TRIM(G$4)))*(CsDJ[Account Code]=(TRIM($B140))),CsDJ[Credit])))+(SUM(IF((CRDJ[Date]=$A$3)*(CRDJ[Sort Code]=(TRIM(G$4)))*(CRDJ[Account Code]=(TRIM($B140))),CRDJ[Credit])))+(SUM(IF((GJ[Date]=$A$3)*(GJ[Sort Code]=(TRIM(G$4)))*(GJ[Account Code]=(TRIM($B140))),GJ[Credit]))))</f>
        <v>0</v>
      </c>
      <c r="G140" s="343">
        <f>E140+F140</f>
        <v>0</v>
      </c>
      <c r="H140" s="246">
        <f t="shared" si="10"/>
        <v>-2894108.05</v>
      </c>
      <c r="I140" s="246">
        <f t="shared" si="11"/>
        <v>0</v>
      </c>
    </row>
    <row r="141" spans="1:9" hidden="1">
      <c r="A141" s="256" t="s">
        <v>1031</v>
      </c>
      <c r="B141" s="339" t="s">
        <v>992</v>
      </c>
      <c r="C141" s="245">
        <f t="array" ref="C141">SUM(IF((Budget[Account Code]=B141)*(Budget[Sort Code]=$G$4),(Budget[Amount])))</f>
        <v>0</v>
      </c>
      <c r="D141" s="245">
        <f t="array" ref="D141">SUM(IF((Budget[Account Code]=B141)*(Budget[Sort Code]=$G$4)*(Budget[Date]&lt;=$D$7),(Budget[Amount])))</f>
        <v>0</v>
      </c>
      <c r="E141" s="245">
        <f t="array" ref="E141">((SUM(IF((CkDJ[Sort Code]=(TRIM(G$4)))*(CkDJ[Account Code]=(TRIM($B141)))*(CkDJ[Date]&lt;=$E$7),CkDJ[Debit])))+(SUM(IF((CsDJ[Sort Code]=(TRIM(G$4)))*(CsDJ[Account Code]=(TRIM($B141)))*(CsDJ[Date]&lt;=$E$7),CsDJ[Debit])))+(SUM(IF((CRDJ[Sort Code]=(TRIM(G$4)))*(CRDJ[Account Code]=(TRIM($B141)))*(CRDJ[Date]&lt;=$E$7),CRDJ[Debit])))+(SUM(IF((GJ[Sort Code]=(TRIM(G$4)))*(GJ[Account Code]=(TRIM($B141)))*(GJ[Date]&lt;=$E$7),GJ[Debit]))))-((SUM(IF((CkDJ[Sort Code]=(TRIM(G$4)))*(CkDJ[Account Code]=(TRIM($B141)))*(CkDJ[Date]&lt;=$E$7),CkDJ[Credit])))+(SUM(IF((CsDJ[Sort Code]=(TRIM(G$4)))*(CsDJ[Account Code]=(TRIM($B141)))*(CsDJ[Date]&lt;=$E$7),CsDJ[Credit])))+(SUM(IF((CRDJ[Sort Code]=(TRIM(G$4)))*(CRDJ[Account Code]=(TRIM($B141)))*(CRDJ[Date]&lt;=$E$7),CRDJ[Credit])))+(SUM(IF((GJ[Sort Code]=(TRIM(G$4)))*(GJ[Account Code]=(TRIM($B141)))*(GJ[Date]&lt;=$E$7),GJ[Credit]))))</f>
        <v>0</v>
      </c>
      <c r="F141" s="245">
        <f t="array" ref="F141">((SUM(IF((CkDJ[Date]=$A$3)*(CkDJ[Sort Code]=(TRIM(G$4)))*(CkDJ[Account Code]=(TRIM($B141))),CkDJ[Debit])))+(SUM(IF((CsDJ[Date]=$A$3)*(CsDJ[Sort Code]=(TRIM(G$4)))*(CsDJ[Account Code]=(TRIM($B141))),CsDJ[Debit])))+(SUM(IF((CRDJ[Date]=$A$3)*(CRDJ[Sort Code]=(TRIM(G$4)))*(CRDJ[Account Code]=(TRIM($B141))),CRDJ[Debit])))+(SUM(IF((GJ[Date]=$A$3)*(GJ[Sort Code]=(TRIM(G$4)))*(GJ[Account Code]=(TRIM($B141))),GJ[Debit]))))-((SUM(IF((CkDJ[Date]=$A$3)*(CkDJ[Sort Code]=(TRIM(G$4)))*(CkDJ[Account Code]=(TRIM($B141))),CkDJ[Credit])))+(SUM(IF((CsDJ[Date]=$A$3)*(CsDJ[Sort Code]=(TRIM(G$4)))*(CsDJ[Account Code]=(TRIM($B141))),CsDJ[Credit])))+(SUM(IF((CRDJ[Date]=$A$3)*(CRDJ[Sort Code]=(TRIM(G$4)))*(CRDJ[Account Code]=(TRIM($B141))),CRDJ[Credit])))+(SUM(IF((GJ[Date]=$A$3)*(GJ[Sort Code]=(TRIM(G$4)))*(GJ[Account Code]=(TRIM($B141))),GJ[Credit]))))</f>
        <v>0</v>
      </c>
      <c r="G141" s="343">
        <f>E141+F141</f>
        <v>0</v>
      </c>
      <c r="H141" s="246">
        <f t="shared" si="10"/>
        <v>0</v>
      </c>
      <c r="I141" s="246">
        <f t="shared" si="11"/>
        <v>0</v>
      </c>
    </row>
    <row r="142" spans="1:9" hidden="1">
      <c r="A142" s="256" t="s">
        <v>1032</v>
      </c>
      <c r="B142" s="339" t="s">
        <v>993</v>
      </c>
      <c r="C142" s="245">
        <f t="array" ref="C142">SUM(IF((Budget[Account Code]=B142)*(Budget[Sort Code]=$G$4),(Budget[Amount])))</f>
        <v>0</v>
      </c>
      <c r="D142" s="245">
        <f t="array" ref="D142">SUM(IF((Budget[Account Code]=B142)*(Budget[Sort Code]=$G$4)*(Budget[Date]&lt;=$D$7),(Budget[Amount])))</f>
        <v>0</v>
      </c>
      <c r="E142" s="245">
        <f t="array" ref="E142">((SUM(IF((CkDJ[Sort Code]=(TRIM(G$4)))*(CkDJ[Account Code]=(TRIM($B142)))*(CkDJ[Date]&lt;=$E$7),CkDJ[Debit])))+(SUM(IF((CsDJ[Sort Code]=(TRIM(G$4)))*(CsDJ[Account Code]=(TRIM($B142)))*(CsDJ[Date]&lt;=$E$7),CsDJ[Debit])))+(SUM(IF((CRDJ[Sort Code]=(TRIM(G$4)))*(CRDJ[Account Code]=(TRIM($B142)))*(CRDJ[Date]&lt;=$E$7),CRDJ[Debit])))+(SUM(IF((GJ[Sort Code]=(TRIM(G$4)))*(GJ[Account Code]=(TRIM($B142)))*(GJ[Date]&lt;=$E$7),GJ[Debit]))))-((SUM(IF((CkDJ[Sort Code]=(TRIM(G$4)))*(CkDJ[Account Code]=(TRIM($B142)))*(CkDJ[Date]&lt;=$E$7),CkDJ[Credit])))+(SUM(IF((CsDJ[Sort Code]=(TRIM(G$4)))*(CsDJ[Account Code]=(TRIM($B142)))*(CsDJ[Date]&lt;=$E$7),CsDJ[Credit])))+(SUM(IF((CRDJ[Sort Code]=(TRIM(G$4)))*(CRDJ[Account Code]=(TRIM($B142)))*(CRDJ[Date]&lt;=$E$7),CRDJ[Credit])))+(SUM(IF((GJ[Sort Code]=(TRIM(G$4)))*(GJ[Account Code]=(TRIM($B142)))*(GJ[Date]&lt;=$E$7),GJ[Credit]))))</f>
        <v>0</v>
      </c>
      <c r="F142" s="245">
        <f t="array" ref="F142">((SUM(IF((CkDJ[Date]=$A$3)*(CkDJ[Sort Code]=(TRIM(G$4)))*(CkDJ[Account Code]=(TRIM($B142))),CkDJ[Debit])))+(SUM(IF((CsDJ[Date]=$A$3)*(CsDJ[Sort Code]=(TRIM(G$4)))*(CsDJ[Account Code]=(TRIM($B142))),CsDJ[Debit])))+(SUM(IF((CRDJ[Date]=$A$3)*(CRDJ[Sort Code]=(TRIM(G$4)))*(CRDJ[Account Code]=(TRIM($B142))),CRDJ[Debit])))+(SUM(IF((GJ[Date]=$A$3)*(GJ[Sort Code]=(TRIM(G$4)))*(GJ[Account Code]=(TRIM($B142))),GJ[Debit]))))-((SUM(IF((CkDJ[Date]=$A$3)*(CkDJ[Sort Code]=(TRIM(G$4)))*(CkDJ[Account Code]=(TRIM($B142))),CkDJ[Credit])))+(SUM(IF((CsDJ[Date]=$A$3)*(CsDJ[Sort Code]=(TRIM(G$4)))*(CsDJ[Account Code]=(TRIM($B142))),CsDJ[Credit])))+(SUM(IF((CRDJ[Date]=$A$3)*(CRDJ[Sort Code]=(TRIM(G$4)))*(CRDJ[Account Code]=(TRIM($B142))),CRDJ[Credit])))+(SUM(IF((GJ[Date]=$A$3)*(GJ[Sort Code]=(TRIM(G$4)))*(GJ[Account Code]=(TRIM($B142))),GJ[Credit]))))</f>
        <v>0</v>
      </c>
      <c r="G142" s="343">
        <f>E142+F142</f>
        <v>0</v>
      </c>
      <c r="H142" s="246">
        <f t="shared" si="10"/>
        <v>0</v>
      </c>
      <c r="I142" s="246">
        <f t="shared" si="11"/>
        <v>0</v>
      </c>
    </row>
    <row r="143" spans="1:9" hidden="1">
      <c r="A143" s="253"/>
      <c r="B143" s="337" t="s">
        <v>799</v>
      </c>
      <c r="C143" s="245">
        <f t="array" ref="C143">SUM(IF((Budget[Account Code]=B143)*(Budget[Sort Code]=$G$4),(Budget[Amount])))</f>
        <v>0</v>
      </c>
      <c r="D143" s="245">
        <f t="array" ref="D143">SUM(IF((Budget[Account Code]=B143)*(Budget[Sort Code]=$G$4)*(Budget[Date]&lt;=$D$7),(Budget[Amount])))</f>
        <v>0</v>
      </c>
      <c r="E143" s="245">
        <f t="array" ref="E143">((SUM(IF((CkDJ[Sort Code]=(TRIM(G$4)))*(CkDJ[Account Code]=(TRIM($B143)))*(CkDJ[Date]&lt;=$E$7),CkDJ[Debit])))+(SUM(IF((CsDJ[Sort Code]=(TRIM(G$4)))*(CsDJ[Account Code]=(TRIM($B143)))*(CsDJ[Date]&lt;=$E$7),CsDJ[Debit])))+(SUM(IF((CRDJ[Sort Code]=(TRIM(G$4)))*(CRDJ[Account Code]=(TRIM($B143)))*(CRDJ[Date]&lt;=$E$7),CRDJ[Debit])))+(SUM(IF((GJ[Sort Code]=(TRIM(G$4)))*(GJ[Account Code]=(TRIM($B143)))*(GJ[Date]&lt;=$E$7),GJ[Debit]))))-((SUM(IF((CkDJ[Sort Code]=(TRIM(G$4)))*(CkDJ[Account Code]=(TRIM($B143)))*(CkDJ[Date]&lt;=$E$7),CkDJ[Credit])))+(SUM(IF((CsDJ[Sort Code]=(TRIM(G$4)))*(CsDJ[Account Code]=(TRIM($B143)))*(CsDJ[Date]&lt;=$E$7),CsDJ[Credit])))+(SUM(IF((CRDJ[Sort Code]=(TRIM(G$4)))*(CRDJ[Account Code]=(TRIM($B143)))*(CRDJ[Date]&lt;=$E$7),CRDJ[Credit])))+(SUM(IF((GJ[Sort Code]=(TRIM(G$4)))*(GJ[Account Code]=(TRIM($B143)))*(GJ[Date]&lt;=$E$7),GJ[Credit]))))</f>
        <v>0</v>
      </c>
      <c r="F143" s="245">
        <f t="array" ref="F143">((SUM(IF((CkDJ[Date]=$A$3)*(CkDJ[Sort Code]=(TRIM(G$4)))*(CkDJ[Account Code]=(TRIM($B143))),CkDJ[Debit])))+(SUM(IF((CsDJ[Date]=$A$3)*(CsDJ[Sort Code]=(TRIM(G$4)))*(CsDJ[Account Code]=(TRIM($B143))),CsDJ[Debit])))+(SUM(IF((CRDJ[Date]=$A$3)*(CRDJ[Sort Code]=(TRIM(G$4)))*(CRDJ[Account Code]=(TRIM($B143))),CRDJ[Debit])))+(SUM(IF((GJ[Date]=$A$3)*(GJ[Sort Code]=(TRIM(G$4)))*(GJ[Account Code]=(TRIM($B143))),GJ[Debit]))))-((SUM(IF((CkDJ[Date]=$A$3)*(CkDJ[Sort Code]=(TRIM(G$4)))*(CkDJ[Account Code]=(TRIM($B143))),CkDJ[Credit])))+(SUM(IF((CsDJ[Date]=$A$3)*(CsDJ[Sort Code]=(TRIM(G$4)))*(CsDJ[Account Code]=(TRIM($B143))),CsDJ[Credit])))+(SUM(IF((CRDJ[Date]=$A$3)*(CRDJ[Sort Code]=(TRIM(G$4)))*(CRDJ[Account Code]=(TRIM($B143))),CRDJ[Credit])))+(SUM(IF((GJ[Date]=$A$3)*(GJ[Sort Code]=(TRIM(G$4)))*(GJ[Account Code]=(TRIM($B143))),GJ[Credit]))))</f>
        <v>0</v>
      </c>
      <c r="G143" s="343">
        <f>E143+F143</f>
        <v>0</v>
      </c>
      <c r="H143" s="246">
        <f t="shared" si="10"/>
        <v>0</v>
      </c>
      <c r="I143" s="246">
        <f t="shared" si="11"/>
        <v>0</v>
      </c>
    </row>
    <row r="144" spans="1:9">
      <c r="A144" s="239" t="s">
        <v>807</v>
      </c>
      <c r="B144" s="337"/>
      <c r="C144" s="252">
        <f>C145+C146</f>
        <v>0</v>
      </c>
      <c r="D144" s="252">
        <f>D145+D146</f>
        <v>0</v>
      </c>
      <c r="E144" s="252">
        <f>E145+E146</f>
        <v>0</v>
      </c>
      <c r="F144" s="252">
        <f>F145+F146</f>
        <v>0</v>
      </c>
      <c r="G144" s="252">
        <f>G145+G146</f>
        <v>0</v>
      </c>
      <c r="H144" s="242">
        <f t="shared" si="10"/>
        <v>0</v>
      </c>
      <c r="I144" s="242">
        <f t="shared" si="11"/>
        <v>0</v>
      </c>
    </row>
    <row r="145" spans="1:9">
      <c r="A145" s="243" t="s">
        <v>806</v>
      </c>
      <c r="B145" s="339" t="s">
        <v>991</v>
      </c>
      <c r="C145" s="245">
        <f t="array" ref="C145">SUM(IF((Budget[Account Code]=B145)*(Budget[Sort Code]=$G$4),(Budget[Amount])))</f>
        <v>0</v>
      </c>
      <c r="D145" s="245">
        <f t="array" ref="D145">SUM(IF((Budget[Account Code]=B145)*(Budget[Sort Code]=$G$4)*(Budget[Date]&lt;=$D$7),(Budget[Amount])))</f>
        <v>0</v>
      </c>
      <c r="E145" s="245">
        <f t="array" ref="E145">((SUM(IF((CkDJ[Sort Code]=(TRIM(G$4)))*(CkDJ[Account Code]=(TRIM($B145)))*(CkDJ[Date]&lt;=$E$7),CkDJ[Debit])))+(SUM(IF((CsDJ[Sort Code]=(TRIM(G$4)))*(CsDJ[Account Code]=(TRIM($B145)))*(CsDJ[Date]&lt;=$E$7),CsDJ[Debit])))+(SUM(IF((CRDJ[Sort Code]=(TRIM(G$4)))*(CRDJ[Account Code]=(TRIM($B145)))*(CRDJ[Date]&lt;=$E$7),CRDJ[Debit])))+(SUM(IF((GJ[Sort Code]=(TRIM(G$4)))*(GJ[Account Code]=(TRIM($B145)))*(GJ[Date]&lt;=$E$7),GJ[Debit]))))-((SUM(IF((CkDJ[Sort Code]=(TRIM(G$4)))*(CkDJ[Account Code]=(TRIM($B145)))*(CkDJ[Date]&lt;=$E$7),CkDJ[Credit])))+(SUM(IF((CsDJ[Sort Code]=(TRIM(G$4)))*(CsDJ[Account Code]=(TRIM($B145)))*(CsDJ[Date]&lt;=$E$7),CsDJ[Credit])))+(SUM(IF((CRDJ[Sort Code]=(TRIM(G$4)))*(CRDJ[Account Code]=(TRIM($B145)))*(CRDJ[Date]&lt;=$E$7),CRDJ[Credit])))+(SUM(IF((GJ[Sort Code]=(TRIM(G$4)))*(GJ[Account Code]=(TRIM($B145)))*(GJ[Date]&lt;=$E$7),GJ[Credit]))))</f>
        <v>0</v>
      </c>
      <c r="F145" s="245">
        <f t="array" ref="F145">((SUM(IF((CkDJ[Date]=$A$3)*(CkDJ[Sort Code]=(TRIM(G$4)))*(CkDJ[Account Code]=(TRIM($B145))),CkDJ[Debit])))+(SUM(IF((CsDJ[Date]=$A$3)*(CsDJ[Sort Code]=(TRIM(G$4)))*(CsDJ[Account Code]=(TRIM($B145))),CsDJ[Debit])))+(SUM(IF((CRDJ[Date]=$A$3)*(CRDJ[Sort Code]=(TRIM(G$4)))*(CRDJ[Account Code]=(TRIM($B145))),CRDJ[Debit])))+(SUM(IF((GJ[Date]=$A$3)*(GJ[Sort Code]=(TRIM(G$4)))*(GJ[Account Code]=(TRIM($B145))),GJ[Debit]))))-((SUM(IF((CkDJ[Date]=$A$3)*(CkDJ[Sort Code]=(TRIM(G$4)))*(CkDJ[Account Code]=(TRIM($B145))),CkDJ[Credit])))+(SUM(IF((CsDJ[Date]=$A$3)*(CsDJ[Sort Code]=(TRIM(G$4)))*(CsDJ[Account Code]=(TRIM($B145))),CsDJ[Credit])))+(SUM(IF((CRDJ[Date]=$A$3)*(CRDJ[Sort Code]=(TRIM(G$4)))*(CRDJ[Account Code]=(TRIM($B145))),CRDJ[Credit])))+(SUM(IF((GJ[Date]=$A$3)*(GJ[Sort Code]=(TRIM(G$4)))*(GJ[Account Code]=(TRIM($B145))),GJ[Credit]))))</f>
        <v>0</v>
      </c>
      <c r="G145" s="343">
        <f>E145+F145</f>
        <v>0</v>
      </c>
      <c r="H145" s="246">
        <f t="shared" si="10"/>
        <v>0</v>
      </c>
      <c r="I145" s="246">
        <f t="shared" si="11"/>
        <v>0</v>
      </c>
    </row>
    <row r="146" spans="1:9">
      <c r="A146" s="243" t="s">
        <v>805</v>
      </c>
      <c r="B146" s="337"/>
      <c r="C146" s="245"/>
      <c r="D146" s="245"/>
      <c r="E146" s="246"/>
      <c r="F146" s="245"/>
      <c r="G146" s="343">
        <f>E146+F146</f>
        <v>0</v>
      </c>
      <c r="H146" s="246">
        <f t="shared" si="10"/>
        <v>0</v>
      </c>
      <c r="I146" s="246">
        <f t="shared" si="11"/>
        <v>0</v>
      </c>
    </row>
    <row r="147" spans="1:9">
      <c r="A147" s="251" t="s">
        <v>804</v>
      </c>
      <c r="B147" s="338"/>
      <c r="C147" s="250">
        <f>C50+C76+C144</f>
        <v>32275764.870000001</v>
      </c>
      <c r="D147" s="250">
        <f>D50+D76+D144</f>
        <v>32275764.870000001</v>
      </c>
      <c r="E147" s="250">
        <f>E50+E76+E144</f>
        <v>0</v>
      </c>
      <c r="F147" s="250">
        <f>F50+F76+F144</f>
        <v>0</v>
      </c>
      <c r="G147" s="250">
        <f>G50+G76+G144</f>
        <v>0</v>
      </c>
      <c r="H147" s="250">
        <f t="shared" si="10"/>
        <v>-32275764.870000001</v>
      </c>
      <c r="I147" s="250">
        <f t="shared" si="11"/>
        <v>0</v>
      </c>
    </row>
    <row r="148" spans="1:9">
      <c r="A148" s="251" t="s">
        <v>785</v>
      </c>
      <c r="B148" s="338"/>
      <c r="C148" s="250">
        <f>C48-C147</f>
        <v>-29147764.870000001</v>
      </c>
      <c r="D148" s="250">
        <f>D48-D147</f>
        <v>-29147764.870000001</v>
      </c>
      <c r="E148" s="250">
        <f>E48-E147</f>
        <v>0</v>
      </c>
      <c r="F148" s="250">
        <f>F48-F147</f>
        <v>0</v>
      </c>
      <c r="G148" s="250">
        <f>G48-G147</f>
        <v>0</v>
      </c>
      <c r="H148" s="250">
        <f t="shared" si="10"/>
        <v>29147764.870000001</v>
      </c>
      <c r="I148" s="250">
        <f t="shared" si="11"/>
        <v>0</v>
      </c>
    </row>
    <row r="149" spans="1:9">
      <c r="A149" s="251" t="s">
        <v>749</v>
      </c>
      <c r="B149" s="338"/>
      <c r="C149" s="250">
        <f>C48/C147</f>
        <v>0.1</v>
      </c>
      <c r="D149" s="250">
        <f>D48/D147</f>
        <v>0.1</v>
      </c>
      <c r="E149" s="250" t="e">
        <f>E48/E147</f>
        <v>#DIV/0!</v>
      </c>
      <c r="F149" s="250" t="e">
        <f>F48/F147</f>
        <v>#DIV/0!</v>
      </c>
      <c r="G149" s="250" t="e">
        <f>G48/G147</f>
        <v>#DIV/0!</v>
      </c>
      <c r="H149" s="250" t="e">
        <f t="shared" si="10"/>
        <v>#DIV/0!</v>
      </c>
      <c r="I149" s="250" t="e">
        <f t="shared" si="11"/>
        <v>#DIV/0!</v>
      </c>
    </row>
    <row r="150" spans="1:9" hidden="1">
      <c r="A150" s="251" t="s">
        <v>803</v>
      </c>
      <c r="B150" s="338"/>
      <c r="C150" s="250"/>
      <c r="D150" s="250"/>
      <c r="E150" s="250"/>
      <c r="F150" s="250"/>
      <c r="G150" s="250"/>
      <c r="H150" s="250">
        <f t="shared" si="10"/>
        <v>0</v>
      </c>
      <c r="I150" s="250">
        <f t="shared" si="11"/>
        <v>0</v>
      </c>
    </row>
    <row r="151" spans="1:9" hidden="1">
      <c r="A151" s="251" t="s">
        <v>802</v>
      </c>
      <c r="B151" s="338"/>
      <c r="C151" s="250"/>
      <c r="D151" s="250"/>
      <c r="E151" s="250"/>
      <c r="F151" s="250"/>
      <c r="G151" s="250"/>
      <c r="H151" s="250">
        <f t="shared" si="10"/>
        <v>0</v>
      </c>
      <c r="I151" s="250">
        <f t="shared" si="11"/>
        <v>0</v>
      </c>
    </row>
    <row r="152" spans="1:9" ht="15.75" customHeight="1">
      <c r="A152" s="251" t="s">
        <v>785</v>
      </c>
      <c r="B152" s="338"/>
      <c r="C152" s="250">
        <f>C148+C150+C151</f>
        <v>-29147764.870000001</v>
      </c>
      <c r="D152" s="250">
        <f>D148+D150+D151</f>
        <v>-29147764.870000001</v>
      </c>
      <c r="E152" s="250">
        <f>E148+E150+E151</f>
        <v>0</v>
      </c>
      <c r="F152" s="250">
        <f>F148+F150+F151</f>
        <v>0</v>
      </c>
      <c r="G152" s="250">
        <f>G148+G150+G151</f>
        <v>0</v>
      </c>
      <c r="H152" s="250">
        <f t="shared" si="10"/>
        <v>29147764.870000001</v>
      </c>
      <c r="I152" s="250">
        <f t="shared" si="11"/>
        <v>0</v>
      </c>
    </row>
    <row r="153" spans="1:9">
      <c r="A153" s="251" t="s">
        <v>749</v>
      </c>
      <c r="B153" s="338"/>
      <c r="C153" s="250">
        <f>C48/(C147-C150-C151)</f>
        <v>0.1</v>
      </c>
      <c r="D153" s="250">
        <f>D48/(D147-D150-D151)</f>
        <v>0.1</v>
      </c>
      <c r="E153" s="250" t="e">
        <f>E48/(E147-E150-E151)</f>
        <v>#DIV/0!</v>
      </c>
      <c r="F153" s="250" t="e">
        <f>F48/(F147-F150-F151)</f>
        <v>#DIV/0!</v>
      </c>
      <c r="G153" s="250" t="e">
        <f>G48/(G147-G150-G151)</f>
        <v>#DIV/0!</v>
      </c>
      <c r="H153" s="250" t="e">
        <f t="shared" si="10"/>
        <v>#DIV/0!</v>
      </c>
      <c r="I153" s="250" t="e">
        <f t="shared" si="11"/>
        <v>#DIV/0!</v>
      </c>
    </row>
    <row r="154" spans="1:9">
      <c r="A154" s="257" t="s">
        <v>801</v>
      </c>
      <c r="B154" s="340"/>
      <c r="C154" s="258"/>
      <c r="D154" s="258"/>
      <c r="E154" s="271"/>
      <c r="F154" s="271"/>
      <c r="G154" s="263"/>
      <c r="H154" s="263"/>
      <c r="I154" s="263"/>
    </row>
    <row r="155" spans="1:9">
      <c r="A155" s="253" t="s">
        <v>800</v>
      </c>
      <c r="B155" s="337" t="s">
        <v>799</v>
      </c>
      <c r="C155" s="245">
        <f t="array" ref="C155">SUM(IF((Budget[Account Code]=B155)*(Budget[Sort Code]=$G$4),(Budget[Amount])))</f>
        <v>0</v>
      </c>
      <c r="D155" s="245">
        <f t="array" ref="D155">SUM(IF((Budget[Account Code]=B155)*(Budget[Sort Code]=$G$4)*(Budget[Date]&lt;=$D$7),(Budget[Amount])))</f>
        <v>0</v>
      </c>
      <c r="E155" s="245">
        <f t="array" ref="E155">((SUM(IF((CkDJ[Sort Code]=(TRIM(G$4)))*(CkDJ[Account Code]=(TRIM($B155)))*(CkDJ[Date]&lt;=$E$7),CkDJ[Debit])))+(SUM(IF((CsDJ[Sort Code]=(TRIM(G$4)))*(CsDJ[Account Code]=(TRIM($B155)))*(CsDJ[Date]&lt;=$E$7),CsDJ[Debit])))+(SUM(IF((CRDJ[Sort Code]=(TRIM(G$4)))*(CRDJ[Account Code]=(TRIM($B155)))*(CRDJ[Date]&lt;=$E$7),CRDJ[Debit])))+(SUM(IF((GJ[Sort Code]=(TRIM(G$4)))*(GJ[Account Code]=(TRIM($B155)))*(GJ[Date]&lt;=$E$7),GJ[Debit]))))-((SUM(IF((CkDJ[Sort Code]=(TRIM(G$4)))*(CkDJ[Account Code]=(TRIM($B155)))*(CkDJ[Date]&lt;=$E$7),CkDJ[Credit])))+(SUM(IF((CsDJ[Sort Code]=(TRIM(G$4)))*(CsDJ[Account Code]=(TRIM($B155)))*(CsDJ[Date]&lt;=$E$7),CsDJ[Credit])))+(SUM(IF((CRDJ[Sort Code]=(TRIM(G$4)))*(CRDJ[Account Code]=(TRIM($B155)))*(CRDJ[Date]&lt;=$E$7),CRDJ[Credit])))+(SUM(IF((GJ[Sort Code]=(TRIM(G$4)))*(GJ[Account Code]=(TRIM($B155)))*(GJ[Date]&lt;=$E$7),GJ[Credit]))))</f>
        <v>0</v>
      </c>
      <c r="F155" s="245">
        <f t="array" ref="F155">((SUM(IF((CkDJ[Date]=$A$3)*(CkDJ[Sort Code]=(TRIM(G$4)))*(CkDJ[Account Code]=(TRIM($B155))),CkDJ[Debit])))+(SUM(IF((CsDJ[Date]=$A$3)*(CsDJ[Sort Code]=(TRIM(G$4)))*(CsDJ[Account Code]=(TRIM($B155))),CsDJ[Debit])))+(SUM(IF((CRDJ[Date]=$A$3)*(CRDJ[Sort Code]=(TRIM(G$4)))*(CRDJ[Account Code]=(TRIM($B155))),CRDJ[Debit])))+(SUM(IF((GJ[Date]=$A$3)*(GJ[Sort Code]=(TRIM(G$4)))*(GJ[Account Code]=(TRIM($B155))),GJ[Debit]))))-((SUM(IF((CkDJ[Date]=$A$3)*(CkDJ[Sort Code]=(TRIM(G$4)))*(CkDJ[Account Code]=(TRIM($B155))),CkDJ[Credit])))+(SUM(IF((CsDJ[Date]=$A$3)*(CsDJ[Sort Code]=(TRIM(G$4)))*(CsDJ[Account Code]=(TRIM($B155))),CsDJ[Credit])))+(SUM(IF((CRDJ[Date]=$A$3)*(CRDJ[Sort Code]=(TRIM(G$4)))*(CRDJ[Account Code]=(TRIM($B155))),CRDJ[Credit])))+(SUM(IF((GJ[Date]=$A$3)*(GJ[Sort Code]=(TRIM(G$4)))*(GJ[Account Code]=(TRIM($B155))),GJ[Credit]))))</f>
        <v>0</v>
      </c>
      <c r="G155" s="343">
        <f t="shared" ref="G155:G163" si="12">E155+F155</f>
        <v>0</v>
      </c>
      <c r="H155" s="246">
        <f t="shared" ref="H155:H184" si="13">G155-D155</f>
        <v>0</v>
      </c>
      <c r="I155" s="246">
        <f t="shared" ref="I155:I184" si="14">IF((D155=0),0,G155/D155)</f>
        <v>0</v>
      </c>
    </row>
    <row r="156" spans="1:9">
      <c r="A156" s="253" t="s">
        <v>798</v>
      </c>
      <c r="B156" s="339" t="s">
        <v>170</v>
      </c>
      <c r="C156" s="245">
        <f t="array" ref="C156">SUM(IF((Budget[Account Code]=B156)*(Budget[Sort Code]=$G$4),(Budget[Amount])))</f>
        <v>295000</v>
      </c>
      <c r="D156" s="245">
        <f t="array" ref="D156">SUM(IF((Budget[Account Code]=B156)*(Budget[Sort Code]=$G$4)*(Budget[Date]&lt;=$D$7),(Budget[Amount])))</f>
        <v>295000</v>
      </c>
      <c r="E156" s="245">
        <f t="array" ref="E156">((SUM(IF((CkDJ[Sort Code]=(TRIM(G$4)))*(CkDJ[Account Code]=(TRIM($B156)))*(CkDJ[Date]&lt;=$E$7),CkDJ[Debit])))+(SUM(IF((CsDJ[Sort Code]=(TRIM(G$4)))*(CsDJ[Account Code]=(TRIM($B156)))*(CsDJ[Date]&lt;=$E$7),CsDJ[Debit])))+(SUM(IF((CRDJ[Sort Code]=(TRIM(G$4)))*(CRDJ[Account Code]=(TRIM($B156)))*(CRDJ[Date]&lt;=$E$7),CRDJ[Debit])))+(SUM(IF((GJ[Sort Code]=(TRIM(G$4)))*(GJ[Account Code]=(TRIM($B156)))*(GJ[Date]&lt;=$E$7),GJ[Debit]))))-((SUM(IF((CkDJ[Sort Code]=(TRIM(G$4)))*(CkDJ[Account Code]=(TRIM($B156)))*(CkDJ[Date]&lt;=$E$7),CkDJ[Credit])))+(SUM(IF((CsDJ[Sort Code]=(TRIM(G$4)))*(CsDJ[Account Code]=(TRIM($B156)))*(CsDJ[Date]&lt;=$E$7),CsDJ[Credit])))+(SUM(IF((CRDJ[Sort Code]=(TRIM(G$4)))*(CRDJ[Account Code]=(TRIM($B156)))*(CRDJ[Date]&lt;=$E$7),CRDJ[Credit])))+(SUM(IF((GJ[Sort Code]=(TRIM(G$4)))*(GJ[Account Code]=(TRIM($B156)))*(GJ[Date]&lt;=$E$7),GJ[Credit]))))</f>
        <v>0</v>
      </c>
      <c r="F156" s="245">
        <f t="array" ref="F156">((SUM(IF((CkDJ[Date]=$A$3)*(CkDJ[Sort Code]=(TRIM(G$4)))*(CkDJ[Account Code]=(TRIM($B156))),CkDJ[Debit])))+(SUM(IF((CsDJ[Date]=$A$3)*(CsDJ[Sort Code]=(TRIM(G$4)))*(CsDJ[Account Code]=(TRIM($B156))),CsDJ[Debit])))+(SUM(IF((CRDJ[Date]=$A$3)*(CRDJ[Sort Code]=(TRIM(G$4)))*(CRDJ[Account Code]=(TRIM($B156))),CRDJ[Debit])))+(SUM(IF((GJ[Date]=$A$3)*(GJ[Sort Code]=(TRIM(G$4)))*(GJ[Account Code]=(TRIM($B156))),GJ[Debit]))))-((SUM(IF((CkDJ[Date]=$A$3)*(CkDJ[Sort Code]=(TRIM(G$4)))*(CkDJ[Account Code]=(TRIM($B156))),CkDJ[Credit])))+(SUM(IF((CsDJ[Date]=$A$3)*(CsDJ[Sort Code]=(TRIM(G$4)))*(CsDJ[Account Code]=(TRIM($B156))),CsDJ[Credit])))+(SUM(IF((CRDJ[Date]=$A$3)*(CRDJ[Sort Code]=(TRIM(G$4)))*(CRDJ[Account Code]=(TRIM($B156))),CRDJ[Credit])))+(SUM(IF((GJ[Date]=$A$3)*(GJ[Sort Code]=(TRIM(G$4)))*(GJ[Account Code]=(TRIM($B156))),GJ[Credit]))))</f>
        <v>0</v>
      </c>
      <c r="G156" s="343">
        <f t="shared" si="12"/>
        <v>0</v>
      </c>
      <c r="H156" s="246">
        <f t="shared" si="13"/>
        <v>-295000</v>
      </c>
      <c r="I156" s="246">
        <f t="shared" si="14"/>
        <v>0</v>
      </c>
    </row>
    <row r="157" spans="1:9">
      <c r="A157" s="253" t="s">
        <v>797</v>
      </c>
      <c r="B157" s="339" t="s">
        <v>168</v>
      </c>
      <c r="C157" s="245">
        <f t="array" ref="C157">SUM(IF((Budget[Account Code]=B157)*(Budget[Sort Code]=$G$4),(Budget[Amount])))</f>
        <v>1500000</v>
      </c>
      <c r="D157" s="245">
        <f t="array" ref="D157">SUM(IF((Budget[Account Code]=B157)*(Budget[Sort Code]=$G$4)*(Budget[Date]&lt;=$D$7),(Budget[Amount])))</f>
        <v>1500000</v>
      </c>
      <c r="E157" s="245">
        <f t="array" ref="E157">((SUM(IF((CkDJ[Sort Code]=(TRIM(G$4)))*(CkDJ[Account Code]=(TRIM($B157)))*(CkDJ[Date]&lt;=$E$7),CkDJ[Debit])))+(SUM(IF((CsDJ[Sort Code]=(TRIM(G$4)))*(CsDJ[Account Code]=(TRIM($B157)))*(CsDJ[Date]&lt;=$E$7),CsDJ[Debit])))+(SUM(IF((CRDJ[Sort Code]=(TRIM(G$4)))*(CRDJ[Account Code]=(TRIM($B157)))*(CRDJ[Date]&lt;=$E$7),CRDJ[Debit])))+(SUM(IF((GJ[Sort Code]=(TRIM(G$4)))*(GJ[Account Code]=(TRIM($B157)))*(GJ[Date]&lt;=$E$7),GJ[Debit]))))-((SUM(IF((CkDJ[Sort Code]=(TRIM(G$4)))*(CkDJ[Account Code]=(TRIM($B157)))*(CkDJ[Date]&lt;=$E$7),CkDJ[Credit])))+(SUM(IF((CsDJ[Sort Code]=(TRIM(G$4)))*(CsDJ[Account Code]=(TRIM($B157)))*(CsDJ[Date]&lt;=$E$7),CsDJ[Credit])))+(SUM(IF((CRDJ[Sort Code]=(TRIM(G$4)))*(CRDJ[Account Code]=(TRIM($B157)))*(CRDJ[Date]&lt;=$E$7),CRDJ[Credit])))+(SUM(IF((GJ[Sort Code]=(TRIM(G$4)))*(GJ[Account Code]=(TRIM($B157)))*(GJ[Date]&lt;=$E$7),GJ[Credit]))))</f>
        <v>0</v>
      </c>
      <c r="F157" s="245">
        <f t="array" ref="F157">((SUM(IF((CkDJ[Date]=$A$3)*(CkDJ[Sort Code]=(TRIM(G$4)))*(CkDJ[Account Code]=(TRIM($B157))),CkDJ[Debit])))+(SUM(IF((CsDJ[Date]=$A$3)*(CsDJ[Sort Code]=(TRIM(G$4)))*(CsDJ[Account Code]=(TRIM($B157))),CsDJ[Debit])))+(SUM(IF((CRDJ[Date]=$A$3)*(CRDJ[Sort Code]=(TRIM(G$4)))*(CRDJ[Account Code]=(TRIM($B157))),CRDJ[Debit])))+(SUM(IF((GJ[Date]=$A$3)*(GJ[Sort Code]=(TRIM(G$4)))*(GJ[Account Code]=(TRIM($B157))),GJ[Debit]))))-((SUM(IF((CkDJ[Date]=$A$3)*(CkDJ[Sort Code]=(TRIM(G$4)))*(CkDJ[Account Code]=(TRIM($B157))),CkDJ[Credit])))+(SUM(IF((CsDJ[Date]=$A$3)*(CsDJ[Sort Code]=(TRIM(G$4)))*(CsDJ[Account Code]=(TRIM($B157))),CsDJ[Credit])))+(SUM(IF((CRDJ[Date]=$A$3)*(CRDJ[Sort Code]=(TRIM(G$4)))*(CRDJ[Account Code]=(TRIM($B157))),CRDJ[Credit])))+(SUM(IF((GJ[Date]=$A$3)*(GJ[Sort Code]=(TRIM(G$4)))*(GJ[Account Code]=(TRIM($B157))),GJ[Credit]))))</f>
        <v>0</v>
      </c>
      <c r="G157" s="343">
        <f t="shared" si="12"/>
        <v>0</v>
      </c>
      <c r="H157" s="246">
        <f t="shared" si="13"/>
        <v>-1500000</v>
      </c>
      <c r="I157" s="246">
        <f t="shared" si="14"/>
        <v>0</v>
      </c>
    </row>
    <row r="158" spans="1:9">
      <c r="A158" s="253" t="s">
        <v>354</v>
      </c>
      <c r="B158" s="339" t="s">
        <v>216</v>
      </c>
      <c r="C158" s="245">
        <f t="array" ref="C158">SUM(IF((Budget[Account Code]=B158)*(Budget[Sort Code]=$G$4),(Budget[Amount])))</f>
        <v>40000</v>
      </c>
      <c r="D158" s="245">
        <f t="array" ref="D158">SUM(IF((Budget[Account Code]=B158)*(Budget[Sort Code]=$G$4)*(Budget[Date]&lt;=$D$7),(Budget[Amount])))</f>
        <v>40000</v>
      </c>
      <c r="E158" s="245">
        <f t="array" ref="E158">((SUM(IF((CkDJ[Sort Code]=(TRIM(G$4)))*(CkDJ[Account Code]=(TRIM($B158)))*(CkDJ[Date]&lt;=$E$7),CkDJ[Debit])))+(SUM(IF((CsDJ[Sort Code]=(TRIM(G$4)))*(CsDJ[Account Code]=(TRIM($B158)))*(CsDJ[Date]&lt;=$E$7),CsDJ[Debit])))+(SUM(IF((CRDJ[Sort Code]=(TRIM(G$4)))*(CRDJ[Account Code]=(TRIM($B158)))*(CRDJ[Date]&lt;=$E$7),CRDJ[Debit])))+(SUM(IF((GJ[Sort Code]=(TRIM(G$4)))*(GJ[Account Code]=(TRIM($B158)))*(GJ[Date]&lt;=$E$7),GJ[Debit]))))-((SUM(IF((CkDJ[Sort Code]=(TRIM(G$4)))*(CkDJ[Account Code]=(TRIM($B158)))*(CkDJ[Date]&lt;=$E$7),CkDJ[Credit])))+(SUM(IF((CsDJ[Sort Code]=(TRIM(G$4)))*(CsDJ[Account Code]=(TRIM($B158)))*(CsDJ[Date]&lt;=$E$7),CsDJ[Credit])))+(SUM(IF((CRDJ[Sort Code]=(TRIM(G$4)))*(CRDJ[Account Code]=(TRIM($B158)))*(CRDJ[Date]&lt;=$E$7),CRDJ[Credit])))+(SUM(IF((GJ[Sort Code]=(TRIM(G$4)))*(GJ[Account Code]=(TRIM($B158)))*(GJ[Date]&lt;=$E$7),GJ[Credit]))))</f>
        <v>0</v>
      </c>
      <c r="F158" s="245">
        <f t="array" ref="F158">((SUM(IF((CkDJ[Date]=$A$3)*(CkDJ[Sort Code]=(TRIM(G$4)))*(CkDJ[Account Code]=(TRIM($B158))),CkDJ[Debit])))+(SUM(IF((CsDJ[Date]=$A$3)*(CsDJ[Sort Code]=(TRIM(G$4)))*(CsDJ[Account Code]=(TRIM($B158))),CsDJ[Debit])))+(SUM(IF((CRDJ[Date]=$A$3)*(CRDJ[Sort Code]=(TRIM(G$4)))*(CRDJ[Account Code]=(TRIM($B158))),CRDJ[Debit])))+(SUM(IF((GJ[Date]=$A$3)*(GJ[Sort Code]=(TRIM(G$4)))*(GJ[Account Code]=(TRIM($B158))),GJ[Debit]))))-((SUM(IF((CkDJ[Date]=$A$3)*(CkDJ[Sort Code]=(TRIM(G$4)))*(CkDJ[Account Code]=(TRIM($B158))),CkDJ[Credit])))+(SUM(IF((CsDJ[Date]=$A$3)*(CsDJ[Sort Code]=(TRIM(G$4)))*(CsDJ[Account Code]=(TRIM($B158))),CsDJ[Credit])))+(SUM(IF((CRDJ[Date]=$A$3)*(CRDJ[Sort Code]=(TRIM(G$4)))*(CRDJ[Account Code]=(TRIM($B158))),CRDJ[Credit])))+(SUM(IF((GJ[Date]=$A$3)*(GJ[Sort Code]=(TRIM(G$4)))*(GJ[Account Code]=(TRIM($B158))),GJ[Credit]))))</f>
        <v>0</v>
      </c>
      <c r="G158" s="343">
        <f t="shared" si="12"/>
        <v>0</v>
      </c>
      <c r="H158" s="246">
        <f t="shared" si="13"/>
        <v>-40000</v>
      </c>
      <c r="I158" s="246">
        <f t="shared" si="14"/>
        <v>0</v>
      </c>
    </row>
    <row r="159" spans="1:9">
      <c r="A159" s="253" t="s">
        <v>796</v>
      </c>
      <c r="B159" s="337" t="s">
        <v>331</v>
      </c>
      <c r="C159" s="245">
        <f t="array" ref="C159">SUM(IF((Budget[Account Code]=B159)*(Budget[Sort Code]=$G$4),(Budget[Amount])))</f>
        <v>0</v>
      </c>
      <c r="D159" s="245">
        <f t="array" ref="D159">SUM(IF((Budget[Account Code]=B159)*(Budget[Sort Code]=$G$4)*(Budget[Date]&lt;=$D$7),(Budget[Amount])))</f>
        <v>0</v>
      </c>
      <c r="E159" s="245">
        <f t="array" ref="E159">((SUM(IF((CkDJ[Sort Code]=(TRIM(G$4)))*(CkDJ[Account Code]=(TRIM($B159)))*(CkDJ[Date]&lt;=$E$7),CkDJ[Debit])))+(SUM(IF((CsDJ[Sort Code]=(TRIM(G$4)))*(CsDJ[Account Code]=(TRIM($B159)))*(CsDJ[Date]&lt;=$E$7),CsDJ[Debit])))+(SUM(IF((CRDJ[Sort Code]=(TRIM(G$4)))*(CRDJ[Account Code]=(TRIM($B159)))*(CRDJ[Date]&lt;=$E$7),CRDJ[Debit])))+(SUM(IF((GJ[Sort Code]=(TRIM(G$4)))*(GJ[Account Code]=(TRIM($B159)))*(GJ[Date]&lt;=$E$7),GJ[Debit]))))-((SUM(IF((CkDJ[Sort Code]=(TRIM(G$4)))*(CkDJ[Account Code]=(TRIM($B159)))*(CkDJ[Date]&lt;=$E$7),CkDJ[Credit])))+(SUM(IF((CsDJ[Sort Code]=(TRIM(G$4)))*(CsDJ[Account Code]=(TRIM($B159)))*(CsDJ[Date]&lt;=$E$7),CsDJ[Credit])))+(SUM(IF((CRDJ[Sort Code]=(TRIM(G$4)))*(CRDJ[Account Code]=(TRIM($B159)))*(CRDJ[Date]&lt;=$E$7),CRDJ[Credit])))+(SUM(IF((GJ[Sort Code]=(TRIM(G$4)))*(GJ[Account Code]=(TRIM($B159)))*(GJ[Date]&lt;=$E$7),GJ[Credit]))))</f>
        <v>0</v>
      </c>
      <c r="F159" s="245">
        <f t="array" ref="F159">((SUM(IF((CkDJ[Date]=$A$3)*(CkDJ[Sort Code]=(TRIM(G$4)))*(CkDJ[Account Code]=(TRIM($B159))),CkDJ[Debit])))+(SUM(IF((CsDJ[Date]=$A$3)*(CsDJ[Sort Code]=(TRIM(G$4)))*(CsDJ[Account Code]=(TRIM($B159))),CsDJ[Debit])))+(SUM(IF((CRDJ[Date]=$A$3)*(CRDJ[Sort Code]=(TRIM(G$4)))*(CRDJ[Account Code]=(TRIM($B159))),CRDJ[Debit])))+(SUM(IF((GJ[Date]=$A$3)*(GJ[Sort Code]=(TRIM(G$4)))*(GJ[Account Code]=(TRIM($B159))),GJ[Debit]))))-((SUM(IF((CkDJ[Date]=$A$3)*(CkDJ[Sort Code]=(TRIM(G$4)))*(CkDJ[Account Code]=(TRIM($B159))),CkDJ[Credit])))+(SUM(IF((CsDJ[Date]=$A$3)*(CsDJ[Sort Code]=(TRIM(G$4)))*(CsDJ[Account Code]=(TRIM($B159))),CsDJ[Credit])))+(SUM(IF((CRDJ[Date]=$A$3)*(CRDJ[Sort Code]=(TRIM(G$4)))*(CRDJ[Account Code]=(TRIM($B159))),CRDJ[Credit])))+(SUM(IF((GJ[Date]=$A$3)*(GJ[Sort Code]=(TRIM(G$4)))*(GJ[Account Code]=(TRIM($B159))),GJ[Credit]))))</f>
        <v>0</v>
      </c>
      <c r="G159" s="343">
        <f t="shared" si="12"/>
        <v>0</v>
      </c>
      <c r="H159" s="246">
        <f t="shared" si="13"/>
        <v>0</v>
      </c>
      <c r="I159" s="246">
        <f t="shared" si="14"/>
        <v>0</v>
      </c>
    </row>
    <row r="160" spans="1:9">
      <c r="A160" s="253" t="s">
        <v>304</v>
      </c>
      <c r="B160" s="339" t="s">
        <v>222</v>
      </c>
      <c r="C160" s="245">
        <f t="array" ref="C160">SUM(IF((Budget[Account Code]=B160)*(Budget[Sort Code]=$G$4),(Budget[Amount])))</f>
        <v>120000</v>
      </c>
      <c r="D160" s="245">
        <f t="array" ref="D160">SUM(IF((Budget[Account Code]=B160)*(Budget[Sort Code]=$G$4)*(Budget[Date]&lt;=$D$7),(Budget[Amount])))</f>
        <v>120000</v>
      </c>
      <c r="E160" s="245">
        <f t="array" ref="E160">((SUM(IF((CkDJ[Sort Code]=(TRIM(G$4)))*(CkDJ[Account Code]=(TRIM($B160)))*(CkDJ[Date]&lt;=$E$7),CkDJ[Debit])))+(SUM(IF((CsDJ[Sort Code]=(TRIM(G$4)))*(CsDJ[Account Code]=(TRIM($B160)))*(CsDJ[Date]&lt;=$E$7),CsDJ[Debit])))+(SUM(IF((CRDJ[Sort Code]=(TRIM(G$4)))*(CRDJ[Account Code]=(TRIM($B160)))*(CRDJ[Date]&lt;=$E$7),CRDJ[Debit])))+(SUM(IF((GJ[Sort Code]=(TRIM(G$4)))*(GJ[Account Code]=(TRIM($B160)))*(GJ[Date]&lt;=$E$7),GJ[Debit]))))-((SUM(IF((CkDJ[Sort Code]=(TRIM(G$4)))*(CkDJ[Account Code]=(TRIM($B160)))*(CkDJ[Date]&lt;=$E$7),CkDJ[Credit])))+(SUM(IF((CsDJ[Sort Code]=(TRIM(G$4)))*(CsDJ[Account Code]=(TRIM($B160)))*(CsDJ[Date]&lt;=$E$7),CsDJ[Credit])))+(SUM(IF((CRDJ[Sort Code]=(TRIM(G$4)))*(CRDJ[Account Code]=(TRIM($B160)))*(CRDJ[Date]&lt;=$E$7),CRDJ[Credit])))+(SUM(IF((GJ[Sort Code]=(TRIM(G$4)))*(GJ[Account Code]=(TRIM($B160)))*(GJ[Date]&lt;=$E$7),GJ[Credit]))))</f>
        <v>0</v>
      </c>
      <c r="F160" s="245">
        <f t="array" ref="F160">((SUM(IF((CkDJ[Date]=$A$3)*(CkDJ[Sort Code]=(TRIM(G$4)))*(CkDJ[Account Code]=(TRIM($B160))),CkDJ[Debit])))+(SUM(IF((CsDJ[Date]=$A$3)*(CsDJ[Sort Code]=(TRIM(G$4)))*(CsDJ[Account Code]=(TRIM($B160))),CsDJ[Debit])))+(SUM(IF((CRDJ[Date]=$A$3)*(CRDJ[Sort Code]=(TRIM(G$4)))*(CRDJ[Account Code]=(TRIM($B160))),CRDJ[Debit])))+(SUM(IF((GJ[Date]=$A$3)*(GJ[Sort Code]=(TRIM(G$4)))*(GJ[Account Code]=(TRIM($B160))),GJ[Debit]))))-((SUM(IF((CkDJ[Date]=$A$3)*(CkDJ[Sort Code]=(TRIM(G$4)))*(CkDJ[Account Code]=(TRIM($B160))),CkDJ[Credit])))+(SUM(IF((CsDJ[Date]=$A$3)*(CsDJ[Sort Code]=(TRIM(G$4)))*(CsDJ[Account Code]=(TRIM($B160))),CsDJ[Credit])))+(SUM(IF((CRDJ[Date]=$A$3)*(CRDJ[Sort Code]=(TRIM(G$4)))*(CRDJ[Account Code]=(TRIM($B160))),CRDJ[Credit])))+(SUM(IF((GJ[Date]=$A$3)*(GJ[Sort Code]=(TRIM(G$4)))*(GJ[Account Code]=(TRIM($B160))),GJ[Credit]))))</f>
        <v>0</v>
      </c>
      <c r="G160" s="343">
        <f t="shared" si="12"/>
        <v>0</v>
      </c>
      <c r="H160" s="246">
        <f t="shared" si="13"/>
        <v>-120000</v>
      </c>
      <c r="I160" s="246">
        <f t="shared" si="14"/>
        <v>0</v>
      </c>
    </row>
    <row r="161" spans="1:9">
      <c r="A161" s="253" t="s">
        <v>795</v>
      </c>
      <c r="B161" s="337"/>
      <c r="C161" s="245">
        <f t="array" ref="C161">SUM(IF((Budget[Account Code]=B161)*(Budget[Sort Code]=$G$4),(Budget[Amount])))</f>
        <v>0</v>
      </c>
      <c r="D161" s="245">
        <f t="array" ref="D161">SUM(IF((Budget[Account Code]=B161)*(Budget[Sort Code]=$G$4)*(Budget[Date]&lt;=$D$7),(Budget[Amount])))</f>
        <v>0</v>
      </c>
      <c r="E161" s="245">
        <f t="array" ref="E161">((SUM(IF((CkDJ[Sort Code]=(TRIM(G$4)))*(CkDJ[Account Code]=(TRIM($B161)))*(CkDJ[Date]&lt;=$E$7),CkDJ[Debit])))+(SUM(IF((CsDJ[Sort Code]=(TRIM(G$4)))*(CsDJ[Account Code]=(TRIM($B161)))*(CsDJ[Date]&lt;=$E$7),CsDJ[Debit])))+(SUM(IF((CRDJ[Sort Code]=(TRIM(G$4)))*(CRDJ[Account Code]=(TRIM($B161)))*(CRDJ[Date]&lt;=$E$7),CRDJ[Debit])))+(SUM(IF((GJ[Sort Code]=(TRIM(G$4)))*(GJ[Account Code]=(TRIM($B161)))*(GJ[Date]&lt;=$E$7),GJ[Debit]))))-((SUM(IF((CkDJ[Sort Code]=(TRIM(G$4)))*(CkDJ[Account Code]=(TRIM($B161)))*(CkDJ[Date]&lt;=$E$7),CkDJ[Credit])))+(SUM(IF((CsDJ[Sort Code]=(TRIM(G$4)))*(CsDJ[Account Code]=(TRIM($B161)))*(CsDJ[Date]&lt;=$E$7),CsDJ[Credit])))+(SUM(IF((CRDJ[Sort Code]=(TRIM(G$4)))*(CRDJ[Account Code]=(TRIM($B161)))*(CRDJ[Date]&lt;=$E$7),CRDJ[Credit])))+(SUM(IF((GJ[Sort Code]=(TRIM(G$4)))*(GJ[Account Code]=(TRIM($B161)))*(GJ[Date]&lt;=$E$7),GJ[Credit]))))</f>
        <v>0</v>
      </c>
      <c r="F161" s="245">
        <f t="array" ref="F161">((SUM(IF((CkDJ[Date]=$A$3)*(CkDJ[Sort Code]=(TRIM(G$4)))*(CkDJ[Account Code]=(TRIM($B161))),CkDJ[Debit])))+(SUM(IF((CsDJ[Date]=$A$3)*(CsDJ[Sort Code]=(TRIM(G$4)))*(CsDJ[Account Code]=(TRIM($B161))),CsDJ[Debit])))+(SUM(IF((CRDJ[Date]=$A$3)*(CRDJ[Sort Code]=(TRIM(G$4)))*(CRDJ[Account Code]=(TRIM($B161))),CRDJ[Debit])))+(SUM(IF((GJ[Date]=$A$3)*(GJ[Sort Code]=(TRIM(G$4)))*(GJ[Account Code]=(TRIM($B161))),GJ[Debit]))))-((SUM(IF((CkDJ[Date]=$A$3)*(CkDJ[Sort Code]=(TRIM(G$4)))*(CkDJ[Account Code]=(TRIM($B161))),CkDJ[Credit])))+(SUM(IF((CsDJ[Date]=$A$3)*(CsDJ[Sort Code]=(TRIM(G$4)))*(CsDJ[Account Code]=(TRIM($B161))),CsDJ[Credit])))+(SUM(IF((CRDJ[Date]=$A$3)*(CRDJ[Sort Code]=(TRIM(G$4)))*(CRDJ[Account Code]=(TRIM($B161))),CRDJ[Credit])))+(SUM(IF((GJ[Date]=$A$3)*(GJ[Sort Code]=(TRIM(G$4)))*(GJ[Account Code]=(TRIM($B161))),GJ[Credit]))))</f>
        <v>0</v>
      </c>
      <c r="G161" s="343">
        <f t="shared" si="12"/>
        <v>0</v>
      </c>
      <c r="H161" s="246">
        <f t="shared" si="13"/>
        <v>0</v>
      </c>
      <c r="I161" s="246">
        <f t="shared" si="14"/>
        <v>0</v>
      </c>
    </row>
    <row r="162" spans="1:9">
      <c r="A162" s="253" t="s">
        <v>794</v>
      </c>
      <c r="B162" s="339" t="s">
        <v>212</v>
      </c>
      <c r="C162" s="245">
        <f t="array" ref="C162">SUM(IF((Budget[Account Code]=B162)*(Budget[Sort Code]=$G$4),(Budget[Amount])))</f>
        <v>1703243.4</v>
      </c>
      <c r="D162" s="245">
        <f t="array" ref="D162">SUM(IF((Budget[Account Code]=B162)*(Budget[Sort Code]=$G$4)*(Budget[Date]&lt;=$D$7),(Budget[Amount])))</f>
        <v>1703243.4</v>
      </c>
      <c r="E162" s="245">
        <f t="array" ref="E162">((SUM(IF((CkDJ[Sort Code]=(TRIM(G$4)))*(CkDJ[Account Code]=(TRIM($B162)))*(CkDJ[Date]&lt;=$E$7),CkDJ[Debit])))+(SUM(IF((CsDJ[Sort Code]=(TRIM(G$4)))*(CsDJ[Account Code]=(TRIM($B162)))*(CsDJ[Date]&lt;=$E$7),CsDJ[Debit])))+(SUM(IF((CRDJ[Sort Code]=(TRIM(G$4)))*(CRDJ[Account Code]=(TRIM($B162)))*(CRDJ[Date]&lt;=$E$7),CRDJ[Debit])))+(SUM(IF((GJ[Sort Code]=(TRIM(G$4)))*(GJ[Account Code]=(TRIM($B162)))*(GJ[Date]&lt;=$E$7),GJ[Debit]))))-((SUM(IF((CkDJ[Sort Code]=(TRIM(G$4)))*(CkDJ[Account Code]=(TRIM($B162)))*(CkDJ[Date]&lt;=$E$7),CkDJ[Credit])))+(SUM(IF((CsDJ[Sort Code]=(TRIM(G$4)))*(CsDJ[Account Code]=(TRIM($B162)))*(CsDJ[Date]&lt;=$E$7),CsDJ[Credit])))+(SUM(IF((CRDJ[Sort Code]=(TRIM(G$4)))*(CRDJ[Account Code]=(TRIM($B162)))*(CRDJ[Date]&lt;=$E$7),CRDJ[Credit])))+(SUM(IF((GJ[Sort Code]=(TRIM(G$4)))*(GJ[Account Code]=(TRIM($B162)))*(GJ[Date]&lt;=$E$7),GJ[Credit]))))</f>
        <v>0</v>
      </c>
      <c r="F162" s="245">
        <f t="array" ref="F162">((SUM(IF((CkDJ[Date]=$A$3)*(CkDJ[Sort Code]=(TRIM(G$4)))*(CkDJ[Account Code]=(TRIM($B162))),CkDJ[Debit])))+(SUM(IF((CsDJ[Date]=$A$3)*(CsDJ[Sort Code]=(TRIM(G$4)))*(CsDJ[Account Code]=(TRIM($B162))),CsDJ[Debit])))+(SUM(IF((CRDJ[Date]=$A$3)*(CRDJ[Sort Code]=(TRIM(G$4)))*(CRDJ[Account Code]=(TRIM($B162))),CRDJ[Debit])))+(SUM(IF((GJ[Date]=$A$3)*(GJ[Sort Code]=(TRIM(G$4)))*(GJ[Account Code]=(TRIM($B162))),GJ[Debit]))))-((SUM(IF((CkDJ[Date]=$A$3)*(CkDJ[Sort Code]=(TRIM(G$4)))*(CkDJ[Account Code]=(TRIM($B162))),CkDJ[Credit])))+(SUM(IF((CsDJ[Date]=$A$3)*(CsDJ[Sort Code]=(TRIM(G$4)))*(CsDJ[Account Code]=(TRIM($B162))),CsDJ[Credit])))+(SUM(IF((CRDJ[Date]=$A$3)*(CRDJ[Sort Code]=(TRIM(G$4)))*(CRDJ[Account Code]=(TRIM($B162))),CRDJ[Credit])))+(SUM(IF((GJ[Date]=$A$3)*(GJ[Sort Code]=(TRIM(G$4)))*(GJ[Account Code]=(TRIM($B162))),GJ[Credit]))))</f>
        <v>0</v>
      </c>
      <c r="G162" s="343">
        <f t="shared" si="12"/>
        <v>0</v>
      </c>
      <c r="H162" s="246">
        <f t="shared" si="13"/>
        <v>-1703243.4</v>
      </c>
      <c r="I162" s="246">
        <f t="shared" si="14"/>
        <v>0</v>
      </c>
    </row>
    <row r="163" spans="1:9">
      <c r="A163" s="253" t="s">
        <v>793</v>
      </c>
      <c r="B163" s="337"/>
      <c r="C163" s="245">
        <f t="array" ref="C163">SUM(IF((Budget[Account Code]=B163)*(Budget[Sort Code]=$G$4),(Budget[Amount])))</f>
        <v>0</v>
      </c>
      <c r="D163" s="245">
        <f t="array" ref="D163">SUM(IF((Budget[Account Code]=B163)*(Budget[Sort Code]=$G$4)*(Budget[Date]&lt;=$D$7),(Budget[Amount])))</f>
        <v>0</v>
      </c>
      <c r="E163" s="245">
        <f t="array" ref="E163">((SUM(IF((CkDJ[Sort Code]=(TRIM(G$4)))*(CkDJ[Account Code]=(TRIM($B163)))*(CkDJ[Date]&lt;=$E$7),CkDJ[Debit])))+(SUM(IF((CsDJ[Sort Code]=(TRIM(G$4)))*(CsDJ[Account Code]=(TRIM($B163)))*(CsDJ[Date]&lt;=$E$7),CsDJ[Debit])))+(SUM(IF((CRDJ[Sort Code]=(TRIM(G$4)))*(CRDJ[Account Code]=(TRIM($B163)))*(CRDJ[Date]&lt;=$E$7),CRDJ[Debit])))+(SUM(IF((GJ[Sort Code]=(TRIM(G$4)))*(GJ[Account Code]=(TRIM($B163)))*(GJ[Date]&lt;=$E$7),GJ[Debit]))))-((SUM(IF((CkDJ[Sort Code]=(TRIM(G$4)))*(CkDJ[Account Code]=(TRIM($B163)))*(CkDJ[Date]&lt;=$E$7),CkDJ[Credit])))+(SUM(IF((CsDJ[Sort Code]=(TRIM(G$4)))*(CsDJ[Account Code]=(TRIM($B163)))*(CsDJ[Date]&lt;=$E$7),CsDJ[Credit])))+(SUM(IF((CRDJ[Sort Code]=(TRIM(G$4)))*(CRDJ[Account Code]=(TRIM($B163)))*(CRDJ[Date]&lt;=$E$7),CRDJ[Credit])))+(SUM(IF((GJ[Sort Code]=(TRIM(G$4)))*(GJ[Account Code]=(TRIM($B163)))*(GJ[Date]&lt;=$E$7),GJ[Credit]))))</f>
        <v>0</v>
      </c>
      <c r="F163" s="245">
        <f t="array" ref="F163">((SUM(IF((CkDJ[Date]=$A$3)*(CkDJ[Sort Code]=(TRIM(G$4)))*(CkDJ[Account Code]=(TRIM($B163))),CkDJ[Debit])))+(SUM(IF((CsDJ[Date]=$A$3)*(CsDJ[Sort Code]=(TRIM(G$4)))*(CsDJ[Account Code]=(TRIM($B163))),CsDJ[Debit])))+(SUM(IF((CRDJ[Date]=$A$3)*(CRDJ[Sort Code]=(TRIM(G$4)))*(CRDJ[Account Code]=(TRIM($B163))),CRDJ[Debit])))+(SUM(IF((GJ[Date]=$A$3)*(GJ[Sort Code]=(TRIM(G$4)))*(GJ[Account Code]=(TRIM($B163))),GJ[Debit]))))-((SUM(IF((CkDJ[Date]=$A$3)*(CkDJ[Sort Code]=(TRIM(G$4)))*(CkDJ[Account Code]=(TRIM($B163))),CkDJ[Credit])))+(SUM(IF((CsDJ[Date]=$A$3)*(CsDJ[Sort Code]=(TRIM(G$4)))*(CsDJ[Account Code]=(TRIM($B163))),CsDJ[Credit])))+(SUM(IF((CRDJ[Date]=$A$3)*(CRDJ[Sort Code]=(TRIM(G$4)))*(CRDJ[Account Code]=(TRIM($B163))),CRDJ[Credit])))+(SUM(IF((GJ[Date]=$A$3)*(GJ[Sort Code]=(TRIM(G$4)))*(GJ[Account Code]=(TRIM($B163))),GJ[Credit]))))</f>
        <v>0</v>
      </c>
      <c r="G163" s="343">
        <f t="shared" si="12"/>
        <v>0</v>
      </c>
      <c r="H163" s="246">
        <f t="shared" si="13"/>
        <v>0</v>
      </c>
      <c r="I163" s="246">
        <f t="shared" si="14"/>
        <v>0</v>
      </c>
    </row>
    <row r="164" spans="1:9">
      <c r="A164" s="251" t="s">
        <v>789</v>
      </c>
      <c r="B164" s="338"/>
      <c r="C164" s="250">
        <f>SUM(C155:C163)</f>
        <v>3658243.4</v>
      </c>
      <c r="D164" s="250">
        <f>SUM(D155:D163)</f>
        <v>3658243.4</v>
      </c>
      <c r="E164" s="250">
        <f>SUM(E155:E163)</f>
        <v>0</v>
      </c>
      <c r="F164" s="250">
        <f>SUM(F155:F163)</f>
        <v>0</v>
      </c>
      <c r="G164" s="250">
        <f>SUM(G155:G163)</f>
        <v>0</v>
      </c>
      <c r="H164" s="250">
        <f t="shared" si="13"/>
        <v>-3658243.4</v>
      </c>
      <c r="I164" s="250">
        <f t="shared" si="14"/>
        <v>0</v>
      </c>
    </row>
    <row r="165" spans="1:9">
      <c r="A165" s="251" t="s">
        <v>788</v>
      </c>
      <c r="B165" s="338"/>
      <c r="C165" s="250">
        <f>C147+C164</f>
        <v>35934008.270000003</v>
      </c>
      <c r="D165" s="250">
        <f>D147+D164</f>
        <v>35934008.270000003</v>
      </c>
      <c r="E165" s="250">
        <f>E147+E164</f>
        <v>0</v>
      </c>
      <c r="F165" s="250">
        <f>F147+F164</f>
        <v>0</v>
      </c>
      <c r="G165" s="250">
        <f>G147+G164</f>
        <v>0</v>
      </c>
      <c r="H165" s="250">
        <f t="shared" si="13"/>
        <v>-35934008.270000003</v>
      </c>
      <c r="I165" s="250">
        <f t="shared" si="14"/>
        <v>0</v>
      </c>
    </row>
    <row r="166" spans="1:9">
      <c r="A166" s="251" t="s">
        <v>785</v>
      </c>
      <c r="B166" s="338"/>
      <c r="C166" s="250">
        <f>C48-C165</f>
        <v>-32806008.27</v>
      </c>
      <c r="D166" s="250">
        <f>D48-D165</f>
        <v>-32806008.27</v>
      </c>
      <c r="E166" s="250">
        <f>E48-E165</f>
        <v>0</v>
      </c>
      <c r="F166" s="250">
        <f>F48-F165</f>
        <v>0</v>
      </c>
      <c r="G166" s="250">
        <f>G48-G165</f>
        <v>0</v>
      </c>
      <c r="H166" s="250">
        <f t="shared" si="13"/>
        <v>32806008.27</v>
      </c>
      <c r="I166" s="250">
        <f t="shared" si="14"/>
        <v>0</v>
      </c>
    </row>
    <row r="167" spans="1:9">
      <c r="A167" s="251" t="s">
        <v>749</v>
      </c>
      <c r="B167" s="338"/>
      <c r="C167" s="250">
        <f>C48/C165</f>
        <v>0.09</v>
      </c>
      <c r="D167" s="250">
        <f>D48/D165</f>
        <v>0.09</v>
      </c>
      <c r="E167" s="250" t="e">
        <f>E48/E165</f>
        <v>#DIV/0!</v>
      </c>
      <c r="F167" s="250" t="e">
        <f>F48/F165</f>
        <v>#DIV/0!</v>
      </c>
      <c r="G167" s="250" t="e">
        <f>G48/G165</f>
        <v>#DIV/0!</v>
      </c>
      <c r="H167" s="250" t="e">
        <f t="shared" si="13"/>
        <v>#DIV/0!</v>
      </c>
      <c r="I167" s="250" t="e">
        <f t="shared" si="14"/>
        <v>#DIV/0!</v>
      </c>
    </row>
    <row r="168" spans="1:9" hidden="1">
      <c r="A168" s="251" t="s">
        <v>787</v>
      </c>
      <c r="B168" s="338"/>
      <c r="C168" s="250"/>
      <c r="D168" s="250"/>
      <c r="E168" s="250"/>
      <c r="F168" s="250"/>
      <c r="G168" s="250"/>
      <c r="H168" s="250">
        <f t="shared" si="13"/>
        <v>0</v>
      </c>
      <c r="I168" s="250">
        <f t="shared" si="14"/>
        <v>0</v>
      </c>
    </row>
    <row r="169" spans="1:9" hidden="1">
      <c r="A169" s="251" t="s">
        <v>786</v>
      </c>
      <c r="B169" s="338"/>
      <c r="C169" s="250"/>
      <c r="D169" s="250"/>
      <c r="E169" s="250"/>
      <c r="F169" s="250"/>
      <c r="G169" s="250"/>
      <c r="H169" s="250">
        <f t="shared" si="13"/>
        <v>0</v>
      </c>
      <c r="I169" s="250">
        <f t="shared" si="14"/>
        <v>0</v>
      </c>
    </row>
    <row r="170" spans="1:9">
      <c r="A170" s="251" t="s">
        <v>785</v>
      </c>
      <c r="B170" s="338"/>
      <c r="C170" s="250">
        <f>C166+C168+C169</f>
        <v>-32806008.27</v>
      </c>
      <c r="D170" s="250">
        <f>D166+D168+D169</f>
        <v>-32806008.27</v>
      </c>
      <c r="E170" s="250">
        <f>E166+E168+E169</f>
        <v>0</v>
      </c>
      <c r="F170" s="250">
        <f>F166+F168+F169</f>
        <v>0</v>
      </c>
      <c r="G170" s="250">
        <f>G166+G168+G169</f>
        <v>0</v>
      </c>
      <c r="H170" s="250">
        <f t="shared" si="13"/>
        <v>32806008.27</v>
      </c>
      <c r="I170" s="250">
        <f t="shared" si="14"/>
        <v>0</v>
      </c>
    </row>
    <row r="171" spans="1:9">
      <c r="A171" s="251" t="s">
        <v>792</v>
      </c>
      <c r="B171" s="338"/>
      <c r="C171" s="250">
        <f>C48/(C165-C168-C169)</f>
        <v>0.09</v>
      </c>
      <c r="D171" s="250">
        <f>D48/(D165-D168-D169)</f>
        <v>0.09</v>
      </c>
      <c r="E171" s="250" t="e">
        <f>E48/(E165-E168-E169)</f>
        <v>#DIV/0!</v>
      </c>
      <c r="F171" s="250" t="e">
        <f>F48/(F165-F168-F169)</f>
        <v>#DIV/0!</v>
      </c>
      <c r="G171" s="250" t="e">
        <f>G48/(G165-G168-G169)</f>
        <v>#DIV/0!</v>
      </c>
      <c r="H171" s="250" t="e">
        <f t="shared" si="13"/>
        <v>#DIV/0!</v>
      </c>
      <c r="I171" s="250" t="e">
        <f t="shared" si="14"/>
        <v>#DIV/0!</v>
      </c>
    </row>
    <row r="172" spans="1:9">
      <c r="A172" s="259"/>
      <c r="C172" s="260"/>
      <c r="D172" s="260"/>
      <c r="E172" s="345"/>
      <c r="F172" s="345"/>
      <c r="G172" s="345"/>
      <c r="H172" s="345"/>
      <c r="I172" s="346"/>
    </row>
    <row r="173" spans="1:9">
      <c r="A173" s="333" t="s">
        <v>791</v>
      </c>
      <c r="B173" s="341"/>
      <c r="C173" s="334"/>
      <c r="D173" s="334"/>
      <c r="E173" s="334"/>
      <c r="F173" s="334"/>
      <c r="G173" s="334"/>
      <c r="H173" s="334"/>
      <c r="I173" s="347"/>
    </row>
    <row r="174" spans="1:9">
      <c r="A174" s="261"/>
      <c r="B174" s="340"/>
      <c r="C174" s="262"/>
      <c r="D174" s="262"/>
      <c r="E174" s="348"/>
      <c r="F174" s="348"/>
      <c r="G174" s="263"/>
      <c r="H174" s="263">
        <f t="shared" si="13"/>
        <v>0</v>
      </c>
      <c r="I174" s="263">
        <f t="shared" si="14"/>
        <v>0</v>
      </c>
    </row>
    <row r="175" spans="1:9">
      <c r="A175" s="253" t="s">
        <v>790</v>
      </c>
      <c r="B175" s="339" t="s">
        <v>267</v>
      </c>
      <c r="C175" s="245">
        <f t="array" ref="C175">SUM(IF((Budget[Account Code]=B175)*(Budget[Sort Code]=$G$4),(Budget[Amount])))</f>
        <v>1000000</v>
      </c>
      <c r="D175" s="245">
        <f t="array" ref="D175">SUM(IF((Budget[Account Code]=B175)*(Budget[Sort Code]=$G$4)*(Budget[Date]&lt;=$D$7),(Budget[Amount])))</f>
        <v>1000000</v>
      </c>
      <c r="E175" s="245">
        <f t="array" ref="E175">((SUM(IF((CkDJ[Sort Code]=(TRIM(G$4)))*(CkDJ[Account Code]=(TRIM($B175)))*(CkDJ[Date]&lt;=$E$7),CkDJ[Debit])))+(SUM(IF((CsDJ[Sort Code]=(TRIM(G$4)))*(CsDJ[Account Code]=(TRIM($B175)))*(CsDJ[Date]&lt;=$E$7),CsDJ[Debit])))+(SUM(IF((CRDJ[Sort Code]=(TRIM(G$4)))*(CRDJ[Account Code]=(TRIM($B175)))*(CRDJ[Date]&lt;=$E$7),CRDJ[Debit])))+(SUM(IF((GJ[Sort Code]=(TRIM(G$4)))*(GJ[Account Code]=(TRIM($B175)))*(GJ[Date]&lt;=$E$7),GJ[Debit]))))-((SUM(IF((CkDJ[Sort Code]=(TRIM(G$4)))*(CkDJ[Account Code]=(TRIM($B175)))*(CkDJ[Date]&lt;=$E$7),CkDJ[Credit])))+(SUM(IF((CsDJ[Sort Code]=(TRIM(G$4)))*(CsDJ[Account Code]=(TRIM($B175)))*(CsDJ[Date]&lt;=$E$7),CsDJ[Credit])))+(SUM(IF((CRDJ[Sort Code]=(TRIM(G$4)))*(CRDJ[Account Code]=(TRIM($B175)))*(CRDJ[Date]&lt;=$E$7),CRDJ[Credit])))+(SUM(IF((GJ[Sort Code]=(TRIM(G$4)))*(GJ[Account Code]=(TRIM($B175)))*(GJ[Date]&lt;=$E$7),GJ[Credit]))))</f>
        <v>0</v>
      </c>
      <c r="F175" s="245">
        <f t="array" ref="F175">((SUM(IF((CkDJ[Date]=$A$3)*(CkDJ[Sort Code]=(TRIM(G$4)))*(CkDJ[Account Code]=(TRIM($B175))),CkDJ[Debit])))+(SUM(IF((CsDJ[Date]=$A$3)*(CsDJ[Sort Code]=(TRIM(G$4)))*(CsDJ[Account Code]=(TRIM($B175))),CsDJ[Debit])))+(SUM(IF((CRDJ[Date]=$A$3)*(CRDJ[Sort Code]=(TRIM(G$4)))*(CRDJ[Account Code]=(TRIM($B175))),CRDJ[Debit])))+(SUM(IF((GJ[Date]=$A$3)*(GJ[Sort Code]=(TRIM(G$4)))*(GJ[Account Code]=(TRIM($B175))),GJ[Debit]))))-((SUM(IF((CkDJ[Date]=$A$3)*(CkDJ[Sort Code]=(TRIM(G$4)))*(CkDJ[Account Code]=(TRIM($B175))),CkDJ[Credit])))+(SUM(IF((CsDJ[Date]=$A$3)*(CsDJ[Sort Code]=(TRIM(G$4)))*(CsDJ[Account Code]=(TRIM($B175))),CsDJ[Credit])))+(SUM(IF((CRDJ[Date]=$A$3)*(CRDJ[Sort Code]=(TRIM(G$4)))*(CRDJ[Account Code]=(TRIM($B175))),CRDJ[Credit])))+(SUM(IF((GJ[Date]=$A$3)*(GJ[Sort Code]=(TRIM(G$4)))*(GJ[Account Code]=(TRIM($B175))),GJ[Credit]))))</f>
        <v>0</v>
      </c>
      <c r="G175" s="343">
        <f>E175+F175</f>
        <v>0</v>
      </c>
      <c r="H175" s="246">
        <f t="shared" si="13"/>
        <v>-1000000</v>
      </c>
      <c r="I175" s="246">
        <f t="shared" si="14"/>
        <v>0</v>
      </c>
    </row>
    <row r="176" spans="1:9">
      <c r="A176" s="253"/>
      <c r="B176" s="337"/>
      <c r="C176" s="244"/>
      <c r="D176" s="244"/>
      <c r="E176" s="245"/>
      <c r="F176" s="245"/>
      <c r="G176" s="246"/>
      <c r="H176" s="246">
        <f t="shared" si="13"/>
        <v>0</v>
      </c>
      <c r="I176" s="246">
        <f t="shared" si="14"/>
        <v>0</v>
      </c>
    </row>
    <row r="177" spans="1:9">
      <c r="A177" s="251" t="s">
        <v>789</v>
      </c>
      <c r="B177" s="338"/>
      <c r="C177" s="250">
        <f>SUM(C174:C176)</f>
        <v>1000000</v>
      </c>
      <c r="D177" s="250">
        <f>SUM(D174:D176)</f>
        <v>1000000</v>
      </c>
      <c r="E177" s="250">
        <f>SUM(E174:E176)</f>
        <v>0</v>
      </c>
      <c r="F177" s="250">
        <f>SUM(F174:F176)</f>
        <v>0</v>
      </c>
      <c r="G177" s="250">
        <f>SUM(G174:G176)</f>
        <v>0</v>
      </c>
      <c r="H177" s="250">
        <f t="shared" si="13"/>
        <v>-1000000</v>
      </c>
      <c r="I177" s="250">
        <f t="shared" si="14"/>
        <v>0</v>
      </c>
    </row>
    <row r="178" spans="1:9">
      <c r="A178" s="251" t="s">
        <v>788</v>
      </c>
      <c r="B178" s="338"/>
      <c r="C178" s="250">
        <f>C165+C177</f>
        <v>36934008.270000003</v>
      </c>
      <c r="D178" s="250">
        <f>D165+D177</f>
        <v>36934008.270000003</v>
      </c>
      <c r="E178" s="250">
        <f>E165+E177</f>
        <v>0</v>
      </c>
      <c r="F178" s="250">
        <f>F165+F177</f>
        <v>0</v>
      </c>
      <c r="G178" s="250">
        <f>G165+G177</f>
        <v>0</v>
      </c>
      <c r="H178" s="250">
        <f t="shared" si="13"/>
        <v>-36934008.270000003</v>
      </c>
      <c r="I178" s="250">
        <f t="shared" si="14"/>
        <v>0</v>
      </c>
    </row>
    <row r="179" spans="1:9">
      <c r="A179" s="251" t="s">
        <v>785</v>
      </c>
      <c r="B179" s="338"/>
      <c r="C179" s="250">
        <f>C48-C178</f>
        <v>-33806008.270000003</v>
      </c>
      <c r="D179" s="250">
        <f>D48-D178</f>
        <v>-33806008.270000003</v>
      </c>
      <c r="E179" s="250">
        <f>E48-E178</f>
        <v>0</v>
      </c>
      <c r="F179" s="250">
        <f>F48-F178</f>
        <v>0</v>
      </c>
      <c r="G179" s="250">
        <f>G48-G178</f>
        <v>0</v>
      </c>
      <c r="H179" s="250">
        <f t="shared" si="13"/>
        <v>33806008.270000003</v>
      </c>
      <c r="I179" s="250">
        <f t="shared" si="14"/>
        <v>0</v>
      </c>
    </row>
    <row r="180" spans="1:9" hidden="1">
      <c r="A180" s="251" t="s">
        <v>749</v>
      </c>
      <c r="B180" s="338"/>
      <c r="C180" s="250"/>
      <c r="D180" s="250"/>
      <c r="E180" s="250"/>
      <c r="F180" s="250"/>
      <c r="G180" s="250"/>
      <c r="H180" s="250">
        <f t="shared" si="13"/>
        <v>0</v>
      </c>
      <c r="I180" s="250">
        <f t="shared" si="14"/>
        <v>0</v>
      </c>
    </row>
    <row r="181" spans="1:9" hidden="1">
      <c r="A181" s="251" t="s">
        <v>787</v>
      </c>
      <c r="B181" s="338"/>
      <c r="C181" s="250"/>
      <c r="D181" s="250"/>
      <c r="E181" s="250"/>
      <c r="F181" s="250"/>
      <c r="G181" s="250"/>
      <c r="H181" s="250">
        <f t="shared" si="13"/>
        <v>0</v>
      </c>
      <c r="I181" s="250">
        <f t="shared" si="14"/>
        <v>0</v>
      </c>
    </row>
    <row r="182" spans="1:9" hidden="1">
      <c r="A182" s="251" t="s">
        <v>786</v>
      </c>
      <c r="B182" s="338"/>
      <c r="C182" s="250"/>
      <c r="D182" s="250"/>
      <c r="E182" s="250"/>
      <c r="F182" s="250"/>
      <c r="G182" s="250"/>
      <c r="H182" s="250">
        <f t="shared" si="13"/>
        <v>0</v>
      </c>
      <c r="I182" s="250">
        <f t="shared" si="14"/>
        <v>0</v>
      </c>
    </row>
    <row r="183" spans="1:9" hidden="1">
      <c r="A183" s="251" t="s">
        <v>785</v>
      </c>
      <c r="B183" s="338"/>
      <c r="C183" s="250"/>
      <c r="D183" s="250"/>
      <c r="E183" s="250"/>
      <c r="F183" s="250"/>
      <c r="G183" s="250"/>
      <c r="H183" s="250">
        <f t="shared" si="13"/>
        <v>0</v>
      </c>
      <c r="I183" s="250">
        <f t="shared" si="14"/>
        <v>0</v>
      </c>
    </row>
    <row r="184" spans="1:9">
      <c r="A184" s="264" t="s">
        <v>749</v>
      </c>
      <c r="B184" s="338"/>
      <c r="C184" s="265">
        <f>C48/(C178-C181-C182)</f>
        <v>0.08</v>
      </c>
      <c r="D184" s="265">
        <f>D48/(D178-D181-D182)</f>
        <v>0.08</v>
      </c>
      <c r="E184" s="265" t="e">
        <f>E48/(E178-E181-E182)</f>
        <v>#DIV/0!</v>
      </c>
      <c r="F184" s="265" t="e">
        <f>F48/(F178-F181-F182)</f>
        <v>#DIV/0!</v>
      </c>
      <c r="G184" s="265" t="e">
        <f>G48/(G178-G181-G182)</f>
        <v>#DIV/0!</v>
      </c>
      <c r="H184" s="265" t="e">
        <f t="shared" si="13"/>
        <v>#DIV/0!</v>
      </c>
      <c r="I184" s="265" t="e">
        <f t="shared" si="14"/>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2"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pageSetUpPr fitToPage="1"/>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La Union</v>
      </c>
      <c r="C4" s="332"/>
      <c r="G4" s="331" t="s">
        <v>486</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Code]=B10)*(Budget[Sort Code]=$G$4),(Budget[Amount])))</f>
        <v>0</v>
      </c>
      <c r="D10" s="245">
        <f t="array" ref="D10">SUM(IF((Budget[Account Code]=B10)*(Budget[Sort Code]=$G$4)*(Budget[Date]&lt;=$D$7),(Budget[Amount])))</f>
        <v>0</v>
      </c>
      <c r="E10" s="245">
        <f t="array" ref="E10">((SUM(IF((CkDJ[Sort Code]=(TRIM(G$4)))*(CkDJ[Account Code]=(TRIM($B10)))*(CkDJ[Date]&lt;=$E$7),CkDJ[Credit])))+(SUM(IF((CsDJ[Sort Code]=(TRIM(G$4)))*(CsDJ[Account Code]=(TRIM($B10)))*(CsDJ[Date]&lt;=$E$7),CsDJ[Credit])))+(SUM(IF((CRDJ[Sort Code]=(TRIM(G$4)))*(CRDJ[Account Code]=(TRIM($B10)))*(CRDJ[Date]&lt;=$E$7),CRDJ[Credit])))+(SUM(IF((GJ[Sort Code]=(TRIM(G$4)))*(GJ[Account Code]=(TRIM($B10)))*(GJ[Date]&lt;=$E$7),GJ[Credit]))))-((SUM(IF((CkDJ[Sort Code]=(TRIM(G$4)))*(CkDJ[Account Code]=(TRIM($B10)))*(CkDJ[Date]&lt;=$E$7),CkDJ[Debit])))+(SUM(IF((CsDJ[Sort Code]=(TRIM(G$4)))*(CsDJ[Account Code]=(TRIM($B10)))*(CsDJ[Date]&lt;=$E$7),CsDJ[Debit])))+(SUM(IF((CRDJ[Sort Code]=(TRIM(G$4)))*(CRDJ[Account Code]=(TRIM($B10)))*(CRDJ[Date]&lt;=$E$7),CRDJ[Debit])))+(SUM(IF((GJ[Sort Code]=(TRIM(G$4)))*(GJ[Account Code]=(TRIM($B10)))*(GJ[Date]&lt;=$E$7),GJ[Debit]))))</f>
        <v>0</v>
      </c>
      <c r="F10" s="245">
        <f t="array" ref="F10">((SUM(IF((CkDJ[Date]=$A$3)*(CkDJ[Sort Code]=(TRIM(G$4)))*(CkDJ[Account Code]=(TRIM($B10))),CkDJ[Credit])))+(SUM(IF((CsDJ[Date]=$A$3)*(CsDJ[Sort Code]=(TRIM(G$4)))*(CsDJ[Account Code]=(TRIM($B10))),CsDJ[Credit])))+(SUM(IF((CRDJ[Date]=$A$3)*(CRDJ[Sort Code]=(TRIM(G$4)))*(CRDJ[Account Code]=(TRIM($B10))),CRDJ[Credit])))+(SUM(IF((GJ[Date]=$A$3)*(GJ[Sort Code]=(TRIM(G$4)))*(GJ[Account Code]=(TRIM($B10))),GJ[Credit]))))-((SUM(IF((CkDJ[Date]=$A$3)*(CkDJ[Sort Code]=(TRIM(G$4)))*(CkDJ[Account Code]=(TRIM($B10))),CkDJ[Debit])))+(SUM(IF((CsDJ[Date]=$A$3)*(CsDJ[Sort Code]=(TRIM(G$4)))*(CsDJ[Account Code]=(TRIM($B10))),CsDJ[Debit])))+(SUM(IF((CRDJ[Date]=$A$3)*(CRDJ[Sort Code]=(TRIM(G$4)))*(CRDJ[Account Code]=(TRIM($B10))),CRDJ[Debit])))+(SUM(IF((GJ[Date]=$A$3)*(GJ[Sort Code]=(TRIM(G$4)))*(GJ[Account Code]=(TRIM($B10))),GJ[Debit]))))</f>
        <v>0</v>
      </c>
      <c r="G10" s="343">
        <f>E10+F10</f>
        <v>0</v>
      </c>
      <c r="H10" s="246">
        <f t="shared" ref="H10:H24" si="0">G10-D10</f>
        <v>0</v>
      </c>
      <c r="I10" s="242">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2">
        <f t="shared" si="1"/>
        <v>0</v>
      </c>
    </row>
    <row r="12" spans="1:9">
      <c r="A12" s="247" t="s">
        <v>809</v>
      </c>
      <c r="B12" s="337" t="s">
        <v>126</v>
      </c>
      <c r="C12" s="245">
        <f t="array" ref="C12">SUM(IF((Budget[Account Code]=B12)*(Budget[Sort Code]=$G$4),(Budget[Amount])))</f>
        <v>0</v>
      </c>
      <c r="D12" s="245">
        <f t="array" ref="D12">SUM(IF((Budget[Account Code]=B12)*(Budget[Sort Code]=$G$4)*(Budget[Date]&lt;=$D$7),(Budget[Amount])))</f>
        <v>0</v>
      </c>
      <c r="E12" s="245">
        <f t="array" ref="E12">((SUM(IF((CkDJ[Sort Code]=(TRIM(G$4)))*(CkDJ[Account Code]=(TRIM($B12)))*(CkDJ[Date]&lt;=$E$7),CkDJ[Credit])))+(SUM(IF((CsDJ[Sort Code]=(TRIM(G$4)))*(CsDJ[Account Code]=(TRIM($B12)))*(CsDJ[Date]&lt;=$E$7),CsDJ[Credit])))+(SUM(IF((CRDJ[Sort Code]=(TRIM(G$4)))*(CRDJ[Account Code]=(TRIM($B12)))*(CRDJ[Date]&lt;=$E$7),CRDJ[Credit])))+(SUM(IF((GJ[Sort Code]=(TRIM(G$4)))*(GJ[Account Code]=(TRIM($B12)))*(GJ[Date]&lt;=$E$7),GJ[Credit]))))-((SUM(IF((CkDJ[Sort Code]=(TRIM(G$4)))*(CkDJ[Account Code]=(TRIM($B12)))*(CkDJ[Date]&lt;=$E$7),CkDJ[Debit])))+(SUM(IF((CsDJ[Sort Code]=(TRIM(G$4)))*(CsDJ[Account Code]=(TRIM($B12)))*(CsDJ[Date]&lt;=$E$7),CsDJ[Debit])))+(SUM(IF((CRDJ[Sort Code]=(TRIM(G$4)))*(CRDJ[Account Code]=(TRIM($B12)))*(CRDJ[Date]&lt;=$E$7),CRDJ[Debit])))+(SUM(IF((GJ[Sort Code]=(TRIM(G$4)))*(GJ[Account Code]=(TRIM($B12)))*(GJ[Date]&lt;=$E$7),GJ[Debit]))))</f>
        <v>0</v>
      </c>
      <c r="F12" s="245">
        <f t="array" ref="F12">((SUM(IF((CkDJ[Date]=$A$3)*(CkDJ[Sort Code]=(TRIM(G$4)))*(CkDJ[Account Code]=(TRIM($B12))),CkDJ[Credit])))+(SUM(IF((CsDJ[Date]=$A$3)*(CsDJ[Sort Code]=(TRIM(G$4)))*(CsDJ[Account Code]=(TRIM($B12))),CsDJ[Credit])))+(SUM(IF((CRDJ[Date]=$A$3)*(CRDJ[Sort Code]=(TRIM(G$4)))*(CRDJ[Account Code]=(TRIM($B12))),CRDJ[Credit])))+(SUM(IF((GJ[Date]=$A$3)*(GJ[Sort Code]=(TRIM(G$4)))*(GJ[Account Code]=(TRIM($B12))),GJ[Credit]))))-((SUM(IF((CkDJ[Date]=$A$3)*(CkDJ[Sort Code]=(TRIM(G$4)))*(CkDJ[Account Code]=(TRIM($B12))),CkDJ[Debit])))+(SUM(IF((CsDJ[Date]=$A$3)*(CsDJ[Sort Code]=(TRIM(G$4)))*(CsDJ[Account Code]=(TRIM($B12))),CsDJ[Debit])))+(SUM(IF((CRDJ[Date]=$A$3)*(CRDJ[Sort Code]=(TRIM(G$4)))*(CRDJ[Account Code]=(TRIM($B12))),CRDJ[Debit])))+(SUM(IF((GJ[Date]=$A$3)*(GJ[Sort Code]=(TRIM(G$4)))*(GJ[Account Code]=(TRIM($B12))),GJ[Debit]))))</f>
        <v>0</v>
      </c>
      <c r="G12" s="343">
        <f>E12+F12</f>
        <v>0</v>
      </c>
      <c r="H12" s="246">
        <f t="shared" si="0"/>
        <v>0</v>
      </c>
      <c r="I12" s="242">
        <f t="shared" si="1"/>
        <v>0</v>
      </c>
    </row>
    <row r="13" spans="1:9">
      <c r="A13" s="247" t="s">
        <v>828</v>
      </c>
      <c r="B13" s="337" t="s">
        <v>721</v>
      </c>
      <c r="C13" s="245">
        <f t="array" ref="C13">SUM(IF((Budget[Account Code]=B13)*(Budget[Sort Code]=$G$4),(Budget[Amount])))</f>
        <v>0</v>
      </c>
      <c r="D13" s="245">
        <f t="array" ref="D13">SUM(IF((Budget[Account Code]=B13)*(Budget[Sort Code]=$G$4)*(Budget[Date]&lt;=$D$7),(Budget[Amount])))</f>
        <v>0</v>
      </c>
      <c r="E13" s="245">
        <f t="array" ref="E13">((SUM(IF((CkDJ[Sort Code]=(TRIM(G$4)))*(CkDJ[Account Code]=(TRIM($B13)))*(CkDJ[Date]&lt;=$E$7),CkDJ[Credit])))+(SUM(IF((CsDJ[Sort Code]=(TRIM(G$4)))*(CsDJ[Account Code]=(TRIM($B13)))*(CsDJ[Date]&lt;=$E$7),CsDJ[Credit])))+(SUM(IF((CRDJ[Sort Code]=(TRIM(G$4)))*(CRDJ[Account Code]=(TRIM($B13)))*(CRDJ[Date]&lt;=$E$7),CRDJ[Credit])))+(SUM(IF((GJ[Sort Code]=(TRIM(G$4)))*(GJ[Account Code]=(TRIM($B13)))*(GJ[Date]&lt;=$E$7),GJ[Credit]))))-((SUM(IF((CkDJ[Sort Code]=(TRIM(G$4)))*(CkDJ[Account Code]=(TRIM($B13)))*(CkDJ[Date]&lt;=$E$7),CkDJ[Debit])))+(SUM(IF((CsDJ[Sort Code]=(TRIM(G$4)))*(CsDJ[Account Code]=(TRIM($B13)))*(CsDJ[Date]&lt;=$E$7),CsDJ[Debit])))+(SUM(IF((CRDJ[Sort Code]=(TRIM(G$4)))*(CRDJ[Account Code]=(TRIM($B13)))*(CRDJ[Date]&lt;=$E$7),CRDJ[Debit])))+(SUM(IF((GJ[Sort Code]=(TRIM(G$4)))*(GJ[Account Code]=(TRIM($B13)))*(GJ[Date]&lt;=$E$7),GJ[Debit]))))</f>
        <v>0</v>
      </c>
      <c r="F13" s="245">
        <f t="array" ref="F13">((SUM(IF((CkDJ[Date]=$A$3)*(CkDJ[Sort Code]=(TRIM(G$4)))*(CkDJ[Account Code]=(TRIM($B13))),CkDJ[Credit])))+(SUM(IF((CsDJ[Date]=$A$3)*(CsDJ[Sort Code]=(TRIM(G$4)))*(CsDJ[Account Code]=(TRIM($B13))),CsDJ[Credit])))+(SUM(IF((CRDJ[Date]=$A$3)*(CRDJ[Sort Code]=(TRIM(G$4)))*(CRDJ[Account Code]=(TRIM($B13))),CRDJ[Credit])))+(SUM(IF((GJ[Date]=$A$3)*(GJ[Sort Code]=(TRIM(G$4)))*(GJ[Account Code]=(TRIM($B13))),GJ[Credit]))))-((SUM(IF((CkDJ[Date]=$A$3)*(CkDJ[Sort Code]=(TRIM(G$4)))*(CkDJ[Account Code]=(TRIM($B13))),CkDJ[Debit])))+(SUM(IF((CsDJ[Date]=$A$3)*(CsDJ[Sort Code]=(TRIM(G$4)))*(CsDJ[Account Code]=(TRIM($B13))),CsDJ[Debit])))+(SUM(IF((CRDJ[Date]=$A$3)*(CRDJ[Sort Code]=(TRIM(G$4)))*(CRDJ[Account Code]=(TRIM($B13))),CRDJ[Debit])))+(SUM(IF((GJ[Date]=$A$3)*(GJ[Sort Code]=(TRIM(G$4)))*(GJ[Account Code]=(TRIM($B13))),GJ[Debit]))))</f>
        <v>0</v>
      </c>
      <c r="G13" s="343">
        <f>E13+F13</f>
        <v>0</v>
      </c>
      <c r="H13" s="246">
        <f t="shared" si="0"/>
        <v>0</v>
      </c>
      <c r="I13" s="242">
        <f t="shared" si="1"/>
        <v>0</v>
      </c>
    </row>
    <row r="14" spans="1:9">
      <c r="A14" s="247" t="s">
        <v>827</v>
      </c>
      <c r="B14" s="337" t="s">
        <v>143</v>
      </c>
      <c r="C14" s="245">
        <f t="array" ref="C14">SUM(IF((Budget[Account Code]=B14)*(Budget[Sort Code]=$G$4),(Budget[Amount])))</f>
        <v>0</v>
      </c>
      <c r="D14" s="245">
        <f t="array" ref="D14">SUM(IF((Budget[Account Code]=B14)*(Budget[Sort Code]=$G$4)*(Budget[Date]&lt;=$D$7),(Budget[Amount])))</f>
        <v>0</v>
      </c>
      <c r="E14" s="245">
        <f t="array" ref="E14">((SUM(IF((CkDJ[Sort Code]=(TRIM(G$4)))*(CkDJ[Account Code]=(TRIM($B14)))*(CkDJ[Date]&lt;=$E$7),CkDJ[Credit])))+(SUM(IF((CsDJ[Sort Code]=(TRIM(G$4)))*(CsDJ[Account Code]=(TRIM($B14)))*(CsDJ[Date]&lt;=$E$7),CsDJ[Credit])))+(SUM(IF((CRDJ[Sort Code]=(TRIM(G$4)))*(CRDJ[Account Code]=(TRIM($B14)))*(CRDJ[Date]&lt;=$E$7),CRDJ[Credit])))+(SUM(IF((GJ[Sort Code]=(TRIM(G$4)))*(GJ[Account Code]=(TRIM($B14)))*(GJ[Date]&lt;=$E$7),GJ[Credit]))))-((SUM(IF((CkDJ[Sort Code]=(TRIM(G$4)))*(CkDJ[Account Code]=(TRIM($B14)))*(CkDJ[Date]&lt;=$E$7),CkDJ[Debit])))+(SUM(IF((CsDJ[Sort Code]=(TRIM(G$4)))*(CsDJ[Account Code]=(TRIM($B14)))*(CsDJ[Date]&lt;=$E$7),CsDJ[Debit])))+(SUM(IF((CRDJ[Sort Code]=(TRIM(G$4)))*(CRDJ[Account Code]=(TRIM($B14)))*(CRDJ[Date]&lt;=$E$7),CRDJ[Debit])))+(SUM(IF((GJ[Sort Code]=(TRIM(G$4)))*(GJ[Account Code]=(TRIM($B14)))*(GJ[Date]&lt;=$E$7),GJ[Debit]))))</f>
        <v>0</v>
      </c>
      <c r="F14" s="245">
        <f t="array" ref="F14">((SUM(IF((CkDJ[Date]=$A$3)*(CkDJ[Sort Code]=(TRIM(G$4)))*(CkDJ[Account Code]=(TRIM($B14))),CkDJ[Credit])))+(SUM(IF((CsDJ[Date]=$A$3)*(CsDJ[Sort Code]=(TRIM(G$4)))*(CsDJ[Account Code]=(TRIM($B14))),CsDJ[Credit])))+(SUM(IF((CRDJ[Date]=$A$3)*(CRDJ[Sort Code]=(TRIM(G$4)))*(CRDJ[Account Code]=(TRIM($B14))),CRDJ[Credit])))+(SUM(IF((GJ[Date]=$A$3)*(GJ[Sort Code]=(TRIM(G$4)))*(GJ[Account Code]=(TRIM($B14))),GJ[Credit]))))-((SUM(IF((CkDJ[Date]=$A$3)*(CkDJ[Sort Code]=(TRIM(G$4)))*(CkDJ[Account Code]=(TRIM($B14))),CkDJ[Debit])))+(SUM(IF((CsDJ[Date]=$A$3)*(CsDJ[Sort Code]=(TRIM(G$4)))*(CsDJ[Account Code]=(TRIM($B14))),CsDJ[Debit])))+(SUM(IF((CRDJ[Date]=$A$3)*(CRDJ[Sort Code]=(TRIM(G$4)))*(CRDJ[Account Code]=(TRIM($B14))),CRDJ[Debit])))+(SUM(IF((GJ[Date]=$A$3)*(GJ[Sort Code]=(TRIM(G$4)))*(GJ[Account Code]=(TRIM($B14))),GJ[Debit]))))</f>
        <v>0</v>
      </c>
      <c r="G14" s="343">
        <f>E14+F14</f>
        <v>0</v>
      </c>
      <c r="H14" s="246">
        <f t="shared" si="0"/>
        <v>0</v>
      </c>
      <c r="I14" s="242">
        <f t="shared" si="1"/>
        <v>0</v>
      </c>
    </row>
    <row r="15" spans="1:9">
      <c r="A15" s="241" t="s">
        <v>826</v>
      </c>
      <c r="B15" s="337"/>
      <c r="C15" s="248">
        <f>SUM(C16:C18)</f>
        <v>500000</v>
      </c>
      <c r="D15" s="248">
        <f>SUM(D16:D18)</f>
        <v>500000</v>
      </c>
      <c r="E15" s="248">
        <f>SUM(E16:E18)</f>
        <v>0</v>
      </c>
      <c r="F15" s="248">
        <f>SUM(F16:F18)</f>
        <v>0</v>
      </c>
      <c r="G15" s="248">
        <f>SUM(G16:G18)</f>
        <v>0</v>
      </c>
      <c r="H15" s="242">
        <f t="shared" si="0"/>
        <v>-500000</v>
      </c>
      <c r="I15" s="242">
        <f t="shared" si="1"/>
        <v>0</v>
      </c>
    </row>
    <row r="16" spans="1:9" hidden="1">
      <c r="A16" s="243" t="s">
        <v>182</v>
      </c>
      <c r="B16" s="337" t="s">
        <v>146</v>
      </c>
      <c r="C16" s="245">
        <f t="array" ref="C16">SUM(IF((Budget[Account Code]=B16)*(Budget[Sort Code]=$G$4),(Budget[Amount])))</f>
        <v>0</v>
      </c>
      <c r="D16" s="245">
        <f t="array" ref="D16">SUM(IF((Budget[Account Code]=B16)*(Budget[Sort Code]=$G$4)*(Budget[Date]&lt;=$D$7),(Budget[Amount])))</f>
        <v>0</v>
      </c>
      <c r="E16" s="245">
        <f t="array" ref="E16">((SUM(IF((CkDJ[Sort Code]=(TRIM(G$4)))*(CkDJ[Account Code]=(TRIM($B16)))*(CkDJ[Date]&lt;=$E$7),CkDJ[Credit])))+(SUM(IF((CsDJ[Sort Code]=(TRIM(G$4)))*(CsDJ[Account Code]=(TRIM($B16)))*(CsDJ[Date]&lt;=$E$7),CsDJ[Credit])))+(SUM(IF((CRDJ[Sort Code]=(TRIM(G$4)))*(CRDJ[Account Code]=(TRIM($B16)))*(CRDJ[Date]&lt;=$E$7),CRDJ[Credit])))+(SUM(IF((GJ[Sort Code]=(TRIM(G$4)))*(GJ[Account Code]=(TRIM($B16)))*(GJ[Date]&lt;=$E$7),GJ[Credit]))))-((SUM(IF((CkDJ[Sort Code]=(TRIM(G$4)))*(CkDJ[Account Code]=(TRIM($B16)))*(CkDJ[Date]&lt;=$E$7),CkDJ[Debit])))+(SUM(IF((CsDJ[Sort Code]=(TRIM(G$4)))*(CsDJ[Account Code]=(TRIM($B16)))*(CsDJ[Date]&lt;=$E$7),CsDJ[Debit])))+(SUM(IF((CRDJ[Sort Code]=(TRIM(G$4)))*(CRDJ[Account Code]=(TRIM($B16)))*(CRDJ[Date]&lt;=$E$7),CRDJ[Debit])))+(SUM(IF((GJ[Sort Code]=(TRIM(G$4)))*(GJ[Account Code]=(TRIM($B16)))*(GJ[Date]&lt;=$E$7),GJ[Debit]))))</f>
        <v>0</v>
      </c>
      <c r="F16" s="245">
        <f t="array" ref="F16">((SUM(IF((CkDJ[Date]=$A$3)*(CkDJ[Sort Code]=(TRIM(G$4)))*(CkDJ[Account Code]=(TRIM($B16))),CkDJ[Credit])))+(SUM(IF((CsDJ[Date]=$A$3)*(CsDJ[Sort Code]=(TRIM(G$4)))*(CsDJ[Account Code]=(TRIM($B16))),CsDJ[Credit])))+(SUM(IF((CRDJ[Date]=$A$3)*(CRDJ[Sort Code]=(TRIM(G$4)))*(CRDJ[Account Code]=(TRIM($B16))),CRDJ[Credit])))+(SUM(IF((GJ[Date]=$A$3)*(GJ[Sort Code]=(TRIM(G$4)))*(GJ[Account Code]=(TRIM($B16))),GJ[Credit]))))-((SUM(IF((CkDJ[Date]=$A$3)*(CkDJ[Sort Code]=(TRIM(G$4)))*(CkDJ[Account Code]=(TRIM($B16))),CkDJ[Debit])))+(SUM(IF((CsDJ[Date]=$A$3)*(CsDJ[Sort Code]=(TRIM(G$4)))*(CsDJ[Account Code]=(TRIM($B16))),CsDJ[Debit])))+(SUM(IF((CRDJ[Date]=$A$3)*(CRDJ[Sort Code]=(TRIM(G$4)))*(CRDJ[Account Code]=(TRIM($B16))),CRDJ[Debit])))+(SUM(IF((GJ[Date]=$A$3)*(GJ[Sort Code]=(TRIM(G$4)))*(GJ[Account Code]=(TRIM($B16))),GJ[Debit]))))</f>
        <v>0</v>
      </c>
      <c r="G16" s="343">
        <f>E16+F16</f>
        <v>0</v>
      </c>
      <c r="H16" s="246">
        <f t="shared" si="0"/>
        <v>0</v>
      </c>
      <c r="I16" s="242">
        <f t="shared" si="1"/>
        <v>0</v>
      </c>
    </row>
    <row r="17" spans="1:9" hidden="1">
      <c r="A17" s="243" t="s">
        <v>183</v>
      </c>
      <c r="B17" s="337" t="s">
        <v>147</v>
      </c>
      <c r="C17" s="245">
        <f t="array" ref="C17">SUM(IF((Budget[Account Code]=B17)*(Budget[Sort Code]=$G$4),(Budget[Amount])))</f>
        <v>500000</v>
      </c>
      <c r="D17" s="245">
        <f t="array" ref="D17">SUM(IF((Budget[Account Code]=B17)*(Budget[Sort Code]=$G$4)*(Budget[Date]&lt;=$D$7),(Budget[Amount])))</f>
        <v>500000</v>
      </c>
      <c r="E17" s="245">
        <f t="array" ref="E17">((SUM(IF((CkDJ[Sort Code]=(TRIM(G$4)))*(CkDJ[Account Code]=(TRIM($B17)))*(CkDJ[Date]&lt;=$E$7),CkDJ[Credit])))+(SUM(IF((CsDJ[Sort Code]=(TRIM(G$4)))*(CsDJ[Account Code]=(TRIM($B17)))*(CsDJ[Date]&lt;=$E$7),CsDJ[Credit])))+(SUM(IF((CRDJ[Sort Code]=(TRIM(G$4)))*(CRDJ[Account Code]=(TRIM($B17)))*(CRDJ[Date]&lt;=$E$7),CRDJ[Credit])))+(SUM(IF((GJ[Sort Code]=(TRIM(G$4)))*(GJ[Account Code]=(TRIM($B17)))*(GJ[Date]&lt;=$E$7),GJ[Credit]))))-((SUM(IF((CkDJ[Sort Code]=(TRIM(G$4)))*(CkDJ[Account Code]=(TRIM($B17)))*(CkDJ[Date]&lt;=$E$7),CkDJ[Debit])))+(SUM(IF((CsDJ[Sort Code]=(TRIM(G$4)))*(CsDJ[Account Code]=(TRIM($B17)))*(CsDJ[Date]&lt;=$E$7),CsDJ[Debit])))+(SUM(IF((CRDJ[Sort Code]=(TRIM(G$4)))*(CRDJ[Account Code]=(TRIM($B17)))*(CRDJ[Date]&lt;=$E$7),CRDJ[Debit])))+(SUM(IF((GJ[Sort Code]=(TRIM(G$4)))*(GJ[Account Code]=(TRIM($B17)))*(GJ[Date]&lt;=$E$7),GJ[Debit]))))</f>
        <v>0</v>
      </c>
      <c r="F17" s="245">
        <f t="array" ref="F17">((SUM(IF((CkDJ[Date]=$A$3)*(CkDJ[Sort Code]=(TRIM(G$4)))*(CkDJ[Account Code]=(TRIM($B17))),CkDJ[Credit])))+(SUM(IF((CsDJ[Date]=$A$3)*(CsDJ[Sort Code]=(TRIM(G$4)))*(CsDJ[Account Code]=(TRIM($B17))),CsDJ[Credit])))+(SUM(IF((CRDJ[Date]=$A$3)*(CRDJ[Sort Code]=(TRIM(G$4)))*(CRDJ[Account Code]=(TRIM($B17))),CRDJ[Credit])))+(SUM(IF((GJ[Date]=$A$3)*(GJ[Sort Code]=(TRIM(G$4)))*(GJ[Account Code]=(TRIM($B17))),GJ[Credit]))))-((SUM(IF((CkDJ[Date]=$A$3)*(CkDJ[Sort Code]=(TRIM(G$4)))*(CkDJ[Account Code]=(TRIM($B17))),CkDJ[Debit])))+(SUM(IF((CsDJ[Date]=$A$3)*(CsDJ[Sort Code]=(TRIM(G$4)))*(CsDJ[Account Code]=(TRIM($B17))),CsDJ[Debit])))+(SUM(IF((CRDJ[Date]=$A$3)*(CRDJ[Sort Code]=(TRIM(G$4)))*(CRDJ[Account Code]=(TRIM($B17))),CRDJ[Debit])))+(SUM(IF((GJ[Date]=$A$3)*(GJ[Sort Code]=(TRIM(G$4)))*(GJ[Account Code]=(TRIM($B17))),GJ[Debit]))))</f>
        <v>0</v>
      </c>
      <c r="G17" s="343">
        <f>E17+F17</f>
        <v>0</v>
      </c>
      <c r="H17" s="246">
        <f t="shared" si="0"/>
        <v>-500000</v>
      </c>
      <c r="I17" s="242">
        <f t="shared" si="1"/>
        <v>0</v>
      </c>
    </row>
    <row r="18" spans="1:9" hidden="1">
      <c r="A18" s="243" t="s">
        <v>184</v>
      </c>
      <c r="B18" s="337" t="s">
        <v>148</v>
      </c>
      <c r="C18" s="245">
        <f t="array" ref="C18">SUM(IF((Budget[Account Code]=B18)*(Budget[Sort Code]=$G$4),(Budget[Amount])))</f>
        <v>0</v>
      </c>
      <c r="D18" s="245">
        <f t="array" ref="D18">SUM(IF((Budget[Account Code]=B18)*(Budget[Sort Code]=$G$4)*(Budget[Date]&lt;=$D$7),(Budget[Amount])))</f>
        <v>0</v>
      </c>
      <c r="E18" s="245">
        <f t="array" ref="E18">((SUM(IF((CkDJ[Sort Code]=(TRIM(G$4)))*(CkDJ[Account Code]=(TRIM($B18)))*(CkDJ[Date]&lt;=$E$7),CkDJ[Credit])))+(SUM(IF((CsDJ[Sort Code]=(TRIM(G$4)))*(CsDJ[Account Code]=(TRIM($B18)))*(CsDJ[Date]&lt;=$E$7),CsDJ[Credit])))+(SUM(IF((CRDJ[Sort Code]=(TRIM(G$4)))*(CRDJ[Account Code]=(TRIM($B18)))*(CRDJ[Date]&lt;=$E$7),CRDJ[Credit])))+(SUM(IF((GJ[Sort Code]=(TRIM(G$4)))*(GJ[Account Code]=(TRIM($B18)))*(GJ[Date]&lt;=$E$7),GJ[Credit]))))-((SUM(IF((CkDJ[Sort Code]=(TRIM(G$4)))*(CkDJ[Account Code]=(TRIM($B18)))*(CkDJ[Date]&lt;=$E$7),CkDJ[Debit])))+(SUM(IF((CsDJ[Sort Code]=(TRIM(G$4)))*(CsDJ[Account Code]=(TRIM($B18)))*(CsDJ[Date]&lt;=$E$7),CsDJ[Debit])))+(SUM(IF((CRDJ[Sort Code]=(TRIM(G$4)))*(CRDJ[Account Code]=(TRIM($B18)))*(CRDJ[Date]&lt;=$E$7),CRDJ[Debit])))+(SUM(IF((GJ[Sort Code]=(TRIM(G$4)))*(GJ[Account Code]=(TRIM($B18)))*(GJ[Date]&lt;=$E$7),GJ[Debit]))))</f>
        <v>0</v>
      </c>
      <c r="F18" s="245">
        <f t="array" ref="F18">((SUM(IF((CkDJ[Date]=$A$3)*(CkDJ[Sort Code]=(TRIM(G$4)))*(CkDJ[Account Code]=(TRIM($B18))),CkDJ[Credit])))+(SUM(IF((CsDJ[Date]=$A$3)*(CsDJ[Sort Code]=(TRIM(G$4)))*(CsDJ[Account Code]=(TRIM($B18))),CsDJ[Credit])))+(SUM(IF((CRDJ[Date]=$A$3)*(CRDJ[Sort Code]=(TRIM(G$4)))*(CRDJ[Account Code]=(TRIM($B18))),CRDJ[Credit])))+(SUM(IF((GJ[Date]=$A$3)*(GJ[Sort Code]=(TRIM(G$4)))*(GJ[Account Code]=(TRIM($B18))),GJ[Credit]))))-((SUM(IF((CkDJ[Date]=$A$3)*(CkDJ[Sort Code]=(TRIM(G$4)))*(CkDJ[Account Code]=(TRIM($B18))),CkDJ[Debit])))+(SUM(IF((CsDJ[Date]=$A$3)*(CsDJ[Sort Code]=(TRIM(G$4)))*(CsDJ[Account Code]=(TRIM($B18))),CsDJ[Debit])))+(SUM(IF((CRDJ[Date]=$A$3)*(CRDJ[Sort Code]=(TRIM(G$4)))*(CRDJ[Account Code]=(TRIM($B18))),CRDJ[Debit])))+(SUM(IF((GJ[Date]=$A$3)*(GJ[Sort Code]=(TRIM(G$4)))*(GJ[Account Code]=(TRIM($B18))),GJ[Debit]))))</f>
        <v>0</v>
      </c>
      <c r="G18" s="343">
        <f>E18+F18</f>
        <v>0</v>
      </c>
      <c r="H18" s="246">
        <f t="shared" si="0"/>
        <v>0</v>
      </c>
      <c r="I18" s="242">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Code]=B20)*(Budget[Sort Code]=$G$4),(Budget[Amount])))</f>
        <v>0</v>
      </c>
      <c r="D20" s="245">
        <f t="array" ref="D20">SUM(IF((Budget[Account Code]=B20)*(Budget[Sort Code]=$G$4)*(Budget[Date]&lt;=$D$7),(Budget[Amount])))</f>
        <v>0</v>
      </c>
      <c r="E20" s="245">
        <f t="array" ref="E20">((SUM(IF((CkDJ[Sort Code]=(TRIM(G$4)))*(CkDJ[Account Code]=(TRIM($B20)))*(CkDJ[Date]&lt;=$E$7),CkDJ[Credit])))+(SUM(IF((CsDJ[Sort Code]=(TRIM(G$4)))*(CsDJ[Account Code]=(TRIM($B20)))*(CsDJ[Date]&lt;=$E$7),CsDJ[Credit])))+(SUM(IF((CRDJ[Sort Code]=(TRIM(G$4)))*(CRDJ[Account Code]=(TRIM($B20)))*(CRDJ[Date]&lt;=$E$7),CRDJ[Credit])))+(SUM(IF((GJ[Sort Code]=(TRIM(G$4)))*(GJ[Account Code]=(TRIM($B20)))*(GJ[Date]&lt;=$E$7),GJ[Credit]))))-((SUM(IF((CkDJ[Sort Code]=(TRIM(G$4)))*(CkDJ[Account Code]=(TRIM($B20)))*(CkDJ[Date]&lt;=$E$7),CkDJ[Debit])))+(SUM(IF((CsDJ[Sort Code]=(TRIM(G$4)))*(CsDJ[Account Code]=(TRIM($B20)))*(CsDJ[Date]&lt;=$E$7),CsDJ[Debit])))+(SUM(IF((CRDJ[Sort Code]=(TRIM(G$4)))*(CRDJ[Account Code]=(TRIM($B20)))*(CRDJ[Date]&lt;=$E$7),CRDJ[Debit])))+(SUM(IF((GJ[Sort Code]=(TRIM(G$4)))*(GJ[Account Code]=(TRIM($B20)))*(GJ[Date]&lt;=$E$7),GJ[Debit]))))</f>
        <v>0</v>
      </c>
      <c r="F20" s="245">
        <f t="array" ref="F20">((SUM(IF((CkDJ[Date]=$A$3)*(CkDJ[Sort Code]=(TRIM(G$4)))*(CkDJ[Account Code]=(TRIM($B20))),CkDJ[Credit])))+(SUM(IF((CsDJ[Date]=$A$3)*(CsDJ[Sort Code]=(TRIM(G$4)))*(CsDJ[Account Code]=(TRIM($B20))),CsDJ[Credit])))+(SUM(IF((CRDJ[Date]=$A$3)*(CRDJ[Sort Code]=(TRIM(G$4)))*(CRDJ[Account Code]=(TRIM($B20))),CRDJ[Credit])))+(SUM(IF((GJ[Date]=$A$3)*(GJ[Sort Code]=(TRIM(G$4)))*(GJ[Account Code]=(TRIM($B20))),GJ[Credit]))))-((SUM(IF((CkDJ[Date]=$A$3)*(CkDJ[Sort Code]=(TRIM(G$4)))*(CkDJ[Account Code]=(TRIM($B20))),CkDJ[Debit])))+(SUM(IF((CsDJ[Date]=$A$3)*(CsDJ[Sort Code]=(TRIM(G$4)))*(CsDJ[Account Code]=(TRIM($B20))),CsDJ[Debit])))+(SUM(IF((CRDJ[Date]=$A$3)*(CRDJ[Sort Code]=(TRIM(G$4)))*(CRDJ[Account Code]=(TRIM($B20))),CRDJ[Debit])))+(SUM(IF((GJ[Date]=$A$3)*(GJ[Sort Code]=(TRIM(G$4)))*(GJ[Account Code]=(TRIM($B20))),GJ[Debit]))))</f>
        <v>0</v>
      </c>
      <c r="G20" s="343">
        <f>E20+F20</f>
        <v>0</v>
      </c>
      <c r="H20" s="246">
        <f t="shared" si="0"/>
        <v>0</v>
      </c>
      <c r="I20" s="242">
        <f t="shared" si="1"/>
        <v>0</v>
      </c>
    </row>
    <row r="21" spans="1:9">
      <c r="A21" s="243" t="s">
        <v>820</v>
      </c>
      <c r="B21" s="337"/>
      <c r="C21" s="245">
        <f>SUM(C22:C23)</f>
        <v>0</v>
      </c>
      <c r="D21" s="245">
        <f>SUM(D22:D23)</f>
        <v>0</v>
      </c>
      <c r="E21" s="245">
        <f>SUM(E22:E23)</f>
        <v>0</v>
      </c>
      <c r="F21" s="245">
        <f>SUM(F22:F23)</f>
        <v>0</v>
      </c>
      <c r="G21" s="245">
        <f>SUM(G22:G23)</f>
        <v>0</v>
      </c>
      <c r="H21" s="246">
        <f t="shared" si="0"/>
        <v>0</v>
      </c>
      <c r="I21" s="242">
        <f t="shared" si="1"/>
        <v>0</v>
      </c>
    </row>
    <row r="22" spans="1:9" hidden="1">
      <c r="A22" s="247" t="s">
        <v>819</v>
      </c>
      <c r="B22" s="337" t="s">
        <v>140</v>
      </c>
      <c r="C22" s="245">
        <f t="array" ref="C22">SUM(IF((Budget[Account Code]=B22)*(Budget[Sort Code]=$G$4),(Budget[Amount])))</f>
        <v>0</v>
      </c>
      <c r="D22" s="245">
        <f t="array" ref="D22">SUM(IF((Budget[Account Code]=B22)*(Budget[Sort Code]=$G$4)*(Budget[Date]&lt;=$D$7),(Budget[Amount])))</f>
        <v>0</v>
      </c>
      <c r="E22" s="245">
        <f t="array" ref="E22">((SUM(IF((CkDJ[Sort Code]=(TRIM(G$4)))*(CkDJ[Account Code]=(TRIM($B22)))*(CkDJ[Date]&lt;=$E$7),CkDJ[Credit])))+(SUM(IF((CsDJ[Sort Code]=(TRIM(G$4)))*(CsDJ[Account Code]=(TRIM($B22)))*(CsDJ[Date]&lt;=$E$7),CsDJ[Credit])))+(SUM(IF((CRDJ[Sort Code]=(TRIM(G$4)))*(CRDJ[Account Code]=(TRIM($B22)))*(CRDJ[Date]&lt;=$E$7),CRDJ[Credit])))+(SUM(IF((GJ[Sort Code]=(TRIM(G$4)))*(GJ[Account Code]=(TRIM($B22)))*(GJ[Date]&lt;=$E$7),GJ[Credit]))))-((SUM(IF((CkDJ[Sort Code]=(TRIM(G$4)))*(CkDJ[Account Code]=(TRIM($B22)))*(CkDJ[Date]&lt;=$E$7),CkDJ[Debit])))+(SUM(IF((CsDJ[Sort Code]=(TRIM(G$4)))*(CsDJ[Account Code]=(TRIM($B22)))*(CsDJ[Date]&lt;=$E$7),CsDJ[Debit])))+(SUM(IF((CRDJ[Sort Code]=(TRIM(G$4)))*(CRDJ[Account Code]=(TRIM($B22)))*(CRDJ[Date]&lt;=$E$7),CRDJ[Debit])))+(SUM(IF((GJ[Sort Code]=(TRIM(G$4)))*(GJ[Account Code]=(TRIM($B22)))*(GJ[Date]&lt;=$E$7),GJ[Debit]))))</f>
        <v>0</v>
      </c>
      <c r="F22" s="245">
        <f t="array" ref="F22">((SUM(IF((CkDJ[Date]=$A$3)*(CkDJ[Sort Code]=(TRIM(G$4)))*(CkDJ[Account Code]=(TRIM($B22))),CkDJ[Credit])))+(SUM(IF((CsDJ[Date]=$A$3)*(CsDJ[Sort Code]=(TRIM(G$4)))*(CsDJ[Account Code]=(TRIM($B22))),CsDJ[Credit])))+(SUM(IF((CRDJ[Date]=$A$3)*(CRDJ[Sort Code]=(TRIM(G$4)))*(CRDJ[Account Code]=(TRIM($B22))),CRDJ[Credit])))+(SUM(IF((GJ[Date]=$A$3)*(GJ[Sort Code]=(TRIM(G$4)))*(GJ[Account Code]=(TRIM($B22))),GJ[Credit]))))-((SUM(IF((CkDJ[Date]=$A$3)*(CkDJ[Sort Code]=(TRIM(G$4)))*(CkDJ[Account Code]=(TRIM($B22))),CkDJ[Debit])))+(SUM(IF((CsDJ[Date]=$A$3)*(CsDJ[Sort Code]=(TRIM(G$4)))*(CsDJ[Account Code]=(TRIM($B22))),CsDJ[Debit])))+(SUM(IF((CRDJ[Date]=$A$3)*(CRDJ[Sort Code]=(TRIM(G$4)))*(CRDJ[Account Code]=(TRIM($B22))),CRDJ[Debit])))+(SUM(IF((GJ[Date]=$A$3)*(GJ[Sort Code]=(TRIM(G$4)))*(GJ[Account Code]=(TRIM($B22))),GJ[Debit]))))</f>
        <v>0</v>
      </c>
      <c r="G22" s="343">
        <f>E22+F22</f>
        <v>0</v>
      </c>
      <c r="H22" s="246">
        <f t="shared" si="0"/>
        <v>0</v>
      </c>
      <c r="I22" s="242">
        <f t="shared" si="1"/>
        <v>0</v>
      </c>
    </row>
    <row r="23" spans="1:9" hidden="1">
      <c r="A23" s="247" t="s">
        <v>818</v>
      </c>
      <c r="B23" s="337" t="s">
        <v>144</v>
      </c>
      <c r="C23" s="245">
        <f t="array" ref="C23">SUM(IF((Budget[Account Code]=B23)*(Budget[Sort Code]=$G$4),(Budget[Amount])))</f>
        <v>0</v>
      </c>
      <c r="D23" s="245">
        <f t="array" ref="D23">SUM(IF((Budget[Account Code]=B23)*(Budget[Sort Code]=$G$4)*(Budget[Date]&lt;=$D$7),(Budget[Amount])))</f>
        <v>0</v>
      </c>
      <c r="E23" s="245">
        <f t="array" ref="E23">((SUM(IF((CkDJ[Sort Code]=(TRIM(G$4)))*(CkDJ[Account Code]=(TRIM($B23)))*(CkDJ[Date]&lt;=$E$7),CkDJ[Credit])))+(SUM(IF((CsDJ[Sort Code]=(TRIM(G$4)))*(CsDJ[Account Code]=(TRIM($B23)))*(CsDJ[Date]&lt;=$E$7),CsDJ[Credit])))+(SUM(IF((CRDJ[Sort Code]=(TRIM(G$4)))*(CRDJ[Account Code]=(TRIM($B23)))*(CRDJ[Date]&lt;=$E$7),CRDJ[Credit])))+(SUM(IF((GJ[Sort Code]=(TRIM(G$4)))*(GJ[Account Code]=(TRIM($B23)))*(GJ[Date]&lt;=$E$7),GJ[Credit]))))-((SUM(IF((CkDJ[Sort Code]=(TRIM(G$4)))*(CkDJ[Account Code]=(TRIM($B23)))*(CkDJ[Date]&lt;=$E$7),CkDJ[Debit])))+(SUM(IF((CsDJ[Sort Code]=(TRIM(G$4)))*(CsDJ[Account Code]=(TRIM($B23)))*(CsDJ[Date]&lt;=$E$7),CsDJ[Debit])))+(SUM(IF((CRDJ[Sort Code]=(TRIM(G$4)))*(CRDJ[Account Code]=(TRIM($B23)))*(CRDJ[Date]&lt;=$E$7),CRDJ[Debit])))+(SUM(IF((GJ[Sort Code]=(TRIM(G$4)))*(GJ[Account Code]=(TRIM($B23)))*(GJ[Date]&lt;=$E$7),GJ[Debit]))))</f>
        <v>0</v>
      </c>
      <c r="F23" s="245">
        <f t="array" ref="F23">((SUM(IF((CkDJ[Date]=$A$3)*(CkDJ[Sort Code]=(TRIM(G$4)))*(CkDJ[Account Code]=(TRIM($B23))),CkDJ[Credit])))+(SUM(IF((CsDJ[Date]=$A$3)*(CsDJ[Sort Code]=(TRIM(G$4)))*(CsDJ[Account Code]=(TRIM($B23))),CsDJ[Credit])))+(SUM(IF((CRDJ[Date]=$A$3)*(CRDJ[Sort Code]=(TRIM(G$4)))*(CRDJ[Account Code]=(TRIM($B23))),CRDJ[Credit])))+(SUM(IF((GJ[Date]=$A$3)*(GJ[Sort Code]=(TRIM(G$4)))*(GJ[Account Code]=(TRIM($B23))),GJ[Credit]))))-((SUM(IF((CkDJ[Date]=$A$3)*(CkDJ[Sort Code]=(TRIM(G$4)))*(CkDJ[Account Code]=(TRIM($B23))),CkDJ[Debit])))+(SUM(IF((CsDJ[Date]=$A$3)*(CsDJ[Sort Code]=(TRIM(G$4)))*(CsDJ[Account Code]=(TRIM($B23))),CsDJ[Debit])))+(SUM(IF((CRDJ[Date]=$A$3)*(CRDJ[Sort Code]=(TRIM(G$4)))*(CRDJ[Account Code]=(TRIM($B23))),CRDJ[Debit])))+(SUM(IF((GJ[Date]=$A$3)*(GJ[Sort Code]=(TRIM(G$4)))*(GJ[Account Code]=(TRIM($B23))),GJ[Debit]))))</f>
        <v>0</v>
      </c>
      <c r="G23" s="343">
        <f>E23+F23</f>
        <v>0</v>
      </c>
      <c r="H23" s="246">
        <f t="shared" si="0"/>
        <v>0</v>
      </c>
      <c r="I23" s="242">
        <f t="shared" si="1"/>
        <v>0</v>
      </c>
    </row>
    <row r="24" spans="1:9">
      <c r="A24" s="249" t="s">
        <v>814</v>
      </c>
      <c r="B24" s="338"/>
      <c r="C24" s="250">
        <f>C9+C15+C19</f>
        <v>500000</v>
      </c>
      <c r="D24" s="250">
        <f>D9+D15+D19</f>
        <v>500000</v>
      </c>
      <c r="E24" s="250">
        <f>E9+E15+E19</f>
        <v>0</v>
      </c>
      <c r="F24" s="250">
        <f>F9+F15+F19</f>
        <v>0</v>
      </c>
      <c r="G24" s="250">
        <f>G9+G15+G19</f>
        <v>0</v>
      </c>
      <c r="H24" s="250">
        <f t="shared" si="0"/>
        <v>-500000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Code]=B26)*(Budget[Sort Code]=$G$4),(Budget[Amount])))</f>
        <v>0</v>
      </c>
      <c r="D26" s="245">
        <f t="array" ref="D26">SUM(IF((Budget[Account Code]=B26)*(Budget[Sort Code]=$G$4)*(Budget[Date]&lt;=$D$7),(Budget[Amount])))</f>
        <v>0</v>
      </c>
      <c r="E26" s="245">
        <f t="array" ref="E26">((SUM(IF((CkDJ[Sort Code]=(TRIM(G$4)))*(CkDJ[Account Code]=(TRIM($B26)))*(CkDJ[Date]&lt;=$E$7),CkDJ[Credit])))+(SUM(IF((CsDJ[Sort Code]=(TRIM(G$4)))*(CsDJ[Account Code]=(TRIM($B26)))*(CsDJ[Date]&lt;=$E$7),CsDJ[Credit])))+(SUM(IF((CRDJ[Sort Code]=(TRIM(G$4)))*(CRDJ[Account Code]=(TRIM($B26)))*(CRDJ[Date]&lt;=$E$7),CRDJ[Credit])))+(SUM(IF((GJ[Sort Code]=(TRIM(G$4)))*(GJ[Account Code]=(TRIM($B26)))*(GJ[Date]&lt;=$E$7),GJ[Credit]))))-((SUM(IF((CkDJ[Sort Code]=(TRIM(G$4)))*(CkDJ[Account Code]=(TRIM($B26)))*(CkDJ[Date]&lt;=$E$7),CkDJ[Debit])))+(SUM(IF((CsDJ[Sort Code]=(TRIM(G$4)))*(CsDJ[Account Code]=(TRIM($B26)))*(CsDJ[Date]&lt;=$E$7),CsDJ[Debit])))+(SUM(IF((CRDJ[Sort Code]=(TRIM(G$4)))*(CRDJ[Account Code]=(TRIM($B26)))*(CRDJ[Date]&lt;=$E$7),CRDJ[Debit])))+(SUM(IF((GJ[Sort Code]=(TRIM(G$4)))*(GJ[Account Code]=(TRIM($B26)))*(GJ[Date]&lt;=$E$7),GJ[Debit]))))</f>
        <v>0</v>
      </c>
      <c r="F26" s="245">
        <f t="array" ref="F26">((SUM(IF((CkDJ[Date]=$A$3)*(CkDJ[Sort Code]=(TRIM(G$4)))*(CkDJ[Account Code]=(TRIM($B26))),CkDJ[Credit])))+(SUM(IF((CsDJ[Date]=$A$3)*(CsDJ[Sort Code]=(TRIM(G$4)))*(CsDJ[Account Code]=(TRIM($B26))),CsDJ[Credit])))+(SUM(IF((CRDJ[Date]=$A$3)*(CRDJ[Sort Code]=(TRIM(G$4)))*(CRDJ[Account Code]=(TRIM($B26))),CRDJ[Credit])))+(SUM(IF((GJ[Date]=$A$3)*(GJ[Sort Code]=(TRIM(G$4)))*(GJ[Account Code]=(TRIM($B26))),GJ[Credit]))))-((SUM(IF((CkDJ[Date]=$A$3)*(CkDJ[Sort Code]=(TRIM(G$4)))*(CkDJ[Account Code]=(TRIM($B26))),CkDJ[Debit])))+(SUM(IF((CsDJ[Date]=$A$3)*(CsDJ[Sort Code]=(TRIM(G$4)))*(CsDJ[Account Code]=(TRIM($B26))),CsDJ[Debit])))+(SUM(IF((CRDJ[Date]=$A$3)*(CRDJ[Sort Code]=(TRIM(G$4)))*(CRDJ[Account Code]=(TRIM($B26))),CRDJ[Debit])))+(SUM(IF((GJ[Date]=$A$3)*(GJ[Sort Code]=(TRIM(G$4)))*(GJ[Account Code]=(TRIM($B26))),GJ[Debit]))))</f>
        <v>0</v>
      </c>
      <c r="G26" s="343">
        <f>E26+F26</f>
        <v>0</v>
      </c>
      <c r="H26" s="246">
        <f t="shared" ref="H26:H48" si="2">G26-D26</f>
        <v>0</v>
      </c>
      <c r="I26" s="246">
        <f t="shared" ref="I26:I4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Code]=B28)*(Budget[Sort Code]=$G$4),(Budget[Amount])))</f>
        <v>0</v>
      </c>
      <c r="D28" s="245">
        <f t="array" ref="D28">SUM(IF((Budget[Account Code]=B28)*(Budget[Sort Code]=$G$4)*(Budget[Date]&lt;=$D$7),(Budget[Amount])))</f>
        <v>0</v>
      </c>
      <c r="E28" s="245">
        <f t="array" ref="E28">((SUM(IF((CkDJ[Sort Code]=(TRIM(G$4)))*(CkDJ[Account Code]=(TRIM($B28)))*(CkDJ[Date]&lt;=$E$7),CkDJ[Credit])))+(SUM(IF((CsDJ[Sort Code]=(TRIM(G$4)))*(CsDJ[Account Code]=(TRIM($B28)))*(CsDJ[Date]&lt;=$E$7),CsDJ[Credit])))+(SUM(IF((CRDJ[Sort Code]=(TRIM(G$4)))*(CRDJ[Account Code]=(TRIM($B28)))*(CRDJ[Date]&lt;=$E$7),CRDJ[Credit])))+(SUM(IF((GJ[Sort Code]=(TRIM(G$4)))*(GJ[Account Code]=(TRIM($B28)))*(GJ[Date]&lt;=$E$7),GJ[Credit]))))-((SUM(IF((CkDJ[Sort Code]=(TRIM(G$4)))*(CkDJ[Account Code]=(TRIM($B28)))*(CkDJ[Date]&lt;=$E$7),CkDJ[Debit])))+(SUM(IF((CsDJ[Sort Code]=(TRIM(G$4)))*(CsDJ[Account Code]=(TRIM($B28)))*(CsDJ[Date]&lt;=$E$7),CsDJ[Debit])))+(SUM(IF((CRDJ[Sort Code]=(TRIM(G$4)))*(CRDJ[Account Code]=(TRIM($B28)))*(CRDJ[Date]&lt;=$E$7),CRDJ[Debit])))+(SUM(IF((GJ[Sort Code]=(TRIM(G$4)))*(GJ[Account Code]=(TRIM($B28)))*(GJ[Date]&lt;=$E$7),GJ[Debit]))))</f>
        <v>0</v>
      </c>
      <c r="F28" s="245">
        <f t="array" ref="F28">((SUM(IF((CkDJ[Date]=$A$3)*(CkDJ[Sort Code]=(TRIM(G$4)))*(CkDJ[Account Code]=(TRIM($B28))),CkDJ[Credit])))+(SUM(IF((CsDJ[Date]=$A$3)*(CsDJ[Sort Code]=(TRIM(G$4)))*(CsDJ[Account Code]=(TRIM($B28))),CsDJ[Credit])))+(SUM(IF((CRDJ[Date]=$A$3)*(CRDJ[Sort Code]=(TRIM(G$4)))*(CRDJ[Account Code]=(TRIM($B28))),CRDJ[Credit])))+(SUM(IF((GJ[Date]=$A$3)*(GJ[Sort Code]=(TRIM(G$4)))*(GJ[Account Code]=(TRIM($B28))),GJ[Credit]))))-((SUM(IF((CkDJ[Date]=$A$3)*(CkDJ[Sort Code]=(TRIM(G$4)))*(CkDJ[Account Code]=(TRIM($B28))),CkDJ[Debit])))+(SUM(IF((CsDJ[Date]=$A$3)*(CsDJ[Sort Code]=(TRIM(G$4)))*(CsDJ[Account Code]=(TRIM($B28))),CsDJ[Debit])))+(SUM(IF((CRDJ[Date]=$A$3)*(CRDJ[Sort Code]=(TRIM(G$4)))*(CRDJ[Account Code]=(TRIM($B28))),CRDJ[Debit])))+(SUM(IF((GJ[Date]=$A$3)*(GJ[Sort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Code]=B30)*(Budget[Sort Code]=$G$4),(Budget[Amount])))</f>
        <v>0</v>
      </c>
      <c r="D30" s="245">
        <f t="array" ref="D30">SUM(IF((Budget[Account Code]=B30)*(Budget[Sort Code]=$G$4)*(Budget[Date]&lt;=$D$7),(Budget[Amount])))</f>
        <v>0</v>
      </c>
      <c r="E30" s="245">
        <f t="array" ref="E30">((SUM(IF((CkDJ[Sort Code]=(TRIM(G$4)))*(CkDJ[Account Code]=(TRIM($B30)))*(CkDJ[Date]&lt;=$E$7),CkDJ[Credit])))+(SUM(IF((CsDJ[Sort Code]=(TRIM(G$4)))*(CsDJ[Account Code]=(TRIM($B30)))*(CsDJ[Date]&lt;=$E$7),CsDJ[Credit])))+(SUM(IF((CRDJ[Sort Code]=(TRIM(G$4)))*(CRDJ[Account Code]=(TRIM($B30)))*(CRDJ[Date]&lt;=$E$7),CRDJ[Credit])))+(SUM(IF((GJ[Sort Code]=(TRIM(G$4)))*(GJ[Account Code]=(TRIM($B30)))*(GJ[Date]&lt;=$E$7),GJ[Credit]))))-((SUM(IF((CkDJ[Sort Code]=(TRIM(G$4)))*(CkDJ[Account Code]=(TRIM($B30)))*(CkDJ[Date]&lt;=$E$7),CkDJ[Debit])))+(SUM(IF((CsDJ[Sort Code]=(TRIM(G$4)))*(CsDJ[Account Code]=(TRIM($B30)))*(CsDJ[Date]&lt;=$E$7),CsDJ[Debit])))+(SUM(IF((CRDJ[Sort Code]=(TRIM(G$4)))*(CRDJ[Account Code]=(TRIM($B30)))*(CRDJ[Date]&lt;=$E$7),CRDJ[Debit])))+(SUM(IF((GJ[Sort Code]=(TRIM(G$4)))*(GJ[Account Code]=(TRIM($B30)))*(GJ[Date]&lt;=$E$7),GJ[Debit]))))</f>
        <v>0</v>
      </c>
      <c r="F30" s="245">
        <f t="array" ref="F30">((SUM(IF((CkDJ[Date]=$A$3)*(CkDJ[Sort Code]=(TRIM(G$4)))*(CkDJ[Account Code]=(TRIM($B30))),CkDJ[Credit])))+(SUM(IF((CsDJ[Date]=$A$3)*(CsDJ[Sort Code]=(TRIM(G$4)))*(CsDJ[Account Code]=(TRIM($B30))),CsDJ[Credit])))+(SUM(IF((CRDJ[Date]=$A$3)*(CRDJ[Sort Code]=(TRIM(G$4)))*(CRDJ[Account Code]=(TRIM($B30))),CRDJ[Credit])))+(SUM(IF((GJ[Date]=$A$3)*(GJ[Sort Code]=(TRIM(G$4)))*(GJ[Account Code]=(TRIM($B30))),GJ[Credit]))))-((SUM(IF((CkDJ[Date]=$A$3)*(CkDJ[Sort Code]=(TRIM(G$4)))*(CkDJ[Account Code]=(TRIM($B30))),CkDJ[Debit])))+(SUM(IF((CsDJ[Date]=$A$3)*(CsDJ[Sort Code]=(TRIM(G$4)))*(CsDJ[Account Code]=(TRIM($B30))),CsDJ[Debit])))+(SUM(IF((CRDJ[Date]=$A$3)*(CRDJ[Sort Code]=(TRIM(G$4)))*(CRDJ[Account Code]=(TRIM($B30))),CRDJ[Debit])))+(SUM(IF((GJ[Date]=$A$3)*(GJ[Sort Code]=(TRIM(G$4)))*(GJ[Account Code]=(TRIM($B30))),GJ[Debit]))))</f>
        <v>0</v>
      </c>
      <c r="G30" s="343">
        <f>E30+F30</f>
        <v>0</v>
      </c>
      <c r="H30" s="246">
        <f t="shared" si="2"/>
        <v>0</v>
      </c>
      <c r="I30" s="246">
        <f t="shared" si="3"/>
        <v>0</v>
      </c>
    </row>
    <row r="31" spans="1:9" hidden="1">
      <c r="A31" s="247" t="s">
        <v>818</v>
      </c>
      <c r="B31" s="339" t="s">
        <v>145</v>
      </c>
      <c r="C31" s="245">
        <f t="array" ref="C31">SUM(IF((Budget[Account Code]=B31)*(Budget[Sort Code]=$G$4),(Budget[Amount])))</f>
        <v>0</v>
      </c>
      <c r="D31" s="245">
        <f t="array" ref="D31">SUM(IF((Budget[Account Code]=B31)*(Budget[Sort Code]=$G$4)*(Budget[Date]&lt;=$D$7),(Budget[Amount])))</f>
        <v>0</v>
      </c>
      <c r="E31" s="245">
        <f t="array" ref="E31">((SUM(IF((CkDJ[Sort Code]=(TRIM(G$4)))*(CkDJ[Account Code]=(TRIM($B31)))*(CkDJ[Date]&lt;=$E$7),CkDJ[Credit])))+(SUM(IF((CsDJ[Sort Code]=(TRIM(G$4)))*(CsDJ[Account Code]=(TRIM($B31)))*(CsDJ[Date]&lt;=$E$7),CsDJ[Credit])))+(SUM(IF((CRDJ[Sort Code]=(TRIM(G$4)))*(CRDJ[Account Code]=(TRIM($B31)))*(CRDJ[Date]&lt;=$E$7),CRDJ[Credit])))+(SUM(IF((GJ[Sort Code]=(TRIM(G$4)))*(GJ[Account Code]=(TRIM($B31)))*(GJ[Date]&lt;=$E$7),GJ[Credit]))))-((SUM(IF((CkDJ[Sort Code]=(TRIM(G$4)))*(CkDJ[Account Code]=(TRIM($B31)))*(CkDJ[Date]&lt;=$E$7),CkDJ[Debit])))+(SUM(IF((CsDJ[Sort Code]=(TRIM(G$4)))*(CsDJ[Account Code]=(TRIM($B31)))*(CsDJ[Date]&lt;=$E$7),CsDJ[Debit])))+(SUM(IF((CRDJ[Sort Code]=(TRIM(G$4)))*(CRDJ[Account Code]=(TRIM($B31)))*(CRDJ[Date]&lt;=$E$7),CRDJ[Debit])))+(SUM(IF((GJ[Sort Code]=(TRIM(G$4)))*(GJ[Account Code]=(TRIM($B31)))*(GJ[Date]&lt;=$E$7),GJ[Debit]))))</f>
        <v>0</v>
      </c>
      <c r="F31" s="245">
        <f t="array" ref="F31">((SUM(IF((CkDJ[Date]=$A$3)*(CkDJ[Sort Code]=(TRIM(G$4)))*(CkDJ[Account Code]=(TRIM($B31))),CkDJ[Credit])))+(SUM(IF((CsDJ[Date]=$A$3)*(CsDJ[Sort Code]=(TRIM(G$4)))*(CsDJ[Account Code]=(TRIM($B31))),CsDJ[Credit])))+(SUM(IF((CRDJ[Date]=$A$3)*(CRDJ[Sort Code]=(TRIM(G$4)))*(CRDJ[Account Code]=(TRIM($B31))),CRDJ[Credit])))+(SUM(IF((GJ[Date]=$A$3)*(GJ[Sort Code]=(TRIM(G$4)))*(GJ[Account Code]=(TRIM($B31))),GJ[Credit]))))-((SUM(IF((CkDJ[Date]=$A$3)*(CkDJ[Sort Code]=(TRIM(G$4)))*(CkDJ[Account Code]=(TRIM($B31))),CkDJ[Debit])))+(SUM(IF((CsDJ[Date]=$A$3)*(CsDJ[Sort Code]=(TRIM(G$4)))*(CsDJ[Account Code]=(TRIM($B31))),CsDJ[Debit])))+(SUM(IF((CRDJ[Date]=$A$3)*(CRDJ[Sort Code]=(TRIM(G$4)))*(CRDJ[Account Code]=(TRIM($B31))),CRDJ[Debit])))+(SUM(IF((GJ[Date]=$A$3)*(GJ[Sort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Code]=B33)*(Budget[Sort Code]=$G$4),(Budget[Amount])))</f>
        <v>0</v>
      </c>
      <c r="D33" s="245">
        <f t="array" ref="D33">SUM(IF((Budget[Account Code]=B33)*(Budget[Sort Code]=$G$4)*(Budget[Date]&lt;=$D$7),(Budget[Amount])))</f>
        <v>0</v>
      </c>
      <c r="E33" s="245">
        <f t="array" ref="E33">((SUM(IF((CkDJ[Sort Code]=(TRIM(G$4)))*(CkDJ[Account Code]=(TRIM($B33)))*(CkDJ[Date]&lt;=$E$7),CkDJ[Credit])))+(SUM(IF((CsDJ[Sort Code]=(TRIM(G$4)))*(CsDJ[Account Code]=(TRIM($B33)))*(CsDJ[Date]&lt;=$E$7),CsDJ[Credit])))+(SUM(IF((CRDJ[Sort Code]=(TRIM(G$4)))*(CRDJ[Account Code]=(TRIM($B33)))*(CRDJ[Date]&lt;=$E$7),CRDJ[Credit])))+(SUM(IF((GJ[Sort Code]=(TRIM(G$4)))*(GJ[Account Code]=(TRIM($B33)))*(GJ[Date]&lt;=$E$7),GJ[Credit]))))-((SUM(IF((CkDJ[Sort Code]=(TRIM(G$4)))*(CkDJ[Account Code]=(TRIM($B33)))*(CkDJ[Date]&lt;=$E$7),CkDJ[Debit])))+(SUM(IF((CsDJ[Sort Code]=(TRIM(G$4)))*(CsDJ[Account Code]=(TRIM($B33)))*(CsDJ[Date]&lt;=$E$7),CsDJ[Debit])))+(SUM(IF((CRDJ[Sort Code]=(TRIM(G$4)))*(CRDJ[Account Code]=(TRIM($B33)))*(CRDJ[Date]&lt;=$E$7),CRDJ[Debit])))+(SUM(IF((GJ[Sort Code]=(TRIM(G$4)))*(GJ[Account Code]=(TRIM($B33)))*(GJ[Date]&lt;=$E$7),GJ[Debit]))))</f>
        <v>0</v>
      </c>
      <c r="F33" s="245">
        <f t="array" ref="F33">((SUM(IF((CkDJ[Date]=$A$3)*(CkDJ[Sort Code]=(TRIM(G$4)))*(CkDJ[Account Code]=(TRIM($B33))),CkDJ[Credit])))+(SUM(IF((CsDJ[Date]=$A$3)*(CsDJ[Sort Code]=(TRIM(G$4)))*(CsDJ[Account Code]=(TRIM($B33))),CsDJ[Credit])))+(SUM(IF((CRDJ[Date]=$A$3)*(CRDJ[Sort Code]=(TRIM(G$4)))*(CRDJ[Account Code]=(TRIM($B33))),CRDJ[Credit])))+(SUM(IF((GJ[Date]=$A$3)*(GJ[Sort Code]=(TRIM(G$4)))*(GJ[Account Code]=(TRIM($B33))),GJ[Credit]))))-((SUM(IF((CkDJ[Date]=$A$3)*(CkDJ[Sort Code]=(TRIM(G$4)))*(CkDJ[Account Code]=(TRIM($B33))),CkDJ[Debit])))+(SUM(IF((CsDJ[Date]=$A$3)*(CsDJ[Sort Code]=(TRIM(G$4)))*(CsDJ[Account Code]=(TRIM($B33))),CsDJ[Debit])))+(SUM(IF((CRDJ[Date]=$A$3)*(CRDJ[Sort Code]=(TRIM(G$4)))*(CRDJ[Account Code]=(TRIM($B33))),CRDJ[Debit])))+(SUM(IF((GJ[Date]=$A$3)*(GJ[Sort Code]=(TRIM(G$4)))*(GJ[Account Code]=(TRIM($B33))),GJ[Debit]))))</f>
        <v>0</v>
      </c>
      <c r="G33" s="343">
        <f>E33+F33</f>
        <v>0</v>
      </c>
      <c r="H33" s="246">
        <f t="shared" si="2"/>
        <v>0</v>
      </c>
      <c r="I33" s="246">
        <f t="shared" si="3"/>
        <v>0</v>
      </c>
    </row>
    <row r="34" spans="1:9" hidden="1">
      <c r="A34" s="272" t="s">
        <v>180</v>
      </c>
      <c r="B34" s="339" t="s">
        <v>141</v>
      </c>
      <c r="C34" s="245">
        <f t="array" ref="C34">SUM(IF((Budget[Account Code]=B34)*(Budget[Sort Code]=$G$4),(Budget[Amount])))</f>
        <v>0</v>
      </c>
      <c r="D34" s="245">
        <f t="array" ref="D34">SUM(IF((Budget[Account Code]=B34)*(Budget[Sort Code]=$G$4)*(Budget[Date]&lt;=$D$7),(Budget[Amount])))</f>
        <v>0</v>
      </c>
      <c r="E34" s="245">
        <f t="array" ref="E34">((SUM(IF((CkDJ[Sort Code]=(TRIM(G$4)))*(CkDJ[Account Code]=(TRIM($B34)))*(CkDJ[Date]&lt;=$E$7),CkDJ[Credit])))+(SUM(IF((CsDJ[Sort Code]=(TRIM(G$4)))*(CsDJ[Account Code]=(TRIM($B34)))*(CsDJ[Date]&lt;=$E$7),CsDJ[Credit])))+(SUM(IF((CRDJ[Sort Code]=(TRIM(G$4)))*(CRDJ[Account Code]=(TRIM($B34)))*(CRDJ[Date]&lt;=$E$7),CRDJ[Credit])))+(SUM(IF((GJ[Sort Code]=(TRIM(G$4)))*(GJ[Account Code]=(TRIM($B34)))*(GJ[Date]&lt;=$E$7),GJ[Credit]))))-((SUM(IF((CkDJ[Sort Code]=(TRIM(G$4)))*(CkDJ[Account Code]=(TRIM($B34)))*(CkDJ[Date]&lt;=$E$7),CkDJ[Debit])))+(SUM(IF((CsDJ[Sort Code]=(TRIM(G$4)))*(CsDJ[Account Code]=(TRIM($B34)))*(CsDJ[Date]&lt;=$E$7),CsDJ[Debit])))+(SUM(IF((CRDJ[Sort Code]=(TRIM(G$4)))*(CRDJ[Account Code]=(TRIM($B34)))*(CRDJ[Date]&lt;=$E$7),CRDJ[Debit])))+(SUM(IF((GJ[Sort Code]=(TRIM(G$4)))*(GJ[Account Code]=(TRIM($B34)))*(GJ[Date]&lt;=$E$7),GJ[Debit]))))</f>
        <v>0</v>
      </c>
      <c r="F34" s="245">
        <f t="array" ref="F34">((SUM(IF((CkDJ[Date]=$A$3)*(CkDJ[Sort Code]=(TRIM(G$4)))*(CkDJ[Account Code]=(TRIM($B34))),CkDJ[Credit])))+(SUM(IF((CsDJ[Date]=$A$3)*(CsDJ[Sort Code]=(TRIM(G$4)))*(CsDJ[Account Code]=(TRIM($B34))),CsDJ[Credit])))+(SUM(IF((CRDJ[Date]=$A$3)*(CRDJ[Sort Code]=(TRIM(G$4)))*(CRDJ[Account Code]=(TRIM($B34))),CRDJ[Credit])))+(SUM(IF((GJ[Date]=$A$3)*(GJ[Sort Code]=(TRIM(G$4)))*(GJ[Account Code]=(TRIM($B34))),GJ[Credit]))))-((SUM(IF((CkDJ[Date]=$A$3)*(CkDJ[Sort Code]=(TRIM(G$4)))*(CkDJ[Account Code]=(TRIM($B34))),CkDJ[Debit])))+(SUM(IF((CsDJ[Date]=$A$3)*(CsDJ[Sort Code]=(TRIM(G$4)))*(CsDJ[Account Code]=(TRIM($B34))),CsDJ[Debit])))+(SUM(IF((CRDJ[Date]=$A$3)*(CRDJ[Sort Code]=(TRIM(G$4)))*(CRDJ[Account Code]=(TRIM($B34))),CRDJ[Debit])))+(SUM(IF((GJ[Date]=$A$3)*(GJ[Sort Code]=(TRIM(G$4)))*(GJ[Account Code]=(TRIM($B34))),GJ[Debit]))))</f>
        <v>0</v>
      </c>
      <c r="G34" s="343">
        <f>E34+F34</f>
        <v>0</v>
      </c>
      <c r="H34" s="246">
        <f>G34-D34</f>
        <v>0</v>
      </c>
      <c r="I34" s="246">
        <f>IF((D34=0),0,G34/D34)</f>
        <v>0</v>
      </c>
    </row>
    <row r="35" spans="1:9" hidden="1">
      <c r="A35" s="272" t="s">
        <v>181</v>
      </c>
      <c r="B35" s="339" t="s">
        <v>142</v>
      </c>
      <c r="C35" s="245">
        <f t="array" ref="C35">SUM(IF((Budget[Account Code]=B35)*(Budget[Sort Code]=$G$4),(Budget[Amount])))</f>
        <v>0</v>
      </c>
      <c r="D35" s="245">
        <f t="array" ref="D35">SUM(IF((Budget[Account Code]=B35)*(Budget[Sort Code]=$G$4)*(Budget[Date]&lt;=$D$7),(Budget[Amount])))</f>
        <v>0</v>
      </c>
      <c r="E35" s="245">
        <f t="array" ref="E35">((SUM(IF((CkDJ[Sort Code]=(TRIM(G$4)))*(CkDJ[Account Code]=(TRIM($B35)))*(CkDJ[Date]&lt;=$E$7),CkDJ[Credit])))+(SUM(IF((CsDJ[Sort Code]=(TRIM(G$4)))*(CsDJ[Account Code]=(TRIM($B35)))*(CsDJ[Date]&lt;=$E$7),CsDJ[Credit])))+(SUM(IF((CRDJ[Sort Code]=(TRIM(G$4)))*(CRDJ[Account Code]=(TRIM($B35)))*(CRDJ[Date]&lt;=$E$7),CRDJ[Credit])))+(SUM(IF((GJ[Sort Code]=(TRIM(G$4)))*(GJ[Account Code]=(TRIM($B35)))*(GJ[Date]&lt;=$E$7),GJ[Credit]))))-((SUM(IF((CkDJ[Sort Code]=(TRIM(G$4)))*(CkDJ[Account Code]=(TRIM($B35)))*(CkDJ[Date]&lt;=$E$7),CkDJ[Debit])))+(SUM(IF((CsDJ[Sort Code]=(TRIM(G$4)))*(CsDJ[Account Code]=(TRIM($B35)))*(CsDJ[Date]&lt;=$E$7),CsDJ[Debit])))+(SUM(IF((CRDJ[Sort Code]=(TRIM(G$4)))*(CRDJ[Account Code]=(TRIM($B35)))*(CRDJ[Date]&lt;=$E$7),CRDJ[Debit])))+(SUM(IF((GJ[Sort Code]=(TRIM(G$4)))*(GJ[Account Code]=(TRIM($B35)))*(GJ[Date]&lt;=$E$7),GJ[Debit]))))</f>
        <v>0</v>
      </c>
      <c r="F35" s="245">
        <f t="array" ref="F35">((SUM(IF((CkDJ[Date]=$A$3)*(CkDJ[Sort Code]=(TRIM(G$4)))*(CkDJ[Account Code]=(TRIM($B35))),CkDJ[Credit])))+(SUM(IF((CsDJ[Date]=$A$3)*(CsDJ[Sort Code]=(TRIM(G$4)))*(CsDJ[Account Code]=(TRIM($B35))),CsDJ[Credit])))+(SUM(IF((CRDJ[Date]=$A$3)*(CRDJ[Sort Code]=(TRIM(G$4)))*(CRDJ[Account Code]=(TRIM($B35))),CRDJ[Credit])))+(SUM(IF((GJ[Date]=$A$3)*(GJ[Sort Code]=(TRIM(G$4)))*(GJ[Account Code]=(TRIM($B35))),GJ[Credit]))))-((SUM(IF((CkDJ[Date]=$A$3)*(CkDJ[Sort Code]=(TRIM(G$4)))*(CkDJ[Account Code]=(TRIM($B35))),CkDJ[Debit])))+(SUM(IF((CsDJ[Date]=$A$3)*(CsDJ[Sort Code]=(TRIM(G$4)))*(CsDJ[Account Code]=(TRIM($B35))),CsDJ[Debit])))+(SUM(IF((CRDJ[Date]=$A$3)*(CRDJ[Sort Code]=(TRIM(G$4)))*(CRDJ[Account Code]=(TRIM($B35))),CRDJ[Debit])))+(SUM(IF((GJ[Date]=$A$3)*(GJ[Sort Code]=(TRIM(G$4)))*(GJ[Account Code]=(TRIM($B35))),GJ[Debit]))))</f>
        <v>0</v>
      </c>
      <c r="G35" s="343">
        <f>E35+F35</f>
        <v>0</v>
      </c>
      <c r="H35" s="246">
        <f t="shared" si="2"/>
        <v>0</v>
      </c>
      <c r="I35" s="246">
        <f t="shared" si="3"/>
        <v>0</v>
      </c>
    </row>
    <row r="36" spans="1:9">
      <c r="A36" s="241" t="s">
        <v>816</v>
      </c>
      <c r="B36" s="337"/>
      <c r="C36" s="248">
        <f>SUM(C37:C45)</f>
        <v>826000</v>
      </c>
      <c r="D36" s="248">
        <f>SUM(D37:D45)</f>
        <v>826000</v>
      </c>
      <c r="E36" s="248">
        <f>SUM(E37:E45)</f>
        <v>0</v>
      </c>
      <c r="F36" s="248">
        <f>SUM(F37:F45)</f>
        <v>0</v>
      </c>
      <c r="G36" s="248">
        <f>SUM(G37:G45)</f>
        <v>0</v>
      </c>
      <c r="H36" s="242">
        <f t="shared" si="2"/>
        <v>-826000</v>
      </c>
      <c r="I36" s="242">
        <f t="shared" si="3"/>
        <v>0</v>
      </c>
    </row>
    <row r="37" spans="1:9" hidden="1">
      <c r="A37" s="272" t="s">
        <v>186</v>
      </c>
      <c r="B37" s="339" t="s">
        <v>150</v>
      </c>
      <c r="C37" s="245">
        <f t="array" ref="C37">SUM(IF((Budget[Account Code]=B37)*(Budget[Sort Code]=$G$4),(Budget[Amount])))</f>
        <v>0</v>
      </c>
      <c r="D37" s="245">
        <f t="array" ref="D37">SUM(IF((Budget[Account Code]=B37)*(Budget[Sort Code]=$G$4)*(Budget[Date]&lt;=$D$7),(Budget[Amount])))</f>
        <v>0</v>
      </c>
      <c r="E37" s="245">
        <f t="array" ref="E37">((SUM(IF((CkDJ[Sort Code]=(TRIM(G$4)))*(CkDJ[Account Code]=(TRIM($B37)))*(CkDJ[Date]&lt;=$E$7),CkDJ[Credit])))+(SUM(IF((CsDJ[Sort Code]=(TRIM(G$4)))*(CsDJ[Account Code]=(TRIM($B37)))*(CsDJ[Date]&lt;=$E$7),CsDJ[Credit])))+(SUM(IF((CRDJ[Sort Code]=(TRIM(G$4)))*(CRDJ[Account Code]=(TRIM($B37)))*(CRDJ[Date]&lt;=$E$7),CRDJ[Credit])))+(SUM(IF((GJ[Sort Code]=(TRIM(G$4)))*(GJ[Account Code]=(TRIM($B37)))*(GJ[Date]&lt;=$E$7),GJ[Credit]))))-((SUM(IF((CkDJ[Sort Code]=(TRIM(G$4)))*(CkDJ[Account Code]=(TRIM($B37)))*(CkDJ[Date]&lt;=$E$7),CkDJ[Debit])))+(SUM(IF((CsDJ[Sort Code]=(TRIM(G$4)))*(CsDJ[Account Code]=(TRIM($B37)))*(CsDJ[Date]&lt;=$E$7),CsDJ[Debit])))+(SUM(IF((CRDJ[Sort Code]=(TRIM(G$4)))*(CRDJ[Account Code]=(TRIM($B37)))*(CRDJ[Date]&lt;=$E$7),CRDJ[Debit])))+(SUM(IF((GJ[Sort Code]=(TRIM(G$4)))*(GJ[Account Code]=(TRIM($B37)))*(GJ[Date]&lt;=$E$7),GJ[Debit]))))</f>
        <v>0</v>
      </c>
      <c r="F37" s="245">
        <f t="array" ref="F37">((SUM(IF((CkDJ[Date]=$A$3)*(CkDJ[Sort Code]=(TRIM(G$4)))*(CkDJ[Account Code]=(TRIM($B37))),CkDJ[Credit])))+(SUM(IF((CsDJ[Date]=$A$3)*(CsDJ[Sort Code]=(TRIM(G$4)))*(CsDJ[Account Code]=(TRIM($B37))),CsDJ[Credit])))+(SUM(IF((CRDJ[Date]=$A$3)*(CRDJ[Sort Code]=(TRIM(G$4)))*(CRDJ[Account Code]=(TRIM($B37))),CRDJ[Credit])))+(SUM(IF((GJ[Date]=$A$3)*(GJ[Sort Code]=(TRIM(G$4)))*(GJ[Account Code]=(TRIM($B37))),GJ[Credit]))))-((SUM(IF((CkDJ[Date]=$A$3)*(CkDJ[Sort Code]=(TRIM(G$4)))*(CkDJ[Account Code]=(TRIM($B37))),CkDJ[Debit])))+(SUM(IF((CsDJ[Date]=$A$3)*(CsDJ[Sort Code]=(TRIM(G$4)))*(CsDJ[Account Code]=(TRIM($B37))),CsDJ[Debit])))+(SUM(IF((CRDJ[Date]=$A$3)*(CRDJ[Sort Code]=(TRIM(G$4)))*(CRDJ[Account Code]=(TRIM($B37))),CRDJ[Debit])))+(SUM(IF((GJ[Date]=$A$3)*(GJ[Sort Code]=(TRIM(G$4)))*(GJ[Account Code]=(TRIM($B37))),GJ[Debit]))))</f>
        <v>0</v>
      </c>
      <c r="G37" s="343">
        <f t="shared" ref="G37:G45" si="4">E37+F37</f>
        <v>0</v>
      </c>
      <c r="H37" s="246">
        <f t="shared" si="2"/>
        <v>0</v>
      </c>
      <c r="I37" s="246">
        <f t="shared" si="3"/>
        <v>0</v>
      </c>
    </row>
    <row r="38" spans="1:9" hidden="1">
      <c r="A38" s="272" t="s">
        <v>187</v>
      </c>
      <c r="B38" s="339" t="s">
        <v>153</v>
      </c>
      <c r="C38" s="245">
        <f t="array" ref="C38">SUM(IF((Budget[Account Code]=B38)*(Budget[Sort Code]=$G$4),(Budget[Amount])))</f>
        <v>0</v>
      </c>
      <c r="D38" s="245">
        <f t="array" ref="D38">SUM(IF((Budget[Account Code]=B38)*(Budget[Sort Code]=$G$4)*(Budget[Date]&lt;=$D$7),(Budget[Amount])))</f>
        <v>0</v>
      </c>
      <c r="E38" s="245">
        <f t="array" ref="E38">((SUM(IF((CkDJ[Sort Code]=(TRIM(G$4)))*(CkDJ[Account Code]=(TRIM($B38)))*(CkDJ[Date]&lt;=$E$7),CkDJ[Credit])))+(SUM(IF((CsDJ[Sort Code]=(TRIM(G$4)))*(CsDJ[Account Code]=(TRIM($B38)))*(CsDJ[Date]&lt;=$E$7),CsDJ[Credit])))+(SUM(IF((CRDJ[Sort Code]=(TRIM(G$4)))*(CRDJ[Account Code]=(TRIM($B38)))*(CRDJ[Date]&lt;=$E$7),CRDJ[Credit])))+(SUM(IF((GJ[Sort Code]=(TRIM(G$4)))*(GJ[Account Code]=(TRIM($B38)))*(GJ[Date]&lt;=$E$7),GJ[Credit]))))-((SUM(IF((CkDJ[Sort Code]=(TRIM(G$4)))*(CkDJ[Account Code]=(TRIM($B38)))*(CkDJ[Date]&lt;=$E$7),CkDJ[Debit])))+(SUM(IF((CsDJ[Sort Code]=(TRIM(G$4)))*(CsDJ[Account Code]=(TRIM($B38)))*(CsDJ[Date]&lt;=$E$7),CsDJ[Debit])))+(SUM(IF((CRDJ[Sort Code]=(TRIM(G$4)))*(CRDJ[Account Code]=(TRIM($B38)))*(CRDJ[Date]&lt;=$E$7),CRDJ[Debit])))+(SUM(IF((GJ[Sort Code]=(TRIM(G$4)))*(GJ[Account Code]=(TRIM($B38)))*(GJ[Date]&lt;=$E$7),GJ[Debit]))))</f>
        <v>0</v>
      </c>
      <c r="F38" s="245">
        <f t="array" ref="F38">((SUM(IF((CkDJ[Date]=$A$3)*(CkDJ[Sort Code]=(TRIM(G$4)))*(CkDJ[Account Code]=(TRIM($B38))),CkDJ[Credit])))+(SUM(IF((CsDJ[Date]=$A$3)*(CsDJ[Sort Code]=(TRIM(G$4)))*(CsDJ[Account Code]=(TRIM($B38))),CsDJ[Credit])))+(SUM(IF((CRDJ[Date]=$A$3)*(CRDJ[Sort Code]=(TRIM(G$4)))*(CRDJ[Account Code]=(TRIM($B38))),CRDJ[Credit])))+(SUM(IF((GJ[Date]=$A$3)*(GJ[Sort Code]=(TRIM(G$4)))*(GJ[Account Code]=(TRIM($B38))),GJ[Credit]))))-((SUM(IF((CkDJ[Date]=$A$3)*(CkDJ[Sort Code]=(TRIM(G$4)))*(CkDJ[Account Code]=(TRIM($B38))),CkDJ[Debit])))+(SUM(IF((CsDJ[Date]=$A$3)*(CsDJ[Sort Code]=(TRIM(G$4)))*(CsDJ[Account Code]=(TRIM($B38))),CsDJ[Debit])))+(SUM(IF((CRDJ[Date]=$A$3)*(CRDJ[Sort Code]=(TRIM(G$4)))*(CRDJ[Account Code]=(TRIM($B38))),CRDJ[Debit])))+(SUM(IF((GJ[Date]=$A$3)*(GJ[Sort Code]=(TRIM(G$4)))*(GJ[Account Code]=(TRIM($B38))),GJ[Debit]))))</f>
        <v>0</v>
      </c>
      <c r="G38" s="343">
        <f t="shared" si="4"/>
        <v>0</v>
      </c>
      <c r="H38" s="246">
        <f t="shared" si="2"/>
        <v>0</v>
      </c>
      <c r="I38" s="246">
        <f t="shared" si="3"/>
        <v>0</v>
      </c>
    </row>
    <row r="39" spans="1:9" hidden="1">
      <c r="A39" s="272" t="s">
        <v>188</v>
      </c>
      <c r="B39" s="339" t="s">
        <v>154</v>
      </c>
      <c r="C39" s="245">
        <f t="array" ref="C39">SUM(IF((Budget[Account Code]=B39)*(Budget[Sort Code]=$G$4),(Budget[Amount])))</f>
        <v>0</v>
      </c>
      <c r="D39" s="245">
        <f t="array" ref="D39">SUM(IF((Budget[Account Code]=B39)*(Budget[Sort Code]=$G$4)*(Budget[Date]&lt;=$D$7),(Budget[Amount])))</f>
        <v>0</v>
      </c>
      <c r="E39" s="245">
        <f t="array" ref="E39">((SUM(IF((CkDJ[Sort Code]=(TRIM(G$4)))*(CkDJ[Account Code]=(TRIM($B39)))*(CkDJ[Date]&lt;=$E$7),CkDJ[Credit])))+(SUM(IF((CsDJ[Sort Code]=(TRIM(G$4)))*(CsDJ[Account Code]=(TRIM($B39)))*(CsDJ[Date]&lt;=$E$7),CsDJ[Credit])))+(SUM(IF((CRDJ[Sort Code]=(TRIM(G$4)))*(CRDJ[Account Code]=(TRIM($B39)))*(CRDJ[Date]&lt;=$E$7),CRDJ[Credit])))+(SUM(IF((GJ[Sort Code]=(TRIM(G$4)))*(GJ[Account Code]=(TRIM($B39)))*(GJ[Date]&lt;=$E$7),GJ[Credit]))))-((SUM(IF((CkDJ[Sort Code]=(TRIM(G$4)))*(CkDJ[Account Code]=(TRIM($B39)))*(CkDJ[Date]&lt;=$E$7),CkDJ[Debit])))+(SUM(IF((CsDJ[Sort Code]=(TRIM(G$4)))*(CsDJ[Account Code]=(TRIM($B39)))*(CsDJ[Date]&lt;=$E$7),CsDJ[Debit])))+(SUM(IF((CRDJ[Sort Code]=(TRIM(G$4)))*(CRDJ[Account Code]=(TRIM($B39)))*(CRDJ[Date]&lt;=$E$7),CRDJ[Debit])))+(SUM(IF((GJ[Sort Code]=(TRIM(G$4)))*(GJ[Account Code]=(TRIM($B39)))*(GJ[Date]&lt;=$E$7),GJ[Debit]))))</f>
        <v>0</v>
      </c>
      <c r="F39" s="245">
        <f t="array" ref="F39">((SUM(IF((CkDJ[Date]=$A$3)*(CkDJ[Sort Code]=(TRIM(G$4)))*(CkDJ[Account Code]=(TRIM($B39))),CkDJ[Credit])))+(SUM(IF((CsDJ[Date]=$A$3)*(CsDJ[Sort Code]=(TRIM(G$4)))*(CsDJ[Account Code]=(TRIM($B39))),CsDJ[Credit])))+(SUM(IF((CRDJ[Date]=$A$3)*(CRDJ[Sort Code]=(TRIM(G$4)))*(CRDJ[Account Code]=(TRIM($B39))),CRDJ[Credit])))+(SUM(IF((GJ[Date]=$A$3)*(GJ[Sort Code]=(TRIM(G$4)))*(GJ[Account Code]=(TRIM($B39))),GJ[Credit]))))-((SUM(IF((CkDJ[Date]=$A$3)*(CkDJ[Sort Code]=(TRIM(G$4)))*(CkDJ[Account Code]=(TRIM($B39))),CkDJ[Debit])))+(SUM(IF((CsDJ[Date]=$A$3)*(CsDJ[Sort Code]=(TRIM(G$4)))*(CsDJ[Account Code]=(TRIM($B39))),CsDJ[Debit])))+(SUM(IF((CRDJ[Date]=$A$3)*(CRDJ[Sort Code]=(TRIM(G$4)))*(CRDJ[Account Code]=(TRIM($B39))),CRDJ[Debit])))+(SUM(IF((GJ[Date]=$A$3)*(GJ[Sort Code]=(TRIM(G$4)))*(GJ[Account Code]=(TRIM($B39))),GJ[Debit]))))</f>
        <v>0</v>
      </c>
      <c r="G39" s="343">
        <f t="shared" si="4"/>
        <v>0</v>
      </c>
      <c r="H39" s="246">
        <f t="shared" si="2"/>
        <v>0</v>
      </c>
      <c r="I39" s="246">
        <f t="shared" si="3"/>
        <v>0</v>
      </c>
    </row>
    <row r="40" spans="1:9" hidden="1">
      <c r="A40" s="272" t="s">
        <v>189</v>
      </c>
      <c r="B40" s="339" t="s">
        <v>155</v>
      </c>
      <c r="C40" s="245">
        <f t="array" ref="C40">SUM(IF((Budget[Account Code]=B40)*(Budget[Sort Code]=$G$4),(Budget[Amount])))</f>
        <v>0</v>
      </c>
      <c r="D40" s="245">
        <f t="array" ref="D40">SUM(IF((Budget[Account Code]=B40)*(Budget[Sort Code]=$G$4)*(Budget[Date]&lt;=$D$7),(Budget[Amount])))</f>
        <v>0</v>
      </c>
      <c r="E40" s="245">
        <f t="array" ref="E40">((SUM(IF((CkDJ[Sort Code]=(TRIM(G$4)))*(CkDJ[Account Code]=(TRIM($B40)))*(CkDJ[Date]&lt;=$E$7),CkDJ[Credit])))+(SUM(IF((CsDJ[Sort Code]=(TRIM(G$4)))*(CsDJ[Account Code]=(TRIM($B40)))*(CsDJ[Date]&lt;=$E$7),CsDJ[Credit])))+(SUM(IF((CRDJ[Sort Code]=(TRIM(G$4)))*(CRDJ[Account Code]=(TRIM($B40)))*(CRDJ[Date]&lt;=$E$7),CRDJ[Credit])))+(SUM(IF((GJ[Sort Code]=(TRIM(G$4)))*(GJ[Account Code]=(TRIM($B40)))*(GJ[Date]&lt;=$E$7),GJ[Credit]))))-((SUM(IF((CkDJ[Sort Code]=(TRIM(G$4)))*(CkDJ[Account Code]=(TRIM($B40)))*(CkDJ[Date]&lt;=$E$7),CkDJ[Debit])))+(SUM(IF((CsDJ[Sort Code]=(TRIM(G$4)))*(CsDJ[Account Code]=(TRIM($B40)))*(CsDJ[Date]&lt;=$E$7),CsDJ[Debit])))+(SUM(IF((CRDJ[Sort Code]=(TRIM(G$4)))*(CRDJ[Account Code]=(TRIM($B40)))*(CRDJ[Date]&lt;=$E$7),CRDJ[Debit])))+(SUM(IF((GJ[Sort Code]=(TRIM(G$4)))*(GJ[Account Code]=(TRIM($B40)))*(GJ[Date]&lt;=$E$7),GJ[Debit]))))</f>
        <v>0</v>
      </c>
      <c r="F40" s="245">
        <f t="array" ref="F40">((SUM(IF((CkDJ[Date]=$A$3)*(CkDJ[Sort Code]=(TRIM(G$4)))*(CkDJ[Account Code]=(TRIM($B40))),CkDJ[Credit])))+(SUM(IF((CsDJ[Date]=$A$3)*(CsDJ[Sort Code]=(TRIM(G$4)))*(CsDJ[Account Code]=(TRIM($B40))),CsDJ[Credit])))+(SUM(IF((CRDJ[Date]=$A$3)*(CRDJ[Sort Code]=(TRIM(G$4)))*(CRDJ[Account Code]=(TRIM($B40))),CRDJ[Credit])))+(SUM(IF((GJ[Date]=$A$3)*(GJ[Sort Code]=(TRIM(G$4)))*(GJ[Account Code]=(TRIM($B40))),GJ[Credit]))))-((SUM(IF((CkDJ[Date]=$A$3)*(CkDJ[Sort Code]=(TRIM(G$4)))*(CkDJ[Account Code]=(TRIM($B40))),CkDJ[Debit])))+(SUM(IF((CsDJ[Date]=$A$3)*(CsDJ[Sort Code]=(TRIM(G$4)))*(CsDJ[Account Code]=(TRIM($B40))),CsDJ[Debit])))+(SUM(IF((CRDJ[Date]=$A$3)*(CRDJ[Sort Code]=(TRIM(G$4)))*(CRDJ[Account Code]=(TRIM($B40))),CRDJ[Debit])))+(SUM(IF((GJ[Date]=$A$3)*(GJ[Sort Code]=(TRIM(G$4)))*(GJ[Account Code]=(TRIM($B40))),GJ[Debit]))))</f>
        <v>0</v>
      </c>
      <c r="G40" s="343">
        <f t="shared" si="4"/>
        <v>0</v>
      </c>
      <c r="H40" s="246">
        <f t="shared" si="2"/>
        <v>0</v>
      </c>
      <c r="I40" s="246">
        <f t="shared" si="3"/>
        <v>0</v>
      </c>
    </row>
    <row r="41" spans="1:9" hidden="1">
      <c r="A41" s="272" t="s">
        <v>1269</v>
      </c>
      <c r="B41" s="339" t="s">
        <v>156</v>
      </c>
      <c r="C41" s="245">
        <f t="array" ref="C41">SUM(IF((Budget[Account Code]=B41)*(Budget[Sort Code]=$G$4),(Budget[Amount])))</f>
        <v>0</v>
      </c>
      <c r="D41" s="245">
        <f t="array" ref="D41">SUM(IF((Budget[Account Code]=B41)*(Budget[Sort Code]=$G$4)*(Budget[Date]&lt;=$D$7),(Budget[Amount])))</f>
        <v>0</v>
      </c>
      <c r="E41" s="245">
        <f t="array" ref="E41">((SUM(IF((CkDJ[Sort Code]=(TRIM(G$4)))*(CkDJ[Account Code]=(TRIM($B41)))*(CkDJ[Date]&lt;=$E$7),CkDJ[Credit])))+(SUM(IF((CsDJ[Sort Code]=(TRIM(G$4)))*(CsDJ[Account Code]=(TRIM($B41)))*(CsDJ[Date]&lt;=$E$7),CsDJ[Credit])))+(SUM(IF((CRDJ[Sort Code]=(TRIM(G$4)))*(CRDJ[Account Code]=(TRIM($B41)))*(CRDJ[Date]&lt;=$E$7),CRDJ[Credit])))+(SUM(IF((GJ[Sort Code]=(TRIM(G$4)))*(GJ[Account Code]=(TRIM($B41)))*(GJ[Date]&lt;=$E$7),GJ[Credit]))))-((SUM(IF((CkDJ[Sort Code]=(TRIM(G$4)))*(CkDJ[Account Code]=(TRIM($B41)))*(CkDJ[Date]&lt;=$E$7),CkDJ[Debit])))+(SUM(IF((CsDJ[Sort Code]=(TRIM(G$4)))*(CsDJ[Account Code]=(TRIM($B41)))*(CsDJ[Date]&lt;=$E$7),CsDJ[Debit])))+(SUM(IF((CRDJ[Sort Code]=(TRIM(G$4)))*(CRDJ[Account Code]=(TRIM($B41)))*(CRDJ[Date]&lt;=$E$7),CRDJ[Debit])))+(SUM(IF((GJ[Sort Code]=(TRIM(G$4)))*(GJ[Account Code]=(TRIM($B41)))*(GJ[Date]&lt;=$E$7),GJ[Debit]))))</f>
        <v>0</v>
      </c>
      <c r="F41" s="245">
        <f t="array" ref="F41">((SUM(IF((CkDJ[Date]=$A$3)*(CkDJ[Sort Code]=(TRIM(G$4)))*(CkDJ[Account Code]=(TRIM($B41))),CkDJ[Credit])))+(SUM(IF((CsDJ[Date]=$A$3)*(CsDJ[Sort Code]=(TRIM(G$4)))*(CsDJ[Account Code]=(TRIM($B41))),CsDJ[Credit])))+(SUM(IF((CRDJ[Date]=$A$3)*(CRDJ[Sort Code]=(TRIM(G$4)))*(CRDJ[Account Code]=(TRIM($B41))),CRDJ[Credit])))+(SUM(IF((GJ[Date]=$A$3)*(GJ[Sort Code]=(TRIM(G$4)))*(GJ[Account Code]=(TRIM($B41))),GJ[Credit]))))-((SUM(IF((CkDJ[Date]=$A$3)*(CkDJ[Sort Code]=(TRIM(G$4)))*(CkDJ[Account Code]=(TRIM($B41))),CkDJ[Debit])))+(SUM(IF((CsDJ[Date]=$A$3)*(CsDJ[Sort Code]=(TRIM(G$4)))*(CsDJ[Account Code]=(TRIM($B41))),CsDJ[Debit])))+(SUM(IF((CRDJ[Date]=$A$3)*(CRDJ[Sort Code]=(TRIM(G$4)))*(CRDJ[Account Code]=(TRIM($B41))),CRDJ[Debit])))+(SUM(IF((GJ[Date]=$A$3)*(GJ[Sort Code]=(TRIM(G$4)))*(GJ[Account Code]=(TRIM($B41))),GJ[Debit]))))</f>
        <v>0</v>
      </c>
      <c r="G41" s="343">
        <f>E41+F41</f>
        <v>0</v>
      </c>
      <c r="H41" s="246">
        <f>G41-D41</f>
        <v>0</v>
      </c>
      <c r="I41" s="246">
        <f>IF((D41=0),0,G41/D41)</f>
        <v>0</v>
      </c>
    </row>
    <row r="42" spans="1:9" hidden="1">
      <c r="A42" s="272" t="s">
        <v>190</v>
      </c>
      <c r="B42" s="339" t="s">
        <v>157</v>
      </c>
      <c r="C42" s="245">
        <f t="array" ref="C42">SUM(IF((Budget[Account Code]=B42)*(Budget[Sort Code]=$G$4),(Budget[Amount])))</f>
        <v>0</v>
      </c>
      <c r="D42" s="245">
        <f t="array" ref="D42">SUM(IF((Budget[Account Code]=B42)*(Budget[Sort Code]=$G$4)*(Budget[Date]&lt;=$D$7),(Budget[Amount])))</f>
        <v>0</v>
      </c>
      <c r="E42" s="245">
        <f t="array" ref="E42">((SUM(IF((CkDJ[Sort Code]=(TRIM(G$4)))*(CkDJ[Account Code]=(TRIM($B42)))*(CkDJ[Date]&lt;=$E$7),CkDJ[Credit])))+(SUM(IF((CsDJ[Sort Code]=(TRIM(G$4)))*(CsDJ[Account Code]=(TRIM($B42)))*(CsDJ[Date]&lt;=$E$7),CsDJ[Credit])))+(SUM(IF((CRDJ[Sort Code]=(TRIM(G$4)))*(CRDJ[Account Code]=(TRIM($B42)))*(CRDJ[Date]&lt;=$E$7),CRDJ[Credit])))+(SUM(IF((GJ[Sort Code]=(TRIM(G$4)))*(GJ[Account Code]=(TRIM($B42)))*(GJ[Date]&lt;=$E$7),GJ[Credit]))))-((SUM(IF((CkDJ[Sort Code]=(TRIM(G$4)))*(CkDJ[Account Code]=(TRIM($B42)))*(CkDJ[Date]&lt;=$E$7),CkDJ[Debit])))+(SUM(IF((CsDJ[Sort Code]=(TRIM(G$4)))*(CsDJ[Account Code]=(TRIM($B42)))*(CsDJ[Date]&lt;=$E$7),CsDJ[Debit])))+(SUM(IF((CRDJ[Sort Code]=(TRIM(G$4)))*(CRDJ[Account Code]=(TRIM($B42)))*(CRDJ[Date]&lt;=$E$7),CRDJ[Debit])))+(SUM(IF((GJ[Sort Code]=(TRIM(G$4)))*(GJ[Account Code]=(TRIM($B42)))*(GJ[Date]&lt;=$E$7),GJ[Debit]))))</f>
        <v>0</v>
      </c>
      <c r="F42" s="245">
        <f t="array" ref="F42">((SUM(IF((CkDJ[Date]=$A$3)*(CkDJ[Sort Code]=(TRIM(G$4)))*(CkDJ[Account Code]=(TRIM($B42))),CkDJ[Credit])))+(SUM(IF((CsDJ[Date]=$A$3)*(CsDJ[Sort Code]=(TRIM(G$4)))*(CsDJ[Account Code]=(TRIM($B42))),CsDJ[Credit])))+(SUM(IF((CRDJ[Date]=$A$3)*(CRDJ[Sort Code]=(TRIM(G$4)))*(CRDJ[Account Code]=(TRIM($B42))),CRDJ[Credit])))+(SUM(IF((GJ[Date]=$A$3)*(GJ[Sort Code]=(TRIM(G$4)))*(GJ[Account Code]=(TRIM($B42))),GJ[Credit]))))-((SUM(IF((CkDJ[Date]=$A$3)*(CkDJ[Sort Code]=(TRIM(G$4)))*(CkDJ[Account Code]=(TRIM($B42))),CkDJ[Debit])))+(SUM(IF((CsDJ[Date]=$A$3)*(CsDJ[Sort Code]=(TRIM(G$4)))*(CsDJ[Account Code]=(TRIM($B42))),CsDJ[Debit])))+(SUM(IF((CRDJ[Date]=$A$3)*(CRDJ[Sort Code]=(TRIM(G$4)))*(CRDJ[Account Code]=(TRIM($B42))),CRDJ[Debit])))+(SUM(IF((GJ[Date]=$A$3)*(GJ[Sort Code]=(TRIM(G$4)))*(GJ[Account Code]=(TRIM($B42))),GJ[Debit]))))</f>
        <v>0</v>
      </c>
      <c r="G42" s="343">
        <f t="shared" si="4"/>
        <v>0</v>
      </c>
      <c r="H42" s="246">
        <f t="shared" si="2"/>
        <v>0</v>
      </c>
      <c r="I42" s="246">
        <f t="shared" si="3"/>
        <v>0</v>
      </c>
    </row>
    <row r="43" spans="1:9" hidden="1">
      <c r="A43" s="272" t="s">
        <v>192</v>
      </c>
      <c r="B43" s="339" t="s">
        <v>159</v>
      </c>
      <c r="C43" s="245">
        <f t="array" ref="C43">SUM(IF((Budget[Account Code]=B43)*(Budget[Sort Code]=$G$4),(Budget[Amount])))</f>
        <v>0</v>
      </c>
      <c r="D43" s="245">
        <f t="array" ref="D43">SUM(IF((Budget[Account Code]=B43)*(Budget[Sort Code]=$G$4)*(Budget[Date]&lt;=$D$7),(Budget[Amount])))</f>
        <v>0</v>
      </c>
      <c r="E43" s="245">
        <f t="array" ref="E43">((SUM(IF((CkDJ[Sort Code]=(TRIM(G$4)))*(CkDJ[Account Code]=(TRIM($B43)))*(CkDJ[Date]&lt;=$E$7),CkDJ[Credit])))+(SUM(IF((CsDJ[Sort Code]=(TRIM(G$4)))*(CsDJ[Account Code]=(TRIM($B43)))*(CsDJ[Date]&lt;=$E$7),CsDJ[Credit])))+(SUM(IF((CRDJ[Sort Code]=(TRIM(G$4)))*(CRDJ[Account Code]=(TRIM($B43)))*(CRDJ[Date]&lt;=$E$7),CRDJ[Credit])))+(SUM(IF((GJ[Sort Code]=(TRIM(G$4)))*(GJ[Account Code]=(TRIM($B43)))*(GJ[Date]&lt;=$E$7),GJ[Credit]))))-((SUM(IF((CkDJ[Sort Code]=(TRIM(G$4)))*(CkDJ[Account Code]=(TRIM($B43)))*(CkDJ[Date]&lt;=$E$7),CkDJ[Debit])))+(SUM(IF((CsDJ[Sort Code]=(TRIM(G$4)))*(CsDJ[Account Code]=(TRIM($B43)))*(CsDJ[Date]&lt;=$E$7),CsDJ[Debit])))+(SUM(IF((CRDJ[Sort Code]=(TRIM(G$4)))*(CRDJ[Account Code]=(TRIM($B43)))*(CRDJ[Date]&lt;=$E$7),CRDJ[Debit])))+(SUM(IF((GJ[Sort Code]=(TRIM(G$4)))*(GJ[Account Code]=(TRIM($B43)))*(GJ[Date]&lt;=$E$7),GJ[Debit]))))</f>
        <v>0</v>
      </c>
      <c r="F43" s="245">
        <f t="array" ref="F43">((SUM(IF((CkDJ[Date]=$A$3)*(CkDJ[Sort Code]=(TRIM(G$4)))*(CkDJ[Account Code]=(TRIM($B43))),CkDJ[Credit])))+(SUM(IF((CsDJ[Date]=$A$3)*(CsDJ[Sort Code]=(TRIM(G$4)))*(CsDJ[Account Code]=(TRIM($B43))),CsDJ[Credit])))+(SUM(IF((CRDJ[Date]=$A$3)*(CRDJ[Sort Code]=(TRIM(G$4)))*(CRDJ[Account Code]=(TRIM($B43))),CRDJ[Credit])))+(SUM(IF((GJ[Date]=$A$3)*(GJ[Sort Code]=(TRIM(G$4)))*(GJ[Account Code]=(TRIM($B43))),GJ[Credit]))))-((SUM(IF((CkDJ[Date]=$A$3)*(CkDJ[Sort Code]=(TRIM(G$4)))*(CkDJ[Account Code]=(TRIM($B43))),CkDJ[Debit])))+(SUM(IF((CsDJ[Date]=$A$3)*(CsDJ[Sort Code]=(TRIM(G$4)))*(CsDJ[Account Code]=(TRIM($B43))),CsDJ[Debit])))+(SUM(IF((CRDJ[Date]=$A$3)*(CRDJ[Sort Code]=(TRIM(G$4)))*(CRDJ[Account Code]=(TRIM($B43))),CRDJ[Debit])))+(SUM(IF((GJ[Date]=$A$3)*(GJ[Sort Code]=(TRIM(G$4)))*(GJ[Account Code]=(TRIM($B43))),GJ[Debit]))))</f>
        <v>0</v>
      </c>
      <c r="G43" s="343">
        <f t="shared" si="4"/>
        <v>0</v>
      </c>
      <c r="H43" s="246">
        <f t="shared" si="2"/>
        <v>0</v>
      </c>
      <c r="I43" s="246">
        <f t="shared" si="3"/>
        <v>0</v>
      </c>
    </row>
    <row r="44" spans="1:9" hidden="1">
      <c r="A44" s="272" t="s">
        <v>193</v>
      </c>
      <c r="B44" s="339" t="s">
        <v>160</v>
      </c>
      <c r="C44" s="245">
        <f t="array" ref="C44">SUM(IF((Budget[Account Code]=B44)*(Budget[Sort Code]=$G$4),(Budget[Amount])))</f>
        <v>826000</v>
      </c>
      <c r="D44" s="245">
        <f t="array" ref="D44">SUM(IF((Budget[Account Code]=B44)*(Budget[Sort Code]=$G$4)*(Budget[Date]&lt;=$D$7),(Budget[Amount])))</f>
        <v>826000</v>
      </c>
      <c r="E44" s="245">
        <f t="array" ref="E44">((SUM(IF((CkDJ[Sort Code]=(TRIM(G$4)))*(CkDJ[Account Code]=(TRIM($B44)))*(CkDJ[Date]&lt;=$E$7),CkDJ[Credit])))+(SUM(IF((CsDJ[Sort Code]=(TRIM(G$4)))*(CsDJ[Account Code]=(TRIM($B44)))*(CsDJ[Date]&lt;=$E$7),CsDJ[Credit])))+(SUM(IF((CRDJ[Sort Code]=(TRIM(G$4)))*(CRDJ[Account Code]=(TRIM($B44)))*(CRDJ[Date]&lt;=$E$7),CRDJ[Credit])))+(SUM(IF((GJ[Sort Code]=(TRIM(G$4)))*(GJ[Account Code]=(TRIM($B44)))*(GJ[Date]&lt;=$E$7),GJ[Credit]))))-((SUM(IF((CkDJ[Sort Code]=(TRIM(G$4)))*(CkDJ[Account Code]=(TRIM($B44)))*(CkDJ[Date]&lt;=$E$7),CkDJ[Debit])))+(SUM(IF((CsDJ[Sort Code]=(TRIM(G$4)))*(CsDJ[Account Code]=(TRIM($B44)))*(CsDJ[Date]&lt;=$E$7),CsDJ[Debit])))+(SUM(IF((CRDJ[Sort Code]=(TRIM(G$4)))*(CRDJ[Account Code]=(TRIM($B44)))*(CRDJ[Date]&lt;=$E$7),CRDJ[Debit])))+(SUM(IF((GJ[Sort Code]=(TRIM(G$4)))*(GJ[Account Code]=(TRIM($B44)))*(GJ[Date]&lt;=$E$7),GJ[Debit]))))</f>
        <v>0</v>
      </c>
      <c r="F44" s="245">
        <f t="array" ref="F44">((SUM(IF((CkDJ[Date]=$A$3)*(CkDJ[Sort Code]=(TRIM(G$4)))*(CkDJ[Account Code]=(TRIM($B44))),CkDJ[Credit])))+(SUM(IF((CsDJ[Date]=$A$3)*(CsDJ[Sort Code]=(TRIM(G$4)))*(CsDJ[Account Code]=(TRIM($B44))),CsDJ[Credit])))+(SUM(IF((CRDJ[Date]=$A$3)*(CRDJ[Sort Code]=(TRIM(G$4)))*(CRDJ[Account Code]=(TRIM($B44))),CRDJ[Credit])))+(SUM(IF((GJ[Date]=$A$3)*(GJ[Sort Code]=(TRIM(G$4)))*(GJ[Account Code]=(TRIM($B44))),GJ[Credit]))))-((SUM(IF((CkDJ[Date]=$A$3)*(CkDJ[Sort Code]=(TRIM(G$4)))*(CkDJ[Account Code]=(TRIM($B44))),CkDJ[Debit])))+(SUM(IF((CsDJ[Date]=$A$3)*(CsDJ[Sort Code]=(TRIM(G$4)))*(CsDJ[Account Code]=(TRIM($B44))),CsDJ[Debit])))+(SUM(IF((CRDJ[Date]=$A$3)*(CRDJ[Sort Code]=(TRIM(G$4)))*(CRDJ[Account Code]=(TRIM($B44))),CRDJ[Debit])))+(SUM(IF((GJ[Date]=$A$3)*(GJ[Sort Code]=(TRIM(G$4)))*(GJ[Account Code]=(TRIM($B44))),GJ[Debit]))))</f>
        <v>0</v>
      </c>
      <c r="G44" s="343">
        <f t="shared" si="4"/>
        <v>0</v>
      </c>
      <c r="H44" s="246">
        <f t="shared" si="2"/>
        <v>-826000</v>
      </c>
      <c r="I44" s="246">
        <f t="shared" si="3"/>
        <v>0</v>
      </c>
    </row>
    <row r="45" spans="1:9" hidden="1">
      <c r="A45" s="272" t="s">
        <v>191</v>
      </c>
      <c r="B45" s="339" t="s">
        <v>161</v>
      </c>
      <c r="C45" s="245">
        <f t="array" ref="C45">SUM(IF((Budget[Account Code]=B45)*(Budget[Sort Code]=$G$4),(Budget[Amount])))</f>
        <v>0</v>
      </c>
      <c r="D45" s="245">
        <f t="array" ref="D45">SUM(IF((Budget[Account Code]=B45)*(Budget[Sort Code]=$G$4)*(Budget[Date]&lt;=$D$7),(Budget[Amount])))</f>
        <v>0</v>
      </c>
      <c r="E45" s="245">
        <f t="array" ref="E45">((SUM(IF((CkDJ[Sort Code]=(TRIM(G$4)))*(CkDJ[Account Code]=(TRIM($B45)))*(CkDJ[Date]&lt;=$E$7),CkDJ[Credit])))+(SUM(IF((CsDJ[Sort Code]=(TRIM(G$4)))*(CsDJ[Account Code]=(TRIM($B45)))*(CsDJ[Date]&lt;=$E$7),CsDJ[Credit])))+(SUM(IF((CRDJ[Sort Code]=(TRIM(G$4)))*(CRDJ[Account Code]=(TRIM($B45)))*(CRDJ[Date]&lt;=$E$7),CRDJ[Credit])))+(SUM(IF((GJ[Sort Code]=(TRIM(G$4)))*(GJ[Account Code]=(TRIM($B45)))*(GJ[Date]&lt;=$E$7),GJ[Credit]))))-((SUM(IF((CkDJ[Sort Code]=(TRIM(G$4)))*(CkDJ[Account Code]=(TRIM($B45)))*(CkDJ[Date]&lt;=$E$7),CkDJ[Debit])))+(SUM(IF((CsDJ[Sort Code]=(TRIM(G$4)))*(CsDJ[Account Code]=(TRIM($B45)))*(CsDJ[Date]&lt;=$E$7),CsDJ[Debit])))+(SUM(IF((CRDJ[Sort Code]=(TRIM(G$4)))*(CRDJ[Account Code]=(TRIM($B45)))*(CRDJ[Date]&lt;=$E$7),CRDJ[Debit])))+(SUM(IF((GJ[Sort Code]=(TRIM(G$4)))*(GJ[Account Code]=(TRIM($B45)))*(GJ[Date]&lt;=$E$7),GJ[Debit]))))</f>
        <v>0</v>
      </c>
      <c r="F45" s="245">
        <f t="array" ref="F45">((SUM(IF((CkDJ[Date]=$A$3)*(CkDJ[Sort Code]=(TRIM(G$4)))*(CkDJ[Account Code]=(TRIM($B45))),CkDJ[Credit])))+(SUM(IF((CsDJ[Date]=$A$3)*(CsDJ[Sort Code]=(TRIM(G$4)))*(CsDJ[Account Code]=(TRIM($B45))),CsDJ[Credit])))+(SUM(IF((CRDJ[Date]=$A$3)*(CRDJ[Sort Code]=(TRIM(G$4)))*(CRDJ[Account Code]=(TRIM($B45))),CRDJ[Credit])))+(SUM(IF((GJ[Date]=$A$3)*(GJ[Sort Code]=(TRIM(G$4)))*(GJ[Account Code]=(TRIM($B45))),GJ[Credit]))))-((SUM(IF((CkDJ[Date]=$A$3)*(CkDJ[Sort Code]=(TRIM(G$4)))*(CkDJ[Account Code]=(TRIM($B45))),CkDJ[Debit])))+(SUM(IF((CsDJ[Date]=$A$3)*(CsDJ[Sort Code]=(TRIM(G$4)))*(CsDJ[Account Code]=(TRIM($B45))),CsDJ[Debit])))+(SUM(IF((CRDJ[Date]=$A$3)*(CRDJ[Sort Code]=(TRIM(G$4)))*(CRDJ[Account Code]=(TRIM($B45))),CRDJ[Debit])))+(SUM(IF((GJ[Date]=$A$3)*(GJ[Sort Code]=(TRIM(G$4)))*(GJ[Account Code]=(TRIM($B45))),GJ[Debit]))))</f>
        <v>0</v>
      </c>
      <c r="G45" s="343">
        <f t="shared" si="4"/>
        <v>0</v>
      </c>
      <c r="H45" s="246">
        <f t="shared" si="2"/>
        <v>0</v>
      </c>
      <c r="I45" s="246">
        <f t="shared" si="3"/>
        <v>0</v>
      </c>
    </row>
    <row r="46" spans="1:9">
      <c r="A46" s="241" t="s">
        <v>815</v>
      </c>
      <c r="B46" s="337"/>
      <c r="C46" s="248"/>
      <c r="D46" s="248"/>
      <c r="E46" s="344">
        <f>G46-F46</f>
        <v>0</v>
      </c>
      <c r="F46" s="248"/>
      <c r="G46" s="343">
        <f t="array" ref="G46">((SUM(IF((CkDJ[Sort Code]=(TRIM(G$4)))*(CkDJ[Account Code]=(TRIM($B46))),CkDJ[Credit])))+(SUM(IF((CsDJ[Sort Code]=(TRIM(G$4)))*(CsDJ[Account Code]=(TRIM($B46))),CsDJ[Credit])))+(SUM(IF((CRDJ[Sort Code]=(TRIM(G$4)))*(CRDJ[Account Code]=(TRIM($B46))),CRDJ[Credit])))+(SUM(IF((GJ[Sort Code]=(TRIM(G$4)))*(GJ[Account Code]=(TRIM($B46))),GJ[Credit]))))-((SUM(IF((CkDJ[Sort Code]=(TRIM(G$4)))*(CkDJ[Account Code]=(TRIM($B46))),CkDJ[Debit])))+(SUM(IF((CsDJ[Sort Code]=(TRIM(G$4)))*(CsDJ[Account Code]=(TRIM($B46))),CsDJ[Debit])))+(SUM(IF((CRDJ[Sort Code]=(TRIM(G$4)))*(CRDJ[Account Code]=(TRIM($B46))),CRDJ[Debit])))+(SUM(IF((GJ[Sort Code]=(TRIM(G$4)))*(GJ[Account Code]=(TRIM($B46))),GJ[Debit]))))</f>
        <v>0</v>
      </c>
      <c r="H46" s="242">
        <f t="shared" si="2"/>
        <v>0</v>
      </c>
      <c r="I46" s="242">
        <f t="shared" si="3"/>
        <v>0</v>
      </c>
    </row>
    <row r="47" spans="1:9">
      <c r="A47" s="249" t="s">
        <v>814</v>
      </c>
      <c r="B47" s="338"/>
      <c r="C47" s="250">
        <f>C26+C27+C32+C36+C46</f>
        <v>826000</v>
      </c>
      <c r="D47" s="250">
        <f>D26+D27+D32+D36+D46</f>
        <v>826000</v>
      </c>
      <c r="E47" s="250">
        <f>E26+E27+E32+E36+E46</f>
        <v>0</v>
      </c>
      <c r="F47" s="250">
        <f>F26+F27+F32+F36+F46</f>
        <v>0</v>
      </c>
      <c r="G47" s="250">
        <f>G26+G27+G32+G36+G46</f>
        <v>0</v>
      </c>
      <c r="H47" s="250">
        <f t="shared" si="2"/>
        <v>-826000</v>
      </c>
      <c r="I47" s="250">
        <f t="shared" si="3"/>
        <v>0</v>
      </c>
    </row>
    <row r="48" spans="1:9">
      <c r="A48" s="251" t="s">
        <v>813</v>
      </c>
      <c r="B48" s="338"/>
      <c r="C48" s="250">
        <f>C24+C47</f>
        <v>1326000</v>
      </c>
      <c r="D48" s="250">
        <f>D24+D47</f>
        <v>1326000</v>
      </c>
      <c r="E48" s="250">
        <f>E24+E47</f>
        <v>0</v>
      </c>
      <c r="F48" s="250">
        <f>F24+F47</f>
        <v>0</v>
      </c>
      <c r="G48" s="250">
        <f>G24+G47</f>
        <v>0</v>
      </c>
      <c r="H48" s="250">
        <f t="shared" si="2"/>
        <v>-1326000</v>
      </c>
      <c r="I48" s="250">
        <f t="shared" si="3"/>
        <v>0</v>
      </c>
    </row>
    <row r="49" spans="1:9">
      <c r="A49" s="239" t="s">
        <v>812</v>
      </c>
      <c r="B49" s="337"/>
      <c r="C49" s="240"/>
      <c r="D49" s="240"/>
      <c r="E49" s="240"/>
      <c r="F49" s="240"/>
      <c r="G49" s="246"/>
      <c r="H49" s="246"/>
      <c r="I49" s="246"/>
    </row>
    <row r="50" spans="1:9">
      <c r="A50" s="239" t="s">
        <v>811</v>
      </c>
      <c r="B50" s="337"/>
      <c r="C50" s="242">
        <f>C51+C75</f>
        <v>26800780.48</v>
      </c>
      <c r="D50" s="242">
        <f>D51+D75</f>
        <v>26800780.48</v>
      </c>
      <c r="E50" s="242">
        <f>E51+E75</f>
        <v>0</v>
      </c>
      <c r="F50" s="242">
        <f>F51+F75</f>
        <v>0</v>
      </c>
      <c r="G50" s="242">
        <f>G51+G75</f>
        <v>0</v>
      </c>
      <c r="H50" s="242">
        <f t="shared" ref="H50:H119" si="5">G50-D50</f>
        <v>-26800780.48</v>
      </c>
      <c r="I50" s="242">
        <f t="shared" ref="I50:I119" si="6">IF((D50=0),0,G50/D50)</f>
        <v>0</v>
      </c>
    </row>
    <row r="51" spans="1:9">
      <c r="A51" s="243" t="s">
        <v>806</v>
      </c>
      <c r="B51" s="337"/>
      <c r="C51" s="246">
        <f>SUM(C52:C74)</f>
        <v>26800780.48</v>
      </c>
      <c r="D51" s="246">
        <f>SUM(D52:D74)</f>
        <v>26800780.48</v>
      </c>
      <c r="E51" s="246">
        <f>SUM(E52:E74)</f>
        <v>0</v>
      </c>
      <c r="F51" s="246">
        <f>SUM(F52:F74)</f>
        <v>0</v>
      </c>
      <c r="G51" s="246">
        <f>SUM(G52:G74)</f>
        <v>0</v>
      </c>
      <c r="H51" s="246">
        <f t="shared" si="5"/>
        <v>-26800780.48</v>
      </c>
      <c r="I51" s="246">
        <f t="shared" si="6"/>
        <v>0</v>
      </c>
    </row>
    <row r="52" spans="1:9" hidden="1">
      <c r="A52" s="247" t="s">
        <v>194</v>
      </c>
      <c r="B52" s="339" t="s">
        <v>162</v>
      </c>
      <c r="C52" s="245">
        <f t="array" ref="C52">SUM(IF((Budget[Account Code]=B52)*(Budget[Sort Code]=$G$4),(Budget[Amount])))</f>
        <v>13640364</v>
      </c>
      <c r="D52" s="245">
        <f t="array" ref="D52">SUM(IF((Budget[Account Code]=B52)*(Budget[Sort Code]=$G$4)*(Budget[Date]&lt;=$D$7),(Budget[Amount])))</f>
        <v>13640364</v>
      </c>
      <c r="E52" s="245">
        <f t="array" ref="E52">((SUM(IF((CkDJ[Sort Code]=(TRIM(G$4)))*(CkDJ[Account Code]=(TRIM($B52)))*(CkDJ[Date]&lt;=$E$7),CkDJ[Debit])))+(SUM(IF((CsDJ[Sort Code]=(TRIM(G$4)))*(CsDJ[Account Code]=(TRIM($B52)))*(CsDJ[Date]&lt;=$E$7),CsDJ[Debit])))+(SUM(IF((CRDJ[Sort Code]=(TRIM(G$4)))*(CRDJ[Account Code]=(TRIM($B52)))*(CRDJ[Date]&lt;=$E$7),CRDJ[Debit])))+(SUM(IF((GJ[Sort Code]=(TRIM(G$4)))*(GJ[Account Code]=(TRIM($B52)))*(GJ[Date]&lt;=$E$7),GJ[Debit]))))-((SUM(IF((CkDJ[Sort Code]=(TRIM(G$4)))*(CkDJ[Account Code]=(TRIM($B52)))*(CkDJ[Date]&lt;=$E$7),CkDJ[Credit])))+(SUM(IF((CsDJ[Sort Code]=(TRIM(G$4)))*(CsDJ[Account Code]=(TRIM($B52)))*(CsDJ[Date]&lt;=$E$7),CsDJ[Credit])))+(SUM(IF((CRDJ[Sort Code]=(TRIM(G$4)))*(CRDJ[Account Code]=(TRIM($B52)))*(CRDJ[Date]&lt;=$E$7),CRDJ[Credit])))+(SUM(IF((GJ[Sort Code]=(TRIM(G$4)))*(GJ[Account Code]=(TRIM($B52)))*(GJ[Date]&lt;=$E$7),GJ[Credit]))))</f>
        <v>0</v>
      </c>
      <c r="F52" s="245">
        <f t="array" ref="F52">((SUM(IF((CkDJ[Date]=$A$3)*(CkDJ[Sort Code]=(TRIM(G$4)))*(CkDJ[Account Code]=(TRIM($B52))),CkDJ[Debit])))+(SUM(IF((CsDJ[Date]=$A$3)*(CsDJ[Sort Code]=(TRIM(G$4)))*(CsDJ[Account Code]=(TRIM($B52))),CsDJ[Debit])))+(SUM(IF((CRDJ[Date]=$A$3)*(CRDJ[Sort Code]=(TRIM(G$4)))*(CRDJ[Account Code]=(TRIM($B52))),CRDJ[Debit])))+(SUM(IF((GJ[Date]=$A$3)*(GJ[Sort Code]=(TRIM(G$4)))*(GJ[Account Code]=(TRIM($B52))),GJ[Debit]))))-((SUM(IF((CkDJ[Date]=$A$3)*(CkDJ[Sort Code]=(TRIM(G$4)))*(CkDJ[Account Code]=(TRIM($B52))),CkDJ[Credit])))+(SUM(IF((CsDJ[Date]=$A$3)*(CsDJ[Sort Code]=(TRIM(G$4)))*(CsDJ[Account Code]=(TRIM($B52))),CsDJ[Credit])))+(SUM(IF((CRDJ[Date]=$A$3)*(CRDJ[Sort Code]=(TRIM(G$4)))*(CRDJ[Account Code]=(TRIM($B52))),CRDJ[Credit])))+(SUM(IF((GJ[Date]=$A$3)*(GJ[Sort Code]=(TRIM(G$4)))*(GJ[Account Code]=(TRIM($B52))),GJ[Credit]))))</f>
        <v>0</v>
      </c>
      <c r="G52" s="343">
        <f t="shared" ref="G52:G57" si="7">E52+F52</f>
        <v>0</v>
      </c>
      <c r="H52" s="246">
        <f t="shared" si="5"/>
        <v>-13640364</v>
      </c>
      <c r="I52" s="246">
        <f t="shared" si="6"/>
        <v>0</v>
      </c>
    </row>
    <row r="53" spans="1:9" hidden="1">
      <c r="A53" s="247" t="s">
        <v>195</v>
      </c>
      <c r="B53" s="339" t="s">
        <v>163</v>
      </c>
      <c r="C53" s="245">
        <f t="array" ref="C53">SUM(IF((Budget[Account Code]=B53)*(Budget[Sort Code]=$G$4),(Budget[Amount])))</f>
        <v>7124767.9199999999</v>
      </c>
      <c r="D53" s="245">
        <f t="array" ref="D53">SUM(IF((Budget[Account Code]=B53)*(Budget[Sort Code]=$G$4)*(Budget[Date]&lt;=$D$7),(Budget[Amount])))</f>
        <v>7124767.9199999999</v>
      </c>
      <c r="E53" s="245">
        <f t="array" ref="E53">((SUM(IF((CkDJ[Sort Code]=(TRIM(G$4)))*(CkDJ[Account Code]=(TRIM($B53)))*(CkDJ[Date]&lt;=$E$7),CkDJ[Debit])))+(SUM(IF((CsDJ[Sort Code]=(TRIM(G$4)))*(CsDJ[Account Code]=(TRIM($B53)))*(CsDJ[Date]&lt;=$E$7),CsDJ[Debit])))+(SUM(IF((CRDJ[Sort Code]=(TRIM(G$4)))*(CRDJ[Account Code]=(TRIM($B53)))*(CRDJ[Date]&lt;=$E$7),CRDJ[Debit])))+(SUM(IF((GJ[Sort Code]=(TRIM(G$4)))*(GJ[Account Code]=(TRIM($B53)))*(GJ[Date]&lt;=$E$7),GJ[Debit]))))-((SUM(IF((CkDJ[Sort Code]=(TRIM(G$4)))*(CkDJ[Account Code]=(TRIM($B53)))*(CkDJ[Date]&lt;=$E$7),CkDJ[Credit])))+(SUM(IF((CsDJ[Sort Code]=(TRIM(G$4)))*(CsDJ[Account Code]=(TRIM($B53)))*(CsDJ[Date]&lt;=$E$7),CsDJ[Credit])))+(SUM(IF((CRDJ[Sort Code]=(TRIM(G$4)))*(CRDJ[Account Code]=(TRIM($B53)))*(CRDJ[Date]&lt;=$E$7),CRDJ[Credit])))+(SUM(IF((GJ[Sort Code]=(TRIM(G$4)))*(GJ[Account Code]=(TRIM($B53)))*(GJ[Date]&lt;=$E$7),GJ[Credit]))))</f>
        <v>0</v>
      </c>
      <c r="F53" s="245">
        <f t="array" ref="F53">((SUM(IF((CkDJ[Date]=$A$3)*(CkDJ[Sort Code]=(TRIM(G$4)))*(CkDJ[Account Code]=(TRIM($B53))),CkDJ[Debit])))+(SUM(IF((CsDJ[Date]=$A$3)*(CsDJ[Sort Code]=(TRIM(G$4)))*(CsDJ[Account Code]=(TRIM($B53))),CsDJ[Debit])))+(SUM(IF((CRDJ[Date]=$A$3)*(CRDJ[Sort Code]=(TRIM(G$4)))*(CRDJ[Account Code]=(TRIM($B53))),CRDJ[Debit])))+(SUM(IF((GJ[Date]=$A$3)*(GJ[Sort Code]=(TRIM(G$4)))*(GJ[Account Code]=(TRIM($B53))),GJ[Debit]))))-((SUM(IF((CkDJ[Date]=$A$3)*(CkDJ[Sort Code]=(TRIM(G$4)))*(CkDJ[Account Code]=(TRIM($B53))),CkDJ[Credit])))+(SUM(IF((CsDJ[Date]=$A$3)*(CsDJ[Sort Code]=(TRIM(G$4)))*(CsDJ[Account Code]=(TRIM($B53))),CsDJ[Credit])))+(SUM(IF((CRDJ[Date]=$A$3)*(CRDJ[Sort Code]=(TRIM(G$4)))*(CRDJ[Account Code]=(TRIM($B53))),CRDJ[Credit])))+(SUM(IF((GJ[Date]=$A$3)*(GJ[Sort Code]=(TRIM(G$4)))*(GJ[Account Code]=(TRIM($B53))),GJ[Credit]))))</f>
        <v>0</v>
      </c>
      <c r="G53" s="343">
        <f t="shared" si="7"/>
        <v>0</v>
      </c>
      <c r="H53" s="246">
        <f t="shared" si="5"/>
        <v>-7124767.9199999999</v>
      </c>
      <c r="I53" s="246">
        <f t="shared" si="6"/>
        <v>0</v>
      </c>
    </row>
    <row r="54" spans="1:9" hidden="1">
      <c r="A54" s="247" t="s">
        <v>196</v>
      </c>
      <c r="B54" s="339" t="s">
        <v>1013</v>
      </c>
      <c r="C54" s="245">
        <f t="array" ref="C54">SUM(IF((Budget[Account Code]=B54)*(Budget[Sort Code]=$G$4),(Budget[Amount])))</f>
        <v>0</v>
      </c>
      <c r="D54" s="245">
        <f t="array" ref="D54">SUM(IF((Budget[Account Code]=B54)*(Budget[Sort Code]=$G$4)*(Budget[Date]&lt;=$D$7),(Budget[Amount])))</f>
        <v>0</v>
      </c>
      <c r="E54" s="245">
        <f t="array" ref="E54">((SUM(IF((CkDJ[Sort Code]=(TRIM(G$4)))*(CkDJ[Account Code]=(TRIM($B54)))*(CkDJ[Date]&lt;=$E$7),CkDJ[Debit])))+(SUM(IF((CsDJ[Sort Code]=(TRIM(G$4)))*(CsDJ[Account Code]=(TRIM($B54)))*(CsDJ[Date]&lt;=$E$7),CsDJ[Debit])))+(SUM(IF((CRDJ[Sort Code]=(TRIM(G$4)))*(CRDJ[Account Code]=(TRIM($B54)))*(CRDJ[Date]&lt;=$E$7),CRDJ[Debit])))+(SUM(IF((GJ[Sort Code]=(TRIM(G$4)))*(GJ[Account Code]=(TRIM($B54)))*(GJ[Date]&lt;=$E$7),GJ[Debit]))))-((SUM(IF((CkDJ[Sort Code]=(TRIM(G$4)))*(CkDJ[Account Code]=(TRIM($B54)))*(CkDJ[Date]&lt;=$E$7),CkDJ[Credit])))+(SUM(IF((CsDJ[Sort Code]=(TRIM(G$4)))*(CsDJ[Account Code]=(TRIM($B54)))*(CsDJ[Date]&lt;=$E$7),CsDJ[Credit])))+(SUM(IF((CRDJ[Sort Code]=(TRIM(G$4)))*(CRDJ[Account Code]=(TRIM($B54)))*(CRDJ[Date]&lt;=$E$7),CRDJ[Credit])))+(SUM(IF((GJ[Sort Code]=(TRIM(G$4)))*(GJ[Account Code]=(TRIM($B54)))*(GJ[Date]&lt;=$E$7),GJ[Credit]))))</f>
        <v>0</v>
      </c>
      <c r="F54" s="245">
        <f t="array" ref="F54">((SUM(IF((CkDJ[Date]=$A$3)*(CkDJ[Sort Code]=(TRIM(G$4)))*(CkDJ[Account Code]=(TRIM($B54))),CkDJ[Debit])))+(SUM(IF((CsDJ[Date]=$A$3)*(CsDJ[Sort Code]=(TRIM(G$4)))*(CsDJ[Account Code]=(TRIM($B54))),CsDJ[Debit])))+(SUM(IF((CRDJ[Date]=$A$3)*(CRDJ[Sort Code]=(TRIM(G$4)))*(CRDJ[Account Code]=(TRIM($B54))),CRDJ[Debit])))+(SUM(IF((GJ[Date]=$A$3)*(GJ[Sort Code]=(TRIM(G$4)))*(GJ[Account Code]=(TRIM($B54))),GJ[Debit]))))-((SUM(IF((CkDJ[Date]=$A$3)*(CkDJ[Sort Code]=(TRIM(G$4)))*(CkDJ[Account Code]=(TRIM($B54))),CkDJ[Credit])))+(SUM(IF((CsDJ[Date]=$A$3)*(CsDJ[Sort Code]=(TRIM(G$4)))*(CsDJ[Account Code]=(TRIM($B54))),CsDJ[Credit])))+(SUM(IF((CRDJ[Date]=$A$3)*(CRDJ[Sort Code]=(TRIM(G$4)))*(CRDJ[Account Code]=(TRIM($B54))),CRDJ[Credit])))+(SUM(IF((GJ[Date]=$A$3)*(GJ[Sort Code]=(TRIM(G$4)))*(GJ[Account Code]=(TRIM($B54))),GJ[Credit]))))</f>
        <v>0</v>
      </c>
      <c r="G54" s="343">
        <f t="shared" si="7"/>
        <v>0</v>
      </c>
      <c r="H54" s="246">
        <f t="shared" si="5"/>
        <v>0</v>
      </c>
      <c r="I54" s="246">
        <f t="shared" si="6"/>
        <v>0</v>
      </c>
    </row>
    <row r="55" spans="1:9" hidden="1">
      <c r="A55" s="247" t="s">
        <v>197</v>
      </c>
      <c r="B55" s="339" t="s">
        <v>164</v>
      </c>
      <c r="C55" s="245">
        <f t="array" ref="C55">SUM(IF((Budget[Account Code]=B55)*(Budget[Sort Code]=$G$4),(Budget[Amount])))</f>
        <v>1392000</v>
      </c>
      <c r="D55" s="245">
        <f t="array" ref="D55">SUM(IF((Budget[Account Code]=B55)*(Budget[Sort Code]=$G$4)*(Budget[Date]&lt;=$D$7),(Budget[Amount])))</f>
        <v>1392000</v>
      </c>
      <c r="E55" s="245">
        <f t="array" ref="E55">((SUM(IF((CkDJ[Sort Code]=(TRIM(G$4)))*(CkDJ[Account Code]=(TRIM($B55)))*(CkDJ[Date]&lt;=$E$7),CkDJ[Debit])))+(SUM(IF((CsDJ[Sort Code]=(TRIM(G$4)))*(CsDJ[Account Code]=(TRIM($B55)))*(CsDJ[Date]&lt;=$E$7),CsDJ[Debit])))+(SUM(IF((CRDJ[Sort Code]=(TRIM(G$4)))*(CRDJ[Account Code]=(TRIM($B55)))*(CRDJ[Date]&lt;=$E$7),CRDJ[Debit])))+(SUM(IF((GJ[Sort Code]=(TRIM(G$4)))*(GJ[Account Code]=(TRIM($B55)))*(GJ[Date]&lt;=$E$7),GJ[Debit]))))-((SUM(IF((CkDJ[Sort Code]=(TRIM(G$4)))*(CkDJ[Account Code]=(TRIM($B55)))*(CkDJ[Date]&lt;=$E$7),CkDJ[Credit])))+(SUM(IF((CsDJ[Sort Code]=(TRIM(G$4)))*(CsDJ[Account Code]=(TRIM($B55)))*(CsDJ[Date]&lt;=$E$7),CsDJ[Credit])))+(SUM(IF((CRDJ[Sort Code]=(TRIM(G$4)))*(CRDJ[Account Code]=(TRIM($B55)))*(CRDJ[Date]&lt;=$E$7),CRDJ[Credit])))+(SUM(IF((GJ[Sort Code]=(TRIM(G$4)))*(GJ[Account Code]=(TRIM($B55)))*(GJ[Date]&lt;=$E$7),GJ[Credit]))))</f>
        <v>0</v>
      </c>
      <c r="F55" s="245">
        <f t="array" ref="F55">((SUM(IF((CkDJ[Date]=$A$3)*(CkDJ[Sort Code]=(TRIM(G$4)))*(CkDJ[Account Code]=(TRIM($B55))),CkDJ[Debit])))+(SUM(IF((CsDJ[Date]=$A$3)*(CsDJ[Sort Code]=(TRIM(G$4)))*(CsDJ[Account Code]=(TRIM($B55))),CsDJ[Debit])))+(SUM(IF((CRDJ[Date]=$A$3)*(CRDJ[Sort Code]=(TRIM(G$4)))*(CRDJ[Account Code]=(TRIM($B55))),CRDJ[Debit])))+(SUM(IF((GJ[Date]=$A$3)*(GJ[Sort Code]=(TRIM(G$4)))*(GJ[Account Code]=(TRIM($B55))),GJ[Debit]))))-((SUM(IF((CkDJ[Date]=$A$3)*(CkDJ[Sort Code]=(TRIM(G$4)))*(CkDJ[Account Code]=(TRIM($B55))),CkDJ[Credit])))+(SUM(IF((CsDJ[Date]=$A$3)*(CsDJ[Sort Code]=(TRIM(G$4)))*(CsDJ[Account Code]=(TRIM($B55))),CsDJ[Credit])))+(SUM(IF((CRDJ[Date]=$A$3)*(CRDJ[Sort Code]=(TRIM(G$4)))*(CRDJ[Account Code]=(TRIM($B55))),CRDJ[Credit])))+(SUM(IF((GJ[Date]=$A$3)*(GJ[Sort Code]=(TRIM(G$4)))*(GJ[Account Code]=(TRIM($B55))),GJ[Credit]))))</f>
        <v>0</v>
      </c>
      <c r="G55" s="343">
        <f t="shared" si="7"/>
        <v>0</v>
      </c>
      <c r="H55" s="246">
        <f t="shared" si="5"/>
        <v>-1392000</v>
      </c>
      <c r="I55" s="246">
        <f t="shared" si="6"/>
        <v>0</v>
      </c>
    </row>
    <row r="56" spans="1:9" hidden="1">
      <c r="A56" s="247" t="s">
        <v>198</v>
      </c>
      <c r="B56" s="339" t="s">
        <v>165</v>
      </c>
      <c r="C56" s="245">
        <f t="array" ref="C56">SUM(IF((Budget[Account Code]=B56)*(Budget[Sort Code]=$G$4),(Budget[Amount])))</f>
        <v>60000</v>
      </c>
      <c r="D56" s="245">
        <f t="array" ref="D56">SUM(IF((Budget[Account Code]=B56)*(Budget[Sort Code]=$G$4)*(Budget[Date]&lt;=$D$7),(Budget[Amount])))</f>
        <v>60000</v>
      </c>
      <c r="E56" s="245">
        <f t="array" ref="E56">((SUM(IF((CkDJ[Sort Code]=(TRIM(G$4)))*(CkDJ[Account Code]=(TRIM($B56)))*(CkDJ[Date]&lt;=$E$7),CkDJ[Debit])))+(SUM(IF((CsDJ[Sort Code]=(TRIM(G$4)))*(CsDJ[Account Code]=(TRIM($B56)))*(CsDJ[Date]&lt;=$E$7),CsDJ[Debit])))+(SUM(IF((CRDJ[Sort Code]=(TRIM(G$4)))*(CRDJ[Account Code]=(TRIM($B56)))*(CRDJ[Date]&lt;=$E$7),CRDJ[Debit])))+(SUM(IF((GJ[Sort Code]=(TRIM(G$4)))*(GJ[Account Code]=(TRIM($B56)))*(GJ[Date]&lt;=$E$7),GJ[Debit]))))-((SUM(IF((CkDJ[Sort Code]=(TRIM(G$4)))*(CkDJ[Account Code]=(TRIM($B56)))*(CkDJ[Date]&lt;=$E$7),CkDJ[Credit])))+(SUM(IF((CsDJ[Sort Code]=(TRIM(G$4)))*(CsDJ[Account Code]=(TRIM($B56)))*(CsDJ[Date]&lt;=$E$7),CsDJ[Credit])))+(SUM(IF((CRDJ[Sort Code]=(TRIM(G$4)))*(CRDJ[Account Code]=(TRIM($B56)))*(CRDJ[Date]&lt;=$E$7),CRDJ[Credit])))+(SUM(IF((GJ[Sort Code]=(TRIM(G$4)))*(GJ[Account Code]=(TRIM($B56)))*(GJ[Date]&lt;=$E$7),GJ[Credit]))))</f>
        <v>0</v>
      </c>
      <c r="F56" s="245">
        <f t="array" ref="F56">((SUM(IF((CkDJ[Date]=$A$3)*(CkDJ[Sort Code]=(TRIM(G$4)))*(CkDJ[Account Code]=(TRIM($B56))),CkDJ[Debit])))+(SUM(IF((CsDJ[Date]=$A$3)*(CsDJ[Sort Code]=(TRIM(G$4)))*(CsDJ[Account Code]=(TRIM($B56))),CsDJ[Debit])))+(SUM(IF((CRDJ[Date]=$A$3)*(CRDJ[Sort Code]=(TRIM(G$4)))*(CRDJ[Account Code]=(TRIM($B56))),CRDJ[Debit])))+(SUM(IF((GJ[Date]=$A$3)*(GJ[Sort Code]=(TRIM(G$4)))*(GJ[Account Code]=(TRIM($B56))),GJ[Debit]))))-((SUM(IF((CkDJ[Date]=$A$3)*(CkDJ[Sort Code]=(TRIM(G$4)))*(CkDJ[Account Code]=(TRIM($B56))),CkDJ[Credit])))+(SUM(IF((CsDJ[Date]=$A$3)*(CsDJ[Sort Code]=(TRIM(G$4)))*(CsDJ[Account Code]=(TRIM($B56))),CsDJ[Credit])))+(SUM(IF((CRDJ[Date]=$A$3)*(CRDJ[Sort Code]=(TRIM(G$4)))*(CRDJ[Account Code]=(TRIM($B56))),CRDJ[Credit])))+(SUM(IF((GJ[Date]=$A$3)*(GJ[Sort Code]=(TRIM(G$4)))*(GJ[Account Code]=(TRIM($B56))),GJ[Credit]))))</f>
        <v>0</v>
      </c>
      <c r="G56" s="343">
        <f t="shared" si="7"/>
        <v>0</v>
      </c>
      <c r="H56" s="246">
        <f t="shared" si="5"/>
        <v>-60000</v>
      </c>
      <c r="I56" s="246">
        <f t="shared" si="6"/>
        <v>0</v>
      </c>
    </row>
    <row r="57" spans="1:9" hidden="1">
      <c r="A57" s="247" t="s">
        <v>199</v>
      </c>
      <c r="B57" s="339" t="s">
        <v>166</v>
      </c>
      <c r="C57" s="245">
        <f t="array" ref="C57">SUM(IF((Budget[Account Code]=B57)*(Budget[Sort Code]=$G$4),(Budget[Amount])))</f>
        <v>0</v>
      </c>
      <c r="D57" s="245">
        <f t="array" ref="D57">SUM(IF((Budget[Account Code]=B57)*(Budget[Sort Code]=$G$4)*(Budget[Date]&lt;=$D$7),(Budget[Amount])))</f>
        <v>0</v>
      </c>
      <c r="E57" s="245">
        <f t="array" ref="E57">((SUM(IF((CkDJ[Sort Code]=(TRIM(G$4)))*(CkDJ[Account Code]=(TRIM($B57)))*(CkDJ[Date]&lt;=$E$7),CkDJ[Debit])))+(SUM(IF((CsDJ[Sort Code]=(TRIM(G$4)))*(CsDJ[Account Code]=(TRIM($B57)))*(CsDJ[Date]&lt;=$E$7),CsDJ[Debit])))+(SUM(IF((CRDJ[Sort Code]=(TRIM(G$4)))*(CRDJ[Account Code]=(TRIM($B57)))*(CRDJ[Date]&lt;=$E$7),CRDJ[Debit])))+(SUM(IF((GJ[Sort Code]=(TRIM(G$4)))*(GJ[Account Code]=(TRIM($B57)))*(GJ[Date]&lt;=$E$7),GJ[Debit]))))-((SUM(IF((CkDJ[Sort Code]=(TRIM(G$4)))*(CkDJ[Account Code]=(TRIM($B57)))*(CkDJ[Date]&lt;=$E$7),CkDJ[Credit])))+(SUM(IF((CsDJ[Sort Code]=(TRIM(G$4)))*(CsDJ[Account Code]=(TRIM($B57)))*(CsDJ[Date]&lt;=$E$7),CsDJ[Credit])))+(SUM(IF((CRDJ[Sort Code]=(TRIM(G$4)))*(CRDJ[Account Code]=(TRIM($B57)))*(CRDJ[Date]&lt;=$E$7),CRDJ[Credit])))+(SUM(IF((GJ[Sort Code]=(TRIM(G$4)))*(GJ[Account Code]=(TRIM($B57)))*(GJ[Date]&lt;=$E$7),GJ[Credit]))))</f>
        <v>0</v>
      </c>
      <c r="F57" s="245">
        <f t="array" ref="F57">((SUM(IF((CkDJ[Date]=$A$3)*(CkDJ[Sort Code]=(TRIM(G$4)))*(CkDJ[Account Code]=(TRIM($B57))),CkDJ[Debit])))+(SUM(IF((CsDJ[Date]=$A$3)*(CsDJ[Sort Code]=(TRIM(G$4)))*(CsDJ[Account Code]=(TRIM($B57))),CsDJ[Debit])))+(SUM(IF((CRDJ[Date]=$A$3)*(CRDJ[Sort Code]=(TRIM(G$4)))*(CRDJ[Account Code]=(TRIM($B57))),CRDJ[Debit])))+(SUM(IF((GJ[Date]=$A$3)*(GJ[Sort Code]=(TRIM(G$4)))*(GJ[Account Code]=(TRIM($B57))),GJ[Debit]))))-((SUM(IF((CkDJ[Date]=$A$3)*(CkDJ[Sort Code]=(TRIM(G$4)))*(CkDJ[Account Code]=(TRIM($B57))),CkDJ[Credit])))+(SUM(IF((CsDJ[Date]=$A$3)*(CsDJ[Sort Code]=(TRIM(G$4)))*(CsDJ[Account Code]=(TRIM($B57))),CsDJ[Credit])))+(SUM(IF((CRDJ[Date]=$A$3)*(CRDJ[Sort Code]=(TRIM(G$4)))*(CRDJ[Account Code]=(TRIM($B57))),CRDJ[Credit])))+(SUM(IF((GJ[Date]=$A$3)*(GJ[Sort Code]=(TRIM(G$4)))*(GJ[Account Code]=(TRIM($B57))),GJ[Credit]))))</f>
        <v>0</v>
      </c>
      <c r="G57" s="343">
        <f t="shared" si="7"/>
        <v>0</v>
      </c>
      <c r="H57" s="246">
        <f t="shared" si="5"/>
        <v>0</v>
      </c>
      <c r="I57" s="246">
        <f t="shared" si="6"/>
        <v>0</v>
      </c>
    </row>
    <row r="58" spans="1:9" hidden="1">
      <c r="A58" s="247" t="s">
        <v>200</v>
      </c>
      <c r="B58" s="339" t="s">
        <v>167</v>
      </c>
      <c r="C58" s="245">
        <f t="array" ref="C58">SUM(IF((Budget[Account Code]=B58)*(Budget[Sort Code]=$G$4),(Budget[Amount])))</f>
        <v>0</v>
      </c>
      <c r="D58" s="245">
        <f t="array" ref="D58">SUM(IF((Budget[Account Code]=B58)*(Budget[Sort Code]=$G$4)*(Budget[Date]&lt;=$D$7),(Budget[Amount])))</f>
        <v>0</v>
      </c>
      <c r="E58" s="245">
        <f t="array" ref="E58">((SUM(IF((CkDJ[Sort Code]=(TRIM(G$4)))*(CkDJ[Account Code]=(TRIM($B58)))*(CkDJ[Date]&lt;=$E$7),CkDJ[Debit])))+(SUM(IF((CsDJ[Sort Code]=(TRIM(G$4)))*(CsDJ[Account Code]=(TRIM($B58)))*(CsDJ[Date]&lt;=$E$7),CsDJ[Debit])))+(SUM(IF((CRDJ[Sort Code]=(TRIM(G$4)))*(CRDJ[Account Code]=(TRIM($B58)))*(CRDJ[Date]&lt;=$E$7),CRDJ[Debit])))+(SUM(IF((GJ[Sort Code]=(TRIM(G$4)))*(GJ[Account Code]=(TRIM($B58)))*(GJ[Date]&lt;=$E$7),GJ[Debit]))))-((SUM(IF((CkDJ[Sort Code]=(TRIM(G$4)))*(CkDJ[Account Code]=(TRIM($B58)))*(CkDJ[Date]&lt;=$E$7),CkDJ[Credit])))+(SUM(IF((CsDJ[Sort Code]=(TRIM(G$4)))*(CsDJ[Account Code]=(TRIM($B58)))*(CsDJ[Date]&lt;=$E$7),CsDJ[Credit])))+(SUM(IF((CRDJ[Sort Code]=(TRIM(G$4)))*(CRDJ[Account Code]=(TRIM($B58)))*(CRDJ[Date]&lt;=$E$7),CRDJ[Credit])))+(SUM(IF((GJ[Sort Code]=(TRIM(G$4)))*(GJ[Account Code]=(TRIM($B58)))*(GJ[Date]&lt;=$E$7),GJ[Credit]))))</f>
        <v>0</v>
      </c>
      <c r="F58" s="245">
        <f t="array" ref="F58">((SUM(IF((CkDJ[Date]=$A$3)*(CkDJ[Sort Code]=(TRIM(G$4)))*(CkDJ[Account Code]=(TRIM($B58))),CkDJ[Debit])))+(SUM(IF((CsDJ[Date]=$A$3)*(CsDJ[Sort Code]=(TRIM(G$4)))*(CsDJ[Account Code]=(TRIM($B58))),CsDJ[Debit])))+(SUM(IF((CRDJ[Date]=$A$3)*(CRDJ[Sort Code]=(TRIM(G$4)))*(CRDJ[Account Code]=(TRIM($B58))),CRDJ[Debit])))+(SUM(IF((GJ[Date]=$A$3)*(GJ[Sort Code]=(TRIM(G$4)))*(GJ[Account Code]=(TRIM($B58))),GJ[Debit]))))-((SUM(IF((CkDJ[Date]=$A$3)*(CkDJ[Sort Code]=(TRIM(G$4)))*(CkDJ[Account Code]=(TRIM($B58))),CkDJ[Credit])))+(SUM(IF((CsDJ[Date]=$A$3)*(CsDJ[Sort Code]=(TRIM(G$4)))*(CsDJ[Account Code]=(TRIM($B58))),CsDJ[Credit])))+(SUM(IF((CRDJ[Date]=$A$3)*(CRDJ[Sort Code]=(TRIM(G$4)))*(CRDJ[Account Code]=(TRIM($B58))),CRDJ[Credit])))+(SUM(IF((GJ[Date]=$A$3)*(GJ[Sort Code]=(TRIM(G$4)))*(GJ[Account Code]=(TRIM($B58))),GJ[Credit]))))</f>
        <v>0</v>
      </c>
      <c r="G58" s="343">
        <f>E58+F58</f>
        <v>0</v>
      </c>
      <c r="H58" s="246">
        <f t="shared" si="5"/>
        <v>0</v>
      </c>
      <c r="I58" s="246">
        <f t="shared" si="6"/>
        <v>0</v>
      </c>
    </row>
    <row r="59" spans="1:9" hidden="1">
      <c r="A59" s="247" t="s">
        <v>1476</v>
      </c>
      <c r="B59" s="339" t="s">
        <v>1262</v>
      </c>
      <c r="C59" s="245">
        <f t="array" ref="C59">SUM(IF((Budget[Account Code]=B59)*(Budget[Sort Code]=$G$4),(Budget[Amount])))</f>
        <v>0</v>
      </c>
      <c r="D59" s="245">
        <f t="array" ref="D59">SUM(IF((Budget[Account Code]=B59)*(Budget[Sort Code]=$G$4)*(Budget[Date]&lt;=$D$7),(Budget[Amount])))</f>
        <v>0</v>
      </c>
      <c r="E59" s="245">
        <f t="array" ref="E59">((SUM(IF((CkDJ[Sort Code]=(TRIM(G$4)))*(CkDJ[Account Code]=(TRIM($B59)))*(CkDJ[Date]&lt;=$E$7),CkDJ[Debit])))+(SUM(IF((CsDJ[Sort Code]=(TRIM(G$4)))*(CsDJ[Account Code]=(TRIM($B59)))*(CsDJ[Date]&lt;=$E$7),CsDJ[Debit])))+(SUM(IF((CRDJ[Sort Code]=(TRIM(G$4)))*(CRDJ[Account Code]=(TRIM($B59)))*(CRDJ[Date]&lt;=$E$7),CRDJ[Debit])))+(SUM(IF((GJ[Sort Code]=(TRIM(G$4)))*(GJ[Account Code]=(TRIM($B59)))*(GJ[Date]&lt;=$E$7),GJ[Debit]))))-((SUM(IF((CkDJ[Sort Code]=(TRIM(G$4)))*(CkDJ[Account Code]=(TRIM($B59)))*(CkDJ[Date]&lt;=$E$7),CkDJ[Credit])))+(SUM(IF((CsDJ[Sort Code]=(TRIM(G$4)))*(CsDJ[Account Code]=(TRIM($B59)))*(CsDJ[Date]&lt;=$E$7),CsDJ[Credit])))+(SUM(IF((CRDJ[Sort Code]=(TRIM(G$4)))*(CRDJ[Account Code]=(TRIM($B59)))*(CRDJ[Date]&lt;=$E$7),CRDJ[Credit])))+(SUM(IF((GJ[Sort Code]=(TRIM(G$4)))*(GJ[Account Code]=(TRIM($B59)))*(GJ[Date]&lt;=$E$7),GJ[Credit]))))</f>
        <v>0</v>
      </c>
      <c r="F59" s="245">
        <f t="array" ref="F59">((SUM(IF((CkDJ[Date]=$A$3)*(CkDJ[Sort Code]=(TRIM(G$4)))*(CkDJ[Account Code]=(TRIM($B59))),CkDJ[Debit])))+(SUM(IF((CsDJ[Date]=$A$3)*(CsDJ[Sort Code]=(TRIM(G$4)))*(CsDJ[Account Code]=(TRIM($B59))),CsDJ[Debit])))+(SUM(IF((CRDJ[Date]=$A$3)*(CRDJ[Sort Code]=(TRIM(G$4)))*(CRDJ[Account Code]=(TRIM($B59))),CRDJ[Debit])))+(SUM(IF((GJ[Date]=$A$3)*(GJ[Sort Code]=(TRIM(G$4)))*(GJ[Account Code]=(TRIM($B59))),GJ[Debit]))))-((SUM(IF((CkDJ[Date]=$A$3)*(CkDJ[Sort Code]=(TRIM(G$4)))*(CkDJ[Account Code]=(TRIM($B59))),CkDJ[Credit])))+(SUM(IF((CsDJ[Date]=$A$3)*(CsDJ[Sort Code]=(TRIM(G$4)))*(CsDJ[Account Code]=(TRIM($B59))),CsDJ[Credit])))+(SUM(IF((CRDJ[Date]=$A$3)*(CRDJ[Sort Code]=(TRIM(G$4)))*(CRDJ[Account Code]=(TRIM($B59))),CRDJ[Credit])))+(SUM(IF((GJ[Date]=$A$3)*(GJ[Sort Code]=(TRIM(G$4)))*(GJ[Account Code]=(TRIM($B59))),GJ[Credit]))))</f>
        <v>0</v>
      </c>
      <c r="G59" s="343">
        <f>E59+F59</f>
        <v>0</v>
      </c>
      <c r="H59" s="246">
        <f>G59-D59</f>
        <v>0</v>
      </c>
      <c r="I59" s="246">
        <f>IF((D59=0),0,G59/D59)</f>
        <v>0</v>
      </c>
    </row>
    <row r="60" spans="1:9" hidden="1">
      <c r="A60" s="247" t="s">
        <v>204</v>
      </c>
      <c r="B60" s="339" t="s">
        <v>171</v>
      </c>
      <c r="C60" s="245">
        <f t="array" ref="C60">SUM(IF((Budget[Account Code]=B60)*(Budget[Sort Code]=$G$4),(Budget[Amount])))</f>
        <v>0</v>
      </c>
      <c r="D60" s="245">
        <f t="array" ref="D60">SUM(IF((Budget[Account Code]=B60)*(Budget[Sort Code]=$G$4)*(Budget[Date]&lt;=$D$7),(Budget[Amount])))</f>
        <v>0</v>
      </c>
      <c r="E60" s="245">
        <f t="array" ref="E60">((SUM(IF((CkDJ[Sort Code]=(TRIM(G$4)))*(CkDJ[Account Code]=(TRIM($B60)))*(CkDJ[Date]&lt;=$E$7),CkDJ[Debit])))+(SUM(IF((CsDJ[Sort Code]=(TRIM(G$4)))*(CsDJ[Account Code]=(TRIM($B60)))*(CsDJ[Date]&lt;=$E$7),CsDJ[Debit])))+(SUM(IF((CRDJ[Sort Code]=(TRIM(G$4)))*(CRDJ[Account Code]=(TRIM($B60)))*(CRDJ[Date]&lt;=$E$7),CRDJ[Debit])))+(SUM(IF((GJ[Sort Code]=(TRIM(G$4)))*(GJ[Account Code]=(TRIM($B60)))*(GJ[Date]&lt;=$E$7),GJ[Debit]))))-((SUM(IF((CkDJ[Sort Code]=(TRIM(G$4)))*(CkDJ[Account Code]=(TRIM($B60)))*(CkDJ[Date]&lt;=$E$7),CkDJ[Credit])))+(SUM(IF((CsDJ[Sort Code]=(TRIM(G$4)))*(CsDJ[Account Code]=(TRIM($B60)))*(CsDJ[Date]&lt;=$E$7),CsDJ[Credit])))+(SUM(IF((CRDJ[Sort Code]=(TRIM(G$4)))*(CRDJ[Account Code]=(TRIM($B60)))*(CRDJ[Date]&lt;=$E$7),CRDJ[Credit])))+(SUM(IF((GJ[Sort Code]=(TRIM(G$4)))*(GJ[Account Code]=(TRIM($B60)))*(GJ[Date]&lt;=$E$7),GJ[Credit]))))</f>
        <v>0</v>
      </c>
      <c r="F60" s="245">
        <f t="array" ref="F60">((SUM(IF((CkDJ[Date]=$A$3)*(CkDJ[Sort Code]=(TRIM(G$4)))*(CkDJ[Account Code]=(TRIM($B60))),CkDJ[Debit])))+(SUM(IF((CsDJ[Date]=$A$3)*(CsDJ[Sort Code]=(TRIM(G$4)))*(CsDJ[Account Code]=(TRIM($B60))),CsDJ[Debit])))+(SUM(IF((CRDJ[Date]=$A$3)*(CRDJ[Sort Code]=(TRIM(G$4)))*(CRDJ[Account Code]=(TRIM($B60))),CRDJ[Debit])))+(SUM(IF((GJ[Date]=$A$3)*(GJ[Sort Code]=(TRIM(G$4)))*(GJ[Account Code]=(TRIM($B60))),GJ[Debit]))))-((SUM(IF((CkDJ[Date]=$A$3)*(CkDJ[Sort Code]=(TRIM(G$4)))*(CkDJ[Account Code]=(TRIM($B60))),CkDJ[Credit])))+(SUM(IF((CsDJ[Date]=$A$3)*(CsDJ[Sort Code]=(TRIM(G$4)))*(CsDJ[Account Code]=(TRIM($B60))),CsDJ[Credit])))+(SUM(IF((CRDJ[Date]=$A$3)*(CRDJ[Sort Code]=(TRIM(G$4)))*(CRDJ[Account Code]=(TRIM($B60))),CRDJ[Credit])))+(SUM(IF((GJ[Date]=$A$3)*(GJ[Sort Code]=(TRIM(G$4)))*(GJ[Account Code]=(TRIM($B60))),GJ[Credit]))))</f>
        <v>0</v>
      </c>
      <c r="G60" s="343">
        <f t="shared" ref="G60:G74" si="8">E60+F60</f>
        <v>0</v>
      </c>
      <c r="H60" s="246">
        <f t="shared" si="5"/>
        <v>0</v>
      </c>
      <c r="I60" s="246">
        <f t="shared" si="6"/>
        <v>0</v>
      </c>
    </row>
    <row r="61" spans="1:9" hidden="1">
      <c r="A61" s="247" t="s">
        <v>201</v>
      </c>
      <c r="B61" s="339" t="s">
        <v>5</v>
      </c>
      <c r="C61" s="245">
        <f t="array" ref="C61">SUM(IF((Budget[Account Code]=B61)*(Budget[Sort Code]=$G$4),(Budget[Amount])))</f>
        <v>43200</v>
      </c>
      <c r="D61" s="245">
        <f t="array" ref="D61">SUM(IF((Budget[Account Code]=B61)*(Budget[Sort Code]=$G$4)*(Budget[Date]&lt;=$D$7),(Budget[Amount])))</f>
        <v>43200</v>
      </c>
      <c r="E61" s="245">
        <f t="array" ref="E61">((SUM(IF((CkDJ[Sort Code]=(TRIM(G$4)))*(CkDJ[Account Code]=(TRIM($B61)))*(CkDJ[Date]&lt;=$E$7),CkDJ[Debit])))+(SUM(IF((CsDJ[Sort Code]=(TRIM(G$4)))*(CsDJ[Account Code]=(TRIM($B61)))*(CsDJ[Date]&lt;=$E$7),CsDJ[Debit])))+(SUM(IF((CRDJ[Sort Code]=(TRIM(G$4)))*(CRDJ[Account Code]=(TRIM($B61)))*(CRDJ[Date]&lt;=$E$7),CRDJ[Debit])))+(SUM(IF((GJ[Sort Code]=(TRIM(G$4)))*(GJ[Account Code]=(TRIM($B61)))*(GJ[Date]&lt;=$E$7),GJ[Debit]))))-((SUM(IF((CkDJ[Sort Code]=(TRIM(G$4)))*(CkDJ[Account Code]=(TRIM($B61)))*(CkDJ[Date]&lt;=$E$7),CkDJ[Credit])))+(SUM(IF((CsDJ[Sort Code]=(TRIM(G$4)))*(CsDJ[Account Code]=(TRIM($B61)))*(CsDJ[Date]&lt;=$E$7),CsDJ[Credit])))+(SUM(IF((CRDJ[Sort Code]=(TRIM(G$4)))*(CRDJ[Account Code]=(TRIM($B61)))*(CRDJ[Date]&lt;=$E$7),CRDJ[Credit])))+(SUM(IF((GJ[Sort Code]=(TRIM(G$4)))*(GJ[Account Code]=(TRIM($B61)))*(GJ[Date]&lt;=$E$7),GJ[Credit]))))</f>
        <v>0</v>
      </c>
      <c r="F61" s="245">
        <f t="array" ref="F61">((SUM(IF((CkDJ[Date]=$A$3)*(CkDJ[Sort Code]=(TRIM(G$4)))*(CkDJ[Account Code]=(TRIM($B61))),CkDJ[Debit])))+(SUM(IF((CsDJ[Date]=$A$3)*(CsDJ[Sort Code]=(TRIM(G$4)))*(CsDJ[Account Code]=(TRIM($B61))),CsDJ[Debit])))+(SUM(IF((CRDJ[Date]=$A$3)*(CRDJ[Sort Code]=(TRIM(G$4)))*(CRDJ[Account Code]=(TRIM($B61))),CRDJ[Debit])))+(SUM(IF((GJ[Date]=$A$3)*(GJ[Sort Code]=(TRIM(G$4)))*(GJ[Account Code]=(TRIM($B61))),GJ[Debit]))))-((SUM(IF((CkDJ[Date]=$A$3)*(CkDJ[Sort Code]=(TRIM(G$4)))*(CkDJ[Account Code]=(TRIM($B61))),CkDJ[Credit])))+(SUM(IF((CsDJ[Date]=$A$3)*(CsDJ[Sort Code]=(TRIM(G$4)))*(CsDJ[Account Code]=(TRIM($B61))),CsDJ[Credit])))+(SUM(IF((CRDJ[Date]=$A$3)*(CRDJ[Sort Code]=(TRIM(G$4)))*(CRDJ[Account Code]=(TRIM($B61))),CRDJ[Credit])))+(SUM(IF((GJ[Date]=$A$3)*(GJ[Sort Code]=(TRIM(G$4)))*(GJ[Account Code]=(TRIM($B61))),GJ[Credit]))))</f>
        <v>0</v>
      </c>
      <c r="G61" s="343">
        <f t="shared" si="8"/>
        <v>0</v>
      </c>
      <c r="H61" s="246">
        <f t="shared" si="5"/>
        <v>-43200</v>
      </c>
      <c r="I61" s="246">
        <f t="shared" si="6"/>
        <v>0</v>
      </c>
    </row>
    <row r="62" spans="1:9" hidden="1">
      <c r="A62" s="247" t="s">
        <v>202</v>
      </c>
      <c r="B62" s="339" t="s">
        <v>6</v>
      </c>
      <c r="C62" s="245">
        <f t="array" ref="C62">SUM(IF((Budget[Account Code]=B62)*(Budget[Sort Code]=$G$4),(Budget[Amount])))</f>
        <v>14256</v>
      </c>
      <c r="D62" s="245">
        <f t="array" ref="D62">SUM(IF((Budget[Account Code]=B62)*(Budget[Sort Code]=$G$4)*(Budget[Date]&lt;=$D$7),(Budget[Amount])))</f>
        <v>14256</v>
      </c>
      <c r="E62" s="245">
        <f t="array" ref="E62">((SUM(IF((CkDJ[Sort Code]=(TRIM(G$4)))*(CkDJ[Account Code]=(TRIM($B62)))*(CkDJ[Date]&lt;=$E$7),CkDJ[Debit])))+(SUM(IF((CsDJ[Sort Code]=(TRIM(G$4)))*(CsDJ[Account Code]=(TRIM($B62)))*(CsDJ[Date]&lt;=$E$7),CsDJ[Debit])))+(SUM(IF((CRDJ[Sort Code]=(TRIM(G$4)))*(CRDJ[Account Code]=(TRIM($B62)))*(CRDJ[Date]&lt;=$E$7),CRDJ[Debit])))+(SUM(IF((GJ[Sort Code]=(TRIM(G$4)))*(GJ[Account Code]=(TRIM($B62)))*(GJ[Date]&lt;=$E$7),GJ[Debit]))))-((SUM(IF((CkDJ[Sort Code]=(TRIM(G$4)))*(CkDJ[Account Code]=(TRIM($B62)))*(CkDJ[Date]&lt;=$E$7),CkDJ[Credit])))+(SUM(IF((CsDJ[Sort Code]=(TRIM(G$4)))*(CsDJ[Account Code]=(TRIM($B62)))*(CsDJ[Date]&lt;=$E$7),CsDJ[Credit])))+(SUM(IF((CRDJ[Sort Code]=(TRIM(G$4)))*(CRDJ[Account Code]=(TRIM($B62)))*(CRDJ[Date]&lt;=$E$7),CRDJ[Credit])))+(SUM(IF((GJ[Sort Code]=(TRIM(G$4)))*(GJ[Account Code]=(TRIM($B62)))*(GJ[Date]&lt;=$E$7),GJ[Credit]))))</f>
        <v>0</v>
      </c>
      <c r="F62" s="245">
        <f t="array" ref="F62">((SUM(IF((CkDJ[Date]=$A$3)*(CkDJ[Sort Code]=(TRIM(G$4)))*(CkDJ[Account Code]=(TRIM($B62))),CkDJ[Debit])))+(SUM(IF((CsDJ[Date]=$A$3)*(CsDJ[Sort Code]=(TRIM(G$4)))*(CsDJ[Account Code]=(TRIM($B62))),CsDJ[Debit])))+(SUM(IF((CRDJ[Date]=$A$3)*(CRDJ[Sort Code]=(TRIM(G$4)))*(CRDJ[Account Code]=(TRIM($B62))),CRDJ[Debit])))+(SUM(IF((GJ[Date]=$A$3)*(GJ[Sort Code]=(TRIM(G$4)))*(GJ[Account Code]=(TRIM($B62))),GJ[Debit]))))-((SUM(IF((CkDJ[Date]=$A$3)*(CkDJ[Sort Code]=(TRIM(G$4)))*(CkDJ[Account Code]=(TRIM($B62))),CkDJ[Credit])))+(SUM(IF((CsDJ[Date]=$A$3)*(CsDJ[Sort Code]=(TRIM(G$4)))*(CsDJ[Account Code]=(TRIM($B62))),CsDJ[Credit])))+(SUM(IF((CRDJ[Date]=$A$3)*(CRDJ[Sort Code]=(TRIM(G$4)))*(CRDJ[Account Code]=(TRIM($B62))),CRDJ[Credit])))+(SUM(IF((GJ[Date]=$A$3)*(GJ[Sort Code]=(TRIM(G$4)))*(GJ[Account Code]=(TRIM($B62))),GJ[Credit]))))</f>
        <v>0</v>
      </c>
      <c r="G62" s="343">
        <f t="shared" si="8"/>
        <v>0</v>
      </c>
      <c r="H62" s="246">
        <f t="shared" si="5"/>
        <v>-14256</v>
      </c>
      <c r="I62" s="246">
        <f t="shared" si="6"/>
        <v>0</v>
      </c>
    </row>
    <row r="63" spans="1:9" hidden="1">
      <c r="A63" s="247" t="s">
        <v>203</v>
      </c>
      <c r="B63" s="339" t="s">
        <v>7</v>
      </c>
      <c r="C63" s="245">
        <f t="array" ref="C63">SUM(IF((Budget[Account Code]=B63)*(Budget[Sort Code]=$G$4),(Budget[Amount])))</f>
        <v>1800</v>
      </c>
      <c r="D63" s="245">
        <f t="array" ref="D63">SUM(IF((Budget[Account Code]=B63)*(Budget[Sort Code]=$G$4)*(Budget[Date]&lt;=$D$7),(Budget[Amount])))</f>
        <v>1800</v>
      </c>
      <c r="E63" s="245">
        <f t="array" ref="E63">((SUM(IF((CkDJ[Sort Code]=(TRIM(G$4)))*(CkDJ[Account Code]=(TRIM($B63)))*(CkDJ[Date]&lt;=$E$7),CkDJ[Debit])))+(SUM(IF((CsDJ[Sort Code]=(TRIM(G$4)))*(CsDJ[Account Code]=(TRIM($B63)))*(CsDJ[Date]&lt;=$E$7),CsDJ[Debit])))+(SUM(IF((CRDJ[Sort Code]=(TRIM(G$4)))*(CRDJ[Account Code]=(TRIM($B63)))*(CRDJ[Date]&lt;=$E$7),CRDJ[Debit])))+(SUM(IF((GJ[Sort Code]=(TRIM(G$4)))*(GJ[Account Code]=(TRIM($B63)))*(GJ[Date]&lt;=$E$7),GJ[Debit]))))-((SUM(IF((CkDJ[Sort Code]=(TRIM(G$4)))*(CkDJ[Account Code]=(TRIM($B63)))*(CkDJ[Date]&lt;=$E$7),CkDJ[Credit])))+(SUM(IF((CsDJ[Sort Code]=(TRIM(G$4)))*(CsDJ[Account Code]=(TRIM($B63)))*(CsDJ[Date]&lt;=$E$7),CsDJ[Credit])))+(SUM(IF((CRDJ[Sort Code]=(TRIM(G$4)))*(CRDJ[Account Code]=(TRIM($B63)))*(CRDJ[Date]&lt;=$E$7),CRDJ[Credit])))+(SUM(IF((GJ[Sort Code]=(TRIM(G$4)))*(GJ[Account Code]=(TRIM($B63)))*(GJ[Date]&lt;=$E$7),GJ[Credit]))))</f>
        <v>0</v>
      </c>
      <c r="F63" s="245">
        <f t="array" ref="F63">((SUM(IF((CkDJ[Date]=$A$3)*(CkDJ[Sort Code]=(TRIM(G$4)))*(CkDJ[Account Code]=(TRIM($B63))),CkDJ[Debit])))+(SUM(IF((CsDJ[Date]=$A$3)*(CsDJ[Sort Code]=(TRIM(G$4)))*(CsDJ[Account Code]=(TRIM($B63))),CsDJ[Debit])))+(SUM(IF((CRDJ[Date]=$A$3)*(CRDJ[Sort Code]=(TRIM(G$4)))*(CRDJ[Account Code]=(TRIM($B63))),CRDJ[Debit])))+(SUM(IF((GJ[Date]=$A$3)*(GJ[Sort Code]=(TRIM(G$4)))*(GJ[Account Code]=(TRIM($B63))),GJ[Debit]))))-((SUM(IF((CkDJ[Date]=$A$3)*(CkDJ[Sort Code]=(TRIM(G$4)))*(CkDJ[Account Code]=(TRIM($B63))),CkDJ[Credit])))+(SUM(IF((CsDJ[Date]=$A$3)*(CsDJ[Sort Code]=(TRIM(G$4)))*(CsDJ[Account Code]=(TRIM($B63))),CsDJ[Credit])))+(SUM(IF((CRDJ[Date]=$A$3)*(CRDJ[Sort Code]=(TRIM(G$4)))*(CRDJ[Account Code]=(TRIM($B63))),CRDJ[Credit])))+(SUM(IF((GJ[Date]=$A$3)*(GJ[Sort Code]=(TRIM(G$4)))*(GJ[Account Code]=(TRIM($B63))),GJ[Credit]))))</f>
        <v>0</v>
      </c>
      <c r="G63" s="343">
        <f t="shared" si="8"/>
        <v>0</v>
      </c>
      <c r="H63" s="246">
        <f t="shared" si="5"/>
        <v>-1800</v>
      </c>
      <c r="I63" s="246">
        <f t="shared" si="6"/>
        <v>0</v>
      </c>
    </row>
    <row r="64" spans="1:9">
      <c r="A64" s="247" t="s">
        <v>1378</v>
      </c>
      <c r="B64" s="339" t="s">
        <v>169</v>
      </c>
      <c r="C64" s="245">
        <f t="array" ref="C64">SUM(IF((Budget[Account Code]=B64)*(Budget[Sort Code]=$G$4),(Budget[Amount])))</f>
        <v>0</v>
      </c>
      <c r="D64" s="245">
        <f t="array" ref="D64">SUM(IF((Budget[Account Code]=B64)*(Budget[Sort Code]=$G$4)*(Budget[Date]&lt;=$D$7),(Budget[Amount])))</f>
        <v>0</v>
      </c>
      <c r="E64" s="245">
        <f t="array" ref="E64">((SUM(IF((CkDJ[Sort Code]=(TRIM(G$4)))*(CkDJ[Account Code]=(TRIM($B64)))*(CkDJ[Date]&lt;=$E$7),CkDJ[Debit])))+(SUM(IF((CsDJ[Sort Code]=(TRIM(G$4)))*(CsDJ[Account Code]=(TRIM($B64)))*(CsDJ[Date]&lt;=$E$7),CsDJ[Debit])))+(SUM(IF((CRDJ[Sort Code]=(TRIM(G$4)))*(CRDJ[Account Code]=(TRIM($B64)))*(CRDJ[Date]&lt;=$E$7),CRDJ[Debit])))+(SUM(IF((GJ[Sort Code]=(TRIM(G$4)))*(GJ[Account Code]=(TRIM($B64)))*(GJ[Date]&lt;=$E$7),GJ[Debit]))))-((SUM(IF((CkDJ[Sort Code]=(TRIM(G$4)))*(CkDJ[Account Code]=(TRIM($B64)))*(CkDJ[Date]&lt;=$E$7),CkDJ[Credit])))+(SUM(IF((CsDJ[Sort Code]=(TRIM(G$4)))*(CsDJ[Account Code]=(TRIM($B64)))*(CsDJ[Date]&lt;=$E$7),CsDJ[Credit])))+(SUM(IF((CRDJ[Sort Code]=(TRIM(G$4)))*(CRDJ[Account Code]=(TRIM($B64)))*(CRDJ[Date]&lt;=$E$7),CRDJ[Credit])))+(SUM(IF((GJ[Sort Code]=(TRIM(G$4)))*(GJ[Account Code]=(TRIM($B64)))*(GJ[Date]&lt;=$E$7),GJ[Credit]))))</f>
        <v>0</v>
      </c>
      <c r="F64" s="245">
        <f t="array" ref="F64">((SUM(IF((CkDJ[Date]=$A$3)*(CkDJ[Sort Code]=(TRIM(G$4)))*(CkDJ[Account Code]=(TRIM($B64))),CkDJ[Debit])))+(SUM(IF((CsDJ[Date]=$A$3)*(CsDJ[Sort Code]=(TRIM(G$4)))*(CsDJ[Account Code]=(TRIM($B64))),CsDJ[Debit])))+(SUM(IF((CRDJ[Date]=$A$3)*(CRDJ[Sort Code]=(TRIM(G$4)))*(CRDJ[Account Code]=(TRIM($B64))),CRDJ[Debit])))+(SUM(IF((GJ[Date]=$A$3)*(GJ[Sort Code]=(TRIM(G$4)))*(GJ[Account Code]=(TRIM($B64))),GJ[Debit]))))-((SUM(IF((CkDJ[Date]=$A$3)*(CkDJ[Sort Code]=(TRIM(G$4)))*(CkDJ[Account Code]=(TRIM($B64))),CkDJ[Credit])))+(SUM(IF((CsDJ[Date]=$A$3)*(CsDJ[Sort Code]=(TRIM(G$4)))*(CsDJ[Account Code]=(TRIM($B64))),CsDJ[Credit])))+(SUM(IF((CRDJ[Date]=$A$3)*(CRDJ[Sort Code]=(TRIM(G$4)))*(CRDJ[Account Code]=(TRIM($B64))),CRDJ[Credit])))+(SUM(IF((GJ[Date]=$A$3)*(GJ[Sort Code]=(TRIM(G$4)))*(GJ[Account Code]=(TRIM($B64))),GJ[Credit]))))</f>
        <v>0</v>
      </c>
      <c r="G64" s="343">
        <f t="shared" si="8"/>
        <v>0</v>
      </c>
      <c r="H64" s="246">
        <f t="shared" si="5"/>
        <v>0</v>
      </c>
      <c r="I64" s="246">
        <f t="shared" si="6"/>
        <v>0</v>
      </c>
    </row>
    <row r="65" spans="1:9" hidden="1">
      <c r="A65" s="247" t="s">
        <v>206</v>
      </c>
      <c r="B65" s="339" t="s">
        <v>173</v>
      </c>
      <c r="C65" s="245">
        <f t="array" ref="C65">SUM(IF((Budget[Account Code]=B65)*(Budget[Sort Code]=$G$4),(Budget[Amount])))</f>
        <v>0</v>
      </c>
      <c r="D65" s="245">
        <f t="array" ref="D65">SUM(IF((Budget[Account Code]=B65)*(Budget[Sort Code]=$G$4)*(Budget[Date]&lt;=$D$7),(Budget[Amount])))</f>
        <v>0</v>
      </c>
      <c r="E65" s="245">
        <f t="array" ref="E65">((SUM(IF((CkDJ[Sort Code]=(TRIM(G$4)))*(CkDJ[Account Code]=(TRIM($B65)))*(CkDJ[Date]&lt;=$E$7),CkDJ[Debit])))+(SUM(IF((CsDJ[Sort Code]=(TRIM(G$4)))*(CsDJ[Account Code]=(TRIM($B65)))*(CsDJ[Date]&lt;=$E$7),CsDJ[Debit])))+(SUM(IF((CRDJ[Sort Code]=(TRIM(G$4)))*(CRDJ[Account Code]=(TRIM($B65)))*(CRDJ[Date]&lt;=$E$7),CRDJ[Debit])))+(SUM(IF((GJ[Sort Code]=(TRIM(G$4)))*(GJ[Account Code]=(TRIM($B65)))*(GJ[Date]&lt;=$E$7),GJ[Debit]))))-((SUM(IF((CkDJ[Sort Code]=(TRIM(G$4)))*(CkDJ[Account Code]=(TRIM($B65)))*(CkDJ[Date]&lt;=$E$7),CkDJ[Credit])))+(SUM(IF((CsDJ[Sort Code]=(TRIM(G$4)))*(CsDJ[Account Code]=(TRIM($B65)))*(CsDJ[Date]&lt;=$E$7),CsDJ[Credit])))+(SUM(IF((CRDJ[Sort Code]=(TRIM(G$4)))*(CRDJ[Account Code]=(TRIM($B65)))*(CRDJ[Date]&lt;=$E$7),CRDJ[Credit])))+(SUM(IF((GJ[Sort Code]=(TRIM(G$4)))*(GJ[Account Code]=(TRIM($B65)))*(GJ[Date]&lt;=$E$7),GJ[Credit]))))</f>
        <v>0</v>
      </c>
      <c r="F65" s="245">
        <f t="array" ref="F65">((SUM(IF((CkDJ[Date]=$A$3)*(CkDJ[Sort Code]=(TRIM(G$4)))*(CkDJ[Account Code]=(TRIM($B65))),CkDJ[Debit])))+(SUM(IF((CsDJ[Date]=$A$3)*(CsDJ[Sort Code]=(TRIM(G$4)))*(CsDJ[Account Code]=(TRIM($B65))),CsDJ[Debit])))+(SUM(IF((CRDJ[Date]=$A$3)*(CRDJ[Sort Code]=(TRIM(G$4)))*(CRDJ[Account Code]=(TRIM($B65))),CRDJ[Debit])))+(SUM(IF((GJ[Date]=$A$3)*(GJ[Sort Code]=(TRIM(G$4)))*(GJ[Account Code]=(TRIM($B65))),GJ[Debit]))))-((SUM(IF((CkDJ[Date]=$A$3)*(CkDJ[Sort Code]=(TRIM(G$4)))*(CkDJ[Account Code]=(TRIM($B65))),CkDJ[Credit])))+(SUM(IF((CsDJ[Date]=$A$3)*(CsDJ[Sort Code]=(TRIM(G$4)))*(CsDJ[Account Code]=(TRIM($B65))),CsDJ[Credit])))+(SUM(IF((CRDJ[Date]=$A$3)*(CRDJ[Sort Code]=(TRIM(G$4)))*(CRDJ[Account Code]=(TRIM($B65))),CRDJ[Credit])))+(SUM(IF((GJ[Date]=$A$3)*(GJ[Sort Code]=(TRIM(G$4)))*(GJ[Account Code]=(TRIM($B65))),GJ[Credit]))))</f>
        <v>0</v>
      </c>
      <c r="G65" s="343">
        <f t="shared" si="8"/>
        <v>0</v>
      </c>
      <c r="H65" s="246">
        <f t="shared" si="5"/>
        <v>0</v>
      </c>
      <c r="I65" s="246">
        <f t="shared" si="6"/>
        <v>0</v>
      </c>
    </row>
    <row r="66" spans="1:9" hidden="1">
      <c r="A66" s="247" t="s">
        <v>219</v>
      </c>
      <c r="B66" s="339" t="s">
        <v>214</v>
      </c>
      <c r="C66" s="245">
        <f t="array" ref="C66">SUM(IF((Budget[Account Code]=B66)*(Budget[Sort Code]=$G$4),(Budget[Amount])))</f>
        <v>0</v>
      </c>
      <c r="D66" s="245">
        <f t="array" ref="D66">SUM(IF((Budget[Account Code]=B66)*(Budget[Sort Code]=$G$4)*(Budget[Date]&lt;=$D$7),(Budget[Amount])))</f>
        <v>0</v>
      </c>
      <c r="E66" s="245">
        <f t="array" ref="E66">((SUM(IF((CkDJ[Sort Code]=(TRIM(G$4)))*(CkDJ[Account Code]=(TRIM($B66)))*(CkDJ[Date]&lt;=$E$7),CkDJ[Debit])))+(SUM(IF((CsDJ[Sort Code]=(TRIM(G$4)))*(CsDJ[Account Code]=(TRIM($B66)))*(CsDJ[Date]&lt;=$E$7),CsDJ[Debit])))+(SUM(IF((CRDJ[Sort Code]=(TRIM(G$4)))*(CRDJ[Account Code]=(TRIM($B66)))*(CRDJ[Date]&lt;=$E$7),CRDJ[Debit])))+(SUM(IF((GJ[Sort Code]=(TRIM(G$4)))*(GJ[Account Code]=(TRIM($B66)))*(GJ[Date]&lt;=$E$7),GJ[Debit]))))-((SUM(IF((CkDJ[Sort Code]=(TRIM(G$4)))*(CkDJ[Account Code]=(TRIM($B66)))*(CkDJ[Date]&lt;=$E$7),CkDJ[Credit])))+(SUM(IF((CsDJ[Sort Code]=(TRIM(G$4)))*(CsDJ[Account Code]=(TRIM($B66)))*(CsDJ[Date]&lt;=$E$7),CsDJ[Credit])))+(SUM(IF((CRDJ[Sort Code]=(TRIM(G$4)))*(CRDJ[Account Code]=(TRIM($B66)))*(CRDJ[Date]&lt;=$E$7),CRDJ[Credit])))+(SUM(IF((GJ[Sort Code]=(TRIM(G$4)))*(GJ[Account Code]=(TRIM($B66)))*(GJ[Date]&lt;=$E$7),GJ[Credit]))))</f>
        <v>0</v>
      </c>
      <c r="F66" s="245">
        <f t="array" ref="F66">((SUM(IF((CkDJ[Date]=$A$3)*(CkDJ[Sort Code]=(TRIM(G$4)))*(CkDJ[Account Code]=(TRIM($B66))),CkDJ[Debit])))+(SUM(IF((CsDJ[Date]=$A$3)*(CsDJ[Sort Code]=(TRIM(G$4)))*(CsDJ[Account Code]=(TRIM($B66))),CsDJ[Debit])))+(SUM(IF((CRDJ[Date]=$A$3)*(CRDJ[Sort Code]=(TRIM(G$4)))*(CRDJ[Account Code]=(TRIM($B66))),CRDJ[Debit])))+(SUM(IF((GJ[Date]=$A$3)*(GJ[Sort Code]=(TRIM(G$4)))*(GJ[Account Code]=(TRIM($B66))),GJ[Debit]))))-((SUM(IF((CkDJ[Date]=$A$3)*(CkDJ[Sort Code]=(TRIM(G$4)))*(CkDJ[Account Code]=(TRIM($B66))),CkDJ[Credit])))+(SUM(IF((CsDJ[Date]=$A$3)*(CsDJ[Sort Code]=(TRIM(G$4)))*(CsDJ[Account Code]=(TRIM($B66))),CsDJ[Credit])))+(SUM(IF((CRDJ[Date]=$A$3)*(CRDJ[Sort Code]=(TRIM(G$4)))*(CRDJ[Account Code]=(TRIM($B66))),CRDJ[Credit])))+(SUM(IF((GJ[Date]=$A$3)*(GJ[Sort Code]=(TRIM(G$4)))*(GJ[Account Code]=(TRIM($B66))),GJ[Credit]))))</f>
        <v>0</v>
      </c>
      <c r="G66" s="343">
        <f t="shared" si="8"/>
        <v>0</v>
      </c>
      <c r="H66" s="246">
        <f t="shared" si="5"/>
        <v>0</v>
      </c>
      <c r="I66" s="246">
        <f t="shared" si="6"/>
        <v>0</v>
      </c>
    </row>
    <row r="67" spans="1:9" hidden="1">
      <c r="A67" s="247" t="s">
        <v>205</v>
      </c>
      <c r="B67" s="339" t="s">
        <v>172</v>
      </c>
      <c r="C67" s="245">
        <f t="array" ref="C67">SUM(IF((Budget[Account Code]=B67)*(Budget[Sort Code]=$G$4),(Budget[Amount])))</f>
        <v>280000</v>
      </c>
      <c r="D67" s="245">
        <f t="array" ref="D67">SUM(IF((Budget[Account Code]=B67)*(Budget[Sort Code]=$G$4)*(Budget[Date]&lt;=$D$7),(Budget[Amount])))</f>
        <v>280000</v>
      </c>
      <c r="E67" s="245">
        <f t="array" ref="E67">((SUM(IF((CkDJ[Sort Code]=(TRIM(G$4)))*(CkDJ[Account Code]=(TRIM($B67)))*(CkDJ[Date]&lt;=$E$7),CkDJ[Debit])))+(SUM(IF((CsDJ[Sort Code]=(TRIM(G$4)))*(CsDJ[Account Code]=(TRIM($B67)))*(CsDJ[Date]&lt;=$E$7),CsDJ[Debit])))+(SUM(IF((CRDJ[Sort Code]=(TRIM(G$4)))*(CRDJ[Account Code]=(TRIM($B67)))*(CRDJ[Date]&lt;=$E$7),CRDJ[Debit])))+(SUM(IF((GJ[Sort Code]=(TRIM(G$4)))*(GJ[Account Code]=(TRIM($B67)))*(GJ[Date]&lt;=$E$7),GJ[Debit]))))-((SUM(IF((CkDJ[Sort Code]=(TRIM(G$4)))*(CkDJ[Account Code]=(TRIM($B67)))*(CkDJ[Date]&lt;=$E$7),CkDJ[Credit])))+(SUM(IF((CsDJ[Sort Code]=(TRIM(G$4)))*(CsDJ[Account Code]=(TRIM($B67)))*(CsDJ[Date]&lt;=$E$7),CsDJ[Credit])))+(SUM(IF((CRDJ[Sort Code]=(TRIM(G$4)))*(CRDJ[Account Code]=(TRIM($B67)))*(CRDJ[Date]&lt;=$E$7),CRDJ[Credit])))+(SUM(IF((GJ[Sort Code]=(TRIM(G$4)))*(GJ[Account Code]=(TRIM($B67)))*(GJ[Date]&lt;=$E$7),GJ[Credit]))))</f>
        <v>0</v>
      </c>
      <c r="F67" s="245">
        <f t="array" ref="F67">((SUM(IF((CkDJ[Date]=$A$3)*(CkDJ[Sort Code]=(TRIM(G$4)))*(CkDJ[Account Code]=(TRIM($B67))),CkDJ[Debit])))+(SUM(IF((CsDJ[Date]=$A$3)*(CsDJ[Sort Code]=(TRIM(G$4)))*(CsDJ[Account Code]=(TRIM($B67))),CsDJ[Debit])))+(SUM(IF((CRDJ[Date]=$A$3)*(CRDJ[Sort Code]=(TRIM(G$4)))*(CRDJ[Account Code]=(TRIM($B67))),CRDJ[Debit])))+(SUM(IF((GJ[Date]=$A$3)*(GJ[Sort Code]=(TRIM(G$4)))*(GJ[Account Code]=(TRIM($B67))),GJ[Debit]))))-((SUM(IF((CkDJ[Date]=$A$3)*(CkDJ[Sort Code]=(TRIM(G$4)))*(CkDJ[Account Code]=(TRIM($B67))),CkDJ[Credit])))+(SUM(IF((CsDJ[Date]=$A$3)*(CsDJ[Sort Code]=(TRIM(G$4)))*(CsDJ[Account Code]=(TRIM($B67))),CsDJ[Credit])))+(SUM(IF((CRDJ[Date]=$A$3)*(CRDJ[Sort Code]=(TRIM(G$4)))*(CRDJ[Account Code]=(TRIM($B67))),CRDJ[Credit])))+(SUM(IF((GJ[Date]=$A$3)*(GJ[Sort Code]=(TRIM(G$4)))*(GJ[Account Code]=(TRIM($B67))),GJ[Credit]))))</f>
        <v>0</v>
      </c>
      <c r="G67" s="343">
        <f t="shared" si="8"/>
        <v>0</v>
      </c>
      <c r="H67" s="246">
        <f t="shared" si="5"/>
        <v>-280000</v>
      </c>
      <c r="I67" s="246">
        <f t="shared" si="6"/>
        <v>0</v>
      </c>
    </row>
    <row r="68" spans="1:9" hidden="1">
      <c r="A68" s="247" t="s">
        <v>207</v>
      </c>
      <c r="B68" s="339" t="s">
        <v>174</v>
      </c>
      <c r="C68" s="245">
        <f t="array" ref="C68">SUM(IF((Budget[Account Code]=B68)*(Budget[Sort Code]=$G$4),(Budget[Amount])))</f>
        <v>2273394</v>
      </c>
      <c r="D68" s="245">
        <f t="array" ref="D68">SUM(IF((Budget[Account Code]=B68)*(Budget[Sort Code]=$G$4)*(Budget[Date]&lt;=$D$7),(Budget[Amount])))</f>
        <v>2273394</v>
      </c>
      <c r="E68" s="245">
        <f t="array" ref="E68">((SUM(IF((CkDJ[Sort Code]=(TRIM(G$4)))*(CkDJ[Account Code]=(TRIM($B68)))*(CkDJ[Date]&lt;=$E$7),CkDJ[Debit])))+(SUM(IF((CsDJ[Sort Code]=(TRIM(G$4)))*(CsDJ[Account Code]=(TRIM($B68)))*(CsDJ[Date]&lt;=$E$7),CsDJ[Debit])))+(SUM(IF((CRDJ[Sort Code]=(TRIM(G$4)))*(CRDJ[Account Code]=(TRIM($B68)))*(CRDJ[Date]&lt;=$E$7),CRDJ[Debit])))+(SUM(IF((GJ[Sort Code]=(TRIM(G$4)))*(GJ[Account Code]=(TRIM($B68)))*(GJ[Date]&lt;=$E$7),GJ[Debit]))))-((SUM(IF((CkDJ[Sort Code]=(TRIM(G$4)))*(CkDJ[Account Code]=(TRIM($B68)))*(CkDJ[Date]&lt;=$E$7),CkDJ[Credit])))+(SUM(IF((CsDJ[Sort Code]=(TRIM(G$4)))*(CsDJ[Account Code]=(TRIM($B68)))*(CsDJ[Date]&lt;=$E$7),CsDJ[Credit])))+(SUM(IF((CRDJ[Sort Code]=(TRIM(G$4)))*(CRDJ[Account Code]=(TRIM($B68)))*(CRDJ[Date]&lt;=$E$7),CRDJ[Credit])))+(SUM(IF((GJ[Sort Code]=(TRIM(G$4)))*(GJ[Account Code]=(TRIM($B68)))*(GJ[Date]&lt;=$E$7),GJ[Credit]))))</f>
        <v>0</v>
      </c>
      <c r="F68" s="245">
        <f t="array" ref="F68">((SUM(IF((CkDJ[Date]=$A$3)*(CkDJ[Sort Code]=(TRIM(G$4)))*(CkDJ[Account Code]=(TRIM($B68))),CkDJ[Debit])))+(SUM(IF((CsDJ[Date]=$A$3)*(CsDJ[Sort Code]=(TRIM(G$4)))*(CsDJ[Account Code]=(TRIM($B68))),CsDJ[Debit])))+(SUM(IF((CRDJ[Date]=$A$3)*(CRDJ[Sort Code]=(TRIM(G$4)))*(CRDJ[Account Code]=(TRIM($B68))),CRDJ[Debit])))+(SUM(IF((GJ[Date]=$A$3)*(GJ[Sort Code]=(TRIM(G$4)))*(GJ[Account Code]=(TRIM($B68))),GJ[Debit]))))-((SUM(IF((CkDJ[Date]=$A$3)*(CkDJ[Sort Code]=(TRIM(G$4)))*(CkDJ[Account Code]=(TRIM($B68))),CkDJ[Credit])))+(SUM(IF((CsDJ[Date]=$A$3)*(CsDJ[Sort Code]=(TRIM(G$4)))*(CsDJ[Account Code]=(TRIM($B68))),CsDJ[Credit])))+(SUM(IF((CRDJ[Date]=$A$3)*(CRDJ[Sort Code]=(TRIM(G$4)))*(CRDJ[Account Code]=(TRIM($B68))),CRDJ[Credit])))+(SUM(IF((GJ[Date]=$A$3)*(GJ[Sort Code]=(TRIM(G$4)))*(GJ[Account Code]=(TRIM($B68))),GJ[Credit]))))</f>
        <v>0</v>
      </c>
      <c r="G68" s="343">
        <f t="shared" si="8"/>
        <v>0</v>
      </c>
      <c r="H68" s="246">
        <f t="shared" si="5"/>
        <v>-2273394</v>
      </c>
      <c r="I68" s="246">
        <f t="shared" si="6"/>
        <v>0</v>
      </c>
    </row>
    <row r="69" spans="1:9" hidden="1">
      <c r="A69" s="247" t="s">
        <v>208</v>
      </c>
      <c r="B69" s="339" t="s">
        <v>175</v>
      </c>
      <c r="C69" s="245">
        <f t="array" ref="C69">SUM(IF((Budget[Account Code]=B69)*(Budget[Sort Code]=$G$4),(Budget[Amount])))</f>
        <v>1666798.56</v>
      </c>
      <c r="D69" s="245">
        <f t="array" ref="D69">SUM(IF((Budget[Account Code]=B69)*(Budget[Sort Code]=$G$4)*(Budget[Date]&lt;=$D$7),(Budget[Amount])))</f>
        <v>1666798.56</v>
      </c>
      <c r="E69" s="245">
        <f t="array" ref="E69">((SUM(IF((CkDJ[Sort Code]=(TRIM(G$4)))*(CkDJ[Account Code]=(TRIM($B69)))*(CkDJ[Date]&lt;=$E$7),CkDJ[Debit])))+(SUM(IF((CsDJ[Sort Code]=(TRIM(G$4)))*(CsDJ[Account Code]=(TRIM($B69)))*(CsDJ[Date]&lt;=$E$7),CsDJ[Debit])))+(SUM(IF((CRDJ[Sort Code]=(TRIM(G$4)))*(CRDJ[Account Code]=(TRIM($B69)))*(CRDJ[Date]&lt;=$E$7),CRDJ[Debit])))+(SUM(IF((GJ[Sort Code]=(TRIM(G$4)))*(GJ[Account Code]=(TRIM($B69)))*(GJ[Date]&lt;=$E$7),GJ[Debit]))))-((SUM(IF((CkDJ[Sort Code]=(TRIM(G$4)))*(CkDJ[Account Code]=(TRIM($B69)))*(CkDJ[Date]&lt;=$E$7),CkDJ[Credit])))+(SUM(IF((CsDJ[Sort Code]=(TRIM(G$4)))*(CsDJ[Account Code]=(TRIM($B69)))*(CsDJ[Date]&lt;=$E$7),CsDJ[Credit])))+(SUM(IF((CRDJ[Sort Code]=(TRIM(G$4)))*(CRDJ[Account Code]=(TRIM($B69)))*(CRDJ[Date]&lt;=$E$7),CRDJ[Credit])))+(SUM(IF((GJ[Sort Code]=(TRIM(G$4)))*(GJ[Account Code]=(TRIM($B69)))*(GJ[Date]&lt;=$E$7),GJ[Credit]))))</f>
        <v>0</v>
      </c>
      <c r="F69" s="245">
        <f t="array" ref="F69">((SUM(IF((CkDJ[Date]=$A$3)*(CkDJ[Sort Code]=(TRIM(G$4)))*(CkDJ[Account Code]=(TRIM($B69))),CkDJ[Debit])))+(SUM(IF((CsDJ[Date]=$A$3)*(CsDJ[Sort Code]=(TRIM(G$4)))*(CsDJ[Account Code]=(TRIM($B69))),CsDJ[Debit])))+(SUM(IF((CRDJ[Date]=$A$3)*(CRDJ[Sort Code]=(TRIM(G$4)))*(CRDJ[Account Code]=(TRIM($B69))),CRDJ[Debit])))+(SUM(IF((GJ[Date]=$A$3)*(GJ[Sort Code]=(TRIM(G$4)))*(GJ[Account Code]=(TRIM($B69))),GJ[Debit]))))-((SUM(IF((CkDJ[Date]=$A$3)*(CkDJ[Sort Code]=(TRIM(G$4)))*(CkDJ[Account Code]=(TRIM($B69))),CkDJ[Credit])))+(SUM(IF((CsDJ[Date]=$A$3)*(CsDJ[Sort Code]=(TRIM(G$4)))*(CsDJ[Account Code]=(TRIM($B69))),CsDJ[Credit])))+(SUM(IF((CRDJ[Date]=$A$3)*(CRDJ[Sort Code]=(TRIM(G$4)))*(CRDJ[Account Code]=(TRIM($B69))),CRDJ[Credit])))+(SUM(IF((GJ[Date]=$A$3)*(GJ[Sort Code]=(TRIM(G$4)))*(GJ[Account Code]=(TRIM($B69))),GJ[Credit]))))</f>
        <v>0</v>
      </c>
      <c r="G69" s="343">
        <f t="shared" si="8"/>
        <v>0</v>
      </c>
      <c r="H69" s="246">
        <f t="shared" si="5"/>
        <v>-1666798.56</v>
      </c>
      <c r="I69" s="246">
        <f t="shared" si="6"/>
        <v>0</v>
      </c>
    </row>
    <row r="70" spans="1:9" hidden="1">
      <c r="A70" s="247" t="s">
        <v>209</v>
      </c>
      <c r="B70" s="339" t="s">
        <v>176</v>
      </c>
      <c r="C70" s="245">
        <f t="array" ref="C70">SUM(IF((Budget[Account Code]=B70)*(Budget[Sort Code]=$G$4),(Budget[Amount])))</f>
        <v>69600</v>
      </c>
      <c r="D70" s="245">
        <f t="array" ref="D70">SUM(IF((Budget[Account Code]=B70)*(Budget[Sort Code]=$G$4)*(Budget[Date]&lt;=$D$7),(Budget[Amount])))</f>
        <v>69600</v>
      </c>
      <c r="E70" s="245">
        <f t="array" ref="E70">((SUM(IF((CkDJ[Sort Code]=(TRIM(G$4)))*(CkDJ[Account Code]=(TRIM($B70)))*(CkDJ[Date]&lt;=$E$7),CkDJ[Debit])))+(SUM(IF((CsDJ[Sort Code]=(TRIM(G$4)))*(CsDJ[Account Code]=(TRIM($B70)))*(CsDJ[Date]&lt;=$E$7),CsDJ[Debit])))+(SUM(IF((CRDJ[Sort Code]=(TRIM(G$4)))*(CRDJ[Account Code]=(TRIM($B70)))*(CRDJ[Date]&lt;=$E$7),CRDJ[Debit])))+(SUM(IF((GJ[Sort Code]=(TRIM(G$4)))*(GJ[Account Code]=(TRIM($B70)))*(GJ[Date]&lt;=$E$7),GJ[Debit]))))-((SUM(IF((CkDJ[Sort Code]=(TRIM(G$4)))*(CkDJ[Account Code]=(TRIM($B70)))*(CkDJ[Date]&lt;=$E$7),CkDJ[Credit])))+(SUM(IF((CsDJ[Sort Code]=(TRIM(G$4)))*(CsDJ[Account Code]=(TRIM($B70)))*(CsDJ[Date]&lt;=$E$7),CsDJ[Credit])))+(SUM(IF((CRDJ[Sort Code]=(TRIM(G$4)))*(CRDJ[Account Code]=(TRIM($B70)))*(CRDJ[Date]&lt;=$E$7),CRDJ[Credit])))+(SUM(IF((GJ[Sort Code]=(TRIM(G$4)))*(GJ[Account Code]=(TRIM($B70)))*(GJ[Date]&lt;=$E$7),GJ[Credit]))))</f>
        <v>0</v>
      </c>
      <c r="F70" s="245">
        <f t="array" ref="F70">((SUM(IF((CkDJ[Date]=$A$3)*(CkDJ[Sort Code]=(TRIM(G$4)))*(CkDJ[Account Code]=(TRIM($B70))),CkDJ[Debit])))+(SUM(IF((CsDJ[Date]=$A$3)*(CsDJ[Sort Code]=(TRIM(G$4)))*(CsDJ[Account Code]=(TRIM($B70))),CsDJ[Debit])))+(SUM(IF((CRDJ[Date]=$A$3)*(CRDJ[Sort Code]=(TRIM(G$4)))*(CRDJ[Account Code]=(TRIM($B70))),CRDJ[Debit])))+(SUM(IF((GJ[Date]=$A$3)*(GJ[Sort Code]=(TRIM(G$4)))*(GJ[Account Code]=(TRIM($B70))),GJ[Debit]))))-((SUM(IF((CkDJ[Date]=$A$3)*(CkDJ[Sort Code]=(TRIM(G$4)))*(CkDJ[Account Code]=(TRIM($B70))),CkDJ[Credit])))+(SUM(IF((CsDJ[Date]=$A$3)*(CsDJ[Sort Code]=(TRIM(G$4)))*(CsDJ[Account Code]=(TRIM($B70))),CsDJ[Credit])))+(SUM(IF((CRDJ[Date]=$A$3)*(CRDJ[Sort Code]=(TRIM(G$4)))*(CRDJ[Account Code]=(TRIM($B70))),CRDJ[Credit])))+(SUM(IF((GJ[Date]=$A$3)*(GJ[Sort Code]=(TRIM(G$4)))*(GJ[Account Code]=(TRIM($B70))),GJ[Credit]))))</f>
        <v>0</v>
      </c>
      <c r="G70" s="343">
        <f t="shared" si="8"/>
        <v>0</v>
      </c>
      <c r="H70" s="246">
        <f t="shared" si="5"/>
        <v>-69600</v>
      </c>
      <c r="I70" s="246">
        <f t="shared" si="6"/>
        <v>0</v>
      </c>
    </row>
    <row r="71" spans="1:9" hidden="1">
      <c r="A71" s="247" t="s">
        <v>210</v>
      </c>
      <c r="B71" s="339" t="s">
        <v>177</v>
      </c>
      <c r="C71" s="245">
        <f t="array" ref="C71">SUM(IF((Budget[Account Code]=B71)*(Budget[Sort Code]=$G$4),(Budget[Amount])))</f>
        <v>165000</v>
      </c>
      <c r="D71" s="245">
        <f t="array" ref="D71">SUM(IF((Budget[Account Code]=B71)*(Budget[Sort Code]=$G$4)*(Budget[Date]&lt;=$D$7),(Budget[Amount])))</f>
        <v>165000</v>
      </c>
      <c r="E71" s="245">
        <f t="array" ref="E71">((SUM(IF((CkDJ[Sort Code]=(TRIM(G$4)))*(CkDJ[Account Code]=(TRIM($B71)))*(CkDJ[Date]&lt;=$E$7),CkDJ[Debit])))+(SUM(IF((CsDJ[Sort Code]=(TRIM(G$4)))*(CsDJ[Account Code]=(TRIM($B71)))*(CsDJ[Date]&lt;=$E$7),CsDJ[Debit])))+(SUM(IF((CRDJ[Sort Code]=(TRIM(G$4)))*(CRDJ[Account Code]=(TRIM($B71)))*(CRDJ[Date]&lt;=$E$7),CRDJ[Debit])))+(SUM(IF((GJ[Sort Code]=(TRIM(G$4)))*(GJ[Account Code]=(TRIM($B71)))*(GJ[Date]&lt;=$E$7),GJ[Debit]))))-((SUM(IF((CkDJ[Sort Code]=(TRIM(G$4)))*(CkDJ[Account Code]=(TRIM($B71)))*(CkDJ[Date]&lt;=$E$7),CkDJ[Credit])))+(SUM(IF((CsDJ[Sort Code]=(TRIM(G$4)))*(CsDJ[Account Code]=(TRIM($B71)))*(CsDJ[Date]&lt;=$E$7),CsDJ[Credit])))+(SUM(IF((CRDJ[Sort Code]=(TRIM(G$4)))*(CRDJ[Account Code]=(TRIM($B71)))*(CRDJ[Date]&lt;=$E$7),CRDJ[Credit])))+(SUM(IF((GJ[Sort Code]=(TRIM(G$4)))*(GJ[Account Code]=(TRIM($B71)))*(GJ[Date]&lt;=$E$7),GJ[Credit]))))</f>
        <v>0</v>
      </c>
      <c r="F71" s="245">
        <f t="array" ref="F71">((SUM(IF((CkDJ[Date]=$A$3)*(CkDJ[Sort Code]=(TRIM(G$4)))*(CkDJ[Account Code]=(TRIM($B71))),CkDJ[Debit])))+(SUM(IF((CsDJ[Date]=$A$3)*(CsDJ[Sort Code]=(TRIM(G$4)))*(CsDJ[Account Code]=(TRIM($B71))),CsDJ[Debit])))+(SUM(IF((CRDJ[Date]=$A$3)*(CRDJ[Sort Code]=(TRIM(G$4)))*(CRDJ[Account Code]=(TRIM($B71))),CRDJ[Debit])))+(SUM(IF((GJ[Date]=$A$3)*(GJ[Sort Code]=(TRIM(G$4)))*(GJ[Account Code]=(TRIM($B71))),GJ[Debit]))))-((SUM(IF((CkDJ[Date]=$A$3)*(CkDJ[Sort Code]=(TRIM(G$4)))*(CkDJ[Account Code]=(TRIM($B71))),CkDJ[Credit])))+(SUM(IF((CsDJ[Date]=$A$3)*(CsDJ[Sort Code]=(TRIM(G$4)))*(CsDJ[Account Code]=(TRIM($B71))),CsDJ[Credit])))+(SUM(IF((CRDJ[Date]=$A$3)*(CRDJ[Sort Code]=(TRIM(G$4)))*(CRDJ[Account Code]=(TRIM($B71))),CRDJ[Credit])))+(SUM(IF((GJ[Date]=$A$3)*(GJ[Sort Code]=(TRIM(G$4)))*(GJ[Account Code]=(TRIM($B71))),GJ[Credit]))))</f>
        <v>0</v>
      </c>
      <c r="G71" s="343">
        <f t="shared" si="8"/>
        <v>0</v>
      </c>
      <c r="H71" s="246">
        <f t="shared" si="5"/>
        <v>-165000</v>
      </c>
      <c r="I71" s="246">
        <f t="shared" si="6"/>
        <v>0</v>
      </c>
    </row>
    <row r="72" spans="1:9" hidden="1">
      <c r="A72" s="247" t="s">
        <v>211</v>
      </c>
      <c r="B72" s="339" t="s">
        <v>178</v>
      </c>
      <c r="C72" s="245">
        <f t="array" ref="C72">SUM(IF((Budget[Account Code]=B72)*(Budget[Sort Code]=$G$4),(Budget[Amount])))</f>
        <v>69600</v>
      </c>
      <c r="D72" s="245">
        <f t="array" ref="D72">SUM(IF((Budget[Account Code]=B72)*(Budget[Sort Code]=$G$4)*(Budget[Date]&lt;=$D$7),(Budget[Amount])))</f>
        <v>69600</v>
      </c>
      <c r="E72" s="245">
        <f t="array" ref="E72">((SUM(IF((CkDJ[Sort Code]=(TRIM(G$4)))*(CkDJ[Account Code]=(TRIM($B72)))*(CkDJ[Date]&lt;=$E$7),CkDJ[Debit])))+(SUM(IF((CsDJ[Sort Code]=(TRIM(G$4)))*(CsDJ[Account Code]=(TRIM($B72)))*(CsDJ[Date]&lt;=$E$7),CsDJ[Debit])))+(SUM(IF((CRDJ[Sort Code]=(TRIM(G$4)))*(CRDJ[Account Code]=(TRIM($B72)))*(CRDJ[Date]&lt;=$E$7),CRDJ[Debit])))+(SUM(IF((GJ[Sort Code]=(TRIM(G$4)))*(GJ[Account Code]=(TRIM($B72)))*(GJ[Date]&lt;=$E$7),GJ[Debit]))))-((SUM(IF((CkDJ[Sort Code]=(TRIM(G$4)))*(CkDJ[Account Code]=(TRIM($B72)))*(CkDJ[Date]&lt;=$E$7),CkDJ[Credit])))+(SUM(IF((CsDJ[Sort Code]=(TRIM(G$4)))*(CsDJ[Account Code]=(TRIM($B72)))*(CsDJ[Date]&lt;=$E$7),CsDJ[Credit])))+(SUM(IF((CRDJ[Sort Code]=(TRIM(G$4)))*(CRDJ[Account Code]=(TRIM($B72)))*(CRDJ[Date]&lt;=$E$7),CRDJ[Credit])))+(SUM(IF((GJ[Sort Code]=(TRIM(G$4)))*(GJ[Account Code]=(TRIM($B72)))*(GJ[Date]&lt;=$E$7),GJ[Credit]))))</f>
        <v>0</v>
      </c>
      <c r="F72" s="245">
        <f t="array" ref="F72">((SUM(IF((CkDJ[Date]=$A$3)*(CkDJ[Sort Code]=(TRIM(G$4)))*(CkDJ[Account Code]=(TRIM($B72))),CkDJ[Debit])))+(SUM(IF((CsDJ[Date]=$A$3)*(CsDJ[Sort Code]=(TRIM(G$4)))*(CsDJ[Account Code]=(TRIM($B72))),CsDJ[Debit])))+(SUM(IF((CRDJ[Date]=$A$3)*(CRDJ[Sort Code]=(TRIM(G$4)))*(CRDJ[Account Code]=(TRIM($B72))),CRDJ[Debit])))+(SUM(IF((GJ[Date]=$A$3)*(GJ[Sort Code]=(TRIM(G$4)))*(GJ[Account Code]=(TRIM($B72))),GJ[Debit]))))-((SUM(IF((CkDJ[Date]=$A$3)*(CkDJ[Sort Code]=(TRIM(G$4)))*(CkDJ[Account Code]=(TRIM($B72))),CkDJ[Credit])))+(SUM(IF((CsDJ[Date]=$A$3)*(CsDJ[Sort Code]=(TRIM(G$4)))*(CsDJ[Account Code]=(TRIM($B72))),CsDJ[Credit])))+(SUM(IF((CRDJ[Date]=$A$3)*(CRDJ[Sort Code]=(TRIM(G$4)))*(CRDJ[Account Code]=(TRIM($B72))),CRDJ[Credit])))+(SUM(IF((GJ[Date]=$A$3)*(GJ[Sort Code]=(TRIM(G$4)))*(GJ[Account Code]=(TRIM($B72))),GJ[Credit]))))</f>
        <v>0</v>
      </c>
      <c r="G72" s="343">
        <f t="shared" si="8"/>
        <v>0</v>
      </c>
      <c r="H72" s="246">
        <f t="shared" si="5"/>
        <v>-69600</v>
      </c>
      <c r="I72" s="246">
        <f t="shared" si="6"/>
        <v>0</v>
      </c>
    </row>
    <row r="73" spans="1:9" hidden="1">
      <c r="A73" s="247" t="s">
        <v>1016</v>
      </c>
      <c r="B73" s="339" t="s">
        <v>985</v>
      </c>
      <c r="C73" s="245">
        <f t="array" ref="C73">SUM(IF((Budget[Account Code]=B73)*(Budget[Sort Code]=$G$4),(Budget[Amount])))</f>
        <v>0</v>
      </c>
      <c r="D73" s="245">
        <f t="array" ref="D73">SUM(IF((Budget[Account Code]=B73)*(Budget[Sort Code]=$G$4)*(Budget[Date]&lt;=$D$7),(Budget[Amount])))</f>
        <v>0</v>
      </c>
      <c r="E73" s="245">
        <f t="array" ref="E73">((SUM(IF((CkDJ[Sort Code]=(TRIM(G$4)))*(CkDJ[Account Code]=(TRIM($B73)))*(CkDJ[Date]&lt;=$E$7),CkDJ[Debit])))+(SUM(IF((CsDJ[Sort Code]=(TRIM(G$4)))*(CsDJ[Account Code]=(TRIM($B73)))*(CsDJ[Date]&lt;=$E$7),CsDJ[Debit])))+(SUM(IF((CRDJ[Sort Code]=(TRIM(G$4)))*(CRDJ[Account Code]=(TRIM($B73)))*(CRDJ[Date]&lt;=$E$7),CRDJ[Debit])))+(SUM(IF((GJ[Sort Code]=(TRIM(G$4)))*(GJ[Account Code]=(TRIM($B73)))*(GJ[Date]&lt;=$E$7),GJ[Debit]))))-((SUM(IF((CkDJ[Sort Code]=(TRIM(G$4)))*(CkDJ[Account Code]=(TRIM($B73)))*(CkDJ[Date]&lt;=$E$7),CkDJ[Credit])))+(SUM(IF((CsDJ[Sort Code]=(TRIM(G$4)))*(CsDJ[Account Code]=(TRIM($B73)))*(CsDJ[Date]&lt;=$E$7),CsDJ[Credit])))+(SUM(IF((CRDJ[Sort Code]=(TRIM(G$4)))*(CRDJ[Account Code]=(TRIM($B73)))*(CRDJ[Date]&lt;=$E$7),CRDJ[Credit])))+(SUM(IF((GJ[Sort Code]=(TRIM(G$4)))*(GJ[Account Code]=(TRIM($B73)))*(GJ[Date]&lt;=$E$7),GJ[Credit]))))</f>
        <v>0</v>
      </c>
      <c r="F73" s="245">
        <f t="array" ref="F73">((SUM(IF((CkDJ[Date]=$A$3)*(CkDJ[Sort Code]=(TRIM(G$4)))*(CkDJ[Account Code]=(TRIM($B73))),CkDJ[Debit])))+(SUM(IF((CsDJ[Date]=$A$3)*(CsDJ[Sort Code]=(TRIM(G$4)))*(CsDJ[Account Code]=(TRIM($B73))),CsDJ[Debit])))+(SUM(IF((CRDJ[Date]=$A$3)*(CRDJ[Sort Code]=(TRIM(G$4)))*(CRDJ[Account Code]=(TRIM($B73))),CRDJ[Debit])))+(SUM(IF((GJ[Date]=$A$3)*(GJ[Sort Code]=(TRIM(G$4)))*(GJ[Account Code]=(TRIM($B73))),GJ[Debit]))))-((SUM(IF((CkDJ[Date]=$A$3)*(CkDJ[Sort Code]=(TRIM(G$4)))*(CkDJ[Account Code]=(TRIM($B73))),CkDJ[Credit])))+(SUM(IF((CsDJ[Date]=$A$3)*(CsDJ[Sort Code]=(TRIM(G$4)))*(CsDJ[Account Code]=(TRIM($B73))),CsDJ[Credit])))+(SUM(IF((CRDJ[Date]=$A$3)*(CRDJ[Sort Code]=(TRIM(G$4)))*(CRDJ[Account Code]=(TRIM($B73))),CRDJ[Credit])))+(SUM(IF((GJ[Date]=$A$3)*(GJ[Sort Code]=(TRIM(G$4)))*(GJ[Account Code]=(TRIM($B73))),GJ[Credit]))))</f>
        <v>0</v>
      </c>
      <c r="G73" s="343">
        <f>E73+F73</f>
        <v>0</v>
      </c>
      <c r="H73" s="246">
        <f>G73-D73</f>
        <v>0</v>
      </c>
      <c r="I73" s="246">
        <f>IF((D73=0),0,G73/D73)</f>
        <v>0</v>
      </c>
    </row>
    <row r="74" spans="1:9" hidden="1">
      <c r="A74" s="247" t="s">
        <v>218</v>
      </c>
      <c r="B74" s="339" t="s">
        <v>213</v>
      </c>
      <c r="C74" s="245">
        <f t="array" ref="C74">SUM(IF((Budget[Account Code]=B74)*(Budget[Sort Code]=$G$4),(Budget[Amount])))</f>
        <v>0</v>
      </c>
      <c r="D74" s="245">
        <f t="array" ref="D74">SUM(IF((Budget[Account Code]=B74)*(Budget[Sort Code]=$G$4)*(Budget[Date]&lt;=$D$7),(Budget[Amount])))</f>
        <v>0</v>
      </c>
      <c r="E74" s="245">
        <f t="array" ref="E74">((SUM(IF((CkDJ[Sort Code]=(TRIM(G$4)))*(CkDJ[Account Code]=(TRIM($B74)))*(CkDJ[Date]&lt;=$E$7),CkDJ[Debit])))+(SUM(IF((CsDJ[Sort Code]=(TRIM(G$4)))*(CsDJ[Account Code]=(TRIM($B74)))*(CsDJ[Date]&lt;=$E$7),CsDJ[Debit])))+(SUM(IF((CRDJ[Sort Code]=(TRIM(G$4)))*(CRDJ[Account Code]=(TRIM($B74)))*(CRDJ[Date]&lt;=$E$7),CRDJ[Debit])))+(SUM(IF((GJ[Sort Code]=(TRIM(G$4)))*(GJ[Account Code]=(TRIM($B74)))*(GJ[Date]&lt;=$E$7),GJ[Debit]))))-((SUM(IF((CkDJ[Sort Code]=(TRIM(G$4)))*(CkDJ[Account Code]=(TRIM($B74)))*(CkDJ[Date]&lt;=$E$7),CkDJ[Credit])))+(SUM(IF((CsDJ[Sort Code]=(TRIM(G$4)))*(CsDJ[Account Code]=(TRIM($B74)))*(CsDJ[Date]&lt;=$E$7),CsDJ[Credit])))+(SUM(IF((CRDJ[Sort Code]=(TRIM(G$4)))*(CRDJ[Account Code]=(TRIM($B74)))*(CRDJ[Date]&lt;=$E$7),CRDJ[Credit])))+(SUM(IF((GJ[Sort Code]=(TRIM(G$4)))*(GJ[Account Code]=(TRIM($B74)))*(GJ[Date]&lt;=$E$7),GJ[Credit]))))</f>
        <v>0</v>
      </c>
      <c r="F74" s="245">
        <f t="array" ref="F74">((SUM(IF((CkDJ[Date]=$A$3)*(CkDJ[Sort Code]=(TRIM(G$4)))*(CkDJ[Account Code]=(TRIM($B74))),CkDJ[Debit])))+(SUM(IF((CsDJ[Date]=$A$3)*(CsDJ[Sort Code]=(TRIM(G$4)))*(CsDJ[Account Code]=(TRIM($B74))),CsDJ[Debit])))+(SUM(IF((CRDJ[Date]=$A$3)*(CRDJ[Sort Code]=(TRIM(G$4)))*(CRDJ[Account Code]=(TRIM($B74))),CRDJ[Debit])))+(SUM(IF((GJ[Date]=$A$3)*(GJ[Sort Code]=(TRIM(G$4)))*(GJ[Account Code]=(TRIM($B74))),GJ[Debit]))))-((SUM(IF((CkDJ[Date]=$A$3)*(CkDJ[Sort Code]=(TRIM(G$4)))*(CkDJ[Account Code]=(TRIM($B74))),CkDJ[Credit])))+(SUM(IF((CsDJ[Date]=$A$3)*(CsDJ[Sort Code]=(TRIM(G$4)))*(CsDJ[Account Code]=(TRIM($B74))),CsDJ[Credit])))+(SUM(IF((CRDJ[Date]=$A$3)*(CRDJ[Sort Code]=(TRIM(G$4)))*(CRDJ[Account Code]=(TRIM($B74))),CRDJ[Credit])))+(SUM(IF((GJ[Date]=$A$3)*(GJ[Sort Code]=(TRIM(G$4)))*(GJ[Account Code]=(TRIM($B74))),GJ[Credit]))))</f>
        <v>0</v>
      </c>
      <c r="G74" s="343">
        <f t="shared" si="8"/>
        <v>0</v>
      </c>
      <c r="H74" s="246">
        <f t="shared" si="5"/>
        <v>0</v>
      </c>
      <c r="I74" s="246">
        <f t="shared" si="6"/>
        <v>0</v>
      </c>
    </row>
    <row r="75" spans="1:9">
      <c r="A75" s="243" t="s">
        <v>805</v>
      </c>
      <c r="B75" s="337"/>
      <c r="C75" s="245"/>
      <c r="D75" s="245"/>
      <c r="E75" s="246"/>
      <c r="F75" s="245"/>
      <c r="G75" s="246"/>
      <c r="H75" s="246"/>
      <c r="I75" s="246"/>
    </row>
    <row r="76" spans="1:9">
      <c r="A76" s="239" t="s">
        <v>810</v>
      </c>
      <c r="B76" s="337"/>
      <c r="C76" s="252">
        <f>C77+C139</f>
        <v>9672877.6600000001</v>
      </c>
      <c r="D76" s="252">
        <f>D77+D139</f>
        <v>9672877.6600000001</v>
      </c>
      <c r="E76" s="252">
        <f>E77+E139</f>
        <v>0</v>
      </c>
      <c r="F76" s="252">
        <f>F77+F139</f>
        <v>0</v>
      </c>
      <c r="G76" s="252">
        <f>G77+G139</f>
        <v>0</v>
      </c>
      <c r="H76" s="242">
        <f t="shared" si="5"/>
        <v>-9672877.6600000001</v>
      </c>
      <c r="I76" s="242">
        <f t="shared" si="6"/>
        <v>0</v>
      </c>
    </row>
    <row r="77" spans="1:9">
      <c r="A77" s="253" t="s">
        <v>809</v>
      </c>
      <c r="B77" s="337"/>
      <c r="C77" s="254">
        <f>C78+C138</f>
        <v>5161547.16</v>
      </c>
      <c r="D77" s="254">
        <f>D78+D138</f>
        <v>5161547.16</v>
      </c>
      <c r="E77" s="254">
        <f>E78+E138</f>
        <v>0</v>
      </c>
      <c r="F77" s="254">
        <f>F78+F138</f>
        <v>0</v>
      </c>
      <c r="G77" s="254">
        <f>G78+G138</f>
        <v>0</v>
      </c>
      <c r="H77" s="246">
        <f t="shared" si="5"/>
        <v>-5161547.16</v>
      </c>
      <c r="I77" s="246">
        <f t="shared" si="6"/>
        <v>0</v>
      </c>
    </row>
    <row r="78" spans="1:9">
      <c r="A78" s="255" t="s">
        <v>806</v>
      </c>
      <c r="B78" s="337"/>
      <c r="C78" s="246">
        <f>SUM(C79:C137)</f>
        <v>5161547.16</v>
      </c>
      <c r="D78" s="246">
        <f>SUM(D79:D137)</f>
        <v>5161547.16</v>
      </c>
      <c r="E78" s="246">
        <f>SUM(E79:E137)</f>
        <v>0</v>
      </c>
      <c r="F78" s="246">
        <f>SUM(F79:F137)</f>
        <v>0</v>
      </c>
      <c r="G78" s="246">
        <f>SUM(G79:G137)</f>
        <v>0</v>
      </c>
      <c r="H78" s="246">
        <f t="shared" si="5"/>
        <v>-5161547.16</v>
      </c>
      <c r="I78" s="246">
        <f t="shared" si="6"/>
        <v>0</v>
      </c>
    </row>
    <row r="79" spans="1:9" hidden="1">
      <c r="A79" s="256" t="s">
        <v>284</v>
      </c>
      <c r="B79" s="339" t="s">
        <v>223</v>
      </c>
      <c r="C79" s="245">
        <f t="array" ref="C79">SUM(IF((Budget[Account Code]=B79)*(Budget[Sort Code]=$G$4),(Budget[Amount])))</f>
        <v>0</v>
      </c>
      <c r="D79" s="245">
        <f t="array" ref="D79">SUM(IF((Budget[Account Code]=B79)*(Budget[Sort Code]=$G$4)*(Budget[Date]&lt;=$D$7),(Budget[Amount])))</f>
        <v>0</v>
      </c>
      <c r="E79" s="245">
        <f t="array" ref="E79">((SUM(IF((CkDJ[Sort Code]=(TRIM(G$4)))*(CkDJ[Account Code]=(TRIM($B79)))*(CkDJ[Date]&lt;=$E$7),CkDJ[Debit])))+(SUM(IF((CsDJ[Sort Code]=(TRIM(G$4)))*(CsDJ[Account Code]=(TRIM($B79)))*(CsDJ[Date]&lt;=$E$7),CsDJ[Debit])))+(SUM(IF((CRDJ[Sort Code]=(TRIM(G$4)))*(CRDJ[Account Code]=(TRIM($B79)))*(CRDJ[Date]&lt;=$E$7),CRDJ[Debit])))+(SUM(IF((GJ[Sort Code]=(TRIM(G$4)))*(GJ[Account Code]=(TRIM($B79)))*(GJ[Date]&lt;=$E$7),GJ[Debit]))))-((SUM(IF((CkDJ[Sort Code]=(TRIM(G$4)))*(CkDJ[Account Code]=(TRIM($B79)))*(CkDJ[Date]&lt;=$E$7),CkDJ[Credit])))+(SUM(IF((CsDJ[Sort Code]=(TRIM(G$4)))*(CsDJ[Account Code]=(TRIM($B79)))*(CsDJ[Date]&lt;=$E$7),CsDJ[Credit])))+(SUM(IF((CRDJ[Sort Code]=(TRIM(G$4)))*(CRDJ[Account Code]=(TRIM($B79)))*(CRDJ[Date]&lt;=$E$7),CRDJ[Credit])))+(SUM(IF((GJ[Sort Code]=(TRIM(G$4)))*(GJ[Account Code]=(TRIM($B79)))*(GJ[Date]&lt;=$E$7),GJ[Credit]))))</f>
        <v>0</v>
      </c>
      <c r="F79" s="245">
        <f t="array" ref="F79">((SUM(IF((CkDJ[Date]=$A$3)*(CkDJ[Sort Code]=(TRIM(G$4)))*(CkDJ[Account Code]=(TRIM($B79))),CkDJ[Debit])))+(SUM(IF((CsDJ[Date]=$A$3)*(CsDJ[Sort Code]=(TRIM(G$4)))*(CsDJ[Account Code]=(TRIM($B79))),CsDJ[Debit])))+(SUM(IF((CRDJ[Date]=$A$3)*(CRDJ[Sort Code]=(TRIM(G$4)))*(CRDJ[Account Code]=(TRIM($B79))),CRDJ[Debit])))+(SUM(IF((GJ[Date]=$A$3)*(GJ[Sort Code]=(TRIM(G$4)))*(GJ[Account Code]=(TRIM($B79))),GJ[Debit]))))-((SUM(IF((CkDJ[Date]=$A$3)*(CkDJ[Sort Code]=(TRIM(G$4)))*(CkDJ[Account Code]=(TRIM($B79))),CkDJ[Credit])))+(SUM(IF((CsDJ[Date]=$A$3)*(CsDJ[Sort Code]=(TRIM(G$4)))*(CsDJ[Account Code]=(TRIM($B79))),CsDJ[Credit])))+(SUM(IF((CRDJ[Date]=$A$3)*(CRDJ[Sort Code]=(TRIM(G$4)))*(CRDJ[Account Code]=(TRIM($B79))),CRDJ[Credit])))+(SUM(IF((GJ[Date]=$A$3)*(GJ[Sort Code]=(TRIM(G$4)))*(GJ[Account Code]=(TRIM($B79))),GJ[Credit]))))</f>
        <v>0</v>
      </c>
      <c r="G79" s="343">
        <f t="shared" ref="G79:G137" si="9">E79+F79</f>
        <v>0</v>
      </c>
      <c r="H79" s="246">
        <f t="shared" si="5"/>
        <v>0</v>
      </c>
      <c r="I79" s="246">
        <f t="shared" si="6"/>
        <v>0</v>
      </c>
    </row>
    <row r="80" spans="1:9" hidden="1">
      <c r="A80" s="256" t="s">
        <v>284</v>
      </c>
      <c r="B80" s="339" t="s">
        <v>1233</v>
      </c>
      <c r="C80" s="245">
        <f t="array" ref="C80">SUM(IF((Budget[Account Code]=B80)*(Budget[Sort Code]=$G$4),(Budget[Amount])))</f>
        <v>0</v>
      </c>
      <c r="D80" s="245">
        <f t="array" ref="D80">SUM(IF((Budget[Account Code]=B80)*(Budget[Sort Code]=$G$4)*(Budget[Date]&lt;=$D$7),(Budget[Amount])))</f>
        <v>0</v>
      </c>
      <c r="E80" s="245">
        <f t="array" ref="E80">((SUM(IF((CkDJ[Sort Code]=(TRIM(G$4)))*(CkDJ[Account Code]=(TRIM($B80)))*(CkDJ[Date]&lt;=$E$7),CkDJ[Debit])))+(SUM(IF((CsDJ[Sort Code]=(TRIM(G$4)))*(CsDJ[Account Code]=(TRIM($B80)))*(CsDJ[Date]&lt;=$E$7),CsDJ[Debit])))+(SUM(IF((CRDJ[Sort Code]=(TRIM(G$4)))*(CRDJ[Account Code]=(TRIM($B80)))*(CRDJ[Date]&lt;=$E$7),CRDJ[Debit])))+(SUM(IF((GJ[Sort Code]=(TRIM(G$4)))*(GJ[Account Code]=(TRIM($B80)))*(GJ[Date]&lt;=$E$7),GJ[Debit]))))-((SUM(IF((CkDJ[Sort Code]=(TRIM(G$4)))*(CkDJ[Account Code]=(TRIM($B80)))*(CkDJ[Date]&lt;=$E$7),CkDJ[Credit])))+(SUM(IF((CsDJ[Sort Code]=(TRIM(G$4)))*(CsDJ[Account Code]=(TRIM($B80)))*(CsDJ[Date]&lt;=$E$7),CsDJ[Credit])))+(SUM(IF((CRDJ[Sort Code]=(TRIM(G$4)))*(CRDJ[Account Code]=(TRIM($B80)))*(CRDJ[Date]&lt;=$E$7),CRDJ[Credit])))+(SUM(IF((GJ[Sort Code]=(TRIM(G$4)))*(GJ[Account Code]=(TRIM($B80)))*(GJ[Date]&lt;=$E$7),GJ[Credit]))))</f>
        <v>0</v>
      </c>
      <c r="F80" s="245">
        <f t="array" ref="F80">((SUM(IF((CkDJ[Date]=$A$3)*(CkDJ[Sort Code]=(TRIM(G$4)))*(CkDJ[Account Code]=(TRIM($B80))),CkDJ[Debit])))+(SUM(IF((CsDJ[Date]=$A$3)*(CsDJ[Sort Code]=(TRIM(G$4)))*(CsDJ[Account Code]=(TRIM($B80))),CsDJ[Debit])))+(SUM(IF((CRDJ[Date]=$A$3)*(CRDJ[Sort Code]=(TRIM(G$4)))*(CRDJ[Account Code]=(TRIM($B80))),CRDJ[Debit])))+(SUM(IF((GJ[Date]=$A$3)*(GJ[Sort Code]=(TRIM(G$4)))*(GJ[Account Code]=(TRIM($B80))),GJ[Debit]))))-((SUM(IF((CkDJ[Date]=$A$3)*(CkDJ[Sort Code]=(TRIM(G$4)))*(CkDJ[Account Code]=(TRIM($B80))),CkDJ[Credit])))+(SUM(IF((CsDJ[Date]=$A$3)*(CsDJ[Sort Code]=(TRIM(G$4)))*(CsDJ[Account Code]=(TRIM($B80))),CsDJ[Credit])))+(SUM(IF((CRDJ[Date]=$A$3)*(CRDJ[Sort Code]=(TRIM(G$4)))*(CRDJ[Account Code]=(TRIM($B80))),CRDJ[Credit])))+(SUM(IF((GJ[Date]=$A$3)*(GJ[Sort Code]=(TRIM(G$4)))*(GJ[Account Code]=(TRIM($B80))),GJ[Credit]))))</f>
        <v>0</v>
      </c>
      <c r="G80" s="343">
        <f>E80+F80</f>
        <v>0</v>
      </c>
      <c r="H80" s="246">
        <f>G80-D80</f>
        <v>0</v>
      </c>
      <c r="I80" s="246">
        <f>IF((D80=0),0,G80/D80)</f>
        <v>0</v>
      </c>
    </row>
    <row r="81" spans="1:9" hidden="1">
      <c r="A81" s="256" t="s">
        <v>285</v>
      </c>
      <c r="B81" s="339" t="s">
        <v>224</v>
      </c>
      <c r="C81" s="245">
        <f t="array" ref="C81">SUM(IF((Budget[Account Code]=B81)*(Budget[Sort Code]=$G$4),(Budget[Amount])))</f>
        <v>0</v>
      </c>
      <c r="D81" s="245">
        <f t="array" ref="D81">SUM(IF((Budget[Account Code]=B81)*(Budget[Sort Code]=$G$4)*(Budget[Date]&lt;=$D$7),(Budget[Amount])))</f>
        <v>0</v>
      </c>
      <c r="E81" s="245">
        <f t="array" ref="E81">((SUM(IF((CkDJ[Sort Code]=(TRIM(G$4)))*(CkDJ[Account Code]=(TRIM($B81)))*(CkDJ[Date]&lt;=$E$7),CkDJ[Debit])))+(SUM(IF((CsDJ[Sort Code]=(TRIM(G$4)))*(CsDJ[Account Code]=(TRIM($B81)))*(CsDJ[Date]&lt;=$E$7),CsDJ[Debit])))+(SUM(IF((CRDJ[Sort Code]=(TRIM(G$4)))*(CRDJ[Account Code]=(TRIM($B81)))*(CRDJ[Date]&lt;=$E$7),CRDJ[Debit])))+(SUM(IF((GJ[Sort Code]=(TRIM(G$4)))*(GJ[Account Code]=(TRIM($B81)))*(GJ[Date]&lt;=$E$7),GJ[Debit]))))-((SUM(IF((CkDJ[Sort Code]=(TRIM(G$4)))*(CkDJ[Account Code]=(TRIM($B81)))*(CkDJ[Date]&lt;=$E$7),CkDJ[Credit])))+(SUM(IF((CsDJ[Sort Code]=(TRIM(G$4)))*(CsDJ[Account Code]=(TRIM($B81)))*(CsDJ[Date]&lt;=$E$7),CsDJ[Credit])))+(SUM(IF((CRDJ[Sort Code]=(TRIM(G$4)))*(CRDJ[Account Code]=(TRIM($B81)))*(CRDJ[Date]&lt;=$E$7),CRDJ[Credit])))+(SUM(IF((GJ[Sort Code]=(TRIM(G$4)))*(GJ[Account Code]=(TRIM($B81)))*(GJ[Date]&lt;=$E$7),GJ[Credit]))))</f>
        <v>0</v>
      </c>
      <c r="F81" s="245">
        <f t="array" ref="F81">((SUM(IF((CkDJ[Date]=$A$3)*(CkDJ[Sort Code]=(TRIM(G$4)))*(CkDJ[Account Code]=(TRIM($B81))),CkDJ[Debit])))+(SUM(IF((CsDJ[Date]=$A$3)*(CsDJ[Sort Code]=(TRIM(G$4)))*(CsDJ[Account Code]=(TRIM($B81))),CsDJ[Debit])))+(SUM(IF((CRDJ[Date]=$A$3)*(CRDJ[Sort Code]=(TRIM(G$4)))*(CRDJ[Account Code]=(TRIM($B81))),CRDJ[Debit])))+(SUM(IF((GJ[Date]=$A$3)*(GJ[Sort Code]=(TRIM(G$4)))*(GJ[Account Code]=(TRIM($B81))),GJ[Debit]))))-((SUM(IF((CkDJ[Date]=$A$3)*(CkDJ[Sort Code]=(TRIM(G$4)))*(CkDJ[Account Code]=(TRIM($B81))),CkDJ[Credit])))+(SUM(IF((CsDJ[Date]=$A$3)*(CsDJ[Sort Code]=(TRIM(G$4)))*(CsDJ[Account Code]=(TRIM($B81))),CsDJ[Credit])))+(SUM(IF((CRDJ[Date]=$A$3)*(CRDJ[Sort Code]=(TRIM(G$4)))*(CRDJ[Account Code]=(TRIM($B81))),CRDJ[Credit])))+(SUM(IF((GJ[Date]=$A$3)*(GJ[Sort Code]=(TRIM(G$4)))*(GJ[Account Code]=(TRIM($B81))),GJ[Credit]))))</f>
        <v>0</v>
      </c>
      <c r="G81" s="343">
        <f t="shared" si="9"/>
        <v>0</v>
      </c>
      <c r="H81" s="246">
        <f t="shared" si="5"/>
        <v>0</v>
      </c>
      <c r="I81" s="246">
        <f t="shared" si="6"/>
        <v>0</v>
      </c>
    </row>
    <row r="82" spans="1:9" hidden="1">
      <c r="A82" s="256" t="s">
        <v>286</v>
      </c>
      <c r="B82" s="339" t="s">
        <v>225</v>
      </c>
      <c r="C82" s="245">
        <f t="array" ref="C82">SUM(IF((Budget[Account Code]=B82)*(Budget[Sort Code]=$G$4),(Budget[Amount])))</f>
        <v>0</v>
      </c>
      <c r="D82" s="245">
        <f t="array" ref="D82">SUM(IF((Budget[Account Code]=B82)*(Budget[Sort Code]=$G$4)*(Budget[Date]&lt;=$D$7),(Budget[Amount])))</f>
        <v>0</v>
      </c>
      <c r="E82" s="245">
        <f t="array" ref="E82">((SUM(IF((CkDJ[Sort Code]=(TRIM(G$4)))*(CkDJ[Account Code]=(TRIM($B82)))*(CkDJ[Date]&lt;=$E$7),CkDJ[Debit])))+(SUM(IF((CsDJ[Sort Code]=(TRIM(G$4)))*(CsDJ[Account Code]=(TRIM($B82)))*(CsDJ[Date]&lt;=$E$7),CsDJ[Debit])))+(SUM(IF((CRDJ[Sort Code]=(TRIM(G$4)))*(CRDJ[Account Code]=(TRIM($B82)))*(CRDJ[Date]&lt;=$E$7),CRDJ[Debit])))+(SUM(IF((GJ[Sort Code]=(TRIM(G$4)))*(GJ[Account Code]=(TRIM($B82)))*(GJ[Date]&lt;=$E$7),GJ[Debit]))))-((SUM(IF((CkDJ[Sort Code]=(TRIM(G$4)))*(CkDJ[Account Code]=(TRIM($B82)))*(CkDJ[Date]&lt;=$E$7),CkDJ[Credit])))+(SUM(IF((CsDJ[Sort Code]=(TRIM(G$4)))*(CsDJ[Account Code]=(TRIM($B82)))*(CsDJ[Date]&lt;=$E$7),CsDJ[Credit])))+(SUM(IF((CRDJ[Sort Code]=(TRIM(G$4)))*(CRDJ[Account Code]=(TRIM($B82)))*(CRDJ[Date]&lt;=$E$7),CRDJ[Credit])))+(SUM(IF((GJ[Sort Code]=(TRIM(G$4)))*(GJ[Account Code]=(TRIM($B82)))*(GJ[Date]&lt;=$E$7),GJ[Credit]))))</f>
        <v>0</v>
      </c>
      <c r="F82" s="245">
        <f t="array" ref="F82">((SUM(IF((CkDJ[Date]=$A$3)*(CkDJ[Sort Code]=(TRIM(G$4)))*(CkDJ[Account Code]=(TRIM($B82))),CkDJ[Debit])))+(SUM(IF((CsDJ[Date]=$A$3)*(CsDJ[Sort Code]=(TRIM(G$4)))*(CsDJ[Account Code]=(TRIM($B82))),CsDJ[Debit])))+(SUM(IF((CRDJ[Date]=$A$3)*(CRDJ[Sort Code]=(TRIM(G$4)))*(CRDJ[Account Code]=(TRIM($B82))),CRDJ[Debit])))+(SUM(IF((GJ[Date]=$A$3)*(GJ[Sort Code]=(TRIM(G$4)))*(GJ[Account Code]=(TRIM($B82))),GJ[Debit]))))-((SUM(IF((CkDJ[Date]=$A$3)*(CkDJ[Sort Code]=(TRIM(G$4)))*(CkDJ[Account Code]=(TRIM($B82))),CkDJ[Credit])))+(SUM(IF((CsDJ[Date]=$A$3)*(CsDJ[Sort Code]=(TRIM(G$4)))*(CsDJ[Account Code]=(TRIM($B82))),CsDJ[Credit])))+(SUM(IF((CRDJ[Date]=$A$3)*(CRDJ[Sort Code]=(TRIM(G$4)))*(CRDJ[Account Code]=(TRIM($B82))),CRDJ[Credit])))+(SUM(IF((GJ[Date]=$A$3)*(GJ[Sort Code]=(TRIM(G$4)))*(GJ[Account Code]=(TRIM($B82))),GJ[Credit]))))</f>
        <v>0</v>
      </c>
      <c r="G82" s="343">
        <f t="shared" si="9"/>
        <v>0</v>
      </c>
      <c r="H82" s="246">
        <f t="shared" si="5"/>
        <v>0</v>
      </c>
      <c r="I82" s="246">
        <f t="shared" si="6"/>
        <v>0</v>
      </c>
    </row>
    <row r="83" spans="1:9" hidden="1">
      <c r="A83" s="256" t="s">
        <v>287</v>
      </c>
      <c r="B83" s="339" t="s">
        <v>226</v>
      </c>
      <c r="C83" s="245">
        <f t="array" ref="C83">SUM(IF((Budget[Account Code]=B83)*(Budget[Sort Code]=$G$4),(Budget[Amount])))</f>
        <v>0</v>
      </c>
      <c r="D83" s="245">
        <f t="array" ref="D83">SUM(IF((Budget[Account Code]=B83)*(Budget[Sort Code]=$G$4)*(Budget[Date]&lt;=$D$7),(Budget[Amount])))</f>
        <v>0</v>
      </c>
      <c r="E83" s="245">
        <f t="array" ref="E83">((SUM(IF((CkDJ[Sort Code]=(TRIM(G$4)))*(CkDJ[Account Code]=(TRIM($B83)))*(CkDJ[Date]&lt;=$E$7),CkDJ[Debit])))+(SUM(IF((CsDJ[Sort Code]=(TRIM(G$4)))*(CsDJ[Account Code]=(TRIM($B83)))*(CsDJ[Date]&lt;=$E$7),CsDJ[Debit])))+(SUM(IF((CRDJ[Sort Code]=(TRIM(G$4)))*(CRDJ[Account Code]=(TRIM($B83)))*(CRDJ[Date]&lt;=$E$7),CRDJ[Debit])))+(SUM(IF((GJ[Sort Code]=(TRIM(G$4)))*(GJ[Account Code]=(TRIM($B83)))*(GJ[Date]&lt;=$E$7),GJ[Debit]))))-((SUM(IF((CkDJ[Sort Code]=(TRIM(G$4)))*(CkDJ[Account Code]=(TRIM($B83)))*(CkDJ[Date]&lt;=$E$7),CkDJ[Credit])))+(SUM(IF((CsDJ[Sort Code]=(TRIM(G$4)))*(CsDJ[Account Code]=(TRIM($B83)))*(CsDJ[Date]&lt;=$E$7),CsDJ[Credit])))+(SUM(IF((CRDJ[Sort Code]=(TRIM(G$4)))*(CRDJ[Account Code]=(TRIM($B83)))*(CRDJ[Date]&lt;=$E$7),CRDJ[Credit])))+(SUM(IF((GJ[Sort Code]=(TRIM(G$4)))*(GJ[Account Code]=(TRIM($B83)))*(GJ[Date]&lt;=$E$7),GJ[Credit]))))</f>
        <v>0</v>
      </c>
      <c r="F83" s="245">
        <f t="array" ref="F83">((SUM(IF((CkDJ[Date]=$A$3)*(CkDJ[Sort Code]=(TRIM(G$4)))*(CkDJ[Account Code]=(TRIM($B83))),CkDJ[Debit])))+(SUM(IF((CsDJ[Date]=$A$3)*(CsDJ[Sort Code]=(TRIM(G$4)))*(CsDJ[Account Code]=(TRIM($B83))),CsDJ[Debit])))+(SUM(IF((CRDJ[Date]=$A$3)*(CRDJ[Sort Code]=(TRIM(G$4)))*(CRDJ[Account Code]=(TRIM($B83))),CRDJ[Debit])))+(SUM(IF((GJ[Date]=$A$3)*(GJ[Sort Code]=(TRIM(G$4)))*(GJ[Account Code]=(TRIM($B83))),GJ[Debit]))))-((SUM(IF((CkDJ[Date]=$A$3)*(CkDJ[Sort Code]=(TRIM(G$4)))*(CkDJ[Account Code]=(TRIM($B83))),CkDJ[Credit])))+(SUM(IF((CsDJ[Date]=$A$3)*(CsDJ[Sort Code]=(TRIM(G$4)))*(CsDJ[Account Code]=(TRIM($B83))),CsDJ[Credit])))+(SUM(IF((CRDJ[Date]=$A$3)*(CRDJ[Sort Code]=(TRIM(G$4)))*(CRDJ[Account Code]=(TRIM($B83))),CRDJ[Credit])))+(SUM(IF((GJ[Date]=$A$3)*(GJ[Sort Code]=(TRIM(G$4)))*(GJ[Account Code]=(TRIM($B83))),GJ[Credit]))))</f>
        <v>0</v>
      </c>
      <c r="G83" s="343">
        <f t="shared" si="9"/>
        <v>0</v>
      </c>
      <c r="H83" s="246">
        <f t="shared" si="5"/>
        <v>0</v>
      </c>
      <c r="I83" s="246">
        <f t="shared" si="6"/>
        <v>0</v>
      </c>
    </row>
    <row r="84" spans="1:9" hidden="1">
      <c r="A84" s="256" t="s">
        <v>1017</v>
      </c>
      <c r="B84" s="339" t="s">
        <v>227</v>
      </c>
      <c r="C84" s="245">
        <f t="array" ref="C84">SUM(IF((Budget[Account Code]=B84)*(Budget[Sort Code]=$G$4),(Budget[Amount])))</f>
        <v>0</v>
      </c>
      <c r="D84" s="245">
        <f t="array" ref="D84">SUM(IF((Budget[Account Code]=B84)*(Budget[Sort Code]=$G$4)*(Budget[Date]&lt;=$D$7),(Budget[Amount])))</f>
        <v>0</v>
      </c>
      <c r="E84" s="245">
        <f t="array" ref="E84">((SUM(IF((CkDJ[Sort Code]=(TRIM(G$4)))*(CkDJ[Account Code]=(TRIM($B84)))*(CkDJ[Date]&lt;=$E$7),CkDJ[Debit])))+(SUM(IF((CsDJ[Sort Code]=(TRIM(G$4)))*(CsDJ[Account Code]=(TRIM($B84)))*(CsDJ[Date]&lt;=$E$7),CsDJ[Debit])))+(SUM(IF((CRDJ[Sort Code]=(TRIM(G$4)))*(CRDJ[Account Code]=(TRIM($B84)))*(CRDJ[Date]&lt;=$E$7),CRDJ[Debit])))+(SUM(IF((GJ[Sort Code]=(TRIM(G$4)))*(GJ[Account Code]=(TRIM($B84)))*(GJ[Date]&lt;=$E$7),GJ[Debit]))))-((SUM(IF((CkDJ[Sort Code]=(TRIM(G$4)))*(CkDJ[Account Code]=(TRIM($B84)))*(CkDJ[Date]&lt;=$E$7),CkDJ[Credit])))+(SUM(IF((CsDJ[Sort Code]=(TRIM(G$4)))*(CsDJ[Account Code]=(TRIM($B84)))*(CsDJ[Date]&lt;=$E$7),CsDJ[Credit])))+(SUM(IF((CRDJ[Sort Code]=(TRIM(G$4)))*(CRDJ[Account Code]=(TRIM($B84)))*(CRDJ[Date]&lt;=$E$7),CRDJ[Credit])))+(SUM(IF((GJ[Sort Code]=(TRIM(G$4)))*(GJ[Account Code]=(TRIM($B84)))*(GJ[Date]&lt;=$E$7),GJ[Credit]))))</f>
        <v>0</v>
      </c>
      <c r="F84" s="245">
        <f t="array" ref="F84">((SUM(IF((CkDJ[Date]=$A$3)*(CkDJ[Sort Code]=(TRIM(G$4)))*(CkDJ[Account Code]=(TRIM($B84))),CkDJ[Debit])))+(SUM(IF((CsDJ[Date]=$A$3)*(CsDJ[Sort Code]=(TRIM(G$4)))*(CsDJ[Account Code]=(TRIM($B84))),CsDJ[Debit])))+(SUM(IF((CRDJ[Date]=$A$3)*(CRDJ[Sort Code]=(TRIM(G$4)))*(CRDJ[Account Code]=(TRIM($B84))),CRDJ[Debit])))+(SUM(IF((GJ[Date]=$A$3)*(GJ[Sort Code]=(TRIM(G$4)))*(GJ[Account Code]=(TRIM($B84))),GJ[Debit]))))-((SUM(IF((CkDJ[Date]=$A$3)*(CkDJ[Sort Code]=(TRIM(G$4)))*(CkDJ[Account Code]=(TRIM($B84))),CkDJ[Credit])))+(SUM(IF((CsDJ[Date]=$A$3)*(CsDJ[Sort Code]=(TRIM(G$4)))*(CsDJ[Account Code]=(TRIM($B84))),CsDJ[Credit])))+(SUM(IF((CRDJ[Date]=$A$3)*(CRDJ[Sort Code]=(TRIM(G$4)))*(CRDJ[Account Code]=(TRIM($B84))),CRDJ[Credit])))+(SUM(IF((GJ[Date]=$A$3)*(GJ[Sort Code]=(TRIM(G$4)))*(GJ[Account Code]=(TRIM($B84))),GJ[Credit]))))</f>
        <v>0</v>
      </c>
      <c r="G84" s="343">
        <f t="shared" si="9"/>
        <v>0</v>
      </c>
      <c r="H84" s="246">
        <f t="shared" si="5"/>
        <v>0</v>
      </c>
      <c r="I84" s="246">
        <f t="shared" si="6"/>
        <v>0</v>
      </c>
    </row>
    <row r="85" spans="1:9" hidden="1">
      <c r="A85" s="256" t="s">
        <v>1018</v>
      </c>
      <c r="B85" s="339" t="s">
        <v>228</v>
      </c>
      <c r="C85" s="245">
        <f t="array" ref="C85">SUM(IF((Budget[Account Code]=B85)*(Budget[Sort Code]=$G$4),(Budget[Amount])))</f>
        <v>0</v>
      </c>
      <c r="D85" s="245">
        <f t="array" ref="D85">SUM(IF((Budget[Account Code]=B85)*(Budget[Sort Code]=$G$4)*(Budget[Date]&lt;=$D$7),(Budget[Amount])))</f>
        <v>0</v>
      </c>
      <c r="E85" s="245">
        <f t="array" ref="E85">((SUM(IF((CkDJ[Sort Code]=(TRIM(G$4)))*(CkDJ[Account Code]=(TRIM($B85)))*(CkDJ[Date]&lt;=$E$7),CkDJ[Debit])))+(SUM(IF((CsDJ[Sort Code]=(TRIM(G$4)))*(CsDJ[Account Code]=(TRIM($B85)))*(CsDJ[Date]&lt;=$E$7),CsDJ[Debit])))+(SUM(IF((CRDJ[Sort Code]=(TRIM(G$4)))*(CRDJ[Account Code]=(TRIM($B85)))*(CRDJ[Date]&lt;=$E$7),CRDJ[Debit])))+(SUM(IF((GJ[Sort Code]=(TRIM(G$4)))*(GJ[Account Code]=(TRIM($B85)))*(GJ[Date]&lt;=$E$7),GJ[Debit]))))-((SUM(IF((CkDJ[Sort Code]=(TRIM(G$4)))*(CkDJ[Account Code]=(TRIM($B85)))*(CkDJ[Date]&lt;=$E$7),CkDJ[Credit])))+(SUM(IF((CsDJ[Sort Code]=(TRIM(G$4)))*(CsDJ[Account Code]=(TRIM($B85)))*(CsDJ[Date]&lt;=$E$7),CsDJ[Credit])))+(SUM(IF((CRDJ[Sort Code]=(TRIM(G$4)))*(CRDJ[Account Code]=(TRIM($B85)))*(CRDJ[Date]&lt;=$E$7),CRDJ[Credit])))+(SUM(IF((GJ[Sort Code]=(TRIM(G$4)))*(GJ[Account Code]=(TRIM($B85)))*(GJ[Date]&lt;=$E$7),GJ[Credit]))))</f>
        <v>0</v>
      </c>
      <c r="F85" s="245">
        <f t="array" ref="F85">((SUM(IF((CkDJ[Date]=$A$3)*(CkDJ[Sort Code]=(TRIM(G$4)))*(CkDJ[Account Code]=(TRIM($B85))),CkDJ[Debit])))+(SUM(IF((CsDJ[Date]=$A$3)*(CsDJ[Sort Code]=(TRIM(G$4)))*(CsDJ[Account Code]=(TRIM($B85))),CsDJ[Debit])))+(SUM(IF((CRDJ[Date]=$A$3)*(CRDJ[Sort Code]=(TRIM(G$4)))*(CRDJ[Account Code]=(TRIM($B85))),CRDJ[Debit])))+(SUM(IF((GJ[Date]=$A$3)*(GJ[Sort Code]=(TRIM(G$4)))*(GJ[Account Code]=(TRIM($B85))),GJ[Debit]))))-((SUM(IF((CkDJ[Date]=$A$3)*(CkDJ[Sort Code]=(TRIM(G$4)))*(CkDJ[Account Code]=(TRIM($B85))),CkDJ[Credit])))+(SUM(IF((CsDJ[Date]=$A$3)*(CsDJ[Sort Code]=(TRIM(G$4)))*(CsDJ[Account Code]=(TRIM($B85))),CsDJ[Credit])))+(SUM(IF((CRDJ[Date]=$A$3)*(CRDJ[Sort Code]=(TRIM(G$4)))*(CRDJ[Account Code]=(TRIM($B85))),CRDJ[Credit])))+(SUM(IF((GJ[Date]=$A$3)*(GJ[Sort Code]=(TRIM(G$4)))*(GJ[Account Code]=(TRIM($B85))),GJ[Credit]))))</f>
        <v>0</v>
      </c>
      <c r="G85" s="343">
        <f t="shared" si="9"/>
        <v>0</v>
      </c>
      <c r="H85" s="246">
        <f t="shared" si="5"/>
        <v>0</v>
      </c>
      <c r="I85" s="246">
        <f t="shared" si="6"/>
        <v>0</v>
      </c>
    </row>
    <row r="86" spans="1:9" hidden="1">
      <c r="A86" s="256" t="s">
        <v>289</v>
      </c>
      <c r="B86" s="339" t="s">
        <v>229</v>
      </c>
      <c r="C86" s="245">
        <f t="array" ref="C86">SUM(IF((Budget[Account Code]=B86)*(Budget[Sort Code]=$G$4),(Budget[Amount])))</f>
        <v>3485962.56</v>
      </c>
      <c r="D86" s="245">
        <f t="array" ref="D86">SUM(IF((Budget[Account Code]=B86)*(Budget[Sort Code]=$G$4)*(Budget[Date]&lt;=$D$7),(Budget[Amount])))</f>
        <v>3485962.56</v>
      </c>
      <c r="E86" s="245">
        <f t="array" ref="E86">((SUM(IF((CkDJ[Sort Code]=(TRIM(G$4)))*(CkDJ[Account Code]=(TRIM($B86)))*(CkDJ[Date]&lt;=$E$7),CkDJ[Debit])))+(SUM(IF((CsDJ[Sort Code]=(TRIM(G$4)))*(CsDJ[Account Code]=(TRIM($B86)))*(CsDJ[Date]&lt;=$E$7),CsDJ[Debit])))+(SUM(IF((CRDJ[Sort Code]=(TRIM(G$4)))*(CRDJ[Account Code]=(TRIM($B86)))*(CRDJ[Date]&lt;=$E$7),CRDJ[Debit])))+(SUM(IF((GJ[Sort Code]=(TRIM(G$4)))*(GJ[Account Code]=(TRIM($B86)))*(GJ[Date]&lt;=$E$7),GJ[Debit]))))-((SUM(IF((CkDJ[Sort Code]=(TRIM(G$4)))*(CkDJ[Account Code]=(TRIM($B86)))*(CkDJ[Date]&lt;=$E$7),CkDJ[Credit])))+(SUM(IF((CsDJ[Sort Code]=(TRIM(G$4)))*(CsDJ[Account Code]=(TRIM($B86)))*(CsDJ[Date]&lt;=$E$7),CsDJ[Credit])))+(SUM(IF((CRDJ[Sort Code]=(TRIM(G$4)))*(CRDJ[Account Code]=(TRIM($B86)))*(CRDJ[Date]&lt;=$E$7),CRDJ[Credit])))+(SUM(IF((GJ[Sort Code]=(TRIM(G$4)))*(GJ[Account Code]=(TRIM($B86)))*(GJ[Date]&lt;=$E$7),GJ[Credit]))))</f>
        <v>0</v>
      </c>
      <c r="F86" s="245">
        <f t="array" ref="F86">((SUM(IF((CkDJ[Date]=$A$3)*(CkDJ[Sort Code]=(TRIM(G$4)))*(CkDJ[Account Code]=(TRIM($B86))),CkDJ[Debit])))+(SUM(IF((CsDJ[Date]=$A$3)*(CsDJ[Sort Code]=(TRIM(G$4)))*(CsDJ[Account Code]=(TRIM($B86))),CsDJ[Debit])))+(SUM(IF((CRDJ[Date]=$A$3)*(CRDJ[Sort Code]=(TRIM(G$4)))*(CRDJ[Account Code]=(TRIM($B86))),CRDJ[Debit])))+(SUM(IF((GJ[Date]=$A$3)*(GJ[Sort Code]=(TRIM(G$4)))*(GJ[Account Code]=(TRIM($B86))),GJ[Debit]))))-((SUM(IF((CkDJ[Date]=$A$3)*(CkDJ[Sort Code]=(TRIM(G$4)))*(CkDJ[Account Code]=(TRIM($B86))),CkDJ[Credit])))+(SUM(IF((CsDJ[Date]=$A$3)*(CsDJ[Sort Code]=(TRIM(G$4)))*(CsDJ[Account Code]=(TRIM($B86))),CsDJ[Credit])))+(SUM(IF((CRDJ[Date]=$A$3)*(CRDJ[Sort Code]=(TRIM(G$4)))*(CRDJ[Account Code]=(TRIM($B86))),CRDJ[Credit])))+(SUM(IF((GJ[Date]=$A$3)*(GJ[Sort Code]=(TRIM(G$4)))*(GJ[Account Code]=(TRIM($B86))),GJ[Credit]))))</f>
        <v>0</v>
      </c>
      <c r="G86" s="343">
        <f t="shared" si="9"/>
        <v>0</v>
      </c>
      <c r="H86" s="246">
        <f t="shared" si="5"/>
        <v>-3485962.56</v>
      </c>
      <c r="I86" s="246">
        <f t="shared" si="6"/>
        <v>0</v>
      </c>
    </row>
    <row r="87" spans="1:9" hidden="1">
      <c r="A87" s="256" t="s">
        <v>290</v>
      </c>
      <c r="B87" s="339" t="s">
        <v>230</v>
      </c>
      <c r="C87" s="245">
        <f t="array" ref="C87">SUM(IF((Budget[Account Code]=B87)*(Budget[Sort Code]=$G$4),(Budget[Amount])))</f>
        <v>0</v>
      </c>
      <c r="D87" s="245">
        <f t="array" ref="D87">SUM(IF((Budget[Account Code]=B87)*(Budget[Sort Code]=$G$4)*(Budget[Date]&lt;=$D$7),(Budget[Amount])))</f>
        <v>0</v>
      </c>
      <c r="E87" s="245">
        <f t="array" ref="E87">((SUM(IF((CkDJ[Sort Code]=(TRIM(G$4)))*(CkDJ[Account Code]=(TRIM($B87)))*(CkDJ[Date]&lt;=$E$7),CkDJ[Debit])))+(SUM(IF((CsDJ[Sort Code]=(TRIM(G$4)))*(CsDJ[Account Code]=(TRIM($B87)))*(CsDJ[Date]&lt;=$E$7),CsDJ[Debit])))+(SUM(IF((CRDJ[Sort Code]=(TRIM(G$4)))*(CRDJ[Account Code]=(TRIM($B87)))*(CRDJ[Date]&lt;=$E$7),CRDJ[Debit])))+(SUM(IF((GJ[Sort Code]=(TRIM(G$4)))*(GJ[Account Code]=(TRIM($B87)))*(GJ[Date]&lt;=$E$7),GJ[Debit]))))-((SUM(IF((CkDJ[Sort Code]=(TRIM(G$4)))*(CkDJ[Account Code]=(TRIM($B87)))*(CkDJ[Date]&lt;=$E$7),CkDJ[Credit])))+(SUM(IF((CsDJ[Sort Code]=(TRIM(G$4)))*(CsDJ[Account Code]=(TRIM($B87)))*(CsDJ[Date]&lt;=$E$7),CsDJ[Credit])))+(SUM(IF((CRDJ[Sort Code]=(TRIM(G$4)))*(CRDJ[Account Code]=(TRIM($B87)))*(CRDJ[Date]&lt;=$E$7),CRDJ[Credit])))+(SUM(IF((GJ[Sort Code]=(TRIM(G$4)))*(GJ[Account Code]=(TRIM($B87)))*(GJ[Date]&lt;=$E$7),GJ[Credit]))))</f>
        <v>0</v>
      </c>
      <c r="F87" s="245">
        <f t="array" ref="F87">((SUM(IF((CkDJ[Date]=$A$3)*(CkDJ[Sort Code]=(TRIM(G$4)))*(CkDJ[Account Code]=(TRIM($B87))),CkDJ[Debit])))+(SUM(IF((CsDJ[Date]=$A$3)*(CsDJ[Sort Code]=(TRIM(G$4)))*(CsDJ[Account Code]=(TRIM($B87))),CsDJ[Debit])))+(SUM(IF((CRDJ[Date]=$A$3)*(CRDJ[Sort Code]=(TRIM(G$4)))*(CRDJ[Account Code]=(TRIM($B87))),CRDJ[Debit])))+(SUM(IF((GJ[Date]=$A$3)*(GJ[Sort Code]=(TRIM(G$4)))*(GJ[Account Code]=(TRIM($B87))),GJ[Debit]))))-((SUM(IF((CkDJ[Date]=$A$3)*(CkDJ[Sort Code]=(TRIM(G$4)))*(CkDJ[Account Code]=(TRIM($B87))),CkDJ[Credit])))+(SUM(IF((CsDJ[Date]=$A$3)*(CsDJ[Sort Code]=(TRIM(G$4)))*(CsDJ[Account Code]=(TRIM($B87))),CsDJ[Credit])))+(SUM(IF((CRDJ[Date]=$A$3)*(CRDJ[Sort Code]=(TRIM(G$4)))*(CRDJ[Account Code]=(TRIM($B87))),CRDJ[Credit])))+(SUM(IF((GJ[Date]=$A$3)*(GJ[Sort Code]=(TRIM(G$4)))*(GJ[Account Code]=(TRIM($B87))),GJ[Credit]))))</f>
        <v>0</v>
      </c>
      <c r="G87" s="343">
        <f t="shared" si="9"/>
        <v>0</v>
      </c>
      <c r="H87" s="246">
        <f t="shared" si="5"/>
        <v>0</v>
      </c>
      <c r="I87" s="246">
        <f t="shared" si="6"/>
        <v>0</v>
      </c>
    </row>
    <row r="88" spans="1:9" hidden="1">
      <c r="A88" s="256" t="s">
        <v>291</v>
      </c>
      <c r="B88" s="339" t="s">
        <v>231</v>
      </c>
      <c r="C88" s="245">
        <f t="array" ref="C88">SUM(IF((Budget[Account Code]=B88)*(Budget[Sort Code]=$G$4),(Budget[Amount])))</f>
        <v>0</v>
      </c>
      <c r="D88" s="245">
        <f t="array" ref="D88">SUM(IF((Budget[Account Code]=B88)*(Budget[Sort Code]=$G$4)*(Budget[Date]&lt;=$D$7),(Budget[Amount])))</f>
        <v>0</v>
      </c>
      <c r="E88" s="245">
        <f t="array" ref="E88">((SUM(IF((CkDJ[Sort Code]=(TRIM(G$4)))*(CkDJ[Account Code]=(TRIM($B88)))*(CkDJ[Date]&lt;=$E$7),CkDJ[Debit])))+(SUM(IF((CsDJ[Sort Code]=(TRIM(G$4)))*(CsDJ[Account Code]=(TRIM($B88)))*(CsDJ[Date]&lt;=$E$7),CsDJ[Debit])))+(SUM(IF((CRDJ[Sort Code]=(TRIM(G$4)))*(CRDJ[Account Code]=(TRIM($B88)))*(CRDJ[Date]&lt;=$E$7),CRDJ[Debit])))+(SUM(IF((GJ[Sort Code]=(TRIM(G$4)))*(GJ[Account Code]=(TRIM($B88)))*(GJ[Date]&lt;=$E$7),GJ[Debit]))))-((SUM(IF((CkDJ[Sort Code]=(TRIM(G$4)))*(CkDJ[Account Code]=(TRIM($B88)))*(CkDJ[Date]&lt;=$E$7),CkDJ[Credit])))+(SUM(IF((CsDJ[Sort Code]=(TRIM(G$4)))*(CsDJ[Account Code]=(TRIM($B88)))*(CsDJ[Date]&lt;=$E$7),CsDJ[Credit])))+(SUM(IF((CRDJ[Sort Code]=(TRIM(G$4)))*(CRDJ[Account Code]=(TRIM($B88)))*(CRDJ[Date]&lt;=$E$7),CRDJ[Credit])))+(SUM(IF((GJ[Sort Code]=(TRIM(G$4)))*(GJ[Account Code]=(TRIM($B88)))*(GJ[Date]&lt;=$E$7),GJ[Credit]))))</f>
        <v>0</v>
      </c>
      <c r="F88" s="245">
        <f t="array" ref="F88">((SUM(IF((CkDJ[Date]=$A$3)*(CkDJ[Sort Code]=(TRIM(G$4)))*(CkDJ[Account Code]=(TRIM($B88))),CkDJ[Debit])))+(SUM(IF((CsDJ[Date]=$A$3)*(CsDJ[Sort Code]=(TRIM(G$4)))*(CsDJ[Account Code]=(TRIM($B88))),CsDJ[Debit])))+(SUM(IF((CRDJ[Date]=$A$3)*(CRDJ[Sort Code]=(TRIM(G$4)))*(CRDJ[Account Code]=(TRIM($B88))),CRDJ[Debit])))+(SUM(IF((GJ[Date]=$A$3)*(GJ[Sort Code]=(TRIM(G$4)))*(GJ[Account Code]=(TRIM($B88))),GJ[Debit]))))-((SUM(IF((CkDJ[Date]=$A$3)*(CkDJ[Sort Code]=(TRIM(G$4)))*(CkDJ[Account Code]=(TRIM($B88))),CkDJ[Credit])))+(SUM(IF((CsDJ[Date]=$A$3)*(CsDJ[Sort Code]=(TRIM(G$4)))*(CsDJ[Account Code]=(TRIM($B88))),CsDJ[Credit])))+(SUM(IF((CRDJ[Date]=$A$3)*(CRDJ[Sort Code]=(TRIM(G$4)))*(CRDJ[Account Code]=(TRIM($B88))),CRDJ[Credit])))+(SUM(IF((GJ[Date]=$A$3)*(GJ[Sort Code]=(TRIM(G$4)))*(GJ[Account Code]=(TRIM($B88))),GJ[Credit]))))</f>
        <v>0</v>
      </c>
      <c r="G88" s="343">
        <f t="shared" si="9"/>
        <v>0</v>
      </c>
      <c r="H88" s="246">
        <f t="shared" si="5"/>
        <v>0</v>
      </c>
      <c r="I88" s="246">
        <f t="shared" si="6"/>
        <v>0</v>
      </c>
    </row>
    <row r="89" spans="1:9" hidden="1">
      <c r="A89" s="256" t="s">
        <v>292</v>
      </c>
      <c r="B89" s="339" t="s">
        <v>232</v>
      </c>
      <c r="C89" s="245">
        <f t="array" ref="C89">SUM(IF((Budget[Account Code]=B89)*(Budget[Sort Code]=$G$4),(Budget[Amount])))</f>
        <v>60296.160000000003</v>
      </c>
      <c r="D89" s="245">
        <f t="array" ref="D89">SUM(IF((Budget[Account Code]=B89)*(Budget[Sort Code]=$G$4)*(Budget[Date]&lt;=$D$7),(Budget[Amount])))</f>
        <v>60296.160000000003</v>
      </c>
      <c r="E89" s="245">
        <f t="array" ref="E89">((SUM(IF((CkDJ[Sort Code]=(TRIM(G$4)))*(CkDJ[Account Code]=(TRIM($B89)))*(CkDJ[Date]&lt;=$E$7),CkDJ[Debit])))+(SUM(IF((CsDJ[Sort Code]=(TRIM(G$4)))*(CsDJ[Account Code]=(TRIM($B89)))*(CsDJ[Date]&lt;=$E$7),CsDJ[Debit])))+(SUM(IF((CRDJ[Sort Code]=(TRIM(G$4)))*(CRDJ[Account Code]=(TRIM($B89)))*(CRDJ[Date]&lt;=$E$7),CRDJ[Debit])))+(SUM(IF((GJ[Sort Code]=(TRIM(G$4)))*(GJ[Account Code]=(TRIM($B89)))*(GJ[Date]&lt;=$E$7),GJ[Debit]))))-((SUM(IF((CkDJ[Sort Code]=(TRIM(G$4)))*(CkDJ[Account Code]=(TRIM($B89)))*(CkDJ[Date]&lt;=$E$7),CkDJ[Credit])))+(SUM(IF((CsDJ[Sort Code]=(TRIM(G$4)))*(CsDJ[Account Code]=(TRIM($B89)))*(CsDJ[Date]&lt;=$E$7),CsDJ[Credit])))+(SUM(IF((CRDJ[Sort Code]=(TRIM(G$4)))*(CRDJ[Account Code]=(TRIM($B89)))*(CRDJ[Date]&lt;=$E$7),CRDJ[Credit])))+(SUM(IF((GJ[Sort Code]=(TRIM(G$4)))*(GJ[Account Code]=(TRIM($B89)))*(GJ[Date]&lt;=$E$7),GJ[Credit]))))</f>
        <v>0</v>
      </c>
      <c r="F89" s="245">
        <f t="array" ref="F89">((SUM(IF((CkDJ[Date]=$A$3)*(CkDJ[Sort Code]=(TRIM(G$4)))*(CkDJ[Account Code]=(TRIM($B89))),CkDJ[Debit])))+(SUM(IF((CsDJ[Date]=$A$3)*(CsDJ[Sort Code]=(TRIM(G$4)))*(CsDJ[Account Code]=(TRIM($B89))),CsDJ[Debit])))+(SUM(IF((CRDJ[Date]=$A$3)*(CRDJ[Sort Code]=(TRIM(G$4)))*(CRDJ[Account Code]=(TRIM($B89))),CRDJ[Debit])))+(SUM(IF((GJ[Date]=$A$3)*(GJ[Sort Code]=(TRIM(G$4)))*(GJ[Account Code]=(TRIM($B89))),GJ[Debit]))))-((SUM(IF((CkDJ[Date]=$A$3)*(CkDJ[Sort Code]=(TRIM(G$4)))*(CkDJ[Account Code]=(TRIM($B89))),CkDJ[Credit])))+(SUM(IF((CsDJ[Date]=$A$3)*(CsDJ[Sort Code]=(TRIM(G$4)))*(CsDJ[Account Code]=(TRIM($B89))),CsDJ[Credit])))+(SUM(IF((CRDJ[Date]=$A$3)*(CRDJ[Sort Code]=(TRIM(G$4)))*(CRDJ[Account Code]=(TRIM($B89))),CRDJ[Credit])))+(SUM(IF((GJ[Date]=$A$3)*(GJ[Sort Code]=(TRIM(G$4)))*(GJ[Account Code]=(TRIM($B89))),GJ[Credit]))))</f>
        <v>0</v>
      </c>
      <c r="G89" s="343">
        <f t="shared" si="9"/>
        <v>0</v>
      </c>
      <c r="H89" s="246">
        <f t="shared" si="5"/>
        <v>-60296.160000000003</v>
      </c>
      <c r="I89" s="246">
        <f t="shared" si="6"/>
        <v>0</v>
      </c>
    </row>
    <row r="90" spans="1:9" hidden="1">
      <c r="A90" s="256" t="s">
        <v>293</v>
      </c>
      <c r="B90" s="339" t="s">
        <v>233</v>
      </c>
      <c r="C90" s="245">
        <f t="array" ref="C90">SUM(IF((Budget[Account Code]=B90)*(Budget[Sort Code]=$G$4),(Budget[Amount])))</f>
        <v>1222116.1200000001</v>
      </c>
      <c r="D90" s="245">
        <f t="array" ref="D90">SUM(IF((Budget[Account Code]=B90)*(Budget[Sort Code]=$G$4)*(Budget[Date]&lt;=$D$7),(Budget[Amount])))</f>
        <v>1222116.1200000001</v>
      </c>
      <c r="E90" s="245">
        <f t="array" ref="E90">((SUM(IF((CkDJ[Sort Code]=(TRIM(G$4)))*(CkDJ[Account Code]=(TRIM($B90)))*(CkDJ[Date]&lt;=$E$7),CkDJ[Debit])))+(SUM(IF((CsDJ[Sort Code]=(TRIM(G$4)))*(CsDJ[Account Code]=(TRIM($B90)))*(CsDJ[Date]&lt;=$E$7),CsDJ[Debit])))+(SUM(IF((CRDJ[Sort Code]=(TRIM(G$4)))*(CRDJ[Account Code]=(TRIM($B90)))*(CRDJ[Date]&lt;=$E$7),CRDJ[Debit])))+(SUM(IF((GJ[Sort Code]=(TRIM(G$4)))*(GJ[Account Code]=(TRIM($B90)))*(GJ[Date]&lt;=$E$7),GJ[Debit]))))-((SUM(IF((CkDJ[Sort Code]=(TRIM(G$4)))*(CkDJ[Account Code]=(TRIM($B90)))*(CkDJ[Date]&lt;=$E$7),CkDJ[Credit])))+(SUM(IF((CsDJ[Sort Code]=(TRIM(G$4)))*(CsDJ[Account Code]=(TRIM($B90)))*(CsDJ[Date]&lt;=$E$7),CsDJ[Credit])))+(SUM(IF((CRDJ[Sort Code]=(TRIM(G$4)))*(CRDJ[Account Code]=(TRIM($B90)))*(CRDJ[Date]&lt;=$E$7),CRDJ[Credit])))+(SUM(IF((GJ[Sort Code]=(TRIM(G$4)))*(GJ[Account Code]=(TRIM($B90)))*(GJ[Date]&lt;=$E$7),GJ[Credit]))))</f>
        <v>0</v>
      </c>
      <c r="F90" s="245">
        <f t="array" ref="F90">((SUM(IF((CkDJ[Date]=$A$3)*(CkDJ[Sort Code]=(TRIM(G$4)))*(CkDJ[Account Code]=(TRIM($B90))),CkDJ[Debit])))+(SUM(IF((CsDJ[Date]=$A$3)*(CsDJ[Sort Code]=(TRIM(G$4)))*(CsDJ[Account Code]=(TRIM($B90))),CsDJ[Debit])))+(SUM(IF((CRDJ[Date]=$A$3)*(CRDJ[Sort Code]=(TRIM(G$4)))*(CRDJ[Account Code]=(TRIM($B90))),CRDJ[Debit])))+(SUM(IF((GJ[Date]=$A$3)*(GJ[Sort Code]=(TRIM(G$4)))*(GJ[Account Code]=(TRIM($B90))),GJ[Debit]))))-((SUM(IF((CkDJ[Date]=$A$3)*(CkDJ[Sort Code]=(TRIM(G$4)))*(CkDJ[Account Code]=(TRIM($B90))),CkDJ[Credit])))+(SUM(IF((CsDJ[Date]=$A$3)*(CsDJ[Sort Code]=(TRIM(G$4)))*(CsDJ[Account Code]=(TRIM($B90))),CsDJ[Credit])))+(SUM(IF((CRDJ[Date]=$A$3)*(CRDJ[Sort Code]=(TRIM(G$4)))*(CRDJ[Account Code]=(TRIM($B90))),CRDJ[Credit])))+(SUM(IF((GJ[Date]=$A$3)*(GJ[Sort Code]=(TRIM(G$4)))*(GJ[Account Code]=(TRIM($B90))),GJ[Credit]))))</f>
        <v>0</v>
      </c>
      <c r="G90" s="343">
        <f t="shared" si="9"/>
        <v>0</v>
      </c>
      <c r="H90" s="246">
        <f t="shared" si="5"/>
        <v>-1222116.1200000001</v>
      </c>
      <c r="I90" s="246">
        <f t="shared" si="6"/>
        <v>0</v>
      </c>
    </row>
    <row r="91" spans="1:9" hidden="1">
      <c r="A91" s="256" t="s">
        <v>1475</v>
      </c>
      <c r="B91" s="339" t="s">
        <v>1265</v>
      </c>
      <c r="C91" s="245">
        <f t="array" ref="C91">SUM(IF((Budget[Account Code]=B91)*(Budget[Sort Code]=$G$4),(Budget[Amount])))</f>
        <v>0</v>
      </c>
      <c r="D91" s="245">
        <f t="array" ref="D91">SUM(IF((Budget[Account Code]=B91)*(Budget[Sort Code]=$G$4)*(Budget[Date]&lt;=$D$7),(Budget[Amount])))</f>
        <v>0</v>
      </c>
      <c r="E91" s="245">
        <f t="array" ref="E91">((SUM(IF((CkDJ[Sort Code]=(TRIM(G$4)))*(CkDJ[Account Code]=(TRIM($B91)))*(CkDJ[Date]&lt;=$E$7),CkDJ[Debit])))+(SUM(IF((CsDJ[Sort Code]=(TRIM(G$4)))*(CsDJ[Account Code]=(TRIM($B91)))*(CsDJ[Date]&lt;=$E$7),CsDJ[Debit])))+(SUM(IF((CRDJ[Sort Code]=(TRIM(G$4)))*(CRDJ[Account Code]=(TRIM($B91)))*(CRDJ[Date]&lt;=$E$7),CRDJ[Debit])))+(SUM(IF((GJ[Sort Code]=(TRIM(G$4)))*(GJ[Account Code]=(TRIM($B91)))*(GJ[Date]&lt;=$E$7),GJ[Debit]))))-((SUM(IF((CkDJ[Sort Code]=(TRIM(G$4)))*(CkDJ[Account Code]=(TRIM($B91)))*(CkDJ[Date]&lt;=$E$7),CkDJ[Credit])))+(SUM(IF((CsDJ[Sort Code]=(TRIM(G$4)))*(CsDJ[Account Code]=(TRIM($B91)))*(CsDJ[Date]&lt;=$E$7),CsDJ[Credit])))+(SUM(IF((CRDJ[Sort Code]=(TRIM(G$4)))*(CRDJ[Account Code]=(TRIM($B91)))*(CRDJ[Date]&lt;=$E$7),CRDJ[Credit])))+(SUM(IF((GJ[Sort Code]=(TRIM(G$4)))*(GJ[Account Code]=(TRIM($B91)))*(GJ[Date]&lt;=$E$7),GJ[Credit]))))</f>
        <v>0</v>
      </c>
      <c r="F91" s="245">
        <f t="array" ref="F91">((SUM(IF((CkDJ[Date]=$A$3)*(CkDJ[Sort Code]=(TRIM(G$4)))*(CkDJ[Account Code]=(TRIM($B91))),CkDJ[Debit])))+(SUM(IF((CsDJ[Date]=$A$3)*(CsDJ[Sort Code]=(TRIM(G$4)))*(CsDJ[Account Code]=(TRIM($B91))),CsDJ[Debit])))+(SUM(IF((CRDJ[Date]=$A$3)*(CRDJ[Sort Code]=(TRIM(G$4)))*(CRDJ[Account Code]=(TRIM($B91))),CRDJ[Debit])))+(SUM(IF((GJ[Date]=$A$3)*(GJ[Sort Code]=(TRIM(G$4)))*(GJ[Account Code]=(TRIM($B91))),GJ[Debit]))))-((SUM(IF((CkDJ[Date]=$A$3)*(CkDJ[Sort Code]=(TRIM(G$4)))*(CkDJ[Account Code]=(TRIM($B91))),CkDJ[Credit])))+(SUM(IF((CsDJ[Date]=$A$3)*(CsDJ[Sort Code]=(TRIM(G$4)))*(CsDJ[Account Code]=(TRIM($B91))),CsDJ[Credit])))+(SUM(IF((CRDJ[Date]=$A$3)*(CRDJ[Sort Code]=(TRIM(G$4)))*(CRDJ[Account Code]=(TRIM($B91))),CRDJ[Credit])))+(SUM(IF((GJ[Date]=$A$3)*(GJ[Sort Code]=(TRIM(G$4)))*(GJ[Account Code]=(TRIM($B91))),GJ[Credit]))))</f>
        <v>0</v>
      </c>
      <c r="G91" s="343">
        <f>E91+F91</f>
        <v>0</v>
      </c>
      <c r="H91" s="246">
        <f>G91-D91</f>
        <v>0</v>
      </c>
      <c r="I91" s="246">
        <f>IF((D91=0),0,G91/D91)</f>
        <v>0</v>
      </c>
    </row>
    <row r="92" spans="1:9" hidden="1">
      <c r="A92" s="256" t="s">
        <v>1475</v>
      </c>
      <c r="B92" s="339" t="s">
        <v>1266</v>
      </c>
      <c r="C92" s="245">
        <f t="array" ref="C92">SUM(IF((Budget[Account Code]=B92)*(Budget[Sort Code]=$G$4),(Budget[Amount])))</f>
        <v>0</v>
      </c>
      <c r="D92" s="245">
        <f t="array" ref="D92">SUM(IF((Budget[Account Code]=B92)*(Budget[Sort Code]=$G$4)*(Budget[Date]&lt;=$D$7),(Budget[Amount])))</f>
        <v>0</v>
      </c>
      <c r="E92" s="245">
        <f t="array" ref="E92">((SUM(IF((CkDJ[Sort Code]=(TRIM(G$4)))*(CkDJ[Account Code]=(TRIM($B92)))*(CkDJ[Date]&lt;=$E$7),CkDJ[Debit])))+(SUM(IF((CsDJ[Sort Code]=(TRIM(G$4)))*(CsDJ[Account Code]=(TRIM($B92)))*(CsDJ[Date]&lt;=$E$7),CsDJ[Debit])))+(SUM(IF((CRDJ[Sort Code]=(TRIM(G$4)))*(CRDJ[Account Code]=(TRIM($B92)))*(CRDJ[Date]&lt;=$E$7),CRDJ[Debit])))+(SUM(IF((GJ[Sort Code]=(TRIM(G$4)))*(GJ[Account Code]=(TRIM($B92)))*(GJ[Date]&lt;=$E$7),GJ[Debit]))))-((SUM(IF((CkDJ[Sort Code]=(TRIM(G$4)))*(CkDJ[Account Code]=(TRIM($B92)))*(CkDJ[Date]&lt;=$E$7),CkDJ[Credit])))+(SUM(IF((CsDJ[Sort Code]=(TRIM(G$4)))*(CsDJ[Account Code]=(TRIM($B92)))*(CsDJ[Date]&lt;=$E$7),CsDJ[Credit])))+(SUM(IF((CRDJ[Sort Code]=(TRIM(G$4)))*(CRDJ[Account Code]=(TRIM($B92)))*(CRDJ[Date]&lt;=$E$7),CRDJ[Credit])))+(SUM(IF((GJ[Sort Code]=(TRIM(G$4)))*(GJ[Account Code]=(TRIM($B92)))*(GJ[Date]&lt;=$E$7),GJ[Credit]))))</f>
        <v>0</v>
      </c>
      <c r="F92" s="245">
        <f t="array" ref="F92">((SUM(IF((CkDJ[Date]=$A$3)*(CkDJ[Sort Code]=(TRIM(G$4)))*(CkDJ[Account Code]=(TRIM($B92))),CkDJ[Debit])))+(SUM(IF((CsDJ[Date]=$A$3)*(CsDJ[Sort Code]=(TRIM(G$4)))*(CsDJ[Account Code]=(TRIM($B92))),CsDJ[Debit])))+(SUM(IF((CRDJ[Date]=$A$3)*(CRDJ[Sort Code]=(TRIM(G$4)))*(CRDJ[Account Code]=(TRIM($B92))),CRDJ[Debit])))+(SUM(IF((GJ[Date]=$A$3)*(GJ[Sort Code]=(TRIM(G$4)))*(GJ[Account Code]=(TRIM($B92))),GJ[Debit]))))-((SUM(IF((CkDJ[Date]=$A$3)*(CkDJ[Sort Code]=(TRIM(G$4)))*(CkDJ[Account Code]=(TRIM($B92))),CkDJ[Credit])))+(SUM(IF((CsDJ[Date]=$A$3)*(CsDJ[Sort Code]=(TRIM(G$4)))*(CsDJ[Account Code]=(TRIM($B92))),CsDJ[Credit])))+(SUM(IF((CRDJ[Date]=$A$3)*(CRDJ[Sort Code]=(TRIM(G$4)))*(CRDJ[Account Code]=(TRIM($B92))),CRDJ[Credit])))+(SUM(IF((GJ[Date]=$A$3)*(GJ[Sort Code]=(TRIM(G$4)))*(GJ[Account Code]=(TRIM($B92))),GJ[Credit]))))</f>
        <v>0</v>
      </c>
      <c r="G92" s="343">
        <f>E92+F92</f>
        <v>0</v>
      </c>
      <c r="H92" s="246">
        <f>G92-D92</f>
        <v>0</v>
      </c>
      <c r="I92" s="246">
        <f>IF((D92=0),0,G92/D92)</f>
        <v>0</v>
      </c>
    </row>
    <row r="93" spans="1:9" hidden="1">
      <c r="A93" s="256" t="s">
        <v>294</v>
      </c>
      <c r="B93" s="339" t="s">
        <v>234</v>
      </c>
      <c r="C93" s="245">
        <f t="array" ref="C93">SUM(IF((Budget[Account Code]=B93)*(Budget[Sort Code]=$G$4),(Budget[Amount])))</f>
        <v>0</v>
      </c>
      <c r="D93" s="245">
        <f t="array" ref="D93">SUM(IF((Budget[Account Code]=B93)*(Budget[Sort Code]=$G$4)*(Budget[Date]&lt;=$D$7),(Budget[Amount])))</f>
        <v>0</v>
      </c>
      <c r="E93" s="245">
        <f t="array" ref="E93">((SUM(IF((CkDJ[Sort Code]=(TRIM(G$4)))*(CkDJ[Account Code]=(TRIM($B93)))*(CkDJ[Date]&lt;=$E$7),CkDJ[Debit])))+(SUM(IF((CsDJ[Sort Code]=(TRIM(G$4)))*(CsDJ[Account Code]=(TRIM($B93)))*(CsDJ[Date]&lt;=$E$7),CsDJ[Debit])))+(SUM(IF((CRDJ[Sort Code]=(TRIM(G$4)))*(CRDJ[Account Code]=(TRIM($B93)))*(CRDJ[Date]&lt;=$E$7),CRDJ[Debit])))+(SUM(IF((GJ[Sort Code]=(TRIM(G$4)))*(GJ[Account Code]=(TRIM($B93)))*(GJ[Date]&lt;=$E$7),GJ[Debit]))))-((SUM(IF((CkDJ[Sort Code]=(TRIM(G$4)))*(CkDJ[Account Code]=(TRIM($B93)))*(CkDJ[Date]&lt;=$E$7),CkDJ[Credit])))+(SUM(IF((CsDJ[Sort Code]=(TRIM(G$4)))*(CsDJ[Account Code]=(TRIM($B93)))*(CsDJ[Date]&lt;=$E$7),CsDJ[Credit])))+(SUM(IF((CRDJ[Sort Code]=(TRIM(G$4)))*(CRDJ[Account Code]=(TRIM($B93)))*(CRDJ[Date]&lt;=$E$7),CRDJ[Credit])))+(SUM(IF((GJ[Sort Code]=(TRIM(G$4)))*(GJ[Account Code]=(TRIM($B93)))*(GJ[Date]&lt;=$E$7),GJ[Credit]))))</f>
        <v>0</v>
      </c>
      <c r="F93" s="245">
        <f t="array" ref="F93">((SUM(IF((CkDJ[Date]=$A$3)*(CkDJ[Sort Code]=(TRIM(G$4)))*(CkDJ[Account Code]=(TRIM($B93))),CkDJ[Debit])))+(SUM(IF((CsDJ[Date]=$A$3)*(CsDJ[Sort Code]=(TRIM(G$4)))*(CsDJ[Account Code]=(TRIM($B93))),CsDJ[Debit])))+(SUM(IF((CRDJ[Date]=$A$3)*(CRDJ[Sort Code]=(TRIM(G$4)))*(CRDJ[Account Code]=(TRIM($B93))),CRDJ[Debit])))+(SUM(IF((GJ[Date]=$A$3)*(GJ[Sort Code]=(TRIM(G$4)))*(GJ[Account Code]=(TRIM($B93))),GJ[Debit]))))-((SUM(IF((CkDJ[Date]=$A$3)*(CkDJ[Sort Code]=(TRIM(G$4)))*(CkDJ[Account Code]=(TRIM($B93))),CkDJ[Credit])))+(SUM(IF((CsDJ[Date]=$A$3)*(CsDJ[Sort Code]=(TRIM(G$4)))*(CsDJ[Account Code]=(TRIM($B93))),CsDJ[Credit])))+(SUM(IF((CRDJ[Date]=$A$3)*(CRDJ[Sort Code]=(TRIM(G$4)))*(CRDJ[Account Code]=(TRIM($B93))),CRDJ[Credit])))+(SUM(IF((GJ[Date]=$A$3)*(GJ[Sort Code]=(TRIM(G$4)))*(GJ[Account Code]=(TRIM($B93))),GJ[Credit]))))</f>
        <v>0</v>
      </c>
      <c r="G93" s="343">
        <f t="shared" si="9"/>
        <v>0</v>
      </c>
      <c r="H93" s="246">
        <f t="shared" si="5"/>
        <v>0</v>
      </c>
      <c r="I93" s="246">
        <f t="shared" si="6"/>
        <v>0</v>
      </c>
    </row>
    <row r="94" spans="1:9" hidden="1">
      <c r="A94" s="256" t="s">
        <v>295</v>
      </c>
      <c r="B94" s="339" t="s">
        <v>235</v>
      </c>
      <c r="C94" s="245">
        <f t="array" ref="C94">SUM(IF((Budget[Account Code]=B94)*(Budget[Sort Code]=$G$4),(Budget[Amount])))</f>
        <v>0</v>
      </c>
      <c r="D94" s="245">
        <f t="array" ref="D94">SUM(IF((Budget[Account Code]=B94)*(Budget[Sort Code]=$G$4)*(Budget[Date]&lt;=$D$7),(Budget[Amount])))</f>
        <v>0</v>
      </c>
      <c r="E94" s="245">
        <f t="array" ref="E94">((SUM(IF((CkDJ[Sort Code]=(TRIM(G$4)))*(CkDJ[Account Code]=(TRIM($B94)))*(CkDJ[Date]&lt;=$E$7),CkDJ[Debit])))+(SUM(IF((CsDJ[Sort Code]=(TRIM(G$4)))*(CsDJ[Account Code]=(TRIM($B94)))*(CsDJ[Date]&lt;=$E$7),CsDJ[Debit])))+(SUM(IF((CRDJ[Sort Code]=(TRIM(G$4)))*(CRDJ[Account Code]=(TRIM($B94)))*(CRDJ[Date]&lt;=$E$7),CRDJ[Debit])))+(SUM(IF((GJ[Sort Code]=(TRIM(G$4)))*(GJ[Account Code]=(TRIM($B94)))*(GJ[Date]&lt;=$E$7),GJ[Debit]))))-((SUM(IF((CkDJ[Sort Code]=(TRIM(G$4)))*(CkDJ[Account Code]=(TRIM($B94)))*(CkDJ[Date]&lt;=$E$7),CkDJ[Credit])))+(SUM(IF((CsDJ[Sort Code]=(TRIM(G$4)))*(CsDJ[Account Code]=(TRIM($B94)))*(CsDJ[Date]&lt;=$E$7),CsDJ[Credit])))+(SUM(IF((CRDJ[Sort Code]=(TRIM(G$4)))*(CRDJ[Account Code]=(TRIM($B94)))*(CRDJ[Date]&lt;=$E$7),CRDJ[Credit])))+(SUM(IF((GJ[Sort Code]=(TRIM(G$4)))*(GJ[Account Code]=(TRIM($B94)))*(GJ[Date]&lt;=$E$7),GJ[Credit]))))</f>
        <v>0</v>
      </c>
      <c r="F94" s="245">
        <f t="array" ref="F94">((SUM(IF((CkDJ[Date]=$A$3)*(CkDJ[Sort Code]=(TRIM(G$4)))*(CkDJ[Account Code]=(TRIM($B94))),CkDJ[Debit])))+(SUM(IF((CsDJ[Date]=$A$3)*(CsDJ[Sort Code]=(TRIM(G$4)))*(CsDJ[Account Code]=(TRIM($B94))),CsDJ[Debit])))+(SUM(IF((CRDJ[Date]=$A$3)*(CRDJ[Sort Code]=(TRIM(G$4)))*(CRDJ[Account Code]=(TRIM($B94))),CRDJ[Debit])))+(SUM(IF((GJ[Date]=$A$3)*(GJ[Sort Code]=(TRIM(G$4)))*(GJ[Account Code]=(TRIM($B94))),GJ[Debit]))))-((SUM(IF((CkDJ[Date]=$A$3)*(CkDJ[Sort Code]=(TRIM(G$4)))*(CkDJ[Account Code]=(TRIM($B94))),CkDJ[Credit])))+(SUM(IF((CsDJ[Date]=$A$3)*(CsDJ[Sort Code]=(TRIM(G$4)))*(CsDJ[Account Code]=(TRIM($B94))),CsDJ[Credit])))+(SUM(IF((CRDJ[Date]=$A$3)*(CRDJ[Sort Code]=(TRIM(G$4)))*(CRDJ[Account Code]=(TRIM($B94))),CRDJ[Credit])))+(SUM(IF((GJ[Date]=$A$3)*(GJ[Sort Code]=(TRIM(G$4)))*(GJ[Account Code]=(TRIM($B94))),GJ[Credit]))))</f>
        <v>0</v>
      </c>
      <c r="G94" s="343">
        <f t="shared" si="9"/>
        <v>0</v>
      </c>
      <c r="H94" s="246">
        <f t="shared" si="5"/>
        <v>0</v>
      </c>
      <c r="I94" s="246">
        <f t="shared" si="6"/>
        <v>0</v>
      </c>
    </row>
    <row r="95" spans="1:9" hidden="1">
      <c r="A95" s="256" t="s">
        <v>296</v>
      </c>
      <c r="B95" s="339" t="s">
        <v>236</v>
      </c>
      <c r="C95" s="245">
        <f t="array" ref="C95">SUM(IF((Budget[Account Code]=B95)*(Budget[Sort Code]=$G$4),(Budget[Amount])))</f>
        <v>0</v>
      </c>
      <c r="D95" s="245">
        <f t="array" ref="D95">SUM(IF((Budget[Account Code]=B95)*(Budget[Sort Code]=$G$4)*(Budget[Date]&lt;=$D$7),(Budget[Amount])))</f>
        <v>0</v>
      </c>
      <c r="E95" s="245">
        <f t="array" ref="E95">((SUM(IF((CkDJ[Sort Code]=(TRIM(G$4)))*(CkDJ[Account Code]=(TRIM($B95)))*(CkDJ[Date]&lt;=$E$7),CkDJ[Debit])))+(SUM(IF((CsDJ[Sort Code]=(TRIM(G$4)))*(CsDJ[Account Code]=(TRIM($B95)))*(CsDJ[Date]&lt;=$E$7),CsDJ[Debit])))+(SUM(IF((CRDJ[Sort Code]=(TRIM(G$4)))*(CRDJ[Account Code]=(TRIM($B95)))*(CRDJ[Date]&lt;=$E$7),CRDJ[Debit])))+(SUM(IF((GJ[Sort Code]=(TRIM(G$4)))*(GJ[Account Code]=(TRIM($B95)))*(GJ[Date]&lt;=$E$7),GJ[Debit]))))-((SUM(IF((CkDJ[Sort Code]=(TRIM(G$4)))*(CkDJ[Account Code]=(TRIM($B95)))*(CkDJ[Date]&lt;=$E$7),CkDJ[Credit])))+(SUM(IF((CsDJ[Sort Code]=(TRIM(G$4)))*(CsDJ[Account Code]=(TRIM($B95)))*(CsDJ[Date]&lt;=$E$7),CsDJ[Credit])))+(SUM(IF((CRDJ[Sort Code]=(TRIM(G$4)))*(CRDJ[Account Code]=(TRIM($B95)))*(CRDJ[Date]&lt;=$E$7),CRDJ[Credit])))+(SUM(IF((GJ[Sort Code]=(TRIM(G$4)))*(GJ[Account Code]=(TRIM($B95)))*(GJ[Date]&lt;=$E$7),GJ[Credit]))))</f>
        <v>0</v>
      </c>
      <c r="F95" s="245">
        <f t="array" ref="F95">((SUM(IF((CkDJ[Date]=$A$3)*(CkDJ[Sort Code]=(TRIM(G$4)))*(CkDJ[Account Code]=(TRIM($B95))),CkDJ[Debit])))+(SUM(IF((CsDJ[Date]=$A$3)*(CsDJ[Sort Code]=(TRIM(G$4)))*(CsDJ[Account Code]=(TRIM($B95))),CsDJ[Debit])))+(SUM(IF((CRDJ[Date]=$A$3)*(CRDJ[Sort Code]=(TRIM(G$4)))*(CRDJ[Account Code]=(TRIM($B95))),CRDJ[Debit])))+(SUM(IF((GJ[Date]=$A$3)*(GJ[Sort Code]=(TRIM(G$4)))*(GJ[Account Code]=(TRIM($B95))),GJ[Debit]))))-((SUM(IF((CkDJ[Date]=$A$3)*(CkDJ[Sort Code]=(TRIM(G$4)))*(CkDJ[Account Code]=(TRIM($B95))),CkDJ[Credit])))+(SUM(IF((CsDJ[Date]=$A$3)*(CsDJ[Sort Code]=(TRIM(G$4)))*(CsDJ[Account Code]=(TRIM($B95))),CsDJ[Credit])))+(SUM(IF((CRDJ[Date]=$A$3)*(CRDJ[Sort Code]=(TRIM(G$4)))*(CRDJ[Account Code]=(TRIM($B95))),CRDJ[Credit])))+(SUM(IF((GJ[Date]=$A$3)*(GJ[Sort Code]=(TRIM(G$4)))*(GJ[Account Code]=(TRIM($B95))),GJ[Credit]))))</f>
        <v>0</v>
      </c>
      <c r="G95" s="343">
        <f t="shared" si="9"/>
        <v>0</v>
      </c>
      <c r="H95" s="246">
        <f t="shared" si="5"/>
        <v>0</v>
      </c>
      <c r="I95" s="246">
        <f t="shared" si="6"/>
        <v>0</v>
      </c>
    </row>
    <row r="96" spans="1:9" hidden="1">
      <c r="A96" s="256" t="s">
        <v>297</v>
      </c>
      <c r="B96" s="339" t="s">
        <v>237</v>
      </c>
      <c r="C96" s="245">
        <f t="array" ref="C96">SUM(IF((Budget[Account Code]=B96)*(Budget[Sort Code]=$G$4),(Budget[Amount])))</f>
        <v>224716.08</v>
      </c>
      <c r="D96" s="245">
        <f t="array" ref="D96">SUM(IF((Budget[Account Code]=B96)*(Budget[Sort Code]=$G$4)*(Budget[Date]&lt;=$D$7),(Budget[Amount])))</f>
        <v>224716.08</v>
      </c>
      <c r="E96" s="245">
        <f t="array" ref="E96">((SUM(IF((CkDJ[Sort Code]=(TRIM(G$4)))*(CkDJ[Account Code]=(TRIM($B96)))*(CkDJ[Date]&lt;=$E$7),CkDJ[Debit])))+(SUM(IF((CsDJ[Sort Code]=(TRIM(G$4)))*(CsDJ[Account Code]=(TRIM($B96)))*(CsDJ[Date]&lt;=$E$7),CsDJ[Debit])))+(SUM(IF((CRDJ[Sort Code]=(TRIM(G$4)))*(CRDJ[Account Code]=(TRIM($B96)))*(CRDJ[Date]&lt;=$E$7),CRDJ[Debit])))+(SUM(IF((GJ[Sort Code]=(TRIM(G$4)))*(GJ[Account Code]=(TRIM($B96)))*(GJ[Date]&lt;=$E$7),GJ[Debit]))))-((SUM(IF((CkDJ[Sort Code]=(TRIM(G$4)))*(CkDJ[Account Code]=(TRIM($B96)))*(CkDJ[Date]&lt;=$E$7),CkDJ[Credit])))+(SUM(IF((CsDJ[Sort Code]=(TRIM(G$4)))*(CsDJ[Account Code]=(TRIM($B96)))*(CsDJ[Date]&lt;=$E$7),CsDJ[Credit])))+(SUM(IF((CRDJ[Sort Code]=(TRIM(G$4)))*(CRDJ[Account Code]=(TRIM($B96)))*(CRDJ[Date]&lt;=$E$7),CRDJ[Credit])))+(SUM(IF((GJ[Sort Code]=(TRIM(G$4)))*(GJ[Account Code]=(TRIM($B96)))*(GJ[Date]&lt;=$E$7),GJ[Credit]))))</f>
        <v>0</v>
      </c>
      <c r="F96" s="245">
        <f t="array" ref="F96">((SUM(IF((CkDJ[Date]=$A$3)*(CkDJ[Sort Code]=(TRIM(G$4)))*(CkDJ[Account Code]=(TRIM($B96))),CkDJ[Debit])))+(SUM(IF((CsDJ[Date]=$A$3)*(CsDJ[Sort Code]=(TRIM(G$4)))*(CsDJ[Account Code]=(TRIM($B96))),CsDJ[Debit])))+(SUM(IF((CRDJ[Date]=$A$3)*(CRDJ[Sort Code]=(TRIM(G$4)))*(CRDJ[Account Code]=(TRIM($B96))),CRDJ[Debit])))+(SUM(IF((GJ[Date]=$A$3)*(GJ[Sort Code]=(TRIM(G$4)))*(GJ[Account Code]=(TRIM($B96))),GJ[Debit]))))-((SUM(IF((CkDJ[Date]=$A$3)*(CkDJ[Sort Code]=(TRIM(G$4)))*(CkDJ[Account Code]=(TRIM($B96))),CkDJ[Credit])))+(SUM(IF((CsDJ[Date]=$A$3)*(CsDJ[Sort Code]=(TRIM(G$4)))*(CsDJ[Account Code]=(TRIM($B96))),CsDJ[Credit])))+(SUM(IF((CRDJ[Date]=$A$3)*(CRDJ[Sort Code]=(TRIM(G$4)))*(CRDJ[Account Code]=(TRIM($B96))),CRDJ[Credit])))+(SUM(IF((GJ[Date]=$A$3)*(GJ[Sort Code]=(TRIM(G$4)))*(GJ[Account Code]=(TRIM($B96))),GJ[Credit]))))</f>
        <v>0</v>
      </c>
      <c r="G96" s="343">
        <f t="shared" si="9"/>
        <v>0</v>
      </c>
      <c r="H96" s="246">
        <f t="shared" si="5"/>
        <v>-224716.08</v>
      </c>
      <c r="I96" s="246">
        <f t="shared" si="6"/>
        <v>0</v>
      </c>
    </row>
    <row r="97" spans="1:9" hidden="1">
      <c r="A97" s="256" t="s">
        <v>298</v>
      </c>
      <c r="B97" s="339" t="s">
        <v>238</v>
      </c>
      <c r="C97" s="245">
        <f t="array" ref="C97">SUM(IF((Budget[Account Code]=B97)*(Budget[Sort Code]=$G$4),(Budget[Amount])))</f>
        <v>0</v>
      </c>
      <c r="D97" s="245">
        <f t="array" ref="D97">SUM(IF((Budget[Account Code]=B97)*(Budget[Sort Code]=$G$4)*(Budget[Date]&lt;=$D$7),(Budget[Amount])))</f>
        <v>0</v>
      </c>
      <c r="E97" s="245">
        <f t="array" ref="E97">((SUM(IF((CkDJ[Sort Code]=(TRIM(G$4)))*(CkDJ[Account Code]=(TRIM($B97)))*(CkDJ[Date]&lt;=$E$7),CkDJ[Debit])))+(SUM(IF((CsDJ[Sort Code]=(TRIM(G$4)))*(CsDJ[Account Code]=(TRIM($B97)))*(CsDJ[Date]&lt;=$E$7),CsDJ[Debit])))+(SUM(IF((CRDJ[Sort Code]=(TRIM(G$4)))*(CRDJ[Account Code]=(TRIM($B97)))*(CRDJ[Date]&lt;=$E$7),CRDJ[Debit])))+(SUM(IF((GJ[Sort Code]=(TRIM(G$4)))*(GJ[Account Code]=(TRIM($B97)))*(GJ[Date]&lt;=$E$7),GJ[Debit]))))-((SUM(IF((CkDJ[Sort Code]=(TRIM(G$4)))*(CkDJ[Account Code]=(TRIM($B97)))*(CkDJ[Date]&lt;=$E$7),CkDJ[Credit])))+(SUM(IF((CsDJ[Sort Code]=(TRIM(G$4)))*(CsDJ[Account Code]=(TRIM($B97)))*(CsDJ[Date]&lt;=$E$7),CsDJ[Credit])))+(SUM(IF((CRDJ[Sort Code]=(TRIM(G$4)))*(CRDJ[Account Code]=(TRIM($B97)))*(CRDJ[Date]&lt;=$E$7),CRDJ[Credit])))+(SUM(IF((GJ[Sort Code]=(TRIM(G$4)))*(GJ[Account Code]=(TRIM($B97)))*(GJ[Date]&lt;=$E$7),GJ[Credit]))))</f>
        <v>0</v>
      </c>
      <c r="F97" s="245">
        <f t="array" ref="F97">((SUM(IF((CkDJ[Date]=$A$3)*(CkDJ[Sort Code]=(TRIM(G$4)))*(CkDJ[Account Code]=(TRIM($B97))),CkDJ[Debit])))+(SUM(IF((CsDJ[Date]=$A$3)*(CsDJ[Sort Code]=(TRIM(G$4)))*(CsDJ[Account Code]=(TRIM($B97))),CsDJ[Debit])))+(SUM(IF((CRDJ[Date]=$A$3)*(CRDJ[Sort Code]=(TRIM(G$4)))*(CRDJ[Account Code]=(TRIM($B97))),CRDJ[Debit])))+(SUM(IF((GJ[Date]=$A$3)*(GJ[Sort Code]=(TRIM(G$4)))*(GJ[Account Code]=(TRIM($B97))),GJ[Debit]))))-((SUM(IF((CkDJ[Date]=$A$3)*(CkDJ[Sort Code]=(TRIM(G$4)))*(CkDJ[Account Code]=(TRIM($B97))),CkDJ[Credit])))+(SUM(IF((CsDJ[Date]=$A$3)*(CsDJ[Sort Code]=(TRIM(G$4)))*(CsDJ[Account Code]=(TRIM($B97))),CsDJ[Credit])))+(SUM(IF((CRDJ[Date]=$A$3)*(CRDJ[Sort Code]=(TRIM(G$4)))*(CRDJ[Account Code]=(TRIM($B97))),CRDJ[Credit])))+(SUM(IF((GJ[Date]=$A$3)*(GJ[Sort Code]=(TRIM(G$4)))*(GJ[Account Code]=(TRIM($B97))),GJ[Credit]))))</f>
        <v>0</v>
      </c>
      <c r="G97" s="343">
        <f t="shared" si="9"/>
        <v>0</v>
      </c>
      <c r="H97" s="246">
        <f t="shared" si="5"/>
        <v>0</v>
      </c>
      <c r="I97" s="246">
        <f t="shared" si="6"/>
        <v>0</v>
      </c>
    </row>
    <row r="98" spans="1:9" hidden="1">
      <c r="A98" s="256" t="s">
        <v>1019</v>
      </c>
      <c r="B98" s="339" t="s">
        <v>239</v>
      </c>
      <c r="C98" s="245">
        <f t="array" ref="C98">SUM(IF((Budget[Account Code]=B98)*(Budget[Sort Code]=$G$4),(Budget[Amount])))</f>
        <v>0</v>
      </c>
      <c r="D98" s="245">
        <f t="array" ref="D98">SUM(IF((Budget[Account Code]=B98)*(Budget[Sort Code]=$G$4)*(Budget[Date]&lt;=$D$7),(Budget[Amount])))</f>
        <v>0</v>
      </c>
      <c r="E98" s="245">
        <f t="array" ref="E98">((SUM(IF((CkDJ[Sort Code]=(TRIM(G$4)))*(CkDJ[Account Code]=(TRIM($B98)))*(CkDJ[Date]&lt;=$E$7),CkDJ[Debit])))+(SUM(IF((CsDJ[Sort Code]=(TRIM(G$4)))*(CsDJ[Account Code]=(TRIM($B98)))*(CsDJ[Date]&lt;=$E$7),CsDJ[Debit])))+(SUM(IF((CRDJ[Sort Code]=(TRIM(G$4)))*(CRDJ[Account Code]=(TRIM($B98)))*(CRDJ[Date]&lt;=$E$7),CRDJ[Debit])))+(SUM(IF((GJ[Sort Code]=(TRIM(G$4)))*(GJ[Account Code]=(TRIM($B98)))*(GJ[Date]&lt;=$E$7),GJ[Debit]))))-((SUM(IF((CkDJ[Sort Code]=(TRIM(G$4)))*(CkDJ[Account Code]=(TRIM($B98)))*(CkDJ[Date]&lt;=$E$7),CkDJ[Credit])))+(SUM(IF((CsDJ[Sort Code]=(TRIM(G$4)))*(CsDJ[Account Code]=(TRIM($B98)))*(CsDJ[Date]&lt;=$E$7),CsDJ[Credit])))+(SUM(IF((CRDJ[Sort Code]=(TRIM(G$4)))*(CRDJ[Account Code]=(TRIM($B98)))*(CRDJ[Date]&lt;=$E$7),CRDJ[Credit])))+(SUM(IF((GJ[Sort Code]=(TRIM(G$4)))*(GJ[Account Code]=(TRIM($B98)))*(GJ[Date]&lt;=$E$7),GJ[Credit]))))</f>
        <v>0</v>
      </c>
      <c r="F98" s="245">
        <f t="array" ref="F98">((SUM(IF((CkDJ[Date]=$A$3)*(CkDJ[Sort Code]=(TRIM(G$4)))*(CkDJ[Account Code]=(TRIM($B98))),CkDJ[Debit])))+(SUM(IF((CsDJ[Date]=$A$3)*(CsDJ[Sort Code]=(TRIM(G$4)))*(CsDJ[Account Code]=(TRIM($B98))),CsDJ[Debit])))+(SUM(IF((CRDJ[Date]=$A$3)*(CRDJ[Sort Code]=(TRIM(G$4)))*(CRDJ[Account Code]=(TRIM($B98))),CRDJ[Debit])))+(SUM(IF((GJ[Date]=$A$3)*(GJ[Sort Code]=(TRIM(G$4)))*(GJ[Account Code]=(TRIM($B98))),GJ[Debit]))))-((SUM(IF((CkDJ[Date]=$A$3)*(CkDJ[Sort Code]=(TRIM(G$4)))*(CkDJ[Account Code]=(TRIM($B98))),CkDJ[Credit])))+(SUM(IF((CsDJ[Date]=$A$3)*(CsDJ[Sort Code]=(TRIM(G$4)))*(CsDJ[Account Code]=(TRIM($B98))),CsDJ[Credit])))+(SUM(IF((CRDJ[Date]=$A$3)*(CRDJ[Sort Code]=(TRIM(G$4)))*(CRDJ[Account Code]=(TRIM($B98))),CRDJ[Credit])))+(SUM(IF((GJ[Date]=$A$3)*(GJ[Sort Code]=(TRIM(G$4)))*(GJ[Account Code]=(TRIM($B98))),GJ[Credit]))))</f>
        <v>0</v>
      </c>
      <c r="G98" s="343">
        <f t="shared" si="9"/>
        <v>0</v>
      </c>
      <c r="H98" s="246">
        <f t="shared" si="5"/>
        <v>0</v>
      </c>
      <c r="I98" s="246">
        <f t="shared" si="6"/>
        <v>0</v>
      </c>
    </row>
    <row r="99" spans="1:9" hidden="1">
      <c r="A99" s="256" t="s">
        <v>1020</v>
      </c>
      <c r="B99" s="339" t="s">
        <v>240</v>
      </c>
      <c r="C99" s="245">
        <f t="array" ref="C99">SUM(IF((Budget[Account Code]=B99)*(Budget[Sort Code]=$G$4),(Budget[Amount])))</f>
        <v>0</v>
      </c>
      <c r="D99" s="245">
        <f t="array" ref="D99">SUM(IF((Budget[Account Code]=B99)*(Budget[Sort Code]=$G$4)*(Budget[Date]&lt;=$D$7),(Budget[Amount])))</f>
        <v>0</v>
      </c>
      <c r="E99" s="245">
        <f t="array" ref="E99">((SUM(IF((CkDJ[Sort Code]=(TRIM(G$4)))*(CkDJ[Account Code]=(TRIM($B99)))*(CkDJ[Date]&lt;=$E$7),CkDJ[Debit])))+(SUM(IF((CsDJ[Sort Code]=(TRIM(G$4)))*(CsDJ[Account Code]=(TRIM($B99)))*(CsDJ[Date]&lt;=$E$7),CsDJ[Debit])))+(SUM(IF((CRDJ[Sort Code]=(TRIM(G$4)))*(CRDJ[Account Code]=(TRIM($B99)))*(CRDJ[Date]&lt;=$E$7),CRDJ[Debit])))+(SUM(IF((GJ[Sort Code]=(TRIM(G$4)))*(GJ[Account Code]=(TRIM($B99)))*(GJ[Date]&lt;=$E$7),GJ[Debit]))))-((SUM(IF((CkDJ[Sort Code]=(TRIM(G$4)))*(CkDJ[Account Code]=(TRIM($B99)))*(CkDJ[Date]&lt;=$E$7),CkDJ[Credit])))+(SUM(IF((CsDJ[Sort Code]=(TRIM(G$4)))*(CsDJ[Account Code]=(TRIM($B99)))*(CsDJ[Date]&lt;=$E$7),CsDJ[Credit])))+(SUM(IF((CRDJ[Sort Code]=(TRIM(G$4)))*(CRDJ[Account Code]=(TRIM($B99)))*(CRDJ[Date]&lt;=$E$7),CRDJ[Credit])))+(SUM(IF((GJ[Sort Code]=(TRIM(G$4)))*(GJ[Account Code]=(TRIM($B99)))*(GJ[Date]&lt;=$E$7),GJ[Credit]))))</f>
        <v>0</v>
      </c>
      <c r="F99" s="245">
        <f t="array" ref="F99">((SUM(IF((CkDJ[Date]=$A$3)*(CkDJ[Sort Code]=(TRIM(G$4)))*(CkDJ[Account Code]=(TRIM($B99))),CkDJ[Debit])))+(SUM(IF((CsDJ[Date]=$A$3)*(CsDJ[Sort Code]=(TRIM(G$4)))*(CsDJ[Account Code]=(TRIM($B99))),CsDJ[Debit])))+(SUM(IF((CRDJ[Date]=$A$3)*(CRDJ[Sort Code]=(TRIM(G$4)))*(CRDJ[Account Code]=(TRIM($B99))),CRDJ[Debit])))+(SUM(IF((GJ[Date]=$A$3)*(GJ[Sort Code]=(TRIM(G$4)))*(GJ[Account Code]=(TRIM($B99))),GJ[Debit]))))-((SUM(IF((CkDJ[Date]=$A$3)*(CkDJ[Sort Code]=(TRIM(G$4)))*(CkDJ[Account Code]=(TRIM($B99))),CkDJ[Credit])))+(SUM(IF((CsDJ[Date]=$A$3)*(CsDJ[Sort Code]=(TRIM(G$4)))*(CsDJ[Account Code]=(TRIM($B99))),CsDJ[Credit])))+(SUM(IF((CRDJ[Date]=$A$3)*(CRDJ[Sort Code]=(TRIM(G$4)))*(CRDJ[Account Code]=(TRIM($B99))),CRDJ[Credit])))+(SUM(IF((GJ[Date]=$A$3)*(GJ[Sort Code]=(TRIM(G$4)))*(GJ[Account Code]=(TRIM($B99))),GJ[Credit]))))</f>
        <v>0</v>
      </c>
      <c r="G99" s="343">
        <f t="shared" si="9"/>
        <v>0</v>
      </c>
      <c r="H99" s="246">
        <f t="shared" si="5"/>
        <v>0</v>
      </c>
      <c r="I99" s="246">
        <f t="shared" si="6"/>
        <v>0</v>
      </c>
    </row>
    <row r="100" spans="1:9" hidden="1">
      <c r="A100" s="256" t="s">
        <v>299</v>
      </c>
      <c r="B100" s="339" t="s">
        <v>241</v>
      </c>
      <c r="C100" s="245">
        <f t="array" ref="C100">SUM(IF((Budget[Account Code]=B100)*(Budget[Sort Code]=$G$4),(Budget[Amount])))</f>
        <v>0</v>
      </c>
      <c r="D100" s="245">
        <f t="array" ref="D100">SUM(IF((Budget[Account Code]=B100)*(Budget[Sort Code]=$G$4)*(Budget[Date]&lt;=$D$7),(Budget[Amount])))</f>
        <v>0</v>
      </c>
      <c r="E100" s="245">
        <f t="array" ref="E100">((SUM(IF((CkDJ[Sort Code]=(TRIM(G$4)))*(CkDJ[Account Code]=(TRIM($B100)))*(CkDJ[Date]&lt;=$E$7),CkDJ[Debit])))+(SUM(IF((CsDJ[Sort Code]=(TRIM(G$4)))*(CsDJ[Account Code]=(TRIM($B100)))*(CsDJ[Date]&lt;=$E$7),CsDJ[Debit])))+(SUM(IF((CRDJ[Sort Code]=(TRIM(G$4)))*(CRDJ[Account Code]=(TRIM($B100)))*(CRDJ[Date]&lt;=$E$7),CRDJ[Debit])))+(SUM(IF((GJ[Sort Code]=(TRIM(G$4)))*(GJ[Account Code]=(TRIM($B100)))*(GJ[Date]&lt;=$E$7),GJ[Debit]))))-((SUM(IF((CkDJ[Sort Code]=(TRIM(G$4)))*(CkDJ[Account Code]=(TRIM($B100)))*(CkDJ[Date]&lt;=$E$7),CkDJ[Credit])))+(SUM(IF((CsDJ[Sort Code]=(TRIM(G$4)))*(CsDJ[Account Code]=(TRIM($B100)))*(CsDJ[Date]&lt;=$E$7),CsDJ[Credit])))+(SUM(IF((CRDJ[Sort Code]=(TRIM(G$4)))*(CRDJ[Account Code]=(TRIM($B100)))*(CRDJ[Date]&lt;=$E$7),CRDJ[Credit])))+(SUM(IF((GJ[Sort Code]=(TRIM(G$4)))*(GJ[Account Code]=(TRIM($B100)))*(GJ[Date]&lt;=$E$7),GJ[Credit]))))</f>
        <v>0</v>
      </c>
      <c r="F100" s="245">
        <f t="array" ref="F100">((SUM(IF((CkDJ[Date]=$A$3)*(CkDJ[Sort Code]=(TRIM(G$4)))*(CkDJ[Account Code]=(TRIM($B100))),CkDJ[Debit])))+(SUM(IF((CsDJ[Date]=$A$3)*(CsDJ[Sort Code]=(TRIM(G$4)))*(CsDJ[Account Code]=(TRIM($B100))),CsDJ[Debit])))+(SUM(IF((CRDJ[Date]=$A$3)*(CRDJ[Sort Code]=(TRIM(G$4)))*(CRDJ[Account Code]=(TRIM($B100))),CRDJ[Debit])))+(SUM(IF((GJ[Date]=$A$3)*(GJ[Sort Code]=(TRIM(G$4)))*(GJ[Account Code]=(TRIM($B100))),GJ[Debit]))))-((SUM(IF((CkDJ[Date]=$A$3)*(CkDJ[Sort Code]=(TRIM(G$4)))*(CkDJ[Account Code]=(TRIM($B100))),CkDJ[Credit])))+(SUM(IF((CsDJ[Date]=$A$3)*(CsDJ[Sort Code]=(TRIM(G$4)))*(CsDJ[Account Code]=(TRIM($B100))),CsDJ[Credit])))+(SUM(IF((CRDJ[Date]=$A$3)*(CRDJ[Sort Code]=(TRIM(G$4)))*(CRDJ[Account Code]=(TRIM($B100))),CRDJ[Credit])))+(SUM(IF((GJ[Date]=$A$3)*(GJ[Sort Code]=(TRIM(G$4)))*(GJ[Account Code]=(TRIM($B100))),GJ[Credit]))))</f>
        <v>0</v>
      </c>
      <c r="G100" s="343">
        <f t="shared" si="9"/>
        <v>0</v>
      </c>
      <c r="H100" s="246">
        <f t="shared" si="5"/>
        <v>0</v>
      </c>
      <c r="I100" s="246">
        <f t="shared" si="6"/>
        <v>0</v>
      </c>
    </row>
    <row r="101" spans="1:9" hidden="1">
      <c r="A101" s="256" t="s">
        <v>300</v>
      </c>
      <c r="B101" s="339" t="s">
        <v>242</v>
      </c>
      <c r="C101" s="245">
        <f t="array" ref="C101">SUM(IF((Budget[Account Code]=B101)*(Budget[Sort Code]=$G$4),(Budget[Amount])))</f>
        <v>0</v>
      </c>
      <c r="D101" s="245">
        <f t="array" ref="D101">SUM(IF((Budget[Account Code]=B101)*(Budget[Sort Code]=$G$4)*(Budget[Date]&lt;=$D$7),(Budget[Amount])))</f>
        <v>0</v>
      </c>
      <c r="E101" s="245">
        <f t="array" ref="E101">((SUM(IF((CkDJ[Sort Code]=(TRIM(G$4)))*(CkDJ[Account Code]=(TRIM($B101)))*(CkDJ[Date]&lt;=$E$7),CkDJ[Debit])))+(SUM(IF((CsDJ[Sort Code]=(TRIM(G$4)))*(CsDJ[Account Code]=(TRIM($B101)))*(CsDJ[Date]&lt;=$E$7),CsDJ[Debit])))+(SUM(IF((CRDJ[Sort Code]=(TRIM(G$4)))*(CRDJ[Account Code]=(TRIM($B101)))*(CRDJ[Date]&lt;=$E$7),CRDJ[Debit])))+(SUM(IF((GJ[Sort Code]=(TRIM(G$4)))*(GJ[Account Code]=(TRIM($B101)))*(GJ[Date]&lt;=$E$7),GJ[Debit]))))-((SUM(IF((CkDJ[Sort Code]=(TRIM(G$4)))*(CkDJ[Account Code]=(TRIM($B101)))*(CkDJ[Date]&lt;=$E$7),CkDJ[Credit])))+(SUM(IF((CsDJ[Sort Code]=(TRIM(G$4)))*(CsDJ[Account Code]=(TRIM($B101)))*(CsDJ[Date]&lt;=$E$7),CsDJ[Credit])))+(SUM(IF((CRDJ[Sort Code]=(TRIM(G$4)))*(CRDJ[Account Code]=(TRIM($B101)))*(CRDJ[Date]&lt;=$E$7),CRDJ[Credit])))+(SUM(IF((GJ[Sort Code]=(TRIM(G$4)))*(GJ[Account Code]=(TRIM($B101)))*(GJ[Date]&lt;=$E$7),GJ[Credit]))))</f>
        <v>0</v>
      </c>
      <c r="F101" s="245">
        <f t="array" ref="F101">((SUM(IF((CkDJ[Date]=$A$3)*(CkDJ[Sort Code]=(TRIM(G$4)))*(CkDJ[Account Code]=(TRIM($B101))),CkDJ[Debit])))+(SUM(IF((CsDJ[Date]=$A$3)*(CsDJ[Sort Code]=(TRIM(G$4)))*(CsDJ[Account Code]=(TRIM($B101))),CsDJ[Debit])))+(SUM(IF((CRDJ[Date]=$A$3)*(CRDJ[Sort Code]=(TRIM(G$4)))*(CRDJ[Account Code]=(TRIM($B101))),CRDJ[Debit])))+(SUM(IF((GJ[Date]=$A$3)*(GJ[Sort Code]=(TRIM(G$4)))*(GJ[Account Code]=(TRIM($B101))),GJ[Debit]))))-((SUM(IF((CkDJ[Date]=$A$3)*(CkDJ[Sort Code]=(TRIM(G$4)))*(CkDJ[Account Code]=(TRIM($B101))),CkDJ[Credit])))+(SUM(IF((CsDJ[Date]=$A$3)*(CsDJ[Sort Code]=(TRIM(G$4)))*(CsDJ[Account Code]=(TRIM($B101))),CsDJ[Credit])))+(SUM(IF((CRDJ[Date]=$A$3)*(CRDJ[Sort Code]=(TRIM(G$4)))*(CRDJ[Account Code]=(TRIM($B101))),CRDJ[Credit])))+(SUM(IF((GJ[Date]=$A$3)*(GJ[Sort Code]=(TRIM(G$4)))*(GJ[Account Code]=(TRIM($B101))),GJ[Credit]))))</f>
        <v>0</v>
      </c>
      <c r="G101" s="343">
        <f t="shared" si="9"/>
        <v>0</v>
      </c>
      <c r="H101" s="246">
        <f t="shared" si="5"/>
        <v>0</v>
      </c>
      <c r="I101" s="246">
        <f t="shared" si="6"/>
        <v>0</v>
      </c>
    </row>
    <row r="102" spans="1:9" hidden="1">
      <c r="A102" s="256" t="s">
        <v>301</v>
      </c>
      <c r="B102" s="339" t="s">
        <v>243</v>
      </c>
      <c r="C102" s="245">
        <f t="array" ref="C102">SUM(IF((Budget[Account Code]=B102)*(Budget[Sort Code]=$G$4),(Budget[Amount])))</f>
        <v>0</v>
      </c>
      <c r="D102" s="245">
        <f t="array" ref="D102">SUM(IF((Budget[Account Code]=B102)*(Budget[Sort Code]=$G$4)*(Budget[Date]&lt;=$D$7),(Budget[Amount])))</f>
        <v>0</v>
      </c>
      <c r="E102" s="245">
        <f t="array" ref="E102">((SUM(IF((CkDJ[Sort Code]=(TRIM(G$4)))*(CkDJ[Account Code]=(TRIM($B102)))*(CkDJ[Date]&lt;=$E$7),CkDJ[Debit])))+(SUM(IF((CsDJ[Sort Code]=(TRIM(G$4)))*(CsDJ[Account Code]=(TRIM($B102)))*(CsDJ[Date]&lt;=$E$7),CsDJ[Debit])))+(SUM(IF((CRDJ[Sort Code]=(TRIM(G$4)))*(CRDJ[Account Code]=(TRIM($B102)))*(CRDJ[Date]&lt;=$E$7),CRDJ[Debit])))+(SUM(IF((GJ[Sort Code]=(TRIM(G$4)))*(GJ[Account Code]=(TRIM($B102)))*(GJ[Date]&lt;=$E$7),GJ[Debit]))))-((SUM(IF((CkDJ[Sort Code]=(TRIM(G$4)))*(CkDJ[Account Code]=(TRIM($B102)))*(CkDJ[Date]&lt;=$E$7),CkDJ[Credit])))+(SUM(IF((CsDJ[Sort Code]=(TRIM(G$4)))*(CsDJ[Account Code]=(TRIM($B102)))*(CsDJ[Date]&lt;=$E$7),CsDJ[Credit])))+(SUM(IF((CRDJ[Sort Code]=(TRIM(G$4)))*(CRDJ[Account Code]=(TRIM($B102)))*(CRDJ[Date]&lt;=$E$7),CRDJ[Credit])))+(SUM(IF((GJ[Sort Code]=(TRIM(G$4)))*(GJ[Account Code]=(TRIM($B102)))*(GJ[Date]&lt;=$E$7),GJ[Credit]))))</f>
        <v>0</v>
      </c>
      <c r="F102" s="245">
        <f t="array" ref="F102">((SUM(IF((CkDJ[Date]=$A$3)*(CkDJ[Sort Code]=(TRIM(G$4)))*(CkDJ[Account Code]=(TRIM($B102))),CkDJ[Debit])))+(SUM(IF((CsDJ[Date]=$A$3)*(CsDJ[Sort Code]=(TRIM(G$4)))*(CsDJ[Account Code]=(TRIM($B102))),CsDJ[Debit])))+(SUM(IF((CRDJ[Date]=$A$3)*(CRDJ[Sort Code]=(TRIM(G$4)))*(CRDJ[Account Code]=(TRIM($B102))),CRDJ[Debit])))+(SUM(IF((GJ[Date]=$A$3)*(GJ[Sort Code]=(TRIM(G$4)))*(GJ[Account Code]=(TRIM($B102))),GJ[Debit]))))-((SUM(IF((CkDJ[Date]=$A$3)*(CkDJ[Sort Code]=(TRIM(G$4)))*(CkDJ[Account Code]=(TRIM($B102))),CkDJ[Credit])))+(SUM(IF((CsDJ[Date]=$A$3)*(CsDJ[Sort Code]=(TRIM(G$4)))*(CsDJ[Account Code]=(TRIM($B102))),CsDJ[Credit])))+(SUM(IF((CRDJ[Date]=$A$3)*(CRDJ[Sort Code]=(TRIM(G$4)))*(CRDJ[Account Code]=(TRIM($B102))),CRDJ[Credit])))+(SUM(IF((GJ[Date]=$A$3)*(GJ[Sort Code]=(TRIM(G$4)))*(GJ[Account Code]=(TRIM($B102))),GJ[Credit]))))</f>
        <v>0</v>
      </c>
      <c r="G102" s="343">
        <f t="shared" si="9"/>
        <v>0</v>
      </c>
      <c r="H102" s="246">
        <f t="shared" si="5"/>
        <v>0</v>
      </c>
      <c r="I102" s="246">
        <f t="shared" si="6"/>
        <v>0</v>
      </c>
    </row>
    <row r="103" spans="1:9" hidden="1">
      <c r="A103" s="256" t="s">
        <v>302</v>
      </c>
      <c r="B103" s="339" t="s">
        <v>244</v>
      </c>
      <c r="C103" s="245">
        <f t="array" ref="C103">SUM(IF((Budget[Account Code]=B103)*(Budget[Sort Code]=$G$4),(Budget[Amount])))</f>
        <v>0</v>
      </c>
      <c r="D103" s="245">
        <f t="array" ref="D103">SUM(IF((Budget[Account Code]=B103)*(Budget[Sort Code]=$G$4)*(Budget[Date]&lt;=$D$7),(Budget[Amount])))</f>
        <v>0</v>
      </c>
      <c r="E103" s="245">
        <f t="array" ref="E103">((SUM(IF((CkDJ[Sort Code]=(TRIM(G$4)))*(CkDJ[Account Code]=(TRIM($B103)))*(CkDJ[Date]&lt;=$E$7),CkDJ[Debit])))+(SUM(IF((CsDJ[Sort Code]=(TRIM(G$4)))*(CsDJ[Account Code]=(TRIM($B103)))*(CsDJ[Date]&lt;=$E$7),CsDJ[Debit])))+(SUM(IF((CRDJ[Sort Code]=(TRIM(G$4)))*(CRDJ[Account Code]=(TRIM($B103)))*(CRDJ[Date]&lt;=$E$7),CRDJ[Debit])))+(SUM(IF((GJ[Sort Code]=(TRIM(G$4)))*(GJ[Account Code]=(TRIM($B103)))*(GJ[Date]&lt;=$E$7),GJ[Debit]))))-((SUM(IF((CkDJ[Sort Code]=(TRIM(G$4)))*(CkDJ[Account Code]=(TRIM($B103)))*(CkDJ[Date]&lt;=$E$7),CkDJ[Credit])))+(SUM(IF((CsDJ[Sort Code]=(TRIM(G$4)))*(CsDJ[Account Code]=(TRIM($B103)))*(CsDJ[Date]&lt;=$E$7),CsDJ[Credit])))+(SUM(IF((CRDJ[Sort Code]=(TRIM(G$4)))*(CRDJ[Account Code]=(TRIM($B103)))*(CRDJ[Date]&lt;=$E$7),CRDJ[Credit])))+(SUM(IF((GJ[Sort Code]=(TRIM(G$4)))*(GJ[Account Code]=(TRIM($B103)))*(GJ[Date]&lt;=$E$7),GJ[Credit]))))</f>
        <v>0</v>
      </c>
      <c r="F103" s="245">
        <f t="array" ref="F103">((SUM(IF((CkDJ[Date]=$A$3)*(CkDJ[Sort Code]=(TRIM(G$4)))*(CkDJ[Account Code]=(TRIM($B103))),CkDJ[Debit])))+(SUM(IF((CsDJ[Date]=$A$3)*(CsDJ[Sort Code]=(TRIM(G$4)))*(CsDJ[Account Code]=(TRIM($B103))),CsDJ[Debit])))+(SUM(IF((CRDJ[Date]=$A$3)*(CRDJ[Sort Code]=(TRIM(G$4)))*(CRDJ[Account Code]=(TRIM($B103))),CRDJ[Debit])))+(SUM(IF((GJ[Date]=$A$3)*(GJ[Sort Code]=(TRIM(G$4)))*(GJ[Account Code]=(TRIM($B103))),GJ[Debit]))))-((SUM(IF((CkDJ[Date]=$A$3)*(CkDJ[Sort Code]=(TRIM(G$4)))*(CkDJ[Account Code]=(TRIM($B103))),CkDJ[Credit])))+(SUM(IF((CsDJ[Date]=$A$3)*(CsDJ[Sort Code]=(TRIM(G$4)))*(CsDJ[Account Code]=(TRIM($B103))),CsDJ[Credit])))+(SUM(IF((CRDJ[Date]=$A$3)*(CRDJ[Sort Code]=(TRIM(G$4)))*(CRDJ[Account Code]=(TRIM($B103))),CRDJ[Credit])))+(SUM(IF((GJ[Date]=$A$3)*(GJ[Sort Code]=(TRIM(G$4)))*(GJ[Account Code]=(TRIM($B103))),GJ[Credit]))))</f>
        <v>0</v>
      </c>
      <c r="G103" s="343">
        <f t="shared" si="9"/>
        <v>0</v>
      </c>
      <c r="H103" s="246">
        <f t="shared" si="5"/>
        <v>0</v>
      </c>
      <c r="I103" s="246">
        <f t="shared" si="6"/>
        <v>0</v>
      </c>
    </row>
    <row r="104" spans="1:9" hidden="1">
      <c r="A104" s="256" t="s">
        <v>347</v>
      </c>
      <c r="B104" s="339" t="s">
        <v>338</v>
      </c>
      <c r="C104" s="245">
        <f t="array" ref="C104">SUM(IF((Budget[Account Code]=B104)*(Budget[Sort Code]=$G$4),(Budget[Amount])))</f>
        <v>0</v>
      </c>
      <c r="D104" s="245">
        <f t="array" ref="D104">SUM(IF((Budget[Account Code]=B104)*(Budget[Sort Code]=$G$4)*(Budget[Date]&lt;=$D$7),(Budget[Amount])))</f>
        <v>0</v>
      </c>
      <c r="E104" s="245">
        <f t="array" ref="E104">((SUM(IF((CkDJ[Sort Code]=(TRIM(G$4)))*(CkDJ[Account Code]=(TRIM($B104)))*(CkDJ[Date]&lt;=$E$7),CkDJ[Debit])))+(SUM(IF((CsDJ[Sort Code]=(TRIM(G$4)))*(CsDJ[Account Code]=(TRIM($B104)))*(CsDJ[Date]&lt;=$E$7),CsDJ[Debit])))+(SUM(IF((CRDJ[Sort Code]=(TRIM(G$4)))*(CRDJ[Account Code]=(TRIM($B104)))*(CRDJ[Date]&lt;=$E$7),CRDJ[Debit])))+(SUM(IF((GJ[Sort Code]=(TRIM(G$4)))*(GJ[Account Code]=(TRIM($B104)))*(GJ[Date]&lt;=$E$7),GJ[Debit]))))-((SUM(IF((CkDJ[Sort Code]=(TRIM(G$4)))*(CkDJ[Account Code]=(TRIM($B104)))*(CkDJ[Date]&lt;=$E$7),CkDJ[Credit])))+(SUM(IF((CsDJ[Sort Code]=(TRIM(G$4)))*(CsDJ[Account Code]=(TRIM($B104)))*(CsDJ[Date]&lt;=$E$7),CsDJ[Credit])))+(SUM(IF((CRDJ[Sort Code]=(TRIM(G$4)))*(CRDJ[Account Code]=(TRIM($B104)))*(CRDJ[Date]&lt;=$E$7),CRDJ[Credit])))+(SUM(IF((GJ[Sort Code]=(TRIM(G$4)))*(GJ[Account Code]=(TRIM($B104)))*(GJ[Date]&lt;=$E$7),GJ[Credit]))))</f>
        <v>0</v>
      </c>
      <c r="F104" s="245">
        <f t="array" ref="F104">((SUM(IF((CkDJ[Date]=$A$3)*(CkDJ[Sort Code]=(TRIM(G$4)))*(CkDJ[Account Code]=(TRIM($B104))),CkDJ[Debit])))+(SUM(IF((CsDJ[Date]=$A$3)*(CsDJ[Sort Code]=(TRIM(G$4)))*(CsDJ[Account Code]=(TRIM($B104))),CsDJ[Debit])))+(SUM(IF((CRDJ[Date]=$A$3)*(CRDJ[Sort Code]=(TRIM(G$4)))*(CRDJ[Account Code]=(TRIM($B104))),CRDJ[Debit])))+(SUM(IF((GJ[Date]=$A$3)*(GJ[Sort Code]=(TRIM(G$4)))*(GJ[Account Code]=(TRIM($B104))),GJ[Debit]))))-((SUM(IF((CkDJ[Date]=$A$3)*(CkDJ[Sort Code]=(TRIM(G$4)))*(CkDJ[Account Code]=(TRIM($B104))),CkDJ[Credit])))+(SUM(IF((CsDJ[Date]=$A$3)*(CsDJ[Sort Code]=(TRIM(G$4)))*(CsDJ[Account Code]=(TRIM($B104))),CsDJ[Credit])))+(SUM(IF((CRDJ[Date]=$A$3)*(CRDJ[Sort Code]=(TRIM(G$4)))*(CRDJ[Account Code]=(TRIM($B104))),CRDJ[Credit])))+(SUM(IF((GJ[Date]=$A$3)*(GJ[Sort Code]=(TRIM(G$4)))*(GJ[Account Code]=(TRIM($B104))),GJ[Credit]))))</f>
        <v>0</v>
      </c>
      <c r="G104" s="343">
        <f t="shared" si="9"/>
        <v>0</v>
      </c>
      <c r="H104" s="246">
        <f t="shared" si="5"/>
        <v>0</v>
      </c>
      <c r="I104" s="246">
        <f t="shared" si="6"/>
        <v>0</v>
      </c>
    </row>
    <row r="105" spans="1:9" hidden="1">
      <c r="A105" s="256" t="s">
        <v>348</v>
      </c>
      <c r="B105" s="339" t="s">
        <v>339</v>
      </c>
      <c r="C105" s="245">
        <f t="array" ref="C105">SUM(IF((Budget[Account Code]=B105)*(Budget[Sort Code]=$G$4),(Budget[Amount])))</f>
        <v>0</v>
      </c>
      <c r="D105" s="245">
        <f t="array" ref="D105">SUM(IF((Budget[Account Code]=B105)*(Budget[Sort Code]=$G$4)*(Budget[Date]&lt;=$D$7),(Budget[Amount])))</f>
        <v>0</v>
      </c>
      <c r="E105" s="245">
        <f t="array" ref="E105">((SUM(IF((CkDJ[Sort Code]=(TRIM(G$4)))*(CkDJ[Account Code]=(TRIM($B105)))*(CkDJ[Date]&lt;=$E$7),CkDJ[Debit])))+(SUM(IF((CsDJ[Sort Code]=(TRIM(G$4)))*(CsDJ[Account Code]=(TRIM($B105)))*(CsDJ[Date]&lt;=$E$7),CsDJ[Debit])))+(SUM(IF((CRDJ[Sort Code]=(TRIM(G$4)))*(CRDJ[Account Code]=(TRIM($B105)))*(CRDJ[Date]&lt;=$E$7),CRDJ[Debit])))+(SUM(IF((GJ[Sort Code]=(TRIM(G$4)))*(GJ[Account Code]=(TRIM($B105)))*(GJ[Date]&lt;=$E$7),GJ[Debit]))))-((SUM(IF((CkDJ[Sort Code]=(TRIM(G$4)))*(CkDJ[Account Code]=(TRIM($B105)))*(CkDJ[Date]&lt;=$E$7),CkDJ[Credit])))+(SUM(IF((CsDJ[Sort Code]=(TRIM(G$4)))*(CsDJ[Account Code]=(TRIM($B105)))*(CsDJ[Date]&lt;=$E$7),CsDJ[Credit])))+(SUM(IF((CRDJ[Sort Code]=(TRIM(G$4)))*(CRDJ[Account Code]=(TRIM($B105)))*(CRDJ[Date]&lt;=$E$7),CRDJ[Credit])))+(SUM(IF((GJ[Sort Code]=(TRIM(G$4)))*(GJ[Account Code]=(TRIM($B105)))*(GJ[Date]&lt;=$E$7),GJ[Credit]))))</f>
        <v>0</v>
      </c>
      <c r="F105" s="245">
        <f t="array" ref="F105">((SUM(IF((CkDJ[Date]=$A$3)*(CkDJ[Sort Code]=(TRIM(G$4)))*(CkDJ[Account Code]=(TRIM($B105))),CkDJ[Debit])))+(SUM(IF((CsDJ[Date]=$A$3)*(CsDJ[Sort Code]=(TRIM(G$4)))*(CsDJ[Account Code]=(TRIM($B105))),CsDJ[Debit])))+(SUM(IF((CRDJ[Date]=$A$3)*(CRDJ[Sort Code]=(TRIM(G$4)))*(CRDJ[Account Code]=(TRIM($B105))),CRDJ[Debit])))+(SUM(IF((GJ[Date]=$A$3)*(GJ[Sort Code]=(TRIM(G$4)))*(GJ[Account Code]=(TRIM($B105))),GJ[Debit]))))-((SUM(IF((CkDJ[Date]=$A$3)*(CkDJ[Sort Code]=(TRIM(G$4)))*(CkDJ[Account Code]=(TRIM($B105))),CkDJ[Credit])))+(SUM(IF((CsDJ[Date]=$A$3)*(CsDJ[Sort Code]=(TRIM(G$4)))*(CsDJ[Account Code]=(TRIM($B105))),CsDJ[Credit])))+(SUM(IF((CRDJ[Date]=$A$3)*(CRDJ[Sort Code]=(TRIM(G$4)))*(CRDJ[Account Code]=(TRIM($B105))),CRDJ[Credit])))+(SUM(IF((GJ[Date]=$A$3)*(GJ[Sort Code]=(TRIM(G$4)))*(GJ[Account Code]=(TRIM($B105))),GJ[Credit]))))</f>
        <v>0</v>
      </c>
      <c r="G105" s="343">
        <f t="shared" si="9"/>
        <v>0</v>
      </c>
      <c r="H105" s="246">
        <f t="shared" si="5"/>
        <v>0</v>
      </c>
      <c r="I105" s="246">
        <f t="shared" si="6"/>
        <v>0</v>
      </c>
    </row>
    <row r="106" spans="1:9" hidden="1">
      <c r="A106" s="256" t="s">
        <v>1021</v>
      </c>
      <c r="B106" s="339" t="s">
        <v>245</v>
      </c>
      <c r="C106" s="245">
        <f t="array" ref="C106">SUM(IF((Budget[Account Code]=B106)*(Budget[Sort Code]=$G$4),(Budget[Amount])))</f>
        <v>0</v>
      </c>
      <c r="D106" s="245">
        <f t="array" ref="D106">SUM(IF((Budget[Account Code]=B106)*(Budget[Sort Code]=$G$4)*(Budget[Date]&lt;=$D$7),(Budget[Amount])))</f>
        <v>0</v>
      </c>
      <c r="E106" s="245">
        <f t="array" ref="E106">((SUM(IF((CkDJ[Sort Code]=(TRIM(G$4)))*(CkDJ[Account Code]=(TRIM($B106)))*(CkDJ[Date]&lt;=$E$7),CkDJ[Debit])))+(SUM(IF((CsDJ[Sort Code]=(TRIM(G$4)))*(CsDJ[Account Code]=(TRIM($B106)))*(CsDJ[Date]&lt;=$E$7),CsDJ[Debit])))+(SUM(IF((CRDJ[Sort Code]=(TRIM(G$4)))*(CRDJ[Account Code]=(TRIM($B106)))*(CRDJ[Date]&lt;=$E$7),CRDJ[Debit])))+(SUM(IF((GJ[Sort Code]=(TRIM(G$4)))*(GJ[Account Code]=(TRIM($B106)))*(GJ[Date]&lt;=$E$7),GJ[Debit]))))-((SUM(IF((CkDJ[Sort Code]=(TRIM(G$4)))*(CkDJ[Account Code]=(TRIM($B106)))*(CkDJ[Date]&lt;=$E$7),CkDJ[Credit])))+(SUM(IF((CsDJ[Sort Code]=(TRIM(G$4)))*(CsDJ[Account Code]=(TRIM($B106)))*(CsDJ[Date]&lt;=$E$7),CsDJ[Credit])))+(SUM(IF((CRDJ[Sort Code]=(TRIM(G$4)))*(CRDJ[Account Code]=(TRIM($B106)))*(CRDJ[Date]&lt;=$E$7),CRDJ[Credit])))+(SUM(IF((GJ[Sort Code]=(TRIM(G$4)))*(GJ[Account Code]=(TRIM($B106)))*(GJ[Date]&lt;=$E$7),GJ[Credit]))))</f>
        <v>0</v>
      </c>
      <c r="F106" s="245">
        <f t="array" ref="F106">((SUM(IF((CkDJ[Date]=$A$3)*(CkDJ[Sort Code]=(TRIM(G$4)))*(CkDJ[Account Code]=(TRIM($B106))),CkDJ[Debit])))+(SUM(IF((CsDJ[Date]=$A$3)*(CsDJ[Sort Code]=(TRIM(G$4)))*(CsDJ[Account Code]=(TRIM($B106))),CsDJ[Debit])))+(SUM(IF((CRDJ[Date]=$A$3)*(CRDJ[Sort Code]=(TRIM(G$4)))*(CRDJ[Account Code]=(TRIM($B106))),CRDJ[Debit])))+(SUM(IF((GJ[Date]=$A$3)*(GJ[Sort Code]=(TRIM(G$4)))*(GJ[Account Code]=(TRIM($B106))),GJ[Debit]))))-((SUM(IF((CkDJ[Date]=$A$3)*(CkDJ[Sort Code]=(TRIM(G$4)))*(CkDJ[Account Code]=(TRIM($B106))),CkDJ[Credit])))+(SUM(IF((CsDJ[Date]=$A$3)*(CsDJ[Sort Code]=(TRIM(G$4)))*(CsDJ[Account Code]=(TRIM($B106))),CsDJ[Credit])))+(SUM(IF((CRDJ[Date]=$A$3)*(CRDJ[Sort Code]=(TRIM(G$4)))*(CRDJ[Account Code]=(TRIM($B106))),CRDJ[Credit])))+(SUM(IF((GJ[Date]=$A$3)*(GJ[Sort Code]=(TRIM(G$4)))*(GJ[Account Code]=(TRIM($B106))),GJ[Credit]))))</f>
        <v>0</v>
      </c>
      <c r="G106" s="343">
        <f t="shared" si="9"/>
        <v>0</v>
      </c>
      <c r="H106" s="246">
        <f t="shared" si="5"/>
        <v>0</v>
      </c>
      <c r="I106" s="246">
        <f t="shared" si="6"/>
        <v>0</v>
      </c>
    </row>
    <row r="107" spans="1:9" hidden="1">
      <c r="A107" s="256" t="s">
        <v>1022</v>
      </c>
      <c r="B107" s="339" t="s">
        <v>246</v>
      </c>
      <c r="C107" s="245">
        <f t="array" ref="C107">SUM(IF((Budget[Account Code]=B107)*(Budget[Sort Code]=$G$4),(Budget[Amount])))</f>
        <v>0</v>
      </c>
      <c r="D107" s="245">
        <f t="array" ref="D107">SUM(IF((Budget[Account Code]=B107)*(Budget[Sort Code]=$G$4)*(Budget[Date]&lt;=$D$7),(Budget[Amount])))</f>
        <v>0</v>
      </c>
      <c r="E107" s="245">
        <f t="array" ref="E107">((SUM(IF((CkDJ[Sort Code]=(TRIM(G$4)))*(CkDJ[Account Code]=(TRIM($B107)))*(CkDJ[Date]&lt;=$E$7),CkDJ[Debit])))+(SUM(IF((CsDJ[Sort Code]=(TRIM(G$4)))*(CsDJ[Account Code]=(TRIM($B107)))*(CsDJ[Date]&lt;=$E$7),CsDJ[Debit])))+(SUM(IF((CRDJ[Sort Code]=(TRIM(G$4)))*(CRDJ[Account Code]=(TRIM($B107)))*(CRDJ[Date]&lt;=$E$7),CRDJ[Debit])))+(SUM(IF((GJ[Sort Code]=(TRIM(G$4)))*(GJ[Account Code]=(TRIM($B107)))*(GJ[Date]&lt;=$E$7),GJ[Debit]))))-((SUM(IF((CkDJ[Sort Code]=(TRIM(G$4)))*(CkDJ[Account Code]=(TRIM($B107)))*(CkDJ[Date]&lt;=$E$7),CkDJ[Credit])))+(SUM(IF((CsDJ[Sort Code]=(TRIM(G$4)))*(CsDJ[Account Code]=(TRIM($B107)))*(CsDJ[Date]&lt;=$E$7),CsDJ[Credit])))+(SUM(IF((CRDJ[Sort Code]=(TRIM(G$4)))*(CRDJ[Account Code]=(TRIM($B107)))*(CRDJ[Date]&lt;=$E$7),CRDJ[Credit])))+(SUM(IF((GJ[Sort Code]=(TRIM(G$4)))*(GJ[Account Code]=(TRIM($B107)))*(GJ[Date]&lt;=$E$7),GJ[Credit]))))</f>
        <v>0</v>
      </c>
      <c r="F107" s="245">
        <f t="array" ref="F107">((SUM(IF((CkDJ[Date]=$A$3)*(CkDJ[Sort Code]=(TRIM(G$4)))*(CkDJ[Account Code]=(TRIM($B107))),CkDJ[Debit])))+(SUM(IF((CsDJ[Date]=$A$3)*(CsDJ[Sort Code]=(TRIM(G$4)))*(CsDJ[Account Code]=(TRIM($B107))),CsDJ[Debit])))+(SUM(IF((CRDJ[Date]=$A$3)*(CRDJ[Sort Code]=(TRIM(G$4)))*(CRDJ[Account Code]=(TRIM($B107))),CRDJ[Debit])))+(SUM(IF((GJ[Date]=$A$3)*(GJ[Sort Code]=(TRIM(G$4)))*(GJ[Account Code]=(TRIM($B107))),GJ[Debit]))))-((SUM(IF((CkDJ[Date]=$A$3)*(CkDJ[Sort Code]=(TRIM(G$4)))*(CkDJ[Account Code]=(TRIM($B107))),CkDJ[Credit])))+(SUM(IF((CsDJ[Date]=$A$3)*(CsDJ[Sort Code]=(TRIM(G$4)))*(CsDJ[Account Code]=(TRIM($B107))),CsDJ[Credit])))+(SUM(IF((CRDJ[Date]=$A$3)*(CRDJ[Sort Code]=(TRIM(G$4)))*(CRDJ[Account Code]=(TRIM($B107))),CRDJ[Credit])))+(SUM(IF((GJ[Date]=$A$3)*(GJ[Sort Code]=(TRIM(G$4)))*(GJ[Account Code]=(TRIM($B107))),GJ[Credit]))))</f>
        <v>0</v>
      </c>
      <c r="G107" s="343">
        <f t="shared" si="9"/>
        <v>0</v>
      </c>
      <c r="H107" s="246">
        <f t="shared" si="5"/>
        <v>0</v>
      </c>
      <c r="I107" s="246">
        <f t="shared" si="6"/>
        <v>0</v>
      </c>
    </row>
    <row r="108" spans="1:9" hidden="1">
      <c r="A108" s="256" t="s">
        <v>1023</v>
      </c>
      <c r="B108" s="339" t="s">
        <v>247</v>
      </c>
      <c r="C108" s="245">
        <f t="array" ref="C108">SUM(IF((Budget[Account Code]=B108)*(Budget[Sort Code]=$G$4),(Budget[Amount])))</f>
        <v>0</v>
      </c>
      <c r="D108" s="245">
        <f t="array" ref="D108">SUM(IF((Budget[Account Code]=B108)*(Budget[Sort Code]=$G$4)*(Budget[Date]&lt;=$D$7),(Budget[Amount])))</f>
        <v>0</v>
      </c>
      <c r="E108" s="245">
        <f t="array" ref="E108">((SUM(IF((CkDJ[Sort Code]=(TRIM(G$4)))*(CkDJ[Account Code]=(TRIM($B108)))*(CkDJ[Date]&lt;=$E$7),CkDJ[Debit])))+(SUM(IF((CsDJ[Sort Code]=(TRIM(G$4)))*(CsDJ[Account Code]=(TRIM($B108)))*(CsDJ[Date]&lt;=$E$7),CsDJ[Debit])))+(SUM(IF((CRDJ[Sort Code]=(TRIM(G$4)))*(CRDJ[Account Code]=(TRIM($B108)))*(CRDJ[Date]&lt;=$E$7),CRDJ[Debit])))+(SUM(IF((GJ[Sort Code]=(TRIM(G$4)))*(GJ[Account Code]=(TRIM($B108)))*(GJ[Date]&lt;=$E$7),GJ[Debit]))))-((SUM(IF((CkDJ[Sort Code]=(TRIM(G$4)))*(CkDJ[Account Code]=(TRIM($B108)))*(CkDJ[Date]&lt;=$E$7),CkDJ[Credit])))+(SUM(IF((CsDJ[Sort Code]=(TRIM(G$4)))*(CsDJ[Account Code]=(TRIM($B108)))*(CsDJ[Date]&lt;=$E$7),CsDJ[Credit])))+(SUM(IF((CRDJ[Sort Code]=(TRIM(G$4)))*(CRDJ[Account Code]=(TRIM($B108)))*(CRDJ[Date]&lt;=$E$7),CRDJ[Credit])))+(SUM(IF((GJ[Sort Code]=(TRIM(G$4)))*(GJ[Account Code]=(TRIM($B108)))*(GJ[Date]&lt;=$E$7),GJ[Credit]))))</f>
        <v>0</v>
      </c>
      <c r="F108" s="245">
        <f t="array" ref="F108">((SUM(IF((CkDJ[Date]=$A$3)*(CkDJ[Sort Code]=(TRIM(G$4)))*(CkDJ[Account Code]=(TRIM($B108))),CkDJ[Debit])))+(SUM(IF((CsDJ[Date]=$A$3)*(CsDJ[Sort Code]=(TRIM(G$4)))*(CsDJ[Account Code]=(TRIM($B108))),CsDJ[Debit])))+(SUM(IF((CRDJ[Date]=$A$3)*(CRDJ[Sort Code]=(TRIM(G$4)))*(CRDJ[Account Code]=(TRIM($B108))),CRDJ[Debit])))+(SUM(IF((GJ[Date]=$A$3)*(GJ[Sort Code]=(TRIM(G$4)))*(GJ[Account Code]=(TRIM($B108))),GJ[Debit]))))-((SUM(IF((CkDJ[Date]=$A$3)*(CkDJ[Sort Code]=(TRIM(G$4)))*(CkDJ[Account Code]=(TRIM($B108))),CkDJ[Credit])))+(SUM(IF((CsDJ[Date]=$A$3)*(CsDJ[Sort Code]=(TRIM(G$4)))*(CsDJ[Account Code]=(TRIM($B108))),CsDJ[Credit])))+(SUM(IF((CRDJ[Date]=$A$3)*(CRDJ[Sort Code]=(TRIM(G$4)))*(CRDJ[Account Code]=(TRIM($B108))),CRDJ[Credit])))+(SUM(IF((GJ[Date]=$A$3)*(GJ[Sort Code]=(TRIM(G$4)))*(GJ[Account Code]=(TRIM($B108))),GJ[Credit]))))</f>
        <v>0</v>
      </c>
      <c r="G108" s="343">
        <f t="shared" si="9"/>
        <v>0</v>
      </c>
      <c r="H108" s="246">
        <f t="shared" si="5"/>
        <v>0</v>
      </c>
      <c r="I108" s="246">
        <f t="shared" si="6"/>
        <v>0</v>
      </c>
    </row>
    <row r="109" spans="1:9" hidden="1">
      <c r="A109" s="256" t="s">
        <v>1024</v>
      </c>
      <c r="B109" s="339" t="s">
        <v>248</v>
      </c>
      <c r="C109" s="245">
        <f t="array" ref="C109">SUM(IF((Budget[Account Code]=B109)*(Budget[Sort Code]=$G$4),(Budget[Amount])))</f>
        <v>0</v>
      </c>
      <c r="D109" s="245">
        <f t="array" ref="D109">SUM(IF((Budget[Account Code]=B109)*(Budget[Sort Code]=$G$4)*(Budget[Date]&lt;=$D$7),(Budget[Amount])))</f>
        <v>0</v>
      </c>
      <c r="E109" s="245">
        <f t="array" ref="E109">((SUM(IF((CkDJ[Sort Code]=(TRIM(G$4)))*(CkDJ[Account Code]=(TRIM($B109)))*(CkDJ[Date]&lt;=$E$7),CkDJ[Debit])))+(SUM(IF((CsDJ[Sort Code]=(TRIM(G$4)))*(CsDJ[Account Code]=(TRIM($B109)))*(CsDJ[Date]&lt;=$E$7),CsDJ[Debit])))+(SUM(IF((CRDJ[Sort Code]=(TRIM(G$4)))*(CRDJ[Account Code]=(TRIM($B109)))*(CRDJ[Date]&lt;=$E$7),CRDJ[Debit])))+(SUM(IF((GJ[Sort Code]=(TRIM(G$4)))*(GJ[Account Code]=(TRIM($B109)))*(GJ[Date]&lt;=$E$7),GJ[Debit]))))-((SUM(IF((CkDJ[Sort Code]=(TRIM(G$4)))*(CkDJ[Account Code]=(TRIM($B109)))*(CkDJ[Date]&lt;=$E$7),CkDJ[Credit])))+(SUM(IF((CsDJ[Sort Code]=(TRIM(G$4)))*(CsDJ[Account Code]=(TRIM($B109)))*(CsDJ[Date]&lt;=$E$7),CsDJ[Credit])))+(SUM(IF((CRDJ[Sort Code]=(TRIM(G$4)))*(CRDJ[Account Code]=(TRIM($B109)))*(CRDJ[Date]&lt;=$E$7),CRDJ[Credit])))+(SUM(IF((GJ[Sort Code]=(TRIM(G$4)))*(GJ[Account Code]=(TRIM($B109)))*(GJ[Date]&lt;=$E$7),GJ[Credit]))))</f>
        <v>0</v>
      </c>
      <c r="F109" s="245">
        <f t="array" ref="F109">((SUM(IF((CkDJ[Date]=$A$3)*(CkDJ[Sort Code]=(TRIM(G$4)))*(CkDJ[Account Code]=(TRIM($B109))),CkDJ[Debit])))+(SUM(IF((CsDJ[Date]=$A$3)*(CsDJ[Sort Code]=(TRIM(G$4)))*(CsDJ[Account Code]=(TRIM($B109))),CsDJ[Debit])))+(SUM(IF((CRDJ[Date]=$A$3)*(CRDJ[Sort Code]=(TRIM(G$4)))*(CRDJ[Account Code]=(TRIM($B109))),CRDJ[Debit])))+(SUM(IF((GJ[Date]=$A$3)*(GJ[Sort Code]=(TRIM(G$4)))*(GJ[Account Code]=(TRIM($B109))),GJ[Debit]))))-((SUM(IF((CkDJ[Date]=$A$3)*(CkDJ[Sort Code]=(TRIM(G$4)))*(CkDJ[Account Code]=(TRIM($B109))),CkDJ[Credit])))+(SUM(IF((CsDJ[Date]=$A$3)*(CsDJ[Sort Code]=(TRIM(G$4)))*(CsDJ[Account Code]=(TRIM($B109))),CsDJ[Credit])))+(SUM(IF((CRDJ[Date]=$A$3)*(CRDJ[Sort Code]=(TRIM(G$4)))*(CRDJ[Account Code]=(TRIM($B109))),CRDJ[Credit])))+(SUM(IF((GJ[Date]=$A$3)*(GJ[Sort Code]=(TRIM(G$4)))*(GJ[Account Code]=(TRIM($B109))),GJ[Credit]))))</f>
        <v>0</v>
      </c>
      <c r="G109" s="343">
        <f t="shared" si="9"/>
        <v>0</v>
      </c>
      <c r="H109" s="246">
        <f t="shared" si="5"/>
        <v>0</v>
      </c>
      <c r="I109" s="246">
        <f t="shared" si="6"/>
        <v>0</v>
      </c>
    </row>
    <row r="110" spans="1:9" hidden="1">
      <c r="A110" s="256" t="s">
        <v>1025</v>
      </c>
      <c r="B110" s="339" t="s">
        <v>249</v>
      </c>
      <c r="C110" s="245">
        <f t="array" ref="C110">SUM(IF((Budget[Account Code]=B110)*(Budget[Sort Code]=$G$4),(Budget[Amount])))</f>
        <v>0</v>
      </c>
      <c r="D110" s="245">
        <f t="array" ref="D110">SUM(IF((Budget[Account Code]=B110)*(Budget[Sort Code]=$G$4)*(Budget[Date]&lt;=$D$7),(Budget[Amount])))</f>
        <v>0</v>
      </c>
      <c r="E110" s="245">
        <f t="array" ref="E110">((SUM(IF((CkDJ[Sort Code]=(TRIM(G$4)))*(CkDJ[Account Code]=(TRIM($B110)))*(CkDJ[Date]&lt;=$E$7),CkDJ[Debit])))+(SUM(IF((CsDJ[Sort Code]=(TRIM(G$4)))*(CsDJ[Account Code]=(TRIM($B110)))*(CsDJ[Date]&lt;=$E$7),CsDJ[Debit])))+(SUM(IF((CRDJ[Sort Code]=(TRIM(G$4)))*(CRDJ[Account Code]=(TRIM($B110)))*(CRDJ[Date]&lt;=$E$7),CRDJ[Debit])))+(SUM(IF((GJ[Sort Code]=(TRIM(G$4)))*(GJ[Account Code]=(TRIM($B110)))*(GJ[Date]&lt;=$E$7),GJ[Debit]))))-((SUM(IF((CkDJ[Sort Code]=(TRIM(G$4)))*(CkDJ[Account Code]=(TRIM($B110)))*(CkDJ[Date]&lt;=$E$7),CkDJ[Credit])))+(SUM(IF((CsDJ[Sort Code]=(TRIM(G$4)))*(CsDJ[Account Code]=(TRIM($B110)))*(CsDJ[Date]&lt;=$E$7),CsDJ[Credit])))+(SUM(IF((CRDJ[Sort Code]=(TRIM(G$4)))*(CRDJ[Account Code]=(TRIM($B110)))*(CRDJ[Date]&lt;=$E$7),CRDJ[Credit])))+(SUM(IF((GJ[Sort Code]=(TRIM(G$4)))*(GJ[Account Code]=(TRIM($B110)))*(GJ[Date]&lt;=$E$7),GJ[Credit]))))</f>
        <v>0</v>
      </c>
      <c r="F110" s="245">
        <f t="array" ref="F110">((SUM(IF((CkDJ[Date]=$A$3)*(CkDJ[Sort Code]=(TRIM(G$4)))*(CkDJ[Account Code]=(TRIM($B110))),CkDJ[Debit])))+(SUM(IF((CsDJ[Date]=$A$3)*(CsDJ[Sort Code]=(TRIM(G$4)))*(CsDJ[Account Code]=(TRIM($B110))),CsDJ[Debit])))+(SUM(IF((CRDJ[Date]=$A$3)*(CRDJ[Sort Code]=(TRIM(G$4)))*(CRDJ[Account Code]=(TRIM($B110))),CRDJ[Debit])))+(SUM(IF((GJ[Date]=$A$3)*(GJ[Sort Code]=(TRIM(G$4)))*(GJ[Account Code]=(TRIM($B110))),GJ[Debit]))))-((SUM(IF((CkDJ[Date]=$A$3)*(CkDJ[Sort Code]=(TRIM(G$4)))*(CkDJ[Account Code]=(TRIM($B110))),CkDJ[Credit])))+(SUM(IF((CsDJ[Date]=$A$3)*(CsDJ[Sort Code]=(TRIM(G$4)))*(CsDJ[Account Code]=(TRIM($B110))),CsDJ[Credit])))+(SUM(IF((CRDJ[Date]=$A$3)*(CRDJ[Sort Code]=(TRIM(G$4)))*(CRDJ[Account Code]=(TRIM($B110))),CRDJ[Credit])))+(SUM(IF((GJ[Date]=$A$3)*(GJ[Sort Code]=(TRIM(G$4)))*(GJ[Account Code]=(TRIM($B110))),GJ[Credit]))))</f>
        <v>0</v>
      </c>
      <c r="G110" s="343">
        <f t="shared" si="9"/>
        <v>0</v>
      </c>
      <c r="H110" s="246">
        <f t="shared" si="5"/>
        <v>0</v>
      </c>
      <c r="I110" s="246">
        <f t="shared" si="6"/>
        <v>0</v>
      </c>
    </row>
    <row r="111" spans="1:9" hidden="1">
      <c r="A111" s="256" t="s">
        <v>302</v>
      </c>
      <c r="B111" s="339" t="s">
        <v>250</v>
      </c>
      <c r="C111" s="245">
        <f t="array" ref="C111">SUM(IF((Budget[Account Code]=B111)*(Budget[Sort Code]=$G$4),(Budget[Amount])))</f>
        <v>0</v>
      </c>
      <c r="D111" s="245">
        <f t="array" ref="D111">SUM(IF((Budget[Account Code]=B111)*(Budget[Sort Code]=$G$4)*(Budget[Date]&lt;=$D$7),(Budget[Amount])))</f>
        <v>0</v>
      </c>
      <c r="E111" s="245">
        <f t="array" ref="E111">((SUM(IF((CkDJ[Sort Code]=(TRIM(G$4)))*(CkDJ[Account Code]=(TRIM($B111)))*(CkDJ[Date]&lt;=$E$7),CkDJ[Debit])))+(SUM(IF((CsDJ[Sort Code]=(TRIM(G$4)))*(CsDJ[Account Code]=(TRIM($B111)))*(CsDJ[Date]&lt;=$E$7),CsDJ[Debit])))+(SUM(IF((CRDJ[Sort Code]=(TRIM(G$4)))*(CRDJ[Account Code]=(TRIM($B111)))*(CRDJ[Date]&lt;=$E$7),CRDJ[Debit])))+(SUM(IF((GJ[Sort Code]=(TRIM(G$4)))*(GJ[Account Code]=(TRIM($B111)))*(GJ[Date]&lt;=$E$7),GJ[Debit]))))-((SUM(IF((CkDJ[Sort Code]=(TRIM(G$4)))*(CkDJ[Account Code]=(TRIM($B111)))*(CkDJ[Date]&lt;=$E$7),CkDJ[Credit])))+(SUM(IF((CsDJ[Sort Code]=(TRIM(G$4)))*(CsDJ[Account Code]=(TRIM($B111)))*(CsDJ[Date]&lt;=$E$7),CsDJ[Credit])))+(SUM(IF((CRDJ[Sort Code]=(TRIM(G$4)))*(CRDJ[Account Code]=(TRIM($B111)))*(CRDJ[Date]&lt;=$E$7),CRDJ[Credit])))+(SUM(IF((GJ[Sort Code]=(TRIM(G$4)))*(GJ[Account Code]=(TRIM($B111)))*(GJ[Date]&lt;=$E$7),GJ[Credit]))))</f>
        <v>0</v>
      </c>
      <c r="F111" s="245">
        <f t="array" ref="F111">((SUM(IF((CkDJ[Date]=$A$3)*(CkDJ[Sort Code]=(TRIM(G$4)))*(CkDJ[Account Code]=(TRIM($B111))),CkDJ[Debit])))+(SUM(IF((CsDJ[Date]=$A$3)*(CsDJ[Sort Code]=(TRIM(G$4)))*(CsDJ[Account Code]=(TRIM($B111))),CsDJ[Debit])))+(SUM(IF((CRDJ[Date]=$A$3)*(CRDJ[Sort Code]=(TRIM(G$4)))*(CRDJ[Account Code]=(TRIM($B111))),CRDJ[Debit])))+(SUM(IF((GJ[Date]=$A$3)*(GJ[Sort Code]=(TRIM(G$4)))*(GJ[Account Code]=(TRIM($B111))),GJ[Debit]))))-((SUM(IF((CkDJ[Date]=$A$3)*(CkDJ[Sort Code]=(TRIM(G$4)))*(CkDJ[Account Code]=(TRIM($B111))),CkDJ[Credit])))+(SUM(IF((CsDJ[Date]=$A$3)*(CsDJ[Sort Code]=(TRIM(G$4)))*(CsDJ[Account Code]=(TRIM($B111))),CsDJ[Credit])))+(SUM(IF((CRDJ[Date]=$A$3)*(CRDJ[Sort Code]=(TRIM(G$4)))*(CRDJ[Account Code]=(TRIM($B111))),CRDJ[Credit])))+(SUM(IF((GJ[Date]=$A$3)*(GJ[Sort Code]=(TRIM(G$4)))*(GJ[Account Code]=(TRIM($B111))),GJ[Credit]))))</f>
        <v>0</v>
      </c>
      <c r="G111" s="343">
        <f t="shared" si="9"/>
        <v>0</v>
      </c>
      <c r="H111" s="246">
        <f t="shared" si="5"/>
        <v>0</v>
      </c>
      <c r="I111" s="246">
        <f t="shared" si="6"/>
        <v>0</v>
      </c>
    </row>
    <row r="112" spans="1:9" hidden="1">
      <c r="A112" s="256" t="s">
        <v>841</v>
      </c>
      <c r="B112" s="339" t="s">
        <v>251</v>
      </c>
      <c r="C112" s="245">
        <f t="array" ref="C112">SUM(IF((Budget[Account Code]=B112)*(Budget[Sort Code]=$G$4),(Budget[Amount])))</f>
        <v>0</v>
      </c>
      <c r="D112" s="245">
        <f t="array" ref="D112">SUM(IF((Budget[Account Code]=B112)*(Budget[Sort Code]=$G$4)*(Budget[Date]&lt;=$D$7),(Budget[Amount])))</f>
        <v>0</v>
      </c>
      <c r="E112" s="245">
        <f t="array" ref="E112">((SUM(IF((CkDJ[Sort Code]=(TRIM(G$4)))*(CkDJ[Account Code]=(TRIM($B112)))*(CkDJ[Date]&lt;=$E$7),CkDJ[Debit])))+(SUM(IF((CsDJ[Sort Code]=(TRIM(G$4)))*(CsDJ[Account Code]=(TRIM($B112)))*(CsDJ[Date]&lt;=$E$7),CsDJ[Debit])))+(SUM(IF((CRDJ[Sort Code]=(TRIM(G$4)))*(CRDJ[Account Code]=(TRIM($B112)))*(CRDJ[Date]&lt;=$E$7),CRDJ[Debit])))+(SUM(IF((GJ[Sort Code]=(TRIM(G$4)))*(GJ[Account Code]=(TRIM($B112)))*(GJ[Date]&lt;=$E$7),GJ[Debit]))))-((SUM(IF((CkDJ[Sort Code]=(TRIM(G$4)))*(CkDJ[Account Code]=(TRIM($B112)))*(CkDJ[Date]&lt;=$E$7),CkDJ[Credit])))+(SUM(IF((CsDJ[Sort Code]=(TRIM(G$4)))*(CsDJ[Account Code]=(TRIM($B112)))*(CsDJ[Date]&lt;=$E$7),CsDJ[Credit])))+(SUM(IF((CRDJ[Sort Code]=(TRIM(G$4)))*(CRDJ[Account Code]=(TRIM($B112)))*(CRDJ[Date]&lt;=$E$7),CRDJ[Credit])))+(SUM(IF((GJ[Sort Code]=(TRIM(G$4)))*(GJ[Account Code]=(TRIM($B112)))*(GJ[Date]&lt;=$E$7),GJ[Credit]))))</f>
        <v>0</v>
      </c>
      <c r="F112" s="245">
        <f t="array" ref="F112">((SUM(IF((CkDJ[Date]=$A$3)*(CkDJ[Sort Code]=(TRIM(G$4)))*(CkDJ[Account Code]=(TRIM($B112))),CkDJ[Debit])))+(SUM(IF((CsDJ[Date]=$A$3)*(CsDJ[Sort Code]=(TRIM(G$4)))*(CsDJ[Account Code]=(TRIM($B112))),CsDJ[Debit])))+(SUM(IF((CRDJ[Date]=$A$3)*(CRDJ[Sort Code]=(TRIM(G$4)))*(CRDJ[Account Code]=(TRIM($B112))),CRDJ[Debit])))+(SUM(IF((GJ[Date]=$A$3)*(GJ[Sort Code]=(TRIM(G$4)))*(GJ[Account Code]=(TRIM($B112))),GJ[Debit]))))-((SUM(IF((CkDJ[Date]=$A$3)*(CkDJ[Sort Code]=(TRIM(G$4)))*(CkDJ[Account Code]=(TRIM($B112))),CkDJ[Credit])))+(SUM(IF((CsDJ[Date]=$A$3)*(CsDJ[Sort Code]=(TRIM(G$4)))*(CsDJ[Account Code]=(TRIM($B112))),CsDJ[Credit])))+(SUM(IF((CRDJ[Date]=$A$3)*(CRDJ[Sort Code]=(TRIM(G$4)))*(CRDJ[Account Code]=(TRIM($B112))),CRDJ[Credit])))+(SUM(IF((GJ[Date]=$A$3)*(GJ[Sort Code]=(TRIM(G$4)))*(GJ[Account Code]=(TRIM($B112))),GJ[Credit]))))</f>
        <v>0</v>
      </c>
      <c r="G112" s="343">
        <f t="shared" si="9"/>
        <v>0</v>
      </c>
      <c r="H112" s="246">
        <f t="shared" si="5"/>
        <v>0</v>
      </c>
      <c r="I112" s="246">
        <f t="shared" si="6"/>
        <v>0</v>
      </c>
    </row>
    <row r="113" spans="1:9" hidden="1">
      <c r="A113" s="256" t="s">
        <v>1026</v>
      </c>
      <c r="B113" s="339" t="s">
        <v>252</v>
      </c>
      <c r="C113" s="245">
        <f t="array" ref="C113">SUM(IF((Budget[Account Code]=B113)*(Budget[Sort Code]=$G$4),(Budget[Amount])))</f>
        <v>0</v>
      </c>
      <c r="D113" s="245">
        <f t="array" ref="D113">SUM(IF((Budget[Account Code]=B113)*(Budget[Sort Code]=$G$4)*(Budget[Date]&lt;=$D$7),(Budget[Amount])))</f>
        <v>0</v>
      </c>
      <c r="E113" s="245">
        <f t="array" ref="E113">((SUM(IF((CkDJ[Sort Code]=(TRIM(G$4)))*(CkDJ[Account Code]=(TRIM($B113)))*(CkDJ[Date]&lt;=$E$7),CkDJ[Debit])))+(SUM(IF((CsDJ[Sort Code]=(TRIM(G$4)))*(CsDJ[Account Code]=(TRIM($B113)))*(CsDJ[Date]&lt;=$E$7),CsDJ[Debit])))+(SUM(IF((CRDJ[Sort Code]=(TRIM(G$4)))*(CRDJ[Account Code]=(TRIM($B113)))*(CRDJ[Date]&lt;=$E$7),CRDJ[Debit])))+(SUM(IF((GJ[Sort Code]=(TRIM(G$4)))*(GJ[Account Code]=(TRIM($B113)))*(GJ[Date]&lt;=$E$7),GJ[Debit]))))-((SUM(IF((CkDJ[Sort Code]=(TRIM(G$4)))*(CkDJ[Account Code]=(TRIM($B113)))*(CkDJ[Date]&lt;=$E$7),CkDJ[Credit])))+(SUM(IF((CsDJ[Sort Code]=(TRIM(G$4)))*(CsDJ[Account Code]=(TRIM($B113)))*(CsDJ[Date]&lt;=$E$7),CsDJ[Credit])))+(SUM(IF((CRDJ[Sort Code]=(TRIM(G$4)))*(CRDJ[Account Code]=(TRIM($B113)))*(CRDJ[Date]&lt;=$E$7),CRDJ[Credit])))+(SUM(IF((GJ[Sort Code]=(TRIM(G$4)))*(GJ[Account Code]=(TRIM($B113)))*(GJ[Date]&lt;=$E$7),GJ[Credit]))))</f>
        <v>0</v>
      </c>
      <c r="F113" s="245">
        <f t="array" ref="F113">((SUM(IF((CkDJ[Date]=$A$3)*(CkDJ[Sort Code]=(TRIM(G$4)))*(CkDJ[Account Code]=(TRIM($B113))),CkDJ[Debit])))+(SUM(IF((CsDJ[Date]=$A$3)*(CsDJ[Sort Code]=(TRIM(G$4)))*(CsDJ[Account Code]=(TRIM($B113))),CsDJ[Debit])))+(SUM(IF((CRDJ[Date]=$A$3)*(CRDJ[Sort Code]=(TRIM(G$4)))*(CRDJ[Account Code]=(TRIM($B113))),CRDJ[Debit])))+(SUM(IF((GJ[Date]=$A$3)*(GJ[Sort Code]=(TRIM(G$4)))*(GJ[Account Code]=(TRIM($B113))),GJ[Debit]))))-((SUM(IF((CkDJ[Date]=$A$3)*(CkDJ[Sort Code]=(TRIM(G$4)))*(CkDJ[Account Code]=(TRIM($B113))),CkDJ[Credit])))+(SUM(IF((CsDJ[Date]=$A$3)*(CsDJ[Sort Code]=(TRIM(G$4)))*(CsDJ[Account Code]=(TRIM($B113))),CsDJ[Credit])))+(SUM(IF((CRDJ[Date]=$A$3)*(CRDJ[Sort Code]=(TRIM(G$4)))*(CRDJ[Account Code]=(TRIM($B113))),CRDJ[Credit])))+(SUM(IF((GJ[Date]=$A$3)*(GJ[Sort Code]=(TRIM(G$4)))*(GJ[Account Code]=(TRIM($B113))),GJ[Credit]))))</f>
        <v>0</v>
      </c>
      <c r="G113" s="343">
        <f t="shared" si="9"/>
        <v>0</v>
      </c>
      <c r="H113" s="246">
        <f t="shared" si="5"/>
        <v>0</v>
      </c>
      <c r="I113" s="246">
        <f t="shared" si="6"/>
        <v>0</v>
      </c>
    </row>
    <row r="114" spans="1:9" hidden="1">
      <c r="A114" s="256" t="s">
        <v>307</v>
      </c>
      <c r="B114" s="339" t="s">
        <v>253</v>
      </c>
      <c r="C114" s="245">
        <f t="array" ref="C114">SUM(IF((Budget[Account Code]=B114)*(Budget[Sort Code]=$G$4),(Budget[Amount])))</f>
        <v>0</v>
      </c>
      <c r="D114" s="245">
        <f t="array" ref="D114">SUM(IF((Budget[Account Code]=B114)*(Budget[Sort Code]=$G$4)*(Budget[Date]&lt;=$D$7),(Budget[Amount])))</f>
        <v>0</v>
      </c>
      <c r="E114" s="245">
        <f t="array" ref="E114">((SUM(IF((CkDJ[Sort Code]=(TRIM(G$4)))*(CkDJ[Account Code]=(TRIM($B114)))*(CkDJ[Date]&lt;=$E$7),CkDJ[Debit])))+(SUM(IF((CsDJ[Sort Code]=(TRIM(G$4)))*(CsDJ[Account Code]=(TRIM($B114)))*(CsDJ[Date]&lt;=$E$7),CsDJ[Debit])))+(SUM(IF((CRDJ[Sort Code]=(TRIM(G$4)))*(CRDJ[Account Code]=(TRIM($B114)))*(CRDJ[Date]&lt;=$E$7),CRDJ[Debit])))+(SUM(IF((GJ[Sort Code]=(TRIM(G$4)))*(GJ[Account Code]=(TRIM($B114)))*(GJ[Date]&lt;=$E$7),GJ[Debit]))))-((SUM(IF((CkDJ[Sort Code]=(TRIM(G$4)))*(CkDJ[Account Code]=(TRIM($B114)))*(CkDJ[Date]&lt;=$E$7),CkDJ[Credit])))+(SUM(IF((CsDJ[Sort Code]=(TRIM(G$4)))*(CsDJ[Account Code]=(TRIM($B114)))*(CsDJ[Date]&lt;=$E$7),CsDJ[Credit])))+(SUM(IF((CRDJ[Sort Code]=(TRIM(G$4)))*(CRDJ[Account Code]=(TRIM($B114)))*(CRDJ[Date]&lt;=$E$7),CRDJ[Credit])))+(SUM(IF((GJ[Sort Code]=(TRIM(G$4)))*(GJ[Account Code]=(TRIM($B114)))*(GJ[Date]&lt;=$E$7),GJ[Credit]))))</f>
        <v>0</v>
      </c>
      <c r="F114" s="245">
        <f t="array" ref="F114">((SUM(IF((CkDJ[Date]=$A$3)*(CkDJ[Sort Code]=(TRIM(G$4)))*(CkDJ[Account Code]=(TRIM($B114))),CkDJ[Debit])))+(SUM(IF((CsDJ[Date]=$A$3)*(CsDJ[Sort Code]=(TRIM(G$4)))*(CsDJ[Account Code]=(TRIM($B114))),CsDJ[Debit])))+(SUM(IF((CRDJ[Date]=$A$3)*(CRDJ[Sort Code]=(TRIM(G$4)))*(CRDJ[Account Code]=(TRIM($B114))),CRDJ[Debit])))+(SUM(IF((GJ[Date]=$A$3)*(GJ[Sort Code]=(TRIM(G$4)))*(GJ[Account Code]=(TRIM($B114))),GJ[Debit]))))-((SUM(IF((CkDJ[Date]=$A$3)*(CkDJ[Sort Code]=(TRIM(G$4)))*(CkDJ[Account Code]=(TRIM($B114))),CkDJ[Credit])))+(SUM(IF((CsDJ[Date]=$A$3)*(CsDJ[Sort Code]=(TRIM(G$4)))*(CsDJ[Account Code]=(TRIM($B114))),CsDJ[Credit])))+(SUM(IF((CRDJ[Date]=$A$3)*(CRDJ[Sort Code]=(TRIM(G$4)))*(CRDJ[Account Code]=(TRIM($B114))),CRDJ[Credit])))+(SUM(IF((GJ[Date]=$A$3)*(GJ[Sort Code]=(TRIM(G$4)))*(GJ[Account Code]=(TRIM($B114))),GJ[Credit]))))</f>
        <v>0</v>
      </c>
      <c r="G114" s="343">
        <f t="shared" si="9"/>
        <v>0</v>
      </c>
      <c r="H114" s="246">
        <f t="shared" si="5"/>
        <v>0</v>
      </c>
      <c r="I114" s="246">
        <f t="shared" si="6"/>
        <v>0</v>
      </c>
    </row>
    <row r="115" spans="1:9" hidden="1">
      <c r="A115" s="256" t="s">
        <v>308</v>
      </c>
      <c r="B115" s="339" t="s">
        <v>256</v>
      </c>
      <c r="C115" s="245">
        <f t="array" ref="C115">SUM(IF((Budget[Account Code]=B115)*(Budget[Sort Code]=$G$4),(Budget[Amount])))</f>
        <v>0</v>
      </c>
      <c r="D115" s="245">
        <f t="array" ref="D115">SUM(IF((Budget[Account Code]=B115)*(Budget[Sort Code]=$G$4)*(Budget[Date]&lt;=$D$7),(Budget[Amount])))</f>
        <v>0</v>
      </c>
      <c r="E115" s="245">
        <f t="array" ref="E115">((SUM(IF((CkDJ[Sort Code]=(TRIM(G$4)))*(CkDJ[Account Code]=(TRIM($B115)))*(CkDJ[Date]&lt;=$E$7),CkDJ[Debit])))+(SUM(IF((CsDJ[Sort Code]=(TRIM(G$4)))*(CsDJ[Account Code]=(TRIM($B115)))*(CsDJ[Date]&lt;=$E$7),CsDJ[Debit])))+(SUM(IF((CRDJ[Sort Code]=(TRIM(G$4)))*(CRDJ[Account Code]=(TRIM($B115)))*(CRDJ[Date]&lt;=$E$7),CRDJ[Debit])))+(SUM(IF((GJ[Sort Code]=(TRIM(G$4)))*(GJ[Account Code]=(TRIM($B115)))*(GJ[Date]&lt;=$E$7),GJ[Debit]))))-((SUM(IF((CkDJ[Sort Code]=(TRIM(G$4)))*(CkDJ[Account Code]=(TRIM($B115)))*(CkDJ[Date]&lt;=$E$7),CkDJ[Credit])))+(SUM(IF((CsDJ[Sort Code]=(TRIM(G$4)))*(CsDJ[Account Code]=(TRIM($B115)))*(CsDJ[Date]&lt;=$E$7),CsDJ[Credit])))+(SUM(IF((CRDJ[Sort Code]=(TRIM(G$4)))*(CRDJ[Account Code]=(TRIM($B115)))*(CRDJ[Date]&lt;=$E$7),CRDJ[Credit])))+(SUM(IF((GJ[Sort Code]=(TRIM(G$4)))*(GJ[Account Code]=(TRIM($B115)))*(GJ[Date]&lt;=$E$7),GJ[Credit]))))</f>
        <v>0</v>
      </c>
      <c r="F115" s="245">
        <f t="array" ref="F115">((SUM(IF((CkDJ[Date]=$A$3)*(CkDJ[Sort Code]=(TRIM(G$4)))*(CkDJ[Account Code]=(TRIM($B115))),CkDJ[Debit])))+(SUM(IF((CsDJ[Date]=$A$3)*(CsDJ[Sort Code]=(TRIM(G$4)))*(CsDJ[Account Code]=(TRIM($B115))),CsDJ[Debit])))+(SUM(IF((CRDJ[Date]=$A$3)*(CRDJ[Sort Code]=(TRIM(G$4)))*(CRDJ[Account Code]=(TRIM($B115))),CRDJ[Debit])))+(SUM(IF((GJ[Date]=$A$3)*(GJ[Sort Code]=(TRIM(G$4)))*(GJ[Account Code]=(TRIM($B115))),GJ[Debit]))))-((SUM(IF((CkDJ[Date]=$A$3)*(CkDJ[Sort Code]=(TRIM(G$4)))*(CkDJ[Account Code]=(TRIM($B115))),CkDJ[Credit])))+(SUM(IF((CsDJ[Date]=$A$3)*(CsDJ[Sort Code]=(TRIM(G$4)))*(CsDJ[Account Code]=(TRIM($B115))),CsDJ[Credit])))+(SUM(IF((CRDJ[Date]=$A$3)*(CRDJ[Sort Code]=(TRIM(G$4)))*(CRDJ[Account Code]=(TRIM($B115))),CRDJ[Credit])))+(SUM(IF((GJ[Date]=$A$3)*(GJ[Sort Code]=(TRIM(G$4)))*(GJ[Account Code]=(TRIM($B115))),GJ[Credit]))))</f>
        <v>0</v>
      </c>
      <c r="G115" s="343">
        <f t="shared" si="9"/>
        <v>0</v>
      </c>
      <c r="H115" s="246">
        <f t="shared" si="5"/>
        <v>0</v>
      </c>
      <c r="I115" s="246">
        <f t="shared" si="6"/>
        <v>0</v>
      </c>
    </row>
    <row r="116" spans="1:9" hidden="1">
      <c r="A116" s="256" t="s">
        <v>309</v>
      </c>
      <c r="B116" s="339" t="s">
        <v>258</v>
      </c>
      <c r="C116" s="245">
        <f t="array" ref="C116">SUM(IF((Budget[Account Code]=B116)*(Budget[Sort Code]=$G$4),(Budget[Amount])))</f>
        <v>0</v>
      </c>
      <c r="D116" s="245">
        <f t="array" ref="D116">SUM(IF((Budget[Account Code]=B116)*(Budget[Sort Code]=$G$4)*(Budget[Date]&lt;=$D$7),(Budget[Amount])))</f>
        <v>0</v>
      </c>
      <c r="E116" s="245">
        <f t="array" ref="E116">((SUM(IF((CkDJ[Sort Code]=(TRIM(G$4)))*(CkDJ[Account Code]=(TRIM($B116)))*(CkDJ[Date]&lt;=$E$7),CkDJ[Debit])))+(SUM(IF((CsDJ[Sort Code]=(TRIM(G$4)))*(CsDJ[Account Code]=(TRIM($B116)))*(CsDJ[Date]&lt;=$E$7),CsDJ[Debit])))+(SUM(IF((CRDJ[Sort Code]=(TRIM(G$4)))*(CRDJ[Account Code]=(TRIM($B116)))*(CRDJ[Date]&lt;=$E$7),CRDJ[Debit])))+(SUM(IF((GJ[Sort Code]=(TRIM(G$4)))*(GJ[Account Code]=(TRIM($B116)))*(GJ[Date]&lt;=$E$7),GJ[Debit]))))-((SUM(IF((CkDJ[Sort Code]=(TRIM(G$4)))*(CkDJ[Account Code]=(TRIM($B116)))*(CkDJ[Date]&lt;=$E$7),CkDJ[Credit])))+(SUM(IF((CsDJ[Sort Code]=(TRIM(G$4)))*(CsDJ[Account Code]=(TRIM($B116)))*(CsDJ[Date]&lt;=$E$7),CsDJ[Credit])))+(SUM(IF((CRDJ[Sort Code]=(TRIM(G$4)))*(CRDJ[Account Code]=(TRIM($B116)))*(CRDJ[Date]&lt;=$E$7),CRDJ[Credit])))+(SUM(IF((GJ[Sort Code]=(TRIM(G$4)))*(GJ[Account Code]=(TRIM($B116)))*(GJ[Date]&lt;=$E$7),GJ[Credit]))))</f>
        <v>0</v>
      </c>
      <c r="F116" s="245">
        <f t="array" ref="F116">((SUM(IF((CkDJ[Date]=$A$3)*(CkDJ[Sort Code]=(TRIM(G$4)))*(CkDJ[Account Code]=(TRIM($B116))),CkDJ[Debit])))+(SUM(IF((CsDJ[Date]=$A$3)*(CsDJ[Sort Code]=(TRIM(G$4)))*(CsDJ[Account Code]=(TRIM($B116))),CsDJ[Debit])))+(SUM(IF((CRDJ[Date]=$A$3)*(CRDJ[Sort Code]=(TRIM(G$4)))*(CRDJ[Account Code]=(TRIM($B116))),CRDJ[Debit])))+(SUM(IF((GJ[Date]=$A$3)*(GJ[Sort Code]=(TRIM(G$4)))*(GJ[Account Code]=(TRIM($B116))),GJ[Debit]))))-((SUM(IF((CkDJ[Date]=$A$3)*(CkDJ[Sort Code]=(TRIM(G$4)))*(CkDJ[Account Code]=(TRIM($B116))),CkDJ[Credit])))+(SUM(IF((CsDJ[Date]=$A$3)*(CsDJ[Sort Code]=(TRIM(G$4)))*(CsDJ[Account Code]=(TRIM($B116))),CsDJ[Credit])))+(SUM(IF((CRDJ[Date]=$A$3)*(CRDJ[Sort Code]=(TRIM(G$4)))*(CRDJ[Account Code]=(TRIM($B116))),CRDJ[Credit])))+(SUM(IF((GJ[Date]=$A$3)*(GJ[Sort Code]=(TRIM(G$4)))*(GJ[Account Code]=(TRIM($B116))),GJ[Credit]))))</f>
        <v>0</v>
      </c>
      <c r="G116" s="343">
        <f t="shared" si="9"/>
        <v>0</v>
      </c>
      <c r="H116" s="246">
        <f t="shared" si="5"/>
        <v>0</v>
      </c>
      <c r="I116" s="246">
        <f t="shared" si="6"/>
        <v>0</v>
      </c>
    </row>
    <row r="117" spans="1:9" hidden="1">
      <c r="A117" s="256" t="s">
        <v>310</v>
      </c>
      <c r="B117" s="339" t="s">
        <v>261</v>
      </c>
      <c r="C117" s="245">
        <f t="array" ref="C117">SUM(IF((Budget[Account Code]=B117)*(Budget[Sort Code]=$G$4),(Budget[Amount])))</f>
        <v>0</v>
      </c>
      <c r="D117" s="245">
        <f t="array" ref="D117">SUM(IF((Budget[Account Code]=B117)*(Budget[Sort Code]=$G$4)*(Budget[Date]&lt;=$D$7),(Budget[Amount])))</f>
        <v>0</v>
      </c>
      <c r="E117" s="245">
        <f t="array" ref="E117">((SUM(IF((CkDJ[Sort Code]=(TRIM(G$4)))*(CkDJ[Account Code]=(TRIM($B117)))*(CkDJ[Date]&lt;=$E$7),CkDJ[Debit])))+(SUM(IF((CsDJ[Sort Code]=(TRIM(G$4)))*(CsDJ[Account Code]=(TRIM($B117)))*(CsDJ[Date]&lt;=$E$7),CsDJ[Debit])))+(SUM(IF((CRDJ[Sort Code]=(TRIM(G$4)))*(CRDJ[Account Code]=(TRIM($B117)))*(CRDJ[Date]&lt;=$E$7),CRDJ[Debit])))+(SUM(IF((GJ[Sort Code]=(TRIM(G$4)))*(GJ[Account Code]=(TRIM($B117)))*(GJ[Date]&lt;=$E$7),GJ[Debit]))))-((SUM(IF((CkDJ[Sort Code]=(TRIM(G$4)))*(CkDJ[Account Code]=(TRIM($B117)))*(CkDJ[Date]&lt;=$E$7),CkDJ[Credit])))+(SUM(IF((CsDJ[Sort Code]=(TRIM(G$4)))*(CsDJ[Account Code]=(TRIM($B117)))*(CsDJ[Date]&lt;=$E$7),CsDJ[Credit])))+(SUM(IF((CRDJ[Sort Code]=(TRIM(G$4)))*(CRDJ[Account Code]=(TRIM($B117)))*(CRDJ[Date]&lt;=$E$7),CRDJ[Credit])))+(SUM(IF((GJ[Sort Code]=(TRIM(G$4)))*(GJ[Account Code]=(TRIM($B117)))*(GJ[Date]&lt;=$E$7),GJ[Credit]))))</f>
        <v>0</v>
      </c>
      <c r="F117" s="245">
        <f t="array" ref="F117">((SUM(IF((CkDJ[Date]=$A$3)*(CkDJ[Sort Code]=(TRIM(G$4)))*(CkDJ[Account Code]=(TRIM($B117))),CkDJ[Debit])))+(SUM(IF((CsDJ[Date]=$A$3)*(CsDJ[Sort Code]=(TRIM(G$4)))*(CsDJ[Account Code]=(TRIM($B117))),CsDJ[Debit])))+(SUM(IF((CRDJ[Date]=$A$3)*(CRDJ[Sort Code]=(TRIM(G$4)))*(CRDJ[Account Code]=(TRIM($B117))),CRDJ[Debit])))+(SUM(IF((GJ[Date]=$A$3)*(GJ[Sort Code]=(TRIM(G$4)))*(GJ[Account Code]=(TRIM($B117))),GJ[Debit]))))-((SUM(IF((CkDJ[Date]=$A$3)*(CkDJ[Sort Code]=(TRIM(G$4)))*(CkDJ[Account Code]=(TRIM($B117))),CkDJ[Credit])))+(SUM(IF((CsDJ[Date]=$A$3)*(CsDJ[Sort Code]=(TRIM(G$4)))*(CsDJ[Account Code]=(TRIM($B117))),CsDJ[Credit])))+(SUM(IF((CRDJ[Date]=$A$3)*(CRDJ[Sort Code]=(TRIM(G$4)))*(CRDJ[Account Code]=(TRIM($B117))),CRDJ[Credit])))+(SUM(IF((GJ[Date]=$A$3)*(GJ[Sort Code]=(TRIM(G$4)))*(GJ[Account Code]=(TRIM($B117))),GJ[Credit]))))</f>
        <v>0</v>
      </c>
      <c r="G117" s="343">
        <f t="shared" si="9"/>
        <v>0</v>
      </c>
      <c r="H117" s="246">
        <f t="shared" si="5"/>
        <v>0</v>
      </c>
      <c r="I117" s="246">
        <f t="shared" si="6"/>
        <v>0</v>
      </c>
    </row>
    <row r="118" spans="1:9" hidden="1">
      <c r="A118" s="256" t="s">
        <v>311</v>
      </c>
      <c r="B118" s="339" t="s">
        <v>262</v>
      </c>
      <c r="C118" s="245">
        <f t="array" ref="C118">SUM(IF((Budget[Account Code]=B118)*(Budget[Sort Code]=$G$4),(Budget[Amount])))</f>
        <v>0</v>
      </c>
      <c r="D118" s="245">
        <f t="array" ref="D118">SUM(IF((Budget[Account Code]=B118)*(Budget[Sort Code]=$G$4)*(Budget[Date]&lt;=$D$7),(Budget[Amount])))</f>
        <v>0</v>
      </c>
      <c r="E118" s="245">
        <f t="array" ref="E118">((SUM(IF((CkDJ[Sort Code]=(TRIM(G$4)))*(CkDJ[Account Code]=(TRIM($B118)))*(CkDJ[Date]&lt;=$E$7),CkDJ[Debit])))+(SUM(IF((CsDJ[Sort Code]=(TRIM(G$4)))*(CsDJ[Account Code]=(TRIM($B118)))*(CsDJ[Date]&lt;=$E$7),CsDJ[Debit])))+(SUM(IF((CRDJ[Sort Code]=(TRIM(G$4)))*(CRDJ[Account Code]=(TRIM($B118)))*(CRDJ[Date]&lt;=$E$7),CRDJ[Debit])))+(SUM(IF((GJ[Sort Code]=(TRIM(G$4)))*(GJ[Account Code]=(TRIM($B118)))*(GJ[Date]&lt;=$E$7),GJ[Debit]))))-((SUM(IF((CkDJ[Sort Code]=(TRIM(G$4)))*(CkDJ[Account Code]=(TRIM($B118)))*(CkDJ[Date]&lt;=$E$7),CkDJ[Credit])))+(SUM(IF((CsDJ[Sort Code]=(TRIM(G$4)))*(CsDJ[Account Code]=(TRIM($B118)))*(CsDJ[Date]&lt;=$E$7),CsDJ[Credit])))+(SUM(IF((CRDJ[Sort Code]=(TRIM(G$4)))*(CRDJ[Account Code]=(TRIM($B118)))*(CRDJ[Date]&lt;=$E$7),CRDJ[Credit])))+(SUM(IF((GJ[Sort Code]=(TRIM(G$4)))*(GJ[Account Code]=(TRIM($B118)))*(GJ[Date]&lt;=$E$7),GJ[Credit]))))</f>
        <v>0</v>
      </c>
      <c r="F118" s="245">
        <f t="array" ref="F118">((SUM(IF((CkDJ[Date]=$A$3)*(CkDJ[Sort Code]=(TRIM(G$4)))*(CkDJ[Account Code]=(TRIM($B118))),CkDJ[Debit])))+(SUM(IF((CsDJ[Date]=$A$3)*(CsDJ[Sort Code]=(TRIM(G$4)))*(CsDJ[Account Code]=(TRIM($B118))),CsDJ[Debit])))+(SUM(IF((CRDJ[Date]=$A$3)*(CRDJ[Sort Code]=(TRIM(G$4)))*(CRDJ[Account Code]=(TRIM($B118))),CRDJ[Debit])))+(SUM(IF((GJ[Date]=$A$3)*(GJ[Sort Code]=(TRIM(G$4)))*(GJ[Account Code]=(TRIM($B118))),GJ[Debit]))))-((SUM(IF((CkDJ[Date]=$A$3)*(CkDJ[Sort Code]=(TRIM(G$4)))*(CkDJ[Account Code]=(TRIM($B118))),CkDJ[Credit])))+(SUM(IF((CsDJ[Date]=$A$3)*(CsDJ[Sort Code]=(TRIM(G$4)))*(CsDJ[Account Code]=(TRIM($B118))),CsDJ[Credit])))+(SUM(IF((CRDJ[Date]=$A$3)*(CRDJ[Sort Code]=(TRIM(G$4)))*(CRDJ[Account Code]=(TRIM($B118))),CRDJ[Credit])))+(SUM(IF((GJ[Date]=$A$3)*(GJ[Sort Code]=(TRIM(G$4)))*(GJ[Account Code]=(TRIM($B118))),GJ[Credit]))))</f>
        <v>0</v>
      </c>
      <c r="G118" s="343">
        <f t="shared" si="9"/>
        <v>0</v>
      </c>
      <c r="H118" s="246">
        <f t="shared" si="5"/>
        <v>0</v>
      </c>
      <c r="I118" s="246">
        <f t="shared" si="6"/>
        <v>0</v>
      </c>
    </row>
    <row r="119" spans="1:9" hidden="1">
      <c r="A119" s="256" t="s">
        <v>312</v>
      </c>
      <c r="B119" s="339" t="s">
        <v>264</v>
      </c>
      <c r="C119" s="245">
        <f t="array" ref="C119">SUM(IF((Budget[Account Code]=B119)*(Budget[Sort Code]=$G$4),(Budget[Amount])))</f>
        <v>0</v>
      </c>
      <c r="D119" s="245">
        <f t="array" ref="D119">SUM(IF((Budget[Account Code]=B119)*(Budget[Sort Code]=$G$4)*(Budget[Date]&lt;=$D$7),(Budget[Amount])))</f>
        <v>0</v>
      </c>
      <c r="E119" s="245">
        <f t="array" ref="E119">((SUM(IF((CkDJ[Sort Code]=(TRIM(G$4)))*(CkDJ[Account Code]=(TRIM($B119)))*(CkDJ[Date]&lt;=$E$7),CkDJ[Debit])))+(SUM(IF((CsDJ[Sort Code]=(TRIM(G$4)))*(CsDJ[Account Code]=(TRIM($B119)))*(CsDJ[Date]&lt;=$E$7),CsDJ[Debit])))+(SUM(IF((CRDJ[Sort Code]=(TRIM(G$4)))*(CRDJ[Account Code]=(TRIM($B119)))*(CRDJ[Date]&lt;=$E$7),CRDJ[Debit])))+(SUM(IF((GJ[Sort Code]=(TRIM(G$4)))*(GJ[Account Code]=(TRIM($B119)))*(GJ[Date]&lt;=$E$7),GJ[Debit]))))-((SUM(IF((CkDJ[Sort Code]=(TRIM(G$4)))*(CkDJ[Account Code]=(TRIM($B119)))*(CkDJ[Date]&lt;=$E$7),CkDJ[Credit])))+(SUM(IF((CsDJ[Sort Code]=(TRIM(G$4)))*(CsDJ[Account Code]=(TRIM($B119)))*(CsDJ[Date]&lt;=$E$7),CsDJ[Credit])))+(SUM(IF((CRDJ[Sort Code]=(TRIM(G$4)))*(CRDJ[Account Code]=(TRIM($B119)))*(CRDJ[Date]&lt;=$E$7),CRDJ[Credit])))+(SUM(IF((GJ[Sort Code]=(TRIM(G$4)))*(GJ[Account Code]=(TRIM($B119)))*(GJ[Date]&lt;=$E$7),GJ[Credit]))))</f>
        <v>0</v>
      </c>
      <c r="F119" s="245">
        <f t="array" ref="F119">((SUM(IF((CkDJ[Date]=$A$3)*(CkDJ[Sort Code]=(TRIM(G$4)))*(CkDJ[Account Code]=(TRIM($B119))),CkDJ[Debit])))+(SUM(IF((CsDJ[Date]=$A$3)*(CsDJ[Sort Code]=(TRIM(G$4)))*(CsDJ[Account Code]=(TRIM($B119))),CsDJ[Debit])))+(SUM(IF((CRDJ[Date]=$A$3)*(CRDJ[Sort Code]=(TRIM(G$4)))*(CRDJ[Account Code]=(TRIM($B119))),CRDJ[Debit])))+(SUM(IF((GJ[Date]=$A$3)*(GJ[Sort Code]=(TRIM(G$4)))*(GJ[Account Code]=(TRIM($B119))),GJ[Debit]))))-((SUM(IF((CkDJ[Date]=$A$3)*(CkDJ[Sort Code]=(TRIM(G$4)))*(CkDJ[Account Code]=(TRIM($B119))),CkDJ[Credit])))+(SUM(IF((CsDJ[Date]=$A$3)*(CsDJ[Sort Code]=(TRIM(G$4)))*(CsDJ[Account Code]=(TRIM($B119))),CsDJ[Credit])))+(SUM(IF((CRDJ[Date]=$A$3)*(CRDJ[Sort Code]=(TRIM(G$4)))*(CRDJ[Account Code]=(TRIM($B119))),CRDJ[Credit])))+(SUM(IF((GJ[Date]=$A$3)*(GJ[Sort Code]=(TRIM(G$4)))*(GJ[Account Code]=(TRIM($B119))),GJ[Credit]))))</f>
        <v>0</v>
      </c>
      <c r="G119" s="343">
        <f t="shared" si="9"/>
        <v>0</v>
      </c>
      <c r="H119" s="246">
        <f t="shared" si="5"/>
        <v>0</v>
      </c>
      <c r="I119" s="246">
        <f t="shared" si="6"/>
        <v>0</v>
      </c>
    </row>
    <row r="120" spans="1:9" hidden="1">
      <c r="A120" s="256" t="s">
        <v>313</v>
      </c>
      <c r="B120" s="339" t="s">
        <v>265</v>
      </c>
      <c r="C120" s="245">
        <f t="array" ref="C120">SUM(IF((Budget[Account Code]=B120)*(Budget[Sort Code]=$G$4),(Budget[Amount])))</f>
        <v>0</v>
      </c>
      <c r="D120" s="245">
        <f t="array" ref="D120">SUM(IF((Budget[Account Code]=B120)*(Budget[Sort Code]=$G$4)*(Budget[Date]&lt;=$D$7),(Budget[Amount])))</f>
        <v>0</v>
      </c>
      <c r="E120" s="245">
        <f t="array" ref="E120">((SUM(IF((CkDJ[Sort Code]=(TRIM(G$4)))*(CkDJ[Account Code]=(TRIM($B120)))*(CkDJ[Date]&lt;=$E$7),CkDJ[Debit])))+(SUM(IF((CsDJ[Sort Code]=(TRIM(G$4)))*(CsDJ[Account Code]=(TRIM($B120)))*(CsDJ[Date]&lt;=$E$7),CsDJ[Debit])))+(SUM(IF((CRDJ[Sort Code]=(TRIM(G$4)))*(CRDJ[Account Code]=(TRIM($B120)))*(CRDJ[Date]&lt;=$E$7),CRDJ[Debit])))+(SUM(IF((GJ[Sort Code]=(TRIM(G$4)))*(GJ[Account Code]=(TRIM($B120)))*(GJ[Date]&lt;=$E$7),GJ[Debit]))))-((SUM(IF((CkDJ[Sort Code]=(TRIM(G$4)))*(CkDJ[Account Code]=(TRIM($B120)))*(CkDJ[Date]&lt;=$E$7),CkDJ[Credit])))+(SUM(IF((CsDJ[Sort Code]=(TRIM(G$4)))*(CsDJ[Account Code]=(TRIM($B120)))*(CsDJ[Date]&lt;=$E$7),CsDJ[Credit])))+(SUM(IF((CRDJ[Sort Code]=(TRIM(G$4)))*(CRDJ[Account Code]=(TRIM($B120)))*(CRDJ[Date]&lt;=$E$7),CRDJ[Credit])))+(SUM(IF((GJ[Sort Code]=(TRIM(G$4)))*(GJ[Account Code]=(TRIM($B120)))*(GJ[Date]&lt;=$E$7),GJ[Credit]))))</f>
        <v>0</v>
      </c>
      <c r="F120" s="245">
        <f t="array" ref="F120">((SUM(IF((CkDJ[Date]=$A$3)*(CkDJ[Sort Code]=(TRIM(G$4)))*(CkDJ[Account Code]=(TRIM($B120))),CkDJ[Debit])))+(SUM(IF((CsDJ[Date]=$A$3)*(CsDJ[Sort Code]=(TRIM(G$4)))*(CsDJ[Account Code]=(TRIM($B120))),CsDJ[Debit])))+(SUM(IF((CRDJ[Date]=$A$3)*(CRDJ[Sort Code]=(TRIM(G$4)))*(CRDJ[Account Code]=(TRIM($B120))),CRDJ[Debit])))+(SUM(IF((GJ[Date]=$A$3)*(GJ[Sort Code]=(TRIM(G$4)))*(GJ[Account Code]=(TRIM($B120))),GJ[Debit]))))-((SUM(IF((CkDJ[Date]=$A$3)*(CkDJ[Sort Code]=(TRIM(G$4)))*(CkDJ[Account Code]=(TRIM($B120))),CkDJ[Credit])))+(SUM(IF((CsDJ[Date]=$A$3)*(CsDJ[Sort Code]=(TRIM(G$4)))*(CsDJ[Account Code]=(TRIM($B120))),CsDJ[Credit])))+(SUM(IF((CRDJ[Date]=$A$3)*(CRDJ[Sort Code]=(TRIM(G$4)))*(CRDJ[Account Code]=(TRIM($B120))),CRDJ[Credit])))+(SUM(IF((GJ[Date]=$A$3)*(GJ[Sort Code]=(TRIM(G$4)))*(GJ[Account Code]=(TRIM($B120))),GJ[Credit]))))</f>
        <v>0</v>
      </c>
      <c r="G120" s="343">
        <f t="shared" si="9"/>
        <v>0</v>
      </c>
      <c r="H120" s="246">
        <f t="shared" ref="H120:H153" si="10">G120-D120</f>
        <v>0</v>
      </c>
      <c r="I120" s="246">
        <f t="shared" ref="I120:I153" si="11">IF((D120=0),0,G120/D120)</f>
        <v>0</v>
      </c>
    </row>
    <row r="121" spans="1:9" hidden="1">
      <c r="A121" s="256" t="s">
        <v>1027</v>
      </c>
      <c r="B121" s="339" t="s">
        <v>269</v>
      </c>
      <c r="C121" s="245">
        <f t="array" ref="C121">SUM(IF((Budget[Account Code]=B121)*(Budget[Sort Code]=$G$4),(Budget[Amount])))</f>
        <v>0</v>
      </c>
      <c r="D121" s="245">
        <f t="array" ref="D121">SUM(IF((Budget[Account Code]=B121)*(Budget[Sort Code]=$G$4)*(Budget[Date]&lt;=$D$7),(Budget[Amount])))</f>
        <v>0</v>
      </c>
      <c r="E121" s="245">
        <f t="array" ref="E121">((SUM(IF((CkDJ[Sort Code]=(TRIM(G$4)))*(CkDJ[Account Code]=(TRIM($B121)))*(CkDJ[Date]&lt;=$E$7),CkDJ[Debit])))+(SUM(IF((CsDJ[Sort Code]=(TRIM(G$4)))*(CsDJ[Account Code]=(TRIM($B121)))*(CsDJ[Date]&lt;=$E$7),CsDJ[Debit])))+(SUM(IF((CRDJ[Sort Code]=(TRIM(G$4)))*(CRDJ[Account Code]=(TRIM($B121)))*(CRDJ[Date]&lt;=$E$7),CRDJ[Debit])))+(SUM(IF((GJ[Sort Code]=(TRIM(G$4)))*(GJ[Account Code]=(TRIM($B121)))*(GJ[Date]&lt;=$E$7),GJ[Debit]))))-((SUM(IF((CkDJ[Sort Code]=(TRIM(G$4)))*(CkDJ[Account Code]=(TRIM($B121)))*(CkDJ[Date]&lt;=$E$7),CkDJ[Credit])))+(SUM(IF((CsDJ[Sort Code]=(TRIM(G$4)))*(CsDJ[Account Code]=(TRIM($B121)))*(CsDJ[Date]&lt;=$E$7),CsDJ[Credit])))+(SUM(IF((CRDJ[Sort Code]=(TRIM(G$4)))*(CRDJ[Account Code]=(TRIM($B121)))*(CRDJ[Date]&lt;=$E$7),CRDJ[Credit])))+(SUM(IF((GJ[Sort Code]=(TRIM(G$4)))*(GJ[Account Code]=(TRIM($B121)))*(GJ[Date]&lt;=$E$7),GJ[Credit]))))</f>
        <v>0</v>
      </c>
      <c r="F121" s="245">
        <f t="array" ref="F121">((SUM(IF((CkDJ[Date]=$A$3)*(CkDJ[Sort Code]=(TRIM(G$4)))*(CkDJ[Account Code]=(TRIM($B121))),CkDJ[Debit])))+(SUM(IF((CsDJ[Date]=$A$3)*(CsDJ[Sort Code]=(TRIM(G$4)))*(CsDJ[Account Code]=(TRIM($B121))),CsDJ[Debit])))+(SUM(IF((CRDJ[Date]=$A$3)*(CRDJ[Sort Code]=(TRIM(G$4)))*(CRDJ[Account Code]=(TRIM($B121))),CRDJ[Debit])))+(SUM(IF((GJ[Date]=$A$3)*(GJ[Sort Code]=(TRIM(G$4)))*(GJ[Account Code]=(TRIM($B121))),GJ[Debit]))))-((SUM(IF((CkDJ[Date]=$A$3)*(CkDJ[Sort Code]=(TRIM(G$4)))*(CkDJ[Account Code]=(TRIM($B121))),CkDJ[Credit])))+(SUM(IF((CsDJ[Date]=$A$3)*(CsDJ[Sort Code]=(TRIM(G$4)))*(CsDJ[Account Code]=(TRIM($B121))),CsDJ[Credit])))+(SUM(IF((CRDJ[Date]=$A$3)*(CRDJ[Sort Code]=(TRIM(G$4)))*(CRDJ[Account Code]=(TRIM($B121))),CRDJ[Credit])))+(SUM(IF((GJ[Date]=$A$3)*(GJ[Sort Code]=(TRIM(G$4)))*(GJ[Account Code]=(TRIM($B121))),GJ[Credit]))))</f>
        <v>0</v>
      </c>
      <c r="G121" s="343">
        <f t="shared" si="9"/>
        <v>0</v>
      </c>
      <c r="H121" s="246">
        <f t="shared" si="10"/>
        <v>0</v>
      </c>
      <c r="I121" s="246">
        <f t="shared" si="11"/>
        <v>0</v>
      </c>
    </row>
    <row r="122" spans="1:9" hidden="1">
      <c r="A122" s="256" t="s">
        <v>409</v>
      </c>
      <c r="B122" s="339" t="s">
        <v>408</v>
      </c>
      <c r="C122" s="245">
        <f t="array" ref="C122">SUM(IF((Budget[Account Code]=B122)*(Budget[Sort Code]=$G$4),(Budget[Amount])))</f>
        <v>0</v>
      </c>
      <c r="D122" s="245">
        <f t="array" ref="D122">SUM(IF((Budget[Account Code]=B122)*(Budget[Sort Code]=$G$4)*(Budget[Date]&lt;=$D$7),(Budget[Amount])))</f>
        <v>0</v>
      </c>
      <c r="E122" s="245">
        <f t="array" ref="E122">((SUM(IF((CkDJ[Sort Code]=(TRIM(G$4)))*(CkDJ[Account Code]=(TRIM($B122)))*(CkDJ[Date]&lt;=$E$7),CkDJ[Debit])))+(SUM(IF((CsDJ[Sort Code]=(TRIM(G$4)))*(CsDJ[Account Code]=(TRIM($B122)))*(CsDJ[Date]&lt;=$E$7),CsDJ[Debit])))+(SUM(IF((CRDJ[Sort Code]=(TRIM(G$4)))*(CRDJ[Account Code]=(TRIM($B122)))*(CRDJ[Date]&lt;=$E$7),CRDJ[Debit])))+(SUM(IF((GJ[Sort Code]=(TRIM(G$4)))*(GJ[Account Code]=(TRIM($B122)))*(GJ[Date]&lt;=$E$7),GJ[Debit]))))-((SUM(IF((CkDJ[Sort Code]=(TRIM(G$4)))*(CkDJ[Account Code]=(TRIM($B122)))*(CkDJ[Date]&lt;=$E$7),CkDJ[Credit])))+(SUM(IF((CsDJ[Sort Code]=(TRIM(G$4)))*(CsDJ[Account Code]=(TRIM($B122)))*(CsDJ[Date]&lt;=$E$7),CsDJ[Credit])))+(SUM(IF((CRDJ[Sort Code]=(TRIM(G$4)))*(CRDJ[Account Code]=(TRIM($B122)))*(CRDJ[Date]&lt;=$E$7),CRDJ[Credit])))+(SUM(IF((GJ[Sort Code]=(TRIM(G$4)))*(GJ[Account Code]=(TRIM($B122)))*(GJ[Date]&lt;=$E$7),GJ[Credit]))))</f>
        <v>0</v>
      </c>
      <c r="F122" s="245">
        <f t="array" ref="F122">((SUM(IF((CkDJ[Date]=$A$3)*(CkDJ[Sort Code]=(TRIM(G$4)))*(CkDJ[Account Code]=(TRIM($B122))),CkDJ[Debit])))+(SUM(IF((CsDJ[Date]=$A$3)*(CsDJ[Sort Code]=(TRIM(G$4)))*(CsDJ[Account Code]=(TRIM($B122))),CsDJ[Debit])))+(SUM(IF((CRDJ[Date]=$A$3)*(CRDJ[Sort Code]=(TRIM(G$4)))*(CRDJ[Account Code]=(TRIM($B122))),CRDJ[Debit])))+(SUM(IF((GJ[Date]=$A$3)*(GJ[Sort Code]=(TRIM(G$4)))*(GJ[Account Code]=(TRIM($B122))),GJ[Debit]))))-((SUM(IF((CkDJ[Date]=$A$3)*(CkDJ[Sort Code]=(TRIM(G$4)))*(CkDJ[Account Code]=(TRIM($B122))),CkDJ[Credit])))+(SUM(IF((CsDJ[Date]=$A$3)*(CsDJ[Sort Code]=(TRIM(G$4)))*(CsDJ[Account Code]=(TRIM($B122))),CsDJ[Credit])))+(SUM(IF((CRDJ[Date]=$A$3)*(CRDJ[Sort Code]=(TRIM(G$4)))*(CRDJ[Account Code]=(TRIM($B122))),CRDJ[Credit])))+(SUM(IF((GJ[Date]=$A$3)*(GJ[Sort Code]=(TRIM(G$4)))*(GJ[Account Code]=(TRIM($B122))),GJ[Credit]))))</f>
        <v>0</v>
      </c>
      <c r="G122" s="343">
        <f>E122+F122</f>
        <v>0</v>
      </c>
      <c r="H122" s="246">
        <f>G122-D122</f>
        <v>0</v>
      </c>
      <c r="I122" s="246">
        <f>IF((D122=0),0,G122/D122)</f>
        <v>0</v>
      </c>
    </row>
    <row r="123" spans="1:9" hidden="1">
      <c r="A123" s="256" t="s">
        <v>315</v>
      </c>
      <c r="B123" s="339" t="s">
        <v>270</v>
      </c>
      <c r="C123" s="245">
        <f t="array" ref="C123">SUM(IF((Budget[Account Code]=B123)*(Budget[Sort Code]=$G$4),(Budget[Amount])))</f>
        <v>0</v>
      </c>
      <c r="D123" s="245">
        <f t="array" ref="D123">SUM(IF((Budget[Account Code]=B123)*(Budget[Sort Code]=$G$4)*(Budget[Date]&lt;=$D$7),(Budget[Amount])))</f>
        <v>0</v>
      </c>
      <c r="E123" s="245">
        <f t="array" ref="E123">((SUM(IF((CkDJ[Sort Code]=(TRIM(G$4)))*(CkDJ[Account Code]=(TRIM($B123)))*(CkDJ[Date]&lt;=$E$7),CkDJ[Debit])))+(SUM(IF((CsDJ[Sort Code]=(TRIM(G$4)))*(CsDJ[Account Code]=(TRIM($B123)))*(CsDJ[Date]&lt;=$E$7),CsDJ[Debit])))+(SUM(IF((CRDJ[Sort Code]=(TRIM(G$4)))*(CRDJ[Account Code]=(TRIM($B123)))*(CRDJ[Date]&lt;=$E$7),CRDJ[Debit])))+(SUM(IF((GJ[Sort Code]=(TRIM(G$4)))*(GJ[Account Code]=(TRIM($B123)))*(GJ[Date]&lt;=$E$7),GJ[Debit]))))-((SUM(IF((CkDJ[Sort Code]=(TRIM(G$4)))*(CkDJ[Account Code]=(TRIM($B123)))*(CkDJ[Date]&lt;=$E$7),CkDJ[Credit])))+(SUM(IF((CsDJ[Sort Code]=(TRIM(G$4)))*(CsDJ[Account Code]=(TRIM($B123)))*(CsDJ[Date]&lt;=$E$7),CsDJ[Credit])))+(SUM(IF((CRDJ[Sort Code]=(TRIM(G$4)))*(CRDJ[Account Code]=(TRIM($B123)))*(CRDJ[Date]&lt;=$E$7),CRDJ[Credit])))+(SUM(IF((GJ[Sort Code]=(TRIM(G$4)))*(GJ[Account Code]=(TRIM($B123)))*(GJ[Date]&lt;=$E$7),GJ[Credit]))))</f>
        <v>0</v>
      </c>
      <c r="F123" s="245">
        <f t="array" ref="F123">((SUM(IF((CkDJ[Date]=$A$3)*(CkDJ[Sort Code]=(TRIM(G$4)))*(CkDJ[Account Code]=(TRIM($B123))),CkDJ[Debit])))+(SUM(IF((CsDJ[Date]=$A$3)*(CsDJ[Sort Code]=(TRIM(G$4)))*(CsDJ[Account Code]=(TRIM($B123))),CsDJ[Debit])))+(SUM(IF((CRDJ[Date]=$A$3)*(CRDJ[Sort Code]=(TRIM(G$4)))*(CRDJ[Account Code]=(TRIM($B123))),CRDJ[Debit])))+(SUM(IF((GJ[Date]=$A$3)*(GJ[Sort Code]=(TRIM(G$4)))*(GJ[Account Code]=(TRIM($B123))),GJ[Debit]))))-((SUM(IF((CkDJ[Date]=$A$3)*(CkDJ[Sort Code]=(TRIM(G$4)))*(CkDJ[Account Code]=(TRIM($B123))),CkDJ[Credit])))+(SUM(IF((CsDJ[Date]=$A$3)*(CsDJ[Sort Code]=(TRIM(G$4)))*(CsDJ[Account Code]=(TRIM($B123))),CsDJ[Credit])))+(SUM(IF((CRDJ[Date]=$A$3)*(CRDJ[Sort Code]=(TRIM(G$4)))*(CRDJ[Account Code]=(TRIM($B123))),CRDJ[Credit])))+(SUM(IF((GJ[Date]=$A$3)*(GJ[Sort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Code]=B124)*(Budget[Sort Code]=$G$4),(Budget[Amount])))</f>
        <v>0</v>
      </c>
      <c r="D124" s="245">
        <f t="array" ref="D124">SUM(IF((Budget[Account Code]=B124)*(Budget[Sort Code]=$G$4)*(Budget[Date]&lt;=$D$7),(Budget[Amount])))</f>
        <v>0</v>
      </c>
      <c r="E124" s="245">
        <f t="array" ref="E124">((SUM(IF((CkDJ[Sort Code]=(TRIM(G$4)))*(CkDJ[Account Code]=(TRIM($B124)))*(CkDJ[Date]&lt;=$E$7),CkDJ[Debit])))+(SUM(IF((CsDJ[Sort Code]=(TRIM(G$4)))*(CsDJ[Account Code]=(TRIM($B124)))*(CsDJ[Date]&lt;=$E$7),CsDJ[Debit])))+(SUM(IF((CRDJ[Sort Code]=(TRIM(G$4)))*(CRDJ[Account Code]=(TRIM($B124)))*(CRDJ[Date]&lt;=$E$7),CRDJ[Debit])))+(SUM(IF((GJ[Sort Code]=(TRIM(G$4)))*(GJ[Account Code]=(TRIM($B124)))*(GJ[Date]&lt;=$E$7),GJ[Debit]))))-((SUM(IF((CkDJ[Sort Code]=(TRIM(G$4)))*(CkDJ[Account Code]=(TRIM($B124)))*(CkDJ[Date]&lt;=$E$7),CkDJ[Credit])))+(SUM(IF((CsDJ[Sort Code]=(TRIM(G$4)))*(CsDJ[Account Code]=(TRIM($B124)))*(CsDJ[Date]&lt;=$E$7),CsDJ[Credit])))+(SUM(IF((CRDJ[Sort Code]=(TRIM(G$4)))*(CRDJ[Account Code]=(TRIM($B124)))*(CRDJ[Date]&lt;=$E$7),CRDJ[Credit])))+(SUM(IF((GJ[Sort Code]=(TRIM(G$4)))*(GJ[Account Code]=(TRIM($B124)))*(GJ[Date]&lt;=$E$7),GJ[Credit]))))</f>
        <v>0</v>
      </c>
      <c r="F124" s="245">
        <f t="array" ref="F124">((SUM(IF((CkDJ[Date]=$A$3)*(CkDJ[Sort Code]=(TRIM(G$4)))*(CkDJ[Account Code]=(TRIM($B124))),CkDJ[Debit])))+(SUM(IF((CsDJ[Date]=$A$3)*(CsDJ[Sort Code]=(TRIM(G$4)))*(CsDJ[Account Code]=(TRIM($B124))),CsDJ[Debit])))+(SUM(IF((CRDJ[Date]=$A$3)*(CRDJ[Sort Code]=(TRIM(G$4)))*(CRDJ[Account Code]=(TRIM($B124))),CRDJ[Debit])))+(SUM(IF((GJ[Date]=$A$3)*(GJ[Sort Code]=(TRIM(G$4)))*(GJ[Account Code]=(TRIM($B124))),GJ[Debit]))))-((SUM(IF((CkDJ[Date]=$A$3)*(CkDJ[Sort Code]=(TRIM(G$4)))*(CkDJ[Account Code]=(TRIM($B124))),CkDJ[Credit])))+(SUM(IF((CsDJ[Date]=$A$3)*(CsDJ[Sort Code]=(TRIM(G$4)))*(CsDJ[Account Code]=(TRIM($B124))),CsDJ[Credit])))+(SUM(IF((CRDJ[Date]=$A$3)*(CRDJ[Sort Code]=(TRIM(G$4)))*(CRDJ[Account Code]=(TRIM($B124))),CRDJ[Credit])))+(SUM(IF((GJ[Date]=$A$3)*(GJ[Sort Code]=(TRIM(G$4)))*(GJ[Account Code]=(TRIM($B124))),GJ[Credit]))))</f>
        <v>0</v>
      </c>
      <c r="G124" s="343">
        <f t="shared" si="9"/>
        <v>0</v>
      </c>
      <c r="H124" s="246">
        <f t="shared" si="10"/>
        <v>0</v>
      </c>
      <c r="I124" s="246">
        <f t="shared" si="11"/>
        <v>0</v>
      </c>
    </row>
    <row r="125" spans="1:9" hidden="1">
      <c r="A125" s="256" t="s">
        <v>316</v>
      </c>
      <c r="B125" s="339" t="s">
        <v>272</v>
      </c>
      <c r="C125" s="245">
        <f t="array" ref="C125">SUM(IF((Budget[Account Code]=B125)*(Budget[Sort Code]=$G$4),(Budget[Amount])))</f>
        <v>168456.24</v>
      </c>
      <c r="D125" s="245">
        <f t="array" ref="D125">SUM(IF((Budget[Account Code]=B125)*(Budget[Sort Code]=$G$4)*(Budget[Date]&lt;=$D$7),(Budget[Amount])))</f>
        <v>168456.24</v>
      </c>
      <c r="E125" s="245">
        <f t="array" ref="E125">((SUM(IF((CkDJ[Sort Code]=(TRIM(G$4)))*(CkDJ[Account Code]=(TRIM($B125)))*(CkDJ[Date]&lt;=$E$7),CkDJ[Debit])))+(SUM(IF((CsDJ[Sort Code]=(TRIM(G$4)))*(CsDJ[Account Code]=(TRIM($B125)))*(CsDJ[Date]&lt;=$E$7),CsDJ[Debit])))+(SUM(IF((CRDJ[Sort Code]=(TRIM(G$4)))*(CRDJ[Account Code]=(TRIM($B125)))*(CRDJ[Date]&lt;=$E$7),CRDJ[Debit])))+(SUM(IF((GJ[Sort Code]=(TRIM(G$4)))*(GJ[Account Code]=(TRIM($B125)))*(GJ[Date]&lt;=$E$7),GJ[Debit]))))-((SUM(IF((CkDJ[Sort Code]=(TRIM(G$4)))*(CkDJ[Account Code]=(TRIM($B125)))*(CkDJ[Date]&lt;=$E$7),CkDJ[Credit])))+(SUM(IF((CsDJ[Sort Code]=(TRIM(G$4)))*(CsDJ[Account Code]=(TRIM($B125)))*(CsDJ[Date]&lt;=$E$7),CsDJ[Credit])))+(SUM(IF((CRDJ[Sort Code]=(TRIM(G$4)))*(CRDJ[Account Code]=(TRIM($B125)))*(CRDJ[Date]&lt;=$E$7),CRDJ[Credit])))+(SUM(IF((GJ[Sort Code]=(TRIM(G$4)))*(GJ[Account Code]=(TRIM($B125)))*(GJ[Date]&lt;=$E$7),GJ[Credit]))))</f>
        <v>0</v>
      </c>
      <c r="F125" s="245">
        <f t="array" ref="F125">((SUM(IF((CkDJ[Date]=$A$3)*(CkDJ[Sort Code]=(TRIM(G$4)))*(CkDJ[Account Code]=(TRIM($B125))),CkDJ[Debit])))+(SUM(IF((CsDJ[Date]=$A$3)*(CsDJ[Sort Code]=(TRIM(G$4)))*(CsDJ[Account Code]=(TRIM($B125))),CsDJ[Debit])))+(SUM(IF((CRDJ[Date]=$A$3)*(CRDJ[Sort Code]=(TRIM(G$4)))*(CRDJ[Account Code]=(TRIM($B125))),CRDJ[Debit])))+(SUM(IF((GJ[Date]=$A$3)*(GJ[Sort Code]=(TRIM(G$4)))*(GJ[Account Code]=(TRIM($B125))),GJ[Debit]))))-((SUM(IF((CkDJ[Date]=$A$3)*(CkDJ[Sort Code]=(TRIM(G$4)))*(CkDJ[Account Code]=(TRIM($B125))),CkDJ[Credit])))+(SUM(IF((CsDJ[Date]=$A$3)*(CsDJ[Sort Code]=(TRIM(G$4)))*(CsDJ[Account Code]=(TRIM($B125))),CsDJ[Credit])))+(SUM(IF((CRDJ[Date]=$A$3)*(CRDJ[Sort Code]=(TRIM(G$4)))*(CRDJ[Account Code]=(TRIM($B125))),CRDJ[Credit])))+(SUM(IF((GJ[Date]=$A$3)*(GJ[Sort Code]=(TRIM(G$4)))*(GJ[Account Code]=(TRIM($B125))),GJ[Credit]))))</f>
        <v>0</v>
      </c>
      <c r="G125" s="343">
        <f t="shared" si="9"/>
        <v>0</v>
      </c>
      <c r="H125" s="246">
        <f t="shared" si="10"/>
        <v>-168456.24</v>
      </c>
      <c r="I125" s="246">
        <f t="shared" si="11"/>
        <v>0</v>
      </c>
    </row>
    <row r="126" spans="1:9" hidden="1">
      <c r="A126" s="256" t="s">
        <v>317</v>
      </c>
      <c r="B126" s="339" t="s">
        <v>273</v>
      </c>
      <c r="C126" s="245">
        <f t="array" ref="C126">SUM(IF((Budget[Account Code]=B126)*(Budget[Sort Code]=$G$4),(Budget[Amount])))</f>
        <v>0</v>
      </c>
      <c r="D126" s="245">
        <f t="array" ref="D126">SUM(IF((Budget[Account Code]=B126)*(Budget[Sort Code]=$G$4)*(Budget[Date]&lt;=$D$7),(Budget[Amount])))</f>
        <v>0</v>
      </c>
      <c r="E126" s="245">
        <f t="array" ref="E126">((SUM(IF((CkDJ[Sort Code]=(TRIM(G$4)))*(CkDJ[Account Code]=(TRIM($B126)))*(CkDJ[Date]&lt;=$E$7),CkDJ[Debit])))+(SUM(IF((CsDJ[Sort Code]=(TRIM(G$4)))*(CsDJ[Account Code]=(TRIM($B126)))*(CsDJ[Date]&lt;=$E$7),CsDJ[Debit])))+(SUM(IF((CRDJ[Sort Code]=(TRIM(G$4)))*(CRDJ[Account Code]=(TRIM($B126)))*(CRDJ[Date]&lt;=$E$7),CRDJ[Debit])))+(SUM(IF((GJ[Sort Code]=(TRIM(G$4)))*(GJ[Account Code]=(TRIM($B126)))*(GJ[Date]&lt;=$E$7),GJ[Debit]))))-((SUM(IF((CkDJ[Sort Code]=(TRIM(G$4)))*(CkDJ[Account Code]=(TRIM($B126)))*(CkDJ[Date]&lt;=$E$7),CkDJ[Credit])))+(SUM(IF((CsDJ[Sort Code]=(TRIM(G$4)))*(CsDJ[Account Code]=(TRIM($B126)))*(CsDJ[Date]&lt;=$E$7),CsDJ[Credit])))+(SUM(IF((CRDJ[Sort Code]=(TRIM(G$4)))*(CRDJ[Account Code]=(TRIM($B126)))*(CRDJ[Date]&lt;=$E$7),CRDJ[Credit])))+(SUM(IF((GJ[Sort Code]=(TRIM(G$4)))*(GJ[Account Code]=(TRIM($B126)))*(GJ[Date]&lt;=$E$7),GJ[Credit]))))</f>
        <v>0</v>
      </c>
      <c r="F126" s="245">
        <f t="array" ref="F126">((SUM(IF((CkDJ[Date]=$A$3)*(CkDJ[Sort Code]=(TRIM(G$4)))*(CkDJ[Account Code]=(TRIM($B126))),CkDJ[Debit])))+(SUM(IF((CsDJ[Date]=$A$3)*(CsDJ[Sort Code]=(TRIM(G$4)))*(CsDJ[Account Code]=(TRIM($B126))),CsDJ[Debit])))+(SUM(IF((CRDJ[Date]=$A$3)*(CRDJ[Sort Code]=(TRIM(G$4)))*(CRDJ[Account Code]=(TRIM($B126))),CRDJ[Debit])))+(SUM(IF((GJ[Date]=$A$3)*(GJ[Sort Code]=(TRIM(G$4)))*(GJ[Account Code]=(TRIM($B126))),GJ[Debit]))))-((SUM(IF((CkDJ[Date]=$A$3)*(CkDJ[Sort Code]=(TRIM(G$4)))*(CkDJ[Account Code]=(TRIM($B126))),CkDJ[Credit])))+(SUM(IF((CsDJ[Date]=$A$3)*(CsDJ[Sort Code]=(TRIM(G$4)))*(CsDJ[Account Code]=(TRIM($B126))),CsDJ[Credit])))+(SUM(IF((CRDJ[Date]=$A$3)*(CRDJ[Sort Code]=(TRIM(G$4)))*(CRDJ[Account Code]=(TRIM($B126))),CRDJ[Credit])))+(SUM(IF((GJ[Date]=$A$3)*(GJ[Sort Code]=(TRIM(G$4)))*(GJ[Account Code]=(TRIM($B126))),GJ[Credit]))))</f>
        <v>0</v>
      </c>
      <c r="G126" s="343">
        <f t="shared" si="9"/>
        <v>0</v>
      </c>
      <c r="H126" s="246">
        <f t="shared" si="10"/>
        <v>0</v>
      </c>
      <c r="I126" s="246">
        <f t="shared" si="11"/>
        <v>0</v>
      </c>
    </row>
    <row r="127" spans="1:9" hidden="1">
      <c r="A127" s="256" t="s">
        <v>318</v>
      </c>
      <c r="B127" s="339" t="s">
        <v>274</v>
      </c>
      <c r="C127" s="245">
        <f t="array" ref="C127">SUM(IF((Budget[Account Code]=B127)*(Budget[Sort Code]=$G$4),(Budget[Amount])))</f>
        <v>0</v>
      </c>
      <c r="D127" s="245">
        <f t="array" ref="D127">SUM(IF((Budget[Account Code]=B127)*(Budget[Sort Code]=$G$4)*(Budget[Date]&lt;=$D$7),(Budget[Amount])))</f>
        <v>0</v>
      </c>
      <c r="E127" s="245">
        <f t="array" ref="E127">((SUM(IF((CkDJ[Sort Code]=(TRIM(G$4)))*(CkDJ[Account Code]=(TRIM($B127)))*(CkDJ[Date]&lt;=$E$7),CkDJ[Debit])))+(SUM(IF((CsDJ[Sort Code]=(TRIM(G$4)))*(CsDJ[Account Code]=(TRIM($B127)))*(CsDJ[Date]&lt;=$E$7),CsDJ[Debit])))+(SUM(IF((CRDJ[Sort Code]=(TRIM(G$4)))*(CRDJ[Account Code]=(TRIM($B127)))*(CRDJ[Date]&lt;=$E$7),CRDJ[Debit])))+(SUM(IF((GJ[Sort Code]=(TRIM(G$4)))*(GJ[Account Code]=(TRIM($B127)))*(GJ[Date]&lt;=$E$7),GJ[Debit]))))-((SUM(IF((CkDJ[Sort Code]=(TRIM(G$4)))*(CkDJ[Account Code]=(TRIM($B127)))*(CkDJ[Date]&lt;=$E$7),CkDJ[Credit])))+(SUM(IF((CsDJ[Sort Code]=(TRIM(G$4)))*(CsDJ[Account Code]=(TRIM($B127)))*(CsDJ[Date]&lt;=$E$7),CsDJ[Credit])))+(SUM(IF((CRDJ[Sort Code]=(TRIM(G$4)))*(CRDJ[Account Code]=(TRIM($B127)))*(CRDJ[Date]&lt;=$E$7),CRDJ[Credit])))+(SUM(IF((GJ[Sort Code]=(TRIM(G$4)))*(GJ[Account Code]=(TRIM($B127)))*(GJ[Date]&lt;=$E$7),GJ[Credit]))))</f>
        <v>0</v>
      </c>
      <c r="F127" s="245">
        <f t="array" ref="F127">((SUM(IF((CkDJ[Date]=$A$3)*(CkDJ[Sort Code]=(TRIM(G$4)))*(CkDJ[Account Code]=(TRIM($B127))),CkDJ[Debit])))+(SUM(IF((CsDJ[Date]=$A$3)*(CsDJ[Sort Code]=(TRIM(G$4)))*(CsDJ[Account Code]=(TRIM($B127))),CsDJ[Debit])))+(SUM(IF((CRDJ[Date]=$A$3)*(CRDJ[Sort Code]=(TRIM(G$4)))*(CRDJ[Account Code]=(TRIM($B127))),CRDJ[Debit])))+(SUM(IF((GJ[Date]=$A$3)*(GJ[Sort Code]=(TRIM(G$4)))*(GJ[Account Code]=(TRIM($B127))),GJ[Debit]))))-((SUM(IF((CkDJ[Date]=$A$3)*(CkDJ[Sort Code]=(TRIM(G$4)))*(CkDJ[Account Code]=(TRIM($B127))),CkDJ[Credit])))+(SUM(IF((CsDJ[Date]=$A$3)*(CsDJ[Sort Code]=(TRIM(G$4)))*(CsDJ[Account Code]=(TRIM($B127))),CsDJ[Credit])))+(SUM(IF((CRDJ[Date]=$A$3)*(CRDJ[Sort Code]=(TRIM(G$4)))*(CRDJ[Account Code]=(TRIM($B127))),CRDJ[Credit])))+(SUM(IF((GJ[Date]=$A$3)*(GJ[Sort Code]=(TRIM(G$4)))*(GJ[Account Code]=(TRIM($B127))),GJ[Credit]))))</f>
        <v>0</v>
      </c>
      <c r="G127" s="343">
        <f t="shared" si="9"/>
        <v>0</v>
      </c>
      <c r="H127" s="246">
        <f t="shared" si="10"/>
        <v>0</v>
      </c>
      <c r="I127" s="246">
        <f t="shared" si="11"/>
        <v>0</v>
      </c>
    </row>
    <row r="128" spans="1:9" hidden="1">
      <c r="A128" s="256" t="s">
        <v>1028</v>
      </c>
      <c r="B128" s="339" t="s">
        <v>332</v>
      </c>
      <c r="C128" s="245">
        <f t="array" ref="C128">SUM(IF((Budget[Account Code]=B128)*(Budget[Sort Code]=$G$4),(Budget[Amount])))</f>
        <v>0</v>
      </c>
      <c r="D128" s="245">
        <f t="array" ref="D128">SUM(IF((Budget[Account Code]=B128)*(Budget[Sort Code]=$G$4)*(Budget[Date]&lt;=$D$7),(Budget[Amount])))</f>
        <v>0</v>
      </c>
      <c r="E128" s="245">
        <f t="array" ref="E128">((SUM(IF((CkDJ[Sort Code]=(TRIM(G$4)))*(CkDJ[Account Code]=(TRIM($B128)))*(CkDJ[Date]&lt;=$E$7),CkDJ[Debit])))+(SUM(IF((CsDJ[Sort Code]=(TRIM(G$4)))*(CsDJ[Account Code]=(TRIM($B128)))*(CsDJ[Date]&lt;=$E$7),CsDJ[Debit])))+(SUM(IF((CRDJ[Sort Code]=(TRIM(G$4)))*(CRDJ[Account Code]=(TRIM($B128)))*(CRDJ[Date]&lt;=$E$7),CRDJ[Debit])))+(SUM(IF((GJ[Sort Code]=(TRIM(G$4)))*(GJ[Account Code]=(TRIM($B128)))*(GJ[Date]&lt;=$E$7),GJ[Debit]))))-((SUM(IF((CkDJ[Sort Code]=(TRIM(G$4)))*(CkDJ[Account Code]=(TRIM($B128)))*(CkDJ[Date]&lt;=$E$7),CkDJ[Credit])))+(SUM(IF((CsDJ[Sort Code]=(TRIM(G$4)))*(CsDJ[Account Code]=(TRIM($B128)))*(CsDJ[Date]&lt;=$E$7),CsDJ[Credit])))+(SUM(IF((CRDJ[Sort Code]=(TRIM(G$4)))*(CRDJ[Account Code]=(TRIM($B128)))*(CRDJ[Date]&lt;=$E$7),CRDJ[Credit])))+(SUM(IF((GJ[Sort Code]=(TRIM(G$4)))*(GJ[Account Code]=(TRIM($B128)))*(GJ[Date]&lt;=$E$7),GJ[Credit]))))</f>
        <v>0</v>
      </c>
      <c r="F128" s="245">
        <f t="array" ref="F128">((SUM(IF((CkDJ[Date]=$A$3)*(CkDJ[Sort Code]=(TRIM(G$4)))*(CkDJ[Account Code]=(TRIM($B128))),CkDJ[Debit])))+(SUM(IF((CsDJ[Date]=$A$3)*(CsDJ[Sort Code]=(TRIM(G$4)))*(CsDJ[Account Code]=(TRIM($B128))),CsDJ[Debit])))+(SUM(IF((CRDJ[Date]=$A$3)*(CRDJ[Sort Code]=(TRIM(G$4)))*(CRDJ[Account Code]=(TRIM($B128))),CRDJ[Debit])))+(SUM(IF((GJ[Date]=$A$3)*(GJ[Sort Code]=(TRIM(G$4)))*(GJ[Account Code]=(TRIM($B128))),GJ[Debit]))))-((SUM(IF((CkDJ[Date]=$A$3)*(CkDJ[Sort Code]=(TRIM(G$4)))*(CkDJ[Account Code]=(TRIM($B128))),CkDJ[Credit])))+(SUM(IF((CsDJ[Date]=$A$3)*(CsDJ[Sort Code]=(TRIM(G$4)))*(CsDJ[Account Code]=(TRIM($B128))),CsDJ[Credit])))+(SUM(IF((CRDJ[Date]=$A$3)*(CRDJ[Sort Code]=(TRIM(G$4)))*(CRDJ[Account Code]=(TRIM($B128))),CRDJ[Credit])))+(SUM(IF((GJ[Date]=$A$3)*(GJ[Sort Code]=(TRIM(G$4)))*(GJ[Account Code]=(TRIM($B128))),GJ[Credit]))))</f>
        <v>0</v>
      </c>
      <c r="G128" s="343">
        <f t="shared" si="9"/>
        <v>0</v>
      </c>
      <c r="H128" s="246">
        <f t="shared" si="10"/>
        <v>0</v>
      </c>
      <c r="I128" s="246">
        <f t="shared" si="11"/>
        <v>0</v>
      </c>
    </row>
    <row r="129" spans="1:9" hidden="1">
      <c r="A129" s="256" t="s">
        <v>343</v>
      </c>
      <c r="B129" s="339" t="s">
        <v>334</v>
      </c>
      <c r="C129" s="245">
        <f t="array" ref="C129">SUM(IF((Budget[Account Code]=B129)*(Budget[Sort Code]=$G$4),(Budget[Amount])))</f>
        <v>0</v>
      </c>
      <c r="D129" s="245">
        <f t="array" ref="D129">SUM(IF((Budget[Account Code]=B129)*(Budget[Sort Code]=$G$4)*(Budget[Date]&lt;=$D$7),(Budget[Amount])))</f>
        <v>0</v>
      </c>
      <c r="E129" s="245">
        <f t="array" ref="E129">((SUM(IF((CkDJ[Sort Code]=(TRIM(G$4)))*(CkDJ[Account Code]=(TRIM($B129)))*(CkDJ[Date]&lt;=$E$7),CkDJ[Debit])))+(SUM(IF((CsDJ[Sort Code]=(TRIM(G$4)))*(CsDJ[Account Code]=(TRIM($B129)))*(CsDJ[Date]&lt;=$E$7),CsDJ[Debit])))+(SUM(IF((CRDJ[Sort Code]=(TRIM(G$4)))*(CRDJ[Account Code]=(TRIM($B129)))*(CRDJ[Date]&lt;=$E$7),CRDJ[Debit])))+(SUM(IF((GJ[Sort Code]=(TRIM(G$4)))*(GJ[Account Code]=(TRIM($B129)))*(GJ[Date]&lt;=$E$7),GJ[Debit]))))-((SUM(IF((CkDJ[Sort Code]=(TRIM(G$4)))*(CkDJ[Account Code]=(TRIM($B129)))*(CkDJ[Date]&lt;=$E$7),CkDJ[Credit])))+(SUM(IF((CsDJ[Sort Code]=(TRIM(G$4)))*(CsDJ[Account Code]=(TRIM($B129)))*(CsDJ[Date]&lt;=$E$7),CsDJ[Credit])))+(SUM(IF((CRDJ[Sort Code]=(TRIM(G$4)))*(CRDJ[Account Code]=(TRIM($B129)))*(CRDJ[Date]&lt;=$E$7),CRDJ[Credit])))+(SUM(IF((GJ[Sort Code]=(TRIM(G$4)))*(GJ[Account Code]=(TRIM($B129)))*(GJ[Date]&lt;=$E$7),GJ[Credit]))))</f>
        <v>0</v>
      </c>
      <c r="F129" s="245">
        <f t="array" ref="F129">((SUM(IF((CkDJ[Date]=$A$3)*(CkDJ[Sort Code]=(TRIM(G$4)))*(CkDJ[Account Code]=(TRIM($B129))),CkDJ[Debit])))+(SUM(IF((CsDJ[Date]=$A$3)*(CsDJ[Sort Code]=(TRIM(G$4)))*(CsDJ[Account Code]=(TRIM($B129))),CsDJ[Debit])))+(SUM(IF((CRDJ[Date]=$A$3)*(CRDJ[Sort Code]=(TRIM(G$4)))*(CRDJ[Account Code]=(TRIM($B129))),CRDJ[Debit])))+(SUM(IF((GJ[Date]=$A$3)*(GJ[Sort Code]=(TRIM(G$4)))*(GJ[Account Code]=(TRIM($B129))),GJ[Debit]))))-((SUM(IF((CkDJ[Date]=$A$3)*(CkDJ[Sort Code]=(TRIM(G$4)))*(CkDJ[Account Code]=(TRIM($B129))),CkDJ[Credit])))+(SUM(IF((CsDJ[Date]=$A$3)*(CsDJ[Sort Code]=(TRIM(G$4)))*(CsDJ[Account Code]=(TRIM($B129))),CsDJ[Credit])))+(SUM(IF((CRDJ[Date]=$A$3)*(CRDJ[Sort Code]=(TRIM(G$4)))*(CRDJ[Account Code]=(TRIM($B129))),CRDJ[Credit])))+(SUM(IF((GJ[Date]=$A$3)*(GJ[Sort Code]=(TRIM(G$4)))*(GJ[Account Code]=(TRIM($B129))),GJ[Credit]))))</f>
        <v>0</v>
      </c>
      <c r="G129" s="343">
        <f t="shared" si="9"/>
        <v>0</v>
      </c>
      <c r="H129" s="246">
        <f t="shared" si="10"/>
        <v>0</v>
      </c>
      <c r="I129" s="246">
        <f t="shared" si="11"/>
        <v>0</v>
      </c>
    </row>
    <row r="130" spans="1:9" hidden="1">
      <c r="A130" s="256" t="s">
        <v>344</v>
      </c>
      <c r="B130" s="339" t="s">
        <v>335</v>
      </c>
      <c r="C130" s="245">
        <f t="array" ref="C130">SUM(IF((Budget[Account Code]=B130)*(Budget[Sort Code]=$G$4),(Budget[Amount])))</f>
        <v>0</v>
      </c>
      <c r="D130" s="245">
        <f t="array" ref="D130">SUM(IF((Budget[Account Code]=B130)*(Budget[Sort Code]=$G$4)*(Budget[Date]&lt;=$D$7),(Budget[Amount])))</f>
        <v>0</v>
      </c>
      <c r="E130" s="245">
        <f t="array" ref="E130">((SUM(IF((CkDJ[Sort Code]=(TRIM(G$4)))*(CkDJ[Account Code]=(TRIM($B130)))*(CkDJ[Date]&lt;=$E$7),CkDJ[Debit])))+(SUM(IF((CsDJ[Sort Code]=(TRIM(G$4)))*(CsDJ[Account Code]=(TRIM($B130)))*(CsDJ[Date]&lt;=$E$7),CsDJ[Debit])))+(SUM(IF((CRDJ[Sort Code]=(TRIM(G$4)))*(CRDJ[Account Code]=(TRIM($B130)))*(CRDJ[Date]&lt;=$E$7),CRDJ[Debit])))+(SUM(IF((GJ[Sort Code]=(TRIM(G$4)))*(GJ[Account Code]=(TRIM($B130)))*(GJ[Date]&lt;=$E$7),GJ[Debit]))))-((SUM(IF((CkDJ[Sort Code]=(TRIM(G$4)))*(CkDJ[Account Code]=(TRIM($B130)))*(CkDJ[Date]&lt;=$E$7),CkDJ[Credit])))+(SUM(IF((CsDJ[Sort Code]=(TRIM(G$4)))*(CsDJ[Account Code]=(TRIM($B130)))*(CsDJ[Date]&lt;=$E$7),CsDJ[Credit])))+(SUM(IF((CRDJ[Sort Code]=(TRIM(G$4)))*(CRDJ[Account Code]=(TRIM($B130)))*(CRDJ[Date]&lt;=$E$7),CRDJ[Credit])))+(SUM(IF((GJ[Sort Code]=(TRIM(G$4)))*(GJ[Account Code]=(TRIM($B130)))*(GJ[Date]&lt;=$E$7),GJ[Credit]))))</f>
        <v>0</v>
      </c>
      <c r="F130" s="245">
        <f t="array" ref="F130">((SUM(IF((CkDJ[Date]=$A$3)*(CkDJ[Sort Code]=(TRIM(G$4)))*(CkDJ[Account Code]=(TRIM($B130))),CkDJ[Debit])))+(SUM(IF((CsDJ[Date]=$A$3)*(CsDJ[Sort Code]=(TRIM(G$4)))*(CsDJ[Account Code]=(TRIM($B130))),CsDJ[Debit])))+(SUM(IF((CRDJ[Date]=$A$3)*(CRDJ[Sort Code]=(TRIM(G$4)))*(CRDJ[Account Code]=(TRIM($B130))),CRDJ[Debit])))+(SUM(IF((GJ[Date]=$A$3)*(GJ[Sort Code]=(TRIM(G$4)))*(GJ[Account Code]=(TRIM($B130))),GJ[Debit]))))-((SUM(IF((CkDJ[Date]=$A$3)*(CkDJ[Sort Code]=(TRIM(G$4)))*(CkDJ[Account Code]=(TRIM($B130))),CkDJ[Credit])))+(SUM(IF((CsDJ[Date]=$A$3)*(CsDJ[Sort Code]=(TRIM(G$4)))*(CsDJ[Account Code]=(TRIM($B130))),CsDJ[Credit])))+(SUM(IF((CRDJ[Date]=$A$3)*(CRDJ[Sort Code]=(TRIM(G$4)))*(CRDJ[Account Code]=(TRIM($B130))),CRDJ[Credit])))+(SUM(IF((GJ[Date]=$A$3)*(GJ[Sort Code]=(TRIM(G$4)))*(GJ[Account Code]=(TRIM($B130))),GJ[Credit]))))</f>
        <v>0</v>
      </c>
      <c r="G130" s="343">
        <f t="shared" si="9"/>
        <v>0</v>
      </c>
      <c r="H130" s="246">
        <f t="shared" si="10"/>
        <v>0</v>
      </c>
      <c r="I130" s="246">
        <f t="shared" si="11"/>
        <v>0</v>
      </c>
    </row>
    <row r="131" spans="1:9" hidden="1">
      <c r="A131" s="256" t="s">
        <v>368</v>
      </c>
      <c r="B131" s="339" t="s">
        <v>405</v>
      </c>
      <c r="C131" s="245">
        <f t="array" ref="C131">SUM(IF((Budget[Account Code]=B131)*(Budget[Sort Code]=$G$4),(Budget[Amount])))</f>
        <v>0</v>
      </c>
      <c r="D131" s="245">
        <f t="array" ref="D131">SUM(IF((Budget[Account Code]=B131)*(Budget[Sort Code]=$G$4)*(Budget[Date]&lt;=$D$7),(Budget[Amount])))</f>
        <v>0</v>
      </c>
      <c r="E131" s="245">
        <f t="array" ref="E131">((SUM(IF((CkDJ[Sort Code]=(TRIM(G$4)))*(CkDJ[Account Code]=(TRIM($B131)))*(CkDJ[Date]&lt;=$E$7),CkDJ[Debit])))+(SUM(IF((CsDJ[Sort Code]=(TRIM(G$4)))*(CsDJ[Account Code]=(TRIM($B131)))*(CsDJ[Date]&lt;=$E$7),CsDJ[Debit])))+(SUM(IF((CRDJ[Sort Code]=(TRIM(G$4)))*(CRDJ[Account Code]=(TRIM($B131)))*(CRDJ[Date]&lt;=$E$7),CRDJ[Debit])))+(SUM(IF((GJ[Sort Code]=(TRIM(G$4)))*(GJ[Account Code]=(TRIM($B131)))*(GJ[Date]&lt;=$E$7),GJ[Debit]))))-((SUM(IF((CkDJ[Sort Code]=(TRIM(G$4)))*(CkDJ[Account Code]=(TRIM($B131)))*(CkDJ[Date]&lt;=$E$7),CkDJ[Credit])))+(SUM(IF((CsDJ[Sort Code]=(TRIM(G$4)))*(CsDJ[Account Code]=(TRIM($B131)))*(CsDJ[Date]&lt;=$E$7),CsDJ[Credit])))+(SUM(IF((CRDJ[Sort Code]=(TRIM(G$4)))*(CRDJ[Account Code]=(TRIM($B131)))*(CRDJ[Date]&lt;=$E$7),CRDJ[Credit])))+(SUM(IF((GJ[Sort Code]=(TRIM(G$4)))*(GJ[Account Code]=(TRIM($B131)))*(GJ[Date]&lt;=$E$7),GJ[Credit]))))</f>
        <v>0</v>
      </c>
      <c r="F131" s="245">
        <f t="array" ref="F131">((SUM(IF((CkDJ[Date]=$A$3)*(CkDJ[Sort Code]=(TRIM(G$4)))*(CkDJ[Account Code]=(TRIM($B131))),CkDJ[Debit])))+(SUM(IF((CsDJ[Date]=$A$3)*(CsDJ[Sort Code]=(TRIM(G$4)))*(CsDJ[Account Code]=(TRIM($B131))),CsDJ[Debit])))+(SUM(IF((CRDJ[Date]=$A$3)*(CRDJ[Sort Code]=(TRIM(G$4)))*(CRDJ[Account Code]=(TRIM($B131))),CRDJ[Debit])))+(SUM(IF((GJ[Date]=$A$3)*(GJ[Sort Code]=(TRIM(G$4)))*(GJ[Account Code]=(TRIM($B131))),GJ[Debit]))))-((SUM(IF((CkDJ[Date]=$A$3)*(CkDJ[Sort Code]=(TRIM(G$4)))*(CkDJ[Account Code]=(TRIM($B131))),CkDJ[Credit])))+(SUM(IF((CsDJ[Date]=$A$3)*(CsDJ[Sort Code]=(TRIM(G$4)))*(CsDJ[Account Code]=(TRIM($B131))),CsDJ[Credit])))+(SUM(IF((CRDJ[Date]=$A$3)*(CRDJ[Sort Code]=(TRIM(G$4)))*(CRDJ[Account Code]=(TRIM($B131))),CRDJ[Credit])))+(SUM(IF((GJ[Date]=$A$3)*(GJ[Sort Code]=(TRIM(G$4)))*(GJ[Account Code]=(TRIM($B131))),GJ[Credit]))))</f>
        <v>0</v>
      </c>
      <c r="G131" s="343">
        <f t="shared" si="9"/>
        <v>0</v>
      </c>
      <c r="H131" s="246">
        <f t="shared" si="10"/>
        <v>0</v>
      </c>
      <c r="I131" s="246">
        <f t="shared" si="11"/>
        <v>0</v>
      </c>
    </row>
    <row r="132" spans="1:9" hidden="1">
      <c r="A132" s="256" t="s">
        <v>345</v>
      </c>
      <c r="B132" s="339" t="s">
        <v>336</v>
      </c>
      <c r="C132" s="245">
        <f t="array" ref="C132">SUM(IF((Budget[Account Code]=B132)*(Budget[Sort Code]=$G$4),(Budget[Amount])))</f>
        <v>0</v>
      </c>
      <c r="D132" s="245">
        <f t="array" ref="D132">SUM(IF((Budget[Account Code]=B132)*(Budget[Sort Code]=$G$4)*(Budget[Date]&lt;=$D$7),(Budget[Amount])))</f>
        <v>0</v>
      </c>
      <c r="E132" s="245">
        <f t="array" ref="E132">((SUM(IF((CkDJ[Sort Code]=(TRIM(G$4)))*(CkDJ[Account Code]=(TRIM($B132)))*(CkDJ[Date]&lt;=$E$7),CkDJ[Debit])))+(SUM(IF((CsDJ[Sort Code]=(TRIM(G$4)))*(CsDJ[Account Code]=(TRIM($B132)))*(CsDJ[Date]&lt;=$E$7),CsDJ[Debit])))+(SUM(IF((CRDJ[Sort Code]=(TRIM(G$4)))*(CRDJ[Account Code]=(TRIM($B132)))*(CRDJ[Date]&lt;=$E$7),CRDJ[Debit])))+(SUM(IF((GJ[Sort Code]=(TRIM(G$4)))*(GJ[Account Code]=(TRIM($B132)))*(GJ[Date]&lt;=$E$7),GJ[Debit]))))-((SUM(IF((CkDJ[Sort Code]=(TRIM(G$4)))*(CkDJ[Account Code]=(TRIM($B132)))*(CkDJ[Date]&lt;=$E$7),CkDJ[Credit])))+(SUM(IF((CsDJ[Sort Code]=(TRIM(G$4)))*(CsDJ[Account Code]=(TRIM($B132)))*(CsDJ[Date]&lt;=$E$7),CsDJ[Credit])))+(SUM(IF((CRDJ[Sort Code]=(TRIM(G$4)))*(CRDJ[Account Code]=(TRIM($B132)))*(CRDJ[Date]&lt;=$E$7),CRDJ[Credit])))+(SUM(IF((GJ[Sort Code]=(TRIM(G$4)))*(GJ[Account Code]=(TRIM($B132)))*(GJ[Date]&lt;=$E$7),GJ[Credit]))))</f>
        <v>0</v>
      </c>
      <c r="F132" s="245">
        <f t="array" ref="F132">((SUM(IF((CkDJ[Date]=$A$3)*(CkDJ[Sort Code]=(TRIM(G$4)))*(CkDJ[Account Code]=(TRIM($B132))),CkDJ[Debit])))+(SUM(IF((CsDJ[Date]=$A$3)*(CsDJ[Sort Code]=(TRIM(G$4)))*(CsDJ[Account Code]=(TRIM($B132))),CsDJ[Debit])))+(SUM(IF((CRDJ[Date]=$A$3)*(CRDJ[Sort Code]=(TRIM(G$4)))*(CRDJ[Account Code]=(TRIM($B132))),CRDJ[Debit])))+(SUM(IF((GJ[Date]=$A$3)*(GJ[Sort Code]=(TRIM(G$4)))*(GJ[Account Code]=(TRIM($B132))),GJ[Debit]))))-((SUM(IF((CkDJ[Date]=$A$3)*(CkDJ[Sort Code]=(TRIM(G$4)))*(CkDJ[Account Code]=(TRIM($B132))),CkDJ[Credit])))+(SUM(IF((CsDJ[Date]=$A$3)*(CsDJ[Sort Code]=(TRIM(G$4)))*(CsDJ[Account Code]=(TRIM($B132))),CsDJ[Credit])))+(SUM(IF((CRDJ[Date]=$A$3)*(CRDJ[Sort Code]=(TRIM(G$4)))*(CRDJ[Account Code]=(TRIM($B132))),CRDJ[Credit])))+(SUM(IF((GJ[Date]=$A$3)*(GJ[Sort Code]=(TRIM(G$4)))*(GJ[Account Code]=(TRIM($B132))),GJ[Credit]))))</f>
        <v>0</v>
      </c>
      <c r="G132" s="343">
        <f t="shared" si="9"/>
        <v>0</v>
      </c>
      <c r="H132" s="246">
        <f t="shared" si="10"/>
        <v>0</v>
      </c>
      <c r="I132" s="246">
        <f t="shared" si="11"/>
        <v>0</v>
      </c>
    </row>
    <row r="133" spans="1:9" hidden="1">
      <c r="A133" s="256" t="s">
        <v>346</v>
      </c>
      <c r="B133" s="339" t="s">
        <v>337</v>
      </c>
      <c r="C133" s="245">
        <f t="array" ref="C133">SUM(IF((Budget[Account Code]=B133)*(Budget[Sort Code]=$G$4),(Budget[Amount])))</f>
        <v>0</v>
      </c>
      <c r="D133" s="245">
        <f t="array" ref="D133">SUM(IF((Budget[Account Code]=B133)*(Budget[Sort Code]=$G$4)*(Budget[Date]&lt;=$D$7),(Budget[Amount])))</f>
        <v>0</v>
      </c>
      <c r="E133" s="245">
        <f t="array" ref="E133">((SUM(IF((CkDJ[Sort Code]=(TRIM(G$4)))*(CkDJ[Account Code]=(TRIM($B133)))*(CkDJ[Date]&lt;=$E$7),CkDJ[Debit])))+(SUM(IF((CsDJ[Sort Code]=(TRIM(G$4)))*(CsDJ[Account Code]=(TRIM($B133)))*(CsDJ[Date]&lt;=$E$7),CsDJ[Debit])))+(SUM(IF((CRDJ[Sort Code]=(TRIM(G$4)))*(CRDJ[Account Code]=(TRIM($B133)))*(CRDJ[Date]&lt;=$E$7),CRDJ[Debit])))+(SUM(IF((GJ[Sort Code]=(TRIM(G$4)))*(GJ[Account Code]=(TRIM($B133)))*(GJ[Date]&lt;=$E$7),GJ[Debit]))))-((SUM(IF((CkDJ[Sort Code]=(TRIM(G$4)))*(CkDJ[Account Code]=(TRIM($B133)))*(CkDJ[Date]&lt;=$E$7),CkDJ[Credit])))+(SUM(IF((CsDJ[Sort Code]=(TRIM(G$4)))*(CsDJ[Account Code]=(TRIM($B133)))*(CsDJ[Date]&lt;=$E$7),CsDJ[Credit])))+(SUM(IF((CRDJ[Sort Code]=(TRIM(G$4)))*(CRDJ[Account Code]=(TRIM($B133)))*(CRDJ[Date]&lt;=$E$7),CRDJ[Credit])))+(SUM(IF((GJ[Sort Code]=(TRIM(G$4)))*(GJ[Account Code]=(TRIM($B133)))*(GJ[Date]&lt;=$E$7),GJ[Credit]))))</f>
        <v>0</v>
      </c>
      <c r="F133" s="245">
        <f t="array" ref="F133">((SUM(IF((CkDJ[Date]=$A$3)*(CkDJ[Sort Code]=(TRIM(G$4)))*(CkDJ[Account Code]=(TRIM($B133))),CkDJ[Debit])))+(SUM(IF((CsDJ[Date]=$A$3)*(CsDJ[Sort Code]=(TRIM(G$4)))*(CsDJ[Account Code]=(TRIM($B133))),CsDJ[Debit])))+(SUM(IF((CRDJ[Date]=$A$3)*(CRDJ[Sort Code]=(TRIM(G$4)))*(CRDJ[Account Code]=(TRIM($B133))),CRDJ[Debit])))+(SUM(IF((GJ[Date]=$A$3)*(GJ[Sort Code]=(TRIM(G$4)))*(GJ[Account Code]=(TRIM($B133))),GJ[Debit]))))-((SUM(IF((CkDJ[Date]=$A$3)*(CkDJ[Sort Code]=(TRIM(G$4)))*(CkDJ[Account Code]=(TRIM($B133))),CkDJ[Credit])))+(SUM(IF((CsDJ[Date]=$A$3)*(CsDJ[Sort Code]=(TRIM(G$4)))*(CsDJ[Account Code]=(TRIM($B133))),CsDJ[Credit])))+(SUM(IF((CRDJ[Date]=$A$3)*(CRDJ[Sort Code]=(TRIM(G$4)))*(CRDJ[Account Code]=(TRIM($B133))),CRDJ[Credit])))+(SUM(IF((GJ[Date]=$A$3)*(GJ[Sort Code]=(TRIM(G$4)))*(GJ[Account Code]=(TRIM($B133))),GJ[Credit]))))</f>
        <v>0</v>
      </c>
      <c r="G133" s="343">
        <f t="shared" si="9"/>
        <v>0</v>
      </c>
      <c r="H133" s="246">
        <f t="shared" si="10"/>
        <v>0</v>
      </c>
      <c r="I133" s="246">
        <f t="shared" si="11"/>
        <v>0</v>
      </c>
    </row>
    <row r="134" spans="1:9" hidden="1">
      <c r="A134" s="256" t="s">
        <v>1030</v>
      </c>
      <c r="B134" s="339" t="s">
        <v>986</v>
      </c>
      <c r="C134" s="245">
        <f t="array" ref="C134">SUM(IF((Budget[Account Code]=B134)*(Budget[Sort Code]=$G$4),(Budget[Amount])))</f>
        <v>0</v>
      </c>
      <c r="D134" s="245">
        <f t="array" ref="D134">SUM(IF((Budget[Account Code]=B134)*(Budget[Sort Code]=$G$4)*(Budget[Date]&lt;=$D$7),(Budget[Amount])))</f>
        <v>0</v>
      </c>
      <c r="E134" s="245">
        <f t="array" ref="E134">((SUM(IF((CkDJ[Sort Code]=(TRIM(G$4)))*(CkDJ[Account Code]=(TRIM($B134)))*(CkDJ[Date]&lt;=$E$7),CkDJ[Debit])))+(SUM(IF((CsDJ[Sort Code]=(TRIM(G$4)))*(CsDJ[Account Code]=(TRIM($B134)))*(CsDJ[Date]&lt;=$E$7),CsDJ[Debit])))+(SUM(IF((CRDJ[Sort Code]=(TRIM(G$4)))*(CRDJ[Account Code]=(TRIM($B134)))*(CRDJ[Date]&lt;=$E$7),CRDJ[Debit])))+(SUM(IF((GJ[Sort Code]=(TRIM(G$4)))*(GJ[Account Code]=(TRIM($B134)))*(GJ[Date]&lt;=$E$7),GJ[Debit]))))-((SUM(IF((CkDJ[Sort Code]=(TRIM(G$4)))*(CkDJ[Account Code]=(TRIM($B134)))*(CkDJ[Date]&lt;=$E$7),CkDJ[Credit])))+(SUM(IF((CsDJ[Sort Code]=(TRIM(G$4)))*(CsDJ[Account Code]=(TRIM($B134)))*(CsDJ[Date]&lt;=$E$7),CsDJ[Credit])))+(SUM(IF((CRDJ[Sort Code]=(TRIM(G$4)))*(CRDJ[Account Code]=(TRIM($B134)))*(CRDJ[Date]&lt;=$E$7),CRDJ[Credit])))+(SUM(IF((GJ[Sort Code]=(TRIM(G$4)))*(GJ[Account Code]=(TRIM($B134)))*(GJ[Date]&lt;=$E$7),GJ[Credit]))))</f>
        <v>0</v>
      </c>
      <c r="F134" s="245">
        <f t="array" ref="F134">((SUM(IF((CkDJ[Date]=$A$3)*(CkDJ[Sort Code]=(TRIM(G$4)))*(CkDJ[Account Code]=(TRIM($B134))),CkDJ[Debit])))+(SUM(IF((CsDJ[Date]=$A$3)*(CsDJ[Sort Code]=(TRIM(G$4)))*(CsDJ[Account Code]=(TRIM($B134))),CsDJ[Debit])))+(SUM(IF((CRDJ[Date]=$A$3)*(CRDJ[Sort Code]=(TRIM(G$4)))*(CRDJ[Account Code]=(TRIM($B134))),CRDJ[Debit])))+(SUM(IF((GJ[Date]=$A$3)*(GJ[Sort Code]=(TRIM(G$4)))*(GJ[Account Code]=(TRIM($B134))),GJ[Debit]))))-((SUM(IF((CkDJ[Date]=$A$3)*(CkDJ[Sort Code]=(TRIM(G$4)))*(CkDJ[Account Code]=(TRIM($B134))),CkDJ[Credit])))+(SUM(IF((CsDJ[Date]=$A$3)*(CsDJ[Sort Code]=(TRIM(G$4)))*(CsDJ[Account Code]=(TRIM($B134))),CsDJ[Credit])))+(SUM(IF((CRDJ[Date]=$A$3)*(CRDJ[Sort Code]=(TRIM(G$4)))*(CRDJ[Account Code]=(TRIM($B134))),CRDJ[Credit])))+(SUM(IF((GJ[Date]=$A$3)*(GJ[Sort Code]=(TRIM(G$4)))*(GJ[Account Code]=(TRIM($B134))),GJ[Credit]))))</f>
        <v>0</v>
      </c>
      <c r="G134" s="343">
        <f t="shared" si="9"/>
        <v>0</v>
      </c>
      <c r="H134" s="246">
        <f t="shared" si="10"/>
        <v>0</v>
      </c>
      <c r="I134" s="246">
        <f t="shared" si="11"/>
        <v>0</v>
      </c>
    </row>
    <row r="135" spans="1:9" hidden="1">
      <c r="A135" s="256" t="s">
        <v>1029</v>
      </c>
      <c r="B135" s="339" t="s">
        <v>987</v>
      </c>
      <c r="C135" s="245">
        <f t="array" ref="C135">SUM(IF((Budget[Account Code]=B135)*(Budget[Sort Code]=$G$4),(Budget[Amount])))</f>
        <v>0</v>
      </c>
      <c r="D135" s="245">
        <f t="array" ref="D135">SUM(IF((Budget[Account Code]=B135)*(Budget[Sort Code]=$G$4)*(Budget[Date]&lt;=$D$7),(Budget[Amount])))</f>
        <v>0</v>
      </c>
      <c r="E135" s="245">
        <f t="array" ref="E135">((SUM(IF((CkDJ[Sort Code]=(TRIM(G$4)))*(CkDJ[Account Code]=(TRIM($B135)))*(CkDJ[Date]&lt;=$E$7),CkDJ[Debit])))+(SUM(IF((CsDJ[Sort Code]=(TRIM(G$4)))*(CsDJ[Account Code]=(TRIM($B135)))*(CsDJ[Date]&lt;=$E$7),CsDJ[Debit])))+(SUM(IF((CRDJ[Sort Code]=(TRIM(G$4)))*(CRDJ[Account Code]=(TRIM($B135)))*(CRDJ[Date]&lt;=$E$7),CRDJ[Debit])))+(SUM(IF((GJ[Sort Code]=(TRIM(G$4)))*(GJ[Account Code]=(TRIM($B135)))*(GJ[Date]&lt;=$E$7),GJ[Debit]))))-((SUM(IF((CkDJ[Sort Code]=(TRIM(G$4)))*(CkDJ[Account Code]=(TRIM($B135)))*(CkDJ[Date]&lt;=$E$7),CkDJ[Credit])))+(SUM(IF((CsDJ[Sort Code]=(TRIM(G$4)))*(CsDJ[Account Code]=(TRIM($B135)))*(CsDJ[Date]&lt;=$E$7),CsDJ[Credit])))+(SUM(IF((CRDJ[Sort Code]=(TRIM(G$4)))*(CRDJ[Account Code]=(TRIM($B135)))*(CRDJ[Date]&lt;=$E$7),CRDJ[Credit])))+(SUM(IF((GJ[Sort Code]=(TRIM(G$4)))*(GJ[Account Code]=(TRIM($B135)))*(GJ[Date]&lt;=$E$7),GJ[Credit]))))</f>
        <v>0</v>
      </c>
      <c r="F135" s="245">
        <f t="array" ref="F135">((SUM(IF((CkDJ[Date]=$A$3)*(CkDJ[Sort Code]=(TRIM(G$4)))*(CkDJ[Account Code]=(TRIM($B135))),CkDJ[Debit])))+(SUM(IF((CsDJ[Date]=$A$3)*(CsDJ[Sort Code]=(TRIM(G$4)))*(CsDJ[Account Code]=(TRIM($B135))),CsDJ[Debit])))+(SUM(IF((CRDJ[Date]=$A$3)*(CRDJ[Sort Code]=(TRIM(G$4)))*(CRDJ[Account Code]=(TRIM($B135))),CRDJ[Debit])))+(SUM(IF((GJ[Date]=$A$3)*(GJ[Sort Code]=(TRIM(G$4)))*(GJ[Account Code]=(TRIM($B135))),GJ[Debit]))))-((SUM(IF((CkDJ[Date]=$A$3)*(CkDJ[Sort Code]=(TRIM(G$4)))*(CkDJ[Account Code]=(TRIM($B135))),CkDJ[Credit])))+(SUM(IF((CsDJ[Date]=$A$3)*(CsDJ[Sort Code]=(TRIM(G$4)))*(CsDJ[Account Code]=(TRIM($B135))),CsDJ[Credit])))+(SUM(IF((CRDJ[Date]=$A$3)*(CRDJ[Sort Code]=(TRIM(G$4)))*(CRDJ[Account Code]=(TRIM($B135))),CRDJ[Credit])))+(SUM(IF((GJ[Date]=$A$3)*(GJ[Sort Code]=(TRIM(G$4)))*(GJ[Account Code]=(TRIM($B135))),GJ[Credit]))))</f>
        <v>0</v>
      </c>
      <c r="G135" s="343">
        <f t="shared" si="9"/>
        <v>0</v>
      </c>
      <c r="H135" s="246">
        <f t="shared" si="10"/>
        <v>0</v>
      </c>
      <c r="I135" s="246">
        <f t="shared" si="11"/>
        <v>0</v>
      </c>
    </row>
    <row r="136" spans="1:9" hidden="1">
      <c r="A136" s="256" t="s">
        <v>990</v>
      </c>
      <c r="B136" s="339" t="s">
        <v>988</v>
      </c>
      <c r="C136" s="245">
        <f t="array" ref="C136">SUM(IF((Budget[Account Code]=B136)*(Budget[Sort Code]=$G$4),(Budget[Amount])))</f>
        <v>0</v>
      </c>
      <c r="D136" s="245">
        <f t="array" ref="D136">SUM(IF((Budget[Account Code]=B136)*(Budget[Sort Code]=$G$4)*(Budget[Date]&lt;=$D$7),(Budget[Amount])))</f>
        <v>0</v>
      </c>
      <c r="E136" s="245">
        <f t="array" ref="E136">((SUM(IF((CkDJ[Sort Code]=(TRIM(G$4)))*(CkDJ[Account Code]=(TRIM($B136)))*(CkDJ[Date]&lt;=$E$7),CkDJ[Debit])))+(SUM(IF((CsDJ[Sort Code]=(TRIM(G$4)))*(CsDJ[Account Code]=(TRIM($B136)))*(CsDJ[Date]&lt;=$E$7),CsDJ[Debit])))+(SUM(IF((CRDJ[Sort Code]=(TRIM(G$4)))*(CRDJ[Account Code]=(TRIM($B136)))*(CRDJ[Date]&lt;=$E$7),CRDJ[Debit])))+(SUM(IF((GJ[Sort Code]=(TRIM(G$4)))*(GJ[Account Code]=(TRIM($B136)))*(GJ[Date]&lt;=$E$7),GJ[Debit]))))-((SUM(IF((CkDJ[Sort Code]=(TRIM(G$4)))*(CkDJ[Account Code]=(TRIM($B136)))*(CkDJ[Date]&lt;=$E$7),CkDJ[Credit])))+(SUM(IF((CsDJ[Sort Code]=(TRIM(G$4)))*(CsDJ[Account Code]=(TRIM($B136)))*(CsDJ[Date]&lt;=$E$7),CsDJ[Credit])))+(SUM(IF((CRDJ[Sort Code]=(TRIM(G$4)))*(CRDJ[Account Code]=(TRIM($B136)))*(CRDJ[Date]&lt;=$E$7),CRDJ[Credit])))+(SUM(IF((GJ[Sort Code]=(TRIM(G$4)))*(GJ[Account Code]=(TRIM($B136)))*(GJ[Date]&lt;=$E$7),GJ[Credit]))))</f>
        <v>0</v>
      </c>
      <c r="F136" s="245">
        <f t="array" ref="F136">((SUM(IF((CkDJ[Date]=$A$3)*(CkDJ[Sort Code]=(TRIM(G$4)))*(CkDJ[Account Code]=(TRIM($B136))),CkDJ[Debit])))+(SUM(IF((CsDJ[Date]=$A$3)*(CsDJ[Sort Code]=(TRIM(G$4)))*(CsDJ[Account Code]=(TRIM($B136))),CsDJ[Debit])))+(SUM(IF((CRDJ[Date]=$A$3)*(CRDJ[Sort Code]=(TRIM(G$4)))*(CRDJ[Account Code]=(TRIM($B136))),CRDJ[Debit])))+(SUM(IF((GJ[Date]=$A$3)*(GJ[Sort Code]=(TRIM(G$4)))*(GJ[Account Code]=(TRIM($B136))),GJ[Debit]))))-((SUM(IF((CkDJ[Date]=$A$3)*(CkDJ[Sort Code]=(TRIM(G$4)))*(CkDJ[Account Code]=(TRIM($B136))),CkDJ[Credit])))+(SUM(IF((CsDJ[Date]=$A$3)*(CsDJ[Sort Code]=(TRIM(G$4)))*(CsDJ[Account Code]=(TRIM($B136))),CsDJ[Credit])))+(SUM(IF((CRDJ[Date]=$A$3)*(CRDJ[Sort Code]=(TRIM(G$4)))*(CRDJ[Account Code]=(TRIM($B136))),CRDJ[Credit])))+(SUM(IF((GJ[Date]=$A$3)*(GJ[Sort Code]=(TRIM(G$4)))*(GJ[Account Code]=(TRIM($B136))),GJ[Credit]))))</f>
        <v>0</v>
      </c>
      <c r="G136" s="343">
        <f t="shared" si="9"/>
        <v>0</v>
      </c>
      <c r="H136" s="246">
        <f t="shared" si="10"/>
        <v>0</v>
      </c>
      <c r="I136" s="246">
        <f t="shared" si="11"/>
        <v>0</v>
      </c>
    </row>
    <row r="137" spans="1:9" hidden="1">
      <c r="A137" s="256" t="s">
        <v>349</v>
      </c>
      <c r="B137" s="339" t="s">
        <v>340</v>
      </c>
      <c r="C137" s="245">
        <f t="array" ref="C137">SUM(IF((Budget[Account Code]=B137)*(Budget[Sort Code]=$G$4),(Budget[Amount])))</f>
        <v>0</v>
      </c>
      <c r="D137" s="245">
        <f t="array" ref="D137">SUM(IF((Budget[Account Code]=B137)*(Budget[Sort Code]=$G$4)*(Budget[Date]&lt;=$D$7),(Budget[Amount])))</f>
        <v>0</v>
      </c>
      <c r="E137" s="245">
        <f t="array" ref="E137">((SUM(IF((CkDJ[Sort Code]=(TRIM(G$4)))*(CkDJ[Account Code]=(TRIM($B137)))*(CkDJ[Date]&lt;=$E$7),CkDJ[Debit])))+(SUM(IF((CsDJ[Sort Code]=(TRIM(G$4)))*(CsDJ[Account Code]=(TRIM($B137)))*(CsDJ[Date]&lt;=$E$7),CsDJ[Debit])))+(SUM(IF((CRDJ[Sort Code]=(TRIM(G$4)))*(CRDJ[Account Code]=(TRIM($B137)))*(CRDJ[Date]&lt;=$E$7),CRDJ[Debit])))+(SUM(IF((GJ[Sort Code]=(TRIM(G$4)))*(GJ[Account Code]=(TRIM($B137)))*(GJ[Date]&lt;=$E$7),GJ[Debit]))))-((SUM(IF((CkDJ[Sort Code]=(TRIM(G$4)))*(CkDJ[Account Code]=(TRIM($B137)))*(CkDJ[Date]&lt;=$E$7),CkDJ[Credit])))+(SUM(IF((CsDJ[Sort Code]=(TRIM(G$4)))*(CsDJ[Account Code]=(TRIM($B137)))*(CsDJ[Date]&lt;=$E$7),CsDJ[Credit])))+(SUM(IF((CRDJ[Sort Code]=(TRIM(G$4)))*(CRDJ[Account Code]=(TRIM($B137)))*(CRDJ[Date]&lt;=$E$7),CRDJ[Credit])))+(SUM(IF((GJ[Sort Code]=(TRIM(G$4)))*(GJ[Account Code]=(TRIM($B137)))*(GJ[Date]&lt;=$E$7),GJ[Credit]))))</f>
        <v>0</v>
      </c>
      <c r="F137" s="245">
        <f t="array" ref="F137">((SUM(IF((CkDJ[Date]=$A$3)*(CkDJ[Sort Code]=(TRIM(G$4)))*(CkDJ[Account Code]=(TRIM($B137))),CkDJ[Debit])))+(SUM(IF((CsDJ[Date]=$A$3)*(CsDJ[Sort Code]=(TRIM(G$4)))*(CsDJ[Account Code]=(TRIM($B137))),CsDJ[Debit])))+(SUM(IF((CRDJ[Date]=$A$3)*(CRDJ[Sort Code]=(TRIM(G$4)))*(CRDJ[Account Code]=(TRIM($B137))),CRDJ[Debit])))+(SUM(IF((GJ[Date]=$A$3)*(GJ[Sort Code]=(TRIM(G$4)))*(GJ[Account Code]=(TRIM($B137))),GJ[Debit]))))-((SUM(IF((CkDJ[Date]=$A$3)*(CkDJ[Sort Code]=(TRIM(G$4)))*(CkDJ[Account Code]=(TRIM($B137))),CkDJ[Credit])))+(SUM(IF((CsDJ[Date]=$A$3)*(CsDJ[Sort Code]=(TRIM(G$4)))*(CsDJ[Account Code]=(TRIM($B137))),CsDJ[Credit])))+(SUM(IF((CRDJ[Date]=$A$3)*(CRDJ[Sort Code]=(TRIM(G$4)))*(CRDJ[Account Code]=(TRIM($B137))),CRDJ[Credit])))+(SUM(IF((GJ[Date]=$A$3)*(GJ[Sort Code]=(TRIM(G$4)))*(GJ[Account Code]=(TRIM($B137))),GJ[Credit]))))</f>
        <v>0</v>
      </c>
      <c r="G137" s="343">
        <f t="shared" si="9"/>
        <v>0</v>
      </c>
      <c r="H137" s="246">
        <f t="shared" si="10"/>
        <v>0</v>
      </c>
      <c r="I137" s="246">
        <f t="shared" si="11"/>
        <v>0</v>
      </c>
    </row>
    <row r="138" spans="1:9">
      <c r="A138" s="255" t="s">
        <v>805</v>
      </c>
      <c r="B138" s="337"/>
      <c r="C138" s="245"/>
      <c r="D138" s="245"/>
      <c r="E138" s="246"/>
      <c r="F138" s="245"/>
      <c r="G138" s="246"/>
      <c r="H138" s="246">
        <f t="shared" si="10"/>
        <v>0</v>
      </c>
      <c r="I138" s="246">
        <f t="shared" si="11"/>
        <v>0</v>
      </c>
    </row>
    <row r="139" spans="1:9">
      <c r="A139" s="253" t="s">
        <v>808</v>
      </c>
      <c r="B139" s="337"/>
      <c r="C139" s="242">
        <f>SUM(C140:C143)</f>
        <v>4511330.5</v>
      </c>
      <c r="D139" s="242">
        <f>SUM(D140:D143)</f>
        <v>4511330.5</v>
      </c>
      <c r="E139" s="242">
        <f>SUM(E140:E143)</f>
        <v>0</v>
      </c>
      <c r="F139" s="242">
        <f>SUM(F140:F143)</f>
        <v>0</v>
      </c>
      <c r="G139" s="242">
        <f>SUM(G140:G143)</f>
        <v>0</v>
      </c>
      <c r="H139" s="246">
        <f t="shared" si="10"/>
        <v>-4511330.5</v>
      </c>
      <c r="I139" s="246">
        <f t="shared" si="11"/>
        <v>0</v>
      </c>
    </row>
    <row r="140" spans="1:9" hidden="1">
      <c r="A140" s="256" t="s">
        <v>342</v>
      </c>
      <c r="B140" s="339" t="s">
        <v>333</v>
      </c>
      <c r="C140" s="245">
        <f t="array" ref="C140">SUM(IF((Budget[Account Code]=B140)*(Budget[Sort Code]=$G$4),(Budget[Amount])))</f>
        <v>4511330.5</v>
      </c>
      <c r="D140" s="245">
        <f t="array" ref="D140">SUM(IF((Budget[Account Code]=B140)*(Budget[Sort Code]=$G$4)*(Budget[Date]&lt;=$D$7),(Budget[Amount])))</f>
        <v>4511330.5</v>
      </c>
      <c r="E140" s="245">
        <f t="array" ref="E140">((SUM(IF((CkDJ[Sort Code]=(TRIM(G$4)))*(CkDJ[Account Code]=(TRIM($B140)))*(CkDJ[Date]&lt;=$E$7),CkDJ[Debit])))+(SUM(IF((CsDJ[Sort Code]=(TRIM(G$4)))*(CsDJ[Account Code]=(TRIM($B140)))*(CsDJ[Date]&lt;=$E$7),CsDJ[Debit])))+(SUM(IF((CRDJ[Sort Code]=(TRIM(G$4)))*(CRDJ[Account Code]=(TRIM($B140)))*(CRDJ[Date]&lt;=$E$7),CRDJ[Debit])))+(SUM(IF((GJ[Sort Code]=(TRIM(G$4)))*(GJ[Account Code]=(TRIM($B140)))*(GJ[Date]&lt;=$E$7),GJ[Debit]))))-((SUM(IF((CkDJ[Sort Code]=(TRIM(G$4)))*(CkDJ[Account Code]=(TRIM($B140)))*(CkDJ[Date]&lt;=$E$7),CkDJ[Credit])))+(SUM(IF((CsDJ[Sort Code]=(TRIM(G$4)))*(CsDJ[Account Code]=(TRIM($B140)))*(CsDJ[Date]&lt;=$E$7),CsDJ[Credit])))+(SUM(IF((CRDJ[Sort Code]=(TRIM(G$4)))*(CRDJ[Account Code]=(TRIM($B140)))*(CRDJ[Date]&lt;=$E$7),CRDJ[Credit])))+(SUM(IF((GJ[Sort Code]=(TRIM(G$4)))*(GJ[Account Code]=(TRIM($B140)))*(GJ[Date]&lt;=$E$7),GJ[Credit]))))</f>
        <v>0</v>
      </c>
      <c r="F140" s="245">
        <f t="array" ref="F140">((SUM(IF((CkDJ[Date]=$A$3)*(CkDJ[Sort Code]=(TRIM(G$4)))*(CkDJ[Account Code]=(TRIM($B140))),CkDJ[Debit])))+(SUM(IF((CsDJ[Date]=$A$3)*(CsDJ[Sort Code]=(TRIM(G$4)))*(CsDJ[Account Code]=(TRIM($B140))),CsDJ[Debit])))+(SUM(IF((CRDJ[Date]=$A$3)*(CRDJ[Sort Code]=(TRIM(G$4)))*(CRDJ[Account Code]=(TRIM($B140))),CRDJ[Debit])))+(SUM(IF((GJ[Date]=$A$3)*(GJ[Sort Code]=(TRIM(G$4)))*(GJ[Account Code]=(TRIM($B140))),GJ[Debit]))))-((SUM(IF((CkDJ[Date]=$A$3)*(CkDJ[Sort Code]=(TRIM(G$4)))*(CkDJ[Account Code]=(TRIM($B140))),CkDJ[Credit])))+(SUM(IF((CsDJ[Date]=$A$3)*(CsDJ[Sort Code]=(TRIM(G$4)))*(CsDJ[Account Code]=(TRIM($B140))),CsDJ[Credit])))+(SUM(IF((CRDJ[Date]=$A$3)*(CRDJ[Sort Code]=(TRIM(G$4)))*(CRDJ[Account Code]=(TRIM($B140))),CRDJ[Credit])))+(SUM(IF((GJ[Date]=$A$3)*(GJ[Sort Code]=(TRIM(G$4)))*(GJ[Account Code]=(TRIM($B140))),GJ[Credit]))))</f>
        <v>0</v>
      </c>
      <c r="G140" s="343">
        <f>E140+F140</f>
        <v>0</v>
      </c>
      <c r="H140" s="246">
        <f t="shared" si="10"/>
        <v>-4511330.5</v>
      </c>
      <c r="I140" s="246">
        <f t="shared" si="11"/>
        <v>0</v>
      </c>
    </row>
    <row r="141" spans="1:9" hidden="1">
      <c r="A141" s="256" t="s">
        <v>1031</v>
      </c>
      <c r="B141" s="339" t="s">
        <v>992</v>
      </c>
      <c r="C141" s="245">
        <f t="array" ref="C141">SUM(IF((Budget[Account Code]=B141)*(Budget[Sort Code]=$G$4),(Budget[Amount])))</f>
        <v>0</v>
      </c>
      <c r="D141" s="245">
        <f t="array" ref="D141">SUM(IF((Budget[Account Code]=B141)*(Budget[Sort Code]=$G$4)*(Budget[Date]&lt;=$D$7),(Budget[Amount])))</f>
        <v>0</v>
      </c>
      <c r="E141" s="245">
        <f t="array" ref="E141">((SUM(IF((CkDJ[Sort Code]=(TRIM(G$4)))*(CkDJ[Account Code]=(TRIM($B141)))*(CkDJ[Date]&lt;=$E$7),CkDJ[Debit])))+(SUM(IF((CsDJ[Sort Code]=(TRIM(G$4)))*(CsDJ[Account Code]=(TRIM($B141)))*(CsDJ[Date]&lt;=$E$7),CsDJ[Debit])))+(SUM(IF((CRDJ[Sort Code]=(TRIM(G$4)))*(CRDJ[Account Code]=(TRIM($B141)))*(CRDJ[Date]&lt;=$E$7),CRDJ[Debit])))+(SUM(IF((GJ[Sort Code]=(TRIM(G$4)))*(GJ[Account Code]=(TRIM($B141)))*(GJ[Date]&lt;=$E$7),GJ[Debit]))))-((SUM(IF((CkDJ[Sort Code]=(TRIM(G$4)))*(CkDJ[Account Code]=(TRIM($B141)))*(CkDJ[Date]&lt;=$E$7),CkDJ[Credit])))+(SUM(IF((CsDJ[Sort Code]=(TRIM(G$4)))*(CsDJ[Account Code]=(TRIM($B141)))*(CsDJ[Date]&lt;=$E$7),CsDJ[Credit])))+(SUM(IF((CRDJ[Sort Code]=(TRIM(G$4)))*(CRDJ[Account Code]=(TRIM($B141)))*(CRDJ[Date]&lt;=$E$7),CRDJ[Credit])))+(SUM(IF((GJ[Sort Code]=(TRIM(G$4)))*(GJ[Account Code]=(TRIM($B141)))*(GJ[Date]&lt;=$E$7),GJ[Credit]))))</f>
        <v>0</v>
      </c>
      <c r="F141" s="245">
        <f t="array" ref="F141">((SUM(IF((CkDJ[Date]=$A$3)*(CkDJ[Sort Code]=(TRIM(G$4)))*(CkDJ[Account Code]=(TRIM($B141))),CkDJ[Debit])))+(SUM(IF((CsDJ[Date]=$A$3)*(CsDJ[Sort Code]=(TRIM(G$4)))*(CsDJ[Account Code]=(TRIM($B141))),CsDJ[Debit])))+(SUM(IF((CRDJ[Date]=$A$3)*(CRDJ[Sort Code]=(TRIM(G$4)))*(CRDJ[Account Code]=(TRIM($B141))),CRDJ[Debit])))+(SUM(IF((GJ[Date]=$A$3)*(GJ[Sort Code]=(TRIM(G$4)))*(GJ[Account Code]=(TRIM($B141))),GJ[Debit]))))-((SUM(IF((CkDJ[Date]=$A$3)*(CkDJ[Sort Code]=(TRIM(G$4)))*(CkDJ[Account Code]=(TRIM($B141))),CkDJ[Credit])))+(SUM(IF((CsDJ[Date]=$A$3)*(CsDJ[Sort Code]=(TRIM(G$4)))*(CsDJ[Account Code]=(TRIM($B141))),CsDJ[Credit])))+(SUM(IF((CRDJ[Date]=$A$3)*(CRDJ[Sort Code]=(TRIM(G$4)))*(CRDJ[Account Code]=(TRIM($B141))),CRDJ[Credit])))+(SUM(IF((GJ[Date]=$A$3)*(GJ[Sort Code]=(TRIM(G$4)))*(GJ[Account Code]=(TRIM($B141))),GJ[Credit]))))</f>
        <v>0</v>
      </c>
      <c r="G141" s="343">
        <f>E141+F141</f>
        <v>0</v>
      </c>
      <c r="H141" s="246">
        <f t="shared" si="10"/>
        <v>0</v>
      </c>
      <c r="I141" s="246">
        <f t="shared" si="11"/>
        <v>0</v>
      </c>
    </row>
    <row r="142" spans="1:9" hidden="1">
      <c r="A142" s="256" t="s">
        <v>1032</v>
      </c>
      <c r="B142" s="339" t="s">
        <v>993</v>
      </c>
      <c r="C142" s="245">
        <f t="array" ref="C142">SUM(IF((Budget[Account Code]=B142)*(Budget[Sort Code]=$G$4),(Budget[Amount])))</f>
        <v>0</v>
      </c>
      <c r="D142" s="245">
        <f t="array" ref="D142">SUM(IF((Budget[Account Code]=B142)*(Budget[Sort Code]=$G$4)*(Budget[Date]&lt;=$D$7),(Budget[Amount])))</f>
        <v>0</v>
      </c>
      <c r="E142" s="245">
        <f t="array" ref="E142">((SUM(IF((CkDJ[Sort Code]=(TRIM(G$4)))*(CkDJ[Account Code]=(TRIM($B142)))*(CkDJ[Date]&lt;=$E$7),CkDJ[Debit])))+(SUM(IF((CsDJ[Sort Code]=(TRIM(G$4)))*(CsDJ[Account Code]=(TRIM($B142)))*(CsDJ[Date]&lt;=$E$7),CsDJ[Debit])))+(SUM(IF((CRDJ[Sort Code]=(TRIM(G$4)))*(CRDJ[Account Code]=(TRIM($B142)))*(CRDJ[Date]&lt;=$E$7),CRDJ[Debit])))+(SUM(IF((GJ[Sort Code]=(TRIM(G$4)))*(GJ[Account Code]=(TRIM($B142)))*(GJ[Date]&lt;=$E$7),GJ[Debit]))))-((SUM(IF((CkDJ[Sort Code]=(TRIM(G$4)))*(CkDJ[Account Code]=(TRIM($B142)))*(CkDJ[Date]&lt;=$E$7),CkDJ[Credit])))+(SUM(IF((CsDJ[Sort Code]=(TRIM(G$4)))*(CsDJ[Account Code]=(TRIM($B142)))*(CsDJ[Date]&lt;=$E$7),CsDJ[Credit])))+(SUM(IF((CRDJ[Sort Code]=(TRIM(G$4)))*(CRDJ[Account Code]=(TRIM($B142)))*(CRDJ[Date]&lt;=$E$7),CRDJ[Credit])))+(SUM(IF((GJ[Sort Code]=(TRIM(G$4)))*(GJ[Account Code]=(TRIM($B142)))*(GJ[Date]&lt;=$E$7),GJ[Credit]))))</f>
        <v>0</v>
      </c>
      <c r="F142" s="245">
        <f t="array" ref="F142">((SUM(IF((CkDJ[Date]=$A$3)*(CkDJ[Sort Code]=(TRIM(G$4)))*(CkDJ[Account Code]=(TRIM($B142))),CkDJ[Debit])))+(SUM(IF((CsDJ[Date]=$A$3)*(CsDJ[Sort Code]=(TRIM(G$4)))*(CsDJ[Account Code]=(TRIM($B142))),CsDJ[Debit])))+(SUM(IF((CRDJ[Date]=$A$3)*(CRDJ[Sort Code]=(TRIM(G$4)))*(CRDJ[Account Code]=(TRIM($B142))),CRDJ[Debit])))+(SUM(IF((GJ[Date]=$A$3)*(GJ[Sort Code]=(TRIM(G$4)))*(GJ[Account Code]=(TRIM($B142))),GJ[Debit]))))-((SUM(IF((CkDJ[Date]=$A$3)*(CkDJ[Sort Code]=(TRIM(G$4)))*(CkDJ[Account Code]=(TRIM($B142))),CkDJ[Credit])))+(SUM(IF((CsDJ[Date]=$A$3)*(CsDJ[Sort Code]=(TRIM(G$4)))*(CsDJ[Account Code]=(TRIM($B142))),CsDJ[Credit])))+(SUM(IF((CRDJ[Date]=$A$3)*(CRDJ[Sort Code]=(TRIM(G$4)))*(CRDJ[Account Code]=(TRIM($B142))),CRDJ[Credit])))+(SUM(IF((GJ[Date]=$A$3)*(GJ[Sort Code]=(TRIM(G$4)))*(GJ[Account Code]=(TRIM($B142))),GJ[Credit]))))</f>
        <v>0</v>
      </c>
      <c r="G142" s="343">
        <f>E142+F142</f>
        <v>0</v>
      </c>
      <c r="H142" s="246">
        <f t="shared" si="10"/>
        <v>0</v>
      </c>
      <c r="I142" s="246">
        <f t="shared" si="11"/>
        <v>0</v>
      </c>
    </row>
    <row r="143" spans="1:9" hidden="1">
      <c r="A143" s="253"/>
      <c r="B143" s="337" t="s">
        <v>799</v>
      </c>
      <c r="C143" s="245">
        <f t="array" ref="C143">SUM(IF((Budget[Account Code]=B143)*(Budget[Sort Code]=$G$4),(Budget[Amount])))</f>
        <v>0</v>
      </c>
      <c r="D143" s="245">
        <f t="array" ref="D143">SUM(IF((Budget[Account Code]=B143)*(Budget[Sort Code]=$G$4)*(Budget[Date]&lt;=$D$7),(Budget[Amount])))</f>
        <v>0</v>
      </c>
      <c r="E143" s="245">
        <f t="array" ref="E143">((SUM(IF((CkDJ[Sort Code]=(TRIM(G$4)))*(CkDJ[Account Code]=(TRIM($B143)))*(CkDJ[Date]&lt;=$E$7),CkDJ[Debit])))+(SUM(IF((CsDJ[Sort Code]=(TRIM(G$4)))*(CsDJ[Account Code]=(TRIM($B143)))*(CsDJ[Date]&lt;=$E$7),CsDJ[Debit])))+(SUM(IF((CRDJ[Sort Code]=(TRIM(G$4)))*(CRDJ[Account Code]=(TRIM($B143)))*(CRDJ[Date]&lt;=$E$7),CRDJ[Debit])))+(SUM(IF((GJ[Sort Code]=(TRIM(G$4)))*(GJ[Account Code]=(TRIM($B143)))*(GJ[Date]&lt;=$E$7),GJ[Debit]))))-((SUM(IF((CkDJ[Sort Code]=(TRIM(G$4)))*(CkDJ[Account Code]=(TRIM($B143)))*(CkDJ[Date]&lt;=$E$7),CkDJ[Credit])))+(SUM(IF((CsDJ[Sort Code]=(TRIM(G$4)))*(CsDJ[Account Code]=(TRIM($B143)))*(CsDJ[Date]&lt;=$E$7),CsDJ[Credit])))+(SUM(IF((CRDJ[Sort Code]=(TRIM(G$4)))*(CRDJ[Account Code]=(TRIM($B143)))*(CRDJ[Date]&lt;=$E$7),CRDJ[Credit])))+(SUM(IF((GJ[Sort Code]=(TRIM(G$4)))*(GJ[Account Code]=(TRIM($B143)))*(GJ[Date]&lt;=$E$7),GJ[Credit]))))</f>
        <v>0</v>
      </c>
      <c r="F143" s="245">
        <f t="array" ref="F143">((SUM(IF((CkDJ[Date]=$A$3)*(CkDJ[Sort Code]=(TRIM(G$4)))*(CkDJ[Account Code]=(TRIM($B143))),CkDJ[Debit])))+(SUM(IF((CsDJ[Date]=$A$3)*(CsDJ[Sort Code]=(TRIM(G$4)))*(CsDJ[Account Code]=(TRIM($B143))),CsDJ[Debit])))+(SUM(IF((CRDJ[Date]=$A$3)*(CRDJ[Sort Code]=(TRIM(G$4)))*(CRDJ[Account Code]=(TRIM($B143))),CRDJ[Debit])))+(SUM(IF((GJ[Date]=$A$3)*(GJ[Sort Code]=(TRIM(G$4)))*(GJ[Account Code]=(TRIM($B143))),GJ[Debit]))))-((SUM(IF((CkDJ[Date]=$A$3)*(CkDJ[Sort Code]=(TRIM(G$4)))*(CkDJ[Account Code]=(TRIM($B143))),CkDJ[Credit])))+(SUM(IF((CsDJ[Date]=$A$3)*(CsDJ[Sort Code]=(TRIM(G$4)))*(CsDJ[Account Code]=(TRIM($B143))),CsDJ[Credit])))+(SUM(IF((CRDJ[Date]=$A$3)*(CRDJ[Sort Code]=(TRIM(G$4)))*(CRDJ[Account Code]=(TRIM($B143))),CRDJ[Credit])))+(SUM(IF((GJ[Date]=$A$3)*(GJ[Sort Code]=(TRIM(G$4)))*(GJ[Account Code]=(TRIM($B143))),GJ[Credit]))))</f>
        <v>0</v>
      </c>
      <c r="G143" s="343">
        <f>E143+F143</f>
        <v>0</v>
      </c>
      <c r="H143" s="246">
        <f t="shared" si="10"/>
        <v>0</v>
      </c>
      <c r="I143" s="246">
        <f t="shared" si="11"/>
        <v>0</v>
      </c>
    </row>
    <row r="144" spans="1:9">
      <c r="A144" s="239" t="s">
        <v>807</v>
      </c>
      <c r="B144" s="337"/>
      <c r="C144" s="252">
        <f>C145+C146</f>
        <v>0</v>
      </c>
      <c r="D144" s="252">
        <f>D145+D146</f>
        <v>0</v>
      </c>
      <c r="E144" s="252">
        <f>E145+E146</f>
        <v>0</v>
      </c>
      <c r="F144" s="252">
        <f>F145+F146</f>
        <v>0</v>
      </c>
      <c r="G144" s="252">
        <f>G145+G146</f>
        <v>0</v>
      </c>
      <c r="H144" s="242">
        <f t="shared" si="10"/>
        <v>0</v>
      </c>
      <c r="I144" s="242">
        <f t="shared" si="11"/>
        <v>0</v>
      </c>
    </row>
    <row r="145" spans="1:9">
      <c r="A145" s="243" t="s">
        <v>806</v>
      </c>
      <c r="B145" s="339" t="s">
        <v>991</v>
      </c>
      <c r="C145" s="245">
        <f t="array" ref="C145">SUM(IF((Budget[Account Code]=B145)*(Budget[Sort Code]=$G$4),(Budget[Amount])))</f>
        <v>0</v>
      </c>
      <c r="D145" s="245">
        <f t="array" ref="D145">SUM(IF((Budget[Account Code]=B145)*(Budget[Sort Code]=$G$4)*(Budget[Date]&lt;=$D$7),(Budget[Amount])))</f>
        <v>0</v>
      </c>
      <c r="E145" s="245">
        <f t="array" ref="E145">((SUM(IF((CkDJ[Sort Code]=(TRIM(G$4)))*(CkDJ[Account Code]=(TRIM($B145)))*(CkDJ[Date]&lt;=$E$7),CkDJ[Debit])))+(SUM(IF((CsDJ[Sort Code]=(TRIM(G$4)))*(CsDJ[Account Code]=(TRIM($B145)))*(CsDJ[Date]&lt;=$E$7),CsDJ[Debit])))+(SUM(IF((CRDJ[Sort Code]=(TRIM(G$4)))*(CRDJ[Account Code]=(TRIM($B145)))*(CRDJ[Date]&lt;=$E$7),CRDJ[Debit])))+(SUM(IF((GJ[Sort Code]=(TRIM(G$4)))*(GJ[Account Code]=(TRIM($B145)))*(GJ[Date]&lt;=$E$7),GJ[Debit]))))-((SUM(IF((CkDJ[Sort Code]=(TRIM(G$4)))*(CkDJ[Account Code]=(TRIM($B145)))*(CkDJ[Date]&lt;=$E$7),CkDJ[Credit])))+(SUM(IF((CsDJ[Sort Code]=(TRIM(G$4)))*(CsDJ[Account Code]=(TRIM($B145)))*(CsDJ[Date]&lt;=$E$7),CsDJ[Credit])))+(SUM(IF((CRDJ[Sort Code]=(TRIM(G$4)))*(CRDJ[Account Code]=(TRIM($B145)))*(CRDJ[Date]&lt;=$E$7),CRDJ[Credit])))+(SUM(IF((GJ[Sort Code]=(TRIM(G$4)))*(GJ[Account Code]=(TRIM($B145)))*(GJ[Date]&lt;=$E$7),GJ[Credit]))))</f>
        <v>0</v>
      </c>
      <c r="F145" s="245">
        <f t="array" ref="F145">((SUM(IF((CkDJ[Date]=$A$3)*(CkDJ[Sort Code]=(TRIM(G$4)))*(CkDJ[Account Code]=(TRIM($B145))),CkDJ[Debit])))+(SUM(IF((CsDJ[Date]=$A$3)*(CsDJ[Sort Code]=(TRIM(G$4)))*(CsDJ[Account Code]=(TRIM($B145))),CsDJ[Debit])))+(SUM(IF((CRDJ[Date]=$A$3)*(CRDJ[Sort Code]=(TRIM(G$4)))*(CRDJ[Account Code]=(TRIM($B145))),CRDJ[Debit])))+(SUM(IF((GJ[Date]=$A$3)*(GJ[Sort Code]=(TRIM(G$4)))*(GJ[Account Code]=(TRIM($B145))),GJ[Debit]))))-((SUM(IF((CkDJ[Date]=$A$3)*(CkDJ[Sort Code]=(TRIM(G$4)))*(CkDJ[Account Code]=(TRIM($B145))),CkDJ[Credit])))+(SUM(IF((CsDJ[Date]=$A$3)*(CsDJ[Sort Code]=(TRIM(G$4)))*(CsDJ[Account Code]=(TRIM($B145))),CsDJ[Credit])))+(SUM(IF((CRDJ[Date]=$A$3)*(CRDJ[Sort Code]=(TRIM(G$4)))*(CRDJ[Account Code]=(TRIM($B145))),CRDJ[Credit])))+(SUM(IF((GJ[Date]=$A$3)*(GJ[Sort Code]=(TRIM(G$4)))*(GJ[Account Code]=(TRIM($B145))),GJ[Credit]))))</f>
        <v>0</v>
      </c>
      <c r="G145" s="343">
        <f>E145+F145</f>
        <v>0</v>
      </c>
      <c r="H145" s="246">
        <f t="shared" si="10"/>
        <v>0</v>
      </c>
      <c r="I145" s="246">
        <f t="shared" si="11"/>
        <v>0</v>
      </c>
    </row>
    <row r="146" spans="1:9">
      <c r="A146" s="243" t="s">
        <v>805</v>
      </c>
      <c r="B146" s="337"/>
      <c r="C146" s="245"/>
      <c r="D146" s="245"/>
      <c r="E146" s="246"/>
      <c r="F146" s="245"/>
      <c r="G146" s="343">
        <f>E146+F146</f>
        <v>0</v>
      </c>
      <c r="H146" s="246">
        <f t="shared" si="10"/>
        <v>0</v>
      </c>
      <c r="I146" s="246">
        <f t="shared" si="11"/>
        <v>0</v>
      </c>
    </row>
    <row r="147" spans="1:9">
      <c r="A147" s="251" t="s">
        <v>804</v>
      </c>
      <c r="B147" s="338"/>
      <c r="C147" s="250">
        <f>C50+C76+C144</f>
        <v>36473658.140000001</v>
      </c>
      <c r="D147" s="250">
        <f>D50+D76+D144</f>
        <v>36473658.140000001</v>
      </c>
      <c r="E147" s="250">
        <f>E50+E76+E144</f>
        <v>0</v>
      </c>
      <c r="F147" s="250">
        <f>F50+F76+F144</f>
        <v>0</v>
      </c>
      <c r="G147" s="250">
        <f>G50+G76+G144</f>
        <v>0</v>
      </c>
      <c r="H147" s="250">
        <f t="shared" si="10"/>
        <v>-36473658.140000001</v>
      </c>
      <c r="I147" s="250">
        <f t="shared" si="11"/>
        <v>0</v>
      </c>
    </row>
    <row r="148" spans="1:9">
      <c r="A148" s="251" t="s">
        <v>785</v>
      </c>
      <c r="B148" s="338"/>
      <c r="C148" s="250">
        <f>C48-C147</f>
        <v>-35147658.140000001</v>
      </c>
      <c r="D148" s="250">
        <f>D48-D147</f>
        <v>-35147658.140000001</v>
      </c>
      <c r="E148" s="250">
        <f>E48-E147</f>
        <v>0</v>
      </c>
      <c r="F148" s="250">
        <f>F48-F147</f>
        <v>0</v>
      </c>
      <c r="G148" s="250">
        <f>G48-G147</f>
        <v>0</v>
      </c>
      <c r="H148" s="250">
        <f t="shared" si="10"/>
        <v>35147658.140000001</v>
      </c>
      <c r="I148" s="250">
        <f t="shared" si="11"/>
        <v>0</v>
      </c>
    </row>
    <row r="149" spans="1:9">
      <c r="A149" s="251" t="s">
        <v>749</v>
      </c>
      <c r="B149" s="338"/>
      <c r="C149" s="250">
        <f>C48/C147</f>
        <v>0.04</v>
      </c>
      <c r="D149" s="250">
        <f>D48/D147</f>
        <v>0.04</v>
      </c>
      <c r="E149" s="250" t="e">
        <f>E48/E147</f>
        <v>#DIV/0!</v>
      </c>
      <c r="F149" s="250" t="e">
        <f>F48/F147</f>
        <v>#DIV/0!</v>
      </c>
      <c r="G149" s="250" t="e">
        <f>G48/G147</f>
        <v>#DIV/0!</v>
      </c>
      <c r="H149" s="250" t="e">
        <f t="shared" si="10"/>
        <v>#DIV/0!</v>
      </c>
      <c r="I149" s="250" t="e">
        <f t="shared" si="11"/>
        <v>#DIV/0!</v>
      </c>
    </row>
    <row r="150" spans="1:9" hidden="1">
      <c r="A150" s="251" t="s">
        <v>803</v>
      </c>
      <c r="B150" s="338"/>
      <c r="C150" s="250"/>
      <c r="D150" s="250"/>
      <c r="E150" s="250"/>
      <c r="F150" s="250"/>
      <c r="G150" s="250"/>
      <c r="H150" s="250">
        <f t="shared" si="10"/>
        <v>0</v>
      </c>
      <c r="I150" s="250">
        <f t="shared" si="11"/>
        <v>0</v>
      </c>
    </row>
    <row r="151" spans="1:9" hidden="1">
      <c r="A151" s="251" t="s">
        <v>802</v>
      </c>
      <c r="B151" s="338"/>
      <c r="C151" s="250"/>
      <c r="D151" s="250"/>
      <c r="E151" s="250"/>
      <c r="F151" s="250"/>
      <c r="G151" s="250"/>
      <c r="H151" s="250">
        <f t="shared" si="10"/>
        <v>0</v>
      </c>
      <c r="I151" s="250">
        <f t="shared" si="11"/>
        <v>0</v>
      </c>
    </row>
    <row r="152" spans="1:9" ht="15.75" customHeight="1">
      <c r="A152" s="251" t="s">
        <v>785</v>
      </c>
      <c r="B152" s="338"/>
      <c r="C152" s="250">
        <f>C148+C150+C151</f>
        <v>-35147658.140000001</v>
      </c>
      <c r="D152" s="250">
        <f>D148+D150+D151</f>
        <v>-35147658.140000001</v>
      </c>
      <c r="E152" s="250">
        <f>E148+E150+E151</f>
        <v>0</v>
      </c>
      <c r="F152" s="250">
        <f>F148+F150+F151</f>
        <v>0</v>
      </c>
      <c r="G152" s="250">
        <f>G148+G150+G151</f>
        <v>0</v>
      </c>
      <c r="H152" s="250">
        <f t="shared" si="10"/>
        <v>35147658.140000001</v>
      </c>
      <c r="I152" s="250">
        <f t="shared" si="11"/>
        <v>0</v>
      </c>
    </row>
    <row r="153" spans="1:9">
      <c r="A153" s="251" t="s">
        <v>749</v>
      </c>
      <c r="B153" s="338"/>
      <c r="C153" s="250">
        <f>C48/(C147-C150-C151)</f>
        <v>0.04</v>
      </c>
      <c r="D153" s="250">
        <f>D48/(D147-D150-D151)</f>
        <v>0.04</v>
      </c>
      <c r="E153" s="250" t="e">
        <f>E48/(E147-E150-E151)</f>
        <v>#DIV/0!</v>
      </c>
      <c r="F153" s="250" t="e">
        <f>F48/(F147-F150-F151)</f>
        <v>#DIV/0!</v>
      </c>
      <c r="G153" s="250" t="e">
        <f>G48/(G147-G150-G151)</f>
        <v>#DIV/0!</v>
      </c>
      <c r="H153" s="250" t="e">
        <f t="shared" si="10"/>
        <v>#DIV/0!</v>
      </c>
      <c r="I153" s="250" t="e">
        <f t="shared" si="11"/>
        <v>#DIV/0!</v>
      </c>
    </row>
    <row r="154" spans="1:9">
      <c r="A154" s="257" t="s">
        <v>801</v>
      </c>
      <c r="B154" s="340"/>
      <c r="C154" s="258"/>
      <c r="D154" s="258"/>
      <c r="E154" s="271"/>
      <c r="F154" s="271"/>
      <c r="G154" s="263"/>
      <c r="H154" s="263"/>
      <c r="I154" s="263"/>
    </row>
    <row r="155" spans="1:9">
      <c r="A155" s="253" t="s">
        <v>800</v>
      </c>
      <c r="B155" s="337" t="s">
        <v>799</v>
      </c>
      <c r="C155" s="245">
        <f t="array" ref="C155">SUM(IF((Budget[Account Code]=B155)*(Budget[Sort Code]=$G$4),(Budget[Amount])))</f>
        <v>0</v>
      </c>
      <c r="D155" s="245">
        <f t="array" ref="D155">SUM(IF((Budget[Account Code]=B155)*(Budget[Sort Code]=$G$4)*(Budget[Date]&lt;=$D$7),(Budget[Amount])))</f>
        <v>0</v>
      </c>
      <c r="E155" s="245">
        <f t="array" ref="E155">((SUM(IF((CkDJ[Sort Code]=(TRIM(G$4)))*(CkDJ[Account Code]=(TRIM($B155)))*(CkDJ[Date]&lt;=$E$7),CkDJ[Debit])))+(SUM(IF((CsDJ[Sort Code]=(TRIM(G$4)))*(CsDJ[Account Code]=(TRIM($B155)))*(CsDJ[Date]&lt;=$E$7),CsDJ[Debit])))+(SUM(IF((CRDJ[Sort Code]=(TRIM(G$4)))*(CRDJ[Account Code]=(TRIM($B155)))*(CRDJ[Date]&lt;=$E$7),CRDJ[Debit])))+(SUM(IF((GJ[Sort Code]=(TRIM(G$4)))*(GJ[Account Code]=(TRIM($B155)))*(GJ[Date]&lt;=$E$7),GJ[Debit]))))-((SUM(IF((CkDJ[Sort Code]=(TRIM(G$4)))*(CkDJ[Account Code]=(TRIM($B155)))*(CkDJ[Date]&lt;=$E$7),CkDJ[Credit])))+(SUM(IF((CsDJ[Sort Code]=(TRIM(G$4)))*(CsDJ[Account Code]=(TRIM($B155)))*(CsDJ[Date]&lt;=$E$7),CsDJ[Credit])))+(SUM(IF((CRDJ[Sort Code]=(TRIM(G$4)))*(CRDJ[Account Code]=(TRIM($B155)))*(CRDJ[Date]&lt;=$E$7),CRDJ[Credit])))+(SUM(IF((GJ[Sort Code]=(TRIM(G$4)))*(GJ[Account Code]=(TRIM($B155)))*(GJ[Date]&lt;=$E$7),GJ[Credit]))))</f>
        <v>0</v>
      </c>
      <c r="F155" s="245">
        <f t="array" ref="F155">((SUM(IF((CkDJ[Date]=$A$3)*(CkDJ[Sort Code]=(TRIM(G$4)))*(CkDJ[Account Code]=(TRIM($B155))),CkDJ[Debit])))+(SUM(IF((CsDJ[Date]=$A$3)*(CsDJ[Sort Code]=(TRIM(G$4)))*(CsDJ[Account Code]=(TRIM($B155))),CsDJ[Debit])))+(SUM(IF((CRDJ[Date]=$A$3)*(CRDJ[Sort Code]=(TRIM(G$4)))*(CRDJ[Account Code]=(TRIM($B155))),CRDJ[Debit])))+(SUM(IF((GJ[Date]=$A$3)*(GJ[Sort Code]=(TRIM(G$4)))*(GJ[Account Code]=(TRIM($B155))),GJ[Debit]))))-((SUM(IF((CkDJ[Date]=$A$3)*(CkDJ[Sort Code]=(TRIM(G$4)))*(CkDJ[Account Code]=(TRIM($B155))),CkDJ[Credit])))+(SUM(IF((CsDJ[Date]=$A$3)*(CsDJ[Sort Code]=(TRIM(G$4)))*(CsDJ[Account Code]=(TRIM($B155))),CsDJ[Credit])))+(SUM(IF((CRDJ[Date]=$A$3)*(CRDJ[Sort Code]=(TRIM(G$4)))*(CRDJ[Account Code]=(TRIM($B155))),CRDJ[Credit])))+(SUM(IF((GJ[Date]=$A$3)*(GJ[Sort Code]=(TRIM(G$4)))*(GJ[Account Code]=(TRIM($B155))),GJ[Credit]))))</f>
        <v>0</v>
      </c>
      <c r="G155" s="343">
        <f t="shared" ref="G155:G163" si="12">E155+F155</f>
        <v>0</v>
      </c>
      <c r="H155" s="246">
        <f t="shared" ref="H155:H184" si="13">G155-D155</f>
        <v>0</v>
      </c>
      <c r="I155" s="246">
        <f t="shared" ref="I155:I184" si="14">IF((D155=0),0,G155/D155)</f>
        <v>0</v>
      </c>
    </row>
    <row r="156" spans="1:9">
      <c r="A156" s="253" t="s">
        <v>798</v>
      </c>
      <c r="B156" s="339" t="s">
        <v>170</v>
      </c>
      <c r="C156" s="245">
        <f t="array" ref="C156">SUM(IF((Budget[Account Code]=B156)*(Budget[Sort Code]=$G$4),(Budget[Amount])))</f>
        <v>290000</v>
      </c>
      <c r="D156" s="245">
        <f t="array" ref="D156">SUM(IF((Budget[Account Code]=B156)*(Budget[Sort Code]=$G$4)*(Budget[Date]&lt;=$D$7),(Budget[Amount])))</f>
        <v>290000</v>
      </c>
      <c r="E156" s="245">
        <f t="array" ref="E156">((SUM(IF((CkDJ[Sort Code]=(TRIM(G$4)))*(CkDJ[Account Code]=(TRIM($B156)))*(CkDJ[Date]&lt;=$E$7),CkDJ[Debit])))+(SUM(IF((CsDJ[Sort Code]=(TRIM(G$4)))*(CsDJ[Account Code]=(TRIM($B156)))*(CsDJ[Date]&lt;=$E$7),CsDJ[Debit])))+(SUM(IF((CRDJ[Sort Code]=(TRIM(G$4)))*(CRDJ[Account Code]=(TRIM($B156)))*(CRDJ[Date]&lt;=$E$7),CRDJ[Debit])))+(SUM(IF((GJ[Sort Code]=(TRIM(G$4)))*(GJ[Account Code]=(TRIM($B156)))*(GJ[Date]&lt;=$E$7),GJ[Debit]))))-((SUM(IF((CkDJ[Sort Code]=(TRIM(G$4)))*(CkDJ[Account Code]=(TRIM($B156)))*(CkDJ[Date]&lt;=$E$7),CkDJ[Credit])))+(SUM(IF((CsDJ[Sort Code]=(TRIM(G$4)))*(CsDJ[Account Code]=(TRIM($B156)))*(CsDJ[Date]&lt;=$E$7),CsDJ[Credit])))+(SUM(IF((CRDJ[Sort Code]=(TRIM(G$4)))*(CRDJ[Account Code]=(TRIM($B156)))*(CRDJ[Date]&lt;=$E$7),CRDJ[Credit])))+(SUM(IF((GJ[Sort Code]=(TRIM(G$4)))*(GJ[Account Code]=(TRIM($B156)))*(GJ[Date]&lt;=$E$7),GJ[Credit]))))</f>
        <v>0</v>
      </c>
      <c r="F156" s="245">
        <f t="array" ref="F156">((SUM(IF((CkDJ[Date]=$A$3)*(CkDJ[Sort Code]=(TRIM(G$4)))*(CkDJ[Account Code]=(TRIM($B156))),CkDJ[Debit])))+(SUM(IF((CsDJ[Date]=$A$3)*(CsDJ[Sort Code]=(TRIM(G$4)))*(CsDJ[Account Code]=(TRIM($B156))),CsDJ[Debit])))+(SUM(IF((CRDJ[Date]=$A$3)*(CRDJ[Sort Code]=(TRIM(G$4)))*(CRDJ[Account Code]=(TRIM($B156))),CRDJ[Debit])))+(SUM(IF((GJ[Date]=$A$3)*(GJ[Sort Code]=(TRIM(G$4)))*(GJ[Account Code]=(TRIM($B156))),GJ[Debit]))))-((SUM(IF((CkDJ[Date]=$A$3)*(CkDJ[Sort Code]=(TRIM(G$4)))*(CkDJ[Account Code]=(TRIM($B156))),CkDJ[Credit])))+(SUM(IF((CsDJ[Date]=$A$3)*(CsDJ[Sort Code]=(TRIM(G$4)))*(CsDJ[Account Code]=(TRIM($B156))),CsDJ[Credit])))+(SUM(IF((CRDJ[Date]=$A$3)*(CRDJ[Sort Code]=(TRIM(G$4)))*(CRDJ[Account Code]=(TRIM($B156))),CRDJ[Credit])))+(SUM(IF((GJ[Date]=$A$3)*(GJ[Sort Code]=(TRIM(G$4)))*(GJ[Account Code]=(TRIM($B156))),GJ[Credit]))))</f>
        <v>0</v>
      </c>
      <c r="G156" s="343">
        <f t="shared" si="12"/>
        <v>0</v>
      </c>
      <c r="H156" s="246">
        <f t="shared" si="13"/>
        <v>-290000</v>
      </c>
      <c r="I156" s="246">
        <f t="shared" si="14"/>
        <v>0</v>
      </c>
    </row>
    <row r="157" spans="1:9">
      <c r="A157" s="253" t="s">
        <v>797</v>
      </c>
      <c r="B157" s="339" t="s">
        <v>168</v>
      </c>
      <c r="C157" s="245">
        <f t="array" ref="C157">SUM(IF((Budget[Account Code]=B157)*(Budget[Sort Code]=$G$4),(Budget[Amount])))</f>
        <v>0</v>
      </c>
      <c r="D157" s="245">
        <f t="array" ref="D157">SUM(IF((Budget[Account Code]=B157)*(Budget[Sort Code]=$G$4)*(Budget[Date]&lt;=$D$7),(Budget[Amount])))</f>
        <v>0</v>
      </c>
      <c r="E157" s="245">
        <f t="array" ref="E157">((SUM(IF((CkDJ[Sort Code]=(TRIM(G$4)))*(CkDJ[Account Code]=(TRIM($B157)))*(CkDJ[Date]&lt;=$E$7),CkDJ[Debit])))+(SUM(IF((CsDJ[Sort Code]=(TRIM(G$4)))*(CsDJ[Account Code]=(TRIM($B157)))*(CsDJ[Date]&lt;=$E$7),CsDJ[Debit])))+(SUM(IF((CRDJ[Sort Code]=(TRIM(G$4)))*(CRDJ[Account Code]=(TRIM($B157)))*(CRDJ[Date]&lt;=$E$7),CRDJ[Debit])))+(SUM(IF((GJ[Sort Code]=(TRIM(G$4)))*(GJ[Account Code]=(TRIM($B157)))*(GJ[Date]&lt;=$E$7),GJ[Debit]))))-((SUM(IF((CkDJ[Sort Code]=(TRIM(G$4)))*(CkDJ[Account Code]=(TRIM($B157)))*(CkDJ[Date]&lt;=$E$7),CkDJ[Credit])))+(SUM(IF((CsDJ[Sort Code]=(TRIM(G$4)))*(CsDJ[Account Code]=(TRIM($B157)))*(CsDJ[Date]&lt;=$E$7),CsDJ[Credit])))+(SUM(IF((CRDJ[Sort Code]=(TRIM(G$4)))*(CRDJ[Account Code]=(TRIM($B157)))*(CRDJ[Date]&lt;=$E$7),CRDJ[Credit])))+(SUM(IF((GJ[Sort Code]=(TRIM(G$4)))*(GJ[Account Code]=(TRIM($B157)))*(GJ[Date]&lt;=$E$7),GJ[Credit]))))</f>
        <v>0</v>
      </c>
      <c r="F157" s="245">
        <f t="array" ref="F157">((SUM(IF((CkDJ[Date]=$A$3)*(CkDJ[Sort Code]=(TRIM(G$4)))*(CkDJ[Account Code]=(TRIM($B157))),CkDJ[Debit])))+(SUM(IF((CsDJ[Date]=$A$3)*(CsDJ[Sort Code]=(TRIM(G$4)))*(CsDJ[Account Code]=(TRIM($B157))),CsDJ[Debit])))+(SUM(IF((CRDJ[Date]=$A$3)*(CRDJ[Sort Code]=(TRIM(G$4)))*(CRDJ[Account Code]=(TRIM($B157))),CRDJ[Debit])))+(SUM(IF((GJ[Date]=$A$3)*(GJ[Sort Code]=(TRIM(G$4)))*(GJ[Account Code]=(TRIM($B157))),GJ[Debit]))))-((SUM(IF((CkDJ[Date]=$A$3)*(CkDJ[Sort Code]=(TRIM(G$4)))*(CkDJ[Account Code]=(TRIM($B157))),CkDJ[Credit])))+(SUM(IF((CsDJ[Date]=$A$3)*(CsDJ[Sort Code]=(TRIM(G$4)))*(CsDJ[Account Code]=(TRIM($B157))),CsDJ[Credit])))+(SUM(IF((CRDJ[Date]=$A$3)*(CRDJ[Sort Code]=(TRIM(G$4)))*(CRDJ[Account Code]=(TRIM($B157))),CRDJ[Credit])))+(SUM(IF((GJ[Date]=$A$3)*(GJ[Sort Code]=(TRIM(G$4)))*(GJ[Account Code]=(TRIM($B157))),GJ[Credit]))))</f>
        <v>0</v>
      </c>
      <c r="G157" s="343">
        <f t="shared" si="12"/>
        <v>0</v>
      </c>
      <c r="H157" s="246">
        <f t="shared" si="13"/>
        <v>0</v>
      </c>
      <c r="I157" s="246">
        <f t="shared" si="14"/>
        <v>0</v>
      </c>
    </row>
    <row r="158" spans="1:9">
      <c r="A158" s="253" t="s">
        <v>354</v>
      </c>
      <c r="B158" s="339" t="s">
        <v>216</v>
      </c>
      <c r="C158" s="245">
        <f t="array" ref="C158">SUM(IF((Budget[Account Code]=B158)*(Budget[Sort Code]=$G$4),(Budget[Amount])))</f>
        <v>0</v>
      </c>
      <c r="D158" s="245">
        <f t="array" ref="D158">SUM(IF((Budget[Account Code]=B158)*(Budget[Sort Code]=$G$4)*(Budget[Date]&lt;=$D$7),(Budget[Amount])))</f>
        <v>0</v>
      </c>
      <c r="E158" s="245">
        <f t="array" ref="E158">((SUM(IF((CkDJ[Sort Code]=(TRIM(G$4)))*(CkDJ[Account Code]=(TRIM($B158)))*(CkDJ[Date]&lt;=$E$7),CkDJ[Debit])))+(SUM(IF((CsDJ[Sort Code]=(TRIM(G$4)))*(CsDJ[Account Code]=(TRIM($B158)))*(CsDJ[Date]&lt;=$E$7),CsDJ[Debit])))+(SUM(IF((CRDJ[Sort Code]=(TRIM(G$4)))*(CRDJ[Account Code]=(TRIM($B158)))*(CRDJ[Date]&lt;=$E$7),CRDJ[Debit])))+(SUM(IF((GJ[Sort Code]=(TRIM(G$4)))*(GJ[Account Code]=(TRIM($B158)))*(GJ[Date]&lt;=$E$7),GJ[Debit]))))-((SUM(IF((CkDJ[Sort Code]=(TRIM(G$4)))*(CkDJ[Account Code]=(TRIM($B158)))*(CkDJ[Date]&lt;=$E$7),CkDJ[Credit])))+(SUM(IF((CsDJ[Sort Code]=(TRIM(G$4)))*(CsDJ[Account Code]=(TRIM($B158)))*(CsDJ[Date]&lt;=$E$7),CsDJ[Credit])))+(SUM(IF((CRDJ[Sort Code]=(TRIM(G$4)))*(CRDJ[Account Code]=(TRIM($B158)))*(CRDJ[Date]&lt;=$E$7),CRDJ[Credit])))+(SUM(IF((GJ[Sort Code]=(TRIM(G$4)))*(GJ[Account Code]=(TRIM($B158)))*(GJ[Date]&lt;=$E$7),GJ[Credit]))))</f>
        <v>0</v>
      </c>
      <c r="F158" s="245">
        <f t="array" ref="F158">((SUM(IF((CkDJ[Date]=$A$3)*(CkDJ[Sort Code]=(TRIM(G$4)))*(CkDJ[Account Code]=(TRIM($B158))),CkDJ[Debit])))+(SUM(IF((CsDJ[Date]=$A$3)*(CsDJ[Sort Code]=(TRIM(G$4)))*(CsDJ[Account Code]=(TRIM($B158))),CsDJ[Debit])))+(SUM(IF((CRDJ[Date]=$A$3)*(CRDJ[Sort Code]=(TRIM(G$4)))*(CRDJ[Account Code]=(TRIM($B158))),CRDJ[Debit])))+(SUM(IF((GJ[Date]=$A$3)*(GJ[Sort Code]=(TRIM(G$4)))*(GJ[Account Code]=(TRIM($B158))),GJ[Debit]))))-((SUM(IF((CkDJ[Date]=$A$3)*(CkDJ[Sort Code]=(TRIM(G$4)))*(CkDJ[Account Code]=(TRIM($B158))),CkDJ[Credit])))+(SUM(IF((CsDJ[Date]=$A$3)*(CsDJ[Sort Code]=(TRIM(G$4)))*(CsDJ[Account Code]=(TRIM($B158))),CsDJ[Credit])))+(SUM(IF((CRDJ[Date]=$A$3)*(CRDJ[Sort Code]=(TRIM(G$4)))*(CRDJ[Account Code]=(TRIM($B158))),CRDJ[Credit])))+(SUM(IF((GJ[Date]=$A$3)*(GJ[Sort Code]=(TRIM(G$4)))*(GJ[Account Code]=(TRIM($B158))),GJ[Credit]))))</f>
        <v>0</v>
      </c>
      <c r="G158" s="343">
        <f t="shared" si="12"/>
        <v>0</v>
      </c>
      <c r="H158" s="246">
        <f t="shared" si="13"/>
        <v>0</v>
      </c>
      <c r="I158" s="246">
        <f t="shared" si="14"/>
        <v>0</v>
      </c>
    </row>
    <row r="159" spans="1:9">
      <c r="A159" s="253" t="s">
        <v>796</v>
      </c>
      <c r="B159" s="337" t="s">
        <v>331</v>
      </c>
      <c r="C159" s="245">
        <f t="array" ref="C159">SUM(IF((Budget[Account Code]=B159)*(Budget[Sort Code]=$G$4),(Budget[Amount])))</f>
        <v>0</v>
      </c>
      <c r="D159" s="245">
        <f t="array" ref="D159">SUM(IF((Budget[Account Code]=B159)*(Budget[Sort Code]=$G$4)*(Budget[Date]&lt;=$D$7),(Budget[Amount])))</f>
        <v>0</v>
      </c>
      <c r="E159" s="245">
        <f t="array" ref="E159">((SUM(IF((CkDJ[Sort Code]=(TRIM(G$4)))*(CkDJ[Account Code]=(TRIM($B159)))*(CkDJ[Date]&lt;=$E$7),CkDJ[Debit])))+(SUM(IF((CsDJ[Sort Code]=(TRIM(G$4)))*(CsDJ[Account Code]=(TRIM($B159)))*(CsDJ[Date]&lt;=$E$7),CsDJ[Debit])))+(SUM(IF((CRDJ[Sort Code]=(TRIM(G$4)))*(CRDJ[Account Code]=(TRIM($B159)))*(CRDJ[Date]&lt;=$E$7),CRDJ[Debit])))+(SUM(IF((GJ[Sort Code]=(TRIM(G$4)))*(GJ[Account Code]=(TRIM($B159)))*(GJ[Date]&lt;=$E$7),GJ[Debit]))))-((SUM(IF((CkDJ[Sort Code]=(TRIM(G$4)))*(CkDJ[Account Code]=(TRIM($B159)))*(CkDJ[Date]&lt;=$E$7),CkDJ[Credit])))+(SUM(IF((CsDJ[Sort Code]=(TRIM(G$4)))*(CsDJ[Account Code]=(TRIM($B159)))*(CsDJ[Date]&lt;=$E$7),CsDJ[Credit])))+(SUM(IF((CRDJ[Sort Code]=(TRIM(G$4)))*(CRDJ[Account Code]=(TRIM($B159)))*(CRDJ[Date]&lt;=$E$7),CRDJ[Credit])))+(SUM(IF((GJ[Sort Code]=(TRIM(G$4)))*(GJ[Account Code]=(TRIM($B159)))*(GJ[Date]&lt;=$E$7),GJ[Credit]))))</f>
        <v>0</v>
      </c>
      <c r="F159" s="245">
        <f t="array" ref="F159">((SUM(IF((CkDJ[Date]=$A$3)*(CkDJ[Sort Code]=(TRIM(G$4)))*(CkDJ[Account Code]=(TRIM($B159))),CkDJ[Debit])))+(SUM(IF((CsDJ[Date]=$A$3)*(CsDJ[Sort Code]=(TRIM(G$4)))*(CsDJ[Account Code]=(TRIM($B159))),CsDJ[Debit])))+(SUM(IF((CRDJ[Date]=$A$3)*(CRDJ[Sort Code]=(TRIM(G$4)))*(CRDJ[Account Code]=(TRIM($B159))),CRDJ[Debit])))+(SUM(IF((GJ[Date]=$A$3)*(GJ[Sort Code]=(TRIM(G$4)))*(GJ[Account Code]=(TRIM($B159))),GJ[Debit]))))-((SUM(IF((CkDJ[Date]=$A$3)*(CkDJ[Sort Code]=(TRIM(G$4)))*(CkDJ[Account Code]=(TRIM($B159))),CkDJ[Credit])))+(SUM(IF((CsDJ[Date]=$A$3)*(CsDJ[Sort Code]=(TRIM(G$4)))*(CsDJ[Account Code]=(TRIM($B159))),CsDJ[Credit])))+(SUM(IF((CRDJ[Date]=$A$3)*(CRDJ[Sort Code]=(TRIM(G$4)))*(CRDJ[Account Code]=(TRIM($B159))),CRDJ[Credit])))+(SUM(IF((GJ[Date]=$A$3)*(GJ[Sort Code]=(TRIM(G$4)))*(GJ[Account Code]=(TRIM($B159))),GJ[Credit]))))</f>
        <v>0</v>
      </c>
      <c r="G159" s="343">
        <f t="shared" si="12"/>
        <v>0</v>
      </c>
      <c r="H159" s="246">
        <f t="shared" si="13"/>
        <v>0</v>
      </c>
      <c r="I159" s="246">
        <f t="shared" si="14"/>
        <v>0</v>
      </c>
    </row>
    <row r="160" spans="1:9">
      <c r="A160" s="253" t="s">
        <v>304</v>
      </c>
      <c r="B160" s="339" t="s">
        <v>222</v>
      </c>
      <c r="C160" s="245">
        <f t="array" ref="C160">SUM(IF((Budget[Account Code]=B160)*(Budget[Sort Code]=$G$4),(Budget[Amount])))</f>
        <v>0</v>
      </c>
      <c r="D160" s="245">
        <f t="array" ref="D160">SUM(IF((Budget[Account Code]=B160)*(Budget[Sort Code]=$G$4)*(Budget[Date]&lt;=$D$7),(Budget[Amount])))</f>
        <v>0</v>
      </c>
      <c r="E160" s="245">
        <f t="array" ref="E160">((SUM(IF((CkDJ[Sort Code]=(TRIM(G$4)))*(CkDJ[Account Code]=(TRIM($B160)))*(CkDJ[Date]&lt;=$E$7),CkDJ[Debit])))+(SUM(IF((CsDJ[Sort Code]=(TRIM(G$4)))*(CsDJ[Account Code]=(TRIM($B160)))*(CsDJ[Date]&lt;=$E$7),CsDJ[Debit])))+(SUM(IF((CRDJ[Sort Code]=(TRIM(G$4)))*(CRDJ[Account Code]=(TRIM($B160)))*(CRDJ[Date]&lt;=$E$7),CRDJ[Debit])))+(SUM(IF((GJ[Sort Code]=(TRIM(G$4)))*(GJ[Account Code]=(TRIM($B160)))*(GJ[Date]&lt;=$E$7),GJ[Debit]))))-((SUM(IF((CkDJ[Sort Code]=(TRIM(G$4)))*(CkDJ[Account Code]=(TRIM($B160)))*(CkDJ[Date]&lt;=$E$7),CkDJ[Credit])))+(SUM(IF((CsDJ[Sort Code]=(TRIM(G$4)))*(CsDJ[Account Code]=(TRIM($B160)))*(CsDJ[Date]&lt;=$E$7),CsDJ[Credit])))+(SUM(IF((CRDJ[Sort Code]=(TRIM(G$4)))*(CRDJ[Account Code]=(TRIM($B160)))*(CRDJ[Date]&lt;=$E$7),CRDJ[Credit])))+(SUM(IF((GJ[Sort Code]=(TRIM(G$4)))*(GJ[Account Code]=(TRIM($B160)))*(GJ[Date]&lt;=$E$7),GJ[Credit]))))</f>
        <v>0</v>
      </c>
      <c r="F160" s="245">
        <f t="array" ref="F160">((SUM(IF((CkDJ[Date]=$A$3)*(CkDJ[Sort Code]=(TRIM(G$4)))*(CkDJ[Account Code]=(TRIM($B160))),CkDJ[Debit])))+(SUM(IF((CsDJ[Date]=$A$3)*(CsDJ[Sort Code]=(TRIM(G$4)))*(CsDJ[Account Code]=(TRIM($B160))),CsDJ[Debit])))+(SUM(IF((CRDJ[Date]=$A$3)*(CRDJ[Sort Code]=(TRIM(G$4)))*(CRDJ[Account Code]=(TRIM($B160))),CRDJ[Debit])))+(SUM(IF((GJ[Date]=$A$3)*(GJ[Sort Code]=(TRIM(G$4)))*(GJ[Account Code]=(TRIM($B160))),GJ[Debit]))))-((SUM(IF((CkDJ[Date]=$A$3)*(CkDJ[Sort Code]=(TRIM(G$4)))*(CkDJ[Account Code]=(TRIM($B160))),CkDJ[Credit])))+(SUM(IF((CsDJ[Date]=$A$3)*(CsDJ[Sort Code]=(TRIM(G$4)))*(CsDJ[Account Code]=(TRIM($B160))),CsDJ[Credit])))+(SUM(IF((CRDJ[Date]=$A$3)*(CRDJ[Sort Code]=(TRIM(G$4)))*(CRDJ[Account Code]=(TRIM($B160))),CRDJ[Credit])))+(SUM(IF((GJ[Date]=$A$3)*(GJ[Sort Code]=(TRIM(G$4)))*(GJ[Account Code]=(TRIM($B160))),GJ[Credit]))))</f>
        <v>0</v>
      </c>
      <c r="G160" s="343">
        <f t="shared" si="12"/>
        <v>0</v>
      </c>
      <c r="H160" s="246">
        <f t="shared" si="13"/>
        <v>0</v>
      </c>
      <c r="I160" s="246">
        <f t="shared" si="14"/>
        <v>0</v>
      </c>
    </row>
    <row r="161" spans="1:9">
      <c r="A161" s="253" t="s">
        <v>795</v>
      </c>
      <c r="B161" s="337"/>
      <c r="C161" s="245">
        <f t="array" ref="C161">SUM(IF((Budget[Account Code]=B161)*(Budget[Sort Code]=$G$4),(Budget[Amount])))</f>
        <v>0</v>
      </c>
      <c r="D161" s="245">
        <f t="array" ref="D161">SUM(IF((Budget[Account Code]=B161)*(Budget[Sort Code]=$G$4)*(Budget[Date]&lt;=$D$7),(Budget[Amount])))</f>
        <v>0</v>
      </c>
      <c r="E161" s="245">
        <f t="array" ref="E161">((SUM(IF((CkDJ[Sort Code]=(TRIM(G$4)))*(CkDJ[Account Code]=(TRIM($B161)))*(CkDJ[Date]&lt;=$E$7),CkDJ[Debit])))+(SUM(IF((CsDJ[Sort Code]=(TRIM(G$4)))*(CsDJ[Account Code]=(TRIM($B161)))*(CsDJ[Date]&lt;=$E$7),CsDJ[Debit])))+(SUM(IF((CRDJ[Sort Code]=(TRIM(G$4)))*(CRDJ[Account Code]=(TRIM($B161)))*(CRDJ[Date]&lt;=$E$7),CRDJ[Debit])))+(SUM(IF((GJ[Sort Code]=(TRIM(G$4)))*(GJ[Account Code]=(TRIM($B161)))*(GJ[Date]&lt;=$E$7),GJ[Debit]))))-((SUM(IF((CkDJ[Sort Code]=(TRIM(G$4)))*(CkDJ[Account Code]=(TRIM($B161)))*(CkDJ[Date]&lt;=$E$7),CkDJ[Credit])))+(SUM(IF((CsDJ[Sort Code]=(TRIM(G$4)))*(CsDJ[Account Code]=(TRIM($B161)))*(CsDJ[Date]&lt;=$E$7),CsDJ[Credit])))+(SUM(IF((CRDJ[Sort Code]=(TRIM(G$4)))*(CRDJ[Account Code]=(TRIM($B161)))*(CRDJ[Date]&lt;=$E$7),CRDJ[Credit])))+(SUM(IF((GJ[Sort Code]=(TRIM(G$4)))*(GJ[Account Code]=(TRIM($B161)))*(GJ[Date]&lt;=$E$7),GJ[Credit]))))</f>
        <v>0</v>
      </c>
      <c r="F161" s="245">
        <f t="array" ref="F161">((SUM(IF((CkDJ[Date]=$A$3)*(CkDJ[Sort Code]=(TRIM(G$4)))*(CkDJ[Account Code]=(TRIM($B161))),CkDJ[Debit])))+(SUM(IF((CsDJ[Date]=$A$3)*(CsDJ[Sort Code]=(TRIM(G$4)))*(CsDJ[Account Code]=(TRIM($B161))),CsDJ[Debit])))+(SUM(IF((CRDJ[Date]=$A$3)*(CRDJ[Sort Code]=(TRIM(G$4)))*(CRDJ[Account Code]=(TRIM($B161))),CRDJ[Debit])))+(SUM(IF((GJ[Date]=$A$3)*(GJ[Sort Code]=(TRIM(G$4)))*(GJ[Account Code]=(TRIM($B161))),GJ[Debit]))))-((SUM(IF((CkDJ[Date]=$A$3)*(CkDJ[Sort Code]=(TRIM(G$4)))*(CkDJ[Account Code]=(TRIM($B161))),CkDJ[Credit])))+(SUM(IF((CsDJ[Date]=$A$3)*(CsDJ[Sort Code]=(TRIM(G$4)))*(CsDJ[Account Code]=(TRIM($B161))),CsDJ[Credit])))+(SUM(IF((CRDJ[Date]=$A$3)*(CRDJ[Sort Code]=(TRIM(G$4)))*(CRDJ[Account Code]=(TRIM($B161))),CRDJ[Credit])))+(SUM(IF((GJ[Date]=$A$3)*(GJ[Sort Code]=(TRIM(G$4)))*(GJ[Account Code]=(TRIM($B161))),GJ[Credit]))))</f>
        <v>0</v>
      </c>
      <c r="G161" s="343">
        <f t="shared" si="12"/>
        <v>0</v>
      </c>
      <c r="H161" s="246">
        <f t="shared" si="13"/>
        <v>0</v>
      </c>
      <c r="I161" s="246">
        <f t="shared" si="14"/>
        <v>0</v>
      </c>
    </row>
    <row r="162" spans="1:9">
      <c r="A162" s="253" t="s">
        <v>794</v>
      </c>
      <c r="B162" s="339" t="s">
        <v>212</v>
      </c>
      <c r="C162" s="245">
        <f t="array" ref="C162">SUM(IF((Budget[Account Code]=B162)*(Budget[Sort Code]=$G$4),(Budget[Amount])))</f>
        <v>962082.29</v>
      </c>
      <c r="D162" s="245">
        <f t="array" ref="D162">SUM(IF((Budget[Account Code]=B162)*(Budget[Sort Code]=$G$4)*(Budget[Date]&lt;=$D$7),(Budget[Amount])))</f>
        <v>962082.29</v>
      </c>
      <c r="E162" s="245">
        <f t="array" ref="E162">((SUM(IF((CkDJ[Sort Code]=(TRIM(G$4)))*(CkDJ[Account Code]=(TRIM($B162)))*(CkDJ[Date]&lt;=$E$7),CkDJ[Debit])))+(SUM(IF((CsDJ[Sort Code]=(TRIM(G$4)))*(CsDJ[Account Code]=(TRIM($B162)))*(CsDJ[Date]&lt;=$E$7),CsDJ[Debit])))+(SUM(IF((CRDJ[Sort Code]=(TRIM(G$4)))*(CRDJ[Account Code]=(TRIM($B162)))*(CRDJ[Date]&lt;=$E$7),CRDJ[Debit])))+(SUM(IF((GJ[Sort Code]=(TRIM(G$4)))*(GJ[Account Code]=(TRIM($B162)))*(GJ[Date]&lt;=$E$7),GJ[Debit]))))-((SUM(IF((CkDJ[Sort Code]=(TRIM(G$4)))*(CkDJ[Account Code]=(TRIM($B162)))*(CkDJ[Date]&lt;=$E$7),CkDJ[Credit])))+(SUM(IF((CsDJ[Sort Code]=(TRIM(G$4)))*(CsDJ[Account Code]=(TRIM($B162)))*(CsDJ[Date]&lt;=$E$7),CsDJ[Credit])))+(SUM(IF((CRDJ[Sort Code]=(TRIM(G$4)))*(CRDJ[Account Code]=(TRIM($B162)))*(CRDJ[Date]&lt;=$E$7),CRDJ[Credit])))+(SUM(IF((GJ[Sort Code]=(TRIM(G$4)))*(GJ[Account Code]=(TRIM($B162)))*(GJ[Date]&lt;=$E$7),GJ[Credit]))))</f>
        <v>0</v>
      </c>
      <c r="F162" s="245">
        <f t="array" ref="F162">((SUM(IF((CkDJ[Date]=$A$3)*(CkDJ[Sort Code]=(TRIM(G$4)))*(CkDJ[Account Code]=(TRIM($B162))),CkDJ[Debit])))+(SUM(IF((CsDJ[Date]=$A$3)*(CsDJ[Sort Code]=(TRIM(G$4)))*(CsDJ[Account Code]=(TRIM($B162))),CsDJ[Debit])))+(SUM(IF((CRDJ[Date]=$A$3)*(CRDJ[Sort Code]=(TRIM(G$4)))*(CRDJ[Account Code]=(TRIM($B162))),CRDJ[Debit])))+(SUM(IF((GJ[Date]=$A$3)*(GJ[Sort Code]=(TRIM(G$4)))*(GJ[Account Code]=(TRIM($B162))),GJ[Debit]))))-((SUM(IF((CkDJ[Date]=$A$3)*(CkDJ[Sort Code]=(TRIM(G$4)))*(CkDJ[Account Code]=(TRIM($B162))),CkDJ[Credit])))+(SUM(IF((CsDJ[Date]=$A$3)*(CsDJ[Sort Code]=(TRIM(G$4)))*(CsDJ[Account Code]=(TRIM($B162))),CsDJ[Credit])))+(SUM(IF((CRDJ[Date]=$A$3)*(CRDJ[Sort Code]=(TRIM(G$4)))*(CRDJ[Account Code]=(TRIM($B162))),CRDJ[Credit])))+(SUM(IF((GJ[Date]=$A$3)*(GJ[Sort Code]=(TRIM(G$4)))*(GJ[Account Code]=(TRIM($B162))),GJ[Credit]))))</f>
        <v>0</v>
      </c>
      <c r="G162" s="343">
        <f t="shared" si="12"/>
        <v>0</v>
      </c>
      <c r="H162" s="246">
        <f t="shared" si="13"/>
        <v>-962082.29</v>
      </c>
      <c r="I162" s="246">
        <f t="shared" si="14"/>
        <v>0</v>
      </c>
    </row>
    <row r="163" spans="1:9">
      <c r="A163" s="253" t="s">
        <v>793</v>
      </c>
      <c r="B163" s="337"/>
      <c r="C163" s="245">
        <f t="array" ref="C163">SUM(IF((Budget[Account Code]=B163)*(Budget[Sort Code]=$G$4),(Budget[Amount])))</f>
        <v>0</v>
      </c>
      <c r="D163" s="245">
        <f t="array" ref="D163">SUM(IF((Budget[Account Code]=B163)*(Budget[Sort Code]=$G$4)*(Budget[Date]&lt;=$D$7),(Budget[Amount])))</f>
        <v>0</v>
      </c>
      <c r="E163" s="245">
        <f t="array" ref="E163">((SUM(IF((CkDJ[Sort Code]=(TRIM(G$4)))*(CkDJ[Account Code]=(TRIM($B163)))*(CkDJ[Date]&lt;=$E$7),CkDJ[Debit])))+(SUM(IF((CsDJ[Sort Code]=(TRIM(G$4)))*(CsDJ[Account Code]=(TRIM($B163)))*(CsDJ[Date]&lt;=$E$7),CsDJ[Debit])))+(SUM(IF((CRDJ[Sort Code]=(TRIM(G$4)))*(CRDJ[Account Code]=(TRIM($B163)))*(CRDJ[Date]&lt;=$E$7),CRDJ[Debit])))+(SUM(IF((GJ[Sort Code]=(TRIM(G$4)))*(GJ[Account Code]=(TRIM($B163)))*(GJ[Date]&lt;=$E$7),GJ[Debit]))))-((SUM(IF((CkDJ[Sort Code]=(TRIM(G$4)))*(CkDJ[Account Code]=(TRIM($B163)))*(CkDJ[Date]&lt;=$E$7),CkDJ[Credit])))+(SUM(IF((CsDJ[Sort Code]=(TRIM(G$4)))*(CsDJ[Account Code]=(TRIM($B163)))*(CsDJ[Date]&lt;=$E$7),CsDJ[Credit])))+(SUM(IF((CRDJ[Sort Code]=(TRIM(G$4)))*(CRDJ[Account Code]=(TRIM($B163)))*(CRDJ[Date]&lt;=$E$7),CRDJ[Credit])))+(SUM(IF((GJ[Sort Code]=(TRIM(G$4)))*(GJ[Account Code]=(TRIM($B163)))*(GJ[Date]&lt;=$E$7),GJ[Credit]))))</f>
        <v>0</v>
      </c>
      <c r="F163" s="245">
        <f t="array" ref="F163">((SUM(IF((CkDJ[Date]=$A$3)*(CkDJ[Sort Code]=(TRIM(G$4)))*(CkDJ[Account Code]=(TRIM($B163))),CkDJ[Debit])))+(SUM(IF((CsDJ[Date]=$A$3)*(CsDJ[Sort Code]=(TRIM(G$4)))*(CsDJ[Account Code]=(TRIM($B163))),CsDJ[Debit])))+(SUM(IF((CRDJ[Date]=$A$3)*(CRDJ[Sort Code]=(TRIM(G$4)))*(CRDJ[Account Code]=(TRIM($B163))),CRDJ[Debit])))+(SUM(IF((GJ[Date]=$A$3)*(GJ[Sort Code]=(TRIM(G$4)))*(GJ[Account Code]=(TRIM($B163))),GJ[Debit]))))-((SUM(IF((CkDJ[Date]=$A$3)*(CkDJ[Sort Code]=(TRIM(G$4)))*(CkDJ[Account Code]=(TRIM($B163))),CkDJ[Credit])))+(SUM(IF((CsDJ[Date]=$A$3)*(CsDJ[Sort Code]=(TRIM(G$4)))*(CsDJ[Account Code]=(TRIM($B163))),CsDJ[Credit])))+(SUM(IF((CRDJ[Date]=$A$3)*(CRDJ[Sort Code]=(TRIM(G$4)))*(CRDJ[Account Code]=(TRIM($B163))),CRDJ[Credit])))+(SUM(IF((GJ[Date]=$A$3)*(GJ[Sort Code]=(TRIM(G$4)))*(GJ[Account Code]=(TRIM($B163))),GJ[Credit]))))</f>
        <v>0</v>
      </c>
      <c r="G163" s="343">
        <f t="shared" si="12"/>
        <v>0</v>
      </c>
      <c r="H163" s="246">
        <f t="shared" si="13"/>
        <v>0</v>
      </c>
      <c r="I163" s="246">
        <f t="shared" si="14"/>
        <v>0</v>
      </c>
    </row>
    <row r="164" spans="1:9">
      <c r="A164" s="251" t="s">
        <v>789</v>
      </c>
      <c r="B164" s="338"/>
      <c r="C164" s="250">
        <f>SUM(C155:C163)</f>
        <v>1252082.29</v>
      </c>
      <c r="D164" s="250">
        <f>SUM(D155:D163)</f>
        <v>1252082.29</v>
      </c>
      <c r="E164" s="250">
        <f>SUM(E155:E163)</f>
        <v>0</v>
      </c>
      <c r="F164" s="250">
        <f>SUM(F155:F163)</f>
        <v>0</v>
      </c>
      <c r="G164" s="250">
        <f>SUM(G155:G163)</f>
        <v>0</v>
      </c>
      <c r="H164" s="250">
        <f t="shared" si="13"/>
        <v>-1252082.29</v>
      </c>
      <c r="I164" s="250">
        <f t="shared" si="14"/>
        <v>0</v>
      </c>
    </row>
    <row r="165" spans="1:9">
      <c r="A165" s="251" t="s">
        <v>788</v>
      </c>
      <c r="B165" s="338"/>
      <c r="C165" s="250">
        <f>C147+C164</f>
        <v>37725740.43</v>
      </c>
      <c r="D165" s="250">
        <f>D147+D164</f>
        <v>37725740.43</v>
      </c>
      <c r="E165" s="250">
        <f>E147+E164</f>
        <v>0</v>
      </c>
      <c r="F165" s="250">
        <f>F147+F164</f>
        <v>0</v>
      </c>
      <c r="G165" s="250">
        <f>G147+G164</f>
        <v>0</v>
      </c>
      <c r="H165" s="250">
        <f t="shared" si="13"/>
        <v>-37725740.43</v>
      </c>
      <c r="I165" s="250">
        <f t="shared" si="14"/>
        <v>0</v>
      </c>
    </row>
    <row r="166" spans="1:9">
      <c r="A166" s="251" t="s">
        <v>785</v>
      </c>
      <c r="B166" s="338"/>
      <c r="C166" s="250">
        <f>C48-C165</f>
        <v>-36399740.43</v>
      </c>
      <c r="D166" s="250">
        <f>D48-D165</f>
        <v>-36399740.43</v>
      </c>
      <c r="E166" s="250">
        <f>E48-E165</f>
        <v>0</v>
      </c>
      <c r="F166" s="250">
        <f>F48-F165</f>
        <v>0</v>
      </c>
      <c r="G166" s="250">
        <f>G48-G165</f>
        <v>0</v>
      </c>
      <c r="H166" s="250">
        <f t="shared" si="13"/>
        <v>36399740.43</v>
      </c>
      <c r="I166" s="250">
        <f t="shared" si="14"/>
        <v>0</v>
      </c>
    </row>
    <row r="167" spans="1:9">
      <c r="A167" s="251" t="s">
        <v>749</v>
      </c>
      <c r="B167" s="338"/>
      <c r="C167" s="250">
        <f>C48/C165</f>
        <v>0.04</v>
      </c>
      <c r="D167" s="250">
        <f>D48/D165</f>
        <v>0.04</v>
      </c>
      <c r="E167" s="250" t="e">
        <f>E48/E165</f>
        <v>#DIV/0!</v>
      </c>
      <c r="F167" s="250" t="e">
        <f>F48/F165</f>
        <v>#DIV/0!</v>
      </c>
      <c r="G167" s="250" t="e">
        <f>G48/G165</f>
        <v>#DIV/0!</v>
      </c>
      <c r="H167" s="250" t="e">
        <f t="shared" si="13"/>
        <v>#DIV/0!</v>
      </c>
      <c r="I167" s="250" t="e">
        <f t="shared" si="14"/>
        <v>#DIV/0!</v>
      </c>
    </row>
    <row r="168" spans="1:9" hidden="1">
      <c r="A168" s="251" t="s">
        <v>787</v>
      </c>
      <c r="B168" s="338"/>
      <c r="C168" s="250"/>
      <c r="D168" s="250"/>
      <c r="E168" s="250"/>
      <c r="F168" s="250"/>
      <c r="G168" s="250"/>
      <c r="H168" s="250">
        <f t="shared" si="13"/>
        <v>0</v>
      </c>
      <c r="I168" s="250">
        <f t="shared" si="14"/>
        <v>0</v>
      </c>
    </row>
    <row r="169" spans="1:9" hidden="1">
      <c r="A169" s="251" t="s">
        <v>786</v>
      </c>
      <c r="B169" s="338"/>
      <c r="C169" s="250"/>
      <c r="D169" s="250"/>
      <c r="E169" s="250"/>
      <c r="F169" s="250"/>
      <c r="G169" s="250"/>
      <c r="H169" s="250">
        <f t="shared" si="13"/>
        <v>0</v>
      </c>
      <c r="I169" s="250">
        <f t="shared" si="14"/>
        <v>0</v>
      </c>
    </row>
    <row r="170" spans="1:9">
      <c r="A170" s="251" t="s">
        <v>785</v>
      </c>
      <c r="B170" s="338"/>
      <c r="C170" s="250">
        <f>C166+C168+C169</f>
        <v>-36399740.43</v>
      </c>
      <c r="D170" s="250">
        <f>D166+D168+D169</f>
        <v>-36399740.43</v>
      </c>
      <c r="E170" s="250">
        <f>E166+E168+E169</f>
        <v>0</v>
      </c>
      <c r="F170" s="250">
        <f>F166+F168+F169</f>
        <v>0</v>
      </c>
      <c r="G170" s="250">
        <f>G166+G168+G169</f>
        <v>0</v>
      </c>
      <c r="H170" s="250">
        <f t="shared" si="13"/>
        <v>36399740.43</v>
      </c>
      <c r="I170" s="250">
        <f t="shared" si="14"/>
        <v>0</v>
      </c>
    </row>
    <row r="171" spans="1:9">
      <c r="A171" s="251" t="s">
        <v>792</v>
      </c>
      <c r="B171" s="338"/>
      <c r="C171" s="250">
        <f>C48/(C165-C168-C169)</f>
        <v>0.04</v>
      </c>
      <c r="D171" s="250">
        <f>D48/(D165-D168-D169)</f>
        <v>0.04</v>
      </c>
      <c r="E171" s="250" t="e">
        <f>E48/(E165-E168-E169)</f>
        <v>#DIV/0!</v>
      </c>
      <c r="F171" s="250" t="e">
        <f>F48/(F165-F168-F169)</f>
        <v>#DIV/0!</v>
      </c>
      <c r="G171" s="250" t="e">
        <f>G48/(G165-G168-G169)</f>
        <v>#DIV/0!</v>
      </c>
      <c r="H171" s="250" t="e">
        <f t="shared" si="13"/>
        <v>#DIV/0!</v>
      </c>
      <c r="I171" s="250" t="e">
        <f t="shared" si="14"/>
        <v>#DIV/0!</v>
      </c>
    </row>
    <row r="172" spans="1:9">
      <c r="A172" s="259"/>
      <c r="C172" s="260"/>
      <c r="D172" s="260"/>
      <c r="E172" s="345"/>
      <c r="F172" s="345"/>
      <c r="G172" s="345"/>
      <c r="H172" s="345"/>
      <c r="I172" s="346"/>
    </row>
    <row r="173" spans="1:9">
      <c r="A173" s="333" t="s">
        <v>791</v>
      </c>
      <c r="B173" s="341"/>
      <c r="C173" s="334"/>
      <c r="D173" s="334"/>
      <c r="E173" s="334"/>
      <c r="F173" s="334"/>
      <c r="G173" s="334"/>
      <c r="H173" s="334"/>
      <c r="I173" s="347"/>
    </row>
    <row r="174" spans="1:9">
      <c r="A174" s="261"/>
      <c r="B174" s="340"/>
      <c r="C174" s="262"/>
      <c r="D174" s="262"/>
      <c r="E174" s="348"/>
      <c r="F174" s="348"/>
      <c r="G174" s="263"/>
      <c r="H174" s="263">
        <f t="shared" si="13"/>
        <v>0</v>
      </c>
      <c r="I174" s="263">
        <f t="shared" si="14"/>
        <v>0</v>
      </c>
    </row>
    <row r="175" spans="1:9">
      <c r="A175" s="253" t="s">
        <v>790</v>
      </c>
      <c r="B175" s="339" t="s">
        <v>267</v>
      </c>
      <c r="C175" s="245">
        <f t="array" ref="C175">SUM(IF((Budget[Account Code]=B175)*(Budget[Sort Code]=$G$4),(Budget[Amount])))</f>
        <v>0</v>
      </c>
      <c r="D175" s="245">
        <f t="array" ref="D175">SUM(IF((Budget[Account Code]=B175)*(Budget[Sort Code]=$G$4)*(Budget[Date]&lt;=$D$7),(Budget[Amount])))</f>
        <v>0</v>
      </c>
      <c r="E175" s="245">
        <f t="array" ref="E175">((SUM(IF((CkDJ[Sort Code]=(TRIM(G$4)))*(CkDJ[Account Code]=(TRIM($B175)))*(CkDJ[Date]&lt;=$E$7),CkDJ[Debit])))+(SUM(IF((CsDJ[Sort Code]=(TRIM(G$4)))*(CsDJ[Account Code]=(TRIM($B175)))*(CsDJ[Date]&lt;=$E$7),CsDJ[Debit])))+(SUM(IF((CRDJ[Sort Code]=(TRIM(G$4)))*(CRDJ[Account Code]=(TRIM($B175)))*(CRDJ[Date]&lt;=$E$7),CRDJ[Debit])))+(SUM(IF((GJ[Sort Code]=(TRIM(G$4)))*(GJ[Account Code]=(TRIM($B175)))*(GJ[Date]&lt;=$E$7),GJ[Debit]))))-((SUM(IF((CkDJ[Sort Code]=(TRIM(G$4)))*(CkDJ[Account Code]=(TRIM($B175)))*(CkDJ[Date]&lt;=$E$7),CkDJ[Credit])))+(SUM(IF((CsDJ[Sort Code]=(TRIM(G$4)))*(CsDJ[Account Code]=(TRIM($B175)))*(CsDJ[Date]&lt;=$E$7),CsDJ[Credit])))+(SUM(IF((CRDJ[Sort Code]=(TRIM(G$4)))*(CRDJ[Account Code]=(TRIM($B175)))*(CRDJ[Date]&lt;=$E$7),CRDJ[Credit])))+(SUM(IF((GJ[Sort Code]=(TRIM(G$4)))*(GJ[Account Code]=(TRIM($B175)))*(GJ[Date]&lt;=$E$7),GJ[Credit]))))</f>
        <v>0</v>
      </c>
      <c r="F175" s="245">
        <f t="array" ref="F175">((SUM(IF((CkDJ[Date]=$A$3)*(CkDJ[Sort Code]=(TRIM(G$4)))*(CkDJ[Account Code]=(TRIM($B175))),CkDJ[Debit])))+(SUM(IF((CsDJ[Date]=$A$3)*(CsDJ[Sort Code]=(TRIM(G$4)))*(CsDJ[Account Code]=(TRIM($B175))),CsDJ[Debit])))+(SUM(IF((CRDJ[Date]=$A$3)*(CRDJ[Sort Code]=(TRIM(G$4)))*(CRDJ[Account Code]=(TRIM($B175))),CRDJ[Debit])))+(SUM(IF((GJ[Date]=$A$3)*(GJ[Sort Code]=(TRIM(G$4)))*(GJ[Account Code]=(TRIM($B175))),GJ[Debit]))))-((SUM(IF((CkDJ[Date]=$A$3)*(CkDJ[Sort Code]=(TRIM(G$4)))*(CkDJ[Account Code]=(TRIM($B175))),CkDJ[Credit])))+(SUM(IF((CsDJ[Date]=$A$3)*(CsDJ[Sort Code]=(TRIM(G$4)))*(CsDJ[Account Code]=(TRIM($B175))),CsDJ[Credit])))+(SUM(IF((CRDJ[Date]=$A$3)*(CRDJ[Sort Code]=(TRIM(G$4)))*(CRDJ[Account Code]=(TRIM($B175))),CRDJ[Credit])))+(SUM(IF((GJ[Date]=$A$3)*(GJ[Sort Code]=(TRIM(G$4)))*(GJ[Account Code]=(TRIM($B175))),GJ[Credit]))))</f>
        <v>0</v>
      </c>
      <c r="G175" s="343">
        <f>E175+F175</f>
        <v>0</v>
      </c>
      <c r="H175" s="246">
        <f t="shared" si="13"/>
        <v>0</v>
      </c>
      <c r="I175" s="246">
        <f t="shared" si="14"/>
        <v>0</v>
      </c>
    </row>
    <row r="176" spans="1:9">
      <c r="A176" s="253"/>
      <c r="B176" s="337"/>
      <c r="C176" s="244"/>
      <c r="D176" s="244"/>
      <c r="E176" s="245"/>
      <c r="F176" s="245"/>
      <c r="G176" s="246"/>
      <c r="H176" s="246">
        <f t="shared" si="13"/>
        <v>0</v>
      </c>
      <c r="I176" s="246">
        <f t="shared" si="14"/>
        <v>0</v>
      </c>
    </row>
    <row r="177" spans="1:9">
      <c r="A177" s="251" t="s">
        <v>789</v>
      </c>
      <c r="B177" s="338"/>
      <c r="C177" s="250">
        <f>SUM(C174:C176)</f>
        <v>0</v>
      </c>
      <c r="D177" s="250">
        <f>SUM(D174:D176)</f>
        <v>0</v>
      </c>
      <c r="E177" s="250">
        <f>SUM(E174:E176)</f>
        <v>0</v>
      </c>
      <c r="F177" s="250">
        <f>SUM(F174:F176)</f>
        <v>0</v>
      </c>
      <c r="G177" s="250">
        <f>SUM(G174:G176)</f>
        <v>0</v>
      </c>
      <c r="H177" s="250">
        <f t="shared" si="13"/>
        <v>0</v>
      </c>
      <c r="I177" s="250">
        <f t="shared" si="14"/>
        <v>0</v>
      </c>
    </row>
    <row r="178" spans="1:9">
      <c r="A178" s="251" t="s">
        <v>788</v>
      </c>
      <c r="B178" s="338"/>
      <c r="C178" s="250">
        <f>C165+C177</f>
        <v>37725740.43</v>
      </c>
      <c r="D178" s="250">
        <f>D165+D177</f>
        <v>37725740.43</v>
      </c>
      <c r="E178" s="250">
        <f>E165+E177</f>
        <v>0</v>
      </c>
      <c r="F178" s="250">
        <f>F165+F177</f>
        <v>0</v>
      </c>
      <c r="G178" s="250">
        <f>G165+G177</f>
        <v>0</v>
      </c>
      <c r="H178" s="250">
        <f t="shared" si="13"/>
        <v>-37725740.43</v>
      </c>
      <c r="I178" s="250">
        <f t="shared" si="14"/>
        <v>0</v>
      </c>
    </row>
    <row r="179" spans="1:9">
      <c r="A179" s="251" t="s">
        <v>785</v>
      </c>
      <c r="B179" s="338"/>
      <c r="C179" s="250">
        <f>C48-C178</f>
        <v>-36399740.43</v>
      </c>
      <c r="D179" s="250">
        <f>D48-D178</f>
        <v>-36399740.43</v>
      </c>
      <c r="E179" s="250">
        <f>E48-E178</f>
        <v>0</v>
      </c>
      <c r="F179" s="250">
        <f>F48-F178</f>
        <v>0</v>
      </c>
      <c r="G179" s="250">
        <f>G48-G178</f>
        <v>0</v>
      </c>
      <c r="H179" s="250">
        <f t="shared" si="13"/>
        <v>36399740.43</v>
      </c>
      <c r="I179" s="250">
        <f t="shared" si="14"/>
        <v>0</v>
      </c>
    </row>
    <row r="180" spans="1:9" hidden="1">
      <c r="A180" s="251" t="s">
        <v>749</v>
      </c>
      <c r="B180" s="338"/>
      <c r="C180" s="250"/>
      <c r="D180" s="250"/>
      <c r="E180" s="250"/>
      <c r="F180" s="250"/>
      <c r="G180" s="250"/>
      <c r="H180" s="250">
        <f t="shared" si="13"/>
        <v>0</v>
      </c>
      <c r="I180" s="250">
        <f t="shared" si="14"/>
        <v>0</v>
      </c>
    </row>
    <row r="181" spans="1:9" hidden="1">
      <c r="A181" s="251" t="s">
        <v>787</v>
      </c>
      <c r="B181" s="338"/>
      <c r="C181" s="250"/>
      <c r="D181" s="250"/>
      <c r="E181" s="250"/>
      <c r="F181" s="250"/>
      <c r="G181" s="250"/>
      <c r="H181" s="250">
        <f t="shared" si="13"/>
        <v>0</v>
      </c>
      <c r="I181" s="250">
        <f t="shared" si="14"/>
        <v>0</v>
      </c>
    </row>
    <row r="182" spans="1:9" hidden="1">
      <c r="A182" s="251" t="s">
        <v>786</v>
      </c>
      <c r="B182" s="338"/>
      <c r="C182" s="250"/>
      <c r="D182" s="250"/>
      <c r="E182" s="250"/>
      <c r="F182" s="250"/>
      <c r="G182" s="250"/>
      <c r="H182" s="250">
        <f t="shared" si="13"/>
        <v>0</v>
      </c>
      <c r="I182" s="250">
        <f t="shared" si="14"/>
        <v>0</v>
      </c>
    </row>
    <row r="183" spans="1:9" hidden="1">
      <c r="A183" s="251" t="s">
        <v>785</v>
      </c>
      <c r="B183" s="338"/>
      <c r="C183" s="250"/>
      <c r="D183" s="250"/>
      <c r="E183" s="250"/>
      <c r="F183" s="250"/>
      <c r="G183" s="250"/>
      <c r="H183" s="250">
        <f t="shared" si="13"/>
        <v>0</v>
      </c>
      <c r="I183" s="250">
        <f t="shared" si="14"/>
        <v>0</v>
      </c>
    </row>
    <row r="184" spans="1:9">
      <c r="A184" s="264" t="s">
        <v>749</v>
      </c>
      <c r="B184" s="338"/>
      <c r="C184" s="265">
        <f>C48/(C178-C181-C182)</f>
        <v>0.04</v>
      </c>
      <c r="D184" s="265">
        <f>D48/(D178-D181-D182)</f>
        <v>0.04</v>
      </c>
      <c r="E184" s="265" t="e">
        <f>E48/(E178-E181-E182)</f>
        <v>#DIV/0!</v>
      </c>
      <c r="F184" s="265" t="e">
        <f>F48/(F178-F181-F182)</f>
        <v>#DIV/0!</v>
      </c>
      <c r="G184" s="265" t="e">
        <f>G48/(G178-G181-G182)</f>
        <v>#DIV/0!</v>
      </c>
      <c r="H184" s="265" t="e">
        <f t="shared" si="13"/>
        <v>#DIV/0!</v>
      </c>
      <c r="I184" s="265" t="e">
        <f t="shared" si="14"/>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2"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Norte PIO</v>
      </c>
      <c r="C4" s="332"/>
      <c r="G4" s="331" t="s">
        <v>487</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10500000</v>
      </c>
      <c r="D9" s="242">
        <f>D10+D11</f>
        <v>10500000</v>
      </c>
      <c r="E9" s="242">
        <f>E10+E11</f>
        <v>0</v>
      </c>
      <c r="F9" s="242">
        <f>F10+F11</f>
        <v>0</v>
      </c>
      <c r="G9" s="242">
        <f>G10+G11</f>
        <v>0</v>
      </c>
      <c r="H9" s="242">
        <f>G9-D9</f>
        <v>-10500000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10500000</v>
      </c>
      <c r="D11" s="245">
        <f>SUM(D12:D14)</f>
        <v>10500000</v>
      </c>
      <c r="E11" s="245">
        <f>SUM(E12:E14)</f>
        <v>0</v>
      </c>
      <c r="F11" s="245">
        <f>SUM(F12:F14)</f>
        <v>0</v>
      </c>
      <c r="G11" s="343">
        <f>SUM(G12:G14)</f>
        <v>0</v>
      </c>
      <c r="H11" s="246">
        <f t="shared" si="0"/>
        <v>-10500000</v>
      </c>
      <c r="I11" s="246">
        <f t="shared" si="1"/>
        <v>0</v>
      </c>
    </row>
    <row r="12" spans="1:9">
      <c r="A12" s="247" t="s">
        <v>809</v>
      </c>
      <c r="B12" s="337" t="s">
        <v>126</v>
      </c>
      <c r="C12" s="245">
        <f t="array" ref="C12">SUM(IF((Budget[Account Code]=B12)*(Budget[Ofc Code]=$G$4),(Budget[Amount])))</f>
        <v>10500000</v>
      </c>
      <c r="D12" s="245">
        <f t="array" ref="D12">SUM(IF((Budget[Account Code]=B12)*(Budget[Ofc Code]=$G$4)*(Budget[Date]&lt;=$D$7),(Budget[Amount])))</f>
        <v>10500000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-10500000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0</v>
      </c>
      <c r="D15" s="248">
        <f>SUM(D16:D18)</f>
        <v>0</v>
      </c>
      <c r="E15" s="248">
        <f>SUM(E16:E18)</f>
        <v>0</v>
      </c>
      <c r="F15" s="248">
        <f>SUM(F16:F18)</f>
        <v>0</v>
      </c>
      <c r="G15" s="248">
        <f>SUM(G16:G18)</f>
        <v>0</v>
      </c>
      <c r="H15" s="242">
        <f t="shared" si="0"/>
        <v>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10500000</v>
      </c>
      <c r="D24" s="250">
        <f>D9+D15+D19</f>
        <v>10500000</v>
      </c>
      <c r="E24" s="250">
        <f>E9+E15+E19</f>
        <v>0</v>
      </c>
      <c r="F24" s="250">
        <f>F9+F15+F19</f>
        <v>0</v>
      </c>
      <c r="G24" s="250">
        <f>G9+G15+G19</f>
        <v>0</v>
      </c>
      <c r="H24" s="250">
        <f t="shared" si="0"/>
        <v>-10500000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15000000</v>
      </c>
      <c r="D26" s="245">
        <f t="array" ref="D26">SUM(IF((Budget[Account Code]=B26)*(Budget[Ofc Code]=$G$4)*(Budget[Date]&lt;=$D$7),(Budget[Amount])))</f>
        <v>15000000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-15000000</v>
      </c>
      <c r="I26" s="246">
        <f t="shared" ref="I26:I98" si="3">IF((D26=0),0,G26/D26)</f>
        <v>0</v>
      </c>
    </row>
    <row r="27" spans="1:9">
      <c r="A27" s="241" t="s">
        <v>822</v>
      </c>
      <c r="B27" s="337"/>
      <c r="C27" s="248">
        <f>SUM(C28:C29)</f>
        <v>3000000</v>
      </c>
      <c r="D27" s="248">
        <f>SUM(D28:D29)</f>
        <v>3000000</v>
      </c>
      <c r="E27" s="248">
        <f>SUM(E28:E29)</f>
        <v>0</v>
      </c>
      <c r="F27" s="248">
        <f>SUM(F28:F29)</f>
        <v>0</v>
      </c>
      <c r="G27" s="248">
        <f>SUM(G28:G29)</f>
        <v>0</v>
      </c>
      <c r="H27" s="242">
        <f t="shared" si="2"/>
        <v>-3000000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3000000</v>
      </c>
      <c r="D29" s="245">
        <f>SUM(D30:D31)</f>
        <v>3000000</v>
      </c>
      <c r="E29" s="245">
        <f>SUM(E30:E31)</f>
        <v>0</v>
      </c>
      <c r="F29" s="245">
        <f>SUM(F30:F31)</f>
        <v>0</v>
      </c>
      <c r="G29" s="245">
        <f>SUM(G30:G31)</f>
        <v>0</v>
      </c>
      <c r="H29" s="246">
        <f t="shared" si="2"/>
        <v>-3000000</v>
      </c>
      <c r="I29" s="246">
        <f t="shared" si="3"/>
        <v>0</v>
      </c>
    </row>
    <row r="30" spans="1:9" hidden="1">
      <c r="A30" s="247" t="s">
        <v>819</v>
      </c>
      <c r="B30" s="339" t="s">
        <v>129</v>
      </c>
      <c r="C30" s="245">
        <f t="array" ref="C30">SUM(IF((Budget[Account Code]=B30)*(Budget[Ofc Code]=$G$4),(Budget[Amount])))</f>
        <v>3000000</v>
      </c>
      <c r="D30" s="245">
        <f t="array" ref="D30">SUM(IF((Budget[Account Code]=B30)*(Budget[Ofc Code]=$G$4)*(Budget[Date]&lt;=$D$7),(Budget[Amount])))</f>
        <v>3000000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-3000000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2850000</v>
      </c>
      <c r="D36" s="248">
        <f>SUM(D37:D45)</f>
        <v>2850000</v>
      </c>
      <c r="E36" s="248">
        <f>SUM(E37:E45)</f>
        <v>0</v>
      </c>
      <c r="F36" s="248">
        <f>SUM(F37:F45)</f>
        <v>0</v>
      </c>
      <c r="G36" s="248">
        <f>SUM(G37:G45)</f>
        <v>0</v>
      </c>
      <c r="H36" s="242">
        <f t="shared" si="2"/>
        <v>-2850000</v>
      </c>
      <c r="I36" s="242">
        <f t="shared" si="3"/>
        <v>0</v>
      </c>
    </row>
    <row r="37" spans="1:9" hidden="1">
      <c r="A37" s="272" t="s">
        <v>186</v>
      </c>
      <c r="B37" s="339" t="s">
        <v>150</v>
      </c>
      <c r="C37" s="245">
        <f t="array" ref="C37">SUM(IF((Budget[Account Code]=B37)*(Budget[Ofc Code]=$G$4),(Budget[Amount])))</f>
        <v>20000</v>
      </c>
      <c r="D37" s="245">
        <f t="array" ref="D37">SUM(IF((Budget[Account Code]=B37)*(Budget[Ofc Code]=$G$4)*(Budget[Date]&lt;=$D$7),(Budget[Amount])))</f>
        <v>20000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-20000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280000</v>
      </c>
      <c r="D40" s="245">
        <f t="array" ref="D40">SUM(IF((Budget[Account Code]=B40)*(Budget[Ofc Code]=$G$4)*(Budget[Date]&lt;=$D$7),(Budget[Amount])))</f>
        <v>280000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-280000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2550000</v>
      </c>
      <c r="D44" s="245">
        <f t="array" ref="D44">SUM(IF((Budget[Account Code]=B44)*(Budget[Ofc Code]=$G$4)*(Budget[Date]&lt;=$D$7),(Budget[Amount])))</f>
        <v>2550000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-2550000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20850000</v>
      </c>
      <c r="D47" s="250">
        <f>D26+D27+D32+D36+D46</f>
        <v>20850000</v>
      </c>
      <c r="E47" s="250">
        <f>E26+E27+E32+E36+E46</f>
        <v>0</v>
      </c>
      <c r="F47" s="250">
        <f>F26+F27+F32+F36+F46</f>
        <v>0</v>
      </c>
      <c r="G47" s="250">
        <f>G26+G27+G32+G36+G46</f>
        <v>0</v>
      </c>
      <c r="H47" s="250">
        <f t="shared" si="2"/>
        <v>-20850000</v>
      </c>
      <c r="I47" s="250">
        <f t="shared" si="3"/>
        <v>0</v>
      </c>
    </row>
    <row r="48" spans="1:9">
      <c r="A48" s="251" t="s">
        <v>813</v>
      </c>
      <c r="B48" s="338"/>
      <c r="C48" s="250">
        <f>C24+C47</f>
        <v>31350000</v>
      </c>
      <c r="D48" s="250">
        <f>D24+D47</f>
        <v>31350000</v>
      </c>
      <c r="E48" s="250">
        <f>E24+E47</f>
        <v>0</v>
      </c>
      <c r="F48" s="250">
        <f>F24+F47</f>
        <v>0</v>
      </c>
      <c r="G48" s="250">
        <f>G24+G47</f>
        <v>0</v>
      </c>
      <c r="H48" s="250">
        <f t="shared" si="2"/>
        <v>-31350000</v>
      </c>
      <c r="I48" s="250">
        <f t="shared" si="3"/>
        <v>0</v>
      </c>
    </row>
    <row r="49" spans="1:9">
      <c r="A49" s="239" t="s">
        <v>812</v>
      </c>
      <c r="B49" s="337"/>
      <c r="C49" s="240"/>
      <c r="D49" s="240"/>
      <c r="E49" s="240"/>
      <c r="F49" s="240"/>
      <c r="G49" s="246"/>
      <c r="H49" s="246"/>
      <c r="I49" s="246"/>
    </row>
    <row r="50" spans="1:9">
      <c r="A50" s="239" t="s">
        <v>811</v>
      </c>
      <c r="B50" s="337"/>
      <c r="C50" s="242">
        <f>C51+C75</f>
        <v>17649522.039999999</v>
      </c>
      <c r="D50" s="242">
        <f>D51+D75</f>
        <v>17649522.039999999</v>
      </c>
      <c r="E50" s="242">
        <f>E51+E75</f>
        <v>0</v>
      </c>
      <c r="F50" s="242">
        <f>F51+F75</f>
        <v>0</v>
      </c>
      <c r="G50" s="242">
        <f>G51+G75</f>
        <v>0</v>
      </c>
      <c r="H50" s="242">
        <f t="shared" si="2"/>
        <v>-17649522.039999999</v>
      </c>
      <c r="I50" s="242">
        <f t="shared" si="3"/>
        <v>0</v>
      </c>
    </row>
    <row r="51" spans="1:9">
      <c r="A51" s="243" t="s">
        <v>806</v>
      </c>
      <c r="B51" s="337"/>
      <c r="C51" s="246">
        <f>SUM(C52:C74)</f>
        <v>17649522.039999999</v>
      </c>
      <c r="D51" s="246">
        <f>SUM(D52:D74)</f>
        <v>17649522.039999999</v>
      </c>
      <c r="E51" s="246">
        <f>SUM(E52:E74)</f>
        <v>0</v>
      </c>
      <c r="F51" s="246">
        <f>SUM(F52:F74)</f>
        <v>0</v>
      </c>
      <c r="G51" s="246">
        <f>SUM(G52:G74)</f>
        <v>0</v>
      </c>
      <c r="H51" s="246">
        <f t="shared" si="2"/>
        <v>-17649522.039999999</v>
      </c>
      <c r="I51" s="246">
        <f t="shared" si="3"/>
        <v>0</v>
      </c>
    </row>
    <row r="52" spans="1:9" hidden="1">
      <c r="A52" s="247" t="s">
        <v>194</v>
      </c>
      <c r="B52" s="339" t="s">
        <v>162</v>
      </c>
      <c r="C52" s="245">
        <f t="array" ref="C52">SUM(IF((Budget[Account Code]=B52)*(Budget[Ofc Code]=$G$4),(Budget[Amount])))</f>
        <v>12163817</v>
      </c>
      <c r="D52" s="245">
        <f t="array" ref="D52">SUM(IF((Budget[Account Code]=B52)*(Budget[Ofc Code]=$G$4)*(Budget[Date]&lt;=$D$7),(Budget[Amount])))</f>
        <v>12163817</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-12163817</v>
      </c>
      <c r="I52" s="246">
        <f t="shared" si="3"/>
        <v>0</v>
      </c>
    </row>
    <row r="53" spans="1:9" hidden="1">
      <c r="A53" s="247" t="s">
        <v>195</v>
      </c>
      <c r="B53" s="339" t="s">
        <v>163</v>
      </c>
      <c r="C53" s="245">
        <f t="array" ref="C53">SUM(IF((Budget[Account Code]=B53)*(Budget[Ofc Code]=$G$4),(Budget[Amount])))</f>
        <v>0</v>
      </c>
      <c r="D53" s="245">
        <f t="array" ref="D53">SUM(IF((Budget[Account Code]=B53)*(Budget[Ofc Code]=$G$4)*(Budget[Date]&lt;=$D$7),(Budget[Amount])))</f>
        <v>0</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0</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1104000</v>
      </c>
      <c r="D55" s="245">
        <f t="array" ref="D55">SUM(IF((Budget[Account Code]=B55)*(Budget[Ofc Code]=$G$4)*(Budget[Date]&lt;=$D$7),(Budget[Amount])))</f>
        <v>1104000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-1104000</v>
      </c>
      <c r="I55" s="246">
        <f t="shared" si="3"/>
        <v>0</v>
      </c>
    </row>
    <row r="56" spans="1:9" hidden="1">
      <c r="A56" s="247" t="s">
        <v>198</v>
      </c>
      <c r="B56" s="339" t="s">
        <v>165</v>
      </c>
      <c r="C56" s="245">
        <f t="array" ref="C56">SUM(IF((Budget[Account Code]=B56)*(Budget[Ofc Code]=$G$4),(Budget[Amount])))</f>
        <v>60000</v>
      </c>
      <c r="D56" s="245">
        <f t="array" ref="D56">SUM(IF((Budget[Account Code]=B56)*(Budget[Ofc Code]=$G$4)*(Budget[Date]&lt;=$D$7),(Budget[Amount])))</f>
        <v>60000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-60000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230000</v>
      </c>
      <c r="D58" s="245">
        <f t="array" ref="D58">SUM(IF((Budget[Account Code]=B58)*(Budget[Ofc Code]=$G$4)*(Budget[Date]&lt;=$D$7),(Budget[Amount])))</f>
        <v>230000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-230000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74400</v>
      </c>
      <c r="D61" s="245">
        <f t="array" ref="D61">SUM(IF((Budget[Account Code]=B61)*(Budget[Ofc Code]=$G$4)*(Budget[Date]&lt;=$D$7),(Budget[Amount])))</f>
        <v>74400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-74400</v>
      </c>
      <c r="I61" s="246">
        <f t="shared" si="3"/>
        <v>0</v>
      </c>
    </row>
    <row r="62" spans="1:9" hidden="1">
      <c r="A62" s="247" t="s">
        <v>202</v>
      </c>
      <c r="B62" s="339" t="s">
        <v>6</v>
      </c>
      <c r="C62" s="245">
        <f t="array" ref="C62">SUM(IF((Budget[Account Code]=B62)*(Budget[Ofc Code]=$G$4),(Budget[Amount])))</f>
        <v>24552</v>
      </c>
      <c r="D62" s="245">
        <f t="array" ref="D62">SUM(IF((Budget[Account Code]=B62)*(Budget[Ofc Code]=$G$4)*(Budget[Date]&lt;=$D$7),(Budget[Amount])))</f>
        <v>24552</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-24552</v>
      </c>
      <c r="I62" s="246">
        <f t="shared" si="3"/>
        <v>0</v>
      </c>
    </row>
    <row r="63" spans="1:9" hidden="1">
      <c r="A63" s="247" t="s">
        <v>203</v>
      </c>
      <c r="B63" s="339" t="s">
        <v>7</v>
      </c>
      <c r="C63" s="245">
        <f t="array" ref="C63">SUM(IF((Budget[Account Code]=B63)*(Budget[Ofc Code]=$G$4),(Budget[Amount])))</f>
        <v>5760</v>
      </c>
      <c r="D63" s="245">
        <f t="array" ref="D63">SUM(IF((Budget[Account Code]=B63)*(Budget[Ofc Code]=$G$4)*(Budget[Date]&lt;=$D$7),(Budget[Amount])))</f>
        <v>5760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-5760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230000</v>
      </c>
      <c r="D67" s="245">
        <f t="array" ref="D67">SUM(IF((Budget[Account Code]=B67)*(Budget[Ofc Code]=$G$4)*(Budget[Date]&lt;=$D$7),(Budget[Amount])))</f>
        <v>230000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-230000</v>
      </c>
      <c r="I67" s="246">
        <f t="shared" si="3"/>
        <v>0</v>
      </c>
    </row>
    <row r="68" spans="1:9" hidden="1">
      <c r="A68" s="247" t="s">
        <v>207</v>
      </c>
      <c r="B68" s="339" t="s">
        <v>174</v>
      </c>
      <c r="C68" s="245">
        <f t="array" ref="C68">SUM(IF((Budget[Account Code]=B68)*(Budget[Ofc Code]=$G$4),(Budget[Amount])))</f>
        <v>2028085</v>
      </c>
      <c r="D68" s="245">
        <f t="array" ref="D68">SUM(IF((Budget[Account Code]=B68)*(Budget[Ofc Code]=$G$4)*(Budget[Date]&lt;=$D$7),(Budget[Amount])))</f>
        <v>2028085</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-2028085</v>
      </c>
      <c r="I68" s="246">
        <f t="shared" si="3"/>
        <v>0</v>
      </c>
    </row>
    <row r="69" spans="1:9" hidden="1">
      <c r="A69" s="247" t="s">
        <v>208</v>
      </c>
      <c r="B69" s="339" t="s">
        <v>175</v>
      </c>
      <c r="C69" s="245">
        <f t="array" ref="C69">SUM(IF((Budget[Account Code]=B69)*(Budget[Ofc Code]=$G$4),(Budget[Amount])))</f>
        <v>1459658.04</v>
      </c>
      <c r="D69" s="245">
        <f t="array" ref="D69">SUM(IF((Budget[Account Code]=B69)*(Budget[Ofc Code]=$G$4)*(Budget[Date]&lt;=$D$7),(Budget[Amount])))</f>
        <v>1459658.04</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-1459658.04</v>
      </c>
      <c r="I69" s="246">
        <f t="shared" si="3"/>
        <v>0</v>
      </c>
    </row>
    <row r="70" spans="1:9" hidden="1">
      <c r="A70" s="247" t="s">
        <v>209</v>
      </c>
      <c r="B70" s="339" t="s">
        <v>176</v>
      </c>
      <c r="C70" s="245">
        <f t="array" ref="C70">SUM(IF((Budget[Account Code]=B70)*(Budget[Ofc Code]=$G$4),(Budget[Amount])))</f>
        <v>55200</v>
      </c>
      <c r="D70" s="245">
        <f t="array" ref="D70">SUM(IF((Budget[Account Code]=B70)*(Budget[Ofc Code]=$G$4)*(Budget[Date]&lt;=$D$7),(Budget[Amount])))</f>
        <v>55200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-55200</v>
      </c>
      <c r="I70" s="246">
        <f t="shared" si="3"/>
        <v>0</v>
      </c>
    </row>
    <row r="71" spans="1:9" hidden="1">
      <c r="A71" s="247" t="s">
        <v>210</v>
      </c>
      <c r="B71" s="339" t="s">
        <v>177</v>
      </c>
      <c r="C71" s="245">
        <f t="array" ref="C71">SUM(IF((Budget[Account Code]=B71)*(Budget[Ofc Code]=$G$4),(Budget[Amount])))</f>
        <v>158850</v>
      </c>
      <c r="D71" s="245">
        <f t="array" ref="D71">SUM(IF((Budget[Account Code]=B71)*(Budget[Ofc Code]=$G$4)*(Budget[Date]&lt;=$D$7),(Budget[Amount])))</f>
        <v>158850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-158850</v>
      </c>
      <c r="I71" s="246">
        <f t="shared" si="3"/>
        <v>0</v>
      </c>
    </row>
    <row r="72" spans="1:9" hidden="1">
      <c r="A72" s="247" t="s">
        <v>211</v>
      </c>
      <c r="B72" s="339" t="s">
        <v>178</v>
      </c>
      <c r="C72" s="245">
        <f t="array" ref="C72">SUM(IF((Budget[Account Code]=B72)*(Budget[Ofc Code]=$G$4),(Budget[Amount])))</f>
        <v>55200</v>
      </c>
      <c r="D72" s="245">
        <f t="array" ref="D72">SUM(IF((Budget[Account Code]=B72)*(Budget[Ofc Code]=$G$4)*(Budget[Date]&lt;=$D$7),(Budget[Amount])))</f>
        <v>55200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-55200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19436279.719999999</v>
      </c>
      <c r="D76" s="252">
        <f>D77+D139</f>
        <v>19436279.719999999</v>
      </c>
      <c r="E76" s="252">
        <f>E77+E139</f>
        <v>0</v>
      </c>
      <c r="F76" s="252">
        <f>F77+F139</f>
        <v>0</v>
      </c>
      <c r="G76" s="252">
        <f>G77+G139</f>
        <v>0</v>
      </c>
      <c r="H76" s="242">
        <f t="shared" si="2"/>
        <v>-19436279.719999999</v>
      </c>
      <c r="I76" s="242">
        <f t="shared" si="3"/>
        <v>0</v>
      </c>
    </row>
    <row r="77" spans="1:9">
      <c r="A77" s="253" t="s">
        <v>809</v>
      </c>
      <c r="B77" s="337"/>
      <c r="C77" s="254">
        <f>C78+C138</f>
        <v>10944279.720000001</v>
      </c>
      <c r="D77" s="254">
        <f>D78+D138</f>
        <v>10944279.720000001</v>
      </c>
      <c r="E77" s="254">
        <f>E78+E138</f>
        <v>0</v>
      </c>
      <c r="F77" s="254">
        <f>F78+F138</f>
        <v>0</v>
      </c>
      <c r="G77" s="254">
        <f>G78+G138</f>
        <v>0</v>
      </c>
      <c r="H77" s="246">
        <f t="shared" si="2"/>
        <v>-10944279.720000001</v>
      </c>
      <c r="I77" s="246">
        <f t="shared" si="3"/>
        <v>0</v>
      </c>
    </row>
    <row r="78" spans="1:9">
      <c r="A78" s="255" t="s">
        <v>806</v>
      </c>
      <c r="B78" s="337"/>
      <c r="C78" s="246">
        <f>SUM(C79:C137)</f>
        <v>10944279.720000001</v>
      </c>
      <c r="D78" s="246">
        <f>SUM(D79:D137)</f>
        <v>10944279.720000001</v>
      </c>
      <c r="E78" s="246">
        <f>SUM(E79:E137)</f>
        <v>0</v>
      </c>
      <c r="F78" s="246">
        <f>SUM(F79:F137)</f>
        <v>0</v>
      </c>
      <c r="G78" s="246">
        <f>SUM(G79:G137)</f>
        <v>0</v>
      </c>
      <c r="H78" s="246">
        <f t="shared" si="2"/>
        <v>-10944279.720000001</v>
      </c>
      <c r="I78" s="246">
        <f t="shared" si="3"/>
        <v>0</v>
      </c>
    </row>
    <row r="79" spans="1:9" hidden="1">
      <c r="A79" s="256" t="s">
        <v>284</v>
      </c>
      <c r="B79" s="339" t="s">
        <v>223</v>
      </c>
      <c r="C79" s="245">
        <f t="array" ref="C79">SUM(IF((Budget[Account Code]=B79)*(Budget[Ofc Code]=$G$4),(Budget[Amount])))</f>
        <v>178560</v>
      </c>
      <c r="D79" s="245">
        <f t="array" ref="D79">SUM(IF((Budget[Account Code]=B79)*(Budget[Ofc Code]=$G$4)*(Budget[Date]&lt;=$D$7),(Budget[Amount])))</f>
        <v>178560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-178560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75000</v>
      </c>
      <c r="D81" s="245">
        <f t="array" ref="D81">SUM(IF((Budget[Account Code]=B81)*(Budget[Ofc Code]=$G$4)*(Budget[Date]&lt;=$D$7),(Budget[Amount])))</f>
        <v>75000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-75000</v>
      </c>
      <c r="I81" s="246">
        <f t="shared" si="3"/>
        <v>0</v>
      </c>
    </row>
    <row r="82" spans="1:9" hidden="1">
      <c r="A82" s="256" t="s">
        <v>286</v>
      </c>
      <c r="B82" s="339" t="s">
        <v>225</v>
      </c>
      <c r="C82" s="245">
        <f t="array" ref="C82">SUM(IF((Budget[Account Code]=B82)*(Budget[Ofc Code]=$G$4),(Budget[Amount])))</f>
        <v>198000</v>
      </c>
      <c r="D82" s="245">
        <f t="array" ref="D82">SUM(IF((Budget[Account Code]=B82)*(Budget[Ofc Code]=$G$4)*(Budget[Date]&lt;=$D$7),(Budget[Amount])))</f>
        <v>198000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-198000</v>
      </c>
      <c r="I82" s="246">
        <f t="shared" si="3"/>
        <v>0</v>
      </c>
    </row>
    <row r="83" spans="1:9" hidden="1">
      <c r="A83" s="256" t="s">
        <v>287</v>
      </c>
      <c r="B83" s="339" t="s">
        <v>226</v>
      </c>
      <c r="C83" s="245">
        <f t="array" ref="C83">SUM(IF((Budget[Account Code]=B83)*(Budget[Ofc Code]=$G$4),(Budget[Amount])))</f>
        <v>143000</v>
      </c>
      <c r="D83" s="245">
        <f t="array" ref="D83">SUM(IF((Budget[Account Code]=B83)*(Budget[Ofc Code]=$G$4)*(Budget[Date]&lt;=$D$7),(Budget[Amount])))</f>
        <v>143000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-143000</v>
      </c>
      <c r="I83" s="246">
        <f t="shared" si="3"/>
        <v>0</v>
      </c>
    </row>
    <row r="84" spans="1:9" hidden="1">
      <c r="A84" s="256" t="s">
        <v>1017</v>
      </c>
      <c r="B84" s="339" t="s">
        <v>227</v>
      </c>
      <c r="C84" s="245">
        <f t="array" ref="C84">SUM(IF((Budget[Account Code]=B84)*(Budget[Ofc Code]=$G$4),(Budget[Amount])))</f>
        <v>11000.04</v>
      </c>
      <c r="D84" s="245">
        <f t="array" ref="D84">SUM(IF((Budget[Account Code]=B84)*(Budget[Ofc Code]=$G$4)*(Budget[Date]&lt;=$D$7),(Budget[Amount])))</f>
        <v>11000.04</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-11000.04</v>
      </c>
      <c r="I84" s="246">
        <f t="shared" si="3"/>
        <v>0</v>
      </c>
    </row>
    <row r="85" spans="1:9" hidden="1">
      <c r="A85" s="256" t="s">
        <v>1018</v>
      </c>
      <c r="B85" s="339" t="s">
        <v>228</v>
      </c>
      <c r="C85" s="245">
        <f t="array" ref="C85">SUM(IF((Budget[Account Code]=B85)*(Budget[Ofc Code]=$G$4),(Budget[Amount])))</f>
        <v>5499.96</v>
      </c>
      <c r="D85" s="245">
        <f t="array" ref="D85">SUM(IF((Budget[Account Code]=B85)*(Budget[Ofc Code]=$G$4)*(Budget[Date]&lt;=$D$7),(Budget[Amount])))</f>
        <v>5499.96</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-5499.96</v>
      </c>
      <c r="I85" s="246">
        <f t="shared" si="3"/>
        <v>0</v>
      </c>
    </row>
    <row r="86" spans="1:9" hidden="1">
      <c r="A86" s="256" t="s">
        <v>289</v>
      </c>
      <c r="B86" s="339" t="s">
        <v>229</v>
      </c>
      <c r="C86" s="245">
        <f t="array" ref="C86">SUM(IF((Budget[Account Code]=B86)*(Budget[Ofc Code]=$G$4),(Budget[Amount])))</f>
        <v>3596821.8</v>
      </c>
      <c r="D86" s="245">
        <f t="array" ref="D86">SUM(IF((Budget[Account Code]=B86)*(Budget[Ofc Code]=$G$4)*(Budget[Date]&lt;=$D$7),(Budget[Amount])))</f>
        <v>3596821.8</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-3596821.8</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176000.04</v>
      </c>
      <c r="D88" s="245">
        <f t="array" ref="D88">SUM(IF((Budget[Account Code]=B88)*(Budget[Ofc Code]=$G$4)*(Budget[Date]&lt;=$D$7),(Budget[Amount])))</f>
        <v>176000.04</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-176000.04</v>
      </c>
      <c r="I88" s="246">
        <f t="shared" si="3"/>
        <v>0</v>
      </c>
    </row>
    <row r="89" spans="1:9" hidden="1">
      <c r="A89" s="256" t="s">
        <v>292</v>
      </c>
      <c r="B89" s="339" t="s">
        <v>232</v>
      </c>
      <c r="C89" s="245">
        <f t="array" ref="C89">SUM(IF((Budget[Account Code]=B89)*(Budget[Ofc Code]=$G$4),(Budget[Amount])))</f>
        <v>134199.96</v>
      </c>
      <c r="D89" s="245">
        <f t="array" ref="D89">SUM(IF((Budget[Account Code]=B89)*(Budget[Ofc Code]=$G$4)*(Budget[Date]&lt;=$D$7),(Budget[Amount])))</f>
        <v>134199.96</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-134199.96</v>
      </c>
      <c r="I89" s="246">
        <f t="shared" si="3"/>
        <v>0</v>
      </c>
    </row>
    <row r="90" spans="1:9" hidden="1">
      <c r="A90" s="256" t="s">
        <v>293</v>
      </c>
      <c r="B90" s="339" t="s">
        <v>233</v>
      </c>
      <c r="C90" s="245">
        <f t="array" ref="C90">SUM(IF((Budget[Account Code]=B90)*(Budget[Ofc Code]=$G$4),(Budget[Amount])))</f>
        <v>2569599.96</v>
      </c>
      <c r="D90" s="245">
        <f t="array" ref="D90">SUM(IF((Budget[Account Code]=B90)*(Budget[Ofc Code]=$G$4)*(Budget[Date]&lt;=$D$7),(Budget[Amount])))</f>
        <v>2569599.96</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-2569599.96</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9999.9599999999991</v>
      </c>
      <c r="D93" s="245">
        <f t="array" ref="D93">SUM(IF((Budget[Account Code]=B93)*(Budget[Ofc Code]=$G$4)*(Budget[Date]&lt;=$D$7),(Budget[Amount])))</f>
        <v>9999.9599999999991</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-9999.9599999999991</v>
      </c>
      <c r="I93" s="246">
        <f t="shared" si="3"/>
        <v>0</v>
      </c>
    </row>
    <row r="94" spans="1:9" hidden="1">
      <c r="A94" s="256" t="s">
        <v>295</v>
      </c>
      <c r="B94" s="339" t="s">
        <v>235</v>
      </c>
      <c r="C94" s="245">
        <f t="array" ref="C94">SUM(IF((Budget[Account Code]=B94)*(Budget[Ofc Code]=$G$4),(Budget[Amount])))</f>
        <v>162360</v>
      </c>
      <c r="D94" s="245">
        <f t="array" ref="D94">SUM(IF((Budget[Account Code]=B94)*(Budget[Ofc Code]=$G$4)*(Budget[Date]&lt;=$D$7),(Budget[Amount])))</f>
        <v>162360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-162360</v>
      </c>
      <c r="I94" s="246">
        <f t="shared" si="3"/>
        <v>0</v>
      </c>
    </row>
    <row r="95" spans="1:9" hidden="1">
      <c r="A95" s="256" t="s">
        <v>296</v>
      </c>
      <c r="B95" s="339" t="s">
        <v>236</v>
      </c>
      <c r="C95" s="245">
        <f t="array" ref="C95">SUM(IF((Budget[Account Code]=B95)*(Budget[Ofc Code]=$G$4),(Budget[Amount])))</f>
        <v>30360</v>
      </c>
      <c r="D95" s="245">
        <f t="array" ref="D95">SUM(IF((Budget[Account Code]=B95)*(Budget[Ofc Code]=$G$4)*(Budget[Date]&lt;=$D$7),(Budget[Amount])))</f>
        <v>30360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-30360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9999.9599999999991</v>
      </c>
      <c r="D99" s="245">
        <f t="array" ref="D99">SUM(IF((Budget[Account Code]=B99)*(Budget[Ofc Code]=$G$4)*(Budget[Date]&lt;=$D$7),(Budget[Amount])))</f>
        <v>9999.9599999999991</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-9999.9599999999991</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174300</v>
      </c>
      <c r="D111" s="245">
        <f t="array" ref="D111">SUM(IF((Budget[Account Code]=B111)*(Budget[Ofc Code]=$G$4)*(Budget[Date]&lt;=$D$7),(Budget[Amount])))</f>
        <v>174300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-174300</v>
      </c>
      <c r="I111" s="246">
        <f t="shared" si="8"/>
        <v>0</v>
      </c>
    </row>
    <row r="112" spans="1:9" hidden="1">
      <c r="A112" s="256" t="s">
        <v>841</v>
      </c>
      <c r="B112" s="339" t="s">
        <v>251</v>
      </c>
      <c r="C112" s="245">
        <f t="array" ref="C112">SUM(IF((Budget[Account Code]=B112)*(Budget[Ofc Code]=$G$4),(Budget[Amount])))</f>
        <v>2550000.04</v>
      </c>
      <c r="D112" s="245">
        <f t="array" ref="D112">SUM(IF((Budget[Account Code]=B112)*(Budget[Ofc Code]=$G$4)*(Budget[Date]&lt;=$D$7),(Budget[Amount])))</f>
        <v>2550000.04</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-2550000.04</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919578</v>
      </c>
      <c r="D118" s="245">
        <f t="array" ref="D118">SUM(IF((Budget[Account Code]=B118)*(Budget[Ofc Code]=$G$4)*(Budget[Date]&lt;=$D$7),(Budget[Amount])))</f>
        <v>919578</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-919578</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0</v>
      </c>
      <c r="D125" s="245">
        <f t="array" ref="D125">SUM(IF((Budget[Account Code]=B125)*(Budget[Ofc Code]=$G$4)*(Budget[Date]&lt;=$D$7),(Budget[Amount])))</f>
        <v>0</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0</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8492000</v>
      </c>
      <c r="D139" s="242">
        <f>SUM(D140:D143)</f>
        <v>8492000</v>
      </c>
      <c r="E139" s="242">
        <f>SUM(E140:E143)</f>
        <v>0</v>
      </c>
      <c r="F139" s="242">
        <f>SUM(F140:F143)</f>
        <v>0</v>
      </c>
      <c r="G139" s="242">
        <f>SUM(G140:G143)</f>
        <v>0</v>
      </c>
      <c r="H139" s="246">
        <f t="shared" si="7"/>
        <v>-8492000</v>
      </c>
      <c r="I139" s="246">
        <f t="shared" si="8"/>
        <v>0</v>
      </c>
    </row>
    <row r="140" spans="1:9" hidden="1">
      <c r="A140" s="256" t="s">
        <v>342</v>
      </c>
      <c r="B140" s="339" t="s">
        <v>333</v>
      </c>
      <c r="C140" s="245">
        <f t="array" ref="C140">SUM(IF((Budget[Account Code]=B140)*(Budget[Ofc Code]=$G$4),(Budget[Amount])))</f>
        <v>8492000</v>
      </c>
      <c r="D140" s="245">
        <f t="array" ref="D140">SUM(IF((Budget[Account Code]=B140)*(Budget[Ofc Code]=$G$4)*(Budget[Date]&lt;=$D$7),(Budget[Amount])))</f>
        <v>8492000</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-8492000</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15000000</v>
      </c>
      <c r="D144" s="252">
        <f>D145+D146</f>
        <v>15000000</v>
      </c>
      <c r="E144" s="252">
        <f>E145+E146</f>
        <v>0</v>
      </c>
      <c r="F144" s="252">
        <f>F145+F146</f>
        <v>0</v>
      </c>
      <c r="G144" s="252">
        <f>G145+G146</f>
        <v>0</v>
      </c>
      <c r="H144" s="242">
        <f t="shared" si="7"/>
        <v>-15000000</v>
      </c>
      <c r="I144" s="242">
        <f t="shared" si="8"/>
        <v>0</v>
      </c>
    </row>
    <row r="145" spans="1:9">
      <c r="A145" s="243" t="s">
        <v>806</v>
      </c>
      <c r="B145" s="339" t="s">
        <v>991</v>
      </c>
      <c r="C145" s="245">
        <f t="array" ref="C145">SUM(IF((Budget[Account Code]=B145)*(Budget[Ofc Code]=$G$4),(Budget[Amount])))</f>
        <v>15000000</v>
      </c>
      <c r="D145" s="245">
        <f t="array" ref="D145">SUM(IF((Budget[Account Code]=B145)*(Budget[Ofc Code]=$G$4)*(Budget[Date]&lt;=$D$7),(Budget[Amount])))</f>
        <v>15000000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-15000000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52085801.759999998</v>
      </c>
      <c r="D147" s="250">
        <f>D50+D76+D144</f>
        <v>52085801.759999998</v>
      </c>
      <c r="E147" s="250">
        <f>E50+E76+E144</f>
        <v>0</v>
      </c>
      <c r="F147" s="250">
        <f>F50+F76+F144</f>
        <v>0</v>
      </c>
      <c r="G147" s="250">
        <f>G50+G76+G144</f>
        <v>0</v>
      </c>
      <c r="H147" s="250">
        <f t="shared" si="7"/>
        <v>-52085801.759999998</v>
      </c>
      <c r="I147" s="250">
        <f t="shared" si="8"/>
        <v>0</v>
      </c>
    </row>
    <row r="148" spans="1:9">
      <c r="A148" s="251" t="s">
        <v>785</v>
      </c>
      <c r="B148" s="338"/>
      <c r="C148" s="250">
        <f>C48-C147</f>
        <v>-20735801.760000002</v>
      </c>
      <c r="D148" s="250">
        <f>D48-D147</f>
        <v>-20735801.760000002</v>
      </c>
      <c r="E148" s="250">
        <f>E48-E147</f>
        <v>0</v>
      </c>
      <c r="F148" s="250">
        <f>F48-F147</f>
        <v>0</v>
      </c>
      <c r="G148" s="250">
        <f>G48-G147</f>
        <v>0</v>
      </c>
      <c r="H148" s="250">
        <f t="shared" si="7"/>
        <v>20735801.760000002</v>
      </c>
      <c r="I148" s="250">
        <f t="shared" si="8"/>
        <v>0</v>
      </c>
    </row>
    <row r="149" spans="1:9">
      <c r="A149" s="251" t="s">
        <v>749</v>
      </c>
      <c r="B149" s="338"/>
      <c r="C149" s="250">
        <f>C48/C147</f>
        <v>0.6</v>
      </c>
      <c r="D149" s="250">
        <f>D48/D147</f>
        <v>0.6</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-20735801.760000002</v>
      </c>
      <c r="D152" s="250">
        <f>D148+D150+D151</f>
        <v>-20735801.760000002</v>
      </c>
      <c r="E152" s="250">
        <f>E148+E150+E151</f>
        <v>0</v>
      </c>
      <c r="F152" s="250">
        <f>F148+F150+F151</f>
        <v>0</v>
      </c>
      <c r="G152" s="250">
        <f>G148+G150+G151</f>
        <v>0</v>
      </c>
      <c r="H152" s="250">
        <f t="shared" si="7"/>
        <v>20735801.760000002</v>
      </c>
      <c r="I152" s="250">
        <f t="shared" si="8"/>
        <v>0</v>
      </c>
    </row>
    <row r="153" spans="1:9">
      <c r="A153" s="251" t="s">
        <v>749</v>
      </c>
      <c r="B153" s="338"/>
      <c r="C153" s="250">
        <f>C48/(C147-C150-C151)</f>
        <v>0.6</v>
      </c>
      <c r="D153" s="250">
        <f>D48/(D147-D150-D151)</f>
        <v>0.6</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1015266</v>
      </c>
      <c r="D156" s="245">
        <f t="array" ref="D156">SUM(IF((Budget[Account Code]=B156)*(Budget[Ofc Code]=$G$4)*(Budget[Date]&lt;=$D$7),(Budget[Amount])))</f>
        <v>1015266</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-1015266</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35000</v>
      </c>
      <c r="D158" s="245">
        <f t="array" ref="D158">SUM(IF((Budget[Account Code]=B158)*(Budget[Ofc Code]=$G$4)*(Budget[Date]&lt;=$D$7),(Budget[Amount])))</f>
        <v>35000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-35000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80000</v>
      </c>
      <c r="D160" s="245">
        <f t="array" ref="D160">SUM(IF((Budget[Account Code]=B160)*(Budget[Ofc Code]=$G$4)*(Budget[Date]&lt;=$D$7),(Budget[Amount])))</f>
        <v>80000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-80000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1566176.04</v>
      </c>
      <c r="D162" s="245">
        <f t="array" ref="D162">SUM(IF((Budget[Account Code]=B162)*(Budget[Ofc Code]=$G$4)*(Budget[Date]&lt;=$D$7),(Budget[Amount])))</f>
        <v>1566176.04</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-1566176.04</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2696442.04</v>
      </c>
      <c r="D164" s="250">
        <f>SUM(D155:D163)</f>
        <v>2696442.04</v>
      </c>
      <c r="E164" s="250">
        <f>SUM(E155:E163)</f>
        <v>0</v>
      </c>
      <c r="F164" s="250">
        <f>SUM(F155:F163)</f>
        <v>0</v>
      </c>
      <c r="G164" s="250">
        <f>SUM(G155:G163)</f>
        <v>0</v>
      </c>
      <c r="H164" s="250">
        <f t="shared" si="10"/>
        <v>-2696442.04</v>
      </c>
      <c r="I164" s="250">
        <f t="shared" si="11"/>
        <v>0</v>
      </c>
    </row>
    <row r="165" spans="1:9">
      <c r="A165" s="251" t="s">
        <v>788</v>
      </c>
      <c r="B165" s="338"/>
      <c r="C165" s="250">
        <f>C147+C164</f>
        <v>54782243.799999997</v>
      </c>
      <c r="D165" s="250">
        <f>D147+D164</f>
        <v>54782243.799999997</v>
      </c>
      <c r="E165" s="250">
        <f>E147+E164</f>
        <v>0</v>
      </c>
      <c r="F165" s="250">
        <f>F147+F164</f>
        <v>0</v>
      </c>
      <c r="G165" s="250">
        <f>G147+G164</f>
        <v>0</v>
      </c>
      <c r="H165" s="250">
        <f t="shared" si="10"/>
        <v>-54782243.799999997</v>
      </c>
      <c r="I165" s="250">
        <f t="shared" si="11"/>
        <v>0</v>
      </c>
    </row>
    <row r="166" spans="1:9">
      <c r="A166" s="251" t="s">
        <v>785</v>
      </c>
      <c r="B166" s="338"/>
      <c r="C166" s="250">
        <f>C48-C165</f>
        <v>-23432243.800000001</v>
      </c>
      <c r="D166" s="250">
        <f>D48-D165</f>
        <v>-23432243.800000001</v>
      </c>
      <c r="E166" s="250">
        <f>E48-E165</f>
        <v>0</v>
      </c>
      <c r="F166" s="250">
        <f>F48-F165</f>
        <v>0</v>
      </c>
      <c r="G166" s="250">
        <f>G48-G165</f>
        <v>0</v>
      </c>
      <c r="H166" s="250">
        <f t="shared" si="10"/>
        <v>23432243.800000001</v>
      </c>
      <c r="I166" s="250">
        <f t="shared" si="11"/>
        <v>0</v>
      </c>
    </row>
    <row r="167" spans="1:9">
      <c r="A167" s="251" t="s">
        <v>749</v>
      </c>
      <c r="B167" s="338"/>
      <c r="C167" s="250">
        <f>C48/C165</f>
        <v>0.56999999999999995</v>
      </c>
      <c r="D167" s="250">
        <f>D48/D165</f>
        <v>0.56999999999999995</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-23432243.800000001</v>
      </c>
      <c r="D170" s="250">
        <f>D166+D168+D169</f>
        <v>-23432243.800000001</v>
      </c>
      <c r="E170" s="250">
        <f>E166+E168+E169</f>
        <v>0</v>
      </c>
      <c r="F170" s="250">
        <f>F166+F168+F169</f>
        <v>0</v>
      </c>
      <c r="G170" s="250">
        <f>G166+G168+G169</f>
        <v>0</v>
      </c>
      <c r="H170" s="250">
        <f t="shared" si="10"/>
        <v>23432243.800000001</v>
      </c>
      <c r="I170" s="250">
        <f t="shared" si="11"/>
        <v>0</v>
      </c>
    </row>
    <row r="171" spans="1:9">
      <c r="A171" s="251" t="s">
        <v>792</v>
      </c>
      <c r="B171" s="338"/>
      <c r="C171" s="250">
        <f>C48/(C165-C168-C169)</f>
        <v>0.56999999999999995</v>
      </c>
      <c r="D171" s="250">
        <f>D48/(D165-D168-D169)</f>
        <v>0.56999999999999995</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4000000</v>
      </c>
      <c r="D175" s="245">
        <f t="array" ref="D175">SUM(IF((Budget[Account Code]=B175)*(Budget[Ofc Code]=$G$4)*(Budget[Date]&lt;=$D$7),(Budget[Amount])))</f>
        <v>4000000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-4000000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4000000</v>
      </c>
      <c r="D177" s="250">
        <f>SUM(D174:D176)</f>
        <v>4000000</v>
      </c>
      <c r="E177" s="250">
        <f>SUM(E174:E176)</f>
        <v>0</v>
      </c>
      <c r="F177" s="250">
        <f>SUM(F174:F176)</f>
        <v>0</v>
      </c>
      <c r="G177" s="250">
        <f>SUM(G174:G176)</f>
        <v>0</v>
      </c>
      <c r="H177" s="250">
        <f t="shared" si="12"/>
        <v>-4000000</v>
      </c>
      <c r="I177" s="250">
        <f t="shared" si="13"/>
        <v>0</v>
      </c>
    </row>
    <row r="178" spans="1:9">
      <c r="A178" s="251" t="s">
        <v>788</v>
      </c>
      <c r="B178" s="338"/>
      <c r="C178" s="250">
        <f>C165+C177</f>
        <v>58782243.799999997</v>
      </c>
      <c r="D178" s="250">
        <f>D165+D177</f>
        <v>58782243.799999997</v>
      </c>
      <c r="E178" s="250">
        <f>E165+E177</f>
        <v>0</v>
      </c>
      <c r="F178" s="250">
        <f>F165+F177</f>
        <v>0</v>
      </c>
      <c r="G178" s="250">
        <f>G165+G177</f>
        <v>0</v>
      </c>
      <c r="H178" s="250">
        <f t="shared" si="12"/>
        <v>-58782243.799999997</v>
      </c>
      <c r="I178" s="250">
        <f t="shared" si="13"/>
        <v>0</v>
      </c>
    </row>
    <row r="179" spans="1:9">
      <c r="A179" s="251" t="s">
        <v>785</v>
      </c>
      <c r="B179" s="338"/>
      <c r="C179" s="250">
        <f>C48-C178</f>
        <v>-27432243.800000001</v>
      </c>
      <c r="D179" s="250">
        <f>D48-D178</f>
        <v>-27432243.800000001</v>
      </c>
      <c r="E179" s="250">
        <f>E48-E178</f>
        <v>0</v>
      </c>
      <c r="F179" s="250">
        <f>F48-F178</f>
        <v>0</v>
      </c>
      <c r="G179" s="250">
        <f>G48-G178</f>
        <v>0</v>
      </c>
      <c r="H179" s="250">
        <f t="shared" si="12"/>
        <v>27432243.800000001</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0.53</v>
      </c>
      <c r="D184" s="265">
        <f>D48/(D178-D181-D182)</f>
        <v>0.53</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Norte INIS</v>
      </c>
      <c r="C4" s="332"/>
      <c r="G4" s="331" t="s">
        <v>488</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400000</v>
      </c>
      <c r="D9" s="242">
        <f>D10+D11</f>
        <v>400000</v>
      </c>
      <c r="E9" s="242">
        <f>E10+E11</f>
        <v>0</v>
      </c>
      <c r="F9" s="242">
        <f>F10+F11</f>
        <v>0</v>
      </c>
      <c r="G9" s="242">
        <f>G10+G11</f>
        <v>0</v>
      </c>
      <c r="H9" s="242">
        <f>G9-D9</f>
        <v>-400000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400000</v>
      </c>
      <c r="D11" s="245">
        <f>SUM(D12:D14)</f>
        <v>400000</v>
      </c>
      <c r="E11" s="245">
        <f>SUM(E12:E14)</f>
        <v>0</v>
      </c>
      <c r="F11" s="245">
        <f>SUM(F12:F14)</f>
        <v>0</v>
      </c>
      <c r="G11" s="343">
        <f>SUM(G12:G14)</f>
        <v>0</v>
      </c>
      <c r="H11" s="246">
        <f t="shared" si="0"/>
        <v>-400000</v>
      </c>
      <c r="I11" s="246">
        <f t="shared" si="1"/>
        <v>0</v>
      </c>
    </row>
    <row r="12" spans="1:9">
      <c r="A12" s="247" t="s">
        <v>809</v>
      </c>
      <c r="B12" s="337" t="s">
        <v>126</v>
      </c>
      <c r="C12" s="245">
        <f t="array" ref="C12">SUM(IF((Budget[Account Code]=B12)*(Budget[Ofc Code]=$G$4),(Budget[Amount])))</f>
        <v>400000</v>
      </c>
      <c r="D12" s="245">
        <f t="array" ref="D12">SUM(IF((Budget[Account Code]=B12)*(Budget[Ofc Code]=$G$4)*(Budget[Date]&lt;=$D$7),(Budget[Amount])))</f>
        <v>400000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-400000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0</v>
      </c>
      <c r="D15" s="248">
        <f>SUM(D16:D18)</f>
        <v>0</v>
      </c>
      <c r="E15" s="248">
        <f>SUM(E16:E18)</f>
        <v>0</v>
      </c>
      <c r="F15" s="248">
        <f>SUM(F16:F18)</f>
        <v>0</v>
      </c>
      <c r="G15" s="248">
        <f>SUM(G16:G18)</f>
        <v>0</v>
      </c>
      <c r="H15" s="242">
        <f t="shared" si="0"/>
        <v>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400000</v>
      </c>
      <c r="D24" s="250">
        <f>D9+D15+D19</f>
        <v>400000</v>
      </c>
      <c r="E24" s="250">
        <f>E9+E15+E19</f>
        <v>0</v>
      </c>
      <c r="F24" s="250">
        <f>F9+F15+F19</f>
        <v>0</v>
      </c>
      <c r="G24" s="250">
        <f>G9+G15+G19</f>
        <v>0</v>
      </c>
      <c r="H24" s="250">
        <f t="shared" si="0"/>
        <v>-400000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1662078.06</v>
      </c>
      <c r="D27" s="248">
        <f>SUM(D28:D29)</f>
        <v>1662078.06</v>
      </c>
      <c r="E27" s="248">
        <f>SUM(E28:E29)</f>
        <v>0</v>
      </c>
      <c r="F27" s="248">
        <f>SUM(F28:F29)</f>
        <v>0</v>
      </c>
      <c r="G27" s="248">
        <f>SUM(G28:G29)</f>
        <v>0</v>
      </c>
      <c r="H27" s="242">
        <f t="shared" si="2"/>
        <v>-1662078.06</v>
      </c>
      <c r="I27" s="242">
        <f t="shared" si="3"/>
        <v>0</v>
      </c>
    </row>
    <row r="28" spans="1:9">
      <c r="A28" s="243" t="s">
        <v>821</v>
      </c>
      <c r="B28" s="339" t="s">
        <v>128</v>
      </c>
      <c r="C28" s="245">
        <f t="array" ref="C28">SUM(IF((Budget[Account Code]=B28)*(Budget[Ofc Code]=$G$4),(Budget[Amount])))</f>
        <v>525000</v>
      </c>
      <c r="D28" s="245">
        <f t="array" ref="D28">SUM(IF((Budget[Account Code]=B28)*(Budget[Ofc Code]=$G$4)*(Budget[Date]&lt;=$D$7),(Budget[Amount])))</f>
        <v>525000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-525000</v>
      </c>
      <c r="I28" s="246">
        <f t="shared" si="3"/>
        <v>0</v>
      </c>
    </row>
    <row r="29" spans="1:9">
      <c r="A29" s="243" t="s">
        <v>820</v>
      </c>
      <c r="B29" s="339"/>
      <c r="C29" s="245">
        <f>SUM(C30:C31)</f>
        <v>1137078.06</v>
      </c>
      <c r="D29" s="245">
        <f>SUM(D30:D31)</f>
        <v>1137078.06</v>
      </c>
      <c r="E29" s="245">
        <f>SUM(E30:E31)</f>
        <v>0</v>
      </c>
      <c r="F29" s="245">
        <f>SUM(F30:F31)</f>
        <v>0</v>
      </c>
      <c r="G29" s="245">
        <f>SUM(G30:G31)</f>
        <v>0</v>
      </c>
      <c r="H29" s="246">
        <f t="shared" si="2"/>
        <v>-1137078.06</v>
      </c>
      <c r="I29" s="246">
        <f t="shared" si="3"/>
        <v>0</v>
      </c>
    </row>
    <row r="30" spans="1:9" hidden="1">
      <c r="A30" s="247" t="s">
        <v>819</v>
      </c>
      <c r="B30" s="339" t="s">
        <v>129</v>
      </c>
      <c r="C30" s="245">
        <f t="array" ref="C30">SUM(IF((Budget[Account Code]=B30)*(Budget[Ofc Code]=$G$4),(Budget[Amount])))</f>
        <v>1137078.06</v>
      </c>
      <c r="D30" s="245">
        <f t="array" ref="D30">SUM(IF((Budget[Account Code]=B30)*(Budget[Ofc Code]=$G$4)*(Budget[Date]&lt;=$D$7),(Budget[Amount])))</f>
        <v>1137078.06</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-1137078.06</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100000</v>
      </c>
      <c r="D36" s="248">
        <f>SUM(D37:D45)</f>
        <v>100000</v>
      </c>
      <c r="E36" s="248">
        <f>SUM(E37:E45)</f>
        <v>0</v>
      </c>
      <c r="F36" s="248">
        <f>SUM(F37:F45)</f>
        <v>0</v>
      </c>
      <c r="G36" s="248">
        <f>SUM(G37:G45)</f>
        <v>0</v>
      </c>
      <c r="H36" s="242">
        <f t="shared" si="2"/>
        <v>-100000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100000</v>
      </c>
      <c r="D44" s="245">
        <f t="array" ref="D44">SUM(IF((Budget[Account Code]=B44)*(Budget[Ofc Code]=$G$4)*(Budget[Date]&lt;=$D$7),(Budget[Amount])))</f>
        <v>100000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-100000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1762078.06</v>
      </c>
      <c r="D47" s="250">
        <f>D26+D27+D32+D36+D46</f>
        <v>1762078.06</v>
      </c>
      <c r="E47" s="250">
        <f>E26+E27+E32+E36+E46</f>
        <v>0</v>
      </c>
      <c r="F47" s="250">
        <f>F26+F27+F32+F36+F46</f>
        <v>0</v>
      </c>
      <c r="G47" s="250">
        <f>G26+G27+G32+G36+G46</f>
        <v>0</v>
      </c>
      <c r="H47" s="250">
        <f t="shared" si="2"/>
        <v>-1762078.06</v>
      </c>
      <c r="I47" s="250">
        <f t="shared" si="3"/>
        <v>0</v>
      </c>
    </row>
    <row r="48" spans="1:9">
      <c r="A48" s="251" t="s">
        <v>813</v>
      </c>
      <c r="B48" s="338"/>
      <c r="C48" s="250">
        <f>C24+C47</f>
        <v>2162078.06</v>
      </c>
      <c r="D48" s="250">
        <f>D24+D47</f>
        <v>2162078.06</v>
      </c>
      <c r="E48" s="250">
        <f>E24+E47</f>
        <v>0</v>
      </c>
      <c r="F48" s="250">
        <f>F24+F47</f>
        <v>0</v>
      </c>
      <c r="G48" s="250">
        <f>G24+G47</f>
        <v>0</v>
      </c>
      <c r="H48" s="250">
        <f t="shared" si="2"/>
        <v>-2162078.06</v>
      </c>
      <c r="I48" s="250">
        <f t="shared" si="3"/>
        <v>0</v>
      </c>
    </row>
    <row r="49" spans="1:9">
      <c r="A49" s="239" t="s">
        <v>812</v>
      </c>
      <c r="B49" s="337"/>
      <c r="C49" s="240"/>
      <c r="D49" s="240"/>
      <c r="E49" s="240"/>
      <c r="F49" s="240"/>
      <c r="G49" s="246"/>
      <c r="H49" s="246"/>
      <c r="I49" s="246"/>
    </row>
    <row r="50" spans="1:9">
      <c r="A50" s="239" t="s">
        <v>811</v>
      </c>
      <c r="B50" s="337"/>
      <c r="C50" s="242">
        <f>C51+C75</f>
        <v>2384290.3199999998</v>
      </c>
      <c r="D50" s="242">
        <f>D51+D75</f>
        <v>2384290.3199999998</v>
      </c>
      <c r="E50" s="242">
        <f>E51+E75</f>
        <v>0</v>
      </c>
      <c r="F50" s="242">
        <f>F51+F75</f>
        <v>0</v>
      </c>
      <c r="G50" s="242">
        <f>G51+G75</f>
        <v>0</v>
      </c>
      <c r="H50" s="242">
        <f t="shared" si="2"/>
        <v>-2384290.3199999998</v>
      </c>
      <c r="I50" s="242">
        <f t="shared" si="3"/>
        <v>0</v>
      </c>
    </row>
    <row r="51" spans="1:9">
      <c r="A51" s="243" t="s">
        <v>806</v>
      </c>
      <c r="B51" s="337"/>
      <c r="C51" s="246">
        <f>SUM(C52:C74)</f>
        <v>2384290.3199999998</v>
      </c>
      <c r="D51" s="246">
        <f>SUM(D52:D74)</f>
        <v>2384290.3199999998</v>
      </c>
      <c r="E51" s="246">
        <f>SUM(E52:E74)</f>
        <v>0</v>
      </c>
      <c r="F51" s="246">
        <f>SUM(F52:F74)</f>
        <v>0</v>
      </c>
      <c r="G51" s="246">
        <f>SUM(G52:G74)</f>
        <v>0</v>
      </c>
      <c r="H51" s="246">
        <f t="shared" si="2"/>
        <v>-2384290.3199999998</v>
      </c>
      <c r="I51" s="246">
        <f t="shared" si="3"/>
        <v>0</v>
      </c>
    </row>
    <row r="52" spans="1:9" hidden="1">
      <c r="A52" s="247" t="s">
        <v>194</v>
      </c>
      <c r="B52" s="339" t="s">
        <v>162</v>
      </c>
      <c r="C52" s="245">
        <f t="array" ref="C52">SUM(IF((Budget[Account Code]=B52)*(Budget[Ofc Code]=$G$4),(Budget[Amount])))</f>
        <v>1457256</v>
      </c>
      <c r="D52" s="245">
        <f t="array" ref="D52">SUM(IF((Budget[Account Code]=B52)*(Budget[Ofc Code]=$G$4)*(Budget[Date]&lt;=$D$7),(Budget[Amount])))</f>
        <v>1457256</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-1457256</v>
      </c>
      <c r="I52" s="246">
        <f t="shared" si="3"/>
        <v>0</v>
      </c>
    </row>
    <row r="53" spans="1:9" hidden="1">
      <c r="A53" s="247" t="s">
        <v>195</v>
      </c>
      <c r="B53" s="339" t="s">
        <v>163</v>
      </c>
      <c r="C53" s="245">
        <f t="array" ref="C53">SUM(IF((Budget[Account Code]=B53)*(Budget[Ofc Code]=$G$4),(Budget[Amount])))</f>
        <v>172080</v>
      </c>
      <c r="D53" s="245">
        <f t="array" ref="D53">SUM(IF((Budget[Account Code]=B53)*(Budget[Ofc Code]=$G$4)*(Budget[Date]&lt;=$D$7),(Budget[Amount])))</f>
        <v>172080</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-172080</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168000</v>
      </c>
      <c r="D55" s="245">
        <f t="array" ref="D55">SUM(IF((Budget[Account Code]=B55)*(Budget[Ofc Code]=$G$4)*(Budget[Date]&lt;=$D$7),(Budget[Amount])))</f>
        <v>168000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-168000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35000</v>
      </c>
      <c r="D58" s="245">
        <f t="array" ref="D58">SUM(IF((Budget[Account Code]=B58)*(Budget[Ofc Code]=$G$4)*(Budget[Date]&lt;=$D$7),(Budget[Amount])))</f>
        <v>35000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-35000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9600</v>
      </c>
      <c r="D61" s="245">
        <f t="array" ref="D61">SUM(IF((Budget[Account Code]=B61)*(Budget[Ofc Code]=$G$4)*(Budget[Date]&lt;=$D$7),(Budget[Amount])))</f>
        <v>9600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-9600</v>
      </c>
      <c r="I61" s="246">
        <f t="shared" si="3"/>
        <v>0</v>
      </c>
    </row>
    <row r="62" spans="1:9" hidden="1">
      <c r="A62" s="247" t="s">
        <v>202</v>
      </c>
      <c r="B62" s="339" t="s">
        <v>6</v>
      </c>
      <c r="C62" s="245">
        <f t="array" ref="C62">SUM(IF((Budget[Account Code]=B62)*(Budget[Ofc Code]=$G$4),(Budget[Amount])))</f>
        <v>3132</v>
      </c>
      <c r="D62" s="245">
        <f t="array" ref="D62">SUM(IF((Budget[Account Code]=B62)*(Budget[Ofc Code]=$G$4)*(Budget[Date]&lt;=$D$7),(Budget[Amount])))</f>
        <v>3132</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-3132</v>
      </c>
      <c r="I62" s="246">
        <f t="shared" si="3"/>
        <v>0</v>
      </c>
    </row>
    <row r="63" spans="1:9" hidden="1">
      <c r="A63" s="247" t="s">
        <v>203</v>
      </c>
      <c r="B63" s="339" t="s">
        <v>7</v>
      </c>
      <c r="C63" s="245">
        <f t="array" ref="C63">SUM(IF((Budget[Account Code]=B63)*(Budget[Ofc Code]=$G$4),(Budget[Amount])))</f>
        <v>1800</v>
      </c>
      <c r="D63" s="245">
        <f t="array" ref="D63">SUM(IF((Budget[Account Code]=B63)*(Budget[Ofc Code]=$G$4)*(Budget[Date]&lt;=$D$7),(Budget[Amount])))</f>
        <v>1800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-1800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35000</v>
      </c>
      <c r="D67" s="245">
        <f t="array" ref="D67">SUM(IF((Budget[Account Code]=B67)*(Budget[Ofc Code]=$G$4)*(Budget[Date]&lt;=$D$7),(Budget[Amount])))</f>
        <v>35000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-35000</v>
      </c>
      <c r="I67" s="246">
        <f t="shared" si="3"/>
        <v>0</v>
      </c>
    </row>
    <row r="68" spans="1:9" hidden="1">
      <c r="A68" s="247" t="s">
        <v>207</v>
      </c>
      <c r="B68" s="339" t="s">
        <v>174</v>
      </c>
      <c r="C68" s="245">
        <f t="array" ref="C68">SUM(IF((Budget[Account Code]=B68)*(Budget[Ofc Code]=$G$4),(Budget[Amount])))</f>
        <v>271556</v>
      </c>
      <c r="D68" s="245">
        <f t="array" ref="D68">SUM(IF((Budget[Account Code]=B68)*(Budget[Ofc Code]=$G$4)*(Budget[Date]&lt;=$D$7),(Budget[Amount])))</f>
        <v>271556</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-271556</v>
      </c>
      <c r="I68" s="246">
        <f t="shared" si="3"/>
        <v>0</v>
      </c>
    </row>
    <row r="69" spans="1:9" hidden="1">
      <c r="A69" s="247" t="s">
        <v>208</v>
      </c>
      <c r="B69" s="339" t="s">
        <v>175</v>
      </c>
      <c r="C69" s="245">
        <f t="array" ref="C69">SUM(IF((Budget[Account Code]=B69)*(Budget[Ofc Code]=$G$4),(Budget[Amount])))</f>
        <v>195520.32</v>
      </c>
      <c r="D69" s="245">
        <f t="array" ref="D69">SUM(IF((Budget[Account Code]=B69)*(Budget[Ofc Code]=$G$4)*(Budget[Date]&lt;=$D$7),(Budget[Amount])))</f>
        <v>195520.32</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-195520.32</v>
      </c>
      <c r="I69" s="246">
        <f t="shared" si="3"/>
        <v>0</v>
      </c>
    </row>
    <row r="70" spans="1:9" hidden="1">
      <c r="A70" s="247" t="s">
        <v>209</v>
      </c>
      <c r="B70" s="339" t="s">
        <v>176</v>
      </c>
      <c r="C70" s="245">
        <f t="array" ref="C70">SUM(IF((Budget[Account Code]=B70)*(Budget[Ofc Code]=$G$4),(Budget[Amount])))</f>
        <v>9300</v>
      </c>
      <c r="D70" s="245">
        <f t="array" ref="D70">SUM(IF((Budget[Account Code]=B70)*(Budget[Ofc Code]=$G$4)*(Budget[Date]&lt;=$D$7),(Budget[Amount])))</f>
        <v>9300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-9300</v>
      </c>
      <c r="I70" s="246">
        <f t="shared" si="3"/>
        <v>0</v>
      </c>
    </row>
    <row r="71" spans="1:9" hidden="1">
      <c r="A71" s="247" t="s">
        <v>210</v>
      </c>
      <c r="B71" s="339" t="s">
        <v>177</v>
      </c>
      <c r="C71" s="245">
        <f t="array" ref="C71">SUM(IF((Budget[Account Code]=B71)*(Budget[Ofc Code]=$G$4),(Budget[Amount])))</f>
        <v>17646</v>
      </c>
      <c r="D71" s="245">
        <f t="array" ref="D71">SUM(IF((Budget[Account Code]=B71)*(Budget[Ofc Code]=$G$4)*(Budget[Date]&lt;=$D$7),(Budget[Amount])))</f>
        <v>17646</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-17646</v>
      </c>
      <c r="I71" s="246">
        <f t="shared" si="3"/>
        <v>0</v>
      </c>
    </row>
    <row r="72" spans="1:9" hidden="1">
      <c r="A72" s="247" t="s">
        <v>211</v>
      </c>
      <c r="B72" s="339" t="s">
        <v>178</v>
      </c>
      <c r="C72" s="245">
        <f t="array" ref="C72">SUM(IF((Budget[Account Code]=B72)*(Budget[Ofc Code]=$G$4),(Budget[Amount])))</f>
        <v>8400</v>
      </c>
      <c r="D72" s="245">
        <f t="array" ref="D72">SUM(IF((Budget[Account Code]=B72)*(Budget[Ofc Code]=$G$4)*(Budget[Date]&lt;=$D$7),(Budget[Amount])))</f>
        <v>8400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-8400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1284482.33</v>
      </c>
      <c r="D76" s="252">
        <f>D77+D139</f>
        <v>1284482.33</v>
      </c>
      <c r="E76" s="252">
        <f>E77+E139</f>
        <v>0</v>
      </c>
      <c r="F76" s="252">
        <f>F77+F139</f>
        <v>0</v>
      </c>
      <c r="G76" s="252">
        <f>G77+G139</f>
        <v>0</v>
      </c>
      <c r="H76" s="242">
        <f t="shared" si="2"/>
        <v>-1284482.33</v>
      </c>
      <c r="I76" s="242">
        <f t="shared" si="3"/>
        <v>0</v>
      </c>
    </row>
    <row r="77" spans="1:9">
      <c r="A77" s="253" t="s">
        <v>809</v>
      </c>
      <c r="B77" s="337"/>
      <c r="C77" s="254">
        <f>C78+C138</f>
        <v>1106482.3700000001</v>
      </c>
      <c r="D77" s="254">
        <f>D78+D138</f>
        <v>1106482.3700000001</v>
      </c>
      <c r="E77" s="254">
        <f>E78+E138</f>
        <v>0</v>
      </c>
      <c r="F77" s="254">
        <f>F78+F138</f>
        <v>0</v>
      </c>
      <c r="G77" s="254">
        <f>G78+G138</f>
        <v>0</v>
      </c>
      <c r="H77" s="246">
        <f t="shared" si="2"/>
        <v>-1106482.3700000001</v>
      </c>
      <c r="I77" s="246">
        <f t="shared" si="3"/>
        <v>0</v>
      </c>
    </row>
    <row r="78" spans="1:9">
      <c r="A78" s="255" t="s">
        <v>806</v>
      </c>
      <c r="B78" s="337"/>
      <c r="C78" s="246">
        <f>SUM(C79:C137)</f>
        <v>1106482.3700000001</v>
      </c>
      <c r="D78" s="246">
        <f>SUM(D79:D137)</f>
        <v>1106482.3700000001</v>
      </c>
      <c r="E78" s="246">
        <f>SUM(E79:E137)</f>
        <v>0</v>
      </c>
      <c r="F78" s="246">
        <f>SUM(F79:F137)</f>
        <v>0</v>
      </c>
      <c r="G78" s="246">
        <f>SUM(G79:G137)</f>
        <v>0</v>
      </c>
      <c r="H78" s="246">
        <f t="shared" si="2"/>
        <v>-1106482.3700000001</v>
      </c>
      <c r="I78" s="246">
        <f t="shared" si="3"/>
        <v>0</v>
      </c>
    </row>
    <row r="79" spans="1:9" hidden="1">
      <c r="A79" s="256" t="s">
        <v>284</v>
      </c>
      <c r="B79" s="339" t="s">
        <v>223</v>
      </c>
      <c r="C79" s="245">
        <f t="array" ref="C79">SUM(IF((Budget[Account Code]=B79)*(Budget[Ofc Code]=$G$4),(Budget[Amount])))</f>
        <v>28800</v>
      </c>
      <c r="D79" s="245">
        <f t="array" ref="D79">SUM(IF((Budget[Account Code]=B79)*(Budget[Ofc Code]=$G$4)*(Budget[Date]&lt;=$D$7),(Budget[Amount])))</f>
        <v>28800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-28800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82500</v>
      </c>
      <c r="D82" s="245">
        <f t="array" ref="D82">SUM(IF((Budget[Account Code]=B82)*(Budget[Ofc Code]=$G$4)*(Budget[Date]&lt;=$D$7),(Budget[Amount])))</f>
        <v>82500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-82500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5499.96</v>
      </c>
      <c r="D85" s="245">
        <f t="array" ref="D85">SUM(IF((Budget[Account Code]=B85)*(Budget[Ofc Code]=$G$4)*(Budget[Date]&lt;=$D$7),(Budget[Amount])))</f>
        <v>5499.96</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-5499.96</v>
      </c>
      <c r="I85" s="246">
        <f t="shared" si="3"/>
        <v>0</v>
      </c>
    </row>
    <row r="86" spans="1:9" hidden="1">
      <c r="A86" s="256" t="s">
        <v>289</v>
      </c>
      <c r="B86" s="339" t="s">
        <v>229</v>
      </c>
      <c r="C86" s="245">
        <f t="array" ref="C86">SUM(IF((Budget[Account Code]=B86)*(Budget[Ofc Code]=$G$4),(Budget[Amount])))</f>
        <v>229985.16</v>
      </c>
      <c r="D86" s="245">
        <f t="array" ref="D86">SUM(IF((Budget[Account Code]=B86)*(Budget[Ofc Code]=$G$4)*(Budget[Date]&lt;=$D$7),(Budget[Amount])))</f>
        <v>229985.16</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-229985.16</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44000.04</v>
      </c>
      <c r="D88" s="245">
        <f t="array" ref="D88">SUM(IF((Budget[Account Code]=B88)*(Budget[Ofc Code]=$G$4)*(Budget[Date]&lt;=$D$7),(Budget[Amount])))</f>
        <v>44000.04</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-44000.04</v>
      </c>
      <c r="I88" s="246">
        <f t="shared" si="3"/>
        <v>0</v>
      </c>
    </row>
    <row r="89" spans="1:9" hidden="1">
      <c r="A89" s="256" t="s">
        <v>292</v>
      </c>
      <c r="B89" s="339" t="s">
        <v>232</v>
      </c>
      <c r="C89" s="245">
        <f t="array" ref="C89">SUM(IF((Budget[Account Code]=B89)*(Budget[Ofc Code]=$G$4),(Budget[Amount])))</f>
        <v>0</v>
      </c>
      <c r="D89" s="245">
        <f t="array" ref="D89">SUM(IF((Budget[Account Code]=B89)*(Budget[Ofc Code]=$G$4)*(Budget[Date]&lt;=$D$7),(Budget[Amount])))</f>
        <v>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0</v>
      </c>
      <c r="I89" s="246">
        <f t="shared" si="3"/>
        <v>0</v>
      </c>
    </row>
    <row r="90" spans="1:9" hidden="1">
      <c r="A90" s="256" t="s">
        <v>293</v>
      </c>
      <c r="B90" s="339" t="s">
        <v>233</v>
      </c>
      <c r="C90" s="245">
        <f t="array" ref="C90">SUM(IF((Budget[Account Code]=B90)*(Budget[Ofc Code]=$G$4),(Budget[Amount])))</f>
        <v>54999.96</v>
      </c>
      <c r="D90" s="245">
        <f t="array" ref="D90">SUM(IF((Budget[Account Code]=B90)*(Budget[Ofc Code]=$G$4)*(Budget[Date]&lt;=$D$7),(Budget[Amount])))</f>
        <v>54999.96</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-54999.96</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39600</v>
      </c>
      <c r="D94" s="245">
        <f t="array" ref="D94">SUM(IF((Budget[Account Code]=B94)*(Budget[Ofc Code]=$G$4)*(Budget[Date]&lt;=$D$7),(Budget[Amount])))</f>
        <v>39600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-39600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38400</v>
      </c>
      <c r="D111" s="245">
        <f t="array" ref="D111">SUM(IF((Budget[Account Code]=B111)*(Budget[Ofc Code]=$G$4)*(Budget[Date]&lt;=$D$7),(Budget[Amount])))</f>
        <v>38400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-38400</v>
      </c>
      <c r="I111" s="246">
        <f t="shared" si="8"/>
        <v>0</v>
      </c>
    </row>
    <row r="112" spans="1:9" hidden="1">
      <c r="A112" s="256" t="s">
        <v>841</v>
      </c>
      <c r="B112" s="339" t="s">
        <v>251</v>
      </c>
      <c r="C112" s="245">
        <f t="array" ref="C112">SUM(IF((Budget[Account Code]=B112)*(Budget[Ofc Code]=$G$4),(Budget[Amount])))</f>
        <v>500000.04</v>
      </c>
      <c r="D112" s="245">
        <f t="array" ref="D112">SUM(IF((Budget[Account Code]=B112)*(Budget[Ofc Code]=$G$4)*(Budget[Date]&lt;=$D$7),(Budget[Amount])))</f>
        <v>500000.04</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-500000.04</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61448.639999999999</v>
      </c>
      <c r="D118" s="245">
        <f t="array" ref="D118">SUM(IF((Budget[Account Code]=B118)*(Budget[Ofc Code]=$G$4)*(Budget[Date]&lt;=$D$7),(Budget[Amount])))</f>
        <v>61448.639999999999</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-61448.639999999999</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21248.57</v>
      </c>
      <c r="D125" s="245">
        <f t="array" ref="D125">SUM(IF((Budget[Account Code]=B125)*(Budget[Ofc Code]=$G$4)*(Budget[Date]&lt;=$D$7),(Budget[Amount])))</f>
        <v>21248.57</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-21248.57</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177999.96</v>
      </c>
      <c r="D139" s="242">
        <f>SUM(D140:D143)</f>
        <v>177999.96</v>
      </c>
      <c r="E139" s="242">
        <f>SUM(E140:E143)</f>
        <v>0</v>
      </c>
      <c r="F139" s="242">
        <f>SUM(F140:F143)</f>
        <v>0</v>
      </c>
      <c r="G139" s="242">
        <f>SUM(G140:G143)</f>
        <v>0</v>
      </c>
      <c r="H139" s="246">
        <f t="shared" si="7"/>
        <v>-177999.96</v>
      </c>
      <c r="I139" s="246">
        <f t="shared" si="8"/>
        <v>0</v>
      </c>
    </row>
    <row r="140" spans="1:9" hidden="1">
      <c r="A140" s="256" t="s">
        <v>342</v>
      </c>
      <c r="B140" s="339" t="s">
        <v>333</v>
      </c>
      <c r="C140" s="245">
        <f t="array" ref="C140">SUM(IF((Budget[Account Code]=B140)*(Budget[Ofc Code]=$G$4),(Budget[Amount])))</f>
        <v>177999.96</v>
      </c>
      <c r="D140" s="245">
        <f t="array" ref="D140">SUM(IF((Budget[Account Code]=B140)*(Budget[Ofc Code]=$G$4)*(Budget[Date]&lt;=$D$7),(Budget[Amount])))</f>
        <v>177999.96</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-177999.96</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3668772.65</v>
      </c>
      <c r="D147" s="250">
        <f>D50+D76+D144</f>
        <v>3668772.65</v>
      </c>
      <c r="E147" s="250">
        <f>E50+E76+E144</f>
        <v>0</v>
      </c>
      <c r="F147" s="250">
        <f>F50+F76+F144</f>
        <v>0</v>
      </c>
      <c r="G147" s="250">
        <f>G50+G76+G144</f>
        <v>0</v>
      </c>
      <c r="H147" s="250">
        <f t="shared" si="7"/>
        <v>-3668772.65</v>
      </c>
      <c r="I147" s="250">
        <f t="shared" si="8"/>
        <v>0</v>
      </c>
    </row>
    <row r="148" spans="1:9">
      <c r="A148" s="251" t="s">
        <v>785</v>
      </c>
      <c r="B148" s="338"/>
      <c r="C148" s="250">
        <f>C48-C147</f>
        <v>-1506694.59</v>
      </c>
      <c r="D148" s="250">
        <f>D48-D147</f>
        <v>-1506694.59</v>
      </c>
      <c r="E148" s="250">
        <f>E48-E147</f>
        <v>0</v>
      </c>
      <c r="F148" s="250">
        <f>F48-F147</f>
        <v>0</v>
      </c>
      <c r="G148" s="250">
        <f>G48-G147</f>
        <v>0</v>
      </c>
      <c r="H148" s="250">
        <f t="shared" si="7"/>
        <v>1506694.59</v>
      </c>
      <c r="I148" s="250">
        <f t="shared" si="8"/>
        <v>0</v>
      </c>
    </row>
    <row r="149" spans="1:9">
      <c r="A149" s="251" t="s">
        <v>749</v>
      </c>
      <c r="B149" s="338"/>
      <c r="C149" s="250">
        <f>C48/C147</f>
        <v>0.59</v>
      </c>
      <c r="D149" s="250">
        <f>D48/D147</f>
        <v>0.59</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-1506694.59</v>
      </c>
      <c r="D152" s="250">
        <f>D148+D150+D151</f>
        <v>-1506694.59</v>
      </c>
      <c r="E152" s="250">
        <f>E148+E150+E151</f>
        <v>0</v>
      </c>
      <c r="F152" s="250">
        <f>F148+F150+F151</f>
        <v>0</v>
      </c>
      <c r="G152" s="250">
        <f>G148+G150+G151</f>
        <v>0</v>
      </c>
      <c r="H152" s="250">
        <f t="shared" si="7"/>
        <v>1506694.59</v>
      </c>
      <c r="I152" s="250">
        <f t="shared" si="8"/>
        <v>0</v>
      </c>
    </row>
    <row r="153" spans="1:9">
      <c r="A153" s="251" t="s">
        <v>749</v>
      </c>
      <c r="B153" s="338"/>
      <c r="C153" s="250">
        <f>C48/(C147-C150-C151)</f>
        <v>0.59</v>
      </c>
      <c r="D153" s="250">
        <f>D48/(D147-D150-D151)</f>
        <v>0.59</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135778</v>
      </c>
      <c r="D156" s="245">
        <f t="array" ref="D156">SUM(IF((Budget[Account Code]=B156)*(Budget[Ofc Code]=$G$4)*(Budget[Date]&lt;=$D$7),(Budget[Amount])))</f>
        <v>135778</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-135778</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15000</v>
      </c>
      <c r="D158" s="245">
        <f t="array" ref="D158">SUM(IF((Budget[Account Code]=B158)*(Budget[Ofc Code]=$G$4)*(Budget[Date]&lt;=$D$7),(Budget[Amount])))</f>
        <v>15000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-15000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217407.29</v>
      </c>
      <c r="D162" s="245">
        <f t="array" ref="D162">SUM(IF((Budget[Account Code]=B162)*(Budget[Ofc Code]=$G$4)*(Budget[Date]&lt;=$D$7),(Budget[Amount])))</f>
        <v>217407.29</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-217407.29</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368185.29</v>
      </c>
      <c r="D164" s="250">
        <f>SUM(D155:D163)</f>
        <v>368185.29</v>
      </c>
      <c r="E164" s="250">
        <f>SUM(E155:E163)</f>
        <v>0</v>
      </c>
      <c r="F164" s="250">
        <f>SUM(F155:F163)</f>
        <v>0</v>
      </c>
      <c r="G164" s="250">
        <f>SUM(G155:G163)</f>
        <v>0</v>
      </c>
      <c r="H164" s="250">
        <f t="shared" si="10"/>
        <v>-368185.29</v>
      </c>
      <c r="I164" s="250">
        <f t="shared" si="11"/>
        <v>0</v>
      </c>
    </row>
    <row r="165" spans="1:9">
      <c r="A165" s="251" t="s">
        <v>788</v>
      </c>
      <c r="B165" s="338"/>
      <c r="C165" s="250">
        <f>C147+C164</f>
        <v>4036957.94</v>
      </c>
      <c r="D165" s="250">
        <f>D147+D164</f>
        <v>4036957.94</v>
      </c>
      <c r="E165" s="250">
        <f>E147+E164</f>
        <v>0</v>
      </c>
      <c r="F165" s="250">
        <f>F147+F164</f>
        <v>0</v>
      </c>
      <c r="G165" s="250">
        <f>G147+G164</f>
        <v>0</v>
      </c>
      <c r="H165" s="250">
        <f t="shared" si="10"/>
        <v>-4036957.94</v>
      </c>
      <c r="I165" s="250">
        <f t="shared" si="11"/>
        <v>0</v>
      </c>
    </row>
    <row r="166" spans="1:9">
      <c r="A166" s="251" t="s">
        <v>785</v>
      </c>
      <c r="B166" s="338"/>
      <c r="C166" s="250">
        <f>C48-C165</f>
        <v>-1874879.88</v>
      </c>
      <c r="D166" s="250">
        <f>D48-D165</f>
        <v>-1874879.88</v>
      </c>
      <c r="E166" s="250">
        <f>E48-E165</f>
        <v>0</v>
      </c>
      <c r="F166" s="250">
        <f>F48-F165</f>
        <v>0</v>
      </c>
      <c r="G166" s="250">
        <f>G48-G165</f>
        <v>0</v>
      </c>
      <c r="H166" s="250">
        <f t="shared" si="10"/>
        <v>1874879.88</v>
      </c>
      <c r="I166" s="250">
        <f t="shared" si="11"/>
        <v>0</v>
      </c>
    </row>
    <row r="167" spans="1:9">
      <c r="A167" s="251" t="s">
        <v>749</v>
      </c>
      <c r="B167" s="338"/>
      <c r="C167" s="250">
        <f>C48/C165</f>
        <v>0.54</v>
      </c>
      <c r="D167" s="250">
        <f>D48/D165</f>
        <v>0.54</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-1874879.88</v>
      </c>
      <c r="D170" s="250">
        <f>D166+D168+D169</f>
        <v>-1874879.88</v>
      </c>
      <c r="E170" s="250">
        <f>E166+E168+E169</f>
        <v>0</v>
      </c>
      <c r="F170" s="250">
        <f>F166+F168+F169</f>
        <v>0</v>
      </c>
      <c r="G170" s="250">
        <f>G166+G168+G169</f>
        <v>0</v>
      </c>
      <c r="H170" s="250">
        <f t="shared" si="10"/>
        <v>1874879.88</v>
      </c>
      <c r="I170" s="250">
        <f t="shared" si="11"/>
        <v>0</v>
      </c>
    </row>
    <row r="171" spans="1:9">
      <c r="A171" s="251" t="s">
        <v>792</v>
      </c>
      <c r="B171" s="338"/>
      <c r="C171" s="250">
        <f>C48/(C165-C168-C169)</f>
        <v>0.54</v>
      </c>
      <c r="D171" s="250">
        <f>D48/(D165-D168-D169)</f>
        <v>0.54</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4036957.94</v>
      </c>
      <c r="D178" s="250">
        <f>D165+D177</f>
        <v>4036957.94</v>
      </c>
      <c r="E178" s="250">
        <f>E165+E177</f>
        <v>0</v>
      </c>
      <c r="F178" s="250">
        <f>F165+F177</f>
        <v>0</v>
      </c>
      <c r="G178" s="250">
        <f>G165+G177</f>
        <v>0</v>
      </c>
      <c r="H178" s="250">
        <f t="shared" si="12"/>
        <v>-4036957.94</v>
      </c>
      <c r="I178" s="250">
        <f t="shared" si="13"/>
        <v>0</v>
      </c>
    </row>
    <row r="179" spans="1:9">
      <c r="A179" s="251" t="s">
        <v>785</v>
      </c>
      <c r="B179" s="338"/>
      <c r="C179" s="250">
        <f>C48-C178</f>
        <v>-1874879.88</v>
      </c>
      <c r="D179" s="250">
        <f>D48-D178</f>
        <v>-1874879.88</v>
      </c>
      <c r="E179" s="250">
        <f>E48-E178</f>
        <v>0</v>
      </c>
      <c r="F179" s="250">
        <f>F48-F178</f>
        <v>0</v>
      </c>
      <c r="G179" s="250">
        <f>G48-G178</f>
        <v>0</v>
      </c>
      <c r="H179" s="250">
        <f t="shared" si="12"/>
        <v>1874879.88</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0.54</v>
      </c>
      <c r="D184" s="265">
        <f>D48/(D178-D181-D182)</f>
        <v>0.54</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Norte NISRIP</v>
      </c>
      <c r="C4" s="332"/>
      <c r="G4" s="331" t="s">
        <v>489</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0</v>
      </c>
      <c r="D15" s="248">
        <f>SUM(D16:D18)</f>
        <v>0</v>
      </c>
      <c r="E15" s="248">
        <f>SUM(E16:E18)</f>
        <v>0</v>
      </c>
      <c r="F15" s="248">
        <f>SUM(F16:F18)</f>
        <v>0</v>
      </c>
      <c r="G15" s="248">
        <f>SUM(G16:G18)</f>
        <v>0</v>
      </c>
      <c r="H15" s="242">
        <f t="shared" si="0"/>
        <v>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0</v>
      </c>
      <c r="D24" s="250">
        <f>D9+D15+D19</f>
        <v>0</v>
      </c>
      <c r="E24" s="250">
        <f>E9+E15+E19</f>
        <v>0</v>
      </c>
      <c r="F24" s="250">
        <f>F9+F15+F19</f>
        <v>0</v>
      </c>
      <c r="G24" s="250">
        <f>G9+G15+G19</f>
        <v>0</v>
      </c>
      <c r="H24" s="250">
        <f t="shared" si="0"/>
        <v>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2100000</v>
      </c>
      <c r="D27" s="248">
        <f>SUM(D28:D29)</f>
        <v>2100000</v>
      </c>
      <c r="E27" s="248">
        <f>SUM(E28:E29)</f>
        <v>0</v>
      </c>
      <c r="F27" s="248">
        <f>SUM(F28:F29)</f>
        <v>0</v>
      </c>
      <c r="G27" s="248">
        <f>SUM(G28:G29)</f>
        <v>0</v>
      </c>
      <c r="H27" s="242">
        <f t="shared" si="2"/>
        <v>-2100000</v>
      </c>
      <c r="I27" s="242">
        <f t="shared" si="3"/>
        <v>0</v>
      </c>
    </row>
    <row r="28" spans="1:9">
      <c r="A28" s="243" t="s">
        <v>821</v>
      </c>
      <c r="B28" s="339" t="s">
        <v>128</v>
      </c>
      <c r="C28" s="245">
        <f t="array" ref="C28">SUM(IF((Budget[Account Code]=B28)*(Budget[Ofc Code]=$G$4),(Budget[Amount])))</f>
        <v>1200000</v>
      </c>
      <c r="D28" s="245">
        <f t="array" ref="D28">SUM(IF((Budget[Account Code]=B28)*(Budget[Ofc Code]=$G$4)*(Budget[Date]&lt;=$D$7),(Budget[Amount])))</f>
        <v>1200000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-1200000</v>
      </c>
      <c r="I28" s="246">
        <f t="shared" si="3"/>
        <v>0</v>
      </c>
    </row>
    <row r="29" spans="1:9">
      <c r="A29" s="243" t="s">
        <v>820</v>
      </c>
      <c r="B29" s="339"/>
      <c r="C29" s="245">
        <f>SUM(C30:C31)</f>
        <v>900000</v>
      </c>
      <c r="D29" s="245">
        <f>SUM(D30:D31)</f>
        <v>900000</v>
      </c>
      <c r="E29" s="245">
        <f>SUM(E30:E31)</f>
        <v>0</v>
      </c>
      <c r="F29" s="245">
        <f>SUM(F30:F31)</f>
        <v>0</v>
      </c>
      <c r="G29" s="245">
        <f>SUM(G30:G31)</f>
        <v>0</v>
      </c>
      <c r="H29" s="246">
        <f t="shared" si="2"/>
        <v>-900000</v>
      </c>
      <c r="I29" s="246">
        <f t="shared" si="3"/>
        <v>0</v>
      </c>
    </row>
    <row r="30" spans="1:9" hidden="1">
      <c r="A30" s="247" t="s">
        <v>819</v>
      </c>
      <c r="B30" s="339" t="s">
        <v>129</v>
      </c>
      <c r="C30" s="245">
        <f t="array" ref="C30">SUM(IF((Budget[Account Code]=B30)*(Budget[Ofc Code]=$G$4),(Budget[Amount])))</f>
        <v>900000</v>
      </c>
      <c r="D30" s="245">
        <f t="array" ref="D30">SUM(IF((Budget[Account Code]=B30)*(Budget[Ofc Code]=$G$4)*(Budget[Date]&lt;=$D$7),(Budget[Amount])))</f>
        <v>900000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-900000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2100000</v>
      </c>
      <c r="D47" s="250">
        <f>D26+D27+D32+D36+D46</f>
        <v>2100000</v>
      </c>
      <c r="E47" s="250">
        <f>E26+E27+E32+E36+E46</f>
        <v>0</v>
      </c>
      <c r="F47" s="250">
        <f>F26+F27+F32+F36+F46</f>
        <v>0</v>
      </c>
      <c r="G47" s="250">
        <f>G26+G27+G32+G36+G46</f>
        <v>0</v>
      </c>
      <c r="H47" s="250">
        <f t="shared" si="2"/>
        <v>-2100000</v>
      </c>
      <c r="I47" s="250">
        <f t="shared" si="3"/>
        <v>0</v>
      </c>
    </row>
    <row r="48" spans="1:9">
      <c r="A48" s="251" t="s">
        <v>813</v>
      </c>
      <c r="B48" s="338"/>
      <c r="C48" s="250">
        <f>C24+C47</f>
        <v>2100000</v>
      </c>
      <c r="D48" s="250">
        <f>D24+D47</f>
        <v>2100000</v>
      </c>
      <c r="E48" s="250">
        <f>E24+E47</f>
        <v>0</v>
      </c>
      <c r="F48" s="250">
        <f>F24+F47</f>
        <v>0</v>
      </c>
      <c r="G48" s="250">
        <f>G24+G47</f>
        <v>0</v>
      </c>
      <c r="H48" s="250">
        <f t="shared" si="2"/>
        <v>-2100000</v>
      </c>
      <c r="I48" s="250">
        <f t="shared" si="3"/>
        <v>0</v>
      </c>
    </row>
    <row r="49" spans="1:9">
      <c r="A49" s="239" t="s">
        <v>812</v>
      </c>
      <c r="B49" s="337"/>
      <c r="C49" s="240"/>
      <c r="D49" s="240"/>
      <c r="E49" s="240"/>
      <c r="F49" s="240"/>
      <c r="G49" s="246"/>
      <c r="H49" s="246"/>
      <c r="I49" s="246"/>
    </row>
    <row r="50" spans="1:9">
      <c r="A50" s="239" t="s">
        <v>811</v>
      </c>
      <c r="B50" s="337"/>
      <c r="C50" s="242">
        <f>C51+C75</f>
        <v>451426.56</v>
      </c>
      <c r="D50" s="242">
        <f>D51+D75</f>
        <v>451426.56</v>
      </c>
      <c r="E50" s="242">
        <f>E51+E75</f>
        <v>0</v>
      </c>
      <c r="F50" s="242">
        <f>F51+F75</f>
        <v>0</v>
      </c>
      <c r="G50" s="242">
        <f>G51+G75</f>
        <v>0</v>
      </c>
      <c r="H50" s="242">
        <f t="shared" si="2"/>
        <v>-451426.56</v>
      </c>
      <c r="I50" s="242">
        <f t="shared" si="3"/>
        <v>0</v>
      </c>
    </row>
    <row r="51" spans="1:9">
      <c r="A51" s="243" t="s">
        <v>806</v>
      </c>
      <c r="B51" s="337"/>
      <c r="C51" s="246">
        <f>SUM(C52:C74)</f>
        <v>451426.56</v>
      </c>
      <c r="D51" s="246">
        <f>SUM(D52:D74)</f>
        <v>451426.56</v>
      </c>
      <c r="E51" s="246">
        <f>SUM(E52:E74)</f>
        <v>0</v>
      </c>
      <c r="F51" s="246">
        <f>SUM(F52:F74)</f>
        <v>0</v>
      </c>
      <c r="G51" s="246">
        <f>SUM(G52:G74)</f>
        <v>0</v>
      </c>
      <c r="H51" s="246">
        <f t="shared" si="2"/>
        <v>-451426.56</v>
      </c>
      <c r="I51" s="246">
        <f t="shared" si="3"/>
        <v>0</v>
      </c>
    </row>
    <row r="52" spans="1:9" hidden="1">
      <c r="A52" s="247" t="s">
        <v>194</v>
      </c>
      <c r="B52" s="339" t="s">
        <v>162</v>
      </c>
      <c r="C52" s="245">
        <f t="array" ref="C52">SUM(IF((Budget[Account Code]=B52)*(Budget[Ofc Code]=$G$4),(Budget[Amount])))</f>
        <v>319488</v>
      </c>
      <c r="D52" s="245">
        <f t="array" ref="D52">SUM(IF((Budget[Account Code]=B52)*(Budget[Ofc Code]=$G$4)*(Budget[Date]&lt;=$D$7),(Budget[Amount])))</f>
        <v>319488</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-319488</v>
      </c>
      <c r="I52" s="246">
        <f t="shared" si="3"/>
        <v>0</v>
      </c>
    </row>
    <row r="53" spans="1:9" hidden="1">
      <c r="A53" s="247" t="s">
        <v>195</v>
      </c>
      <c r="B53" s="339" t="s">
        <v>163</v>
      </c>
      <c r="C53" s="245">
        <f t="array" ref="C53">SUM(IF((Budget[Account Code]=B53)*(Budget[Ofc Code]=$G$4),(Budget[Amount])))</f>
        <v>0</v>
      </c>
      <c r="D53" s="245">
        <f t="array" ref="D53">SUM(IF((Budget[Account Code]=B53)*(Budget[Ofc Code]=$G$4)*(Budget[Date]&lt;=$D$7),(Budget[Amount])))</f>
        <v>0</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0</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24000</v>
      </c>
      <c r="D55" s="245">
        <f t="array" ref="D55">SUM(IF((Budget[Account Code]=B55)*(Budget[Ofc Code]=$G$4)*(Budget[Date]&lt;=$D$7),(Budget[Amount])))</f>
        <v>24000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-24000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5000</v>
      </c>
      <c r="D58" s="245">
        <f t="array" ref="D58">SUM(IF((Budget[Account Code]=B58)*(Budget[Ofc Code]=$G$4)*(Budget[Date]&lt;=$D$7),(Budget[Amount])))</f>
        <v>5000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-5000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0</v>
      </c>
      <c r="D61" s="245">
        <f t="array" ref="D61">SUM(IF((Budget[Account Code]=B61)*(Budget[Ofc Code]=$G$4)*(Budget[Date]&lt;=$D$7),(Budget[Amount])))</f>
        <v>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0</v>
      </c>
      <c r="I61" s="246">
        <f t="shared" si="3"/>
        <v>0</v>
      </c>
    </row>
    <row r="62" spans="1:9" hidden="1">
      <c r="A62" s="247" t="s">
        <v>202</v>
      </c>
      <c r="B62" s="339" t="s">
        <v>6</v>
      </c>
      <c r="C62" s="245">
        <f t="array" ref="C62">SUM(IF((Budget[Account Code]=B62)*(Budget[Ofc Code]=$G$4),(Budget[Amount])))</f>
        <v>0</v>
      </c>
      <c r="D62" s="245">
        <f t="array" ref="D62">SUM(IF((Budget[Account Code]=B62)*(Budget[Ofc Code]=$G$4)*(Budget[Date]&lt;=$D$7),(Budget[Amount])))</f>
        <v>0</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0</v>
      </c>
      <c r="I62" s="246">
        <f t="shared" si="3"/>
        <v>0</v>
      </c>
    </row>
    <row r="63" spans="1:9" hidden="1">
      <c r="A63" s="247" t="s">
        <v>203</v>
      </c>
      <c r="B63" s="339" t="s">
        <v>7</v>
      </c>
      <c r="C63" s="245">
        <f t="array" ref="C63">SUM(IF((Budget[Account Code]=B63)*(Budget[Ofc Code]=$G$4),(Budget[Amount])))</f>
        <v>0</v>
      </c>
      <c r="D63" s="245">
        <f t="array" ref="D63">SUM(IF((Budget[Account Code]=B63)*(Budget[Ofc Code]=$G$4)*(Budget[Date]&lt;=$D$7),(Budget[Amount])))</f>
        <v>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5000</v>
      </c>
      <c r="D67" s="245">
        <f t="array" ref="D67">SUM(IF((Budget[Account Code]=B67)*(Budget[Ofc Code]=$G$4)*(Budget[Date]&lt;=$D$7),(Budget[Amount])))</f>
        <v>5000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-5000</v>
      </c>
      <c r="I67" s="246">
        <f t="shared" si="3"/>
        <v>0</v>
      </c>
    </row>
    <row r="68" spans="1:9" hidden="1">
      <c r="A68" s="247" t="s">
        <v>207</v>
      </c>
      <c r="B68" s="339" t="s">
        <v>174</v>
      </c>
      <c r="C68" s="245">
        <f t="array" ref="C68">SUM(IF((Budget[Account Code]=B68)*(Budget[Ofc Code]=$G$4),(Budget[Amount])))</f>
        <v>53300</v>
      </c>
      <c r="D68" s="245">
        <f t="array" ref="D68">SUM(IF((Budget[Account Code]=B68)*(Budget[Ofc Code]=$G$4)*(Budget[Date]&lt;=$D$7),(Budget[Amount])))</f>
        <v>53300</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-53300</v>
      </c>
      <c r="I68" s="246">
        <f t="shared" si="3"/>
        <v>0</v>
      </c>
    </row>
    <row r="69" spans="1:9" hidden="1">
      <c r="A69" s="247" t="s">
        <v>208</v>
      </c>
      <c r="B69" s="339" t="s">
        <v>175</v>
      </c>
      <c r="C69" s="245">
        <f t="array" ref="C69">SUM(IF((Budget[Account Code]=B69)*(Budget[Ofc Code]=$G$4),(Budget[Amount])))</f>
        <v>38338.559999999998</v>
      </c>
      <c r="D69" s="245">
        <f t="array" ref="D69">SUM(IF((Budget[Account Code]=B69)*(Budget[Ofc Code]=$G$4)*(Budget[Date]&lt;=$D$7),(Budget[Amount])))</f>
        <v>38338.559999999998</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-38338.559999999998</v>
      </c>
      <c r="I69" s="246">
        <f t="shared" si="3"/>
        <v>0</v>
      </c>
    </row>
    <row r="70" spans="1:9" hidden="1">
      <c r="A70" s="247" t="s">
        <v>209</v>
      </c>
      <c r="B70" s="339" t="s">
        <v>176</v>
      </c>
      <c r="C70" s="245">
        <f t="array" ref="C70">SUM(IF((Budget[Account Code]=B70)*(Budget[Ofc Code]=$G$4),(Budget[Amount])))</f>
        <v>1200</v>
      </c>
      <c r="D70" s="245">
        <f t="array" ref="D70">SUM(IF((Budget[Account Code]=B70)*(Budget[Ofc Code]=$G$4)*(Budget[Date]&lt;=$D$7),(Budget[Amount])))</f>
        <v>1200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-1200</v>
      </c>
      <c r="I70" s="246">
        <f t="shared" si="3"/>
        <v>0</v>
      </c>
    </row>
    <row r="71" spans="1:9" hidden="1">
      <c r="A71" s="247" t="s">
        <v>210</v>
      </c>
      <c r="B71" s="339" t="s">
        <v>177</v>
      </c>
      <c r="C71" s="245">
        <f t="array" ref="C71">SUM(IF((Budget[Account Code]=B71)*(Budget[Ofc Code]=$G$4),(Budget[Amount])))</f>
        <v>3900</v>
      </c>
      <c r="D71" s="245">
        <f t="array" ref="D71">SUM(IF((Budget[Account Code]=B71)*(Budget[Ofc Code]=$G$4)*(Budget[Date]&lt;=$D$7),(Budget[Amount])))</f>
        <v>3900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-3900</v>
      </c>
      <c r="I71" s="246">
        <f t="shared" si="3"/>
        <v>0</v>
      </c>
    </row>
    <row r="72" spans="1:9" hidden="1">
      <c r="A72" s="247" t="s">
        <v>211</v>
      </c>
      <c r="B72" s="339" t="s">
        <v>178</v>
      </c>
      <c r="C72" s="245">
        <f t="array" ref="C72">SUM(IF((Budget[Account Code]=B72)*(Budget[Ofc Code]=$G$4),(Budget[Amount])))</f>
        <v>1200</v>
      </c>
      <c r="D72" s="245">
        <f t="array" ref="D72">SUM(IF((Budget[Account Code]=B72)*(Budget[Ofc Code]=$G$4)*(Budget[Date]&lt;=$D$7),(Budget[Amount])))</f>
        <v>1200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-1200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1287676.3799999999</v>
      </c>
      <c r="D76" s="252">
        <f>D77+D139</f>
        <v>1287676.3799999999</v>
      </c>
      <c r="E76" s="252">
        <f>E77+E139</f>
        <v>0</v>
      </c>
      <c r="F76" s="252">
        <f>F77+F139</f>
        <v>0</v>
      </c>
      <c r="G76" s="252">
        <f>G77+G139</f>
        <v>0</v>
      </c>
      <c r="H76" s="242">
        <f t="shared" si="2"/>
        <v>-1287676.3799999999</v>
      </c>
      <c r="I76" s="242">
        <f t="shared" si="3"/>
        <v>0</v>
      </c>
    </row>
    <row r="77" spans="1:9">
      <c r="A77" s="253" t="s">
        <v>809</v>
      </c>
      <c r="B77" s="337"/>
      <c r="C77" s="254">
        <f>C78+C138</f>
        <v>1287676.3799999999</v>
      </c>
      <c r="D77" s="254">
        <f>D78+D138</f>
        <v>1287676.3799999999</v>
      </c>
      <c r="E77" s="254">
        <f>E78+E138</f>
        <v>0</v>
      </c>
      <c r="F77" s="254">
        <f>F78+F138</f>
        <v>0</v>
      </c>
      <c r="G77" s="254">
        <f>G78+G138</f>
        <v>0</v>
      </c>
      <c r="H77" s="246">
        <f t="shared" si="2"/>
        <v>-1287676.3799999999</v>
      </c>
      <c r="I77" s="246">
        <f t="shared" si="3"/>
        <v>0</v>
      </c>
    </row>
    <row r="78" spans="1:9">
      <c r="A78" s="255" t="s">
        <v>806</v>
      </c>
      <c r="B78" s="337"/>
      <c r="C78" s="246">
        <f>SUM(C79:C137)</f>
        <v>1287676.3799999999</v>
      </c>
      <c r="D78" s="246">
        <f>SUM(D79:D137)</f>
        <v>1287676.3799999999</v>
      </c>
      <c r="E78" s="246">
        <f>SUM(E79:E137)</f>
        <v>0</v>
      </c>
      <c r="F78" s="246">
        <f>SUM(F79:F137)</f>
        <v>0</v>
      </c>
      <c r="G78" s="246">
        <f>SUM(G79:G137)</f>
        <v>0</v>
      </c>
      <c r="H78" s="246">
        <f t="shared" si="2"/>
        <v>-1287676.3799999999</v>
      </c>
      <c r="I78" s="246">
        <f t="shared" si="3"/>
        <v>0</v>
      </c>
    </row>
    <row r="79" spans="1:9" hidden="1">
      <c r="A79" s="256" t="s">
        <v>284</v>
      </c>
      <c r="B79" s="339" t="s">
        <v>223</v>
      </c>
      <c r="C79" s="245">
        <f t="array" ref="C79">SUM(IF((Budget[Account Code]=B79)*(Budget[Ofc Code]=$G$4),(Budget[Amount])))</f>
        <v>28800</v>
      </c>
      <c r="D79" s="245">
        <f t="array" ref="D79">SUM(IF((Budget[Account Code]=B79)*(Budget[Ofc Code]=$G$4)*(Budget[Date]&lt;=$D$7),(Budget[Amount])))</f>
        <v>28800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-28800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82500</v>
      </c>
      <c r="D82" s="245">
        <f t="array" ref="D82">SUM(IF((Budget[Account Code]=B82)*(Budget[Ofc Code]=$G$4)*(Budget[Date]&lt;=$D$7),(Budget[Amount])))</f>
        <v>82500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-82500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5499.96</v>
      </c>
      <c r="D85" s="245">
        <f t="array" ref="D85">SUM(IF((Budget[Account Code]=B85)*(Budget[Ofc Code]=$G$4)*(Budget[Date]&lt;=$D$7),(Budget[Amount])))</f>
        <v>5499.96</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-5499.96</v>
      </c>
      <c r="I85" s="246">
        <f t="shared" si="3"/>
        <v>0</v>
      </c>
    </row>
    <row r="86" spans="1:9" hidden="1">
      <c r="A86" s="256" t="s">
        <v>289</v>
      </c>
      <c r="B86" s="339" t="s">
        <v>229</v>
      </c>
      <c r="C86" s="245">
        <f t="array" ref="C86">SUM(IF((Budget[Account Code]=B86)*(Budget[Ofc Code]=$G$4),(Budget[Amount])))</f>
        <v>324365.15999999997</v>
      </c>
      <c r="D86" s="245">
        <f t="array" ref="D86">SUM(IF((Budget[Account Code]=B86)*(Budget[Ofc Code]=$G$4)*(Budget[Date]&lt;=$D$7),(Budget[Amount])))</f>
        <v>324365.15999999997</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-324365.15999999997</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44000.04</v>
      </c>
      <c r="D88" s="245">
        <f t="array" ref="D88">SUM(IF((Budget[Account Code]=B88)*(Budget[Ofc Code]=$G$4)*(Budget[Date]&lt;=$D$7),(Budget[Amount])))</f>
        <v>44000.04</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-44000.04</v>
      </c>
      <c r="I88" s="246">
        <f t="shared" si="3"/>
        <v>0</v>
      </c>
    </row>
    <row r="89" spans="1:9" hidden="1">
      <c r="A89" s="256" t="s">
        <v>292</v>
      </c>
      <c r="B89" s="339" t="s">
        <v>232</v>
      </c>
      <c r="C89" s="245">
        <f t="array" ref="C89">SUM(IF((Budget[Account Code]=B89)*(Budget[Ofc Code]=$G$4),(Budget[Amount])))</f>
        <v>19800</v>
      </c>
      <c r="D89" s="245">
        <f t="array" ref="D89">SUM(IF((Budget[Account Code]=B89)*(Budget[Ofc Code]=$G$4)*(Budget[Date]&lt;=$D$7),(Budget[Amount])))</f>
        <v>19800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-19800</v>
      </c>
      <c r="I89" s="246">
        <f t="shared" si="3"/>
        <v>0</v>
      </c>
    </row>
    <row r="90" spans="1:9" hidden="1">
      <c r="A90" s="256" t="s">
        <v>293</v>
      </c>
      <c r="B90" s="339" t="s">
        <v>233</v>
      </c>
      <c r="C90" s="245">
        <f t="array" ref="C90">SUM(IF((Budget[Account Code]=B90)*(Budget[Ofc Code]=$G$4),(Budget[Amount])))</f>
        <v>125400</v>
      </c>
      <c r="D90" s="245">
        <f t="array" ref="D90">SUM(IF((Budget[Account Code]=B90)*(Budget[Ofc Code]=$G$4)*(Budget[Date]&lt;=$D$7),(Budget[Amount])))</f>
        <v>125400</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-125400</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39600</v>
      </c>
      <c r="D94" s="245">
        <f t="array" ref="D94">SUM(IF((Budget[Account Code]=B94)*(Budget[Ofc Code]=$G$4)*(Budget[Date]&lt;=$D$7),(Budget[Amount])))</f>
        <v>39600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-39600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37500</v>
      </c>
      <c r="D111" s="245">
        <f t="array" ref="D111">SUM(IF((Budget[Account Code]=B111)*(Budget[Ofc Code]=$G$4)*(Budget[Date]&lt;=$D$7),(Budget[Amount])))</f>
        <v>37500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-37500</v>
      </c>
      <c r="I111" s="246">
        <f t="shared" si="8"/>
        <v>0</v>
      </c>
    </row>
    <row r="112" spans="1:9" hidden="1">
      <c r="A112" s="256" t="s">
        <v>841</v>
      </c>
      <c r="B112" s="339" t="s">
        <v>251</v>
      </c>
      <c r="C112" s="245">
        <f t="array" ref="C112">SUM(IF((Budget[Account Code]=B112)*(Budget[Ofc Code]=$G$4),(Budget[Amount])))</f>
        <v>500000.04</v>
      </c>
      <c r="D112" s="245">
        <f t="array" ref="D112">SUM(IF((Budget[Account Code]=B112)*(Budget[Ofc Code]=$G$4)*(Budget[Date]&lt;=$D$7),(Budget[Amount])))</f>
        <v>500000.04</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-500000.04</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66000</v>
      </c>
      <c r="D118" s="245">
        <f t="array" ref="D118">SUM(IF((Budget[Account Code]=B118)*(Budget[Ofc Code]=$G$4)*(Budget[Date]&lt;=$D$7),(Budget[Amount])))</f>
        <v>66000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-66000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14211.18</v>
      </c>
      <c r="D125" s="245">
        <f t="array" ref="D125">SUM(IF((Budget[Account Code]=B125)*(Budget[Ofc Code]=$G$4)*(Budget[Date]&lt;=$D$7),(Budget[Amount])))</f>
        <v>14211.18</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-14211.18</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0</v>
      </c>
      <c r="D139" s="242">
        <f>SUM(D140:D143)</f>
        <v>0</v>
      </c>
      <c r="E139" s="242">
        <f>SUM(E140:E143)</f>
        <v>0</v>
      </c>
      <c r="F139" s="242">
        <f>SUM(F140:F143)</f>
        <v>0</v>
      </c>
      <c r="G139" s="242">
        <f>SUM(G140:G143)</f>
        <v>0</v>
      </c>
      <c r="H139" s="246">
        <f t="shared" si="7"/>
        <v>0</v>
      </c>
      <c r="I139" s="246">
        <f t="shared" si="8"/>
        <v>0</v>
      </c>
    </row>
    <row r="140" spans="1:9" hidden="1">
      <c r="A140" s="256" t="s">
        <v>342</v>
      </c>
      <c r="B140" s="339" t="s">
        <v>333</v>
      </c>
      <c r="C140" s="245">
        <f t="array" ref="C140">SUM(IF((Budget[Account Code]=B140)*(Budget[Ofc Code]=$G$4),(Budget[Amount])))</f>
        <v>0</v>
      </c>
      <c r="D140" s="245">
        <f t="array" ref="D140">SUM(IF((Budget[Account Code]=B140)*(Budget[Ofc Code]=$G$4)*(Budget[Date]&lt;=$D$7),(Budget[Amount])))</f>
        <v>0</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0</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1739102.94</v>
      </c>
      <c r="D147" s="250">
        <f>D50+D76+D144</f>
        <v>1739102.94</v>
      </c>
      <c r="E147" s="250">
        <f>E50+E76+E144</f>
        <v>0</v>
      </c>
      <c r="F147" s="250">
        <f>F50+F76+F144</f>
        <v>0</v>
      </c>
      <c r="G147" s="250">
        <f>G50+G76+G144</f>
        <v>0</v>
      </c>
      <c r="H147" s="250">
        <f t="shared" si="7"/>
        <v>-1739102.94</v>
      </c>
      <c r="I147" s="250">
        <f t="shared" si="8"/>
        <v>0</v>
      </c>
    </row>
    <row r="148" spans="1:9">
      <c r="A148" s="251" t="s">
        <v>785</v>
      </c>
      <c r="B148" s="338"/>
      <c r="C148" s="250">
        <f>C48-C147</f>
        <v>360897.06</v>
      </c>
      <c r="D148" s="250">
        <f>D48-D147</f>
        <v>360897.06</v>
      </c>
      <c r="E148" s="250">
        <f>E48-E147</f>
        <v>0</v>
      </c>
      <c r="F148" s="250">
        <f>F48-F147</f>
        <v>0</v>
      </c>
      <c r="G148" s="250">
        <f>G48-G147</f>
        <v>0</v>
      </c>
      <c r="H148" s="250">
        <f t="shared" si="7"/>
        <v>-360897.06</v>
      </c>
      <c r="I148" s="250">
        <f t="shared" si="8"/>
        <v>0</v>
      </c>
    </row>
    <row r="149" spans="1:9">
      <c r="A149" s="251" t="s">
        <v>749</v>
      </c>
      <c r="B149" s="338"/>
      <c r="C149" s="250">
        <f>C48/C147</f>
        <v>1.21</v>
      </c>
      <c r="D149" s="250">
        <f>D48/D147</f>
        <v>1.21</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360897.06</v>
      </c>
      <c r="D152" s="250">
        <f>D148+D150+D151</f>
        <v>360897.06</v>
      </c>
      <c r="E152" s="250">
        <f>E148+E150+E151</f>
        <v>0</v>
      </c>
      <c r="F152" s="250">
        <f>F148+F150+F151</f>
        <v>0</v>
      </c>
      <c r="G152" s="250">
        <f>G148+G150+G151</f>
        <v>0</v>
      </c>
      <c r="H152" s="250">
        <f t="shared" si="7"/>
        <v>-360897.06</v>
      </c>
      <c r="I152" s="250">
        <f t="shared" si="8"/>
        <v>0</v>
      </c>
    </row>
    <row r="153" spans="1:9">
      <c r="A153" s="251" t="s">
        <v>749</v>
      </c>
      <c r="B153" s="338"/>
      <c r="C153" s="250">
        <f>C48/(C147-C150-C151)</f>
        <v>1.21</v>
      </c>
      <c r="D153" s="250">
        <f>D48/(D147-D150-D151)</f>
        <v>1.21</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26806</v>
      </c>
      <c r="D156" s="245">
        <f t="array" ref="D156">SUM(IF((Budget[Account Code]=B156)*(Budget[Ofc Code]=$G$4)*(Budget[Date]&lt;=$D$7),(Budget[Amount])))</f>
        <v>26806</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-26806</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0</v>
      </c>
      <c r="D158" s="245">
        <f t="array" ref="D158">SUM(IF((Budget[Account Code]=B158)*(Budget[Ofc Code]=$G$4)*(Budget[Date]&lt;=$D$7),(Budget[Amount])))</f>
        <v>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26806</v>
      </c>
      <c r="D164" s="250">
        <f>SUM(D155:D163)</f>
        <v>26806</v>
      </c>
      <c r="E164" s="250">
        <f>SUM(E155:E163)</f>
        <v>0</v>
      </c>
      <c r="F164" s="250">
        <f>SUM(F155:F163)</f>
        <v>0</v>
      </c>
      <c r="G164" s="250">
        <f>SUM(G155:G163)</f>
        <v>0</v>
      </c>
      <c r="H164" s="250">
        <f t="shared" si="10"/>
        <v>-26806</v>
      </c>
      <c r="I164" s="250">
        <f t="shared" si="11"/>
        <v>0</v>
      </c>
    </row>
    <row r="165" spans="1:9">
      <c r="A165" s="251" t="s">
        <v>788</v>
      </c>
      <c r="B165" s="338"/>
      <c r="C165" s="250">
        <f>C147+C164</f>
        <v>1765908.94</v>
      </c>
      <c r="D165" s="250">
        <f>D147+D164</f>
        <v>1765908.94</v>
      </c>
      <c r="E165" s="250">
        <f>E147+E164</f>
        <v>0</v>
      </c>
      <c r="F165" s="250">
        <f>F147+F164</f>
        <v>0</v>
      </c>
      <c r="G165" s="250">
        <f>G147+G164</f>
        <v>0</v>
      </c>
      <c r="H165" s="250">
        <f t="shared" si="10"/>
        <v>-1765908.94</v>
      </c>
      <c r="I165" s="250">
        <f t="shared" si="11"/>
        <v>0</v>
      </c>
    </row>
    <row r="166" spans="1:9">
      <c r="A166" s="251" t="s">
        <v>785</v>
      </c>
      <c r="B166" s="338"/>
      <c r="C166" s="250">
        <f>C48-C165</f>
        <v>334091.06</v>
      </c>
      <c r="D166" s="250">
        <f>D48-D165</f>
        <v>334091.06</v>
      </c>
      <c r="E166" s="250">
        <f>E48-E165</f>
        <v>0</v>
      </c>
      <c r="F166" s="250">
        <f>F48-F165</f>
        <v>0</v>
      </c>
      <c r="G166" s="250">
        <f>G48-G165</f>
        <v>0</v>
      </c>
      <c r="H166" s="250">
        <f t="shared" si="10"/>
        <v>-334091.06</v>
      </c>
      <c r="I166" s="250">
        <f t="shared" si="11"/>
        <v>0</v>
      </c>
    </row>
    <row r="167" spans="1:9">
      <c r="A167" s="251" t="s">
        <v>749</v>
      </c>
      <c r="B167" s="338"/>
      <c r="C167" s="250">
        <f>C48/C165</f>
        <v>1.19</v>
      </c>
      <c r="D167" s="250">
        <f>D48/D165</f>
        <v>1.19</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334091.06</v>
      </c>
      <c r="D170" s="250">
        <f>D166+D168+D169</f>
        <v>334091.06</v>
      </c>
      <c r="E170" s="250">
        <f>E166+E168+E169</f>
        <v>0</v>
      </c>
      <c r="F170" s="250">
        <f>F166+F168+F169</f>
        <v>0</v>
      </c>
      <c r="G170" s="250">
        <f>G166+G168+G169</f>
        <v>0</v>
      </c>
      <c r="H170" s="250">
        <f t="shared" si="10"/>
        <v>-334091.06</v>
      </c>
      <c r="I170" s="250">
        <f t="shared" si="11"/>
        <v>0</v>
      </c>
    </row>
    <row r="171" spans="1:9">
      <c r="A171" s="251" t="s">
        <v>792</v>
      </c>
      <c r="B171" s="338"/>
      <c r="C171" s="250">
        <f>C48/(C165-C168-C169)</f>
        <v>1.19</v>
      </c>
      <c r="D171" s="250">
        <f>D48/(D165-D168-D169)</f>
        <v>1.19</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1765908.94</v>
      </c>
      <c r="D178" s="250">
        <f>D165+D177</f>
        <v>1765908.94</v>
      </c>
      <c r="E178" s="250">
        <f>E165+E177</f>
        <v>0</v>
      </c>
      <c r="F178" s="250">
        <f>F165+F177</f>
        <v>0</v>
      </c>
      <c r="G178" s="250">
        <f>G165+G177</f>
        <v>0</v>
      </c>
      <c r="H178" s="250">
        <f t="shared" si="12"/>
        <v>-1765908.94</v>
      </c>
      <c r="I178" s="250">
        <f t="shared" si="13"/>
        <v>0</v>
      </c>
    </row>
    <row r="179" spans="1:9">
      <c r="A179" s="251" t="s">
        <v>785</v>
      </c>
      <c r="B179" s="338"/>
      <c r="C179" s="250">
        <f>C48-C178</f>
        <v>334091.06</v>
      </c>
      <c r="D179" s="250">
        <f>D48-D178</f>
        <v>334091.06</v>
      </c>
      <c r="E179" s="250">
        <f>E48-E178</f>
        <v>0</v>
      </c>
      <c r="F179" s="250">
        <f>F48-F178</f>
        <v>0</v>
      </c>
      <c r="G179" s="250">
        <f>G48-G178</f>
        <v>0</v>
      </c>
      <c r="H179" s="250">
        <f t="shared" si="12"/>
        <v>-334091.06</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1.19</v>
      </c>
      <c r="D184" s="265">
        <f>D48/(D178-D181-D182)</f>
        <v>1.19</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Norte SULVEC</v>
      </c>
      <c r="C4" s="332"/>
      <c r="G4" s="331" t="s">
        <v>505</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0</v>
      </c>
      <c r="D15" s="248">
        <f>SUM(D16:D18)</f>
        <v>0</v>
      </c>
      <c r="E15" s="248">
        <f>SUM(E16:E18)</f>
        <v>0</v>
      </c>
      <c r="F15" s="248">
        <f>SUM(F16:F18)</f>
        <v>0</v>
      </c>
      <c r="G15" s="248">
        <f>SUM(G16:G18)</f>
        <v>0</v>
      </c>
      <c r="H15" s="242">
        <f t="shared" si="0"/>
        <v>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0</v>
      </c>
      <c r="D24" s="250">
        <f>D9+D15+D19</f>
        <v>0</v>
      </c>
      <c r="E24" s="250">
        <f>E9+E15+E19</f>
        <v>0</v>
      </c>
      <c r="F24" s="250">
        <f>F9+F15+F19</f>
        <v>0</v>
      </c>
      <c r="G24" s="250">
        <f>G9+G15+G19</f>
        <v>0</v>
      </c>
      <c r="H24" s="250">
        <f t="shared" si="0"/>
        <v>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0</v>
      </c>
      <c r="D47" s="250">
        <f>D26+D27+D32+D36+D46</f>
        <v>0</v>
      </c>
      <c r="E47" s="250">
        <f>E26+E27+E32+E36+E46</f>
        <v>0</v>
      </c>
      <c r="F47" s="250">
        <f>F26+F27+F32+F36+F46</f>
        <v>0</v>
      </c>
      <c r="G47" s="250">
        <f>G26+G27+G32+G36+G46</f>
        <v>0</v>
      </c>
      <c r="H47" s="250">
        <f t="shared" si="2"/>
        <v>0</v>
      </c>
      <c r="I47" s="250">
        <f t="shared" si="3"/>
        <v>0</v>
      </c>
    </row>
    <row r="48" spans="1:9">
      <c r="A48" s="251" t="s">
        <v>813</v>
      </c>
      <c r="B48" s="338"/>
      <c r="C48" s="250">
        <f>C24+C47</f>
        <v>0</v>
      </c>
      <c r="D48" s="250">
        <f>D24+D47</f>
        <v>0</v>
      </c>
      <c r="E48" s="250">
        <f>E24+E47</f>
        <v>0</v>
      </c>
      <c r="F48" s="250">
        <f>F24+F47</f>
        <v>0</v>
      </c>
      <c r="G48" s="250">
        <f>G24+G47</f>
        <v>0</v>
      </c>
      <c r="H48" s="250">
        <f t="shared" si="2"/>
        <v>0</v>
      </c>
      <c r="I48" s="250">
        <f t="shared" si="3"/>
        <v>0</v>
      </c>
    </row>
    <row r="49" spans="1:9">
      <c r="A49" s="239" t="s">
        <v>812</v>
      </c>
      <c r="B49" s="337"/>
      <c r="C49" s="240"/>
      <c r="D49" s="240"/>
      <c r="E49" s="240"/>
      <c r="F49" s="240"/>
      <c r="G49" s="246"/>
      <c r="H49" s="246"/>
      <c r="I49" s="246"/>
    </row>
    <row r="50" spans="1:9">
      <c r="A50" s="239" t="s">
        <v>811</v>
      </c>
      <c r="B50" s="337"/>
      <c r="C50" s="242">
        <f>C51+C75</f>
        <v>8051088.4800000004</v>
      </c>
      <c r="D50" s="242">
        <f>D51+D75</f>
        <v>8051088.4800000004</v>
      </c>
      <c r="E50" s="242">
        <f>E51+E75</f>
        <v>0</v>
      </c>
      <c r="F50" s="242">
        <f>F51+F75</f>
        <v>0</v>
      </c>
      <c r="G50" s="242">
        <f>G51+G75</f>
        <v>0</v>
      </c>
      <c r="H50" s="242">
        <f t="shared" si="2"/>
        <v>-8051088.4800000004</v>
      </c>
      <c r="I50" s="242">
        <f t="shared" si="3"/>
        <v>0</v>
      </c>
    </row>
    <row r="51" spans="1:9">
      <c r="A51" s="243" t="s">
        <v>806</v>
      </c>
      <c r="B51" s="337"/>
      <c r="C51" s="246">
        <f>SUM(C52:C74)</f>
        <v>8051088.4800000004</v>
      </c>
      <c r="D51" s="246">
        <f>SUM(D52:D74)</f>
        <v>8051088.4800000004</v>
      </c>
      <c r="E51" s="246">
        <f>SUM(E52:E74)</f>
        <v>0</v>
      </c>
      <c r="F51" s="246">
        <f>SUM(F52:F74)</f>
        <v>0</v>
      </c>
      <c r="G51" s="246">
        <f>SUM(G52:G74)</f>
        <v>0</v>
      </c>
      <c r="H51" s="246">
        <f t="shared" si="2"/>
        <v>-8051088.4800000004</v>
      </c>
      <c r="I51" s="246">
        <f t="shared" si="3"/>
        <v>0</v>
      </c>
    </row>
    <row r="52" spans="1:9" hidden="1">
      <c r="A52" s="247" t="s">
        <v>194</v>
      </c>
      <c r="B52" s="339" t="s">
        <v>162</v>
      </c>
      <c r="C52" s="245">
        <f t="array" ref="C52">SUM(IF((Budget[Account Code]=B52)*(Budget[Ofc Code]=$G$4),(Budget[Amount])))</f>
        <v>3919953</v>
      </c>
      <c r="D52" s="245">
        <f t="array" ref="D52">SUM(IF((Budget[Account Code]=B52)*(Budget[Ofc Code]=$G$4)*(Budget[Date]&lt;=$D$7),(Budget[Amount])))</f>
        <v>3919953</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-3919953</v>
      </c>
      <c r="I52" s="246">
        <f t="shared" si="3"/>
        <v>0</v>
      </c>
    </row>
    <row r="53" spans="1:9" hidden="1">
      <c r="A53" s="247" t="s">
        <v>195</v>
      </c>
      <c r="B53" s="339" t="s">
        <v>163</v>
      </c>
      <c r="C53" s="245">
        <f t="array" ref="C53">SUM(IF((Budget[Account Code]=B53)*(Budget[Ofc Code]=$G$4),(Budget[Amount])))</f>
        <v>1713576</v>
      </c>
      <c r="D53" s="245">
        <f t="array" ref="D53">SUM(IF((Budget[Account Code]=B53)*(Budget[Ofc Code]=$G$4)*(Budget[Date]&lt;=$D$7),(Budget[Amount])))</f>
        <v>1713576</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-1713576</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504000</v>
      </c>
      <c r="D55" s="245">
        <f t="array" ref="D55">SUM(IF((Budget[Account Code]=B55)*(Budget[Ofc Code]=$G$4)*(Budget[Date]&lt;=$D$7),(Budget[Amount])))</f>
        <v>504000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-504000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105000</v>
      </c>
      <c r="D58" s="245">
        <f t="array" ref="D58">SUM(IF((Budget[Account Code]=B58)*(Budget[Ofc Code]=$G$4)*(Budget[Date]&lt;=$D$7),(Budget[Amount])))</f>
        <v>105000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-105000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0</v>
      </c>
      <c r="D61" s="245">
        <f t="array" ref="D61">SUM(IF((Budget[Account Code]=B61)*(Budget[Ofc Code]=$G$4)*(Budget[Date]&lt;=$D$7),(Budget[Amount])))</f>
        <v>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0</v>
      </c>
      <c r="I61" s="246">
        <f t="shared" si="3"/>
        <v>0</v>
      </c>
    </row>
    <row r="62" spans="1:9" hidden="1">
      <c r="A62" s="247" t="s">
        <v>202</v>
      </c>
      <c r="B62" s="339" t="s">
        <v>6</v>
      </c>
      <c r="C62" s="245">
        <f t="array" ref="C62">SUM(IF((Budget[Account Code]=B62)*(Budget[Ofc Code]=$G$4),(Budget[Amount])))</f>
        <v>0</v>
      </c>
      <c r="D62" s="245">
        <f t="array" ref="D62">SUM(IF((Budget[Account Code]=B62)*(Budget[Ofc Code]=$G$4)*(Budget[Date]&lt;=$D$7),(Budget[Amount])))</f>
        <v>0</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0</v>
      </c>
      <c r="I62" s="246">
        <f t="shared" si="3"/>
        <v>0</v>
      </c>
    </row>
    <row r="63" spans="1:9" hidden="1">
      <c r="A63" s="247" t="s">
        <v>203</v>
      </c>
      <c r="B63" s="339" t="s">
        <v>7</v>
      </c>
      <c r="C63" s="245">
        <f t="array" ref="C63">SUM(IF((Budget[Account Code]=B63)*(Budget[Ofc Code]=$G$4),(Budget[Amount])))</f>
        <v>0</v>
      </c>
      <c r="D63" s="245">
        <f t="array" ref="D63">SUM(IF((Budget[Account Code]=B63)*(Budget[Ofc Code]=$G$4)*(Budget[Date]&lt;=$D$7),(Budget[Amount])))</f>
        <v>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105000</v>
      </c>
      <c r="D67" s="245">
        <f t="array" ref="D67">SUM(IF((Budget[Account Code]=B67)*(Budget[Ofc Code]=$G$4)*(Budget[Date]&lt;=$D$7),(Budget[Amount])))</f>
        <v>105000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-105000</v>
      </c>
      <c r="I67" s="246">
        <f t="shared" si="3"/>
        <v>0</v>
      </c>
    </row>
    <row r="68" spans="1:9" hidden="1">
      <c r="A68" s="247" t="s">
        <v>207</v>
      </c>
      <c r="B68" s="339" t="s">
        <v>174</v>
      </c>
      <c r="C68" s="245">
        <f t="array" ref="C68">SUM(IF((Budget[Account Code]=B68)*(Budget[Ofc Code]=$G$4),(Budget[Amount])))</f>
        <v>939186</v>
      </c>
      <c r="D68" s="245">
        <f t="array" ref="D68">SUM(IF((Budget[Account Code]=B68)*(Budget[Ofc Code]=$G$4)*(Budget[Date]&lt;=$D$7),(Budget[Amount])))</f>
        <v>939186</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-939186</v>
      </c>
      <c r="I68" s="246">
        <f t="shared" si="3"/>
        <v>0</v>
      </c>
    </row>
    <row r="69" spans="1:9" hidden="1">
      <c r="A69" s="247" t="s">
        <v>208</v>
      </c>
      <c r="B69" s="339" t="s">
        <v>175</v>
      </c>
      <c r="C69" s="245">
        <f t="array" ref="C69">SUM(IF((Budget[Account Code]=B69)*(Budget[Ofc Code]=$G$4),(Budget[Amount])))</f>
        <v>676023.48</v>
      </c>
      <c r="D69" s="245">
        <f t="array" ref="D69">SUM(IF((Budget[Account Code]=B69)*(Budget[Ofc Code]=$G$4)*(Budget[Date]&lt;=$D$7),(Budget[Amount])))</f>
        <v>676023.48</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-676023.48</v>
      </c>
      <c r="I69" s="246">
        <f t="shared" si="3"/>
        <v>0</v>
      </c>
    </row>
    <row r="70" spans="1:9" hidden="1">
      <c r="A70" s="247" t="s">
        <v>209</v>
      </c>
      <c r="B70" s="339" t="s">
        <v>176</v>
      </c>
      <c r="C70" s="245">
        <f t="array" ref="C70">SUM(IF((Budget[Account Code]=B70)*(Budget[Ofc Code]=$G$4),(Budget[Amount])))</f>
        <v>25200</v>
      </c>
      <c r="D70" s="245">
        <f t="array" ref="D70">SUM(IF((Budget[Account Code]=B70)*(Budget[Ofc Code]=$G$4)*(Budget[Date]&lt;=$D$7),(Budget[Amount])))</f>
        <v>25200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-25200</v>
      </c>
      <c r="I70" s="246">
        <f t="shared" si="3"/>
        <v>0</v>
      </c>
    </row>
    <row r="71" spans="1:9" hidden="1">
      <c r="A71" s="247" t="s">
        <v>210</v>
      </c>
      <c r="B71" s="339" t="s">
        <v>177</v>
      </c>
      <c r="C71" s="245">
        <f t="array" ref="C71">SUM(IF((Budget[Account Code]=B71)*(Budget[Ofc Code]=$G$4),(Budget[Amount])))</f>
        <v>37950</v>
      </c>
      <c r="D71" s="245">
        <f t="array" ref="D71">SUM(IF((Budget[Account Code]=B71)*(Budget[Ofc Code]=$G$4)*(Budget[Date]&lt;=$D$7),(Budget[Amount])))</f>
        <v>37950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-37950</v>
      </c>
      <c r="I71" s="246">
        <f t="shared" si="3"/>
        <v>0</v>
      </c>
    </row>
    <row r="72" spans="1:9" hidden="1">
      <c r="A72" s="247" t="s">
        <v>211</v>
      </c>
      <c r="B72" s="339" t="s">
        <v>178</v>
      </c>
      <c r="C72" s="245">
        <f t="array" ref="C72">SUM(IF((Budget[Account Code]=B72)*(Budget[Ofc Code]=$G$4),(Budget[Amount])))</f>
        <v>25200</v>
      </c>
      <c r="D72" s="245">
        <f t="array" ref="D72">SUM(IF((Budget[Account Code]=B72)*(Budget[Ofc Code]=$G$4)*(Budget[Date]&lt;=$D$7),(Budget[Amount])))</f>
        <v>25200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-25200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0</v>
      </c>
      <c r="D76" s="252">
        <f>D77+D139</f>
        <v>0</v>
      </c>
      <c r="E76" s="252">
        <f>E77+E139</f>
        <v>0</v>
      </c>
      <c r="F76" s="252">
        <f>F77+F139</f>
        <v>0</v>
      </c>
      <c r="G76" s="252">
        <f>G77+G139</f>
        <v>0</v>
      </c>
      <c r="H76" s="242">
        <f t="shared" si="2"/>
        <v>0</v>
      </c>
      <c r="I76" s="242">
        <f t="shared" si="3"/>
        <v>0</v>
      </c>
    </row>
    <row r="77" spans="1:9">
      <c r="A77" s="253" t="s">
        <v>809</v>
      </c>
      <c r="B77" s="337"/>
      <c r="C77" s="254">
        <f>C78+C138</f>
        <v>0</v>
      </c>
      <c r="D77" s="254">
        <f>D78+D138</f>
        <v>0</v>
      </c>
      <c r="E77" s="254">
        <f>E78+E138</f>
        <v>0</v>
      </c>
      <c r="F77" s="254">
        <f>F78+F138</f>
        <v>0</v>
      </c>
      <c r="G77" s="254">
        <f>G78+G138</f>
        <v>0</v>
      </c>
      <c r="H77" s="246">
        <f t="shared" si="2"/>
        <v>0</v>
      </c>
      <c r="I77" s="246">
        <f t="shared" si="3"/>
        <v>0</v>
      </c>
    </row>
    <row r="78" spans="1:9">
      <c r="A78" s="255" t="s">
        <v>806</v>
      </c>
      <c r="B78" s="337"/>
      <c r="C78" s="246">
        <f>SUM(C79:C137)</f>
        <v>0</v>
      </c>
      <c r="D78" s="246">
        <f>SUM(D79:D137)</f>
        <v>0</v>
      </c>
      <c r="E78" s="246">
        <f>SUM(E79:E137)</f>
        <v>0</v>
      </c>
      <c r="F78" s="246">
        <f>SUM(F79:F137)</f>
        <v>0</v>
      </c>
      <c r="G78" s="246">
        <f>SUM(G79:G137)</f>
        <v>0</v>
      </c>
      <c r="H78" s="246">
        <f t="shared" si="2"/>
        <v>0</v>
      </c>
      <c r="I78" s="246">
        <f t="shared" si="3"/>
        <v>0</v>
      </c>
    </row>
    <row r="79" spans="1:9" hidden="1">
      <c r="A79" s="256" t="s">
        <v>284</v>
      </c>
      <c r="B79" s="339" t="s">
        <v>223</v>
      </c>
      <c r="C79" s="245">
        <f t="array" ref="C79">SUM(IF((Budget[Account Code]=B79)*(Budget[Ofc Code]=$G$4),(Budget[Amount])))</f>
        <v>0</v>
      </c>
      <c r="D79" s="245">
        <f t="array" ref="D79">SUM(IF((Budget[Account Code]=B79)*(Budget[Ofc Code]=$G$4)*(Budget[Date]&lt;=$D$7),(Budget[Amount])))</f>
        <v>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0</v>
      </c>
      <c r="D82" s="245">
        <f t="array" ref="D82">SUM(IF((Budget[Account Code]=B82)*(Budget[Ofc Code]=$G$4)*(Budget[Date]&lt;=$D$7),(Budget[Amount])))</f>
        <v>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0</v>
      </c>
      <c r="D86" s="245">
        <f t="array" ref="D86">SUM(IF((Budget[Account Code]=B86)*(Budget[Ofc Code]=$G$4)*(Budget[Date]&lt;=$D$7),(Budget[Amount])))</f>
        <v>0</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0</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0</v>
      </c>
      <c r="D88" s="245">
        <f t="array" ref="D88">SUM(IF((Budget[Account Code]=B88)*(Budget[Ofc Code]=$G$4)*(Budget[Date]&lt;=$D$7),(Budget[Amount])))</f>
        <v>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0</v>
      </c>
      <c r="I88" s="246">
        <f t="shared" si="3"/>
        <v>0</v>
      </c>
    </row>
    <row r="89" spans="1:9" hidden="1">
      <c r="A89" s="256" t="s">
        <v>292</v>
      </c>
      <c r="B89" s="339" t="s">
        <v>232</v>
      </c>
      <c r="C89" s="245">
        <f t="array" ref="C89">SUM(IF((Budget[Account Code]=B89)*(Budget[Ofc Code]=$G$4),(Budget[Amount])))</f>
        <v>0</v>
      </c>
      <c r="D89" s="245">
        <f t="array" ref="D89">SUM(IF((Budget[Account Code]=B89)*(Budget[Ofc Code]=$G$4)*(Budget[Date]&lt;=$D$7),(Budget[Amount])))</f>
        <v>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0</v>
      </c>
      <c r="I89" s="246">
        <f t="shared" si="3"/>
        <v>0</v>
      </c>
    </row>
    <row r="90" spans="1:9" hidden="1">
      <c r="A90" s="256" t="s">
        <v>293</v>
      </c>
      <c r="B90" s="339" t="s">
        <v>233</v>
      </c>
      <c r="C90" s="245">
        <f t="array" ref="C90">SUM(IF((Budget[Account Code]=B90)*(Budget[Ofc Code]=$G$4),(Budget[Amount])))</f>
        <v>0</v>
      </c>
      <c r="D90" s="245">
        <f t="array" ref="D90">SUM(IF((Budget[Account Code]=B90)*(Budget[Ofc Code]=$G$4)*(Budget[Date]&lt;=$D$7),(Budget[Amount])))</f>
        <v>0</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0</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0</v>
      </c>
      <c r="D94" s="245">
        <f t="array" ref="D94">SUM(IF((Budget[Account Code]=B94)*(Budget[Ofc Code]=$G$4)*(Budget[Date]&lt;=$D$7),(Budget[Amount])))</f>
        <v>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0</v>
      </c>
      <c r="D118" s="245">
        <f t="array" ref="D118">SUM(IF((Budget[Account Code]=B118)*(Budget[Ofc Code]=$G$4)*(Budget[Date]&lt;=$D$7),(Budget[Amount])))</f>
        <v>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0</v>
      </c>
      <c r="D125" s="245">
        <f t="array" ref="D125">SUM(IF((Budget[Account Code]=B125)*(Budget[Ofc Code]=$G$4)*(Budget[Date]&lt;=$D$7),(Budget[Amount])))</f>
        <v>0</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0</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0</v>
      </c>
      <c r="D139" s="242">
        <f>SUM(D140:D143)</f>
        <v>0</v>
      </c>
      <c r="E139" s="242">
        <f>SUM(E140:E143)</f>
        <v>0</v>
      </c>
      <c r="F139" s="242">
        <f>SUM(F140:F143)</f>
        <v>0</v>
      </c>
      <c r="G139" s="242">
        <f>SUM(G140:G143)</f>
        <v>0</v>
      </c>
      <c r="H139" s="246">
        <f t="shared" si="7"/>
        <v>0</v>
      </c>
      <c r="I139" s="246">
        <f t="shared" si="8"/>
        <v>0</v>
      </c>
    </row>
    <row r="140" spans="1:9" hidden="1">
      <c r="A140" s="256" t="s">
        <v>342</v>
      </c>
      <c r="B140" s="339" t="s">
        <v>333</v>
      </c>
      <c r="C140" s="245">
        <f t="array" ref="C140">SUM(IF((Budget[Account Code]=B140)*(Budget[Ofc Code]=$G$4),(Budget[Amount])))</f>
        <v>0</v>
      </c>
      <c r="D140" s="245">
        <f t="array" ref="D140">SUM(IF((Budget[Account Code]=B140)*(Budget[Ofc Code]=$G$4)*(Budget[Date]&lt;=$D$7),(Budget[Amount])))</f>
        <v>0</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0</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8051088.4800000004</v>
      </c>
      <c r="D147" s="250">
        <f>D50+D76+D144</f>
        <v>8051088.4800000004</v>
      </c>
      <c r="E147" s="250">
        <f>E50+E76+E144</f>
        <v>0</v>
      </c>
      <c r="F147" s="250">
        <f>F50+F76+F144</f>
        <v>0</v>
      </c>
      <c r="G147" s="250">
        <f>G50+G76+G144</f>
        <v>0</v>
      </c>
      <c r="H147" s="250">
        <f t="shared" si="7"/>
        <v>-8051088.4800000004</v>
      </c>
      <c r="I147" s="250">
        <f t="shared" si="8"/>
        <v>0</v>
      </c>
    </row>
    <row r="148" spans="1:9">
      <c r="A148" s="251" t="s">
        <v>785</v>
      </c>
      <c r="B148" s="338"/>
      <c r="C148" s="250">
        <f>C48-C147</f>
        <v>-8051088.4800000004</v>
      </c>
      <c r="D148" s="250">
        <f>D48-D147</f>
        <v>-8051088.4800000004</v>
      </c>
      <c r="E148" s="250">
        <f>E48-E147</f>
        <v>0</v>
      </c>
      <c r="F148" s="250">
        <f>F48-F147</f>
        <v>0</v>
      </c>
      <c r="G148" s="250">
        <f>G48-G147</f>
        <v>0</v>
      </c>
      <c r="H148" s="250">
        <f t="shared" si="7"/>
        <v>8051088.4800000004</v>
      </c>
      <c r="I148" s="250">
        <f t="shared" si="8"/>
        <v>0</v>
      </c>
    </row>
    <row r="149" spans="1:9">
      <c r="A149" s="251" t="s">
        <v>749</v>
      </c>
      <c r="B149" s="338"/>
      <c r="C149" s="250">
        <f>C48/C147</f>
        <v>0</v>
      </c>
      <c r="D149" s="250">
        <f>D48/D147</f>
        <v>0</v>
      </c>
      <c r="E149" s="250" t="e">
        <f>E48/E147</f>
        <v>#DIV/0!</v>
      </c>
      <c r="F149" s="250" t="e">
        <f>F48/F147</f>
        <v>#DIV/0!</v>
      </c>
      <c r="G149" s="250" t="e">
        <f>G48/G147</f>
        <v>#DIV/0!</v>
      </c>
      <c r="H149" s="250" t="e">
        <f t="shared" si="7"/>
        <v>#DIV/0!</v>
      </c>
      <c r="I149" s="250">
        <f t="shared" si="8"/>
        <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-8051088.4800000004</v>
      </c>
      <c r="D152" s="250">
        <f>D148+D150+D151</f>
        <v>-8051088.4800000004</v>
      </c>
      <c r="E152" s="250">
        <f>E148+E150+E151</f>
        <v>0</v>
      </c>
      <c r="F152" s="250">
        <f>F148+F150+F151</f>
        <v>0</v>
      </c>
      <c r="G152" s="250">
        <f>G148+G150+G151</f>
        <v>0</v>
      </c>
      <c r="H152" s="250">
        <f t="shared" si="7"/>
        <v>8051088.4800000004</v>
      </c>
      <c r="I152" s="250">
        <f t="shared" si="8"/>
        <v>0</v>
      </c>
    </row>
    <row r="153" spans="1:9">
      <c r="A153" s="251" t="s">
        <v>749</v>
      </c>
      <c r="B153" s="338"/>
      <c r="C153" s="250">
        <f>C48/(C147-C150-C151)</f>
        <v>0</v>
      </c>
      <c r="D153" s="250">
        <f>D48/(D147-D150-D151)</f>
        <v>0</v>
      </c>
      <c r="E153" s="250" t="e">
        <f>E48/(E147-E150-E151)</f>
        <v>#DIV/0!</v>
      </c>
      <c r="F153" s="250" t="e">
        <f>F48/(F147-F150-F151)</f>
        <v>#DIV/0!</v>
      </c>
      <c r="G153" s="250" t="e">
        <f>G48/(G147-G150-G151)</f>
        <v>#DIV/0!</v>
      </c>
      <c r="H153" s="250" t="e">
        <f t="shared" si="7"/>
        <v>#DIV/0!</v>
      </c>
      <c r="I153" s="250">
        <f t="shared" si="8"/>
        <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470497</v>
      </c>
      <c r="D156" s="245">
        <f t="array" ref="D156">SUM(IF((Budget[Account Code]=B156)*(Budget[Ofc Code]=$G$4)*(Budget[Date]&lt;=$D$7),(Budget[Amount])))</f>
        <v>470497</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-470497</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20000</v>
      </c>
      <c r="D158" s="245">
        <f t="array" ref="D158">SUM(IF((Budget[Account Code]=B158)*(Budget[Ofc Code]=$G$4)*(Budget[Date]&lt;=$D$7),(Budget[Amount])))</f>
        <v>20000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-20000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490497</v>
      </c>
      <c r="D164" s="250">
        <f>SUM(D155:D163)</f>
        <v>490497</v>
      </c>
      <c r="E164" s="250">
        <f>SUM(E155:E163)</f>
        <v>0</v>
      </c>
      <c r="F164" s="250">
        <f>SUM(F155:F163)</f>
        <v>0</v>
      </c>
      <c r="G164" s="250">
        <f>SUM(G155:G163)</f>
        <v>0</v>
      </c>
      <c r="H164" s="250">
        <f t="shared" si="10"/>
        <v>-490497</v>
      </c>
      <c r="I164" s="250">
        <f t="shared" si="11"/>
        <v>0</v>
      </c>
    </row>
    <row r="165" spans="1:9">
      <c r="A165" s="251" t="s">
        <v>788</v>
      </c>
      <c r="B165" s="338"/>
      <c r="C165" s="250">
        <f>C147+C164</f>
        <v>8541585.4800000004</v>
      </c>
      <c r="D165" s="250">
        <f>D147+D164</f>
        <v>8541585.4800000004</v>
      </c>
      <c r="E165" s="250">
        <f>E147+E164</f>
        <v>0</v>
      </c>
      <c r="F165" s="250">
        <f>F147+F164</f>
        <v>0</v>
      </c>
      <c r="G165" s="250">
        <f>G147+G164</f>
        <v>0</v>
      </c>
      <c r="H165" s="250">
        <f t="shared" si="10"/>
        <v>-8541585.4800000004</v>
      </c>
      <c r="I165" s="250">
        <f t="shared" si="11"/>
        <v>0</v>
      </c>
    </row>
    <row r="166" spans="1:9">
      <c r="A166" s="251" t="s">
        <v>785</v>
      </c>
      <c r="B166" s="338"/>
      <c r="C166" s="250">
        <f>C48-C165</f>
        <v>-8541585.4800000004</v>
      </c>
      <c r="D166" s="250">
        <f>D48-D165</f>
        <v>-8541585.4800000004</v>
      </c>
      <c r="E166" s="250">
        <f>E48-E165</f>
        <v>0</v>
      </c>
      <c r="F166" s="250">
        <f>F48-F165</f>
        <v>0</v>
      </c>
      <c r="G166" s="250">
        <f>G48-G165</f>
        <v>0</v>
      </c>
      <c r="H166" s="250">
        <f t="shared" si="10"/>
        <v>8541585.4800000004</v>
      </c>
      <c r="I166" s="250">
        <f t="shared" si="11"/>
        <v>0</v>
      </c>
    </row>
    <row r="167" spans="1:9">
      <c r="A167" s="251" t="s">
        <v>749</v>
      </c>
      <c r="B167" s="338"/>
      <c r="C167" s="250">
        <f>C48/C165</f>
        <v>0</v>
      </c>
      <c r="D167" s="250">
        <f>D48/D165</f>
        <v>0</v>
      </c>
      <c r="E167" s="250" t="e">
        <f>E48/E165</f>
        <v>#DIV/0!</v>
      </c>
      <c r="F167" s="250" t="e">
        <f>F48/F165</f>
        <v>#DIV/0!</v>
      </c>
      <c r="G167" s="250" t="e">
        <f>G48/G165</f>
        <v>#DIV/0!</v>
      </c>
      <c r="H167" s="250" t="e">
        <f t="shared" si="10"/>
        <v>#DIV/0!</v>
      </c>
      <c r="I167" s="250">
        <f t="shared" si="11"/>
        <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-8541585.4800000004</v>
      </c>
      <c r="D170" s="250">
        <f>D166+D168+D169</f>
        <v>-8541585.4800000004</v>
      </c>
      <c r="E170" s="250">
        <f>E166+E168+E169</f>
        <v>0</v>
      </c>
      <c r="F170" s="250">
        <f>F166+F168+F169</f>
        <v>0</v>
      </c>
      <c r="G170" s="250">
        <f>G166+G168+G169</f>
        <v>0</v>
      </c>
      <c r="H170" s="250">
        <f t="shared" si="10"/>
        <v>8541585.4800000004</v>
      </c>
      <c r="I170" s="250">
        <f t="shared" si="11"/>
        <v>0</v>
      </c>
    </row>
    <row r="171" spans="1:9">
      <c r="A171" s="251" t="s">
        <v>792</v>
      </c>
      <c r="B171" s="338"/>
      <c r="C171" s="250">
        <f>C48/(C165-C168-C169)</f>
        <v>0</v>
      </c>
      <c r="D171" s="250">
        <f>D48/(D165-D168-D169)</f>
        <v>0</v>
      </c>
      <c r="E171" s="250" t="e">
        <f>E48/(E165-E168-E169)</f>
        <v>#DIV/0!</v>
      </c>
      <c r="F171" s="250" t="e">
        <f>F48/(F165-F168-F169)</f>
        <v>#DIV/0!</v>
      </c>
      <c r="G171" s="250" t="e">
        <f>G48/(G165-G168-G169)</f>
        <v>#DIV/0!</v>
      </c>
      <c r="H171" s="250" t="e">
        <f t="shared" si="10"/>
        <v>#DIV/0!</v>
      </c>
      <c r="I171" s="250">
        <f t="shared" si="11"/>
        <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8541585.4800000004</v>
      </c>
      <c r="D178" s="250">
        <f>D165+D177</f>
        <v>8541585.4800000004</v>
      </c>
      <c r="E178" s="250">
        <f>E165+E177</f>
        <v>0</v>
      </c>
      <c r="F178" s="250">
        <f>F165+F177</f>
        <v>0</v>
      </c>
      <c r="G178" s="250">
        <f>G165+G177</f>
        <v>0</v>
      </c>
      <c r="H178" s="250">
        <f t="shared" si="12"/>
        <v>-8541585.4800000004</v>
      </c>
      <c r="I178" s="250">
        <f t="shared" si="13"/>
        <v>0</v>
      </c>
    </row>
    <row r="179" spans="1:9">
      <c r="A179" s="251" t="s">
        <v>785</v>
      </c>
      <c r="B179" s="338"/>
      <c r="C179" s="250">
        <f>C48-C178</f>
        <v>-8541585.4800000004</v>
      </c>
      <c r="D179" s="250">
        <f>D48-D178</f>
        <v>-8541585.4800000004</v>
      </c>
      <c r="E179" s="250">
        <f>E48-E178</f>
        <v>0</v>
      </c>
      <c r="F179" s="250">
        <f>F48-F178</f>
        <v>0</v>
      </c>
      <c r="G179" s="250">
        <f>G48-G178</f>
        <v>0</v>
      </c>
      <c r="H179" s="250">
        <f t="shared" si="12"/>
        <v>8541585.4800000004</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v>
      </c>
      <c r="D184" s="265">
        <f>D48/(D178-D181-D182)</f>
        <v>0</v>
      </c>
      <c r="E184" s="265" t="e">
        <f>E48/(E178-E181-E182)</f>
        <v>#DIV/0!</v>
      </c>
      <c r="F184" s="265" t="e">
        <f>F48/(F178-F181-F182)</f>
        <v>#DIV/0!</v>
      </c>
      <c r="G184" s="265" t="e">
        <f>G48/(G178-G181-G182)</f>
        <v>#DIV/0!</v>
      </c>
      <c r="H184" s="265" t="e">
        <f t="shared" si="12"/>
        <v>#DIV/0!</v>
      </c>
      <c r="I184" s="265">
        <f t="shared" si="13"/>
        <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Sur PIO</v>
      </c>
      <c r="C4" s="332"/>
      <c r="G4" s="331" t="s">
        <v>490</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500000</v>
      </c>
      <c r="D15" s="248">
        <f>SUM(D16:D18)</f>
        <v>500000</v>
      </c>
      <c r="E15" s="248">
        <f>SUM(E16:E18)</f>
        <v>0</v>
      </c>
      <c r="F15" s="248">
        <f>SUM(F16:F18)</f>
        <v>0</v>
      </c>
      <c r="G15" s="248">
        <f>SUM(G16:G18)</f>
        <v>0</v>
      </c>
      <c r="H15" s="242">
        <f t="shared" si="0"/>
        <v>-500000</v>
      </c>
      <c r="I15" s="242">
        <f t="shared" si="1"/>
        <v>0</v>
      </c>
    </row>
    <row r="16" spans="1:9" hidden="1">
      <c r="A16" s="243" t="s">
        <v>182</v>
      </c>
      <c r="B16" s="337" t="s">
        <v>146</v>
      </c>
      <c r="C16" s="245">
        <f t="array" ref="C16">SUM(IF((Budget[Account Code]=B16)*(Budget[Ofc Code]=$G$4),(Budget[Amount])))</f>
        <v>500000</v>
      </c>
      <c r="D16" s="245">
        <f t="array" ref="D16">SUM(IF((Budget[Account Code]=B16)*(Budget[Ofc Code]=$G$4)*(Budget[Date]&lt;=$D$7),(Budget[Amount])))</f>
        <v>500000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-500000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500000</v>
      </c>
      <c r="D24" s="250">
        <f>D9+D15+D19</f>
        <v>500000</v>
      </c>
      <c r="E24" s="250">
        <f>E9+E15+E19</f>
        <v>0</v>
      </c>
      <c r="F24" s="250">
        <f>F9+F15+F19</f>
        <v>0</v>
      </c>
      <c r="G24" s="250">
        <f>G9+G15+G19</f>
        <v>0</v>
      </c>
      <c r="H24" s="250">
        <f t="shared" si="0"/>
        <v>-500000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0</v>
      </c>
      <c r="D47" s="250">
        <f>D26+D27+D32+D36+D46</f>
        <v>0</v>
      </c>
      <c r="E47" s="250">
        <f>E26+E27+E32+E36+E46</f>
        <v>0</v>
      </c>
      <c r="F47" s="250">
        <f>F26+F27+F32+F36+F46</f>
        <v>0</v>
      </c>
      <c r="G47" s="250">
        <f>G26+G27+G32+G36+G46</f>
        <v>0</v>
      </c>
      <c r="H47" s="250">
        <f t="shared" si="2"/>
        <v>0</v>
      </c>
      <c r="I47" s="250">
        <f t="shared" si="3"/>
        <v>0</v>
      </c>
    </row>
    <row r="48" spans="1:9">
      <c r="A48" s="251" t="s">
        <v>813</v>
      </c>
      <c r="B48" s="338"/>
      <c r="C48" s="250">
        <f>C24+C47</f>
        <v>500000</v>
      </c>
      <c r="D48" s="250">
        <f>D24+D47</f>
        <v>500000</v>
      </c>
      <c r="E48" s="250">
        <f>E24+E47</f>
        <v>0</v>
      </c>
      <c r="F48" s="250">
        <f>F24+F47</f>
        <v>0</v>
      </c>
      <c r="G48" s="250">
        <f>G24+G47</f>
        <v>0</v>
      </c>
      <c r="H48" s="250">
        <f t="shared" si="2"/>
        <v>-500000</v>
      </c>
      <c r="I48" s="250">
        <f t="shared" si="3"/>
        <v>0</v>
      </c>
    </row>
    <row r="49" spans="1:9">
      <c r="A49" s="239" t="s">
        <v>812</v>
      </c>
      <c r="B49" s="337"/>
      <c r="C49" s="240"/>
      <c r="D49" s="240"/>
      <c r="E49" s="240"/>
      <c r="F49" s="240"/>
      <c r="G49" s="246"/>
      <c r="H49" s="246"/>
      <c r="I49" s="246"/>
    </row>
    <row r="50" spans="1:9">
      <c r="A50" s="239" t="s">
        <v>811</v>
      </c>
      <c r="B50" s="337"/>
      <c r="C50" s="242">
        <f>C51+C75</f>
        <v>4414290</v>
      </c>
      <c r="D50" s="242">
        <f>D51+D75</f>
        <v>4414290</v>
      </c>
      <c r="E50" s="242">
        <f>E51+E75</f>
        <v>0</v>
      </c>
      <c r="F50" s="242">
        <f>F51+F75</f>
        <v>0</v>
      </c>
      <c r="G50" s="242">
        <f>G51+G75</f>
        <v>0</v>
      </c>
      <c r="H50" s="242">
        <f t="shared" si="2"/>
        <v>-4414290</v>
      </c>
      <c r="I50" s="242">
        <f t="shared" si="3"/>
        <v>0</v>
      </c>
    </row>
    <row r="51" spans="1:9">
      <c r="A51" s="243" t="s">
        <v>806</v>
      </c>
      <c r="B51" s="337"/>
      <c r="C51" s="246">
        <f>SUM(C52:C74)</f>
        <v>4414290</v>
      </c>
      <c r="D51" s="246">
        <f>SUM(D52:D74)</f>
        <v>4414290</v>
      </c>
      <c r="E51" s="246">
        <f>SUM(E52:E74)</f>
        <v>0</v>
      </c>
      <c r="F51" s="246">
        <f>SUM(F52:F74)</f>
        <v>0</v>
      </c>
      <c r="G51" s="246">
        <f>SUM(G52:G74)</f>
        <v>0</v>
      </c>
      <c r="H51" s="246">
        <f t="shared" si="2"/>
        <v>-4414290</v>
      </c>
      <c r="I51" s="246">
        <f t="shared" si="3"/>
        <v>0</v>
      </c>
    </row>
    <row r="52" spans="1:9" hidden="1">
      <c r="A52" s="247" t="s">
        <v>194</v>
      </c>
      <c r="B52" s="339" t="s">
        <v>162</v>
      </c>
      <c r="C52" s="245">
        <f t="array" ref="C52">SUM(IF((Budget[Account Code]=B52)*(Budget[Ofc Code]=$G$4),(Budget[Amount])))</f>
        <v>3017172</v>
      </c>
      <c r="D52" s="245">
        <f t="array" ref="D52">SUM(IF((Budget[Account Code]=B52)*(Budget[Ofc Code]=$G$4)*(Budget[Date]&lt;=$D$7),(Budget[Amount])))</f>
        <v>3017172</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-3017172</v>
      </c>
      <c r="I52" s="246">
        <f t="shared" si="3"/>
        <v>0</v>
      </c>
    </row>
    <row r="53" spans="1:9" hidden="1">
      <c r="A53" s="247" t="s">
        <v>195</v>
      </c>
      <c r="B53" s="339" t="s">
        <v>163</v>
      </c>
      <c r="C53" s="245">
        <f t="array" ref="C53">SUM(IF((Budget[Account Code]=B53)*(Budget[Ofc Code]=$G$4),(Budget[Amount])))</f>
        <v>0</v>
      </c>
      <c r="D53" s="245">
        <f t="array" ref="D53">SUM(IF((Budget[Account Code]=B53)*(Budget[Ofc Code]=$G$4)*(Budget[Date]&lt;=$D$7),(Budget[Amount])))</f>
        <v>0</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0</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240000</v>
      </c>
      <c r="D55" s="245">
        <f t="array" ref="D55">SUM(IF((Budget[Account Code]=B55)*(Budget[Ofc Code]=$G$4)*(Budget[Date]&lt;=$D$7),(Budget[Amount])))</f>
        <v>240000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-240000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50000</v>
      </c>
      <c r="D58" s="245">
        <f t="array" ref="D58">SUM(IF((Budget[Account Code]=B58)*(Budget[Ofc Code]=$G$4)*(Budget[Date]&lt;=$D$7),(Budget[Amount])))</f>
        <v>50000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-50000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7200</v>
      </c>
      <c r="D61" s="245">
        <f t="array" ref="D61">SUM(IF((Budget[Account Code]=B61)*(Budget[Ofc Code]=$G$4)*(Budget[Date]&lt;=$D$7),(Budget[Amount])))</f>
        <v>7200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-7200</v>
      </c>
      <c r="I61" s="246">
        <f t="shared" si="3"/>
        <v>0</v>
      </c>
    </row>
    <row r="62" spans="1:9" hidden="1">
      <c r="A62" s="247" t="s">
        <v>202</v>
      </c>
      <c r="B62" s="339" t="s">
        <v>6</v>
      </c>
      <c r="C62" s="245">
        <f t="array" ref="C62">SUM(IF((Budget[Account Code]=B62)*(Budget[Ofc Code]=$G$4),(Budget[Amount])))</f>
        <v>2376</v>
      </c>
      <c r="D62" s="245">
        <f t="array" ref="D62">SUM(IF((Budget[Account Code]=B62)*(Budget[Ofc Code]=$G$4)*(Budget[Date]&lt;=$D$7),(Budget[Amount])))</f>
        <v>2376</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-2376</v>
      </c>
      <c r="I62" s="246">
        <f t="shared" si="3"/>
        <v>0</v>
      </c>
    </row>
    <row r="63" spans="1:9" hidden="1">
      <c r="A63" s="247" t="s">
        <v>203</v>
      </c>
      <c r="B63" s="339" t="s">
        <v>7</v>
      </c>
      <c r="C63" s="245">
        <f t="array" ref="C63">SUM(IF((Budget[Account Code]=B63)*(Budget[Ofc Code]=$G$4),(Budget[Amount])))</f>
        <v>360</v>
      </c>
      <c r="D63" s="245">
        <f t="array" ref="D63">SUM(IF((Budget[Account Code]=B63)*(Budget[Ofc Code]=$G$4)*(Budget[Date]&lt;=$D$7),(Budget[Amount])))</f>
        <v>360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-360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70000</v>
      </c>
      <c r="D65" s="245">
        <f t="array" ref="D65">SUM(IF((Budget[Account Code]=B65)*(Budget[Ofc Code]=$G$4)*(Budget[Date]&lt;=$D$7),(Budget[Amount])))</f>
        <v>70000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-70000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100000</v>
      </c>
      <c r="D67" s="245">
        <f t="array" ref="D67">SUM(IF((Budget[Account Code]=B67)*(Budget[Ofc Code]=$G$4)*(Budget[Date]&lt;=$D$7),(Budget[Amount])))</f>
        <v>100000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-100000</v>
      </c>
      <c r="I67" s="246">
        <f t="shared" si="3"/>
        <v>0</v>
      </c>
    </row>
    <row r="68" spans="1:9" hidden="1">
      <c r="A68" s="247" t="s">
        <v>207</v>
      </c>
      <c r="B68" s="339" t="s">
        <v>174</v>
      </c>
      <c r="C68" s="245">
        <f t="array" ref="C68">SUM(IF((Budget[Account Code]=B68)*(Budget[Ofc Code]=$G$4),(Budget[Amount])))</f>
        <v>502862</v>
      </c>
      <c r="D68" s="245">
        <f t="array" ref="D68">SUM(IF((Budget[Account Code]=B68)*(Budget[Ofc Code]=$G$4)*(Budget[Date]&lt;=$D$7),(Budget[Amount])))</f>
        <v>502862</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-502862</v>
      </c>
      <c r="I68" s="246">
        <f t="shared" si="3"/>
        <v>0</v>
      </c>
    </row>
    <row r="69" spans="1:9" hidden="1">
      <c r="A69" s="247" t="s">
        <v>208</v>
      </c>
      <c r="B69" s="339" t="s">
        <v>175</v>
      </c>
      <c r="C69" s="245">
        <f t="array" ref="C69">SUM(IF((Budget[Account Code]=B69)*(Budget[Ofc Code]=$G$4),(Budget[Amount])))</f>
        <v>362064</v>
      </c>
      <c r="D69" s="245">
        <f t="array" ref="D69">SUM(IF((Budget[Account Code]=B69)*(Budget[Ofc Code]=$G$4)*(Budget[Date]&lt;=$D$7),(Budget[Amount])))</f>
        <v>362064</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-362064</v>
      </c>
      <c r="I69" s="246">
        <f t="shared" si="3"/>
        <v>0</v>
      </c>
    </row>
    <row r="70" spans="1:9" hidden="1">
      <c r="A70" s="247" t="s">
        <v>209</v>
      </c>
      <c r="B70" s="339" t="s">
        <v>176</v>
      </c>
      <c r="C70" s="245">
        <f t="array" ref="C70">SUM(IF((Budget[Account Code]=B70)*(Budget[Ofc Code]=$G$4),(Budget[Amount])))</f>
        <v>12000</v>
      </c>
      <c r="D70" s="245">
        <f t="array" ref="D70">SUM(IF((Budget[Account Code]=B70)*(Budget[Ofc Code]=$G$4)*(Budget[Date]&lt;=$D$7),(Budget[Amount])))</f>
        <v>12000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-12000</v>
      </c>
      <c r="I70" s="246">
        <f t="shared" si="3"/>
        <v>0</v>
      </c>
    </row>
    <row r="71" spans="1:9" hidden="1">
      <c r="A71" s="247" t="s">
        <v>210</v>
      </c>
      <c r="B71" s="339" t="s">
        <v>177</v>
      </c>
      <c r="C71" s="245">
        <f t="array" ref="C71">SUM(IF((Budget[Account Code]=B71)*(Budget[Ofc Code]=$G$4),(Budget[Amount])))</f>
        <v>38256</v>
      </c>
      <c r="D71" s="245">
        <f t="array" ref="D71">SUM(IF((Budget[Account Code]=B71)*(Budget[Ofc Code]=$G$4)*(Budget[Date]&lt;=$D$7),(Budget[Amount])))</f>
        <v>38256</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-38256</v>
      </c>
      <c r="I71" s="246">
        <f t="shared" si="3"/>
        <v>0</v>
      </c>
    </row>
    <row r="72" spans="1:9" hidden="1">
      <c r="A72" s="247" t="s">
        <v>211</v>
      </c>
      <c r="B72" s="339" t="s">
        <v>178</v>
      </c>
      <c r="C72" s="245">
        <f t="array" ref="C72">SUM(IF((Budget[Account Code]=B72)*(Budget[Ofc Code]=$G$4),(Budget[Amount])))</f>
        <v>12000</v>
      </c>
      <c r="D72" s="245">
        <f t="array" ref="D72">SUM(IF((Budget[Account Code]=B72)*(Budget[Ofc Code]=$G$4)*(Budget[Date]&lt;=$D$7),(Budget[Amount])))</f>
        <v>12000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-12000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2026454.2</v>
      </c>
      <c r="D76" s="252">
        <f>D77+D139</f>
        <v>2026454.2</v>
      </c>
      <c r="E76" s="252">
        <f>E77+E139</f>
        <v>0</v>
      </c>
      <c r="F76" s="252">
        <f>F77+F139</f>
        <v>0</v>
      </c>
      <c r="G76" s="252">
        <f>G77+G139</f>
        <v>0</v>
      </c>
      <c r="H76" s="242">
        <f t="shared" si="2"/>
        <v>-2026454.2</v>
      </c>
      <c r="I76" s="242">
        <f t="shared" si="3"/>
        <v>0</v>
      </c>
    </row>
    <row r="77" spans="1:9">
      <c r="A77" s="253" t="s">
        <v>809</v>
      </c>
      <c r="B77" s="337"/>
      <c r="C77" s="254">
        <f>C78+C138</f>
        <v>389720.15</v>
      </c>
      <c r="D77" s="254">
        <f>D78+D138</f>
        <v>389720.15</v>
      </c>
      <c r="E77" s="254">
        <f>E78+E138</f>
        <v>0</v>
      </c>
      <c r="F77" s="254">
        <f>F78+F138</f>
        <v>0</v>
      </c>
      <c r="G77" s="254">
        <f>G78+G138</f>
        <v>0</v>
      </c>
      <c r="H77" s="246">
        <f t="shared" si="2"/>
        <v>-389720.15</v>
      </c>
      <c r="I77" s="246">
        <f t="shared" si="3"/>
        <v>0</v>
      </c>
    </row>
    <row r="78" spans="1:9">
      <c r="A78" s="255" t="s">
        <v>806</v>
      </c>
      <c r="B78" s="337"/>
      <c r="C78" s="246">
        <f>SUM(C79:C137)</f>
        <v>389720.15</v>
      </c>
      <c r="D78" s="246">
        <f>SUM(D79:D137)</f>
        <v>389720.15</v>
      </c>
      <c r="E78" s="246">
        <f>SUM(E79:E137)</f>
        <v>0</v>
      </c>
      <c r="F78" s="246">
        <f>SUM(F79:F137)</f>
        <v>0</v>
      </c>
      <c r="G78" s="246">
        <f>SUM(G79:G137)</f>
        <v>0</v>
      </c>
      <c r="H78" s="246">
        <f t="shared" si="2"/>
        <v>-389720.15</v>
      </c>
      <c r="I78" s="246">
        <f t="shared" si="3"/>
        <v>0</v>
      </c>
    </row>
    <row r="79" spans="1:9" hidden="1">
      <c r="A79" s="256" t="s">
        <v>284</v>
      </c>
      <c r="B79" s="339" t="s">
        <v>223</v>
      </c>
      <c r="C79" s="245">
        <f t="array" ref="C79">SUM(IF((Budget[Account Code]=B79)*(Budget[Ofc Code]=$G$4),(Budget[Amount])))</f>
        <v>19200</v>
      </c>
      <c r="D79" s="245">
        <f t="array" ref="D79">SUM(IF((Budget[Account Code]=B79)*(Budget[Ofc Code]=$G$4)*(Budget[Date]&lt;=$D$7),(Budget[Amount])))</f>
        <v>19200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-19200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180000</v>
      </c>
      <c r="D82" s="245">
        <f t="array" ref="D82">SUM(IF((Budget[Account Code]=B82)*(Budget[Ofc Code]=$G$4)*(Budget[Date]&lt;=$D$7),(Budget[Amount])))</f>
        <v>180000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-180000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54000</v>
      </c>
      <c r="D86" s="245">
        <f t="array" ref="D86">SUM(IF((Budget[Account Code]=B86)*(Budget[Ofc Code]=$G$4)*(Budget[Date]&lt;=$D$7),(Budget[Amount])))</f>
        <v>54000</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-54000</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0</v>
      </c>
      <c r="D88" s="245">
        <f t="array" ref="D88">SUM(IF((Budget[Account Code]=B88)*(Budget[Ofc Code]=$G$4)*(Budget[Date]&lt;=$D$7),(Budget[Amount])))</f>
        <v>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0</v>
      </c>
      <c r="I88" s="246">
        <f t="shared" si="3"/>
        <v>0</v>
      </c>
    </row>
    <row r="89" spans="1:9" hidden="1">
      <c r="A89" s="256" t="s">
        <v>292</v>
      </c>
      <c r="B89" s="339" t="s">
        <v>232</v>
      </c>
      <c r="C89" s="245">
        <f t="array" ref="C89">SUM(IF((Budget[Account Code]=B89)*(Budget[Ofc Code]=$G$4),(Budget[Amount])))</f>
        <v>2400</v>
      </c>
      <c r="D89" s="245">
        <f t="array" ref="D89">SUM(IF((Budget[Account Code]=B89)*(Budget[Ofc Code]=$G$4)*(Budget[Date]&lt;=$D$7),(Budget[Amount])))</f>
        <v>2400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-2400</v>
      </c>
      <c r="I89" s="246">
        <f t="shared" si="3"/>
        <v>0</v>
      </c>
    </row>
    <row r="90" spans="1:9" hidden="1">
      <c r="A90" s="256" t="s">
        <v>293</v>
      </c>
      <c r="B90" s="339" t="s">
        <v>233</v>
      </c>
      <c r="C90" s="245">
        <f t="array" ref="C90">SUM(IF((Budget[Account Code]=B90)*(Budget[Ofc Code]=$G$4),(Budget[Amount])))</f>
        <v>0</v>
      </c>
      <c r="D90" s="245">
        <f t="array" ref="D90">SUM(IF((Budget[Account Code]=B90)*(Budget[Ofc Code]=$G$4)*(Budget[Date]&lt;=$D$7),(Budget[Amount])))</f>
        <v>0</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0</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0</v>
      </c>
      <c r="D94" s="245">
        <f t="array" ref="D94">SUM(IF((Budget[Account Code]=B94)*(Budget[Ofc Code]=$G$4)*(Budget[Date]&lt;=$D$7),(Budget[Amount])))</f>
        <v>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0</v>
      </c>
      <c r="I94" s="246">
        <f t="shared" si="3"/>
        <v>0</v>
      </c>
    </row>
    <row r="95" spans="1:9" hidden="1">
      <c r="A95" s="256" t="s">
        <v>296</v>
      </c>
      <c r="B95" s="339" t="s">
        <v>236</v>
      </c>
      <c r="C95" s="245">
        <f t="array" ref="C95">SUM(IF((Budget[Account Code]=B95)*(Budget[Ofc Code]=$G$4),(Budget[Amount])))</f>
        <v>33600</v>
      </c>
      <c r="D95" s="245">
        <f t="array" ref="D95">SUM(IF((Budget[Account Code]=B95)*(Budget[Ofc Code]=$G$4)*(Budget[Date]&lt;=$D$7),(Budget[Amount])))</f>
        <v>33600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-33600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50000</v>
      </c>
      <c r="D118" s="245">
        <f t="array" ref="D118">SUM(IF((Budget[Account Code]=B118)*(Budget[Ofc Code]=$G$4)*(Budget[Date]&lt;=$D$7),(Budget[Amount])))</f>
        <v>50000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-50000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50520.15</v>
      </c>
      <c r="D125" s="245">
        <f t="array" ref="D125">SUM(IF((Budget[Account Code]=B125)*(Budget[Ofc Code]=$G$4)*(Budget[Date]&lt;=$D$7),(Budget[Amount])))</f>
        <v>50520.15</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-50520.15</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1636734.05</v>
      </c>
      <c r="D139" s="242">
        <f>SUM(D140:D143)</f>
        <v>1636734.05</v>
      </c>
      <c r="E139" s="242">
        <f>SUM(E140:E143)</f>
        <v>0</v>
      </c>
      <c r="F139" s="242">
        <f>SUM(F140:F143)</f>
        <v>0</v>
      </c>
      <c r="G139" s="242">
        <f>SUM(G140:G143)</f>
        <v>0</v>
      </c>
      <c r="H139" s="246">
        <f t="shared" si="7"/>
        <v>-1636734.05</v>
      </c>
      <c r="I139" s="246">
        <f t="shared" si="8"/>
        <v>0</v>
      </c>
    </row>
    <row r="140" spans="1:9" hidden="1">
      <c r="A140" s="256" t="s">
        <v>342</v>
      </c>
      <c r="B140" s="339" t="s">
        <v>333</v>
      </c>
      <c r="C140" s="245">
        <f t="array" ref="C140">SUM(IF((Budget[Account Code]=B140)*(Budget[Ofc Code]=$G$4),(Budget[Amount])))</f>
        <v>1636734.05</v>
      </c>
      <c r="D140" s="245">
        <f t="array" ref="D140">SUM(IF((Budget[Account Code]=B140)*(Budget[Ofc Code]=$G$4)*(Budget[Date]&lt;=$D$7),(Budget[Amount])))</f>
        <v>1636734.05</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-1636734.05</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6440744.2000000002</v>
      </c>
      <c r="D147" s="250">
        <f>D50+D76+D144</f>
        <v>6440744.2000000002</v>
      </c>
      <c r="E147" s="250">
        <f>E50+E76+E144</f>
        <v>0</v>
      </c>
      <c r="F147" s="250">
        <f>F50+F76+F144</f>
        <v>0</v>
      </c>
      <c r="G147" s="250">
        <f>G50+G76+G144</f>
        <v>0</v>
      </c>
      <c r="H147" s="250">
        <f t="shared" si="7"/>
        <v>-6440744.2000000002</v>
      </c>
      <c r="I147" s="250">
        <f t="shared" si="8"/>
        <v>0</v>
      </c>
    </row>
    <row r="148" spans="1:9">
      <c r="A148" s="251" t="s">
        <v>785</v>
      </c>
      <c r="B148" s="338"/>
      <c r="C148" s="250">
        <f>C48-C147</f>
        <v>-5940744.2000000002</v>
      </c>
      <c r="D148" s="250">
        <f>D48-D147</f>
        <v>-5940744.2000000002</v>
      </c>
      <c r="E148" s="250">
        <f>E48-E147</f>
        <v>0</v>
      </c>
      <c r="F148" s="250">
        <f>F48-F147</f>
        <v>0</v>
      </c>
      <c r="G148" s="250">
        <f>G48-G147</f>
        <v>0</v>
      </c>
      <c r="H148" s="250">
        <f t="shared" si="7"/>
        <v>5940744.2000000002</v>
      </c>
      <c r="I148" s="250">
        <f t="shared" si="8"/>
        <v>0</v>
      </c>
    </row>
    <row r="149" spans="1:9">
      <c r="A149" s="251" t="s">
        <v>749</v>
      </c>
      <c r="B149" s="338"/>
      <c r="C149" s="250">
        <f>C48/C147</f>
        <v>0.08</v>
      </c>
      <c r="D149" s="250">
        <f>D48/D147</f>
        <v>0.08</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-5940744.2000000002</v>
      </c>
      <c r="D152" s="250">
        <f>D148+D150+D151</f>
        <v>-5940744.2000000002</v>
      </c>
      <c r="E152" s="250">
        <f>E148+E150+E151</f>
        <v>0</v>
      </c>
      <c r="F152" s="250">
        <f>F148+F150+F151</f>
        <v>0</v>
      </c>
      <c r="G152" s="250">
        <f>G148+G150+G151</f>
        <v>0</v>
      </c>
      <c r="H152" s="250">
        <f t="shared" si="7"/>
        <v>5940744.2000000002</v>
      </c>
      <c r="I152" s="250">
        <f t="shared" si="8"/>
        <v>0</v>
      </c>
    </row>
    <row r="153" spans="1:9">
      <c r="A153" s="251" t="s">
        <v>749</v>
      </c>
      <c r="B153" s="338"/>
      <c r="C153" s="250">
        <f>C48/(C147-C150-C151)</f>
        <v>0.08</v>
      </c>
      <c r="D153" s="250">
        <f>D48/(D147-D150-D151)</f>
        <v>0.08</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50000</v>
      </c>
      <c r="D156" s="245">
        <f t="array" ref="D156">SUM(IF((Budget[Account Code]=B156)*(Budget[Ofc Code]=$G$4)*(Budget[Date]&lt;=$D$7),(Budget[Amount])))</f>
        <v>50000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-50000</v>
      </c>
      <c r="I156" s="246">
        <f t="shared" si="11"/>
        <v>0</v>
      </c>
    </row>
    <row r="157" spans="1:9">
      <c r="A157" s="253" t="s">
        <v>797</v>
      </c>
      <c r="B157" s="339" t="s">
        <v>168</v>
      </c>
      <c r="C157" s="245">
        <f t="array" ref="C157">SUM(IF((Budget[Account Code]=B157)*(Budget[Ofc Code]=$G$4),(Budget[Amount])))</f>
        <v>250000</v>
      </c>
      <c r="D157" s="245">
        <f t="array" ref="D157">SUM(IF((Budget[Account Code]=B157)*(Budget[Ofc Code]=$G$4)*(Budget[Date]&lt;=$D$7),(Budget[Amount])))</f>
        <v>250000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-250000</v>
      </c>
      <c r="I157" s="246">
        <f t="shared" si="11"/>
        <v>0</v>
      </c>
    </row>
    <row r="158" spans="1:9">
      <c r="A158" s="253" t="s">
        <v>354</v>
      </c>
      <c r="B158" s="339" t="s">
        <v>216</v>
      </c>
      <c r="C158" s="245">
        <f t="array" ref="C158">SUM(IF((Budget[Account Code]=B158)*(Budget[Ofc Code]=$G$4),(Budget[Amount])))</f>
        <v>0</v>
      </c>
      <c r="D158" s="245">
        <f t="array" ref="D158">SUM(IF((Budget[Account Code]=B158)*(Budget[Ofc Code]=$G$4)*(Budget[Date]&lt;=$D$7),(Budget[Amount])))</f>
        <v>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300000</v>
      </c>
      <c r="D164" s="250">
        <f>SUM(D155:D163)</f>
        <v>300000</v>
      </c>
      <c r="E164" s="250">
        <f>SUM(E155:E163)</f>
        <v>0</v>
      </c>
      <c r="F164" s="250">
        <f>SUM(F155:F163)</f>
        <v>0</v>
      </c>
      <c r="G164" s="250">
        <f>SUM(G155:G163)</f>
        <v>0</v>
      </c>
      <c r="H164" s="250">
        <f t="shared" si="10"/>
        <v>-300000</v>
      </c>
      <c r="I164" s="250">
        <f t="shared" si="11"/>
        <v>0</v>
      </c>
    </row>
    <row r="165" spans="1:9">
      <c r="A165" s="251" t="s">
        <v>788</v>
      </c>
      <c r="B165" s="338"/>
      <c r="C165" s="250">
        <f>C147+C164</f>
        <v>6740744.2000000002</v>
      </c>
      <c r="D165" s="250">
        <f>D147+D164</f>
        <v>6740744.2000000002</v>
      </c>
      <c r="E165" s="250">
        <f>E147+E164</f>
        <v>0</v>
      </c>
      <c r="F165" s="250">
        <f>F147+F164</f>
        <v>0</v>
      </c>
      <c r="G165" s="250">
        <f>G147+G164</f>
        <v>0</v>
      </c>
      <c r="H165" s="250">
        <f t="shared" si="10"/>
        <v>-6740744.2000000002</v>
      </c>
      <c r="I165" s="250">
        <f t="shared" si="11"/>
        <v>0</v>
      </c>
    </row>
    <row r="166" spans="1:9">
      <c r="A166" s="251" t="s">
        <v>785</v>
      </c>
      <c r="B166" s="338"/>
      <c r="C166" s="250">
        <f>C48-C165</f>
        <v>-6240744.2000000002</v>
      </c>
      <c r="D166" s="250">
        <f>D48-D165</f>
        <v>-6240744.2000000002</v>
      </c>
      <c r="E166" s="250">
        <f>E48-E165</f>
        <v>0</v>
      </c>
      <c r="F166" s="250">
        <f>F48-F165</f>
        <v>0</v>
      </c>
      <c r="G166" s="250">
        <f>G48-G165</f>
        <v>0</v>
      </c>
      <c r="H166" s="250">
        <f t="shared" si="10"/>
        <v>6240744.2000000002</v>
      </c>
      <c r="I166" s="250">
        <f t="shared" si="11"/>
        <v>0</v>
      </c>
    </row>
    <row r="167" spans="1:9">
      <c r="A167" s="251" t="s">
        <v>749</v>
      </c>
      <c r="B167" s="338"/>
      <c r="C167" s="250">
        <f>C48/C165</f>
        <v>7.0000000000000007E-2</v>
      </c>
      <c r="D167" s="250">
        <f>D48/D165</f>
        <v>7.0000000000000007E-2</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-6240744.2000000002</v>
      </c>
      <c r="D170" s="250">
        <f>D166+D168+D169</f>
        <v>-6240744.2000000002</v>
      </c>
      <c r="E170" s="250">
        <f>E166+E168+E169</f>
        <v>0</v>
      </c>
      <c r="F170" s="250">
        <f>F166+F168+F169</f>
        <v>0</v>
      </c>
      <c r="G170" s="250">
        <f>G166+G168+G169</f>
        <v>0</v>
      </c>
      <c r="H170" s="250">
        <f t="shared" si="10"/>
        <v>6240744.2000000002</v>
      </c>
      <c r="I170" s="250">
        <f t="shared" si="11"/>
        <v>0</v>
      </c>
    </row>
    <row r="171" spans="1:9">
      <c r="A171" s="251" t="s">
        <v>792</v>
      </c>
      <c r="B171" s="338"/>
      <c r="C171" s="250">
        <f>C48/(C165-C168-C169)</f>
        <v>7.0000000000000007E-2</v>
      </c>
      <c r="D171" s="250">
        <f>D48/(D165-D168-D169)</f>
        <v>7.0000000000000007E-2</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500000</v>
      </c>
      <c r="D175" s="245">
        <f t="array" ref="D175">SUM(IF((Budget[Account Code]=B175)*(Budget[Ofc Code]=$G$4)*(Budget[Date]&lt;=$D$7),(Budget[Amount])))</f>
        <v>500000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-500000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500000</v>
      </c>
      <c r="D177" s="250">
        <f>SUM(D174:D176)</f>
        <v>500000</v>
      </c>
      <c r="E177" s="250">
        <f>SUM(E174:E176)</f>
        <v>0</v>
      </c>
      <c r="F177" s="250">
        <f>SUM(F174:F176)</f>
        <v>0</v>
      </c>
      <c r="G177" s="250">
        <f>SUM(G174:G176)</f>
        <v>0</v>
      </c>
      <c r="H177" s="250">
        <f t="shared" si="12"/>
        <v>-500000</v>
      </c>
      <c r="I177" s="250">
        <f t="shared" si="13"/>
        <v>0</v>
      </c>
    </row>
    <row r="178" spans="1:9">
      <c r="A178" s="251" t="s">
        <v>788</v>
      </c>
      <c r="B178" s="338"/>
      <c r="C178" s="250">
        <f>C165+C177</f>
        <v>7240744.2000000002</v>
      </c>
      <c r="D178" s="250">
        <f>D165+D177</f>
        <v>7240744.2000000002</v>
      </c>
      <c r="E178" s="250">
        <f>E165+E177</f>
        <v>0</v>
      </c>
      <c r="F178" s="250">
        <f>F165+F177</f>
        <v>0</v>
      </c>
      <c r="G178" s="250">
        <f>G165+G177</f>
        <v>0</v>
      </c>
      <c r="H178" s="250">
        <f t="shared" si="12"/>
        <v>-7240744.2000000002</v>
      </c>
      <c r="I178" s="250">
        <f t="shared" si="13"/>
        <v>0</v>
      </c>
    </row>
    <row r="179" spans="1:9">
      <c r="A179" s="251" t="s">
        <v>785</v>
      </c>
      <c r="B179" s="338"/>
      <c r="C179" s="250">
        <f>C48-C178</f>
        <v>-6740744.2000000002</v>
      </c>
      <c r="D179" s="250">
        <f>D48-D178</f>
        <v>-6740744.2000000002</v>
      </c>
      <c r="E179" s="250">
        <f>E48-E178</f>
        <v>0</v>
      </c>
      <c r="F179" s="250">
        <f>F48-F178</f>
        <v>0</v>
      </c>
      <c r="G179" s="250">
        <f>G48-G178</f>
        <v>0</v>
      </c>
      <c r="H179" s="250">
        <f t="shared" si="12"/>
        <v>6740744.2000000002</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7.0000000000000007E-2</v>
      </c>
      <c r="D184" s="265">
        <f>D48/(D178-D181-D182)</f>
        <v>7.0000000000000007E-2</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Sur RIS</v>
      </c>
      <c r="C4" s="332"/>
      <c r="G4" s="331" t="s">
        <v>491</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0</v>
      </c>
      <c r="D15" s="248">
        <f>SUM(D16:D18)</f>
        <v>0</v>
      </c>
      <c r="E15" s="248">
        <f>SUM(E16:E18)</f>
        <v>0</v>
      </c>
      <c r="F15" s="248">
        <f>SUM(F16:F18)</f>
        <v>0</v>
      </c>
      <c r="G15" s="248">
        <f>SUM(G16:G18)</f>
        <v>0</v>
      </c>
      <c r="H15" s="242">
        <f t="shared" si="0"/>
        <v>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0</v>
      </c>
      <c r="D24" s="250">
        <f>D9+D15+D19</f>
        <v>0</v>
      </c>
      <c r="E24" s="250">
        <f>E9+E15+E19</f>
        <v>0</v>
      </c>
      <c r="F24" s="250">
        <f>F9+F15+F19</f>
        <v>0</v>
      </c>
      <c r="G24" s="250">
        <f>G9+G15+G19</f>
        <v>0</v>
      </c>
      <c r="H24" s="250">
        <f t="shared" si="0"/>
        <v>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0</v>
      </c>
      <c r="D47" s="250">
        <f>D26+D27+D32+D36+D46</f>
        <v>0</v>
      </c>
      <c r="E47" s="250">
        <f>E26+E27+E32+E36+E46</f>
        <v>0</v>
      </c>
      <c r="F47" s="250">
        <f>F26+F27+F32+F36+F46</f>
        <v>0</v>
      </c>
      <c r="G47" s="250">
        <f>G26+G27+G32+G36+G46</f>
        <v>0</v>
      </c>
      <c r="H47" s="250">
        <f t="shared" si="2"/>
        <v>0</v>
      </c>
      <c r="I47" s="250">
        <f t="shared" si="3"/>
        <v>0</v>
      </c>
    </row>
    <row r="48" spans="1:9">
      <c r="A48" s="251" t="s">
        <v>813</v>
      </c>
      <c r="B48" s="338"/>
      <c r="C48" s="250">
        <f>C24+C47</f>
        <v>0</v>
      </c>
      <c r="D48" s="250">
        <f>D24+D47</f>
        <v>0</v>
      </c>
      <c r="E48" s="250">
        <f>E24+E47</f>
        <v>0</v>
      </c>
      <c r="F48" s="250">
        <f>F24+F47</f>
        <v>0</v>
      </c>
      <c r="G48" s="250">
        <f>G24+G47</f>
        <v>0</v>
      </c>
      <c r="H48" s="250">
        <f t="shared" si="2"/>
        <v>0</v>
      </c>
      <c r="I48" s="250">
        <f t="shared" si="3"/>
        <v>0</v>
      </c>
    </row>
    <row r="49" spans="1:9">
      <c r="A49" s="239" t="s">
        <v>812</v>
      </c>
      <c r="B49" s="337"/>
      <c r="C49" s="240"/>
      <c r="D49" s="240"/>
      <c r="E49" s="240"/>
      <c r="F49" s="240"/>
      <c r="G49" s="246"/>
      <c r="H49" s="246"/>
      <c r="I49" s="246"/>
    </row>
    <row r="50" spans="1:9">
      <c r="A50" s="239" t="s">
        <v>811</v>
      </c>
      <c r="B50" s="337"/>
      <c r="C50" s="242">
        <f>C51+C75</f>
        <v>1090952.6399999999</v>
      </c>
      <c r="D50" s="242">
        <f>D51+D75</f>
        <v>1090952.6399999999</v>
      </c>
      <c r="E50" s="242">
        <f>E51+E75</f>
        <v>0</v>
      </c>
      <c r="F50" s="242">
        <f>F51+F75</f>
        <v>0</v>
      </c>
      <c r="G50" s="242">
        <f>G51+G75</f>
        <v>0</v>
      </c>
      <c r="H50" s="242">
        <f t="shared" si="2"/>
        <v>-1090952.6399999999</v>
      </c>
      <c r="I50" s="242">
        <f t="shared" si="3"/>
        <v>0</v>
      </c>
    </row>
    <row r="51" spans="1:9">
      <c r="A51" s="243" t="s">
        <v>806</v>
      </c>
      <c r="B51" s="337"/>
      <c r="C51" s="246">
        <f>SUM(C52:C74)</f>
        <v>1090952.6399999999</v>
      </c>
      <c r="D51" s="246">
        <f>SUM(D52:D74)</f>
        <v>1090952.6399999999</v>
      </c>
      <c r="E51" s="246">
        <f>SUM(E52:E74)</f>
        <v>0</v>
      </c>
      <c r="F51" s="246">
        <f>SUM(F52:F74)</f>
        <v>0</v>
      </c>
      <c r="G51" s="246">
        <f>SUM(G52:G74)</f>
        <v>0</v>
      </c>
      <c r="H51" s="246">
        <f t="shared" si="2"/>
        <v>-1090952.6399999999</v>
      </c>
      <c r="I51" s="246">
        <f t="shared" si="3"/>
        <v>0</v>
      </c>
    </row>
    <row r="52" spans="1:9" hidden="1">
      <c r="A52" s="247" t="s">
        <v>194</v>
      </c>
      <c r="B52" s="339" t="s">
        <v>162</v>
      </c>
      <c r="C52" s="245">
        <f t="array" ref="C52">SUM(IF((Budget[Account Code]=B52)*(Budget[Ofc Code]=$G$4),(Budget[Amount])))</f>
        <v>723972</v>
      </c>
      <c r="D52" s="245">
        <f t="array" ref="D52">SUM(IF((Budget[Account Code]=B52)*(Budget[Ofc Code]=$G$4)*(Budget[Date]&lt;=$D$7),(Budget[Amount])))</f>
        <v>723972</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-723972</v>
      </c>
      <c r="I52" s="246">
        <f t="shared" si="3"/>
        <v>0</v>
      </c>
    </row>
    <row r="53" spans="1:9" hidden="1">
      <c r="A53" s="247" t="s">
        <v>195</v>
      </c>
      <c r="B53" s="339" t="s">
        <v>163</v>
      </c>
      <c r="C53" s="245">
        <f t="array" ref="C53">SUM(IF((Budget[Account Code]=B53)*(Budget[Ofc Code]=$G$4),(Budget[Amount])))</f>
        <v>0</v>
      </c>
      <c r="D53" s="245">
        <f t="array" ref="D53">SUM(IF((Budget[Account Code]=B53)*(Budget[Ofc Code]=$G$4)*(Budget[Date]&lt;=$D$7),(Budget[Amount])))</f>
        <v>0</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0</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96000</v>
      </c>
      <c r="D55" s="245">
        <f t="array" ref="D55">SUM(IF((Budget[Account Code]=B55)*(Budget[Ofc Code]=$G$4)*(Budget[Date]&lt;=$D$7),(Budget[Amount])))</f>
        <v>96000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-96000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20000</v>
      </c>
      <c r="D58" s="245">
        <f t="array" ref="D58">SUM(IF((Budget[Account Code]=B58)*(Budget[Ofc Code]=$G$4)*(Budget[Date]&lt;=$D$7),(Budget[Amount])))</f>
        <v>20000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-20000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2400</v>
      </c>
      <c r="D61" s="245">
        <f t="array" ref="D61">SUM(IF((Budget[Account Code]=B61)*(Budget[Ofc Code]=$G$4)*(Budget[Date]&lt;=$D$7),(Budget[Amount])))</f>
        <v>2400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-2400</v>
      </c>
      <c r="I61" s="246">
        <f t="shared" si="3"/>
        <v>0</v>
      </c>
    </row>
    <row r="62" spans="1:9" hidden="1">
      <c r="A62" s="247" t="s">
        <v>202</v>
      </c>
      <c r="B62" s="339" t="s">
        <v>6</v>
      </c>
      <c r="C62" s="245">
        <f t="array" ref="C62">SUM(IF((Budget[Account Code]=B62)*(Budget[Ofc Code]=$G$4),(Budget[Amount])))</f>
        <v>792</v>
      </c>
      <c r="D62" s="245">
        <f t="array" ref="D62">SUM(IF((Budget[Account Code]=B62)*(Budget[Ofc Code]=$G$4)*(Budget[Date]&lt;=$D$7),(Budget[Amount])))</f>
        <v>792</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-792</v>
      </c>
      <c r="I62" s="246">
        <f t="shared" si="3"/>
        <v>0</v>
      </c>
    </row>
    <row r="63" spans="1:9" hidden="1">
      <c r="A63" s="247" t="s">
        <v>203</v>
      </c>
      <c r="B63" s="339" t="s">
        <v>7</v>
      </c>
      <c r="C63" s="245">
        <f t="array" ref="C63">SUM(IF((Budget[Account Code]=B63)*(Budget[Ofc Code]=$G$4),(Budget[Amount])))</f>
        <v>0</v>
      </c>
      <c r="D63" s="245">
        <f t="array" ref="D63">SUM(IF((Budget[Account Code]=B63)*(Budget[Ofc Code]=$G$4)*(Budget[Date]&lt;=$D$7),(Budget[Amount])))</f>
        <v>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20000</v>
      </c>
      <c r="D67" s="245">
        <f t="array" ref="D67">SUM(IF((Budget[Account Code]=B67)*(Budget[Ofc Code]=$G$4)*(Budget[Date]&lt;=$D$7),(Budget[Amount])))</f>
        <v>20000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-20000</v>
      </c>
      <c r="I67" s="246">
        <f t="shared" si="3"/>
        <v>0</v>
      </c>
    </row>
    <row r="68" spans="1:9" hidden="1">
      <c r="A68" s="247" t="s">
        <v>207</v>
      </c>
      <c r="B68" s="339" t="s">
        <v>174</v>
      </c>
      <c r="C68" s="245">
        <f t="array" ref="C68">SUM(IF((Budget[Account Code]=B68)*(Budget[Ofc Code]=$G$4),(Budget[Amount])))</f>
        <v>120662</v>
      </c>
      <c r="D68" s="245">
        <f t="array" ref="D68">SUM(IF((Budget[Account Code]=B68)*(Budget[Ofc Code]=$G$4)*(Budget[Date]&lt;=$D$7),(Budget[Amount])))</f>
        <v>120662</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-120662</v>
      </c>
      <c r="I68" s="246">
        <f t="shared" si="3"/>
        <v>0</v>
      </c>
    </row>
    <row r="69" spans="1:9" hidden="1">
      <c r="A69" s="247" t="s">
        <v>208</v>
      </c>
      <c r="B69" s="339" t="s">
        <v>175</v>
      </c>
      <c r="C69" s="245">
        <f t="array" ref="C69">SUM(IF((Budget[Account Code]=B69)*(Budget[Ofc Code]=$G$4),(Budget[Amount])))</f>
        <v>86876.64</v>
      </c>
      <c r="D69" s="245">
        <f t="array" ref="D69">SUM(IF((Budget[Account Code]=B69)*(Budget[Ofc Code]=$G$4)*(Budget[Date]&lt;=$D$7),(Budget[Amount])))</f>
        <v>86876.64</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-86876.64</v>
      </c>
      <c r="I69" s="246">
        <f t="shared" si="3"/>
        <v>0</v>
      </c>
    </row>
    <row r="70" spans="1:9" hidden="1">
      <c r="A70" s="247" t="s">
        <v>209</v>
      </c>
      <c r="B70" s="339" t="s">
        <v>176</v>
      </c>
      <c r="C70" s="245">
        <f t="array" ref="C70">SUM(IF((Budget[Account Code]=B70)*(Budget[Ofc Code]=$G$4),(Budget[Amount])))</f>
        <v>4800</v>
      </c>
      <c r="D70" s="245">
        <f t="array" ref="D70">SUM(IF((Budget[Account Code]=B70)*(Budget[Ofc Code]=$G$4)*(Budget[Date]&lt;=$D$7),(Budget[Amount])))</f>
        <v>4800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-4800</v>
      </c>
      <c r="I70" s="246">
        <f t="shared" si="3"/>
        <v>0</v>
      </c>
    </row>
    <row r="71" spans="1:9" hidden="1">
      <c r="A71" s="247" t="s">
        <v>210</v>
      </c>
      <c r="B71" s="339" t="s">
        <v>177</v>
      </c>
      <c r="C71" s="245">
        <f t="array" ref="C71">SUM(IF((Budget[Account Code]=B71)*(Budget[Ofc Code]=$G$4),(Budget[Amount])))</f>
        <v>10650</v>
      </c>
      <c r="D71" s="245">
        <f t="array" ref="D71">SUM(IF((Budget[Account Code]=B71)*(Budget[Ofc Code]=$G$4)*(Budget[Date]&lt;=$D$7),(Budget[Amount])))</f>
        <v>10650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-10650</v>
      </c>
      <c r="I71" s="246">
        <f t="shared" si="3"/>
        <v>0</v>
      </c>
    </row>
    <row r="72" spans="1:9" hidden="1">
      <c r="A72" s="247" t="s">
        <v>211</v>
      </c>
      <c r="B72" s="339" t="s">
        <v>178</v>
      </c>
      <c r="C72" s="245">
        <f t="array" ref="C72">SUM(IF((Budget[Account Code]=B72)*(Budget[Ofc Code]=$G$4),(Budget[Amount])))</f>
        <v>4800</v>
      </c>
      <c r="D72" s="245">
        <f t="array" ref="D72">SUM(IF((Budget[Account Code]=B72)*(Budget[Ofc Code]=$G$4)*(Budget[Date]&lt;=$D$7),(Budget[Amount])))</f>
        <v>4800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-4800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368946.75</v>
      </c>
      <c r="D76" s="252">
        <f>D77+D139</f>
        <v>368946.75</v>
      </c>
      <c r="E76" s="252">
        <f>E77+E139</f>
        <v>0</v>
      </c>
      <c r="F76" s="252">
        <f>F77+F139</f>
        <v>0</v>
      </c>
      <c r="G76" s="252">
        <f>G77+G139</f>
        <v>0</v>
      </c>
      <c r="H76" s="242">
        <f t="shared" si="2"/>
        <v>-368946.75</v>
      </c>
      <c r="I76" s="242">
        <f t="shared" si="3"/>
        <v>0</v>
      </c>
    </row>
    <row r="77" spans="1:9">
      <c r="A77" s="253" t="s">
        <v>809</v>
      </c>
      <c r="B77" s="337"/>
      <c r="C77" s="254">
        <f>C78+C138</f>
        <v>273543.75</v>
      </c>
      <c r="D77" s="254">
        <f>D78+D138</f>
        <v>273543.75</v>
      </c>
      <c r="E77" s="254">
        <f>E78+E138</f>
        <v>0</v>
      </c>
      <c r="F77" s="254">
        <f>F78+F138</f>
        <v>0</v>
      </c>
      <c r="G77" s="254">
        <f>G78+G138</f>
        <v>0</v>
      </c>
      <c r="H77" s="246">
        <f t="shared" si="2"/>
        <v>-273543.75</v>
      </c>
      <c r="I77" s="246">
        <f t="shared" si="3"/>
        <v>0</v>
      </c>
    </row>
    <row r="78" spans="1:9">
      <c r="A78" s="255" t="s">
        <v>806</v>
      </c>
      <c r="B78" s="337"/>
      <c r="C78" s="246">
        <f>SUM(C79:C137)</f>
        <v>273543.75</v>
      </c>
      <c r="D78" s="246">
        <f>SUM(D79:D137)</f>
        <v>273543.75</v>
      </c>
      <c r="E78" s="246">
        <f>SUM(E79:E137)</f>
        <v>0</v>
      </c>
      <c r="F78" s="246">
        <f>SUM(F79:F137)</f>
        <v>0</v>
      </c>
      <c r="G78" s="246">
        <f>SUM(G79:G137)</f>
        <v>0</v>
      </c>
      <c r="H78" s="246">
        <f t="shared" si="2"/>
        <v>-273543.75</v>
      </c>
      <c r="I78" s="246">
        <f t="shared" si="3"/>
        <v>0</v>
      </c>
    </row>
    <row r="79" spans="1:9" hidden="1">
      <c r="A79" s="256" t="s">
        <v>284</v>
      </c>
      <c r="B79" s="339" t="s">
        <v>223</v>
      </c>
      <c r="C79" s="245">
        <f t="array" ref="C79">SUM(IF((Budget[Account Code]=B79)*(Budget[Ofc Code]=$G$4),(Budget[Amount])))</f>
        <v>0</v>
      </c>
      <c r="D79" s="245">
        <f t="array" ref="D79">SUM(IF((Budget[Account Code]=B79)*(Budget[Ofc Code]=$G$4)*(Budget[Date]&lt;=$D$7),(Budget[Amount])))</f>
        <v>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60000</v>
      </c>
      <c r="D82" s="245">
        <f t="array" ref="D82">SUM(IF((Budget[Account Code]=B82)*(Budget[Ofc Code]=$G$4)*(Budget[Date]&lt;=$D$7),(Budget[Amount])))</f>
        <v>60000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-60000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60000</v>
      </c>
      <c r="D86" s="245">
        <f t="array" ref="D86">SUM(IF((Budget[Account Code]=B86)*(Budget[Ofc Code]=$G$4)*(Budget[Date]&lt;=$D$7),(Budget[Amount])))</f>
        <v>60000</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-60000</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0</v>
      </c>
      <c r="D88" s="245">
        <f t="array" ref="D88">SUM(IF((Budget[Account Code]=B88)*(Budget[Ofc Code]=$G$4)*(Budget[Date]&lt;=$D$7),(Budget[Amount])))</f>
        <v>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0</v>
      </c>
      <c r="I88" s="246">
        <f t="shared" si="3"/>
        <v>0</v>
      </c>
    </row>
    <row r="89" spans="1:9" hidden="1">
      <c r="A89" s="256" t="s">
        <v>292</v>
      </c>
      <c r="B89" s="339" t="s">
        <v>232</v>
      </c>
      <c r="C89" s="245">
        <f t="array" ref="C89">SUM(IF((Budget[Account Code]=B89)*(Budget[Ofc Code]=$G$4),(Budget[Amount])))</f>
        <v>12000</v>
      </c>
      <c r="D89" s="245">
        <f t="array" ref="D89">SUM(IF((Budget[Account Code]=B89)*(Budget[Ofc Code]=$G$4)*(Budget[Date]&lt;=$D$7),(Budget[Amount])))</f>
        <v>12000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-12000</v>
      </c>
      <c r="I89" s="246">
        <f t="shared" si="3"/>
        <v>0</v>
      </c>
    </row>
    <row r="90" spans="1:9" hidden="1">
      <c r="A90" s="256" t="s">
        <v>293</v>
      </c>
      <c r="B90" s="339" t="s">
        <v>233</v>
      </c>
      <c r="C90" s="245">
        <f t="array" ref="C90">SUM(IF((Budget[Account Code]=B90)*(Budget[Ofc Code]=$G$4),(Budget[Amount])))</f>
        <v>60000</v>
      </c>
      <c r="D90" s="245">
        <f t="array" ref="D90">SUM(IF((Budget[Account Code]=B90)*(Budget[Ofc Code]=$G$4)*(Budget[Date]&lt;=$D$7),(Budget[Amount])))</f>
        <v>60000</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-60000</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49200</v>
      </c>
      <c r="D94" s="245">
        <f t="array" ref="D94">SUM(IF((Budget[Account Code]=B94)*(Budget[Ofc Code]=$G$4)*(Budget[Date]&lt;=$D$7),(Budget[Amount])))</f>
        <v>49200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-49200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0</v>
      </c>
      <c r="D118" s="245">
        <f t="array" ref="D118">SUM(IF((Budget[Account Code]=B118)*(Budget[Ofc Code]=$G$4)*(Budget[Date]&lt;=$D$7),(Budget[Amount])))</f>
        <v>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32343.75</v>
      </c>
      <c r="D125" s="245">
        <f t="array" ref="D125">SUM(IF((Budget[Account Code]=B125)*(Budget[Ofc Code]=$G$4)*(Budget[Date]&lt;=$D$7),(Budget[Amount])))</f>
        <v>32343.75</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-32343.75</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95403</v>
      </c>
      <c r="D139" s="242">
        <f>SUM(D140:D143)</f>
        <v>95403</v>
      </c>
      <c r="E139" s="242">
        <f>SUM(E140:E143)</f>
        <v>0</v>
      </c>
      <c r="F139" s="242">
        <f>SUM(F140:F143)</f>
        <v>0</v>
      </c>
      <c r="G139" s="242">
        <f>SUM(G140:G143)</f>
        <v>0</v>
      </c>
      <c r="H139" s="246">
        <f t="shared" si="7"/>
        <v>-95403</v>
      </c>
      <c r="I139" s="246">
        <f t="shared" si="8"/>
        <v>0</v>
      </c>
    </row>
    <row r="140" spans="1:9" hidden="1">
      <c r="A140" s="256" t="s">
        <v>342</v>
      </c>
      <c r="B140" s="339" t="s">
        <v>333</v>
      </c>
      <c r="C140" s="245">
        <f t="array" ref="C140">SUM(IF((Budget[Account Code]=B140)*(Budget[Ofc Code]=$G$4),(Budget[Amount])))</f>
        <v>95403</v>
      </c>
      <c r="D140" s="245">
        <f t="array" ref="D140">SUM(IF((Budget[Account Code]=B140)*(Budget[Ofc Code]=$G$4)*(Budget[Date]&lt;=$D$7),(Budget[Amount])))</f>
        <v>95403</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-95403</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1459899.39</v>
      </c>
      <c r="D147" s="250">
        <f>D50+D76+D144</f>
        <v>1459899.39</v>
      </c>
      <c r="E147" s="250">
        <f>E50+E76+E144</f>
        <v>0</v>
      </c>
      <c r="F147" s="250">
        <f>F50+F76+F144</f>
        <v>0</v>
      </c>
      <c r="G147" s="250">
        <f>G50+G76+G144</f>
        <v>0</v>
      </c>
      <c r="H147" s="250">
        <f t="shared" si="7"/>
        <v>-1459899.39</v>
      </c>
      <c r="I147" s="250">
        <f t="shared" si="8"/>
        <v>0</v>
      </c>
    </row>
    <row r="148" spans="1:9">
      <c r="A148" s="251" t="s">
        <v>785</v>
      </c>
      <c r="B148" s="338"/>
      <c r="C148" s="250">
        <f>C48-C147</f>
        <v>-1459899.39</v>
      </c>
      <c r="D148" s="250">
        <f>D48-D147</f>
        <v>-1459899.39</v>
      </c>
      <c r="E148" s="250">
        <f>E48-E147</f>
        <v>0</v>
      </c>
      <c r="F148" s="250">
        <f>F48-F147</f>
        <v>0</v>
      </c>
      <c r="G148" s="250">
        <f>G48-G147</f>
        <v>0</v>
      </c>
      <c r="H148" s="250">
        <f t="shared" si="7"/>
        <v>1459899.39</v>
      </c>
      <c r="I148" s="250">
        <f t="shared" si="8"/>
        <v>0</v>
      </c>
    </row>
    <row r="149" spans="1:9">
      <c r="A149" s="251" t="s">
        <v>749</v>
      </c>
      <c r="B149" s="338"/>
      <c r="C149" s="250">
        <f>C48/C147</f>
        <v>0</v>
      </c>
      <c r="D149" s="250">
        <f>D48/D147</f>
        <v>0</v>
      </c>
      <c r="E149" s="250" t="e">
        <f>E48/E147</f>
        <v>#DIV/0!</v>
      </c>
      <c r="F149" s="250" t="e">
        <f>F48/F147</f>
        <v>#DIV/0!</v>
      </c>
      <c r="G149" s="250" t="e">
        <f>G48/G147</f>
        <v>#DIV/0!</v>
      </c>
      <c r="H149" s="250" t="e">
        <f t="shared" si="7"/>
        <v>#DIV/0!</v>
      </c>
      <c r="I149" s="250">
        <f t="shared" si="8"/>
        <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-1459899.39</v>
      </c>
      <c r="D152" s="250">
        <f>D148+D150+D151</f>
        <v>-1459899.39</v>
      </c>
      <c r="E152" s="250">
        <f>E148+E150+E151</f>
        <v>0</v>
      </c>
      <c r="F152" s="250">
        <f>F148+F150+F151</f>
        <v>0</v>
      </c>
      <c r="G152" s="250">
        <f>G148+G150+G151</f>
        <v>0</v>
      </c>
      <c r="H152" s="250">
        <f t="shared" si="7"/>
        <v>1459899.39</v>
      </c>
      <c r="I152" s="250">
        <f t="shared" si="8"/>
        <v>0</v>
      </c>
    </row>
    <row r="153" spans="1:9">
      <c r="A153" s="251" t="s">
        <v>749</v>
      </c>
      <c r="B153" s="338"/>
      <c r="C153" s="250">
        <f>C48/(C147-C150-C151)</f>
        <v>0</v>
      </c>
      <c r="D153" s="250">
        <f>D48/(D147-D150-D151)</f>
        <v>0</v>
      </c>
      <c r="E153" s="250" t="e">
        <f>E48/(E147-E150-E151)</f>
        <v>#DIV/0!</v>
      </c>
      <c r="F153" s="250" t="e">
        <f>F48/(F147-F150-F151)</f>
        <v>#DIV/0!</v>
      </c>
      <c r="G153" s="250" t="e">
        <f>G48/(G147-G150-G151)</f>
        <v>#DIV/0!</v>
      </c>
      <c r="H153" s="250" t="e">
        <f t="shared" si="7"/>
        <v>#DIV/0!</v>
      </c>
      <c r="I153" s="250">
        <f t="shared" si="8"/>
        <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30000</v>
      </c>
      <c r="D156" s="245">
        <f t="array" ref="D156">SUM(IF((Budget[Account Code]=B156)*(Budget[Ofc Code]=$G$4)*(Budget[Date]&lt;=$D$7),(Budget[Amount])))</f>
        <v>30000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-30000</v>
      </c>
      <c r="I156" s="246">
        <f t="shared" si="11"/>
        <v>0</v>
      </c>
    </row>
    <row r="157" spans="1:9">
      <c r="A157" s="253" t="s">
        <v>797</v>
      </c>
      <c r="B157" s="339" t="s">
        <v>168</v>
      </c>
      <c r="C157" s="245">
        <f t="array" ref="C157">SUM(IF((Budget[Account Code]=B157)*(Budget[Ofc Code]=$G$4),(Budget[Amount])))</f>
        <v>75000</v>
      </c>
      <c r="D157" s="245">
        <f t="array" ref="D157">SUM(IF((Budget[Account Code]=B157)*(Budget[Ofc Code]=$G$4)*(Budget[Date]&lt;=$D$7),(Budget[Amount])))</f>
        <v>75000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-75000</v>
      </c>
      <c r="I157" s="246">
        <f t="shared" si="11"/>
        <v>0</v>
      </c>
    </row>
    <row r="158" spans="1:9">
      <c r="A158" s="253" t="s">
        <v>354</v>
      </c>
      <c r="B158" s="339" t="s">
        <v>216</v>
      </c>
      <c r="C158" s="245">
        <f t="array" ref="C158">SUM(IF((Budget[Account Code]=B158)*(Budget[Ofc Code]=$G$4),(Budget[Amount])))</f>
        <v>0</v>
      </c>
      <c r="D158" s="245">
        <f t="array" ref="D158">SUM(IF((Budget[Account Code]=B158)*(Budget[Ofc Code]=$G$4)*(Budget[Date]&lt;=$D$7),(Budget[Amount])))</f>
        <v>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105000</v>
      </c>
      <c r="D164" s="250">
        <f>SUM(D155:D163)</f>
        <v>105000</v>
      </c>
      <c r="E164" s="250">
        <f>SUM(E155:E163)</f>
        <v>0</v>
      </c>
      <c r="F164" s="250">
        <f>SUM(F155:F163)</f>
        <v>0</v>
      </c>
      <c r="G164" s="250">
        <f>SUM(G155:G163)</f>
        <v>0</v>
      </c>
      <c r="H164" s="250">
        <f t="shared" si="10"/>
        <v>-105000</v>
      </c>
      <c r="I164" s="250">
        <f t="shared" si="11"/>
        <v>0</v>
      </c>
    </row>
    <row r="165" spans="1:9">
      <c r="A165" s="251" t="s">
        <v>788</v>
      </c>
      <c r="B165" s="338"/>
      <c r="C165" s="250">
        <f>C147+C164</f>
        <v>1564899.39</v>
      </c>
      <c r="D165" s="250">
        <f>D147+D164</f>
        <v>1564899.39</v>
      </c>
      <c r="E165" s="250">
        <f>E147+E164</f>
        <v>0</v>
      </c>
      <c r="F165" s="250">
        <f>F147+F164</f>
        <v>0</v>
      </c>
      <c r="G165" s="250">
        <f>G147+G164</f>
        <v>0</v>
      </c>
      <c r="H165" s="250">
        <f t="shared" si="10"/>
        <v>-1564899.39</v>
      </c>
      <c r="I165" s="250">
        <f t="shared" si="11"/>
        <v>0</v>
      </c>
    </row>
    <row r="166" spans="1:9">
      <c r="A166" s="251" t="s">
        <v>785</v>
      </c>
      <c r="B166" s="338"/>
      <c r="C166" s="250">
        <f>C48-C165</f>
        <v>-1564899.39</v>
      </c>
      <c r="D166" s="250">
        <f>D48-D165</f>
        <v>-1564899.39</v>
      </c>
      <c r="E166" s="250">
        <f>E48-E165</f>
        <v>0</v>
      </c>
      <c r="F166" s="250">
        <f>F48-F165</f>
        <v>0</v>
      </c>
      <c r="G166" s="250">
        <f>G48-G165</f>
        <v>0</v>
      </c>
      <c r="H166" s="250">
        <f t="shared" si="10"/>
        <v>1564899.39</v>
      </c>
      <c r="I166" s="250">
        <f t="shared" si="11"/>
        <v>0</v>
      </c>
    </row>
    <row r="167" spans="1:9">
      <c r="A167" s="251" t="s">
        <v>749</v>
      </c>
      <c r="B167" s="338"/>
      <c r="C167" s="250">
        <f>C48/C165</f>
        <v>0</v>
      </c>
      <c r="D167" s="250">
        <f>D48/D165</f>
        <v>0</v>
      </c>
      <c r="E167" s="250" t="e">
        <f>E48/E165</f>
        <v>#DIV/0!</v>
      </c>
      <c r="F167" s="250" t="e">
        <f>F48/F165</f>
        <v>#DIV/0!</v>
      </c>
      <c r="G167" s="250" t="e">
        <f>G48/G165</f>
        <v>#DIV/0!</v>
      </c>
      <c r="H167" s="250" t="e">
        <f t="shared" si="10"/>
        <v>#DIV/0!</v>
      </c>
      <c r="I167" s="250">
        <f t="shared" si="11"/>
        <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-1564899.39</v>
      </c>
      <c r="D170" s="250">
        <f>D166+D168+D169</f>
        <v>-1564899.39</v>
      </c>
      <c r="E170" s="250">
        <f>E166+E168+E169</f>
        <v>0</v>
      </c>
      <c r="F170" s="250">
        <f>F166+F168+F169</f>
        <v>0</v>
      </c>
      <c r="G170" s="250">
        <f>G166+G168+G169</f>
        <v>0</v>
      </c>
      <c r="H170" s="250">
        <f t="shared" si="10"/>
        <v>1564899.39</v>
      </c>
      <c r="I170" s="250">
        <f t="shared" si="11"/>
        <v>0</v>
      </c>
    </row>
    <row r="171" spans="1:9">
      <c r="A171" s="251" t="s">
        <v>792</v>
      </c>
      <c r="B171" s="338"/>
      <c r="C171" s="250">
        <f>C48/(C165-C168-C169)</f>
        <v>0</v>
      </c>
      <c r="D171" s="250">
        <f>D48/(D165-D168-D169)</f>
        <v>0</v>
      </c>
      <c r="E171" s="250" t="e">
        <f>E48/(E165-E168-E169)</f>
        <v>#DIV/0!</v>
      </c>
      <c r="F171" s="250" t="e">
        <f>F48/(F165-F168-F169)</f>
        <v>#DIV/0!</v>
      </c>
      <c r="G171" s="250" t="e">
        <f>G48/(G165-G168-G169)</f>
        <v>#DIV/0!</v>
      </c>
      <c r="H171" s="250" t="e">
        <f t="shared" si="10"/>
        <v>#DIV/0!</v>
      </c>
      <c r="I171" s="250">
        <f t="shared" si="11"/>
        <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200000</v>
      </c>
      <c r="D175" s="245">
        <f t="array" ref="D175">SUM(IF((Budget[Account Code]=B175)*(Budget[Ofc Code]=$G$4)*(Budget[Date]&lt;=$D$7),(Budget[Amount])))</f>
        <v>200000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-200000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200000</v>
      </c>
      <c r="D177" s="250">
        <f>SUM(D174:D176)</f>
        <v>200000</v>
      </c>
      <c r="E177" s="250">
        <f>SUM(E174:E176)</f>
        <v>0</v>
      </c>
      <c r="F177" s="250">
        <f>SUM(F174:F176)</f>
        <v>0</v>
      </c>
      <c r="G177" s="250">
        <f>SUM(G174:G176)</f>
        <v>0</v>
      </c>
      <c r="H177" s="250">
        <f t="shared" si="12"/>
        <v>-200000</v>
      </c>
      <c r="I177" s="250">
        <f t="shared" si="13"/>
        <v>0</v>
      </c>
    </row>
    <row r="178" spans="1:9">
      <c r="A178" s="251" t="s">
        <v>788</v>
      </c>
      <c r="B178" s="338"/>
      <c r="C178" s="250">
        <f>C165+C177</f>
        <v>1764899.39</v>
      </c>
      <c r="D178" s="250">
        <f>D165+D177</f>
        <v>1764899.39</v>
      </c>
      <c r="E178" s="250">
        <f>E165+E177</f>
        <v>0</v>
      </c>
      <c r="F178" s="250">
        <f>F165+F177</f>
        <v>0</v>
      </c>
      <c r="G178" s="250">
        <f>G165+G177</f>
        <v>0</v>
      </c>
      <c r="H178" s="250">
        <f t="shared" si="12"/>
        <v>-1764899.39</v>
      </c>
      <c r="I178" s="250">
        <f t="shared" si="13"/>
        <v>0</v>
      </c>
    </row>
    <row r="179" spans="1:9">
      <c r="A179" s="251" t="s">
        <v>785</v>
      </c>
      <c r="B179" s="338"/>
      <c r="C179" s="250">
        <f>C48-C178</f>
        <v>-1764899.39</v>
      </c>
      <c r="D179" s="250">
        <f>D48-D178</f>
        <v>-1764899.39</v>
      </c>
      <c r="E179" s="250">
        <f>E48-E178</f>
        <v>0</v>
      </c>
      <c r="F179" s="250">
        <f>F48-F178</f>
        <v>0</v>
      </c>
      <c r="G179" s="250">
        <f>G48-G178</f>
        <v>0</v>
      </c>
      <c r="H179" s="250">
        <f t="shared" si="12"/>
        <v>1764899.39</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v>
      </c>
      <c r="D184" s="265">
        <f>D48/(D178-D181-D182)</f>
        <v>0</v>
      </c>
      <c r="E184" s="265" t="e">
        <f>E48/(E178-E181-E182)</f>
        <v>#DIV/0!</v>
      </c>
      <c r="F184" s="265" t="e">
        <f>F48/(F178-F181-F182)</f>
        <v>#DIV/0!</v>
      </c>
      <c r="G184" s="265" t="e">
        <f>G48/(G178-G181-G182)</f>
        <v>#DIV/0!</v>
      </c>
      <c r="H184" s="265" t="e">
        <f t="shared" si="12"/>
        <v>#DIV/0!</v>
      </c>
      <c r="I184" s="265">
        <f t="shared" si="13"/>
        <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Ilocos Sur BPIS</v>
      </c>
      <c r="C4" s="332"/>
      <c r="G4" s="331" t="s">
        <v>492</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1000000</v>
      </c>
      <c r="D15" s="248">
        <f>SUM(D16:D18)</f>
        <v>1000000</v>
      </c>
      <c r="E15" s="248">
        <f>SUM(E16:E18)</f>
        <v>0</v>
      </c>
      <c r="F15" s="248">
        <f>SUM(F16:F18)</f>
        <v>0</v>
      </c>
      <c r="G15" s="248">
        <f>SUM(G16:G18)</f>
        <v>0</v>
      </c>
      <c r="H15" s="242">
        <f t="shared" si="0"/>
        <v>-1000000</v>
      </c>
      <c r="I15" s="242">
        <f t="shared" si="1"/>
        <v>0</v>
      </c>
    </row>
    <row r="16" spans="1:9" hidden="1">
      <c r="A16" s="243" t="s">
        <v>182</v>
      </c>
      <c r="B16" s="337" t="s">
        <v>146</v>
      </c>
      <c r="C16" s="245">
        <f t="array" ref="C16">SUM(IF((Budget[Account Code]=B16)*(Budget[Ofc Code]=$G$4),(Budget[Amount])))</f>
        <v>1000000</v>
      </c>
      <c r="D16" s="245">
        <f t="array" ref="D16">SUM(IF((Budget[Account Code]=B16)*(Budget[Ofc Code]=$G$4)*(Budget[Date]&lt;=$D$7),(Budget[Amount])))</f>
        <v>1000000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-1000000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1000000</v>
      </c>
      <c r="D24" s="250">
        <f>D9+D15+D19</f>
        <v>1000000</v>
      </c>
      <c r="E24" s="250">
        <f>E9+E15+E19</f>
        <v>0</v>
      </c>
      <c r="F24" s="250">
        <f>F9+F15+F19</f>
        <v>0</v>
      </c>
      <c r="G24" s="250">
        <f>G9+G15+G19</f>
        <v>0</v>
      </c>
      <c r="H24" s="250">
        <f t="shared" si="0"/>
        <v>-1000000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0</v>
      </c>
      <c r="D47" s="250">
        <f>D26+D27+D32+D36+D46</f>
        <v>0</v>
      </c>
      <c r="E47" s="250">
        <f>E26+E27+E32+E36+E46</f>
        <v>0</v>
      </c>
      <c r="F47" s="250">
        <f>F26+F27+F32+F36+F46</f>
        <v>0</v>
      </c>
      <c r="G47" s="250">
        <f>G26+G27+G32+G36+G46</f>
        <v>0</v>
      </c>
      <c r="H47" s="250">
        <f t="shared" si="2"/>
        <v>0</v>
      </c>
      <c r="I47" s="250">
        <f t="shared" si="3"/>
        <v>0</v>
      </c>
    </row>
    <row r="48" spans="1:9">
      <c r="A48" s="251" t="s">
        <v>813</v>
      </c>
      <c r="B48" s="338"/>
      <c r="C48" s="250">
        <f>C24+C47</f>
        <v>1000000</v>
      </c>
      <c r="D48" s="250">
        <f>D24+D47</f>
        <v>1000000</v>
      </c>
      <c r="E48" s="250">
        <f>E24+E47</f>
        <v>0</v>
      </c>
      <c r="F48" s="250">
        <f>F24+F47</f>
        <v>0</v>
      </c>
      <c r="G48" s="250">
        <f>G24+G47</f>
        <v>0</v>
      </c>
      <c r="H48" s="250">
        <f t="shared" si="2"/>
        <v>-1000000</v>
      </c>
      <c r="I48" s="250">
        <f t="shared" si="3"/>
        <v>0</v>
      </c>
    </row>
    <row r="49" spans="1:9">
      <c r="A49" s="239" t="s">
        <v>812</v>
      </c>
      <c r="B49" s="337"/>
      <c r="C49" s="240"/>
      <c r="D49" s="240"/>
      <c r="E49" s="240"/>
      <c r="F49" s="240"/>
      <c r="G49" s="246"/>
      <c r="H49" s="246"/>
      <c r="I49" s="246"/>
    </row>
    <row r="50" spans="1:9">
      <c r="A50" s="239" t="s">
        <v>811</v>
      </c>
      <c r="B50" s="337"/>
      <c r="C50" s="242">
        <f>C51+C75</f>
        <v>8910662</v>
      </c>
      <c r="D50" s="242">
        <f>D51+D75</f>
        <v>8910662</v>
      </c>
      <c r="E50" s="242">
        <f>E51+E75</f>
        <v>0</v>
      </c>
      <c r="F50" s="242">
        <f>F51+F75</f>
        <v>0</v>
      </c>
      <c r="G50" s="242">
        <f>G51+G75</f>
        <v>0</v>
      </c>
      <c r="H50" s="242">
        <f t="shared" si="2"/>
        <v>-8910662</v>
      </c>
      <c r="I50" s="242">
        <f t="shared" si="3"/>
        <v>0</v>
      </c>
    </row>
    <row r="51" spans="1:9">
      <c r="A51" s="243" t="s">
        <v>806</v>
      </c>
      <c r="B51" s="337"/>
      <c r="C51" s="246">
        <f>SUM(C52:C74)</f>
        <v>8910662</v>
      </c>
      <c r="D51" s="246">
        <f>SUM(D52:D74)</f>
        <v>8910662</v>
      </c>
      <c r="E51" s="246">
        <f>SUM(E52:E74)</f>
        <v>0</v>
      </c>
      <c r="F51" s="246">
        <f>SUM(F52:F74)</f>
        <v>0</v>
      </c>
      <c r="G51" s="246">
        <f>SUM(G52:G74)</f>
        <v>0</v>
      </c>
      <c r="H51" s="246">
        <f t="shared" si="2"/>
        <v>-8910662</v>
      </c>
      <c r="I51" s="246">
        <f t="shared" si="3"/>
        <v>0</v>
      </c>
    </row>
    <row r="52" spans="1:9" hidden="1">
      <c r="A52" s="247" t="s">
        <v>194</v>
      </c>
      <c r="B52" s="339" t="s">
        <v>162</v>
      </c>
      <c r="C52" s="245">
        <f t="array" ref="C52">SUM(IF((Budget[Account Code]=B52)*(Budget[Ofc Code]=$G$4),(Budget[Amount])))</f>
        <v>6066588</v>
      </c>
      <c r="D52" s="245">
        <f t="array" ref="D52">SUM(IF((Budget[Account Code]=B52)*(Budget[Ofc Code]=$G$4)*(Budget[Date]&lt;=$D$7),(Budget[Amount])))</f>
        <v>6066588</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-6066588</v>
      </c>
      <c r="I52" s="246">
        <f t="shared" si="3"/>
        <v>0</v>
      </c>
    </row>
    <row r="53" spans="1:9" hidden="1">
      <c r="A53" s="247" t="s">
        <v>195</v>
      </c>
      <c r="B53" s="339" t="s">
        <v>163</v>
      </c>
      <c r="C53" s="245">
        <f t="array" ref="C53">SUM(IF((Budget[Account Code]=B53)*(Budget[Ofc Code]=$G$4),(Budget[Amount])))</f>
        <v>0</v>
      </c>
      <c r="D53" s="245">
        <f t="array" ref="D53">SUM(IF((Budget[Account Code]=B53)*(Budget[Ofc Code]=$G$4)*(Budget[Date]&lt;=$D$7),(Budget[Amount])))</f>
        <v>0</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0</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600000</v>
      </c>
      <c r="D55" s="245">
        <f t="array" ref="D55">SUM(IF((Budget[Account Code]=B55)*(Budget[Ofc Code]=$G$4)*(Budget[Date]&lt;=$D$7),(Budget[Amount])))</f>
        <v>600000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-600000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125000</v>
      </c>
      <c r="D58" s="245">
        <f t="array" ref="D58">SUM(IF((Budget[Account Code]=B58)*(Budget[Ofc Code]=$G$4)*(Budget[Date]&lt;=$D$7),(Budget[Amount])))</f>
        <v>125000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-125000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4800</v>
      </c>
      <c r="D61" s="245">
        <f t="array" ref="D61">SUM(IF((Budget[Account Code]=B61)*(Budget[Ofc Code]=$G$4)*(Budget[Date]&lt;=$D$7),(Budget[Amount])))</f>
        <v>4800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-4800</v>
      </c>
      <c r="I61" s="246">
        <f t="shared" si="3"/>
        <v>0</v>
      </c>
    </row>
    <row r="62" spans="1:9" hidden="1">
      <c r="A62" s="247" t="s">
        <v>202</v>
      </c>
      <c r="B62" s="339" t="s">
        <v>6</v>
      </c>
      <c r="C62" s="245">
        <f t="array" ref="C62">SUM(IF((Budget[Account Code]=B62)*(Budget[Ofc Code]=$G$4),(Budget[Amount])))</f>
        <v>1584</v>
      </c>
      <c r="D62" s="245">
        <f t="array" ref="D62">SUM(IF((Budget[Account Code]=B62)*(Budget[Ofc Code]=$G$4)*(Budget[Date]&lt;=$D$7),(Budget[Amount])))</f>
        <v>1584</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-1584</v>
      </c>
      <c r="I62" s="246">
        <f t="shared" si="3"/>
        <v>0</v>
      </c>
    </row>
    <row r="63" spans="1:9" hidden="1">
      <c r="A63" s="247" t="s">
        <v>203</v>
      </c>
      <c r="B63" s="339" t="s">
        <v>7</v>
      </c>
      <c r="C63" s="245">
        <f t="array" ref="C63">SUM(IF((Budget[Account Code]=B63)*(Budget[Ofc Code]=$G$4),(Budget[Amount])))</f>
        <v>0</v>
      </c>
      <c r="D63" s="245">
        <f t="array" ref="D63">SUM(IF((Budget[Account Code]=B63)*(Budget[Ofc Code]=$G$4)*(Budget[Date]&lt;=$D$7),(Budget[Amount])))</f>
        <v>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110000</v>
      </c>
      <c r="D65" s="245">
        <f t="array" ref="D65">SUM(IF((Budget[Account Code]=B65)*(Budget[Ofc Code]=$G$4)*(Budget[Date]&lt;=$D$7),(Budget[Amount])))</f>
        <v>110000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-110000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125000</v>
      </c>
      <c r="D67" s="245">
        <f t="array" ref="D67">SUM(IF((Budget[Account Code]=B67)*(Budget[Ofc Code]=$G$4)*(Budget[Date]&lt;=$D$7),(Budget[Amount])))</f>
        <v>125000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-125000</v>
      </c>
      <c r="I67" s="246">
        <f t="shared" si="3"/>
        <v>0</v>
      </c>
    </row>
    <row r="68" spans="1:9" hidden="1">
      <c r="A68" s="247" t="s">
        <v>207</v>
      </c>
      <c r="B68" s="339" t="s">
        <v>174</v>
      </c>
      <c r="C68" s="245">
        <f t="array" ref="C68">SUM(IF((Budget[Account Code]=B68)*(Budget[Ofc Code]=$G$4),(Budget[Amount])))</f>
        <v>1011098</v>
      </c>
      <c r="D68" s="245">
        <f t="array" ref="D68">SUM(IF((Budget[Account Code]=B68)*(Budget[Ofc Code]=$G$4)*(Budget[Date]&lt;=$D$7),(Budget[Amount])))</f>
        <v>1011098</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-1011098</v>
      </c>
      <c r="I68" s="246">
        <f t="shared" si="3"/>
        <v>0</v>
      </c>
    </row>
    <row r="69" spans="1:9" hidden="1">
      <c r="A69" s="247" t="s">
        <v>208</v>
      </c>
      <c r="B69" s="339" t="s">
        <v>175</v>
      </c>
      <c r="C69" s="245">
        <f t="array" ref="C69">SUM(IF((Budget[Account Code]=B69)*(Budget[Ofc Code]=$G$4),(Budget[Amount])))</f>
        <v>727990.56</v>
      </c>
      <c r="D69" s="245">
        <f t="array" ref="D69">SUM(IF((Budget[Account Code]=B69)*(Budget[Ofc Code]=$G$4)*(Budget[Date]&lt;=$D$7),(Budget[Amount])))</f>
        <v>727990.56</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-727990.56</v>
      </c>
      <c r="I69" s="246">
        <f t="shared" si="3"/>
        <v>0</v>
      </c>
    </row>
    <row r="70" spans="1:9" hidden="1">
      <c r="A70" s="247" t="s">
        <v>209</v>
      </c>
      <c r="B70" s="339" t="s">
        <v>176</v>
      </c>
      <c r="C70" s="245">
        <f t="array" ref="C70">SUM(IF((Budget[Account Code]=B70)*(Budget[Ofc Code]=$G$4),(Budget[Amount])))</f>
        <v>30120</v>
      </c>
      <c r="D70" s="245">
        <f t="array" ref="D70">SUM(IF((Budget[Account Code]=B70)*(Budget[Ofc Code]=$G$4)*(Budget[Date]&lt;=$D$7),(Budget[Amount])))</f>
        <v>30120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-30120</v>
      </c>
      <c r="I70" s="246">
        <f t="shared" si="3"/>
        <v>0</v>
      </c>
    </row>
    <row r="71" spans="1:9" hidden="1">
      <c r="A71" s="247" t="s">
        <v>210</v>
      </c>
      <c r="B71" s="339" t="s">
        <v>177</v>
      </c>
      <c r="C71" s="245">
        <f t="array" ref="C71">SUM(IF((Budget[Account Code]=B71)*(Budget[Ofc Code]=$G$4),(Budget[Amount])))</f>
        <v>78361.440000000002</v>
      </c>
      <c r="D71" s="245">
        <f t="array" ref="D71">SUM(IF((Budget[Account Code]=B71)*(Budget[Ofc Code]=$G$4)*(Budget[Date]&lt;=$D$7),(Budget[Amount])))</f>
        <v>78361.440000000002</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-78361.440000000002</v>
      </c>
      <c r="I71" s="246">
        <f t="shared" si="3"/>
        <v>0</v>
      </c>
    </row>
    <row r="72" spans="1:9" hidden="1">
      <c r="A72" s="247" t="s">
        <v>211</v>
      </c>
      <c r="B72" s="339" t="s">
        <v>178</v>
      </c>
      <c r="C72" s="245">
        <f t="array" ref="C72">SUM(IF((Budget[Account Code]=B72)*(Budget[Ofc Code]=$G$4),(Budget[Amount])))</f>
        <v>30120</v>
      </c>
      <c r="D72" s="245">
        <f t="array" ref="D72">SUM(IF((Budget[Account Code]=B72)*(Budget[Ofc Code]=$G$4)*(Budget[Date]&lt;=$D$7),(Budget[Amount])))</f>
        <v>30120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-30120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1969167.52</v>
      </c>
      <c r="D76" s="252">
        <f>D77+D139</f>
        <v>1969167.52</v>
      </c>
      <c r="E76" s="252">
        <f>E77+E139</f>
        <v>0</v>
      </c>
      <c r="F76" s="252">
        <f>F77+F139</f>
        <v>0</v>
      </c>
      <c r="G76" s="252">
        <f>G77+G139</f>
        <v>0</v>
      </c>
      <c r="H76" s="242">
        <f t="shared" si="2"/>
        <v>-1969167.52</v>
      </c>
      <c r="I76" s="242">
        <f t="shared" si="3"/>
        <v>0</v>
      </c>
    </row>
    <row r="77" spans="1:9">
      <c r="A77" s="253" t="s">
        <v>809</v>
      </c>
      <c r="B77" s="337"/>
      <c r="C77" s="254">
        <f>C78+C138</f>
        <v>807196.52</v>
      </c>
      <c r="D77" s="254">
        <f>D78+D138</f>
        <v>807196.52</v>
      </c>
      <c r="E77" s="254">
        <f>E78+E138</f>
        <v>0</v>
      </c>
      <c r="F77" s="254">
        <f>F78+F138</f>
        <v>0</v>
      </c>
      <c r="G77" s="254">
        <f>G78+G138</f>
        <v>0</v>
      </c>
      <c r="H77" s="246">
        <f t="shared" si="2"/>
        <v>-807196.52</v>
      </c>
      <c r="I77" s="246">
        <f t="shared" si="3"/>
        <v>0</v>
      </c>
    </row>
    <row r="78" spans="1:9">
      <c r="A78" s="255" t="s">
        <v>806</v>
      </c>
      <c r="B78" s="337"/>
      <c r="C78" s="246">
        <f>SUM(C79:C137)</f>
        <v>807196.52</v>
      </c>
      <c r="D78" s="246">
        <f>SUM(D79:D137)</f>
        <v>807196.52</v>
      </c>
      <c r="E78" s="246">
        <f>SUM(E79:E137)</f>
        <v>0</v>
      </c>
      <c r="F78" s="246">
        <f>SUM(F79:F137)</f>
        <v>0</v>
      </c>
      <c r="G78" s="246">
        <f>SUM(G79:G137)</f>
        <v>0</v>
      </c>
      <c r="H78" s="246">
        <f t="shared" si="2"/>
        <v>-807196.52</v>
      </c>
      <c r="I78" s="246">
        <f t="shared" si="3"/>
        <v>0</v>
      </c>
    </row>
    <row r="79" spans="1:9" hidden="1">
      <c r="A79" s="256" t="s">
        <v>284</v>
      </c>
      <c r="B79" s="339" t="s">
        <v>223</v>
      </c>
      <c r="C79" s="245">
        <f t="array" ref="C79">SUM(IF((Budget[Account Code]=B79)*(Budget[Ofc Code]=$G$4),(Budget[Amount])))</f>
        <v>24000</v>
      </c>
      <c r="D79" s="245">
        <f t="array" ref="D79">SUM(IF((Budget[Account Code]=B79)*(Budget[Ofc Code]=$G$4)*(Budget[Date]&lt;=$D$7),(Budget[Amount])))</f>
        <v>24000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-24000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40000</v>
      </c>
      <c r="D82" s="245">
        <f t="array" ref="D82">SUM(IF((Budget[Account Code]=B82)*(Budget[Ofc Code]=$G$4)*(Budget[Date]&lt;=$D$7),(Budget[Amount])))</f>
        <v>40000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-40000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202000</v>
      </c>
      <c r="D86" s="245">
        <f t="array" ref="D86">SUM(IF((Budget[Account Code]=B86)*(Budget[Ofc Code]=$G$4)*(Budget[Date]&lt;=$D$7),(Budget[Amount])))</f>
        <v>202000</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-202000</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12000</v>
      </c>
      <c r="D88" s="245">
        <f t="array" ref="D88">SUM(IF((Budget[Account Code]=B88)*(Budget[Ofc Code]=$G$4)*(Budget[Date]&lt;=$D$7),(Budget[Amount])))</f>
        <v>12000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-12000</v>
      </c>
      <c r="I88" s="246">
        <f t="shared" si="3"/>
        <v>0</v>
      </c>
    </row>
    <row r="89" spans="1:9" hidden="1">
      <c r="A89" s="256" t="s">
        <v>292</v>
      </c>
      <c r="B89" s="339" t="s">
        <v>232</v>
      </c>
      <c r="C89" s="245">
        <f t="array" ref="C89">SUM(IF((Budget[Account Code]=B89)*(Budget[Ofc Code]=$G$4),(Budget[Amount])))</f>
        <v>4800</v>
      </c>
      <c r="D89" s="245">
        <f t="array" ref="D89">SUM(IF((Budget[Account Code]=B89)*(Budget[Ofc Code]=$G$4)*(Budget[Date]&lt;=$D$7),(Budget[Amount])))</f>
        <v>4800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-4800</v>
      </c>
      <c r="I89" s="246">
        <f t="shared" si="3"/>
        <v>0</v>
      </c>
    </row>
    <row r="90" spans="1:9" hidden="1">
      <c r="A90" s="256" t="s">
        <v>293</v>
      </c>
      <c r="B90" s="339" t="s">
        <v>233</v>
      </c>
      <c r="C90" s="245">
        <f t="array" ref="C90">SUM(IF((Budget[Account Code]=B90)*(Budget[Ofc Code]=$G$4),(Budget[Amount])))</f>
        <v>324000</v>
      </c>
      <c r="D90" s="245">
        <f t="array" ref="D90">SUM(IF((Budget[Account Code]=B90)*(Budget[Ofc Code]=$G$4)*(Budget[Date]&lt;=$D$7),(Budget[Amount])))</f>
        <v>324000</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-324000</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0</v>
      </c>
      <c r="D94" s="245">
        <f t="array" ref="D94">SUM(IF((Budget[Account Code]=B94)*(Budget[Ofc Code]=$G$4)*(Budget[Date]&lt;=$D$7),(Budget[Amount])))</f>
        <v>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0</v>
      </c>
      <c r="I94" s="246">
        <f t="shared" si="3"/>
        <v>0</v>
      </c>
    </row>
    <row r="95" spans="1:9" hidden="1">
      <c r="A95" s="256" t="s">
        <v>296</v>
      </c>
      <c r="B95" s="339" t="s">
        <v>236</v>
      </c>
      <c r="C95" s="245">
        <f t="array" ref="C95">SUM(IF((Budget[Account Code]=B95)*(Budget[Ofc Code]=$G$4),(Budget[Amount])))</f>
        <v>9600</v>
      </c>
      <c r="D95" s="245">
        <f t="array" ref="D95">SUM(IF((Budget[Account Code]=B95)*(Budget[Ofc Code]=$G$4)*(Budget[Date]&lt;=$D$7),(Budget[Amount])))</f>
        <v>9600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-9600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70000</v>
      </c>
      <c r="D118" s="245">
        <f t="array" ref="D118">SUM(IF((Budget[Account Code]=B118)*(Budget[Ofc Code]=$G$4)*(Budget[Date]&lt;=$D$7),(Budget[Amount])))</f>
        <v>70000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-70000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100000</v>
      </c>
      <c r="D120" s="245">
        <f t="array" ref="D120">SUM(IF((Budget[Account Code]=B120)*(Budget[Ofc Code]=$G$4)*(Budget[Date]&lt;=$D$7),(Budget[Amount])))</f>
        <v>100000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-100000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20796.52</v>
      </c>
      <c r="D125" s="245">
        <f t="array" ref="D125">SUM(IF((Budget[Account Code]=B125)*(Budget[Ofc Code]=$G$4)*(Budget[Date]&lt;=$D$7),(Budget[Amount])))</f>
        <v>20796.52</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-20796.52</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1161971</v>
      </c>
      <c r="D139" s="242">
        <f>SUM(D140:D143)</f>
        <v>1161971</v>
      </c>
      <c r="E139" s="242">
        <f>SUM(E140:E143)</f>
        <v>0</v>
      </c>
      <c r="F139" s="242">
        <f>SUM(F140:F143)</f>
        <v>0</v>
      </c>
      <c r="G139" s="242">
        <f>SUM(G140:G143)</f>
        <v>0</v>
      </c>
      <c r="H139" s="246">
        <f t="shared" si="7"/>
        <v>-1161971</v>
      </c>
      <c r="I139" s="246">
        <f t="shared" si="8"/>
        <v>0</v>
      </c>
    </row>
    <row r="140" spans="1:9" hidden="1">
      <c r="A140" s="256" t="s">
        <v>342</v>
      </c>
      <c r="B140" s="339" t="s">
        <v>333</v>
      </c>
      <c r="C140" s="245">
        <f t="array" ref="C140">SUM(IF((Budget[Account Code]=B140)*(Budget[Ofc Code]=$G$4),(Budget[Amount])))</f>
        <v>1161971</v>
      </c>
      <c r="D140" s="245">
        <f t="array" ref="D140">SUM(IF((Budget[Account Code]=B140)*(Budget[Ofc Code]=$G$4)*(Budget[Date]&lt;=$D$7),(Budget[Amount])))</f>
        <v>1161971</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-1161971</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10879829.52</v>
      </c>
      <c r="D147" s="250">
        <f>D50+D76+D144</f>
        <v>10879829.52</v>
      </c>
      <c r="E147" s="250">
        <f>E50+E76+E144</f>
        <v>0</v>
      </c>
      <c r="F147" s="250">
        <f>F50+F76+F144</f>
        <v>0</v>
      </c>
      <c r="G147" s="250">
        <f>G50+G76+G144</f>
        <v>0</v>
      </c>
      <c r="H147" s="250">
        <f t="shared" si="7"/>
        <v>-10879829.52</v>
      </c>
      <c r="I147" s="250">
        <f t="shared" si="8"/>
        <v>0</v>
      </c>
    </row>
    <row r="148" spans="1:9">
      <c r="A148" s="251" t="s">
        <v>785</v>
      </c>
      <c r="B148" s="338"/>
      <c r="C148" s="250">
        <f>C48-C147</f>
        <v>-9879829.5199999996</v>
      </c>
      <c r="D148" s="250">
        <f>D48-D147</f>
        <v>-9879829.5199999996</v>
      </c>
      <c r="E148" s="250">
        <f>E48-E147</f>
        <v>0</v>
      </c>
      <c r="F148" s="250">
        <f>F48-F147</f>
        <v>0</v>
      </c>
      <c r="G148" s="250">
        <f>G48-G147</f>
        <v>0</v>
      </c>
      <c r="H148" s="250">
        <f t="shared" si="7"/>
        <v>9879829.5199999996</v>
      </c>
      <c r="I148" s="250">
        <f t="shared" si="8"/>
        <v>0</v>
      </c>
    </row>
    <row r="149" spans="1:9">
      <c r="A149" s="251" t="s">
        <v>749</v>
      </c>
      <c r="B149" s="338"/>
      <c r="C149" s="250">
        <f>C48/C147</f>
        <v>0.09</v>
      </c>
      <c r="D149" s="250">
        <f>D48/D147</f>
        <v>0.09</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-9879829.5199999996</v>
      </c>
      <c r="D152" s="250">
        <f>D148+D150+D151</f>
        <v>-9879829.5199999996</v>
      </c>
      <c r="E152" s="250">
        <f>E148+E150+E151</f>
        <v>0</v>
      </c>
      <c r="F152" s="250">
        <f>F148+F150+F151</f>
        <v>0</v>
      </c>
      <c r="G152" s="250">
        <f>G148+G150+G151</f>
        <v>0</v>
      </c>
      <c r="H152" s="250">
        <f t="shared" si="7"/>
        <v>9879829.5199999996</v>
      </c>
      <c r="I152" s="250">
        <f t="shared" si="8"/>
        <v>0</v>
      </c>
    </row>
    <row r="153" spans="1:9">
      <c r="A153" s="251" t="s">
        <v>749</v>
      </c>
      <c r="B153" s="338"/>
      <c r="C153" s="250">
        <f>C48/(C147-C150-C151)</f>
        <v>0.09</v>
      </c>
      <c r="D153" s="250">
        <f>D48/(D147-D150-D151)</f>
        <v>0.09</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95000</v>
      </c>
      <c r="D156" s="245">
        <f t="array" ref="D156">SUM(IF((Budget[Account Code]=B156)*(Budget[Ofc Code]=$G$4)*(Budget[Date]&lt;=$D$7),(Budget[Amount])))</f>
        <v>95000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-95000</v>
      </c>
      <c r="I156" s="246">
        <f t="shared" si="11"/>
        <v>0</v>
      </c>
    </row>
    <row r="157" spans="1:9">
      <c r="A157" s="253" t="s">
        <v>797</v>
      </c>
      <c r="B157" s="339" t="s">
        <v>168</v>
      </c>
      <c r="C157" s="245">
        <f t="array" ref="C157">SUM(IF((Budget[Account Code]=B157)*(Budget[Ofc Code]=$G$4),(Budget[Amount])))</f>
        <v>550000</v>
      </c>
      <c r="D157" s="245">
        <f t="array" ref="D157">SUM(IF((Budget[Account Code]=B157)*(Budget[Ofc Code]=$G$4)*(Budget[Date]&lt;=$D$7),(Budget[Amount])))</f>
        <v>550000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-550000</v>
      </c>
      <c r="I157" s="246">
        <f t="shared" si="11"/>
        <v>0</v>
      </c>
    </row>
    <row r="158" spans="1:9">
      <c r="A158" s="253" t="s">
        <v>354</v>
      </c>
      <c r="B158" s="339" t="s">
        <v>216</v>
      </c>
      <c r="C158" s="245">
        <f t="array" ref="C158">SUM(IF((Budget[Account Code]=B158)*(Budget[Ofc Code]=$G$4),(Budget[Amount])))</f>
        <v>25000</v>
      </c>
      <c r="D158" s="245">
        <f t="array" ref="D158">SUM(IF((Budget[Account Code]=B158)*(Budget[Ofc Code]=$G$4)*(Budget[Date]&lt;=$D$7),(Budget[Amount])))</f>
        <v>25000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-25000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670000</v>
      </c>
      <c r="D164" s="250">
        <f>SUM(D155:D163)</f>
        <v>670000</v>
      </c>
      <c r="E164" s="250">
        <f>SUM(E155:E163)</f>
        <v>0</v>
      </c>
      <c r="F164" s="250">
        <f>SUM(F155:F163)</f>
        <v>0</v>
      </c>
      <c r="G164" s="250">
        <f>SUM(G155:G163)</f>
        <v>0</v>
      </c>
      <c r="H164" s="250">
        <f t="shared" si="10"/>
        <v>-670000</v>
      </c>
      <c r="I164" s="250">
        <f t="shared" si="11"/>
        <v>0</v>
      </c>
    </row>
    <row r="165" spans="1:9">
      <c r="A165" s="251" t="s">
        <v>788</v>
      </c>
      <c r="B165" s="338"/>
      <c r="C165" s="250">
        <f>C147+C164</f>
        <v>11549829.52</v>
      </c>
      <c r="D165" s="250">
        <f>D147+D164</f>
        <v>11549829.52</v>
      </c>
      <c r="E165" s="250">
        <f>E147+E164</f>
        <v>0</v>
      </c>
      <c r="F165" s="250">
        <f>F147+F164</f>
        <v>0</v>
      </c>
      <c r="G165" s="250">
        <f>G147+G164</f>
        <v>0</v>
      </c>
      <c r="H165" s="250">
        <f t="shared" si="10"/>
        <v>-11549829.52</v>
      </c>
      <c r="I165" s="250">
        <f t="shared" si="11"/>
        <v>0</v>
      </c>
    </row>
    <row r="166" spans="1:9">
      <c r="A166" s="251" t="s">
        <v>785</v>
      </c>
      <c r="B166" s="338"/>
      <c r="C166" s="250">
        <f>C48-C165</f>
        <v>-10549829.52</v>
      </c>
      <c r="D166" s="250">
        <f>D48-D165</f>
        <v>-10549829.52</v>
      </c>
      <c r="E166" s="250">
        <f>E48-E165</f>
        <v>0</v>
      </c>
      <c r="F166" s="250">
        <f>F48-F165</f>
        <v>0</v>
      </c>
      <c r="G166" s="250">
        <f>G48-G165</f>
        <v>0</v>
      </c>
      <c r="H166" s="250">
        <f t="shared" si="10"/>
        <v>10549829.52</v>
      </c>
      <c r="I166" s="250">
        <f t="shared" si="11"/>
        <v>0</v>
      </c>
    </row>
    <row r="167" spans="1:9">
      <c r="A167" s="251" t="s">
        <v>749</v>
      </c>
      <c r="B167" s="338"/>
      <c r="C167" s="250">
        <f>C48/C165</f>
        <v>0.09</v>
      </c>
      <c r="D167" s="250">
        <f>D48/D165</f>
        <v>0.09</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-10549829.52</v>
      </c>
      <c r="D170" s="250">
        <f>D166+D168+D169</f>
        <v>-10549829.52</v>
      </c>
      <c r="E170" s="250">
        <f>E166+E168+E169</f>
        <v>0</v>
      </c>
      <c r="F170" s="250">
        <f>F166+F168+F169</f>
        <v>0</v>
      </c>
      <c r="G170" s="250">
        <f>G166+G168+G169</f>
        <v>0</v>
      </c>
      <c r="H170" s="250">
        <f t="shared" si="10"/>
        <v>10549829.52</v>
      </c>
      <c r="I170" s="250">
        <f t="shared" si="11"/>
        <v>0</v>
      </c>
    </row>
    <row r="171" spans="1:9">
      <c r="A171" s="251" t="s">
        <v>792</v>
      </c>
      <c r="B171" s="338"/>
      <c r="C171" s="250">
        <f>C48/(C165-C168-C169)</f>
        <v>0.09</v>
      </c>
      <c r="D171" s="250">
        <f>D48/(D165-D168-D169)</f>
        <v>0.09</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300000</v>
      </c>
      <c r="D175" s="245">
        <f t="array" ref="D175">SUM(IF((Budget[Account Code]=B175)*(Budget[Ofc Code]=$G$4)*(Budget[Date]&lt;=$D$7),(Budget[Amount])))</f>
        <v>300000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-300000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300000</v>
      </c>
      <c r="D177" s="250">
        <f>SUM(D174:D176)</f>
        <v>300000</v>
      </c>
      <c r="E177" s="250">
        <f>SUM(E174:E176)</f>
        <v>0</v>
      </c>
      <c r="F177" s="250">
        <f>SUM(F174:F176)</f>
        <v>0</v>
      </c>
      <c r="G177" s="250">
        <f>SUM(G174:G176)</f>
        <v>0</v>
      </c>
      <c r="H177" s="250">
        <f t="shared" si="12"/>
        <v>-300000</v>
      </c>
      <c r="I177" s="250">
        <f t="shared" si="13"/>
        <v>0</v>
      </c>
    </row>
    <row r="178" spans="1:9">
      <c r="A178" s="251" t="s">
        <v>788</v>
      </c>
      <c r="B178" s="338"/>
      <c r="C178" s="250">
        <f>C165+C177</f>
        <v>11849829.52</v>
      </c>
      <c r="D178" s="250">
        <f>D165+D177</f>
        <v>11849829.52</v>
      </c>
      <c r="E178" s="250">
        <f>E165+E177</f>
        <v>0</v>
      </c>
      <c r="F178" s="250">
        <f>F165+F177</f>
        <v>0</v>
      </c>
      <c r="G178" s="250">
        <f>G165+G177</f>
        <v>0</v>
      </c>
      <c r="H178" s="250">
        <f t="shared" si="12"/>
        <v>-11849829.52</v>
      </c>
      <c r="I178" s="250">
        <f t="shared" si="13"/>
        <v>0</v>
      </c>
    </row>
    <row r="179" spans="1:9">
      <c r="A179" s="251" t="s">
        <v>785</v>
      </c>
      <c r="B179" s="338"/>
      <c r="C179" s="250">
        <f>C48-C178</f>
        <v>-10849829.52</v>
      </c>
      <c r="D179" s="250">
        <f>D48-D178</f>
        <v>-10849829.52</v>
      </c>
      <c r="E179" s="250">
        <f>E48-E178</f>
        <v>0</v>
      </c>
      <c r="F179" s="250">
        <f>F48-F178</f>
        <v>0</v>
      </c>
      <c r="G179" s="250">
        <f>G48-G178</f>
        <v>0</v>
      </c>
      <c r="H179" s="250">
        <f t="shared" si="12"/>
        <v>10849829.52</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0.08</v>
      </c>
      <c r="D184" s="265">
        <f>D48/(D178-D181-D182)</f>
        <v>0.08</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e">
        <f>IF(G4=0,,VLOOKUP((TRIM(G4)),SortCode,2,))</f>
        <v>#N/A</v>
      </c>
      <c r="C4" s="332"/>
      <c r="G4" s="331" t="s">
        <v>506</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0</v>
      </c>
      <c r="D15" s="248">
        <f>SUM(D16:D18)</f>
        <v>0</v>
      </c>
      <c r="E15" s="248">
        <f>SUM(E16:E18)</f>
        <v>0</v>
      </c>
      <c r="F15" s="248">
        <f>SUM(F16:F18)</f>
        <v>0</v>
      </c>
      <c r="G15" s="248">
        <f>SUM(G16:G18)</f>
        <v>0</v>
      </c>
      <c r="H15" s="242">
        <f t="shared" si="0"/>
        <v>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0</v>
      </c>
      <c r="D24" s="250">
        <f>D9+D15+D19</f>
        <v>0</v>
      </c>
      <c r="E24" s="250">
        <f>E9+E15+E19</f>
        <v>0</v>
      </c>
      <c r="F24" s="250">
        <f>F9+F15+F19</f>
        <v>0</v>
      </c>
      <c r="G24" s="250">
        <f>G9+G15+G19</f>
        <v>0</v>
      </c>
      <c r="H24" s="250">
        <f t="shared" si="0"/>
        <v>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1628000</v>
      </c>
      <c r="D36" s="248">
        <f>SUM(D37:D45)</f>
        <v>1628000</v>
      </c>
      <c r="E36" s="248">
        <f>SUM(E37:E45)</f>
        <v>0</v>
      </c>
      <c r="F36" s="248">
        <f>SUM(F37:F45)</f>
        <v>0</v>
      </c>
      <c r="G36" s="248">
        <f>SUM(G37:G45)</f>
        <v>0</v>
      </c>
      <c r="H36" s="242">
        <f t="shared" si="2"/>
        <v>-1628000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1628000</v>
      </c>
      <c r="D44" s="245">
        <f t="array" ref="D44">SUM(IF((Budget[Account Code]=B44)*(Budget[Ofc Code]=$G$4)*(Budget[Date]&lt;=$D$7),(Budget[Amount])))</f>
        <v>1628000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-1628000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1628000</v>
      </c>
      <c r="D47" s="250">
        <f>D26+D27+D32+D36+D46</f>
        <v>1628000</v>
      </c>
      <c r="E47" s="250">
        <f>E26+E27+E32+E36+E46</f>
        <v>0</v>
      </c>
      <c r="F47" s="250">
        <f>F26+F27+F32+F36+F46</f>
        <v>0</v>
      </c>
      <c r="G47" s="250">
        <f>G26+G27+G32+G36+G46</f>
        <v>0</v>
      </c>
      <c r="H47" s="250">
        <f t="shared" si="2"/>
        <v>-1628000</v>
      </c>
      <c r="I47" s="250">
        <f t="shared" si="3"/>
        <v>0</v>
      </c>
    </row>
    <row r="48" spans="1:9">
      <c r="A48" s="251" t="s">
        <v>813</v>
      </c>
      <c r="B48" s="338"/>
      <c r="C48" s="250">
        <f>C24+C47</f>
        <v>1628000</v>
      </c>
      <c r="D48" s="250">
        <f>D24+D47</f>
        <v>1628000</v>
      </c>
      <c r="E48" s="250">
        <f>E24+E47</f>
        <v>0</v>
      </c>
      <c r="F48" s="250">
        <f>F24+F47</f>
        <v>0</v>
      </c>
      <c r="G48" s="250">
        <f>G24+G47</f>
        <v>0</v>
      </c>
      <c r="H48" s="250">
        <f t="shared" si="2"/>
        <v>-1628000</v>
      </c>
      <c r="I48" s="250">
        <f t="shared" si="3"/>
        <v>0</v>
      </c>
    </row>
    <row r="49" spans="1:9">
      <c r="A49" s="239" t="s">
        <v>812</v>
      </c>
      <c r="B49" s="337"/>
      <c r="C49" s="240"/>
      <c r="D49" s="240"/>
      <c r="E49" s="240"/>
      <c r="F49" s="240"/>
      <c r="G49" s="246"/>
      <c r="H49" s="246"/>
      <c r="I49" s="246"/>
    </row>
    <row r="50" spans="1:9">
      <c r="A50" s="239" t="s">
        <v>811</v>
      </c>
      <c r="B50" s="337"/>
      <c r="C50" s="242">
        <f>C51+C75</f>
        <v>9759155.7599999998</v>
      </c>
      <c r="D50" s="242">
        <f>D51+D75</f>
        <v>9759155.7599999998</v>
      </c>
      <c r="E50" s="242">
        <f>E51+E75</f>
        <v>0</v>
      </c>
      <c r="F50" s="242">
        <f>F51+F75</f>
        <v>0</v>
      </c>
      <c r="G50" s="242">
        <f>G51+G75</f>
        <v>0</v>
      </c>
      <c r="H50" s="242">
        <f t="shared" si="2"/>
        <v>-9759155.7599999998</v>
      </c>
      <c r="I50" s="242">
        <f t="shared" si="3"/>
        <v>0</v>
      </c>
    </row>
    <row r="51" spans="1:9">
      <c r="A51" s="243" t="s">
        <v>806</v>
      </c>
      <c r="B51" s="337"/>
      <c r="C51" s="246">
        <f>SUM(C52:C74)</f>
        <v>9759155.7599999998</v>
      </c>
      <c r="D51" s="246">
        <f>SUM(D52:D74)</f>
        <v>9759155.7599999998</v>
      </c>
      <c r="E51" s="246">
        <f>SUM(E52:E74)</f>
        <v>0</v>
      </c>
      <c r="F51" s="246">
        <f>SUM(F52:F74)</f>
        <v>0</v>
      </c>
      <c r="G51" s="246">
        <f>SUM(G52:G74)</f>
        <v>0</v>
      </c>
      <c r="H51" s="246">
        <f t="shared" si="2"/>
        <v>-9759155.7599999998</v>
      </c>
      <c r="I51" s="246">
        <f t="shared" si="3"/>
        <v>0</v>
      </c>
    </row>
    <row r="52" spans="1:9" hidden="1">
      <c r="A52" s="247" t="s">
        <v>194</v>
      </c>
      <c r="B52" s="339" t="s">
        <v>162</v>
      </c>
      <c r="C52" s="245">
        <f t="array" ref="C52">SUM(IF((Budget[Account Code]=B52)*(Budget[Ofc Code]=$G$4),(Budget[Amount])))</f>
        <v>5791092</v>
      </c>
      <c r="D52" s="245">
        <f t="array" ref="D52">SUM(IF((Budget[Account Code]=B52)*(Budget[Ofc Code]=$G$4)*(Budget[Date]&lt;=$D$7),(Budget[Amount])))</f>
        <v>5791092</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-5791092</v>
      </c>
      <c r="I52" s="246">
        <f t="shared" si="3"/>
        <v>0</v>
      </c>
    </row>
    <row r="53" spans="1:9" hidden="1">
      <c r="A53" s="247" t="s">
        <v>195</v>
      </c>
      <c r="B53" s="339" t="s">
        <v>163</v>
      </c>
      <c r="C53" s="245">
        <f t="array" ref="C53">SUM(IF((Budget[Account Code]=B53)*(Budget[Ofc Code]=$G$4),(Budget[Amount])))</f>
        <v>828168</v>
      </c>
      <c r="D53" s="245">
        <f t="array" ref="D53">SUM(IF((Budget[Account Code]=B53)*(Budget[Ofc Code]=$G$4)*(Budget[Date]&lt;=$D$7),(Budget[Amount])))</f>
        <v>828168</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-828168</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576000</v>
      </c>
      <c r="D55" s="245">
        <f t="array" ref="D55">SUM(IF((Budget[Account Code]=B55)*(Budget[Ofc Code]=$G$4)*(Budget[Date]&lt;=$D$7),(Budget[Amount])))</f>
        <v>576000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-576000</v>
      </c>
      <c r="I55" s="246">
        <f t="shared" si="3"/>
        <v>0</v>
      </c>
    </row>
    <row r="56" spans="1:9" hidden="1">
      <c r="A56" s="247" t="s">
        <v>198</v>
      </c>
      <c r="B56" s="339" t="s">
        <v>165</v>
      </c>
      <c r="C56" s="245">
        <f t="array" ref="C56">SUM(IF((Budget[Account Code]=B56)*(Budget[Ofc Code]=$G$4),(Budget[Amount])))</f>
        <v>120000</v>
      </c>
      <c r="D56" s="245">
        <f t="array" ref="D56">SUM(IF((Budget[Account Code]=B56)*(Budget[Ofc Code]=$G$4)*(Budget[Date]&lt;=$D$7),(Budget[Amount])))</f>
        <v>120000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-120000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133000</v>
      </c>
      <c r="D58" s="245">
        <f t="array" ref="D58">SUM(IF((Budget[Account Code]=B58)*(Budget[Ofc Code]=$G$4)*(Budget[Date]&lt;=$D$7),(Budget[Amount])))</f>
        <v>133000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-133000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21600</v>
      </c>
      <c r="D61" s="245">
        <f t="array" ref="D61">SUM(IF((Budget[Account Code]=B61)*(Budget[Ofc Code]=$G$4)*(Budget[Date]&lt;=$D$7),(Budget[Amount])))</f>
        <v>21600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-21600</v>
      </c>
      <c r="I61" s="246">
        <f t="shared" si="3"/>
        <v>0</v>
      </c>
    </row>
    <row r="62" spans="1:9" hidden="1">
      <c r="A62" s="247" t="s">
        <v>202</v>
      </c>
      <c r="B62" s="339" t="s">
        <v>6</v>
      </c>
      <c r="C62" s="245">
        <f t="array" ref="C62">SUM(IF((Budget[Account Code]=B62)*(Budget[Ofc Code]=$G$4),(Budget[Amount])))</f>
        <v>7128</v>
      </c>
      <c r="D62" s="245">
        <f t="array" ref="D62">SUM(IF((Budget[Account Code]=B62)*(Budget[Ofc Code]=$G$4)*(Budget[Date]&lt;=$D$7),(Budget[Amount])))</f>
        <v>7128</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-7128</v>
      </c>
      <c r="I62" s="246">
        <f t="shared" si="3"/>
        <v>0</v>
      </c>
    </row>
    <row r="63" spans="1:9" hidden="1">
      <c r="A63" s="247" t="s">
        <v>203</v>
      </c>
      <c r="B63" s="339" t="s">
        <v>7</v>
      </c>
      <c r="C63" s="245">
        <f t="array" ref="C63">SUM(IF((Budget[Account Code]=B63)*(Budget[Ofc Code]=$G$4),(Budget[Amount])))</f>
        <v>1800</v>
      </c>
      <c r="D63" s="245">
        <f t="array" ref="D63">SUM(IF((Budget[Account Code]=B63)*(Budget[Ofc Code]=$G$4)*(Budget[Date]&lt;=$D$7),(Budget[Amount])))</f>
        <v>1800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-1800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120000</v>
      </c>
      <c r="D65" s="245">
        <f t="array" ref="D65">SUM(IF((Budget[Account Code]=B65)*(Budget[Ofc Code]=$G$4)*(Budget[Date]&lt;=$D$7),(Budget[Amount])))</f>
        <v>120000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-120000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120000</v>
      </c>
      <c r="D67" s="245">
        <f t="array" ref="D67">SUM(IF((Budget[Account Code]=B67)*(Budget[Ofc Code]=$G$4)*(Budget[Date]&lt;=$D$7),(Budget[Amount])))</f>
        <v>120000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-120000</v>
      </c>
      <c r="I67" s="246">
        <f t="shared" si="3"/>
        <v>0</v>
      </c>
    </row>
    <row r="68" spans="1:9" hidden="1">
      <c r="A68" s="247" t="s">
        <v>207</v>
      </c>
      <c r="B68" s="339" t="s">
        <v>174</v>
      </c>
      <c r="C68" s="245">
        <f t="array" ref="C68">SUM(IF((Budget[Account Code]=B68)*(Budget[Ofc Code]=$G$4),(Budget[Amount])))</f>
        <v>1103210</v>
      </c>
      <c r="D68" s="245">
        <f t="array" ref="D68">SUM(IF((Budget[Account Code]=B68)*(Budget[Ofc Code]=$G$4)*(Budget[Date]&lt;=$D$7),(Budget[Amount])))</f>
        <v>1103210</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-1103210</v>
      </c>
      <c r="I68" s="246">
        <f t="shared" si="3"/>
        <v>0</v>
      </c>
    </row>
    <row r="69" spans="1:9" hidden="1">
      <c r="A69" s="247" t="s">
        <v>208</v>
      </c>
      <c r="B69" s="339" t="s">
        <v>175</v>
      </c>
      <c r="C69" s="245">
        <f t="array" ref="C69">SUM(IF((Budget[Account Code]=B69)*(Budget[Ofc Code]=$G$4),(Budget[Amount])))</f>
        <v>794311.2</v>
      </c>
      <c r="D69" s="245">
        <f t="array" ref="D69">SUM(IF((Budget[Account Code]=B69)*(Budget[Ofc Code]=$G$4)*(Budget[Date]&lt;=$D$7),(Budget[Amount])))</f>
        <v>794311.2</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-794311.2</v>
      </c>
      <c r="I69" s="246">
        <f t="shared" si="3"/>
        <v>0</v>
      </c>
    </row>
    <row r="70" spans="1:9" hidden="1">
      <c r="A70" s="247" t="s">
        <v>209</v>
      </c>
      <c r="B70" s="339" t="s">
        <v>176</v>
      </c>
      <c r="C70" s="245">
        <f t="array" ref="C70">SUM(IF((Budget[Account Code]=B70)*(Budget[Ofc Code]=$G$4),(Budget[Amount])))</f>
        <v>28800</v>
      </c>
      <c r="D70" s="245">
        <f t="array" ref="D70">SUM(IF((Budget[Account Code]=B70)*(Budget[Ofc Code]=$G$4)*(Budget[Date]&lt;=$D$7),(Budget[Amount])))</f>
        <v>28800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-28800</v>
      </c>
      <c r="I70" s="246">
        <f t="shared" si="3"/>
        <v>0</v>
      </c>
    </row>
    <row r="71" spans="1:9" hidden="1">
      <c r="A71" s="247" t="s">
        <v>210</v>
      </c>
      <c r="B71" s="339" t="s">
        <v>177</v>
      </c>
      <c r="C71" s="245">
        <f t="array" ref="C71">SUM(IF((Budget[Account Code]=B71)*(Budget[Ofc Code]=$G$4),(Budget[Amount])))</f>
        <v>85246.56</v>
      </c>
      <c r="D71" s="245">
        <f t="array" ref="D71">SUM(IF((Budget[Account Code]=B71)*(Budget[Ofc Code]=$G$4)*(Budget[Date]&lt;=$D$7),(Budget[Amount])))</f>
        <v>85246.56</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-85246.56</v>
      </c>
      <c r="I71" s="246">
        <f t="shared" si="3"/>
        <v>0</v>
      </c>
    </row>
    <row r="72" spans="1:9" hidden="1">
      <c r="A72" s="247" t="s">
        <v>211</v>
      </c>
      <c r="B72" s="339" t="s">
        <v>178</v>
      </c>
      <c r="C72" s="245">
        <f t="array" ref="C72">SUM(IF((Budget[Account Code]=B72)*(Budget[Ofc Code]=$G$4),(Budget[Amount])))</f>
        <v>28800</v>
      </c>
      <c r="D72" s="245">
        <f t="array" ref="D72">SUM(IF((Budget[Account Code]=B72)*(Budget[Ofc Code]=$G$4)*(Budget[Date]&lt;=$D$7),(Budget[Amount])))</f>
        <v>28800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-28800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3736136</v>
      </c>
      <c r="D76" s="252">
        <f>D77+D139</f>
        <v>3736136</v>
      </c>
      <c r="E76" s="252">
        <f>E77+E139</f>
        <v>0</v>
      </c>
      <c r="F76" s="252">
        <f>F77+F139</f>
        <v>0</v>
      </c>
      <c r="G76" s="252">
        <f>G77+G139</f>
        <v>0</v>
      </c>
      <c r="H76" s="242">
        <f t="shared" si="2"/>
        <v>-3736136</v>
      </c>
      <c r="I76" s="242">
        <f t="shared" si="3"/>
        <v>0</v>
      </c>
    </row>
    <row r="77" spans="1:9">
      <c r="A77" s="253" t="s">
        <v>809</v>
      </c>
      <c r="B77" s="337"/>
      <c r="C77" s="254">
        <f>C78+C138</f>
        <v>3736136</v>
      </c>
      <c r="D77" s="254">
        <f>D78+D138</f>
        <v>3736136</v>
      </c>
      <c r="E77" s="254">
        <f>E78+E138</f>
        <v>0</v>
      </c>
      <c r="F77" s="254">
        <f>F78+F138</f>
        <v>0</v>
      </c>
      <c r="G77" s="254">
        <f>G78+G138</f>
        <v>0</v>
      </c>
      <c r="H77" s="246">
        <f t="shared" si="2"/>
        <v>-3736136</v>
      </c>
      <c r="I77" s="246">
        <f t="shared" si="3"/>
        <v>0</v>
      </c>
    </row>
    <row r="78" spans="1:9">
      <c r="A78" s="255" t="s">
        <v>806</v>
      </c>
      <c r="B78" s="337"/>
      <c r="C78" s="246">
        <f>SUM(C79:C137)</f>
        <v>3736136</v>
      </c>
      <c r="D78" s="246">
        <f>SUM(D79:D137)</f>
        <v>3736136</v>
      </c>
      <c r="E78" s="246">
        <f>SUM(E79:E137)</f>
        <v>0</v>
      </c>
      <c r="F78" s="246">
        <f>SUM(F79:F137)</f>
        <v>0</v>
      </c>
      <c r="G78" s="246">
        <f>SUM(G79:G137)</f>
        <v>0</v>
      </c>
      <c r="H78" s="246">
        <f t="shared" si="2"/>
        <v>-3736136</v>
      </c>
      <c r="I78" s="246">
        <f t="shared" si="3"/>
        <v>0</v>
      </c>
    </row>
    <row r="79" spans="1:9" hidden="1">
      <c r="A79" s="256" t="s">
        <v>284</v>
      </c>
      <c r="B79" s="339" t="s">
        <v>223</v>
      </c>
      <c r="C79" s="245">
        <f t="array" ref="C79">SUM(IF((Budget[Account Code]=B79)*(Budget[Ofc Code]=$G$4),(Budget[Amount])))</f>
        <v>56800</v>
      </c>
      <c r="D79" s="245">
        <f t="array" ref="D79">SUM(IF((Budget[Account Code]=B79)*(Budget[Ofc Code]=$G$4)*(Budget[Date]&lt;=$D$7),(Budget[Amount])))</f>
        <v>56800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-56800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150000</v>
      </c>
      <c r="D81" s="245">
        <f t="array" ref="D81">SUM(IF((Budget[Account Code]=B81)*(Budget[Ofc Code]=$G$4)*(Budget[Date]&lt;=$D$7),(Budget[Amount])))</f>
        <v>150000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-150000</v>
      </c>
      <c r="I81" s="246">
        <f t="shared" si="3"/>
        <v>0</v>
      </c>
    </row>
    <row r="82" spans="1:9" hidden="1">
      <c r="A82" s="256" t="s">
        <v>286</v>
      </c>
      <c r="B82" s="339" t="s">
        <v>225</v>
      </c>
      <c r="C82" s="245">
        <f t="array" ref="C82">SUM(IF((Budget[Account Code]=B82)*(Budget[Ofc Code]=$G$4),(Budget[Amount])))</f>
        <v>220000</v>
      </c>
      <c r="D82" s="245">
        <f t="array" ref="D82">SUM(IF((Budget[Account Code]=B82)*(Budget[Ofc Code]=$G$4)*(Budget[Date]&lt;=$D$7),(Budget[Amount])))</f>
        <v>220000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-220000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684000</v>
      </c>
      <c r="D86" s="245">
        <f t="array" ref="D86">SUM(IF((Budget[Account Code]=B86)*(Budget[Ofc Code]=$G$4)*(Budget[Date]&lt;=$D$7),(Budget[Amount])))</f>
        <v>684000</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-684000</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113000</v>
      </c>
      <c r="D88" s="245">
        <f t="array" ref="D88">SUM(IF((Budget[Account Code]=B88)*(Budget[Ofc Code]=$G$4)*(Budget[Date]&lt;=$D$7),(Budget[Amount])))</f>
        <v>113000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-113000</v>
      </c>
      <c r="I88" s="246">
        <f t="shared" si="3"/>
        <v>0</v>
      </c>
    </row>
    <row r="89" spans="1:9" hidden="1">
      <c r="A89" s="256" t="s">
        <v>292</v>
      </c>
      <c r="B89" s="339" t="s">
        <v>232</v>
      </c>
      <c r="C89" s="245">
        <f t="array" ref="C89">SUM(IF((Budget[Account Code]=B89)*(Budget[Ofc Code]=$G$4),(Budget[Amount])))</f>
        <v>48000</v>
      </c>
      <c r="D89" s="245">
        <f t="array" ref="D89">SUM(IF((Budget[Account Code]=B89)*(Budget[Ofc Code]=$G$4)*(Budget[Date]&lt;=$D$7),(Budget[Amount])))</f>
        <v>48000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-48000</v>
      </c>
      <c r="I89" s="246">
        <f t="shared" si="3"/>
        <v>0</v>
      </c>
    </row>
    <row r="90" spans="1:9" hidden="1">
      <c r="A90" s="256" t="s">
        <v>293</v>
      </c>
      <c r="B90" s="339" t="s">
        <v>233</v>
      </c>
      <c r="C90" s="245">
        <f t="array" ref="C90">SUM(IF((Budget[Account Code]=B90)*(Budget[Ofc Code]=$G$4),(Budget[Amount])))</f>
        <v>444000</v>
      </c>
      <c r="D90" s="245">
        <f t="array" ref="D90">SUM(IF((Budget[Account Code]=B90)*(Budget[Ofc Code]=$G$4)*(Budget[Date]&lt;=$D$7),(Budget[Amount])))</f>
        <v>444000</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-444000</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154836</v>
      </c>
      <c r="D94" s="245">
        <f t="array" ref="D94">SUM(IF((Budget[Account Code]=B94)*(Budget[Ofc Code]=$G$4)*(Budget[Date]&lt;=$D$7),(Budget[Amount])))</f>
        <v>154836</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-154836</v>
      </c>
      <c r="I94" s="246">
        <f t="shared" si="3"/>
        <v>0</v>
      </c>
    </row>
    <row r="95" spans="1:9" hidden="1">
      <c r="A95" s="256" t="s">
        <v>296</v>
      </c>
      <c r="B95" s="339" t="s">
        <v>236</v>
      </c>
      <c r="C95" s="245">
        <f t="array" ref="C95">SUM(IF((Budget[Account Code]=B95)*(Budget[Ofc Code]=$G$4),(Budget[Amount])))</f>
        <v>18000</v>
      </c>
      <c r="D95" s="245">
        <f t="array" ref="D95">SUM(IF((Budget[Account Code]=B95)*(Budget[Ofc Code]=$G$4)*(Budget[Date]&lt;=$D$7),(Budget[Amount])))</f>
        <v>18000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-18000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1500000</v>
      </c>
      <c r="D112" s="245">
        <f t="array" ref="D112">SUM(IF((Budget[Account Code]=B112)*(Budget[Ofc Code]=$G$4)*(Budget[Date]&lt;=$D$7),(Budget[Amount])))</f>
        <v>1500000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-1500000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280000</v>
      </c>
      <c r="D118" s="245">
        <f t="array" ref="D118">SUM(IF((Budget[Account Code]=B118)*(Budget[Ofc Code]=$G$4)*(Budget[Date]&lt;=$D$7),(Budget[Amount])))</f>
        <v>280000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-280000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67500</v>
      </c>
      <c r="D125" s="245">
        <f t="array" ref="D125">SUM(IF((Budget[Account Code]=B125)*(Budget[Ofc Code]=$G$4)*(Budget[Date]&lt;=$D$7),(Budget[Amount])))</f>
        <v>67500</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-67500</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0</v>
      </c>
      <c r="D139" s="242">
        <f>SUM(D140:D143)</f>
        <v>0</v>
      </c>
      <c r="E139" s="242">
        <f>SUM(E140:E143)</f>
        <v>0</v>
      </c>
      <c r="F139" s="242">
        <f>SUM(F140:F143)</f>
        <v>0</v>
      </c>
      <c r="G139" s="242">
        <f>SUM(G140:G143)</f>
        <v>0</v>
      </c>
      <c r="H139" s="246">
        <f t="shared" si="7"/>
        <v>0</v>
      </c>
      <c r="I139" s="246">
        <f t="shared" si="8"/>
        <v>0</v>
      </c>
    </row>
    <row r="140" spans="1:9" hidden="1">
      <c r="A140" s="256" t="s">
        <v>342</v>
      </c>
      <c r="B140" s="339" t="s">
        <v>333</v>
      </c>
      <c r="C140" s="245">
        <f t="array" ref="C140">SUM(IF((Budget[Account Code]=B140)*(Budget[Ofc Code]=$G$4),(Budget[Amount])))</f>
        <v>0</v>
      </c>
      <c r="D140" s="245">
        <f t="array" ref="D140">SUM(IF((Budget[Account Code]=B140)*(Budget[Ofc Code]=$G$4)*(Budget[Date]&lt;=$D$7),(Budget[Amount])))</f>
        <v>0</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0</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13495291.76</v>
      </c>
      <c r="D147" s="250">
        <f>D50+D76+D144</f>
        <v>13495291.76</v>
      </c>
      <c r="E147" s="250">
        <f>E50+E76+E144</f>
        <v>0</v>
      </c>
      <c r="F147" s="250">
        <f>F50+F76+F144</f>
        <v>0</v>
      </c>
      <c r="G147" s="250">
        <f>G50+G76+G144</f>
        <v>0</v>
      </c>
      <c r="H147" s="250">
        <f t="shared" si="7"/>
        <v>-13495291.76</v>
      </c>
      <c r="I147" s="250">
        <f t="shared" si="8"/>
        <v>0</v>
      </c>
    </row>
    <row r="148" spans="1:9">
      <c r="A148" s="251" t="s">
        <v>785</v>
      </c>
      <c r="B148" s="338"/>
      <c r="C148" s="250">
        <f>C48-C147</f>
        <v>-11867291.76</v>
      </c>
      <c r="D148" s="250">
        <f>D48-D147</f>
        <v>-11867291.76</v>
      </c>
      <c r="E148" s="250">
        <f>E48-E147</f>
        <v>0</v>
      </c>
      <c r="F148" s="250">
        <f>F48-F147</f>
        <v>0</v>
      </c>
      <c r="G148" s="250">
        <f>G48-G147</f>
        <v>0</v>
      </c>
      <c r="H148" s="250">
        <f t="shared" si="7"/>
        <v>11867291.76</v>
      </c>
      <c r="I148" s="250">
        <f t="shared" si="8"/>
        <v>0</v>
      </c>
    </row>
    <row r="149" spans="1:9">
      <c r="A149" s="251" t="s">
        <v>749</v>
      </c>
      <c r="B149" s="338"/>
      <c r="C149" s="250">
        <f>C48/C147</f>
        <v>0.12</v>
      </c>
      <c r="D149" s="250">
        <f>D48/D147</f>
        <v>0.12</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-11867291.76</v>
      </c>
      <c r="D152" s="250">
        <f>D148+D150+D151</f>
        <v>-11867291.76</v>
      </c>
      <c r="E152" s="250">
        <f>E148+E150+E151</f>
        <v>0</v>
      </c>
      <c r="F152" s="250">
        <f>F148+F150+F151</f>
        <v>0</v>
      </c>
      <c r="G152" s="250">
        <f>G148+G150+G151</f>
        <v>0</v>
      </c>
      <c r="H152" s="250">
        <f t="shared" si="7"/>
        <v>11867291.76</v>
      </c>
      <c r="I152" s="250">
        <f t="shared" si="8"/>
        <v>0</v>
      </c>
    </row>
    <row r="153" spans="1:9">
      <c r="A153" s="251" t="s">
        <v>749</v>
      </c>
      <c r="B153" s="338"/>
      <c r="C153" s="250">
        <f>C48/(C147-C150-C151)</f>
        <v>0.12</v>
      </c>
      <c r="D153" s="250">
        <f>D48/(D147-D150-D151)</f>
        <v>0.12</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120000</v>
      </c>
      <c r="D156" s="245">
        <f t="array" ref="D156">SUM(IF((Budget[Account Code]=B156)*(Budget[Ofc Code]=$G$4)*(Budget[Date]&lt;=$D$7),(Budget[Amount])))</f>
        <v>120000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-120000</v>
      </c>
      <c r="I156" s="246">
        <f t="shared" si="11"/>
        <v>0</v>
      </c>
    </row>
    <row r="157" spans="1:9">
      <c r="A157" s="253" t="s">
        <v>797</v>
      </c>
      <c r="B157" s="339" t="s">
        <v>168</v>
      </c>
      <c r="C157" s="245">
        <f t="array" ref="C157">SUM(IF((Budget[Account Code]=B157)*(Budget[Ofc Code]=$G$4),(Budget[Amount])))</f>
        <v>625000</v>
      </c>
      <c r="D157" s="245">
        <f t="array" ref="D157">SUM(IF((Budget[Account Code]=B157)*(Budget[Ofc Code]=$G$4)*(Budget[Date]&lt;=$D$7),(Budget[Amount])))</f>
        <v>625000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-625000</v>
      </c>
      <c r="I157" s="246">
        <f t="shared" si="11"/>
        <v>0</v>
      </c>
    </row>
    <row r="158" spans="1:9">
      <c r="A158" s="253" t="s">
        <v>354</v>
      </c>
      <c r="B158" s="339" t="s">
        <v>216</v>
      </c>
      <c r="C158" s="245">
        <f t="array" ref="C158">SUM(IF((Budget[Account Code]=B158)*(Budget[Ofc Code]=$G$4),(Budget[Amount])))</f>
        <v>15000</v>
      </c>
      <c r="D158" s="245">
        <f t="array" ref="D158">SUM(IF((Budget[Account Code]=B158)*(Budget[Ofc Code]=$G$4)*(Budget[Date]&lt;=$D$7),(Budget[Amount])))</f>
        <v>15000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-15000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120000</v>
      </c>
      <c r="D160" s="245">
        <f t="array" ref="D160">SUM(IF((Budget[Account Code]=B160)*(Budget[Ofc Code]=$G$4)*(Budget[Date]&lt;=$D$7),(Budget[Amount])))</f>
        <v>120000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-120000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1703243.4</v>
      </c>
      <c r="D162" s="245">
        <f t="array" ref="D162">SUM(IF((Budget[Account Code]=B162)*(Budget[Ofc Code]=$G$4)*(Budget[Date]&lt;=$D$7),(Budget[Amount])))</f>
        <v>1703243.4</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-1703243.4</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2583243.4</v>
      </c>
      <c r="D164" s="250">
        <f>SUM(D155:D163)</f>
        <v>2583243.4</v>
      </c>
      <c r="E164" s="250">
        <f>SUM(E155:E163)</f>
        <v>0</v>
      </c>
      <c r="F164" s="250">
        <f>SUM(F155:F163)</f>
        <v>0</v>
      </c>
      <c r="G164" s="250">
        <f>SUM(G155:G163)</f>
        <v>0</v>
      </c>
      <c r="H164" s="250">
        <f t="shared" si="10"/>
        <v>-2583243.4</v>
      </c>
      <c r="I164" s="250">
        <f t="shared" si="11"/>
        <v>0</v>
      </c>
    </row>
    <row r="165" spans="1:9">
      <c r="A165" s="251" t="s">
        <v>788</v>
      </c>
      <c r="B165" s="338"/>
      <c r="C165" s="250">
        <f>C147+C164</f>
        <v>16078535.16</v>
      </c>
      <c r="D165" s="250">
        <f>D147+D164</f>
        <v>16078535.16</v>
      </c>
      <c r="E165" s="250">
        <f>E147+E164</f>
        <v>0</v>
      </c>
      <c r="F165" s="250">
        <f>F147+F164</f>
        <v>0</v>
      </c>
      <c r="G165" s="250">
        <f>G147+G164</f>
        <v>0</v>
      </c>
      <c r="H165" s="250">
        <f t="shared" si="10"/>
        <v>-16078535.16</v>
      </c>
      <c r="I165" s="250">
        <f t="shared" si="11"/>
        <v>0</v>
      </c>
    </row>
    <row r="166" spans="1:9">
      <c r="A166" s="251" t="s">
        <v>785</v>
      </c>
      <c r="B166" s="338"/>
      <c r="C166" s="250">
        <f>C48-C165</f>
        <v>-14450535.16</v>
      </c>
      <c r="D166" s="250">
        <f>D48-D165</f>
        <v>-14450535.16</v>
      </c>
      <c r="E166" s="250">
        <f>E48-E165</f>
        <v>0</v>
      </c>
      <c r="F166" s="250">
        <f>F48-F165</f>
        <v>0</v>
      </c>
      <c r="G166" s="250">
        <f>G48-G165</f>
        <v>0</v>
      </c>
      <c r="H166" s="250">
        <f t="shared" si="10"/>
        <v>14450535.16</v>
      </c>
      <c r="I166" s="250">
        <f t="shared" si="11"/>
        <v>0</v>
      </c>
    </row>
    <row r="167" spans="1:9">
      <c r="A167" s="251" t="s">
        <v>749</v>
      </c>
      <c r="B167" s="338"/>
      <c r="C167" s="250">
        <f>C48/C165</f>
        <v>0.1</v>
      </c>
      <c r="D167" s="250">
        <f>D48/D165</f>
        <v>0.1</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-14450535.16</v>
      </c>
      <c r="D170" s="250">
        <f>D166+D168+D169</f>
        <v>-14450535.16</v>
      </c>
      <c r="E170" s="250">
        <f>E166+E168+E169</f>
        <v>0</v>
      </c>
      <c r="F170" s="250">
        <f>F166+F168+F169</f>
        <v>0</v>
      </c>
      <c r="G170" s="250">
        <f>G166+G168+G169</f>
        <v>0</v>
      </c>
      <c r="H170" s="250">
        <f t="shared" si="10"/>
        <v>14450535.16</v>
      </c>
      <c r="I170" s="250">
        <f t="shared" si="11"/>
        <v>0</v>
      </c>
    </row>
    <row r="171" spans="1:9">
      <c r="A171" s="251" t="s">
        <v>792</v>
      </c>
      <c r="B171" s="338"/>
      <c r="C171" s="250">
        <f>C48/(C165-C168-C169)</f>
        <v>0.1</v>
      </c>
      <c r="D171" s="250">
        <f>D48/(D165-D168-D169)</f>
        <v>0.1</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16078535.16</v>
      </c>
      <c r="D178" s="250">
        <f>D165+D177</f>
        <v>16078535.16</v>
      </c>
      <c r="E178" s="250">
        <f>E165+E177</f>
        <v>0</v>
      </c>
      <c r="F178" s="250">
        <f>F165+F177</f>
        <v>0</v>
      </c>
      <c r="G178" s="250">
        <f>G165+G177</f>
        <v>0</v>
      </c>
      <c r="H178" s="250">
        <f t="shared" si="12"/>
        <v>-16078535.16</v>
      </c>
      <c r="I178" s="250">
        <f t="shared" si="13"/>
        <v>0</v>
      </c>
    </row>
    <row r="179" spans="1:9">
      <c r="A179" s="251" t="s">
        <v>785</v>
      </c>
      <c r="B179" s="338"/>
      <c r="C179" s="250">
        <f>C48-C178</f>
        <v>-14450535.16</v>
      </c>
      <c r="D179" s="250">
        <f>D48-D178</f>
        <v>-14450535.16</v>
      </c>
      <c r="E179" s="250">
        <f>E48-E178</f>
        <v>0</v>
      </c>
      <c r="F179" s="250">
        <f>F48-F178</f>
        <v>0</v>
      </c>
      <c r="G179" s="250">
        <f>G48-G178</f>
        <v>0</v>
      </c>
      <c r="H179" s="250">
        <f t="shared" si="12"/>
        <v>14450535.16</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0.1</v>
      </c>
      <c r="D184" s="265">
        <f>D48/(D178-D181-D182)</f>
        <v>0.1</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La Union PIO</v>
      </c>
      <c r="C4" s="332"/>
      <c r="G4" s="331" t="s">
        <v>493</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200000</v>
      </c>
      <c r="D15" s="248">
        <f>SUM(D16:D18)</f>
        <v>200000</v>
      </c>
      <c r="E15" s="248">
        <f>SUM(E16:E18)</f>
        <v>0</v>
      </c>
      <c r="F15" s="248">
        <f>SUM(F16:F18)</f>
        <v>0</v>
      </c>
      <c r="G15" s="248">
        <f>SUM(G16:G18)</f>
        <v>0</v>
      </c>
      <c r="H15" s="242">
        <f t="shared" si="0"/>
        <v>-200000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200000</v>
      </c>
      <c r="D17" s="245">
        <f t="array" ref="D17">SUM(IF((Budget[Account Code]=B17)*(Budget[Ofc Code]=$G$4)*(Budget[Date]&lt;=$D$7),(Budget[Amount])))</f>
        <v>200000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-200000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200000</v>
      </c>
      <c r="D24" s="250">
        <f>D9+D15+D19</f>
        <v>200000</v>
      </c>
      <c r="E24" s="250">
        <f>E9+E15+E19</f>
        <v>0</v>
      </c>
      <c r="F24" s="250">
        <f>F9+F15+F19</f>
        <v>0</v>
      </c>
      <c r="G24" s="250">
        <f>G9+G15+G19</f>
        <v>0</v>
      </c>
      <c r="H24" s="250">
        <f t="shared" si="0"/>
        <v>-200000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0</v>
      </c>
      <c r="D47" s="250">
        <f>D26+D27+D32+D36+D46</f>
        <v>0</v>
      </c>
      <c r="E47" s="250">
        <f>E26+E27+E32+E36+E46</f>
        <v>0</v>
      </c>
      <c r="F47" s="250">
        <f>F26+F27+F32+F36+F46</f>
        <v>0</v>
      </c>
      <c r="G47" s="250">
        <f>G26+G27+G32+G36+G46</f>
        <v>0</v>
      </c>
      <c r="H47" s="250">
        <f t="shared" si="2"/>
        <v>0</v>
      </c>
      <c r="I47" s="250">
        <f t="shared" si="3"/>
        <v>0</v>
      </c>
    </row>
    <row r="48" spans="1:9">
      <c r="A48" s="251" t="s">
        <v>813</v>
      </c>
      <c r="B48" s="338"/>
      <c r="C48" s="250">
        <f>C24+C47</f>
        <v>200000</v>
      </c>
      <c r="D48" s="250">
        <f>D24+D47</f>
        <v>200000</v>
      </c>
      <c r="E48" s="250">
        <f>E24+E47</f>
        <v>0</v>
      </c>
      <c r="F48" s="250">
        <f>F24+F47</f>
        <v>0</v>
      </c>
      <c r="G48" s="250">
        <f>G24+G47</f>
        <v>0</v>
      </c>
      <c r="H48" s="250">
        <f t="shared" si="2"/>
        <v>-200000</v>
      </c>
      <c r="I48" s="250">
        <f t="shared" si="3"/>
        <v>0</v>
      </c>
    </row>
    <row r="49" spans="1:9">
      <c r="A49" s="239" t="s">
        <v>812</v>
      </c>
      <c r="B49" s="337"/>
      <c r="C49" s="240"/>
      <c r="D49" s="240"/>
      <c r="E49" s="240"/>
      <c r="F49" s="240"/>
      <c r="G49" s="246"/>
      <c r="H49" s="246"/>
      <c r="I49" s="246"/>
    </row>
    <row r="50" spans="1:9">
      <c r="A50" s="239" t="s">
        <v>811</v>
      </c>
      <c r="B50" s="337"/>
      <c r="C50" s="242">
        <f>C51+C75</f>
        <v>5570469.2000000002</v>
      </c>
      <c r="D50" s="242">
        <f>D51+D75</f>
        <v>5570469.2000000002</v>
      </c>
      <c r="E50" s="242">
        <f>E51+E75</f>
        <v>0</v>
      </c>
      <c r="F50" s="242">
        <f>F51+F75</f>
        <v>0</v>
      </c>
      <c r="G50" s="242">
        <f>G51+G75</f>
        <v>0</v>
      </c>
      <c r="H50" s="242">
        <f t="shared" si="2"/>
        <v>-5570469.2000000002</v>
      </c>
      <c r="I50" s="242">
        <f t="shared" si="3"/>
        <v>0</v>
      </c>
    </row>
    <row r="51" spans="1:9">
      <c r="A51" s="243" t="s">
        <v>806</v>
      </c>
      <c r="B51" s="337"/>
      <c r="C51" s="246">
        <f>SUM(C52:C74)</f>
        <v>5570469.2000000002</v>
      </c>
      <c r="D51" s="246">
        <f>SUM(D52:D74)</f>
        <v>5570469.2000000002</v>
      </c>
      <c r="E51" s="246">
        <f>SUM(E52:E74)</f>
        <v>0</v>
      </c>
      <c r="F51" s="246">
        <f>SUM(F52:F74)</f>
        <v>0</v>
      </c>
      <c r="G51" s="246">
        <f>SUM(G52:G74)</f>
        <v>0</v>
      </c>
      <c r="H51" s="246">
        <f t="shared" si="2"/>
        <v>-5570469.2000000002</v>
      </c>
      <c r="I51" s="246">
        <f t="shared" si="3"/>
        <v>0</v>
      </c>
    </row>
    <row r="52" spans="1:9" hidden="1">
      <c r="A52" s="247" t="s">
        <v>194</v>
      </c>
      <c r="B52" s="339" t="s">
        <v>162</v>
      </c>
      <c r="C52" s="245">
        <f t="array" ref="C52">SUM(IF((Budget[Account Code]=B52)*(Budget[Ofc Code]=$G$4),(Budget[Amount])))</f>
        <v>3129480</v>
      </c>
      <c r="D52" s="245">
        <f t="array" ref="D52">SUM(IF((Budget[Account Code]=B52)*(Budget[Ofc Code]=$G$4)*(Budget[Date]&lt;=$D$7),(Budget[Amount])))</f>
        <v>3129480</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-3129480</v>
      </c>
      <c r="I52" s="246">
        <f t="shared" si="3"/>
        <v>0</v>
      </c>
    </row>
    <row r="53" spans="1:9" hidden="1">
      <c r="A53" s="247" t="s">
        <v>195</v>
      </c>
      <c r="B53" s="339" t="s">
        <v>163</v>
      </c>
      <c r="C53" s="245">
        <f t="array" ref="C53">SUM(IF((Budget[Account Code]=B53)*(Budget[Ofc Code]=$G$4),(Budget[Amount])))</f>
        <v>1075557.6000000001</v>
      </c>
      <c r="D53" s="245">
        <f t="array" ref="D53">SUM(IF((Budget[Account Code]=B53)*(Budget[Ofc Code]=$G$4)*(Budget[Date]&lt;=$D$7),(Budget[Amount])))</f>
        <v>1075557.6000000001</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-1075557.6000000001</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312000</v>
      </c>
      <c r="D55" s="245">
        <f t="array" ref="D55">SUM(IF((Budget[Account Code]=B55)*(Budget[Ofc Code]=$G$4)*(Budget[Date]&lt;=$D$7),(Budget[Amount])))</f>
        <v>312000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-312000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0</v>
      </c>
      <c r="D58" s="245">
        <f t="array" ref="D58">SUM(IF((Budget[Account Code]=B58)*(Budget[Ofc Code]=$G$4)*(Budget[Date]&lt;=$D$7),(Budget[Amount])))</f>
        <v>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16800</v>
      </c>
      <c r="D61" s="245">
        <f t="array" ref="D61">SUM(IF((Budget[Account Code]=B61)*(Budget[Ofc Code]=$G$4)*(Budget[Date]&lt;=$D$7),(Budget[Amount])))</f>
        <v>16800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-16800</v>
      </c>
      <c r="I61" s="246">
        <f t="shared" si="3"/>
        <v>0</v>
      </c>
    </row>
    <row r="62" spans="1:9" hidden="1">
      <c r="A62" s="247" t="s">
        <v>202</v>
      </c>
      <c r="B62" s="339" t="s">
        <v>6</v>
      </c>
      <c r="C62" s="245">
        <f t="array" ref="C62">SUM(IF((Budget[Account Code]=B62)*(Budget[Ofc Code]=$G$4),(Budget[Amount])))</f>
        <v>5544</v>
      </c>
      <c r="D62" s="245">
        <f t="array" ref="D62">SUM(IF((Budget[Account Code]=B62)*(Budget[Ofc Code]=$G$4)*(Budget[Date]&lt;=$D$7),(Budget[Amount])))</f>
        <v>5544</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-5544</v>
      </c>
      <c r="I62" s="246">
        <f t="shared" si="3"/>
        <v>0</v>
      </c>
    </row>
    <row r="63" spans="1:9" hidden="1">
      <c r="A63" s="247" t="s">
        <v>203</v>
      </c>
      <c r="B63" s="339" t="s">
        <v>7</v>
      </c>
      <c r="C63" s="245">
        <f t="array" ref="C63">SUM(IF((Budget[Account Code]=B63)*(Budget[Ofc Code]=$G$4),(Budget[Amount])))</f>
        <v>720</v>
      </c>
      <c r="D63" s="245">
        <f t="array" ref="D63">SUM(IF((Budget[Account Code]=B63)*(Budget[Ofc Code]=$G$4)*(Budget[Date]&lt;=$D$7),(Budget[Amount])))</f>
        <v>720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-720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65000</v>
      </c>
      <c r="D67" s="245">
        <f t="array" ref="D67">SUM(IF((Budget[Account Code]=B67)*(Budget[Ofc Code]=$G$4)*(Budget[Date]&lt;=$D$7),(Budget[Amount])))</f>
        <v>65000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-65000</v>
      </c>
      <c r="I67" s="246">
        <f t="shared" si="3"/>
        <v>0</v>
      </c>
    </row>
    <row r="68" spans="1:9" hidden="1">
      <c r="A68" s="247" t="s">
        <v>207</v>
      </c>
      <c r="B68" s="339" t="s">
        <v>174</v>
      </c>
      <c r="C68" s="245">
        <f t="array" ref="C68">SUM(IF((Budget[Account Code]=B68)*(Budget[Ofc Code]=$G$4),(Budget[Amount])))</f>
        <v>521580</v>
      </c>
      <c r="D68" s="245">
        <f t="array" ref="D68">SUM(IF((Budget[Account Code]=B68)*(Budget[Ofc Code]=$G$4)*(Budget[Date]&lt;=$D$7),(Budget[Amount])))</f>
        <v>521580</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-521580</v>
      </c>
      <c r="I68" s="246">
        <f t="shared" si="3"/>
        <v>0</v>
      </c>
    </row>
    <row r="69" spans="1:9" hidden="1">
      <c r="A69" s="247" t="s">
        <v>208</v>
      </c>
      <c r="B69" s="339" t="s">
        <v>175</v>
      </c>
      <c r="C69" s="245">
        <f t="array" ref="C69">SUM(IF((Budget[Account Code]=B69)*(Budget[Ofc Code]=$G$4),(Budget[Amount])))</f>
        <v>375537.6</v>
      </c>
      <c r="D69" s="245">
        <f t="array" ref="D69">SUM(IF((Budget[Account Code]=B69)*(Budget[Ofc Code]=$G$4)*(Budget[Date]&lt;=$D$7),(Budget[Amount])))</f>
        <v>375537.6</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-375537.6</v>
      </c>
      <c r="I69" s="246">
        <f t="shared" si="3"/>
        <v>0</v>
      </c>
    </row>
    <row r="70" spans="1:9" hidden="1">
      <c r="A70" s="247" t="s">
        <v>209</v>
      </c>
      <c r="B70" s="339" t="s">
        <v>176</v>
      </c>
      <c r="C70" s="245">
        <f t="array" ref="C70">SUM(IF((Budget[Account Code]=B70)*(Budget[Ofc Code]=$G$4),(Budget[Amount])))</f>
        <v>15600</v>
      </c>
      <c r="D70" s="245">
        <f t="array" ref="D70">SUM(IF((Budget[Account Code]=B70)*(Budget[Ofc Code]=$G$4)*(Budget[Date]&lt;=$D$7),(Budget[Amount])))</f>
        <v>15600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-15600</v>
      </c>
      <c r="I70" s="246">
        <f t="shared" si="3"/>
        <v>0</v>
      </c>
    </row>
    <row r="71" spans="1:9" hidden="1">
      <c r="A71" s="247" t="s">
        <v>210</v>
      </c>
      <c r="B71" s="339" t="s">
        <v>177</v>
      </c>
      <c r="C71" s="245">
        <f t="array" ref="C71">SUM(IF((Budget[Account Code]=B71)*(Budget[Ofc Code]=$G$4),(Budget[Amount])))</f>
        <v>37050</v>
      </c>
      <c r="D71" s="245">
        <f t="array" ref="D71">SUM(IF((Budget[Account Code]=B71)*(Budget[Ofc Code]=$G$4)*(Budget[Date]&lt;=$D$7),(Budget[Amount])))</f>
        <v>37050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-37050</v>
      </c>
      <c r="I71" s="246">
        <f t="shared" si="3"/>
        <v>0</v>
      </c>
    </row>
    <row r="72" spans="1:9" hidden="1">
      <c r="A72" s="247" t="s">
        <v>211</v>
      </c>
      <c r="B72" s="339" t="s">
        <v>178</v>
      </c>
      <c r="C72" s="245">
        <f t="array" ref="C72">SUM(IF((Budget[Account Code]=B72)*(Budget[Ofc Code]=$G$4),(Budget[Amount])))</f>
        <v>15600</v>
      </c>
      <c r="D72" s="245">
        <f t="array" ref="D72">SUM(IF((Budget[Account Code]=B72)*(Budget[Ofc Code]=$G$4)*(Budget[Date]&lt;=$D$7),(Budget[Amount])))</f>
        <v>15600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-15600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3956018.76</v>
      </c>
      <c r="D76" s="252">
        <f>D77+D139</f>
        <v>3956018.76</v>
      </c>
      <c r="E76" s="252">
        <f>E77+E139</f>
        <v>0</v>
      </c>
      <c r="F76" s="252">
        <f>F77+F139</f>
        <v>0</v>
      </c>
      <c r="G76" s="252">
        <f>G77+G139</f>
        <v>0</v>
      </c>
      <c r="H76" s="242">
        <f t="shared" si="2"/>
        <v>-3956018.76</v>
      </c>
      <c r="I76" s="242">
        <f t="shared" si="3"/>
        <v>0</v>
      </c>
    </row>
    <row r="77" spans="1:9">
      <c r="A77" s="253" t="s">
        <v>809</v>
      </c>
      <c r="B77" s="337"/>
      <c r="C77" s="254">
        <f>C78+C138</f>
        <v>2253623.7599999998</v>
      </c>
      <c r="D77" s="254">
        <f>D78+D138</f>
        <v>2253623.7599999998</v>
      </c>
      <c r="E77" s="254">
        <f>E78+E138</f>
        <v>0</v>
      </c>
      <c r="F77" s="254">
        <f>F78+F138</f>
        <v>0</v>
      </c>
      <c r="G77" s="254">
        <f>G78+G138</f>
        <v>0</v>
      </c>
      <c r="H77" s="246">
        <f t="shared" si="2"/>
        <v>-2253623.7599999998</v>
      </c>
      <c r="I77" s="246">
        <f t="shared" si="3"/>
        <v>0</v>
      </c>
    </row>
    <row r="78" spans="1:9">
      <c r="A78" s="255" t="s">
        <v>806</v>
      </c>
      <c r="B78" s="337"/>
      <c r="C78" s="246">
        <f>SUM(C79:C137)</f>
        <v>2253623.7599999998</v>
      </c>
      <c r="D78" s="246">
        <f>SUM(D79:D137)</f>
        <v>2253623.7599999998</v>
      </c>
      <c r="E78" s="246">
        <f>SUM(E79:E137)</f>
        <v>0</v>
      </c>
      <c r="F78" s="246">
        <f>SUM(F79:F137)</f>
        <v>0</v>
      </c>
      <c r="G78" s="246">
        <f>SUM(G79:G137)</f>
        <v>0</v>
      </c>
      <c r="H78" s="246">
        <f t="shared" si="2"/>
        <v>-2253623.7599999998</v>
      </c>
      <c r="I78" s="246">
        <f t="shared" si="3"/>
        <v>0</v>
      </c>
    </row>
    <row r="79" spans="1:9" hidden="1">
      <c r="A79" s="256" t="s">
        <v>284</v>
      </c>
      <c r="B79" s="339" t="s">
        <v>223</v>
      </c>
      <c r="C79" s="245">
        <f t="array" ref="C79">SUM(IF((Budget[Account Code]=B79)*(Budget[Ofc Code]=$G$4),(Budget[Amount])))</f>
        <v>0</v>
      </c>
      <c r="D79" s="245">
        <f t="array" ref="D79">SUM(IF((Budget[Account Code]=B79)*(Budget[Ofc Code]=$G$4)*(Budget[Date]&lt;=$D$7),(Budget[Amount])))</f>
        <v>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0</v>
      </c>
      <c r="D82" s="245">
        <f t="array" ref="D82">SUM(IF((Budget[Account Code]=B82)*(Budget[Ofc Code]=$G$4)*(Budget[Date]&lt;=$D$7),(Budget[Amount])))</f>
        <v>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1322702.3999999999</v>
      </c>
      <c r="D86" s="245">
        <f t="array" ref="D86">SUM(IF((Budget[Account Code]=B86)*(Budget[Ofc Code]=$G$4)*(Budget[Date]&lt;=$D$7),(Budget[Amount])))</f>
        <v>1322702.3999999999</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-1322702.3999999999</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0</v>
      </c>
      <c r="D88" s="245">
        <f t="array" ref="D88">SUM(IF((Budget[Account Code]=B88)*(Budget[Ofc Code]=$G$4)*(Budget[Date]&lt;=$D$7),(Budget[Amount])))</f>
        <v>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0</v>
      </c>
      <c r="I88" s="246">
        <f t="shared" si="3"/>
        <v>0</v>
      </c>
    </row>
    <row r="89" spans="1:9" hidden="1">
      <c r="A89" s="256" t="s">
        <v>292</v>
      </c>
      <c r="B89" s="339" t="s">
        <v>232</v>
      </c>
      <c r="C89" s="245">
        <f t="array" ref="C89">SUM(IF((Budget[Account Code]=B89)*(Budget[Ofc Code]=$G$4),(Budget[Amount])))</f>
        <v>33116.160000000003</v>
      </c>
      <c r="D89" s="245">
        <f t="array" ref="D89">SUM(IF((Budget[Account Code]=B89)*(Budget[Ofc Code]=$G$4)*(Budget[Date]&lt;=$D$7),(Budget[Amount])))</f>
        <v>33116.160000000003</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-33116.160000000003</v>
      </c>
      <c r="I89" s="246">
        <f t="shared" si="3"/>
        <v>0</v>
      </c>
    </row>
    <row r="90" spans="1:9" hidden="1">
      <c r="A90" s="256" t="s">
        <v>293</v>
      </c>
      <c r="B90" s="339" t="s">
        <v>233</v>
      </c>
      <c r="C90" s="245">
        <f t="array" ref="C90">SUM(IF((Budget[Account Code]=B90)*(Budget[Ofc Code]=$G$4),(Budget[Amount])))</f>
        <v>764484.36</v>
      </c>
      <c r="D90" s="245">
        <f t="array" ref="D90">SUM(IF((Budget[Account Code]=B90)*(Budget[Ofc Code]=$G$4)*(Budget[Date]&lt;=$D$7),(Budget[Amount])))</f>
        <v>764484.36</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-764484.36</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0</v>
      </c>
      <c r="D94" s="245">
        <f t="array" ref="D94">SUM(IF((Budget[Account Code]=B94)*(Budget[Ofc Code]=$G$4)*(Budget[Date]&lt;=$D$7),(Budget[Amount])))</f>
        <v>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133320.84</v>
      </c>
      <c r="D96" s="245">
        <f t="array" ref="D96">SUM(IF((Budget[Account Code]=B96)*(Budget[Ofc Code]=$G$4)*(Budget[Date]&lt;=$D$7),(Budget[Amount])))</f>
        <v>133320.84</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-133320.84</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0</v>
      </c>
      <c r="D118" s="245">
        <f t="array" ref="D118">SUM(IF((Budget[Account Code]=B118)*(Budget[Ofc Code]=$G$4)*(Budget[Date]&lt;=$D$7),(Budget[Amount])))</f>
        <v>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0</v>
      </c>
      <c r="D125" s="245">
        <f t="array" ref="D125">SUM(IF((Budget[Account Code]=B125)*(Budget[Ofc Code]=$G$4)*(Budget[Date]&lt;=$D$7),(Budget[Amount])))</f>
        <v>0</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0</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1702395</v>
      </c>
      <c r="D139" s="242">
        <f>SUM(D140:D143)</f>
        <v>1702395</v>
      </c>
      <c r="E139" s="242">
        <f>SUM(E140:E143)</f>
        <v>0</v>
      </c>
      <c r="F139" s="242">
        <f>SUM(F140:F143)</f>
        <v>0</v>
      </c>
      <c r="G139" s="242">
        <f>SUM(G140:G143)</f>
        <v>0</v>
      </c>
      <c r="H139" s="246">
        <f t="shared" si="7"/>
        <v>-1702395</v>
      </c>
      <c r="I139" s="246">
        <f t="shared" si="8"/>
        <v>0</v>
      </c>
    </row>
    <row r="140" spans="1:9" hidden="1">
      <c r="A140" s="256" t="s">
        <v>342</v>
      </c>
      <c r="B140" s="339" t="s">
        <v>333</v>
      </c>
      <c r="C140" s="245">
        <f t="array" ref="C140">SUM(IF((Budget[Account Code]=B140)*(Budget[Ofc Code]=$G$4),(Budget[Amount])))</f>
        <v>1702395</v>
      </c>
      <c r="D140" s="245">
        <f t="array" ref="D140">SUM(IF((Budget[Account Code]=B140)*(Budget[Ofc Code]=$G$4)*(Budget[Date]&lt;=$D$7),(Budget[Amount])))</f>
        <v>1702395</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-1702395</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9526487.9600000009</v>
      </c>
      <c r="D147" s="250">
        <f>D50+D76+D144</f>
        <v>9526487.9600000009</v>
      </c>
      <c r="E147" s="250">
        <f>E50+E76+E144</f>
        <v>0</v>
      </c>
      <c r="F147" s="250">
        <f>F50+F76+F144</f>
        <v>0</v>
      </c>
      <c r="G147" s="250">
        <f>G50+G76+G144</f>
        <v>0</v>
      </c>
      <c r="H147" s="250">
        <f t="shared" si="7"/>
        <v>-9526487.9600000009</v>
      </c>
      <c r="I147" s="250">
        <f t="shared" si="8"/>
        <v>0</v>
      </c>
    </row>
    <row r="148" spans="1:9">
      <c r="A148" s="251" t="s">
        <v>785</v>
      </c>
      <c r="B148" s="338"/>
      <c r="C148" s="250">
        <f>C48-C147</f>
        <v>-9326487.9600000009</v>
      </c>
      <c r="D148" s="250">
        <f>D48-D147</f>
        <v>-9326487.9600000009</v>
      </c>
      <c r="E148" s="250">
        <f>E48-E147</f>
        <v>0</v>
      </c>
      <c r="F148" s="250">
        <f>F48-F147</f>
        <v>0</v>
      </c>
      <c r="G148" s="250">
        <f>G48-G147</f>
        <v>0</v>
      </c>
      <c r="H148" s="250">
        <f t="shared" si="7"/>
        <v>9326487.9600000009</v>
      </c>
      <c r="I148" s="250">
        <f t="shared" si="8"/>
        <v>0</v>
      </c>
    </row>
    <row r="149" spans="1:9">
      <c r="A149" s="251" t="s">
        <v>749</v>
      </c>
      <c r="B149" s="338"/>
      <c r="C149" s="250">
        <f>C48/C147</f>
        <v>0.02</v>
      </c>
      <c r="D149" s="250">
        <f>D48/D147</f>
        <v>0.02</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-9326487.9600000009</v>
      </c>
      <c r="D152" s="250">
        <f>D148+D150+D151</f>
        <v>-9326487.9600000009</v>
      </c>
      <c r="E152" s="250">
        <f>E148+E150+E151</f>
        <v>0</v>
      </c>
      <c r="F152" s="250">
        <f>F148+F150+F151</f>
        <v>0</v>
      </c>
      <c r="G152" s="250">
        <f>G148+G150+G151</f>
        <v>0</v>
      </c>
      <c r="H152" s="250">
        <f t="shared" si="7"/>
        <v>9326487.9600000009</v>
      </c>
      <c r="I152" s="250">
        <f t="shared" si="8"/>
        <v>0</v>
      </c>
    </row>
    <row r="153" spans="1:9">
      <c r="A153" s="251" t="s">
        <v>749</v>
      </c>
      <c r="B153" s="338"/>
      <c r="C153" s="250">
        <f>C48/(C147-C150-C151)</f>
        <v>0.02</v>
      </c>
      <c r="D153" s="250">
        <f>D48/(D147-D150-D151)</f>
        <v>0.02</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65000</v>
      </c>
      <c r="D156" s="245">
        <f t="array" ref="D156">SUM(IF((Budget[Account Code]=B156)*(Budget[Ofc Code]=$G$4)*(Budget[Date]&lt;=$D$7),(Budget[Amount])))</f>
        <v>65000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-65000</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0</v>
      </c>
      <c r="D158" s="245">
        <f t="array" ref="D158">SUM(IF((Budget[Account Code]=B158)*(Budget[Ofc Code]=$G$4)*(Budget[Date]&lt;=$D$7),(Budget[Amount])))</f>
        <v>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962082.29</v>
      </c>
      <c r="D162" s="245">
        <f t="array" ref="D162">SUM(IF((Budget[Account Code]=B162)*(Budget[Ofc Code]=$G$4)*(Budget[Date]&lt;=$D$7),(Budget[Amount])))</f>
        <v>962082.29</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-962082.29</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1027082.29</v>
      </c>
      <c r="D164" s="250">
        <f>SUM(D155:D163)</f>
        <v>1027082.29</v>
      </c>
      <c r="E164" s="250">
        <f>SUM(E155:E163)</f>
        <v>0</v>
      </c>
      <c r="F164" s="250">
        <f>SUM(F155:F163)</f>
        <v>0</v>
      </c>
      <c r="G164" s="250">
        <f>SUM(G155:G163)</f>
        <v>0</v>
      </c>
      <c r="H164" s="250">
        <f t="shared" si="10"/>
        <v>-1027082.29</v>
      </c>
      <c r="I164" s="250">
        <f t="shared" si="11"/>
        <v>0</v>
      </c>
    </row>
    <row r="165" spans="1:9">
      <c r="A165" s="251" t="s">
        <v>788</v>
      </c>
      <c r="B165" s="338"/>
      <c r="C165" s="250">
        <f>C147+C164</f>
        <v>10553570.25</v>
      </c>
      <c r="D165" s="250">
        <f>D147+D164</f>
        <v>10553570.25</v>
      </c>
      <c r="E165" s="250">
        <f>E147+E164</f>
        <v>0</v>
      </c>
      <c r="F165" s="250">
        <f>F147+F164</f>
        <v>0</v>
      </c>
      <c r="G165" s="250">
        <f>G147+G164</f>
        <v>0</v>
      </c>
      <c r="H165" s="250">
        <f t="shared" si="10"/>
        <v>-10553570.25</v>
      </c>
      <c r="I165" s="250">
        <f t="shared" si="11"/>
        <v>0</v>
      </c>
    </row>
    <row r="166" spans="1:9">
      <c r="A166" s="251" t="s">
        <v>785</v>
      </c>
      <c r="B166" s="338"/>
      <c r="C166" s="250">
        <f>C48-C165</f>
        <v>-10353570.25</v>
      </c>
      <c r="D166" s="250">
        <f>D48-D165</f>
        <v>-10353570.25</v>
      </c>
      <c r="E166" s="250">
        <f>E48-E165</f>
        <v>0</v>
      </c>
      <c r="F166" s="250">
        <f>F48-F165</f>
        <v>0</v>
      </c>
      <c r="G166" s="250">
        <f>G48-G165</f>
        <v>0</v>
      </c>
      <c r="H166" s="250">
        <f t="shared" si="10"/>
        <v>10353570.25</v>
      </c>
      <c r="I166" s="250">
        <f t="shared" si="11"/>
        <v>0</v>
      </c>
    </row>
    <row r="167" spans="1:9">
      <c r="A167" s="251" t="s">
        <v>749</v>
      </c>
      <c r="B167" s="338"/>
      <c r="C167" s="250">
        <f>C48/C165</f>
        <v>0.02</v>
      </c>
      <c r="D167" s="250">
        <f>D48/D165</f>
        <v>0.02</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-10353570.25</v>
      </c>
      <c r="D170" s="250">
        <f>D166+D168+D169</f>
        <v>-10353570.25</v>
      </c>
      <c r="E170" s="250">
        <f>E166+E168+E169</f>
        <v>0</v>
      </c>
      <c r="F170" s="250">
        <f>F166+F168+F169</f>
        <v>0</v>
      </c>
      <c r="G170" s="250">
        <f>G166+G168+G169</f>
        <v>0</v>
      </c>
      <c r="H170" s="250">
        <f t="shared" si="10"/>
        <v>10353570.25</v>
      </c>
      <c r="I170" s="250">
        <f t="shared" si="11"/>
        <v>0</v>
      </c>
    </row>
    <row r="171" spans="1:9">
      <c r="A171" s="251" t="s">
        <v>792</v>
      </c>
      <c r="B171" s="338"/>
      <c r="C171" s="250">
        <f>C48/(C165-C168-C169)</f>
        <v>0.02</v>
      </c>
      <c r="D171" s="250">
        <f>D48/(D165-D168-D169)</f>
        <v>0.02</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10553570.25</v>
      </c>
      <c r="D178" s="250">
        <f>D165+D177</f>
        <v>10553570.25</v>
      </c>
      <c r="E178" s="250">
        <f>E165+E177</f>
        <v>0</v>
      </c>
      <c r="F178" s="250">
        <f>F165+F177</f>
        <v>0</v>
      </c>
      <c r="G178" s="250">
        <f>G165+G177</f>
        <v>0</v>
      </c>
      <c r="H178" s="250">
        <f t="shared" si="12"/>
        <v>-10553570.25</v>
      </c>
      <c r="I178" s="250">
        <f t="shared" si="13"/>
        <v>0</v>
      </c>
    </row>
    <row r="179" spans="1:9">
      <c r="A179" s="251" t="s">
        <v>785</v>
      </c>
      <c r="B179" s="338"/>
      <c r="C179" s="250">
        <f>C48-C178</f>
        <v>-10353570.25</v>
      </c>
      <c r="D179" s="250">
        <f>D48-D178</f>
        <v>-10353570.25</v>
      </c>
      <c r="E179" s="250">
        <f>E48-E178</f>
        <v>0</v>
      </c>
      <c r="F179" s="250">
        <f>F48-F178</f>
        <v>0</v>
      </c>
      <c r="G179" s="250">
        <f>G48-G178</f>
        <v>0</v>
      </c>
      <c r="H179" s="250">
        <f t="shared" si="12"/>
        <v>10353570.25</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0.02</v>
      </c>
      <c r="D184" s="265">
        <f>D48/(D178-D181-D182)</f>
        <v>0.02</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La Union MASLIP RIS</v>
      </c>
      <c r="C4" s="332"/>
      <c r="G4" s="331" t="s">
        <v>502</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50000</v>
      </c>
      <c r="D15" s="248">
        <f>SUM(D16:D18)</f>
        <v>50000</v>
      </c>
      <c r="E15" s="248">
        <f>SUM(E16:E18)</f>
        <v>0</v>
      </c>
      <c r="F15" s="248">
        <f>SUM(F16:F18)</f>
        <v>0</v>
      </c>
      <c r="G15" s="248">
        <f>SUM(G16:G18)</f>
        <v>0</v>
      </c>
      <c r="H15" s="242">
        <f t="shared" si="0"/>
        <v>-50000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50000</v>
      </c>
      <c r="D17" s="245">
        <f t="array" ref="D17">SUM(IF((Budget[Account Code]=B17)*(Budget[Ofc Code]=$G$4)*(Budget[Date]&lt;=$D$7),(Budget[Amount])))</f>
        <v>50000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-50000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50000</v>
      </c>
      <c r="D24" s="250">
        <f>D9+D15+D19</f>
        <v>50000</v>
      </c>
      <c r="E24" s="250">
        <f>E9+E15+E19</f>
        <v>0</v>
      </c>
      <c r="F24" s="250">
        <f>F9+F15+F19</f>
        <v>0</v>
      </c>
      <c r="G24" s="250">
        <f>G9+G15+G19</f>
        <v>0</v>
      </c>
      <c r="H24" s="250">
        <f t="shared" si="0"/>
        <v>-50000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0</v>
      </c>
      <c r="D47" s="250">
        <f>D26+D27+D32+D36+D46</f>
        <v>0</v>
      </c>
      <c r="E47" s="250">
        <f>E26+E27+E32+E36+E46</f>
        <v>0</v>
      </c>
      <c r="F47" s="250">
        <f>F26+F27+F32+F36+F46</f>
        <v>0</v>
      </c>
      <c r="G47" s="250">
        <f>G26+G27+G32+G36+G46</f>
        <v>0</v>
      </c>
      <c r="H47" s="250">
        <f t="shared" si="2"/>
        <v>0</v>
      </c>
      <c r="I47" s="250">
        <f t="shared" si="3"/>
        <v>0</v>
      </c>
    </row>
    <row r="48" spans="1:9">
      <c r="A48" s="251" t="s">
        <v>813</v>
      </c>
      <c r="B48" s="338"/>
      <c r="C48" s="250">
        <f>C24+C47</f>
        <v>50000</v>
      </c>
      <c r="D48" s="250">
        <f>D24+D47</f>
        <v>50000</v>
      </c>
      <c r="E48" s="250">
        <f>E24+E47</f>
        <v>0</v>
      </c>
      <c r="F48" s="250">
        <f>F24+F47</f>
        <v>0</v>
      </c>
      <c r="G48" s="250">
        <f>G24+G47</f>
        <v>0</v>
      </c>
      <c r="H48" s="250">
        <f t="shared" si="2"/>
        <v>-50000</v>
      </c>
      <c r="I48" s="250">
        <f t="shared" si="3"/>
        <v>0</v>
      </c>
    </row>
    <row r="49" spans="1:9">
      <c r="A49" s="239" t="s">
        <v>812</v>
      </c>
      <c r="B49" s="337"/>
      <c r="C49" s="240"/>
      <c r="D49" s="240"/>
      <c r="E49" s="240"/>
      <c r="F49" s="240"/>
      <c r="G49" s="246"/>
      <c r="H49" s="246"/>
      <c r="I49" s="246"/>
    </row>
    <row r="50" spans="1:9">
      <c r="A50" s="239" t="s">
        <v>811</v>
      </c>
      <c r="B50" s="337"/>
      <c r="C50" s="242">
        <f>C51+C75</f>
        <v>3331571.96</v>
      </c>
      <c r="D50" s="242">
        <f>D51+D75</f>
        <v>3331571.96</v>
      </c>
      <c r="E50" s="242">
        <f>E51+E75</f>
        <v>0</v>
      </c>
      <c r="F50" s="242">
        <f>F51+F75</f>
        <v>0</v>
      </c>
      <c r="G50" s="242">
        <f>G51+G75</f>
        <v>0</v>
      </c>
      <c r="H50" s="242">
        <f t="shared" si="2"/>
        <v>-3331571.96</v>
      </c>
      <c r="I50" s="242">
        <f t="shared" si="3"/>
        <v>0</v>
      </c>
    </row>
    <row r="51" spans="1:9">
      <c r="A51" s="243" t="s">
        <v>806</v>
      </c>
      <c r="B51" s="337"/>
      <c r="C51" s="246">
        <f>SUM(C52:C74)</f>
        <v>3331571.96</v>
      </c>
      <c r="D51" s="246">
        <f>SUM(D52:D74)</f>
        <v>3331571.96</v>
      </c>
      <c r="E51" s="246">
        <f>SUM(E52:E74)</f>
        <v>0</v>
      </c>
      <c r="F51" s="246">
        <f>SUM(F52:F74)</f>
        <v>0</v>
      </c>
      <c r="G51" s="246">
        <f>SUM(G52:G74)</f>
        <v>0</v>
      </c>
      <c r="H51" s="246">
        <f t="shared" si="2"/>
        <v>-3331571.96</v>
      </c>
      <c r="I51" s="246">
        <f t="shared" si="3"/>
        <v>0</v>
      </c>
    </row>
    <row r="52" spans="1:9" hidden="1">
      <c r="A52" s="247" t="s">
        <v>194</v>
      </c>
      <c r="B52" s="339" t="s">
        <v>162</v>
      </c>
      <c r="C52" s="245">
        <f t="array" ref="C52">SUM(IF((Budget[Account Code]=B52)*(Budget[Ofc Code]=$G$4),(Budget[Amount])))</f>
        <v>890604</v>
      </c>
      <c r="D52" s="245">
        <f t="array" ref="D52">SUM(IF((Budget[Account Code]=B52)*(Budget[Ofc Code]=$G$4)*(Budget[Date]&lt;=$D$7),(Budget[Amount])))</f>
        <v>890604</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-890604</v>
      </c>
      <c r="I52" s="246">
        <f t="shared" si="3"/>
        <v>0</v>
      </c>
    </row>
    <row r="53" spans="1:9" hidden="1">
      <c r="A53" s="247" t="s">
        <v>195</v>
      </c>
      <c r="B53" s="339" t="s">
        <v>163</v>
      </c>
      <c r="C53" s="245">
        <f t="array" ref="C53">SUM(IF((Budget[Account Code]=B53)*(Budget[Ofc Code]=$G$4),(Budget[Amount])))</f>
        <v>2045919.48</v>
      </c>
      <c r="D53" s="245">
        <f t="array" ref="D53">SUM(IF((Budget[Account Code]=B53)*(Budget[Ofc Code]=$G$4)*(Budget[Date]&lt;=$D$7),(Budget[Amount])))</f>
        <v>2045919.48</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-2045919.48</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96000</v>
      </c>
      <c r="D55" s="245">
        <f t="array" ref="D55">SUM(IF((Budget[Account Code]=B55)*(Budget[Ofc Code]=$G$4)*(Budget[Date]&lt;=$D$7),(Budget[Amount])))</f>
        <v>96000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-96000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0</v>
      </c>
      <c r="D58" s="245">
        <f t="array" ref="D58">SUM(IF((Budget[Account Code]=B58)*(Budget[Ofc Code]=$G$4)*(Budget[Date]&lt;=$D$7),(Budget[Amount])))</f>
        <v>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2400</v>
      </c>
      <c r="D61" s="245">
        <f t="array" ref="D61">SUM(IF((Budget[Account Code]=B61)*(Budget[Ofc Code]=$G$4)*(Budget[Date]&lt;=$D$7),(Budget[Amount])))</f>
        <v>2400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-2400</v>
      </c>
      <c r="I61" s="246">
        <f t="shared" si="3"/>
        <v>0</v>
      </c>
    </row>
    <row r="62" spans="1:9" hidden="1">
      <c r="A62" s="247" t="s">
        <v>202</v>
      </c>
      <c r="B62" s="339" t="s">
        <v>6</v>
      </c>
      <c r="C62" s="245">
        <f t="array" ref="C62">SUM(IF((Budget[Account Code]=B62)*(Budget[Ofc Code]=$G$4),(Budget[Amount])))</f>
        <v>792</v>
      </c>
      <c r="D62" s="245">
        <f t="array" ref="D62">SUM(IF((Budget[Account Code]=B62)*(Budget[Ofc Code]=$G$4)*(Budget[Date]&lt;=$D$7),(Budget[Amount])))</f>
        <v>792</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-792</v>
      </c>
      <c r="I62" s="246">
        <f t="shared" si="3"/>
        <v>0</v>
      </c>
    </row>
    <row r="63" spans="1:9" hidden="1">
      <c r="A63" s="247" t="s">
        <v>203</v>
      </c>
      <c r="B63" s="339" t="s">
        <v>7</v>
      </c>
      <c r="C63" s="245">
        <f t="array" ref="C63">SUM(IF((Budget[Account Code]=B63)*(Budget[Ofc Code]=$G$4),(Budget[Amount])))</f>
        <v>0</v>
      </c>
      <c r="D63" s="245">
        <f t="array" ref="D63">SUM(IF((Budget[Account Code]=B63)*(Budget[Ofc Code]=$G$4)*(Budget[Date]&lt;=$D$7),(Budget[Amount])))</f>
        <v>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20000</v>
      </c>
      <c r="D67" s="245">
        <f t="array" ref="D67">SUM(IF((Budget[Account Code]=B67)*(Budget[Ofc Code]=$G$4)*(Budget[Date]&lt;=$D$7),(Budget[Amount])))</f>
        <v>20000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-20000</v>
      </c>
      <c r="I67" s="246">
        <f t="shared" si="3"/>
        <v>0</v>
      </c>
    </row>
    <row r="68" spans="1:9" hidden="1">
      <c r="A68" s="247" t="s">
        <v>207</v>
      </c>
      <c r="B68" s="339" t="s">
        <v>174</v>
      </c>
      <c r="C68" s="245">
        <f t="array" ref="C68">SUM(IF((Budget[Account Code]=B68)*(Budget[Ofc Code]=$G$4),(Budget[Amount])))</f>
        <v>148434</v>
      </c>
      <c r="D68" s="245">
        <f t="array" ref="D68">SUM(IF((Budget[Account Code]=B68)*(Budget[Ofc Code]=$G$4)*(Budget[Date]&lt;=$D$7),(Budget[Amount])))</f>
        <v>148434</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-148434</v>
      </c>
      <c r="I68" s="246">
        <f t="shared" si="3"/>
        <v>0</v>
      </c>
    </row>
    <row r="69" spans="1:9" hidden="1">
      <c r="A69" s="247" t="s">
        <v>208</v>
      </c>
      <c r="B69" s="339" t="s">
        <v>175</v>
      </c>
      <c r="C69" s="245">
        <f t="array" ref="C69">SUM(IF((Budget[Account Code]=B69)*(Budget[Ofc Code]=$G$4),(Budget[Amount])))</f>
        <v>106872.48</v>
      </c>
      <c r="D69" s="245">
        <f t="array" ref="D69">SUM(IF((Budget[Account Code]=B69)*(Budget[Ofc Code]=$G$4)*(Budget[Date]&lt;=$D$7),(Budget[Amount])))</f>
        <v>106872.48</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-106872.48</v>
      </c>
      <c r="I69" s="246">
        <f t="shared" si="3"/>
        <v>0</v>
      </c>
    </row>
    <row r="70" spans="1:9" hidden="1">
      <c r="A70" s="247" t="s">
        <v>209</v>
      </c>
      <c r="B70" s="339" t="s">
        <v>176</v>
      </c>
      <c r="C70" s="245">
        <f t="array" ref="C70">SUM(IF((Budget[Account Code]=B70)*(Budget[Ofc Code]=$G$4),(Budget[Amount])))</f>
        <v>4800</v>
      </c>
      <c r="D70" s="245">
        <f t="array" ref="D70">SUM(IF((Budget[Account Code]=B70)*(Budget[Ofc Code]=$G$4)*(Budget[Date]&lt;=$D$7),(Budget[Amount])))</f>
        <v>4800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-4800</v>
      </c>
      <c r="I70" s="246">
        <f t="shared" si="3"/>
        <v>0</v>
      </c>
    </row>
    <row r="71" spans="1:9" hidden="1">
      <c r="A71" s="247" t="s">
        <v>210</v>
      </c>
      <c r="B71" s="339" t="s">
        <v>177</v>
      </c>
      <c r="C71" s="245">
        <f t="array" ref="C71">SUM(IF((Budget[Account Code]=B71)*(Budget[Ofc Code]=$G$4),(Budget[Amount])))</f>
        <v>10950</v>
      </c>
      <c r="D71" s="245">
        <f t="array" ref="D71">SUM(IF((Budget[Account Code]=B71)*(Budget[Ofc Code]=$G$4)*(Budget[Date]&lt;=$D$7),(Budget[Amount])))</f>
        <v>10950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-10950</v>
      </c>
      <c r="I71" s="246">
        <f t="shared" si="3"/>
        <v>0</v>
      </c>
    </row>
    <row r="72" spans="1:9" hidden="1">
      <c r="A72" s="247" t="s">
        <v>211</v>
      </c>
      <c r="B72" s="339" t="s">
        <v>178</v>
      </c>
      <c r="C72" s="245">
        <f t="array" ref="C72">SUM(IF((Budget[Account Code]=B72)*(Budget[Ofc Code]=$G$4),(Budget[Amount])))</f>
        <v>4800</v>
      </c>
      <c r="D72" s="245">
        <f t="array" ref="D72">SUM(IF((Budget[Account Code]=B72)*(Budget[Ofc Code]=$G$4)*(Budget[Date]&lt;=$D$7),(Budget[Amount])))</f>
        <v>4800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-4800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1384189.14</v>
      </c>
      <c r="D76" s="252">
        <f>D77+D139</f>
        <v>1384189.14</v>
      </c>
      <c r="E76" s="252">
        <f>E77+E139</f>
        <v>0</v>
      </c>
      <c r="F76" s="252">
        <f>F77+F139</f>
        <v>0</v>
      </c>
      <c r="G76" s="252">
        <f>G77+G139</f>
        <v>0</v>
      </c>
      <c r="H76" s="242">
        <f t="shared" si="2"/>
        <v>-1384189.14</v>
      </c>
      <c r="I76" s="242">
        <f t="shared" si="3"/>
        <v>0</v>
      </c>
    </row>
    <row r="77" spans="1:9">
      <c r="A77" s="253" t="s">
        <v>809</v>
      </c>
      <c r="B77" s="337"/>
      <c r="C77" s="254">
        <f>C78+C138</f>
        <v>1087703.6399999999</v>
      </c>
      <c r="D77" s="254">
        <f>D78+D138</f>
        <v>1087703.6399999999</v>
      </c>
      <c r="E77" s="254">
        <f>E78+E138</f>
        <v>0</v>
      </c>
      <c r="F77" s="254">
        <f>F78+F138</f>
        <v>0</v>
      </c>
      <c r="G77" s="254">
        <f>G78+G138</f>
        <v>0</v>
      </c>
      <c r="H77" s="246">
        <f t="shared" si="2"/>
        <v>-1087703.6399999999</v>
      </c>
      <c r="I77" s="246">
        <f t="shared" si="3"/>
        <v>0</v>
      </c>
    </row>
    <row r="78" spans="1:9">
      <c r="A78" s="255" t="s">
        <v>806</v>
      </c>
      <c r="B78" s="337"/>
      <c r="C78" s="246">
        <f>SUM(C79:C137)</f>
        <v>1087703.6399999999</v>
      </c>
      <c r="D78" s="246">
        <f>SUM(D79:D137)</f>
        <v>1087703.6399999999</v>
      </c>
      <c r="E78" s="246">
        <f>SUM(E79:E137)</f>
        <v>0</v>
      </c>
      <c r="F78" s="246">
        <f>SUM(F79:F137)</f>
        <v>0</v>
      </c>
      <c r="G78" s="246">
        <f>SUM(G79:G137)</f>
        <v>0</v>
      </c>
      <c r="H78" s="246">
        <f t="shared" si="2"/>
        <v>-1087703.6399999999</v>
      </c>
      <c r="I78" s="246">
        <f t="shared" si="3"/>
        <v>0</v>
      </c>
    </row>
    <row r="79" spans="1:9" hidden="1">
      <c r="A79" s="256" t="s">
        <v>284</v>
      </c>
      <c r="B79" s="339" t="s">
        <v>223</v>
      </c>
      <c r="C79" s="245">
        <f t="array" ref="C79">SUM(IF((Budget[Account Code]=B79)*(Budget[Ofc Code]=$G$4),(Budget[Amount])))</f>
        <v>0</v>
      </c>
      <c r="D79" s="245">
        <f t="array" ref="D79">SUM(IF((Budget[Account Code]=B79)*(Budget[Ofc Code]=$G$4)*(Budget[Date]&lt;=$D$7),(Budget[Amount])))</f>
        <v>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0</v>
      </c>
      <c r="D82" s="245">
        <f t="array" ref="D82">SUM(IF((Budget[Account Code]=B82)*(Budget[Ofc Code]=$G$4)*(Budget[Date]&lt;=$D$7),(Budget[Amount])))</f>
        <v>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880412.4</v>
      </c>
      <c r="D86" s="245">
        <f t="array" ref="D86">SUM(IF((Budget[Account Code]=B86)*(Budget[Ofc Code]=$G$4)*(Budget[Date]&lt;=$D$7),(Budget[Amount])))</f>
        <v>880412.4</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-880412.4</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0</v>
      </c>
      <c r="D88" s="245">
        <f t="array" ref="D88">SUM(IF((Budget[Account Code]=B88)*(Budget[Ofc Code]=$G$4)*(Budget[Date]&lt;=$D$7),(Budget[Amount])))</f>
        <v>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0</v>
      </c>
      <c r="I88" s="246">
        <f t="shared" si="3"/>
        <v>0</v>
      </c>
    </row>
    <row r="89" spans="1:9" hidden="1">
      <c r="A89" s="256" t="s">
        <v>292</v>
      </c>
      <c r="B89" s="339" t="s">
        <v>232</v>
      </c>
      <c r="C89" s="245">
        <f t="array" ref="C89">SUM(IF((Budget[Account Code]=B89)*(Budget[Ofc Code]=$G$4),(Budget[Amount])))</f>
        <v>0</v>
      </c>
      <c r="D89" s="245">
        <f t="array" ref="D89">SUM(IF((Budget[Account Code]=B89)*(Budget[Ofc Code]=$G$4)*(Budget[Date]&lt;=$D$7),(Budget[Amount])))</f>
        <v>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0</v>
      </c>
      <c r="I89" s="246">
        <f t="shared" si="3"/>
        <v>0</v>
      </c>
    </row>
    <row r="90" spans="1:9" hidden="1">
      <c r="A90" s="256" t="s">
        <v>293</v>
      </c>
      <c r="B90" s="339" t="s">
        <v>233</v>
      </c>
      <c r="C90" s="245">
        <f t="array" ref="C90">SUM(IF((Budget[Account Code]=B90)*(Budget[Ofc Code]=$G$4),(Budget[Amount])))</f>
        <v>190263.24</v>
      </c>
      <c r="D90" s="245">
        <f t="array" ref="D90">SUM(IF((Budget[Account Code]=B90)*(Budget[Ofc Code]=$G$4)*(Budget[Date]&lt;=$D$7),(Budget[Amount])))</f>
        <v>190263.24</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-190263.24</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0</v>
      </c>
      <c r="D94" s="245">
        <f t="array" ref="D94">SUM(IF((Budget[Account Code]=B94)*(Budget[Ofc Code]=$G$4)*(Budget[Date]&lt;=$D$7),(Budget[Amount])))</f>
        <v>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17028</v>
      </c>
      <c r="D96" s="245">
        <f t="array" ref="D96">SUM(IF((Budget[Account Code]=B96)*(Budget[Ofc Code]=$G$4)*(Budget[Date]&lt;=$D$7),(Budget[Amount])))</f>
        <v>17028</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-17028</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0</v>
      </c>
      <c r="D118" s="245">
        <f t="array" ref="D118">SUM(IF((Budget[Account Code]=B118)*(Budget[Ofc Code]=$G$4)*(Budget[Date]&lt;=$D$7),(Budget[Amount])))</f>
        <v>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0</v>
      </c>
      <c r="D125" s="245">
        <f t="array" ref="D125">SUM(IF((Budget[Account Code]=B125)*(Budget[Ofc Code]=$G$4)*(Budget[Date]&lt;=$D$7),(Budget[Amount])))</f>
        <v>0</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0</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296485.5</v>
      </c>
      <c r="D139" s="242">
        <f>SUM(D140:D143)</f>
        <v>296485.5</v>
      </c>
      <c r="E139" s="242">
        <f>SUM(E140:E143)</f>
        <v>0</v>
      </c>
      <c r="F139" s="242">
        <f>SUM(F140:F143)</f>
        <v>0</v>
      </c>
      <c r="G139" s="242">
        <f>SUM(G140:G143)</f>
        <v>0</v>
      </c>
      <c r="H139" s="246">
        <f t="shared" si="7"/>
        <v>-296485.5</v>
      </c>
      <c r="I139" s="246">
        <f t="shared" si="8"/>
        <v>0</v>
      </c>
    </row>
    <row r="140" spans="1:9" hidden="1">
      <c r="A140" s="256" t="s">
        <v>342</v>
      </c>
      <c r="B140" s="339" t="s">
        <v>333</v>
      </c>
      <c r="C140" s="245">
        <f t="array" ref="C140">SUM(IF((Budget[Account Code]=B140)*(Budget[Ofc Code]=$G$4),(Budget[Amount])))</f>
        <v>296485.5</v>
      </c>
      <c r="D140" s="245">
        <f t="array" ref="D140">SUM(IF((Budget[Account Code]=B140)*(Budget[Ofc Code]=$G$4)*(Budget[Date]&lt;=$D$7),(Budget[Amount])))</f>
        <v>296485.5</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-296485.5</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4715761.0999999996</v>
      </c>
      <c r="D147" s="250">
        <f>D50+D76+D144</f>
        <v>4715761.0999999996</v>
      </c>
      <c r="E147" s="250">
        <f>E50+E76+E144</f>
        <v>0</v>
      </c>
      <c r="F147" s="250">
        <f>F50+F76+F144</f>
        <v>0</v>
      </c>
      <c r="G147" s="250">
        <f>G50+G76+G144</f>
        <v>0</v>
      </c>
      <c r="H147" s="250">
        <f t="shared" si="7"/>
        <v>-4715761.0999999996</v>
      </c>
      <c r="I147" s="250">
        <f t="shared" si="8"/>
        <v>0</v>
      </c>
    </row>
    <row r="148" spans="1:9">
      <c r="A148" s="251" t="s">
        <v>785</v>
      </c>
      <c r="B148" s="338"/>
      <c r="C148" s="250">
        <f>C48-C147</f>
        <v>-4665761.0999999996</v>
      </c>
      <c r="D148" s="250">
        <f>D48-D147</f>
        <v>-4665761.0999999996</v>
      </c>
      <c r="E148" s="250">
        <f>E48-E147</f>
        <v>0</v>
      </c>
      <c r="F148" s="250">
        <f>F48-F147</f>
        <v>0</v>
      </c>
      <c r="G148" s="250">
        <f>G48-G147</f>
        <v>0</v>
      </c>
      <c r="H148" s="250">
        <f t="shared" si="7"/>
        <v>4665761.0999999996</v>
      </c>
      <c r="I148" s="250">
        <f t="shared" si="8"/>
        <v>0</v>
      </c>
    </row>
    <row r="149" spans="1:9">
      <c r="A149" s="251" t="s">
        <v>749</v>
      </c>
      <c r="B149" s="338"/>
      <c r="C149" s="250">
        <f>C48/C147</f>
        <v>0.01</v>
      </c>
      <c r="D149" s="250">
        <f>D48/D147</f>
        <v>0.01</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-4665761.0999999996</v>
      </c>
      <c r="D152" s="250">
        <f>D148+D150+D151</f>
        <v>-4665761.0999999996</v>
      </c>
      <c r="E152" s="250">
        <f>E148+E150+E151</f>
        <v>0</v>
      </c>
      <c r="F152" s="250">
        <f>F148+F150+F151</f>
        <v>0</v>
      </c>
      <c r="G152" s="250">
        <f>G148+G150+G151</f>
        <v>0</v>
      </c>
      <c r="H152" s="250">
        <f t="shared" si="7"/>
        <v>4665761.0999999996</v>
      </c>
      <c r="I152" s="250">
        <f t="shared" si="8"/>
        <v>0</v>
      </c>
    </row>
    <row r="153" spans="1:9">
      <c r="A153" s="251" t="s">
        <v>749</v>
      </c>
      <c r="B153" s="338"/>
      <c r="C153" s="250">
        <f>C48/(C147-C150-C151)</f>
        <v>0.01</v>
      </c>
      <c r="D153" s="250">
        <f>D48/(D147-D150-D151)</f>
        <v>0.01</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20000</v>
      </c>
      <c r="D156" s="245">
        <f t="array" ref="D156">SUM(IF((Budget[Account Code]=B156)*(Budget[Ofc Code]=$G$4)*(Budget[Date]&lt;=$D$7),(Budget[Amount])))</f>
        <v>20000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-20000</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0</v>
      </c>
      <c r="D158" s="245">
        <f t="array" ref="D158">SUM(IF((Budget[Account Code]=B158)*(Budget[Ofc Code]=$G$4)*(Budget[Date]&lt;=$D$7),(Budget[Amount])))</f>
        <v>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20000</v>
      </c>
      <c r="D164" s="250">
        <f>SUM(D155:D163)</f>
        <v>20000</v>
      </c>
      <c r="E164" s="250">
        <f>SUM(E155:E163)</f>
        <v>0</v>
      </c>
      <c r="F164" s="250">
        <f>SUM(F155:F163)</f>
        <v>0</v>
      </c>
      <c r="G164" s="250">
        <f>SUM(G155:G163)</f>
        <v>0</v>
      </c>
      <c r="H164" s="250">
        <f t="shared" si="10"/>
        <v>-20000</v>
      </c>
      <c r="I164" s="250">
        <f t="shared" si="11"/>
        <v>0</v>
      </c>
    </row>
    <row r="165" spans="1:9">
      <c r="A165" s="251" t="s">
        <v>788</v>
      </c>
      <c r="B165" s="338"/>
      <c r="C165" s="250">
        <f>C147+C164</f>
        <v>4735761.0999999996</v>
      </c>
      <c r="D165" s="250">
        <f>D147+D164</f>
        <v>4735761.0999999996</v>
      </c>
      <c r="E165" s="250">
        <f>E147+E164</f>
        <v>0</v>
      </c>
      <c r="F165" s="250">
        <f>F147+F164</f>
        <v>0</v>
      </c>
      <c r="G165" s="250">
        <f>G147+G164</f>
        <v>0</v>
      </c>
      <c r="H165" s="250">
        <f t="shared" si="10"/>
        <v>-4735761.0999999996</v>
      </c>
      <c r="I165" s="250">
        <f t="shared" si="11"/>
        <v>0</v>
      </c>
    </row>
    <row r="166" spans="1:9">
      <c r="A166" s="251" t="s">
        <v>785</v>
      </c>
      <c r="B166" s="338"/>
      <c r="C166" s="250">
        <f>C48-C165</f>
        <v>-4685761.0999999996</v>
      </c>
      <c r="D166" s="250">
        <f>D48-D165</f>
        <v>-4685761.0999999996</v>
      </c>
      <c r="E166" s="250">
        <f>E48-E165</f>
        <v>0</v>
      </c>
      <c r="F166" s="250">
        <f>F48-F165</f>
        <v>0</v>
      </c>
      <c r="G166" s="250">
        <f>G48-G165</f>
        <v>0</v>
      </c>
      <c r="H166" s="250">
        <f t="shared" si="10"/>
        <v>4685761.0999999996</v>
      </c>
      <c r="I166" s="250">
        <f t="shared" si="11"/>
        <v>0</v>
      </c>
    </row>
    <row r="167" spans="1:9">
      <c r="A167" s="251" t="s">
        <v>749</v>
      </c>
      <c r="B167" s="338"/>
      <c r="C167" s="250">
        <f>C48/C165</f>
        <v>0.01</v>
      </c>
      <c r="D167" s="250">
        <f>D48/D165</f>
        <v>0.01</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-4685761.0999999996</v>
      </c>
      <c r="D170" s="250">
        <f>D166+D168+D169</f>
        <v>-4685761.0999999996</v>
      </c>
      <c r="E170" s="250">
        <f>E166+E168+E169</f>
        <v>0</v>
      </c>
      <c r="F170" s="250">
        <f>F166+F168+F169</f>
        <v>0</v>
      </c>
      <c r="G170" s="250">
        <f>G166+G168+G169</f>
        <v>0</v>
      </c>
      <c r="H170" s="250">
        <f t="shared" si="10"/>
        <v>4685761.0999999996</v>
      </c>
      <c r="I170" s="250">
        <f t="shared" si="11"/>
        <v>0</v>
      </c>
    </row>
    <row r="171" spans="1:9">
      <c r="A171" s="251" t="s">
        <v>792</v>
      </c>
      <c r="B171" s="338"/>
      <c r="C171" s="250">
        <f>C48/(C165-C168-C169)</f>
        <v>0.01</v>
      </c>
      <c r="D171" s="250">
        <f>D48/(D165-D168-D169)</f>
        <v>0.01</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4735761.0999999996</v>
      </c>
      <c r="D178" s="250">
        <f>D165+D177</f>
        <v>4735761.0999999996</v>
      </c>
      <c r="E178" s="250">
        <f>E165+E177</f>
        <v>0</v>
      </c>
      <c r="F178" s="250">
        <f>F165+F177</f>
        <v>0</v>
      </c>
      <c r="G178" s="250">
        <f>G165+G177</f>
        <v>0</v>
      </c>
      <c r="H178" s="250">
        <f t="shared" si="12"/>
        <v>-4735761.0999999996</v>
      </c>
      <c r="I178" s="250">
        <f t="shared" si="13"/>
        <v>0</v>
      </c>
    </row>
    <row r="179" spans="1:9">
      <c r="A179" s="251" t="s">
        <v>785</v>
      </c>
      <c r="B179" s="338"/>
      <c r="C179" s="250">
        <f>C48-C178</f>
        <v>-4685761.0999999996</v>
      </c>
      <c r="D179" s="250">
        <f>D48-D178</f>
        <v>-4685761.0999999996</v>
      </c>
      <c r="E179" s="250">
        <f>E48-E178</f>
        <v>0</v>
      </c>
      <c r="F179" s="250">
        <f>F48-F178</f>
        <v>0</v>
      </c>
      <c r="G179" s="250">
        <f>G48-G178</f>
        <v>0</v>
      </c>
      <c r="H179" s="250">
        <f t="shared" si="12"/>
        <v>4685761.0999999996</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0.01</v>
      </c>
      <c r="D184" s="265">
        <f>D48/(D178-D181-D182)</f>
        <v>0.01</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tr">
        <f>IF(G4=0,,VLOOKUP((TRIM(G4)),SortCode,2,))</f>
        <v>La Union AMBURAYAN RIS</v>
      </c>
      <c r="C4" s="332"/>
      <c r="G4" s="331" t="s">
        <v>503</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200000</v>
      </c>
      <c r="D15" s="248">
        <f>SUM(D16:D18)</f>
        <v>200000</v>
      </c>
      <c r="E15" s="248">
        <f>SUM(E16:E18)</f>
        <v>0</v>
      </c>
      <c r="F15" s="248">
        <f>SUM(F16:F18)</f>
        <v>0</v>
      </c>
      <c r="G15" s="248">
        <f>SUM(G16:G18)</f>
        <v>0</v>
      </c>
      <c r="H15" s="242">
        <f t="shared" si="0"/>
        <v>-200000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200000</v>
      </c>
      <c r="D17" s="245">
        <f t="array" ref="D17">SUM(IF((Budget[Account Code]=B17)*(Budget[Ofc Code]=$G$4)*(Budget[Date]&lt;=$D$7),(Budget[Amount])))</f>
        <v>200000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-200000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200000</v>
      </c>
      <c r="D24" s="250">
        <f>D9+D15+D19</f>
        <v>200000</v>
      </c>
      <c r="E24" s="250">
        <f>E9+E15+E19</f>
        <v>0</v>
      </c>
      <c r="F24" s="250">
        <f>F9+F15+F19</f>
        <v>0</v>
      </c>
      <c r="G24" s="250">
        <f>G9+G15+G19</f>
        <v>0</v>
      </c>
      <c r="H24" s="250">
        <f t="shared" si="0"/>
        <v>-200000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0</v>
      </c>
      <c r="D47" s="250">
        <f>D26+D27+D32+D36+D46</f>
        <v>0</v>
      </c>
      <c r="E47" s="250">
        <f>E26+E27+E32+E36+E46</f>
        <v>0</v>
      </c>
      <c r="F47" s="250">
        <f>F26+F27+F32+F36+F46</f>
        <v>0</v>
      </c>
      <c r="G47" s="250">
        <f>G26+G27+G32+G36+G46</f>
        <v>0</v>
      </c>
      <c r="H47" s="250">
        <f t="shared" si="2"/>
        <v>0</v>
      </c>
      <c r="I47" s="250">
        <f t="shared" si="3"/>
        <v>0</v>
      </c>
    </row>
    <row r="48" spans="1:9">
      <c r="A48" s="251" t="s">
        <v>813</v>
      </c>
      <c r="B48" s="338"/>
      <c r="C48" s="250">
        <f>C24+C47</f>
        <v>200000</v>
      </c>
      <c r="D48" s="250">
        <f>D24+D47</f>
        <v>200000</v>
      </c>
      <c r="E48" s="250">
        <f>E24+E47</f>
        <v>0</v>
      </c>
      <c r="F48" s="250">
        <f>F24+F47</f>
        <v>0</v>
      </c>
      <c r="G48" s="250">
        <f>G24+G47</f>
        <v>0</v>
      </c>
      <c r="H48" s="250">
        <f t="shared" si="2"/>
        <v>-200000</v>
      </c>
      <c r="I48" s="250">
        <f t="shared" si="3"/>
        <v>0</v>
      </c>
    </row>
    <row r="49" spans="1:9">
      <c r="A49" s="239" t="s">
        <v>812</v>
      </c>
      <c r="B49" s="337"/>
      <c r="C49" s="240"/>
      <c r="D49" s="240"/>
      <c r="E49" s="240"/>
      <c r="F49" s="240"/>
      <c r="G49" s="246"/>
      <c r="H49" s="246"/>
      <c r="I49" s="246"/>
    </row>
    <row r="50" spans="1:9">
      <c r="A50" s="239" t="s">
        <v>811</v>
      </c>
      <c r="B50" s="337"/>
      <c r="C50" s="242">
        <f>C51+C75</f>
        <v>6970805.5599999996</v>
      </c>
      <c r="D50" s="242">
        <f>D51+D75</f>
        <v>6970805.5599999996</v>
      </c>
      <c r="E50" s="242">
        <f>E51+E75</f>
        <v>0</v>
      </c>
      <c r="F50" s="242">
        <f>F51+F75</f>
        <v>0</v>
      </c>
      <c r="G50" s="242">
        <f>G51+G75</f>
        <v>0</v>
      </c>
      <c r="H50" s="242">
        <f t="shared" si="2"/>
        <v>-6970805.5599999996</v>
      </c>
      <c r="I50" s="242">
        <f t="shared" si="3"/>
        <v>0</v>
      </c>
    </row>
    <row r="51" spans="1:9">
      <c r="A51" s="243" t="s">
        <v>806</v>
      </c>
      <c r="B51" s="337"/>
      <c r="C51" s="246">
        <f>SUM(C52:C74)</f>
        <v>6970805.5599999996</v>
      </c>
      <c r="D51" s="246">
        <f>SUM(D52:D74)</f>
        <v>6970805.5599999996</v>
      </c>
      <c r="E51" s="246">
        <f>SUM(E52:E74)</f>
        <v>0</v>
      </c>
      <c r="F51" s="246">
        <f>SUM(F52:F74)</f>
        <v>0</v>
      </c>
      <c r="G51" s="246">
        <f>SUM(G52:G74)</f>
        <v>0</v>
      </c>
      <c r="H51" s="246">
        <f t="shared" si="2"/>
        <v>-6970805.5599999996</v>
      </c>
      <c r="I51" s="246">
        <f t="shared" si="3"/>
        <v>0</v>
      </c>
    </row>
    <row r="52" spans="1:9" hidden="1">
      <c r="A52" s="247" t="s">
        <v>194</v>
      </c>
      <c r="B52" s="339" t="s">
        <v>162</v>
      </c>
      <c r="C52" s="245">
        <f t="array" ref="C52">SUM(IF((Budget[Account Code]=B52)*(Budget[Ofc Code]=$G$4),(Budget[Amount])))</f>
        <v>4408404</v>
      </c>
      <c r="D52" s="245">
        <f t="array" ref="D52">SUM(IF((Budget[Account Code]=B52)*(Budget[Ofc Code]=$G$4)*(Budget[Date]&lt;=$D$7),(Budget[Amount])))</f>
        <v>4408404</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-4408404</v>
      </c>
      <c r="I52" s="246">
        <f t="shared" si="3"/>
        <v>0</v>
      </c>
    </row>
    <row r="53" spans="1:9" hidden="1">
      <c r="A53" s="247" t="s">
        <v>195</v>
      </c>
      <c r="B53" s="339" t="s">
        <v>163</v>
      </c>
      <c r="C53" s="245">
        <f t="array" ref="C53">SUM(IF((Budget[Account Code]=B53)*(Budget[Ofc Code]=$G$4),(Budget[Amount])))</f>
        <v>670513.07999999996</v>
      </c>
      <c r="D53" s="245">
        <f t="array" ref="D53">SUM(IF((Budget[Account Code]=B53)*(Budget[Ofc Code]=$G$4)*(Budget[Date]&lt;=$D$7),(Budget[Amount])))</f>
        <v>670513.07999999996</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-670513.07999999996</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432000</v>
      </c>
      <c r="D55" s="245">
        <f t="array" ref="D55">SUM(IF((Budget[Account Code]=B55)*(Budget[Ofc Code]=$G$4)*(Budget[Date]&lt;=$D$7),(Budget[Amount])))</f>
        <v>432000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-432000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0</v>
      </c>
      <c r="D58" s="245">
        <f t="array" ref="D58">SUM(IF((Budget[Account Code]=B58)*(Budget[Ofc Code]=$G$4)*(Budget[Date]&lt;=$D$7),(Budget[Amount])))</f>
        <v>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7200</v>
      </c>
      <c r="D61" s="245">
        <f t="array" ref="D61">SUM(IF((Budget[Account Code]=B61)*(Budget[Ofc Code]=$G$4)*(Budget[Date]&lt;=$D$7),(Budget[Amount])))</f>
        <v>7200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-7200</v>
      </c>
      <c r="I61" s="246">
        <f t="shared" si="3"/>
        <v>0</v>
      </c>
    </row>
    <row r="62" spans="1:9" hidden="1">
      <c r="A62" s="247" t="s">
        <v>202</v>
      </c>
      <c r="B62" s="339" t="s">
        <v>6</v>
      </c>
      <c r="C62" s="245">
        <f t="array" ref="C62">SUM(IF((Budget[Account Code]=B62)*(Budget[Ofc Code]=$G$4),(Budget[Amount])))</f>
        <v>2376</v>
      </c>
      <c r="D62" s="245">
        <f t="array" ref="D62">SUM(IF((Budget[Account Code]=B62)*(Budget[Ofc Code]=$G$4)*(Budget[Date]&lt;=$D$7),(Budget[Amount])))</f>
        <v>2376</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-2376</v>
      </c>
      <c r="I62" s="246">
        <f t="shared" si="3"/>
        <v>0</v>
      </c>
    </row>
    <row r="63" spans="1:9" hidden="1">
      <c r="A63" s="247" t="s">
        <v>203</v>
      </c>
      <c r="B63" s="339" t="s">
        <v>7</v>
      </c>
      <c r="C63" s="245">
        <f t="array" ref="C63">SUM(IF((Budget[Account Code]=B63)*(Budget[Ofc Code]=$G$4),(Budget[Amount])))</f>
        <v>720</v>
      </c>
      <c r="D63" s="245">
        <f t="array" ref="D63">SUM(IF((Budget[Account Code]=B63)*(Budget[Ofc Code]=$G$4)*(Budget[Date]&lt;=$D$7),(Budget[Amount])))</f>
        <v>720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-720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90000</v>
      </c>
      <c r="D67" s="245">
        <f t="array" ref="D67">SUM(IF((Budget[Account Code]=B67)*(Budget[Ofc Code]=$G$4)*(Budget[Date]&lt;=$D$7),(Budget[Amount])))</f>
        <v>90000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-90000</v>
      </c>
      <c r="I67" s="246">
        <f t="shared" si="3"/>
        <v>0</v>
      </c>
    </row>
    <row r="68" spans="1:9" hidden="1">
      <c r="A68" s="247" t="s">
        <v>207</v>
      </c>
      <c r="B68" s="339" t="s">
        <v>174</v>
      </c>
      <c r="C68" s="245">
        <f t="array" ref="C68">SUM(IF((Budget[Account Code]=B68)*(Budget[Ofc Code]=$G$4),(Budget[Amount])))</f>
        <v>734734</v>
      </c>
      <c r="D68" s="245">
        <f t="array" ref="D68">SUM(IF((Budget[Account Code]=B68)*(Budget[Ofc Code]=$G$4)*(Budget[Date]&lt;=$D$7),(Budget[Amount])))</f>
        <v>734734</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-734734</v>
      </c>
      <c r="I68" s="246">
        <f t="shared" si="3"/>
        <v>0</v>
      </c>
    </row>
    <row r="69" spans="1:9" hidden="1">
      <c r="A69" s="247" t="s">
        <v>208</v>
      </c>
      <c r="B69" s="339" t="s">
        <v>175</v>
      </c>
      <c r="C69" s="245">
        <f t="array" ref="C69">SUM(IF((Budget[Account Code]=B69)*(Budget[Ofc Code]=$G$4),(Budget[Amount])))</f>
        <v>529008.48</v>
      </c>
      <c r="D69" s="245">
        <f t="array" ref="D69">SUM(IF((Budget[Account Code]=B69)*(Budget[Ofc Code]=$G$4)*(Budget[Date]&lt;=$D$7),(Budget[Amount])))</f>
        <v>529008.48</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-529008.48</v>
      </c>
      <c r="I69" s="246">
        <f t="shared" si="3"/>
        <v>0</v>
      </c>
    </row>
    <row r="70" spans="1:9" hidden="1">
      <c r="A70" s="247" t="s">
        <v>209</v>
      </c>
      <c r="B70" s="339" t="s">
        <v>176</v>
      </c>
      <c r="C70" s="245">
        <f t="array" ref="C70">SUM(IF((Budget[Account Code]=B70)*(Budget[Ofc Code]=$G$4),(Budget[Amount])))</f>
        <v>21600</v>
      </c>
      <c r="D70" s="245">
        <f t="array" ref="D70">SUM(IF((Budget[Account Code]=B70)*(Budget[Ofc Code]=$G$4)*(Budget[Date]&lt;=$D$7),(Budget[Amount])))</f>
        <v>21600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-21600</v>
      </c>
      <c r="I70" s="246">
        <f t="shared" si="3"/>
        <v>0</v>
      </c>
    </row>
    <row r="71" spans="1:9" hidden="1">
      <c r="A71" s="247" t="s">
        <v>210</v>
      </c>
      <c r="B71" s="339" t="s">
        <v>177</v>
      </c>
      <c r="C71" s="245">
        <f t="array" ref="C71">SUM(IF((Budget[Account Code]=B71)*(Budget[Ofc Code]=$G$4),(Budget[Amount])))</f>
        <v>52650</v>
      </c>
      <c r="D71" s="245">
        <f t="array" ref="D71">SUM(IF((Budget[Account Code]=B71)*(Budget[Ofc Code]=$G$4)*(Budget[Date]&lt;=$D$7),(Budget[Amount])))</f>
        <v>52650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-52650</v>
      </c>
      <c r="I71" s="246">
        <f t="shared" si="3"/>
        <v>0</v>
      </c>
    </row>
    <row r="72" spans="1:9" hidden="1">
      <c r="A72" s="247" t="s">
        <v>211</v>
      </c>
      <c r="B72" s="339" t="s">
        <v>178</v>
      </c>
      <c r="C72" s="245">
        <f t="array" ref="C72">SUM(IF((Budget[Account Code]=B72)*(Budget[Ofc Code]=$G$4),(Budget[Amount])))</f>
        <v>21600</v>
      </c>
      <c r="D72" s="245">
        <f t="array" ref="D72">SUM(IF((Budget[Account Code]=B72)*(Budget[Ofc Code]=$G$4)*(Budget[Date]&lt;=$D$7),(Budget[Amount])))</f>
        <v>21600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-21600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3448884.64</v>
      </c>
      <c r="D76" s="252">
        <f>D77+D139</f>
        <v>3448884.64</v>
      </c>
      <c r="E76" s="252">
        <f>E77+E139</f>
        <v>0</v>
      </c>
      <c r="F76" s="252">
        <f>F77+F139</f>
        <v>0</v>
      </c>
      <c r="G76" s="252">
        <f>G77+G139</f>
        <v>0</v>
      </c>
      <c r="H76" s="242">
        <f t="shared" si="2"/>
        <v>-3448884.64</v>
      </c>
      <c r="I76" s="242">
        <f t="shared" si="3"/>
        <v>0</v>
      </c>
    </row>
    <row r="77" spans="1:9">
      <c r="A77" s="253" t="s">
        <v>809</v>
      </c>
      <c r="B77" s="337"/>
      <c r="C77" s="254">
        <f>C78+C138</f>
        <v>1540904.64</v>
      </c>
      <c r="D77" s="254">
        <f>D78+D138</f>
        <v>1540904.64</v>
      </c>
      <c r="E77" s="254">
        <f>E78+E138</f>
        <v>0</v>
      </c>
      <c r="F77" s="254">
        <f>F78+F138</f>
        <v>0</v>
      </c>
      <c r="G77" s="254">
        <f>G78+G138</f>
        <v>0</v>
      </c>
      <c r="H77" s="246">
        <f t="shared" si="2"/>
        <v>-1540904.64</v>
      </c>
      <c r="I77" s="246">
        <f t="shared" si="3"/>
        <v>0</v>
      </c>
    </row>
    <row r="78" spans="1:9">
      <c r="A78" s="255" t="s">
        <v>806</v>
      </c>
      <c r="B78" s="337"/>
      <c r="C78" s="246">
        <f>SUM(C79:C137)</f>
        <v>1540904.64</v>
      </c>
      <c r="D78" s="246">
        <f>SUM(D79:D137)</f>
        <v>1540904.64</v>
      </c>
      <c r="E78" s="246">
        <f>SUM(E79:E137)</f>
        <v>0</v>
      </c>
      <c r="F78" s="246">
        <f>SUM(F79:F137)</f>
        <v>0</v>
      </c>
      <c r="G78" s="246">
        <f>SUM(G79:G137)</f>
        <v>0</v>
      </c>
      <c r="H78" s="246">
        <f t="shared" si="2"/>
        <v>-1540904.64</v>
      </c>
      <c r="I78" s="246">
        <f t="shared" si="3"/>
        <v>0</v>
      </c>
    </row>
    <row r="79" spans="1:9" hidden="1">
      <c r="A79" s="256" t="s">
        <v>284</v>
      </c>
      <c r="B79" s="339" t="s">
        <v>223</v>
      </c>
      <c r="C79" s="245">
        <f t="array" ref="C79">SUM(IF((Budget[Account Code]=B79)*(Budget[Ofc Code]=$G$4),(Budget[Amount])))</f>
        <v>0</v>
      </c>
      <c r="D79" s="245">
        <f t="array" ref="D79">SUM(IF((Budget[Account Code]=B79)*(Budget[Ofc Code]=$G$4)*(Budget[Date]&lt;=$D$7),(Budget[Amount])))</f>
        <v>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0</v>
      </c>
      <c r="D82" s="245">
        <f t="array" ref="D82">SUM(IF((Budget[Account Code]=B82)*(Budget[Ofc Code]=$G$4)*(Budget[Date]&lt;=$D$7),(Budget[Amount])))</f>
        <v>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1282847.76</v>
      </c>
      <c r="D86" s="245">
        <f t="array" ref="D86">SUM(IF((Budget[Account Code]=B86)*(Budget[Ofc Code]=$G$4)*(Budget[Date]&lt;=$D$7),(Budget[Amount])))</f>
        <v>1282847.76</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-1282847.76</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0</v>
      </c>
      <c r="D88" s="245">
        <f t="array" ref="D88">SUM(IF((Budget[Account Code]=B88)*(Budget[Ofc Code]=$G$4)*(Budget[Date]&lt;=$D$7),(Budget[Amount])))</f>
        <v>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0</v>
      </c>
      <c r="I88" s="246">
        <f t="shared" si="3"/>
        <v>0</v>
      </c>
    </row>
    <row r="89" spans="1:9" hidden="1">
      <c r="A89" s="256" t="s">
        <v>292</v>
      </c>
      <c r="B89" s="339" t="s">
        <v>232</v>
      </c>
      <c r="C89" s="245">
        <f t="array" ref="C89">SUM(IF((Budget[Account Code]=B89)*(Budget[Ofc Code]=$G$4),(Budget[Amount])))</f>
        <v>27180</v>
      </c>
      <c r="D89" s="245">
        <f t="array" ref="D89">SUM(IF((Budget[Account Code]=B89)*(Budget[Ofc Code]=$G$4)*(Budget[Date]&lt;=$D$7),(Budget[Amount])))</f>
        <v>27180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-27180</v>
      </c>
      <c r="I89" s="246">
        <f t="shared" si="3"/>
        <v>0</v>
      </c>
    </row>
    <row r="90" spans="1:9" hidden="1">
      <c r="A90" s="256" t="s">
        <v>293</v>
      </c>
      <c r="B90" s="339" t="s">
        <v>233</v>
      </c>
      <c r="C90" s="245">
        <f t="array" ref="C90">SUM(IF((Budget[Account Code]=B90)*(Budget[Ofc Code]=$G$4),(Budget[Amount])))</f>
        <v>168497.64</v>
      </c>
      <c r="D90" s="245">
        <f t="array" ref="D90">SUM(IF((Budget[Account Code]=B90)*(Budget[Ofc Code]=$G$4)*(Budget[Date]&lt;=$D$7),(Budget[Amount])))</f>
        <v>168497.64</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-168497.64</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0</v>
      </c>
      <c r="D94" s="245">
        <f t="array" ref="D94">SUM(IF((Budget[Account Code]=B94)*(Budget[Ofc Code]=$G$4)*(Budget[Date]&lt;=$D$7),(Budget[Amount])))</f>
        <v>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62379.24</v>
      </c>
      <c r="D96" s="245">
        <f t="array" ref="D96">SUM(IF((Budget[Account Code]=B96)*(Budget[Ofc Code]=$G$4)*(Budget[Date]&lt;=$D$7),(Budget[Amount])))</f>
        <v>62379.24</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-62379.24</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0</v>
      </c>
      <c r="D118" s="245">
        <f t="array" ref="D118">SUM(IF((Budget[Account Code]=B118)*(Budget[Ofc Code]=$G$4)*(Budget[Date]&lt;=$D$7),(Budget[Amount])))</f>
        <v>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0</v>
      </c>
      <c r="D125" s="245">
        <f t="array" ref="D125">SUM(IF((Budget[Account Code]=B125)*(Budget[Ofc Code]=$G$4)*(Budget[Date]&lt;=$D$7),(Budget[Amount])))</f>
        <v>0</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0</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1907980</v>
      </c>
      <c r="D139" s="242">
        <f>SUM(D140:D143)</f>
        <v>1907980</v>
      </c>
      <c r="E139" s="242">
        <f>SUM(E140:E143)</f>
        <v>0</v>
      </c>
      <c r="F139" s="242">
        <f>SUM(F140:F143)</f>
        <v>0</v>
      </c>
      <c r="G139" s="242">
        <f>SUM(G140:G143)</f>
        <v>0</v>
      </c>
      <c r="H139" s="246">
        <f t="shared" si="7"/>
        <v>-1907980</v>
      </c>
      <c r="I139" s="246">
        <f t="shared" si="8"/>
        <v>0</v>
      </c>
    </row>
    <row r="140" spans="1:9" hidden="1">
      <c r="A140" s="256" t="s">
        <v>342</v>
      </c>
      <c r="B140" s="339" t="s">
        <v>333</v>
      </c>
      <c r="C140" s="245">
        <f t="array" ref="C140">SUM(IF((Budget[Account Code]=B140)*(Budget[Ofc Code]=$G$4),(Budget[Amount])))</f>
        <v>1907980</v>
      </c>
      <c r="D140" s="245">
        <f t="array" ref="D140">SUM(IF((Budget[Account Code]=B140)*(Budget[Ofc Code]=$G$4)*(Budget[Date]&lt;=$D$7),(Budget[Amount])))</f>
        <v>1907980</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-1907980</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10419690.199999999</v>
      </c>
      <c r="D147" s="250">
        <f>D50+D76+D144</f>
        <v>10419690.199999999</v>
      </c>
      <c r="E147" s="250">
        <f>E50+E76+E144</f>
        <v>0</v>
      </c>
      <c r="F147" s="250">
        <f>F50+F76+F144</f>
        <v>0</v>
      </c>
      <c r="G147" s="250">
        <f>G50+G76+G144</f>
        <v>0</v>
      </c>
      <c r="H147" s="250">
        <f t="shared" si="7"/>
        <v>-10419690.199999999</v>
      </c>
      <c r="I147" s="250">
        <f t="shared" si="8"/>
        <v>0</v>
      </c>
    </row>
    <row r="148" spans="1:9">
      <c r="A148" s="251" t="s">
        <v>785</v>
      </c>
      <c r="B148" s="338"/>
      <c r="C148" s="250">
        <f>C48-C147</f>
        <v>-10219690.199999999</v>
      </c>
      <c r="D148" s="250">
        <f>D48-D147</f>
        <v>-10219690.199999999</v>
      </c>
      <c r="E148" s="250">
        <f>E48-E147</f>
        <v>0</v>
      </c>
      <c r="F148" s="250">
        <f>F48-F147</f>
        <v>0</v>
      </c>
      <c r="G148" s="250">
        <f>G48-G147</f>
        <v>0</v>
      </c>
      <c r="H148" s="250">
        <f t="shared" si="7"/>
        <v>10219690.199999999</v>
      </c>
      <c r="I148" s="250">
        <f t="shared" si="8"/>
        <v>0</v>
      </c>
    </row>
    <row r="149" spans="1:9">
      <c r="A149" s="251" t="s">
        <v>749</v>
      </c>
      <c r="B149" s="338"/>
      <c r="C149" s="250">
        <f>C48/C147</f>
        <v>0.02</v>
      </c>
      <c r="D149" s="250">
        <f>D48/D147</f>
        <v>0.02</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-10219690.199999999</v>
      </c>
      <c r="D152" s="250">
        <f>D148+D150+D151</f>
        <v>-10219690.199999999</v>
      </c>
      <c r="E152" s="250">
        <f>E148+E150+E151</f>
        <v>0</v>
      </c>
      <c r="F152" s="250">
        <f>F148+F150+F151</f>
        <v>0</v>
      </c>
      <c r="G152" s="250">
        <f>G148+G150+G151</f>
        <v>0</v>
      </c>
      <c r="H152" s="250">
        <f t="shared" si="7"/>
        <v>10219690.199999999</v>
      </c>
      <c r="I152" s="250">
        <f t="shared" si="8"/>
        <v>0</v>
      </c>
    </row>
    <row r="153" spans="1:9">
      <c r="A153" s="251" t="s">
        <v>749</v>
      </c>
      <c r="B153" s="338"/>
      <c r="C153" s="250">
        <f>C48/(C147-C150-C151)</f>
        <v>0.02</v>
      </c>
      <c r="D153" s="250">
        <f>D48/(D147-D150-D151)</f>
        <v>0.02</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90000</v>
      </c>
      <c r="D156" s="245">
        <f t="array" ref="D156">SUM(IF((Budget[Account Code]=B156)*(Budget[Ofc Code]=$G$4)*(Budget[Date]&lt;=$D$7),(Budget[Amount])))</f>
        <v>90000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-90000</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0</v>
      </c>
      <c r="D158" s="245">
        <f t="array" ref="D158">SUM(IF((Budget[Account Code]=B158)*(Budget[Ofc Code]=$G$4)*(Budget[Date]&lt;=$D$7),(Budget[Amount])))</f>
        <v>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90000</v>
      </c>
      <c r="D164" s="250">
        <f>SUM(D155:D163)</f>
        <v>90000</v>
      </c>
      <c r="E164" s="250">
        <f>SUM(E155:E163)</f>
        <v>0</v>
      </c>
      <c r="F164" s="250">
        <f>SUM(F155:F163)</f>
        <v>0</v>
      </c>
      <c r="G164" s="250">
        <f>SUM(G155:G163)</f>
        <v>0</v>
      </c>
      <c r="H164" s="250">
        <f t="shared" si="10"/>
        <v>-90000</v>
      </c>
      <c r="I164" s="250">
        <f t="shared" si="11"/>
        <v>0</v>
      </c>
    </row>
    <row r="165" spans="1:9">
      <c r="A165" s="251" t="s">
        <v>788</v>
      </c>
      <c r="B165" s="338"/>
      <c r="C165" s="250">
        <f>C147+C164</f>
        <v>10509690.199999999</v>
      </c>
      <c r="D165" s="250">
        <f>D147+D164</f>
        <v>10509690.199999999</v>
      </c>
      <c r="E165" s="250">
        <f>E147+E164</f>
        <v>0</v>
      </c>
      <c r="F165" s="250">
        <f>F147+F164</f>
        <v>0</v>
      </c>
      <c r="G165" s="250">
        <f>G147+G164</f>
        <v>0</v>
      </c>
      <c r="H165" s="250">
        <f t="shared" si="10"/>
        <v>-10509690.199999999</v>
      </c>
      <c r="I165" s="250">
        <f t="shared" si="11"/>
        <v>0</v>
      </c>
    </row>
    <row r="166" spans="1:9">
      <c r="A166" s="251" t="s">
        <v>785</v>
      </c>
      <c r="B166" s="338"/>
      <c r="C166" s="250">
        <f>C48-C165</f>
        <v>-10309690.199999999</v>
      </c>
      <c r="D166" s="250">
        <f>D48-D165</f>
        <v>-10309690.199999999</v>
      </c>
      <c r="E166" s="250">
        <f>E48-E165</f>
        <v>0</v>
      </c>
      <c r="F166" s="250">
        <f>F48-F165</f>
        <v>0</v>
      </c>
      <c r="G166" s="250">
        <f>G48-G165</f>
        <v>0</v>
      </c>
      <c r="H166" s="250">
        <f t="shared" si="10"/>
        <v>10309690.199999999</v>
      </c>
      <c r="I166" s="250">
        <f t="shared" si="11"/>
        <v>0</v>
      </c>
    </row>
    <row r="167" spans="1:9">
      <c r="A167" s="251" t="s">
        <v>749</v>
      </c>
      <c r="B167" s="338"/>
      <c r="C167" s="250">
        <f>C48/C165</f>
        <v>0.02</v>
      </c>
      <c r="D167" s="250">
        <f>D48/D165</f>
        <v>0.02</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-10309690.199999999</v>
      </c>
      <c r="D170" s="250">
        <f>D166+D168+D169</f>
        <v>-10309690.199999999</v>
      </c>
      <c r="E170" s="250">
        <f>E166+E168+E169</f>
        <v>0</v>
      </c>
      <c r="F170" s="250">
        <f>F166+F168+F169</f>
        <v>0</v>
      </c>
      <c r="G170" s="250">
        <f>G166+G168+G169</f>
        <v>0</v>
      </c>
      <c r="H170" s="250">
        <f t="shared" si="10"/>
        <v>10309690.199999999</v>
      </c>
      <c r="I170" s="250">
        <f t="shared" si="11"/>
        <v>0</v>
      </c>
    </row>
    <row r="171" spans="1:9">
      <c r="A171" s="251" t="s">
        <v>792</v>
      </c>
      <c r="B171" s="338"/>
      <c r="C171" s="250">
        <f>C48/(C165-C168-C169)</f>
        <v>0.02</v>
      </c>
      <c r="D171" s="250">
        <f>D48/(D165-D168-D169)</f>
        <v>0.02</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10509690.199999999</v>
      </c>
      <c r="D178" s="250">
        <f>D165+D177</f>
        <v>10509690.199999999</v>
      </c>
      <c r="E178" s="250">
        <f>E165+E177</f>
        <v>0</v>
      </c>
      <c r="F178" s="250">
        <f>F165+F177</f>
        <v>0</v>
      </c>
      <c r="G178" s="250">
        <f>G165+G177</f>
        <v>0</v>
      </c>
      <c r="H178" s="250">
        <f t="shared" si="12"/>
        <v>-10509690.199999999</v>
      </c>
      <c r="I178" s="250">
        <f t="shared" si="13"/>
        <v>0</v>
      </c>
    </row>
    <row r="179" spans="1:9">
      <c r="A179" s="251" t="s">
        <v>785</v>
      </c>
      <c r="B179" s="338"/>
      <c r="C179" s="250">
        <f>C48-C178</f>
        <v>-10309690.199999999</v>
      </c>
      <c r="D179" s="250">
        <f>D48-D178</f>
        <v>-10309690.199999999</v>
      </c>
      <c r="E179" s="250">
        <f>E48-E178</f>
        <v>0</v>
      </c>
      <c r="F179" s="250">
        <f>F48-F178</f>
        <v>0</v>
      </c>
      <c r="G179" s="250">
        <f>G48-G178</f>
        <v>0</v>
      </c>
      <c r="H179" s="250">
        <f t="shared" si="12"/>
        <v>10309690.199999999</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0.02</v>
      </c>
      <c r="D184" s="265">
        <f>D48/(D178-D181-D182)</f>
        <v>0.02</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e">
        <f>IF(G4=0,,VLOOKUP((TRIM(G4)),SortCode,2,))</f>
        <v>#N/A</v>
      </c>
      <c r="C4" s="332"/>
      <c r="G4" s="331" t="s">
        <v>504</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50000</v>
      </c>
      <c r="D15" s="248">
        <f>SUM(D16:D18)</f>
        <v>50000</v>
      </c>
      <c r="E15" s="248">
        <f>SUM(E16:E18)</f>
        <v>0</v>
      </c>
      <c r="F15" s="248">
        <f>SUM(F16:F18)</f>
        <v>0</v>
      </c>
      <c r="G15" s="248">
        <f>SUM(G16:G18)</f>
        <v>0</v>
      </c>
      <c r="H15" s="242">
        <f t="shared" si="0"/>
        <v>-50000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50000</v>
      </c>
      <c r="D17" s="245">
        <f t="array" ref="D17">SUM(IF((Budget[Account Code]=B17)*(Budget[Ofc Code]=$G$4)*(Budget[Date]&lt;=$D$7),(Budget[Amount])))</f>
        <v>50000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-50000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50000</v>
      </c>
      <c r="D24" s="250">
        <f>D9+D15+D19</f>
        <v>50000</v>
      </c>
      <c r="E24" s="250">
        <f>E9+E15+E19</f>
        <v>0</v>
      </c>
      <c r="F24" s="250">
        <f>F9+F15+F19</f>
        <v>0</v>
      </c>
      <c r="G24" s="250">
        <f>G9+G15+G19</f>
        <v>0</v>
      </c>
      <c r="H24" s="250">
        <f t="shared" si="0"/>
        <v>-50000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0</v>
      </c>
      <c r="D36" s="248">
        <f>SUM(D37:D45)</f>
        <v>0</v>
      </c>
      <c r="E36" s="248">
        <f>SUM(E37:E45)</f>
        <v>0</v>
      </c>
      <c r="F36" s="248">
        <f>SUM(F37:F45)</f>
        <v>0</v>
      </c>
      <c r="G36" s="248">
        <f>SUM(G37:G45)</f>
        <v>0</v>
      </c>
      <c r="H36" s="242">
        <f t="shared" si="2"/>
        <v>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0</v>
      </c>
      <c r="D44" s="245">
        <f t="array" ref="D44">SUM(IF((Budget[Account Code]=B44)*(Budget[Ofc Code]=$G$4)*(Budget[Date]&lt;=$D$7),(Budget[Amount])))</f>
        <v>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0</v>
      </c>
      <c r="D47" s="250">
        <f>D26+D27+D32+D36+D46</f>
        <v>0</v>
      </c>
      <c r="E47" s="250">
        <f>E26+E27+E32+E36+E46</f>
        <v>0</v>
      </c>
      <c r="F47" s="250">
        <f>F26+F27+F32+F36+F46</f>
        <v>0</v>
      </c>
      <c r="G47" s="250">
        <f>G26+G27+G32+G36+G46</f>
        <v>0</v>
      </c>
      <c r="H47" s="250">
        <f t="shared" si="2"/>
        <v>0</v>
      </c>
      <c r="I47" s="250">
        <f t="shared" si="3"/>
        <v>0</v>
      </c>
    </row>
    <row r="48" spans="1:9">
      <c r="A48" s="251" t="s">
        <v>813</v>
      </c>
      <c r="B48" s="338"/>
      <c r="C48" s="250">
        <f>C24+C47</f>
        <v>50000</v>
      </c>
      <c r="D48" s="250">
        <f>D24+D47</f>
        <v>50000</v>
      </c>
      <c r="E48" s="250">
        <f>E24+E47</f>
        <v>0</v>
      </c>
      <c r="F48" s="250">
        <f>F24+F47</f>
        <v>0</v>
      </c>
      <c r="G48" s="250">
        <f>G24+G47</f>
        <v>0</v>
      </c>
      <c r="H48" s="250">
        <f t="shared" si="2"/>
        <v>-50000</v>
      </c>
      <c r="I48" s="250">
        <f t="shared" si="3"/>
        <v>0</v>
      </c>
    </row>
    <row r="49" spans="1:9">
      <c r="A49" s="239" t="s">
        <v>812</v>
      </c>
      <c r="B49" s="337"/>
      <c r="C49" s="240"/>
      <c r="D49" s="240"/>
      <c r="E49" s="240"/>
      <c r="F49" s="240"/>
      <c r="G49" s="246"/>
      <c r="H49" s="246"/>
      <c r="I49" s="246"/>
    </row>
    <row r="50" spans="1:9">
      <c r="A50" s="239" t="s">
        <v>811</v>
      </c>
      <c r="B50" s="337"/>
      <c r="C50" s="242">
        <f>C51+C75</f>
        <v>1874104.44</v>
      </c>
      <c r="D50" s="242">
        <f>D51+D75</f>
        <v>1874104.44</v>
      </c>
      <c r="E50" s="242">
        <f>E51+E75</f>
        <v>0</v>
      </c>
      <c r="F50" s="242">
        <f>F51+F75</f>
        <v>0</v>
      </c>
      <c r="G50" s="242">
        <f>G51+G75</f>
        <v>0</v>
      </c>
      <c r="H50" s="242">
        <f t="shared" si="2"/>
        <v>-1874104.44</v>
      </c>
      <c r="I50" s="242">
        <f t="shared" si="3"/>
        <v>0</v>
      </c>
    </row>
    <row r="51" spans="1:9">
      <c r="A51" s="243" t="s">
        <v>806</v>
      </c>
      <c r="B51" s="337"/>
      <c r="C51" s="246">
        <f>SUM(C52:C74)</f>
        <v>1874104.44</v>
      </c>
      <c r="D51" s="246">
        <f>SUM(D52:D74)</f>
        <v>1874104.44</v>
      </c>
      <c r="E51" s="246">
        <f>SUM(E52:E74)</f>
        <v>0</v>
      </c>
      <c r="F51" s="246">
        <f>SUM(F52:F74)</f>
        <v>0</v>
      </c>
      <c r="G51" s="246">
        <f>SUM(G52:G74)</f>
        <v>0</v>
      </c>
      <c r="H51" s="246">
        <f t="shared" si="2"/>
        <v>-1874104.44</v>
      </c>
      <c r="I51" s="246">
        <f t="shared" si="3"/>
        <v>0</v>
      </c>
    </row>
    <row r="52" spans="1:9" hidden="1">
      <c r="A52" s="247" t="s">
        <v>194</v>
      </c>
      <c r="B52" s="339" t="s">
        <v>162</v>
      </c>
      <c r="C52" s="245">
        <f t="array" ref="C52">SUM(IF((Budget[Account Code]=B52)*(Budget[Ofc Code]=$G$4),(Budget[Amount])))</f>
        <v>564552</v>
      </c>
      <c r="D52" s="245">
        <f t="array" ref="D52">SUM(IF((Budget[Account Code]=B52)*(Budget[Ofc Code]=$G$4)*(Budget[Date]&lt;=$D$7),(Budget[Amount])))</f>
        <v>564552</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-564552</v>
      </c>
      <c r="I52" s="246">
        <f t="shared" si="3"/>
        <v>0</v>
      </c>
    </row>
    <row r="53" spans="1:9" hidden="1">
      <c r="A53" s="247" t="s">
        <v>195</v>
      </c>
      <c r="B53" s="339" t="s">
        <v>163</v>
      </c>
      <c r="C53" s="245">
        <f t="array" ref="C53">SUM(IF((Budget[Account Code]=B53)*(Budget[Ofc Code]=$G$4),(Budget[Amount])))</f>
        <v>954475.32</v>
      </c>
      <c r="D53" s="245">
        <f t="array" ref="D53">SUM(IF((Budget[Account Code]=B53)*(Budget[Ofc Code]=$G$4)*(Budget[Date]&lt;=$D$7),(Budget[Amount])))</f>
        <v>954475.32</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-954475.32</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120000</v>
      </c>
      <c r="D55" s="245">
        <f t="array" ref="D55">SUM(IF((Budget[Account Code]=B55)*(Budget[Ofc Code]=$G$4)*(Budget[Date]&lt;=$D$7),(Budget[Amount])))</f>
        <v>120000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-120000</v>
      </c>
      <c r="I55" s="246">
        <f t="shared" si="3"/>
        <v>0</v>
      </c>
    </row>
    <row r="56" spans="1:9" hidden="1">
      <c r="A56" s="247" t="s">
        <v>198</v>
      </c>
      <c r="B56" s="339" t="s">
        <v>165</v>
      </c>
      <c r="C56" s="245">
        <f t="array" ref="C56">SUM(IF((Budget[Account Code]=B56)*(Budget[Ofc Code]=$G$4),(Budget[Amount])))</f>
        <v>0</v>
      </c>
      <c r="D56" s="245">
        <f t="array" ref="D56">SUM(IF((Budget[Account Code]=B56)*(Budget[Ofc Code]=$G$4)*(Budget[Date]&lt;=$D$7),(Budget[Amount])))</f>
        <v>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0</v>
      </c>
      <c r="D58" s="245">
        <f t="array" ref="D58">SUM(IF((Budget[Account Code]=B58)*(Budget[Ofc Code]=$G$4)*(Budget[Date]&lt;=$D$7),(Budget[Amount])))</f>
        <v>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4800</v>
      </c>
      <c r="D61" s="245">
        <f t="array" ref="D61">SUM(IF((Budget[Account Code]=B61)*(Budget[Ofc Code]=$G$4)*(Budget[Date]&lt;=$D$7),(Budget[Amount])))</f>
        <v>4800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-4800</v>
      </c>
      <c r="I61" s="246">
        <f t="shared" si="3"/>
        <v>0</v>
      </c>
    </row>
    <row r="62" spans="1:9" hidden="1">
      <c r="A62" s="247" t="s">
        <v>202</v>
      </c>
      <c r="B62" s="339" t="s">
        <v>6</v>
      </c>
      <c r="C62" s="245">
        <f t="array" ref="C62">SUM(IF((Budget[Account Code]=B62)*(Budget[Ofc Code]=$G$4),(Budget[Amount])))</f>
        <v>1584</v>
      </c>
      <c r="D62" s="245">
        <f t="array" ref="D62">SUM(IF((Budget[Account Code]=B62)*(Budget[Ofc Code]=$G$4)*(Budget[Date]&lt;=$D$7),(Budget[Amount])))</f>
        <v>1584</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-1584</v>
      </c>
      <c r="I62" s="246">
        <f t="shared" si="3"/>
        <v>0</v>
      </c>
    </row>
    <row r="63" spans="1:9" hidden="1">
      <c r="A63" s="247" t="s">
        <v>203</v>
      </c>
      <c r="B63" s="339" t="s">
        <v>7</v>
      </c>
      <c r="C63" s="245">
        <f t="array" ref="C63">SUM(IF((Budget[Account Code]=B63)*(Budget[Ofc Code]=$G$4),(Budget[Amount])))</f>
        <v>0</v>
      </c>
      <c r="D63" s="245">
        <f t="array" ref="D63">SUM(IF((Budget[Account Code]=B63)*(Budget[Ofc Code]=$G$4)*(Budget[Date]&lt;=$D$7),(Budget[Amount])))</f>
        <v>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15000</v>
      </c>
      <c r="D67" s="245">
        <f t="array" ref="D67">SUM(IF((Budget[Account Code]=B67)*(Budget[Ofc Code]=$G$4)*(Budget[Date]&lt;=$D$7),(Budget[Amount])))</f>
        <v>15000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-15000</v>
      </c>
      <c r="I67" s="246">
        <f t="shared" si="3"/>
        <v>0</v>
      </c>
    </row>
    <row r="68" spans="1:9" hidden="1">
      <c r="A68" s="247" t="s">
        <v>207</v>
      </c>
      <c r="B68" s="339" t="s">
        <v>174</v>
      </c>
      <c r="C68" s="245">
        <f t="array" ref="C68">SUM(IF((Budget[Account Code]=B68)*(Budget[Ofc Code]=$G$4),(Budget[Amount])))</f>
        <v>94092</v>
      </c>
      <c r="D68" s="245">
        <f t="array" ref="D68">SUM(IF((Budget[Account Code]=B68)*(Budget[Ofc Code]=$G$4)*(Budget[Date]&lt;=$D$7),(Budget[Amount])))</f>
        <v>94092</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-94092</v>
      </c>
      <c r="I68" s="246">
        <f t="shared" si="3"/>
        <v>0</v>
      </c>
    </row>
    <row r="69" spans="1:9" hidden="1">
      <c r="A69" s="247" t="s">
        <v>208</v>
      </c>
      <c r="B69" s="339" t="s">
        <v>175</v>
      </c>
      <c r="C69" s="245">
        <f t="array" ref="C69">SUM(IF((Budget[Account Code]=B69)*(Budget[Ofc Code]=$G$4),(Budget[Amount])))</f>
        <v>97701.119999999995</v>
      </c>
      <c r="D69" s="245">
        <f t="array" ref="D69">SUM(IF((Budget[Account Code]=B69)*(Budget[Ofc Code]=$G$4)*(Budget[Date]&lt;=$D$7),(Budget[Amount])))</f>
        <v>97701.119999999995</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-97701.119999999995</v>
      </c>
      <c r="I69" s="246">
        <f t="shared" si="3"/>
        <v>0</v>
      </c>
    </row>
    <row r="70" spans="1:9" hidden="1">
      <c r="A70" s="247" t="s">
        <v>209</v>
      </c>
      <c r="B70" s="339" t="s">
        <v>176</v>
      </c>
      <c r="C70" s="245">
        <f t="array" ref="C70">SUM(IF((Budget[Account Code]=B70)*(Budget[Ofc Code]=$G$4),(Budget[Amount])))</f>
        <v>6000</v>
      </c>
      <c r="D70" s="245">
        <f t="array" ref="D70">SUM(IF((Budget[Account Code]=B70)*(Budget[Ofc Code]=$G$4)*(Budget[Date]&lt;=$D$7),(Budget[Amount])))</f>
        <v>6000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-6000</v>
      </c>
      <c r="I70" s="246">
        <f t="shared" si="3"/>
        <v>0</v>
      </c>
    </row>
    <row r="71" spans="1:9" hidden="1">
      <c r="A71" s="247" t="s">
        <v>210</v>
      </c>
      <c r="B71" s="339" t="s">
        <v>177</v>
      </c>
      <c r="C71" s="245">
        <f t="array" ref="C71">SUM(IF((Budget[Account Code]=B71)*(Budget[Ofc Code]=$G$4),(Budget[Amount])))</f>
        <v>9900</v>
      </c>
      <c r="D71" s="245">
        <f t="array" ref="D71">SUM(IF((Budget[Account Code]=B71)*(Budget[Ofc Code]=$G$4)*(Budget[Date]&lt;=$D$7),(Budget[Amount])))</f>
        <v>9900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-9900</v>
      </c>
      <c r="I71" s="246">
        <f t="shared" si="3"/>
        <v>0</v>
      </c>
    </row>
    <row r="72" spans="1:9" hidden="1">
      <c r="A72" s="247" t="s">
        <v>211</v>
      </c>
      <c r="B72" s="339" t="s">
        <v>178</v>
      </c>
      <c r="C72" s="245">
        <f t="array" ref="C72">SUM(IF((Budget[Account Code]=B72)*(Budget[Ofc Code]=$G$4),(Budget[Amount])))</f>
        <v>6000</v>
      </c>
      <c r="D72" s="245">
        <f t="array" ref="D72">SUM(IF((Budget[Account Code]=B72)*(Budget[Ofc Code]=$G$4)*(Budget[Date]&lt;=$D$7),(Budget[Amount])))</f>
        <v>6000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-6000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715328.88</v>
      </c>
      <c r="D76" s="252">
        <f>D77+D139</f>
        <v>715328.88</v>
      </c>
      <c r="E76" s="252">
        <f>E77+E139</f>
        <v>0</v>
      </c>
      <c r="F76" s="252">
        <f>F77+F139</f>
        <v>0</v>
      </c>
      <c r="G76" s="252">
        <f>G77+G139</f>
        <v>0</v>
      </c>
      <c r="H76" s="242">
        <f t="shared" si="2"/>
        <v>-715328.88</v>
      </c>
      <c r="I76" s="242">
        <f t="shared" si="3"/>
        <v>0</v>
      </c>
    </row>
    <row r="77" spans="1:9">
      <c r="A77" s="253" t="s">
        <v>809</v>
      </c>
      <c r="B77" s="337"/>
      <c r="C77" s="254">
        <f>C78+C138</f>
        <v>110858.88</v>
      </c>
      <c r="D77" s="254">
        <f>D78+D138</f>
        <v>110858.88</v>
      </c>
      <c r="E77" s="254">
        <f>E78+E138</f>
        <v>0</v>
      </c>
      <c r="F77" s="254">
        <f>F78+F138</f>
        <v>0</v>
      </c>
      <c r="G77" s="254">
        <f>G78+G138</f>
        <v>0</v>
      </c>
      <c r="H77" s="246">
        <f t="shared" si="2"/>
        <v>-110858.88</v>
      </c>
      <c r="I77" s="246">
        <f t="shared" si="3"/>
        <v>0</v>
      </c>
    </row>
    <row r="78" spans="1:9">
      <c r="A78" s="255" t="s">
        <v>806</v>
      </c>
      <c r="B78" s="337"/>
      <c r="C78" s="246">
        <f>SUM(C79:C137)</f>
        <v>110858.88</v>
      </c>
      <c r="D78" s="246">
        <f>SUM(D79:D137)</f>
        <v>110858.88</v>
      </c>
      <c r="E78" s="246">
        <f>SUM(E79:E137)</f>
        <v>0</v>
      </c>
      <c r="F78" s="246">
        <f>SUM(F79:F137)</f>
        <v>0</v>
      </c>
      <c r="G78" s="246">
        <f>SUM(G79:G137)</f>
        <v>0</v>
      </c>
      <c r="H78" s="246">
        <f t="shared" si="2"/>
        <v>-110858.88</v>
      </c>
      <c r="I78" s="246">
        <f t="shared" si="3"/>
        <v>0</v>
      </c>
    </row>
    <row r="79" spans="1:9" hidden="1">
      <c r="A79" s="256" t="s">
        <v>284</v>
      </c>
      <c r="B79" s="339" t="s">
        <v>223</v>
      </c>
      <c r="C79" s="245">
        <f t="array" ref="C79">SUM(IF((Budget[Account Code]=B79)*(Budget[Ofc Code]=$G$4),(Budget[Amount])))</f>
        <v>0</v>
      </c>
      <c r="D79" s="245">
        <f t="array" ref="D79">SUM(IF((Budget[Account Code]=B79)*(Budget[Ofc Code]=$G$4)*(Budget[Date]&lt;=$D$7),(Budget[Amount])))</f>
        <v>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0</v>
      </c>
      <c r="D82" s="245">
        <f t="array" ref="D82">SUM(IF((Budget[Account Code]=B82)*(Budget[Ofc Code]=$G$4)*(Budget[Date]&lt;=$D$7),(Budget[Amount])))</f>
        <v>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0</v>
      </c>
      <c r="D86" s="245">
        <f t="array" ref="D86">SUM(IF((Budget[Account Code]=B86)*(Budget[Ofc Code]=$G$4)*(Budget[Date]&lt;=$D$7),(Budget[Amount])))</f>
        <v>0</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0</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0</v>
      </c>
      <c r="D88" s="245">
        <f t="array" ref="D88">SUM(IF((Budget[Account Code]=B88)*(Budget[Ofc Code]=$G$4)*(Budget[Date]&lt;=$D$7),(Budget[Amount])))</f>
        <v>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0</v>
      </c>
      <c r="I88" s="246">
        <f t="shared" si="3"/>
        <v>0</v>
      </c>
    </row>
    <row r="89" spans="1:9" hidden="1">
      <c r="A89" s="256" t="s">
        <v>292</v>
      </c>
      <c r="B89" s="339" t="s">
        <v>232</v>
      </c>
      <c r="C89" s="245">
        <f t="array" ref="C89">SUM(IF((Budget[Account Code]=B89)*(Budget[Ofc Code]=$G$4),(Budget[Amount])))</f>
        <v>0</v>
      </c>
      <c r="D89" s="245">
        <f t="array" ref="D89">SUM(IF((Budget[Account Code]=B89)*(Budget[Ofc Code]=$G$4)*(Budget[Date]&lt;=$D$7),(Budget[Amount])))</f>
        <v>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0</v>
      </c>
      <c r="I89" s="246">
        <f t="shared" si="3"/>
        <v>0</v>
      </c>
    </row>
    <row r="90" spans="1:9" hidden="1">
      <c r="A90" s="256" t="s">
        <v>293</v>
      </c>
      <c r="B90" s="339" t="s">
        <v>233</v>
      </c>
      <c r="C90" s="245">
        <f t="array" ref="C90">SUM(IF((Budget[Account Code]=B90)*(Budget[Ofc Code]=$G$4),(Budget[Amount])))</f>
        <v>98870.88</v>
      </c>
      <c r="D90" s="245">
        <f t="array" ref="D90">SUM(IF((Budget[Account Code]=B90)*(Budget[Ofc Code]=$G$4)*(Budget[Date]&lt;=$D$7),(Budget[Amount])))</f>
        <v>98870.88</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-98870.88</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0</v>
      </c>
      <c r="D94" s="245">
        <f t="array" ref="D94">SUM(IF((Budget[Account Code]=B94)*(Budget[Ofc Code]=$G$4)*(Budget[Date]&lt;=$D$7),(Budget[Amount])))</f>
        <v>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11988</v>
      </c>
      <c r="D96" s="245">
        <f t="array" ref="D96">SUM(IF((Budget[Account Code]=B96)*(Budget[Ofc Code]=$G$4)*(Budget[Date]&lt;=$D$7),(Budget[Amount])))</f>
        <v>11988</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-11988</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0</v>
      </c>
      <c r="D118" s="245">
        <f t="array" ref="D118">SUM(IF((Budget[Account Code]=B118)*(Budget[Ofc Code]=$G$4)*(Budget[Date]&lt;=$D$7),(Budget[Amount])))</f>
        <v>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0</v>
      </c>
      <c r="D125" s="245">
        <f t="array" ref="D125">SUM(IF((Budget[Account Code]=B125)*(Budget[Ofc Code]=$G$4)*(Budget[Date]&lt;=$D$7),(Budget[Amount])))</f>
        <v>0</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0</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604470</v>
      </c>
      <c r="D139" s="242">
        <f>SUM(D140:D143)</f>
        <v>604470</v>
      </c>
      <c r="E139" s="242">
        <f>SUM(E140:E143)</f>
        <v>0</v>
      </c>
      <c r="F139" s="242">
        <f>SUM(F140:F143)</f>
        <v>0</v>
      </c>
      <c r="G139" s="242">
        <f>SUM(G140:G143)</f>
        <v>0</v>
      </c>
      <c r="H139" s="246">
        <f t="shared" si="7"/>
        <v>-604470</v>
      </c>
      <c r="I139" s="246">
        <f t="shared" si="8"/>
        <v>0</v>
      </c>
    </row>
    <row r="140" spans="1:9" hidden="1">
      <c r="A140" s="256" t="s">
        <v>342</v>
      </c>
      <c r="B140" s="339" t="s">
        <v>333</v>
      </c>
      <c r="C140" s="245">
        <f t="array" ref="C140">SUM(IF((Budget[Account Code]=B140)*(Budget[Ofc Code]=$G$4),(Budget[Amount])))</f>
        <v>604470</v>
      </c>
      <c r="D140" s="245">
        <f t="array" ref="D140">SUM(IF((Budget[Account Code]=B140)*(Budget[Ofc Code]=$G$4)*(Budget[Date]&lt;=$D$7),(Budget[Amount])))</f>
        <v>604470</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-604470</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2589433.3199999998</v>
      </c>
      <c r="D147" s="250">
        <f>D50+D76+D144</f>
        <v>2589433.3199999998</v>
      </c>
      <c r="E147" s="250">
        <f>E50+E76+E144</f>
        <v>0</v>
      </c>
      <c r="F147" s="250">
        <f>F50+F76+F144</f>
        <v>0</v>
      </c>
      <c r="G147" s="250">
        <f>G50+G76+G144</f>
        <v>0</v>
      </c>
      <c r="H147" s="250">
        <f t="shared" si="7"/>
        <v>-2589433.3199999998</v>
      </c>
      <c r="I147" s="250">
        <f t="shared" si="8"/>
        <v>0</v>
      </c>
    </row>
    <row r="148" spans="1:9">
      <c r="A148" s="251" t="s">
        <v>785</v>
      </c>
      <c r="B148" s="338"/>
      <c r="C148" s="250">
        <f>C48-C147</f>
        <v>-2539433.3199999998</v>
      </c>
      <c r="D148" s="250">
        <f>D48-D147</f>
        <v>-2539433.3199999998</v>
      </c>
      <c r="E148" s="250">
        <f>E48-E147</f>
        <v>0</v>
      </c>
      <c r="F148" s="250">
        <f>F48-F147</f>
        <v>0</v>
      </c>
      <c r="G148" s="250">
        <f>G48-G147</f>
        <v>0</v>
      </c>
      <c r="H148" s="250">
        <f t="shared" si="7"/>
        <v>2539433.3199999998</v>
      </c>
      <c r="I148" s="250">
        <f t="shared" si="8"/>
        <v>0</v>
      </c>
    </row>
    <row r="149" spans="1:9">
      <c r="A149" s="251" t="s">
        <v>749</v>
      </c>
      <c r="B149" s="338"/>
      <c r="C149" s="250">
        <f>C48/C147</f>
        <v>0.02</v>
      </c>
      <c r="D149" s="250">
        <f>D48/D147</f>
        <v>0.02</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-2539433.3199999998</v>
      </c>
      <c r="D152" s="250">
        <f>D148+D150+D151</f>
        <v>-2539433.3199999998</v>
      </c>
      <c r="E152" s="250">
        <f>E148+E150+E151</f>
        <v>0</v>
      </c>
      <c r="F152" s="250">
        <f>F148+F150+F151</f>
        <v>0</v>
      </c>
      <c r="G152" s="250">
        <f>G148+G150+G151</f>
        <v>0</v>
      </c>
      <c r="H152" s="250">
        <f t="shared" si="7"/>
        <v>2539433.3199999998</v>
      </c>
      <c r="I152" s="250">
        <f t="shared" si="8"/>
        <v>0</v>
      </c>
    </row>
    <row r="153" spans="1:9">
      <c r="A153" s="251" t="s">
        <v>749</v>
      </c>
      <c r="B153" s="338"/>
      <c r="C153" s="250">
        <f>C48/(C147-C150-C151)</f>
        <v>0.02</v>
      </c>
      <c r="D153" s="250">
        <f>D48/(D147-D150-D151)</f>
        <v>0.02</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25000</v>
      </c>
      <c r="D156" s="245">
        <f t="array" ref="D156">SUM(IF((Budget[Account Code]=B156)*(Budget[Ofc Code]=$G$4)*(Budget[Date]&lt;=$D$7),(Budget[Amount])))</f>
        <v>25000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-25000</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0</v>
      </c>
      <c r="D158" s="245">
        <f t="array" ref="D158">SUM(IF((Budget[Account Code]=B158)*(Budget[Ofc Code]=$G$4)*(Budget[Date]&lt;=$D$7),(Budget[Amount])))</f>
        <v>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25000</v>
      </c>
      <c r="D164" s="250">
        <f>SUM(D155:D163)</f>
        <v>25000</v>
      </c>
      <c r="E164" s="250">
        <f>SUM(E155:E163)</f>
        <v>0</v>
      </c>
      <c r="F164" s="250">
        <f>SUM(F155:F163)</f>
        <v>0</v>
      </c>
      <c r="G164" s="250">
        <f>SUM(G155:G163)</f>
        <v>0</v>
      </c>
      <c r="H164" s="250">
        <f t="shared" si="10"/>
        <v>-25000</v>
      </c>
      <c r="I164" s="250">
        <f t="shared" si="11"/>
        <v>0</v>
      </c>
    </row>
    <row r="165" spans="1:9">
      <c r="A165" s="251" t="s">
        <v>788</v>
      </c>
      <c r="B165" s="338"/>
      <c r="C165" s="250">
        <f>C147+C164</f>
        <v>2614433.3199999998</v>
      </c>
      <c r="D165" s="250">
        <f>D147+D164</f>
        <v>2614433.3199999998</v>
      </c>
      <c r="E165" s="250">
        <f>E147+E164</f>
        <v>0</v>
      </c>
      <c r="F165" s="250">
        <f>F147+F164</f>
        <v>0</v>
      </c>
      <c r="G165" s="250">
        <f>G147+G164</f>
        <v>0</v>
      </c>
      <c r="H165" s="250">
        <f t="shared" si="10"/>
        <v>-2614433.3199999998</v>
      </c>
      <c r="I165" s="250">
        <f t="shared" si="11"/>
        <v>0</v>
      </c>
    </row>
    <row r="166" spans="1:9">
      <c r="A166" s="251" t="s">
        <v>785</v>
      </c>
      <c r="B166" s="338"/>
      <c r="C166" s="250">
        <f>C48-C165</f>
        <v>-2564433.3199999998</v>
      </c>
      <c r="D166" s="250">
        <f>D48-D165</f>
        <v>-2564433.3199999998</v>
      </c>
      <c r="E166" s="250">
        <f>E48-E165</f>
        <v>0</v>
      </c>
      <c r="F166" s="250">
        <f>F48-F165</f>
        <v>0</v>
      </c>
      <c r="G166" s="250">
        <f>G48-G165</f>
        <v>0</v>
      </c>
      <c r="H166" s="250">
        <f t="shared" si="10"/>
        <v>2564433.3199999998</v>
      </c>
      <c r="I166" s="250">
        <f t="shared" si="11"/>
        <v>0</v>
      </c>
    </row>
    <row r="167" spans="1:9">
      <c r="A167" s="251" t="s">
        <v>749</v>
      </c>
      <c r="B167" s="338"/>
      <c r="C167" s="250">
        <f>C48/C165</f>
        <v>0.02</v>
      </c>
      <c r="D167" s="250">
        <f>D48/D165</f>
        <v>0.02</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-2564433.3199999998</v>
      </c>
      <c r="D170" s="250">
        <f>D166+D168+D169</f>
        <v>-2564433.3199999998</v>
      </c>
      <c r="E170" s="250">
        <f>E166+E168+E169</f>
        <v>0</v>
      </c>
      <c r="F170" s="250">
        <f>F166+F168+F169</f>
        <v>0</v>
      </c>
      <c r="G170" s="250">
        <f>G166+G168+G169</f>
        <v>0</v>
      </c>
      <c r="H170" s="250">
        <f t="shared" si="10"/>
        <v>2564433.3199999998</v>
      </c>
      <c r="I170" s="250">
        <f t="shared" si="11"/>
        <v>0</v>
      </c>
    </row>
    <row r="171" spans="1:9">
      <c r="A171" s="251" t="s">
        <v>792</v>
      </c>
      <c r="B171" s="338"/>
      <c r="C171" s="250">
        <f>C48/(C165-C168-C169)</f>
        <v>0.02</v>
      </c>
      <c r="D171" s="250">
        <f>D48/(D165-D168-D169)</f>
        <v>0.02</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2614433.3199999998</v>
      </c>
      <c r="D178" s="250">
        <f>D165+D177</f>
        <v>2614433.3199999998</v>
      </c>
      <c r="E178" s="250">
        <f>E165+E177</f>
        <v>0</v>
      </c>
      <c r="F178" s="250">
        <f>F165+F177</f>
        <v>0</v>
      </c>
      <c r="G178" s="250">
        <f>G165+G177</f>
        <v>0</v>
      </c>
      <c r="H178" s="250">
        <f t="shared" si="12"/>
        <v>-2614433.3199999998</v>
      </c>
      <c r="I178" s="250">
        <f t="shared" si="13"/>
        <v>0</v>
      </c>
    </row>
    <row r="179" spans="1:9">
      <c r="A179" s="251" t="s">
        <v>785</v>
      </c>
      <c r="B179" s="338"/>
      <c r="C179" s="250">
        <f>C48-C178</f>
        <v>-2564433.3199999998</v>
      </c>
      <c r="D179" s="250">
        <f>D48-D178</f>
        <v>-2564433.3199999998</v>
      </c>
      <c r="E179" s="250">
        <f>E48-E178</f>
        <v>0</v>
      </c>
      <c r="F179" s="250">
        <f>F48-F178</f>
        <v>0</v>
      </c>
      <c r="G179" s="250">
        <f>G48-G178</f>
        <v>0</v>
      </c>
      <c r="H179" s="250">
        <f t="shared" si="12"/>
        <v>2564433.3199999998</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0.02</v>
      </c>
      <c r="D184" s="265">
        <f>D48/(D178-D181-D182)</f>
        <v>0.02</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I184"/>
  <sheetViews>
    <sheetView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6.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e">
        <f>IF(G4=0,,VLOOKUP((TRIM(G4)),SortCode,2,))</f>
        <v>#N/A</v>
      </c>
      <c r="C4" s="332"/>
      <c r="G4" s="331" t="s">
        <v>507</v>
      </c>
    </row>
    <row r="5" spans="1:9" ht="14.25" customHeight="1">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0</v>
      </c>
      <c r="D9" s="242">
        <f>D10+D11</f>
        <v>0</v>
      </c>
      <c r="E9" s="242">
        <f>E10+E11</f>
        <v>0</v>
      </c>
      <c r="F9" s="242">
        <f>F10+F11</f>
        <v>0</v>
      </c>
      <c r="G9" s="242">
        <f>G10+G11</f>
        <v>0</v>
      </c>
      <c r="H9" s="242">
        <f>G9-D9</f>
        <v>0</v>
      </c>
      <c r="I9" s="242">
        <f>IF((D9=0),0,G9/D9)</f>
        <v>0</v>
      </c>
    </row>
    <row r="10" spans="1:9">
      <c r="A10" s="243" t="s">
        <v>821</v>
      </c>
      <c r="B10" s="337" t="s">
        <v>125</v>
      </c>
      <c r="C10" s="245">
        <f t="array" ref="C10">SUM(IF((Budget[Account Code]=B10)*(Budget[Ofc Code]=$G$4),(Budget[Amount])))</f>
        <v>0</v>
      </c>
      <c r="D10" s="245">
        <f t="array" ref="D10">SUM(IF((Budget[Account Code]=B10)*(Budget[Ofc Code]=$G$4)*(Budget[Date]&lt;=$D$7),(Budget[Amount])))</f>
        <v>0</v>
      </c>
      <c r="E10" s="245">
        <f t="array" ref="E10">((SUM(IF((CkDJ[Ofc Code]=(TRIM(G$4)))*(CkDJ[Account Code]=(TRIM($B10)))*(CkDJ[Date]&lt;=$E$7),CkDJ[Credit])))+(SUM(IF((CsDJ[Ofc Code]=(TRIM(G$4)))*(CsDJ[Account Code]=(TRIM($B10)))*(CsDJ[Date]&lt;=$E$7),CsDJ[Credit])))+(SUM(IF((CRDJ[Ofc Code]=(TRIM(G$4)))*(CRDJ[Account Code]=(TRIM($B10)))*(CRDJ[Date]&lt;=$E$7),CRDJ[Credit])))+(SUM(IF((GJ[Ofc Code]=(TRIM(G$4)))*(GJ[Account Code]=(TRIM($B10)))*(GJ[Date]&lt;=$E$7),GJ[Credit]))))-((SUM(IF((CkDJ[Ofc Code]=(TRIM(G$4)))*(CkDJ[Account Code]=(TRIM($B10)))*(CkDJ[Date]&lt;=$E$7),CkDJ[Debit])))+(SUM(IF((CsDJ[Ofc Code]=(TRIM(G$4)))*(CsDJ[Account Code]=(TRIM($B10)))*(CsDJ[Date]&lt;=$E$7),CsDJ[Debit])))+(SUM(IF((CRDJ[Ofc Code]=(TRIM(G$4)))*(CRDJ[Account Code]=(TRIM($B10)))*(CRDJ[Date]&lt;=$E$7),CRDJ[Debit])))+(SUM(IF((GJ[Ofc Code]=(TRIM(G$4)))*(GJ[Account Code]=(TRIM($B10)))*(GJ[Date]&lt;=$E$7),GJ[Debit]))))</f>
        <v>0</v>
      </c>
      <c r="F10" s="245">
        <f t="array" ref="F10">((SUM(IF((CkDJ[Date]=$A$3)*(CkDJ[Ofc Code]=(TRIM(G$4)))*(CkDJ[Account Code]=(TRIM($B10))),CkDJ[Credit])))+(SUM(IF((CsDJ[Date]=$A$3)*(CsDJ[Ofc Code]=(TRIM(G$4)))*(CsDJ[Account Code]=(TRIM($B10))),CsDJ[Credit])))+(SUM(IF((CRDJ[Date]=$A$3)*(CRDJ[Ofc Code]=(TRIM(G$4)))*(CRDJ[Account Code]=(TRIM($B10))),CRDJ[Credit])))+(SUM(IF((GJ[Date]=$A$3)*(GJ[Ofc Code]=(TRIM(G$4)))*(GJ[Account Code]=(TRIM($B10))),GJ[Credit]))))-((SUM(IF((CkDJ[Date]=$A$3)*(CkDJ[Ofc Code]=(TRIM(G$4)))*(CkDJ[Account Code]=(TRIM($B10))),CkDJ[Debit])))+(SUM(IF((CsDJ[Date]=$A$3)*(CsDJ[Ofc Code]=(TRIM(G$4)))*(CsDJ[Account Code]=(TRIM($B10))),CsDJ[Debit])))+(SUM(IF((CRDJ[Date]=$A$3)*(CRDJ[Ofc Code]=(TRIM(G$4)))*(CRDJ[Account Code]=(TRIM($B10))),CRDJ[Debit])))+(SUM(IF((GJ[Date]=$A$3)*(GJ[Ofc Code]=(TRIM(G$4)))*(GJ[Account Code]=(TRIM($B10))),GJ[Debit]))))</f>
        <v>0</v>
      </c>
      <c r="G10" s="343">
        <f>E10+F10</f>
        <v>0</v>
      </c>
      <c r="H10" s="246">
        <f t="shared" ref="H10:H24" si="0">G10-D10</f>
        <v>0</v>
      </c>
      <c r="I10" s="246">
        <f t="shared" ref="I10:I24" si="1">IF((D10=0),0,G10/D10)</f>
        <v>0</v>
      </c>
    </row>
    <row r="11" spans="1:9">
      <c r="A11" s="243" t="s">
        <v>820</v>
      </c>
      <c r="B11" s="337"/>
      <c r="C11" s="245">
        <f>SUM(C12:C14)</f>
        <v>0</v>
      </c>
      <c r="D11" s="245">
        <f>SUM(D12:D14)</f>
        <v>0</v>
      </c>
      <c r="E11" s="245">
        <f>SUM(E12:E14)</f>
        <v>0</v>
      </c>
      <c r="F11" s="245">
        <f>SUM(F12:F14)</f>
        <v>0</v>
      </c>
      <c r="G11" s="343">
        <f>SUM(G12:G14)</f>
        <v>0</v>
      </c>
      <c r="H11" s="246">
        <f t="shared" si="0"/>
        <v>0</v>
      </c>
      <c r="I11" s="246">
        <f t="shared" si="1"/>
        <v>0</v>
      </c>
    </row>
    <row r="12" spans="1:9">
      <c r="A12" s="247" t="s">
        <v>809</v>
      </c>
      <c r="B12" s="337" t="s">
        <v>126</v>
      </c>
      <c r="C12" s="245">
        <f t="array" ref="C12">SUM(IF((Budget[Account Code]=B12)*(Budget[Ofc Code]=$G$4),(Budget[Amount])))</f>
        <v>0</v>
      </c>
      <c r="D12" s="245">
        <f t="array" ref="D12">SUM(IF((Budget[Account Code]=B12)*(Budget[Ofc Code]=$G$4)*(Budget[Date]&lt;=$D$7),(Budget[Amount])))</f>
        <v>0</v>
      </c>
      <c r="E12" s="245">
        <f t="array" ref="E12">((SUM(IF((CkDJ[Ofc Code]=(TRIM(G$4)))*(CkDJ[Account Code]=(TRIM($B12)))*(CkDJ[Date]&lt;=$E$7),CkDJ[Credit])))+(SUM(IF((CsDJ[Ofc Code]=(TRIM(G$4)))*(CsDJ[Account Code]=(TRIM($B12)))*(CsDJ[Date]&lt;=$E$7),CsDJ[Credit])))+(SUM(IF((CRDJ[Ofc Code]=(TRIM(G$4)))*(CRDJ[Account Code]=(TRIM($B12)))*(CRDJ[Date]&lt;=$E$7),CRDJ[Credit])))+(SUM(IF((GJ[Ofc Code]=(TRIM(G$4)))*(GJ[Account Code]=(TRIM($B12)))*(GJ[Date]&lt;=$E$7),GJ[Credit]))))-((SUM(IF((CkDJ[Ofc Code]=(TRIM(G$4)))*(CkDJ[Account Code]=(TRIM($B12)))*(CkDJ[Date]&lt;=$E$7),CkDJ[Debit])))+(SUM(IF((CsDJ[Ofc Code]=(TRIM(G$4)))*(CsDJ[Account Code]=(TRIM($B12)))*(CsDJ[Date]&lt;=$E$7),CsDJ[Debit])))+(SUM(IF((CRDJ[Ofc Code]=(TRIM(G$4)))*(CRDJ[Account Code]=(TRIM($B12)))*(CRDJ[Date]&lt;=$E$7),CRDJ[Debit])))+(SUM(IF((GJ[Ofc Code]=(TRIM(G$4)))*(GJ[Account Code]=(TRIM($B12)))*(GJ[Date]&lt;=$E$7),GJ[Debit]))))</f>
        <v>0</v>
      </c>
      <c r="F12" s="245">
        <f t="array" ref="F12">((SUM(IF((CkDJ[Date]=$A$3)*(CkDJ[Ofc Code]=(TRIM(G$4)))*(CkDJ[Account Code]=(TRIM($B12))),CkDJ[Credit])))+(SUM(IF((CsDJ[Date]=$A$3)*(CsDJ[Ofc Code]=(TRIM(G$4)))*(CsDJ[Account Code]=(TRIM($B12))),CsDJ[Credit])))+(SUM(IF((CRDJ[Date]=$A$3)*(CRDJ[Ofc Code]=(TRIM(G$4)))*(CRDJ[Account Code]=(TRIM($B12))),CRDJ[Credit])))+(SUM(IF((GJ[Date]=$A$3)*(GJ[Ofc Code]=(TRIM(G$4)))*(GJ[Account Code]=(TRIM($B12))),GJ[Credit]))))-((SUM(IF((CkDJ[Date]=$A$3)*(CkDJ[Ofc Code]=(TRIM(G$4)))*(CkDJ[Account Code]=(TRIM($B12))),CkDJ[Debit])))+(SUM(IF((CsDJ[Date]=$A$3)*(CsDJ[Ofc Code]=(TRIM(G$4)))*(CsDJ[Account Code]=(TRIM($B12))),CsDJ[Debit])))+(SUM(IF((CRDJ[Date]=$A$3)*(CRDJ[Ofc Code]=(TRIM(G$4)))*(CRDJ[Account Code]=(TRIM($B12))),CRDJ[Debit])))+(SUM(IF((GJ[Date]=$A$3)*(GJ[Ofc Code]=(TRIM(G$4)))*(GJ[Account Code]=(TRIM($B12))),GJ[Debit]))))</f>
        <v>0</v>
      </c>
      <c r="G12" s="343">
        <f>E12+F12</f>
        <v>0</v>
      </c>
      <c r="H12" s="246">
        <f t="shared" si="0"/>
        <v>0</v>
      </c>
      <c r="I12" s="246">
        <f t="shared" si="1"/>
        <v>0</v>
      </c>
    </row>
    <row r="13" spans="1:9">
      <c r="A13" s="247" t="s">
        <v>828</v>
      </c>
      <c r="B13" s="337" t="s">
        <v>721</v>
      </c>
      <c r="C13" s="245">
        <f t="array" ref="C13">SUM(IF((Budget[Account Code]=B13)*(Budget[Ofc Code]=$G$4),(Budget[Amount])))</f>
        <v>0</v>
      </c>
      <c r="D13" s="245">
        <f t="array" ref="D13">SUM(IF((Budget[Account Code]=B13)*(Budget[Ofc Code]=$G$4)*(Budget[Date]&lt;=$D$7),(Budget[Amount])))</f>
        <v>0</v>
      </c>
      <c r="E13" s="245">
        <f t="array" ref="E13">((SUM(IF((CkDJ[Ofc Code]=(TRIM(G$4)))*(CkDJ[Account Code]=(TRIM($B13)))*(CkDJ[Date]&lt;=$E$7),CkDJ[Credit])))+(SUM(IF((CsDJ[Ofc Code]=(TRIM(G$4)))*(CsDJ[Account Code]=(TRIM($B13)))*(CsDJ[Date]&lt;=$E$7),CsDJ[Credit])))+(SUM(IF((CRDJ[Ofc Code]=(TRIM(G$4)))*(CRDJ[Account Code]=(TRIM($B13)))*(CRDJ[Date]&lt;=$E$7),CRDJ[Credit])))+(SUM(IF((GJ[Ofc Code]=(TRIM(G$4)))*(GJ[Account Code]=(TRIM($B13)))*(GJ[Date]&lt;=$E$7),GJ[Credit]))))-((SUM(IF((CkDJ[Ofc Code]=(TRIM(G$4)))*(CkDJ[Account Code]=(TRIM($B13)))*(CkDJ[Date]&lt;=$E$7),CkDJ[Debit])))+(SUM(IF((CsDJ[Ofc Code]=(TRIM(G$4)))*(CsDJ[Account Code]=(TRIM($B13)))*(CsDJ[Date]&lt;=$E$7),CsDJ[Debit])))+(SUM(IF((CRDJ[Ofc Code]=(TRIM(G$4)))*(CRDJ[Account Code]=(TRIM($B13)))*(CRDJ[Date]&lt;=$E$7),CRDJ[Debit])))+(SUM(IF((GJ[Ofc Code]=(TRIM(G$4)))*(GJ[Account Code]=(TRIM($B13)))*(GJ[Date]&lt;=$E$7),GJ[Debit]))))</f>
        <v>0</v>
      </c>
      <c r="F13" s="245">
        <f t="array" ref="F13">((SUM(IF((CkDJ[Date]=$A$3)*(CkDJ[Ofc Code]=(TRIM(G$4)))*(CkDJ[Account Code]=(TRIM($B13))),CkDJ[Credit])))+(SUM(IF((CsDJ[Date]=$A$3)*(CsDJ[Ofc Code]=(TRIM(G$4)))*(CsDJ[Account Code]=(TRIM($B13))),CsDJ[Credit])))+(SUM(IF((CRDJ[Date]=$A$3)*(CRDJ[Ofc Code]=(TRIM(G$4)))*(CRDJ[Account Code]=(TRIM($B13))),CRDJ[Credit])))+(SUM(IF((GJ[Date]=$A$3)*(GJ[Ofc Code]=(TRIM(G$4)))*(GJ[Account Code]=(TRIM($B13))),GJ[Credit]))))-((SUM(IF((CkDJ[Date]=$A$3)*(CkDJ[Ofc Code]=(TRIM(G$4)))*(CkDJ[Account Code]=(TRIM($B13))),CkDJ[Debit])))+(SUM(IF((CsDJ[Date]=$A$3)*(CsDJ[Ofc Code]=(TRIM(G$4)))*(CsDJ[Account Code]=(TRIM($B13))),CsDJ[Debit])))+(SUM(IF((CRDJ[Date]=$A$3)*(CRDJ[Ofc Code]=(TRIM(G$4)))*(CRDJ[Account Code]=(TRIM($B13))),CRDJ[Debit])))+(SUM(IF((GJ[Date]=$A$3)*(GJ[Ofc Code]=(TRIM(G$4)))*(GJ[Account Code]=(TRIM($B13))),GJ[Debit]))))</f>
        <v>0</v>
      </c>
      <c r="G13" s="343">
        <f>E13+F13</f>
        <v>0</v>
      </c>
      <c r="H13" s="246">
        <f t="shared" si="0"/>
        <v>0</v>
      </c>
      <c r="I13" s="246">
        <f t="shared" si="1"/>
        <v>0</v>
      </c>
    </row>
    <row r="14" spans="1:9">
      <c r="A14" s="247" t="s">
        <v>827</v>
      </c>
      <c r="B14" s="337" t="s">
        <v>143</v>
      </c>
      <c r="C14" s="245">
        <f t="array" ref="C14">SUM(IF((Budget[Account Code]=B14)*(Budget[Ofc Code]=$G$4),(Budget[Amount])))</f>
        <v>0</v>
      </c>
      <c r="D14" s="245">
        <f t="array" ref="D14">SUM(IF((Budget[Account Code]=B14)*(Budget[Ofc Code]=$G$4)*(Budget[Date]&lt;=$D$7),(Budget[Amount])))</f>
        <v>0</v>
      </c>
      <c r="E14" s="245">
        <f t="array" ref="E14">((SUM(IF((CkDJ[Ofc Code]=(TRIM(G$4)))*(CkDJ[Account Code]=(TRIM($B14)))*(CkDJ[Date]&lt;=$E$7),CkDJ[Credit])))+(SUM(IF((CsDJ[Ofc Code]=(TRIM(G$4)))*(CsDJ[Account Code]=(TRIM($B14)))*(CsDJ[Date]&lt;=$E$7),CsDJ[Credit])))+(SUM(IF((CRDJ[Ofc Code]=(TRIM(G$4)))*(CRDJ[Account Code]=(TRIM($B14)))*(CRDJ[Date]&lt;=$E$7),CRDJ[Credit])))+(SUM(IF((GJ[Ofc Code]=(TRIM(G$4)))*(GJ[Account Code]=(TRIM($B14)))*(GJ[Date]&lt;=$E$7),GJ[Credit]))))-((SUM(IF((CkDJ[Ofc Code]=(TRIM(G$4)))*(CkDJ[Account Code]=(TRIM($B14)))*(CkDJ[Date]&lt;=$E$7),CkDJ[Debit])))+(SUM(IF((CsDJ[Ofc Code]=(TRIM(G$4)))*(CsDJ[Account Code]=(TRIM($B14)))*(CsDJ[Date]&lt;=$E$7),CsDJ[Debit])))+(SUM(IF((CRDJ[Ofc Code]=(TRIM(G$4)))*(CRDJ[Account Code]=(TRIM($B14)))*(CRDJ[Date]&lt;=$E$7),CRDJ[Debit])))+(SUM(IF((GJ[Ofc Code]=(TRIM(G$4)))*(GJ[Account Code]=(TRIM($B14)))*(GJ[Date]&lt;=$E$7),GJ[Debit]))))</f>
        <v>0</v>
      </c>
      <c r="F14" s="245">
        <f t="array" ref="F14">((SUM(IF((CkDJ[Date]=$A$3)*(CkDJ[Ofc Code]=(TRIM(G$4)))*(CkDJ[Account Code]=(TRIM($B14))),CkDJ[Credit])))+(SUM(IF((CsDJ[Date]=$A$3)*(CsDJ[Ofc Code]=(TRIM(G$4)))*(CsDJ[Account Code]=(TRIM($B14))),CsDJ[Credit])))+(SUM(IF((CRDJ[Date]=$A$3)*(CRDJ[Ofc Code]=(TRIM(G$4)))*(CRDJ[Account Code]=(TRIM($B14))),CRDJ[Credit])))+(SUM(IF((GJ[Date]=$A$3)*(GJ[Ofc Code]=(TRIM(G$4)))*(GJ[Account Code]=(TRIM($B14))),GJ[Credit]))))-((SUM(IF((CkDJ[Date]=$A$3)*(CkDJ[Ofc Code]=(TRIM(G$4)))*(CkDJ[Account Code]=(TRIM($B14))),CkDJ[Debit])))+(SUM(IF((CsDJ[Date]=$A$3)*(CsDJ[Ofc Code]=(TRIM(G$4)))*(CsDJ[Account Code]=(TRIM($B14))),CsDJ[Debit])))+(SUM(IF((CRDJ[Date]=$A$3)*(CRDJ[Ofc Code]=(TRIM(G$4)))*(CRDJ[Account Code]=(TRIM($B14))),CRDJ[Debit])))+(SUM(IF((GJ[Date]=$A$3)*(GJ[Ofc Code]=(TRIM(G$4)))*(GJ[Account Code]=(TRIM($B14))),GJ[Debit]))))</f>
        <v>0</v>
      </c>
      <c r="G14" s="343">
        <f>E14+F14</f>
        <v>0</v>
      </c>
      <c r="H14" s="246">
        <f t="shared" si="0"/>
        <v>0</v>
      </c>
      <c r="I14" s="246">
        <f t="shared" si="1"/>
        <v>0</v>
      </c>
    </row>
    <row r="15" spans="1:9">
      <c r="A15" s="241" t="s">
        <v>826</v>
      </c>
      <c r="B15" s="337"/>
      <c r="C15" s="248">
        <f>SUM(C16:C18)</f>
        <v>0</v>
      </c>
      <c r="D15" s="248">
        <f>SUM(D16:D18)</f>
        <v>0</v>
      </c>
      <c r="E15" s="248">
        <f>SUM(E16:E18)</f>
        <v>0</v>
      </c>
      <c r="F15" s="248">
        <f>SUM(F16:F18)</f>
        <v>0</v>
      </c>
      <c r="G15" s="248">
        <f>SUM(G16:G18)</f>
        <v>0</v>
      </c>
      <c r="H15" s="242">
        <f t="shared" si="0"/>
        <v>0</v>
      </c>
      <c r="I15" s="242">
        <f t="shared" si="1"/>
        <v>0</v>
      </c>
    </row>
    <row r="16" spans="1:9" hidden="1">
      <c r="A16" s="243" t="s">
        <v>182</v>
      </c>
      <c r="B16" s="337" t="s">
        <v>146</v>
      </c>
      <c r="C16" s="245">
        <f t="array" ref="C16">SUM(IF((Budget[Account Code]=B16)*(Budget[Ofc Code]=$G$4),(Budget[Amount])))</f>
        <v>0</v>
      </c>
      <c r="D16" s="245">
        <f t="array" ref="D16">SUM(IF((Budget[Account Code]=B16)*(Budget[Ofc Code]=$G$4)*(Budget[Date]&lt;=$D$7),(Budget[Amount])))</f>
        <v>0</v>
      </c>
      <c r="E16" s="245">
        <f t="array" ref="E16">((SUM(IF((CkDJ[Ofc Code]=(TRIM(G$4)))*(CkDJ[Account Code]=(TRIM($B16)))*(CkDJ[Date]&lt;=$E$7),CkDJ[Credit])))+(SUM(IF((CsDJ[Ofc Code]=(TRIM(G$4)))*(CsDJ[Account Code]=(TRIM($B16)))*(CsDJ[Date]&lt;=$E$7),CsDJ[Credit])))+(SUM(IF((CRDJ[Ofc Code]=(TRIM(G$4)))*(CRDJ[Account Code]=(TRIM($B16)))*(CRDJ[Date]&lt;=$E$7),CRDJ[Credit])))+(SUM(IF((GJ[Ofc Code]=(TRIM(G$4)))*(GJ[Account Code]=(TRIM($B16)))*(GJ[Date]&lt;=$E$7),GJ[Credit]))))-((SUM(IF((CkDJ[Ofc Code]=(TRIM(G$4)))*(CkDJ[Account Code]=(TRIM($B16)))*(CkDJ[Date]&lt;=$E$7),CkDJ[Debit])))+(SUM(IF((CsDJ[Ofc Code]=(TRIM(G$4)))*(CsDJ[Account Code]=(TRIM($B16)))*(CsDJ[Date]&lt;=$E$7),CsDJ[Debit])))+(SUM(IF((CRDJ[Ofc Code]=(TRIM(G$4)))*(CRDJ[Account Code]=(TRIM($B16)))*(CRDJ[Date]&lt;=$E$7),CRDJ[Debit])))+(SUM(IF((GJ[Ofc Code]=(TRIM(G$4)))*(GJ[Account Code]=(TRIM($B16)))*(GJ[Date]&lt;=$E$7),GJ[Debit]))))</f>
        <v>0</v>
      </c>
      <c r="F16" s="245">
        <f t="array" ref="F16">((SUM(IF((CkDJ[Date]=$A$3)*(CkDJ[Ofc Code]=(TRIM(G$4)))*(CkDJ[Account Code]=(TRIM($B16))),CkDJ[Credit])))+(SUM(IF((CsDJ[Date]=$A$3)*(CsDJ[Ofc Code]=(TRIM(G$4)))*(CsDJ[Account Code]=(TRIM($B16))),CsDJ[Credit])))+(SUM(IF((CRDJ[Date]=$A$3)*(CRDJ[Ofc Code]=(TRIM(G$4)))*(CRDJ[Account Code]=(TRIM($B16))),CRDJ[Credit])))+(SUM(IF((GJ[Date]=$A$3)*(GJ[Ofc Code]=(TRIM(G$4)))*(GJ[Account Code]=(TRIM($B16))),GJ[Credit]))))-((SUM(IF((CkDJ[Date]=$A$3)*(CkDJ[Ofc Code]=(TRIM(G$4)))*(CkDJ[Account Code]=(TRIM($B16))),CkDJ[Debit])))+(SUM(IF((CsDJ[Date]=$A$3)*(CsDJ[Ofc Code]=(TRIM(G$4)))*(CsDJ[Account Code]=(TRIM($B16))),CsDJ[Debit])))+(SUM(IF((CRDJ[Date]=$A$3)*(CRDJ[Ofc Code]=(TRIM(G$4)))*(CRDJ[Account Code]=(TRIM($B16))),CRDJ[Debit])))+(SUM(IF((GJ[Date]=$A$3)*(GJ[Ofc Code]=(TRIM(G$4)))*(GJ[Account Code]=(TRIM($B16))),GJ[Debit]))))</f>
        <v>0</v>
      </c>
      <c r="G16" s="343">
        <f>E16+F16</f>
        <v>0</v>
      </c>
      <c r="H16" s="246">
        <f t="shared" si="0"/>
        <v>0</v>
      </c>
      <c r="I16" s="246">
        <f t="shared" si="1"/>
        <v>0</v>
      </c>
    </row>
    <row r="17" spans="1:9" hidden="1">
      <c r="A17" s="243" t="s">
        <v>183</v>
      </c>
      <c r="B17" s="337" t="s">
        <v>147</v>
      </c>
      <c r="C17" s="245">
        <f t="array" ref="C17">SUM(IF((Budget[Account Code]=B17)*(Budget[Ofc Code]=$G$4),(Budget[Amount])))</f>
        <v>0</v>
      </c>
      <c r="D17" s="245">
        <f t="array" ref="D17">SUM(IF((Budget[Account Code]=B17)*(Budget[Ofc Code]=$G$4)*(Budget[Date]&lt;=$D$7),(Budget[Amount])))</f>
        <v>0</v>
      </c>
      <c r="E17" s="245">
        <f t="array" ref="E17">((SUM(IF((CkDJ[Ofc Code]=(TRIM(G$4)))*(CkDJ[Account Code]=(TRIM($B17)))*(CkDJ[Date]&lt;=$E$7),CkDJ[Credit])))+(SUM(IF((CsDJ[Ofc Code]=(TRIM(G$4)))*(CsDJ[Account Code]=(TRIM($B17)))*(CsDJ[Date]&lt;=$E$7),CsDJ[Credit])))+(SUM(IF((CRDJ[Ofc Code]=(TRIM(G$4)))*(CRDJ[Account Code]=(TRIM($B17)))*(CRDJ[Date]&lt;=$E$7),CRDJ[Credit])))+(SUM(IF((GJ[Ofc Code]=(TRIM(G$4)))*(GJ[Account Code]=(TRIM($B17)))*(GJ[Date]&lt;=$E$7),GJ[Credit]))))-((SUM(IF((CkDJ[Ofc Code]=(TRIM(G$4)))*(CkDJ[Account Code]=(TRIM($B17)))*(CkDJ[Date]&lt;=$E$7),CkDJ[Debit])))+(SUM(IF((CsDJ[Ofc Code]=(TRIM(G$4)))*(CsDJ[Account Code]=(TRIM($B17)))*(CsDJ[Date]&lt;=$E$7),CsDJ[Debit])))+(SUM(IF((CRDJ[Ofc Code]=(TRIM(G$4)))*(CRDJ[Account Code]=(TRIM($B17)))*(CRDJ[Date]&lt;=$E$7),CRDJ[Debit])))+(SUM(IF((GJ[Ofc Code]=(TRIM(G$4)))*(GJ[Account Code]=(TRIM($B17)))*(GJ[Date]&lt;=$E$7),GJ[Debit]))))</f>
        <v>0</v>
      </c>
      <c r="F17" s="245">
        <f t="array" ref="F17">((SUM(IF((CkDJ[Date]=$A$3)*(CkDJ[Ofc Code]=(TRIM(G$4)))*(CkDJ[Account Code]=(TRIM($B17))),CkDJ[Credit])))+(SUM(IF((CsDJ[Date]=$A$3)*(CsDJ[Ofc Code]=(TRIM(G$4)))*(CsDJ[Account Code]=(TRIM($B17))),CsDJ[Credit])))+(SUM(IF((CRDJ[Date]=$A$3)*(CRDJ[Ofc Code]=(TRIM(G$4)))*(CRDJ[Account Code]=(TRIM($B17))),CRDJ[Credit])))+(SUM(IF((GJ[Date]=$A$3)*(GJ[Ofc Code]=(TRIM(G$4)))*(GJ[Account Code]=(TRIM($B17))),GJ[Credit]))))-((SUM(IF((CkDJ[Date]=$A$3)*(CkDJ[Ofc Code]=(TRIM(G$4)))*(CkDJ[Account Code]=(TRIM($B17))),CkDJ[Debit])))+(SUM(IF((CsDJ[Date]=$A$3)*(CsDJ[Ofc Code]=(TRIM(G$4)))*(CsDJ[Account Code]=(TRIM($B17))),CsDJ[Debit])))+(SUM(IF((CRDJ[Date]=$A$3)*(CRDJ[Ofc Code]=(TRIM(G$4)))*(CRDJ[Account Code]=(TRIM($B17))),CRDJ[Debit])))+(SUM(IF((GJ[Date]=$A$3)*(GJ[Ofc Code]=(TRIM(G$4)))*(GJ[Account Code]=(TRIM($B17))),GJ[Debit]))))</f>
        <v>0</v>
      </c>
      <c r="G17" s="343">
        <f>E17+F17</f>
        <v>0</v>
      </c>
      <c r="H17" s="246">
        <f t="shared" si="0"/>
        <v>0</v>
      </c>
      <c r="I17" s="246">
        <f t="shared" si="1"/>
        <v>0</v>
      </c>
    </row>
    <row r="18" spans="1:9" hidden="1">
      <c r="A18" s="243" t="s">
        <v>184</v>
      </c>
      <c r="B18" s="337" t="s">
        <v>148</v>
      </c>
      <c r="C18" s="245">
        <f t="array" ref="C18">SUM(IF((Budget[Account Code]=B18)*(Budget[Ofc Code]=$G$4),(Budget[Amount])))</f>
        <v>0</v>
      </c>
      <c r="D18" s="245">
        <f t="array" ref="D18">SUM(IF((Budget[Account Code]=B18)*(Budget[Ofc Code]=$G$4)*(Budget[Date]&lt;=$D$7),(Budget[Amount])))</f>
        <v>0</v>
      </c>
      <c r="E18" s="245">
        <f t="array" ref="E18">((SUM(IF((CkDJ[Ofc Code]=(TRIM(G$4)))*(CkDJ[Account Code]=(TRIM($B18)))*(CkDJ[Date]&lt;=$E$7),CkDJ[Credit])))+(SUM(IF((CsDJ[Ofc Code]=(TRIM(G$4)))*(CsDJ[Account Code]=(TRIM($B18)))*(CsDJ[Date]&lt;=$E$7),CsDJ[Credit])))+(SUM(IF((CRDJ[Ofc Code]=(TRIM(G$4)))*(CRDJ[Account Code]=(TRIM($B18)))*(CRDJ[Date]&lt;=$E$7),CRDJ[Credit])))+(SUM(IF((GJ[Ofc Code]=(TRIM(G$4)))*(GJ[Account Code]=(TRIM($B18)))*(GJ[Date]&lt;=$E$7),GJ[Credit]))))-((SUM(IF((CkDJ[Ofc Code]=(TRIM(G$4)))*(CkDJ[Account Code]=(TRIM($B18)))*(CkDJ[Date]&lt;=$E$7),CkDJ[Debit])))+(SUM(IF((CsDJ[Ofc Code]=(TRIM(G$4)))*(CsDJ[Account Code]=(TRIM($B18)))*(CsDJ[Date]&lt;=$E$7),CsDJ[Debit])))+(SUM(IF((CRDJ[Ofc Code]=(TRIM(G$4)))*(CRDJ[Account Code]=(TRIM($B18)))*(CRDJ[Date]&lt;=$E$7),CRDJ[Debit])))+(SUM(IF((GJ[Ofc Code]=(TRIM(G$4)))*(GJ[Account Code]=(TRIM($B18)))*(GJ[Date]&lt;=$E$7),GJ[Debit]))))</f>
        <v>0</v>
      </c>
      <c r="F18" s="245">
        <f t="array" ref="F18">((SUM(IF((CkDJ[Date]=$A$3)*(CkDJ[Ofc Code]=(TRIM(G$4)))*(CkDJ[Account Code]=(TRIM($B18))),CkDJ[Credit])))+(SUM(IF((CsDJ[Date]=$A$3)*(CsDJ[Ofc Code]=(TRIM(G$4)))*(CsDJ[Account Code]=(TRIM($B18))),CsDJ[Credit])))+(SUM(IF((CRDJ[Date]=$A$3)*(CRDJ[Ofc Code]=(TRIM(G$4)))*(CRDJ[Account Code]=(TRIM($B18))),CRDJ[Credit])))+(SUM(IF((GJ[Date]=$A$3)*(GJ[Ofc Code]=(TRIM(G$4)))*(GJ[Account Code]=(TRIM($B18))),GJ[Credit]))))-((SUM(IF((CkDJ[Date]=$A$3)*(CkDJ[Ofc Code]=(TRIM(G$4)))*(CkDJ[Account Code]=(TRIM($B18))),CkDJ[Debit])))+(SUM(IF((CsDJ[Date]=$A$3)*(CsDJ[Ofc Code]=(TRIM(G$4)))*(CsDJ[Account Code]=(TRIM($B18))),CsDJ[Debit])))+(SUM(IF((CRDJ[Date]=$A$3)*(CRDJ[Ofc Code]=(TRIM(G$4)))*(CRDJ[Account Code]=(TRIM($B18))),CRDJ[Debit])))+(SUM(IF((GJ[Date]=$A$3)*(GJ[Ofc Code]=(TRIM(G$4)))*(GJ[Account Code]=(TRIM($B18))),GJ[Debit]))))</f>
        <v>0</v>
      </c>
      <c r="G18" s="343">
        <f>E18+F18</f>
        <v>0</v>
      </c>
      <c r="H18" s="246">
        <f t="shared" si="0"/>
        <v>0</v>
      </c>
      <c r="I18" s="246">
        <f t="shared" si="1"/>
        <v>0</v>
      </c>
    </row>
    <row r="19" spans="1:9">
      <c r="A19" s="241" t="s">
        <v>825</v>
      </c>
      <c r="B19" s="337"/>
      <c r="C19" s="248">
        <f>SUM(C20:C21)</f>
        <v>0</v>
      </c>
      <c r="D19" s="248">
        <f>SUM(D20:D21)</f>
        <v>0</v>
      </c>
      <c r="E19" s="248">
        <f>SUM(E20:E21)</f>
        <v>0</v>
      </c>
      <c r="F19" s="248">
        <f>SUM(F20:F21)</f>
        <v>0</v>
      </c>
      <c r="G19" s="248">
        <f>SUM(G20:G21)</f>
        <v>0</v>
      </c>
      <c r="H19" s="242">
        <f t="shared" si="0"/>
        <v>0</v>
      </c>
      <c r="I19" s="242">
        <f t="shared" si="1"/>
        <v>0</v>
      </c>
    </row>
    <row r="20" spans="1:9">
      <c r="A20" s="243" t="s">
        <v>821</v>
      </c>
      <c r="B20" s="337" t="s">
        <v>131</v>
      </c>
      <c r="C20" s="245">
        <f t="array" ref="C20">SUM(IF((Budget[Account Code]=B20)*(Budget[Ofc Code]=$G$4),(Budget[Amount])))</f>
        <v>0</v>
      </c>
      <c r="D20" s="245">
        <f t="array" ref="D20">SUM(IF((Budget[Account Code]=B20)*(Budget[Ofc Code]=$G$4)*(Budget[Date]&lt;=$D$7),(Budget[Amount])))</f>
        <v>0</v>
      </c>
      <c r="E20" s="245">
        <f t="array" ref="E20">((SUM(IF((CkDJ[Ofc Code]=(TRIM(G$4)))*(CkDJ[Account Code]=(TRIM($B20)))*(CkDJ[Date]&lt;=$E$7),CkDJ[Credit])))+(SUM(IF((CsDJ[Ofc Code]=(TRIM(G$4)))*(CsDJ[Account Code]=(TRIM($B20)))*(CsDJ[Date]&lt;=$E$7),CsDJ[Credit])))+(SUM(IF((CRDJ[Ofc Code]=(TRIM(G$4)))*(CRDJ[Account Code]=(TRIM($B20)))*(CRDJ[Date]&lt;=$E$7),CRDJ[Credit])))+(SUM(IF((GJ[Ofc Code]=(TRIM(G$4)))*(GJ[Account Code]=(TRIM($B20)))*(GJ[Date]&lt;=$E$7),GJ[Credit]))))-((SUM(IF((CkDJ[Ofc Code]=(TRIM(G$4)))*(CkDJ[Account Code]=(TRIM($B20)))*(CkDJ[Date]&lt;=$E$7),CkDJ[Debit])))+(SUM(IF((CsDJ[Ofc Code]=(TRIM(G$4)))*(CsDJ[Account Code]=(TRIM($B20)))*(CsDJ[Date]&lt;=$E$7),CsDJ[Debit])))+(SUM(IF((CRDJ[Ofc Code]=(TRIM(G$4)))*(CRDJ[Account Code]=(TRIM($B20)))*(CRDJ[Date]&lt;=$E$7),CRDJ[Debit])))+(SUM(IF((GJ[Ofc Code]=(TRIM(G$4)))*(GJ[Account Code]=(TRIM($B20)))*(GJ[Date]&lt;=$E$7),GJ[Debit]))))</f>
        <v>0</v>
      </c>
      <c r="F20" s="245">
        <f t="array" ref="F20">((SUM(IF((CkDJ[Date]=$A$3)*(CkDJ[Ofc Code]=(TRIM(G$4)))*(CkDJ[Account Code]=(TRIM($B20))),CkDJ[Credit])))+(SUM(IF((CsDJ[Date]=$A$3)*(CsDJ[Ofc Code]=(TRIM(G$4)))*(CsDJ[Account Code]=(TRIM($B20))),CsDJ[Credit])))+(SUM(IF((CRDJ[Date]=$A$3)*(CRDJ[Ofc Code]=(TRIM(G$4)))*(CRDJ[Account Code]=(TRIM($B20))),CRDJ[Credit])))+(SUM(IF((GJ[Date]=$A$3)*(GJ[Ofc Code]=(TRIM(G$4)))*(GJ[Account Code]=(TRIM($B20))),GJ[Credit]))))-((SUM(IF((CkDJ[Date]=$A$3)*(CkDJ[Ofc Code]=(TRIM(G$4)))*(CkDJ[Account Code]=(TRIM($B20))),CkDJ[Debit])))+(SUM(IF((CsDJ[Date]=$A$3)*(CsDJ[Ofc Code]=(TRIM(G$4)))*(CsDJ[Account Code]=(TRIM($B20))),CsDJ[Debit])))+(SUM(IF((CRDJ[Date]=$A$3)*(CRDJ[Ofc Code]=(TRIM(G$4)))*(CRDJ[Account Code]=(TRIM($B20))),CRDJ[Debit])))+(SUM(IF((GJ[Date]=$A$3)*(GJ[Ofc Code]=(TRIM(G$4)))*(GJ[Account Code]=(TRIM($B20))),GJ[Debit]))))</f>
        <v>0</v>
      </c>
      <c r="G20" s="343">
        <f>E20+F20</f>
        <v>0</v>
      </c>
      <c r="H20" s="246">
        <f t="shared" si="0"/>
        <v>0</v>
      </c>
      <c r="I20" s="246">
        <f t="shared" si="1"/>
        <v>0</v>
      </c>
    </row>
    <row r="21" spans="1:9">
      <c r="A21" s="243" t="s">
        <v>820</v>
      </c>
      <c r="B21" s="337"/>
      <c r="C21" s="245">
        <f>SUM(C22:C23)</f>
        <v>0</v>
      </c>
      <c r="D21" s="245">
        <f>SUM(D22:D23)</f>
        <v>0</v>
      </c>
      <c r="E21" s="245">
        <f>SUM(E22:E23)</f>
        <v>0</v>
      </c>
      <c r="F21" s="245">
        <f>SUM(F22:F23)</f>
        <v>0</v>
      </c>
      <c r="G21" s="245">
        <f>SUM(G22:G23)</f>
        <v>0</v>
      </c>
      <c r="H21" s="246">
        <f t="shared" si="0"/>
        <v>0</v>
      </c>
      <c r="I21" s="246">
        <f t="shared" si="1"/>
        <v>0</v>
      </c>
    </row>
    <row r="22" spans="1:9" hidden="1">
      <c r="A22" s="247" t="s">
        <v>819</v>
      </c>
      <c r="B22" s="337" t="s">
        <v>140</v>
      </c>
      <c r="C22" s="245">
        <f t="array" ref="C22">SUM(IF((Budget[Account Code]=B22)*(Budget[Ofc Code]=$G$4),(Budget[Amount])))</f>
        <v>0</v>
      </c>
      <c r="D22" s="245">
        <f t="array" ref="D22">SUM(IF((Budget[Account Code]=B22)*(Budget[Ofc Code]=$G$4)*(Budget[Date]&lt;=$D$7),(Budget[Amount])))</f>
        <v>0</v>
      </c>
      <c r="E22" s="245">
        <f t="array" ref="E22">((SUM(IF((CkDJ[Ofc Code]=(TRIM(G$4)))*(CkDJ[Account Code]=(TRIM($B22)))*(CkDJ[Date]&lt;=$E$7),CkDJ[Credit])))+(SUM(IF((CsDJ[Ofc Code]=(TRIM(G$4)))*(CsDJ[Account Code]=(TRIM($B22)))*(CsDJ[Date]&lt;=$E$7),CsDJ[Credit])))+(SUM(IF((CRDJ[Ofc Code]=(TRIM(G$4)))*(CRDJ[Account Code]=(TRIM($B22)))*(CRDJ[Date]&lt;=$E$7),CRDJ[Credit])))+(SUM(IF((GJ[Ofc Code]=(TRIM(G$4)))*(GJ[Account Code]=(TRIM($B22)))*(GJ[Date]&lt;=$E$7),GJ[Credit]))))-((SUM(IF((CkDJ[Ofc Code]=(TRIM(G$4)))*(CkDJ[Account Code]=(TRIM($B22)))*(CkDJ[Date]&lt;=$E$7),CkDJ[Debit])))+(SUM(IF((CsDJ[Ofc Code]=(TRIM(G$4)))*(CsDJ[Account Code]=(TRIM($B22)))*(CsDJ[Date]&lt;=$E$7),CsDJ[Debit])))+(SUM(IF((CRDJ[Ofc Code]=(TRIM(G$4)))*(CRDJ[Account Code]=(TRIM($B22)))*(CRDJ[Date]&lt;=$E$7),CRDJ[Debit])))+(SUM(IF((GJ[Ofc Code]=(TRIM(G$4)))*(GJ[Account Code]=(TRIM($B22)))*(GJ[Date]&lt;=$E$7),GJ[Debit]))))</f>
        <v>0</v>
      </c>
      <c r="F22" s="245">
        <f t="array" ref="F22">((SUM(IF((CkDJ[Date]=$A$3)*(CkDJ[Ofc Code]=(TRIM(G$4)))*(CkDJ[Account Code]=(TRIM($B22))),CkDJ[Credit])))+(SUM(IF((CsDJ[Date]=$A$3)*(CsDJ[Ofc Code]=(TRIM(G$4)))*(CsDJ[Account Code]=(TRIM($B22))),CsDJ[Credit])))+(SUM(IF((CRDJ[Date]=$A$3)*(CRDJ[Ofc Code]=(TRIM(G$4)))*(CRDJ[Account Code]=(TRIM($B22))),CRDJ[Credit])))+(SUM(IF((GJ[Date]=$A$3)*(GJ[Ofc Code]=(TRIM(G$4)))*(GJ[Account Code]=(TRIM($B22))),GJ[Credit]))))-((SUM(IF((CkDJ[Date]=$A$3)*(CkDJ[Ofc Code]=(TRIM(G$4)))*(CkDJ[Account Code]=(TRIM($B22))),CkDJ[Debit])))+(SUM(IF((CsDJ[Date]=$A$3)*(CsDJ[Ofc Code]=(TRIM(G$4)))*(CsDJ[Account Code]=(TRIM($B22))),CsDJ[Debit])))+(SUM(IF((CRDJ[Date]=$A$3)*(CRDJ[Ofc Code]=(TRIM(G$4)))*(CRDJ[Account Code]=(TRIM($B22))),CRDJ[Debit])))+(SUM(IF((GJ[Date]=$A$3)*(GJ[Ofc Code]=(TRIM(G$4)))*(GJ[Account Code]=(TRIM($B22))),GJ[Debit]))))</f>
        <v>0</v>
      </c>
      <c r="G22" s="343">
        <f>E22+F22</f>
        <v>0</v>
      </c>
      <c r="H22" s="246">
        <f t="shared" si="0"/>
        <v>0</v>
      </c>
      <c r="I22" s="246">
        <f t="shared" si="1"/>
        <v>0</v>
      </c>
    </row>
    <row r="23" spans="1:9" hidden="1">
      <c r="A23" s="247" t="s">
        <v>818</v>
      </c>
      <c r="B23" s="337" t="s">
        <v>144</v>
      </c>
      <c r="C23" s="245">
        <f t="array" ref="C23">SUM(IF((Budget[Account Code]=B23)*(Budget[Ofc Code]=$G$4),(Budget[Amount])))</f>
        <v>0</v>
      </c>
      <c r="D23" s="245">
        <f t="array" ref="D23">SUM(IF((Budget[Account Code]=B23)*(Budget[Ofc Code]=$G$4)*(Budget[Date]&lt;=$D$7),(Budget[Amount])))</f>
        <v>0</v>
      </c>
      <c r="E23" s="245">
        <f t="array" ref="E23">((SUM(IF((CkDJ[Ofc Code]=(TRIM(G$4)))*(CkDJ[Account Code]=(TRIM($B23)))*(CkDJ[Date]&lt;=$E$7),CkDJ[Credit])))+(SUM(IF((CsDJ[Ofc Code]=(TRIM(G$4)))*(CsDJ[Account Code]=(TRIM($B23)))*(CsDJ[Date]&lt;=$E$7),CsDJ[Credit])))+(SUM(IF((CRDJ[Ofc Code]=(TRIM(G$4)))*(CRDJ[Account Code]=(TRIM($B23)))*(CRDJ[Date]&lt;=$E$7),CRDJ[Credit])))+(SUM(IF((GJ[Ofc Code]=(TRIM(G$4)))*(GJ[Account Code]=(TRIM($B23)))*(GJ[Date]&lt;=$E$7),GJ[Credit]))))-((SUM(IF((CkDJ[Ofc Code]=(TRIM(G$4)))*(CkDJ[Account Code]=(TRIM($B23)))*(CkDJ[Date]&lt;=$E$7),CkDJ[Debit])))+(SUM(IF((CsDJ[Ofc Code]=(TRIM(G$4)))*(CsDJ[Account Code]=(TRIM($B23)))*(CsDJ[Date]&lt;=$E$7),CsDJ[Debit])))+(SUM(IF((CRDJ[Ofc Code]=(TRIM(G$4)))*(CRDJ[Account Code]=(TRIM($B23)))*(CRDJ[Date]&lt;=$E$7),CRDJ[Debit])))+(SUM(IF((GJ[Ofc Code]=(TRIM(G$4)))*(GJ[Account Code]=(TRIM($B23)))*(GJ[Date]&lt;=$E$7),GJ[Debit]))))</f>
        <v>0</v>
      </c>
      <c r="F23" s="245">
        <f t="array" ref="F23">((SUM(IF((CkDJ[Date]=$A$3)*(CkDJ[Ofc Code]=(TRIM(G$4)))*(CkDJ[Account Code]=(TRIM($B23))),CkDJ[Credit])))+(SUM(IF((CsDJ[Date]=$A$3)*(CsDJ[Ofc Code]=(TRIM(G$4)))*(CsDJ[Account Code]=(TRIM($B23))),CsDJ[Credit])))+(SUM(IF((CRDJ[Date]=$A$3)*(CRDJ[Ofc Code]=(TRIM(G$4)))*(CRDJ[Account Code]=(TRIM($B23))),CRDJ[Credit])))+(SUM(IF((GJ[Date]=$A$3)*(GJ[Ofc Code]=(TRIM(G$4)))*(GJ[Account Code]=(TRIM($B23))),GJ[Credit]))))-((SUM(IF((CkDJ[Date]=$A$3)*(CkDJ[Ofc Code]=(TRIM(G$4)))*(CkDJ[Account Code]=(TRIM($B23))),CkDJ[Debit])))+(SUM(IF((CsDJ[Date]=$A$3)*(CsDJ[Ofc Code]=(TRIM(G$4)))*(CsDJ[Account Code]=(TRIM($B23))),CsDJ[Debit])))+(SUM(IF((CRDJ[Date]=$A$3)*(CRDJ[Ofc Code]=(TRIM(G$4)))*(CRDJ[Account Code]=(TRIM($B23))),CRDJ[Debit])))+(SUM(IF((GJ[Date]=$A$3)*(GJ[Ofc Code]=(TRIM(G$4)))*(GJ[Account Code]=(TRIM($B23))),GJ[Debit]))))</f>
        <v>0</v>
      </c>
      <c r="G23" s="343">
        <f>E23+F23</f>
        <v>0</v>
      </c>
      <c r="H23" s="246">
        <f t="shared" si="0"/>
        <v>0</v>
      </c>
      <c r="I23" s="246">
        <f t="shared" si="1"/>
        <v>0</v>
      </c>
    </row>
    <row r="24" spans="1:9">
      <c r="A24" s="249" t="s">
        <v>814</v>
      </c>
      <c r="B24" s="338"/>
      <c r="C24" s="250">
        <f>C9+C15+C19</f>
        <v>0</v>
      </c>
      <c r="D24" s="250">
        <f>D9+D15+D19</f>
        <v>0</v>
      </c>
      <c r="E24" s="250">
        <f>E9+E15+E19</f>
        <v>0</v>
      </c>
      <c r="F24" s="250">
        <f>F9+F15+F19</f>
        <v>0</v>
      </c>
      <c r="G24" s="250">
        <f>G9+G15+G19</f>
        <v>0</v>
      </c>
      <c r="H24" s="250">
        <f t="shared" si="0"/>
        <v>0</v>
      </c>
      <c r="I24" s="250">
        <f t="shared" si="1"/>
        <v>0</v>
      </c>
    </row>
    <row r="25" spans="1:9">
      <c r="A25" s="239" t="s">
        <v>824</v>
      </c>
      <c r="B25" s="337"/>
      <c r="C25" s="240"/>
      <c r="D25" s="240"/>
      <c r="E25" s="240"/>
      <c r="F25" s="240"/>
      <c r="G25" s="246"/>
      <c r="H25" s="246"/>
      <c r="I25" s="246"/>
    </row>
    <row r="26" spans="1:9">
      <c r="A26" s="241" t="s">
        <v>823</v>
      </c>
      <c r="B26" s="337" t="s">
        <v>352</v>
      </c>
      <c r="C26" s="245">
        <f t="array" ref="C26">SUM(IF((Budget[Account Code]=B26)*(Budget[Ofc Code]=$G$4),(Budget[Amount])))</f>
        <v>0</v>
      </c>
      <c r="D26" s="245">
        <f t="array" ref="D26">SUM(IF((Budget[Account Code]=B26)*(Budget[Ofc Code]=$G$4)*(Budget[Date]&lt;=$D$7),(Budget[Amount])))</f>
        <v>0</v>
      </c>
      <c r="E26" s="245">
        <f t="array" ref="E26">((SUM(IF((CkDJ[Ofc Code]=(TRIM(G$4)))*(CkDJ[Account Code]=(TRIM($B26)))*(CkDJ[Date]&lt;=$E$7),CkDJ[Credit])))+(SUM(IF((CsDJ[Ofc Code]=(TRIM(G$4)))*(CsDJ[Account Code]=(TRIM($B26)))*(CsDJ[Date]&lt;=$E$7),CsDJ[Credit])))+(SUM(IF((CRDJ[Ofc Code]=(TRIM(G$4)))*(CRDJ[Account Code]=(TRIM($B26)))*(CRDJ[Date]&lt;=$E$7),CRDJ[Credit])))+(SUM(IF((GJ[Ofc Code]=(TRIM(G$4)))*(GJ[Account Code]=(TRIM($B26)))*(GJ[Date]&lt;=$E$7),GJ[Credit]))))-((SUM(IF((CkDJ[Ofc Code]=(TRIM(G$4)))*(CkDJ[Account Code]=(TRIM($B26)))*(CkDJ[Date]&lt;=$E$7),CkDJ[Debit])))+(SUM(IF((CsDJ[Ofc Code]=(TRIM(G$4)))*(CsDJ[Account Code]=(TRIM($B26)))*(CsDJ[Date]&lt;=$E$7),CsDJ[Debit])))+(SUM(IF((CRDJ[Ofc Code]=(TRIM(G$4)))*(CRDJ[Account Code]=(TRIM($B26)))*(CRDJ[Date]&lt;=$E$7),CRDJ[Debit])))+(SUM(IF((GJ[Ofc Code]=(TRIM(G$4)))*(GJ[Account Code]=(TRIM($B26)))*(GJ[Date]&lt;=$E$7),GJ[Debit]))))</f>
        <v>0</v>
      </c>
      <c r="F26" s="245">
        <f t="array" ref="F26">((SUM(IF((CkDJ[Date]=$A$3)*(CkDJ[Ofc Code]=(TRIM(G$4)))*(CkDJ[Account Code]=(TRIM($B26))),CkDJ[Credit])))+(SUM(IF((CsDJ[Date]=$A$3)*(CsDJ[Ofc Code]=(TRIM(G$4)))*(CsDJ[Account Code]=(TRIM($B26))),CsDJ[Credit])))+(SUM(IF((CRDJ[Date]=$A$3)*(CRDJ[Ofc Code]=(TRIM(G$4)))*(CRDJ[Account Code]=(TRIM($B26))),CRDJ[Credit])))+(SUM(IF((GJ[Date]=$A$3)*(GJ[Ofc Code]=(TRIM(G$4)))*(GJ[Account Code]=(TRIM($B26))),GJ[Credit]))))-((SUM(IF((CkDJ[Date]=$A$3)*(CkDJ[Ofc Code]=(TRIM(G$4)))*(CkDJ[Account Code]=(TRIM($B26))),CkDJ[Debit])))+(SUM(IF((CsDJ[Date]=$A$3)*(CsDJ[Ofc Code]=(TRIM(G$4)))*(CsDJ[Account Code]=(TRIM($B26))),CsDJ[Debit])))+(SUM(IF((CRDJ[Date]=$A$3)*(CRDJ[Ofc Code]=(TRIM(G$4)))*(CRDJ[Account Code]=(TRIM($B26))),CRDJ[Debit])))+(SUM(IF((GJ[Date]=$A$3)*(GJ[Ofc Code]=(TRIM(G$4)))*(GJ[Account Code]=(TRIM($B26))),GJ[Debit]))))</f>
        <v>0</v>
      </c>
      <c r="G26" s="343">
        <f>E26+F26</f>
        <v>0</v>
      </c>
      <c r="H26" s="246">
        <f t="shared" ref="H26:H98" si="2">G26-D26</f>
        <v>0</v>
      </c>
      <c r="I26" s="246">
        <f t="shared" ref="I26:I98" si="3">IF((D26=0),0,G26/D26)</f>
        <v>0</v>
      </c>
    </row>
    <row r="27" spans="1:9">
      <c r="A27" s="241" t="s">
        <v>822</v>
      </c>
      <c r="B27" s="337"/>
      <c r="C27" s="248">
        <f>SUM(C28:C29)</f>
        <v>0</v>
      </c>
      <c r="D27" s="248">
        <f>SUM(D28:D29)</f>
        <v>0</v>
      </c>
      <c r="E27" s="248">
        <f>SUM(E28:E29)</f>
        <v>0</v>
      </c>
      <c r="F27" s="248">
        <f>SUM(F28:F29)</f>
        <v>0</v>
      </c>
      <c r="G27" s="248">
        <f>SUM(G28:G29)</f>
        <v>0</v>
      </c>
      <c r="H27" s="242">
        <f t="shared" si="2"/>
        <v>0</v>
      </c>
      <c r="I27" s="242">
        <f t="shared" si="3"/>
        <v>0</v>
      </c>
    </row>
    <row r="28" spans="1:9">
      <c r="A28" s="243" t="s">
        <v>821</v>
      </c>
      <c r="B28" s="339" t="s">
        <v>128</v>
      </c>
      <c r="C28" s="245">
        <f t="array" ref="C28">SUM(IF((Budget[Account Code]=B28)*(Budget[Ofc Code]=$G$4),(Budget[Amount])))</f>
        <v>0</v>
      </c>
      <c r="D28" s="245">
        <f t="array" ref="D28">SUM(IF((Budget[Account Code]=B28)*(Budget[Ofc Code]=$G$4)*(Budget[Date]&lt;=$D$7),(Budget[Amount])))</f>
        <v>0</v>
      </c>
      <c r="E28" s="245">
        <f t="array" ref="E28">((SUM(IF((CkDJ[Ofc Code]=(TRIM(G$4)))*(CkDJ[Account Code]=(TRIM($B28)))*(CkDJ[Date]&lt;=$E$7),CkDJ[Credit])))+(SUM(IF((CsDJ[Ofc Code]=(TRIM(G$4)))*(CsDJ[Account Code]=(TRIM($B28)))*(CsDJ[Date]&lt;=$E$7),CsDJ[Credit])))+(SUM(IF((CRDJ[Ofc Code]=(TRIM(G$4)))*(CRDJ[Account Code]=(TRIM($B28)))*(CRDJ[Date]&lt;=$E$7),CRDJ[Credit])))+(SUM(IF((GJ[Ofc Code]=(TRIM(G$4)))*(GJ[Account Code]=(TRIM($B28)))*(GJ[Date]&lt;=$E$7),GJ[Credit]))))-((SUM(IF((CkDJ[Ofc Code]=(TRIM(G$4)))*(CkDJ[Account Code]=(TRIM($B28)))*(CkDJ[Date]&lt;=$E$7),CkDJ[Debit])))+(SUM(IF((CsDJ[Ofc Code]=(TRIM(G$4)))*(CsDJ[Account Code]=(TRIM($B28)))*(CsDJ[Date]&lt;=$E$7),CsDJ[Debit])))+(SUM(IF((CRDJ[Ofc Code]=(TRIM(G$4)))*(CRDJ[Account Code]=(TRIM($B28)))*(CRDJ[Date]&lt;=$E$7),CRDJ[Debit])))+(SUM(IF((GJ[Ofc Code]=(TRIM(G$4)))*(GJ[Account Code]=(TRIM($B28)))*(GJ[Date]&lt;=$E$7),GJ[Debit]))))</f>
        <v>0</v>
      </c>
      <c r="F28" s="245">
        <f t="array" ref="F28">((SUM(IF((CkDJ[Date]=$A$3)*(CkDJ[Ofc Code]=(TRIM(G$4)))*(CkDJ[Account Code]=(TRIM($B28))),CkDJ[Credit])))+(SUM(IF((CsDJ[Date]=$A$3)*(CsDJ[Ofc Code]=(TRIM(G$4)))*(CsDJ[Account Code]=(TRIM($B28))),CsDJ[Credit])))+(SUM(IF((CRDJ[Date]=$A$3)*(CRDJ[Ofc Code]=(TRIM(G$4)))*(CRDJ[Account Code]=(TRIM($B28))),CRDJ[Credit])))+(SUM(IF((GJ[Date]=$A$3)*(GJ[Ofc Code]=(TRIM(G$4)))*(GJ[Account Code]=(TRIM($B28))),GJ[Credit]))))-((SUM(IF((CkDJ[Date]=$A$3)*(CkDJ[Ofc Code]=(TRIM(G$4)))*(CkDJ[Account Code]=(TRIM($B28))),CkDJ[Debit])))+(SUM(IF((CsDJ[Date]=$A$3)*(CsDJ[Ofc Code]=(TRIM(G$4)))*(CsDJ[Account Code]=(TRIM($B28))),CsDJ[Debit])))+(SUM(IF((CRDJ[Date]=$A$3)*(CRDJ[Ofc Code]=(TRIM(G$4)))*(CRDJ[Account Code]=(TRIM($B28))),CRDJ[Debit])))+(SUM(IF((GJ[Date]=$A$3)*(GJ[Ofc Code]=(TRIM(G$4)))*(GJ[Account Code]=(TRIM($B28))),GJ[Debit]))))</f>
        <v>0</v>
      </c>
      <c r="G28" s="343">
        <f>E28+F28</f>
        <v>0</v>
      </c>
      <c r="H28" s="246">
        <f t="shared" si="2"/>
        <v>0</v>
      </c>
      <c r="I28" s="246">
        <f t="shared" si="3"/>
        <v>0</v>
      </c>
    </row>
    <row r="29" spans="1:9">
      <c r="A29" s="243" t="s">
        <v>820</v>
      </c>
      <c r="B29" s="339"/>
      <c r="C29" s="245">
        <f>SUM(C30:C31)</f>
        <v>0</v>
      </c>
      <c r="D29" s="245">
        <f>SUM(D30:D31)</f>
        <v>0</v>
      </c>
      <c r="E29" s="245">
        <f>SUM(E30:E31)</f>
        <v>0</v>
      </c>
      <c r="F29" s="245">
        <f>SUM(F30:F31)</f>
        <v>0</v>
      </c>
      <c r="G29" s="245">
        <f>SUM(G30:G31)</f>
        <v>0</v>
      </c>
      <c r="H29" s="246">
        <f t="shared" si="2"/>
        <v>0</v>
      </c>
      <c r="I29" s="246">
        <f t="shared" si="3"/>
        <v>0</v>
      </c>
    </row>
    <row r="30" spans="1:9" hidden="1">
      <c r="A30" s="247" t="s">
        <v>819</v>
      </c>
      <c r="B30" s="339" t="s">
        <v>129</v>
      </c>
      <c r="C30" s="245">
        <f t="array" ref="C30">SUM(IF((Budget[Account Code]=B30)*(Budget[Ofc Code]=$G$4),(Budget[Amount])))</f>
        <v>0</v>
      </c>
      <c r="D30" s="245">
        <f t="array" ref="D30">SUM(IF((Budget[Account Code]=B30)*(Budget[Ofc Code]=$G$4)*(Budget[Date]&lt;=$D$7),(Budget[Amount])))</f>
        <v>0</v>
      </c>
      <c r="E30" s="245">
        <f t="array" ref="E30">((SUM(IF((CkDJ[Ofc Code]=(TRIM(G$4)))*(CkDJ[Account Code]=(TRIM($B30)))*(CkDJ[Date]&lt;=$E$7),CkDJ[Credit])))+(SUM(IF((CsDJ[Ofc Code]=(TRIM(G$4)))*(CsDJ[Account Code]=(TRIM($B30)))*(CsDJ[Date]&lt;=$E$7),CsDJ[Credit])))+(SUM(IF((CRDJ[Ofc Code]=(TRIM(G$4)))*(CRDJ[Account Code]=(TRIM($B30)))*(CRDJ[Date]&lt;=$E$7),CRDJ[Credit])))+(SUM(IF((GJ[Ofc Code]=(TRIM(G$4)))*(GJ[Account Code]=(TRIM($B30)))*(GJ[Date]&lt;=$E$7),GJ[Credit]))))-((SUM(IF((CkDJ[Ofc Code]=(TRIM(G$4)))*(CkDJ[Account Code]=(TRIM($B30)))*(CkDJ[Date]&lt;=$E$7),CkDJ[Debit])))+(SUM(IF((CsDJ[Ofc Code]=(TRIM(G$4)))*(CsDJ[Account Code]=(TRIM($B30)))*(CsDJ[Date]&lt;=$E$7),CsDJ[Debit])))+(SUM(IF((CRDJ[Ofc Code]=(TRIM(G$4)))*(CRDJ[Account Code]=(TRIM($B30)))*(CRDJ[Date]&lt;=$E$7),CRDJ[Debit])))+(SUM(IF((GJ[Ofc Code]=(TRIM(G$4)))*(GJ[Account Code]=(TRIM($B30)))*(GJ[Date]&lt;=$E$7),GJ[Debit]))))</f>
        <v>0</v>
      </c>
      <c r="F30" s="245">
        <f t="array" ref="F30">((SUM(IF((CkDJ[Date]=$A$3)*(CkDJ[Ofc Code]=(TRIM(G$4)))*(CkDJ[Account Code]=(TRIM($B30))),CkDJ[Credit])))+(SUM(IF((CsDJ[Date]=$A$3)*(CsDJ[Ofc Code]=(TRIM(G$4)))*(CsDJ[Account Code]=(TRIM($B30))),CsDJ[Credit])))+(SUM(IF((CRDJ[Date]=$A$3)*(CRDJ[Ofc Code]=(TRIM(G$4)))*(CRDJ[Account Code]=(TRIM($B30))),CRDJ[Credit])))+(SUM(IF((GJ[Date]=$A$3)*(GJ[Ofc Code]=(TRIM(G$4)))*(GJ[Account Code]=(TRIM($B30))),GJ[Credit]))))-((SUM(IF((CkDJ[Date]=$A$3)*(CkDJ[Ofc Code]=(TRIM(G$4)))*(CkDJ[Account Code]=(TRIM($B30))),CkDJ[Debit])))+(SUM(IF((CsDJ[Date]=$A$3)*(CsDJ[Ofc Code]=(TRIM(G$4)))*(CsDJ[Account Code]=(TRIM($B30))),CsDJ[Debit])))+(SUM(IF((CRDJ[Date]=$A$3)*(CRDJ[Ofc Code]=(TRIM(G$4)))*(CRDJ[Account Code]=(TRIM($B30))),CRDJ[Debit])))+(SUM(IF((GJ[Date]=$A$3)*(GJ[Ofc Code]=(TRIM(G$4)))*(GJ[Account Code]=(TRIM($B30))),GJ[Debit]))))</f>
        <v>0</v>
      </c>
      <c r="G30" s="343">
        <f>E30+F30</f>
        <v>0</v>
      </c>
      <c r="H30" s="246">
        <f t="shared" si="2"/>
        <v>0</v>
      </c>
      <c r="I30" s="246">
        <f t="shared" si="3"/>
        <v>0</v>
      </c>
    </row>
    <row r="31" spans="1:9" hidden="1">
      <c r="A31" s="247" t="s">
        <v>818</v>
      </c>
      <c r="B31" s="339" t="s">
        <v>145</v>
      </c>
      <c r="C31" s="245">
        <f t="array" ref="C31">SUM(IF((Budget[Account Code]=B31)*(Budget[Ofc Code]=$G$4),(Budget[Amount])))</f>
        <v>0</v>
      </c>
      <c r="D31" s="245">
        <f t="array" ref="D31">SUM(IF((Budget[Account Code]=B31)*(Budget[Ofc Code]=$G$4)*(Budget[Date]&lt;=$D$7),(Budget[Amount])))</f>
        <v>0</v>
      </c>
      <c r="E31" s="245">
        <f t="array" ref="E31">((SUM(IF((CkDJ[Ofc Code]=(TRIM(G$4)))*(CkDJ[Account Code]=(TRIM($B31)))*(CkDJ[Date]&lt;=$E$7),CkDJ[Credit])))+(SUM(IF((CsDJ[Ofc Code]=(TRIM(G$4)))*(CsDJ[Account Code]=(TRIM($B31)))*(CsDJ[Date]&lt;=$E$7),CsDJ[Credit])))+(SUM(IF((CRDJ[Ofc Code]=(TRIM(G$4)))*(CRDJ[Account Code]=(TRIM($B31)))*(CRDJ[Date]&lt;=$E$7),CRDJ[Credit])))+(SUM(IF((GJ[Ofc Code]=(TRIM(G$4)))*(GJ[Account Code]=(TRIM($B31)))*(GJ[Date]&lt;=$E$7),GJ[Credit]))))-((SUM(IF((CkDJ[Ofc Code]=(TRIM(G$4)))*(CkDJ[Account Code]=(TRIM($B31)))*(CkDJ[Date]&lt;=$E$7),CkDJ[Debit])))+(SUM(IF((CsDJ[Ofc Code]=(TRIM(G$4)))*(CsDJ[Account Code]=(TRIM($B31)))*(CsDJ[Date]&lt;=$E$7),CsDJ[Debit])))+(SUM(IF((CRDJ[Ofc Code]=(TRIM(G$4)))*(CRDJ[Account Code]=(TRIM($B31)))*(CRDJ[Date]&lt;=$E$7),CRDJ[Debit])))+(SUM(IF((GJ[Ofc Code]=(TRIM(G$4)))*(GJ[Account Code]=(TRIM($B31)))*(GJ[Date]&lt;=$E$7),GJ[Debit]))))</f>
        <v>0</v>
      </c>
      <c r="F31" s="245">
        <f t="array" ref="F31">((SUM(IF((CkDJ[Date]=$A$3)*(CkDJ[Ofc Code]=(TRIM(G$4)))*(CkDJ[Account Code]=(TRIM($B31))),CkDJ[Credit])))+(SUM(IF((CsDJ[Date]=$A$3)*(CsDJ[Ofc Code]=(TRIM(G$4)))*(CsDJ[Account Code]=(TRIM($B31))),CsDJ[Credit])))+(SUM(IF((CRDJ[Date]=$A$3)*(CRDJ[Ofc Code]=(TRIM(G$4)))*(CRDJ[Account Code]=(TRIM($B31))),CRDJ[Credit])))+(SUM(IF((GJ[Date]=$A$3)*(GJ[Ofc Code]=(TRIM(G$4)))*(GJ[Account Code]=(TRIM($B31))),GJ[Credit]))))-((SUM(IF((CkDJ[Date]=$A$3)*(CkDJ[Ofc Code]=(TRIM(G$4)))*(CkDJ[Account Code]=(TRIM($B31))),CkDJ[Debit])))+(SUM(IF((CsDJ[Date]=$A$3)*(CsDJ[Ofc Code]=(TRIM(G$4)))*(CsDJ[Account Code]=(TRIM($B31))),CsDJ[Debit])))+(SUM(IF((CRDJ[Date]=$A$3)*(CRDJ[Ofc Code]=(TRIM(G$4)))*(CRDJ[Account Code]=(TRIM($B31))),CRDJ[Debit])))+(SUM(IF((GJ[Date]=$A$3)*(GJ[Ofc Code]=(TRIM(G$4)))*(GJ[Account Code]=(TRIM($B31))),GJ[Debit]))))</f>
        <v>0</v>
      </c>
      <c r="G31" s="343">
        <f>E31+F31</f>
        <v>0</v>
      </c>
      <c r="H31" s="246">
        <f t="shared" si="2"/>
        <v>0</v>
      </c>
      <c r="I31" s="246">
        <f t="shared" si="3"/>
        <v>0</v>
      </c>
    </row>
    <row r="32" spans="1:9">
      <c r="A32" s="241" t="s">
        <v>817</v>
      </c>
      <c r="B32" s="339"/>
      <c r="C32" s="248">
        <f>SUM(C33:C35)</f>
        <v>0</v>
      </c>
      <c r="D32" s="248">
        <f>SUM(D33:D35)</f>
        <v>0</v>
      </c>
      <c r="E32" s="248">
        <f>SUM(E33:E35)</f>
        <v>0</v>
      </c>
      <c r="F32" s="248">
        <f>SUM(F33:F35)</f>
        <v>0</v>
      </c>
      <c r="G32" s="248">
        <f>SUM(G33:G35)</f>
        <v>0</v>
      </c>
      <c r="H32" s="242">
        <f t="shared" si="2"/>
        <v>0</v>
      </c>
      <c r="I32" s="242">
        <f t="shared" si="3"/>
        <v>0</v>
      </c>
    </row>
    <row r="33" spans="1:9" hidden="1">
      <c r="A33" s="272" t="s">
        <v>139</v>
      </c>
      <c r="B33" s="339" t="s">
        <v>130</v>
      </c>
      <c r="C33" s="245">
        <f t="array" ref="C33">SUM(IF((Budget[Account Code]=B33)*(Budget[Ofc Code]=$G$4),(Budget[Amount])))</f>
        <v>0</v>
      </c>
      <c r="D33" s="245">
        <f t="array" ref="D33">SUM(IF((Budget[Account Code]=B33)*(Budget[Ofc Code]=$G$4)*(Budget[Date]&lt;=$D$7),(Budget[Amount])))</f>
        <v>0</v>
      </c>
      <c r="E33" s="245">
        <f t="array" ref="E33">((SUM(IF((CkDJ[Ofc Code]=(TRIM(G$4)))*(CkDJ[Account Code]=(TRIM($B33)))*(CkDJ[Date]&lt;=$E$7),CkDJ[Credit])))+(SUM(IF((CsDJ[Ofc Code]=(TRIM(G$4)))*(CsDJ[Account Code]=(TRIM($B33)))*(CsDJ[Date]&lt;=$E$7),CsDJ[Credit])))+(SUM(IF((CRDJ[Ofc Code]=(TRIM(G$4)))*(CRDJ[Account Code]=(TRIM($B33)))*(CRDJ[Date]&lt;=$E$7),CRDJ[Credit])))+(SUM(IF((GJ[Ofc Code]=(TRIM(G$4)))*(GJ[Account Code]=(TRIM($B33)))*(GJ[Date]&lt;=$E$7),GJ[Credit]))))-((SUM(IF((CkDJ[Ofc Code]=(TRIM(G$4)))*(CkDJ[Account Code]=(TRIM($B33)))*(CkDJ[Date]&lt;=$E$7),CkDJ[Debit])))+(SUM(IF((CsDJ[Ofc Code]=(TRIM(G$4)))*(CsDJ[Account Code]=(TRIM($B33)))*(CsDJ[Date]&lt;=$E$7),CsDJ[Debit])))+(SUM(IF((CRDJ[Ofc Code]=(TRIM(G$4)))*(CRDJ[Account Code]=(TRIM($B33)))*(CRDJ[Date]&lt;=$E$7),CRDJ[Debit])))+(SUM(IF((GJ[Ofc Code]=(TRIM(G$4)))*(GJ[Account Code]=(TRIM($B33)))*(GJ[Date]&lt;=$E$7),GJ[Debit]))))</f>
        <v>0</v>
      </c>
      <c r="F33" s="245">
        <f t="array" ref="F33">((SUM(IF((CkDJ[Date]=$A$3)*(CkDJ[Ofc Code]=(TRIM(G$4)))*(CkDJ[Account Code]=(TRIM($B33))),CkDJ[Credit])))+(SUM(IF((CsDJ[Date]=$A$3)*(CsDJ[Ofc Code]=(TRIM(G$4)))*(CsDJ[Account Code]=(TRIM($B33))),CsDJ[Credit])))+(SUM(IF((CRDJ[Date]=$A$3)*(CRDJ[Ofc Code]=(TRIM(G$4)))*(CRDJ[Account Code]=(TRIM($B33))),CRDJ[Credit])))+(SUM(IF((GJ[Date]=$A$3)*(GJ[Ofc Code]=(TRIM(G$4)))*(GJ[Account Code]=(TRIM($B33))),GJ[Credit]))))-((SUM(IF((CkDJ[Date]=$A$3)*(CkDJ[Ofc Code]=(TRIM(G$4)))*(CkDJ[Account Code]=(TRIM($B33))),CkDJ[Debit])))+(SUM(IF((CsDJ[Date]=$A$3)*(CsDJ[Ofc Code]=(TRIM(G$4)))*(CsDJ[Account Code]=(TRIM($B33))),CsDJ[Debit])))+(SUM(IF((CRDJ[Date]=$A$3)*(CRDJ[Ofc Code]=(TRIM(G$4)))*(CRDJ[Account Code]=(TRIM($B33))),CRDJ[Debit])))+(SUM(IF((GJ[Date]=$A$3)*(GJ[Ofc Code]=(TRIM(G$4)))*(GJ[Account Code]=(TRIM($B33))),GJ[Debit]))))</f>
        <v>0</v>
      </c>
      <c r="G33" s="343">
        <f>E33+F33</f>
        <v>0</v>
      </c>
      <c r="H33" s="246">
        <f t="shared" si="2"/>
        <v>0</v>
      </c>
      <c r="I33" s="246">
        <f t="shared" si="3"/>
        <v>0</v>
      </c>
    </row>
    <row r="34" spans="1:9" hidden="1">
      <c r="A34" s="272" t="s">
        <v>180</v>
      </c>
      <c r="B34" s="339" t="s">
        <v>141</v>
      </c>
      <c r="C34" s="245">
        <f t="array" ref="C34">SUM(IF((Budget[Account Code]=B34)*(Budget[Ofc Code]=$G$4),(Budget[Amount])))</f>
        <v>0</v>
      </c>
      <c r="D34" s="245">
        <f t="array" ref="D34">SUM(IF((Budget[Account Code]=B34)*(Budget[Ofc Code]=$G$4)*(Budget[Date]&lt;=$D$7),(Budget[Amount])))</f>
        <v>0</v>
      </c>
      <c r="E34" s="245">
        <f t="array" ref="E34">((SUM(IF((CkDJ[Ofc Code]=(TRIM(G$4)))*(CkDJ[Account Code]=(TRIM($B34)))*(CkDJ[Date]&lt;=$E$7),CkDJ[Credit])))+(SUM(IF((CsDJ[Ofc Code]=(TRIM(G$4)))*(CsDJ[Account Code]=(TRIM($B34)))*(CsDJ[Date]&lt;=$E$7),CsDJ[Credit])))+(SUM(IF((CRDJ[Ofc Code]=(TRIM(G$4)))*(CRDJ[Account Code]=(TRIM($B34)))*(CRDJ[Date]&lt;=$E$7),CRDJ[Credit])))+(SUM(IF((GJ[Ofc Code]=(TRIM(G$4)))*(GJ[Account Code]=(TRIM($B34)))*(GJ[Date]&lt;=$E$7),GJ[Credit]))))-((SUM(IF((CkDJ[Ofc Code]=(TRIM(G$4)))*(CkDJ[Account Code]=(TRIM($B34)))*(CkDJ[Date]&lt;=$E$7),CkDJ[Debit])))+(SUM(IF((CsDJ[Ofc Code]=(TRIM(G$4)))*(CsDJ[Account Code]=(TRIM($B34)))*(CsDJ[Date]&lt;=$E$7),CsDJ[Debit])))+(SUM(IF((CRDJ[Ofc Code]=(TRIM(G$4)))*(CRDJ[Account Code]=(TRIM($B34)))*(CRDJ[Date]&lt;=$E$7),CRDJ[Debit])))+(SUM(IF((GJ[Ofc Code]=(TRIM(G$4)))*(GJ[Account Code]=(TRIM($B34)))*(GJ[Date]&lt;=$E$7),GJ[Debit]))))</f>
        <v>0</v>
      </c>
      <c r="F34" s="245">
        <f t="array" ref="F34">((SUM(IF((CkDJ[Date]=$A$3)*(CkDJ[Ofc Code]=(TRIM(G$4)))*(CkDJ[Account Code]=(TRIM($B34))),CkDJ[Credit])))+(SUM(IF((CsDJ[Date]=$A$3)*(CsDJ[Ofc Code]=(TRIM(G$4)))*(CsDJ[Account Code]=(TRIM($B34))),CsDJ[Credit])))+(SUM(IF((CRDJ[Date]=$A$3)*(CRDJ[Ofc Code]=(TRIM(G$4)))*(CRDJ[Account Code]=(TRIM($B34))),CRDJ[Credit])))+(SUM(IF((GJ[Date]=$A$3)*(GJ[Ofc Code]=(TRIM(G$4)))*(GJ[Account Code]=(TRIM($B34))),GJ[Credit]))))-((SUM(IF((CkDJ[Date]=$A$3)*(CkDJ[Ofc Code]=(TRIM(G$4)))*(CkDJ[Account Code]=(TRIM($B34))),CkDJ[Debit])))+(SUM(IF((CsDJ[Date]=$A$3)*(CsDJ[Ofc Code]=(TRIM(G$4)))*(CsDJ[Account Code]=(TRIM($B34))),CsDJ[Debit])))+(SUM(IF((CRDJ[Date]=$A$3)*(CRDJ[Ofc Code]=(TRIM(G$4)))*(CRDJ[Account Code]=(TRIM($B34))),CRDJ[Debit])))+(SUM(IF((GJ[Date]=$A$3)*(GJ[Ofc Code]=(TRIM(G$4)))*(GJ[Account Code]=(TRIM($B34))),GJ[Debit]))))</f>
        <v>0</v>
      </c>
      <c r="G34" s="343">
        <f>E34+F34</f>
        <v>0</v>
      </c>
      <c r="H34" s="246">
        <f>G34-D34</f>
        <v>0</v>
      </c>
      <c r="I34" s="246">
        <f>IF((D34=0),0,G34/D34)</f>
        <v>0</v>
      </c>
    </row>
    <row r="35" spans="1:9" hidden="1">
      <c r="A35" s="272" t="s">
        <v>181</v>
      </c>
      <c r="B35" s="339" t="s">
        <v>142</v>
      </c>
      <c r="C35" s="245">
        <f t="array" ref="C35">SUM(IF((Budget[Account Code]=B35)*(Budget[Ofc Code]=$G$4),(Budget[Amount])))</f>
        <v>0</v>
      </c>
      <c r="D35" s="245">
        <f t="array" ref="D35">SUM(IF((Budget[Account Code]=B35)*(Budget[Ofc Code]=$G$4)*(Budget[Date]&lt;=$D$7),(Budget[Amount])))</f>
        <v>0</v>
      </c>
      <c r="E35" s="245">
        <f t="array" ref="E35">((SUM(IF((CkDJ[Ofc Code]=(TRIM(G$4)))*(CkDJ[Account Code]=(TRIM($B35)))*(CkDJ[Date]&lt;=$E$7),CkDJ[Credit])))+(SUM(IF((CsDJ[Ofc Code]=(TRIM(G$4)))*(CsDJ[Account Code]=(TRIM($B35)))*(CsDJ[Date]&lt;=$E$7),CsDJ[Credit])))+(SUM(IF((CRDJ[Ofc Code]=(TRIM(G$4)))*(CRDJ[Account Code]=(TRIM($B35)))*(CRDJ[Date]&lt;=$E$7),CRDJ[Credit])))+(SUM(IF((GJ[Ofc Code]=(TRIM(G$4)))*(GJ[Account Code]=(TRIM($B35)))*(GJ[Date]&lt;=$E$7),GJ[Credit]))))-((SUM(IF((CkDJ[Ofc Code]=(TRIM(G$4)))*(CkDJ[Account Code]=(TRIM($B35)))*(CkDJ[Date]&lt;=$E$7),CkDJ[Debit])))+(SUM(IF((CsDJ[Ofc Code]=(TRIM(G$4)))*(CsDJ[Account Code]=(TRIM($B35)))*(CsDJ[Date]&lt;=$E$7),CsDJ[Debit])))+(SUM(IF((CRDJ[Ofc Code]=(TRIM(G$4)))*(CRDJ[Account Code]=(TRIM($B35)))*(CRDJ[Date]&lt;=$E$7),CRDJ[Debit])))+(SUM(IF((GJ[Ofc Code]=(TRIM(G$4)))*(GJ[Account Code]=(TRIM($B35)))*(GJ[Date]&lt;=$E$7),GJ[Debit]))))</f>
        <v>0</v>
      </c>
      <c r="F35" s="245">
        <f t="array" ref="F35">((SUM(IF((CkDJ[Date]=$A$3)*(CkDJ[Ofc Code]=(TRIM(G$4)))*(CkDJ[Account Code]=(TRIM($B35))),CkDJ[Credit])))+(SUM(IF((CsDJ[Date]=$A$3)*(CsDJ[Ofc Code]=(TRIM(G$4)))*(CsDJ[Account Code]=(TRIM($B35))),CsDJ[Credit])))+(SUM(IF((CRDJ[Date]=$A$3)*(CRDJ[Ofc Code]=(TRIM(G$4)))*(CRDJ[Account Code]=(TRIM($B35))),CRDJ[Credit])))+(SUM(IF((GJ[Date]=$A$3)*(GJ[Ofc Code]=(TRIM(G$4)))*(GJ[Account Code]=(TRIM($B35))),GJ[Credit]))))-((SUM(IF((CkDJ[Date]=$A$3)*(CkDJ[Ofc Code]=(TRIM(G$4)))*(CkDJ[Account Code]=(TRIM($B35))),CkDJ[Debit])))+(SUM(IF((CsDJ[Date]=$A$3)*(CsDJ[Ofc Code]=(TRIM(G$4)))*(CsDJ[Account Code]=(TRIM($B35))),CsDJ[Debit])))+(SUM(IF((CRDJ[Date]=$A$3)*(CRDJ[Ofc Code]=(TRIM(G$4)))*(CRDJ[Account Code]=(TRIM($B35))),CRDJ[Debit])))+(SUM(IF((GJ[Date]=$A$3)*(GJ[Ofc Code]=(TRIM(G$4)))*(GJ[Account Code]=(TRIM($B35))),GJ[Debit]))))</f>
        <v>0</v>
      </c>
      <c r="G35" s="343">
        <f>E35+F35</f>
        <v>0</v>
      </c>
      <c r="H35" s="246">
        <f t="shared" si="2"/>
        <v>0</v>
      </c>
      <c r="I35" s="246">
        <f t="shared" si="3"/>
        <v>0</v>
      </c>
    </row>
    <row r="36" spans="1:9">
      <c r="A36" s="241" t="s">
        <v>816</v>
      </c>
      <c r="B36" s="337"/>
      <c r="C36" s="248">
        <f>SUM(C37:C45)</f>
        <v>826000</v>
      </c>
      <c r="D36" s="248">
        <f>SUM(D37:D45)</f>
        <v>826000</v>
      </c>
      <c r="E36" s="248">
        <f>SUM(E37:E45)</f>
        <v>0</v>
      </c>
      <c r="F36" s="248">
        <f>SUM(F37:F45)</f>
        <v>0</v>
      </c>
      <c r="G36" s="248">
        <f>SUM(G37:G45)</f>
        <v>0</v>
      </c>
      <c r="H36" s="242">
        <f t="shared" si="2"/>
        <v>-826000</v>
      </c>
      <c r="I36" s="242">
        <f t="shared" si="3"/>
        <v>0</v>
      </c>
    </row>
    <row r="37" spans="1:9" hidden="1">
      <c r="A37" s="272" t="s">
        <v>186</v>
      </c>
      <c r="B37" s="339" t="s">
        <v>150</v>
      </c>
      <c r="C37" s="245">
        <f t="array" ref="C37">SUM(IF((Budget[Account Code]=B37)*(Budget[Ofc Code]=$G$4),(Budget[Amount])))</f>
        <v>0</v>
      </c>
      <c r="D37" s="245">
        <f t="array" ref="D37">SUM(IF((Budget[Account Code]=B37)*(Budget[Ofc Code]=$G$4)*(Budget[Date]&lt;=$D$7),(Budget[Amount])))</f>
        <v>0</v>
      </c>
      <c r="E37" s="245">
        <f t="array" ref="E37">((SUM(IF((CkDJ[Ofc Code]=(TRIM(G$4)))*(CkDJ[Account Code]=(TRIM($B37)))*(CkDJ[Date]&lt;=$E$7),CkDJ[Credit])))+(SUM(IF((CsDJ[Ofc Code]=(TRIM(G$4)))*(CsDJ[Account Code]=(TRIM($B37)))*(CsDJ[Date]&lt;=$E$7),CsDJ[Credit])))+(SUM(IF((CRDJ[Ofc Code]=(TRIM(G$4)))*(CRDJ[Account Code]=(TRIM($B37)))*(CRDJ[Date]&lt;=$E$7),CRDJ[Credit])))+(SUM(IF((GJ[Ofc Code]=(TRIM(G$4)))*(GJ[Account Code]=(TRIM($B37)))*(GJ[Date]&lt;=$E$7),GJ[Credit]))))-((SUM(IF((CkDJ[Ofc Code]=(TRIM(G$4)))*(CkDJ[Account Code]=(TRIM($B37)))*(CkDJ[Date]&lt;=$E$7),CkDJ[Debit])))+(SUM(IF((CsDJ[Ofc Code]=(TRIM(G$4)))*(CsDJ[Account Code]=(TRIM($B37)))*(CsDJ[Date]&lt;=$E$7),CsDJ[Debit])))+(SUM(IF((CRDJ[Ofc Code]=(TRIM(G$4)))*(CRDJ[Account Code]=(TRIM($B37)))*(CRDJ[Date]&lt;=$E$7),CRDJ[Debit])))+(SUM(IF((GJ[Ofc Code]=(TRIM(G$4)))*(GJ[Account Code]=(TRIM($B37)))*(GJ[Date]&lt;=$E$7),GJ[Debit]))))</f>
        <v>0</v>
      </c>
      <c r="F37" s="245">
        <f t="array" ref="F37">((SUM(IF((CkDJ[Date]=$A$3)*(CkDJ[Ofc Code]=(TRIM(G$4)))*(CkDJ[Account Code]=(TRIM($B37))),CkDJ[Credit])))+(SUM(IF((CsDJ[Date]=$A$3)*(CsDJ[Ofc Code]=(TRIM(G$4)))*(CsDJ[Account Code]=(TRIM($B37))),CsDJ[Credit])))+(SUM(IF((CRDJ[Date]=$A$3)*(CRDJ[Ofc Code]=(TRIM(G$4)))*(CRDJ[Account Code]=(TRIM($B37))),CRDJ[Credit])))+(SUM(IF((GJ[Date]=$A$3)*(GJ[Ofc Code]=(TRIM(G$4)))*(GJ[Account Code]=(TRIM($B37))),GJ[Credit]))))-((SUM(IF((CkDJ[Date]=$A$3)*(CkDJ[Ofc Code]=(TRIM(G$4)))*(CkDJ[Account Code]=(TRIM($B37))),CkDJ[Debit])))+(SUM(IF((CsDJ[Date]=$A$3)*(CsDJ[Ofc Code]=(TRIM(G$4)))*(CsDJ[Account Code]=(TRIM($B37))),CsDJ[Debit])))+(SUM(IF((CRDJ[Date]=$A$3)*(CRDJ[Ofc Code]=(TRIM(G$4)))*(CRDJ[Account Code]=(TRIM($B37))),CRDJ[Debit])))+(SUM(IF((GJ[Date]=$A$3)*(GJ[Ofc Code]=(TRIM(G$4)))*(GJ[Account Code]=(TRIM($B37))),GJ[Debit]))))</f>
        <v>0</v>
      </c>
      <c r="G37" s="343">
        <f t="shared" ref="G37:G43" si="4">E37+F37</f>
        <v>0</v>
      </c>
      <c r="H37" s="246">
        <f t="shared" si="2"/>
        <v>0</v>
      </c>
      <c r="I37" s="246">
        <f t="shared" si="3"/>
        <v>0</v>
      </c>
    </row>
    <row r="38" spans="1:9" hidden="1">
      <c r="A38" s="272" t="s">
        <v>187</v>
      </c>
      <c r="B38" s="339" t="s">
        <v>153</v>
      </c>
      <c r="C38" s="245">
        <f t="array" ref="C38">SUM(IF((Budget[Account Code]=B38)*(Budget[Ofc Code]=$G$4),(Budget[Amount])))</f>
        <v>0</v>
      </c>
      <c r="D38" s="245">
        <f t="array" ref="D38">SUM(IF((Budget[Account Code]=B38)*(Budget[Ofc Code]=$G$4)*(Budget[Date]&lt;=$D$7),(Budget[Amount])))</f>
        <v>0</v>
      </c>
      <c r="E38" s="245">
        <f t="array" ref="E38">((SUM(IF((CkDJ[Ofc Code]=(TRIM(G$4)))*(CkDJ[Account Code]=(TRIM($B38)))*(CkDJ[Date]&lt;=$E$7),CkDJ[Credit])))+(SUM(IF((CsDJ[Ofc Code]=(TRIM(G$4)))*(CsDJ[Account Code]=(TRIM($B38)))*(CsDJ[Date]&lt;=$E$7),CsDJ[Credit])))+(SUM(IF((CRDJ[Ofc Code]=(TRIM(G$4)))*(CRDJ[Account Code]=(TRIM($B38)))*(CRDJ[Date]&lt;=$E$7),CRDJ[Credit])))+(SUM(IF((GJ[Ofc Code]=(TRIM(G$4)))*(GJ[Account Code]=(TRIM($B38)))*(GJ[Date]&lt;=$E$7),GJ[Credit]))))-((SUM(IF((CkDJ[Ofc Code]=(TRIM(G$4)))*(CkDJ[Account Code]=(TRIM($B38)))*(CkDJ[Date]&lt;=$E$7),CkDJ[Debit])))+(SUM(IF((CsDJ[Ofc Code]=(TRIM(G$4)))*(CsDJ[Account Code]=(TRIM($B38)))*(CsDJ[Date]&lt;=$E$7),CsDJ[Debit])))+(SUM(IF((CRDJ[Ofc Code]=(TRIM(G$4)))*(CRDJ[Account Code]=(TRIM($B38)))*(CRDJ[Date]&lt;=$E$7),CRDJ[Debit])))+(SUM(IF((GJ[Ofc Code]=(TRIM(G$4)))*(GJ[Account Code]=(TRIM($B38)))*(GJ[Date]&lt;=$E$7),GJ[Debit]))))</f>
        <v>0</v>
      </c>
      <c r="F38" s="245">
        <f t="array" ref="F38">((SUM(IF((CkDJ[Date]=$A$3)*(CkDJ[Ofc Code]=(TRIM(G$4)))*(CkDJ[Account Code]=(TRIM($B38))),CkDJ[Credit])))+(SUM(IF((CsDJ[Date]=$A$3)*(CsDJ[Ofc Code]=(TRIM(G$4)))*(CsDJ[Account Code]=(TRIM($B38))),CsDJ[Credit])))+(SUM(IF((CRDJ[Date]=$A$3)*(CRDJ[Ofc Code]=(TRIM(G$4)))*(CRDJ[Account Code]=(TRIM($B38))),CRDJ[Credit])))+(SUM(IF((GJ[Date]=$A$3)*(GJ[Ofc Code]=(TRIM(G$4)))*(GJ[Account Code]=(TRIM($B38))),GJ[Credit]))))-((SUM(IF((CkDJ[Date]=$A$3)*(CkDJ[Ofc Code]=(TRIM(G$4)))*(CkDJ[Account Code]=(TRIM($B38))),CkDJ[Debit])))+(SUM(IF((CsDJ[Date]=$A$3)*(CsDJ[Ofc Code]=(TRIM(G$4)))*(CsDJ[Account Code]=(TRIM($B38))),CsDJ[Debit])))+(SUM(IF((CRDJ[Date]=$A$3)*(CRDJ[Ofc Code]=(TRIM(G$4)))*(CRDJ[Account Code]=(TRIM($B38))),CRDJ[Debit])))+(SUM(IF((GJ[Date]=$A$3)*(GJ[Ofc Code]=(TRIM(G$4)))*(GJ[Account Code]=(TRIM($B38))),GJ[Debit]))))</f>
        <v>0</v>
      </c>
      <c r="G38" s="343">
        <f t="shared" si="4"/>
        <v>0</v>
      </c>
      <c r="H38" s="246">
        <f t="shared" si="2"/>
        <v>0</v>
      </c>
      <c r="I38" s="246">
        <f t="shared" si="3"/>
        <v>0</v>
      </c>
    </row>
    <row r="39" spans="1:9" hidden="1">
      <c r="A39" s="272" t="s">
        <v>188</v>
      </c>
      <c r="B39" s="339" t="s">
        <v>154</v>
      </c>
      <c r="C39" s="245">
        <f t="array" ref="C39">SUM(IF((Budget[Account Code]=B39)*(Budget[Ofc Code]=$G$4),(Budget[Amount])))</f>
        <v>0</v>
      </c>
      <c r="D39" s="245">
        <f t="array" ref="D39">SUM(IF((Budget[Account Code]=B39)*(Budget[Ofc Code]=$G$4)*(Budget[Date]&lt;=$D$7),(Budget[Amount])))</f>
        <v>0</v>
      </c>
      <c r="E39" s="245">
        <f t="array" ref="E39">((SUM(IF((CkDJ[Ofc Code]=(TRIM(G$4)))*(CkDJ[Account Code]=(TRIM($B39)))*(CkDJ[Date]&lt;=$E$7),CkDJ[Credit])))+(SUM(IF((CsDJ[Ofc Code]=(TRIM(G$4)))*(CsDJ[Account Code]=(TRIM($B39)))*(CsDJ[Date]&lt;=$E$7),CsDJ[Credit])))+(SUM(IF((CRDJ[Ofc Code]=(TRIM(G$4)))*(CRDJ[Account Code]=(TRIM($B39)))*(CRDJ[Date]&lt;=$E$7),CRDJ[Credit])))+(SUM(IF((GJ[Ofc Code]=(TRIM(G$4)))*(GJ[Account Code]=(TRIM($B39)))*(GJ[Date]&lt;=$E$7),GJ[Credit]))))-((SUM(IF((CkDJ[Ofc Code]=(TRIM(G$4)))*(CkDJ[Account Code]=(TRIM($B39)))*(CkDJ[Date]&lt;=$E$7),CkDJ[Debit])))+(SUM(IF((CsDJ[Ofc Code]=(TRIM(G$4)))*(CsDJ[Account Code]=(TRIM($B39)))*(CsDJ[Date]&lt;=$E$7),CsDJ[Debit])))+(SUM(IF((CRDJ[Ofc Code]=(TRIM(G$4)))*(CRDJ[Account Code]=(TRIM($B39)))*(CRDJ[Date]&lt;=$E$7),CRDJ[Debit])))+(SUM(IF((GJ[Ofc Code]=(TRIM(G$4)))*(GJ[Account Code]=(TRIM($B39)))*(GJ[Date]&lt;=$E$7),GJ[Debit]))))</f>
        <v>0</v>
      </c>
      <c r="F39" s="245">
        <f t="array" ref="F39">((SUM(IF((CkDJ[Date]=$A$3)*(CkDJ[Ofc Code]=(TRIM(G$4)))*(CkDJ[Account Code]=(TRIM($B39))),CkDJ[Credit])))+(SUM(IF((CsDJ[Date]=$A$3)*(CsDJ[Ofc Code]=(TRIM(G$4)))*(CsDJ[Account Code]=(TRIM($B39))),CsDJ[Credit])))+(SUM(IF((CRDJ[Date]=$A$3)*(CRDJ[Ofc Code]=(TRIM(G$4)))*(CRDJ[Account Code]=(TRIM($B39))),CRDJ[Credit])))+(SUM(IF((GJ[Date]=$A$3)*(GJ[Ofc Code]=(TRIM(G$4)))*(GJ[Account Code]=(TRIM($B39))),GJ[Credit]))))-((SUM(IF((CkDJ[Date]=$A$3)*(CkDJ[Ofc Code]=(TRIM(G$4)))*(CkDJ[Account Code]=(TRIM($B39))),CkDJ[Debit])))+(SUM(IF((CsDJ[Date]=$A$3)*(CsDJ[Ofc Code]=(TRIM(G$4)))*(CsDJ[Account Code]=(TRIM($B39))),CsDJ[Debit])))+(SUM(IF((CRDJ[Date]=$A$3)*(CRDJ[Ofc Code]=(TRIM(G$4)))*(CRDJ[Account Code]=(TRIM($B39))),CRDJ[Debit])))+(SUM(IF((GJ[Date]=$A$3)*(GJ[Ofc Code]=(TRIM(G$4)))*(GJ[Account Code]=(TRIM($B39))),GJ[Debit]))))</f>
        <v>0</v>
      </c>
      <c r="G39" s="343">
        <f t="shared" si="4"/>
        <v>0</v>
      </c>
      <c r="H39" s="246">
        <f t="shared" si="2"/>
        <v>0</v>
      </c>
      <c r="I39" s="246">
        <f t="shared" si="3"/>
        <v>0</v>
      </c>
    </row>
    <row r="40" spans="1:9" hidden="1">
      <c r="A40" s="272" t="s">
        <v>189</v>
      </c>
      <c r="B40" s="339" t="s">
        <v>155</v>
      </c>
      <c r="C40" s="245">
        <f t="array" ref="C40">SUM(IF((Budget[Account Code]=B40)*(Budget[Ofc Code]=$G$4),(Budget[Amount])))</f>
        <v>0</v>
      </c>
      <c r="D40" s="245">
        <f t="array" ref="D40">SUM(IF((Budget[Account Code]=B40)*(Budget[Ofc Code]=$G$4)*(Budget[Date]&lt;=$D$7),(Budget[Amount])))</f>
        <v>0</v>
      </c>
      <c r="E40" s="245">
        <f t="array" ref="E40">((SUM(IF((CkDJ[Ofc Code]=(TRIM(G$4)))*(CkDJ[Account Code]=(TRIM($B40)))*(CkDJ[Date]&lt;=$E$7),CkDJ[Credit])))+(SUM(IF((CsDJ[Ofc Code]=(TRIM(G$4)))*(CsDJ[Account Code]=(TRIM($B40)))*(CsDJ[Date]&lt;=$E$7),CsDJ[Credit])))+(SUM(IF((CRDJ[Ofc Code]=(TRIM(G$4)))*(CRDJ[Account Code]=(TRIM($B40)))*(CRDJ[Date]&lt;=$E$7),CRDJ[Credit])))+(SUM(IF((GJ[Ofc Code]=(TRIM(G$4)))*(GJ[Account Code]=(TRIM($B40)))*(GJ[Date]&lt;=$E$7),GJ[Credit]))))-((SUM(IF((CkDJ[Ofc Code]=(TRIM(G$4)))*(CkDJ[Account Code]=(TRIM($B40)))*(CkDJ[Date]&lt;=$E$7),CkDJ[Debit])))+(SUM(IF((CsDJ[Ofc Code]=(TRIM(G$4)))*(CsDJ[Account Code]=(TRIM($B40)))*(CsDJ[Date]&lt;=$E$7),CsDJ[Debit])))+(SUM(IF((CRDJ[Ofc Code]=(TRIM(G$4)))*(CRDJ[Account Code]=(TRIM($B40)))*(CRDJ[Date]&lt;=$E$7),CRDJ[Debit])))+(SUM(IF((GJ[Ofc Code]=(TRIM(G$4)))*(GJ[Account Code]=(TRIM($B40)))*(GJ[Date]&lt;=$E$7),GJ[Debit]))))</f>
        <v>0</v>
      </c>
      <c r="F40" s="245">
        <f t="array" ref="F40">((SUM(IF((CkDJ[Date]=$A$3)*(CkDJ[Ofc Code]=(TRIM(G$4)))*(CkDJ[Account Code]=(TRIM($B40))),CkDJ[Credit])))+(SUM(IF((CsDJ[Date]=$A$3)*(CsDJ[Ofc Code]=(TRIM(G$4)))*(CsDJ[Account Code]=(TRIM($B40))),CsDJ[Credit])))+(SUM(IF((CRDJ[Date]=$A$3)*(CRDJ[Ofc Code]=(TRIM(G$4)))*(CRDJ[Account Code]=(TRIM($B40))),CRDJ[Credit])))+(SUM(IF((GJ[Date]=$A$3)*(GJ[Ofc Code]=(TRIM(G$4)))*(GJ[Account Code]=(TRIM($B40))),GJ[Credit]))))-((SUM(IF((CkDJ[Date]=$A$3)*(CkDJ[Ofc Code]=(TRIM(G$4)))*(CkDJ[Account Code]=(TRIM($B40))),CkDJ[Debit])))+(SUM(IF((CsDJ[Date]=$A$3)*(CsDJ[Ofc Code]=(TRIM(G$4)))*(CsDJ[Account Code]=(TRIM($B40))),CsDJ[Debit])))+(SUM(IF((CRDJ[Date]=$A$3)*(CRDJ[Ofc Code]=(TRIM(G$4)))*(CRDJ[Account Code]=(TRIM($B40))),CRDJ[Debit])))+(SUM(IF((GJ[Date]=$A$3)*(GJ[Ofc Code]=(TRIM(G$4)))*(GJ[Account Code]=(TRIM($B40))),GJ[Debit]))))</f>
        <v>0</v>
      </c>
      <c r="G40" s="343">
        <f t="shared" si="4"/>
        <v>0</v>
      </c>
      <c r="H40" s="246">
        <f t="shared" si="2"/>
        <v>0</v>
      </c>
      <c r="I40" s="246">
        <f t="shared" si="3"/>
        <v>0</v>
      </c>
    </row>
    <row r="41" spans="1:9" hidden="1">
      <c r="A41" s="272" t="s">
        <v>1269</v>
      </c>
      <c r="B41" s="339" t="s">
        <v>156</v>
      </c>
      <c r="C41" s="245">
        <f t="array" ref="C41">SUM(IF((Budget[Account Code]=B41)*(Budget[Ofc Code]=$G$4),(Budget[Amount])))</f>
        <v>0</v>
      </c>
      <c r="D41" s="245">
        <f t="array" ref="D41">SUM(IF((Budget[Account Code]=B41)*(Budget[Ofc Code]=$G$4)*(Budget[Date]&lt;=$D$7),(Budget[Amount])))</f>
        <v>0</v>
      </c>
      <c r="E41" s="245">
        <f t="array" ref="E41">((SUM(IF((CkDJ[Ofc Code]=(TRIM(G$4)))*(CkDJ[Account Code]=(TRIM($B41)))*(CkDJ[Date]&lt;=$E$7),CkDJ[Credit])))+(SUM(IF((CsDJ[Ofc Code]=(TRIM(G$4)))*(CsDJ[Account Code]=(TRIM($B41)))*(CsDJ[Date]&lt;=$E$7),CsDJ[Credit])))+(SUM(IF((CRDJ[Ofc Code]=(TRIM(G$4)))*(CRDJ[Account Code]=(TRIM($B41)))*(CRDJ[Date]&lt;=$E$7),CRDJ[Credit])))+(SUM(IF((GJ[Ofc Code]=(TRIM(G$4)))*(GJ[Account Code]=(TRIM($B41)))*(GJ[Date]&lt;=$E$7),GJ[Credit]))))-((SUM(IF((CkDJ[Ofc Code]=(TRIM(G$4)))*(CkDJ[Account Code]=(TRIM($B41)))*(CkDJ[Date]&lt;=$E$7),CkDJ[Debit])))+(SUM(IF((CsDJ[Ofc Code]=(TRIM(G$4)))*(CsDJ[Account Code]=(TRIM($B41)))*(CsDJ[Date]&lt;=$E$7),CsDJ[Debit])))+(SUM(IF((CRDJ[Ofc Code]=(TRIM(G$4)))*(CRDJ[Account Code]=(TRIM($B41)))*(CRDJ[Date]&lt;=$E$7),CRDJ[Debit])))+(SUM(IF((GJ[Ofc Code]=(TRIM(G$4)))*(GJ[Account Code]=(TRIM($B41)))*(GJ[Date]&lt;=$E$7),GJ[Debit]))))</f>
        <v>0</v>
      </c>
      <c r="F41" s="245">
        <f t="array" ref="F41">((SUM(IF((CkDJ[Date]=$A$3)*(CkDJ[Ofc Code]=(TRIM(G$4)))*(CkDJ[Account Code]=(TRIM($B41))),CkDJ[Credit])))+(SUM(IF((CsDJ[Date]=$A$3)*(CsDJ[Ofc Code]=(TRIM(G$4)))*(CsDJ[Account Code]=(TRIM($B41))),CsDJ[Credit])))+(SUM(IF((CRDJ[Date]=$A$3)*(CRDJ[Ofc Code]=(TRIM(G$4)))*(CRDJ[Account Code]=(TRIM($B41))),CRDJ[Credit])))+(SUM(IF((GJ[Date]=$A$3)*(GJ[Ofc Code]=(TRIM(G$4)))*(GJ[Account Code]=(TRIM($B41))),GJ[Credit]))))-((SUM(IF((CkDJ[Date]=$A$3)*(CkDJ[Ofc Code]=(TRIM(G$4)))*(CkDJ[Account Code]=(TRIM($B41))),CkDJ[Debit])))+(SUM(IF((CsDJ[Date]=$A$3)*(CsDJ[Ofc Code]=(TRIM(G$4)))*(CsDJ[Account Code]=(TRIM($B41))),CsDJ[Debit])))+(SUM(IF((CRDJ[Date]=$A$3)*(CRDJ[Ofc Code]=(TRIM(G$4)))*(CRDJ[Account Code]=(TRIM($B41))),CRDJ[Debit])))+(SUM(IF((GJ[Date]=$A$3)*(GJ[Ofc Code]=(TRIM(G$4)))*(GJ[Account Code]=(TRIM($B41))),GJ[Debit]))))</f>
        <v>0</v>
      </c>
      <c r="G41" s="343">
        <f>E41+F41</f>
        <v>0</v>
      </c>
      <c r="H41" s="246">
        <f>G41-D41</f>
        <v>0</v>
      </c>
      <c r="I41" s="246">
        <f>IF((D41=0),0,G41/D41)</f>
        <v>0</v>
      </c>
    </row>
    <row r="42" spans="1:9" hidden="1">
      <c r="A42" s="272" t="s">
        <v>190</v>
      </c>
      <c r="B42" s="339" t="s">
        <v>157</v>
      </c>
      <c r="C42" s="245">
        <f t="array" ref="C42">SUM(IF((Budget[Account Code]=B42)*(Budget[Ofc Code]=$G$4),(Budget[Amount])))</f>
        <v>0</v>
      </c>
      <c r="D42" s="245">
        <f t="array" ref="D42">SUM(IF((Budget[Account Code]=B42)*(Budget[Ofc Code]=$G$4)*(Budget[Date]&lt;=$D$7),(Budget[Amount])))</f>
        <v>0</v>
      </c>
      <c r="E42" s="245">
        <f t="array" ref="E42">((SUM(IF((CkDJ[Ofc Code]=(TRIM(G$4)))*(CkDJ[Account Code]=(TRIM($B42)))*(CkDJ[Date]&lt;=$E$7),CkDJ[Credit])))+(SUM(IF((CsDJ[Ofc Code]=(TRIM(G$4)))*(CsDJ[Account Code]=(TRIM($B42)))*(CsDJ[Date]&lt;=$E$7),CsDJ[Credit])))+(SUM(IF((CRDJ[Ofc Code]=(TRIM(G$4)))*(CRDJ[Account Code]=(TRIM($B42)))*(CRDJ[Date]&lt;=$E$7),CRDJ[Credit])))+(SUM(IF((GJ[Ofc Code]=(TRIM(G$4)))*(GJ[Account Code]=(TRIM($B42)))*(GJ[Date]&lt;=$E$7),GJ[Credit]))))-((SUM(IF((CkDJ[Ofc Code]=(TRIM(G$4)))*(CkDJ[Account Code]=(TRIM($B42)))*(CkDJ[Date]&lt;=$E$7),CkDJ[Debit])))+(SUM(IF((CsDJ[Ofc Code]=(TRIM(G$4)))*(CsDJ[Account Code]=(TRIM($B42)))*(CsDJ[Date]&lt;=$E$7),CsDJ[Debit])))+(SUM(IF((CRDJ[Ofc Code]=(TRIM(G$4)))*(CRDJ[Account Code]=(TRIM($B42)))*(CRDJ[Date]&lt;=$E$7),CRDJ[Debit])))+(SUM(IF((GJ[Ofc Code]=(TRIM(G$4)))*(GJ[Account Code]=(TRIM($B42)))*(GJ[Date]&lt;=$E$7),GJ[Debit]))))</f>
        <v>0</v>
      </c>
      <c r="F42" s="245">
        <f t="array" ref="F42">((SUM(IF((CkDJ[Date]=$A$3)*(CkDJ[Ofc Code]=(TRIM(G$4)))*(CkDJ[Account Code]=(TRIM($B42))),CkDJ[Credit])))+(SUM(IF((CsDJ[Date]=$A$3)*(CsDJ[Ofc Code]=(TRIM(G$4)))*(CsDJ[Account Code]=(TRIM($B42))),CsDJ[Credit])))+(SUM(IF((CRDJ[Date]=$A$3)*(CRDJ[Ofc Code]=(TRIM(G$4)))*(CRDJ[Account Code]=(TRIM($B42))),CRDJ[Credit])))+(SUM(IF((GJ[Date]=$A$3)*(GJ[Ofc Code]=(TRIM(G$4)))*(GJ[Account Code]=(TRIM($B42))),GJ[Credit]))))-((SUM(IF((CkDJ[Date]=$A$3)*(CkDJ[Ofc Code]=(TRIM(G$4)))*(CkDJ[Account Code]=(TRIM($B42))),CkDJ[Debit])))+(SUM(IF((CsDJ[Date]=$A$3)*(CsDJ[Ofc Code]=(TRIM(G$4)))*(CsDJ[Account Code]=(TRIM($B42))),CsDJ[Debit])))+(SUM(IF((CRDJ[Date]=$A$3)*(CRDJ[Ofc Code]=(TRIM(G$4)))*(CRDJ[Account Code]=(TRIM($B42))),CRDJ[Debit])))+(SUM(IF((GJ[Date]=$A$3)*(GJ[Ofc Code]=(TRIM(G$4)))*(GJ[Account Code]=(TRIM($B42))),GJ[Debit]))))</f>
        <v>0</v>
      </c>
      <c r="G42" s="343">
        <f>E42+F42</f>
        <v>0</v>
      </c>
      <c r="H42" s="246">
        <f>G42-D42</f>
        <v>0</v>
      </c>
      <c r="I42" s="246">
        <f>IF((D42=0),0,G42/D42)</f>
        <v>0</v>
      </c>
    </row>
    <row r="43" spans="1:9" hidden="1">
      <c r="A43" s="272" t="s">
        <v>192</v>
      </c>
      <c r="B43" s="339" t="s">
        <v>159</v>
      </c>
      <c r="C43" s="245">
        <f t="array" ref="C43">SUM(IF((Budget[Account Code]=B43)*(Budget[Ofc Code]=$G$4),(Budget[Amount])))</f>
        <v>0</v>
      </c>
      <c r="D43" s="245">
        <f t="array" ref="D43">SUM(IF((Budget[Account Code]=B43)*(Budget[Ofc Code]=$G$4)*(Budget[Date]&lt;=$D$7),(Budget[Amount])))</f>
        <v>0</v>
      </c>
      <c r="E43" s="245">
        <f t="array" ref="E43">((SUM(IF((CkDJ[Ofc Code]=(TRIM(G$4)))*(CkDJ[Account Code]=(TRIM($B43)))*(CkDJ[Date]&lt;=$E$7),CkDJ[Credit])))+(SUM(IF((CsDJ[Ofc Code]=(TRIM(G$4)))*(CsDJ[Account Code]=(TRIM($B43)))*(CsDJ[Date]&lt;=$E$7),CsDJ[Credit])))+(SUM(IF((CRDJ[Ofc Code]=(TRIM(G$4)))*(CRDJ[Account Code]=(TRIM($B43)))*(CRDJ[Date]&lt;=$E$7),CRDJ[Credit])))+(SUM(IF((GJ[Ofc Code]=(TRIM(G$4)))*(GJ[Account Code]=(TRIM($B43)))*(GJ[Date]&lt;=$E$7),GJ[Credit]))))-((SUM(IF((CkDJ[Ofc Code]=(TRIM(G$4)))*(CkDJ[Account Code]=(TRIM($B43)))*(CkDJ[Date]&lt;=$E$7),CkDJ[Debit])))+(SUM(IF((CsDJ[Ofc Code]=(TRIM(G$4)))*(CsDJ[Account Code]=(TRIM($B43)))*(CsDJ[Date]&lt;=$E$7),CsDJ[Debit])))+(SUM(IF((CRDJ[Ofc Code]=(TRIM(G$4)))*(CRDJ[Account Code]=(TRIM($B43)))*(CRDJ[Date]&lt;=$E$7),CRDJ[Debit])))+(SUM(IF((GJ[Ofc Code]=(TRIM(G$4)))*(GJ[Account Code]=(TRIM($B43)))*(GJ[Date]&lt;=$E$7),GJ[Debit]))))</f>
        <v>0</v>
      </c>
      <c r="F43" s="245">
        <f t="array" ref="F43">((SUM(IF((CkDJ[Date]=$A$3)*(CkDJ[Ofc Code]=(TRIM(G$4)))*(CkDJ[Account Code]=(TRIM($B43))),CkDJ[Credit])))+(SUM(IF((CsDJ[Date]=$A$3)*(CsDJ[Ofc Code]=(TRIM(G$4)))*(CsDJ[Account Code]=(TRIM($B43))),CsDJ[Credit])))+(SUM(IF((CRDJ[Date]=$A$3)*(CRDJ[Ofc Code]=(TRIM(G$4)))*(CRDJ[Account Code]=(TRIM($B43))),CRDJ[Credit])))+(SUM(IF((GJ[Date]=$A$3)*(GJ[Ofc Code]=(TRIM(G$4)))*(GJ[Account Code]=(TRIM($B43))),GJ[Credit]))))-((SUM(IF((CkDJ[Date]=$A$3)*(CkDJ[Ofc Code]=(TRIM(G$4)))*(CkDJ[Account Code]=(TRIM($B43))),CkDJ[Debit])))+(SUM(IF((CsDJ[Date]=$A$3)*(CsDJ[Ofc Code]=(TRIM(G$4)))*(CsDJ[Account Code]=(TRIM($B43))),CsDJ[Debit])))+(SUM(IF((CRDJ[Date]=$A$3)*(CRDJ[Ofc Code]=(TRIM(G$4)))*(CRDJ[Account Code]=(TRIM($B43))),CRDJ[Debit])))+(SUM(IF((GJ[Date]=$A$3)*(GJ[Ofc Code]=(TRIM(G$4)))*(GJ[Account Code]=(TRIM($B43))),GJ[Debit]))))</f>
        <v>0</v>
      </c>
      <c r="G43" s="343">
        <f t="shared" si="4"/>
        <v>0</v>
      </c>
      <c r="H43" s="246">
        <f t="shared" si="2"/>
        <v>0</v>
      </c>
      <c r="I43" s="246">
        <f t="shared" si="3"/>
        <v>0</v>
      </c>
    </row>
    <row r="44" spans="1:9" hidden="1">
      <c r="A44" s="272" t="s">
        <v>193</v>
      </c>
      <c r="B44" s="339" t="s">
        <v>160</v>
      </c>
      <c r="C44" s="245">
        <f t="array" ref="C44">SUM(IF((Budget[Account Code]=B44)*(Budget[Ofc Code]=$G$4),(Budget[Amount])))</f>
        <v>826000</v>
      </c>
      <c r="D44" s="245">
        <f t="array" ref="D44">SUM(IF((Budget[Account Code]=B44)*(Budget[Ofc Code]=$G$4)*(Budget[Date]&lt;=$D$7),(Budget[Amount])))</f>
        <v>826000</v>
      </c>
      <c r="E44" s="245">
        <f t="array" ref="E44">((SUM(IF((CkDJ[Ofc Code]=(TRIM(G$4)))*(CkDJ[Account Code]=(TRIM($B44)))*(CkDJ[Date]&lt;=$E$7),CkDJ[Credit])))+(SUM(IF((CsDJ[Ofc Code]=(TRIM(G$4)))*(CsDJ[Account Code]=(TRIM($B44)))*(CsDJ[Date]&lt;=$E$7),CsDJ[Credit])))+(SUM(IF((CRDJ[Ofc Code]=(TRIM(G$4)))*(CRDJ[Account Code]=(TRIM($B44)))*(CRDJ[Date]&lt;=$E$7),CRDJ[Credit])))+(SUM(IF((GJ[Ofc Code]=(TRIM(G$4)))*(GJ[Account Code]=(TRIM($B44)))*(GJ[Date]&lt;=$E$7),GJ[Credit]))))-((SUM(IF((CkDJ[Ofc Code]=(TRIM(G$4)))*(CkDJ[Account Code]=(TRIM($B44)))*(CkDJ[Date]&lt;=$E$7),CkDJ[Debit])))+(SUM(IF((CsDJ[Ofc Code]=(TRIM(G$4)))*(CsDJ[Account Code]=(TRIM($B44)))*(CsDJ[Date]&lt;=$E$7),CsDJ[Debit])))+(SUM(IF((CRDJ[Ofc Code]=(TRIM(G$4)))*(CRDJ[Account Code]=(TRIM($B44)))*(CRDJ[Date]&lt;=$E$7),CRDJ[Debit])))+(SUM(IF((GJ[Ofc Code]=(TRIM(G$4)))*(GJ[Account Code]=(TRIM($B44)))*(GJ[Date]&lt;=$E$7),GJ[Debit]))))</f>
        <v>0</v>
      </c>
      <c r="F44" s="245">
        <f t="array" ref="F44">((SUM(IF((CkDJ[Date]=$A$3)*(CkDJ[Ofc Code]=(TRIM(G$4)))*(CkDJ[Account Code]=(TRIM($B44))),CkDJ[Credit])))+(SUM(IF((CsDJ[Date]=$A$3)*(CsDJ[Ofc Code]=(TRIM(G$4)))*(CsDJ[Account Code]=(TRIM($B44))),CsDJ[Credit])))+(SUM(IF((CRDJ[Date]=$A$3)*(CRDJ[Ofc Code]=(TRIM(G$4)))*(CRDJ[Account Code]=(TRIM($B44))),CRDJ[Credit])))+(SUM(IF((GJ[Date]=$A$3)*(GJ[Ofc Code]=(TRIM(G$4)))*(GJ[Account Code]=(TRIM($B44))),GJ[Credit]))))-((SUM(IF((CkDJ[Date]=$A$3)*(CkDJ[Ofc Code]=(TRIM(G$4)))*(CkDJ[Account Code]=(TRIM($B44))),CkDJ[Debit])))+(SUM(IF((CsDJ[Date]=$A$3)*(CsDJ[Ofc Code]=(TRIM(G$4)))*(CsDJ[Account Code]=(TRIM($B44))),CsDJ[Debit])))+(SUM(IF((CRDJ[Date]=$A$3)*(CRDJ[Ofc Code]=(TRIM(G$4)))*(CRDJ[Account Code]=(TRIM($B44))),CRDJ[Debit])))+(SUM(IF((GJ[Date]=$A$3)*(GJ[Ofc Code]=(TRIM(G$4)))*(GJ[Account Code]=(TRIM($B44))),GJ[Debit]))))</f>
        <v>0</v>
      </c>
      <c r="G44" s="343">
        <f>E44+F44</f>
        <v>0</v>
      </c>
      <c r="H44" s="246">
        <f t="shared" si="2"/>
        <v>-826000</v>
      </c>
      <c r="I44" s="246">
        <f t="shared" si="3"/>
        <v>0</v>
      </c>
    </row>
    <row r="45" spans="1:9" hidden="1">
      <c r="A45" s="272" t="s">
        <v>191</v>
      </c>
      <c r="B45" s="339" t="s">
        <v>161</v>
      </c>
      <c r="C45" s="245">
        <f t="array" ref="C45">SUM(IF((Budget[Account Code]=B45)*(Budget[Ofc Code]=$G$4),(Budget[Amount])))</f>
        <v>0</v>
      </c>
      <c r="D45" s="245">
        <f t="array" ref="D45">SUM(IF((Budget[Account Code]=B45)*(Budget[Ofc Code]=$G$4)*(Budget[Date]&lt;=$D$7),(Budget[Amount])))</f>
        <v>0</v>
      </c>
      <c r="E45" s="245">
        <f t="array" ref="E45">((SUM(IF((CkDJ[Ofc Code]=(TRIM(G$4)))*(CkDJ[Account Code]=(TRIM($B45)))*(CkDJ[Date]&lt;=$E$7),CkDJ[Credit])))+(SUM(IF((CsDJ[Ofc Code]=(TRIM(G$4)))*(CsDJ[Account Code]=(TRIM($B45)))*(CsDJ[Date]&lt;=$E$7),CsDJ[Credit])))+(SUM(IF((CRDJ[Ofc Code]=(TRIM(G$4)))*(CRDJ[Account Code]=(TRIM($B45)))*(CRDJ[Date]&lt;=$E$7),CRDJ[Credit])))+(SUM(IF((GJ[Ofc Code]=(TRIM(G$4)))*(GJ[Account Code]=(TRIM($B45)))*(GJ[Date]&lt;=$E$7),GJ[Credit]))))-((SUM(IF((CkDJ[Ofc Code]=(TRIM(G$4)))*(CkDJ[Account Code]=(TRIM($B45)))*(CkDJ[Date]&lt;=$E$7),CkDJ[Debit])))+(SUM(IF((CsDJ[Ofc Code]=(TRIM(G$4)))*(CsDJ[Account Code]=(TRIM($B45)))*(CsDJ[Date]&lt;=$E$7),CsDJ[Debit])))+(SUM(IF((CRDJ[Ofc Code]=(TRIM(G$4)))*(CRDJ[Account Code]=(TRIM($B45)))*(CRDJ[Date]&lt;=$E$7),CRDJ[Debit])))+(SUM(IF((GJ[Ofc Code]=(TRIM(G$4)))*(GJ[Account Code]=(TRIM($B45)))*(GJ[Date]&lt;=$E$7),GJ[Debit]))))</f>
        <v>0</v>
      </c>
      <c r="F45" s="245">
        <f t="array" ref="F45">((SUM(IF((CkDJ[Date]=$A$3)*(CkDJ[Ofc Code]=(TRIM(G$4)))*(CkDJ[Account Code]=(TRIM($B45))),CkDJ[Credit])))+(SUM(IF((CsDJ[Date]=$A$3)*(CsDJ[Ofc Code]=(TRIM(G$4)))*(CsDJ[Account Code]=(TRIM($B45))),CsDJ[Credit])))+(SUM(IF((CRDJ[Date]=$A$3)*(CRDJ[Ofc Code]=(TRIM(G$4)))*(CRDJ[Account Code]=(TRIM($B45))),CRDJ[Credit])))+(SUM(IF((GJ[Date]=$A$3)*(GJ[Ofc Code]=(TRIM(G$4)))*(GJ[Account Code]=(TRIM($B45))),GJ[Credit]))))-((SUM(IF((CkDJ[Date]=$A$3)*(CkDJ[Ofc Code]=(TRIM(G$4)))*(CkDJ[Account Code]=(TRIM($B45))),CkDJ[Debit])))+(SUM(IF((CsDJ[Date]=$A$3)*(CsDJ[Ofc Code]=(TRIM(G$4)))*(CsDJ[Account Code]=(TRIM($B45))),CsDJ[Debit])))+(SUM(IF((CRDJ[Date]=$A$3)*(CRDJ[Ofc Code]=(TRIM(G$4)))*(CRDJ[Account Code]=(TRIM($B45))),CRDJ[Debit])))+(SUM(IF((GJ[Date]=$A$3)*(GJ[Ofc Code]=(TRIM(G$4)))*(GJ[Account Code]=(TRIM($B45))),GJ[Debit]))))</f>
        <v>0</v>
      </c>
      <c r="G45" s="343">
        <f>E45+F45</f>
        <v>0</v>
      </c>
      <c r="H45" s="246">
        <f t="shared" si="2"/>
        <v>0</v>
      </c>
      <c r="I45" s="246">
        <f t="shared" si="3"/>
        <v>0</v>
      </c>
    </row>
    <row r="46" spans="1:9">
      <c r="A46" s="241" t="s">
        <v>815</v>
      </c>
      <c r="B46" s="337"/>
      <c r="C46" s="248"/>
      <c r="D46" s="248"/>
      <c r="E46" s="344">
        <f>G46-F46</f>
        <v>0</v>
      </c>
      <c r="F46" s="248"/>
      <c r="G46" s="343">
        <f t="array" ref="G46">((SUM(IF((CkDJ[Ofc Code]=(TRIM(G$4)))*(CkDJ[Account Code]=(TRIM($B46))),CkDJ[Credit])))+(SUM(IF((CsDJ[Ofc Code]=(TRIM(G$4)))*(CsDJ[Account Code]=(TRIM($B46))),CsDJ[Credit])))+(SUM(IF((CRDJ[Ofc Code]=(TRIM(G$4)))*(CRDJ[Account Code]=(TRIM($B46))),CRDJ[Credit])))+(SUM(IF((GJ[Ofc Code]=(TRIM(G$4)))*(GJ[Account Code]=(TRIM($B46))),GJ[Credit]))))-((SUM(IF((CkDJ[Ofc Code]=(TRIM(G$4)))*(CkDJ[Account Code]=(TRIM($B46))),CkDJ[Debit])))+(SUM(IF((CsDJ[Ofc Code]=(TRIM(G$4)))*(CsDJ[Account Code]=(TRIM($B46))),CsDJ[Debit])))+(SUM(IF((CRDJ[Ofc Code]=(TRIM(G$4)))*(CRDJ[Account Code]=(TRIM($B46))),CRDJ[Debit])))+(SUM(IF((GJ[Ofc Code]=(TRIM(G$4)))*(GJ[Account Code]=(TRIM($B46))),GJ[Debit]))))</f>
        <v>0</v>
      </c>
      <c r="H46" s="242">
        <f t="shared" si="2"/>
        <v>0</v>
      </c>
      <c r="I46" s="242">
        <f t="shared" si="3"/>
        <v>0</v>
      </c>
    </row>
    <row r="47" spans="1:9">
      <c r="A47" s="249" t="s">
        <v>814</v>
      </c>
      <c r="B47" s="338"/>
      <c r="C47" s="250">
        <f>C26+C27+C32+C36+C46</f>
        <v>826000</v>
      </c>
      <c r="D47" s="250">
        <f>D26+D27+D32+D36+D46</f>
        <v>826000</v>
      </c>
      <c r="E47" s="250">
        <f>E26+E27+E32+E36+E46</f>
        <v>0</v>
      </c>
      <c r="F47" s="250">
        <f>F26+F27+F32+F36+F46</f>
        <v>0</v>
      </c>
      <c r="G47" s="250">
        <f>G26+G27+G32+G36+G46</f>
        <v>0</v>
      </c>
      <c r="H47" s="250">
        <f t="shared" si="2"/>
        <v>-826000</v>
      </c>
      <c r="I47" s="250">
        <f t="shared" si="3"/>
        <v>0</v>
      </c>
    </row>
    <row r="48" spans="1:9">
      <c r="A48" s="251" t="s">
        <v>813</v>
      </c>
      <c r="B48" s="338"/>
      <c r="C48" s="250">
        <f>C24+C47</f>
        <v>826000</v>
      </c>
      <c r="D48" s="250">
        <f>D24+D47</f>
        <v>826000</v>
      </c>
      <c r="E48" s="250">
        <f>E24+E47</f>
        <v>0</v>
      </c>
      <c r="F48" s="250">
        <f>F24+F47</f>
        <v>0</v>
      </c>
      <c r="G48" s="250">
        <f>G24+G47</f>
        <v>0</v>
      </c>
      <c r="H48" s="250">
        <f t="shared" si="2"/>
        <v>-826000</v>
      </c>
      <c r="I48" s="250">
        <f t="shared" si="3"/>
        <v>0</v>
      </c>
    </row>
    <row r="49" spans="1:9">
      <c r="A49" s="239" t="s">
        <v>812</v>
      </c>
      <c r="B49" s="337"/>
      <c r="C49" s="240"/>
      <c r="D49" s="240"/>
      <c r="E49" s="240"/>
      <c r="F49" s="240"/>
      <c r="G49" s="246"/>
      <c r="H49" s="246"/>
      <c r="I49" s="246"/>
    </row>
    <row r="50" spans="1:9">
      <c r="A50" s="239" t="s">
        <v>811</v>
      </c>
      <c r="B50" s="337"/>
      <c r="C50" s="242">
        <f>C51+C75</f>
        <v>9053829.3200000003</v>
      </c>
      <c r="D50" s="242">
        <f>D51+D75</f>
        <v>9053829.3200000003</v>
      </c>
      <c r="E50" s="242">
        <f>E51+E75</f>
        <v>0</v>
      </c>
      <c r="F50" s="242">
        <f>F51+F75</f>
        <v>0</v>
      </c>
      <c r="G50" s="242">
        <f>G51+G75</f>
        <v>0</v>
      </c>
      <c r="H50" s="242">
        <f t="shared" si="2"/>
        <v>-9053829.3200000003</v>
      </c>
      <c r="I50" s="242">
        <f t="shared" si="3"/>
        <v>0</v>
      </c>
    </row>
    <row r="51" spans="1:9">
      <c r="A51" s="243" t="s">
        <v>806</v>
      </c>
      <c r="B51" s="337"/>
      <c r="C51" s="246">
        <f>SUM(C52:C74)</f>
        <v>9053829.3200000003</v>
      </c>
      <c r="D51" s="246">
        <f>SUM(D52:D74)</f>
        <v>9053829.3200000003</v>
      </c>
      <c r="E51" s="246">
        <f>SUM(E52:E74)</f>
        <v>0</v>
      </c>
      <c r="F51" s="246">
        <f>SUM(F52:F74)</f>
        <v>0</v>
      </c>
      <c r="G51" s="246">
        <f>SUM(G52:G74)</f>
        <v>0</v>
      </c>
      <c r="H51" s="246">
        <f t="shared" si="2"/>
        <v>-9053829.3200000003</v>
      </c>
      <c r="I51" s="246">
        <f t="shared" si="3"/>
        <v>0</v>
      </c>
    </row>
    <row r="52" spans="1:9" hidden="1">
      <c r="A52" s="247" t="s">
        <v>194</v>
      </c>
      <c r="B52" s="339" t="s">
        <v>162</v>
      </c>
      <c r="C52" s="245">
        <f t="array" ref="C52">SUM(IF((Budget[Account Code]=B52)*(Budget[Ofc Code]=$G$4),(Budget[Amount])))</f>
        <v>4647324</v>
      </c>
      <c r="D52" s="245">
        <f t="array" ref="D52">SUM(IF((Budget[Account Code]=B52)*(Budget[Ofc Code]=$G$4)*(Budget[Date]&lt;=$D$7),(Budget[Amount])))</f>
        <v>4647324</v>
      </c>
      <c r="E52" s="245">
        <f t="array" ref="E52">((SUM(IF((CkDJ[Ofc Code]=(TRIM(G$4)))*(CkDJ[Account Code]=(TRIM($B52)))*(CkDJ[Date]&lt;=$E$7),CkDJ[Debit])))+(SUM(IF((CsDJ[Ofc Code]=(TRIM(G$4)))*(CsDJ[Account Code]=(TRIM($B52)))*(CsDJ[Date]&lt;=$E$7),CsDJ[Debit])))+(SUM(IF((CRDJ[Ofc Code]=(TRIM(G$4)))*(CRDJ[Account Code]=(TRIM($B52)))*(CRDJ[Date]&lt;=$E$7),CRDJ[Debit])))+(SUM(IF((GJ[Ofc Code]=(TRIM(G$4)))*(GJ[Account Code]=(TRIM($B52)))*(GJ[Date]&lt;=$E$7),GJ[Debit]))))-((SUM(IF((CkDJ[Ofc Code]=(TRIM(G$4)))*(CkDJ[Account Code]=(TRIM($B52)))*(CkDJ[Date]&lt;=$E$7),CkDJ[Credit])))+(SUM(IF((CsDJ[Ofc Code]=(TRIM(G$4)))*(CsDJ[Account Code]=(TRIM($B52)))*(CsDJ[Date]&lt;=$E$7),CsDJ[Credit])))+(SUM(IF((CRDJ[Ofc Code]=(TRIM(G$4)))*(CRDJ[Account Code]=(TRIM($B52)))*(CRDJ[Date]&lt;=$E$7),CRDJ[Credit])))+(SUM(IF((GJ[Ofc Code]=(TRIM(G$4)))*(GJ[Account Code]=(TRIM($B52)))*(GJ[Date]&lt;=$E$7),GJ[Credit]))))</f>
        <v>0</v>
      </c>
      <c r="F52" s="245">
        <f t="array" ref="F52">((SUM(IF((CkDJ[Date]=$A$3)*(CkDJ[Ofc Code]=(TRIM(G$4)))*(CkDJ[Account Code]=(TRIM($B52))),CkDJ[Debit])))+(SUM(IF((CsDJ[Date]=$A$3)*(CsDJ[Ofc Code]=(TRIM(G$4)))*(CsDJ[Account Code]=(TRIM($B52))),CsDJ[Debit])))+(SUM(IF((CRDJ[Date]=$A$3)*(CRDJ[Ofc Code]=(TRIM(G$4)))*(CRDJ[Account Code]=(TRIM($B52))),CRDJ[Debit])))+(SUM(IF((GJ[Date]=$A$3)*(GJ[Ofc Code]=(TRIM(G$4)))*(GJ[Account Code]=(TRIM($B52))),GJ[Debit]))))-((SUM(IF((CkDJ[Date]=$A$3)*(CkDJ[Ofc Code]=(TRIM(G$4)))*(CkDJ[Account Code]=(TRIM($B52))),CkDJ[Credit])))+(SUM(IF((CsDJ[Date]=$A$3)*(CsDJ[Ofc Code]=(TRIM(G$4)))*(CsDJ[Account Code]=(TRIM($B52))),CsDJ[Credit])))+(SUM(IF((CRDJ[Date]=$A$3)*(CRDJ[Ofc Code]=(TRIM(G$4)))*(CRDJ[Account Code]=(TRIM($B52))),CRDJ[Credit])))+(SUM(IF((GJ[Date]=$A$3)*(GJ[Ofc Code]=(TRIM(G$4)))*(GJ[Account Code]=(TRIM($B52))),GJ[Credit]))))</f>
        <v>0</v>
      </c>
      <c r="G52" s="343">
        <f t="shared" ref="G52:G74" si="5">E52+F52</f>
        <v>0</v>
      </c>
      <c r="H52" s="246">
        <f t="shared" si="2"/>
        <v>-4647324</v>
      </c>
      <c r="I52" s="246">
        <f t="shared" si="3"/>
        <v>0</v>
      </c>
    </row>
    <row r="53" spans="1:9" hidden="1">
      <c r="A53" s="247" t="s">
        <v>195</v>
      </c>
      <c r="B53" s="339" t="s">
        <v>163</v>
      </c>
      <c r="C53" s="245">
        <f t="array" ref="C53">SUM(IF((Budget[Account Code]=B53)*(Budget[Ofc Code]=$G$4),(Budget[Amount])))</f>
        <v>2378302.44</v>
      </c>
      <c r="D53" s="245">
        <f t="array" ref="D53">SUM(IF((Budget[Account Code]=B53)*(Budget[Ofc Code]=$G$4)*(Budget[Date]&lt;=$D$7),(Budget[Amount])))</f>
        <v>2378302.44</v>
      </c>
      <c r="E53" s="245">
        <f t="array" ref="E53">((SUM(IF((CkDJ[Ofc Code]=(TRIM(G$4)))*(CkDJ[Account Code]=(TRIM($B53)))*(CkDJ[Date]&lt;=$E$7),CkDJ[Debit])))+(SUM(IF((CsDJ[Ofc Code]=(TRIM(G$4)))*(CsDJ[Account Code]=(TRIM($B53)))*(CsDJ[Date]&lt;=$E$7),CsDJ[Debit])))+(SUM(IF((CRDJ[Ofc Code]=(TRIM(G$4)))*(CRDJ[Account Code]=(TRIM($B53)))*(CRDJ[Date]&lt;=$E$7),CRDJ[Debit])))+(SUM(IF((GJ[Ofc Code]=(TRIM(G$4)))*(GJ[Account Code]=(TRIM($B53)))*(GJ[Date]&lt;=$E$7),GJ[Debit]))))-((SUM(IF((CkDJ[Ofc Code]=(TRIM(G$4)))*(CkDJ[Account Code]=(TRIM($B53)))*(CkDJ[Date]&lt;=$E$7),CkDJ[Credit])))+(SUM(IF((CsDJ[Ofc Code]=(TRIM(G$4)))*(CsDJ[Account Code]=(TRIM($B53)))*(CsDJ[Date]&lt;=$E$7),CsDJ[Credit])))+(SUM(IF((CRDJ[Ofc Code]=(TRIM(G$4)))*(CRDJ[Account Code]=(TRIM($B53)))*(CRDJ[Date]&lt;=$E$7),CRDJ[Credit])))+(SUM(IF((GJ[Ofc Code]=(TRIM(G$4)))*(GJ[Account Code]=(TRIM($B53)))*(GJ[Date]&lt;=$E$7),GJ[Credit]))))</f>
        <v>0</v>
      </c>
      <c r="F53" s="245">
        <f t="array" ref="F53">((SUM(IF((CkDJ[Date]=$A$3)*(CkDJ[Ofc Code]=(TRIM(G$4)))*(CkDJ[Account Code]=(TRIM($B53))),CkDJ[Debit])))+(SUM(IF((CsDJ[Date]=$A$3)*(CsDJ[Ofc Code]=(TRIM(G$4)))*(CsDJ[Account Code]=(TRIM($B53))),CsDJ[Debit])))+(SUM(IF((CRDJ[Date]=$A$3)*(CRDJ[Ofc Code]=(TRIM(G$4)))*(CRDJ[Account Code]=(TRIM($B53))),CRDJ[Debit])))+(SUM(IF((GJ[Date]=$A$3)*(GJ[Ofc Code]=(TRIM(G$4)))*(GJ[Account Code]=(TRIM($B53))),GJ[Debit]))))-((SUM(IF((CkDJ[Date]=$A$3)*(CkDJ[Ofc Code]=(TRIM(G$4)))*(CkDJ[Account Code]=(TRIM($B53))),CkDJ[Credit])))+(SUM(IF((CsDJ[Date]=$A$3)*(CsDJ[Ofc Code]=(TRIM(G$4)))*(CsDJ[Account Code]=(TRIM($B53))),CsDJ[Credit])))+(SUM(IF((CRDJ[Date]=$A$3)*(CRDJ[Ofc Code]=(TRIM(G$4)))*(CRDJ[Account Code]=(TRIM($B53))),CRDJ[Credit])))+(SUM(IF((GJ[Date]=$A$3)*(GJ[Ofc Code]=(TRIM(G$4)))*(GJ[Account Code]=(TRIM($B53))),GJ[Credit]))))</f>
        <v>0</v>
      </c>
      <c r="G53" s="343">
        <f t="shared" si="5"/>
        <v>0</v>
      </c>
      <c r="H53" s="246">
        <f t="shared" si="2"/>
        <v>-2378302.44</v>
      </c>
      <c r="I53" s="246">
        <f t="shared" si="3"/>
        <v>0</v>
      </c>
    </row>
    <row r="54" spans="1:9" hidden="1">
      <c r="A54" s="247" t="s">
        <v>196</v>
      </c>
      <c r="B54" s="339" t="s">
        <v>1013</v>
      </c>
      <c r="C54" s="245">
        <f t="array" ref="C54">SUM(IF((Budget[Account Code]=B54)*(Budget[Ofc Code]=$G$4),(Budget[Amount])))</f>
        <v>0</v>
      </c>
      <c r="D54" s="245">
        <f t="array" ref="D54">SUM(IF((Budget[Account Code]=B54)*(Budget[Ofc Code]=$G$4)*(Budget[Date]&lt;=$D$7),(Budget[Amount])))</f>
        <v>0</v>
      </c>
      <c r="E54" s="245">
        <f t="array" ref="E54">((SUM(IF((CkDJ[Ofc Code]=(TRIM(G$4)))*(CkDJ[Account Code]=(TRIM($B54)))*(CkDJ[Date]&lt;=$E$7),CkDJ[Debit])))+(SUM(IF((CsDJ[Ofc Code]=(TRIM(G$4)))*(CsDJ[Account Code]=(TRIM($B54)))*(CsDJ[Date]&lt;=$E$7),CsDJ[Debit])))+(SUM(IF((CRDJ[Ofc Code]=(TRIM(G$4)))*(CRDJ[Account Code]=(TRIM($B54)))*(CRDJ[Date]&lt;=$E$7),CRDJ[Debit])))+(SUM(IF((GJ[Ofc Code]=(TRIM(G$4)))*(GJ[Account Code]=(TRIM($B54)))*(GJ[Date]&lt;=$E$7),GJ[Debit]))))-((SUM(IF((CkDJ[Ofc Code]=(TRIM(G$4)))*(CkDJ[Account Code]=(TRIM($B54)))*(CkDJ[Date]&lt;=$E$7),CkDJ[Credit])))+(SUM(IF((CsDJ[Ofc Code]=(TRIM(G$4)))*(CsDJ[Account Code]=(TRIM($B54)))*(CsDJ[Date]&lt;=$E$7),CsDJ[Credit])))+(SUM(IF((CRDJ[Ofc Code]=(TRIM(G$4)))*(CRDJ[Account Code]=(TRIM($B54)))*(CRDJ[Date]&lt;=$E$7),CRDJ[Credit])))+(SUM(IF((GJ[Ofc Code]=(TRIM(G$4)))*(GJ[Account Code]=(TRIM($B54)))*(GJ[Date]&lt;=$E$7),GJ[Credit]))))</f>
        <v>0</v>
      </c>
      <c r="F54" s="245">
        <f t="array" ref="F54">((SUM(IF((CkDJ[Date]=$A$3)*(CkDJ[Ofc Code]=(TRIM(G$4)))*(CkDJ[Account Code]=(TRIM($B54))),CkDJ[Debit])))+(SUM(IF((CsDJ[Date]=$A$3)*(CsDJ[Ofc Code]=(TRIM(G$4)))*(CsDJ[Account Code]=(TRIM($B54))),CsDJ[Debit])))+(SUM(IF((CRDJ[Date]=$A$3)*(CRDJ[Ofc Code]=(TRIM(G$4)))*(CRDJ[Account Code]=(TRIM($B54))),CRDJ[Debit])))+(SUM(IF((GJ[Date]=$A$3)*(GJ[Ofc Code]=(TRIM(G$4)))*(GJ[Account Code]=(TRIM($B54))),GJ[Debit]))))-((SUM(IF((CkDJ[Date]=$A$3)*(CkDJ[Ofc Code]=(TRIM(G$4)))*(CkDJ[Account Code]=(TRIM($B54))),CkDJ[Credit])))+(SUM(IF((CsDJ[Date]=$A$3)*(CsDJ[Ofc Code]=(TRIM(G$4)))*(CsDJ[Account Code]=(TRIM($B54))),CsDJ[Credit])))+(SUM(IF((CRDJ[Date]=$A$3)*(CRDJ[Ofc Code]=(TRIM(G$4)))*(CRDJ[Account Code]=(TRIM($B54))),CRDJ[Credit])))+(SUM(IF((GJ[Date]=$A$3)*(GJ[Ofc Code]=(TRIM(G$4)))*(GJ[Account Code]=(TRIM($B54))),GJ[Credit]))))</f>
        <v>0</v>
      </c>
      <c r="G54" s="343">
        <f t="shared" si="5"/>
        <v>0</v>
      </c>
      <c r="H54" s="246">
        <f t="shared" si="2"/>
        <v>0</v>
      </c>
      <c r="I54" s="246">
        <f t="shared" si="3"/>
        <v>0</v>
      </c>
    </row>
    <row r="55" spans="1:9" hidden="1">
      <c r="A55" s="247" t="s">
        <v>197</v>
      </c>
      <c r="B55" s="339" t="s">
        <v>164</v>
      </c>
      <c r="C55" s="245">
        <f t="array" ref="C55">SUM(IF((Budget[Account Code]=B55)*(Budget[Ofc Code]=$G$4),(Budget[Amount])))</f>
        <v>432000</v>
      </c>
      <c r="D55" s="245">
        <f t="array" ref="D55">SUM(IF((Budget[Account Code]=B55)*(Budget[Ofc Code]=$G$4)*(Budget[Date]&lt;=$D$7),(Budget[Amount])))</f>
        <v>432000</v>
      </c>
      <c r="E55" s="245">
        <f t="array" ref="E55">((SUM(IF((CkDJ[Ofc Code]=(TRIM(G$4)))*(CkDJ[Account Code]=(TRIM($B55)))*(CkDJ[Date]&lt;=$E$7),CkDJ[Debit])))+(SUM(IF((CsDJ[Ofc Code]=(TRIM(G$4)))*(CsDJ[Account Code]=(TRIM($B55)))*(CsDJ[Date]&lt;=$E$7),CsDJ[Debit])))+(SUM(IF((CRDJ[Ofc Code]=(TRIM(G$4)))*(CRDJ[Account Code]=(TRIM($B55)))*(CRDJ[Date]&lt;=$E$7),CRDJ[Debit])))+(SUM(IF((GJ[Ofc Code]=(TRIM(G$4)))*(GJ[Account Code]=(TRIM($B55)))*(GJ[Date]&lt;=$E$7),GJ[Debit]))))-((SUM(IF((CkDJ[Ofc Code]=(TRIM(G$4)))*(CkDJ[Account Code]=(TRIM($B55)))*(CkDJ[Date]&lt;=$E$7),CkDJ[Credit])))+(SUM(IF((CsDJ[Ofc Code]=(TRIM(G$4)))*(CsDJ[Account Code]=(TRIM($B55)))*(CsDJ[Date]&lt;=$E$7),CsDJ[Credit])))+(SUM(IF((CRDJ[Ofc Code]=(TRIM(G$4)))*(CRDJ[Account Code]=(TRIM($B55)))*(CRDJ[Date]&lt;=$E$7),CRDJ[Credit])))+(SUM(IF((GJ[Ofc Code]=(TRIM(G$4)))*(GJ[Account Code]=(TRIM($B55)))*(GJ[Date]&lt;=$E$7),GJ[Credit]))))</f>
        <v>0</v>
      </c>
      <c r="F55" s="245">
        <f t="array" ref="F55">((SUM(IF((CkDJ[Date]=$A$3)*(CkDJ[Ofc Code]=(TRIM(G$4)))*(CkDJ[Account Code]=(TRIM($B55))),CkDJ[Debit])))+(SUM(IF((CsDJ[Date]=$A$3)*(CsDJ[Ofc Code]=(TRIM(G$4)))*(CsDJ[Account Code]=(TRIM($B55))),CsDJ[Debit])))+(SUM(IF((CRDJ[Date]=$A$3)*(CRDJ[Ofc Code]=(TRIM(G$4)))*(CRDJ[Account Code]=(TRIM($B55))),CRDJ[Debit])))+(SUM(IF((GJ[Date]=$A$3)*(GJ[Ofc Code]=(TRIM(G$4)))*(GJ[Account Code]=(TRIM($B55))),GJ[Debit]))))-((SUM(IF((CkDJ[Date]=$A$3)*(CkDJ[Ofc Code]=(TRIM(G$4)))*(CkDJ[Account Code]=(TRIM($B55))),CkDJ[Credit])))+(SUM(IF((CsDJ[Date]=$A$3)*(CsDJ[Ofc Code]=(TRIM(G$4)))*(CsDJ[Account Code]=(TRIM($B55))),CsDJ[Credit])))+(SUM(IF((CRDJ[Date]=$A$3)*(CRDJ[Ofc Code]=(TRIM(G$4)))*(CRDJ[Account Code]=(TRIM($B55))),CRDJ[Credit])))+(SUM(IF((GJ[Date]=$A$3)*(GJ[Ofc Code]=(TRIM(G$4)))*(GJ[Account Code]=(TRIM($B55))),GJ[Credit]))))</f>
        <v>0</v>
      </c>
      <c r="G55" s="343">
        <f t="shared" si="5"/>
        <v>0</v>
      </c>
      <c r="H55" s="246">
        <f t="shared" si="2"/>
        <v>-432000</v>
      </c>
      <c r="I55" s="246">
        <f t="shared" si="3"/>
        <v>0</v>
      </c>
    </row>
    <row r="56" spans="1:9" hidden="1">
      <c r="A56" s="247" t="s">
        <v>198</v>
      </c>
      <c r="B56" s="339" t="s">
        <v>165</v>
      </c>
      <c r="C56" s="245">
        <f t="array" ref="C56">SUM(IF((Budget[Account Code]=B56)*(Budget[Ofc Code]=$G$4),(Budget[Amount])))</f>
        <v>60000</v>
      </c>
      <c r="D56" s="245">
        <f t="array" ref="D56">SUM(IF((Budget[Account Code]=B56)*(Budget[Ofc Code]=$G$4)*(Budget[Date]&lt;=$D$7),(Budget[Amount])))</f>
        <v>60000</v>
      </c>
      <c r="E56" s="245">
        <f t="array" ref="E56">((SUM(IF((CkDJ[Ofc Code]=(TRIM(G$4)))*(CkDJ[Account Code]=(TRIM($B56)))*(CkDJ[Date]&lt;=$E$7),CkDJ[Debit])))+(SUM(IF((CsDJ[Ofc Code]=(TRIM(G$4)))*(CsDJ[Account Code]=(TRIM($B56)))*(CsDJ[Date]&lt;=$E$7),CsDJ[Debit])))+(SUM(IF((CRDJ[Ofc Code]=(TRIM(G$4)))*(CRDJ[Account Code]=(TRIM($B56)))*(CRDJ[Date]&lt;=$E$7),CRDJ[Debit])))+(SUM(IF((GJ[Ofc Code]=(TRIM(G$4)))*(GJ[Account Code]=(TRIM($B56)))*(GJ[Date]&lt;=$E$7),GJ[Debit]))))-((SUM(IF((CkDJ[Ofc Code]=(TRIM(G$4)))*(CkDJ[Account Code]=(TRIM($B56)))*(CkDJ[Date]&lt;=$E$7),CkDJ[Credit])))+(SUM(IF((CsDJ[Ofc Code]=(TRIM(G$4)))*(CsDJ[Account Code]=(TRIM($B56)))*(CsDJ[Date]&lt;=$E$7),CsDJ[Credit])))+(SUM(IF((CRDJ[Ofc Code]=(TRIM(G$4)))*(CRDJ[Account Code]=(TRIM($B56)))*(CRDJ[Date]&lt;=$E$7),CRDJ[Credit])))+(SUM(IF((GJ[Ofc Code]=(TRIM(G$4)))*(GJ[Account Code]=(TRIM($B56)))*(GJ[Date]&lt;=$E$7),GJ[Credit]))))</f>
        <v>0</v>
      </c>
      <c r="F56" s="245">
        <f t="array" ref="F56">((SUM(IF((CkDJ[Date]=$A$3)*(CkDJ[Ofc Code]=(TRIM(G$4)))*(CkDJ[Account Code]=(TRIM($B56))),CkDJ[Debit])))+(SUM(IF((CsDJ[Date]=$A$3)*(CsDJ[Ofc Code]=(TRIM(G$4)))*(CsDJ[Account Code]=(TRIM($B56))),CsDJ[Debit])))+(SUM(IF((CRDJ[Date]=$A$3)*(CRDJ[Ofc Code]=(TRIM(G$4)))*(CRDJ[Account Code]=(TRIM($B56))),CRDJ[Debit])))+(SUM(IF((GJ[Date]=$A$3)*(GJ[Ofc Code]=(TRIM(G$4)))*(GJ[Account Code]=(TRIM($B56))),GJ[Debit]))))-((SUM(IF((CkDJ[Date]=$A$3)*(CkDJ[Ofc Code]=(TRIM(G$4)))*(CkDJ[Account Code]=(TRIM($B56))),CkDJ[Credit])))+(SUM(IF((CsDJ[Date]=$A$3)*(CsDJ[Ofc Code]=(TRIM(G$4)))*(CsDJ[Account Code]=(TRIM($B56))),CsDJ[Credit])))+(SUM(IF((CRDJ[Date]=$A$3)*(CRDJ[Ofc Code]=(TRIM(G$4)))*(CRDJ[Account Code]=(TRIM($B56))),CRDJ[Credit])))+(SUM(IF((GJ[Date]=$A$3)*(GJ[Ofc Code]=(TRIM(G$4)))*(GJ[Account Code]=(TRIM($B56))),GJ[Credit]))))</f>
        <v>0</v>
      </c>
      <c r="G56" s="343">
        <f t="shared" si="5"/>
        <v>0</v>
      </c>
      <c r="H56" s="246">
        <f t="shared" si="2"/>
        <v>-60000</v>
      </c>
      <c r="I56" s="246">
        <f t="shared" si="3"/>
        <v>0</v>
      </c>
    </row>
    <row r="57" spans="1:9" hidden="1">
      <c r="A57" s="247" t="s">
        <v>199</v>
      </c>
      <c r="B57" s="339" t="s">
        <v>166</v>
      </c>
      <c r="C57" s="245">
        <f t="array" ref="C57">SUM(IF((Budget[Account Code]=B57)*(Budget[Ofc Code]=$G$4),(Budget[Amount])))</f>
        <v>0</v>
      </c>
      <c r="D57" s="245">
        <f t="array" ref="D57">SUM(IF((Budget[Account Code]=B57)*(Budget[Ofc Code]=$G$4)*(Budget[Date]&lt;=$D$7),(Budget[Amount])))</f>
        <v>0</v>
      </c>
      <c r="E57" s="245">
        <f t="array" ref="E57">((SUM(IF((CkDJ[Ofc Code]=(TRIM(G$4)))*(CkDJ[Account Code]=(TRIM($B57)))*(CkDJ[Date]&lt;=$E$7),CkDJ[Debit])))+(SUM(IF((CsDJ[Ofc Code]=(TRIM(G$4)))*(CsDJ[Account Code]=(TRIM($B57)))*(CsDJ[Date]&lt;=$E$7),CsDJ[Debit])))+(SUM(IF((CRDJ[Ofc Code]=(TRIM(G$4)))*(CRDJ[Account Code]=(TRIM($B57)))*(CRDJ[Date]&lt;=$E$7),CRDJ[Debit])))+(SUM(IF((GJ[Ofc Code]=(TRIM(G$4)))*(GJ[Account Code]=(TRIM($B57)))*(GJ[Date]&lt;=$E$7),GJ[Debit]))))-((SUM(IF((CkDJ[Ofc Code]=(TRIM(G$4)))*(CkDJ[Account Code]=(TRIM($B57)))*(CkDJ[Date]&lt;=$E$7),CkDJ[Credit])))+(SUM(IF((CsDJ[Ofc Code]=(TRIM(G$4)))*(CsDJ[Account Code]=(TRIM($B57)))*(CsDJ[Date]&lt;=$E$7),CsDJ[Credit])))+(SUM(IF((CRDJ[Ofc Code]=(TRIM(G$4)))*(CRDJ[Account Code]=(TRIM($B57)))*(CRDJ[Date]&lt;=$E$7),CRDJ[Credit])))+(SUM(IF((GJ[Ofc Code]=(TRIM(G$4)))*(GJ[Account Code]=(TRIM($B57)))*(GJ[Date]&lt;=$E$7),GJ[Credit]))))</f>
        <v>0</v>
      </c>
      <c r="F57" s="245">
        <f t="array" ref="F57">((SUM(IF((CkDJ[Date]=$A$3)*(CkDJ[Ofc Code]=(TRIM(G$4)))*(CkDJ[Account Code]=(TRIM($B57))),CkDJ[Debit])))+(SUM(IF((CsDJ[Date]=$A$3)*(CsDJ[Ofc Code]=(TRIM(G$4)))*(CsDJ[Account Code]=(TRIM($B57))),CsDJ[Debit])))+(SUM(IF((CRDJ[Date]=$A$3)*(CRDJ[Ofc Code]=(TRIM(G$4)))*(CRDJ[Account Code]=(TRIM($B57))),CRDJ[Debit])))+(SUM(IF((GJ[Date]=$A$3)*(GJ[Ofc Code]=(TRIM(G$4)))*(GJ[Account Code]=(TRIM($B57))),GJ[Debit]))))-((SUM(IF((CkDJ[Date]=$A$3)*(CkDJ[Ofc Code]=(TRIM(G$4)))*(CkDJ[Account Code]=(TRIM($B57))),CkDJ[Credit])))+(SUM(IF((CsDJ[Date]=$A$3)*(CsDJ[Ofc Code]=(TRIM(G$4)))*(CsDJ[Account Code]=(TRIM($B57))),CsDJ[Credit])))+(SUM(IF((CRDJ[Date]=$A$3)*(CRDJ[Ofc Code]=(TRIM(G$4)))*(CRDJ[Account Code]=(TRIM($B57))),CRDJ[Credit])))+(SUM(IF((GJ[Date]=$A$3)*(GJ[Ofc Code]=(TRIM(G$4)))*(GJ[Account Code]=(TRIM($B57))),GJ[Credit]))))</f>
        <v>0</v>
      </c>
      <c r="G57" s="343">
        <f t="shared" si="5"/>
        <v>0</v>
      </c>
      <c r="H57" s="246">
        <f t="shared" si="2"/>
        <v>0</v>
      </c>
      <c r="I57" s="246">
        <f t="shared" si="3"/>
        <v>0</v>
      </c>
    </row>
    <row r="58" spans="1:9" hidden="1">
      <c r="A58" s="247" t="s">
        <v>200</v>
      </c>
      <c r="B58" s="339" t="s">
        <v>167</v>
      </c>
      <c r="C58" s="245">
        <f t="array" ref="C58">SUM(IF((Budget[Account Code]=B58)*(Budget[Ofc Code]=$G$4),(Budget[Amount])))</f>
        <v>0</v>
      </c>
      <c r="D58" s="245">
        <f t="array" ref="D58">SUM(IF((Budget[Account Code]=B58)*(Budget[Ofc Code]=$G$4)*(Budget[Date]&lt;=$D$7),(Budget[Amount])))</f>
        <v>0</v>
      </c>
      <c r="E58" s="245">
        <f t="array" ref="E58">((SUM(IF((CkDJ[Ofc Code]=(TRIM(G$4)))*(CkDJ[Account Code]=(TRIM($B58)))*(CkDJ[Date]&lt;=$E$7),CkDJ[Debit])))+(SUM(IF((CsDJ[Ofc Code]=(TRIM(G$4)))*(CsDJ[Account Code]=(TRIM($B58)))*(CsDJ[Date]&lt;=$E$7),CsDJ[Debit])))+(SUM(IF((CRDJ[Ofc Code]=(TRIM(G$4)))*(CRDJ[Account Code]=(TRIM($B58)))*(CRDJ[Date]&lt;=$E$7),CRDJ[Debit])))+(SUM(IF((GJ[Ofc Code]=(TRIM(G$4)))*(GJ[Account Code]=(TRIM($B58)))*(GJ[Date]&lt;=$E$7),GJ[Debit]))))-((SUM(IF((CkDJ[Ofc Code]=(TRIM(G$4)))*(CkDJ[Account Code]=(TRIM($B58)))*(CkDJ[Date]&lt;=$E$7),CkDJ[Credit])))+(SUM(IF((CsDJ[Ofc Code]=(TRIM(G$4)))*(CsDJ[Account Code]=(TRIM($B58)))*(CsDJ[Date]&lt;=$E$7),CsDJ[Credit])))+(SUM(IF((CRDJ[Ofc Code]=(TRIM(G$4)))*(CRDJ[Account Code]=(TRIM($B58)))*(CRDJ[Date]&lt;=$E$7),CRDJ[Credit])))+(SUM(IF((GJ[Ofc Code]=(TRIM(G$4)))*(GJ[Account Code]=(TRIM($B58)))*(GJ[Date]&lt;=$E$7),GJ[Credit]))))</f>
        <v>0</v>
      </c>
      <c r="F58" s="245">
        <f t="array" ref="F58">((SUM(IF((CkDJ[Date]=$A$3)*(CkDJ[Ofc Code]=(TRIM(G$4)))*(CkDJ[Account Code]=(TRIM($B58))),CkDJ[Debit])))+(SUM(IF((CsDJ[Date]=$A$3)*(CsDJ[Ofc Code]=(TRIM(G$4)))*(CsDJ[Account Code]=(TRIM($B58))),CsDJ[Debit])))+(SUM(IF((CRDJ[Date]=$A$3)*(CRDJ[Ofc Code]=(TRIM(G$4)))*(CRDJ[Account Code]=(TRIM($B58))),CRDJ[Debit])))+(SUM(IF((GJ[Date]=$A$3)*(GJ[Ofc Code]=(TRIM(G$4)))*(GJ[Account Code]=(TRIM($B58))),GJ[Debit]))))-((SUM(IF((CkDJ[Date]=$A$3)*(CkDJ[Ofc Code]=(TRIM(G$4)))*(CkDJ[Account Code]=(TRIM($B58))),CkDJ[Credit])))+(SUM(IF((CsDJ[Date]=$A$3)*(CsDJ[Ofc Code]=(TRIM(G$4)))*(CsDJ[Account Code]=(TRIM($B58))),CsDJ[Credit])))+(SUM(IF((CRDJ[Date]=$A$3)*(CRDJ[Ofc Code]=(TRIM(G$4)))*(CRDJ[Account Code]=(TRIM($B58))),CRDJ[Credit])))+(SUM(IF((GJ[Date]=$A$3)*(GJ[Ofc Code]=(TRIM(G$4)))*(GJ[Account Code]=(TRIM($B58))),GJ[Credit]))))</f>
        <v>0</v>
      </c>
      <c r="G58" s="343">
        <f t="shared" si="5"/>
        <v>0</v>
      </c>
      <c r="H58" s="246">
        <f t="shared" si="2"/>
        <v>0</v>
      </c>
      <c r="I58" s="246">
        <f t="shared" si="3"/>
        <v>0</v>
      </c>
    </row>
    <row r="59" spans="1:9" hidden="1">
      <c r="A59" s="247" t="s">
        <v>1204</v>
      </c>
      <c r="B59" s="339" t="s">
        <v>1262</v>
      </c>
      <c r="C59" s="245">
        <f t="array" ref="C59">SUM(IF((Budget[Account Code]=B59)*(Budget[Ofc Code]=$G$4),(Budget[Amount])))</f>
        <v>0</v>
      </c>
      <c r="D59" s="245">
        <f t="array" ref="D59">SUM(IF((Budget[Account Code]=B59)*(Budget[Ofc Code]=$G$4)*(Budget[Date]&lt;=$D$7),(Budget[Amount])))</f>
        <v>0</v>
      </c>
      <c r="E59" s="245">
        <f t="array" ref="E59">((SUM(IF((CkDJ[Ofc Code]=(TRIM(G$4)))*(CkDJ[Account Code]=(TRIM($B59)))*(CkDJ[Date]&lt;=$E$7),CkDJ[Debit])))+(SUM(IF((CsDJ[Ofc Code]=(TRIM(G$4)))*(CsDJ[Account Code]=(TRIM($B59)))*(CsDJ[Date]&lt;=$E$7),CsDJ[Debit])))+(SUM(IF((CRDJ[Ofc Code]=(TRIM(G$4)))*(CRDJ[Account Code]=(TRIM($B59)))*(CRDJ[Date]&lt;=$E$7),CRDJ[Debit])))+(SUM(IF((GJ[Ofc Code]=(TRIM(G$4)))*(GJ[Account Code]=(TRIM($B59)))*(GJ[Date]&lt;=$E$7),GJ[Debit]))))-((SUM(IF((CkDJ[Ofc Code]=(TRIM(G$4)))*(CkDJ[Account Code]=(TRIM($B59)))*(CkDJ[Date]&lt;=$E$7),CkDJ[Credit])))+(SUM(IF((CsDJ[Ofc Code]=(TRIM(G$4)))*(CsDJ[Account Code]=(TRIM($B59)))*(CsDJ[Date]&lt;=$E$7),CsDJ[Credit])))+(SUM(IF((CRDJ[Ofc Code]=(TRIM(G$4)))*(CRDJ[Account Code]=(TRIM($B59)))*(CRDJ[Date]&lt;=$E$7),CRDJ[Credit])))+(SUM(IF((GJ[Ofc Code]=(TRIM(G$4)))*(GJ[Account Code]=(TRIM($B59)))*(GJ[Date]&lt;=$E$7),GJ[Credit]))))</f>
        <v>0</v>
      </c>
      <c r="F59" s="245">
        <f t="array" ref="F59">((SUM(IF((CkDJ[Date]=$A$3)*(CkDJ[Ofc Code]=(TRIM(G$4)))*(CkDJ[Account Code]=(TRIM($B59))),CkDJ[Debit])))+(SUM(IF((CsDJ[Date]=$A$3)*(CsDJ[Ofc Code]=(TRIM(G$4)))*(CsDJ[Account Code]=(TRIM($B59))),CsDJ[Debit])))+(SUM(IF((CRDJ[Date]=$A$3)*(CRDJ[Ofc Code]=(TRIM(G$4)))*(CRDJ[Account Code]=(TRIM($B59))),CRDJ[Debit])))+(SUM(IF((GJ[Date]=$A$3)*(GJ[Ofc Code]=(TRIM(G$4)))*(GJ[Account Code]=(TRIM($B59))),GJ[Debit]))))-((SUM(IF((CkDJ[Date]=$A$3)*(CkDJ[Ofc Code]=(TRIM(G$4)))*(CkDJ[Account Code]=(TRIM($B59))),CkDJ[Credit])))+(SUM(IF((CsDJ[Date]=$A$3)*(CsDJ[Ofc Code]=(TRIM(G$4)))*(CsDJ[Account Code]=(TRIM($B59))),CsDJ[Credit])))+(SUM(IF((CRDJ[Date]=$A$3)*(CRDJ[Ofc Code]=(TRIM(G$4)))*(CRDJ[Account Code]=(TRIM($B59))),CRDJ[Credit])))+(SUM(IF((GJ[Date]=$A$3)*(GJ[Ofc Code]=(TRIM(G$4)))*(GJ[Account Code]=(TRIM($B59))),GJ[Credit]))))</f>
        <v>0</v>
      </c>
      <c r="G59" s="343">
        <f>E59+F59</f>
        <v>0</v>
      </c>
      <c r="H59" s="246">
        <f>G59-D59</f>
        <v>0</v>
      </c>
      <c r="I59" s="246">
        <f>IF((D59=0),0,G59/D59)</f>
        <v>0</v>
      </c>
    </row>
    <row r="60" spans="1:9" hidden="1">
      <c r="A60" s="247" t="s">
        <v>204</v>
      </c>
      <c r="B60" s="339" t="s">
        <v>171</v>
      </c>
      <c r="C60" s="245">
        <f t="array" ref="C60">SUM(IF((Budget[Account Code]=B60)*(Budget[Ofc Code]=$G$4),(Budget[Amount])))</f>
        <v>0</v>
      </c>
      <c r="D60" s="245">
        <f t="array" ref="D60">SUM(IF((Budget[Account Code]=B60)*(Budget[Ofc Code]=$G$4)*(Budget[Date]&lt;=$D$7),(Budget[Amount])))</f>
        <v>0</v>
      </c>
      <c r="E60" s="245">
        <f t="array" ref="E60">((SUM(IF((CkDJ[Ofc Code]=(TRIM(G$4)))*(CkDJ[Account Code]=(TRIM($B60)))*(CkDJ[Date]&lt;=$E$7),CkDJ[Debit])))+(SUM(IF((CsDJ[Ofc Code]=(TRIM(G$4)))*(CsDJ[Account Code]=(TRIM($B60)))*(CsDJ[Date]&lt;=$E$7),CsDJ[Debit])))+(SUM(IF((CRDJ[Ofc Code]=(TRIM(G$4)))*(CRDJ[Account Code]=(TRIM($B60)))*(CRDJ[Date]&lt;=$E$7),CRDJ[Debit])))+(SUM(IF((GJ[Ofc Code]=(TRIM(G$4)))*(GJ[Account Code]=(TRIM($B60)))*(GJ[Date]&lt;=$E$7),GJ[Debit]))))-((SUM(IF((CkDJ[Ofc Code]=(TRIM(G$4)))*(CkDJ[Account Code]=(TRIM($B60)))*(CkDJ[Date]&lt;=$E$7),CkDJ[Credit])))+(SUM(IF((CsDJ[Ofc Code]=(TRIM(G$4)))*(CsDJ[Account Code]=(TRIM($B60)))*(CsDJ[Date]&lt;=$E$7),CsDJ[Credit])))+(SUM(IF((CRDJ[Ofc Code]=(TRIM(G$4)))*(CRDJ[Account Code]=(TRIM($B60)))*(CRDJ[Date]&lt;=$E$7),CRDJ[Credit])))+(SUM(IF((GJ[Ofc Code]=(TRIM(G$4)))*(GJ[Account Code]=(TRIM($B60)))*(GJ[Date]&lt;=$E$7),GJ[Credit]))))</f>
        <v>0</v>
      </c>
      <c r="F60" s="245">
        <f t="array" ref="F60">((SUM(IF((CkDJ[Date]=$A$3)*(CkDJ[Ofc Code]=(TRIM(G$4)))*(CkDJ[Account Code]=(TRIM($B60))),CkDJ[Debit])))+(SUM(IF((CsDJ[Date]=$A$3)*(CsDJ[Ofc Code]=(TRIM(G$4)))*(CsDJ[Account Code]=(TRIM($B60))),CsDJ[Debit])))+(SUM(IF((CRDJ[Date]=$A$3)*(CRDJ[Ofc Code]=(TRIM(G$4)))*(CRDJ[Account Code]=(TRIM($B60))),CRDJ[Debit])))+(SUM(IF((GJ[Date]=$A$3)*(GJ[Ofc Code]=(TRIM(G$4)))*(GJ[Account Code]=(TRIM($B60))),GJ[Debit]))))-((SUM(IF((CkDJ[Date]=$A$3)*(CkDJ[Ofc Code]=(TRIM(G$4)))*(CkDJ[Account Code]=(TRIM($B60))),CkDJ[Credit])))+(SUM(IF((CsDJ[Date]=$A$3)*(CsDJ[Ofc Code]=(TRIM(G$4)))*(CsDJ[Account Code]=(TRIM($B60))),CsDJ[Credit])))+(SUM(IF((CRDJ[Date]=$A$3)*(CRDJ[Ofc Code]=(TRIM(G$4)))*(CRDJ[Account Code]=(TRIM($B60))),CRDJ[Credit])))+(SUM(IF((GJ[Date]=$A$3)*(GJ[Ofc Code]=(TRIM(G$4)))*(GJ[Account Code]=(TRIM($B60))),GJ[Credit]))))</f>
        <v>0</v>
      </c>
      <c r="G60" s="343">
        <f t="shared" si="5"/>
        <v>0</v>
      </c>
      <c r="H60" s="246">
        <f t="shared" si="2"/>
        <v>0</v>
      </c>
      <c r="I60" s="246">
        <f t="shared" si="3"/>
        <v>0</v>
      </c>
    </row>
    <row r="61" spans="1:9" hidden="1">
      <c r="A61" s="247" t="s">
        <v>201</v>
      </c>
      <c r="B61" s="339" t="s">
        <v>5</v>
      </c>
      <c r="C61" s="245">
        <f t="array" ref="C61">SUM(IF((Budget[Account Code]=B61)*(Budget[Ofc Code]=$G$4),(Budget[Amount])))</f>
        <v>12000</v>
      </c>
      <c r="D61" s="245">
        <f t="array" ref="D61">SUM(IF((Budget[Account Code]=B61)*(Budget[Ofc Code]=$G$4)*(Budget[Date]&lt;=$D$7),(Budget[Amount])))</f>
        <v>12000</v>
      </c>
      <c r="E61" s="245">
        <f t="array" ref="E61">((SUM(IF((CkDJ[Ofc Code]=(TRIM(G$4)))*(CkDJ[Account Code]=(TRIM($B61)))*(CkDJ[Date]&lt;=$E$7),CkDJ[Debit])))+(SUM(IF((CsDJ[Ofc Code]=(TRIM(G$4)))*(CsDJ[Account Code]=(TRIM($B61)))*(CsDJ[Date]&lt;=$E$7),CsDJ[Debit])))+(SUM(IF((CRDJ[Ofc Code]=(TRIM(G$4)))*(CRDJ[Account Code]=(TRIM($B61)))*(CRDJ[Date]&lt;=$E$7),CRDJ[Debit])))+(SUM(IF((GJ[Ofc Code]=(TRIM(G$4)))*(GJ[Account Code]=(TRIM($B61)))*(GJ[Date]&lt;=$E$7),GJ[Debit]))))-((SUM(IF((CkDJ[Ofc Code]=(TRIM(G$4)))*(CkDJ[Account Code]=(TRIM($B61)))*(CkDJ[Date]&lt;=$E$7),CkDJ[Credit])))+(SUM(IF((CsDJ[Ofc Code]=(TRIM(G$4)))*(CsDJ[Account Code]=(TRIM($B61)))*(CsDJ[Date]&lt;=$E$7),CsDJ[Credit])))+(SUM(IF((CRDJ[Ofc Code]=(TRIM(G$4)))*(CRDJ[Account Code]=(TRIM($B61)))*(CRDJ[Date]&lt;=$E$7),CRDJ[Credit])))+(SUM(IF((GJ[Ofc Code]=(TRIM(G$4)))*(GJ[Account Code]=(TRIM($B61)))*(GJ[Date]&lt;=$E$7),GJ[Credit]))))</f>
        <v>0</v>
      </c>
      <c r="F61" s="245">
        <f t="array" ref="F61">((SUM(IF((CkDJ[Date]=$A$3)*(CkDJ[Ofc Code]=(TRIM(G$4)))*(CkDJ[Account Code]=(TRIM($B61))),CkDJ[Debit])))+(SUM(IF((CsDJ[Date]=$A$3)*(CsDJ[Ofc Code]=(TRIM(G$4)))*(CsDJ[Account Code]=(TRIM($B61))),CsDJ[Debit])))+(SUM(IF((CRDJ[Date]=$A$3)*(CRDJ[Ofc Code]=(TRIM(G$4)))*(CRDJ[Account Code]=(TRIM($B61))),CRDJ[Debit])))+(SUM(IF((GJ[Date]=$A$3)*(GJ[Ofc Code]=(TRIM(G$4)))*(GJ[Account Code]=(TRIM($B61))),GJ[Debit]))))-((SUM(IF((CkDJ[Date]=$A$3)*(CkDJ[Ofc Code]=(TRIM(G$4)))*(CkDJ[Account Code]=(TRIM($B61))),CkDJ[Credit])))+(SUM(IF((CsDJ[Date]=$A$3)*(CsDJ[Ofc Code]=(TRIM(G$4)))*(CsDJ[Account Code]=(TRIM($B61))),CsDJ[Credit])))+(SUM(IF((CRDJ[Date]=$A$3)*(CRDJ[Ofc Code]=(TRIM(G$4)))*(CRDJ[Account Code]=(TRIM($B61))),CRDJ[Credit])))+(SUM(IF((GJ[Date]=$A$3)*(GJ[Ofc Code]=(TRIM(G$4)))*(GJ[Account Code]=(TRIM($B61))),GJ[Credit]))))</f>
        <v>0</v>
      </c>
      <c r="G61" s="343">
        <f t="shared" si="5"/>
        <v>0</v>
      </c>
      <c r="H61" s="246">
        <f t="shared" si="2"/>
        <v>-12000</v>
      </c>
      <c r="I61" s="246">
        <f t="shared" si="3"/>
        <v>0</v>
      </c>
    </row>
    <row r="62" spans="1:9" hidden="1">
      <c r="A62" s="247" t="s">
        <v>202</v>
      </c>
      <c r="B62" s="339" t="s">
        <v>6</v>
      </c>
      <c r="C62" s="245">
        <f t="array" ref="C62">SUM(IF((Budget[Account Code]=B62)*(Budget[Ofc Code]=$G$4),(Budget[Amount])))</f>
        <v>3960</v>
      </c>
      <c r="D62" s="245">
        <f t="array" ref="D62">SUM(IF((Budget[Account Code]=B62)*(Budget[Ofc Code]=$G$4)*(Budget[Date]&lt;=$D$7),(Budget[Amount])))</f>
        <v>3960</v>
      </c>
      <c r="E62" s="245">
        <f t="array" ref="E62">((SUM(IF((CkDJ[Ofc Code]=(TRIM(G$4)))*(CkDJ[Account Code]=(TRIM($B62)))*(CkDJ[Date]&lt;=$E$7),CkDJ[Debit])))+(SUM(IF((CsDJ[Ofc Code]=(TRIM(G$4)))*(CsDJ[Account Code]=(TRIM($B62)))*(CsDJ[Date]&lt;=$E$7),CsDJ[Debit])))+(SUM(IF((CRDJ[Ofc Code]=(TRIM(G$4)))*(CRDJ[Account Code]=(TRIM($B62)))*(CRDJ[Date]&lt;=$E$7),CRDJ[Debit])))+(SUM(IF((GJ[Ofc Code]=(TRIM(G$4)))*(GJ[Account Code]=(TRIM($B62)))*(GJ[Date]&lt;=$E$7),GJ[Debit]))))-((SUM(IF((CkDJ[Ofc Code]=(TRIM(G$4)))*(CkDJ[Account Code]=(TRIM($B62)))*(CkDJ[Date]&lt;=$E$7),CkDJ[Credit])))+(SUM(IF((CsDJ[Ofc Code]=(TRIM(G$4)))*(CsDJ[Account Code]=(TRIM($B62)))*(CsDJ[Date]&lt;=$E$7),CsDJ[Credit])))+(SUM(IF((CRDJ[Ofc Code]=(TRIM(G$4)))*(CRDJ[Account Code]=(TRIM($B62)))*(CRDJ[Date]&lt;=$E$7),CRDJ[Credit])))+(SUM(IF((GJ[Ofc Code]=(TRIM(G$4)))*(GJ[Account Code]=(TRIM($B62)))*(GJ[Date]&lt;=$E$7),GJ[Credit]))))</f>
        <v>0</v>
      </c>
      <c r="F62" s="245">
        <f t="array" ref="F62">((SUM(IF((CkDJ[Date]=$A$3)*(CkDJ[Ofc Code]=(TRIM(G$4)))*(CkDJ[Account Code]=(TRIM($B62))),CkDJ[Debit])))+(SUM(IF((CsDJ[Date]=$A$3)*(CsDJ[Ofc Code]=(TRIM(G$4)))*(CsDJ[Account Code]=(TRIM($B62))),CsDJ[Debit])))+(SUM(IF((CRDJ[Date]=$A$3)*(CRDJ[Ofc Code]=(TRIM(G$4)))*(CRDJ[Account Code]=(TRIM($B62))),CRDJ[Debit])))+(SUM(IF((GJ[Date]=$A$3)*(GJ[Ofc Code]=(TRIM(G$4)))*(GJ[Account Code]=(TRIM($B62))),GJ[Debit]))))-((SUM(IF((CkDJ[Date]=$A$3)*(CkDJ[Ofc Code]=(TRIM(G$4)))*(CkDJ[Account Code]=(TRIM($B62))),CkDJ[Credit])))+(SUM(IF((CsDJ[Date]=$A$3)*(CsDJ[Ofc Code]=(TRIM(G$4)))*(CsDJ[Account Code]=(TRIM($B62))),CsDJ[Credit])))+(SUM(IF((CRDJ[Date]=$A$3)*(CRDJ[Ofc Code]=(TRIM(G$4)))*(CRDJ[Account Code]=(TRIM($B62))),CRDJ[Credit])))+(SUM(IF((GJ[Date]=$A$3)*(GJ[Ofc Code]=(TRIM(G$4)))*(GJ[Account Code]=(TRIM($B62))),GJ[Credit]))))</f>
        <v>0</v>
      </c>
      <c r="G62" s="343">
        <f t="shared" si="5"/>
        <v>0</v>
      </c>
      <c r="H62" s="246">
        <f t="shared" si="2"/>
        <v>-3960</v>
      </c>
      <c r="I62" s="246">
        <f t="shared" si="3"/>
        <v>0</v>
      </c>
    </row>
    <row r="63" spans="1:9" hidden="1">
      <c r="A63" s="247" t="s">
        <v>203</v>
      </c>
      <c r="B63" s="339" t="s">
        <v>7</v>
      </c>
      <c r="C63" s="245">
        <f t="array" ref="C63">SUM(IF((Budget[Account Code]=B63)*(Budget[Ofc Code]=$G$4),(Budget[Amount])))</f>
        <v>360</v>
      </c>
      <c r="D63" s="245">
        <f t="array" ref="D63">SUM(IF((Budget[Account Code]=B63)*(Budget[Ofc Code]=$G$4)*(Budget[Date]&lt;=$D$7),(Budget[Amount])))</f>
        <v>360</v>
      </c>
      <c r="E63" s="245">
        <f t="array" ref="E63">((SUM(IF((CkDJ[Ofc Code]=(TRIM(G$4)))*(CkDJ[Account Code]=(TRIM($B63)))*(CkDJ[Date]&lt;=$E$7),CkDJ[Debit])))+(SUM(IF((CsDJ[Ofc Code]=(TRIM(G$4)))*(CsDJ[Account Code]=(TRIM($B63)))*(CsDJ[Date]&lt;=$E$7),CsDJ[Debit])))+(SUM(IF((CRDJ[Ofc Code]=(TRIM(G$4)))*(CRDJ[Account Code]=(TRIM($B63)))*(CRDJ[Date]&lt;=$E$7),CRDJ[Debit])))+(SUM(IF((GJ[Ofc Code]=(TRIM(G$4)))*(GJ[Account Code]=(TRIM($B63)))*(GJ[Date]&lt;=$E$7),GJ[Debit]))))-((SUM(IF((CkDJ[Ofc Code]=(TRIM(G$4)))*(CkDJ[Account Code]=(TRIM($B63)))*(CkDJ[Date]&lt;=$E$7),CkDJ[Credit])))+(SUM(IF((CsDJ[Ofc Code]=(TRIM(G$4)))*(CsDJ[Account Code]=(TRIM($B63)))*(CsDJ[Date]&lt;=$E$7),CsDJ[Credit])))+(SUM(IF((CRDJ[Ofc Code]=(TRIM(G$4)))*(CRDJ[Account Code]=(TRIM($B63)))*(CRDJ[Date]&lt;=$E$7),CRDJ[Credit])))+(SUM(IF((GJ[Ofc Code]=(TRIM(G$4)))*(GJ[Account Code]=(TRIM($B63)))*(GJ[Date]&lt;=$E$7),GJ[Credit]))))</f>
        <v>0</v>
      </c>
      <c r="F63" s="245">
        <f t="array" ref="F63">((SUM(IF((CkDJ[Date]=$A$3)*(CkDJ[Ofc Code]=(TRIM(G$4)))*(CkDJ[Account Code]=(TRIM($B63))),CkDJ[Debit])))+(SUM(IF((CsDJ[Date]=$A$3)*(CsDJ[Ofc Code]=(TRIM(G$4)))*(CsDJ[Account Code]=(TRIM($B63))),CsDJ[Debit])))+(SUM(IF((CRDJ[Date]=$A$3)*(CRDJ[Ofc Code]=(TRIM(G$4)))*(CRDJ[Account Code]=(TRIM($B63))),CRDJ[Debit])))+(SUM(IF((GJ[Date]=$A$3)*(GJ[Ofc Code]=(TRIM(G$4)))*(GJ[Account Code]=(TRIM($B63))),GJ[Debit]))))-((SUM(IF((CkDJ[Date]=$A$3)*(CkDJ[Ofc Code]=(TRIM(G$4)))*(CkDJ[Account Code]=(TRIM($B63))),CkDJ[Credit])))+(SUM(IF((CsDJ[Date]=$A$3)*(CsDJ[Ofc Code]=(TRIM(G$4)))*(CsDJ[Account Code]=(TRIM($B63))),CsDJ[Credit])))+(SUM(IF((CRDJ[Date]=$A$3)*(CRDJ[Ofc Code]=(TRIM(G$4)))*(CRDJ[Account Code]=(TRIM($B63))),CRDJ[Credit])))+(SUM(IF((GJ[Date]=$A$3)*(GJ[Ofc Code]=(TRIM(G$4)))*(GJ[Account Code]=(TRIM($B63))),GJ[Credit]))))</f>
        <v>0</v>
      </c>
      <c r="G63" s="343">
        <f t="shared" si="5"/>
        <v>0</v>
      </c>
      <c r="H63" s="246">
        <f t="shared" si="2"/>
        <v>-360</v>
      </c>
      <c r="I63" s="246">
        <f t="shared" si="3"/>
        <v>0</v>
      </c>
    </row>
    <row r="64" spans="1:9" hidden="1">
      <c r="A64" s="247" t="s">
        <v>1378</v>
      </c>
      <c r="B64" s="339" t="s">
        <v>169</v>
      </c>
      <c r="C64" s="245">
        <f t="array" ref="C64">SUM(IF((Budget[Account Code]=B64)*(Budget[Ofc Code]=$G$4),(Budget[Amount])))</f>
        <v>0</v>
      </c>
      <c r="D64" s="245">
        <f t="array" ref="D64">SUM(IF((Budget[Account Code]=B64)*(Budget[Ofc Code]=$G$4)*(Budget[Date]&lt;=$D$7),(Budget[Amount])))</f>
        <v>0</v>
      </c>
      <c r="E64" s="245">
        <f t="array" ref="E64">((SUM(IF((CkDJ[Ofc Code]=(TRIM(G$4)))*(CkDJ[Account Code]=(TRIM($B64)))*(CkDJ[Date]&lt;=$E$7),CkDJ[Debit])))+(SUM(IF((CsDJ[Ofc Code]=(TRIM(G$4)))*(CsDJ[Account Code]=(TRIM($B64)))*(CsDJ[Date]&lt;=$E$7),CsDJ[Debit])))+(SUM(IF((CRDJ[Ofc Code]=(TRIM(G$4)))*(CRDJ[Account Code]=(TRIM($B64)))*(CRDJ[Date]&lt;=$E$7),CRDJ[Debit])))+(SUM(IF((GJ[Ofc Code]=(TRIM(G$4)))*(GJ[Account Code]=(TRIM($B64)))*(GJ[Date]&lt;=$E$7),GJ[Debit]))))-((SUM(IF((CkDJ[Ofc Code]=(TRIM(G$4)))*(CkDJ[Account Code]=(TRIM($B64)))*(CkDJ[Date]&lt;=$E$7),CkDJ[Credit])))+(SUM(IF((CsDJ[Ofc Code]=(TRIM(G$4)))*(CsDJ[Account Code]=(TRIM($B64)))*(CsDJ[Date]&lt;=$E$7),CsDJ[Credit])))+(SUM(IF((CRDJ[Ofc Code]=(TRIM(G$4)))*(CRDJ[Account Code]=(TRIM($B64)))*(CRDJ[Date]&lt;=$E$7),CRDJ[Credit])))+(SUM(IF((GJ[Ofc Code]=(TRIM(G$4)))*(GJ[Account Code]=(TRIM($B64)))*(GJ[Date]&lt;=$E$7),GJ[Credit]))))</f>
        <v>0</v>
      </c>
      <c r="F64" s="245">
        <f t="array" ref="F64">((SUM(IF((CkDJ[Date]=$A$3)*(CkDJ[Ofc Code]=(TRIM(G$4)))*(CkDJ[Account Code]=(TRIM($B64))),CkDJ[Debit])))+(SUM(IF((CsDJ[Date]=$A$3)*(CsDJ[Ofc Code]=(TRIM(G$4)))*(CsDJ[Account Code]=(TRIM($B64))),CsDJ[Debit])))+(SUM(IF((CRDJ[Date]=$A$3)*(CRDJ[Ofc Code]=(TRIM(G$4)))*(CRDJ[Account Code]=(TRIM($B64))),CRDJ[Debit])))+(SUM(IF((GJ[Date]=$A$3)*(GJ[Ofc Code]=(TRIM(G$4)))*(GJ[Account Code]=(TRIM($B64))),GJ[Debit]))))-((SUM(IF((CkDJ[Date]=$A$3)*(CkDJ[Ofc Code]=(TRIM(G$4)))*(CkDJ[Account Code]=(TRIM($B64))),CkDJ[Credit])))+(SUM(IF((CsDJ[Date]=$A$3)*(CsDJ[Ofc Code]=(TRIM(G$4)))*(CsDJ[Account Code]=(TRIM($B64))),CsDJ[Credit])))+(SUM(IF((CRDJ[Date]=$A$3)*(CRDJ[Ofc Code]=(TRIM(G$4)))*(CRDJ[Account Code]=(TRIM($B64))),CRDJ[Credit])))+(SUM(IF((GJ[Date]=$A$3)*(GJ[Ofc Code]=(TRIM(G$4)))*(GJ[Account Code]=(TRIM($B64))),GJ[Credit]))))</f>
        <v>0</v>
      </c>
      <c r="G64" s="343">
        <f>E64+F64</f>
        <v>0</v>
      </c>
      <c r="H64" s="246">
        <f>G64-D64</f>
        <v>0</v>
      </c>
      <c r="I64" s="246">
        <f>IF((D64=0),0,G64/D64)</f>
        <v>0</v>
      </c>
    </row>
    <row r="65" spans="1:9" hidden="1">
      <c r="A65" s="247" t="s">
        <v>206</v>
      </c>
      <c r="B65" s="339" t="s">
        <v>173</v>
      </c>
      <c r="C65" s="245">
        <f t="array" ref="C65">SUM(IF((Budget[Account Code]=B65)*(Budget[Ofc Code]=$G$4),(Budget[Amount])))</f>
        <v>0</v>
      </c>
      <c r="D65" s="245">
        <f t="array" ref="D65">SUM(IF((Budget[Account Code]=B65)*(Budget[Ofc Code]=$G$4)*(Budget[Date]&lt;=$D$7),(Budget[Amount])))</f>
        <v>0</v>
      </c>
      <c r="E65" s="245">
        <f t="array" ref="E65">((SUM(IF((CkDJ[Ofc Code]=(TRIM(G$4)))*(CkDJ[Account Code]=(TRIM($B65)))*(CkDJ[Date]&lt;=$E$7),CkDJ[Debit])))+(SUM(IF((CsDJ[Ofc Code]=(TRIM(G$4)))*(CsDJ[Account Code]=(TRIM($B65)))*(CsDJ[Date]&lt;=$E$7),CsDJ[Debit])))+(SUM(IF((CRDJ[Ofc Code]=(TRIM(G$4)))*(CRDJ[Account Code]=(TRIM($B65)))*(CRDJ[Date]&lt;=$E$7),CRDJ[Debit])))+(SUM(IF((GJ[Ofc Code]=(TRIM(G$4)))*(GJ[Account Code]=(TRIM($B65)))*(GJ[Date]&lt;=$E$7),GJ[Debit]))))-((SUM(IF((CkDJ[Ofc Code]=(TRIM(G$4)))*(CkDJ[Account Code]=(TRIM($B65)))*(CkDJ[Date]&lt;=$E$7),CkDJ[Credit])))+(SUM(IF((CsDJ[Ofc Code]=(TRIM(G$4)))*(CsDJ[Account Code]=(TRIM($B65)))*(CsDJ[Date]&lt;=$E$7),CsDJ[Credit])))+(SUM(IF((CRDJ[Ofc Code]=(TRIM(G$4)))*(CRDJ[Account Code]=(TRIM($B65)))*(CRDJ[Date]&lt;=$E$7),CRDJ[Credit])))+(SUM(IF((GJ[Ofc Code]=(TRIM(G$4)))*(GJ[Account Code]=(TRIM($B65)))*(GJ[Date]&lt;=$E$7),GJ[Credit]))))</f>
        <v>0</v>
      </c>
      <c r="F65" s="245">
        <f t="array" ref="F65">((SUM(IF((CkDJ[Date]=$A$3)*(CkDJ[Ofc Code]=(TRIM(G$4)))*(CkDJ[Account Code]=(TRIM($B65))),CkDJ[Debit])))+(SUM(IF((CsDJ[Date]=$A$3)*(CsDJ[Ofc Code]=(TRIM(G$4)))*(CsDJ[Account Code]=(TRIM($B65))),CsDJ[Debit])))+(SUM(IF((CRDJ[Date]=$A$3)*(CRDJ[Ofc Code]=(TRIM(G$4)))*(CRDJ[Account Code]=(TRIM($B65))),CRDJ[Debit])))+(SUM(IF((GJ[Date]=$A$3)*(GJ[Ofc Code]=(TRIM(G$4)))*(GJ[Account Code]=(TRIM($B65))),GJ[Debit]))))-((SUM(IF((CkDJ[Date]=$A$3)*(CkDJ[Ofc Code]=(TRIM(G$4)))*(CkDJ[Account Code]=(TRIM($B65))),CkDJ[Credit])))+(SUM(IF((CsDJ[Date]=$A$3)*(CsDJ[Ofc Code]=(TRIM(G$4)))*(CsDJ[Account Code]=(TRIM($B65))),CsDJ[Credit])))+(SUM(IF((CRDJ[Date]=$A$3)*(CRDJ[Ofc Code]=(TRIM(G$4)))*(CRDJ[Account Code]=(TRIM($B65))),CRDJ[Credit])))+(SUM(IF((GJ[Date]=$A$3)*(GJ[Ofc Code]=(TRIM(G$4)))*(GJ[Account Code]=(TRIM($B65))),GJ[Credit]))))</f>
        <v>0</v>
      </c>
      <c r="G65" s="343">
        <f t="shared" si="5"/>
        <v>0</v>
      </c>
      <c r="H65" s="246">
        <f t="shared" si="2"/>
        <v>0</v>
      </c>
      <c r="I65" s="246">
        <f t="shared" si="3"/>
        <v>0</v>
      </c>
    </row>
    <row r="66" spans="1:9" hidden="1">
      <c r="A66" s="247" t="s">
        <v>219</v>
      </c>
      <c r="B66" s="339" t="s">
        <v>214</v>
      </c>
      <c r="C66" s="245">
        <f t="array" ref="C66">SUM(IF((Budget[Account Code]=B66)*(Budget[Ofc Code]=$G$4),(Budget[Amount])))</f>
        <v>0</v>
      </c>
      <c r="D66" s="245">
        <f t="array" ref="D66">SUM(IF((Budget[Account Code]=B66)*(Budget[Ofc Code]=$G$4)*(Budget[Date]&lt;=$D$7),(Budget[Amount])))</f>
        <v>0</v>
      </c>
      <c r="E66" s="245">
        <f t="array" ref="E66">((SUM(IF((CkDJ[Ofc Code]=(TRIM(G$4)))*(CkDJ[Account Code]=(TRIM($B66)))*(CkDJ[Date]&lt;=$E$7),CkDJ[Debit])))+(SUM(IF((CsDJ[Ofc Code]=(TRIM(G$4)))*(CsDJ[Account Code]=(TRIM($B66)))*(CsDJ[Date]&lt;=$E$7),CsDJ[Debit])))+(SUM(IF((CRDJ[Ofc Code]=(TRIM(G$4)))*(CRDJ[Account Code]=(TRIM($B66)))*(CRDJ[Date]&lt;=$E$7),CRDJ[Debit])))+(SUM(IF((GJ[Ofc Code]=(TRIM(G$4)))*(GJ[Account Code]=(TRIM($B66)))*(GJ[Date]&lt;=$E$7),GJ[Debit]))))-((SUM(IF((CkDJ[Ofc Code]=(TRIM(G$4)))*(CkDJ[Account Code]=(TRIM($B66)))*(CkDJ[Date]&lt;=$E$7),CkDJ[Credit])))+(SUM(IF((CsDJ[Ofc Code]=(TRIM(G$4)))*(CsDJ[Account Code]=(TRIM($B66)))*(CsDJ[Date]&lt;=$E$7),CsDJ[Credit])))+(SUM(IF((CRDJ[Ofc Code]=(TRIM(G$4)))*(CRDJ[Account Code]=(TRIM($B66)))*(CRDJ[Date]&lt;=$E$7),CRDJ[Credit])))+(SUM(IF((GJ[Ofc Code]=(TRIM(G$4)))*(GJ[Account Code]=(TRIM($B66)))*(GJ[Date]&lt;=$E$7),GJ[Credit]))))</f>
        <v>0</v>
      </c>
      <c r="F66" s="245">
        <f t="array" ref="F66">((SUM(IF((CkDJ[Date]=$A$3)*(CkDJ[Ofc Code]=(TRIM(G$4)))*(CkDJ[Account Code]=(TRIM($B66))),CkDJ[Debit])))+(SUM(IF((CsDJ[Date]=$A$3)*(CsDJ[Ofc Code]=(TRIM(G$4)))*(CsDJ[Account Code]=(TRIM($B66))),CsDJ[Debit])))+(SUM(IF((CRDJ[Date]=$A$3)*(CRDJ[Ofc Code]=(TRIM(G$4)))*(CRDJ[Account Code]=(TRIM($B66))),CRDJ[Debit])))+(SUM(IF((GJ[Date]=$A$3)*(GJ[Ofc Code]=(TRIM(G$4)))*(GJ[Account Code]=(TRIM($B66))),GJ[Debit]))))-((SUM(IF((CkDJ[Date]=$A$3)*(CkDJ[Ofc Code]=(TRIM(G$4)))*(CkDJ[Account Code]=(TRIM($B66))),CkDJ[Credit])))+(SUM(IF((CsDJ[Date]=$A$3)*(CsDJ[Ofc Code]=(TRIM(G$4)))*(CsDJ[Account Code]=(TRIM($B66))),CsDJ[Credit])))+(SUM(IF((CRDJ[Date]=$A$3)*(CRDJ[Ofc Code]=(TRIM(G$4)))*(CRDJ[Account Code]=(TRIM($B66))),CRDJ[Credit])))+(SUM(IF((GJ[Date]=$A$3)*(GJ[Ofc Code]=(TRIM(G$4)))*(GJ[Account Code]=(TRIM($B66))),GJ[Credit]))))</f>
        <v>0</v>
      </c>
      <c r="G66" s="343">
        <f t="shared" si="5"/>
        <v>0</v>
      </c>
      <c r="H66" s="246">
        <f t="shared" si="2"/>
        <v>0</v>
      </c>
      <c r="I66" s="246">
        <f t="shared" si="3"/>
        <v>0</v>
      </c>
    </row>
    <row r="67" spans="1:9" hidden="1">
      <c r="A67" s="247" t="s">
        <v>205</v>
      </c>
      <c r="B67" s="339" t="s">
        <v>172</v>
      </c>
      <c r="C67" s="245">
        <f t="array" ref="C67">SUM(IF((Budget[Account Code]=B67)*(Budget[Ofc Code]=$G$4),(Budget[Amount])))</f>
        <v>90000</v>
      </c>
      <c r="D67" s="245">
        <f t="array" ref="D67">SUM(IF((Budget[Account Code]=B67)*(Budget[Ofc Code]=$G$4)*(Budget[Date]&lt;=$D$7),(Budget[Amount])))</f>
        <v>90000</v>
      </c>
      <c r="E67" s="245">
        <f t="array" ref="E67">((SUM(IF((CkDJ[Ofc Code]=(TRIM(G$4)))*(CkDJ[Account Code]=(TRIM($B67)))*(CkDJ[Date]&lt;=$E$7),CkDJ[Debit])))+(SUM(IF((CsDJ[Ofc Code]=(TRIM(G$4)))*(CsDJ[Account Code]=(TRIM($B67)))*(CsDJ[Date]&lt;=$E$7),CsDJ[Debit])))+(SUM(IF((CRDJ[Ofc Code]=(TRIM(G$4)))*(CRDJ[Account Code]=(TRIM($B67)))*(CRDJ[Date]&lt;=$E$7),CRDJ[Debit])))+(SUM(IF((GJ[Ofc Code]=(TRIM(G$4)))*(GJ[Account Code]=(TRIM($B67)))*(GJ[Date]&lt;=$E$7),GJ[Debit]))))-((SUM(IF((CkDJ[Ofc Code]=(TRIM(G$4)))*(CkDJ[Account Code]=(TRIM($B67)))*(CkDJ[Date]&lt;=$E$7),CkDJ[Credit])))+(SUM(IF((CsDJ[Ofc Code]=(TRIM(G$4)))*(CsDJ[Account Code]=(TRIM($B67)))*(CsDJ[Date]&lt;=$E$7),CsDJ[Credit])))+(SUM(IF((CRDJ[Ofc Code]=(TRIM(G$4)))*(CRDJ[Account Code]=(TRIM($B67)))*(CRDJ[Date]&lt;=$E$7),CRDJ[Credit])))+(SUM(IF((GJ[Ofc Code]=(TRIM(G$4)))*(GJ[Account Code]=(TRIM($B67)))*(GJ[Date]&lt;=$E$7),GJ[Credit]))))</f>
        <v>0</v>
      </c>
      <c r="F67" s="245">
        <f t="array" ref="F67">((SUM(IF((CkDJ[Date]=$A$3)*(CkDJ[Ofc Code]=(TRIM(G$4)))*(CkDJ[Account Code]=(TRIM($B67))),CkDJ[Debit])))+(SUM(IF((CsDJ[Date]=$A$3)*(CsDJ[Ofc Code]=(TRIM(G$4)))*(CsDJ[Account Code]=(TRIM($B67))),CsDJ[Debit])))+(SUM(IF((CRDJ[Date]=$A$3)*(CRDJ[Ofc Code]=(TRIM(G$4)))*(CRDJ[Account Code]=(TRIM($B67))),CRDJ[Debit])))+(SUM(IF((GJ[Date]=$A$3)*(GJ[Ofc Code]=(TRIM(G$4)))*(GJ[Account Code]=(TRIM($B67))),GJ[Debit]))))-((SUM(IF((CkDJ[Date]=$A$3)*(CkDJ[Ofc Code]=(TRIM(G$4)))*(CkDJ[Account Code]=(TRIM($B67))),CkDJ[Credit])))+(SUM(IF((CsDJ[Date]=$A$3)*(CsDJ[Ofc Code]=(TRIM(G$4)))*(CsDJ[Account Code]=(TRIM($B67))),CsDJ[Credit])))+(SUM(IF((CRDJ[Date]=$A$3)*(CRDJ[Ofc Code]=(TRIM(G$4)))*(CRDJ[Account Code]=(TRIM($B67))),CRDJ[Credit])))+(SUM(IF((GJ[Date]=$A$3)*(GJ[Ofc Code]=(TRIM(G$4)))*(GJ[Account Code]=(TRIM($B67))),GJ[Credit]))))</f>
        <v>0</v>
      </c>
      <c r="G67" s="343">
        <f t="shared" si="5"/>
        <v>0</v>
      </c>
      <c r="H67" s="246">
        <f t="shared" si="2"/>
        <v>-90000</v>
      </c>
      <c r="I67" s="246">
        <f t="shared" si="3"/>
        <v>0</v>
      </c>
    </row>
    <row r="68" spans="1:9" hidden="1">
      <c r="A68" s="247" t="s">
        <v>207</v>
      </c>
      <c r="B68" s="339" t="s">
        <v>174</v>
      </c>
      <c r="C68" s="245">
        <f t="array" ref="C68">SUM(IF((Budget[Account Code]=B68)*(Budget[Ofc Code]=$G$4),(Budget[Amount])))</f>
        <v>774554</v>
      </c>
      <c r="D68" s="245">
        <f t="array" ref="D68">SUM(IF((Budget[Account Code]=B68)*(Budget[Ofc Code]=$G$4)*(Budget[Date]&lt;=$D$7),(Budget[Amount])))</f>
        <v>774554</v>
      </c>
      <c r="E68" s="245">
        <f t="array" ref="E68">((SUM(IF((CkDJ[Ofc Code]=(TRIM(G$4)))*(CkDJ[Account Code]=(TRIM($B68)))*(CkDJ[Date]&lt;=$E$7),CkDJ[Debit])))+(SUM(IF((CsDJ[Ofc Code]=(TRIM(G$4)))*(CsDJ[Account Code]=(TRIM($B68)))*(CsDJ[Date]&lt;=$E$7),CsDJ[Debit])))+(SUM(IF((CRDJ[Ofc Code]=(TRIM(G$4)))*(CRDJ[Account Code]=(TRIM($B68)))*(CRDJ[Date]&lt;=$E$7),CRDJ[Debit])))+(SUM(IF((GJ[Ofc Code]=(TRIM(G$4)))*(GJ[Account Code]=(TRIM($B68)))*(GJ[Date]&lt;=$E$7),GJ[Debit]))))-((SUM(IF((CkDJ[Ofc Code]=(TRIM(G$4)))*(CkDJ[Account Code]=(TRIM($B68)))*(CkDJ[Date]&lt;=$E$7),CkDJ[Credit])))+(SUM(IF((CsDJ[Ofc Code]=(TRIM(G$4)))*(CsDJ[Account Code]=(TRIM($B68)))*(CsDJ[Date]&lt;=$E$7),CsDJ[Credit])))+(SUM(IF((CRDJ[Ofc Code]=(TRIM(G$4)))*(CRDJ[Account Code]=(TRIM($B68)))*(CRDJ[Date]&lt;=$E$7),CRDJ[Credit])))+(SUM(IF((GJ[Ofc Code]=(TRIM(G$4)))*(GJ[Account Code]=(TRIM($B68)))*(GJ[Date]&lt;=$E$7),GJ[Credit]))))</f>
        <v>0</v>
      </c>
      <c r="F68" s="245">
        <f t="array" ref="F68">((SUM(IF((CkDJ[Date]=$A$3)*(CkDJ[Ofc Code]=(TRIM(G$4)))*(CkDJ[Account Code]=(TRIM($B68))),CkDJ[Debit])))+(SUM(IF((CsDJ[Date]=$A$3)*(CsDJ[Ofc Code]=(TRIM(G$4)))*(CsDJ[Account Code]=(TRIM($B68))),CsDJ[Debit])))+(SUM(IF((CRDJ[Date]=$A$3)*(CRDJ[Ofc Code]=(TRIM(G$4)))*(CRDJ[Account Code]=(TRIM($B68))),CRDJ[Debit])))+(SUM(IF((GJ[Date]=$A$3)*(GJ[Ofc Code]=(TRIM(G$4)))*(GJ[Account Code]=(TRIM($B68))),GJ[Debit]))))-((SUM(IF((CkDJ[Date]=$A$3)*(CkDJ[Ofc Code]=(TRIM(G$4)))*(CkDJ[Account Code]=(TRIM($B68))),CkDJ[Credit])))+(SUM(IF((CsDJ[Date]=$A$3)*(CsDJ[Ofc Code]=(TRIM(G$4)))*(CsDJ[Account Code]=(TRIM($B68))),CsDJ[Credit])))+(SUM(IF((CRDJ[Date]=$A$3)*(CRDJ[Ofc Code]=(TRIM(G$4)))*(CRDJ[Account Code]=(TRIM($B68))),CRDJ[Credit])))+(SUM(IF((GJ[Date]=$A$3)*(GJ[Ofc Code]=(TRIM(G$4)))*(GJ[Account Code]=(TRIM($B68))),GJ[Credit]))))</f>
        <v>0</v>
      </c>
      <c r="G68" s="343">
        <f t="shared" si="5"/>
        <v>0</v>
      </c>
      <c r="H68" s="246">
        <f t="shared" si="2"/>
        <v>-774554</v>
      </c>
      <c r="I68" s="246">
        <f t="shared" si="3"/>
        <v>0</v>
      </c>
    </row>
    <row r="69" spans="1:9" hidden="1">
      <c r="A69" s="247" t="s">
        <v>208</v>
      </c>
      <c r="B69" s="339" t="s">
        <v>175</v>
      </c>
      <c r="C69" s="245">
        <f t="array" ref="C69">SUM(IF((Budget[Account Code]=B69)*(Budget[Ofc Code]=$G$4),(Budget[Amount])))</f>
        <v>557678.88</v>
      </c>
      <c r="D69" s="245">
        <f t="array" ref="D69">SUM(IF((Budget[Account Code]=B69)*(Budget[Ofc Code]=$G$4)*(Budget[Date]&lt;=$D$7),(Budget[Amount])))</f>
        <v>557678.88</v>
      </c>
      <c r="E69" s="245">
        <f t="array" ref="E69">((SUM(IF((CkDJ[Ofc Code]=(TRIM(G$4)))*(CkDJ[Account Code]=(TRIM($B69)))*(CkDJ[Date]&lt;=$E$7),CkDJ[Debit])))+(SUM(IF((CsDJ[Ofc Code]=(TRIM(G$4)))*(CsDJ[Account Code]=(TRIM($B69)))*(CsDJ[Date]&lt;=$E$7),CsDJ[Debit])))+(SUM(IF((CRDJ[Ofc Code]=(TRIM(G$4)))*(CRDJ[Account Code]=(TRIM($B69)))*(CRDJ[Date]&lt;=$E$7),CRDJ[Debit])))+(SUM(IF((GJ[Ofc Code]=(TRIM(G$4)))*(GJ[Account Code]=(TRIM($B69)))*(GJ[Date]&lt;=$E$7),GJ[Debit]))))-((SUM(IF((CkDJ[Ofc Code]=(TRIM(G$4)))*(CkDJ[Account Code]=(TRIM($B69)))*(CkDJ[Date]&lt;=$E$7),CkDJ[Credit])))+(SUM(IF((CsDJ[Ofc Code]=(TRIM(G$4)))*(CsDJ[Account Code]=(TRIM($B69)))*(CsDJ[Date]&lt;=$E$7),CsDJ[Credit])))+(SUM(IF((CRDJ[Ofc Code]=(TRIM(G$4)))*(CRDJ[Account Code]=(TRIM($B69)))*(CRDJ[Date]&lt;=$E$7),CRDJ[Credit])))+(SUM(IF((GJ[Ofc Code]=(TRIM(G$4)))*(GJ[Account Code]=(TRIM($B69)))*(GJ[Date]&lt;=$E$7),GJ[Credit]))))</f>
        <v>0</v>
      </c>
      <c r="F69" s="245">
        <f t="array" ref="F69">((SUM(IF((CkDJ[Date]=$A$3)*(CkDJ[Ofc Code]=(TRIM(G$4)))*(CkDJ[Account Code]=(TRIM($B69))),CkDJ[Debit])))+(SUM(IF((CsDJ[Date]=$A$3)*(CsDJ[Ofc Code]=(TRIM(G$4)))*(CsDJ[Account Code]=(TRIM($B69))),CsDJ[Debit])))+(SUM(IF((CRDJ[Date]=$A$3)*(CRDJ[Ofc Code]=(TRIM(G$4)))*(CRDJ[Account Code]=(TRIM($B69))),CRDJ[Debit])))+(SUM(IF((GJ[Date]=$A$3)*(GJ[Ofc Code]=(TRIM(G$4)))*(GJ[Account Code]=(TRIM($B69))),GJ[Debit]))))-((SUM(IF((CkDJ[Date]=$A$3)*(CkDJ[Ofc Code]=(TRIM(G$4)))*(CkDJ[Account Code]=(TRIM($B69))),CkDJ[Credit])))+(SUM(IF((CsDJ[Date]=$A$3)*(CsDJ[Ofc Code]=(TRIM(G$4)))*(CsDJ[Account Code]=(TRIM($B69))),CsDJ[Credit])))+(SUM(IF((CRDJ[Date]=$A$3)*(CRDJ[Ofc Code]=(TRIM(G$4)))*(CRDJ[Account Code]=(TRIM($B69))),CRDJ[Credit])))+(SUM(IF((GJ[Date]=$A$3)*(GJ[Ofc Code]=(TRIM(G$4)))*(GJ[Account Code]=(TRIM($B69))),GJ[Credit]))))</f>
        <v>0</v>
      </c>
      <c r="G69" s="343">
        <f t="shared" si="5"/>
        <v>0</v>
      </c>
      <c r="H69" s="246">
        <f t="shared" si="2"/>
        <v>-557678.88</v>
      </c>
      <c r="I69" s="246">
        <f t="shared" si="3"/>
        <v>0</v>
      </c>
    </row>
    <row r="70" spans="1:9" hidden="1">
      <c r="A70" s="247" t="s">
        <v>209</v>
      </c>
      <c r="B70" s="339" t="s">
        <v>176</v>
      </c>
      <c r="C70" s="245">
        <f t="array" ref="C70">SUM(IF((Budget[Account Code]=B70)*(Budget[Ofc Code]=$G$4),(Budget[Amount])))</f>
        <v>21600</v>
      </c>
      <c r="D70" s="245">
        <f t="array" ref="D70">SUM(IF((Budget[Account Code]=B70)*(Budget[Ofc Code]=$G$4)*(Budget[Date]&lt;=$D$7),(Budget[Amount])))</f>
        <v>21600</v>
      </c>
      <c r="E70" s="245">
        <f t="array" ref="E70">((SUM(IF((CkDJ[Ofc Code]=(TRIM(G$4)))*(CkDJ[Account Code]=(TRIM($B70)))*(CkDJ[Date]&lt;=$E$7),CkDJ[Debit])))+(SUM(IF((CsDJ[Ofc Code]=(TRIM(G$4)))*(CsDJ[Account Code]=(TRIM($B70)))*(CsDJ[Date]&lt;=$E$7),CsDJ[Debit])))+(SUM(IF((CRDJ[Ofc Code]=(TRIM(G$4)))*(CRDJ[Account Code]=(TRIM($B70)))*(CRDJ[Date]&lt;=$E$7),CRDJ[Debit])))+(SUM(IF((GJ[Ofc Code]=(TRIM(G$4)))*(GJ[Account Code]=(TRIM($B70)))*(GJ[Date]&lt;=$E$7),GJ[Debit]))))-((SUM(IF((CkDJ[Ofc Code]=(TRIM(G$4)))*(CkDJ[Account Code]=(TRIM($B70)))*(CkDJ[Date]&lt;=$E$7),CkDJ[Credit])))+(SUM(IF((CsDJ[Ofc Code]=(TRIM(G$4)))*(CsDJ[Account Code]=(TRIM($B70)))*(CsDJ[Date]&lt;=$E$7),CsDJ[Credit])))+(SUM(IF((CRDJ[Ofc Code]=(TRIM(G$4)))*(CRDJ[Account Code]=(TRIM($B70)))*(CRDJ[Date]&lt;=$E$7),CRDJ[Credit])))+(SUM(IF((GJ[Ofc Code]=(TRIM(G$4)))*(GJ[Account Code]=(TRIM($B70)))*(GJ[Date]&lt;=$E$7),GJ[Credit]))))</f>
        <v>0</v>
      </c>
      <c r="F70" s="245">
        <f t="array" ref="F70">((SUM(IF((CkDJ[Date]=$A$3)*(CkDJ[Ofc Code]=(TRIM(G$4)))*(CkDJ[Account Code]=(TRIM($B70))),CkDJ[Debit])))+(SUM(IF((CsDJ[Date]=$A$3)*(CsDJ[Ofc Code]=(TRIM(G$4)))*(CsDJ[Account Code]=(TRIM($B70))),CsDJ[Debit])))+(SUM(IF((CRDJ[Date]=$A$3)*(CRDJ[Ofc Code]=(TRIM(G$4)))*(CRDJ[Account Code]=(TRIM($B70))),CRDJ[Debit])))+(SUM(IF((GJ[Date]=$A$3)*(GJ[Ofc Code]=(TRIM(G$4)))*(GJ[Account Code]=(TRIM($B70))),GJ[Debit]))))-((SUM(IF((CkDJ[Date]=$A$3)*(CkDJ[Ofc Code]=(TRIM(G$4)))*(CkDJ[Account Code]=(TRIM($B70))),CkDJ[Credit])))+(SUM(IF((CsDJ[Date]=$A$3)*(CsDJ[Ofc Code]=(TRIM(G$4)))*(CsDJ[Account Code]=(TRIM($B70))),CsDJ[Credit])))+(SUM(IF((CRDJ[Date]=$A$3)*(CRDJ[Ofc Code]=(TRIM(G$4)))*(CRDJ[Account Code]=(TRIM($B70))),CRDJ[Credit])))+(SUM(IF((GJ[Date]=$A$3)*(GJ[Ofc Code]=(TRIM(G$4)))*(GJ[Account Code]=(TRIM($B70))),GJ[Credit]))))</f>
        <v>0</v>
      </c>
      <c r="G70" s="343">
        <f t="shared" si="5"/>
        <v>0</v>
      </c>
      <c r="H70" s="246">
        <f t="shared" si="2"/>
        <v>-21600</v>
      </c>
      <c r="I70" s="246">
        <f t="shared" si="3"/>
        <v>0</v>
      </c>
    </row>
    <row r="71" spans="1:9" hidden="1">
      <c r="A71" s="247" t="s">
        <v>210</v>
      </c>
      <c r="B71" s="339" t="s">
        <v>177</v>
      </c>
      <c r="C71" s="245">
        <f t="array" ref="C71">SUM(IF((Budget[Account Code]=B71)*(Budget[Ofc Code]=$G$4),(Budget[Amount])))</f>
        <v>54450</v>
      </c>
      <c r="D71" s="245">
        <f t="array" ref="D71">SUM(IF((Budget[Account Code]=B71)*(Budget[Ofc Code]=$G$4)*(Budget[Date]&lt;=$D$7),(Budget[Amount])))</f>
        <v>54450</v>
      </c>
      <c r="E71" s="245">
        <f t="array" ref="E71">((SUM(IF((CkDJ[Ofc Code]=(TRIM(G$4)))*(CkDJ[Account Code]=(TRIM($B71)))*(CkDJ[Date]&lt;=$E$7),CkDJ[Debit])))+(SUM(IF((CsDJ[Ofc Code]=(TRIM(G$4)))*(CsDJ[Account Code]=(TRIM($B71)))*(CsDJ[Date]&lt;=$E$7),CsDJ[Debit])))+(SUM(IF((CRDJ[Ofc Code]=(TRIM(G$4)))*(CRDJ[Account Code]=(TRIM($B71)))*(CRDJ[Date]&lt;=$E$7),CRDJ[Debit])))+(SUM(IF((GJ[Ofc Code]=(TRIM(G$4)))*(GJ[Account Code]=(TRIM($B71)))*(GJ[Date]&lt;=$E$7),GJ[Debit]))))-((SUM(IF((CkDJ[Ofc Code]=(TRIM(G$4)))*(CkDJ[Account Code]=(TRIM($B71)))*(CkDJ[Date]&lt;=$E$7),CkDJ[Credit])))+(SUM(IF((CsDJ[Ofc Code]=(TRIM(G$4)))*(CsDJ[Account Code]=(TRIM($B71)))*(CsDJ[Date]&lt;=$E$7),CsDJ[Credit])))+(SUM(IF((CRDJ[Ofc Code]=(TRIM(G$4)))*(CRDJ[Account Code]=(TRIM($B71)))*(CRDJ[Date]&lt;=$E$7),CRDJ[Credit])))+(SUM(IF((GJ[Ofc Code]=(TRIM(G$4)))*(GJ[Account Code]=(TRIM($B71)))*(GJ[Date]&lt;=$E$7),GJ[Credit]))))</f>
        <v>0</v>
      </c>
      <c r="F71" s="245">
        <f t="array" ref="F71">((SUM(IF((CkDJ[Date]=$A$3)*(CkDJ[Ofc Code]=(TRIM(G$4)))*(CkDJ[Account Code]=(TRIM($B71))),CkDJ[Debit])))+(SUM(IF((CsDJ[Date]=$A$3)*(CsDJ[Ofc Code]=(TRIM(G$4)))*(CsDJ[Account Code]=(TRIM($B71))),CsDJ[Debit])))+(SUM(IF((CRDJ[Date]=$A$3)*(CRDJ[Ofc Code]=(TRIM(G$4)))*(CRDJ[Account Code]=(TRIM($B71))),CRDJ[Debit])))+(SUM(IF((GJ[Date]=$A$3)*(GJ[Ofc Code]=(TRIM(G$4)))*(GJ[Account Code]=(TRIM($B71))),GJ[Debit]))))-((SUM(IF((CkDJ[Date]=$A$3)*(CkDJ[Ofc Code]=(TRIM(G$4)))*(CkDJ[Account Code]=(TRIM($B71))),CkDJ[Credit])))+(SUM(IF((CsDJ[Date]=$A$3)*(CsDJ[Ofc Code]=(TRIM(G$4)))*(CsDJ[Account Code]=(TRIM($B71))),CsDJ[Credit])))+(SUM(IF((CRDJ[Date]=$A$3)*(CRDJ[Ofc Code]=(TRIM(G$4)))*(CRDJ[Account Code]=(TRIM($B71))),CRDJ[Credit])))+(SUM(IF((GJ[Date]=$A$3)*(GJ[Ofc Code]=(TRIM(G$4)))*(GJ[Account Code]=(TRIM($B71))),GJ[Credit]))))</f>
        <v>0</v>
      </c>
      <c r="G71" s="343">
        <f t="shared" si="5"/>
        <v>0</v>
      </c>
      <c r="H71" s="246">
        <f t="shared" si="2"/>
        <v>-54450</v>
      </c>
      <c r="I71" s="246">
        <f t="shared" si="3"/>
        <v>0</v>
      </c>
    </row>
    <row r="72" spans="1:9" hidden="1">
      <c r="A72" s="247" t="s">
        <v>211</v>
      </c>
      <c r="B72" s="339" t="s">
        <v>178</v>
      </c>
      <c r="C72" s="245">
        <f t="array" ref="C72">SUM(IF((Budget[Account Code]=B72)*(Budget[Ofc Code]=$G$4),(Budget[Amount])))</f>
        <v>21600</v>
      </c>
      <c r="D72" s="245">
        <f t="array" ref="D72">SUM(IF((Budget[Account Code]=B72)*(Budget[Ofc Code]=$G$4)*(Budget[Date]&lt;=$D$7),(Budget[Amount])))</f>
        <v>21600</v>
      </c>
      <c r="E72" s="245">
        <f t="array" ref="E72">((SUM(IF((CkDJ[Ofc Code]=(TRIM(G$4)))*(CkDJ[Account Code]=(TRIM($B72)))*(CkDJ[Date]&lt;=$E$7),CkDJ[Debit])))+(SUM(IF((CsDJ[Ofc Code]=(TRIM(G$4)))*(CsDJ[Account Code]=(TRIM($B72)))*(CsDJ[Date]&lt;=$E$7),CsDJ[Debit])))+(SUM(IF((CRDJ[Ofc Code]=(TRIM(G$4)))*(CRDJ[Account Code]=(TRIM($B72)))*(CRDJ[Date]&lt;=$E$7),CRDJ[Debit])))+(SUM(IF((GJ[Ofc Code]=(TRIM(G$4)))*(GJ[Account Code]=(TRIM($B72)))*(GJ[Date]&lt;=$E$7),GJ[Debit]))))-((SUM(IF((CkDJ[Ofc Code]=(TRIM(G$4)))*(CkDJ[Account Code]=(TRIM($B72)))*(CkDJ[Date]&lt;=$E$7),CkDJ[Credit])))+(SUM(IF((CsDJ[Ofc Code]=(TRIM(G$4)))*(CsDJ[Account Code]=(TRIM($B72)))*(CsDJ[Date]&lt;=$E$7),CsDJ[Credit])))+(SUM(IF((CRDJ[Ofc Code]=(TRIM(G$4)))*(CRDJ[Account Code]=(TRIM($B72)))*(CRDJ[Date]&lt;=$E$7),CRDJ[Credit])))+(SUM(IF((GJ[Ofc Code]=(TRIM(G$4)))*(GJ[Account Code]=(TRIM($B72)))*(GJ[Date]&lt;=$E$7),GJ[Credit]))))</f>
        <v>0</v>
      </c>
      <c r="F72" s="245">
        <f t="array" ref="F72">((SUM(IF((CkDJ[Date]=$A$3)*(CkDJ[Ofc Code]=(TRIM(G$4)))*(CkDJ[Account Code]=(TRIM($B72))),CkDJ[Debit])))+(SUM(IF((CsDJ[Date]=$A$3)*(CsDJ[Ofc Code]=(TRIM(G$4)))*(CsDJ[Account Code]=(TRIM($B72))),CsDJ[Debit])))+(SUM(IF((CRDJ[Date]=$A$3)*(CRDJ[Ofc Code]=(TRIM(G$4)))*(CRDJ[Account Code]=(TRIM($B72))),CRDJ[Debit])))+(SUM(IF((GJ[Date]=$A$3)*(GJ[Ofc Code]=(TRIM(G$4)))*(GJ[Account Code]=(TRIM($B72))),GJ[Debit]))))-((SUM(IF((CkDJ[Date]=$A$3)*(CkDJ[Ofc Code]=(TRIM(G$4)))*(CkDJ[Account Code]=(TRIM($B72))),CkDJ[Credit])))+(SUM(IF((CsDJ[Date]=$A$3)*(CsDJ[Ofc Code]=(TRIM(G$4)))*(CsDJ[Account Code]=(TRIM($B72))),CsDJ[Credit])))+(SUM(IF((CRDJ[Date]=$A$3)*(CRDJ[Ofc Code]=(TRIM(G$4)))*(CRDJ[Account Code]=(TRIM($B72))),CRDJ[Credit])))+(SUM(IF((GJ[Date]=$A$3)*(GJ[Ofc Code]=(TRIM(G$4)))*(GJ[Account Code]=(TRIM($B72))),GJ[Credit]))))</f>
        <v>0</v>
      </c>
      <c r="G72" s="343">
        <f t="shared" si="5"/>
        <v>0</v>
      </c>
      <c r="H72" s="246">
        <f t="shared" si="2"/>
        <v>-21600</v>
      </c>
      <c r="I72" s="246">
        <f t="shared" si="3"/>
        <v>0</v>
      </c>
    </row>
    <row r="73" spans="1:9" hidden="1">
      <c r="A73" s="247" t="s">
        <v>1016</v>
      </c>
      <c r="B73" s="339" t="s">
        <v>985</v>
      </c>
      <c r="C73" s="245">
        <f t="array" ref="C73">SUM(IF((Budget[Account Code]=B73)*(Budget[Ofc Code]=$G$4),(Budget[Amount])))</f>
        <v>0</v>
      </c>
      <c r="D73" s="245">
        <f t="array" ref="D73">SUM(IF((Budget[Account Code]=B73)*(Budget[Ofc Code]=$G$4)*(Budget[Date]&lt;=$D$7),(Budget[Amount])))</f>
        <v>0</v>
      </c>
      <c r="E73" s="245">
        <f t="array" ref="E73">((SUM(IF((CkDJ[Ofc Code]=(TRIM(G$4)))*(CkDJ[Account Code]=(TRIM($B73)))*(CkDJ[Date]&lt;=$E$7),CkDJ[Debit])))+(SUM(IF((CsDJ[Ofc Code]=(TRIM(G$4)))*(CsDJ[Account Code]=(TRIM($B73)))*(CsDJ[Date]&lt;=$E$7),CsDJ[Debit])))+(SUM(IF((CRDJ[Ofc Code]=(TRIM(G$4)))*(CRDJ[Account Code]=(TRIM($B73)))*(CRDJ[Date]&lt;=$E$7),CRDJ[Debit])))+(SUM(IF((GJ[Ofc Code]=(TRIM(G$4)))*(GJ[Account Code]=(TRIM($B73)))*(GJ[Date]&lt;=$E$7),GJ[Debit]))))-((SUM(IF((CkDJ[Ofc Code]=(TRIM(G$4)))*(CkDJ[Account Code]=(TRIM($B73)))*(CkDJ[Date]&lt;=$E$7),CkDJ[Credit])))+(SUM(IF((CsDJ[Ofc Code]=(TRIM(G$4)))*(CsDJ[Account Code]=(TRIM($B73)))*(CsDJ[Date]&lt;=$E$7),CsDJ[Credit])))+(SUM(IF((CRDJ[Ofc Code]=(TRIM(G$4)))*(CRDJ[Account Code]=(TRIM($B73)))*(CRDJ[Date]&lt;=$E$7),CRDJ[Credit])))+(SUM(IF((GJ[Ofc Code]=(TRIM(G$4)))*(GJ[Account Code]=(TRIM($B73)))*(GJ[Date]&lt;=$E$7),GJ[Credit]))))</f>
        <v>0</v>
      </c>
      <c r="F73" s="245">
        <f t="array" ref="F73">((SUM(IF((CkDJ[Date]=$A$3)*(CkDJ[Ofc Code]=(TRIM(G$4)))*(CkDJ[Account Code]=(TRIM($B73))),CkDJ[Debit])))+(SUM(IF((CsDJ[Date]=$A$3)*(CsDJ[Ofc Code]=(TRIM(G$4)))*(CsDJ[Account Code]=(TRIM($B73))),CsDJ[Debit])))+(SUM(IF((CRDJ[Date]=$A$3)*(CRDJ[Ofc Code]=(TRIM(G$4)))*(CRDJ[Account Code]=(TRIM($B73))),CRDJ[Debit])))+(SUM(IF((GJ[Date]=$A$3)*(GJ[Ofc Code]=(TRIM(G$4)))*(GJ[Account Code]=(TRIM($B73))),GJ[Debit]))))-((SUM(IF((CkDJ[Date]=$A$3)*(CkDJ[Ofc Code]=(TRIM(G$4)))*(CkDJ[Account Code]=(TRIM($B73))),CkDJ[Credit])))+(SUM(IF((CsDJ[Date]=$A$3)*(CsDJ[Ofc Code]=(TRIM(G$4)))*(CsDJ[Account Code]=(TRIM($B73))),CsDJ[Credit])))+(SUM(IF((CRDJ[Date]=$A$3)*(CRDJ[Ofc Code]=(TRIM(G$4)))*(CRDJ[Account Code]=(TRIM($B73))),CRDJ[Credit])))+(SUM(IF((GJ[Date]=$A$3)*(GJ[Ofc Code]=(TRIM(G$4)))*(GJ[Account Code]=(TRIM($B73))),GJ[Credit]))))</f>
        <v>0</v>
      </c>
      <c r="G73" s="343">
        <f>E73+F73</f>
        <v>0</v>
      </c>
      <c r="H73" s="246">
        <f>G73-D73</f>
        <v>0</v>
      </c>
      <c r="I73" s="246">
        <f>IF((D73=0),0,G73/D73)</f>
        <v>0</v>
      </c>
    </row>
    <row r="74" spans="1:9" hidden="1">
      <c r="A74" s="247" t="s">
        <v>218</v>
      </c>
      <c r="B74" s="339" t="s">
        <v>213</v>
      </c>
      <c r="C74" s="245">
        <f t="array" ref="C74">SUM(IF((Budget[Account Code]=B74)*(Budget[Ofc Code]=$G$4),(Budget[Amount])))</f>
        <v>0</v>
      </c>
      <c r="D74" s="245">
        <f t="array" ref="D74">SUM(IF((Budget[Account Code]=B74)*(Budget[Ofc Code]=$G$4)*(Budget[Date]&lt;=$D$7),(Budget[Amount])))</f>
        <v>0</v>
      </c>
      <c r="E74" s="245">
        <f t="array" ref="E74">((SUM(IF((CkDJ[Ofc Code]=(TRIM(G$4)))*(CkDJ[Account Code]=(TRIM($B74)))*(CkDJ[Date]&lt;=$E$7),CkDJ[Debit])))+(SUM(IF((CsDJ[Ofc Code]=(TRIM(G$4)))*(CsDJ[Account Code]=(TRIM($B74)))*(CsDJ[Date]&lt;=$E$7),CsDJ[Debit])))+(SUM(IF((CRDJ[Ofc Code]=(TRIM(G$4)))*(CRDJ[Account Code]=(TRIM($B74)))*(CRDJ[Date]&lt;=$E$7),CRDJ[Debit])))+(SUM(IF((GJ[Ofc Code]=(TRIM(G$4)))*(GJ[Account Code]=(TRIM($B74)))*(GJ[Date]&lt;=$E$7),GJ[Debit]))))-((SUM(IF((CkDJ[Ofc Code]=(TRIM(G$4)))*(CkDJ[Account Code]=(TRIM($B74)))*(CkDJ[Date]&lt;=$E$7),CkDJ[Credit])))+(SUM(IF((CsDJ[Ofc Code]=(TRIM(G$4)))*(CsDJ[Account Code]=(TRIM($B74)))*(CsDJ[Date]&lt;=$E$7),CsDJ[Credit])))+(SUM(IF((CRDJ[Ofc Code]=(TRIM(G$4)))*(CRDJ[Account Code]=(TRIM($B74)))*(CRDJ[Date]&lt;=$E$7),CRDJ[Credit])))+(SUM(IF((GJ[Ofc Code]=(TRIM(G$4)))*(GJ[Account Code]=(TRIM($B74)))*(GJ[Date]&lt;=$E$7),GJ[Credit]))))</f>
        <v>0</v>
      </c>
      <c r="F74" s="245">
        <f t="array" ref="F74">((SUM(IF((CkDJ[Date]=$A$3)*(CkDJ[Ofc Code]=(TRIM(G$4)))*(CkDJ[Account Code]=(TRIM($B74))),CkDJ[Debit])))+(SUM(IF((CsDJ[Date]=$A$3)*(CsDJ[Ofc Code]=(TRIM(G$4)))*(CsDJ[Account Code]=(TRIM($B74))),CsDJ[Debit])))+(SUM(IF((CRDJ[Date]=$A$3)*(CRDJ[Ofc Code]=(TRIM(G$4)))*(CRDJ[Account Code]=(TRIM($B74))),CRDJ[Debit])))+(SUM(IF((GJ[Date]=$A$3)*(GJ[Ofc Code]=(TRIM(G$4)))*(GJ[Account Code]=(TRIM($B74))),GJ[Debit]))))-((SUM(IF((CkDJ[Date]=$A$3)*(CkDJ[Ofc Code]=(TRIM(G$4)))*(CkDJ[Account Code]=(TRIM($B74))),CkDJ[Credit])))+(SUM(IF((CsDJ[Date]=$A$3)*(CsDJ[Ofc Code]=(TRIM(G$4)))*(CsDJ[Account Code]=(TRIM($B74))),CsDJ[Credit])))+(SUM(IF((CRDJ[Date]=$A$3)*(CRDJ[Ofc Code]=(TRIM(G$4)))*(CRDJ[Account Code]=(TRIM($B74))),CRDJ[Credit])))+(SUM(IF((GJ[Date]=$A$3)*(GJ[Ofc Code]=(TRIM(G$4)))*(GJ[Account Code]=(TRIM($B74))),GJ[Credit]))))</f>
        <v>0</v>
      </c>
      <c r="G74" s="343">
        <f t="shared" si="5"/>
        <v>0</v>
      </c>
      <c r="H74" s="246">
        <f t="shared" si="2"/>
        <v>0</v>
      </c>
      <c r="I74" s="246">
        <f t="shared" si="3"/>
        <v>0</v>
      </c>
    </row>
    <row r="75" spans="1:9">
      <c r="A75" s="243" t="s">
        <v>805</v>
      </c>
      <c r="B75" s="337"/>
      <c r="C75" s="245"/>
      <c r="D75" s="245"/>
      <c r="E75" s="246"/>
      <c r="F75" s="245"/>
      <c r="G75" s="246"/>
      <c r="H75" s="246"/>
      <c r="I75" s="246"/>
    </row>
    <row r="76" spans="1:9">
      <c r="A76" s="239" t="s">
        <v>810</v>
      </c>
      <c r="B76" s="337"/>
      <c r="C76" s="252">
        <f>C77+C139</f>
        <v>168456.24</v>
      </c>
      <c r="D76" s="252">
        <f>D77+D139</f>
        <v>168456.24</v>
      </c>
      <c r="E76" s="252">
        <f>E77+E139</f>
        <v>0</v>
      </c>
      <c r="F76" s="252">
        <f>F77+F139</f>
        <v>0</v>
      </c>
      <c r="G76" s="252">
        <f>G77+G139</f>
        <v>0</v>
      </c>
      <c r="H76" s="242">
        <f t="shared" si="2"/>
        <v>-168456.24</v>
      </c>
      <c r="I76" s="242">
        <f t="shared" si="3"/>
        <v>0</v>
      </c>
    </row>
    <row r="77" spans="1:9">
      <c r="A77" s="253" t="s">
        <v>809</v>
      </c>
      <c r="B77" s="337"/>
      <c r="C77" s="254">
        <f>C78+C138</f>
        <v>168456.24</v>
      </c>
      <c r="D77" s="254">
        <f>D78+D138</f>
        <v>168456.24</v>
      </c>
      <c r="E77" s="254">
        <f>E78+E138</f>
        <v>0</v>
      </c>
      <c r="F77" s="254">
        <f>F78+F138</f>
        <v>0</v>
      </c>
      <c r="G77" s="254">
        <f>G78+G138</f>
        <v>0</v>
      </c>
      <c r="H77" s="246">
        <f t="shared" si="2"/>
        <v>-168456.24</v>
      </c>
      <c r="I77" s="246">
        <f t="shared" si="3"/>
        <v>0</v>
      </c>
    </row>
    <row r="78" spans="1:9">
      <c r="A78" s="255" t="s">
        <v>806</v>
      </c>
      <c r="B78" s="337"/>
      <c r="C78" s="246">
        <f>SUM(C79:C137)</f>
        <v>168456.24</v>
      </c>
      <c r="D78" s="246">
        <f>SUM(D79:D137)</f>
        <v>168456.24</v>
      </c>
      <c r="E78" s="246">
        <f>SUM(E79:E137)</f>
        <v>0</v>
      </c>
      <c r="F78" s="246">
        <f>SUM(F79:F137)</f>
        <v>0</v>
      </c>
      <c r="G78" s="246">
        <f>SUM(G79:G137)</f>
        <v>0</v>
      </c>
      <c r="H78" s="246">
        <f t="shared" si="2"/>
        <v>-168456.24</v>
      </c>
      <c r="I78" s="246">
        <f t="shared" si="3"/>
        <v>0</v>
      </c>
    </row>
    <row r="79" spans="1:9" hidden="1">
      <c r="A79" s="256" t="s">
        <v>284</v>
      </c>
      <c r="B79" s="339" t="s">
        <v>223</v>
      </c>
      <c r="C79" s="245">
        <f t="array" ref="C79">SUM(IF((Budget[Account Code]=B79)*(Budget[Ofc Code]=$G$4),(Budget[Amount])))</f>
        <v>0</v>
      </c>
      <c r="D79" s="245">
        <f t="array" ref="D79">SUM(IF((Budget[Account Code]=B79)*(Budget[Ofc Code]=$G$4)*(Budget[Date]&lt;=$D$7),(Budget[Amount])))</f>
        <v>0</v>
      </c>
      <c r="E79" s="245">
        <f t="array" ref="E79">((SUM(IF((CkDJ[Ofc Code]=(TRIM(G$4)))*(CkDJ[Account Code]=(TRIM($B79)))*(CkDJ[Date]&lt;=$E$7),CkDJ[Debit])))+(SUM(IF((CsDJ[Ofc Code]=(TRIM(G$4)))*(CsDJ[Account Code]=(TRIM($B79)))*(CsDJ[Date]&lt;=$E$7),CsDJ[Debit])))+(SUM(IF((CRDJ[Ofc Code]=(TRIM(G$4)))*(CRDJ[Account Code]=(TRIM($B79)))*(CRDJ[Date]&lt;=$E$7),CRDJ[Debit])))+(SUM(IF((GJ[Ofc Code]=(TRIM(G$4)))*(GJ[Account Code]=(TRIM($B79)))*(GJ[Date]&lt;=$E$7),GJ[Debit]))))-((SUM(IF((CkDJ[Ofc Code]=(TRIM(G$4)))*(CkDJ[Account Code]=(TRIM($B79)))*(CkDJ[Date]&lt;=$E$7),CkDJ[Credit])))+(SUM(IF((CsDJ[Ofc Code]=(TRIM(G$4)))*(CsDJ[Account Code]=(TRIM($B79)))*(CsDJ[Date]&lt;=$E$7),CsDJ[Credit])))+(SUM(IF((CRDJ[Ofc Code]=(TRIM(G$4)))*(CRDJ[Account Code]=(TRIM($B79)))*(CRDJ[Date]&lt;=$E$7),CRDJ[Credit])))+(SUM(IF((GJ[Ofc Code]=(TRIM(G$4)))*(GJ[Account Code]=(TRIM($B79)))*(GJ[Date]&lt;=$E$7),GJ[Credit]))))</f>
        <v>0</v>
      </c>
      <c r="F79" s="245">
        <f t="array" ref="F79">((SUM(IF((CkDJ[Date]=$A$3)*(CkDJ[Ofc Code]=(TRIM(G$4)))*(CkDJ[Account Code]=(TRIM($B79))),CkDJ[Debit])))+(SUM(IF((CsDJ[Date]=$A$3)*(CsDJ[Ofc Code]=(TRIM(G$4)))*(CsDJ[Account Code]=(TRIM($B79))),CsDJ[Debit])))+(SUM(IF((CRDJ[Date]=$A$3)*(CRDJ[Ofc Code]=(TRIM(G$4)))*(CRDJ[Account Code]=(TRIM($B79))),CRDJ[Debit])))+(SUM(IF((GJ[Date]=$A$3)*(GJ[Ofc Code]=(TRIM(G$4)))*(GJ[Account Code]=(TRIM($B79))),GJ[Debit]))))-((SUM(IF((CkDJ[Date]=$A$3)*(CkDJ[Ofc Code]=(TRIM(G$4)))*(CkDJ[Account Code]=(TRIM($B79))),CkDJ[Credit])))+(SUM(IF((CsDJ[Date]=$A$3)*(CsDJ[Ofc Code]=(TRIM(G$4)))*(CsDJ[Account Code]=(TRIM($B79))),CsDJ[Credit])))+(SUM(IF((CRDJ[Date]=$A$3)*(CRDJ[Ofc Code]=(TRIM(G$4)))*(CRDJ[Account Code]=(TRIM($B79))),CRDJ[Credit])))+(SUM(IF((GJ[Date]=$A$3)*(GJ[Ofc Code]=(TRIM(G$4)))*(GJ[Account Code]=(TRIM($B79))),GJ[Credit]))))</f>
        <v>0</v>
      </c>
      <c r="G79" s="343">
        <f t="shared" ref="G79:G137" si="6">E79+F79</f>
        <v>0</v>
      </c>
      <c r="H79" s="246">
        <f t="shared" si="2"/>
        <v>0</v>
      </c>
      <c r="I79" s="246">
        <f t="shared" si="3"/>
        <v>0</v>
      </c>
    </row>
    <row r="80" spans="1:9" hidden="1">
      <c r="A80" s="256" t="s">
        <v>1477</v>
      </c>
      <c r="B80" s="339" t="s">
        <v>1233</v>
      </c>
      <c r="C80" s="245">
        <f t="array" ref="C80">SUM(IF((Budget[Account Code]=B80)*(Budget[Ofc Code]=$G$4),(Budget[Amount])))</f>
        <v>0</v>
      </c>
      <c r="D80" s="245">
        <f t="array" ref="D80">SUM(IF((Budget[Account Code]=B80)*(Budget[Ofc Code]=$G$4)*(Budget[Date]&lt;=$D$7),(Budget[Amount])))</f>
        <v>0</v>
      </c>
      <c r="E80" s="245">
        <f t="array" ref="E80">((SUM(IF((CkDJ[Ofc Code]=(TRIM(G$4)))*(CkDJ[Account Code]=(TRIM($B80)))*(CkDJ[Date]&lt;=$E$7),CkDJ[Debit])))+(SUM(IF((CsDJ[Ofc Code]=(TRIM(G$4)))*(CsDJ[Account Code]=(TRIM($B80)))*(CsDJ[Date]&lt;=$E$7),CsDJ[Debit])))+(SUM(IF((CRDJ[Ofc Code]=(TRIM(G$4)))*(CRDJ[Account Code]=(TRIM($B80)))*(CRDJ[Date]&lt;=$E$7),CRDJ[Debit])))+(SUM(IF((GJ[Ofc Code]=(TRIM(G$4)))*(GJ[Account Code]=(TRIM($B80)))*(GJ[Date]&lt;=$E$7),GJ[Debit]))))-((SUM(IF((CkDJ[Ofc Code]=(TRIM(G$4)))*(CkDJ[Account Code]=(TRIM($B80)))*(CkDJ[Date]&lt;=$E$7),CkDJ[Credit])))+(SUM(IF((CsDJ[Ofc Code]=(TRIM(G$4)))*(CsDJ[Account Code]=(TRIM($B80)))*(CsDJ[Date]&lt;=$E$7),CsDJ[Credit])))+(SUM(IF((CRDJ[Ofc Code]=(TRIM(G$4)))*(CRDJ[Account Code]=(TRIM($B80)))*(CRDJ[Date]&lt;=$E$7),CRDJ[Credit])))+(SUM(IF((GJ[Ofc Code]=(TRIM(G$4)))*(GJ[Account Code]=(TRIM($B80)))*(GJ[Date]&lt;=$E$7),GJ[Credit]))))</f>
        <v>0</v>
      </c>
      <c r="F80" s="245">
        <f t="array" ref="F80">((SUM(IF((CkDJ[Date]=$A$3)*(CkDJ[Ofc Code]=(TRIM(G$4)))*(CkDJ[Account Code]=(TRIM($B80))),CkDJ[Debit])))+(SUM(IF((CsDJ[Date]=$A$3)*(CsDJ[Ofc Code]=(TRIM(G$4)))*(CsDJ[Account Code]=(TRIM($B80))),CsDJ[Debit])))+(SUM(IF((CRDJ[Date]=$A$3)*(CRDJ[Ofc Code]=(TRIM(G$4)))*(CRDJ[Account Code]=(TRIM($B80))),CRDJ[Debit])))+(SUM(IF((GJ[Date]=$A$3)*(GJ[Ofc Code]=(TRIM(G$4)))*(GJ[Account Code]=(TRIM($B80))),GJ[Debit]))))-((SUM(IF((CkDJ[Date]=$A$3)*(CkDJ[Ofc Code]=(TRIM(G$4)))*(CkDJ[Account Code]=(TRIM($B80))),CkDJ[Credit])))+(SUM(IF((CsDJ[Date]=$A$3)*(CsDJ[Ofc Code]=(TRIM(G$4)))*(CsDJ[Account Code]=(TRIM($B80))),CsDJ[Credit])))+(SUM(IF((CRDJ[Date]=$A$3)*(CRDJ[Ofc Code]=(TRIM(G$4)))*(CRDJ[Account Code]=(TRIM($B80))),CRDJ[Credit])))+(SUM(IF((GJ[Date]=$A$3)*(GJ[Ofc Code]=(TRIM(G$4)))*(GJ[Account Code]=(TRIM($B80))),GJ[Credit]))))</f>
        <v>0</v>
      </c>
      <c r="G80" s="343">
        <f>E80+F80</f>
        <v>0</v>
      </c>
      <c r="H80" s="246">
        <f>G80-D80</f>
        <v>0</v>
      </c>
      <c r="I80" s="246">
        <f>IF((D80=0),0,G80/D80)</f>
        <v>0</v>
      </c>
    </row>
    <row r="81" spans="1:9" hidden="1">
      <c r="A81" s="256" t="s">
        <v>285</v>
      </c>
      <c r="B81" s="339" t="s">
        <v>224</v>
      </c>
      <c r="C81" s="245">
        <f t="array" ref="C81">SUM(IF((Budget[Account Code]=B81)*(Budget[Ofc Code]=$G$4),(Budget[Amount])))</f>
        <v>0</v>
      </c>
      <c r="D81" s="245">
        <f t="array" ref="D81">SUM(IF((Budget[Account Code]=B81)*(Budget[Ofc Code]=$G$4)*(Budget[Date]&lt;=$D$7),(Budget[Amount])))</f>
        <v>0</v>
      </c>
      <c r="E81" s="245">
        <f t="array" ref="E81">((SUM(IF((CkDJ[Ofc Code]=(TRIM(G$4)))*(CkDJ[Account Code]=(TRIM($B81)))*(CkDJ[Date]&lt;=$E$7),CkDJ[Debit])))+(SUM(IF((CsDJ[Ofc Code]=(TRIM(G$4)))*(CsDJ[Account Code]=(TRIM($B81)))*(CsDJ[Date]&lt;=$E$7),CsDJ[Debit])))+(SUM(IF((CRDJ[Ofc Code]=(TRIM(G$4)))*(CRDJ[Account Code]=(TRIM($B81)))*(CRDJ[Date]&lt;=$E$7),CRDJ[Debit])))+(SUM(IF((GJ[Ofc Code]=(TRIM(G$4)))*(GJ[Account Code]=(TRIM($B81)))*(GJ[Date]&lt;=$E$7),GJ[Debit]))))-((SUM(IF((CkDJ[Ofc Code]=(TRIM(G$4)))*(CkDJ[Account Code]=(TRIM($B81)))*(CkDJ[Date]&lt;=$E$7),CkDJ[Credit])))+(SUM(IF((CsDJ[Ofc Code]=(TRIM(G$4)))*(CsDJ[Account Code]=(TRIM($B81)))*(CsDJ[Date]&lt;=$E$7),CsDJ[Credit])))+(SUM(IF((CRDJ[Ofc Code]=(TRIM(G$4)))*(CRDJ[Account Code]=(TRIM($B81)))*(CRDJ[Date]&lt;=$E$7),CRDJ[Credit])))+(SUM(IF((GJ[Ofc Code]=(TRIM(G$4)))*(GJ[Account Code]=(TRIM($B81)))*(GJ[Date]&lt;=$E$7),GJ[Credit]))))</f>
        <v>0</v>
      </c>
      <c r="F81" s="245">
        <f t="array" ref="F81">((SUM(IF((CkDJ[Date]=$A$3)*(CkDJ[Ofc Code]=(TRIM(G$4)))*(CkDJ[Account Code]=(TRIM($B81))),CkDJ[Debit])))+(SUM(IF((CsDJ[Date]=$A$3)*(CsDJ[Ofc Code]=(TRIM(G$4)))*(CsDJ[Account Code]=(TRIM($B81))),CsDJ[Debit])))+(SUM(IF((CRDJ[Date]=$A$3)*(CRDJ[Ofc Code]=(TRIM(G$4)))*(CRDJ[Account Code]=(TRIM($B81))),CRDJ[Debit])))+(SUM(IF((GJ[Date]=$A$3)*(GJ[Ofc Code]=(TRIM(G$4)))*(GJ[Account Code]=(TRIM($B81))),GJ[Debit]))))-((SUM(IF((CkDJ[Date]=$A$3)*(CkDJ[Ofc Code]=(TRIM(G$4)))*(CkDJ[Account Code]=(TRIM($B81))),CkDJ[Credit])))+(SUM(IF((CsDJ[Date]=$A$3)*(CsDJ[Ofc Code]=(TRIM(G$4)))*(CsDJ[Account Code]=(TRIM($B81))),CsDJ[Credit])))+(SUM(IF((CRDJ[Date]=$A$3)*(CRDJ[Ofc Code]=(TRIM(G$4)))*(CRDJ[Account Code]=(TRIM($B81))),CRDJ[Credit])))+(SUM(IF((GJ[Date]=$A$3)*(GJ[Ofc Code]=(TRIM(G$4)))*(GJ[Account Code]=(TRIM($B81))),GJ[Credit]))))</f>
        <v>0</v>
      </c>
      <c r="G81" s="343">
        <f t="shared" si="6"/>
        <v>0</v>
      </c>
      <c r="H81" s="246">
        <f t="shared" si="2"/>
        <v>0</v>
      </c>
      <c r="I81" s="246">
        <f t="shared" si="3"/>
        <v>0</v>
      </c>
    </row>
    <row r="82" spans="1:9" hidden="1">
      <c r="A82" s="256" t="s">
        <v>286</v>
      </c>
      <c r="B82" s="339" t="s">
        <v>225</v>
      </c>
      <c r="C82" s="245">
        <f t="array" ref="C82">SUM(IF((Budget[Account Code]=B82)*(Budget[Ofc Code]=$G$4),(Budget[Amount])))</f>
        <v>0</v>
      </c>
      <c r="D82" s="245">
        <f t="array" ref="D82">SUM(IF((Budget[Account Code]=B82)*(Budget[Ofc Code]=$G$4)*(Budget[Date]&lt;=$D$7),(Budget[Amount])))</f>
        <v>0</v>
      </c>
      <c r="E82" s="245">
        <f t="array" ref="E82">((SUM(IF((CkDJ[Ofc Code]=(TRIM(G$4)))*(CkDJ[Account Code]=(TRIM($B82)))*(CkDJ[Date]&lt;=$E$7),CkDJ[Debit])))+(SUM(IF((CsDJ[Ofc Code]=(TRIM(G$4)))*(CsDJ[Account Code]=(TRIM($B82)))*(CsDJ[Date]&lt;=$E$7),CsDJ[Debit])))+(SUM(IF((CRDJ[Ofc Code]=(TRIM(G$4)))*(CRDJ[Account Code]=(TRIM($B82)))*(CRDJ[Date]&lt;=$E$7),CRDJ[Debit])))+(SUM(IF((GJ[Ofc Code]=(TRIM(G$4)))*(GJ[Account Code]=(TRIM($B82)))*(GJ[Date]&lt;=$E$7),GJ[Debit]))))-((SUM(IF((CkDJ[Ofc Code]=(TRIM(G$4)))*(CkDJ[Account Code]=(TRIM($B82)))*(CkDJ[Date]&lt;=$E$7),CkDJ[Credit])))+(SUM(IF((CsDJ[Ofc Code]=(TRIM(G$4)))*(CsDJ[Account Code]=(TRIM($B82)))*(CsDJ[Date]&lt;=$E$7),CsDJ[Credit])))+(SUM(IF((CRDJ[Ofc Code]=(TRIM(G$4)))*(CRDJ[Account Code]=(TRIM($B82)))*(CRDJ[Date]&lt;=$E$7),CRDJ[Credit])))+(SUM(IF((GJ[Ofc Code]=(TRIM(G$4)))*(GJ[Account Code]=(TRIM($B82)))*(GJ[Date]&lt;=$E$7),GJ[Credit]))))</f>
        <v>0</v>
      </c>
      <c r="F82" s="245">
        <f t="array" ref="F82">((SUM(IF((CkDJ[Date]=$A$3)*(CkDJ[Ofc Code]=(TRIM(G$4)))*(CkDJ[Account Code]=(TRIM($B82))),CkDJ[Debit])))+(SUM(IF((CsDJ[Date]=$A$3)*(CsDJ[Ofc Code]=(TRIM(G$4)))*(CsDJ[Account Code]=(TRIM($B82))),CsDJ[Debit])))+(SUM(IF((CRDJ[Date]=$A$3)*(CRDJ[Ofc Code]=(TRIM(G$4)))*(CRDJ[Account Code]=(TRIM($B82))),CRDJ[Debit])))+(SUM(IF((GJ[Date]=$A$3)*(GJ[Ofc Code]=(TRIM(G$4)))*(GJ[Account Code]=(TRIM($B82))),GJ[Debit]))))-((SUM(IF((CkDJ[Date]=$A$3)*(CkDJ[Ofc Code]=(TRIM(G$4)))*(CkDJ[Account Code]=(TRIM($B82))),CkDJ[Credit])))+(SUM(IF((CsDJ[Date]=$A$3)*(CsDJ[Ofc Code]=(TRIM(G$4)))*(CsDJ[Account Code]=(TRIM($B82))),CsDJ[Credit])))+(SUM(IF((CRDJ[Date]=$A$3)*(CRDJ[Ofc Code]=(TRIM(G$4)))*(CRDJ[Account Code]=(TRIM($B82))),CRDJ[Credit])))+(SUM(IF((GJ[Date]=$A$3)*(GJ[Ofc Code]=(TRIM(G$4)))*(GJ[Account Code]=(TRIM($B82))),GJ[Credit]))))</f>
        <v>0</v>
      </c>
      <c r="G82" s="343">
        <f t="shared" si="6"/>
        <v>0</v>
      </c>
      <c r="H82" s="246">
        <f t="shared" si="2"/>
        <v>0</v>
      </c>
      <c r="I82" s="246">
        <f t="shared" si="3"/>
        <v>0</v>
      </c>
    </row>
    <row r="83" spans="1:9" hidden="1">
      <c r="A83" s="256" t="s">
        <v>287</v>
      </c>
      <c r="B83" s="339" t="s">
        <v>226</v>
      </c>
      <c r="C83" s="245">
        <f t="array" ref="C83">SUM(IF((Budget[Account Code]=B83)*(Budget[Ofc Code]=$G$4),(Budget[Amount])))</f>
        <v>0</v>
      </c>
      <c r="D83" s="245">
        <f t="array" ref="D83">SUM(IF((Budget[Account Code]=B83)*(Budget[Ofc Code]=$G$4)*(Budget[Date]&lt;=$D$7),(Budget[Amount])))</f>
        <v>0</v>
      </c>
      <c r="E83" s="245">
        <f t="array" ref="E83">((SUM(IF((CkDJ[Ofc Code]=(TRIM(G$4)))*(CkDJ[Account Code]=(TRIM($B83)))*(CkDJ[Date]&lt;=$E$7),CkDJ[Debit])))+(SUM(IF((CsDJ[Ofc Code]=(TRIM(G$4)))*(CsDJ[Account Code]=(TRIM($B83)))*(CsDJ[Date]&lt;=$E$7),CsDJ[Debit])))+(SUM(IF((CRDJ[Ofc Code]=(TRIM(G$4)))*(CRDJ[Account Code]=(TRIM($B83)))*(CRDJ[Date]&lt;=$E$7),CRDJ[Debit])))+(SUM(IF((GJ[Ofc Code]=(TRIM(G$4)))*(GJ[Account Code]=(TRIM($B83)))*(GJ[Date]&lt;=$E$7),GJ[Debit]))))-((SUM(IF((CkDJ[Ofc Code]=(TRIM(G$4)))*(CkDJ[Account Code]=(TRIM($B83)))*(CkDJ[Date]&lt;=$E$7),CkDJ[Credit])))+(SUM(IF((CsDJ[Ofc Code]=(TRIM(G$4)))*(CsDJ[Account Code]=(TRIM($B83)))*(CsDJ[Date]&lt;=$E$7),CsDJ[Credit])))+(SUM(IF((CRDJ[Ofc Code]=(TRIM(G$4)))*(CRDJ[Account Code]=(TRIM($B83)))*(CRDJ[Date]&lt;=$E$7),CRDJ[Credit])))+(SUM(IF((GJ[Ofc Code]=(TRIM(G$4)))*(GJ[Account Code]=(TRIM($B83)))*(GJ[Date]&lt;=$E$7),GJ[Credit]))))</f>
        <v>0</v>
      </c>
      <c r="F83" s="245">
        <f t="array" ref="F83">((SUM(IF((CkDJ[Date]=$A$3)*(CkDJ[Ofc Code]=(TRIM(G$4)))*(CkDJ[Account Code]=(TRIM($B83))),CkDJ[Debit])))+(SUM(IF((CsDJ[Date]=$A$3)*(CsDJ[Ofc Code]=(TRIM(G$4)))*(CsDJ[Account Code]=(TRIM($B83))),CsDJ[Debit])))+(SUM(IF((CRDJ[Date]=$A$3)*(CRDJ[Ofc Code]=(TRIM(G$4)))*(CRDJ[Account Code]=(TRIM($B83))),CRDJ[Debit])))+(SUM(IF((GJ[Date]=$A$3)*(GJ[Ofc Code]=(TRIM(G$4)))*(GJ[Account Code]=(TRIM($B83))),GJ[Debit]))))-((SUM(IF((CkDJ[Date]=$A$3)*(CkDJ[Ofc Code]=(TRIM(G$4)))*(CkDJ[Account Code]=(TRIM($B83))),CkDJ[Credit])))+(SUM(IF((CsDJ[Date]=$A$3)*(CsDJ[Ofc Code]=(TRIM(G$4)))*(CsDJ[Account Code]=(TRIM($B83))),CsDJ[Credit])))+(SUM(IF((CRDJ[Date]=$A$3)*(CRDJ[Ofc Code]=(TRIM(G$4)))*(CRDJ[Account Code]=(TRIM($B83))),CRDJ[Credit])))+(SUM(IF((GJ[Date]=$A$3)*(GJ[Ofc Code]=(TRIM(G$4)))*(GJ[Account Code]=(TRIM($B83))),GJ[Credit]))))</f>
        <v>0</v>
      </c>
      <c r="G83" s="343">
        <f t="shared" si="6"/>
        <v>0</v>
      </c>
      <c r="H83" s="246">
        <f t="shared" si="2"/>
        <v>0</v>
      </c>
      <c r="I83" s="246">
        <f t="shared" si="3"/>
        <v>0</v>
      </c>
    </row>
    <row r="84" spans="1:9" hidden="1">
      <c r="A84" s="256" t="s">
        <v>1017</v>
      </c>
      <c r="B84" s="339" t="s">
        <v>227</v>
      </c>
      <c r="C84" s="245">
        <f t="array" ref="C84">SUM(IF((Budget[Account Code]=B84)*(Budget[Ofc Code]=$G$4),(Budget[Amount])))</f>
        <v>0</v>
      </c>
      <c r="D84" s="245">
        <f t="array" ref="D84">SUM(IF((Budget[Account Code]=B84)*(Budget[Ofc Code]=$G$4)*(Budget[Date]&lt;=$D$7),(Budget[Amount])))</f>
        <v>0</v>
      </c>
      <c r="E84" s="245">
        <f t="array" ref="E84">((SUM(IF((CkDJ[Ofc Code]=(TRIM(G$4)))*(CkDJ[Account Code]=(TRIM($B84)))*(CkDJ[Date]&lt;=$E$7),CkDJ[Debit])))+(SUM(IF((CsDJ[Ofc Code]=(TRIM(G$4)))*(CsDJ[Account Code]=(TRIM($B84)))*(CsDJ[Date]&lt;=$E$7),CsDJ[Debit])))+(SUM(IF((CRDJ[Ofc Code]=(TRIM(G$4)))*(CRDJ[Account Code]=(TRIM($B84)))*(CRDJ[Date]&lt;=$E$7),CRDJ[Debit])))+(SUM(IF((GJ[Ofc Code]=(TRIM(G$4)))*(GJ[Account Code]=(TRIM($B84)))*(GJ[Date]&lt;=$E$7),GJ[Debit]))))-((SUM(IF((CkDJ[Ofc Code]=(TRIM(G$4)))*(CkDJ[Account Code]=(TRIM($B84)))*(CkDJ[Date]&lt;=$E$7),CkDJ[Credit])))+(SUM(IF((CsDJ[Ofc Code]=(TRIM(G$4)))*(CsDJ[Account Code]=(TRIM($B84)))*(CsDJ[Date]&lt;=$E$7),CsDJ[Credit])))+(SUM(IF((CRDJ[Ofc Code]=(TRIM(G$4)))*(CRDJ[Account Code]=(TRIM($B84)))*(CRDJ[Date]&lt;=$E$7),CRDJ[Credit])))+(SUM(IF((GJ[Ofc Code]=(TRIM(G$4)))*(GJ[Account Code]=(TRIM($B84)))*(GJ[Date]&lt;=$E$7),GJ[Credit]))))</f>
        <v>0</v>
      </c>
      <c r="F84" s="245">
        <f t="array" ref="F84">((SUM(IF((CkDJ[Date]=$A$3)*(CkDJ[Ofc Code]=(TRIM(G$4)))*(CkDJ[Account Code]=(TRIM($B84))),CkDJ[Debit])))+(SUM(IF((CsDJ[Date]=$A$3)*(CsDJ[Ofc Code]=(TRIM(G$4)))*(CsDJ[Account Code]=(TRIM($B84))),CsDJ[Debit])))+(SUM(IF((CRDJ[Date]=$A$3)*(CRDJ[Ofc Code]=(TRIM(G$4)))*(CRDJ[Account Code]=(TRIM($B84))),CRDJ[Debit])))+(SUM(IF((GJ[Date]=$A$3)*(GJ[Ofc Code]=(TRIM(G$4)))*(GJ[Account Code]=(TRIM($B84))),GJ[Debit]))))-((SUM(IF((CkDJ[Date]=$A$3)*(CkDJ[Ofc Code]=(TRIM(G$4)))*(CkDJ[Account Code]=(TRIM($B84))),CkDJ[Credit])))+(SUM(IF((CsDJ[Date]=$A$3)*(CsDJ[Ofc Code]=(TRIM(G$4)))*(CsDJ[Account Code]=(TRIM($B84))),CsDJ[Credit])))+(SUM(IF((CRDJ[Date]=$A$3)*(CRDJ[Ofc Code]=(TRIM(G$4)))*(CRDJ[Account Code]=(TRIM($B84))),CRDJ[Credit])))+(SUM(IF((GJ[Date]=$A$3)*(GJ[Ofc Code]=(TRIM(G$4)))*(GJ[Account Code]=(TRIM($B84))),GJ[Credit]))))</f>
        <v>0</v>
      </c>
      <c r="G84" s="343">
        <f t="shared" si="6"/>
        <v>0</v>
      </c>
      <c r="H84" s="246">
        <f t="shared" si="2"/>
        <v>0</v>
      </c>
      <c r="I84" s="246">
        <f t="shared" si="3"/>
        <v>0</v>
      </c>
    </row>
    <row r="85" spans="1:9" hidden="1">
      <c r="A85" s="256" t="s">
        <v>1018</v>
      </c>
      <c r="B85" s="339" t="s">
        <v>228</v>
      </c>
      <c r="C85" s="245">
        <f t="array" ref="C85">SUM(IF((Budget[Account Code]=B85)*(Budget[Ofc Code]=$G$4),(Budget[Amount])))</f>
        <v>0</v>
      </c>
      <c r="D85" s="245">
        <f t="array" ref="D85">SUM(IF((Budget[Account Code]=B85)*(Budget[Ofc Code]=$G$4)*(Budget[Date]&lt;=$D$7),(Budget[Amount])))</f>
        <v>0</v>
      </c>
      <c r="E85" s="245">
        <f t="array" ref="E85">((SUM(IF((CkDJ[Ofc Code]=(TRIM(G$4)))*(CkDJ[Account Code]=(TRIM($B85)))*(CkDJ[Date]&lt;=$E$7),CkDJ[Debit])))+(SUM(IF((CsDJ[Ofc Code]=(TRIM(G$4)))*(CsDJ[Account Code]=(TRIM($B85)))*(CsDJ[Date]&lt;=$E$7),CsDJ[Debit])))+(SUM(IF((CRDJ[Ofc Code]=(TRIM(G$4)))*(CRDJ[Account Code]=(TRIM($B85)))*(CRDJ[Date]&lt;=$E$7),CRDJ[Debit])))+(SUM(IF((GJ[Ofc Code]=(TRIM(G$4)))*(GJ[Account Code]=(TRIM($B85)))*(GJ[Date]&lt;=$E$7),GJ[Debit]))))-((SUM(IF((CkDJ[Ofc Code]=(TRIM(G$4)))*(CkDJ[Account Code]=(TRIM($B85)))*(CkDJ[Date]&lt;=$E$7),CkDJ[Credit])))+(SUM(IF((CsDJ[Ofc Code]=(TRIM(G$4)))*(CsDJ[Account Code]=(TRIM($B85)))*(CsDJ[Date]&lt;=$E$7),CsDJ[Credit])))+(SUM(IF((CRDJ[Ofc Code]=(TRIM(G$4)))*(CRDJ[Account Code]=(TRIM($B85)))*(CRDJ[Date]&lt;=$E$7),CRDJ[Credit])))+(SUM(IF((GJ[Ofc Code]=(TRIM(G$4)))*(GJ[Account Code]=(TRIM($B85)))*(GJ[Date]&lt;=$E$7),GJ[Credit]))))</f>
        <v>0</v>
      </c>
      <c r="F85" s="245">
        <f t="array" ref="F85">((SUM(IF((CkDJ[Date]=$A$3)*(CkDJ[Ofc Code]=(TRIM(G$4)))*(CkDJ[Account Code]=(TRIM($B85))),CkDJ[Debit])))+(SUM(IF((CsDJ[Date]=$A$3)*(CsDJ[Ofc Code]=(TRIM(G$4)))*(CsDJ[Account Code]=(TRIM($B85))),CsDJ[Debit])))+(SUM(IF((CRDJ[Date]=$A$3)*(CRDJ[Ofc Code]=(TRIM(G$4)))*(CRDJ[Account Code]=(TRIM($B85))),CRDJ[Debit])))+(SUM(IF((GJ[Date]=$A$3)*(GJ[Ofc Code]=(TRIM(G$4)))*(GJ[Account Code]=(TRIM($B85))),GJ[Debit]))))-((SUM(IF((CkDJ[Date]=$A$3)*(CkDJ[Ofc Code]=(TRIM(G$4)))*(CkDJ[Account Code]=(TRIM($B85))),CkDJ[Credit])))+(SUM(IF((CsDJ[Date]=$A$3)*(CsDJ[Ofc Code]=(TRIM(G$4)))*(CsDJ[Account Code]=(TRIM($B85))),CsDJ[Credit])))+(SUM(IF((CRDJ[Date]=$A$3)*(CRDJ[Ofc Code]=(TRIM(G$4)))*(CRDJ[Account Code]=(TRIM($B85))),CRDJ[Credit])))+(SUM(IF((GJ[Date]=$A$3)*(GJ[Ofc Code]=(TRIM(G$4)))*(GJ[Account Code]=(TRIM($B85))),GJ[Credit]))))</f>
        <v>0</v>
      </c>
      <c r="G85" s="343">
        <f t="shared" si="6"/>
        <v>0</v>
      </c>
      <c r="H85" s="246">
        <f t="shared" si="2"/>
        <v>0</v>
      </c>
      <c r="I85" s="246">
        <f t="shared" si="3"/>
        <v>0</v>
      </c>
    </row>
    <row r="86" spans="1:9" hidden="1">
      <c r="A86" s="256" t="s">
        <v>289</v>
      </c>
      <c r="B86" s="339" t="s">
        <v>229</v>
      </c>
      <c r="C86" s="245">
        <f t="array" ref="C86">SUM(IF((Budget[Account Code]=B86)*(Budget[Ofc Code]=$G$4),(Budget[Amount])))</f>
        <v>0</v>
      </c>
      <c r="D86" s="245">
        <f t="array" ref="D86">SUM(IF((Budget[Account Code]=B86)*(Budget[Ofc Code]=$G$4)*(Budget[Date]&lt;=$D$7),(Budget[Amount])))</f>
        <v>0</v>
      </c>
      <c r="E86" s="245">
        <f t="array" ref="E86">((SUM(IF((CkDJ[Ofc Code]=(TRIM(G$4)))*(CkDJ[Account Code]=(TRIM($B86)))*(CkDJ[Date]&lt;=$E$7),CkDJ[Debit])))+(SUM(IF((CsDJ[Ofc Code]=(TRIM(G$4)))*(CsDJ[Account Code]=(TRIM($B86)))*(CsDJ[Date]&lt;=$E$7),CsDJ[Debit])))+(SUM(IF((CRDJ[Ofc Code]=(TRIM(G$4)))*(CRDJ[Account Code]=(TRIM($B86)))*(CRDJ[Date]&lt;=$E$7),CRDJ[Debit])))+(SUM(IF((GJ[Ofc Code]=(TRIM(G$4)))*(GJ[Account Code]=(TRIM($B86)))*(GJ[Date]&lt;=$E$7),GJ[Debit]))))-((SUM(IF((CkDJ[Ofc Code]=(TRIM(G$4)))*(CkDJ[Account Code]=(TRIM($B86)))*(CkDJ[Date]&lt;=$E$7),CkDJ[Credit])))+(SUM(IF((CsDJ[Ofc Code]=(TRIM(G$4)))*(CsDJ[Account Code]=(TRIM($B86)))*(CsDJ[Date]&lt;=$E$7),CsDJ[Credit])))+(SUM(IF((CRDJ[Ofc Code]=(TRIM(G$4)))*(CRDJ[Account Code]=(TRIM($B86)))*(CRDJ[Date]&lt;=$E$7),CRDJ[Credit])))+(SUM(IF((GJ[Ofc Code]=(TRIM(G$4)))*(GJ[Account Code]=(TRIM($B86)))*(GJ[Date]&lt;=$E$7),GJ[Credit]))))</f>
        <v>0</v>
      </c>
      <c r="F86" s="245">
        <f t="array" ref="F86">((SUM(IF((CkDJ[Date]=$A$3)*(CkDJ[Ofc Code]=(TRIM(G$4)))*(CkDJ[Account Code]=(TRIM($B86))),CkDJ[Debit])))+(SUM(IF((CsDJ[Date]=$A$3)*(CsDJ[Ofc Code]=(TRIM(G$4)))*(CsDJ[Account Code]=(TRIM($B86))),CsDJ[Debit])))+(SUM(IF((CRDJ[Date]=$A$3)*(CRDJ[Ofc Code]=(TRIM(G$4)))*(CRDJ[Account Code]=(TRIM($B86))),CRDJ[Debit])))+(SUM(IF((GJ[Date]=$A$3)*(GJ[Ofc Code]=(TRIM(G$4)))*(GJ[Account Code]=(TRIM($B86))),GJ[Debit]))))-((SUM(IF((CkDJ[Date]=$A$3)*(CkDJ[Ofc Code]=(TRIM(G$4)))*(CkDJ[Account Code]=(TRIM($B86))),CkDJ[Credit])))+(SUM(IF((CsDJ[Date]=$A$3)*(CsDJ[Ofc Code]=(TRIM(G$4)))*(CsDJ[Account Code]=(TRIM($B86))),CsDJ[Credit])))+(SUM(IF((CRDJ[Date]=$A$3)*(CRDJ[Ofc Code]=(TRIM(G$4)))*(CRDJ[Account Code]=(TRIM($B86))),CRDJ[Credit])))+(SUM(IF((GJ[Date]=$A$3)*(GJ[Ofc Code]=(TRIM(G$4)))*(GJ[Account Code]=(TRIM($B86))),GJ[Credit]))))</f>
        <v>0</v>
      </c>
      <c r="G86" s="343">
        <f t="shared" si="6"/>
        <v>0</v>
      </c>
      <c r="H86" s="246">
        <f t="shared" si="2"/>
        <v>0</v>
      </c>
      <c r="I86" s="246">
        <f t="shared" si="3"/>
        <v>0</v>
      </c>
    </row>
    <row r="87" spans="1:9" hidden="1">
      <c r="A87" s="256" t="s">
        <v>290</v>
      </c>
      <c r="B87" s="339" t="s">
        <v>230</v>
      </c>
      <c r="C87" s="245">
        <f t="array" ref="C87">SUM(IF((Budget[Account Code]=B87)*(Budget[Ofc Code]=$G$4),(Budget[Amount])))</f>
        <v>0</v>
      </c>
      <c r="D87" s="245">
        <f t="array" ref="D87">SUM(IF((Budget[Account Code]=B87)*(Budget[Ofc Code]=$G$4)*(Budget[Date]&lt;=$D$7),(Budget[Amount])))</f>
        <v>0</v>
      </c>
      <c r="E87" s="245">
        <f t="array" ref="E87">((SUM(IF((CkDJ[Ofc Code]=(TRIM(G$4)))*(CkDJ[Account Code]=(TRIM($B87)))*(CkDJ[Date]&lt;=$E$7),CkDJ[Debit])))+(SUM(IF((CsDJ[Ofc Code]=(TRIM(G$4)))*(CsDJ[Account Code]=(TRIM($B87)))*(CsDJ[Date]&lt;=$E$7),CsDJ[Debit])))+(SUM(IF((CRDJ[Ofc Code]=(TRIM(G$4)))*(CRDJ[Account Code]=(TRIM($B87)))*(CRDJ[Date]&lt;=$E$7),CRDJ[Debit])))+(SUM(IF((GJ[Ofc Code]=(TRIM(G$4)))*(GJ[Account Code]=(TRIM($B87)))*(GJ[Date]&lt;=$E$7),GJ[Debit]))))-((SUM(IF((CkDJ[Ofc Code]=(TRIM(G$4)))*(CkDJ[Account Code]=(TRIM($B87)))*(CkDJ[Date]&lt;=$E$7),CkDJ[Credit])))+(SUM(IF((CsDJ[Ofc Code]=(TRIM(G$4)))*(CsDJ[Account Code]=(TRIM($B87)))*(CsDJ[Date]&lt;=$E$7),CsDJ[Credit])))+(SUM(IF((CRDJ[Ofc Code]=(TRIM(G$4)))*(CRDJ[Account Code]=(TRIM($B87)))*(CRDJ[Date]&lt;=$E$7),CRDJ[Credit])))+(SUM(IF((GJ[Ofc Code]=(TRIM(G$4)))*(GJ[Account Code]=(TRIM($B87)))*(GJ[Date]&lt;=$E$7),GJ[Credit]))))</f>
        <v>0</v>
      </c>
      <c r="F87" s="245">
        <f t="array" ref="F87">((SUM(IF((CkDJ[Date]=$A$3)*(CkDJ[Ofc Code]=(TRIM(G$4)))*(CkDJ[Account Code]=(TRIM($B87))),CkDJ[Debit])))+(SUM(IF((CsDJ[Date]=$A$3)*(CsDJ[Ofc Code]=(TRIM(G$4)))*(CsDJ[Account Code]=(TRIM($B87))),CsDJ[Debit])))+(SUM(IF((CRDJ[Date]=$A$3)*(CRDJ[Ofc Code]=(TRIM(G$4)))*(CRDJ[Account Code]=(TRIM($B87))),CRDJ[Debit])))+(SUM(IF((GJ[Date]=$A$3)*(GJ[Ofc Code]=(TRIM(G$4)))*(GJ[Account Code]=(TRIM($B87))),GJ[Debit]))))-((SUM(IF((CkDJ[Date]=$A$3)*(CkDJ[Ofc Code]=(TRIM(G$4)))*(CkDJ[Account Code]=(TRIM($B87))),CkDJ[Credit])))+(SUM(IF((CsDJ[Date]=$A$3)*(CsDJ[Ofc Code]=(TRIM(G$4)))*(CsDJ[Account Code]=(TRIM($B87))),CsDJ[Credit])))+(SUM(IF((CRDJ[Date]=$A$3)*(CRDJ[Ofc Code]=(TRIM(G$4)))*(CRDJ[Account Code]=(TRIM($B87))),CRDJ[Credit])))+(SUM(IF((GJ[Date]=$A$3)*(GJ[Ofc Code]=(TRIM(G$4)))*(GJ[Account Code]=(TRIM($B87))),GJ[Credit]))))</f>
        <v>0</v>
      </c>
      <c r="G87" s="343">
        <f t="shared" si="6"/>
        <v>0</v>
      </c>
      <c r="H87" s="246">
        <f t="shared" si="2"/>
        <v>0</v>
      </c>
      <c r="I87" s="246">
        <f t="shared" si="3"/>
        <v>0</v>
      </c>
    </row>
    <row r="88" spans="1:9" hidden="1">
      <c r="A88" s="256" t="s">
        <v>291</v>
      </c>
      <c r="B88" s="339" t="s">
        <v>231</v>
      </c>
      <c r="C88" s="245">
        <f t="array" ref="C88">SUM(IF((Budget[Account Code]=B88)*(Budget[Ofc Code]=$G$4),(Budget[Amount])))</f>
        <v>0</v>
      </c>
      <c r="D88" s="245">
        <f t="array" ref="D88">SUM(IF((Budget[Account Code]=B88)*(Budget[Ofc Code]=$G$4)*(Budget[Date]&lt;=$D$7),(Budget[Amount])))</f>
        <v>0</v>
      </c>
      <c r="E88" s="245">
        <f t="array" ref="E88">((SUM(IF((CkDJ[Ofc Code]=(TRIM(G$4)))*(CkDJ[Account Code]=(TRIM($B88)))*(CkDJ[Date]&lt;=$E$7),CkDJ[Debit])))+(SUM(IF((CsDJ[Ofc Code]=(TRIM(G$4)))*(CsDJ[Account Code]=(TRIM($B88)))*(CsDJ[Date]&lt;=$E$7),CsDJ[Debit])))+(SUM(IF((CRDJ[Ofc Code]=(TRIM(G$4)))*(CRDJ[Account Code]=(TRIM($B88)))*(CRDJ[Date]&lt;=$E$7),CRDJ[Debit])))+(SUM(IF((GJ[Ofc Code]=(TRIM(G$4)))*(GJ[Account Code]=(TRIM($B88)))*(GJ[Date]&lt;=$E$7),GJ[Debit]))))-((SUM(IF((CkDJ[Ofc Code]=(TRIM(G$4)))*(CkDJ[Account Code]=(TRIM($B88)))*(CkDJ[Date]&lt;=$E$7),CkDJ[Credit])))+(SUM(IF((CsDJ[Ofc Code]=(TRIM(G$4)))*(CsDJ[Account Code]=(TRIM($B88)))*(CsDJ[Date]&lt;=$E$7),CsDJ[Credit])))+(SUM(IF((CRDJ[Ofc Code]=(TRIM(G$4)))*(CRDJ[Account Code]=(TRIM($B88)))*(CRDJ[Date]&lt;=$E$7),CRDJ[Credit])))+(SUM(IF((GJ[Ofc Code]=(TRIM(G$4)))*(GJ[Account Code]=(TRIM($B88)))*(GJ[Date]&lt;=$E$7),GJ[Credit]))))</f>
        <v>0</v>
      </c>
      <c r="F88" s="245">
        <f t="array" ref="F88">((SUM(IF((CkDJ[Date]=$A$3)*(CkDJ[Ofc Code]=(TRIM(G$4)))*(CkDJ[Account Code]=(TRIM($B88))),CkDJ[Debit])))+(SUM(IF((CsDJ[Date]=$A$3)*(CsDJ[Ofc Code]=(TRIM(G$4)))*(CsDJ[Account Code]=(TRIM($B88))),CsDJ[Debit])))+(SUM(IF((CRDJ[Date]=$A$3)*(CRDJ[Ofc Code]=(TRIM(G$4)))*(CRDJ[Account Code]=(TRIM($B88))),CRDJ[Debit])))+(SUM(IF((GJ[Date]=$A$3)*(GJ[Ofc Code]=(TRIM(G$4)))*(GJ[Account Code]=(TRIM($B88))),GJ[Debit]))))-((SUM(IF((CkDJ[Date]=$A$3)*(CkDJ[Ofc Code]=(TRIM(G$4)))*(CkDJ[Account Code]=(TRIM($B88))),CkDJ[Credit])))+(SUM(IF((CsDJ[Date]=$A$3)*(CsDJ[Ofc Code]=(TRIM(G$4)))*(CsDJ[Account Code]=(TRIM($B88))),CsDJ[Credit])))+(SUM(IF((CRDJ[Date]=$A$3)*(CRDJ[Ofc Code]=(TRIM(G$4)))*(CRDJ[Account Code]=(TRIM($B88))),CRDJ[Credit])))+(SUM(IF((GJ[Date]=$A$3)*(GJ[Ofc Code]=(TRIM(G$4)))*(GJ[Account Code]=(TRIM($B88))),GJ[Credit]))))</f>
        <v>0</v>
      </c>
      <c r="G88" s="343">
        <f t="shared" si="6"/>
        <v>0</v>
      </c>
      <c r="H88" s="246">
        <f t="shared" si="2"/>
        <v>0</v>
      </c>
      <c r="I88" s="246">
        <f t="shared" si="3"/>
        <v>0</v>
      </c>
    </row>
    <row r="89" spans="1:9" hidden="1">
      <c r="A89" s="256" t="s">
        <v>292</v>
      </c>
      <c r="B89" s="339" t="s">
        <v>232</v>
      </c>
      <c r="C89" s="245">
        <f t="array" ref="C89">SUM(IF((Budget[Account Code]=B89)*(Budget[Ofc Code]=$G$4),(Budget[Amount])))</f>
        <v>0</v>
      </c>
      <c r="D89" s="245">
        <f t="array" ref="D89">SUM(IF((Budget[Account Code]=B89)*(Budget[Ofc Code]=$G$4)*(Budget[Date]&lt;=$D$7),(Budget[Amount])))</f>
        <v>0</v>
      </c>
      <c r="E89" s="245">
        <f t="array" ref="E89">((SUM(IF((CkDJ[Ofc Code]=(TRIM(G$4)))*(CkDJ[Account Code]=(TRIM($B89)))*(CkDJ[Date]&lt;=$E$7),CkDJ[Debit])))+(SUM(IF((CsDJ[Ofc Code]=(TRIM(G$4)))*(CsDJ[Account Code]=(TRIM($B89)))*(CsDJ[Date]&lt;=$E$7),CsDJ[Debit])))+(SUM(IF((CRDJ[Ofc Code]=(TRIM(G$4)))*(CRDJ[Account Code]=(TRIM($B89)))*(CRDJ[Date]&lt;=$E$7),CRDJ[Debit])))+(SUM(IF((GJ[Ofc Code]=(TRIM(G$4)))*(GJ[Account Code]=(TRIM($B89)))*(GJ[Date]&lt;=$E$7),GJ[Debit]))))-((SUM(IF((CkDJ[Ofc Code]=(TRIM(G$4)))*(CkDJ[Account Code]=(TRIM($B89)))*(CkDJ[Date]&lt;=$E$7),CkDJ[Credit])))+(SUM(IF((CsDJ[Ofc Code]=(TRIM(G$4)))*(CsDJ[Account Code]=(TRIM($B89)))*(CsDJ[Date]&lt;=$E$7),CsDJ[Credit])))+(SUM(IF((CRDJ[Ofc Code]=(TRIM(G$4)))*(CRDJ[Account Code]=(TRIM($B89)))*(CRDJ[Date]&lt;=$E$7),CRDJ[Credit])))+(SUM(IF((GJ[Ofc Code]=(TRIM(G$4)))*(GJ[Account Code]=(TRIM($B89)))*(GJ[Date]&lt;=$E$7),GJ[Credit]))))</f>
        <v>0</v>
      </c>
      <c r="F89" s="245">
        <f t="array" ref="F89">((SUM(IF((CkDJ[Date]=$A$3)*(CkDJ[Ofc Code]=(TRIM(G$4)))*(CkDJ[Account Code]=(TRIM($B89))),CkDJ[Debit])))+(SUM(IF((CsDJ[Date]=$A$3)*(CsDJ[Ofc Code]=(TRIM(G$4)))*(CsDJ[Account Code]=(TRIM($B89))),CsDJ[Debit])))+(SUM(IF((CRDJ[Date]=$A$3)*(CRDJ[Ofc Code]=(TRIM(G$4)))*(CRDJ[Account Code]=(TRIM($B89))),CRDJ[Debit])))+(SUM(IF((GJ[Date]=$A$3)*(GJ[Ofc Code]=(TRIM(G$4)))*(GJ[Account Code]=(TRIM($B89))),GJ[Debit]))))-((SUM(IF((CkDJ[Date]=$A$3)*(CkDJ[Ofc Code]=(TRIM(G$4)))*(CkDJ[Account Code]=(TRIM($B89))),CkDJ[Credit])))+(SUM(IF((CsDJ[Date]=$A$3)*(CsDJ[Ofc Code]=(TRIM(G$4)))*(CsDJ[Account Code]=(TRIM($B89))),CsDJ[Credit])))+(SUM(IF((CRDJ[Date]=$A$3)*(CRDJ[Ofc Code]=(TRIM(G$4)))*(CRDJ[Account Code]=(TRIM($B89))),CRDJ[Credit])))+(SUM(IF((GJ[Date]=$A$3)*(GJ[Ofc Code]=(TRIM(G$4)))*(GJ[Account Code]=(TRIM($B89))),GJ[Credit]))))</f>
        <v>0</v>
      </c>
      <c r="G89" s="343">
        <f t="shared" si="6"/>
        <v>0</v>
      </c>
      <c r="H89" s="246">
        <f t="shared" si="2"/>
        <v>0</v>
      </c>
      <c r="I89" s="246">
        <f t="shared" si="3"/>
        <v>0</v>
      </c>
    </row>
    <row r="90" spans="1:9" hidden="1">
      <c r="A90" s="256" t="s">
        <v>293</v>
      </c>
      <c r="B90" s="339" t="s">
        <v>233</v>
      </c>
      <c r="C90" s="245">
        <f t="array" ref="C90">SUM(IF((Budget[Account Code]=B90)*(Budget[Ofc Code]=$G$4),(Budget[Amount])))</f>
        <v>0</v>
      </c>
      <c r="D90" s="245">
        <f t="array" ref="D90">SUM(IF((Budget[Account Code]=B90)*(Budget[Ofc Code]=$G$4)*(Budget[Date]&lt;=$D$7),(Budget[Amount])))</f>
        <v>0</v>
      </c>
      <c r="E90" s="245">
        <f t="array" ref="E90">((SUM(IF((CkDJ[Ofc Code]=(TRIM(G$4)))*(CkDJ[Account Code]=(TRIM($B90)))*(CkDJ[Date]&lt;=$E$7),CkDJ[Debit])))+(SUM(IF((CsDJ[Ofc Code]=(TRIM(G$4)))*(CsDJ[Account Code]=(TRIM($B90)))*(CsDJ[Date]&lt;=$E$7),CsDJ[Debit])))+(SUM(IF((CRDJ[Ofc Code]=(TRIM(G$4)))*(CRDJ[Account Code]=(TRIM($B90)))*(CRDJ[Date]&lt;=$E$7),CRDJ[Debit])))+(SUM(IF((GJ[Ofc Code]=(TRIM(G$4)))*(GJ[Account Code]=(TRIM($B90)))*(GJ[Date]&lt;=$E$7),GJ[Debit]))))-((SUM(IF((CkDJ[Ofc Code]=(TRIM(G$4)))*(CkDJ[Account Code]=(TRIM($B90)))*(CkDJ[Date]&lt;=$E$7),CkDJ[Credit])))+(SUM(IF((CsDJ[Ofc Code]=(TRIM(G$4)))*(CsDJ[Account Code]=(TRIM($B90)))*(CsDJ[Date]&lt;=$E$7),CsDJ[Credit])))+(SUM(IF((CRDJ[Ofc Code]=(TRIM(G$4)))*(CRDJ[Account Code]=(TRIM($B90)))*(CRDJ[Date]&lt;=$E$7),CRDJ[Credit])))+(SUM(IF((GJ[Ofc Code]=(TRIM(G$4)))*(GJ[Account Code]=(TRIM($B90)))*(GJ[Date]&lt;=$E$7),GJ[Credit]))))</f>
        <v>0</v>
      </c>
      <c r="F90" s="245">
        <f t="array" ref="F90">((SUM(IF((CkDJ[Date]=$A$3)*(CkDJ[Ofc Code]=(TRIM(G$4)))*(CkDJ[Account Code]=(TRIM($B90))),CkDJ[Debit])))+(SUM(IF((CsDJ[Date]=$A$3)*(CsDJ[Ofc Code]=(TRIM(G$4)))*(CsDJ[Account Code]=(TRIM($B90))),CsDJ[Debit])))+(SUM(IF((CRDJ[Date]=$A$3)*(CRDJ[Ofc Code]=(TRIM(G$4)))*(CRDJ[Account Code]=(TRIM($B90))),CRDJ[Debit])))+(SUM(IF((GJ[Date]=$A$3)*(GJ[Ofc Code]=(TRIM(G$4)))*(GJ[Account Code]=(TRIM($B90))),GJ[Debit]))))-((SUM(IF((CkDJ[Date]=$A$3)*(CkDJ[Ofc Code]=(TRIM(G$4)))*(CkDJ[Account Code]=(TRIM($B90))),CkDJ[Credit])))+(SUM(IF((CsDJ[Date]=$A$3)*(CsDJ[Ofc Code]=(TRIM(G$4)))*(CsDJ[Account Code]=(TRIM($B90))),CsDJ[Credit])))+(SUM(IF((CRDJ[Date]=$A$3)*(CRDJ[Ofc Code]=(TRIM(G$4)))*(CRDJ[Account Code]=(TRIM($B90))),CRDJ[Credit])))+(SUM(IF((GJ[Date]=$A$3)*(GJ[Ofc Code]=(TRIM(G$4)))*(GJ[Account Code]=(TRIM($B90))),GJ[Credit]))))</f>
        <v>0</v>
      </c>
      <c r="G90" s="343">
        <f t="shared" si="6"/>
        <v>0</v>
      </c>
      <c r="H90" s="246">
        <f t="shared" si="2"/>
        <v>0</v>
      </c>
      <c r="I90" s="246">
        <f t="shared" si="3"/>
        <v>0</v>
      </c>
    </row>
    <row r="91" spans="1:9">
      <c r="A91" s="256" t="s">
        <v>1475</v>
      </c>
      <c r="B91" s="339" t="s">
        <v>1265</v>
      </c>
      <c r="C91" s="245">
        <f t="array" ref="C91">SUM(IF((Budget[Account Code]=B91)*(Budget[Ofc Code]=$G$4),(Budget[Amount])))</f>
        <v>0</v>
      </c>
      <c r="D91" s="245">
        <f t="array" ref="D91">SUM(IF((Budget[Account Code]=B91)*(Budget[Ofc Code]=$G$4)*(Budget[Date]&lt;=$D$7),(Budget[Amount])))</f>
        <v>0</v>
      </c>
      <c r="E91" s="245">
        <f t="array" ref="E91">((SUM(IF((CkDJ[Ofc Code]=(TRIM(G$4)))*(CkDJ[Account Code]=(TRIM($B91)))*(CkDJ[Date]&lt;=$E$7),CkDJ[Debit])))+(SUM(IF((CsDJ[Ofc Code]=(TRIM(G$4)))*(CsDJ[Account Code]=(TRIM($B91)))*(CsDJ[Date]&lt;=$E$7),CsDJ[Debit])))+(SUM(IF((CRDJ[Ofc Code]=(TRIM(G$4)))*(CRDJ[Account Code]=(TRIM($B91)))*(CRDJ[Date]&lt;=$E$7),CRDJ[Debit])))+(SUM(IF((GJ[Ofc Code]=(TRIM(G$4)))*(GJ[Account Code]=(TRIM($B91)))*(GJ[Date]&lt;=$E$7),GJ[Debit]))))-((SUM(IF((CkDJ[Ofc Code]=(TRIM(G$4)))*(CkDJ[Account Code]=(TRIM($B91)))*(CkDJ[Date]&lt;=$E$7),CkDJ[Credit])))+(SUM(IF((CsDJ[Ofc Code]=(TRIM(G$4)))*(CsDJ[Account Code]=(TRIM($B91)))*(CsDJ[Date]&lt;=$E$7),CsDJ[Credit])))+(SUM(IF((CRDJ[Ofc Code]=(TRIM(G$4)))*(CRDJ[Account Code]=(TRIM($B91)))*(CRDJ[Date]&lt;=$E$7),CRDJ[Credit])))+(SUM(IF((GJ[Ofc Code]=(TRIM(G$4)))*(GJ[Account Code]=(TRIM($B91)))*(GJ[Date]&lt;=$E$7),GJ[Credit]))))</f>
        <v>0</v>
      </c>
      <c r="F91" s="245">
        <f t="array" ref="F91">((SUM(IF((CkDJ[Date]=$A$3)*(CkDJ[Ofc Code]=(TRIM(G$4)))*(CkDJ[Account Code]=(TRIM($B91))),CkDJ[Debit])))+(SUM(IF((CsDJ[Date]=$A$3)*(CsDJ[Ofc Code]=(TRIM(G$4)))*(CsDJ[Account Code]=(TRIM($B91))),CsDJ[Debit])))+(SUM(IF((CRDJ[Date]=$A$3)*(CRDJ[Ofc Code]=(TRIM(G$4)))*(CRDJ[Account Code]=(TRIM($B91))),CRDJ[Debit])))+(SUM(IF((GJ[Date]=$A$3)*(GJ[Ofc Code]=(TRIM(G$4)))*(GJ[Account Code]=(TRIM($B91))),GJ[Debit]))))-((SUM(IF((CkDJ[Date]=$A$3)*(CkDJ[Ofc Code]=(TRIM(G$4)))*(CkDJ[Account Code]=(TRIM($B91))),CkDJ[Credit])))+(SUM(IF((CsDJ[Date]=$A$3)*(CsDJ[Ofc Code]=(TRIM(G$4)))*(CsDJ[Account Code]=(TRIM($B91))),CsDJ[Credit])))+(SUM(IF((CRDJ[Date]=$A$3)*(CRDJ[Ofc Code]=(TRIM(G$4)))*(CRDJ[Account Code]=(TRIM($B91))),CRDJ[Credit])))+(SUM(IF((GJ[Date]=$A$3)*(GJ[Ofc Code]=(TRIM(G$4)))*(GJ[Account Code]=(TRIM($B91))),GJ[Credit]))))</f>
        <v>0</v>
      </c>
      <c r="G91" s="343">
        <f>E91+F91</f>
        <v>0</v>
      </c>
      <c r="H91" s="246">
        <f>G91-D91</f>
        <v>0</v>
      </c>
      <c r="I91" s="246">
        <f>IF((D91=0),0,G91/D91)</f>
        <v>0</v>
      </c>
    </row>
    <row r="92" spans="1:9">
      <c r="A92" s="256" t="s">
        <v>1475</v>
      </c>
      <c r="B92" s="339" t="s">
        <v>1266</v>
      </c>
      <c r="C92" s="245">
        <f t="array" ref="C92">SUM(IF((Budget[Account Code]=B92)*(Budget[Ofc Code]=$G$4),(Budget[Amount])))</f>
        <v>0</v>
      </c>
      <c r="D92" s="245">
        <f t="array" ref="D92">SUM(IF((Budget[Account Code]=B92)*(Budget[Ofc Code]=$G$4)*(Budget[Date]&lt;=$D$7),(Budget[Amount])))</f>
        <v>0</v>
      </c>
      <c r="E92" s="245">
        <f t="array" ref="E92">((SUM(IF((CkDJ[Ofc Code]=(TRIM(G$4)))*(CkDJ[Account Code]=(TRIM($B92)))*(CkDJ[Date]&lt;=$E$7),CkDJ[Debit])))+(SUM(IF((CsDJ[Ofc Code]=(TRIM(G$4)))*(CsDJ[Account Code]=(TRIM($B92)))*(CsDJ[Date]&lt;=$E$7),CsDJ[Debit])))+(SUM(IF((CRDJ[Ofc Code]=(TRIM(G$4)))*(CRDJ[Account Code]=(TRIM($B92)))*(CRDJ[Date]&lt;=$E$7),CRDJ[Debit])))+(SUM(IF((GJ[Ofc Code]=(TRIM(G$4)))*(GJ[Account Code]=(TRIM($B92)))*(GJ[Date]&lt;=$E$7),GJ[Debit]))))-((SUM(IF((CkDJ[Ofc Code]=(TRIM(G$4)))*(CkDJ[Account Code]=(TRIM($B92)))*(CkDJ[Date]&lt;=$E$7),CkDJ[Credit])))+(SUM(IF((CsDJ[Ofc Code]=(TRIM(G$4)))*(CsDJ[Account Code]=(TRIM($B92)))*(CsDJ[Date]&lt;=$E$7),CsDJ[Credit])))+(SUM(IF((CRDJ[Ofc Code]=(TRIM(G$4)))*(CRDJ[Account Code]=(TRIM($B92)))*(CRDJ[Date]&lt;=$E$7),CRDJ[Credit])))+(SUM(IF((GJ[Ofc Code]=(TRIM(G$4)))*(GJ[Account Code]=(TRIM($B92)))*(GJ[Date]&lt;=$E$7),GJ[Credit]))))</f>
        <v>0</v>
      </c>
      <c r="F92" s="245">
        <f t="array" ref="F92">((SUM(IF((CkDJ[Date]=$A$3)*(CkDJ[Ofc Code]=(TRIM(G$4)))*(CkDJ[Account Code]=(TRIM($B92))),CkDJ[Debit])))+(SUM(IF((CsDJ[Date]=$A$3)*(CsDJ[Ofc Code]=(TRIM(G$4)))*(CsDJ[Account Code]=(TRIM($B92))),CsDJ[Debit])))+(SUM(IF((CRDJ[Date]=$A$3)*(CRDJ[Ofc Code]=(TRIM(G$4)))*(CRDJ[Account Code]=(TRIM($B92))),CRDJ[Debit])))+(SUM(IF((GJ[Date]=$A$3)*(GJ[Ofc Code]=(TRIM(G$4)))*(GJ[Account Code]=(TRIM($B92))),GJ[Debit]))))-((SUM(IF((CkDJ[Date]=$A$3)*(CkDJ[Ofc Code]=(TRIM(G$4)))*(CkDJ[Account Code]=(TRIM($B92))),CkDJ[Credit])))+(SUM(IF((CsDJ[Date]=$A$3)*(CsDJ[Ofc Code]=(TRIM(G$4)))*(CsDJ[Account Code]=(TRIM($B92))),CsDJ[Credit])))+(SUM(IF((CRDJ[Date]=$A$3)*(CRDJ[Ofc Code]=(TRIM(G$4)))*(CRDJ[Account Code]=(TRIM($B92))),CRDJ[Credit])))+(SUM(IF((GJ[Date]=$A$3)*(GJ[Ofc Code]=(TRIM(G$4)))*(GJ[Account Code]=(TRIM($B92))),GJ[Credit]))))</f>
        <v>0</v>
      </c>
      <c r="G92" s="343">
        <f>E92+F92</f>
        <v>0</v>
      </c>
      <c r="H92" s="246">
        <f>G92-D92</f>
        <v>0</v>
      </c>
      <c r="I92" s="246">
        <f>IF((D92=0),0,G92/D92)</f>
        <v>0</v>
      </c>
    </row>
    <row r="93" spans="1:9" hidden="1">
      <c r="A93" s="256" t="s">
        <v>294</v>
      </c>
      <c r="B93" s="339" t="s">
        <v>234</v>
      </c>
      <c r="C93" s="245">
        <f t="array" ref="C93">SUM(IF((Budget[Account Code]=B93)*(Budget[Ofc Code]=$G$4),(Budget[Amount])))</f>
        <v>0</v>
      </c>
      <c r="D93" s="245">
        <f t="array" ref="D93">SUM(IF((Budget[Account Code]=B93)*(Budget[Ofc Code]=$G$4)*(Budget[Date]&lt;=$D$7),(Budget[Amount])))</f>
        <v>0</v>
      </c>
      <c r="E93" s="245">
        <f t="array" ref="E93">((SUM(IF((CkDJ[Ofc Code]=(TRIM(G$4)))*(CkDJ[Account Code]=(TRIM($B93)))*(CkDJ[Date]&lt;=$E$7),CkDJ[Debit])))+(SUM(IF((CsDJ[Ofc Code]=(TRIM(G$4)))*(CsDJ[Account Code]=(TRIM($B93)))*(CsDJ[Date]&lt;=$E$7),CsDJ[Debit])))+(SUM(IF((CRDJ[Ofc Code]=(TRIM(G$4)))*(CRDJ[Account Code]=(TRIM($B93)))*(CRDJ[Date]&lt;=$E$7),CRDJ[Debit])))+(SUM(IF((GJ[Ofc Code]=(TRIM(G$4)))*(GJ[Account Code]=(TRIM($B93)))*(GJ[Date]&lt;=$E$7),GJ[Debit]))))-((SUM(IF((CkDJ[Ofc Code]=(TRIM(G$4)))*(CkDJ[Account Code]=(TRIM($B93)))*(CkDJ[Date]&lt;=$E$7),CkDJ[Credit])))+(SUM(IF((CsDJ[Ofc Code]=(TRIM(G$4)))*(CsDJ[Account Code]=(TRIM($B93)))*(CsDJ[Date]&lt;=$E$7),CsDJ[Credit])))+(SUM(IF((CRDJ[Ofc Code]=(TRIM(G$4)))*(CRDJ[Account Code]=(TRIM($B93)))*(CRDJ[Date]&lt;=$E$7),CRDJ[Credit])))+(SUM(IF((GJ[Ofc Code]=(TRIM(G$4)))*(GJ[Account Code]=(TRIM($B93)))*(GJ[Date]&lt;=$E$7),GJ[Credit]))))</f>
        <v>0</v>
      </c>
      <c r="F93" s="245">
        <f t="array" ref="F93">((SUM(IF((CkDJ[Date]=$A$3)*(CkDJ[Ofc Code]=(TRIM(G$4)))*(CkDJ[Account Code]=(TRIM($B93))),CkDJ[Debit])))+(SUM(IF((CsDJ[Date]=$A$3)*(CsDJ[Ofc Code]=(TRIM(G$4)))*(CsDJ[Account Code]=(TRIM($B93))),CsDJ[Debit])))+(SUM(IF((CRDJ[Date]=$A$3)*(CRDJ[Ofc Code]=(TRIM(G$4)))*(CRDJ[Account Code]=(TRIM($B93))),CRDJ[Debit])))+(SUM(IF((GJ[Date]=$A$3)*(GJ[Ofc Code]=(TRIM(G$4)))*(GJ[Account Code]=(TRIM($B93))),GJ[Debit]))))-((SUM(IF((CkDJ[Date]=$A$3)*(CkDJ[Ofc Code]=(TRIM(G$4)))*(CkDJ[Account Code]=(TRIM($B93))),CkDJ[Credit])))+(SUM(IF((CsDJ[Date]=$A$3)*(CsDJ[Ofc Code]=(TRIM(G$4)))*(CsDJ[Account Code]=(TRIM($B93))),CsDJ[Credit])))+(SUM(IF((CRDJ[Date]=$A$3)*(CRDJ[Ofc Code]=(TRIM(G$4)))*(CRDJ[Account Code]=(TRIM($B93))),CRDJ[Credit])))+(SUM(IF((GJ[Date]=$A$3)*(GJ[Ofc Code]=(TRIM(G$4)))*(GJ[Account Code]=(TRIM($B93))),GJ[Credit]))))</f>
        <v>0</v>
      </c>
      <c r="G93" s="343">
        <f t="shared" si="6"/>
        <v>0</v>
      </c>
      <c r="H93" s="246">
        <f t="shared" si="2"/>
        <v>0</v>
      </c>
      <c r="I93" s="246">
        <f t="shared" si="3"/>
        <v>0</v>
      </c>
    </row>
    <row r="94" spans="1:9" hidden="1">
      <c r="A94" s="256" t="s">
        <v>295</v>
      </c>
      <c r="B94" s="339" t="s">
        <v>235</v>
      </c>
      <c r="C94" s="245">
        <f t="array" ref="C94">SUM(IF((Budget[Account Code]=B94)*(Budget[Ofc Code]=$G$4),(Budget[Amount])))</f>
        <v>0</v>
      </c>
      <c r="D94" s="245">
        <f t="array" ref="D94">SUM(IF((Budget[Account Code]=B94)*(Budget[Ofc Code]=$G$4)*(Budget[Date]&lt;=$D$7),(Budget[Amount])))</f>
        <v>0</v>
      </c>
      <c r="E94" s="245">
        <f t="array" ref="E94">((SUM(IF((CkDJ[Ofc Code]=(TRIM(G$4)))*(CkDJ[Account Code]=(TRIM($B94)))*(CkDJ[Date]&lt;=$E$7),CkDJ[Debit])))+(SUM(IF((CsDJ[Ofc Code]=(TRIM(G$4)))*(CsDJ[Account Code]=(TRIM($B94)))*(CsDJ[Date]&lt;=$E$7),CsDJ[Debit])))+(SUM(IF((CRDJ[Ofc Code]=(TRIM(G$4)))*(CRDJ[Account Code]=(TRIM($B94)))*(CRDJ[Date]&lt;=$E$7),CRDJ[Debit])))+(SUM(IF((GJ[Ofc Code]=(TRIM(G$4)))*(GJ[Account Code]=(TRIM($B94)))*(GJ[Date]&lt;=$E$7),GJ[Debit]))))-((SUM(IF((CkDJ[Ofc Code]=(TRIM(G$4)))*(CkDJ[Account Code]=(TRIM($B94)))*(CkDJ[Date]&lt;=$E$7),CkDJ[Credit])))+(SUM(IF((CsDJ[Ofc Code]=(TRIM(G$4)))*(CsDJ[Account Code]=(TRIM($B94)))*(CsDJ[Date]&lt;=$E$7),CsDJ[Credit])))+(SUM(IF((CRDJ[Ofc Code]=(TRIM(G$4)))*(CRDJ[Account Code]=(TRIM($B94)))*(CRDJ[Date]&lt;=$E$7),CRDJ[Credit])))+(SUM(IF((GJ[Ofc Code]=(TRIM(G$4)))*(GJ[Account Code]=(TRIM($B94)))*(GJ[Date]&lt;=$E$7),GJ[Credit]))))</f>
        <v>0</v>
      </c>
      <c r="F94" s="245">
        <f t="array" ref="F94">((SUM(IF((CkDJ[Date]=$A$3)*(CkDJ[Ofc Code]=(TRIM(G$4)))*(CkDJ[Account Code]=(TRIM($B94))),CkDJ[Debit])))+(SUM(IF((CsDJ[Date]=$A$3)*(CsDJ[Ofc Code]=(TRIM(G$4)))*(CsDJ[Account Code]=(TRIM($B94))),CsDJ[Debit])))+(SUM(IF((CRDJ[Date]=$A$3)*(CRDJ[Ofc Code]=(TRIM(G$4)))*(CRDJ[Account Code]=(TRIM($B94))),CRDJ[Debit])))+(SUM(IF((GJ[Date]=$A$3)*(GJ[Ofc Code]=(TRIM(G$4)))*(GJ[Account Code]=(TRIM($B94))),GJ[Debit]))))-((SUM(IF((CkDJ[Date]=$A$3)*(CkDJ[Ofc Code]=(TRIM(G$4)))*(CkDJ[Account Code]=(TRIM($B94))),CkDJ[Credit])))+(SUM(IF((CsDJ[Date]=$A$3)*(CsDJ[Ofc Code]=(TRIM(G$4)))*(CsDJ[Account Code]=(TRIM($B94))),CsDJ[Credit])))+(SUM(IF((CRDJ[Date]=$A$3)*(CRDJ[Ofc Code]=(TRIM(G$4)))*(CRDJ[Account Code]=(TRIM($B94))),CRDJ[Credit])))+(SUM(IF((GJ[Date]=$A$3)*(GJ[Ofc Code]=(TRIM(G$4)))*(GJ[Account Code]=(TRIM($B94))),GJ[Credit]))))</f>
        <v>0</v>
      </c>
      <c r="G94" s="343">
        <f t="shared" si="6"/>
        <v>0</v>
      </c>
      <c r="H94" s="246">
        <f t="shared" si="2"/>
        <v>0</v>
      </c>
      <c r="I94" s="246">
        <f t="shared" si="3"/>
        <v>0</v>
      </c>
    </row>
    <row r="95" spans="1:9" hidden="1">
      <c r="A95" s="256" t="s">
        <v>296</v>
      </c>
      <c r="B95" s="339" t="s">
        <v>236</v>
      </c>
      <c r="C95" s="245">
        <f t="array" ref="C95">SUM(IF((Budget[Account Code]=B95)*(Budget[Ofc Code]=$G$4),(Budget[Amount])))</f>
        <v>0</v>
      </c>
      <c r="D95" s="245">
        <f t="array" ref="D95">SUM(IF((Budget[Account Code]=B95)*(Budget[Ofc Code]=$G$4)*(Budget[Date]&lt;=$D$7),(Budget[Amount])))</f>
        <v>0</v>
      </c>
      <c r="E95" s="245">
        <f t="array" ref="E95">((SUM(IF((CkDJ[Ofc Code]=(TRIM(G$4)))*(CkDJ[Account Code]=(TRIM($B95)))*(CkDJ[Date]&lt;=$E$7),CkDJ[Debit])))+(SUM(IF((CsDJ[Ofc Code]=(TRIM(G$4)))*(CsDJ[Account Code]=(TRIM($B95)))*(CsDJ[Date]&lt;=$E$7),CsDJ[Debit])))+(SUM(IF((CRDJ[Ofc Code]=(TRIM(G$4)))*(CRDJ[Account Code]=(TRIM($B95)))*(CRDJ[Date]&lt;=$E$7),CRDJ[Debit])))+(SUM(IF((GJ[Ofc Code]=(TRIM(G$4)))*(GJ[Account Code]=(TRIM($B95)))*(GJ[Date]&lt;=$E$7),GJ[Debit]))))-((SUM(IF((CkDJ[Ofc Code]=(TRIM(G$4)))*(CkDJ[Account Code]=(TRIM($B95)))*(CkDJ[Date]&lt;=$E$7),CkDJ[Credit])))+(SUM(IF((CsDJ[Ofc Code]=(TRIM(G$4)))*(CsDJ[Account Code]=(TRIM($B95)))*(CsDJ[Date]&lt;=$E$7),CsDJ[Credit])))+(SUM(IF((CRDJ[Ofc Code]=(TRIM(G$4)))*(CRDJ[Account Code]=(TRIM($B95)))*(CRDJ[Date]&lt;=$E$7),CRDJ[Credit])))+(SUM(IF((GJ[Ofc Code]=(TRIM(G$4)))*(GJ[Account Code]=(TRIM($B95)))*(GJ[Date]&lt;=$E$7),GJ[Credit]))))</f>
        <v>0</v>
      </c>
      <c r="F95" s="245">
        <f t="array" ref="F95">((SUM(IF((CkDJ[Date]=$A$3)*(CkDJ[Ofc Code]=(TRIM(G$4)))*(CkDJ[Account Code]=(TRIM($B95))),CkDJ[Debit])))+(SUM(IF((CsDJ[Date]=$A$3)*(CsDJ[Ofc Code]=(TRIM(G$4)))*(CsDJ[Account Code]=(TRIM($B95))),CsDJ[Debit])))+(SUM(IF((CRDJ[Date]=$A$3)*(CRDJ[Ofc Code]=(TRIM(G$4)))*(CRDJ[Account Code]=(TRIM($B95))),CRDJ[Debit])))+(SUM(IF((GJ[Date]=$A$3)*(GJ[Ofc Code]=(TRIM(G$4)))*(GJ[Account Code]=(TRIM($B95))),GJ[Debit]))))-((SUM(IF((CkDJ[Date]=$A$3)*(CkDJ[Ofc Code]=(TRIM(G$4)))*(CkDJ[Account Code]=(TRIM($B95))),CkDJ[Credit])))+(SUM(IF((CsDJ[Date]=$A$3)*(CsDJ[Ofc Code]=(TRIM(G$4)))*(CsDJ[Account Code]=(TRIM($B95))),CsDJ[Credit])))+(SUM(IF((CRDJ[Date]=$A$3)*(CRDJ[Ofc Code]=(TRIM(G$4)))*(CRDJ[Account Code]=(TRIM($B95))),CRDJ[Credit])))+(SUM(IF((GJ[Date]=$A$3)*(GJ[Ofc Code]=(TRIM(G$4)))*(GJ[Account Code]=(TRIM($B95))),GJ[Credit]))))</f>
        <v>0</v>
      </c>
      <c r="G95" s="343">
        <f t="shared" si="6"/>
        <v>0</v>
      </c>
      <c r="H95" s="246">
        <f t="shared" si="2"/>
        <v>0</v>
      </c>
      <c r="I95" s="246">
        <f t="shared" si="3"/>
        <v>0</v>
      </c>
    </row>
    <row r="96" spans="1:9" hidden="1">
      <c r="A96" s="256" t="s">
        <v>297</v>
      </c>
      <c r="B96" s="339" t="s">
        <v>237</v>
      </c>
      <c r="C96" s="245">
        <f t="array" ref="C96">SUM(IF((Budget[Account Code]=B96)*(Budget[Ofc Code]=$G$4),(Budget[Amount])))</f>
        <v>0</v>
      </c>
      <c r="D96" s="245">
        <f t="array" ref="D96">SUM(IF((Budget[Account Code]=B96)*(Budget[Ofc Code]=$G$4)*(Budget[Date]&lt;=$D$7),(Budget[Amount])))</f>
        <v>0</v>
      </c>
      <c r="E96" s="245">
        <f t="array" ref="E96">((SUM(IF((CkDJ[Ofc Code]=(TRIM(G$4)))*(CkDJ[Account Code]=(TRIM($B96)))*(CkDJ[Date]&lt;=$E$7),CkDJ[Debit])))+(SUM(IF((CsDJ[Ofc Code]=(TRIM(G$4)))*(CsDJ[Account Code]=(TRIM($B96)))*(CsDJ[Date]&lt;=$E$7),CsDJ[Debit])))+(SUM(IF((CRDJ[Ofc Code]=(TRIM(G$4)))*(CRDJ[Account Code]=(TRIM($B96)))*(CRDJ[Date]&lt;=$E$7),CRDJ[Debit])))+(SUM(IF((GJ[Ofc Code]=(TRIM(G$4)))*(GJ[Account Code]=(TRIM($B96)))*(GJ[Date]&lt;=$E$7),GJ[Debit]))))-((SUM(IF((CkDJ[Ofc Code]=(TRIM(G$4)))*(CkDJ[Account Code]=(TRIM($B96)))*(CkDJ[Date]&lt;=$E$7),CkDJ[Credit])))+(SUM(IF((CsDJ[Ofc Code]=(TRIM(G$4)))*(CsDJ[Account Code]=(TRIM($B96)))*(CsDJ[Date]&lt;=$E$7),CsDJ[Credit])))+(SUM(IF((CRDJ[Ofc Code]=(TRIM(G$4)))*(CRDJ[Account Code]=(TRIM($B96)))*(CRDJ[Date]&lt;=$E$7),CRDJ[Credit])))+(SUM(IF((GJ[Ofc Code]=(TRIM(G$4)))*(GJ[Account Code]=(TRIM($B96)))*(GJ[Date]&lt;=$E$7),GJ[Credit]))))</f>
        <v>0</v>
      </c>
      <c r="F96" s="245">
        <f t="array" ref="F96">((SUM(IF((CkDJ[Date]=$A$3)*(CkDJ[Ofc Code]=(TRIM(G$4)))*(CkDJ[Account Code]=(TRIM($B96))),CkDJ[Debit])))+(SUM(IF((CsDJ[Date]=$A$3)*(CsDJ[Ofc Code]=(TRIM(G$4)))*(CsDJ[Account Code]=(TRIM($B96))),CsDJ[Debit])))+(SUM(IF((CRDJ[Date]=$A$3)*(CRDJ[Ofc Code]=(TRIM(G$4)))*(CRDJ[Account Code]=(TRIM($B96))),CRDJ[Debit])))+(SUM(IF((GJ[Date]=$A$3)*(GJ[Ofc Code]=(TRIM(G$4)))*(GJ[Account Code]=(TRIM($B96))),GJ[Debit]))))-((SUM(IF((CkDJ[Date]=$A$3)*(CkDJ[Ofc Code]=(TRIM(G$4)))*(CkDJ[Account Code]=(TRIM($B96))),CkDJ[Credit])))+(SUM(IF((CsDJ[Date]=$A$3)*(CsDJ[Ofc Code]=(TRIM(G$4)))*(CsDJ[Account Code]=(TRIM($B96))),CsDJ[Credit])))+(SUM(IF((CRDJ[Date]=$A$3)*(CRDJ[Ofc Code]=(TRIM(G$4)))*(CRDJ[Account Code]=(TRIM($B96))),CRDJ[Credit])))+(SUM(IF((GJ[Date]=$A$3)*(GJ[Ofc Code]=(TRIM(G$4)))*(GJ[Account Code]=(TRIM($B96))),GJ[Credit]))))</f>
        <v>0</v>
      </c>
      <c r="G96" s="343">
        <f t="shared" si="6"/>
        <v>0</v>
      </c>
      <c r="H96" s="246">
        <f t="shared" si="2"/>
        <v>0</v>
      </c>
      <c r="I96" s="246">
        <f t="shared" si="3"/>
        <v>0</v>
      </c>
    </row>
    <row r="97" spans="1:9" hidden="1">
      <c r="A97" s="256" t="s">
        <v>298</v>
      </c>
      <c r="B97" s="339" t="s">
        <v>238</v>
      </c>
      <c r="C97" s="245">
        <f t="array" ref="C97">SUM(IF((Budget[Account Code]=B97)*(Budget[Ofc Code]=$G$4),(Budget[Amount])))</f>
        <v>0</v>
      </c>
      <c r="D97" s="245">
        <f t="array" ref="D97">SUM(IF((Budget[Account Code]=B97)*(Budget[Ofc Code]=$G$4)*(Budget[Date]&lt;=$D$7),(Budget[Amount])))</f>
        <v>0</v>
      </c>
      <c r="E97" s="245">
        <f t="array" ref="E97">((SUM(IF((CkDJ[Ofc Code]=(TRIM(G$4)))*(CkDJ[Account Code]=(TRIM($B97)))*(CkDJ[Date]&lt;=$E$7),CkDJ[Debit])))+(SUM(IF((CsDJ[Ofc Code]=(TRIM(G$4)))*(CsDJ[Account Code]=(TRIM($B97)))*(CsDJ[Date]&lt;=$E$7),CsDJ[Debit])))+(SUM(IF((CRDJ[Ofc Code]=(TRIM(G$4)))*(CRDJ[Account Code]=(TRIM($B97)))*(CRDJ[Date]&lt;=$E$7),CRDJ[Debit])))+(SUM(IF((GJ[Ofc Code]=(TRIM(G$4)))*(GJ[Account Code]=(TRIM($B97)))*(GJ[Date]&lt;=$E$7),GJ[Debit]))))-((SUM(IF((CkDJ[Ofc Code]=(TRIM(G$4)))*(CkDJ[Account Code]=(TRIM($B97)))*(CkDJ[Date]&lt;=$E$7),CkDJ[Credit])))+(SUM(IF((CsDJ[Ofc Code]=(TRIM(G$4)))*(CsDJ[Account Code]=(TRIM($B97)))*(CsDJ[Date]&lt;=$E$7),CsDJ[Credit])))+(SUM(IF((CRDJ[Ofc Code]=(TRIM(G$4)))*(CRDJ[Account Code]=(TRIM($B97)))*(CRDJ[Date]&lt;=$E$7),CRDJ[Credit])))+(SUM(IF((GJ[Ofc Code]=(TRIM(G$4)))*(GJ[Account Code]=(TRIM($B97)))*(GJ[Date]&lt;=$E$7),GJ[Credit]))))</f>
        <v>0</v>
      </c>
      <c r="F97" s="245">
        <f t="array" ref="F97">((SUM(IF((CkDJ[Date]=$A$3)*(CkDJ[Ofc Code]=(TRIM(G$4)))*(CkDJ[Account Code]=(TRIM($B97))),CkDJ[Debit])))+(SUM(IF((CsDJ[Date]=$A$3)*(CsDJ[Ofc Code]=(TRIM(G$4)))*(CsDJ[Account Code]=(TRIM($B97))),CsDJ[Debit])))+(SUM(IF((CRDJ[Date]=$A$3)*(CRDJ[Ofc Code]=(TRIM(G$4)))*(CRDJ[Account Code]=(TRIM($B97))),CRDJ[Debit])))+(SUM(IF((GJ[Date]=$A$3)*(GJ[Ofc Code]=(TRIM(G$4)))*(GJ[Account Code]=(TRIM($B97))),GJ[Debit]))))-((SUM(IF((CkDJ[Date]=$A$3)*(CkDJ[Ofc Code]=(TRIM(G$4)))*(CkDJ[Account Code]=(TRIM($B97))),CkDJ[Credit])))+(SUM(IF((CsDJ[Date]=$A$3)*(CsDJ[Ofc Code]=(TRIM(G$4)))*(CsDJ[Account Code]=(TRIM($B97))),CsDJ[Credit])))+(SUM(IF((CRDJ[Date]=$A$3)*(CRDJ[Ofc Code]=(TRIM(G$4)))*(CRDJ[Account Code]=(TRIM($B97))),CRDJ[Credit])))+(SUM(IF((GJ[Date]=$A$3)*(GJ[Ofc Code]=(TRIM(G$4)))*(GJ[Account Code]=(TRIM($B97))),GJ[Credit]))))</f>
        <v>0</v>
      </c>
      <c r="G97" s="343">
        <f t="shared" si="6"/>
        <v>0</v>
      </c>
      <c r="H97" s="246">
        <f t="shared" si="2"/>
        <v>0</v>
      </c>
      <c r="I97" s="246">
        <f t="shared" si="3"/>
        <v>0</v>
      </c>
    </row>
    <row r="98" spans="1:9" hidden="1">
      <c r="A98" s="256" t="s">
        <v>1019</v>
      </c>
      <c r="B98" s="339" t="s">
        <v>239</v>
      </c>
      <c r="C98" s="245">
        <f t="array" ref="C98">SUM(IF((Budget[Account Code]=B98)*(Budget[Ofc Code]=$G$4),(Budget[Amount])))</f>
        <v>0</v>
      </c>
      <c r="D98" s="245">
        <f t="array" ref="D98">SUM(IF((Budget[Account Code]=B98)*(Budget[Ofc Code]=$G$4)*(Budget[Date]&lt;=$D$7),(Budget[Amount])))</f>
        <v>0</v>
      </c>
      <c r="E98" s="245">
        <f t="array" ref="E98">((SUM(IF((CkDJ[Ofc Code]=(TRIM(G$4)))*(CkDJ[Account Code]=(TRIM($B98)))*(CkDJ[Date]&lt;=$E$7),CkDJ[Debit])))+(SUM(IF((CsDJ[Ofc Code]=(TRIM(G$4)))*(CsDJ[Account Code]=(TRIM($B98)))*(CsDJ[Date]&lt;=$E$7),CsDJ[Debit])))+(SUM(IF((CRDJ[Ofc Code]=(TRIM(G$4)))*(CRDJ[Account Code]=(TRIM($B98)))*(CRDJ[Date]&lt;=$E$7),CRDJ[Debit])))+(SUM(IF((GJ[Ofc Code]=(TRIM(G$4)))*(GJ[Account Code]=(TRIM($B98)))*(GJ[Date]&lt;=$E$7),GJ[Debit]))))-((SUM(IF((CkDJ[Ofc Code]=(TRIM(G$4)))*(CkDJ[Account Code]=(TRIM($B98)))*(CkDJ[Date]&lt;=$E$7),CkDJ[Credit])))+(SUM(IF((CsDJ[Ofc Code]=(TRIM(G$4)))*(CsDJ[Account Code]=(TRIM($B98)))*(CsDJ[Date]&lt;=$E$7),CsDJ[Credit])))+(SUM(IF((CRDJ[Ofc Code]=(TRIM(G$4)))*(CRDJ[Account Code]=(TRIM($B98)))*(CRDJ[Date]&lt;=$E$7),CRDJ[Credit])))+(SUM(IF((GJ[Ofc Code]=(TRIM(G$4)))*(GJ[Account Code]=(TRIM($B98)))*(GJ[Date]&lt;=$E$7),GJ[Credit]))))</f>
        <v>0</v>
      </c>
      <c r="F98" s="245">
        <f t="array" ref="F98">((SUM(IF((CkDJ[Date]=$A$3)*(CkDJ[Ofc Code]=(TRIM(G$4)))*(CkDJ[Account Code]=(TRIM($B98))),CkDJ[Debit])))+(SUM(IF((CsDJ[Date]=$A$3)*(CsDJ[Ofc Code]=(TRIM(G$4)))*(CsDJ[Account Code]=(TRIM($B98))),CsDJ[Debit])))+(SUM(IF((CRDJ[Date]=$A$3)*(CRDJ[Ofc Code]=(TRIM(G$4)))*(CRDJ[Account Code]=(TRIM($B98))),CRDJ[Debit])))+(SUM(IF((GJ[Date]=$A$3)*(GJ[Ofc Code]=(TRIM(G$4)))*(GJ[Account Code]=(TRIM($B98))),GJ[Debit]))))-((SUM(IF((CkDJ[Date]=$A$3)*(CkDJ[Ofc Code]=(TRIM(G$4)))*(CkDJ[Account Code]=(TRIM($B98))),CkDJ[Credit])))+(SUM(IF((CsDJ[Date]=$A$3)*(CsDJ[Ofc Code]=(TRIM(G$4)))*(CsDJ[Account Code]=(TRIM($B98))),CsDJ[Credit])))+(SUM(IF((CRDJ[Date]=$A$3)*(CRDJ[Ofc Code]=(TRIM(G$4)))*(CRDJ[Account Code]=(TRIM($B98))),CRDJ[Credit])))+(SUM(IF((GJ[Date]=$A$3)*(GJ[Ofc Code]=(TRIM(G$4)))*(GJ[Account Code]=(TRIM($B98))),GJ[Credit]))))</f>
        <v>0</v>
      </c>
      <c r="G98" s="343">
        <f t="shared" si="6"/>
        <v>0</v>
      </c>
      <c r="H98" s="246">
        <f t="shared" si="2"/>
        <v>0</v>
      </c>
      <c r="I98" s="246">
        <f t="shared" si="3"/>
        <v>0</v>
      </c>
    </row>
    <row r="99" spans="1:9" hidden="1">
      <c r="A99" s="256" t="s">
        <v>1020</v>
      </c>
      <c r="B99" s="339" t="s">
        <v>240</v>
      </c>
      <c r="C99" s="245">
        <f t="array" ref="C99">SUM(IF((Budget[Account Code]=B99)*(Budget[Ofc Code]=$G$4),(Budget[Amount])))</f>
        <v>0</v>
      </c>
      <c r="D99" s="245">
        <f t="array" ref="D99">SUM(IF((Budget[Account Code]=B99)*(Budget[Ofc Code]=$G$4)*(Budget[Date]&lt;=$D$7),(Budget[Amount])))</f>
        <v>0</v>
      </c>
      <c r="E99" s="245">
        <f t="array" ref="E99">((SUM(IF((CkDJ[Ofc Code]=(TRIM(G$4)))*(CkDJ[Account Code]=(TRIM($B99)))*(CkDJ[Date]&lt;=$E$7),CkDJ[Debit])))+(SUM(IF((CsDJ[Ofc Code]=(TRIM(G$4)))*(CsDJ[Account Code]=(TRIM($B99)))*(CsDJ[Date]&lt;=$E$7),CsDJ[Debit])))+(SUM(IF((CRDJ[Ofc Code]=(TRIM(G$4)))*(CRDJ[Account Code]=(TRIM($B99)))*(CRDJ[Date]&lt;=$E$7),CRDJ[Debit])))+(SUM(IF((GJ[Ofc Code]=(TRIM(G$4)))*(GJ[Account Code]=(TRIM($B99)))*(GJ[Date]&lt;=$E$7),GJ[Debit]))))-((SUM(IF((CkDJ[Ofc Code]=(TRIM(G$4)))*(CkDJ[Account Code]=(TRIM($B99)))*(CkDJ[Date]&lt;=$E$7),CkDJ[Credit])))+(SUM(IF((CsDJ[Ofc Code]=(TRIM(G$4)))*(CsDJ[Account Code]=(TRIM($B99)))*(CsDJ[Date]&lt;=$E$7),CsDJ[Credit])))+(SUM(IF((CRDJ[Ofc Code]=(TRIM(G$4)))*(CRDJ[Account Code]=(TRIM($B99)))*(CRDJ[Date]&lt;=$E$7),CRDJ[Credit])))+(SUM(IF((GJ[Ofc Code]=(TRIM(G$4)))*(GJ[Account Code]=(TRIM($B99)))*(GJ[Date]&lt;=$E$7),GJ[Credit]))))</f>
        <v>0</v>
      </c>
      <c r="F99" s="245">
        <f t="array" ref="F99">((SUM(IF((CkDJ[Date]=$A$3)*(CkDJ[Ofc Code]=(TRIM(G$4)))*(CkDJ[Account Code]=(TRIM($B99))),CkDJ[Debit])))+(SUM(IF((CsDJ[Date]=$A$3)*(CsDJ[Ofc Code]=(TRIM(G$4)))*(CsDJ[Account Code]=(TRIM($B99))),CsDJ[Debit])))+(SUM(IF((CRDJ[Date]=$A$3)*(CRDJ[Ofc Code]=(TRIM(G$4)))*(CRDJ[Account Code]=(TRIM($B99))),CRDJ[Debit])))+(SUM(IF((GJ[Date]=$A$3)*(GJ[Ofc Code]=(TRIM(G$4)))*(GJ[Account Code]=(TRIM($B99))),GJ[Debit]))))-((SUM(IF((CkDJ[Date]=$A$3)*(CkDJ[Ofc Code]=(TRIM(G$4)))*(CkDJ[Account Code]=(TRIM($B99))),CkDJ[Credit])))+(SUM(IF((CsDJ[Date]=$A$3)*(CsDJ[Ofc Code]=(TRIM(G$4)))*(CsDJ[Account Code]=(TRIM($B99))),CsDJ[Credit])))+(SUM(IF((CRDJ[Date]=$A$3)*(CRDJ[Ofc Code]=(TRIM(G$4)))*(CRDJ[Account Code]=(TRIM($B99))),CRDJ[Credit])))+(SUM(IF((GJ[Date]=$A$3)*(GJ[Ofc Code]=(TRIM(G$4)))*(GJ[Account Code]=(TRIM($B99))),GJ[Credit]))))</f>
        <v>0</v>
      </c>
      <c r="G99" s="343">
        <f t="shared" si="6"/>
        <v>0</v>
      </c>
      <c r="H99" s="246">
        <f t="shared" ref="H99:H153" si="7">G99-D99</f>
        <v>0</v>
      </c>
      <c r="I99" s="246">
        <f t="shared" ref="I99:I153" si="8">IF((D99=0),0,G99/D99)</f>
        <v>0</v>
      </c>
    </row>
    <row r="100" spans="1:9" hidden="1">
      <c r="A100" s="256" t="s">
        <v>299</v>
      </c>
      <c r="B100" s="339" t="s">
        <v>241</v>
      </c>
      <c r="C100" s="245">
        <f t="array" ref="C100">SUM(IF((Budget[Account Code]=B100)*(Budget[Ofc Code]=$G$4),(Budget[Amount])))</f>
        <v>0</v>
      </c>
      <c r="D100" s="245">
        <f t="array" ref="D100">SUM(IF((Budget[Account Code]=B100)*(Budget[Ofc Code]=$G$4)*(Budget[Date]&lt;=$D$7),(Budget[Amount])))</f>
        <v>0</v>
      </c>
      <c r="E100" s="245">
        <f t="array" ref="E100">((SUM(IF((CkDJ[Ofc Code]=(TRIM(G$4)))*(CkDJ[Account Code]=(TRIM($B100)))*(CkDJ[Date]&lt;=$E$7),CkDJ[Debit])))+(SUM(IF((CsDJ[Ofc Code]=(TRIM(G$4)))*(CsDJ[Account Code]=(TRIM($B100)))*(CsDJ[Date]&lt;=$E$7),CsDJ[Debit])))+(SUM(IF((CRDJ[Ofc Code]=(TRIM(G$4)))*(CRDJ[Account Code]=(TRIM($B100)))*(CRDJ[Date]&lt;=$E$7),CRDJ[Debit])))+(SUM(IF((GJ[Ofc Code]=(TRIM(G$4)))*(GJ[Account Code]=(TRIM($B100)))*(GJ[Date]&lt;=$E$7),GJ[Debit]))))-((SUM(IF((CkDJ[Ofc Code]=(TRIM(G$4)))*(CkDJ[Account Code]=(TRIM($B100)))*(CkDJ[Date]&lt;=$E$7),CkDJ[Credit])))+(SUM(IF((CsDJ[Ofc Code]=(TRIM(G$4)))*(CsDJ[Account Code]=(TRIM($B100)))*(CsDJ[Date]&lt;=$E$7),CsDJ[Credit])))+(SUM(IF((CRDJ[Ofc Code]=(TRIM(G$4)))*(CRDJ[Account Code]=(TRIM($B100)))*(CRDJ[Date]&lt;=$E$7),CRDJ[Credit])))+(SUM(IF((GJ[Ofc Code]=(TRIM(G$4)))*(GJ[Account Code]=(TRIM($B100)))*(GJ[Date]&lt;=$E$7),GJ[Credit]))))</f>
        <v>0</v>
      </c>
      <c r="F100" s="245">
        <f t="array" ref="F100">((SUM(IF((CkDJ[Date]=$A$3)*(CkDJ[Ofc Code]=(TRIM(G$4)))*(CkDJ[Account Code]=(TRIM($B100))),CkDJ[Debit])))+(SUM(IF((CsDJ[Date]=$A$3)*(CsDJ[Ofc Code]=(TRIM(G$4)))*(CsDJ[Account Code]=(TRIM($B100))),CsDJ[Debit])))+(SUM(IF((CRDJ[Date]=$A$3)*(CRDJ[Ofc Code]=(TRIM(G$4)))*(CRDJ[Account Code]=(TRIM($B100))),CRDJ[Debit])))+(SUM(IF((GJ[Date]=$A$3)*(GJ[Ofc Code]=(TRIM(G$4)))*(GJ[Account Code]=(TRIM($B100))),GJ[Debit]))))-((SUM(IF((CkDJ[Date]=$A$3)*(CkDJ[Ofc Code]=(TRIM(G$4)))*(CkDJ[Account Code]=(TRIM($B100))),CkDJ[Credit])))+(SUM(IF((CsDJ[Date]=$A$3)*(CsDJ[Ofc Code]=(TRIM(G$4)))*(CsDJ[Account Code]=(TRIM($B100))),CsDJ[Credit])))+(SUM(IF((CRDJ[Date]=$A$3)*(CRDJ[Ofc Code]=(TRIM(G$4)))*(CRDJ[Account Code]=(TRIM($B100))),CRDJ[Credit])))+(SUM(IF((GJ[Date]=$A$3)*(GJ[Ofc Code]=(TRIM(G$4)))*(GJ[Account Code]=(TRIM($B100))),GJ[Credit]))))</f>
        <v>0</v>
      </c>
      <c r="G100" s="343">
        <f t="shared" si="6"/>
        <v>0</v>
      </c>
      <c r="H100" s="246">
        <f t="shared" si="7"/>
        <v>0</v>
      </c>
      <c r="I100" s="246">
        <f t="shared" si="8"/>
        <v>0</v>
      </c>
    </row>
    <row r="101" spans="1:9" hidden="1">
      <c r="A101" s="256" t="s">
        <v>300</v>
      </c>
      <c r="B101" s="339" t="s">
        <v>242</v>
      </c>
      <c r="C101" s="245">
        <f t="array" ref="C101">SUM(IF((Budget[Account Code]=B101)*(Budget[Ofc Code]=$G$4),(Budget[Amount])))</f>
        <v>0</v>
      </c>
      <c r="D101" s="245">
        <f t="array" ref="D101">SUM(IF((Budget[Account Code]=B101)*(Budget[Ofc Code]=$G$4)*(Budget[Date]&lt;=$D$7),(Budget[Amount])))</f>
        <v>0</v>
      </c>
      <c r="E101" s="245">
        <f t="array" ref="E101">((SUM(IF((CkDJ[Ofc Code]=(TRIM(G$4)))*(CkDJ[Account Code]=(TRIM($B101)))*(CkDJ[Date]&lt;=$E$7),CkDJ[Debit])))+(SUM(IF((CsDJ[Ofc Code]=(TRIM(G$4)))*(CsDJ[Account Code]=(TRIM($B101)))*(CsDJ[Date]&lt;=$E$7),CsDJ[Debit])))+(SUM(IF((CRDJ[Ofc Code]=(TRIM(G$4)))*(CRDJ[Account Code]=(TRIM($B101)))*(CRDJ[Date]&lt;=$E$7),CRDJ[Debit])))+(SUM(IF((GJ[Ofc Code]=(TRIM(G$4)))*(GJ[Account Code]=(TRIM($B101)))*(GJ[Date]&lt;=$E$7),GJ[Debit]))))-((SUM(IF((CkDJ[Ofc Code]=(TRIM(G$4)))*(CkDJ[Account Code]=(TRIM($B101)))*(CkDJ[Date]&lt;=$E$7),CkDJ[Credit])))+(SUM(IF((CsDJ[Ofc Code]=(TRIM(G$4)))*(CsDJ[Account Code]=(TRIM($B101)))*(CsDJ[Date]&lt;=$E$7),CsDJ[Credit])))+(SUM(IF((CRDJ[Ofc Code]=(TRIM(G$4)))*(CRDJ[Account Code]=(TRIM($B101)))*(CRDJ[Date]&lt;=$E$7),CRDJ[Credit])))+(SUM(IF((GJ[Ofc Code]=(TRIM(G$4)))*(GJ[Account Code]=(TRIM($B101)))*(GJ[Date]&lt;=$E$7),GJ[Credit]))))</f>
        <v>0</v>
      </c>
      <c r="F101" s="245">
        <f t="array" ref="F101">((SUM(IF((CkDJ[Date]=$A$3)*(CkDJ[Ofc Code]=(TRIM(G$4)))*(CkDJ[Account Code]=(TRIM($B101))),CkDJ[Debit])))+(SUM(IF((CsDJ[Date]=$A$3)*(CsDJ[Ofc Code]=(TRIM(G$4)))*(CsDJ[Account Code]=(TRIM($B101))),CsDJ[Debit])))+(SUM(IF((CRDJ[Date]=$A$3)*(CRDJ[Ofc Code]=(TRIM(G$4)))*(CRDJ[Account Code]=(TRIM($B101))),CRDJ[Debit])))+(SUM(IF((GJ[Date]=$A$3)*(GJ[Ofc Code]=(TRIM(G$4)))*(GJ[Account Code]=(TRIM($B101))),GJ[Debit]))))-((SUM(IF((CkDJ[Date]=$A$3)*(CkDJ[Ofc Code]=(TRIM(G$4)))*(CkDJ[Account Code]=(TRIM($B101))),CkDJ[Credit])))+(SUM(IF((CsDJ[Date]=$A$3)*(CsDJ[Ofc Code]=(TRIM(G$4)))*(CsDJ[Account Code]=(TRIM($B101))),CsDJ[Credit])))+(SUM(IF((CRDJ[Date]=$A$3)*(CRDJ[Ofc Code]=(TRIM(G$4)))*(CRDJ[Account Code]=(TRIM($B101))),CRDJ[Credit])))+(SUM(IF((GJ[Date]=$A$3)*(GJ[Ofc Code]=(TRIM(G$4)))*(GJ[Account Code]=(TRIM($B101))),GJ[Credit]))))</f>
        <v>0</v>
      </c>
      <c r="G101" s="343">
        <f t="shared" si="6"/>
        <v>0</v>
      </c>
      <c r="H101" s="246">
        <f t="shared" si="7"/>
        <v>0</v>
      </c>
      <c r="I101" s="246">
        <f t="shared" si="8"/>
        <v>0</v>
      </c>
    </row>
    <row r="102" spans="1:9" hidden="1">
      <c r="A102" s="256" t="s">
        <v>301</v>
      </c>
      <c r="B102" s="339" t="s">
        <v>243</v>
      </c>
      <c r="C102" s="245">
        <f t="array" ref="C102">SUM(IF((Budget[Account Code]=B102)*(Budget[Ofc Code]=$G$4),(Budget[Amount])))</f>
        <v>0</v>
      </c>
      <c r="D102" s="245">
        <f t="array" ref="D102">SUM(IF((Budget[Account Code]=B102)*(Budget[Ofc Code]=$G$4)*(Budget[Date]&lt;=$D$7),(Budget[Amount])))</f>
        <v>0</v>
      </c>
      <c r="E102" s="245">
        <f t="array" ref="E102">((SUM(IF((CkDJ[Ofc Code]=(TRIM(G$4)))*(CkDJ[Account Code]=(TRIM($B102)))*(CkDJ[Date]&lt;=$E$7),CkDJ[Debit])))+(SUM(IF((CsDJ[Ofc Code]=(TRIM(G$4)))*(CsDJ[Account Code]=(TRIM($B102)))*(CsDJ[Date]&lt;=$E$7),CsDJ[Debit])))+(SUM(IF((CRDJ[Ofc Code]=(TRIM(G$4)))*(CRDJ[Account Code]=(TRIM($B102)))*(CRDJ[Date]&lt;=$E$7),CRDJ[Debit])))+(SUM(IF((GJ[Ofc Code]=(TRIM(G$4)))*(GJ[Account Code]=(TRIM($B102)))*(GJ[Date]&lt;=$E$7),GJ[Debit]))))-((SUM(IF((CkDJ[Ofc Code]=(TRIM(G$4)))*(CkDJ[Account Code]=(TRIM($B102)))*(CkDJ[Date]&lt;=$E$7),CkDJ[Credit])))+(SUM(IF((CsDJ[Ofc Code]=(TRIM(G$4)))*(CsDJ[Account Code]=(TRIM($B102)))*(CsDJ[Date]&lt;=$E$7),CsDJ[Credit])))+(SUM(IF((CRDJ[Ofc Code]=(TRIM(G$4)))*(CRDJ[Account Code]=(TRIM($B102)))*(CRDJ[Date]&lt;=$E$7),CRDJ[Credit])))+(SUM(IF((GJ[Ofc Code]=(TRIM(G$4)))*(GJ[Account Code]=(TRIM($B102)))*(GJ[Date]&lt;=$E$7),GJ[Credit]))))</f>
        <v>0</v>
      </c>
      <c r="F102" s="245">
        <f t="array" ref="F102">((SUM(IF((CkDJ[Date]=$A$3)*(CkDJ[Ofc Code]=(TRIM(G$4)))*(CkDJ[Account Code]=(TRIM($B102))),CkDJ[Debit])))+(SUM(IF((CsDJ[Date]=$A$3)*(CsDJ[Ofc Code]=(TRIM(G$4)))*(CsDJ[Account Code]=(TRIM($B102))),CsDJ[Debit])))+(SUM(IF((CRDJ[Date]=$A$3)*(CRDJ[Ofc Code]=(TRIM(G$4)))*(CRDJ[Account Code]=(TRIM($B102))),CRDJ[Debit])))+(SUM(IF((GJ[Date]=$A$3)*(GJ[Ofc Code]=(TRIM(G$4)))*(GJ[Account Code]=(TRIM($B102))),GJ[Debit]))))-((SUM(IF((CkDJ[Date]=$A$3)*(CkDJ[Ofc Code]=(TRIM(G$4)))*(CkDJ[Account Code]=(TRIM($B102))),CkDJ[Credit])))+(SUM(IF((CsDJ[Date]=$A$3)*(CsDJ[Ofc Code]=(TRIM(G$4)))*(CsDJ[Account Code]=(TRIM($B102))),CsDJ[Credit])))+(SUM(IF((CRDJ[Date]=$A$3)*(CRDJ[Ofc Code]=(TRIM(G$4)))*(CRDJ[Account Code]=(TRIM($B102))),CRDJ[Credit])))+(SUM(IF((GJ[Date]=$A$3)*(GJ[Ofc Code]=(TRIM(G$4)))*(GJ[Account Code]=(TRIM($B102))),GJ[Credit]))))</f>
        <v>0</v>
      </c>
      <c r="G102" s="343">
        <f t="shared" si="6"/>
        <v>0</v>
      </c>
      <c r="H102" s="246">
        <f t="shared" si="7"/>
        <v>0</v>
      </c>
      <c r="I102" s="246">
        <f t="shared" si="8"/>
        <v>0</v>
      </c>
    </row>
    <row r="103" spans="1:9" hidden="1">
      <c r="A103" s="256" t="s">
        <v>302</v>
      </c>
      <c r="B103" s="339" t="s">
        <v>244</v>
      </c>
      <c r="C103" s="245">
        <f t="array" ref="C103">SUM(IF((Budget[Account Code]=B103)*(Budget[Ofc Code]=$G$4),(Budget[Amount])))</f>
        <v>0</v>
      </c>
      <c r="D103" s="245">
        <f t="array" ref="D103">SUM(IF((Budget[Account Code]=B103)*(Budget[Ofc Code]=$G$4)*(Budget[Date]&lt;=$D$7),(Budget[Amount])))</f>
        <v>0</v>
      </c>
      <c r="E103" s="245">
        <f t="array" ref="E103">((SUM(IF((CkDJ[Ofc Code]=(TRIM(G$4)))*(CkDJ[Account Code]=(TRIM($B103)))*(CkDJ[Date]&lt;=$E$7),CkDJ[Debit])))+(SUM(IF((CsDJ[Ofc Code]=(TRIM(G$4)))*(CsDJ[Account Code]=(TRIM($B103)))*(CsDJ[Date]&lt;=$E$7),CsDJ[Debit])))+(SUM(IF((CRDJ[Ofc Code]=(TRIM(G$4)))*(CRDJ[Account Code]=(TRIM($B103)))*(CRDJ[Date]&lt;=$E$7),CRDJ[Debit])))+(SUM(IF((GJ[Ofc Code]=(TRIM(G$4)))*(GJ[Account Code]=(TRIM($B103)))*(GJ[Date]&lt;=$E$7),GJ[Debit]))))-((SUM(IF((CkDJ[Ofc Code]=(TRIM(G$4)))*(CkDJ[Account Code]=(TRIM($B103)))*(CkDJ[Date]&lt;=$E$7),CkDJ[Credit])))+(SUM(IF((CsDJ[Ofc Code]=(TRIM(G$4)))*(CsDJ[Account Code]=(TRIM($B103)))*(CsDJ[Date]&lt;=$E$7),CsDJ[Credit])))+(SUM(IF((CRDJ[Ofc Code]=(TRIM(G$4)))*(CRDJ[Account Code]=(TRIM($B103)))*(CRDJ[Date]&lt;=$E$7),CRDJ[Credit])))+(SUM(IF((GJ[Ofc Code]=(TRIM(G$4)))*(GJ[Account Code]=(TRIM($B103)))*(GJ[Date]&lt;=$E$7),GJ[Credit]))))</f>
        <v>0</v>
      </c>
      <c r="F103" s="245">
        <f t="array" ref="F103">((SUM(IF((CkDJ[Date]=$A$3)*(CkDJ[Ofc Code]=(TRIM(G$4)))*(CkDJ[Account Code]=(TRIM($B103))),CkDJ[Debit])))+(SUM(IF((CsDJ[Date]=$A$3)*(CsDJ[Ofc Code]=(TRIM(G$4)))*(CsDJ[Account Code]=(TRIM($B103))),CsDJ[Debit])))+(SUM(IF((CRDJ[Date]=$A$3)*(CRDJ[Ofc Code]=(TRIM(G$4)))*(CRDJ[Account Code]=(TRIM($B103))),CRDJ[Debit])))+(SUM(IF((GJ[Date]=$A$3)*(GJ[Ofc Code]=(TRIM(G$4)))*(GJ[Account Code]=(TRIM($B103))),GJ[Debit]))))-((SUM(IF((CkDJ[Date]=$A$3)*(CkDJ[Ofc Code]=(TRIM(G$4)))*(CkDJ[Account Code]=(TRIM($B103))),CkDJ[Credit])))+(SUM(IF((CsDJ[Date]=$A$3)*(CsDJ[Ofc Code]=(TRIM(G$4)))*(CsDJ[Account Code]=(TRIM($B103))),CsDJ[Credit])))+(SUM(IF((CRDJ[Date]=$A$3)*(CRDJ[Ofc Code]=(TRIM(G$4)))*(CRDJ[Account Code]=(TRIM($B103))),CRDJ[Credit])))+(SUM(IF((GJ[Date]=$A$3)*(GJ[Ofc Code]=(TRIM(G$4)))*(GJ[Account Code]=(TRIM($B103))),GJ[Credit]))))</f>
        <v>0</v>
      </c>
      <c r="G103" s="343">
        <f t="shared" si="6"/>
        <v>0</v>
      </c>
      <c r="H103" s="246">
        <f t="shared" si="7"/>
        <v>0</v>
      </c>
      <c r="I103" s="246">
        <f t="shared" si="8"/>
        <v>0</v>
      </c>
    </row>
    <row r="104" spans="1:9" hidden="1">
      <c r="A104" s="256" t="s">
        <v>347</v>
      </c>
      <c r="B104" s="339" t="s">
        <v>338</v>
      </c>
      <c r="C104" s="245">
        <f t="array" ref="C104">SUM(IF((Budget[Account Code]=B104)*(Budget[Ofc Code]=$G$4),(Budget[Amount])))</f>
        <v>0</v>
      </c>
      <c r="D104" s="245">
        <f t="array" ref="D104">SUM(IF((Budget[Account Code]=B104)*(Budget[Ofc Code]=$G$4)*(Budget[Date]&lt;=$D$7),(Budget[Amount])))</f>
        <v>0</v>
      </c>
      <c r="E104" s="245">
        <f t="array" ref="E104">((SUM(IF((CkDJ[Ofc Code]=(TRIM(G$4)))*(CkDJ[Account Code]=(TRIM($B104)))*(CkDJ[Date]&lt;=$E$7),CkDJ[Debit])))+(SUM(IF((CsDJ[Ofc Code]=(TRIM(G$4)))*(CsDJ[Account Code]=(TRIM($B104)))*(CsDJ[Date]&lt;=$E$7),CsDJ[Debit])))+(SUM(IF((CRDJ[Ofc Code]=(TRIM(G$4)))*(CRDJ[Account Code]=(TRIM($B104)))*(CRDJ[Date]&lt;=$E$7),CRDJ[Debit])))+(SUM(IF((GJ[Ofc Code]=(TRIM(G$4)))*(GJ[Account Code]=(TRIM($B104)))*(GJ[Date]&lt;=$E$7),GJ[Debit]))))-((SUM(IF((CkDJ[Ofc Code]=(TRIM(G$4)))*(CkDJ[Account Code]=(TRIM($B104)))*(CkDJ[Date]&lt;=$E$7),CkDJ[Credit])))+(SUM(IF((CsDJ[Ofc Code]=(TRIM(G$4)))*(CsDJ[Account Code]=(TRIM($B104)))*(CsDJ[Date]&lt;=$E$7),CsDJ[Credit])))+(SUM(IF((CRDJ[Ofc Code]=(TRIM(G$4)))*(CRDJ[Account Code]=(TRIM($B104)))*(CRDJ[Date]&lt;=$E$7),CRDJ[Credit])))+(SUM(IF((GJ[Ofc Code]=(TRIM(G$4)))*(GJ[Account Code]=(TRIM($B104)))*(GJ[Date]&lt;=$E$7),GJ[Credit]))))</f>
        <v>0</v>
      </c>
      <c r="F104" s="245">
        <f t="array" ref="F104">((SUM(IF((CkDJ[Date]=$A$3)*(CkDJ[Ofc Code]=(TRIM(G$4)))*(CkDJ[Account Code]=(TRIM($B104))),CkDJ[Debit])))+(SUM(IF((CsDJ[Date]=$A$3)*(CsDJ[Ofc Code]=(TRIM(G$4)))*(CsDJ[Account Code]=(TRIM($B104))),CsDJ[Debit])))+(SUM(IF((CRDJ[Date]=$A$3)*(CRDJ[Ofc Code]=(TRIM(G$4)))*(CRDJ[Account Code]=(TRIM($B104))),CRDJ[Debit])))+(SUM(IF((GJ[Date]=$A$3)*(GJ[Ofc Code]=(TRIM(G$4)))*(GJ[Account Code]=(TRIM($B104))),GJ[Debit]))))-((SUM(IF((CkDJ[Date]=$A$3)*(CkDJ[Ofc Code]=(TRIM(G$4)))*(CkDJ[Account Code]=(TRIM($B104))),CkDJ[Credit])))+(SUM(IF((CsDJ[Date]=$A$3)*(CsDJ[Ofc Code]=(TRIM(G$4)))*(CsDJ[Account Code]=(TRIM($B104))),CsDJ[Credit])))+(SUM(IF((CRDJ[Date]=$A$3)*(CRDJ[Ofc Code]=(TRIM(G$4)))*(CRDJ[Account Code]=(TRIM($B104))),CRDJ[Credit])))+(SUM(IF((GJ[Date]=$A$3)*(GJ[Ofc Code]=(TRIM(G$4)))*(GJ[Account Code]=(TRIM($B104))),GJ[Credit]))))</f>
        <v>0</v>
      </c>
      <c r="G104" s="343">
        <f t="shared" si="6"/>
        <v>0</v>
      </c>
      <c r="H104" s="246">
        <f t="shared" si="7"/>
        <v>0</v>
      </c>
      <c r="I104" s="246">
        <f t="shared" si="8"/>
        <v>0</v>
      </c>
    </row>
    <row r="105" spans="1:9" hidden="1">
      <c r="A105" s="256" t="s">
        <v>348</v>
      </c>
      <c r="B105" s="339" t="s">
        <v>339</v>
      </c>
      <c r="C105" s="245">
        <f t="array" ref="C105">SUM(IF((Budget[Account Code]=B105)*(Budget[Ofc Code]=$G$4),(Budget[Amount])))</f>
        <v>0</v>
      </c>
      <c r="D105" s="245">
        <f t="array" ref="D105">SUM(IF((Budget[Account Code]=B105)*(Budget[Ofc Code]=$G$4)*(Budget[Date]&lt;=$D$7),(Budget[Amount])))</f>
        <v>0</v>
      </c>
      <c r="E105" s="245">
        <f t="array" ref="E105">((SUM(IF((CkDJ[Ofc Code]=(TRIM(G$4)))*(CkDJ[Account Code]=(TRIM($B105)))*(CkDJ[Date]&lt;=$E$7),CkDJ[Debit])))+(SUM(IF((CsDJ[Ofc Code]=(TRIM(G$4)))*(CsDJ[Account Code]=(TRIM($B105)))*(CsDJ[Date]&lt;=$E$7),CsDJ[Debit])))+(SUM(IF((CRDJ[Ofc Code]=(TRIM(G$4)))*(CRDJ[Account Code]=(TRIM($B105)))*(CRDJ[Date]&lt;=$E$7),CRDJ[Debit])))+(SUM(IF((GJ[Ofc Code]=(TRIM(G$4)))*(GJ[Account Code]=(TRIM($B105)))*(GJ[Date]&lt;=$E$7),GJ[Debit]))))-((SUM(IF((CkDJ[Ofc Code]=(TRIM(G$4)))*(CkDJ[Account Code]=(TRIM($B105)))*(CkDJ[Date]&lt;=$E$7),CkDJ[Credit])))+(SUM(IF((CsDJ[Ofc Code]=(TRIM(G$4)))*(CsDJ[Account Code]=(TRIM($B105)))*(CsDJ[Date]&lt;=$E$7),CsDJ[Credit])))+(SUM(IF((CRDJ[Ofc Code]=(TRIM(G$4)))*(CRDJ[Account Code]=(TRIM($B105)))*(CRDJ[Date]&lt;=$E$7),CRDJ[Credit])))+(SUM(IF((GJ[Ofc Code]=(TRIM(G$4)))*(GJ[Account Code]=(TRIM($B105)))*(GJ[Date]&lt;=$E$7),GJ[Credit]))))</f>
        <v>0</v>
      </c>
      <c r="F105" s="245">
        <f t="array" ref="F105">((SUM(IF((CkDJ[Date]=$A$3)*(CkDJ[Ofc Code]=(TRIM(G$4)))*(CkDJ[Account Code]=(TRIM($B105))),CkDJ[Debit])))+(SUM(IF((CsDJ[Date]=$A$3)*(CsDJ[Ofc Code]=(TRIM(G$4)))*(CsDJ[Account Code]=(TRIM($B105))),CsDJ[Debit])))+(SUM(IF((CRDJ[Date]=$A$3)*(CRDJ[Ofc Code]=(TRIM(G$4)))*(CRDJ[Account Code]=(TRIM($B105))),CRDJ[Debit])))+(SUM(IF((GJ[Date]=$A$3)*(GJ[Ofc Code]=(TRIM(G$4)))*(GJ[Account Code]=(TRIM($B105))),GJ[Debit]))))-((SUM(IF((CkDJ[Date]=$A$3)*(CkDJ[Ofc Code]=(TRIM(G$4)))*(CkDJ[Account Code]=(TRIM($B105))),CkDJ[Credit])))+(SUM(IF((CsDJ[Date]=$A$3)*(CsDJ[Ofc Code]=(TRIM(G$4)))*(CsDJ[Account Code]=(TRIM($B105))),CsDJ[Credit])))+(SUM(IF((CRDJ[Date]=$A$3)*(CRDJ[Ofc Code]=(TRIM(G$4)))*(CRDJ[Account Code]=(TRIM($B105))),CRDJ[Credit])))+(SUM(IF((GJ[Date]=$A$3)*(GJ[Ofc Code]=(TRIM(G$4)))*(GJ[Account Code]=(TRIM($B105))),GJ[Credit]))))</f>
        <v>0</v>
      </c>
      <c r="G105" s="343">
        <f t="shared" si="6"/>
        <v>0</v>
      </c>
      <c r="H105" s="246">
        <f t="shared" si="7"/>
        <v>0</v>
      </c>
      <c r="I105" s="246">
        <f t="shared" si="8"/>
        <v>0</v>
      </c>
    </row>
    <row r="106" spans="1:9" hidden="1">
      <c r="A106" s="256" t="s">
        <v>1021</v>
      </c>
      <c r="B106" s="339" t="s">
        <v>245</v>
      </c>
      <c r="C106" s="245">
        <f t="array" ref="C106">SUM(IF((Budget[Account Code]=B106)*(Budget[Ofc Code]=$G$4),(Budget[Amount])))</f>
        <v>0</v>
      </c>
      <c r="D106" s="245">
        <f t="array" ref="D106">SUM(IF((Budget[Account Code]=B106)*(Budget[Ofc Code]=$G$4)*(Budget[Date]&lt;=$D$7),(Budget[Amount])))</f>
        <v>0</v>
      </c>
      <c r="E106" s="245">
        <f t="array" ref="E106">((SUM(IF((CkDJ[Ofc Code]=(TRIM(G$4)))*(CkDJ[Account Code]=(TRIM($B106)))*(CkDJ[Date]&lt;=$E$7),CkDJ[Debit])))+(SUM(IF((CsDJ[Ofc Code]=(TRIM(G$4)))*(CsDJ[Account Code]=(TRIM($B106)))*(CsDJ[Date]&lt;=$E$7),CsDJ[Debit])))+(SUM(IF((CRDJ[Ofc Code]=(TRIM(G$4)))*(CRDJ[Account Code]=(TRIM($B106)))*(CRDJ[Date]&lt;=$E$7),CRDJ[Debit])))+(SUM(IF((GJ[Ofc Code]=(TRIM(G$4)))*(GJ[Account Code]=(TRIM($B106)))*(GJ[Date]&lt;=$E$7),GJ[Debit]))))-((SUM(IF((CkDJ[Ofc Code]=(TRIM(G$4)))*(CkDJ[Account Code]=(TRIM($B106)))*(CkDJ[Date]&lt;=$E$7),CkDJ[Credit])))+(SUM(IF((CsDJ[Ofc Code]=(TRIM(G$4)))*(CsDJ[Account Code]=(TRIM($B106)))*(CsDJ[Date]&lt;=$E$7),CsDJ[Credit])))+(SUM(IF((CRDJ[Ofc Code]=(TRIM(G$4)))*(CRDJ[Account Code]=(TRIM($B106)))*(CRDJ[Date]&lt;=$E$7),CRDJ[Credit])))+(SUM(IF((GJ[Ofc Code]=(TRIM(G$4)))*(GJ[Account Code]=(TRIM($B106)))*(GJ[Date]&lt;=$E$7),GJ[Credit]))))</f>
        <v>0</v>
      </c>
      <c r="F106" s="245">
        <f t="array" ref="F106">((SUM(IF((CkDJ[Date]=$A$3)*(CkDJ[Ofc Code]=(TRIM(G$4)))*(CkDJ[Account Code]=(TRIM($B106))),CkDJ[Debit])))+(SUM(IF((CsDJ[Date]=$A$3)*(CsDJ[Ofc Code]=(TRIM(G$4)))*(CsDJ[Account Code]=(TRIM($B106))),CsDJ[Debit])))+(SUM(IF((CRDJ[Date]=$A$3)*(CRDJ[Ofc Code]=(TRIM(G$4)))*(CRDJ[Account Code]=(TRIM($B106))),CRDJ[Debit])))+(SUM(IF((GJ[Date]=$A$3)*(GJ[Ofc Code]=(TRIM(G$4)))*(GJ[Account Code]=(TRIM($B106))),GJ[Debit]))))-((SUM(IF((CkDJ[Date]=$A$3)*(CkDJ[Ofc Code]=(TRIM(G$4)))*(CkDJ[Account Code]=(TRIM($B106))),CkDJ[Credit])))+(SUM(IF((CsDJ[Date]=$A$3)*(CsDJ[Ofc Code]=(TRIM(G$4)))*(CsDJ[Account Code]=(TRIM($B106))),CsDJ[Credit])))+(SUM(IF((CRDJ[Date]=$A$3)*(CRDJ[Ofc Code]=(TRIM(G$4)))*(CRDJ[Account Code]=(TRIM($B106))),CRDJ[Credit])))+(SUM(IF((GJ[Date]=$A$3)*(GJ[Ofc Code]=(TRIM(G$4)))*(GJ[Account Code]=(TRIM($B106))),GJ[Credit]))))</f>
        <v>0</v>
      </c>
      <c r="G106" s="343">
        <f t="shared" si="6"/>
        <v>0</v>
      </c>
      <c r="H106" s="246">
        <f t="shared" si="7"/>
        <v>0</v>
      </c>
      <c r="I106" s="246">
        <f t="shared" si="8"/>
        <v>0</v>
      </c>
    </row>
    <row r="107" spans="1:9" hidden="1">
      <c r="A107" s="256" t="s">
        <v>1022</v>
      </c>
      <c r="B107" s="339" t="s">
        <v>246</v>
      </c>
      <c r="C107" s="245">
        <f t="array" ref="C107">SUM(IF((Budget[Account Code]=B107)*(Budget[Ofc Code]=$G$4),(Budget[Amount])))</f>
        <v>0</v>
      </c>
      <c r="D107" s="245">
        <f t="array" ref="D107">SUM(IF((Budget[Account Code]=B107)*(Budget[Ofc Code]=$G$4)*(Budget[Date]&lt;=$D$7),(Budget[Amount])))</f>
        <v>0</v>
      </c>
      <c r="E107" s="245">
        <f t="array" ref="E107">((SUM(IF((CkDJ[Ofc Code]=(TRIM(G$4)))*(CkDJ[Account Code]=(TRIM($B107)))*(CkDJ[Date]&lt;=$E$7),CkDJ[Debit])))+(SUM(IF((CsDJ[Ofc Code]=(TRIM(G$4)))*(CsDJ[Account Code]=(TRIM($B107)))*(CsDJ[Date]&lt;=$E$7),CsDJ[Debit])))+(SUM(IF((CRDJ[Ofc Code]=(TRIM(G$4)))*(CRDJ[Account Code]=(TRIM($B107)))*(CRDJ[Date]&lt;=$E$7),CRDJ[Debit])))+(SUM(IF((GJ[Ofc Code]=(TRIM(G$4)))*(GJ[Account Code]=(TRIM($B107)))*(GJ[Date]&lt;=$E$7),GJ[Debit]))))-((SUM(IF((CkDJ[Ofc Code]=(TRIM(G$4)))*(CkDJ[Account Code]=(TRIM($B107)))*(CkDJ[Date]&lt;=$E$7),CkDJ[Credit])))+(SUM(IF((CsDJ[Ofc Code]=(TRIM(G$4)))*(CsDJ[Account Code]=(TRIM($B107)))*(CsDJ[Date]&lt;=$E$7),CsDJ[Credit])))+(SUM(IF((CRDJ[Ofc Code]=(TRIM(G$4)))*(CRDJ[Account Code]=(TRIM($B107)))*(CRDJ[Date]&lt;=$E$7),CRDJ[Credit])))+(SUM(IF((GJ[Ofc Code]=(TRIM(G$4)))*(GJ[Account Code]=(TRIM($B107)))*(GJ[Date]&lt;=$E$7),GJ[Credit]))))</f>
        <v>0</v>
      </c>
      <c r="F107" s="245">
        <f t="array" ref="F107">((SUM(IF((CkDJ[Date]=$A$3)*(CkDJ[Ofc Code]=(TRIM(G$4)))*(CkDJ[Account Code]=(TRIM($B107))),CkDJ[Debit])))+(SUM(IF((CsDJ[Date]=$A$3)*(CsDJ[Ofc Code]=(TRIM(G$4)))*(CsDJ[Account Code]=(TRIM($B107))),CsDJ[Debit])))+(SUM(IF((CRDJ[Date]=$A$3)*(CRDJ[Ofc Code]=(TRIM(G$4)))*(CRDJ[Account Code]=(TRIM($B107))),CRDJ[Debit])))+(SUM(IF((GJ[Date]=$A$3)*(GJ[Ofc Code]=(TRIM(G$4)))*(GJ[Account Code]=(TRIM($B107))),GJ[Debit]))))-((SUM(IF((CkDJ[Date]=$A$3)*(CkDJ[Ofc Code]=(TRIM(G$4)))*(CkDJ[Account Code]=(TRIM($B107))),CkDJ[Credit])))+(SUM(IF((CsDJ[Date]=$A$3)*(CsDJ[Ofc Code]=(TRIM(G$4)))*(CsDJ[Account Code]=(TRIM($B107))),CsDJ[Credit])))+(SUM(IF((CRDJ[Date]=$A$3)*(CRDJ[Ofc Code]=(TRIM(G$4)))*(CRDJ[Account Code]=(TRIM($B107))),CRDJ[Credit])))+(SUM(IF((GJ[Date]=$A$3)*(GJ[Ofc Code]=(TRIM(G$4)))*(GJ[Account Code]=(TRIM($B107))),GJ[Credit]))))</f>
        <v>0</v>
      </c>
      <c r="G107" s="343">
        <f t="shared" si="6"/>
        <v>0</v>
      </c>
      <c r="H107" s="246">
        <f t="shared" si="7"/>
        <v>0</v>
      </c>
      <c r="I107" s="246">
        <f t="shared" si="8"/>
        <v>0</v>
      </c>
    </row>
    <row r="108" spans="1:9" hidden="1">
      <c r="A108" s="256" t="s">
        <v>1023</v>
      </c>
      <c r="B108" s="339" t="s">
        <v>247</v>
      </c>
      <c r="C108" s="245">
        <f t="array" ref="C108">SUM(IF((Budget[Account Code]=B108)*(Budget[Ofc Code]=$G$4),(Budget[Amount])))</f>
        <v>0</v>
      </c>
      <c r="D108" s="245">
        <f t="array" ref="D108">SUM(IF((Budget[Account Code]=B108)*(Budget[Ofc Code]=$G$4)*(Budget[Date]&lt;=$D$7),(Budget[Amount])))</f>
        <v>0</v>
      </c>
      <c r="E108" s="245">
        <f t="array" ref="E108">((SUM(IF((CkDJ[Ofc Code]=(TRIM(G$4)))*(CkDJ[Account Code]=(TRIM($B108)))*(CkDJ[Date]&lt;=$E$7),CkDJ[Debit])))+(SUM(IF((CsDJ[Ofc Code]=(TRIM(G$4)))*(CsDJ[Account Code]=(TRIM($B108)))*(CsDJ[Date]&lt;=$E$7),CsDJ[Debit])))+(SUM(IF((CRDJ[Ofc Code]=(TRIM(G$4)))*(CRDJ[Account Code]=(TRIM($B108)))*(CRDJ[Date]&lt;=$E$7),CRDJ[Debit])))+(SUM(IF((GJ[Ofc Code]=(TRIM(G$4)))*(GJ[Account Code]=(TRIM($B108)))*(GJ[Date]&lt;=$E$7),GJ[Debit]))))-((SUM(IF((CkDJ[Ofc Code]=(TRIM(G$4)))*(CkDJ[Account Code]=(TRIM($B108)))*(CkDJ[Date]&lt;=$E$7),CkDJ[Credit])))+(SUM(IF((CsDJ[Ofc Code]=(TRIM(G$4)))*(CsDJ[Account Code]=(TRIM($B108)))*(CsDJ[Date]&lt;=$E$7),CsDJ[Credit])))+(SUM(IF((CRDJ[Ofc Code]=(TRIM(G$4)))*(CRDJ[Account Code]=(TRIM($B108)))*(CRDJ[Date]&lt;=$E$7),CRDJ[Credit])))+(SUM(IF((GJ[Ofc Code]=(TRIM(G$4)))*(GJ[Account Code]=(TRIM($B108)))*(GJ[Date]&lt;=$E$7),GJ[Credit]))))</f>
        <v>0</v>
      </c>
      <c r="F108" s="245">
        <f t="array" ref="F108">((SUM(IF((CkDJ[Date]=$A$3)*(CkDJ[Ofc Code]=(TRIM(G$4)))*(CkDJ[Account Code]=(TRIM($B108))),CkDJ[Debit])))+(SUM(IF((CsDJ[Date]=$A$3)*(CsDJ[Ofc Code]=(TRIM(G$4)))*(CsDJ[Account Code]=(TRIM($B108))),CsDJ[Debit])))+(SUM(IF((CRDJ[Date]=$A$3)*(CRDJ[Ofc Code]=(TRIM(G$4)))*(CRDJ[Account Code]=(TRIM($B108))),CRDJ[Debit])))+(SUM(IF((GJ[Date]=$A$3)*(GJ[Ofc Code]=(TRIM(G$4)))*(GJ[Account Code]=(TRIM($B108))),GJ[Debit]))))-((SUM(IF((CkDJ[Date]=$A$3)*(CkDJ[Ofc Code]=(TRIM(G$4)))*(CkDJ[Account Code]=(TRIM($B108))),CkDJ[Credit])))+(SUM(IF((CsDJ[Date]=$A$3)*(CsDJ[Ofc Code]=(TRIM(G$4)))*(CsDJ[Account Code]=(TRIM($B108))),CsDJ[Credit])))+(SUM(IF((CRDJ[Date]=$A$3)*(CRDJ[Ofc Code]=(TRIM(G$4)))*(CRDJ[Account Code]=(TRIM($B108))),CRDJ[Credit])))+(SUM(IF((GJ[Date]=$A$3)*(GJ[Ofc Code]=(TRIM(G$4)))*(GJ[Account Code]=(TRIM($B108))),GJ[Credit]))))</f>
        <v>0</v>
      </c>
      <c r="G108" s="343">
        <f t="shared" si="6"/>
        <v>0</v>
      </c>
      <c r="H108" s="246">
        <f t="shared" si="7"/>
        <v>0</v>
      </c>
      <c r="I108" s="246">
        <f t="shared" si="8"/>
        <v>0</v>
      </c>
    </row>
    <row r="109" spans="1:9" hidden="1">
      <c r="A109" s="256" t="s">
        <v>1024</v>
      </c>
      <c r="B109" s="339" t="s">
        <v>248</v>
      </c>
      <c r="C109" s="245">
        <f t="array" ref="C109">SUM(IF((Budget[Account Code]=B109)*(Budget[Ofc Code]=$G$4),(Budget[Amount])))</f>
        <v>0</v>
      </c>
      <c r="D109" s="245">
        <f t="array" ref="D109">SUM(IF((Budget[Account Code]=B109)*(Budget[Ofc Code]=$G$4)*(Budget[Date]&lt;=$D$7),(Budget[Amount])))</f>
        <v>0</v>
      </c>
      <c r="E109" s="245">
        <f t="array" ref="E109">((SUM(IF((CkDJ[Ofc Code]=(TRIM(G$4)))*(CkDJ[Account Code]=(TRIM($B109)))*(CkDJ[Date]&lt;=$E$7),CkDJ[Debit])))+(SUM(IF((CsDJ[Ofc Code]=(TRIM(G$4)))*(CsDJ[Account Code]=(TRIM($B109)))*(CsDJ[Date]&lt;=$E$7),CsDJ[Debit])))+(SUM(IF((CRDJ[Ofc Code]=(TRIM(G$4)))*(CRDJ[Account Code]=(TRIM($B109)))*(CRDJ[Date]&lt;=$E$7),CRDJ[Debit])))+(SUM(IF((GJ[Ofc Code]=(TRIM(G$4)))*(GJ[Account Code]=(TRIM($B109)))*(GJ[Date]&lt;=$E$7),GJ[Debit]))))-((SUM(IF((CkDJ[Ofc Code]=(TRIM(G$4)))*(CkDJ[Account Code]=(TRIM($B109)))*(CkDJ[Date]&lt;=$E$7),CkDJ[Credit])))+(SUM(IF((CsDJ[Ofc Code]=(TRIM(G$4)))*(CsDJ[Account Code]=(TRIM($B109)))*(CsDJ[Date]&lt;=$E$7),CsDJ[Credit])))+(SUM(IF((CRDJ[Ofc Code]=(TRIM(G$4)))*(CRDJ[Account Code]=(TRIM($B109)))*(CRDJ[Date]&lt;=$E$7),CRDJ[Credit])))+(SUM(IF((GJ[Ofc Code]=(TRIM(G$4)))*(GJ[Account Code]=(TRIM($B109)))*(GJ[Date]&lt;=$E$7),GJ[Credit]))))</f>
        <v>0</v>
      </c>
      <c r="F109" s="245">
        <f t="array" ref="F109">((SUM(IF((CkDJ[Date]=$A$3)*(CkDJ[Ofc Code]=(TRIM(G$4)))*(CkDJ[Account Code]=(TRIM($B109))),CkDJ[Debit])))+(SUM(IF((CsDJ[Date]=$A$3)*(CsDJ[Ofc Code]=(TRIM(G$4)))*(CsDJ[Account Code]=(TRIM($B109))),CsDJ[Debit])))+(SUM(IF((CRDJ[Date]=$A$3)*(CRDJ[Ofc Code]=(TRIM(G$4)))*(CRDJ[Account Code]=(TRIM($B109))),CRDJ[Debit])))+(SUM(IF((GJ[Date]=$A$3)*(GJ[Ofc Code]=(TRIM(G$4)))*(GJ[Account Code]=(TRIM($B109))),GJ[Debit]))))-((SUM(IF((CkDJ[Date]=$A$3)*(CkDJ[Ofc Code]=(TRIM(G$4)))*(CkDJ[Account Code]=(TRIM($B109))),CkDJ[Credit])))+(SUM(IF((CsDJ[Date]=$A$3)*(CsDJ[Ofc Code]=(TRIM(G$4)))*(CsDJ[Account Code]=(TRIM($B109))),CsDJ[Credit])))+(SUM(IF((CRDJ[Date]=$A$3)*(CRDJ[Ofc Code]=(TRIM(G$4)))*(CRDJ[Account Code]=(TRIM($B109))),CRDJ[Credit])))+(SUM(IF((GJ[Date]=$A$3)*(GJ[Ofc Code]=(TRIM(G$4)))*(GJ[Account Code]=(TRIM($B109))),GJ[Credit]))))</f>
        <v>0</v>
      </c>
      <c r="G109" s="343">
        <f t="shared" si="6"/>
        <v>0</v>
      </c>
      <c r="H109" s="246">
        <f t="shared" si="7"/>
        <v>0</v>
      </c>
      <c r="I109" s="246">
        <f t="shared" si="8"/>
        <v>0</v>
      </c>
    </row>
    <row r="110" spans="1:9" hidden="1">
      <c r="A110" s="256" t="s">
        <v>1025</v>
      </c>
      <c r="B110" s="339" t="s">
        <v>249</v>
      </c>
      <c r="C110" s="245">
        <f t="array" ref="C110">SUM(IF((Budget[Account Code]=B110)*(Budget[Ofc Code]=$G$4),(Budget[Amount])))</f>
        <v>0</v>
      </c>
      <c r="D110" s="245">
        <f t="array" ref="D110">SUM(IF((Budget[Account Code]=B110)*(Budget[Ofc Code]=$G$4)*(Budget[Date]&lt;=$D$7),(Budget[Amount])))</f>
        <v>0</v>
      </c>
      <c r="E110" s="245">
        <f t="array" ref="E110">((SUM(IF((CkDJ[Ofc Code]=(TRIM(G$4)))*(CkDJ[Account Code]=(TRIM($B110)))*(CkDJ[Date]&lt;=$E$7),CkDJ[Debit])))+(SUM(IF((CsDJ[Ofc Code]=(TRIM(G$4)))*(CsDJ[Account Code]=(TRIM($B110)))*(CsDJ[Date]&lt;=$E$7),CsDJ[Debit])))+(SUM(IF((CRDJ[Ofc Code]=(TRIM(G$4)))*(CRDJ[Account Code]=(TRIM($B110)))*(CRDJ[Date]&lt;=$E$7),CRDJ[Debit])))+(SUM(IF((GJ[Ofc Code]=(TRIM(G$4)))*(GJ[Account Code]=(TRIM($B110)))*(GJ[Date]&lt;=$E$7),GJ[Debit]))))-((SUM(IF((CkDJ[Ofc Code]=(TRIM(G$4)))*(CkDJ[Account Code]=(TRIM($B110)))*(CkDJ[Date]&lt;=$E$7),CkDJ[Credit])))+(SUM(IF((CsDJ[Ofc Code]=(TRIM(G$4)))*(CsDJ[Account Code]=(TRIM($B110)))*(CsDJ[Date]&lt;=$E$7),CsDJ[Credit])))+(SUM(IF((CRDJ[Ofc Code]=(TRIM(G$4)))*(CRDJ[Account Code]=(TRIM($B110)))*(CRDJ[Date]&lt;=$E$7),CRDJ[Credit])))+(SUM(IF((GJ[Ofc Code]=(TRIM(G$4)))*(GJ[Account Code]=(TRIM($B110)))*(GJ[Date]&lt;=$E$7),GJ[Credit]))))</f>
        <v>0</v>
      </c>
      <c r="F110" s="245">
        <f t="array" ref="F110">((SUM(IF((CkDJ[Date]=$A$3)*(CkDJ[Ofc Code]=(TRIM(G$4)))*(CkDJ[Account Code]=(TRIM($B110))),CkDJ[Debit])))+(SUM(IF((CsDJ[Date]=$A$3)*(CsDJ[Ofc Code]=(TRIM(G$4)))*(CsDJ[Account Code]=(TRIM($B110))),CsDJ[Debit])))+(SUM(IF((CRDJ[Date]=$A$3)*(CRDJ[Ofc Code]=(TRIM(G$4)))*(CRDJ[Account Code]=(TRIM($B110))),CRDJ[Debit])))+(SUM(IF((GJ[Date]=$A$3)*(GJ[Ofc Code]=(TRIM(G$4)))*(GJ[Account Code]=(TRIM($B110))),GJ[Debit]))))-((SUM(IF((CkDJ[Date]=$A$3)*(CkDJ[Ofc Code]=(TRIM(G$4)))*(CkDJ[Account Code]=(TRIM($B110))),CkDJ[Credit])))+(SUM(IF((CsDJ[Date]=$A$3)*(CsDJ[Ofc Code]=(TRIM(G$4)))*(CsDJ[Account Code]=(TRIM($B110))),CsDJ[Credit])))+(SUM(IF((CRDJ[Date]=$A$3)*(CRDJ[Ofc Code]=(TRIM(G$4)))*(CRDJ[Account Code]=(TRIM($B110))),CRDJ[Credit])))+(SUM(IF((GJ[Date]=$A$3)*(GJ[Ofc Code]=(TRIM(G$4)))*(GJ[Account Code]=(TRIM($B110))),GJ[Credit]))))</f>
        <v>0</v>
      </c>
      <c r="G110" s="343">
        <f t="shared" si="6"/>
        <v>0</v>
      </c>
      <c r="H110" s="246">
        <f t="shared" si="7"/>
        <v>0</v>
      </c>
      <c r="I110" s="246">
        <f t="shared" si="8"/>
        <v>0</v>
      </c>
    </row>
    <row r="111" spans="1:9" hidden="1">
      <c r="A111" s="256" t="s">
        <v>302</v>
      </c>
      <c r="B111" s="339" t="s">
        <v>250</v>
      </c>
      <c r="C111" s="245">
        <f t="array" ref="C111">SUM(IF((Budget[Account Code]=B111)*(Budget[Ofc Code]=$G$4),(Budget[Amount])))</f>
        <v>0</v>
      </c>
      <c r="D111" s="245">
        <f t="array" ref="D111">SUM(IF((Budget[Account Code]=B111)*(Budget[Ofc Code]=$G$4)*(Budget[Date]&lt;=$D$7),(Budget[Amount])))</f>
        <v>0</v>
      </c>
      <c r="E111" s="245">
        <f t="array" ref="E111">((SUM(IF((CkDJ[Ofc Code]=(TRIM(G$4)))*(CkDJ[Account Code]=(TRIM($B111)))*(CkDJ[Date]&lt;=$E$7),CkDJ[Debit])))+(SUM(IF((CsDJ[Ofc Code]=(TRIM(G$4)))*(CsDJ[Account Code]=(TRIM($B111)))*(CsDJ[Date]&lt;=$E$7),CsDJ[Debit])))+(SUM(IF((CRDJ[Ofc Code]=(TRIM(G$4)))*(CRDJ[Account Code]=(TRIM($B111)))*(CRDJ[Date]&lt;=$E$7),CRDJ[Debit])))+(SUM(IF((GJ[Ofc Code]=(TRIM(G$4)))*(GJ[Account Code]=(TRIM($B111)))*(GJ[Date]&lt;=$E$7),GJ[Debit]))))-((SUM(IF((CkDJ[Ofc Code]=(TRIM(G$4)))*(CkDJ[Account Code]=(TRIM($B111)))*(CkDJ[Date]&lt;=$E$7),CkDJ[Credit])))+(SUM(IF((CsDJ[Ofc Code]=(TRIM(G$4)))*(CsDJ[Account Code]=(TRIM($B111)))*(CsDJ[Date]&lt;=$E$7),CsDJ[Credit])))+(SUM(IF((CRDJ[Ofc Code]=(TRIM(G$4)))*(CRDJ[Account Code]=(TRIM($B111)))*(CRDJ[Date]&lt;=$E$7),CRDJ[Credit])))+(SUM(IF((GJ[Ofc Code]=(TRIM(G$4)))*(GJ[Account Code]=(TRIM($B111)))*(GJ[Date]&lt;=$E$7),GJ[Credit]))))</f>
        <v>0</v>
      </c>
      <c r="F111" s="245">
        <f t="array" ref="F111">((SUM(IF((CkDJ[Date]=$A$3)*(CkDJ[Ofc Code]=(TRIM(G$4)))*(CkDJ[Account Code]=(TRIM($B111))),CkDJ[Debit])))+(SUM(IF((CsDJ[Date]=$A$3)*(CsDJ[Ofc Code]=(TRIM(G$4)))*(CsDJ[Account Code]=(TRIM($B111))),CsDJ[Debit])))+(SUM(IF((CRDJ[Date]=$A$3)*(CRDJ[Ofc Code]=(TRIM(G$4)))*(CRDJ[Account Code]=(TRIM($B111))),CRDJ[Debit])))+(SUM(IF((GJ[Date]=$A$3)*(GJ[Ofc Code]=(TRIM(G$4)))*(GJ[Account Code]=(TRIM($B111))),GJ[Debit]))))-((SUM(IF((CkDJ[Date]=$A$3)*(CkDJ[Ofc Code]=(TRIM(G$4)))*(CkDJ[Account Code]=(TRIM($B111))),CkDJ[Credit])))+(SUM(IF((CsDJ[Date]=$A$3)*(CsDJ[Ofc Code]=(TRIM(G$4)))*(CsDJ[Account Code]=(TRIM($B111))),CsDJ[Credit])))+(SUM(IF((CRDJ[Date]=$A$3)*(CRDJ[Ofc Code]=(TRIM(G$4)))*(CRDJ[Account Code]=(TRIM($B111))),CRDJ[Credit])))+(SUM(IF((GJ[Date]=$A$3)*(GJ[Ofc Code]=(TRIM(G$4)))*(GJ[Account Code]=(TRIM($B111))),GJ[Credit]))))</f>
        <v>0</v>
      </c>
      <c r="G111" s="343">
        <f t="shared" si="6"/>
        <v>0</v>
      </c>
      <c r="H111" s="246">
        <f t="shared" si="7"/>
        <v>0</v>
      </c>
      <c r="I111" s="246">
        <f t="shared" si="8"/>
        <v>0</v>
      </c>
    </row>
    <row r="112" spans="1:9" hidden="1">
      <c r="A112" s="256" t="s">
        <v>841</v>
      </c>
      <c r="B112" s="339" t="s">
        <v>251</v>
      </c>
      <c r="C112" s="245">
        <f t="array" ref="C112">SUM(IF((Budget[Account Code]=B112)*(Budget[Ofc Code]=$G$4),(Budget[Amount])))</f>
        <v>0</v>
      </c>
      <c r="D112" s="245">
        <f t="array" ref="D112">SUM(IF((Budget[Account Code]=B112)*(Budget[Ofc Code]=$G$4)*(Budget[Date]&lt;=$D$7),(Budget[Amount])))</f>
        <v>0</v>
      </c>
      <c r="E112" s="245">
        <f t="array" ref="E112">((SUM(IF((CkDJ[Ofc Code]=(TRIM(G$4)))*(CkDJ[Account Code]=(TRIM($B112)))*(CkDJ[Date]&lt;=$E$7),CkDJ[Debit])))+(SUM(IF((CsDJ[Ofc Code]=(TRIM(G$4)))*(CsDJ[Account Code]=(TRIM($B112)))*(CsDJ[Date]&lt;=$E$7),CsDJ[Debit])))+(SUM(IF((CRDJ[Ofc Code]=(TRIM(G$4)))*(CRDJ[Account Code]=(TRIM($B112)))*(CRDJ[Date]&lt;=$E$7),CRDJ[Debit])))+(SUM(IF((GJ[Ofc Code]=(TRIM(G$4)))*(GJ[Account Code]=(TRIM($B112)))*(GJ[Date]&lt;=$E$7),GJ[Debit]))))-((SUM(IF((CkDJ[Ofc Code]=(TRIM(G$4)))*(CkDJ[Account Code]=(TRIM($B112)))*(CkDJ[Date]&lt;=$E$7),CkDJ[Credit])))+(SUM(IF((CsDJ[Ofc Code]=(TRIM(G$4)))*(CsDJ[Account Code]=(TRIM($B112)))*(CsDJ[Date]&lt;=$E$7),CsDJ[Credit])))+(SUM(IF((CRDJ[Ofc Code]=(TRIM(G$4)))*(CRDJ[Account Code]=(TRIM($B112)))*(CRDJ[Date]&lt;=$E$7),CRDJ[Credit])))+(SUM(IF((GJ[Ofc Code]=(TRIM(G$4)))*(GJ[Account Code]=(TRIM($B112)))*(GJ[Date]&lt;=$E$7),GJ[Credit]))))</f>
        <v>0</v>
      </c>
      <c r="F112" s="245">
        <f t="array" ref="F112">((SUM(IF((CkDJ[Date]=$A$3)*(CkDJ[Ofc Code]=(TRIM(G$4)))*(CkDJ[Account Code]=(TRIM($B112))),CkDJ[Debit])))+(SUM(IF((CsDJ[Date]=$A$3)*(CsDJ[Ofc Code]=(TRIM(G$4)))*(CsDJ[Account Code]=(TRIM($B112))),CsDJ[Debit])))+(SUM(IF((CRDJ[Date]=$A$3)*(CRDJ[Ofc Code]=(TRIM(G$4)))*(CRDJ[Account Code]=(TRIM($B112))),CRDJ[Debit])))+(SUM(IF((GJ[Date]=$A$3)*(GJ[Ofc Code]=(TRIM(G$4)))*(GJ[Account Code]=(TRIM($B112))),GJ[Debit]))))-((SUM(IF((CkDJ[Date]=$A$3)*(CkDJ[Ofc Code]=(TRIM(G$4)))*(CkDJ[Account Code]=(TRIM($B112))),CkDJ[Credit])))+(SUM(IF((CsDJ[Date]=$A$3)*(CsDJ[Ofc Code]=(TRIM(G$4)))*(CsDJ[Account Code]=(TRIM($B112))),CsDJ[Credit])))+(SUM(IF((CRDJ[Date]=$A$3)*(CRDJ[Ofc Code]=(TRIM(G$4)))*(CRDJ[Account Code]=(TRIM($B112))),CRDJ[Credit])))+(SUM(IF((GJ[Date]=$A$3)*(GJ[Ofc Code]=(TRIM(G$4)))*(GJ[Account Code]=(TRIM($B112))),GJ[Credit]))))</f>
        <v>0</v>
      </c>
      <c r="G112" s="343">
        <f t="shared" si="6"/>
        <v>0</v>
      </c>
      <c r="H112" s="246">
        <f t="shared" si="7"/>
        <v>0</v>
      </c>
      <c r="I112" s="246">
        <f t="shared" si="8"/>
        <v>0</v>
      </c>
    </row>
    <row r="113" spans="1:9" hidden="1">
      <c r="A113" s="256" t="s">
        <v>1026</v>
      </c>
      <c r="B113" s="339" t="s">
        <v>252</v>
      </c>
      <c r="C113" s="245">
        <f t="array" ref="C113">SUM(IF((Budget[Account Code]=B113)*(Budget[Ofc Code]=$G$4),(Budget[Amount])))</f>
        <v>0</v>
      </c>
      <c r="D113" s="245">
        <f t="array" ref="D113">SUM(IF((Budget[Account Code]=B113)*(Budget[Ofc Code]=$G$4)*(Budget[Date]&lt;=$D$7),(Budget[Amount])))</f>
        <v>0</v>
      </c>
      <c r="E113" s="245">
        <f t="array" ref="E113">((SUM(IF((CkDJ[Ofc Code]=(TRIM(G$4)))*(CkDJ[Account Code]=(TRIM($B113)))*(CkDJ[Date]&lt;=$E$7),CkDJ[Debit])))+(SUM(IF((CsDJ[Ofc Code]=(TRIM(G$4)))*(CsDJ[Account Code]=(TRIM($B113)))*(CsDJ[Date]&lt;=$E$7),CsDJ[Debit])))+(SUM(IF((CRDJ[Ofc Code]=(TRIM(G$4)))*(CRDJ[Account Code]=(TRIM($B113)))*(CRDJ[Date]&lt;=$E$7),CRDJ[Debit])))+(SUM(IF((GJ[Ofc Code]=(TRIM(G$4)))*(GJ[Account Code]=(TRIM($B113)))*(GJ[Date]&lt;=$E$7),GJ[Debit]))))-((SUM(IF((CkDJ[Ofc Code]=(TRIM(G$4)))*(CkDJ[Account Code]=(TRIM($B113)))*(CkDJ[Date]&lt;=$E$7),CkDJ[Credit])))+(SUM(IF((CsDJ[Ofc Code]=(TRIM(G$4)))*(CsDJ[Account Code]=(TRIM($B113)))*(CsDJ[Date]&lt;=$E$7),CsDJ[Credit])))+(SUM(IF((CRDJ[Ofc Code]=(TRIM(G$4)))*(CRDJ[Account Code]=(TRIM($B113)))*(CRDJ[Date]&lt;=$E$7),CRDJ[Credit])))+(SUM(IF((GJ[Ofc Code]=(TRIM(G$4)))*(GJ[Account Code]=(TRIM($B113)))*(GJ[Date]&lt;=$E$7),GJ[Credit]))))</f>
        <v>0</v>
      </c>
      <c r="F113" s="245">
        <f t="array" ref="F113">((SUM(IF((CkDJ[Date]=$A$3)*(CkDJ[Ofc Code]=(TRIM(G$4)))*(CkDJ[Account Code]=(TRIM($B113))),CkDJ[Debit])))+(SUM(IF((CsDJ[Date]=$A$3)*(CsDJ[Ofc Code]=(TRIM(G$4)))*(CsDJ[Account Code]=(TRIM($B113))),CsDJ[Debit])))+(SUM(IF((CRDJ[Date]=$A$3)*(CRDJ[Ofc Code]=(TRIM(G$4)))*(CRDJ[Account Code]=(TRIM($B113))),CRDJ[Debit])))+(SUM(IF((GJ[Date]=$A$3)*(GJ[Ofc Code]=(TRIM(G$4)))*(GJ[Account Code]=(TRIM($B113))),GJ[Debit]))))-((SUM(IF((CkDJ[Date]=$A$3)*(CkDJ[Ofc Code]=(TRIM(G$4)))*(CkDJ[Account Code]=(TRIM($B113))),CkDJ[Credit])))+(SUM(IF((CsDJ[Date]=$A$3)*(CsDJ[Ofc Code]=(TRIM(G$4)))*(CsDJ[Account Code]=(TRIM($B113))),CsDJ[Credit])))+(SUM(IF((CRDJ[Date]=$A$3)*(CRDJ[Ofc Code]=(TRIM(G$4)))*(CRDJ[Account Code]=(TRIM($B113))),CRDJ[Credit])))+(SUM(IF((GJ[Date]=$A$3)*(GJ[Ofc Code]=(TRIM(G$4)))*(GJ[Account Code]=(TRIM($B113))),GJ[Credit]))))</f>
        <v>0</v>
      </c>
      <c r="G113" s="343">
        <f t="shared" si="6"/>
        <v>0</v>
      </c>
      <c r="H113" s="246">
        <f t="shared" si="7"/>
        <v>0</v>
      </c>
      <c r="I113" s="246">
        <f t="shared" si="8"/>
        <v>0</v>
      </c>
    </row>
    <row r="114" spans="1:9" hidden="1">
      <c r="A114" s="256" t="s">
        <v>307</v>
      </c>
      <c r="B114" s="339" t="s">
        <v>253</v>
      </c>
      <c r="C114" s="245">
        <f t="array" ref="C114">SUM(IF((Budget[Account Code]=B114)*(Budget[Ofc Code]=$G$4),(Budget[Amount])))</f>
        <v>0</v>
      </c>
      <c r="D114" s="245">
        <f t="array" ref="D114">SUM(IF((Budget[Account Code]=B114)*(Budget[Ofc Code]=$G$4)*(Budget[Date]&lt;=$D$7),(Budget[Amount])))</f>
        <v>0</v>
      </c>
      <c r="E114" s="245">
        <f t="array" ref="E114">((SUM(IF((CkDJ[Ofc Code]=(TRIM(G$4)))*(CkDJ[Account Code]=(TRIM($B114)))*(CkDJ[Date]&lt;=$E$7),CkDJ[Debit])))+(SUM(IF((CsDJ[Ofc Code]=(TRIM(G$4)))*(CsDJ[Account Code]=(TRIM($B114)))*(CsDJ[Date]&lt;=$E$7),CsDJ[Debit])))+(SUM(IF((CRDJ[Ofc Code]=(TRIM(G$4)))*(CRDJ[Account Code]=(TRIM($B114)))*(CRDJ[Date]&lt;=$E$7),CRDJ[Debit])))+(SUM(IF((GJ[Ofc Code]=(TRIM(G$4)))*(GJ[Account Code]=(TRIM($B114)))*(GJ[Date]&lt;=$E$7),GJ[Debit]))))-((SUM(IF((CkDJ[Ofc Code]=(TRIM(G$4)))*(CkDJ[Account Code]=(TRIM($B114)))*(CkDJ[Date]&lt;=$E$7),CkDJ[Credit])))+(SUM(IF((CsDJ[Ofc Code]=(TRIM(G$4)))*(CsDJ[Account Code]=(TRIM($B114)))*(CsDJ[Date]&lt;=$E$7),CsDJ[Credit])))+(SUM(IF((CRDJ[Ofc Code]=(TRIM(G$4)))*(CRDJ[Account Code]=(TRIM($B114)))*(CRDJ[Date]&lt;=$E$7),CRDJ[Credit])))+(SUM(IF((GJ[Ofc Code]=(TRIM(G$4)))*(GJ[Account Code]=(TRIM($B114)))*(GJ[Date]&lt;=$E$7),GJ[Credit]))))</f>
        <v>0</v>
      </c>
      <c r="F114" s="245">
        <f t="array" ref="F114">((SUM(IF((CkDJ[Date]=$A$3)*(CkDJ[Ofc Code]=(TRIM(G$4)))*(CkDJ[Account Code]=(TRIM($B114))),CkDJ[Debit])))+(SUM(IF((CsDJ[Date]=$A$3)*(CsDJ[Ofc Code]=(TRIM(G$4)))*(CsDJ[Account Code]=(TRIM($B114))),CsDJ[Debit])))+(SUM(IF((CRDJ[Date]=$A$3)*(CRDJ[Ofc Code]=(TRIM(G$4)))*(CRDJ[Account Code]=(TRIM($B114))),CRDJ[Debit])))+(SUM(IF((GJ[Date]=$A$3)*(GJ[Ofc Code]=(TRIM(G$4)))*(GJ[Account Code]=(TRIM($B114))),GJ[Debit]))))-((SUM(IF((CkDJ[Date]=$A$3)*(CkDJ[Ofc Code]=(TRIM(G$4)))*(CkDJ[Account Code]=(TRIM($B114))),CkDJ[Credit])))+(SUM(IF((CsDJ[Date]=$A$3)*(CsDJ[Ofc Code]=(TRIM(G$4)))*(CsDJ[Account Code]=(TRIM($B114))),CsDJ[Credit])))+(SUM(IF((CRDJ[Date]=$A$3)*(CRDJ[Ofc Code]=(TRIM(G$4)))*(CRDJ[Account Code]=(TRIM($B114))),CRDJ[Credit])))+(SUM(IF((GJ[Date]=$A$3)*(GJ[Ofc Code]=(TRIM(G$4)))*(GJ[Account Code]=(TRIM($B114))),GJ[Credit]))))</f>
        <v>0</v>
      </c>
      <c r="G114" s="343">
        <f t="shared" si="6"/>
        <v>0</v>
      </c>
      <c r="H114" s="246">
        <f t="shared" si="7"/>
        <v>0</v>
      </c>
      <c r="I114" s="246">
        <f t="shared" si="8"/>
        <v>0</v>
      </c>
    </row>
    <row r="115" spans="1:9" hidden="1">
      <c r="A115" s="256" t="s">
        <v>308</v>
      </c>
      <c r="B115" s="339" t="s">
        <v>256</v>
      </c>
      <c r="C115" s="245">
        <f t="array" ref="C115">SUM(IF((Budget[Account Code]=B115)*(Budget[Ofc Code]=$G$4),(Budget[Amount])))</f>
        <v>0</v>
      </c>
      <c r="D115" s="245">
        <f t="array" ref="D115">SUM(IF((Budget[Account Code]=B115)*(Budget[Ofc Code]=$G$4)*(Budget[Date]&lt;=$D$7),(Budget[Amount])))</f>
        <v>0</v>
      </c>
      <c r="E115" s="245">
        <f t="array" ref="E115">((SUM(IF((CkDJ[Ofc Code]=(TRIM(G$4)))*(CkDJ[Account Code]=(TRIM($B115)))*(CkDJ[Date]&lt;=$E$7),CkDJ[Debit])))+(SUM(IF((CsDJ[Ofc Code]=(TRIM(G$4)))*(CsDJ[Account Code]=(TRIM($B115)))*(CsDJ[Date]&lt;=$E$7),CsDJ[Debit])))+(SUM(IF((CRDJ[Ofc Code]=(TRIM(G$4)))*(CRDJ[Account Code]=(TRIM($B115)))*(CRDJ[Date]&lt;=$E$7),CRDJ[Debit])))+(SUM(IF((GJ[Ofc Code]=(TRIM(G$4)))*(GJ[Account Code]=(TRIM($B115)))*(GJ[Date]&lt;=$E$7),GJ[Debit]))))-((SUM(IF((CkDJ[Ofc Code]=(TRIM(G$4)))*(CkDJ[Account Code]=(TRIM($B115)))*(CkDJ[Date]&lt;=$E$7),CkDJ[Credit])))+(SUM(IF((CsDJ[Ofc Code]=(TRIM(G$4)))*(CsDJ[Account Code]=(TRIM($B115)))*(CsDJ[Date]&lt;=$E$7),CsDJ[Credit])))+(SUM(IF((CRDJ[Ofc Code]=(TRIM(G$4)))*(CRDJ[Account Code]=(TRIM($B115)))*(CRDJ[Date]&lt;=$E$7),CRDJ[Credit])))+(SUM(IF((GJ[Ofc Code]=(TRIM(G$4)))*(GJ[Account Code]=(TRIM($B115)))*(GJ[Date]&lt;=$E$7),GJ[Credit]))))</f>
        <v>0</v>
      </c>
      <c r="F115" s="245">
        <f t="array" ref="F115">((SUM(IF((CkDJ[Date]=$A$3)*(CkDJ[Ofc Code]=(TRIM(G$4)))*(CkDJ[Account Code]=(TRIM($B115))),CkDJ[Debit])))+(SUM(IF((CsDJ[Date]=$A$3)*(CsDJ[Ofc Code]=(TRIM(G$4)))*(CsDJ[Account Code]=(TRIM($B115))),CsDJ[Debit])))+(SUM(IF((CRDJ[Date]=$A$3)*(CRDJ[Ofc Code]=(TRIM(G$4)))*(CRDJ[Account Code]=(TRIM($B115))),CRDJ[Debit])))+(SUM(IF((GJ[Date]=$A$3)*(GJ[Ofc Code]=(TRIM(G$4)))*(GJ[Account Code]=(TRIM($B115))),GJ[Debit]))))-((SUM(IF((CkDJ[Date]=$A$3)*(CkDJ[Ofc Code]=(TRIM(G$4)))*(CkDJ[Account Code]=(TRIM($B115))),CkDJ[Credit])))+(SUM(IF((CsDJ[Date]=$A$3)*(CsDJ[Ofc Code]=(TRIM(G$4)))*(CsDJ[Account Code]=(TRIM($B115))),CsDJ[Credit])))+(SUM(IF((CRDJ[Date]=$A$3)*(CRDJ[Ofc Code]=(TRIM(G$4)))*(CRDJ[Account Code]=(TRIM($B115))),CRDJ[Credit])))+(SUM(IF((GJ[Date]=$A$3)*(GJ[Ofc Code]=(TRIM(G$4)))*(GJ[Account Code]=(TRIM($B115))),GJ[Credit]))))</f>
        <v>0</v>
      </c>
      <c r="G115" s="343">
        <f t="shared" si="6"/>
        <v>0</v>
      </c>
      <c r="H115" s="246">
        <f t="shared" si="7"/>
        <v>0</v>
      </c>
      <c r="I115" s="246">
        <f t="shared" si="8"/>
        <v>0</v>
      </c>
    </row>
    <row r="116" spans="1:9" hidden="1">
      <c r="A116" s="256" t="s">
        <v>309</v>
      </c>
      <c r="B116" s="339" t="s">
        <v>258</v>
      </c>
      <c r="C116" s="245">
        <f t="array" ref="C116">SUM(IF((Budget[Account Code]=B116)*(Budget[Ofc Code]=$G$4),(Budget[Amount])))</f>
        <v>0</v>
      </c>
      <c r="D116" s="245">
        <f t="array" ref="D116">SUM(IF((Budget[Account Code]=B116)*(Budget[Ofc Code]=$G$4)*(Budget[Date]&lt;=$D$7),(Budget[Amount])))</f>
        <v>0</v>
      </c>
      <c r="E116" s="245">
        <f t="array" ref="E116">((SUM(IF((CkDJ[Ofc Code]=(TRIM(G$4)))*(CkDJ[Account Code]=(TRIM($B116)))*(CkDJ[Date]&lt;=$E$7),CkDJ[Debit])))+(SUM(IF((CsDJ[Ofc Code]=(TRIM(G$4)))*(CsDJ[Account Code]=(TRIM($B116)))*(CsDJ[Date]&lt;=$E$7),CsDJ[Debit])))+(SUM(IF((CRDJ[Ofc Code]=(TRIM(G$4)))*(CRDJ[Account Code]=(TRIM($B116)))*(CRDJ[Date]&lt;=$E$7),CRDJ[Debit])))+(SUM(IF((GJ[Ofc Code]=(TRIM(G$4)))*(GJ[Account Code]=(TRIM($B116)))*(GJ[Date]&lt;=$E$7),GJ[Debit]))))-((SUM(IF((CkDJ[Ofc Code]=(TRIM(G$4)))*(CkDJ[Account Code]=(TRIM($B116)))*(CkDJ[Date]&lt;=$E$7),CkDJ[Credit])))+(SUM(IF((CsDJ[Ofc Code]=(TRIM(G$4)))*(CsDJ[Account Code]=(TRIM($B116)))*(CsDJ[Date]&lt;=$E$7),CsDJ[Credit])))+(SUM(IF((CRDJ[Ofc Code]=(TRIM(G$4)))*(CRDJ[Account Code]=(TRIM($B116)))*(CRDJ[Date]&lt;=$E$7),CRDJ[Credit])))+(SUM(IF((GJ[Ofc Code]=(TRIM(G$4)))*(GJ[Account Code]=(TRIM($B116)))*(GJ[Date]&lt;=$E$7),GJ[Credit]))))</f>
        <v>0</v>
      </c>
      <c r="F116" s="245">
        <f t="array" ref="F116">((SUM(IF((CkDJ[Date]=$A$3)*(CkDJ[Ofc Code]=(TRIM(G$4)))*(CkDJ[Account Code]=(TRIM($B116))),CkDJ[Debit])))+(SUM(IF((CsDJ[Date]=$A$3)*(CsDJ[Ofc Code]=(TRIM(G$4)))*(CsDJ[Account Code]=(TRIM($B116))),CsDJ[Debit])))+(SUM(IF((CRDJ[Date]=$A$3)*(CRDJ[Ofc Code]=(TRIM(G$4)))*(CRDJ[Account Code]=(TRIM($B116))),CRDJ[Debit])))+(SUM(IF((GJ[Date]=$A$3)*(GJ[Ofc Code]=(TRIM(G$4)))*(GJ[Account Code]=(TRIM($B116))),GJ[Debit]))))-((SUM(IF((CkDJ[Date]=$A$3)*(CkDJ[Ofc Code]=(TRIM(G$4)))*(CkDJ[Account Code]=(TRIM($B116))),CkDJ[Credit])))+(SUM(IF((CsDJ[Date]=$A$3)*(CsDJ[Ofc Code]=(TRIM(G$4)))*(CsDJ[Account Code]=(TRIM($B116))),CsDJ[Credit])))+(SUM(IF((CRDJ[Date]=$A$3)*(CRDJ[Ofc Code]=(TRIM(G$4)))*(CRDJ[Account Code]=(TRIM($B116))),CRDJ[Credit])))+(SUM(IF((GJ[Date]=$A$3)*(GJ[Ofc Code]=(TRIM(G$4)))*(GJ[Account Code]=(TRIM($B116))),GJ[Credit]))))</f>
        <v>0</v>
      </c>
      <c r="G116" s="343">
        <f t="shared" si="6"/>
        <v>0</v>
      </c>
      <c r="H116" s="246">
        <f t="shared" si="7"/>
        <v>0</v>
      </c>
      <c r="I116" s="246">
        <f t="shared" si="8"/>
        <v>0</v>
      </c>
    </row>
    <row r="117" spans="1:9" hidden="1">
      <c r="A117" s="256" t="s">
        <v>310</v>
      </c>
      <c r="B117" s="339" t="s">
        <v>261</v>
      </c>
      <c r="C117" s="245">
        <f t="array" ref="C117">SUM(IF((Budget[Account Code]=B117)*(Budget[Ofc Code]=$G$4),(Budget[Amount])))</f>
        <v>0</v>
      </c>
      <c r="D117" s="245">
        <f t="array" ref="D117">SUM(IF((Budget[Account Code]=B117)*(Budget[Ofc Code]=$G$4)*(Budget[Date]&lt;=$D$7),(Budget[Amount])))</f>
        <v>0</v>
      </c>
      <c r="E117" s="245">
        <f t="array" ref="E117">((SUM(IF((CkDJ[Ofc Code]=(TRIM(G$4)))*(CkDJ[Account Code]=(TRIM($B117)))*(CkDJ[Date]&lt;=$E$7),CkDJ[Debit])))+(SUM(IF((CsDJ[Ofc Code]=(TRIM(G$4)))*(CsDJ[Account Code]=(TRIM($B117)))*(CsDJ[Date]&lt;=$E$7),CsDJ[Debit])))+(SUM(IF((CRDJ[Ofc Code]=(TRIM(G$4)))*(CRDJ[Account Code]=(TRIM($B117)))*(CRDJ[Date]&lt;=$E$7),CRDJ[Debit])))+(SUM(IF((GJ[Ofc Code]=(TRIM(G$4)))*(GJ[Account Code]=(TRIM($B117)))*(GJ[Date]&lt;=$E$7),GJ[Debit]))))-((SUM(IF((CkDJ[Ofc Code]=(TRIM(G$4)))*(CkDJ[Account Code]=(TRIM($B117)))*(CkDJ[Date]&lt;=$E$7),CkDJ[Credit])))+(SUM(IF((CsDJ[Ofc Code]=(TRIM(G$4)))*(CsDJ[Account Code]=(TRIM($B117)))*(CsDJ[Date]&lt;=$E$7),CsDJ[Credit])))+(SUM(IF((CRDJ[Ofc Code]=(TRIM(G$4)))*(CRDJ[Account Code]=(TRIM($B117)))*(CRDJ[Date]&lt;=$E$7),CRDJ[Credit])))+(SUM(IF((GJ[Ofc Code]=(TRIM(G$4)))*(GJ[Account Code]=(TRIM($B117)))*(GJ[Date]&lt;=$E$7),GJ[Credit]))))</f>
        <v>0</v>
      </c>
      <c r="F117" s="245">
        <f t="array" ref="F117">((SUM(IF((CkDJ[Date]=$A$3)*(CkDJ[Ofc Code]=(TRIM(G$4)))*(CkDJ[Account Code]=(TRIM($B117))),CkDJ[Debit])))+(SUM(IF((CsDJ[Date]=$A$3)*(CsDJ[Ofc Code]=(TRIM(G$4)))*(CsDJ[Account Code]=(TRIM($B117))),CsDJ[Debit])))+(SUM(IF((CRDJ[Date]=$A$3)*(CRDJ[Ofc Code]=(TRIM(G$4)))*(CRDJ[Account Code]=(TRIM($B117))),CRDJ[Debit])))+(SUM(IF((GJ[Date]=$A$3)*(GJ[Ofc Code]=(TRIM(G$4)))*(GJ[Account Code]=(TRIM($B117))),GJ[Debit]))))-((SUM(IF((CkDJ[Date]=$A$3)*(CkDJ[Ofc Code]=(TRIM(G$4)))*(CkDJ[Account Code]=(TRIM($B117))),CkDJ[Credit])))+(SUM(IF((CsDJ[Date]=$A$3)*(CsDJ[Ofc Code]=(TRIM(G$4)))*(CsDJ[Account Code]=(TRIM($B117))),CsDJ[Credit])))+(SUM(IF((CRDJ[Date]=$A$3)*(CRDJ[Ofc Code]=(TRIM(G$4)))*(CRDJ[Account Code]=(TRIM($B117))),CRDJ[Credit])))+(SUM(IF((GJ[Date]=$A$3)*(GJ[Ofc Code]=(TRIM(G$4)))*(GJ[Account Code]=(TRIM($B117))),GJ[Credit]))))</f>
        <v>0</v>
      </c>
      <c r="G117" s="343">
        <f t="shared" si="6"/>
        <v>0</v>
      </c>
      <c r="H117" s="246">
        <f t="shared" si="7"/>
        <v>0</v>
      </c>
      <c r="I117" s="246">
        <f t="shared" si="8"/>
        <v>0</v>
      </c>
    </row>
    <row r="118" spans="1:9" hidden="1">
      <c r="A118" s="256" t="s">
        <v>311</v>
      </c>
      <c r="B118" s="339" t="s">
        <v>262</v>
      </c>
      <c r="C118" s="245">
        <f t="array" ref="C118">SUM(IF((Budget[Account Code]=B118)*(Budget[Ofc Code]=$G$4),(Budget[Amount])))</f>
        <v>0</v>
      </c>
      <c r="D118" s="245">
        <f t="array" ref="D118">SUM(IF((Budget[Account Code]=B118)*(Budget[Ofc Code]=$G$4)*(Budget[Date]&lt;=$D$7),(Budget[Amount])))</f>
        <v>0</v>
      </c>
      <c r="E118" s="245">
        <f t="array" ref="E118">((SUM(IF((CkDJ[Ofc Code]=(TRIM(G$4)))*(CkDJ[Account Code]=(TRIM($B118)))*(CkDJ[Date]&lt;=$E$7),CkDJ[Debit])))+(SUM(IF((CsDJ[Ofc Code]=(TRIM(G$4)))*(CsDJ[Account Code]=(TRIM($B118)))*(CsDJ[Date]&lt;=$E$7),CsDJ[Debit])))+(SUM(IF((CRDJ[Ofc Code]=(TRIM(G$4)))*(CRDJ[Account Code]=(TRIM($B118)))*(CRDJ[Date]&lt;=$E$7),CRDJ[Debit])))+(SUM(IF((GJ[Ofc Code]=(TRIM(G$4)))*(GJ[Account Code]=(TRIM($B118)))*(GJ[Date]&lt;=$E$7),GJ[Debit]))))-((SUM(IF((CkDJ[Ofc Code]=(TRIM(G$4)))*(CkDJ[Account Code]=(TRIM($B118)))*(CkDJ[Date]&lt;=$E$7),CkDJ[Credit])))+(SUM(IF((CsDJ[Ofc Code]=(TRIM(G$4)))*(CsDJ[Account Code]=(TRIM($B118)))*(CsDJ[Date]&lt;=$E$7),CsDJ[Credit])))+(SUM(IF((CRDJ[Ofc Code]=(TRIM(G$4)))*(CRDJ[Account Code]=(TRIM($B118)))*(CRDJ[Date]&lt;=$E$7),CRDJ[Credit])))+(SUM(IF((GJ[Ofc Code]=(TRIM(G$4)))*(GJ[Account Code]=(TRIM($B118)))*(GJ[Date]&lt;=$E$7),GJ[Credit]))))</f>
        <v>0</v>
      </c>
      <c r="F118" s="245">
        <f t="array" ref="F118">((SUM(IF((CkDJ[Date]=$A$3)*(CkDJ[Ofc Code]=(TRIM(G$4)))*(CkDJ[Account Code]=(TRIM($B118))),CkDJ[Debit])))+(SUM(IF((CsDJ[Date]=$A$3)*(CsDJ[Ofc Code]=(TRIM(G$4)))*(CsDJ[Account Code]=(TRIM($B118))),CsDJ[Debit])))+(SUM(IF((CRDJ[Date]=$A$3)*(CRDJ[Ofc Code]=(TRIM(G$4)))*(CRDJ[Account Code]=(TRIM($B118))),CRDJ[Debit])))+(SUM(IF((GJ[Date]=$A$3)*(GJ[Ofc Code]=(TRIM(G$4)))*(GJ[Account Code]=(TRIM($B118))),GJ[Debit]))))-((SUM(IF((CkDJ[Date]=$A$3)*(CkDJ[Ofc Code]=(TRIM(G$4)))*(CkDJ[Account Code]=(TRIM($B118))),CkDJ[Credit])))+(SUM(IF((CsDJ[Date]=$A$3)*(CsDJ[Ofc Code]=(TRIM(G$4)))*(CsDJ[Account Code]=(TRIM($B118))),CsDJ[Credit])))+(SUM(IF((CRDJ[Date]=$A$3)*(CRDJ[Ofc Code]=(TRIM(G$4)))*(CRDJ[Account Code]=(TRIM($B118))),CRDJ[Credit])))+(SUM(IF((GJ[Date]=$A$3)*(GJ[Ofc Code]=(TRIM(G$4)))*(GJ[Account Code]=(TRIM($B118))),GJ[Credit]))))</f>
        <v>0</v>
      </c>
      <c r="G118" s="343">
        <f t="shared" si="6"/>
        <v>0</v>
      </c>
      <c r="H118" s="246">
        <f t="shared" si="7"/>
        <v>0</v>
      </c>
      <c r="I118" s="246">
        <f t="shared" si="8"/>
        <v>0</v>
      </c>
    </row>
    <row r="119" spans="1:9" hidden="1">
      <c r="A119" s="256" t="s">
        <v>312</v>
      </c>
      <c r="B119" s="339" t="s">
        <v>264</v>
      </c>
      <c r="C119" s="245">
        <f t="array" ref="C119">SUM(IF((Budget[Account Code]=B119)*(Budget[Ofc Code]=$G$4),(Budget[Amount])))</f>
        <v>0</v>
      </c>
      <c r="D119" s="245">
        <f t="array" ref="D119">SUM(IF((Budget[Account Code]=B119)*(Budget[Ofc Code]=$G$4)*(Budget[Date]&lt;=$D$7),(Budget[Amount])))</f>
        <v>0</v>
      </c>
      <c r="E119" s="245">
        <f t="array" ref="E119">((SUM(IF((CkDJ[Ofc Code]=(TRIM(G$4)))*(CkDJ[Account Code]=(TRIM($B119)))*(CkDJ[Date]&lt;=$E$7),CkDJ[Debit])))+(SUM(IF((CsDJ[Ofc Code]=(TRIM(G$4)))*(CsDJ[Account Code]=(TRIM($B119)))*(CsDJ[Date]&lt;=$E$7),CsDJ[Debit])))+(SUM(IF((CRDJ[Ofc Code]=(TRIM(G$4)))*(CRDJ[Account Code]=(TRIM($B119)))*(CRDJ[Date]&lt;=$E$7),CRDJ[Debit])))+(SUM(IF((GJ[Ofc Code]=(TRIM(G$4)))*(GJ[Account Code]=(TRIM($B119)))*(GJ[Date]&lt;=$E$7),GJ[Debit]))))-((SUM(IF((CkDJ[Ofc Code]=(TRIM(G$4)))*(CkDJ[Account Code]=(TRIM($B119)))*(CkDJ[Date]&lt;=$E$7),CkDJ[Credit])))+(SUM(IF((CsDJ[Ofc Code]=(TRIM(G$4)))*(CsDJ[Account Code]=(TRIM($B119)))*(CsDJ[Date]&lt;=$E$7),CsDJ[Credit])))+(SUM(IF((CRDJ[Ofc Code]=(TRIM(G$4)))*(CRDJ[Account Code]=(TRIM($B119)))*(CRDJ[Date]&lt;=$E$7),CRDJ[Credit])))+(SUM(IF((GJ[Ofc Code]=(TRIM(G$4)))*(GJ[Account Code]=(TRIM($B119)))*(GJ[Date]&lt;=$E$7),GJ[Credit]))))</f>
        <v>0</v>
      </c>
      <c r="F119" s="245">
        <f t="array" ref="F119">((SUM(IF((CkDJ[Date]=$A$3)*(CkDJ[Ofc Code]=(TRIM(G$4)))*(CkDJ[Account Code]=(TRIM($B119))),CkDJ[Debit])))+(SUM(IF((CsDJ[Date]=$A$3)*(CsDJ[Ofc Code]=(TRIM(G$4)))*(CsDJ[Account Code]=(TRIM($B119))),CsDJ[Debit])))+(SUM(IF((CRDJ[Date]=$A$3)*(CRDJ[Ofc Code]=(TRIM(G$4)))*(CRDJ[Account Code]=(TRIM($B119))),CRDJ[Debit])))+(SUM(IF((GJ[Date]=$A$3)*(GJ[Ofc Code]=(TRIM(G$4)))*(GJ[Account Code]=(TRIM($B119))),GJ[Debit]))))-((SUM(IF((CkDJ[Date]=$A$3)*(CkDJ[Ofc Code]=(TRIM(G$4)))*(CkDJ[Account Code]=(TRIM($B119))),CkDJ[Credit])))+(SUM(IF((CsDJ[Date]=$A$3)*(CsDJ[Ofc Code]=(TRIM(G$4)))*(CsDJ[Account Code]=(TRIM($B119))),CsDJ[Credit])))+(SUM(IF((CRDJ[Date]=$A$3)*(CRDJ[Ofc Code]=(TRIM(G$4)))*(CRDJ[Account Code]=(TRIM($B119))),CRDJ[Credit])))+(SUM(IF((GJ[Date]=$A$3)*(GJ[Ofc Code]=(TRIM(G$4)))*(GJ[Account Code]=(TRIM($B119))),GJ[Credit]))))</f>
        <v>0</v>
      </c>
      <c r="G119" s="343">
        <f t="shared" si="6"/>
        <v>0</v>
      </c>
      <c r="H119" s="246">
        <f t="shared" si="7"/>
        <v>0</v>
      </c>
      <c r="I119" s="246">
        <f t="shared" si="8"/>
        <v>0</v>
      </c>
    </row>
    <row r="120" spans="1:9" hidden="1">
      <c r="A120" s="256" t="s">
        <v>313</v>
      </c>
      <c r="B120" s="339" t="s">
        <v>265</v>
      </c>
      <c r="C120" s="245">
        <f t="array" ref="C120">SUM(IF((Budget[Account Code]=B120)*(Budget[Ofc Code]=$G$4),(Budget[Amount])))</f>
        <v>0</v>
      </c>
      <c r="D120" s="245">
        <f t="array" ref="D120">SUM(IF((Budget[Account Code]=B120)*(Budget[Ofc Code]=$G$4)*(Budget[Date]&lt;=$D$7),(Budget[Amount])))</f>
        <v>0</v>
      </c>
      <c r="E120" s="245">
        <f t="array" ref="E120">((SUM(IF((CkDJ[Ofc Code]=(TRIM(G$4)))*(CkDJ[Account Code]=(TRIM($B120)))*(CkDJ[Date]&lt;=$E$7),CkDJ[Debit])))+(SUM(IF((CsDJ[Ofc Code]=(TRIM(G$4)))*(CsDJ[Account Code]=(TRIM($B120)))*(CsDJ[Date]&lt;=$E$7),CsDJ[Debit])))+(SUM(IF((CRDJ[Ofc Code]=(TRIM(G$4)))*(CRDJ[Account Code]=(TRIM($B120)))*(CRDJ[Date]&lt;=$E$7),CRDJ[Debit])))+(SUM(IF((GJ[Ofc Code]=(TRIM(G$4)))*(GJ[Account Code]=(TRIM($B120)))*(GJ[Date]&lt;=$E$7),GJ[Debit]))))-((SUM(IF((CkDJ[Ofc Code]=(TRIM(G$4)))*(CkDJ[Account Code]=(TRIM($B120)))*(CkDJ[Date]&lt;=$E$7),CkDJ[Credit])))+(SUM(IF((CsDJ[Ofc Code]=(TRIM(G$4)))*(CsDJ[Account Code]=(TRIM($B120)))*(CsDJ[Date]&lt;=$E$7),CsDJ[Credit])))+(SUM(IF((CRDJ[Ofc Code]=(TRIM(G$4)))*(CRDJ[Account Code]=(TRIM($B120)))*(CRDJ[Date]&lt;=$E$7),CRDJ[Credit])))+(SUM(IF((GJ[Ofc Code]=(TRIM(G$4)))*(GJ[Account Code]=(TRIM($B120)))*(GJ[Date]&lt;=$E$7),GJ[Credit]))))</f>
        <v>0</v>
      </c>
      <c r="F120" s="245">
        <f t="array" ref="F120">((SUM(IF((CkDJ[Date]=$A$3)*(CkDJ[Ofc Code]=(TRIM(G$4)))*(CkDJ[Account Code]=(TRIM($B120))),CkDJ[Debit])))+(SUM(IF((CsDJ[Date]=$A$3)*(CsDJ[Ofc Code]=(TRIM(G$4)))*(CsDJ[Account Code]=(TRIM($B120))),CsDJ[Debit])))+(SUM(IF((CRDJ[Date]=$A$3)*(CRDJ[Ofc Code]=(TRIM(G$4)))*(CRDJ[Account Code]=(TRIM($B120))),CRDJ[Debit])))+(SUM(IF((GJ[Date]=$A$3)*(GJ[Ofc Code]=(TRIM(G$4)))*(GJ[Account Code]=(TRIM($B120))),GJ[Debit]))))-((SUM(IF((CkDJ[Date]=$A$3)*(CkDJ[Ofc Code]=(TRIM(G$4)))*(CkDJ[Account Code]=(TRIM($B120))),CkDJ[Credit])))+(SUM(IF((CsDJ[Date]=$A$3)*(CsDJ[Ofc Code]=(TRIM(G$4)))*(CsDJ[Account Code]=(TRIM($B120))),CsDJ[Credit])))+(SUM(IF((CRDJ[Date]=$A$3)*(CRDJ[Ofc Code]=(TRIM(G$4)))*(CRDJ[Account Code]=(TRIM($B120))),CRDJ[Credit])))+(SUM(IF((GJ[Date]=$A$3)*(GJ[Ofc Code]=(TRIM(G$4)))*(GJ[Account Code]=(TRIM($B120))),GJ[Credit]))))</f>
        <v>0</v>
      </c>
      <c r="G120" s="343">
        <f t="shared" si="6"/>
        <v>0</v>
      </c>
      <c r="H120" s="246">
        <f t="shared" si="7"/>
        <v>0</v>
      </c>
      <c r="I120" s="246">
        <f t="shared" si="8"/>
        <v>0</v>
      </c>
    </row>
    <row r="121" spans="1:9" hidden="1">
      <c r="A121" s="256" t="s">
        <v>1027</v>
      </c>
      <c r="B121" s="339" t="s">
        <v>269</v>
      </c>
      <c r="C121" s="245">
        <f t="array" ref="C121">SUM(IF((Budget[Account Code]=B121)*(Budget[Ofc Code]=$G$4),(Budget[Amount])))</f>
        <v>0</v>
      </c>
      <c r="D121" s="245">
        <f t="array" ref="D121">SUM(IF((Budget[Account Code]=B121)*(Budget[Ofc Code]=$G$4)*(Budget[Date]&lt;=$D$7),(Budget[Amount])))</f>
        <v>0</v>
      </c>
      <c r="E121" s="245">
        <f t="array" ref="E121">((SUM(IF((CkDJ[Ofc Code]=(TRIM(G$4)))*(CkDJ[Account Code]=(TRIM($B121)))*(CkDJ[Date]&lt;=$E$7),CkDJ[Debit])))+(SUM(IF((CsDJ[Ofc Code]=(TRIM(G$4)))*(CsDJ[Account Code]=(TRIM($B121)))*(CsDJ[Date]&lt;=$E$7),CsDJ[Debit])))+(SUM(IF((CRDJ[Ofc Code]=(TRIM(G$4)))*(CRDJ[Account Code]=(TRIM($B121)))*(CRDJ[Date]&lt;=$E$7),CRDJ[Debit])))+(SUM(IF((GJ[Ofc Code]=(TRIM(G$4)))*(GJ[Account Code]=(TRIM($B121)))*(GJ[Date]&lt;=$E$7),GJ[Debit]))))-((SUM(IF((CkDJ[Ofc Code]=(TRIM(G$4)))*(CkDJ[Account Code]=(TRIM($B121)))*(CkDJ[Date]&lt;=$E$7),CkDJ[Credit])))+(SUM(IF((CsDJ[Ofc Code]=(TRIM(G$4)))*(CsDJ[Account Code]=(TRIM($B121)))*(CsDJ[Date]&lt;=$E$7),CsDJ[Credit])))+(SUM(IF((CRDJ[Ofc Code]=(TRIM(G$4)))*(CRDJ[Account Code]=(TRIM($B121)))*(CRDJ[Date]&lt;=$E$7),CRDJ[Credit])))+(SUM(IF((GJ[Ofc Code]=(TRIM(G$4)))*(GJ[Account Code]=(TRIM($B121)))*(GJ[Date]&lt;=$E$7),GJ[Credit]))))</f>
        <v>0</v>
      </c>
      <c r="F121" s="245">
        <f t="array" ref="F121">((SUM(IF((CkDJ[Date]=$A$3)*(CkDJ[Ofc Code]=(TRIM(G$4)))*(CkDJ[Account Code]=(TRIM($B121))),CkDJ[Debit])))+(SUM(IF((CsDJ[Date]=$A$3)*(CsDJ[Ofc Code]=(TRIM(G$4)))*(CsDJ[Account Code]=(TRIM($B121))),CsDJ[Debit])))+(SUM(IF((CRDJ[Date]=$A$3)*(CRDJ[Ofc Code]=(TRIM(G$4)))*(CRDJ[Account Code]=(TRIM($B121))),CRDJ[Debit])))+(SUM(IF((GJ[Date]=$A$3)*(GJ[Ofc Code]=(TRIM(G$4)))*(GJ[Account Code]=(TRIM($B121))),GJ[Debit]))))-((SUM(IF((CkDJ[Date]=$A$3)*(CkDJ[Ofc Code]=(TRIM(G$4)))*(CkDJ[Account Code]=(TRIM($B121))),CkDJ[Credit])))+(SUM(IF((CsDJ[Date]=$A$3)*(CsDJ[Ofc Code]=(TRIM(G$4)))*(CsDJ[Account Code]=(TRIM($B121))),CsDJ[Credit])))+(SUM(IF((CRDJ[Date]=$A$3)*(CRDJ[Ofc Code]=(TRIM(G$4)))*(CRDJ[Account Code]=(TRIM($B121))),CRDJ[Credit])))+(SUM(IF((GJ[Date]=$A$3)*(GJ[Ofc Code]=(TRIM(G$4)))*(GJ[Account Code]=(TRIM($B121))),GJ[Credit]))))</f>
        <v>0</v>
      </c>
      <c r="G121" s="343">
        <f t="shared" si="6"/>
        <v>0</v>
      </c>
      <c r="H121" s="246">
        <f t="shared" si="7"/>
        <v>0</v>
      </c>
      <c r="I121" s="246">
        <f t="shared" si="8"/>
        <v>0</v>
      </c>
    </row>
    <row r="122" spans="1:9" hidden="1">
      <c r="A122" s="256" t="s">
        <v>409</v>
      </c>
      <c r="B122" s="339" t="s">
        <v>408</v>
      </c>
      <c r="C122" s="245">
        <f t="array" ref="C122">SUM(IF((Budget[Account Code]=B122)*(Budget[Ofc Code]=$G$4),(Budget[Amount])))</f>
        <v>0</v>
      </c>
      <c r="D122" s="245">
        <f t="array" ref="D122">SUM(IF((Budget[Account Code]=B122)*(Budget[Ofc Code]=$G$4)*(Budget[Date]&lt;=$D$7),(Budget[Amount])))</f>
        <v>0</v>
      </c>
      <c r="E122" s="245">
        <f t="array" ref="E122">((SUM(IF((CkDJ[Ofc Code]=(TRIM(G$4)))*(CkDJ[Account Code]=(TRIM($B122)))*(CkDJ[Date]&lt;=$E$7),CkDJ[Debit])))+(SUM(IF((CsDJ[Ofc Code]=(TRIM(G$4)))*(CsDJ[Account Code]=(TRIM($B122)))*(CsDJ[Date]&lt;=$E$7),CsDJ[Debit])))+(SUM(IF((CRDJ[Ofc Code]=(TRIM(G$4)))*(CRDJ[Account Code]=(TRIM($B122)))*(CRDJ[Date]&lt;=$E$7),CRDJ[Debit])))+(SUM(IF((GJ[Ofc Code]=(TRIM(G$4)))*(GJ[Account Code]=(TRIM($B122)))*(GJ[Date]&lt;=$E$7),GJ[Debit]))))-((SUM(IF((CkDJ[Ofc Code]=(TRIM(G$4)))*(CkDJ[Account Code]=(TRIM($B122)))*(CkDJ[Date]&lt;=$E$7),CkDJ[Credit])))+(SUM(IF((CsDJ[Ofc Code]=(TRIM(G$4)))*(CsDJ[Account Code]=(TRIM($B122)))*(CsDJ[Date]&lt;=$E$7),CsDJ[Credit])))+(SUM(IF((CRDJ[Ofc Code]=(TRIM(G$4)))*(CRDJ[Account Code]=(TRIM($B122)))*(CRDJ[Date]&lt;=$E$7),CRDJ[Credit])))+(SUM(IF((GJ[Ofc Code]=(TRIM(G$4)))*(GJ[Account Code]=(TRIM($B122)))*(GJ[Date]&lt;=$E$7),GJ[Credit]))))</f>
        <v>0</v>
      </c>
      <c r="F122" s="245">
        <f t="array" ref="F122">((SUM(IF((CkDJ[Date]=$A$3)*(CkDJ[Ofc Code]=(TRIM(G$4)))*(CkDJ[Account Code]=(TRIM($B122))),CkDJ[Debit])))+(SUM(IF((CsDJ[Date]=$A$3)*(CsDJ[Ofc Code]=(TRIM(G$4)))*(CsDJ[Account Code]=(TRIM($B122))),CsDJ[Debit])))+(SUM(IF((CRDJ[Date]=$A$3)*(CRDJ[Ofc Code]=(TRIM(G$4)))*(CRDJ[Account Code]=(TRIM($B122))),CRDJ[Debit])))+(SUM(IF((GJ[Date]=$A$3)*(GJ[Ofc Code]=(TRIM(G$4)))*(GJ[Account Code]=(TRIM($B122))),GJ[Debit]))))-((SUM(IF((CkDJ[Date]=$A$3)*(CkDJ[Ofc Code]=(TRIM(G$4)))*(CkDJ[Account Code]=(TRIM($B122))),CkDJ[Credit])))+(SUM(IF((CsDJ[Date]=$A$3)*(CsDJ[Ofc Code]=(TRIM(G$4)))*(CsDJ[Account Code]=(TRIM($B122))),CsDJ[Credit])))+(SUM(IF((CRDJ[Date]=$A$3)*(CRDJ[Ofc Code]=(TRIM(G$4)))*(CRDJ[Account Code]=(TRIM($B122))),CRDJ[Credit])))+(SUM(IF((GJ[Date]=$A$3)*(GJ[Ofc Code]=(TRIM(G$4)))*(GJ[Account Code]=(TRIM($B122))),GJ[Credit]))))</f>
        <v>0</v>
      </c>
      <c r="G122" s="343">
        <f>E122+F122</f>
        <v>0</v>
      </c>
      <c r="H122" s="246">
        <f>G122-D122</f>
        <v>0</v>
      </c>
      <c r="I122" s="246">
        <f>IF((D122=0),0,G122/D122)</f>
        <v>0</v>
      </c>
    </row>
    <row r="123" spans="1:9">
      <c r="A123" s="256" t="s">
        <v>315</v>
      </c>
      <c r="B123" s="339" t="s">
        <v>270</v>
      </c>
      <c r="C123" s="245">
        <f t="array" ref="C123">SUM(IF((Budget[Account Code]=B123)*(Budget[Ofc Code]=$G$4),(Budget[Amount])))</f>
        <v>0</v>
      </c>
      <c r="D123" s="245">
        <f t="array" ref="D123">SUM(IF((Budget[Account Code]=B123)*(Budget[Ofc Code]=$G$4)*(Budget[Date]&lt;=$D$7),(Budget[Amount])))</f>
        <v>0</v>
      </c>
      <c r="E123" s="245">
        <f t="array" ref="E123">((SUM(IF((CkDJ[Ofc Code]=(TRIM(G$4)))*(CkDJ[Account Code]=(TRIM($B123)))*(CkDJ[Date]&lt;=$E$7),CkDJ[Debit])))+(SUM(IF((CsDJ[Ofc Code]=(TRIM(G$4)))*(CsDJ[Account Code]=(TRIM($B123)))*(CsDJ[Date]&lt;=$E$7),CsDJ[Debit])))+(SUM(IF((CRDJ[Ofc Code]=(TRIM(G$4)))*(CRDJ[Account Code]=(TRIM($B123)))*(CRDJ[Date]&lt;=$E$7),CRDJ[Debit])))+(SUM(IF((GJ[Ofc Code]=(TRIM(G$4)))*(GJ[Account Code]=(TRIM($B123)))*(GJ[Date]&lt;=$E$7),GJ[Debit]))))-((SUM(IF((CkDJ[Ofc Code]=(TRIM(G$4)))*(CkDJ[Account Code]=(TRIM($B123)))*(CkDJ[Date]&lt;=$E$7),CkDJ[Credit])))+(SUM(IF((CsDJ[Ofc Code]=(TRIM(G$4)))*(CsDJ[Account Code]=(TRIM($B123)))*(CsDJ[Date]&lt;=$E$7),CsDJ[Credit])))+(SUM(IF((CRDJ[Ofc Code]=(TRIM(G$4)))*(CRDJ[Account Code]=(TRIM($B123)))*(CRDJ[Date]&lt;=$E$7),CRDJ[Credit])))+(SUM(IF((GJ[Ofc Code]=(TRIM(G$4)))*(GJ[Account Code]=(TRIM($B123)))*(GJ[Date]&lt;=$E$7),GJ[Credit]))))</f>
        <v>0</v>
      </c>
      <c r="F123" s="245">
        <f t="array" ref="F123">((SUM(IF((CkDJ[Date]=$A$3)*(CkDJ[Ofc Code]=(TRIM(G$4)))*(CkDJ[Account Code]=(TRIM($B123))),CkDJ[Debit])))+(SUM(IF((CsDJ[Date]=$A$3)*(CsDJ[Ofc Code]=(TRIM(G$4)))*(CsDJ[Account Code]=(TRIM($B123))),CsDJ[Debit])))+(SUM(IF((CRDJ[Date]=$A$3)*(CRDJ[Ofc Code]=(TRIM(G$4)))*(CRDJ[Account Code]=(TRIM($B123))),CRDJ[Debit])))+(SUM(IF((GJ[Date]=$A$3)*(GJ[Ofc Code]=(TRIM(G$4)))*(GJ[Account Code]=(TRIM($B123))),GJ[Debit]))))-((SUM(IF((CkDJ[Date]=$A$3)*(CkDJ[Ofc Code]=(TRIM(G$4)))*(CkDJ[Account Code]=(TRIM($B123))),CkDJ[Credit])))+(SUM(IF((CsDJ[Date]=$A$3)*(CsDJ[Ofc Code]=(TRIM(G$4)))*(CsDJ[Account Code]=(TRIM($B123))),CsDJ[Credit])))+(SUM(IF((CRDJ[Date]=$A$3)*(CRDJ[Ofc Code]=(TRIM(G$4)))*(CRDJ[Account Code]=(TRIM($B123))),CRDJ[Credit])))+(SUM(IF((GJ[Date]=$A$3)*(GJ[Ofc Code]=(TRIM(G$4)))*(GJ[Account Code]=(TRIM($B123))),GJ[Credit]))))</f>
        <v>0</v>
      </c>
      <c r="G123" s="343">
        <f>E123+F123</f>
        <v>0</v>
      </c>
      <c r="H123" s="246">
        <f>G123-D123</f>
        <v>0</v>
      </c>
      <c r="I123" s="246">
        <f>IF((D123=0),0,G123/D123)</f>
        <v>0</v>
      </c>
    </row>
    <row r="124" spans="1:9" hidden="1">
      <c r="A124" s="256" t="s">
        <v>368</v>
      </c>
      <c r="B124" s="339" t="s">
        <v>271</v>
      </c>
      <c r="C124" s="245">
        <f t="array" ref="C124">SUM(IF((Budget[Account Code]=B124)*(Budget[Ofc Code]=$G$4),(Budget[Amount])))</f>
        <v>0</v>
      </c>
      <c r="D124" s="245">
        <f t="array" ref="D124">SUM(IF((Budget[Account Code]=B124)*(Budget[Ofc Code]=$G$4)*(Budget[Date]&lt;=$D$7),(Budget[Amount])))</f>
        <v>0</v>
      </c>
      <c r="E124" s="245">
        <f t="array" ref="E124">((SUM(IF((CkDJ[Ofc Code]=(TRIM(G$4)))*(CkDJ[Account Code]=(TRIM($B124)))*(CkDJ[Date]&lt;=$E$7),CkDJ[Debit])))+(SUM(IF((CsDJ[Ofc Code]=(TRIM(G$4)))*(CsDJ[Account Code]=(TRIM($B124)))*(CsDJ[Date]&lt;=$E$7),CsDJ[Debit])))+(SUM(IF((CRDJ[Ofc Code]=(TRIM(G$4)))*(CRDJ[Account Code]=(TRIM($B124)))*(CRDJ[Date]&lt;=$E$7),CRDJ[Debit])))+(SUM(IF((GJ[Ofc Code]=(TRIM(G$4)))*(GJ[Account Code]=(TRIM($B124)))*(GJ[Date]&lt;=$E$7),GJ[Debit]))))-((SUM(IF((CkDJ[Ofc Code]=(TRIM(G$4)))*(CkDJ[Account Code]=(TRIM($B124)))*(CkDJ[Date]&lt;=$E$7),CkDJ[Credit])))+(SUM(IF((CsDJ[Ofc Code]=(TRIM(G$4)))*(CsDJ[Account Code]=(TRIM($B124)))*(CsDJ[Date]&lt;=$E$7),CsDJ[Credit])))+(SUM(IF((CRDJ[Ofc Code]=(TRIM(G$4)))*(CRDJ[Account Code]=(TRIM($B124)))*(CRDJ[Date]&lt;=$E$7),CRDJ[Credit])))+(SUM(IF((GJ[Ofc Code]=(TRIM(G$4)))*(GJ[Account Code]=(TRIM($B124)))*(GJ[Date]&lt;=$E$7),GJ[Credit]))))</f>
        <v>0</v>
      </c>
      <c r="F124" s="245">
        <f t="array" ref="F124">((SUM(IF((CkDJ[Date]=$A$3)*(CkDJ[Ofc Code]=(TRIM(G$4)))*(CkDJ[Account Code]=(TRIM($B124))),CkDJ[Debit])))+(SUM(IF((CsDJ[Date]=$A$3)*(CsDJ[Ofc Code]=(TRIM(G$4)))*(CsDJ[Account Code]=(TRIM($B124))),CsDJ[Debit])))+(SUM(IF((CRDJ[Date]=$A$3)*(CRDJ[Ofc Code]=(TRIM(G$4)))*(CRDJ[Account Code]=(TRIM($B124))),CRDJ[Debit])))+(SUM(IF((GJ[Date]=$A$3)*(GJ[Ofc Code]=(TRIM(G$4)))*(GJ[Account Code]=(TRIM($B124))),GJ[Debit]))))-((SUM(IF((CkDJ[Date]=$A$3)*(CkDJ[Ofc Code]=(TRIM(G$4)))*(CkDJ[Account Code]=(TRIM($B124))),CkDJ[Credit])))+(SUM(IF((CsDJ[Date]=$A$3)*(CsDJ[Ofc Code]=(TRIM(G$4)))*(CsDJ[Account Code]=(TRIM($B124))),CsDJ[Credit])))+(SUM(IF((CRDJ[Date]=$A$3)*(CRDJ[Ofc Code]=(TRIM(G$4)))*(CRDJ[Account Code]=(TRIM($B124))),CRDJ[Credit])))+(SUM(IF((GJ[Date]=$A$3)*(GJ[Ofc Code]=(TRIM(G$4)))*(GJ[Account Code]=(TRIM($B124))),GJ[Credit]))))</f>
        <v>0</v>
      </c>
      <c r="G124" s="343">
        <f t="shared" si="6"/>
        <v>0</v>
      </c>
      <c r="H124" s="246">
        <f t="shared" si="7"/>
        <v>0</v>
      </c>
      <c r="I124" s="246">
        <f t="shared" si="8"/>
        <v>0</v>
      </c>
    </row>
    <row r="125" spans="1:9" hidden="1">
      <c r="A125" s="256" t="s">
        <v>316</v>
      </c>
      <c r="B125" s="339" t="s">
        <v>272</v>
      </c>
      <c r="C125" s="245">
        <f t="array" ref="C125">SUM(IF((Budget[Account Code]=B125)*(Budget[Ofc Code]=$G$4),(Budget[Amount])))</f>
        <v>168456.24</v>
      </c>
      <c r="D125" s="245">
        <f t="array" ref="D125">SUM(IF((Budget[Account Code]=B125)*(Budget[Ofc Code]=$G$4)*(Budget[Date]&lt;=$D$7),(Budget[Amount])))</f>
        <v>168456.24</v>
      </c>
      <c r="E125" s="245">
        <f t="array" ref="E125">((SUM(IF((CkDJ[Ofc Code]=(TRIM(G$4)))*(CkDJ[Account Code]=(TRIM($B125)))*(CkDJ[Date]&lt;=$E$7),CkDJ[Debit])))+(SUM(IF((CsDJ[Ofc Code]=(TRIM(G$4)))*(CsDJ[Account Code]=(TRIM($B125)))*(CsDJ[Date]&lt;=$E$7),CsDJ[Debit])))+(SUM(IF((CRDJ[Ofc Code]=(TRIM(G$4)))*(CRDJ[Account Code]=(TRIM($B125)))*(CRDJ[Date]&lt;=$E$7),CRDJ[Debit])))+(SUM(IF((GJ[Ofc Code]=(TRIM(G$4)))*(GJ[Account Code]=(TRIM($B125)))*(GJ[Date]&lt;=$E$7),GJ[Debit]))))-((SUM(IF((CkDJ[Ofc Code]=(TRIM(G$4)))*(CkDJ[Account Code]=(TRIM($B125)))*(CkDJ[Date]&lt;=$E$7),CkDJ[Credit])))+(SUM(IF((CsDJ[Ofc Code]=(TRIM(G$4)))*(CsDJ[Account Code]=(TRIM($B125)))*(CsDJ[Date]&lt;=$E$7),CsDJ[Credit])))+(SUM(IF((CRDJ[Ofc Code]=(TRIM(G$4)))*(CRDJ[Account Code]=(TRIM($B125)))*(CRDJ[Date]&lt;=$E$7),CRDJ[Credit])))+(SUM(IF((GJ[Ofc Code]=(TRIM(G$4)))*(GJ[Account Code]=(TRIM($B125)))*(GJ[Date]&lt;=$E$7),GJ[Credit]))))</f>
        <v>0</v>
      </c>
      <c r="F125" s="245">
        <f t="array" ref="F125">((SUM(IF((CkDJ[Date]=$A$3)*(CkDJ[Ofc Code]=(TRIM(G$4)))*(CkDJ[Account Code]=(TRIM($B125))),CkDJ[Debit])))+(SUM(IF((CsDJ[Date]=$A$3)*(CsDJ[Ofc Code]=(TRIM(G$4)))*(CsDJ[Account Code]=(TRIM($B125))),CsDJ[Debit])))+(SUM(IF((CRDJ[Date]=$A$3)*(CRDJ[Ofc Code]=(TRIM(G$4)))*(CRDJ[Account Code]=(TRIM($B125))),CRDJ[Debit])))+(SUM(IF((GJ[Date]=$A$3)*(GJ[Ofc Code]=(TRIM(G$4)))*(GJ[Account Code]=(TRIM($B125))),GJ[Debit]))))-((SUM(IF((CkDJ[Date]=$A$3)*(CkDJ[Ofc Code]=(TRIM(G$4)))*(CkDJ[Account Code]=(TRIM($B125))),CkDJ[Credit])))+(SUM(IF((CsDJ[Date]=$A$3)*(CsDJ[Ofc Code]=(TRIM(G$4)))*(CsDJ[Account Code]=(TRIM($B125))),CsDJ[Credit])))+(SUM(IF((CRDJ[Date]=$A$3)*(CRDJ[Ofc Code]=(TRIM(G$4)))*(CRDJ[Account Code]=(TRIM($B125))),CRDJ[Credit])))+(SUM(IF((GJ[Date]=$A$3)*(GJ[Ofc Code]=(TRIM(G$4)))*(GJ[Account Code]=(TRIM($B125))),GJ[Credit]))))</f>
        <v>0</v>
      </c>
      <c r="G125" s="343">
        <f t="shared" si="6"/>
        <v>0</v>
      </c>
      <c r="H125" s="246">
        <f t="shared" si="7"/>
        <v>-168456.24</v>
      </c>
      <c r="I125" s="246">
        <f t="shared" si="8"/>
        <v>0</v>
      </c>
    </row>
    <row r="126" spans="1:9" hidden="1">
      <c r="A126" s="256" t="s">
        <v>317</v>
      </c>
      <c r="B126" s="339" t="s">
        <v>273</v>
      </c>
      <c r="C126" s="245">
        <f t="array" ref="C126">SUM(IF((Budget[Account Code]=B126)*(Budget[Ofc Code]=$G$4),(Budget[Amount])))</f>
        <v>0</v>
      </c>
      <c r="D126" s="245">
        <f t="array" ref="D126">SUM(IF((Budget[Account Code]=B126)*(Budget[Ofc Code]=$G$4)*(Budget[Date]&lt;=$D$7),(Budget[Amount])))</f>
        <v>0</v>
      </c>
      <c r="E126" s="245">
        <f t="array" ref="E126">((SUM(IF((CkDJ[Ofc Code]=(TRIM(G$4)))*(CkDJ[Account Code]=(TRIM($B126)))*(CkDJ[Date]&lt;=$E$7),CkDJ[Debit])))+(SUM(IF((CsDJ[Ofc Code]=(TRIM(G$4)))*(CsDJ[Account Code]=(TRIM($B126)))*(CsDJ[Date]&lt;=$E$7),CsDJ[Debit])))+(SUM(IF((CRDJ[Ofc Code]=(TRIM(G$4)))*(CRDJ[Account Code]=(TRIM($B126)))*(CRDJ[Date]&lt;=$E$7),CRDJ[Debit])))+(SUM(IF((GJ[Ofc Code]=(TRIM(G$4)))*(GJ[Account Code]=(TRIM($B126)))*(GJ[Date]&lt;=$E$7),GJ[Debit]))))-((SUM(IF((CkDJ[Ofc Code]=(TRIM(G$4)))*(CkDJ[Account Code]=(TRIM($B126)))*(CkDJ[Date]&lt;=$E$7),CkDJ[Credit])))+(SUM(IF((CsDJ[Ofc Code]=(TRIM(G$4)))*(CsDJ[Account Code]=(TRIM($B126)))*(CsDJ[Date]&lt;=$E$7),CsDJ[Credit])))+(SUM(IF((CRDJ[Ofc Code]=(TRIM(G$4)))*(CRDJ[Account Code]=(TRIM($B126)))*(CRDJ[Date]&lt;=$E$7),CRDJ[Credit])))+(SUM(IF((GJ[Ofc Code]=(TRIM(G$4)))*(GJ[Account Code]=(TRIM($B126)))*(GJ[Date]&lt;=$E$7),GJ[Credit]))))</f>
        <v>0</v>
      </c>
      <c r="F126" s="245">
        <f t="array" ref="F126">((SUM(IF((CkDJ[Date]=$A$3)*(CkDJ[Ofc Code]=(TRIM(G$4)))*(CkDJ[Account Code]=(TRIM($B126))),CkDJ[Debit])))+(SUM(IF((CsDJ[Date]=$A$3)*(CsDJ[Ofc Code]=(TRIM(G$4)))*(CsDJ[Account Code]=(TRIM($B126))),CsDJ[Debit])))+(SUM(IF((CRDJ[Date]=$A$3)*(CRDJ[Ofc Code]=(TRIM(G$4)))*(CRDJ[Account Code]=(TRIM($B126))),CRDJ[Debit])))+(SUM(IF((GJ[Date]=$A$3)*(GJ[Ofc Code]=(TRIM(G$4)))*(GJ[Account Code]=(TRIM($B126))),GJ[Debit]))))-((SUM(IF((CkDJ[Date]=$A$3)*(CkDJ[Ofc Code]=(TRIM(G$4)))*(CkDJ[Account Code]=(TRIM($B126))),CkDJ[Credit])))+(SUM(IF((CsDJ[Date]=$A$3)*(CsDJ[Ofc Code]=(TRIM(G$4)))*(CsDJ[Account Code]=(TRIM($B126))),CsDJ[Credit])))+(SUM(IF((CRDJ[Date]=$A$3)*(CRDJ[Ofc Code]=(TRIM(G$4)))*(CRDJ[Account Code]=(TRIM($B126))),CRDJ[Credit])))+(SUM(IF((GJ[Date]=$A$3)*(GJ[Ofc Code]=(TRIM(G$4)))*(GJ[Account Code]=(TRIM($B126))),GJ[Credit]))))</f>
        <v>0</v>
      </c>
      <c r="G126" s="343">
        <f t="shared" si="6"/>
        <v>0</v>
      </c>
      <c r="H126" s="246">
        <f t="shared" si="7"/>
        <v>0</v>
      </c>
      <c r="I126" s="246">
        <f t="shared" si="8"/>
        <v>0</v>
      </c>
    </row>
    <row r="127" spans="1:9" hidden="1">
      <c r="A127" s="256" t="s">
        <v>318</v>
      </c>
      <c r="B127" s="339" t="s">
        <v>274</v>
      </c>
      <c r="C127" s="245">
        <f t="array" ref="C127">SUM(IF((Budget[Account Code]=B127)*(Budget[Ofc Code]=$G$4),(Budget[Amount])))</f>
        <v>0</v>
      </c>
      <c r="D127" s="245">
        <f t="array" ref="D127">SUM(IF((Budget[Account Code]=B127)*(Budget[Ofc Code]=$G$4)*(Budget[Date]&lt;=$D$7),(Budget[Amount])))</f>
        <v>0</v>
      </c>
      <c r="E127" s="245">
        <f t="array" ref="E127">((SUM(IF((CkDJ[Ofc Code]=(TRIM(G$4)))*(CkDJ[Account Code]=(TRIM($B127)))*(CkDJ[Date]&lt;=$E$7),CkDJ[Debit])))+(SUM(IF((CsDJ[Ofc Code]=(TRIM(G$4)))*(CsDJ[Account Code]=(TRIM($B127)))*(CsDJ[Date]&lt;=$E$7),CsDJ[Debit])))+(SUM(IF((CRDJ[Ofc Code]=(TRIM(G$4)))*(CRDJ[Account Code]=(TRIM($B127)))*(CRDJ[Date]&lt;=$E$7),CRDJ[Debit])))+(SUM(IF((GJ[Ofc Code]=(TRIM(G$4)))*(GJ[Account Code]=(TRIM($B127)))*(GJ[Date]&lt;=$E$7),GJ[Debit]))))-((SUM(IF((CkDJ[Ofc Code]=(TRIM(G$4)))*(CkDJ[Account Code]=(TRIM($B127)))*(CkDJ[Date]&lt;=$E$7),CkDJ[Credit])))+(SUM(IF((CsDJ[Ofc Code]=(TRIM(G$4)))*(CsDJ[Account Code]=(TRIM($B127)))*(CsDJ[Date]&lt;=$E$7),CsDJ[Credit])))+(SUM(IF((CRDJ[Ofc Code]=(TRIM(G$4)))*(CRDJ[Account Code]=(TRIM($B127)))*(CRDJ[Date]&lt;=$E$7),CRDJ[Credit])))+(SUM(IF((GJ[Ofc Code]=(TRIM(G$4)))*(GJ[Account Code]=(TRIM($B127)))*(GJ[Date]&lt;=$E$7),GJ[Credit]))))</f>
        <v>0</v>
      </c>
      <c r="F127" s="245">
        <f t="array" ref="F127">((SUM(IF((CkDJ[Date]=$A$3)*(CkDJ[Ofc Code]=(TRIM(G$4)))*(CkDJ[Account Code]=(TRIM($B127))),CkDJ[Debit])))+(SUM(IF((CsDJ[Date]=$A$3)*(CsDJ[Ofc Code]=(TRIM(G$4)))*(CsDJ[Account Code]=(TRIM($B127))),CsDJ[Debit])))+(SUM(IF((CRDJ[Date]=$A$3)*(CRDJ[Ofc Code]=(TRIM(G$4)))*(CRDJ[Account Code]=(TRIM($B127))),CRDJ[Debit])))+(SUM(IF((GJ[Date]=$A$3)*(GJ[Ofc Code]=(TRIM(G$4)))*(GJ[Account Code]=(TRIM($B127))),GJ[Debit]))))-((SUM(IF((CkDJ[Date]=$A$3)*(CkDJ[Ofc Code]=(TRIM(G$4)))*(CkDJ[Account Code]=(TRIM($B127))),CkDJ[Credit])))+(SUM(IF((CsDJ[Date]=$A$3)*(CsDJ[Ofc Code]=(TRIM(G$4)))*(CsDJ[Account Code]=(TRIM($B127))),CsDJ[Credit])))+(SUM(IF((CRDJ[Date]=$A$3)*(CRDJ[Ofc Code]=(TRIM(G$4)))*(CRDJ[Account Code]=(TRIM($B127))),CRDJ[Credit])))+(SUM(IF((GJ[Date]=$A$3)*(GJ[Ofc Code]=(TRIM(G$4)))*(GJ[Account Code]=(TRIM($B127))),GJ[Credit]))))</f>
        <v>0</v>
      </c>
      <c r="G127" s="343">
        <f t="shared" si="6"/>
        <v>0</v>
      </c>
      <c r="H127" s="246">
        <f t="shared" si="7"/>
        <v>0</v>
      </c>
      <c r="I127" s="246">
        <f t="shared" si="8"/>
        <v>0</v>
      </c>
    </row>
    <row r="128" spans="1:9" hidden="1">
      <c r="A128" s="256" t="s">
        <v>1028</v>
      </c>
      <c r="B128" s="339" t="s">
        <v>332</v>
      </c>
      <c r="C128" s="245">
        <f t="array" ref="C128">SUM(IF((Budget[Account Code]=B128)*(Budget[Ofc Code]=$G$4),(Budget[Amount])))</f>
        <v>0</v>
      </c>
      <c r="D128" s="245">
        <f t="array" ref="D128">SUM(IF((Budget[Account Code]=B128)*(Budget[Ofc Code]=$G$4)*(Budget[Date]&lt;=$D$7),(Budget[Amount])))</f>
        <v>0</v>
      </c>
      <c r="E128" s="245">
        <f t="array" ref="E128">((SUM(IF((CkDJ[Ofc Code]=(TRIM(G$4)))*(CkDJ[Account Code]=(TRIM($B128)))*(CkDJ[Date]&lt;=$E$7),CkDJ[Debit])))+(SUM(IF((CsDJ[Ofc Code]=(TRIM(G$4)))*(CsDJ[Account Code]=(TRIM($B128)))*(CsDJ[Date]&lt;=$E$7),CsDJ[Debit])))+(SUM(IF((CRDJ[Ofc Code]=(TRIM(G$4)))*(CRDJ[Account Code]=(TRIM($B128)))*(CRDJ[Date]&lt;=$E$7),CRDJ[Debit])))+(SUM(IF((GJ[Ofc Code]=(TRIM(G$4)))*(GJ[Account Code]=(TRIM($B128)))*(GJ[Date]&lt;=$E$7),GJ[Debit]))))-((SUM(IF((CkDJ[Ofc Code]=(TRIM(G$4)))*(CkDJ[Account Code]=(TRIM($B128)))*(CkDJ[Date]&lt;=$E$7),CkDJ[Credit])))+(SUM(IF((CsDJ[Ofc Code]=(TRIM(G$4)))*(CsDJ[Account Code]=(TRIM($B128)))*(CsDJ[Date]&lt;=$E$7),CsDJ[Credit])))+(SUM(IF((CRDJ[Ofc Code]=(TRIM(G$4)))*(CRDJ[Account Code]=(TRIM($B128)))*(CRDJ[Date]&lt;=$E$7),CRDJ[Credit])))+(SUM(IF((GJ[Ofc Code]=(TRIM(G$4)))*(GJ[Account Code]=(TRIM($B128)))*(GJ[Date]&lt;=$E$7),GJ[Credit]))))</f>
        <v>0</v>
      </c>
      <c r="F128" s="245">
        <f t="array" ref="F128">((SUM(IF((CkDJ[Date]=$A$3)*(CkDJ[Ofc Code]=(TRIM(G$4)))*(CkDJ[Account Code]=(TRIM($B128))),CkDJ[Debit])))+(SUM(IF((CsDJ[Date]=$A$3)*(CsDJ[Ofc Code]=(TRIM(G$4)))*(CsDJ[Account Code]=(TRIM($B128))),CsDJ[Debit])))+(SUM(IF((CRDJ[Date]=$A$3)*(CRDJ[Ofc Code]=(TRIM(G$4)))*(CRDJ[Account Code]=(TRIM($B128))),CRDJ[Debit])))+(SUM(IF((GJ[Date]=$A$3)*(GJ[Ofc Code]=(TRIM(G$4)))*(GJ[Account Code]=(TRIM($B128))),GJ[Debit]))))-((SUM(IF((CkDJ[Date]=$A$3)*(CkDJ[Ofc Code]=(TRIM(G$4)))*(CkDJ[Account Code]=(TRIM($B128))),CkDJ[Credit])))+(SUM(IF((CsDJ[Date]=$A$3)*(CsDJ[Ofc Code]=(TRIM(G$4)))*(CsDJ[Account Code]=(TRIM($B128))),CsDJ[Credit])))+(SUM(IF((CRDJ[Date]=$A$3)*(CRDJ[Ofc Code]=(TRIM(G$4)))*(CRDJ[Account Code]=(TRIM($B128))),CRDJ[Credit])))+(SUM(IF((GJ[Date]=$A$3)*(GJ[Ofc Code]=(TRIM(G$4)))*(GJ[Account Code]=(TRIM($B128))),GJ[Credit]))))</f>
        <v>0</v>
      </c>
      <c r="G128" s="343">
        <f t="shared" si="6"/>
        <v>0</v>
      </c>
      <c r="H128" s="246">
        <f t="shared" si="7"/>
        <v>0</v>
      </c>
      <c r="I128" s="246">
        <f t="shared" si="8"/>
        <v>0</v>
      </c>
    </row>
    <row r="129" spans="1:9" hidden="1">
      <c r="A129" s="256" t="s">
        <v>343</v>
      </c>
      <c r="B129" s="339" t="s">
        <v>334</v>
      </c>
      <c r="C129" s="245">
        <f t="array" ref="C129">SUM(IF((Budget[Account Code]=B129)*(Budget[Ofc Code]=$G$4),(Budget[Amount])))</f>
        <v>0</v>
      </c>
      <c r="D129" s="245">
        <f t="array" ref="D129">SUM(IF((Budget[Account Code]=B129)*(Budget[Ofc Code]=$G$4)*(Budget[Date]&lt;=$D$7),(Budget[Amount])))</f>
        <v>0</v>
      </c>
      <c r="E129" s="245">
        <f t="array" ref="E129">((SUM(IF((CkDJ[Ofc Code]=(TRIM(G$4)))*(CkDJ[Account Code]=(TRIM($B129)))*(CkDJ[Date]&lt;=$E$7),CkDJ[Debit])))+(SUM(IF((CsDJ[Ofc Code]=(TRIM(G$4)))*(CsDJ[Account Code]=(TRIM($B129)))*(CsDJ[Date]&lt;=$E$7),CsDJ[Debit])))+(SUM(IF((CRDJ[Ofc Code]=(TRIM(G$4)))*(CRDJ[Account Code]=(TRIM($B129)))*(CRDJ[Date]&lt;=$E$7),CRDJ[Debit])))+(SUM(IF((GJ[Ofc Code]=(TRIM(G$4)))*(GJ[Account Code]=(TRIM($B129)))*(GJ[Date]&lt;=$E$7),GJ[Debit]))))-((SUM(IF((CkDJ[Ofc Code]=(TRIM(G$4)))*(CkDJ[Account Code]=(TRIM($B129)))*(CkDJ[Date]&lt;=$E$7),CkDJ[Credit])))+(SUM(IF((CsDJ[Ofc Code]=(TRIM(G$4)))*(CsDJ[Account Code]=(TRIM($B129)))*(CsDJ[Date]&lt;=$E$7),CsDJ[Credit])))+(SUM(IF((CRDJ[Ofc Code]=(TRIM(G$4)))*(CRDJ[Account Code]=(TRIM($B129)))*(CRDJ[Date]&lt;=$E$7),CRDJ[Credit])))+(SUM(IF((GJ[Ofc Code]=(TRIM(G$4)))*(GJ[Account Code]=(TRIM($B129)))*(GJ[Date]&lt;=$E$7),GJ[Credit]))))</f>
        <v>0</v>
      </c>
      <c r="F129" s="245">
        <f t="array" ref="F129">((SUM(IF((CkDJ[Date]=$A$3)*(CkDJ[Ofc Code]=(TRIM(G$4)))*(CkDJ[Account Code]=(TRIM($B129))),CkDJ[Debit])))+(SUM(IF((CsDJ[Date]=$A$3)*(CsDJ[Ofc Code]=(TRIM(G$4)))*(CsDJ[Account Code]=(TRIM($B129))),CsDJ[Debit])))+(SUM(IF((CRDJ[Date]=$A$3)*(CRDJ[Ofc Code]=(TRIM(G$4)))*(CRDJ[Account Code]=(TRIM($B129))),CRDJ[Debit])))+(SUM(IF((GJ[Date]=$A$3)*(GJ[Ofc Code]=(TRIM(G$4)))*(GJ[Account Code]=(TRIM($B129))),GJ[Debit]))))-((SUM(IF((CkDJ[Date]=$A$3)*(CkDJ[Ofc Code]=(TRIM(G$4)))*(CkDJ[Account Code]=(TRIM($B129))),CkDJ[Credit])))+(SUM(IF((CsDJ[Date]=$A$3)*(CsDJ[Ofc Code]=(TRIM(G$4)))*(CsDJ[Account Code]=(TRIM($B129))),CsDJ[Credit])))+(SUM(IF((CRDJ[Date]=$A$3)*(CRDJ[Ofc Code]=(TRIM(G$4)))*(CRDJ[Account Code]=(TRIM($B129))),CRDJ[Credit])))+(SUM(IF((GJ[Date]=$A$3)*(GJ[Ofc Code]=(TRIM(G$4)))*(GJ[Account Code]=(TRIM($B129))),GJ[Credit]))))</f>
        <v>0</v>
      </c>
      <c r="G129" s="343">
        <f t="shared" si="6"/>
        <v>0</v>
      </c>
      <c r="H129" s="246">
        <f t="shared" si="7"/>
        <v>0</v>
      </c>
      <c r="I129" s="246">
        <f t="shared" si="8"/>
        <v>0</v>
      </c>
    </row>
    <row r="130" spans="1:9" hidden="1">
      <c r="A130" s="256" t="s">
        <v>344</v>
      </c>
      <c r="B130" s="339" t="s">
        <v>335</v>
      </c>
      <c r="C130" s="245">
        <f t="array" ref="C130">SUM(IF((Budget[Account Code]=B130)*(Budget[Ofc Code]=$G$4),(Budget[Amount])))</f>
        <v>0</v>
      </c>
      <c r="D130" s="245">
        <f t="array" ref="D130">SUM(IF((Budget[Account Code]=B130)*(Budget[Ofc Code]=$G$4)*(Budget[Date]&lt;=$D$7),(Budget[Amount])))</f>
        <v>0</v>
      </c>
      <c r="E130" s="245">
        <f t="array" ref="E130">((SUM(IF((CkDJ[Ofc Code]=(TRIM(G$4)))*(CkDJ[Account Code]=(TRIM($B130)))*(CkDJ[Date]&lt;=$E$7),CkDJ[Debit])))+(SUM(IF((CsDJ[Ofc Code]=(TRIM(G$4)))*(CsDJ[Account Code]=(TRIM($B130)))*(CsDJ[Date]&lt;=$E$7),CsDJ[Debit])))+(SUM(IF((CRDJ[Ofc Code]=(TRIM(G$4)))*(CRDJ[Account Code]=(TRIM($B130)))*(CRDJ[Date]&lt;=$E$7),CRDJ[Debit])))+(SUM(IF((GJ[Ofc Code]=(TRIM(G$4)))*(GJ[Account Code]=(TRIM($B130)))*(GJ[Date]&lt;=$E$7),GJ[Debit]))))-((SUM(IF((CkDJ[Ofc Code]=(TRIM(G$4)))*(CkDJ[Account Code]=(TRIM($B130)))*(CkDJ[Date]&lt;=$E$7),CkDJ[Credit])))+(SUM(IF((CsDJ[Ofc Code]=(TRIM(G$4)))*(CsDJ[Account Code]=(TRIM($B130)))*(CsDJ[Date]&lt;=$E$7),CsDJ[Credit])))+(SUM(IF((CRDJ[Ofc Code]=(TRIM(G$4)))*(CRDJ[Account Code]=(TRIM($B130)))*(CRDJ[Date]&lt;=$E$7),CRDJ[Credit])))+(SUM(IF((GJ[Ofc Code]=(TRIM(G$4)))*(GJ[Account Code]=(TRIM($B130)))*(GJ[Date]&lt;=$E$7),GJ[Credit]))))</f>
        <v>0</v>
      </c>
      <c r="F130" s="245">
        <f t="array" ref="F130">((SUM(IF((CkDJ[Date]=$A$3)*(CkDJ[Ofc Code]=(TRIM(G$4)))*(CkDJ[Account Code]=(TRIM($B130))),CkDJ[Debit])))+(SUM(IF((CsDJ[Date]=$A$3)*(CsDJ[Ofc Code]=(TRIM(G$4)))*(CsDJ[Account Code]=(TRIM($B130))),CsDJ[Debit])))+(SUM(IF((CRDJ[Date]=$A$3)*(CRDJ[Ofc Code]=(TRIM(G$4)))*(CRDJ[Account Code]=(TRIM($B130))),CRDJ[Debit])))+(SUM(IF((GJ[Date]=$A$3)*(GJ[Ofc Code]=(TRIM(G$4)))*(GJ[Account Code]=(TRIM($B130))),GJ[Debit]))))-((SUM(IF((CkDJ[Date]=$A$3)*(CkDJ[Ofc Code]=(TRIM(G$4)))*(CkDJ[Account Code]=(TRIM($B130))),CkDJ[Credit])))+(SUM(IF((CsDJ[Date]=$A$3)*(CsDJ[Ofc Code]=(TRIM(G$4)))*(CsDJ[Account Code]=(TRIM($B130))),CsDJ[Credit])))+(SUM(IF((CRDJ[Date]=$A$3)*(CRDJ[Ofc Code]=(TRIM(G$4)))*(CRDJ[Account Code]=(TRIM($B130))),CRDJ[Credit])))+(SUM(IF((GJ[Date]=$A$3)*(GJ[Ofc Code]=(TRIM(G$4)))*(GJ[Account Code]=(TRIM($B130))),GJ[Credit]))))</f>
        <v>0</v>
      </c>
      <c r="G130" s="343">
        <f t="shared" si="6"/>
        <v>0</v>
      </c>
      <c r="H130" s="246">
        <f t="shared" si="7"/>
        <v>0</v>
      </c>
      <c r="I130" s="246">
        <f t="shared" si="8"/>
        <v>0</v>
      </c>
    </row>
    <row r="131" spans="1:9" hidden="1">
      <c r="A131" s="256" t="s">
        <v>368</v>
      </c>
      <c r="B131" s="339" t="s">
        <v>405</v>
      </c>
      <c r="C131" s="245">
        <f t="array" ref="C131">SUM(IF((Budget[Account Code]=B131)*(Budget[Ofc Code]=$G$4),(Budget[Amount])))</f>
        <v>0</v>
      </c>
      <c r="D131" s="245">
        <f t="array" ref="D131">SUM(IF((Budget[Account Code]=B131)*(Budget[Ofc Code]=$G$4)*(Budget[Date]&lt;=$D$7),(Budget[Amount])))</f>
        <v>0</v>
      </c>
      <c r="E131" s="245">
        <f t="array" ref="E131">((SUM(IF((CkDJ[Ofc Code]=(TRIM(G$4)))*(CkDJ[Account Code]=(TRIM($B131)))*(CkDJ[Date]&lt;=$E$7),CkDJ[Debit])))+(SUM(IF((CsDJ[Ofc Code]=(TRIM(G$4)))*(CsDJ[Account Code]=(TRIM($B131)))*(CsDJ[Date]&lt;=$E$7),CsDJ[Debit])))+(SUM(IF((CRDJ[Ofc Code]=(TRIM(G$4)))*(CRDJ[Account Code]=(TRIM($B131)))*(CRDJ[Date]&lt;=$E$7),CRDJ[Debit])))+(SUM(IF((GJ[Ofc Code]=(TRIM(G$4)))*(GJ[Account Code]=(TRIM($B131)))*(GJ[Date]&lt;=$E$7),GJ[Debit]))))-((SUM(IF((CkDJ[Ofc Code]=(TRIM(G$4)))*(CkDJ[Account Code]=(TRIM($B131)))*(CkDJ[Date]&lt;=$E$7),CkDJ[Credit])))+(SUM(IF((CsDJ[Ofc Code]=(TRIM(G$4)))*(CsDJ[Account Code]=(TRIM($B131)))*(CsDJ[Date]&lt;=$E$7),CsDJ[Credit])))+(SUM(IF((CRDJ[Ofc Code]=(TRIM(G$4)))*(CRDJ[Account Code]=(TRIM($B131)))*(CRDJ[Date]&lt;=$E$7),CRDJ[Credit])))+(SUM(IF((GJ[Ofc Code]=(TRIM(G$4)))*(GJ[Account Code]=(TRIM($B131)))*(GJ[Date]&lt;=$E$7),GJ[Credit]))))</f>
        <v>0</v>
      </c>
      <c r="F131" s="245">
        <f t="array" ref="F131">((SUM(IF((CkDJ[Date]=$A$3)*(CkDJ[Ofc Code]=(TRIM(G$4)))*(CkDJ[Account Code]=(TRIM($B131))),CkDJ[Debit])))+(SUM(IF((CsDJ[Date]=$A$3)*(CsDJ[Ofc Code]=(TRIM(G$4)))*(CsDJ[Account Code]=(TRIM($B131))),CsDJ[Debit])))+(SUM(IF((CRDJ[Date]=$A$3)*(CRDJ[Ofc Code]=(TRIM(G$4)))*(CRDJ[Account Code]=(TRIM($B131))),CRDJ[Debit])))+(SUM(IF((GJ[Date]=$A$3)*(GJ[Ofc Code]=(TRIM(G$4)))*(GJ[Account Code]=(TRIM($B131))),GJ[Debit]))))-((SUM(IF((CkDJ[Date]=$A$3)*(CkDJ[Ofc Code]=(TRIM(G$4)))*(CkDJ[Account Code]=(TRIM($B131))),CkDJ[Credit])))+(SUM(IF((CsDJ[Date]=$A$3)*(CsDJ[Ofc Code]=(TRIM(G$4)))*(CsDJ[Account Code]=(TRIM($B131))),CsDJ[Credit])))+(SUM(IF((CRDJ[Date]=$A$3)*(CRDJ[Ofc Code]=(TRIM(G$4)))*(CRDJ[Account Code]=(TRIM($B131))),CRDJ[Credit])))+(SUM(IF((GJ[Date]=$A$3)*(GJ[Ofc Code]=(TRIM(G$4)))*(GJ[Account Code]=(TRIM($B131))),GJ[Credit]))))</f>
        <v>0</v>
      </c>
      <c r="G131" s="343">
        <f t="shared" si="6"/>
        <v>0</v>
      </c>
      <c r="H131" s="246">
        <f t="shared" si="7"/>
        <v>0</v>
      </c>
      <c r="I131" s="246">
        <f t="shared" si="8"/>
        <v>0</v>
      </c>
    </row>
    <row r="132" spans="1:9" hidden="1">
      <c r="A132" s="256" t="s">
        <v>345</v>
      </c>
      <c r="B132" s="339" t="s">
        <v>336</v>
      </c>
      <c r="C132" s="245">
        <f t="array" ref="C132">SUM(IF((Budget[Account Code]=B132)*(Budget[Ofc Code]=$G$4),(Budget[Amount])))</f>
        <v>0</v>
      </c>
      <c r="D132" s="245">
        <f t="array" ref="D132">SUM(IF((Budget[Account Code]=B132)*(Budget[Ofc Code]=$G$4)*(Budget[Date]&lt;=$D$7),(Budget[Amount])))</f>
        <v>0</v>
      </c>
      <c r="E132" s="245">
        <f t="array" ref="E132">((SUM(IF((CkDJ[Ofc Code]=(TRIM(G$4)))*(CkDJ[Account Code]=(TRIM($B132)))*(CkDJ[Date]&lt;=$E$7),CkDJ[Debit])))+(SUM(IF((CsDJ[Ofc Code]=(TRIM(G$4)))*(CsDJ[Account Code]=(TRIM($B132)))*(CsDJ[Date]&lt;=$E$7),CsDJ[Debit])))+(SUM(IF((CRDJ[Ofc Code]=(TRIM(G$4)))*(CRDJ[Account Code]=(TRIM($B132)))*(CRDJ[Date]&lt;=$E$7),CRDJ[Debit])))+(SUM(IF((GJ[Ofc Code]=(TRIM(G$4)))*(GJ[Account Code]=(TRIM($B132)))*(GJ[Date]&lt;=$E$7),GJ[Debit]))))-((SUM(IF((CkDJ[Ofc Code]=(TRIM(G$4)))*(CkDJ[Account Code]=(TRIM($B132)))*(CkDJ[Date]&lt;=$E$7),CkDJ[Credit])))+(SUM(IF((CsDJ[Ofc Code]=(TRIM(G$4)))*(CsDJ[Account Code]=(TRIM($B132)))*(CsDJ[Date]&lt;=$E$7),CsDJ[Credit])))+(SUM(IF((CRDJ[Ofc Code]=(TRIM(G$4)))*(CRDJ[Account Code]=(TRIM($B132)))*(CRDJ[Date]&lt;=$E$7),CRDJ[Credit])))+(SUM(IF((GJ[Ofc Code]=(TRIM(G$4)))*(GJ[Account Code]=(TRIM($B132)))*(GJ[Date]&lt;=$E$7),GJ[Credit]))))</f>
        <v>0</v>
      </c>
      <c r="F132" s="245">
        <f t="array" ref="F132">((SUM(IF((CkDJ[Date]=$A$3)*(CkDJ[Ofc Code]=(TRIM(G$4)))*(CkDJ[Account Code]=(TRIM($B132))),CkDJ[Debit])))+(SUM(IF((CsDJ[Date]=$A$3)*(CsDJ[Ofc Code]=(TRIM(G$4)))*(CsDJ[Account Code]=(TRIM($B132))),CsDJ[Debit])))+(SUM(IF((CRDJ[Date]=$A$3)*(CRDJ[Ofc Code]=(TRIM(G$4)))*(CRDJ[Account Code]=(TRIM($B132))),CRDJ[Debit])))+(SUM(IF((GJ[Date]=$A$3)*(GJ[Ofc Code]=(TRIM(G$4)))*(GJ[Account Code]=(TRIM($B132))),GJ[Debit]))))-((SUM(IF((CkDJ[Date]=$A$3)*(CkDJ[Ofc Code]=(TRIM(G$4)))*(CkDJ[Account Code]=(TRIM($B132))),CkDJ[Credit])))+(SUM(IF((CsDJ[Date]=$A$3)*(CsDJ[Ofc Code]=(TRIM(G$4)))*(CsDJ[Account Code]=(TRIM($B132))),CsDJ[Credit])))+(SUM(IF((CRDJ[Date]=$A$3)*(CRDJ[Ofc Code]=(TRIM(G$4)))*(CRDJ[Account Code]=(TRIM($B132))),CRDJ[Credit])))+(SUM(IF((GJ[Date]=$A$3)*(GJ[Ofc Code]=(TRIM(G$4)))*(GJ[Account Code]=(TRIM($B132))),GJ[Credit]))))</f>
        <v>0</v>
      </c>
      <c r="G132" s="343">
        <f t="shared" si="6"/>
        <v>0</v>
      </c>
      <c r="H132" s="246">
        <f t="shared" si="7"/>
        <v>0</v>
      </c>
      <c r="I132" s="246">
        <f t="shared" si="8"/>
        <v>0</v>
      </c>
    </row>
    <row r="133" spans="1:9" hidden="1">
      <c r="A133" s="256" t="s">
        <v>346</v>
      </c>
      <c r="B133" s="339" t="s">
        <v>337</v>
      </c>
      <c r="C133" s="245">
        <f t="array" ref="C133">SUM(IF((Budget[Account Code]=B133)*(Budget[Ofc Code]=$G$4),(Budget[Amount])))</f>
        <v>0</v>
      </c>
      <c r="D133" s="245">
        <f t="array" ref="D133">SUM(IF((Budget[Account Code]=B133)*(Budget[Ofc Code]=$G$4)*(Budget[Date]&lt;=$D$7),(Budget[Amount])))</f>
        <v>0</v>
      </c>
      <c r="E133" s="245">
        <f t="array" ref="E133">((SUM(IF((CkDJ[Ofc Code]=(TRIM(G$4)))*(CkDJ[Account Code]=(TRIM($B133)))*(CkDJ[Date]&lt;=$E$7),CkDJ[Debit])))+(SUM(IF((CsDJ[Ofc Code]=(TRIM(G$4)))*(CsDJ[Account Code]=(TRIM($B133)))*(CsDJ[Date]&lt;=$E$7),CsDJ[Debit])))+(SUM(IF((CRDJ[Ofc Code]=(TRIM(G$4)))*(CRDJ[Account Code]=(TRIM($B133)))*(CRDJ[Date]&lt;=$E$7),CRDJ[Debit])))+(SUM(IF((GJ[Ofc Code]=(TRIM(G$4)))*(GJ[Account Code]=(TRIM($B133)))*(GJ[Date]&lt;=$E$7),GJ[Debit]))))-((SUM(IF((CkDJ[Ofc Code]=(TRIM(G$4)))*(CkDJ[Account Code]=(TRIM($B133)))*(CkDJ[Date]&lt;=$E$7),CkDJ[Credit])))+(SUM(IF((CsDJ[Ofc Code]=(TRIM(G$4)))*(CsDJ[Account Code]=(TRIM($B133)))*(CsDJ[Date]&lt;=$E$7),CsDJ[Credit])))+(SUM(IF((CRDJ[Ofc Code]=(TRIM(G$4)))*(CRDJ[Account Code]=(TRIM($B133)))*(CRDJ[Date]&lt;=$E$7),CRDJ[Credit])))+(SUM(IF((GJ[Ofc Code]=(TRIM(G$4)))*(GJ[Account Code]=(TRIM($B133)))*(GJ[Date]&lt;=$E$7),GJ[Credit]))))</f>
        <v>0</v>
      </c>
      <c r="F133" s="245">
        <f t="array" ref="F133">((SUM(IF((CkDJ[Date]=$A$3)*(CkDJ[Ofc Code]=(TRIM(G$4)))*(CkDJ[Account Code]=(TRIM($B133))),CkDJ[Debit])))+(SUM(IF((CsDJ[Date]=$A$3)*(CsDJ[Ofc Code]=(TRIM(G$4)))*(CsDJ[Account Code]=(TRIM($B133))),CsDJ[Debit])))+(SUM(IF((CRDJ[Date]=$A$3)*(CRDJ[Ofc Code]=(TRIM(G$4)))*(CRDJ[Account Code]=(TRIM($B133))),CRDJ[Debit])))+(SUM(IF((GJ[Date]=$A$3)*(GJ[Ofc Code]=(TRIM(G$4)))*(GJ[Account Code]=(TRIM($B133))),GJ[Debit]))))-((SUM(IF((CkDJ[Date]=$A$3)*(CkDJ[Ofc Code]=(TRIM(G$4)))*(CkDJ[Account Code]=(TRIM($B133))),CkDJ[Credit])))+(SUM(IF((CsDJ[Date]=$A$3)*(CsDJ[Ofc Code]=(TRIM(G$4)))*(CsDJ[Account Code]=(TRIM($B133))),CsDJ[Credit])))+(SUM(IF((CRDJ[Date]=$A$3)*(CRDJ[Ofc Code]=(TRIM(G$4)))*(CRDJ[Account Code]=(TRIM($B133))),CRDJ[Credit])))+(SUM(IF((GJ[Date]=$A$3)*(GJ[Ofc Code]=(TRIM(G$4)))*(GJ[Account Code]=(TRIM($B133))),GJ[Credit]))))</f>
        <v>0</v>
      </c>
      <c r="G133" s="343">
        <f t="shared" si="6"/>
        <v>0</v>
      </c>
      <c r="H133" s="246">
        <f t="shared" si="7"/>
        <v>0</v>
      </c>
      <c r="I133" s="246">
        <f t="shared" si="8"/>
        <v>0</v>
      </c>
    </row>
    <row r="134" spans="1:9" hidden="1">
      <c r="A134" s="256" t="s">
        <v>1030</v>
      </c>
      <c r="B134" s="339" t="s">
        <v>986</v>
      </c>
      <c r="C134" s="245">
        <f t="array" ref="C134">SUM(IF((Budget[Account Code]=B134)*(Budget[Ofc Code]=$G$4),(Budget[Amount])))</f>
        <v>0</v>
      </c>
      <c r="D134" s="245">
        <f t="array" ref="D134">SUM(IF((Budget[Account Code]=B134)*(Budget[Ofc Code]=$G$4)*(Budget[Date]&lt;=$D$7),(Budget[Amount])))</f>
        <v>0</v>
      </c>
      <c r="E134" s="245">
        <f t="array" ref="E134">((SUM(IF((CkDJ[Ofc Code]=(TRIM(G$4)))*(CkDJ[Account Code]=(TRIM($B134)))*(CkDJ[Date]&lt;=$E$7),CkDJ[Debit])))+(SUM(IF((CsDJ[Ofc Code]=(TRIM(G$4)))*(CsDJ[Account Code]=(TRIM($B134)))*(CsDJ[Date]&lt;=$E$7),CsDJ[Debit])))+(SUM(IF((CRDJ[Ofc Code]=(TRIM(G$4)))*(CRDJ[Account Code]=(TRIM($B134)))*(CRDJ[Date]&lt;=$E$7),CRDJ[Debit])))+(SUM(IF((GJ[Ofc Code]=(TRIM(G$4)))*(GJ[Account Code]=(TRIM($B134)))*(GJ[Date]&lt;=$E$7),GJ[Debit]))))-((SUM(IF((CkDJ[Ofc Code]=(TRIM(G$4)))*(CkDJ[Account Code]=(TRIM($B134)))*(CkDJ[Date]&lt;=$E$7),CkDJ[Credit])))+(SUM(IF((CsDJ[Ofc Code]=(TRIM(G$4)))*(CsDJ[Account Code]=(TRIM($B134)))*(CsDJ[Date]&lt;=$E$7),CsDJ[Credit])))+(SUM(IF((CRDJ[Ofc Code]=(TRIM(G$4)))*(CRDJ[Account Code]=(TRIM($B134)))*(CRDJ[Date]&lt;=$E$7),CRDJ[Credit])))+(SUM(IF((GJ[Ofc Code]=(TRIM(G$4)))*(GJ[Account Code]=(TRIM($B134)))*(GJ[Date]&lt;=$E$7),GJ[Credit]))))</f>
        <v>0</v>
      </c>
      <c r="F134" s="245">
        <f t="array" ref="F134">((SUM(IF((CkDJ[Date]=$A$3)*(CkDJ[Ofc Code]=(TRIM(G$4)))*(CkDJ[Account Code]=(TRIM($B134))),CkDJ[Debit])))+(SUM(IF((CsDJ[Date]=$A$3)*(CsDJ[Ofc Code]=(TRIM(G$4)))*(CsDJ[Account Code]=(TRIM($B134))),CsDJ[Debit])))+(SUM(IF((CRDJ[Date]=$A$3)*(CRDJ[Ofc Code]=(TRIM(G$4)))*(CRDJ[Account Code]=(TRIM($B134))),CRDJ[Debit])))+(SUM(IF((GJ[Date]=$A$3)*(GJ[Ofc Code]=(TRIM(G$4)))*(GJ[Account Code]=(TRIM($B134))),GJ[Debit]))))-((SUM(IF((CkDJ[Date]=$A$3)*(CkDJ[Ofc Code]=(TRIM(G$4)))*(CkDJ[Account Code]=(TRIM($B134))),CkDJ[Credit])))+(SUM(IF((CsDJ[Date]=$A$3)*(CsDJ[Ofc Code]=(TRIM(G$4)))*(CsDJ[Account Code]=(TRIM($B134))),CsDJ[Credit])))+(SUM(IF((CRDJ[Date]=$A$3)*(CRDJ[Ofc Code]=(TRIM(G$4)))*(CRDJ[Account Code]=(TRIM($B134))),CRDJ[Credit])))+(SUM(IF((GJ[Date]=$A$3)*(GJ[Ofc Code]=(TRIM(G$4)))*(GJ[Account Code]=(TRIM($B134))),GJ[Credit]))))</f>
        <v>0</v>
      </c>
      <c r="G134" s="343">
        <f t="shared" si="6"/>
        <v>0</v>
      </c>
      <c r="H134" s="246">
        <f t="shared" si="7"/>
        <v>0</v>
      </c>
      <c r="I134" s="246">
        <f t="shared" si="8"/>
        <v>0</v>
      </c>
    </row>
    <row r="135" spans="1:9" hidden="1">
      <c r="A135" s="256" t="s">
        <v>1029</v>
      </c>
      <c r="B135" s="339" t="s">
        <v>987</v>
      </c>
      <c r="C135" s="245">
        <f t="array" ref="C135">SUM(IF((Budget[Account Code]=B135)*(Budget[Ofc Code]=$G$4),(Budget[Amount])))</f>
        <v>0</v>
      </c>
      <c r="D135" s="245">
        <f t="array" ref="D135">SUM(IF((Budget[Account Code]=B135)*(Budget[Ofc Code]=$G$4)*(Budget[Date]&lt;=$D$7),(Budget[Amount])))</f>
        <v>0</v>
      </c>
      <c r="E135" s="245">
        <f t="array" ref="E135">((SUM(IF((CkDJ[Ofc Code]=(TRIM(G$4)))*(CkDJ[Account Code]=(TRIM($B135)))*(CkDJ[Date]&lt;=$E$7),CkDJ[Debit])))+(SUM(IF((CsDJ[Ofc Code]=(TRIM(G$4)))*(CsDJ[Account Code]=(TRIM($B135)))*(CsDJ[Date]&lt;=$E$7),CsDJ[Debit])))+(SUM(IF((CRDJ[Ofc Code]=(TRIM(G$4)))*(CRDJ[Account Code]=(TRIM($B135)))*(CRDJ[Date]&lt;=$E$7),CRDJ[Debit])))+(SUM(IF((GJ[Ofc Code]=(TRIM(G$4)))*(GJ[Account Code]=(TRIM($B135)))*(GJ[Date]&lt;=$E$7),GJ[Debit]))))-((SUM(IF((CkDJ[Ofc Code]=(TRIM(G$4)))*(CkDJ[Account Code]=(TRIM($B135)))*(CkDJ[Date]&lt;=$E$7),CkDJ[Credit])))+(SUM(IF((CsDJ[Ofc Code]=(TRIM(G$4)))*(CsDJ[Account Code]=(TRIM($B135)))*(CsDJ[Date]&lt;=$E$7),CsDJ[Credit])))+(SUM(IF((CRDJ[Ofc Code]=(TRIM(G$4)))*(CRDJ[Account Code]=(TRIM($B135)))*(CRDJ[Date]&lt;=$E$7),CRDJ[Credit])))+(SUM(IF((GJ[Ofc Code]=(TRIM(G$4)))*(GJ[Account Code]=(TRIM($B135)))*(GJ[Date]&lt;=$E$7),GJ[Credit]))))</f>
        <v>0</v>
      </c>
      <c r="F135" s="245">
        <f t="array" ref="F135">((SUM(IF((CkDJ[Date]=$A$3)*(CkDJ[Ofc Code]=(TRIM(G$4)))*(CkDJ[Account Code]=(TRIM($B135))),CkDJ[Debit])))+(SUM(IF((CsDJ[Date]=$A$3)*(CsDJ[Ofc Code]=(TRIM(G$4)))*(CsDJ[Account Code]=(TRIM($B135))),CsDJ[Debit])))+(SUM(IF((CRDJ[Date]=$A$3)*(CRDJ[Ofc Code]=(TRIM(G$4)))*(CRDJ[Account Code]=(TRIM($B135))),CRDJ[Debit])))+(SUM(IF((GJ[Date]=$A$3)*(GJ[Ofc Code]=(TRIM(G$4)))*(GJ[Account Code]=(TRIM($B135))),GJ[Debit]))))-((SUM(IF((CkDJ[Date]=$A$3)*(CkDJ[Ofc Code]=(TRIM(G$4)))*(CkDJ[Account Code]=(TRIM($B135))),CkDJ[Credit])))+(SUM(IF((CsDJ[Date]=$A$3)*(CsDJ[Ofc Code]=(TRIM(G$4)))*(CsDJ[Account Code]=(TRIM($B135))),CsDJ[Credit])))+(SUM(IF((CRDJ[Date]=$A$3)*(CRDJ[Ofc Code]=(TRIM(G$4)))*(CRDJ[Account Code]=(TRIM($B135))),CRDJ[Credit])))+(SUM(IF((GJ[Date]=$A$3)*(GJ[Ofc Code]=(TRIM(G$4)))*(GJ[Account Code]=(TRIM($B135))),GJ[Credit]))))</f>
        <v>0</v>
      </c>
      <c r="G135" s="343">
        <f t="shared" si="6"/>
        <v>0</v>
      </c>
      <c r="H135" s="246">
        <f t="shared" si="7"/>
        <v>0</v>
      </c>
      <c r="I135" s="246">
        <f t="shared" si="8"/>
        <v>0</v>
      </c>
    </row>
    <row r="136" spans="1:9" hidden="1">
      <c r="A136" s="256" t="s">
        <v>990</v>
      </c>
      <c r="B136" s="339" t="s">
        <v>988</v>
      </c>
      <c r="C136" s="245">
        <f t="array" ref="C136">SUM(IF((Budget[Account Code]=B136)*(Budget[Ofc Code]=$G$4),(Budget[Amount])))</f>
        <v>0</v>
      </c>
      <c r="D136" s="245">
        <f t="array" ref="D136">SUM(IF((Budget[Account Code]=B136)*(Budget[Ofc Code]=$G$4)*(Budget[Date]&lt;=$D$7),(Budget[Amount])))</f>
        <v>0</v>
      </c>
      <c r="E136" s="245">
        <f t="array" ref="E136">((SUM(IF((CkDJ[Ofc Code]=(TRIM(G$4)))*(CkDJ[Account Code]=(TRIM($B136)))*(CkDJ[Date]&lt;=$E$7),CkDJ[Debit])))+(SUM(IF((CsDJ[Ofc Code]=(TRIM(G$4)))*(CsDJ[Account Code]=(TRIM($B136)))*(CsDJ[Date]&lt;=$E$7),CsDJ[Debit])))+(SUM(IF((CRDJ[Ofc Code]=(TRIM(G$4)))*(CRDJ[Account Code]=(TRIM($B136)))*(CRDJ[Date]&lt;=$E$7),CRDJ[Debit])))+(SUM(IF((GJ[Ofc Code]=(TRIM(G$4)))*(GJ[Account Code]=(TRIM($B136)))*(GJ[Date]&lt;=$E$7),GJ[Debit]))))-((SUM(IF((CkDJ[Ofc Code]=(TRIM(G$4)))*(CkDJ[Account Code]=(TRIM($B136)))*(CkDJ[Date]&lt;=$E$7),CkDJ[Credit])))+(SUM(IF((CsDJ[Ofc Code]=(TRIM(G$4)))*(CsDJ[Account Code]=(TRIM($B136)))*(CsDJ[Date]&lt;=$E$7),CsDJ[Credit])))+(SUM(IF((CRDJ[Ofc Code]=(TRIM(G$4)))*(CRDJ[Account Code]=(TRIM($B136)))*(CRDJ[Date]&lt;=$E$7),CRDJ[Credit])))+(SUM(IF((GJ[Ofc Code]=(TRIM(G$4)))*(GJ[Account Code]=(TRIM($B136)))*(GJ[Date]&lt;=$E$7),GJ[Credit]))))</f>
        <v>0</v>
      </c>
      <c r="F136" s="245">
        <f t="array" ref="F136">((SUM(IF((CkDJ[Date]=$A$3)*(CkDJ[Ofc Code]=(TRIM(G$4)))*(CkDJ[Account Code]=(TRIM($B136))),CkDJ[Debit])))+(SUM(IF((CsDJ[Date]=$A$3)*(CsDJ[Ofc Code]=(TRIM(G$4)))*(CsDJ[Account Code]=(TRIM($B136))),CsDJ[Debit])))+(SUM(IF((CRDJ[Date]=$A$3)*(CRDJ[Ofc Code]=(TRIM(G$4)))*(CRDJ[Account Code]=(TRIM($B136))),CRDJ[Debit])))+(SUM(IF((GJ[Date]=$A$3)*(GJ[Ofc Code]=(TRIM(G$4)))*(GJ[Account Code]=(TRIM($B136))),GJ[Debit]))))-((SUM(IF((CkDJ[Date]=$A$3)*(CkDJ[Ofc Code]=(TRIM(G$4)))*(CkDJ[Account Code]=(TRIM($B136))),CkDJ[Credit])))+(SUM(IF((CsDJ[Date]=$A$3)*(CsDJ[Ofc Code]=(TRIM(G$4)))*(CsDJ[Account Code]=(TRIM($B136))),CsDJ[Credit])))+(SUM(IF((CRDJ[Date]=$A$3)*(CRDJ[Ofc Code]=(TRIM(G$4)))*(CRDJ[Account Code]=(TRIM($B136))),CRDJ[Credit])))+(SUM(IF((GJ[Date]=$A$3)*(GJ[Ofc Code]=(TRIM(G$4)))*(GJ[Account Code]=(TRIM($B136))),GJ[Credit]))))</f>
        <v>0</v>
      </c>
      <c r="G136" s="343">
        <f t="shared" si="6"/>
        <v>0</v>
      </c>
      <c r="H136" s="246">
        <f t="shared" si="7"/>
        <v>0</v>
      </c>
      <c r="I136" s="246">
        <f t="shared" si="8"/>
        <v>0</v>
      </c>
    </row>
    <row r="137" spans="1:9" hidden="1">
      <c r="A137" s="256" t="s">
        <v>349</v>
      </c>
      <c r="B137" s="339" t="s">
        <v>340</v>
      </c>
      <c r="C137" s="245">
        <f t="array" ref="C137">SUM(IF((Budget[Account Code]=B137)*(Budget[Ofc Code]=$G$4),(Budget[Amount])))</f>
        <v>0</v>
      </c>
      <c r="D137" s="245">
        <f t="array" ref="D137">SUM(IF((Budget[Account Code]=B137)*(Budget[Ofc Code]=$G$4)*(Budget[Date]&lt;=$D$7),(Budget[Amount])))</f>
        <v>0</v>
      </c>
      <c r="E137" s="245">
        <f t="array" ref="E137">((SUM(IF((CkDJ[Ofc Code]=(TRIM(G$4)))*(CkDJ[Account Code]=(TRIM($B137)))*(CkDJ[Date]&lt;=$E$7),CkDJ[Debit])))+(SUM(IF((CsDJ[Ofc Code]=(TRIM(G$4)))*(CsDJ[Account Code]=(TRIM($B137)))*(CsDJ[Date]&lt;=$E$7),CsDJ[Debit])))+(SUM(IF((CRDJ[Ofc Code]=(TRIM(G$4)))*(CRDJ[Account Code]=(TRIM($B137)))*(CRDJ[Date]&lt;=$E$7),CRDJ[Debit])))+(SUM(IF((GJ[Ofc Code]=(TRIM(G$4)))*(GJ[Account Code]=(TRIM($B137)))*(GJ[Date]&lt;=$E$7),GJ[Debit]))))-((SUM(IF((CkDJ[Ofc Code]=(TRIM(G$4)))*(CkDJ[Account Code]=(TRIM($B137)))*(CkDJ[Date]&lt;=$E$7),CkDJ[Credit])))+(SUM(IF((CsDJ[Ofc Code]=(TRIM(G$4)))*(CsDJ[Account Code]=(TRIM($B137)))*(CsDJ[Date]&lt;=$E$7),CsDJ[Credit])))+(SUM(IF((CRDJ[Ofc Code]=(TRIM(G$4)))*(CRDJ[Account Code]=(TRIM($B137)))*(CRDJ[Date]&lt;=$E$7),CRDJ[Credit])))+(SUM(IF((GJ[Ofc Code]=(TRIM(G$4)))*(GJ[Account Code]=(TRIM($B137)))*(GJ[Date]&lt;=$E$7),GJ[Credit]))))</f>
        <v>0</v>
      </c>
      <c r="F137" s="245">
        <f t="array" ref="F137">((SUM(IF((CkDJ[Date]=$A$3)*(CkDJ[Ofc Code]=(TRIM(G$4)))*(CkDJ[Account Code]=(TRIM($B137))),CkDJ[Debit])))+(SUM(IF((CsDJ[Date]=$A$3)*(CsDJ[Ofc Code]=(TRIM(G$4)))*(CsDJ[Account Code]=(TRIM($B137))),CsDJ[Debit])))+(SUM(IF((CRDJ[Date]=$A$3)*(CRDJ[Ofc Code]=(TRIM(G$4)))*(CRDJ[Account Code]=(TRIM($B137))),CRDJ[Debit])))+(SUM(IF((GJ[Date]=$A$3)*(GJ[Ofc Code]=(TRIM(G$4)))*(GJ[Account Code]=(TRIM($B137))),GJ[Debit]))))-((SUM(IF((CkDJ[Date]=$A$3)*(CkDJ[Ofc Code]=(TRIM(G$4)))*(CkDJ[Account Code]=(TRIM($B137))),CkDJ[Credit])))+(SUM(IF((CsDJ[Date]=$A$3)*(CsDJ[Ofc Code]=(TRIM(G$4)))*(CsDJ[Account Code]=(TRIM($B137))),CsDJ[Credit])))+(SUM(IF((CRDJ[Date]=$A$3)*(CRDJ[Ofc Code]=(TRIM(G$4)))*(CRDJ[Account Code]=(TRIM($B137))),CRDJ[Credit])))+(SUM(IF((GJ[Date]=$A$3)*(GJ[Ofc Code]=(TRIM(G$4)))*(GJ[Account Code]=(TRIM($B137))),GJ[Credit]))))</f>
        <v>0</v>
      </c>
      <c r="G137" s="343">
        <f t="shared" si="6"/>
        <v>0</v>
      </c>
      <c r="H137" s="246">
        <f t="shared" si="7"/>
        <v>0</v>
      </c>
      <c r="I137" s="246">
        <f t="shared" si="8"/>
        <v>0</v>
      </c>
    </row>
    <row r="138" spans="1:9">
      <c r="A138" s="255" t="s">
        <v>805</v>
      </c>
      <c r="B138" s="337"/>
      <c r="C138" s="245"/>
      <c r="D138" s="245"/>
      <c r="E138" s="246"/>
      <c r="F138" s="245"/>
      <c r="G138" s="246"/>
      <c r="H138" s="246">
        <f t="shared" si="7"/>
        <v>0</v>
      </c>
      <c r="I138" s="246">
        <f t="shared" si="8"/>
        <v>0</v>
      </c>
    </row>
    <row r="139" spans="1:9">
      <c r="A139" s="253" t="s">
        <v>808</v>
      </c>
      <c r="B139" s="337"/>
      <c r="C139" s="242">
        <f>SUM(C140:C143)</f>
        <v>0</v>
      </c>
      <c r="D139" s="242">
        <f>SUM(D140:D143)</f>
        <v>0</v>
      </c>
      <c r="E139" s="242">
        <f>SUM(E140:E143)</f>
        <v>0</v>
      </c>
      <c r="F139" s="242">
        <f>SUM(F140:F143)</f>
        <v>0</v>
      </c>
      <c r="G139" s="242">
        <f>SUM(G140:G143)</f>
        <v>0</v>
      </c>
      <c r="H139" s="246">
        <f t="shared" si="7"/>
        <v>0</v>
      </c>
      <c r="I139" s="246">
        <f t="shared" si="8"/>
        <v>0</v>
      </c>
    </row>
    <row r="140" spans="1:9" hidden="1">
      <c r="A140" s="256" t="s">
        <v>342</v>
      </c>
      <c r="B140" s="339" t="s">
        <v>333</v>
      </c>
      <c r="C140" s="245">
        <f t="array" ref="C140">SUM(IF((Budget[Account Code]=B140)*(Budget[Ofc Code]=$G$4),(Budget[Amount])))</f>
        <v>0</v>
      </c>
      <c r="D140" s="245">
        <f t="array" ref="D140">SUM(IF((Budget[Account Code]=B140)*(Budget[Ofc Code]=$G$4)*(Budget[Date]&lt;=$D$7),(Budget[Amount])))</f>
        <v>0</v>
      </c>
      <c r="E140" s="245">
        <f t="array" ref="E140">((SUM(IF((CkDJ[Ofc Code]=(TRIM(G$4)))*(CkDJ[Account Code]=(TRIM($B140)))*(CkDJ[Date]&lt;=$E$7),CkDJ[Debit])))+(SUM(IF((CsDJ[Ofc Code]=(TRIM(G$4)))*(CsDJ[Account Code]=(TRIM($B140)))*(CsDJ[Date]&lt;=$E$7),CsDJ[Debit])))+(SUM(IF((CRDJ[Ofc Code]=(TRIM(G$4)))*(CRDJ[Account Code]=(TRIM($B140)))*(CRDJ[Date]&lt;=$E$7),CRDJ[Debit])))+(SUM(IF((GJ[Ofc Code]=(TRIM(G$4)))*(GJ[Account Code]=(TRIM($B140)))*(GJ[Date]&lt;=$E$7),GJ[Debit]))))-((SUM(IF((CkDJ[Ofc Code]=(TRIM(G$4)))*(CkDJ[Account Code]=(TRIM($B140)))*(CkDJ[Date]&lt;=$E$7),CkDJ[Credit])))+(SUM(IF((CsDJ[Ofc Code]=(TRIM(G$4)))*(CsDJ[Account Code]=(TRIM($B140)))*(CsDJ[Date]&lt;=$E$7),CsDJ[Credit])))+(SUM(IF((CRDJ[Ofc Code]=(TRIM(G$4)))*(CRDJ[Account Code]=(TRIM($B140)))*(CRDJ[Date]&lt;=$E$7),CRDJ[Credit])))+(SUM(IF((GJ[Ofc Code]=(TRIM(G$4)))*(GJ[Account Code]=(TRIM($B140)))*(GJ[Date]&lt;=$E$7),GJ[Credit]))))</f>
        <v>0</v>
      </c>
      <c r="F140" s="245">
        <f t="array" ref="F140">((SUM(IF((CkDJ[Date]=$A$3)*(CkDJ[Ofc Code]=(TRIM(G$4)))*(CkDJ[Account Code]=(TRIM($B140))),CkDJ[Debit])))+(SUM(IF((CsDJ[Date]=$A$3)*(CsDJ[Ofc Code]=(TRIM(G$4)))*(CsDJ[Account Code]=(TRIM($B140))),CsDJ[Debit])))+(SUM(IF((CRDJ[Date]=$A$3)*(CRDJ[Ofc Code]=(TRIM(G$4)))*(CRDJ[Account Code]=(TRIM($B140))),CRDJ[Debit])))+(SUM(IF((GJ[Date]=$A$3)*(GJ[Ofc Code]=(TRIM(G$4)))*(GJ[Account Code]=(TRIM($B140))),GJ[Debit]))))-((SUM(IF((CkDJ[Date]=$A$3)*(CkDJ[Ofc Code]=(TRIM(G$4)))*(CkDJ[Account Code]=(TRIM($B140))),CkDJ[Credit])))+(SUM(IF((CsDJ[Date]=$A$3)*(CsDJ[Ofc Code]=(TRIM(G$4)))*(CsDJ[Account Code]=(TRIM($B140))),CsDJ[Credit])))+(SUM(IF((CRDJ[Date]=$A$3)*(CRDJ[Ofc Code]=(TRIM(G$4)))*(CRDJ[Account Code]=(TRIM($B140))),CRDJ[Credit])))+(SUM(IF((GJ[Date]=$A$3)*(GJ[Ofc Code]=(TRIM(G$4)))*(GJ[Account Code]=(TRIM($B140))),GJ[Credit]))))</f>
        <v>0</v>
      </c>
      <c r="G140" s="343">
        <f>E140+F140</f>
        <v>0</v>
      </c>
      <c r="H140" s="246">
        <f t="shared" si="7"/>
        <v>0</v>
      </c>
      <c r="I140" s="246">
        <f t="shared" si="8"/>
        <v>0</v>
      </c>
    </row>
    <row r="141" spans="1:9" hidden="1">
      <c r="A141" s="256" t="s">
        <v>1031</v>
      </c>
      <c r="B141" s="339" t="s">
        <v>992</v>
      </c>
      <c r="C141" s="245">
        <f t="array" ref="C141">SUM(IF((Budget[Account Code]=B141)*(Budget[Ofc Code]=$G$4),(Budget[Amount])))</f>
        <v>0</v>
      </c>
      <c r="D141" s="245">
        <f t="array" ref="D141">SUM(IF((Budget[Account Code]=B141)*(Budget[Ofc Code]=$G$4)*(Budget[Date]&lt;=$D$7),(Budget[Amount])))</f>
        <v>0</v>
      </c>
      <c r="E141" s="245">
        <f t="array" ref="E141">((SUM(IF((CkDJ[Ofc Code]=(TRIM(G$4)))*(CkDJ[Account Code]=(TRIM($B141)))*(CkDJ[Date]&lt;=$E$7),CkDJ[Debit])))+(SUM(IF((CsDJ[Ofc Code]=(TRIM(G$4)))*(CsDJ[Account Code]=(TRIM($B141)))*(CsDJ[Date]&lt;=$E$7),CsDJ[Debit])))+(SUM(IF((CRDJ[Ofc Code]=(TRIM(G$4)))*(CRDJ[Account Code]=(TRIM($B141)))*(CRDJ[Date]&lt;=$E$7),CRDJ[Debit])))+(SUM(IF((GJ[Ofc Code]=(TRIM(G$4)))*(GJ[Account Code]=(TRIM($B141)))*(GJ[Date]&lt;=$E$7),GJ[Debit]))))-((SUM(IF((CkDJ[Ofc Code]=(TRIM(G$4)))*(CkDJ[Account Code]=(TRIM($B141)))*(CkDJ[Date]&lt;=$E$7),CkDJ[Credit])))+(SUM(IF((CsDJ[Ofc Code]=(TRIM(G$4)))*(CsDJ[Account Code]=(TRIM($B141)))*(CsDJ[Date]&lt;=$E$7),CsDJ[Credit])))+(SUM(IF((CRDJ[Ofc Code]=(TRIM(G$4)))*(CRDJ[Account Code]=(TRIM($B141)))*(CRDJ[Date]&lt;=$E$7),CRDJ[Credit])))+(SUM(IF((GJ[Ofc Code]=(TRIM(G$4)))*(GJ[Account Code]=(TRIM($B141)))*(GJ[Date]&lt;=$E$7),GJ[Credit]))))</f>
        <v>0</v>
      </c>
      <c r="F141" s="245">
        <f t="array" ref="F141">((SUM(IF((CkDJ[Date]=$A$3)*(CkDJ[Ofc Code]=(TRIM(G$4)))*(CkDJ[Account Code]=(TRIM($B141))),CkDJ[Debit])))+(SUM(IF((CsDJ[Date]=$A$3)*(CsDJ[Ofc Code]=(TRIM(G$4)))*(CsDJ[Account Code]=(TRIM($B141))),CsDJ[Debit])))+(SUM(IF((CRDJ[Date]=$A$3)*(CRDJ[Ofc Code]=(TRIM(G$4)))*(CRDJ[Account Code]=(TRIM($B141))),CRDJ[Debit])))+(SUM(IF((GJ[Date]=$A$3)*(GJ[Ofc Code]=(TRIM(G$4)))*(GJ[Account Code]=(TRIM($B141))),GJ[Debit]))))-((SUM(IF((CkDJ[Date]=$A$3)*(CkDJ[Ofc Code]=(TRIM(G$4)))*(CkDJ[Account Code]=(TRIM($B141))),CkDJ[Credit])))+(SUM(IF((CsDJ[Date]=$A$3)*(CsDJ[Ofc Code]=(TRIM(G$4)))*(CsDJ[Account Code]=(TRIM($B141))),CsDJ[Credit])))+(SUM(IF((CRDJ[Date]=$A$3)*(CRDJ[Ofc Code]=(TRIM(G$4)))*(CRDJ[Account Code]=(TRIM($B141))),CRDJ[Credit])))+(SUM(IF((GJ[Date]=$A$3)*(GJ[Ofc Code]=(TRIM(G$4)))*(GJ[Account Code]=(TRIM($B141))),GJ[Credit]))))</f>
        <v>0</v>
      </c>
      <c r="G141" s="343">
        <f>E141+F141</f>
        <v>0</v>
      </c>
      <c r="H141" s="246">
        <f t="shared" si="7"/>
        <v>0</v>
      </c>
      <c r="I141" s="246">
        <f t="shared" si="8"/>
        <v>0</v>
      </c>
    </row>
    <row r="142" spans="1:9" hidden="1">
      <c r="A142" s="256" t="s">
        <v>1032</v>
      </c>
      <c r="B142" s="339" t="s">
        <v>993</v>
      </c>
      <c r="C142" s="245">
        <f t="array" ref="C142">SUM(IF((Budget[Account Code]=B142)*(Budget[Ofc Code]=$G$4),(Budget[Amount])))</f>
        <v>0</v>
      </c>
      <c r="D142" s="245">
        <f t="array" ref="D142">SUM(IF((Budget[Account Code]=B142)*(Budget[Ofc Code]=$G$4)*(Budget[Date]&lt;=$D$7),(Budget[Amount])))</f>
        <v>0</v>
      </c>
      <c r="E142" s="245">
        <f t="array" ref="E142">((SUM(IF((CkDJ[Ofc Code]=(TRIM(G$4)))*(CkDJ[Account Code]=(TRIM($B142)))*(CkDJ[Date]&lt;=$E$7),CkDJ[Debit])))+(SUM(IF((CsDJ[Ofc Code]=(TRIM(G$4)))*(CsDJ[Account Code]=(TRIM($B142)))*(CsDJ[Date]&lt;=$E$7),CsDJ[Debit])))+(SUM(IF((CRDJ[Ofc Code]=(TRIM(G$4)))*(CRDJ[Account Code]=(TRIM($B142)))*(CRDJ[Date]&lt;=$E$7),CRDJ[Debit])))+(SUM(IF((GJ[Ofc Code]=(TRIM(G$4)))*(GJ[Account Code]=(TRIM($B142)))*(GJ[Date]&lt;=$E$7),GJ[Debit]))))-((SUM(IF((CkDJ[Ofc Code]=(TRIM(G$4)))*(CkDJ[Account Code]=(TRIM($B142)))*(CkDJ[Date]&lt;=$E$7),CkDJ[Credit])))+(SUM(IF((CsDJ[Ofc Code]=(TRIM(G$4)))*(CsDJ[Account Code]=(TRIM($B142)))*(CsDJ[Date]&lt;=$E$7),CsDJ[Credit])))+(SUM(IF((CRDJ[Ofc Code]=(TRIM(G$4)))*(CRDJ[Account Code]=(TRIM($B142)))*(CRDJ[Date]&lt;=$E$7),CRDJ[Credit])))+(SUM(IF((GJ[Ofc Code]=(TRIM(G$4)))*(GJ[Account Code]=(TRIM($B142)))*(GJ[Date]&lt;=$E$7),GJ[Credit]))))</f>
        <v>0</v>
      </c>
      <c r="F142" s="245">
        <f t="array" ref="F142">((SUM(IF((CkDJ[Date]=$A$3)*(CkDJ[Ofc Code]=(TRIM(G$4)))*(CkDJ[Account Code]=(TRIM($B142))),CkDJ[Debit])))+(SUM(IF((CsDJ[Date]=$A$3)*(CsDJ[Ofc Code]=(TRIM(G$4)))*(CsDJ[Account Code]=(TRIM($B142))),CsDJ[Debit])))+(SUM(IF((CRDJ[Date]=$A$3)*(CRDJ[Ofc Code]=(TRIM(G$4)))*(CRDJ[Account Code]=(TRIM($B142))),CRDJ[Debit])))+(SUM(IF((GJ[Date]=$A$3)*(GJ[Ofc Code]=(TRIM(G$4)))*(GJ[Account Code]=(TRIM($B142))),GJ[Debit]))))-((SUM(IF((CkDJ[Date]=$A$3)*(CkDJ[Ofc Code]=(TRIM(G$4)))*(CkDJ[Account Code]=(TRIM($B142))),CkDJ[Credit])))+(SUM(IF((CsDJ[Date]=$A$3)*(CsDJ[Ofc Code]=(TRIM(G$4)))*(CsDJ[Account Code]=(TRIM($B142))),CsDJ[Credit])))+(SUM(IF((CRDJ[Date]=$A$3)*(CRDJ[Ofc Code]=(TRIM(G$4)))*(CRDJ[Account Code]=(TRIM($B142))),CRDJ[Credit])))+(SUM(IF((GJ[Date]=$A$3)*(GJ[Ofc Code]=(TRIM(G$4)))*(GJ[Account Code]=(TRIM($B142))),GJ[Credit]))))</f>
        <v>0</v>
      </c>
      <c r="G142" s="343">
        <f>E142+F142</f>
        <v>0</v>
      </c>
      <c r="H142" s="246">
        <f t="shared" si="7"/>
        <v>0</v>
      </c>
      <c r="I142" s="246">
        <f t="shared" si="8"/>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7"/>
        <v>0</v>
      </c>
      <c r="I143" s="246">
        <f t="shared" si="8"/>
        <v>0</v>
      </c>
    </row>
    <row r="144" spans="1:9">
      <c r="A144" s="239" t="s">
        <v>807</v>
      </c>
      <c r="B144" s="337"/>
      <c r="C144" s="252">
        <f>C145+C146</f>
        <v>0</v>
      </c>
      <c r="D144" s="252">
        <f>D145+D146</f>
        <v>0</v>
      </c>
      <c r="E144" s="252">
        <f>E145+E146</f>
        <v>0</v>
      </c>
      <c r="F144" s="252">
        <f>F145+F146</f>
        <v>0</v>
      </c>
      <c r="G144" s="252">
        <f>G145+G146</f>
        <v>0</v>
      </c>
      <c r="H144" s="242">
        <f t="shared" si="7"/>
        <v>0</v>
      </c>
      <c r="I144" s="242">
        <f t="shared" si="8"/>
        <v>0</v>
      </c>
    </row>
    <row r="145" spans="1:9">
      <c r="A145" s="243" t="s">
        <v>806</v>
      </c>
      <c r="B145" s="339" t="s">
        <v>991</v>
      </c>
      <c r="C145" s="245">
        <f t="array" ref="C145">SUM(IF((Budget[Account Code]=B145)*(Budget[Ofc Code]=$G$4),(Budget[Amount])))</f>
        <v>0</v>
      </c>
      <c r="D145" s="245">
        <f t="array" ref="D145">SUM(IF((Budget[Account Code]=B145)*(Budget[Ofc Code]=$G$4)*(Budget[Date]&lt;=$D$7),(Budget[Amount])))</f>
        <v>0</v>
      </c>
      <c r="E145" s="245">
        <f t="array" ref="E145">((SUM(IF((CkDJ[Ofc Code]=(TRIM(G$4)))*(CkDJ[Account Code]=(TRIM($B145)))*(CkDJ[Date]&lt;=$E$7),CkDJ[Debit])))+(SUM(IF((CsDJ[Ofc Code]=(TRIM(G$4)))*(CsDJ[Account Code]=(TRIM($B145)))*(CsDJ[Date]&lt;=$E$7),CsDJ[Debit])))+(SUM(IF((CRDJ[Ofc Code]=(TRIM(G$4)))*(CRDJ[Account Code]=(TRIM($B145)))*(CRDJ[Date]&lt;=$E$7),CRDJ[Debit])))+(SUM(IF((GJ[Ofc Code]=(TRIM(G$4)))*(GJ[Account Code]=(TRIM($B145)))*(GJ[Date]&lt;=$E$7),GJ[Debit]))))-((SUM(IF((CkDJ[Ofc Code]=(TRIM(G$4)))*(CkDJ[Account Code]=(TRIM($B145)))*(CkDJ[Date]&lt;=$E$7),CkDJ[Credit])))+(SUM(IF((CsDJ[Ofc Code]=(TRIM(G$4)))*(CsDJ[Account Code]=(TRIM($B145)))*(CsDJ[Date]&lt;=$E$7),CsDJ[Credit])))+(SUM(IF((CRDJ[Ofc Code]=(TRIM(G$4)))*(CRDJ[Account Code]=(TRIM($B145)))*(CRDJ[Date]&lt;=$E$7),CRDJ[Credit])))+(SUM(IF((GJ[Ofc Code]=(TRIM(G$4)))*(GJ[Account Code]=(TRIM($B145)))*(GJ[Date]&lt;=$E$7),GJ[Credit]))))</f>
        <v>0</v>
      </c>
      <c r="F145" s="245">
        <f t="array" ref="F145">((SUM(IF((CkDJ[Date]=$A$3)*(CkDJ[Ofc Code]=(TRIM(G$4)))*(CkDJ[Account Code]=(TRIM($B145))),CkDJ[Debit])))+(SUM(IF((CsDJ[Date]=$A$3)*(CsDJ[Ofc Code]=(TRIM(G$4)))*(CsDJ[Account Code]=(TRIM($B145))),CsDJ[Debit])))+(SUM(IF((CRDJ[Date]=$A$3)*(CRDJ[Ofc Code]=(TRIM(G$4)))*(CRDJ[Account Code]=(TRIM($B145))),CRDJ[Debit])))+(SUM(IF((GJ[Date]=$A$3)*(GJ[Ofc Code]=(TRIM(G$4)))*(GJ[Account Code]=(TRIM($B145))),GJ[Debit]))))-((SUM(IF((CkDJ[Date]=$A$3)*(CkDJ[Ofc Code]=(TRIM(G$4)))*(CkDJ[Account Code]=(TRIM($B145))),CkDJ[Credit])))+(SUM(IF((CsDJ[Date]=$A$3)*(CsDJ[Ofc Code]=(TRIM(G$4)))*(CsDJ[Account Code]=(TRIM($B145))),CsDJ[Credit])))+(SUM(IF((CRDJ[Date]=$A$3)*(CRDJ[Ofc Code]=(TRIM(G$4)))*(CRDJ[Account Code]=(TRIM($B145))),CRDJ[Credit])))+(SUM(IF((GJ[Date]=$A$3)*(GJ[Ofc Code]=(TRIM(G$4)))*(GJ[Account Code]=(TRIM($B145))),GJ[Credit]))))</f>
        <v>0</v>
      </c>
      <c r="G145" s="343">
        <f>E145+F145</f>
        <v>0</v>
      </c>
      <c r="H145" s="246">
        <f t="shared" si="7"/>
        <v>0</v>
      </c>
      <c r="I145" s="246">
        <f t="shared" si="8"/>
        <v>0</v>
      </c>
    </row>
    <row r="146" spans="1:9">
      <c r="A146" s="243" t="s">
        <v>805</v>
      </c>
      <c r="B146" s="337"/>
      <c r="C146" s="245"/>
      <c r="D146" s="245"/>
      <c r="E146" s="246"/>
      <c r="F146" s="245"/>
      <c r="G146" s="343">
        <f>E146+F146</f>
        <v>0</v>
      </c>
      <c r="H146" s="246">
        <f t="shared" si="7"/>
        <v>0</v>
      </c>
      <c r="I146" s="246">
        <f t="shared" si="8"/>
        <v>0</v>
      </c>
    </row>
    <row r="147" spans="1:9">
      <c r="A147" s="251" t="s">
        <v>804</v>
      </c>
      <c r="B147" s="338"/>
      <c r="C147" s="250">
        <f>C50+C76+C144</f>
        <v>9222285.5600000005</v>
      </c>
      <c r="D147" s="250">
        <f>D50+D76+D144</f>
        <v>9222285.5600000005</v>
      </c>
      <c r="E147" s="250">
        <f>E50+E76+E144</f>
        <v>0</v>
      </c>
      <c r="F147" s="250">
        <f>F50+F76+F144</f>
        <v>0</v>
      </c>
      <c r="G147" s="250">
        <f>G50+G76+G144</f>
        <v>0</v>
      </c>
      <c r="H147" s="250">
        <f t="shared" si="7"/>
        <v>-9222285.5600000005</v>
      </c>
      <c r="I147" s="250">
        <f t="shared" si="8"/>
        <v>0</v>
      </c>
    </row>
    <row r="148" spans="1:9">
      <c r="A148" s="251" t="s">
        <v>785</v>
      </c>
      <c r="B148" s="338"/>
      <c r="C148" s="250">
        <f>C48-C147</f>
        <v>-8396285.5600000005</v>
      </c>
      <c r="D148" s="250">
        <f>D48-D147</f>
        <v>-8396285.5600000005</v>
      </c>
      <c r="E148" s="250">
        <f>E48-E147</f>
        <v>0</v>
      </c>
      <c r="F148" s="250">
        <f>F48-F147</f>
        <v>0</v>
      </c>
      <c r="G148" s="250">
        <f>G48-G147</f>
        <v>0</v>
      </c>
      <c r="H148" s="250">
        <f t="shared" si="7"/>
        <v>8396285.5600000005</v>
      </c>
      <c r="I148" s="250">
        <f t="shared" si="8"/>
        <v>0</v>
      </c>
    </row>
    <row r="149" spans="1:9">
      <c r="A149" s="251" t="s">
        <v>749</v>
      </c>
      <c r="B149" s="338"/>
      <c r="C149" s="250">
        <f>C48/C147</f>
        <v>0.09</v>
      </c>
      <c r="D149" s="250">
        <f>D48/D147</f>
        <v>0.09</v>
      </c>
      <c r="E149" s="250" t="e">
        <f>E48/E147</f>
        <v>#DIV/0!</v>
      </c>
      <c r="F149" s="250" t="e">
        <f>F48/F147</f>
        <v>#DIV/0!</v>
      </c>
      <c r="G149" s="250" t="e">
        <f>G48/G147</f>
        <v>#DIV/0!</v>
      </c>
      <c r="H149" s="250" t="e">
        <f t="shared" si="7"/>
        <v>#DIV/0!</v>
      </c>
      <c r="I149" s="250" t="e">
        <f t="shared" si="8"/>
        <v>#DIV/0!</v>
      </c>
    </row>
    <row r="150" spans="1:9" hidden="1">
      <c r="A150" s="251" t="s">
        <v>803</v>
      </c>
      <c r="B150" s="338"/>
      <c r="C150" s="250"/>
      <c r="D150" s="250"/>
      <c r="E150" s="250"/>
      <c r="F150" s="250"/>
      <c r="G150" s="250"/>
      <c r="H150" s="250">
        <f t="shared" si="7"/>
        <v>0</v>
      </c>
      <c r="I150" s="250">
        <f t="shared" si="8"/>
        <v>0</v>
      </c>
    </row>
    <row r="151" spans="1:9" hidden="1">
      <c r="A151" s="251" t="s">
        <v>802</v>
      </c>
      <c r="B151" s="338"/>
      <c r="C151" s="250"/>
      <c r="D151" s="250"/>
      <c r="E151" s="250"/>
      <c r="F151" s="250"/>
      <c r="G151" s="250"/>
      <c r="H151" s="250">
        <f t="shared" si="7"/>
        <v>0</v>
      </c>
      <c r="I151" s="250">
        <f t="shared" si="8"/>
        <v>0</v>
      </c>
    </row>
    <row r="152" spans="1:9" ht="15.75" customHeight="1">
      <c r="A152" s="251" t="s">
        <v>785</v>
      </c>
      <c r="B152" s="338"/>
      <c r="C152" s="250">
        <f>C148+C150+C151</f>
        <v>-8396285.5600000005</v>
      </c>
      <c r="D152" s="250">
        <f>D148+D150+D151</f>
        <v>-8396285.5600000005</v>
      </c>
      <c r="E152" s="250">
        <f>E148+E150+E151</f>
        <v>0</v>
      </c>
      <c r="F152" s="250">
        <f>F148+F150+F151</f>
        <v>0</v>
      </c>
      <c r="G152" s="250">
        <f>G148+G150+G151</f>
        <v>0</v>
      </c>
      <c r="H152" s="250">
        <f t="shared" si="7"/>
        <v>8396285.5600000005</v>
      </c>
      <c r="I152" s="250">
        <f t="shared" si="8"/>
        <v>0</v>
      </c>
    </row>
    <row r="153" spans="1:9">
      <c r="A153" s="251" t="s">
        <v>749</v>
      </c>
      <c r="B153" s="338"/>
      <c r="C153" s="250">
        <f>C48/(C147-C150-C151)</f>
        <v>0.09</v>
      </c>
      <c r="D153" s="250">
        <f>D48/(D147-D150-D151)</f>
        <v>0.09</v>
      </c>
      <c r="E153" s="250" t="e">
        <f>E48/(E147-E150-E151)</f>
        <v>#DIV/0!</v>
      </c>
      <c r="F153" s="250" t="e">
        <f>F48/(F147-F150-F151)</f>
        <v>#DIV/0!</v>
      </c>
      <c r="G153" s="250" t="e">
        <f>G48/(G147-G150-G151)</f>
        <v>#DIV/0!</v>
      </c>
      <c r="H153" s="250" t="e">
        <f t="shared" si="7"/>
        <v>#DIV/0!</v>
      </c>
      <c r="I153" s="250" t="e">
        <f t="shared" si="8"/>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Code]=B155)*(Budget[Ofc Code]=$G$4),(Budget[Amount])))</f>
        <v>0</v>
      </c>
      <c r="D155" s="245">
        <f t="array" ref="D155">SUM(IF((Budget[Account Code]=B155)*(Budget[Ofc Code]=$G$4)*(Budget[Date]&lt;=$D$7),(Budget[Amount])))</f>
        <v>0</v>
      </c>
      <c r="E155" s="245">
        <f t="array" ref="E155">((SUM(IF((CkDJ[Ofc Code]=(TRIM(G$4)))*(CkDJ[Account Code]=(TRIM($B155)))*(CkDJ[Date]&lt;=$E$7),CkDJ[Debit])))+(SUM(IF((CsDJ[Ofc Code]=(TRIM(G$4)))*(CsDJ[Account Code]=(TRIM($B155)))*(CsDJ[Date]&lt;=$E$7),CsDJ[Debit])))+(SUM(IF((CRDJ[Ofc Code]=(TRIM(G$4)))*(CRDJ[Account Code]=(TRIM($B155)))*(CRDJ[Date]&lt;=$E$7),CRDJ[Debit])))+(SUM(IF((GJ[Ofc Code]=(TRIM(G$4)))*(GJ[Account Code]=(TRIM($B155)))*(GJ[Date]&lt;=$E$7),GJ[Debit]))))-((SUM(IF((CkDJ[Ofc Code]=(TRIM(G$4)))*(CkDJ[Account Code]=(TRIM($B155)))*(CkDJ[Date]&lt;=$E$7),CkDJ[Credit])))+(SUM(IF((CsDJ[Ofc Code]=(TRIM(G$4)))*(CsDJ[Account Code]=(TRIM($B155)))*(CsDJ[Date]&lt;=$E$7),CsDJ[Credit])))+(SUM(IF((CRDJ[Ofc Code]=(TRIM(G$4)))*(CRDJ[Account Code]=(TRIM($B155)))*(CRDJ[Date]&lt;=$E$7),CRDJ[Credit])))+(SUM(IF((GJ[Ofc Code]=(TRIM(G$4)))*(GJ[Account Code]=(TRIM($B155)))*(GJ[Date]&lt;=$E$7),GJ[Credit]))))</f>
        <v>0</v>
      </c>
      <c r="F155" s="245">
        <f t="array" ref="F155">((SUM(IF((CkDJ[Date]=$A$3)*(CkDJ[Ofc Code]=(TRIM(G$4)))*(CkDJ[Account Code]=(TRIM($B155))),CkDJ[Debit])))+(SUM(IF((CsDJ[Date]=$A$3)*(CsDJ[Ofc Code]=(TRIM(G$4)))*(CsDJ[Account Code]=(TRIM($B155))),CsDJ[Debit])))+(SUM(IF((CRDJ[Date]=$A$3)*(CRDJ[Ofc Code]=(TRIM(G$4)))*(CRDJ[Account Code]=(TRIM($B155))),CRDJ[Debit])))+(SUM(IF((GJ[Date]=$A$3)*(GJ[Ofc Code]=(TRIM(G$4)))*(GJ[Account Code]=(TRIM($B155))),GJ[Debit]))))-((SUM(IF((CkDJ[Date]=$A$3)*(CkDJ[Ofc Code]=(TRIM(G$4)))*(CkDJ[Account Code]=(TRIM($B155))),CkDJ[Credit])))+(SUM(IF((CsDJ[Date]=$A$3)*(CsDJ[Ofc Code]=(TRIM(G$4)))*(CsDJ[Account Code]=(TRIM($B155))),CsDJ[Credit])))+(SUM(IF((CRDJ[Date]=$A$3)*(CRDJ[Ofc Code]=(TRIM(G$4)))*(CRDJ[Account Code]=(TRIM($B155))),CRDJ[Credit])))+(SUM(IF((GJ[Date]=$A$3)*(GJ[Ofc Code]=(TRIM(G$4)))*(GJ[Account Code]=(TRIM($B155))),GJ[Credit]))))</f>
        <v>0</v>
      </c>
      <c r="G155" s="343">
        <f t="shared" ref="G155:G163" si="9">E155+F155</f>
        <v>0</v>
      </c>
      <c r="H155" s="246">
        <f t="shared" ref="H155:H171" si="10">G155-D155</f>
        <v>0</v>
      </c>
      <c r="I155" s="246">
        <f t="shared" ref="I155:I171" si="11">IF((D155=0),0,G155/D155)</f>
        <v>0</v>
      </c>
    </row>
    <row r="156" spans="1:9">
      <c r="A156" s="253" t="s">
        <v>798</v>
      </c>
      <c r="B156" s="339" t="s">
        <v>170</v>
      </c>
      <c r="C156" s="245">
        <f t="array" ref="C156">SUM(IF((Budget[Account Code]=B156)*(Budget[Ofc Code]=$G$4),(Budget[Amount])))</f>
        <v>90000</v>
      </c>
      <c r="D156" s="245">
        <f t="array" ref="D156">SUM(IF((Budget[Account Code]=B156)*(Budget[Ofc Code]=$G$4)*(Budget[Date]&lt;=$D$7),(Budget[Amount])))</f>
        <v>90000</v>
      </c>
      <c r="E156" s="245">
        <f t="array" ref="E156">((SUM(IF((CkDJ[Ofc Code]=(TRIM(G$4)))*(CkDJ[Account Code]=(TRIM($B156)))*(CkDJ[Date]&lt;=$E$7),CkDJ[Debit])))+(SUM(IF((CsDJ[Ofc Code]=(TRIM(G$4)))*(CsDJ[Account Code]=(TRIM($B156)))*(CsDJ[Date]&lt;=$E$7),CsDJ[Debit])))+(SUM(IF((CRDJ[Ofc Code]=(TRIM(G$4)))*(CRDJ[Account Code]=(TRIM($B156)))*(CRDJ[Date]&lt;=$E$7),CRDJ[Debit])))+(SUM(IF((GJ[Ofc Code]=(TRIM(G$4)))*(GJ[Account Code]=(TRIM($B156)))*(GJ[Date]&lt;=$E$7),GJ[Debit]))))-((SUM(IF((CkDJ[Ofc Code]=(TRIM(G$4)))*(CkDJ[Account Code]=(TRIM($B156)))*(CkDJ[Date]&lt;=$E$7),CkDJ[Credit])))+(SUM(IF((CsDJ[Ofc Code]=(TRIM(G$4)))*(CsDJ[Account Code]=(TRIM($B156)))*(CsDJ[Date]&lt;=$E$7),CsDJ[Credit])))+(SUM(IF((CRDJ[Ofc Code]=(TRIM(G$4)))*(CRDJ[Account Code]=(TRIM($B156)))*(CRDJ[Date]&lt;=$E$7),CRDJ[Credit])))+(SUM(IF((GJ[Ofc Code]=(TRIM(G$4)))*(GJ[Account Code]=(TRIM($B156)))*(GJ[Date]&lt;=$E$7),GJ[Credit]))))</f>
        <v>0</v>
      </c>
      <c r="F156" s="245">
        <f t="array" ref="F156">((SUM(IF((CkDJ[Date]=$A$3)*(CkDJ[Ofc Code]=(TRIM(G$4)))*(CkDJ[Account Code]=(TRIM($B156))),CkDJ[Debit])))+(SUM(IF((CsDJ[Date]=$A$3)*(CsDJ[Ofc Code]=(TRIM(G$4)))*(CsDJ[Account Code]=(TRIM($B156))),CsDJ[Debit])))+(SUM(IF((CRDJ[Date]=$A$3)*(CRDJ[Ofc Code]=(TRIM(G$4)))*(CRDJ[Account Code]=(TRIM($B156))),CRDJ[Debit])))+(SUM(IF((GJ[Date]=$A$3)*(GJ[Ofc Code]=(TRIM(G$4)))*(GJ[Account Code]=(TRIM($B156))),GJ[Debit]))))-((SUM(IF((CkDJ[Date]=$A$3)*(CkDJ[Ofc Code]=(TRIM(G$4)))*(CkDJ[Account Code]=(TRIM($B156))),CkDJ[Credit])))+(SUM(IF((CsDJ[Date]=$A$3)*(CsDJ[Ofc Code]=(TRIM(G$4)))*(CsDJ[Account Code]=(TRIM($B156))),CsDJ[Credit])))+(SUM(IF((CRDJ[Date]=$A$3)*(CRDJ[Ofc Code]=(TRIM(G$4)))*(CRDJ[Account Code]=(TRIM($B156))),CRDJ[Credit])))+(SUM(IF((GJ[Date]=$A$3)*(GJ[Ofc Code]=(TRIM(G$4)))*(GJ[Account Code]=(TRIM($B156))),GJ[Credit]))))</f>
        <v>0</v>
      </c>
      <c r="G156" s="343">
        <f t="shared" si="9"/>
        <v>0</v>
      </c>
      <c r="H156" s="246">
        <f t="shared" si="10"/>
        <v>-90000</v>
      </c>
      <c r="I156" s="246">
        <f t="shared" si="11"/>
        <v>0</v>
      </c>
    </row>
    <row r="157" spans="1:9">
      <c r="A157" s="253" t="s">
        <v>797</v>
      </c>
      <c r="B157" s="339" t="s">
        <v>168</v>
      </c>
      <c r="C157" s="245">
        <f t="array" ref="C157">SUM(IF((Budget[Account Code]=B157)*(Budget[Ofc Code]=$G$4),(Budget[Amount])))</f>
        <v>0</v>
      </c>
      <c r="D157" s="245">
        <f t="array" ref="D157">SUM(IF((Budget[Account Code]=B157)*(Budget[Ofc Code]=$G$4)*(Budget[Date]&lt;=$D$7),(Budget[Amount])))</f>
        <v>0</v>
      </c>
      <c r="E157" s="245">
        <f t="array" ref="E157">((SUM(IF((CkDJ[Ofc Code]=(TRIM(G$4)))*(CkDJ[Account Code]=(TRIM($B157)))*(CkDJ[Date]&lt;=$E$7),CkDJ[Debit])))+(SUM(IF((CsDJ[Ofc Code]=(TRIM(G$4)))*(CsDJ[Account Code]=(TRIM($B157)))*(CsDJ[Date]&lt;=$E$7),CsDJ[Debit])))+(SUM(IF((CRDJ[Ofc Code]=(TRIM(G$4)))*(CRDJ[Account Code]=(TRIM($B157)))*(CRDJ[Date]&lt;=$E$7),CRDJ[Debit])))+(SUM(IF((GJ[Ofc Code]=(TRIM(G$4)))*(GJ[Account Code]=(TRIM($B157)))*(GJ[Date]&lt;=$E$7),GJ[Debit]))))-((SUM(IF((CkDJ[Ofc Code]=(TRIM(G$4)))*(CkDJ[Account Code]=(TRIM($B157)))*(CkDJ[Date]&lt;=$E$7),CkDJ[Credit])))+(SUM(IF((CsDJ[Ofc Code]=(TRIM(G$4)))*(CsDJ[Account Code]=(TRIM($B157)))*(CsDJ[Date]&lt;=$E$7),CsDJ[Credit])))+(SUM(IF((CRDJ[Ofc Code]=(TRIM(G$4)))*(CRDJ[Account Code]=(TRIM($B157)))*(CRDJ[Date]&lt;=$E$7),CRDJ[Credit])))+(SUM(IF((GJ[Ofc Code]=(TRIM(G$4)))*(GJ[Account Code]=(TRIM($B157)))*(GJ[Date]&lt;=$E$7),GJ[Credit]))))</f>
        <v>0</v>
      </c>
      <c r="F157" s="245">
        <f t="array" ref="F157">((SUM(IF((CkDJ[Date]=$A$3)*(CkDJ[Ofc Code]=(TRIM(G$4)))*(CkDJ[Account Code]=(TRIM($B157))),CkDJ[Debit])))+(SUM(IF((CsDJ[Date]=$A$3)*(CsDJ[Ofc Code]=(TRIM(G$4)))*(CsDJ[Account Code]=(TRIM($B157))),CsDJ[Debit])))+(SUM(IF((CRDJ[Date]=$A$3)*(CRDJ[Ofc Code]=(TRIM(G$4)))*(CRDJ[Account Code]=(TRIM($B157))),CRDJ[Debit])))+(SUM(IF((GJ[Date]=$A$3)*(GJ[Ofc Code]=(TRIM(G$4)))*(GJ[Account Code]=(TRIM($B157))),GJ[Debit]))))-((SUM(IF((CkDJ[Date]=$A$3)*(CkDJ[Ofc Code]=(TRIM(G$4)))*(CkDJ[Account Code]=(TRIM($B157))),CkDJ[Credit])))+(SUM(IF((CsDJ[Date]=$A$3)*(CsDJ[Ofc Code]=(TRIM(G$4)))*(CsDJ[Account Code]=(TRIM($B157))),CsDJ[Credit])))+(SUM(IF((CRDJ[Date]=$A$3)*(CRDJ[Ofc Code]=(TRIM(G$4)))*(CRDJ[Account Code]=(TRIM($B157))),CRDJ[Credit])))+(SUM(IF((GJ[Date]=$A$3)*(GJ[Ofc Code]=(TRIM(G$4)))*(GJ[Account Code]=(TRIM($B157))),GJ[Credit]))))</f>
        <v>0</v>
      </c>
      <c r="G157" s="343">
        <f t="shared" si="9"/>
        <v>0</v>
      </c>
      <c r="H157" s="246">
        <f t="shared" si="10"/>
        <v>0</v>
      </c>
      <c r="I157" s="246">
        <f t="shared" si="11"/>
        <v>0</v>
      </c>
    </row>
    <row r="158" spans="1:9">
      <c r="A158" s="253" t="s">
        <v>354</v>
      </c>
      <c r="B158" s="339" t="s">
        <v>216</v>
      </c>
      <c r="C158" s="245">
        <f t="array" ref="C158">SUM(IF((Budget[Account Code]=B158)*(Budget[Ofc Code]=$G$4),(Budget[Amount])))</f>
        <v>0</v>
      </c>
      <c r="D158" s="245">
        <f t="array" ref="D158">SUM(IF((Budget[Account Code]=B158)*(Budget[Ofc Code]=$G$4)*(Budget[Date]&lt;=$D$7),(Budget[Amount])))</f>
        <v>0</v>
      </c>
      <c r="E158" s="245">
        <f t="array" ref="E158">((SUM(IF((CkDJ[Ofc Code]=(TRIM(G$4)))*(CkDJ[Account Code]=(TRIM($B158)))*(CkDJ[Date]&lt;=$E$7),CkDJ[Debit])))+(SUM(IF((CsDJ[Ofc Code]=(TRIM(G$4)))*(CsDJ[Account Code]=(TRIM($B158)))*(CsDJ[Date]&lt;=$E$7),CsDJ[Debit])))+(SUM(IF((CRDJ[Ofc Code]=(TRIM(G$4)))*(CRDJ[Account Code]=(TRIM($B158)))*(CRDJ[Date]&lt;=$E$7),CRDJ[Debit])))+(SUM(IF((GJ[Ofc Code]=(TRIM(G$4)))*(GJ[Account Code]=(TRIM($B158)))*(GJ[Date]&lt;=$E$7),GJ[Debit]))))-((SUM(IF((CkDJ[Ofc Code]=(TRIM(G$4)))*(CkDJ[Account Code]=(TRIM($B158)))*(CkDJ[Date]&lt;=$E$7),CkDJ[Credit])))+(SUM(IF((CsDJ[Ofc Code]=(TRIM(G$4)))*(CsDJ[Account Code]=(TRIM($B158)))*(CsDJ[Date]&lt;=$E$7),CsDJ[Credit])))+(SUM(IF((CRDJ[Ofc Code]=(TRIM(G$4)))*(CRDJ[Account Code]=(TRIM($B158)))*(CRDJ[Date]&lt;=$E$7),CRDJ[Credit])))+(SUM(IF((GJ[Ofc Code]=(TRIM(G$4)))*(GJ[Account Code]=(TRIM($B158)))*(GJ[Date]&lt;=$E$7),GJ[Credit]))))</f>
        <v>0</v>
      </c>
      <c r="F158" s="245">
        <f t="array" ref="F158">((SUM(IF((CkDJ[Date]=$A$3)*(CkDJ[Ofc Code]=(TRIM(G$4)))*(CkDJ[Account Code]=(TRIM($B158))),CkDJ[Debit])))+(SUM(IF((CsDJ[Date]=$A$3)*(CsDJ[Ofc Code]=(TRIM(G$4)))*(CsDJ[Account Code]=(TRIM($B158))),CsDJ[Debit])))+(SUM(IF((CRDJ[Date]=$A$3)*(CRDJ[Ofc Code]=(TRIM(G$4)))*(CRDJ[Account Code]=(TRIM($B158))),CRDJ[Debit])))+(SUM(IF((GJ[Date]=$A$3)*(GJ[Ofc Code]=(TRIM(G$4)))*(GJ[Account Code]=(TRIM($B158))),GJ[Debit]))))-((SUM(IF((CkDJ[Date]=$A$3)*(CkDJ[Ofc Code]=(TRIM(G$4)))*(CkDJ[Account Code]=(TRIM($B158))),CkDJ[Credit])))+(SUM(IF((CsDJ[Date]=$A$3)*(CsDJ[Ofc Code]=(TRIM(G$4)))*(CsDJ[Account Code]=(TRIM($B158))),CsDJ[Credit])))+(SUM(IF((CRDJ[Date]=$A$3)*(CRDJ[Ofc Code]=(TRIM(G$4)))*(CRDJ[Account Code]=(TRIM($B158))),CRDJ[Credit])))+(SUM(IF((GJ[Date]=$A$3)*(GJ[Ofc Code]=(TRIM(G$4)))*(GJ[Account Code]=(TRIM($B158))),GJ[Credit]))))</f>
        <v>0</v>
      </c>
      <c r="G158" s="343">
        <f t="shared" si="9"/>
        <v>0</v>
      </c>
      <c r="H158" s="246">
        <f t="shared" si="10"/>
        <v>0</v>
      </c>
      <c r="I158" s="246">
        <f t="shared" si="11"/>
        <v>0</v>
      </c>
    </row>
    <row r="159" spans="1:9">
      <c r="A159" s="253" t="s">
        <v>796</v>
      </c>
      <c r="B159" s="337" t="s">
        <v>331</v>
      </c>
      <c r="C159" s="245">
        <f t="array" ref="C159">SUM(IF((Budget[Account Code]=B159)*(Budget[Ofc Code]=$G$4),(Budget[Amount])))</f>
        <v>0</v>
      </c>
      <c r="D159" s="245">
        <f t="array" ref="D159">SUM(IF((Budget[Account Code]=B159)*(Budget[Ofc Code]=$G$4)*(Budget[Date]&lt;=$D$7),(Budget[Amount])))</f>
        <v>0</v>
      </c>
      <c r="E159" s="245">
        <f t="array" ref="E159">((SUM(IF((CkDJ[Ofc Code]=(TRIM(G$4)))*(CkDJ[Account Code]=(TRIM($B159)))*(CkDJ[Date]&lt;=$E$7),CkDJ[Debit])))+(SUM(IF((CsDJ[Ofc Code]=(TRIM(G$4)))*(CsDJ[Account Code]=(TRIM($B159)))*(CsDJ[Date]&lt;=$E$7),CsDJ[Debit])))+(SUM(IF((CRDJ[Ofc Code]=(TRIM(G$4)))*(CRDJ[Account Code]=(TRIM($B159)))*(CRDJ[Date]&lt;=$E$7),CRDJ[Debit])))+(SUM(IF((GJ[Ofc Code]=(TRIM(G$4)))*(GJ[Account Code]=(TRIM($B159)))*(GJ[Date]&lt;=$E$7),GJ[Debit]))))-((SUM(IF((CkDJ[Ofc Code]=(TRIM(G$4)))*(CkDJ[Account Code]=(TRIM($B159)))*(CkDJ[Date]&lt;=$E$7),CkDJ[Credit])))+(SUM(IF((CsDJ[Ofc Code]=(TRIM(G$4)))*(CsDJ[Account Code]=(TRIM($B159)))*(CsDJ[Date]&lt;=$E$7),CsDJ[Credit])))+(SUM(IF((CRDJ[Ofc Code]=(TRIM(G$4)))*(CRDJ[Account Code]=(TRIM($B159)))*(CRDJ[Date]&lt;=$E$7),CRDJ[Credit])))+(SUM(IF((GJ[Ofc Code]=(TRIM(G$4)))*(GJ[Account Code]=(TRIM($B159)))*(GJ[Date]&lt;=$E$7),GJ[Credit]))))</f>
        <v>0</v>
      </c>
      <c r="F159" s="245">
        <f t="array" ref="F159">((SUM(IF((CkDJ[Date]=$A$3)*(CkDJ[Ofc Code]=(TRIM(G$4)))*(CkDJ[Account Code]=(TRIM($B159))),CkDJ[Debit])))+(SUM(IF((CsDJ[Date]=$A$3)*(CsDJ[Ofc Code]=(TRIM(G$4)))*(CsDJ[Account Code]=(TRIM($B159))),CsDJ[Debit])))+(SUM(IF((CRDJ[Date]=$A$3)*(CRDJ[Ofc Code]=(TRIM(G$4)))*(CRDJ[Account Code]=(TRIM($B159))),CRDJ[Debit])))+(SUM(IF((GJ[Date]=$A$3)*(GJ[Ofc Code]=(TRIM(G$4)))*(GJ[Account Code]=(TRIM($B159))),GJ[Debit]))))-((SUM(IF((CkDJ[Date]=$A$3)*(CkDJ[Ofc Code]=(TRIM(G$4)))*(CkDJ[Account Code]=(TRIM($B159))),CkDJ[Credit])))+(SUM(IF((CsDJ[Date]=$A$3)*(CsDJ[Ofc Code]=(TRIM(G$4)))*(CsDJ[Account Code]=(TRIM($B159))),CsDJ[Credit])))+(SUM(IF((CRDJ[Date]=$A$3)*(CRDJ[Ofc Code]=(TRIM(G$4)))*(CRDJ[Account Code]=(TRIM($B159))),CRDJ[Credit])))+(SUM(IF((GJ[Date]=$A$3)*(GJ[Ofc Code]=(TRIM(G$4)))*(GJ[Account Code]=(TRIM($B159))),GJ[Credit]))))</f>
        <v>0</v>
      </c>
      <c r="G159" s="343">
        <f t="shared" si="9"/>
        <v>0</v>
      </c>
      <c r="H159" s="246">
        <f t="shared" si="10"/>
        <v>0</v>
      </c>
      <c r="I159" s="246">
        <f t="shared" si="11"/>
        <v>0</v>
      </c>
    </row>
    <row r="160" spans="1:9">
      <c r="A160" s="253" t="s">
        <v>304</v>
      </c>
      <c r="B160" s="339" t="s">
        <v>222</v>
      </c>
      <c r="C160" s="245">
        <f t="array" ref="C160">SUM(IF((Budget[Account Code]=B160)*(Budget[Ofc Code]=$G$4),(Budget[Amount])))</f>
        <v>0</v>
      </c>
      <c r="D160" s="245">
        <f t="array" ref="D160">SUM(IF((Budget[Account Code]=B160)*(Budget[Ofc Code]=$G$4)*(Budget[Date]&lt;=$D$7),(Budget[Amount])))</f>
        <v>0</v>
      </c>
      <c r="E160" s="245">
        <f t="array" ref="E160">((SUM(IF((CkDJ[Ofc Code]=(TRIM(G$4)))*(CkDJ[Account Code]=(TRIM($B160)))*(CkDJ[Date]&lt;=$E$7),CkDJ[Debit])))+(SUM(IF((CsDJ[Ofc Code]=(TRIM(G$4)))*(CsDJ[Account Code]=(TRIM($B160)))*(CsDJ[Date]&lt;=$E$7),CsDJ[Debit])))+(SUM(IF((CRDJ[Ofc Code]=(TRIM(G$4)))*(CRDJ[Account Code]=(TRIM($B160)))*(CRDJ[Date]&lt;=$E$7),CRDJ[Debit])))+(SUM(IF((GJ[Ofc Code]=(TRIM(G$4)))*(GJ[Account Code]=(TRIM($B160)))*(GJ[Date]&lt;=$E$7),GJ[Debit]))))-((SUM(IF((CkDJ[Ofc Code]=(TRIM(G$4)))*(CkDJ[Account Code]=(TRIM($B160)))*(CkDJ[Date]&lt;=$E$7),CkDJ[Credit])))+(SUM(IF((CsDJ[Ofc Code]=(TRIM(G$4)))*(CsDJ[Account Code]=(TRIM($B160)))*(CsDJ[Date]&lt;=$E$7),CsDJ[Credit])))+(SUM(IF((CRDJ[Ofc Code]=(TRIM(G$4)))*(CRDJ[Account Code]=(TRIM($B160)))*(CRDJ[Date]&lt;=$E$7),CRDJ[Credit])))+(SUM(IF((GJ[Ofc Code]=(TRIM(G$4)))*(GJ[Account Code]=(TRIM($B160)))*(GJ[Date]&lt;=$E$7),GJ[Credit]))))</f>
        <v>0</v>
      </c>
      <c r="F160" s="245">
        <f t="array" ref="F160">((SUM(IF((CkDJ[Date]=$A$3)*(CkDJ[Ofc Code]=(TRIM(G$4)))*(CkDJ[Account Code]=(TRIM($B160))),CkDJ[Debit])))+(SUM(IF((CsDJ[Date]=$A$3)*(CsDJ[Ofc Code]=(TRIM(G$4)))*(CsDJ[Account Code]=(TRIM($B160))),CsDJ[Debit])))+(SUM(IF((CRDJ[Date]=$A$3)*(CRDJ[Ofc Code]=(TRIM(G$4)))*(CRDJ[Account Code]=(TRIM($B160))),CRDJ[Debit])))+(SUM(IF((GJ[Date]=$A$3)*(GJ[Ofc Code]=(TRIM(G$4)))*(GJ[Account Code]=(TRIM($B160))),GJ[Debit]))))-((SUM(IF((CkDJ[Date]=$A$3)*(CkDJ[Ofc Code]=(TRIM(G$4)))*(CkDJ[Account Code]=(TRIM($B160))),CkDJ[Credit])))+(SUM(IF((CsDJ[Date]=$A$3)*(CsDJ[Ofc Code]=(TRIM(G$4)))*(CsDJ[Account Code]=(TRIM($B160))),CsDJ[Credit])))+(SUM(IF((CRDJ[Date]=$A$3)*(CRDJ[Ofc Code]=(TRIM(G$4)))*(CRDJ[Account Code]=(TRIM($B160))),CRDJ[Credit])))+(SUM(IF((GJ[Date]=$A$3)*(GJ[Ofc Code]=(TRIM(G$4)))*(GJ[Account Code]=(TRIM($B160))),GJ[Credit]))))</f>
        <v>0</v>
      </c>
      <c r="G160" s="343">
        <f t="shared" si="9"/>
        <v>0</v>
      </c>
      <c r="H160" s="246">
        <f t="shared" si="10"/>
        <v>0</v>
      </c>
      <c r="I160" s="246">
        <f t="shared" si="11"/>
        <v>0</v>
      </c>
    </row>
    <row r="161" spans="1:9">
      <c r="A161" s="253" t="s">
        <v>795</v>
      </c>
      <c r="B161" s="337"/>
      <c r="C161" s="245">
        <f t="array" ref="C161">SUM(IF((Budget[Account Code]=B161)*(Budget[Ofc Code]=$G$4),(Budget[Amount])))</f>
        <v>0</v>
      </c>
      <c r="D161" s="245">
        <f t="array" ref="D161">SUM(IF((Budget[Account Code]=B161)*(Budget[Ofc Code]=$G$4)*(Budget[Date]&lt;=$D$7),(Budget[Amount])))</f>
        <v>0</v>
      </c>
      <c r="E161" s="245">
        <f t="array" ref="E161">((SUM(IF((CkDJ[Ofc Code]=(TRIM(G$4)))*(CkDJ[Account Code]=(TRIM($B161)))*(CkDJ[Date]&lt;=$E$7),CkDJ[Debit])))+(SUM(IF((CsDJ[Ofc Code]=(TRIM(G$4)))*(CsDJ[Account Code]=(TRIM($B161)))*(CsDJ[Date]&lt;=$E$7),CsDJ[Debit])))+(SUM(IF((CRDJ[Ofc Code]=(TRIM(G$4)))*(CRDJ[Account Code]=(TRIM($B161)))*(CRDJ[Date]&lt;=$E$7),CRDJ[Debit])))+(SUM(IF((GJ[Ofc Code]=(TRIM(G$4)))*(GJ[Account Code]=(TRIM($B161)))*(GJ[Date]&lt;=$E$7),GJ[Debit]))))-((SUM(IF((CkDJ[Ofc Code]=(TRIM(G$4)))*(CkDJ[Account Code]=(TRIM($B161)))*(CkDJ[Date]&lt;=$E$7),CkDJ[Credit])))+(SUM(IF((CsDJ[Ofc Code]=(TRIM(G$4)))*(CsDJ[Account Code]=(TRIM($B161)))*(CsDJ[Date]&lt;=$E$7),CsDJ[Credit])))+(SUM(IF((CRDJ[Ofc Code]=(TRIM(G$4)))*(CRDJ[Account Code]=(TRIM($B161)))*(CRDJ[Date]&lt;=$E$7),CRDJ[Credit])))+(SUM(IF((GJ[Ofc Code]=(TRIM(G$4)))*(GJ[Account Code]=(TRIM($B161)))*(GJ[Date]&lt;=$E$7),GJ[Credit]))))</f>
        <v>0</v>
      </c>
      <c r="F161" s="245">
        <f t="array" ref="F161">((SUM(IF((CkDJ[Date]=$A$3)*(CkDJ[Ofc Code]=(TRIM(G$4)))*(CkDJ[Account Code]=(TRIM($B161))),CkDJ[Debit])))+(SUM(IF((CsDJ[Date]=$A$3)*(CsDJ[Ofc Code]=(TRIM(G$4)))*(CsDJ[Account Code]=(TRIM($B161))),CsDJ[Debit])))+(SUM(IF((CRDJ[Date]=$A$3)*(CRDJ[Ofc Code]=(TRIM(G$4)))*(CRDJ[Account Code]=(TRIM($B161))),CRDJ[Debit])))+(SUM(IF((GJ[Date]=$A$3)*(GJ[Ofc Code]=(TRIM(G$4)))*(GJ[Account Code]=(TRIM($B161))),GJ[Debit]))))-((SUM(IF((CkDJ[Date]=$A$3)*(CkDJ[Ofc Code]=(TRIM(G$4)))*(CkDJ[Account Code]=(TRIM($B161))),CkDJ[Credit])))+(SUM(IF((CsDJ[Date]=$A$3)*(CsDJ[Ofc Code]=(TRIM(G$4)))*(CsDJ[Account Code]=(TRIM($B161))),CsDJ[Credit])))+(SUM(IF((CRDJ[Date]=$A$3)*(CRDJ[Ofc Code]=(TRIM(G$4)))*(CRDJ[Account Code]=(TRIM($B161))),CRDJ[Credit])))+(SUM(IF((GJ[Date]=$A$3)*(GJ[Ofc Code]=(TRIM(G$4)))*(GJ[Account Code]=(TRIM($B161))),GJ[Credit]))))</f>
        <v>0</v>
      </c>
      <c r="G161" s="343">
        <f t="shared" si="9"/>
        <v>0</v>
      </c>
      <c r="H161" s="246">
        <f t="shared" si="10"/>
        <v>0</v>
      </c>
      <c r="I161" s="246">
        <f t="shared" si="11"/>
        <v>0</v>
      </c>
    </row>
    <row r="162" spans="1:9">
      <c r="A162" s="253" t="s">
        <v>794</v>
      </c>
      <c r="B162" s="339" t="s">
        <v>212</v>
      </c>
      <c r="C162" s="245">
        <f t="array" ref="C162">SUM(IF((Budget[Account Code]=B162)*(Budget[Ofc Code]=$G$4),(Budget[Amount])))</f>
        <v>0</v>
      </c>
      <c r="D162" s="245">
        <f t="array" ref="D162">SUM(IF((Budget[Account Code]=B162)*(Budget[Ofc Code]=$G$4)*(Budget[Date]&lt;=$D$7),(Budget[Amount])))</f>
        <v>0</v>
      </c>
      <c r="E162" s="245">
        <f t="array" ref="E162">((SUM(IF((CkDJ[Ofc Code]=(TRIM(G$4)))*(CkDJ[Account Code]=(TRIM($B162)))*(CkDJ[Date]&lt;=$E$7),CkDJ[Debit])))+(SUM(IF((CsDJ[Ofc Code]=(TRIM(G$4)))*(CsDJ[Account Code]=(TRIM($B162)))*(CsDJ[Date]&lt;=$E$7),CsDJ[Debit])))+(SUM(IF((CRDJ[Ofc Code]=(TRIM(G$4)))*(CRDJ[Account Code]=(TRIM($B162)))*(CRDJ[Date]&lt;=$E$7),CRDJ[Debit])))+(SUM(IF((GJ[Ofc Code]=(TRIM(G$4)))*(GJ[Account Code]=(TRIM($B162)))*(GJ[Date]&lt;=$E$7),GJ[Debit]))))-((SUM(IF((CkDJ[Ofc Code]=(TRIM(G$4)))*(CkDJ[Account Code]=(TRIM($B162)))*(CkDJ[Date]&lt;=$E$7),CkDJ[Credit])))+(SUM(IF((CsDJ[Ofc Code]=(TRIM(G$4)))*(CsDJ[Account Code]=(TRIM($B162)))*(CsDJ[Date]&lt;=$E$7),CsDJ[Credit])))+(SUM(IF((CRDJ[Ofc Code]=(TRIM(G$4)))*(CRDJ[Account Code]=(TRIM($B162)))*(CRDJ[Date]&lt;=$E$7),CRDJ[Credit])))+(SUM(IF((GJ[Ofc Code]=(TRIM(G$4)))*(GJ[Account Code]=(TRIM($B162)))*(GJ[Date]&lt;=$E$7),GJ[Credit]))))</f>
        <v>0</v>
      </c>
      <c r="F162" s="245">
        <f t="array" ref="F162">((SUM(IF((CkDJ[Date]=$A$3)*(CkDJ[Ofc Code]=(TRIM(G$4)))*(CkDJ[Account Code]=(TRIM($B162))),CkDJ[Debit])))+(SUM(IF((CsDJ[Date]=$A$3)*(CsDJ[Ofc Code]=(TRIM(G$4)))*(CsDJ[Account Code]=(TRIM($B162))),CsDJ[Debit])))+(SUM(IF((CRDJ[Date]=$A$3)*(CRDJ[Ofc Code]=(TRIM(G$4)))*(CRDJ[Account Code]=(TRIM($B162))),CRDJ[Debit])))+(SUM(IF((GJ[Date]=$A$3)*(GJ[Ofc Code]=(TRIM(G$4)))*(GJ[Account Code]=(TRIM($B162))),GJ[Debit]))))-((SUM(IF((CkDJ[Date]=$A$3)*(CkDJ[Ofc Code]=(TRIM(G$4)))*(CkDJ[Account Code]=(TRIM($B162))),CkDJ[Credit])))+(SUM(IF((CsDJ[Date]=$A$3)*(CsDJ[Ofc Code]=(TRIM(G$4)))*(CsDJ[Account Code]=(TRIM($B162))),CsDJ[Credit])))+(SUM(IF((CRDJ[Date]=$A$3)*(CRDJ[Ofc Code]=(TRIM(G$4)))*(CRDJ[Account Code]=(TRIM($B162))),CRDJ[Credit])))+(SUM(IF((GJ[Date]=$A$3)*(GJ[Ofc Code]=(TRIM(G$4)))*(GJ[Account Code]=(TRIM($B162))),GJ[Credit]))))</f>
        <v>0</v>
      </c>
      <c r="G162" s="343">
        <f t="shared" si="9"/>
        <v>0</v>
      </c>
      <c r="H162" s="246">
        <f t="shared" si="10"/>
        <v>0</v>
      </c>
      <c r="I162" s="246">
        <f t="shared" si="11"/>
        <v>0</v>
      </c>
    </row>
    <row r="163" spans="1:9">
      <c r="A163" s="253" t="s">
        <v>793</v>
      </c>
      <c r="B163" s="337"/>
      <c r="C163" s="245">
        <f t="array" ref="C163">SUM(IF((Budget[Account Code]=B163)*(Budget[Ofc Code]=$G$4),(Budget[Amount])))</f>
        <v>0</v>
      </c>
      <c r="D163" s="245">
        <f t="array" ref="D163">SUM(IF((Budget[Account Code]=B163)*(Budget[Ofc Code]=$G$4)*(Budget[Date]&lt;=$D$7),(Budget[Amount])))</f>
        <v>0</v>
      </c>
      <c r="E163" s="245">
        <f t="array" ref="E163">((SUM(IF((CkDJ[Ofc Code]=(TRIM(G$4)))*(CkDJ[Account Code]=(TRIM($B163)))*(CkDJ[Date]&lt;=$E$7),CkDJ[Debit])))+(SUM(IF((CsDJ[Ofc Code]=(TRIM(G$4)))*(CsDJ[Account Code]=(TRIM($B163)))*(CsDJ[Date]&lt;=$E$7),CsDJ[Debit])))+(SUM(IF((CRDJ[Ofc Code]=(TRIM(G$4)))*(CRDJ[Account Code]=(TRIM($B163)))*(CRDJ[Date]&lt;=$E$7),CRDJ[Debit])))+(SUM(IF((GJ[Ofc Code]=(TRIM(G$4)))*(GJ[Account Code]=(TRIM($B163)))*(GJ[Date]&lt;=$E$7),GJ[Debit]))))-((SUM(IF((CkDJ[Ofc Code]=(TRIM(G$4)))*(CkDJ[Account Code]=(TRIM($B163)))*(CkDJ[Date]&lt;=$E$7),CkDJ[Credit])))+(SUM(IF((CsDJ[Ofc Code]=(TRIM(G$4)))*(CsDJ[Account Code]=(TRIM($B163)))*(CsDJ[Date]&lt;=$E$7),CsDJ[Credit])))+(SUM(IF((CRDJ[Ofc Code]=(TRIM(G$4)))*(CRDJ[Account Code]=(TRIM($B163)))*(CRDJ[Date]&lt;=$E$7),CRDJ[Credit])))+(SUM(IF((GJ[Ofc Code]=(TRIM(G$4)))*(GJ[Account Code]=(TRIM($B163)))*(GJ[Date]&lt;=$E$7),GJ[Credit]))))</f>
        <v>0</v>
      </c>
      <c r="F163" s="245">
        <f t="array" ref="F163">((SUM(IF((CkDJ[Date]=$A$3)*(CkDJ[Ofc Code]=(TRIM(G$4)))*(CkDJ[Account Code]=(TRIM($B163))),CkDJ[Debit])))+(SUM(IF((CsDJ[Date]=$A$3)*(CsDJ[Ofc Code]=(TRIM(G$4)))*(CsDJ[Account Code]=(TRIM($B163))),CsDJ[Debit])))+(SUM(IF((CRDJ[Date]=$A$3)*(CRDJ[Ofc Code]=(TRIM(G$4)))*(CRDJ[Account Code]=(TRIM($B163))),CRDJ[Debit])))+(SUM(IF((GJ[Date]=$A$3)*(GJ[Ofc Code]=(TRIM(G$4)))*(GJ[Account Code]=(TRIM($B163))),GJ[Debit]))))-((SUM(IF((CkDJ[Date]=$A$3)*(CkDJ[Ofc Code]=(TRIM(G$4)))*(CkDJ[Account Code]=(TRIM($B163))),CkDJ[Credit])))+(SUM(IF((CsDJ[Date]=$A$3)*(CsDJ[Ofc Code]=(TRIM(G$4)))*(CsDJ[Account Code]=(TRIM($B163))),CsDJ[Credit])))+(SUM(IF((CRDJ[Date]=$A$3)*(CRDJ[Ofc Code]=(TRIM(G$4)))*(CRDJ[Account Code]=(TRIM($B163))),CRDJ[Credit])))+(SUM(IF((GJ[Date]=$A$3)*(GJ[Ofc Code]=(TRIM(G$4)))*(GJ[Account Code]=(TRIM($B163))),GJ[Credit]))))</f>
        <v>0</v>
      </c>
      <c r="G163" s="343">
        <f t="shared" si="9"/>
        <v>0</v>
      </c>
      <c r="H163" s="246">
        <f t="shared" si="10"/>
        <v>0</v>
      </c>
      <c r="I163" s="246">
        <f t="shared" si="11"/>
        <v>0</v>
      </c>
    </row>
    <row r="164" spans="1:9">
      <c r="A164" s="251" t="s">
        <v>789</v>
      </c>
      <c r="B164" s="338"/>
      <c r="C164" s="250">
        <f>SUM(C155:C163)</f>
        <v>90000</v>
      </c>
      <c r="D164" s="250">
        <f>SUM(D155:D163)</f>
        <v>90000</v>
      </c>
      <c r="E164" s="250">
        <f>SUM(E155:E163)</f>
        <v>0</v>
      </c>
      <c r="F164" s="250">
        <f>SUM(F155:F163)</f>
        <v>0</v>
      </c>
      <c r="G164" s="250">
        <f>SUM(G155:G163)</f>
        <v>0</v>
      </c>
      <c r="H164" s="250">
        <f t="shared" si="10"/>
        <v>-90000</v>
      </c>
      <c r="I164" s="250">
        <f t="shared" si="11"/>
        <v>0</v>
      </c>
    </row>
    <row r="165" spans="1:9">
      <c r="A165" s="251" t="s">
        <v>788</v>
      </c>
      <c r="B165" s="338"/>
      <c r="C165" s="250">
        <f>C147+C164</f>
        <v>9312285.5600000005</v>
      </c>
      <c r="D165" s="250">
        <f>D147+D164</f>
        <v>9312285.5600000005</v>
      </c>
      <c r="E165" s="250">
        <f>E147+E164</f>
        <v>0</v>
      </c>
      <c r="F165" s="250">
        <f>F147+F164</f>
        <v>0</v>
      </c>
      <c r="G165" s="250">
        <f>G147+G164</f>
        <v>0</v>
      </c>
      <c r="H165" s="250">
        <f t="shared" si="10"/>
        <v>-9312285.5600000005</v>
      </c>
      <c r="I165" s="250">
        <f t="shared" si="11"/>
        <v>0</v>
      </c>
    </row>
    <row r="166" spans="1:9">
      <c r="A166" s="251" t="s">
        <v>785</v>
      </c>
      <c r="B166" s="338"/>
      <c r="C166" s="250">
        <f>C48-C165</f>
        <v>-8486285.5600000005</v>
      </c>
      <c r="D166" s="250">
        <f>D48-D165</f>
        <v>-8486285.5600000005</v>
      </c>
      <c r="E166" s="250">
        <f>E48-E165</f>
        <v>0</v>
      </c>
      <c r="F166" s="250">
        <f>F48-F165</f>
        <v>0</v>
      </c>
      <c r="G166" s="250">
        <f>G48-G165</f>
        <v>0</v>
      </c>
      <c r="H166" s="250">
        <f t="shared" si="10"/>
        <v>8486285.5600000005</v>
      </c>
      <c r="I166" s="250">
        <f t="shared" si="11"/>
        <v>0</v>
      </c>
    </row>
    <row r="167" spans="1:9">
      <c r="A167" s="251" t="s">
        <v>749</v>
      </c>
      <c r="B167" s="338"/>
      <c r="C167" s="250">
        <f>C48/C165</f>
        <v>0.09</v>
      </c>
      <c r="D167" s="250">
        <f>D48/D165</f>
        <v>0.09</v>
      </c>
      <c r="E167" s="250" t="e">
        <f>E48/E165</f>
        <v>#DIV/0!</v>
      </c>
      <c r="F167" s="250" t="e">
        <f>F48/F165</f>
        <v>#DIV/0!</v>
      </c>
      <c r="G167" s="250" t="e">
        <f>G48/G165</f>
        <v>#DIV/0!</v>
      </c>
      <c r="H167" s="250" t="e">
        <f t="shared" si="10"/>
        <v>#DIV/0!</v>
      </c>
      <c r="I167" s="250" t="e">
        <f t="shared" si="11"/>
        <v>#DIV/0!</v>
      </c>
    </row>
    <row r="168" spans="1:9" hidden="1">
      <c r="A168" s="251" t="s">
        <v>787</v>
      </c>
      <c r="B168" s="338"/>
      <c r="C168" s="250"/>
      <c r="D168" s="250"/>
      <c r="E168" s="250"/>
      <c r="F168" s="250"/>
      <c r="G168" s="250"/>
      <c r="H168" s="250">
        <f t="shared" si="10"/>
        <v>0</v>
      </c>
      <c r="I168" s="250">
        <f t="shared" si="11"/>
        <v>0</v>
      </c>
    </row>
    <row r="169" spans="1:9" hidden="1">
      <c r="A169" s="251" t="s">
        <v>786</v>
      </c>
      <c r="B169" s="338"/>
      <c r="C169" s="250"/>
      <c r="D169" s="250"/>
      <c r="E169" s="250"/>
      <c r="F169" s="250"/>
      <c r="G169" s="250"/>
      <c r="H169" s="250">
        <f t="shared" si="10"/>
        <v>0</v>
      </c>
      <c r="I169" s="250">
        <f t="shared" si="11"/>
        <v>0</v>
      </c>
    </row>
    <row r="170" spans="1:9">
      <c r="A170" s="251" t="s">
        <v>785</v>
      </c>
      <c r="B170" s="338"/>
      <c r="C170" s="250">
        <f>C166+C168+C169</f>
        <v>-8486285.5600000005</v>
      </c>
      <c r="D170" s="250">
        <f>D166+D168+D169</f>
        <v>-8486285.5600000005</v>
      </c>
      <c r="E170" s="250">
        <f>E166+E168+E169</f>
        <v>0</v>
      </c>
      <c r="F170" s="250">
        <f>F166+F168+F169</f>
        <v>0</v>
      </c>
      <c r="G170" s="250">
        <f>G166+G168+G169</f>
        <v>0</v>
      </c>
      <c r="H170" s="250">
        <f t="shared" si="10"/>
        <v>8486285.5600000005</v>
      </c>
      <c r="I170" s="250">
        <f t="shared" si="11"/>
        <v>0</v>
      </c>
    </row>
    <row r="171" spans="1:9">
      <c r="A171" s="251" t="s">
        <v>792</v>
      </c>
      <c r="B171" s="338"/>
      <c r="C171" s="250">
        <f>C48/(C165-C168-C169)</f>
        <v>0.09</v>
      </c>
      <c r="D171" s="250">
        <f>D48/(D165-D168-D169)</f>
        <v>0.09</v>
      </c>
      <c r="E171" s="250" t="e">
        <f>E48/(E165-E168-E169)</f>
        <v>#DIV/0!</v>
      </c>
      <c r="F171" s="250" t="e">
        <f>F48/(F165-F168-F169)</f>
        <v>#DIV/0!</v>
      </c>
      <c r="G171" s="250" t="e">
        <f>G48/(G165-G168-G169)</f>
        <v>#DIV/0!</v>
      </c>
      <c r="H171" s="250" t="e">
        <f t="shared" si="10"/>
        <v>#DIV/0!</v>
      </c>
      <c r="I171" s="250" t="e">
        <f t="shared" si="11"/>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Code]=B175)*(Budget[Ofc Code]=$G$4),(Budget[Amount])))</f>
        <v>0</v>
      </c>
      <c r="D175" s="245">
        <f t="array" ref="D175">SUM(IF((Budget[Account Code]=B175)*(Budget[Ofc Code]=$G$4)*(Budget[Date]&lt;=$D$7),(Budget[Amount])))</f>
        <v>0</v>
      </c>
      <c r="E175" s="245">
        <f t="array" ref="E175">((SUM(IF((CkDJ[Ofc Code]=(TRIM(G$4)))*(CkDJ[Account Code]=(TRIM($B175)))*(CkDJ[Date]&lt;=$E$7),CkDJ[Debit])))+(SUM(IF((CsDJ[Ofc Code]=(TRIM(G$4)))*(CsDJ[Account Code]=(TRIM($B175)))*(CsDJ[Date]&lt;=$E$7),CsDJ[Debit])))+(SUM(IF((CRDJ[Ofc Code]=(TRIM(G$4)))*(CRDJ[Account Code]=(TRIM($B175)))*(CRDJ[Date]&lt;=$E$7),CRDJ[Debit])))+(SUM(IF((GJ[Ofc Code]=(TRIM(G$4)))*(GJ[Account Code]=(TRIM($B175)))*(GJ[Date]&lt;=$E$7),GJ[Debit]))))-((SUM(IF((CkDJ[Ofc Code]=(TRIM(G$4)))*(CkDJ[Account Code]=(TRIM($B175)))*(CkDJ[Date]&lt;=$E$7),CkDJ[Credit])))+(SUM(IF((CsDJ[Ofc Code]=(TRIM(G$4)))*(CsDJ[Account Code]=(TRIM($B175)))*(CsDJ[Date]&lt;=$E$7),CsDJ[Credit])))+(SUM(IF((CRDJ[Ofc Code]=(TRIM(G$4)))*(CRDJ[Account Code]=(TRIM($B175)))*(CRDJ[Date]&lt;=$E$7),CRDJ[Credit])))+(SUM(IF((GJ[Ofc Code]=(TRIM(G$4)))*(GJ[Account Code]=(TRIM($B175)))*(GJ[Date]&lt;=$E$7),GJ[Credit]))))</f>
        <v>0</v>
      </c>
      <c r="F175" s="245">
        <f t="array" ref="F175">((SUM(IF((CkDJ[Date]=$A$3)*(CkDJ[Ofc Code]=(TRIM(G$4)))*(CkDJ[Account Code]=(TRIM($B175))),CkDJ[Debit])))+(SUM(IF((CsDJ[Date]=$A$3)*(CsDJ[Ofc Code]=(TRIM(G$4)))*(CsDJ[Account Code]=(TRIM($B175))),CsDJ[Debit])))+(SUM(IF((CRDJ[Date]=$A$3)*(CRDJ[Ofc Code]=(TRIM(G$4)))*(CRDJ[Account Code]=(TRIM($B175))),CRDJ[Debit])))+(SUM(IF((GJ[Date]=$A$3)*(GJ[Ofc Code]=(TRIM(G$4)))*(GJ[Account Code]=(TRIM($B175))),GJ[Debit]))))-((SUM(IF((CkDJ[Date]=$A$3)*(CkDJ[Ofc Code]=(TRIM(G$4)))*(CkDJ[Account Code]=(TRIM($B175))),CkDJ[Credit])))+(SUM(IF((CsDJ[Date]=$A$3)*(CsDJ[Ofc Code]=(TRIM(G$4)))*(CsDJ[Account Code]=(TRIM($B175))),CsDJ[Credit])))+(SUM(IF((CRDJ[Date]=$A$3)*(CRDJ[Ofc Code]=(TRIM(G$4)))*(CRDJ[Account Code]=(TRIM($B175))),CRDJ[Credit])))+(SUM(IF((GJ[Date]=$A$3)*(GJ[Ofc Code]=(TRIM(G$4)))*(GJ[Account Code]=(TRIM($B175))),GJ[Credit]))))</f>
        <v>0</v>
      </c>
      <c r="G175" s="343">
        <f>E175+F175</f>
        <v>0</v>
      </c>
      <c r="H175" s="246">
        <f t="shared" ref="H175:H184" si="12">G175-D175</f>
        <v>0</v>
      </c>
      <c r="I175" s="246">
        <f t="shared" ref="I175:I184" si="13">IF((D175=0),0,G175/D175)</f>
        <v>0</v>
      </c>
    </row>
    <row r="176" spans="1:9">
      <c r="A176" s="253"/>
      <c r="B176" s="337"/>
      <c r="C176" s="245"/>
      <c r="D176" s="245"/>
      <c r="E176" s="245"/>
      <c r="F176" s="245"/>
      <c r="G176" s="246"/>
      <c r="H176" s="246"/>
      <c r="I176" s="246"/>
    </row>
    <row r="177" spans="1:9">
      <c r="A177" s="251" t="s">
        <v>789</v>
      </c>
      <c r="B177" s="338"/>
      <c r="C177" s="250">
        <f>SUM(C174:C176)</f>
        <v>0</v>
      </c>
      <c r="D177" s="250">
        <f>SUM(D174:D176)</f>
        <v>0</v>
      </c>
      <c r="E177" s="250">
        <f>SUM(E174:E176)</f>
        <v>0</v>
      </c>
      <c r="F177" s="250">
        <f>SUM(F174:F176)</f>
        <v>0</v>
      </c>
      <c r="G177" s="250">
        <f>SUM(G174:G176)</f>
        <v>0</v>
      </c>
      <c r="H177" s="250">
        <f t="shared" si="12"/>
        <v>0</v>
      </c>
      <c r="I177" s="250">
        <f t="shared" si="13"/>
        <v>0</v>
      </c>
    </row>
    <row r="178" spans="1:9">
      <c r="A178" s="251" t="s">
        <v>788</v>
      </c>
      <c r="B178" s="338"/>
      <c r="C178" s="250">
        <f>C165+C177</f>
        <v>9312285.5600000005</v>
      </c>
      <c r="D178" s="250">
        <f>D165+D177</f>
        <v>9312285.5600000005</v>
      </c>
      <c r="E178" s="250">
        <f>E165+E177</f>
        <v>0</v>
      </c>
      <c r="F178" s="250">
        <f>F165+F177</f>
        <v>0</v>
      </c>
      <c r="G178" s="250">
        <f>G165+G177</f>
        <v>0</v>
      </c>
      <c r="H178" s="250">
        <f t="shared" si="12"/>
        <v>-9312285.5600000005</v>
      </c>
      <c r="I178" s="250">
        <f t="shared" si="13"/>
        <v>0</v>
      </c>
    </row>
    <row r="179" spans="1:9">
      <c r="A179" s="251" t="s">
        <v>785</v>
      </c>
      <c r="B179" s="338"/>
      <c r="C179" s="250">
        <f>C48-C178</f>
        <v>-8486285.5600000005</v>
      </c>
      <c r="D179" s="250">
        <f>D48-D178</f>
        <v>-8486285.5600000005</v>
      </c>
      <c r="E179" s="250">
        <f>E48-E178</f>
        <v>0</v>
      </c>
      <c r="F179" s="250">
        <f>F48-F178</f>
        <v>0</v>
      </c>
      <c r="G179" s="250">
        <f>G48-G178</f>
        <v>0</v>
      </c>
      <c r="H179" s="250">
        <f t="shared" si="12"/>
        <v>8486285.5600000005</v>
      </c>
      <c r="I179" s="250">
        <f t="shared" si="13"/>
        <v>0</v>
      </c>
    </row>
    <row r="180" spans="1:9" hidden="1">
      <c r="A180" s="251" t="s">
        <v>749</v>
      </c>
      <c r="B180" s="338"/>
      <c r="C180" s="250"/>
      <c r="D180" s="250"/>
      <c r="E180" s="250"/>
      <c r="F180" s="250"/>
      <c r="G180" s="250"/>
      <c r="H180" s="250">
        <f t="shared" si="12"/>
        <v>0</v>
      </c>
      <c r="I180" s="250">
        <f t="shared" si="13"/>
        <v>0</v>
      </c>
    </row>
    <row r="181" spans="1:9" hidden="1">
      <c r="A181" s="251" t="s">
        <v>787</v>
      </c>
      <c r="B181" s="338"/>
      <c r="C181" s="250"/>
      <c r="D181" s="250"/>
      <c r="E181" s="250"/>
      <c r="F181" s="250"/>
      <c r="G181" s="250"/>
      <c r="H181" s="250">
        <f t="shared" si="12"/>
        <v>0</v>
      </c>
      <c r="I181" s="250">
        <f t="shared" si="13"/>
        <v>0</v>
      </c>
    </row>
    <row r="182" spans="1:9" hidden="1">
      <c r="A182" s="251" t="s">
        <v>786</v>
      </c>
      <c r="B182" s="338"/>
      <c r="C182" s="250"/>
      <c r="D182" s="250"/>
      <c r="E182" s="250"/>
      <c r="F182" s="250"/>
      <c r="G182" s="250"/>
      <c r="H182" s="250">
        <f t="shared" si="12"/>
        <v>0</v>
      </c>
      <c r="I182" s="250">
        <f t="shared" si="13"/>
        <v>0</v>
      </c>
    </row>
    <row r="183" spans="1:9" hidden="1">
      <c r="A183" s="251" t="s">
        <v>785</v>
      </c>
      <c r="B183" s="338"/>
      <c r="C183" s="250"/>
      <c r="D183" s="250"/>
      <c r="E183" s="250"/>
      <c r="F183" s="250"/>
      <c r="G183" s="250"/>
      <c r="H183" s="250">
        <f t="shared" si="12"/>
        <v>0</v>
      </c>
      <c r="I183" s="250">
        <f t="shared" si="13"/>
        <v>0</v>
      </c>
    </row>
    <row r="184" spans="1:9">
      <c r="A184" s="264" t="s">
        <v>749</v>
      </c>
      <c r="B184" s="338"/>
      <c r="C184" s="265">
        <f>C48/(C178-C181-C182)</f>
        <v>0.09</v>
      </c>
      <c r="D184" s="265">
        <f>D48/(D178-D181-D182)</f>
        <v>0.09</v>
      </c>
      <c r="E184" s="265" t="e">
        <f>E48/(E178-E181-E182)</f>
        <v>#DIV/0!</v>
      </c>
      <c r="F184" s="265" t="e">
        <f>F48/(F178-F181-F182)</f>
        <v>#DIV/0!</v>
      </c>
      <c r="G184" s="265" t="e">
        <f>G48/(G178-G181-G182)</f>
        <v>#DIV/0!</v>
      </c>
      <c r="H184" s="265" t="e">
        <f t="shared" si="12"/>
        <v>#DIV/0!</v>
      </c>
      <c r="I184" s="265" t="e">
        <f t="shared" si="13"/>
        <v>#DIV/0!</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65"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pageSetUpPr fitToPage="1"/>
  </sheetPr>
  <dimension ref="A1:I192"/>
  <sheetViews>
    <sheetView zoomScale="130" zoomScaleNormal="130" workbookViewId="0"/>
  </sheetViews>
  <sheetFormatPr defaultColWidth="9" defaultRowHeight="14.25"/>
  <cols>
    <col min="1" max="1" width="35.5" style="233" customWidth="1"/>
    <col min="2" max="2" width="10" style="336" hidden="1" customWidth="1"/>
    <col min="3" max="3" width="17.125" style="236" customWidth="1"/>
    <col min="4" max="4" width="18.125" style="236" customWidth="1"/>
    <col min="5" max="5" width="17.5" style="236" customWidth="1"/>
    <col min="6" max="6" width="16.875" style="237" customWidth="1"/>
    <col min="7" max="7" width="17.875" style="236" customWidth="1"/>
    <col min="8" max="8" width="16.5" style="236" customWidth="1"/>
    <col min="9" max="9" width="8.625" style="236" customWidth="1"/>
    <col min="10" max="16384" width="9" style="233"/>
  </cols>
  <sheetData>
    <row r="1" spans="1:9">
      <c r="A1" s="232" t="s">
        <v>836</v>
      </c>
      <c r="B1" s="335"/>
      <c r="C1" s="232"/>
      <c r="D1" s="232"/>
      <c r="E1" s="232"/>
      <c r="F1" s="232"/>
      <c r="G1" s="232"/>
      <c r="H1" s="232"/>
      <c r="I1" s="232"/>
    </row>
    <row r="2" spans="1:9">
      <c r="A2" s="232" t="s">
        <v>1060</v>
      </c>
      <c r="B2" s="335"/>
      <c r="C2" s="232"/>
      <c r="D2" s="232"/>
      <c r="E2" s="232"/>
      <c r="F2" s="232"/>
      <c r="G2" s="232"/>
      <c r="H2" s="232"/>
      <c r="I2" s="232"/>
    </row>
    <row r="3" spans="1:9">
      <c r="A3" s="234">
        <f>Account!G2</f>
        <v>45291</v>
      </c>
      <c r="B3" s="335"/>
      <c r="C3" s="232"/>
      <c r="D3" s="232"/>
      <c r="E3" s="232"/>
      <c r="F3" s="232"/>
      <c r="G3" s="232"/>
      <c r="H3" s="232"/>
      <c r="I3" s="232"/>
    </row>
    <row r="4" spans="1:9">
      <c r="A4" s="235" t="s">
        <v>400</v>
      </c>
      <c r="C4" s="332"/>
      <c r="G4" s="331"/>
    </row>
    <row r="5" spans="1:9">
      <c r="A5" s="1351" t="s">
        <v>440</v>
      </c>
      <c r="B5" s="1354" t="s">
        <v>370</v>
      </c>
      <c r="C5" s="1346" t="s">
        <v>1012</v>
      </c>
      <c r="D5" s="1357" t="s">
        <v>835</v>
      </c>
      <c r="E5" s="1359" t="s">
        <v>834</v>
      </c>
      <c r="F5" s="1360"/>
      <c r="G5" s="1361"/>
      <c r="H5" s="1346" t="s">
        <v>1033</v>
      </c>
      <c r="I5" s="1346" t="s">
        <v>833</v>
      </c>
    </row>
    <row r="6" spans="1:9">
      <c r="A6" s="1352"/>
      <c r="B6" s="1355"/>
      <c r="C6" s="1347"/>
      <c r="D6" s="1358"/>
      <c r="E6" s="300" t="s">
        <v>832</v>
      </c>
      <c r="F6" s="1349">
        <f>A3</f>
        <v>45291</v>
      </c>
      <c r="G6" s="1346" t="s">
        <v>831</v>
      </c>
      <c r="H6" s="1347"/>
      <c r="I6" s="1347"/>
    </row>
    <row r="7" spans="1:9">
      <c r="A7" s="1353"/>
      <c r="B7" s="1356"/>
      <c r="C7" s="1348"/>
      <c r="D7" s="238">
        <f>A3</f>
        <v>45291</v>
      </c>
      <c r="E7" s="304">
        <f>'REVGEN (1)'!E7</f>
        <v>43373</v>
      </c>
      <c r="F7" s="1350"/>
      <c r="G7" s="1348"/>
      <c r="H7" s="1348"/>
      <c r="I7" s="1348"/>
    </row>
    <row r="8" spans="1:9">
      <c r="A8" s="239" t="s">
        <v>830</v>
      </c>
      <c r="B8" s="337"/>
      <c r="C8" s="271"/>
      <c r="D8" s="271"/>
      <c r="E8" s="271"/>
      <c r="F8" s="271"/>
      <c r="G8" s="271"/>
      <c r="H8" s="240"/>
      <c r="I8" s="240"/>
    </row>
    <row r="9" spans="1:9">
      <c r="A9" s="241" t="s">
        <v>829</v>
      </c>
      <c r="B9" s="337"/>
      <c r="C9" s="242">
        <f>C10+C11</f>
        <v>10900000</v>
      </c>
      <c r="D9" s="242">
        <f>D10+D11</f>
        <v>10900000</v>
      </c>
      <c r="E9" s="242">
        <f>E10+E11</f>
        <v>0</v>
      </c>
      <c r="F9" s="242">
        <f>F10+F11</f>
        <v>0</v>
      </c>
      <c r="G9" s="242">
        <f>G10+G11</f>
        <v>0</v>
      </c>
      <c r="H9" s="242">
        <f t="shared" ref="H9:H16" si="0">G9-D9</f>
        <v>-10900000</v>
      </c>
      <c r="I9" s="242">
        <f>IF((D9=0),0,G9/D9)</f>
        <v>0</v>
      </c>
    </row>
    <row r="10" spans="1:9">
      <c r="A10" s="243" t="s">
        <v>821</v>
      </c>
      <c r="B10" s="337" t="s">
        <v>125</v>
      </c>
      <c r="C10" s="245">
        <f t="array" ref="C10">SUM(IF((Budget[Account Code]=B10),(Budget[Amount])))</f>
        <v>0</v>
      </c>
      <c r="D10" s="245">
        <f t="array" ref="D10">SUM(IF((Budget[Account Code]=B10)*(Budget[Date]&lt;=$D$7),(Budget[Amount])))</f>
        <v>0</v>
      </c>
      <c r="E10" s="245">
        <f t="array" ref="E10">((SUM(IF((CkDJ[Account Code]=(TRIM($B10)))*(CkDJ[Date]&lt;=$E$7),CkDJ[Credit])))+(SUM(IF((CsDJ[Account Code]=(TRIM($B10)))*(CsDJ[Date]&lt;=$E$7),CsDJ[Credit])))+(SUM(IF((CRDJ[Account Code]=(TRIM($B10)))*(CRDJ[Date]&lt;=$E$7),CRDJ[Credit])))+(SUM(IF((GJ[Account Code]=(TRIM($B10)))*(GJ[Date]&lt;=$E$7),GJ[Credit]))))-((SUM(IF((CkDJ[Account Code]=(TRIM($B10)))*(CkDJ[Date]&lt;=$E$7),CkDJ[Debit])))+(SUM(IF((CsDJ[Account Code]=(TRIM($B10)))*(CsDJ[Date]&lt;=$E$7),CsDJ[Debit])))+(SUM(IF((CRDJ[Account Code]=(TRIM($B10)))*(CRDJ[Date]&lt;=$E$7),CRDJ[Debit])))+(SUM(IF((GJ[Account Code]=(TRIM($B10)))*(GJ[Date]&lt;=$E$7),GJ[Debit]))))</f>
        <v>0</v>
      </c>
      <c r="F10" s="245">
        <f t="array" ref="F10">((SUM(IF((CkDJ[Date]=$A$3)*(CkDJ[Account Code]=(TRIM($B10))),CkDJ[Credit])))+(SUM(IF((CsDJ[Date]=$A$3)*(CsDJ[Account Code]=(TRIM($B10))),CsDJ[Credit])))+(SUM(IF((CRDJ[Date]=$A$3)*(CRDJ[Account Code]=(TRIM($B10))),CRDJ[Credit])))+(SUM(IF((GJ[Date]=$A$3)*(GJ[Account Code]=(TRIM($B10))),GJ[Credit]))))-((SUM(IF((CkDJ[Date]=$A$3)*(CkDJ[Account Code]=(TRIM($B10))),CkDJ[Debit])))+(SUM(IF((CsDJ[Date]=$A$3)*(CsDJ[Account Code]=(TRIM($B10))),CsDJ[Debit])))+(SUM(IF((CRDJ[Date]=$A$3)*(CRDJ[Account Code]=(TRIM($B10))),CRDJ[Debit])))+(SUM(IF((GJ[Date]=$A$3)*(GJ[Account Code]=(TRIM($B10))),GJ[Debit]))))</f>
        <v>0</v>
      </c>
      <c r="G10" s="343">
        <f>E10+F10</f>
        <v>0</v>
      </c>
      <c r="H10" s="246">
        <f t="shared" si="0"/>
        <v>0</v>
      </c>
      <c r="I10" s="246">
        <f t="shared" ref="I10:I23" si="1">IF((D10=0),0,G10/D10)</f>
        <v>0</v>
      </c>
    </row>
    <row r="11" spans="1:9">
      <c r="A11" s="243" t="s">
        <v>820</v>
      </c>
      <c r="B11" s="337"/>
      <c r="C11" s="245">
        <f>SUM(C12:C14)</f>
        <v>10900000</v>
      </c>
      <c r="D11" s="245">
        <f>SUM(D12:D14)</f>
        <v>10900000</v>
      </c>
      <c r="E11" s="245">
        <f>SUM(E12:E14)</f>
        <v>0</v>
      </c>
      <c r="F11" s="245">
        <f>SUM(F12:F14)</f>
        <v>0</v>
      </c>
      <c r="G11" s="343">
        <f>SUM(G12:G14)</f>
        <v>0</v>
      </c>
      <c r="H11" s="246">
        <f t="shared" si="0"/>
        <v>-10900000</v>
      </c>
      <c r="I11" s="246">
        <f t="shared" si="1"/>
        <v>0</v>
      </c>
    </row>
    <row r="12" spans="1:9">
      <c r="A12" s="247" t="s">
        <v>809</v>
      </c>
      <c r="B12" s="337" t="s">
        <v>126</v>
      </c>
      <c r="C12" s="245">
        <f t="array" ref="C12">SUM(IF((Budget[Account Code]=B12),(Budget[Amount])))</f>
        <v>10900000</v>
      </c>
      <c r="D12" s="245">
        <f t="array" ref="D12">SUM(IF((Budget[Account Code]=B12)*(Budget[Date]&lt;=$D$7),(Budget[Amount])))</f>
        <v>10900000</v>
      </c>
      <c r="E12" s="245">
        <f t="array" ref="E12">((SUM(IF((CkDJ[Account Code]=(TRIM($B12)))*(CkDJ[Date]&lt;=$E$7),CkDJ[Credit])))+(SUM(IF((CsDJ[Account Code]=(TRIM($B12)))*(CsDJ[Date]&lt;=$E$7),CsDJ[Credit])))+(SUM(IF((CRDJ[Account Code]=(TRIM($B12)))*(CRDJ[Date]&lt;=$E$7),CRDJ[Credit])))+(SUM(IF((GJ[Account Code]=(TRIM($B12)))*(GJ[Date]&lt;=$E$7),GJ[Credit]))))-((SUM(IF((CkDJ[Account Code]=(TRIM($B12)))*(CkDJ[Date]&lt;=$E$7),CkDJ[Debit])))+(SUM(IF((CsDJ[Account Code]=(TRIM($B12)))*(CsDJ[Date]&lt;=$E$7),CsDJ[Debit])))+(SUM(IF((CRDJ[Account Code]=(TRIM($B12)))*(CRDJ[Date]&lt;=$E$7),CRDJ[Debit])))+(SUM(IF((GJ[Account Code]=(TRIM($B12)))*(GJ[Date]&lt;=$E$7),GJ[Debit]))))</f>
        <v>0</v>
      </c>
      <c r="F12" s="245">
        <f t="array" ref="F12">((SUM(IF((CkDJ[Date]=$A$3)*(CkDJ[Account Code]=(TRIM($B12))),CkDJ[Credit])))+(SUM(IF((CsDJ[Date]=$A$3)*(CsDJ[Account Code]=(TRIM($B12))),CsDJ[Credit])))+(SUM(IF((CRDJ[Date]=$A$3)*(CRDJ[Account Code]=(TRIM($B12))),CRDJ[Credit])))+(SUM(IF((GJ[Date]=$A$3)*(GJ[Account Code]=(TRIM($B12))),GJ[Credit]))))-((SUM(IF((CkDJ[Date]=$A$3)*(CkDJ[Account Code]=(TRIM($B12))),CkDJ[Debit])))+(SUM(IF((CsDJ[Date]=$A$3)*(CsDJ[Account Code]=(TRIM($B12))),CsDJ[Debit])))+(SUM(IF((CRDJ[Date]=$A$3)*(CRDJ[Account Code]=(TRIM($B12))),CRDJ[Debit])))+(SUM(IF((GJ[Date]=$A$3)*(GJ[Account Code]=(TRIM($B12))),GJ[Debit]))))</f>
        <v>0</v>
      </c>
      <c r="G12" s="343">
        <f>E12+F12</f>
        <v>0</v>
      </c>
      <c r="H12" s="246">
        <f t="shared" si="0"/>
        <v>-10900000</v>
      </c>
      <c r="I12" s="246">
        <f t="shared" si="1"/>
        <v>0</v>
      </c>
    </row>
    <row r="13" spans="1:9">
      <c r="A13" s="247" t="s">
        <v>828</v>
      </c>
      <c r="B13" s="337" t="s">
        <v>721</v>
      </c>
      <c r="C13" s="245">
        <f t="array" ref="C13">SUM(IF((Budget[Account Code]=B13),(Budget[Amount])))</f>
        <v>0</v>
      </c>
      <c r="D13" s="245">
        <f t="array" ref="D13">SUM(IF((Budget[Account Code]=B13)*(Budget[Date]&lt;=$D$7),(Budget[Amount])))</f>
        <v>0</v>
      </c>
      <c r="E13" s="245">
        <f t="array" ref="E13">((SUM(IF((CkDJ[Account Code]=(TRIM($B13)))*(CkDJ[Date]&lt;=$E$7),CkDJ[Credit])))+(SUM(IF((CsDJ[Account Code]=(TRIM($B13)))*(CsDJ[Date]&lt;=$E$7),CsDJ[Credit])))+(SUM(IF((CRDJ[Account Code]=(TRIM($B13)))*(CRDJ[Date]&lt;=$E$7),CRDJ[Credit])))+(SUM(IF((GJ[Account Code]=(TRIM($B13)))*(GJ[Date]&lt;=$E$7),GJ[Credit]))))-((SUM(IF((CkDJ[Account Code]=(TRIM($B13)))*(CkDJ[Date]&lt;=$E$7),CkDJ[Debit])))+(SUM(IF((CsDJ[Account Code]=(TRIM($B13)))*(CsDJ[Date]&lt;=$E$7),CsDJ[Debit])))+(SUM(IF((CRDJ[Account Code]=(TRIM($B13)))*(CRDJ[Date]&lt;=$E$7),CRDJ[Debit])))+(SUM(IF((GJ[Account Code]=(TRIM($B13)))*(GJ[Date]&lt;=$E$7),GJ[Debit]))))</f>
        <v>0</v>
      </c>
      <c r="F13" s="245">
        <f t="array" ref="F13">((SUM(IF((CkDJ[Date]=$A$3)*(CkDJ[Account Code]=(TRIM($B13))),CkDJ[Credit])))+(SUM(IF((CsDJ[Date]=$A$3)*(CsDJ[Account Code]=(TRIM($B13))),CsDJ[Credit])))+(SUM(IF((CRDJ[Date]=$A$3)*(CRDJ[Account Code]=(TRIM($B13))),CRDJ[Credit])))+(SUM(IF((GJ[Date]=$A$3)*(GJ[Account Code]=(TRIM($B13))),GJ[Credit]))))-((SUM(IF((CkDJ[Date]=$A$3)*(CkDJ[Account Code]=(TRIM($B13))),CkDJ[Debit])))+(SUM(IF((CsDJ[Date]=$A$3)*(CsDJ[Account Code]=(TRIM($B13))),CsDJ[Debit])))+(SUM(IF((CRDJ[Date]=$A$3)*(CRDJ[Account Code]=(TRIM($B13))),CRDJ[Debit])))+(SUM(IF((GJ[Date]=$A$3)*(GJ[Account Code]=(TRIM($B13))),GJ[Debit]))))</f>
        <v>0</v>
      </c>
      <c r="G13" s="343">
        <f>E13+F13</f>
        <v>0</v>
      </c>
      <c r="H13" s="246">
        <f t="shared" si="0"/>
        <v>0</v>
      </c>
      <c r="I13" s="246">
        <f t="shared" si="1"/>
        <v>0</v>
      </c>
    </row>
    <row r="14" spans="1:9">
      <c r="A14" s="247" t="s">
        <v>827</v>
      </c>
      <c r="B14" s="337" t="s">
        <v>143</v>
      </c>
      <c r="C14" s="245">
        <f t="array" ref="C14">SUM(IF((Budget[Account Code]=B14),(Budget[Amount])))</f>
        <v>0</v>
      </c>
      <c r="D14" s="245">
        <f t="array" ref="D14">SUM(IF((Budget[Account Code]=B14)*(Budget[Date]&lt;=$D$7),(Budget[Amount])))</f>
        <v>0</v>
      </c>
      <c r="E14" s="245">
        <f t="array" ref="E14">((SUM(IF((CkDJ[Account Code]=(TRIM($B14)))*(CkDJ[Date]&lt;=$E$7),CkDJ[Credit])))+(SUM(IF((CsDJ[Account Code]=(TRIM($B14)))*(CsDJ[Date]&lt;=$E$7),CsDJ[Credit])))+(SUM(IF((CRDJ[Account Code]=(TRIM($B14)))*(CRDJ[Date]&lt;=$E$7),CRDJ[Credit])))+(SUM(IF((GJ[Account Code]=(TRIM($B14)))*(GJ[Date]&lt;=$E$7),GJ[Credit]))))-((SUM(IF((CkDJ[Account Code]=(TRIM($B14)))*(CkDJ[Date]&lt;=$E$7),CkDJ[Debit])))+(SUM(IF((CsDJ[Account Code]=(TRIM($B14)))*(CsDJ[Date]&lt;=$E$7),CsDJ[Debit])))+(SUM(IF((CRDJ[Account Code]=(TRIM($B14)))*(CRDJ[Date]&lt;=$E$7),CRDJ[Debit])))+(SUM(IF((GJ[Account Code]=(TRIM($B14)))*(GJ[Date]&lt;=$E$7),GJ[Debit]))))</f>
        <v>0</v>
      </c>
      <c r="F14" s="245">
        <f t="array" ref="F14">((SUM(IF((CkDJ[Date]=$A$3)*(CkDJ[Account Code]=(TRIM($B14))),CkDJ[Credit])))+(SUM(IF((CsDJ[Date]=$A$3)*(CsDJ[Account Code]=(TRIM($B14))),CsDJ[Credit])))+(SUM(IF((CRDJ[Date]=$A$3)*(CRDJ[Account Code]=(TRIM($B14))),CRDJ[Credit])))+(SUM(IF((GJ[Date]=$A$3)*(GJ[Account Code]=(TRIM($B14))),GJ[Credit]))))-((SUM(IF((CkDJ[Date]=$A$3)*(CkDJ[Account Code]=(TRIM($B14))),CkDJ[Debit])))+(SUM(IF((CsDJ[Date]=$A$3)*(CsDJ[Account Code]=(TRIM($B14))),CsDJ[Debit])))+(SUM(IF((CRDJ[Date]=$A$3)*(CRDJ[Account Code]=(TRIM($B14))),CRDJ[Debit])))+(SUM(IF((GJ[Date]=$A$3)*(GJ[Account Code]=(TRIM($B14))),GJ[Debit]))))</f>
        <v>0</v>
      </c>
      <c r="G14" s="343">
        <f>E14+F14</f>
        <v>0</v>
      </c>
      <c r="H14" s="246">
        <f t="shared" si="0"/>
        <v>0</v>
      </c>
      <c r="I14" s="246">
        <f t="shared" si="1"/>
        <v>0</v>
      </c>
    </row>
    <row r="15" spans="1:9">
      <c r="A15" s="241" t="s">
        <v>826</v>
      </c>
      <c r="B15" s="337"/>
      <c r="C15" s="248">
        <f>SUM(C16:C18)</f>
        <v>2500000</v>
      </c>
      <c r="D15" s="248">
        <f>SUM(D16:D18)</f>
        <v>2500000</v>
      </c>
      <c r="E15" s="248">
        <f>SUM(E16:E18)</f>
        <v>0</v>
      </c>
      <c r="F15" s="248">
        <f>SUM(F16:F18)</f>
        <v>0</v>
      </c>
      <c r="G15" s="248">
        <f>SUM(G16:G18)</f>
        <v>0</v>
      </c>
      <c r="H15" s="242">
        <f t="shared" si="0"/>
        <v>-2500000</v>
      </c>
      <c r="I15" s="242">
        <f t="shared" si="1"/>
        <v>0</v>
      </c>
    </row>
    <row r="16" spans="1:9" hidden="1">
      <c r="A16" s="243" t="s">
        <v>182</v>
      </c>
      <c r="B16" s="337" t="s">
        <v>146</v>
      </c>
      <c r="C16" s="245">
        <f t="array" ref="C16">SUM(IF((Budget[Account Code]=B16),(Budget[Amount])))</f>
        <v>2000000</v>
      </c>
      <c r="D16" s="245">
        <f t="array" ref="D16">SUM(IF((Budget[Account Code]=B16)*(Budget[Date]&lt;=$D$7),(Budget[Amount])))</f>
        <v>2000000</v>
      </c>
      <c r="E16" s="245">
        <f t="array" ref="E16">((SUM(IF((CkDJ[Account Code]=(TRIM($B16)))*(CkDJ[Date]&lt;=$E$7),CkDJ[Credit])))+(SUM(IF((CsDJ[Account Code]=(TRIM($B16)))*(CsDJ[Date]&lt;=$E$7),CsDJ[Credit])))+(SUM(IF((CRDJ[Account Code]=(TRIM($B16)))*(CRDJ[Date]&lt;=$E$7),CRDJ[Credit])))+(SUM(IF((GJ[Account Code]=(TRIM($B16)))*(GJ[Date]&lt;=$E$7),GJ[Credit]))))-((SUM(IF((CkDJ[Account Code]=(TRIM($B16)))*(CkDJ[Date]&lt;=$E$7),CkDJ[Debit])))+(SUM(IF((CsDJ[Account Code]=(TRIM($B16)))*(CsDJ[Date]&lt;=$E$7),CsDJ[Debit])))+(SUM(IF((CRDJ[Account Code]=(TRIM($B16)))*(CRDJ[Date]&lt;=$E$7),CRDJ[Debit])))+(SUM(IF((GJ[Account Code]=(TRIM($B16)))*(GJ[Date]&lt;=$E$7),GJ[Debit]))))</f>
        <v>0</v>
      </c>
      <c r="F16" s="245">
        <f t="array" ref="F16">((SUM(IF((CkDJ[Date]=$A$3)*(CkDJ[Account Code]=(TRIM($B16))),CkDJ[Credit])))+(SUM(IF((CsDJ[Date]=$A$3)*(CsDJ[Account Code]=(TRIM($B16))),CsDJ[Credit])))+(SUM(IF((CRDJ[Date]=$A$3)*(CRDJ[Account Code]=(TRIM($B16))),CRDJ[Credit])))+(SUM(IF((GJ[Date]=$A$3)*(GJ[Account Code]=(TRIM($B16))),GJ[Credit]))))-((SUM(IF((CkDJ[Date]=$A$3)*(CkDJ[Account Code]=(TRIM($B16))),CkDJ[Debit])))+(SUM(IF((CsDJ[Date]=$A$3)*(CsDJ[Account Code]=(TRIM($B16))),CsDJ[Debit])))+(SUM(IF((CRDJ[Date]=$A$3)*(CRDJ[Account Code]=(TRIM($B16))),CRDJ[Debit])))+(SUM(IF((GJ[Date]=$A$3)*(GJ[Account Code]=(TRIM($B16))),GJ[Debit]))))</f>
        <v>0</v>
      </c>
      <c r="G16" s="343">
        <f>E16+F16</f>
        <v>0</v>
      </c>
      <c r="H16" s="246">
        <f t="shared" si="0"/>
        <v>-2000000</v>
      </c>
      <c r="I16" s="246">
        <f t="shared" si="1"/>
        <v>0</v>
      </c>
    </row>
    <row r="17" spans="1:9" hidden="1">
      <c r="A17" s="243" t="s">
        <v>183</v>
      </c>
      <c r="B17" s="337" t="s">
        <v>147</v>
      </c>
      <c r="C17" s="245">
        <f t="array" ref="C17">SUM(IF((Budget[Account Code]=B17),(Budget[Amount])))</f>
        <v>500000</v>
      </c>
      <c r="D17" s="245">
        <f t="array" ref="D17">SUM(IF((Budget[Account Code]=B17)*(Budget[Date]&lt;=$D$7),(Budget[Amount])))</f>
        <v>500000</v>
      </c>
      <c r="E17" s="245">
        <f t="array" ref="E17">((SUM(IF((CkDJ[Account Code]=(TRIM($B17)))*(CkDJ[Date]&lt;=$E$7),CkDJ[Credit])))+(SUM(IF((CsDJ[Account Code]=(TRIM($B17)))*(CsDJ[Date]&lt;=$E$7),CsDJ[Credit])))+(SUM(IF((CRDJ[Account Code]=(TRIM($B17)))*(CRDJ[Date]&lt;=$E$7),CRDJ[Credit])))+(SUM(IF((GJ[Account Code]=(TRIM($B17)))*(GJ[Date]&lt;=$E$7),GJ[Credit]))))-((SUM(IF((CkDJ[Account Code]=(TRIM($B17)))*(CkDJ[Date]&lt;=$E$7),CkDJ[Debit])))+(SUM(IF((CsDJ[Account Code]=(TRIM($B17)))*(CsDJ[Date]&lt;=$E$7),CsDJ[Debit])))+(SUM(IF((CRDJ[Account Code]=(TRIM($B17)))*(CRDJ[Date]&lt;=$E$7),CRDJ[Debit])))+(SUM(IF((GJ[Account Code]=(TRIM($B17)))*(GJ[Date]&lt;=$E$7),GJ[Debit]))))</f>
        <v>0</v>
      </c>
      <c r="F17" s="245">
        <f t="array" ref="F17">((SUM(IF((CkDJ[Date]=$A$3)*(CkDJ[Account Code]=(TRIM($B17))),CkDJ[Credit])))+(SUM(IF((CsDJ[Date]=$A$3)*(CsDJ[Account Code]=(TRIM($B17))),CsDJ[Credit])))+(SUM(IF((CRDJ[Date]=$A$3)*(CRDJ[Account Code]=(TRIM($B17))),CRDJ[Credit])))+(SUM(IF((GJ[Date]=$A$3)*(GJ[Account Code]=(TRIM($B17))),GJ[Credit]))))-((SUM(IF((CkDJ[Date]=$A$3)*(CkDJ[Account Code]=(TRIM($B17))),CkDJ[Debit])))+(SUM(IF((CsDJ[Date]=$A$3)*(CsDJ[Account Code]=(TRIM($B17))),CsDJ[Debit])))+(SUM(IF((CRDJ[Date]=$A$3)*(CRDJ[Account Code]=(TRIM($B17))),CRDJ[Debit])))+(SUM(IF((GJ[Date]=$A$3)*(GJ[Account Code]=(TRIM($B17))),GJ[Debit]))))</f>
        <v>0</v>
      </c>
      <c r="G17" s="343">
        <f>E17+F17</f>
        <v>0</v>
      </c>
      <c r="H17" s="246">
        <f t="shared" ref="H17:H23" si="2">G17-D17</f>
        <v>-500000</v>
      </c>
      <c r="I17" s="246">
        <f t="shared" si="1"/>
        <v>0</v>
      </c>
    </row>
    <row r="18" spans="1:9" hidden="1">
      <c r="A18" s="243" t="s">
        <v>184</v>
      </c>
      <c r="B18" s="337" t="s">
        <v>148</v>
      </c>
      <c r="C18" s="245">
        <f t="array" ref="C18">SUM(IF((Budget[Account Code]=B18),(Budget[Amount])))</f>
        <v>0</v>
      </c>
      <c r="D18" s="245">
        <f t="array" ref="D18">SUM(IF((Budget[Account Code]=B18)*(Budget[Date]&lt;=$D$7),(Budget[Amount])))</f>
        <v>0</v>
      </c>
      <c r="E18" s="245">
        <f t="array" ref="E18">((SUM(IF((CkDJ[Account Code]=(TRIM($B18)))*(CkDJ[Date]&lt;=$E$7),CkDJ[Credit])))+(SUM(IF((CsDJ[Account Code]=(TRIM($B18)))*(CsDJ[Date]&lt;=$E$7),CsDJ[Credit])))+(SUM(IF((CRDJ[Account Code]=(TRIM($B18)))*(CRDJ[Date]&lt;=$E$7),CRDJ[Credit])))+(SUM(IF((GJ[Account Code]=(TRIM($B18)))*(GJ[Date]&lt;=$E$7),GJ[Credit]))))-((SUM(IF((CkDJ[Account Code]=(TRIM($B18)))*(CkDJ[Date]&lt;=$E$7),CkDJ[Debit])))+(SUM(IF((CsDJ[Account Code]=(TRIM($B18)))*(CsDJ[Date]&lt;=$E$7),CsDJ[Debit])))+(SUM(IF((CRDJ[Account Code]=(TRIM($B18)))*(CRDJ[Date]&lt;=$E$7),CRDJ[Debit])))+(SUM(IF((GJ[Account Code]=(TRIM($B18)))*(GJ[Date]&lt;=$E$7),GJ[Debit]))))</f>
        <v>0</v>
      </c>
      <c r="F18" s="245">
        <f t="array" ref="F18">((SUM(IF((CkDJ[Date]=$A$3)*(CkDJ[Account Code]=(TRIM($B18))),CkDJ[Credit])))+(SUM(IF((CsDJ[Date]=$A$3)*(CsDJ[Account Code]=(TRIM($B18))),CsDJ[Credit])))+(SUM(IF((CRDJ[Date]=$A$3)*(CRDJ[Account Code]=(TRIM($B18))),CRDJ[Credit])))+(SUM(IF((GJ[Date]=$A$3)*(GJ[Account Code]=(TRIM($B18))),GJ[Credit]))))-((SUM(IF((CkDJ[Date]=$A$3)*(CkDJ[Account Code]=(TRIM($B18))),CkDJ[Debit])))+(SUM(IF((CsDJ[Date]=$A$3)*(CsDJ[Account Code]=(TRIM($B18))),CsDJ[Debit])))+(SUM(IF((CRDJ[Date]=$A$3)*(CRDJ[Account Code]=(TRIM($B18))),CRDJ[Debit])))+(SUM(IF((GJ[Date]=$A$3)*(GJ[Account Code]=(TRIM($B18))),GJ[Debit]))))</f>
        <v>0</v>
      </c>
      <c r="G18" s="343">
        <f>E18+F18</f>
        <v>0</v>
      </c>
      <c r="H18" s="246">
        <f t="shared" si="2"/>
        <v>0</v>
      </c>
      <c r="I18" s="246">
        <f t="shared" si="1"/>
        <v>0</v>
      </c>
    </row>
    <row r="19" spans="1:9">
      <c r="A19" s="241" t="s">
        <v>825</v>
      </c>
      <c r="B19" s="337"/>
      <c r="C19" s="248">
        <f>SUM(C20:C21)</f>
        <v>0</v>
      </c>
      <c r="D19" s="248">
        <f>SUM(D20:D21)</f>
        <v>0</v>
      </c>
      <c r="E19" s="248">
        <f>SUM(E20:E21)</f>
        <v>0</v>
      </c>
      <c r="F19" s="248">
        <f>SUM(F20:F21)</f>
        <v>0</v>
      </c>
      <c r="G19" s="248">
        <f>SUM(G20:G21)</f>
        <v>0</v>
      </c>
      <c r="H19" s="242">
        <f t="shared" si="2"/>
        <v>0</v>
      </c>
      <c r="I19" s="242">
        <f t="shared" si="1"/>
        <v>0</v>
      </c>
    </row>
    <row r="20" spans="1:9">
      <c r="A20" s="243" t="s">
        <v>821</v>
      </c>
      <c r="B20" s="337" t="s">
        <v>131</v>
      </c>
      <c r="C20" s="245">
        <f t="array" ref="C20">SUM(IF((Budget[Account Code]=B20),(Budget[Amount])))</f>
        <v>0</v>
      </c>
      <c r="D20" s="245">
        <f t="array" ref="D20">SUM(IF((Budget[Account Code]=B20)*(Budget[Date]&lt;=$D$7),(Budget[Amount])))</f>
        <v>0</v>
      </c>
      <c r="E20" s="245">
        <f t="array" ref="E20">((SUM(IF((CkDJ[Account Code]=(TRIM($B20)))*(CkDJ[Date]&lt;=$E$7),CkDJ[Credit])))+(SUM(IF((CsDJ[Account Code]=(TRIM($B20)))*(CsDJ[Date]&lt;=$E$7),CsDJ[Credit])))+(SUM(IF((CRDJ[Account Code]=(TRIM($B20)))*(CRDJ[Date]&lt;=$E$7),CRDJ[Credit])))+(SUM(IF((GJ[Account Code]=(TRIM($B20)))*(GJ[Date]&lt;=$E$7),GJ[Credit]))))-((SUM(IF((CkDJ[Account Code]=(TRIM($B20)))*(CkDJ[Date]&lt;=$E$7),CkDJ[Debit])))+(SUM(IF((CsDJ[Account Code]=(TRIM($B20)))*(CsDJ[Date]&lt;=$E$7),CsDJ[Debit])))+(SUM(IF((CRDJ[Account Code]=(TRIM($B20)))*(CRDJ[Date]&lt;=$E$7),CRDJ[Debit])))+(SUM(IF((GJ[Account Code]=(TRIM($B20)))*(GJ[Date]&lt;=$E$7),GJ[Debit]))))</f>
        <v>0</v>
      </c>
      <c r="F20" s="245">
        <f t="array" ref="F20">((SUM(IF((CkDJ[Date]=$A$3)*(CkDJ[Account Code]=(TRIM($B20))),CkDJ[Credit])))+(SUM(IF((CsDJ[Date]=$A$3)*(CsDJ[Account Code]=(TRIM($B20))),CsDJ[Credit])))+(SUM(IF((CRDJ[Date]=$A$3)*(CRDJ[Account Code]=(TRIM($B20))),CRDJ[Credit])))+(SUM(IF((GJ[Date]=$A$3)*(GJ[Account Code]=(TRIM($B20))),GJ[Credit]))))-((SUM(IF((CkDJ[Date]=$A$3)*(CkDJ[Account Code]=(TRIM($B20))),CkDJ[Debit])))+(SUM(IF((CsDJ[Date]=$A$3)*(CsDJ[Account Code]=(TRIM($B20))),CsDJ[Debit])))+(SUM(IF((CRDJ[Date]=$A$3)*(CRDJ[Account Code]=(TRIM($B20))),CRDJ[Debit])))+(SUM(IF((GJ[Date]=$A$3)*(GJ[Account Code]=(TRIM($B20))),GJ[Debit]))))</f>
        <v>0</v>
      </c>
      <c r="G20" s="343">
        <f>E20+F20</f>
        <v>0</v>
      </c>
      <c r="H20" s="246">
        <f t="shared" si="2"/>
        <v>0</v>
      </c>
      <c r="I20" s="246">
        <f t="shared" si="1"/>
        <v>0</v>
      </c>
    </row>
    <row r="21" spans="1:9">
      <c r="A21" s="243" t="s">
        <v>820</v>
      </c>
      <c r="B21" s="337"/>
      <c r="C21" s="245">
        <f>SUM(C22:C23)</f>
        <v>0</v>
      </c>
      <c r="D21" s="245">
        <f>SUM(D22:D23)</f>
        <v>0</v>
      </c>
      <c r="E21" s="245">
        <f>SUM(E22:E23)</f>
        <v>0</v>
      </c>
      <c r="F21" s="245">
        <f>SUM(F22:F23)</f>
        <v>0</v>
      </c>
      <c r="G21" s="245">
        <f>SUM(G22:G23)</f>
        <v>0</v>
      </c>
      <c r="H21" s="246">
        <f t="shared" si="2"/>
        <v>0</v>
      </c>
      <c r="I21" s="246">
        <f t="shared" si="1"/>
        <v>0</v>
      </c>
    </row>
    <row r="22" spans="1:9" hidden="1">
      <c r="A22" s="247" t="s">
        <v>819</v>
      </c>
      <c r="B22" s="337" t="s">
        <v>140</v>
      </c>
      <c r="C22" s="245">
        <f t="array" ref="C22">SUM(IF((Budget[Account Code]=B22),(Budget[Amount])))</f>
        <v>0</v>
      </c>
      <c r="D22" s="245">
        <f t="array" ref="D22">SUM(IF((Budget[Account Code]=B22)*(Budget[Date]&lt;=$D$7),(Budget[Amount])))</f>
        <v>0</v>
      </c>
      <c r="E22" s="245">
        <f t="array" ref="E22">((SUM(IF((CkDJ[Account Code]=(TRIM($B22)))*(CkDJ[Date]&lt;=$E$7),CkDJ[Credit])))+(SUM(IF((CsDJ[Account Code]=(TRIM($B22)))*(CsDJ[Date]&lt;=$E$7),CsDJ[Credit])))+(SUM(IF((CRDJ[Account Code]=(TRIM($B22)))*(CRDJ[Date]&lt;=$E$7),CRDJ[Credit])))+(SUM(IF((GJ[Account Code]=(TRIM($B22)))*(GJ[Date]&lt;=$E$7),GJ[Credit]))))-((SUM(IF((CkDJ[Account Code]=(TRIM($B22)))*(CkDJ[Date]&lt;=$E$7),CkDJ[Debit])))+(SUM(IF((CsDJ[Account Code]=(TRIM($B22)))*(CsDJ[Date]&lt;=$E$7),CsDJ[Debit])))+(SUM(IF((CRDJ[Account Code]=(TRIM($B22)))*(CRDJ[Date]&lt;=$E$7),CRDJ[Debit])))+(SUM(IF((GJ[Account Code]=(TRIM($B22)))*(GJ[Date]&lt;=$E$7),GJ[Debit]))))</f>
        <v>0</v>
      </c>
      <c r="F22" s="245">
        <f t="array" ref="F22">((SUM(IF((CkDJ[Date]=$A$3)*(CkDJ[Account Code]=(TRIM($B22))),CkDJ[Credit])))+(SUM(IF((CsDJ[Date]=$A$3)*(CsDJ[Account Code]=(TRIM($B22))),CsDJ[Credit])))+(SUM(IF((CRDJ[Date]=$A$3)*(CRDJ[Account Code]=(TRIM($B22))),CRDJ[Credit])))+(SUM(IF((GJ[Date]=$A$3)*(GJ[Account Code]=(TRIM($B22))),GJ[Credit]))))-((SUM(IF((CkDJ[Date]=$A$3)*(CkDJ[Account Code]=(TRIM($B22))),CkDJ[Debit])))+(SUM(IF((CsDJ[Date]=$A$3)*(CsDJ[Account Code]=(TRIM($B22))),CsDJ[Debit])))+(SUM(IF((CRDJ[Date]=$A$3)*(CRDJ[Account Code]=(TRIM($B22))),CRDJ[Debit])))+(SUM(IF((GJ[Date]=$A$3)*(GJ[Account Code]=(TRIM($B22))),GJ[Debit]))))</f>
        <v>0</v>
      </c>
      <c r="G22" s="343">
        <f>E22+F22</f>
        <v>0</v>
      </c>
      <c r="H22" s="246">
        <f t="shared" si="2"/>
        <v>0</v>
      </c>
      <c r="I22" s="246">
        <f t="shared" si="1"/>
        <v>0</v>
      </c>
    </row>
    <row r="23" spans="1:9" hidden="1">
      <c r="A23" s="247" t="s">
        <v>818</v>
      </c>
      <c r="B23" s="337" t="s">
        <v>144</v>
      </c>
      <c r="C23" s="245">
        <f t="array" ref="C23">SUM(IF((Budget[Account Code]=B23),(Budget[Amount])))</f>
        <v>0</v>
      </c>
      <c r="D23" s="245">
        <f t="array" ref="D23">SUM(IF((Budget[Account Code]=B23)*(Budget[Date]&lt;=$D$7),(Budget[Amount])))</f>
        <v>0</v>
      </c>
      <c r="E23" s="245">
        <f t="array" ref="E23">((SUM(IF((CkDJ[Account Code]=(TRIM($B23)))*(CkDJ[Date]&lt;=$E$7),CkDJ[Credit])))+(SUM(IF((CsDJ[Account Code]=(TRIM($B23)))*(CsDJ[Date]&lt;=$E$7),CsDJ[Credit])))+(SUM(IF((CRDJ[Account Code]=(TRIM($B23)))*(CRDJ[Date]&lt;=$E$7),CRDJ[Credit])))+(SUM(IF((GJ[Account Code]=(TRIM($B23)))*(GJ[Date]&lt;=$E$7),GJ[Credit]))))-((SUM(IF((CkDJ[Account Code]=(TRIM($B23)))*(CkDJ[Date]&lt;=$E$7),CkDJ[Debit])))+(SUM(IF((CsDJ[Account Code]=(TRIM($B23)))*(CsDJ[Date]&lt;=$E$7),CsDJ[Debit])))+(SUM(IF((CRDJ[Account Code]=(TRIM($B23)))*(CRDJ[Date]&lt;=$E$7),CRDJ[Debit])))+(SUM(IF((GJ[Account Code]=(TRIM($B23)))*(GJ[Date]&lt;=$E$7),GJ[Debit]))))</f>
        <v>0</v>
      </c>
      <c r="F23" s="245">
        <f t="array" ref="F23">((SUM(IF((CkDJ[Date]=$A$3)*(CkDJ[Account Code]=(TRIM($B23))),CkDJ[Credit])))+(SUM(IF((CsDJ[Date]=$A$3)*(CsDJ[Account Code]=(TRIM($B23))),CsDJ[Credit])))+(SUM(IF((CRDJ[Date]=$A$3)*(CRDJ[Account Code]=(TRIM($B23))),CRDJ[Credit])))+(SUM(IF((GJ[Date]=$A$3)*(GJ[Account Code]=(TRIM($B23))),GJ[Credit]))))-((SUM(IF((CkDJ[Date]=$A$3)*(CkDJ[Account Code]=(TRIM($B23))),CkDJ[Debit])))+(SUM(IF((CsDJ[Date]=$A$3)*(CsDJ[Account Code]=(TRIM($B23))),CsDJ[Debit])))+(SUM(IF((CRDJ[Date]=$A$3)*(CRDJ[Account Code]=(TRIM($B23))),CRDJ[Debit])))+(SUM(IF((GJ[Date]=$A$3)*(GJ[Account Code]=(TRIM($B23))),GJ[Debit]))))</f>
        <v>0</v>
      </c>
      <c r="G23" s="343">
        <f>E23+F23</f>
        <v>0</v>
      </c>
      <c r="H23" s="246">
        <f t="shared" si="2"/>
        <v>0</v>
      </c>
      <c r="I23" s="246">
        <f t="shared" si="1"/>
        <v>0</v>
      </c>
    </row>
    <row r="24" spans="1:9">
      <c r="A24" s="249" t="s">
        <v>814</v>
      </c>
      <c r="B24" s="338"/>
      <c r="C24" s="250">
        <f>C9+C15+C19</f>
        <v>13400000</v>
      </c>
      <c r="D24" s="250">
        <f>D9+D15+D19</f>
        <v>13400000</v>
      </c>
      <c r="E24" s="250">
        <f>E9+E15+E19</f>
        <v>0</v>
      </c>
      <c r="F24" s="250">
        <f>F9+F15+F19</f>
        <v>0</v>
      </c>
      <c r="G24" s="250">
        <f>G9+G15+G19</f>
        <v>0</v>
      </c>
      <c r="H24" s="250">
        <f>G24-D24</f>
        <v>-13400000</v>
      </c>
      <c r="I24" s="250">
        <f>IF((D24=0),0,G24/D24)</f>
        <v>0</v>
      </c>
    </row>
    <row r="25" spans="1:9">
      <c r="A25" s="239" t="s">
        <v>824</v>
      </c>
      <c r="B25" s="337"/>
      <c r="C25" s="240"/>
      <c r="D25" s="240"/>
      <c r="E25" s="240"/>
      <c r="F25" s="240"/>
      <c r="G25" s="246"/>
      <c r="H25" s="246"/>
      <c r="I25" s="246"/>
    </row>
    <row r="26" spans="1:9">
      <c r="A26" s="241" t="s">
        <v>823</v>
      </c>
      <c r="B26" s="337" t="s">
        <v>352</v>
      </c>
      <c r="C26" s="248">
        <f t="array" ref="C26">SUM(IF((Budget[Account Code]=B26),(Budget[Amount])))</f>
        <v>15000000</v>
      </c>
      <c r="D26" s="248">
        <f t="array" ref="D26">SUM(IF((Budget[Account Code]=B26)*(Budget[Date]&lt;=$D$7),(Budget[Amount])))</f>
        <v>15000000</v>
      </c>
      <c r="E26" s="248">
        <f t="array" ref="E26">((SUM(IF((CkDJ[Account Code]=(TRIM($B26)))*(CkDJ[Date]&lt;=$E$7),CkDJ[Credit])))+(SUM(IF((CsDJ[Account Code]=(TRIM($B26)))*(CsDJ[Date]&lt;=$E$7),CsDJ[Credit])))+(SUM(IF((CRDJ[Account Code]=(TRIM($B26)))*(CRDJ[Date]&lt;=$E$7),CRDJ[Credit])))+(SUM(IF((GJ[Account Code]=(TRIM($B26)))*(GJ[Date]&lt;=$E$7),GJ[Credit]))))-((SUM(IF((CkDJ[Account Code]=(TRIM($B26)))*(CkDJ[Date]&lt;=$E$7),CkDJ[Debit])))+(SUM(IF((CsDJ[Account Code]=(TRIM($B26)))*(CsDJ[Date]&lt;=$E$7),CsDJ[Debit])))+(SUM(IF((CRDJ[Account Code]=(TRIM($B26)))*(CRDJ[Date]&lt;=$E$7),CRDJ[Debit])))+(SUM(IF((GJ[Account Code]=(TRIM($B26)))*(GJ[Date]&lt;=$E$7),GJ[Debit]))))</f>
        <v>0</v>
      </c>
      <c r="F26" s="248">
        <f t="array" ref="F26">((SUM(IF((CkDJ[Date]=$A$3)*(CkDJ[Account Code]=(TRIM($B26))),CkDJ[Credit])))+(SUM(IF((CsDJ[Date]=$A$3)*(CsDJ[Account Code]=(TRIM($B26))),CsDJ[Credit])))+(SUM(IF((CRDJ[Date]=$A$3)*(CRDJ[Account Code]=(TRIM($B26))),CRDJ[Credit])))+(SUM(IF((GJ[Date]=$A$3)*(GJ[Account Code]=(TRIM($B26))),GJ[Credit]))))-((SUM(IF((CkDJ[Date]=$A$3)*(CkDJ[Account Code]=(TRIM($B26))),CkDJ[Debit])))+(SUM(IF((CsDJ[Date]=$A$3)*(CsDJ[Account Code]=(TRIM($B26))),CsDJ[Debit])))+(SUM(IF((CRDJ[Date]=$A$3)*(CRDJ[Account Code]=(TRIM($B26))),CRDJ[Debit])))+(SUM(IF((GJ[Date]=$A$3)*(GJ[Account Code]=(TRIM($B26))),GJ[Debit]))))</f>
        <v>0</v>
      </c>
      <c r="G26" s="349">
        <f>E26+F26</f>
        <v>0</v>
      </c>
      <c r="H26" s="242">
        <f>G26-D26</f>
        <v>-15000000</v>
      </c>
      <c r="I26" s="242">
        <f t="shared" ref="I26:I48" si="3">IF((D26=0),0,G26/D26)</f>
        <v>0</v>
      </c>
    </row>
    <row r="27" spans="1:9">
      <c r="A27" s="241" t="s">
        <v>822</v>
      </c>
      <c r="B27" s="337"/>
      <c r="C27" s="248">
        <f>SUM(C28:C29)</f>
        <v>6762078.0599999996</v>
      </c>
      <c r="D27" s="248">
        <f>SUM(D28:D29)</f>
        <v>6762078.0599999996</v>
      </c>
      <c r="E27" s="248">
        <f>SUM(E28:E29)</f>
        <v>0</v>
      </c>
      <c r="F27" s="248">
        <f>SUM(F28:F29)</f>
        <v>0</v>
      </c>
      <c r="G27" s="248">
        <f>SUM(G28:G29)</f>
        <v>0</v>
      </c>
      <c r="H27" s="242">
        <f>G27-D27</f>
        <v>-6762078.0599999996</v>
      </c>
      <c r="I27" s="242">
        <f t="shared" si="3"/>
        <v>0</v>
      </c>
    </row>
    <row r="28" spans="1:9">
      <c r="A28" s="243" t="s">
        <v>821</v>
      </c>
      <c r="B28" s="339" t="s">
        <v>128</v>
      </c>
      <c r="C28" s="245">
        <f t="array" ref="C28">SUM(IF((Budget[Account Code]=B28),(Budget[Amount])))</f>
        <v>1725000</v>
      </c>
      <c r="D28" s="245">
        <f t="array" ref="D28">SUM(IF((Budget[Account Code]=B28)*(Budget[Date]&lt;=$D$7),(Budget[Amount])))</f>
        <v>1725000</v>
      </c>
      <c r="E28" s="245">
        <f t="array" ref="E28">((SUM(IF((CkDJ[Account Code]=(TRIM($B28)))*(CkDJ[Date]&lt;=$E$7),CkDJ[Credit])))+(SUM(IF((CsDJ[Account Code]=(TRIM($B28)))*(CsDJ[Date]&lt;=$E$7),CsDJ[Credit])))+(SUM(IF((CRDJ[Account Code]=(TRIM($B28)))*(CRDJ[Date]&lt;=$E$7),CRDJ[Credit])))+(SUM(IF((GJ[Account Code]=(TRIM($B28)))*(GJ[Date]&lt;=$E$7),GJ[Credit]))))-((SUM(IF((CkDJ[Account Code]=(TRIM($B28)))*(CkDJ[Date]&lt;=$E$7),CkDJ[Debit])))+(SUM(IF((CsDJ[Account Code]=(TRIM($B28)))*(CsDJ[Date]&lt;=$E$7),CsDJ[Debit])))+(SUM(IF((CRDJ[Account Code]=(TRIM($B28)))*(CRDJ[Date]&lt;=$E$7),CRDJ[Debit])))+(SUM(IF((GJ[Account Code]=(TRIM($B28)))*(GJ[Date]&lt;=$E$7),GJ[Debit]))))</f>
        <v>0</v>
      </c>
      <c r="F28" s="245">
        <f t="array" ref="F28">((SUM(IF((CkDJ[Date]=$A$3)*(CkDJ[Account Code]=(TRIM($B28))),CkDJ[Credit])))+(SUM(IF((CsDJ[Date]=$A$3)*(CsDJ[Account Code]=(TRIM($B28))),CsDJ[Credit])))+(SUM(IF((CRDJ[Date]=$A$3)*(CRDJ[Account Code]=(TRIM($B28))),CRDJ[Credit])))+(SUM(IF((GJ[Date]=$A$3)*(GJ[Account Code]=(TRIM($B28))),GJ[Credit]))))-((SUM(IF((CkDJ[Date]=$A$3)*(CkDJ[Account Code]=(TRIM($B28))),CkDJ[Debit])))+(SUM(IF((CsDJ[Date]=$A$3)*(CsDJ[Account Code]=(TRIM($B28))),CsDJ[Debit])))+(SUM(IF((CRDJ[Date]=$A$3)*(CRDJ[Account Code]=(TRIM($B28))),CRDJ[Debit])))+(SUM(IF((GJ[Date]=$A$3)*(GJ[Account Code]=(TRIM($B28))),GJ[Debit]))))</f>
        <v>0</v>
      </c>
      <c r="G28" s="343">
        <f>E28+F28</f>
        <v>0</v>
      </c>
      <c r="H28" s="246">
        <f>G28-D28</f>
        <v>-1725000</v>
      </c>
      <c r="I28" s="246">
        <f t="shared" si="3"/>
        <v>0</v>
      </c>
    </row>
    <row r="29" spans="1:9">
      <c r="A29" s="243" t="s">
        <v>820</v>
      </c>
      <c r="B29" s="339"/>
      <c r="C29" s="245">
        <f>SUM(C30:C31)</f>
        <v>5037078.0599999996</v>
      </c>
      <c r="D29" s="245">
        <f>SUM(D30:D31)</f>
        <v>5037078.0599999996</v>
      </c>
      <c r="E29" s="245">
        <f>SUM(E30:E31)</f>
        <v>0</v>
      </c>
      <c r="F29" s="245">
        <f>SUM(F30:F31)</f>
        <v>0</v>
      </c>
      <c r="G29" s="245">
        <f>SUM(G30:G31)</f>
        <v>0</v>
      </c>
      <c r="H29" s="246">
        <f t="shared" ref="H29:H48" si="4">G29-D29</f>
        <v>-5037078.0599999996</v>
      </c>
      <c r="I29" s="246">
        <f t="shared" si="3"/>
        <v>0</v>
      </c>
    </row>
    <row r="30" spans="1:9" hidden="1">
      <c r="A30" s="247" t="s">
        <v>819</v>
      </c>
      <c r="B30" s="339" t="s">
        <v>129</v>
      </c>
      <c r="C30" s="245">
        <f t="array" ref="C30">SUM(IF((Budget[Account Code]=B30),(Budget[Amount])))</f>
        <v>5037078.0599999996</v>
      </c>
      <c r="D30" s="245">
        <f t="array" ref="D30">SUM(IF((Budget[Account Code]=B30)*(Budget[Date]&lt;=$D$7),(Budget[Amount])))</f>
        <v>5037078.0599999996</v>
      </c>
      <c r="E30" s="245">
        <f t="array" ref="E30">((SUM(IF((CkDJ[Account Code]=(TRIM($B30)))*(CkDJ[Date]&lt;=$E$7),CkDJ[Credit])))+(SUM(IF((CsDJ[Account Code]=(TRIM($B30)))*(CsDJ[Date]&lt;=$E$7),CsDJ[Credit])))+(SUM(IF((CRDJ[Account Code]=(TRIM($B30)))*(CRDJ[Date]&lt;=$E$7),CRDJ[Credit])))+(SUM(IF((GJ[Account Code]=(TRIM($B30)))*(GJ[Date]&lt;=$E$7),GJ[Credit]))))-((SUM(IF((CkDJ[Account Code]=(TRIM($B30)))*(CkDJ[Date]&lt;=$E$7),CkDJ[Debit])))+(SUM(IF((CsDJ[Account Code]=(TRIM($B30)))*(CsDJ[Date]&lt;=$E$7),CsDJ[Debit])))+(SUM(IF((CRDJ[Account Code]=(TRIM($B30)))*(CRDJ[Date]&lt;=$E$7),CRDJ[Debit])))+(SUM(IF((GJ[Account Code]=(TRIM($B30)))*(GJ[Date]&lt;=$E$7),GJ[Debit]))))</f>
        <v>0</v>
      </c>
      <c r="F30" s="245">
        <f t="array" ref="F30">((SUM(IF((CkDJ[Date]=$A$3)*(CkDJ[Account Code]=(TRIM($B30))),CkDJ[Credit])))+(SUM(IF((CsDJ[Date]=$A$3)*(CsDJ[Account Code]=(TRIM($B30))),CsDJ[Credit])))+(SUM(IF((CRDJ[Date]=$A$3)*(CRDJ[Account Code]=(TRIM($B30))),CRDJ[Credit])))+(SUM(IF((GJ[Date]=$A$3)*(GJ[Account Code]=(TRIM($B30))),GJ[Credit]))))-((SUM(IF((CkDJ[Date]=$A$3)*(CkDJ[Account Code]=(TRIM($B30))),CkDJ[Debit])))+(SUM(IF((CsDJ[Date]=$A$3)*(CsDJ[Account Code]=(TRIM($B30))),CsDJ[Debit])))+(SUM(IF((CRDJ[Date]=$A$3)*(CRDJ[Account Code]=(TRIM($B30))),CRDJ[Debit])))+(SUM(IF((GJ[Date]=$A$3)*(GJ[Account Code]=(TRIM($B30))),GJ[Debit]))))</f>
        <v>0</v>
      </c>
      <c r="G30" s="343">
        <f>E30+F30</f>
        <v>0</v>
      </c>
      <c r="H30" s="246">
        <f t="shared" si="4"/>
        <v>-5037078.0599999996</v>
      </c>
      <c r="I30" s="246">
        <f t="shared" si="3"/>
        <v>0</v>
      </c>
    </row>
    <row r="31" spans="1:9" hidden="1">
      <c r="A31" s="247" t="s">
        <v>818</v>
      </c>
      <c r="B31" s="339" t="s">
        <v>145</v>
      </c>
      <c r="C31" s="245">
        <f t="array" ref="C31">SUM(IF((Budget[Account Code]=B31),(Budget[Amount])))</f>
        <v>0</v>
      </c>
      <c r="D31" s="245">
        <f t="array" ref="D31">SUM(IF((Budget[Account Code]=B31)*(Budget[Date]&lt;=$D$7),(Budget[Amount])))</f>
        <v>0</v>
      </c>
      <c r="E31" s="245">
        <f t="array" ref="E31">((SUM(IF((CkDJ[Account Code]=(TRIM($B31)))*(CkDJ[Date]&lt;=$E$7),CkDJ[Credit])))+(SUM(IF((CsDJ[Account Code]=(TRIM($B31)))*(CsDJ[Date]&lt;=$E$7),CsDJ[Credit])))+(SUM(IF((CRDJ[Account Code]=(TRIM($B31)))*(CRDJ[Date]&lt;=$E$7),CRDJ[Credit])))+(SUM(IF((GJ[Account Code]=(TRIM($B31)))*(GJ[Date]&lt;=$E$7),GJ[Credit]))))-((SUM(IF((CkDJ[Account Code]=(TRIM($B31)))*(CkDJ[Date]&lt;=$E$7),CkDJ[Debit])))+(SUM(IF((CsDJ[Account Code]=(TRIM($B31)))*(CsDJ[Date]&lt;=$E$7),CsDJ[Debit])))+(SUM(IF((CRDJ[Account Code]=(TRIM($B31)))*(CRDJ[Date]&lt;=$E$7),CRDJ[Debit])))+(SUM(IF((GJ[Account Code]=(TRIM($B31)))*(GJ[Date]&lt;=$E$7),GJ[Debit]))))</f>
        <v>0</v>
      </c>
      <c r="F31" s="245">
        <f t="array" ref="F31">((SUM(IF((CkDJ[Date]=$A$3)*(CkDJ[Account Code]=(TRIM($B31))),CkDJ[Credit])))+(SUM(IF((CsDJ[Date]=$A$3)*(CsDJ[Account Code]=(TRIM($B31))),CsDJ[Credit])))+(SUM(IF((CRDJ[Date]=$A$3)*(CRDJ[Account Code]=(TRIM($B31))),CRDJ[Credit])))+(SUM(IF((GJ[Date]=$A$3)*(GJ[Account Code]=(TRIM($B31))),GJ[Credit]))))-((SUM(IF((CkDJ[Date]=$A$3)*(CkDJ[Account Code]=(TRIM($B31))),CkDJ[Debit])))+(SUM(IF((CsDJ[Date]=$A$3)*(CsDJ[Account Code]=(TRIM($B31))),CsDJ[Debit])))+(SUM(IF((CRDJ[Date]=$A$3)*(CRDJ[Account Code]=(TRIM($B31))),CRDJ[Debit])))+(SUM(IF((GJ[Date]=$A$3)*(GJ[Account Code]=(TRIM($B31))),GJ[Debit]))))</f>
        <v>0</v>
      </c>
      <c r="G31" s="343">
        <f>E31+F31</f>
        <v>0</v>
      </c>
      <c r="H31" s="246">
        <f t="shared" si="4"/>
        <v>0</v>
      </c>
      <c r="I31" s="246">
        <f t="shared" si="3"/>
        <v>0</v>
      </c>
    </row>
    <row r="32" spans="1:9">
      <c r="A32" s="241" t="s">
        <v>817</v>
      </c>
      <c r="B32" s="339"/>
      <c r="C32" s="248">
        <f>SUM(C33:C35)</f>
        <v>0</v>
      </c>
      <c r="D32" s="248">
        <f>SUM(D33:D35)</f>
        <v>0</v>
      </c>
      <c r="E32" s="248">
        <f>SUM(E33:E35)</f>
        <v>0</v>
      </c>
      <c r="F32" s="248">
        <f>SUM(F33:F35)</f>
        <v>0</v>
      </c>
      <c r="G32" s="248">
        <f>SUM(G33:G35)</f>
        <v>0</v>
      </c>
      <c r="H32" s="242">
        <f t="shared" si="4"/>
        <v>0</v>
      </c>
      <c r="I32" s="242">
        <f t="shared" si="3"/>
        <v>0</v>
      </c>
    </row>
    <row r="33" spans="1:9" hidden="1">
      <c r="A33" s="272" t="s">
        <v>139</v>
      </c>
      <c r="B33" s="339" t="s">
        <v>130</v>
      </c>
      <c r="C33" s="245">
        <f t="array" ref="C33">SUM(IF((Budget[Account Code]=B33),(Budget[Amount])))</f>
        <v>0</v>
      </c>
      <c r="D33" s="245">
        <f t="array" ref="D33">SUM(IF((Budget[Account Code]=B33)*(Budget[Date]&lt;=$D$7),(Budget[Amount])))</f>
        <v>0</v>
      </c>
      <c r="E33" s="245">
        <f t="array" ref="E33">((SUM(IF((CkDJ[Account Code]=(TRIM($B33)))*(CkDJ[Date]&lt;=$E$7),CkDJ[Credit])))+(SUM(IF((CsDJ[Account Code]=(TRIM($B33)))*(CsDJ[Date]&lt;=$E$7),CsDJ[Credit])))+(SUM(IF((CRDJ[Account Code]=(TRIM($B33)))*(CRDJ[Date]&lt;=$E$7),CRDJ[Credit])))+(SUM(IF((GJ[Account Code]=(TRIM($B33)))*(GJ[Date]&lt;=$E$7),GJ[Credit]))))-((SUM(IF((CkDJ[Account Code]=(TRIM($B33)))*(CkDJ[Date]&lt;=$E$7),CkDJ[Debit])))+(SUM(IF((CsDJ[Account Code]=(TRIM($B33)))*(CsDJ[Date]&lt;=$E$7),CsDJ[Debit])))+(SUM(IF((CRDJ[Account Code]=(TRIM($B33)))*(CRDJ[Date]&lt;=$E$7),CRDJ[Debit])))+(SUM(IF((GJ[Account Code]=(TRIM($B33)))*(GJ[Date]&lt;=$E$7),GJ[Debit]))))</f>
        <v>0</v>
      </c>
      <c r="F33" s="245">
        <f t="array" ref="F33">((SUM(IF((CkDJ[Date]=$A$3)*(CkDJ[Account Code]=(TRIM($B33))),CkDJ[Credit])))+(SUM(IF((CsDJ[Date]=$A$3)*(CsDJ[Account Code]=(TRIM($B33))),CsDJ[Credit])))+(SUM(IF((CRDJ[Date]=$A$3)*(CRDJ[Account Code]=(TRIM($B33))),CRDJ[Credit])))+(SUM(IF((GJ[Date]=$A$3)*(GJ[Account Code]=(TRIM($B33))),GJ[Credit]))))-((SUM(IF((CkDJ[Date]=$A$3)*(CkDJ[Account Code]=(TRIM($B33))),CkDJ[Debit])))+(SUM(IF((CsDJ[Date]=$A$3)*(CsDJ[Account Code]=(TRIM($B33))),CsDJ[Debit])))+(SUM(IF((CRDJ[Date]=$A$3)*(CRDJ[Account Code]=(TRIM($B33))),CRDJ[Debit])))+(SUM(IF((GJ[Date]=$A$3)*(GJ[Account Code]=(TRIM($B33))),GJ[Debit]))))</f>
        <v>0</v>
      </c>
      <c r="G33" s="343">
        <f>E33+F33</f>
        <v>0</v>
      </c>
      <c r="H33" s="246">
        <f t="shared" si="4"/>
        <v>0</v>
      </c>
      <c r="I33" s="246">
        <f t="shared" si="3"/>
        <v>0</v>
      </c>
    </row>
    <row r="34" spans="1:9" hidden="1">
      <c r="A34" s="272" t="s">
        <v>180</v>
      </c>
      <c r="B34" s="339" t="s">
        <v>141</v>
      </c>
      <c r="C34" s="245">
        <f t="array" ref="C34">SUM(IF((Budget[Account Code]=B34),(Budget[Amount])))</f>
        <v>0</v>
      </c>
      <c r="D34" s="245">
        <f t="array" ref="D34">SUM(IF((Budget[Account Code]=B34)*(Budget[Date]&lt;=$D$7),(Budget[Amount])))</f>
        <v>0</v>
      </c>
      <c r="E34" s="245">
        <f t="array" ref="E34">((SUM(IF((CkDJ[Account Code]=(TRIM($B34)))*(CkDJ[Date]&lt;=$E$7),CkDJ[Credit])))+(SUM(IF((CsDJ[Account Code]=(TRIM($B34)))*(CsDJ[Date]&lt;=$E$7),CsDJ[Credit])))+(SUM(IF((CRDJ[Account Code]=(TRIM($B34)))*(CRDJ[Date]&lt;=$E$7),CRDJ[Credit])))+(SUM(IF((GJ[Account Code]=(TRIM($B34)))*(GJ[Date]&lt;=$E$7),GJ[Credit]))))-((SUM(IF((CkDJ[Account Code]=(TRIM($B34)))*(CkDJ[Date]&lt;=$E$7),CkDJ[Debit])))+(SUM(IF((CsDJ[Account Code]=(TRIM($B34)))*(CsDJ[Date]&lt;=$E$7),CsDJ[Debit])))+(SUM(IF((CRDJ[Account Code]=(TRIM($B34)))*(CRDJ[Date]&lt;=$E$7),CRDJ[Debit])))+(SUM(IF((GJ[Account Code]=(TRIM($B34)))*(GJ[Date]&lt;=$E$7),GJ[Debit]))))</f>
        <v>0</v>
      </c>
      <c r="F34" s="245">
        <f t="array" ref="F34">((SUM(IF((CkDJ[Date]=$A$3)*(CkDJ[Account Code]=(TRIM($B34))),CkDJ[Credit])))+(SUM(IF((CsDJ[Date]=$A$3)*(CsDJ[Account Code]=(TRIM($B34))),CsDJ[Credit])))+(SUM(IF((CRDJ[Date]=$A$3)*(CRDJ[Account Code]=(TRIM($B34))),CRDJ[Credit])))+(SUM(IF((GJ[Date]=$A$3)*(GJ[Account Code]=(TRIM($B34))),GJ[Credit]))))-((SUM(IF((CkDJ[Date]=$A$3)*(CkDJ[Account Code]=(TRIM($B34))),CkDJ[Debit])))+(SUM(IF((CsDJ[Date]=$A$3)*(CsDJ[Account Code]=(TRIM($B34))),CsDJ[Debit])))+(SUM(IF((CRDJ[Date]=$A$3)*(CRDJ[Account Code]=(TRIM($B34))),CRDJ[Debit])))+(SUM(IF((GJ[Date]=$A$3)*(GJ[Account Code]=(TRIM($B34))),GJ[Debit]))))</f>
        <v>0</v>
      </c>
      <c r="G34" s="343">
        <f>E34+F34</f>
        <v>0</v>
      </c>
      <c r="H34" s="246">
        <f>G34-D34</f>
        <v>0</v>
      </c>
      <c r="I34" s="246">
        <f>IF((D34=0),0,G34/D34)</f>
        <v>0</v>
      </c>
    </row>
    <row r="35" spans="1:9" hidden="1">
      <c r="A35" s="272" t="s">
        <v>181</v>
      </c>
      <c r="B35" s="339" t="s">
        <v>142</v>
      </c>
      <c r="C35" s="245">
        <f t="array" ref="C35">SUM(IF((Budget[Account Code]=B35),(Budget[Amount])))</f>
        <v>0</v>
      </c>
      <c r="D35" s="245">
        <f t="array" ref="D35">SUM(IF((Budget[Account Code]=B35)*(Budget[Date]&lt;=$D$7),(Budget[Amount])))</f>
        <v>0</v>
      </c>
      <c r="E35" s="245">
        <f t="array" ref="E35">((SUM(IF((CkDJ[Account Code]=(TRIM($B35)))*(CkDJ[Date]&lt;=$E$7),CkDJ[Credit])))+(SUM(IF((CsDJ[Account Code]=(TRIM($B35)))*(CsDJ[Date]&lt;=$E$7),CsDJ[Credit])))+(SUM(IF((CRDJ[Account Code]=(TRIM($B35)))*(CRDJ[Date]&lt;=$E$7),CRDJ[Credit])))+(SUM(IF((GJ[Account Code]=(TRIM($B35)))*(GJ[Date]&lt;=$E$7),GJ[Credit]))))-((SUM(IF((CkDJ[Account Code]=(TRIM($B35)))*(CkDJ[Date]&lt;=$E$7),CkDJ[Debit])))+(SUM(IF((CsDJ[Account Code]=(TRIM($B35)))*(CsDJ[Date]&lt;=$E$7),CsDJ[Debit])))+(SUM(IF((CRDJ[Account Code]=(TRIM($B35)))*(CRDJ[Date]&lt;=$E$7),CRDJ[Debit])))+(SUM(IF((GJ[Account Code]=(TRIM($B35)))*(GJ[Date]&lt;=$E$7),GJ[Debit]))))</f>
        <v>0</v>
      </c>
      <c r="F35" s="245">
        <f t="array" ref="F35">((SUM(IF((CkDJ[Date]=$A$3)*(CkDJ[Account Code]=(TRIM($B35))),CkDJ[Credit])))+(SUM(IF((CsDJ[Date]=$A$3)*(CsDJ[Account Code]=(TRIM($B35))),CsDJ[Credit])))+(SUM(IF((CRDJ[Date]=$A$3)*(CRDJ[Account Code]=(TRIM($B35))),CRDJ[Credit])))+(SUM(IF((GJ[Date]=$A$3)*(GJ[Account Code]=(TRIM($B35))),GJ[Credit]))))-((SUM(IF((CkDJ[Date]=$A$3)*(CkDJ[Account Code]=(TRIM($B35))),CkDJ[Debit])))+(SUM(IF((CsDJ[Date]=$A$3)*(CsDJ[Account Code]=(TRIM($B35))),CsDJ[Debit])))+(SUM(IF((CRDJ[Date]=$A$3)*(CRDJ[Account Code]=(TRIM($B35))),CRDJ[Debit])))+(SUM(IF((GJ[Date]=$A$3)*(GJ[Account Code]=(TRIM($B35))),GJ[Debit]))))</f>
        <v>0</v>
      </c>
      <c r="G35" s="343">
        <f>E35+F35</f>
        <v>0</v>
      </c>
      <c r="H35" s="246">
        <f t="shared" si="4"/>
        <v>0</v>
      </c>
      <c r="I35" s="246">
        <f t="shared" si="3"/>
        <v>0</v>
      </c>
    </row>
    <row r="36" spans="1:9">
      <c r="A36" s="241" t="s">
        <v>816</v>
      </c>
      <c r="B36" s="337"/>
      <c r="C36" s="248">
        <f>SUM(C37:C45)</f>
        <v>5904000</v>
      </c>
      <c r="D36" s="248">
        <f>SUM(D37:D45)</f>
        <v>5904000</v>
      </c>
      <c r="E36" s="248">
        <f>SUM(E37:E45)</f>
        <v>0</v>
      </c>
      <c r="F36" s="248">
        <f>SUM(F37:F45)</f>
        <v>0</v>
      </c>
      <c r="G36" s="248">
        <f>SUM(G37:G45)</f>
        <v>0</v>
      </c>
      <c r="H36" s="242">
        <f t="shared" si="4"/>
        <v>-5904000</v>
      </c>
      <c r="I36" s="242">
        <f t="shared" si="3"/>
        <v>0</v>
      </c>
    </row>
    <row r="37" spans="1:9" hidden="1">
      <c r="A37" s="272" t="s">
        <v>186</v>
      </c>
      <c r="B37" s="339" t="s">
        <v>150</v>
      </c>
      <c r="C37" s="245">
        <f t="array" ref="C37">SUM(IF((Budget[Account Code]=B37),(Budget[Amount])))</f>
        <v>20000</v>
      </c>
      <c r="D37" s="245">
        <f t="array" ref="D37">SUM(IF((Budget[Account Code]=B37)*(Budget[Date]&lt;=$D$7),(Budget[Amount])))</f>
        <v>20000</v>
      </c>
      <c r="E37" s="245">
        <f t="array" ref="E37">((SUM(IF((CkDJ[Account Code]=(TRIM($B37)))*(CkDJ[Date]&lt;=$E$7),CkDJ[Credit])))+(SUM(IF((CsDJ[Account Code]=(TRIM($B37)))*(CsDJ[Date]&lt;=$E$7),CsDJ[Credit])))+(SUM(IF((CRDJ[Account Code]=(TRIM($B37)))*(CRDJ[Date]&lt;=$E$7),CRDJ[Credit])))+(SUM(IF((GJ[Account Code]=(TRIM($B37)))*(GJ[Date]&lt;=$E$7),GJ[Credit]))))-((SUM(IF((CkDJ[Account Code]=(TRIM($B37)))*(CkDJ[Date]&lt;=$E$7),CkDJ[Debit])))+(SUM(IF((CsDJ[Account Code]=(TRIM($B37)))*(CsDJ[Date]&lt;=$E$7),CsDJ[Debit])))+(SUM(IF((CRDJ[Account Code]=(TRIM($B37)))*(CRDJ[Date]&lt;=$E$7),CRDJ[Debit])))+(SUM(IF((GJ[Account Code]=(TRIM($B37)))*(GJ[Date]&lt;=$E$7),GJ[Debit]))))</f>
        <v>0</v>
      </c>
      <c r="F37" s="245">
        <f t="array" ref="F37">((SUM(IF((CkDJ[Date]=$A$3)*(CkDJ[Account Code]=(TRIM($B37))),CkDJ[Credit])))+(SUM(IF((CsDJ[Date]=$A$3)*(CsDJ[Account Code]=(TRIM($B37))),CsDJ[Credit])))+(SUM(IF((CRDJ[Date]=$A$3)*(CRDJ[Account Code]=(TRIM($B37))),CRDJ[Credit])))+(SUM(IF((GJ[Date]=$A$3)*(GJ[Account Code]=(TRIM($B37))),GJ[Credit]))))-((SUM(IF((CkDJ[Date]=$A$3)*(CkDJ[Account Code]=(TRIM($B37))),CkDJ[Debit])))+(SUM(IF((CsDJ[Date]=$A$3)*(CsDJ[Account Code]=(TRIM($B37))),CsDJ[Debit])))+(SUM(IF((CRDJ[Date]=$A$3)*(CRDJ[Account Code]=(TRIM($B37))),CRDJ[Debit])))+(SUM(IF((GJ[Date]=$A$3)*(GJ[Account Code]=(TRIM($B37))),GJ[Debit]))))</f>
        <v>0</v>
      </c>
      <c r="G37" s="343">
        <f t="shared" ref="G37:G45" si="5">E37+F37</f>
        <v>0</v>
      </c>
      <c r="H37" s="246">
        <f t="shared" si="4"/>
        <v>-20000</v>
      </c>
      <c r="I37" s="246">
        <f t="shared" si="3"/>
        <v>0</v>
      </c>
    </row>
    <row r="38" spans="1:9" hidden="1">
      <c r="A38" s="272" t="s">
        <v>187</v>
      </c>
      <c r="B38" s="339" t="s">
        <v>153</v>
      </c>
      <c r="C38" s="245">
        <f t="array" ref="C38">SUM(IF((Budget[Account Code]=B38),(Budget[Amount])))</f>
        <v>0</v>
      </c>
      <c r="D38" s="245">
        <f t="array" ref="D38">SUM(IF((Budget[Account Code]=B38)*(Budget[Date]&lt;=$D$7),(Budget[Amount])))</f>
        <v>0</v>
      </c>
      <c r="E38" s="245">
        <f t="array" ref="E38">((SUM(IF((CkDJ[Account Code]=(TRIM($B38)))*(CkDJ[Date]&lt;=$E$7),CkDJ[Credit])))+(SUM(IF((CsDJ[Account Code]=(TRIM($B38)))*(CsDJ[Date]&lt;=$E$7),CsDJ[Credit])))+(SUM(IF((CRDJ[Account Code]=(TRIM($B38)))*(CRDJ[Date]&lt;=$E$7),CRDJ[Credit])))+(SUM(IF((GJ[Account Code]=(TRIM($B38)))*(GJ[Date]&lt;=$E$7),GJ[Credit]))))-((SUM(IF((CkDJ[Account Code]=(TRIM($B38)))*(CkDJ[Date]&lt;=$E$7),CkDJ[Debit])))+(SUM(IF((CsDJ[Account Code]=(TRIM($B38)))*(CsDJ[Date]&lt;=$E$7),CsDJ[Debit])))+(SUM(IF((CRDJ[Account Code]=(TRIM($B38)))*(CRDJ[Date]&lt;=$E$7),CRDJ[Debit])))+(SUM(IF((GJ[Account Code]=(TRIM($B38)))*(GJ[Date]&lt;=$E$7),GJ[Debit]))))</f>
        <v>0</v>
      </c>
      <c r="F38" s="245">
        <f t="array" ref="F38">((SUM(IF((CkDJ[Date]=$A$3)*(CkDJ[Account Code]=(TRIM($B38))),CkDJ[Credit])))+(SUM(IF((CsDJ[Date]=$A$3)*(CsDJ[Account Code]=(TRIM($B38))),CsDJ[Credit])))+(SUM(IF((CRDJ[Date]=$A$3)*(CRDJ[Account Code]=(TRIM($B38))),CRDJ[Credit])))+(SUM(IF((GJ[Date]=$A$3)*(GJ[Account Code]=(TRIM($B38))),GJ[Credit]))))-((SUM(IF((CkDJ[Date]=$A$3)*(CkDJ[Account Code]=(TRIM($B38))),CkDJ[Debit])))+(SUM(IF((CsDJ[Date]=$A$3)*(CsDJ[Account Code]=(TRIM($B38))),CsDJ[Debit])))+(SUM(IF((CRDJ[Date]=$A$3)*(CRDJ[Account Code]=(TRIM($B38))),CRDJ[Debit])))+(SUM(IF((GJ[Date]=$A$3)*(GJ[Account Code]=(TRIM($B38))),GJ[Debit]))))</f>
        <v>0</v>
      </c>
      <c r="G38" s="343">
        <f t="shared" si="5"/>
        <v>0</v>
      </c>
      <c r="H38" s="246">
        <f t="shared" si="4"/>
        <v>0</v>
      </c>
      <c r="I38" s="246">
        <f t="shared" si="3"/>
        <v>0</v>
      </c>
    </row>
    <row r="39" spans="1:9" hidden="1">
      <c r="A39" s="272" t="s">
        <v>188</v>
      </c>
      <c r="B39" s="339" t="s">
        <v>154</v>
      </c>
      <c r="C39" s="245">
        <f t="array" ref="C39">SUM(IF((Budget[Account Code]=B39),(Budget[Amount])))</f>
        <v>0</v>
      </c>
      <c r="D39" s="245">
        <f t="array" ref="D39">SUM(IF((Budget[Account Code]=B39)*(Budget[Date]&lt;=$D$7),(Budget[Amount])))</f>
        <v>0</v>
      </c>
      <c r="E39" s="245">
        <f t="array" ref="E39">((SUM(IF((CkDJ[Account Code]=(TRIM($B39)))*(CkDJ[Date]&lt;=$E$7),CkDJ[Credit])))+(SUM(IF((CsDJ[Account Code]=(TRIM($B39)))*(CsDJ[Date]&lt;=$E$7),CsDJ[Credit])))+(SUM(IF((CRDJ[Account Code]=(TRIM($B39)))*(CRDJ[Date]&lt;=$E$7),CRDJ[Credit])))+(SUM(IF((GJ[Account Code]=(TRIM($B39)))*(GJ[Date]&lt;=$E$7),GJ[Credit]))))-((SUM(IF((CkDJ[Account Code]=(TRIM($B39)))*(CkDJ[Date]&lt;=$E$7),CkDJ[Debit])))+(SUM(IF((CsDJ[Account Code]=(TRIM($B39)))*(CsDJ[Date]&lt;=$E$7),CsDJ[Debit])))+(SUM(IF((CRDJ[Account Code]=(TRIM($B39)))*(CRDJ[Date]&lt;=$E$7),CRDJ[Debit])))+(SUM(IF((GJ[Account Code]=(TRIM($B39)))*(GJ[Date]&lt;=$E$7),GJ[Debit]))))</f>
        <v>0</v>
      </c>
      <c r="F39" s="245">
        <f t="array" ref="F39">((SUM(IF((CkDJ[Date]=$A$3)*(CkDJ[Account Code]=(TRIM($B39))),CkDJ[Credit])))+(SUM(IF((CsDJ[Date]=$A$3)*(CsDJ[Account Code]=(TRIM($B39))),CsDJ[Credit])))+(SUM(IF((CRDJ[Date]=$A$3)*(CRDJ[Account Code]=(TRIM($B39))),CRDJ[Credit])))+(SUM(IF((GJ[Date]=$A$3)*(GJ[Account Code]=(TRIM($B39))),GJ[Credit]))))-((SUM(IF((CkDJ[Date]=$A$3)*(CkDJ[Account Code]=(TRIM($B39))),CkDJ[Debit])))+(SUM(IF((CsDJ[Date]=$A$3)*(CsDJ[Account Code]=(TRIM($B39))),CsDJ[Debit])))+(SUM(IF((CRDJ[Date]=$A$3)*(CRDJ[Account Code]=(TRIM($B39))),CRDJ[Debit])))+(SUM(IF((GJ[Date]=$A$3)*(GJ[Account Code]=(TRIM($B39))),GJ[Debit]))))</f>
        <v>0</v>
      </c>
      <c r="G39" s="343">
        <f t="shared" si="5"/>
        <v>0</v>
      </c>
      <c r="H39" s="246">
        <f t="shared" si="4"/>
        <v>0</v>
      </c>
      <c r="I39" s="246">
        <f t="shared" si="3"/>
        <v>0</v>
      </c>
    </row>
    <row r="40" spans="1:9" hidden="1">
      <c r="A40" s="272" t="s">
        <v>189</v>
      </c>
      <c r="B40" s="339" t="s">
        <v>155</v>
      </c>
      <c r="C40" s="245">
        <f t="array" ref="C40">SUM(IF((Budget[Account Code]=B40),(Budget[Amount])))</f>
        <v>780000</v>
      </c>
      <c r="D40" s="245">
        <f t="array" ref="D40">SUM(IF((Budget[Account Code]=B40)*(Budget[Date]&lt;=$D$7),(Budget[Amount])))</f>
        <v>780000</v>
      </c>
      <c r="E40" s="245">
        <f t="array" ref="E40">((SUM(IF((CkDJ[Account Code]=(TRIM($B40)))*(CkDJ[Date]&lt;=$E$7),CkDJ[Credit])))+(SUM(IF((CsDJ[Account Code]=(TRIM($B40)))*(CsDJ[Date]&lt;=$E$7),CsDJ[Credit])))+(SUM(IF((CRDJ[Account Code]=(TRIM($B40)))*(CRDJ[Date]&lt;=$E$7),CRDJ[Credit])))+(SUM(IF((GJ[Account Code]=(TRIM($B40)))*(GJ[Date]&lt;=$E$7),GJ[Credit]))))-((SUM(IF((CkDJ[Account Code]=(TRIM($B40)))*(CkDJ[Date]&lt;=$E$7),CkDJ[Debit])))+(SUM(IF((CsDJ[Account Code]=(TRIM($B40)))*(CsDJ[Date]&lt;=$E$7),CsDJ[Debit])))+(SUM(IF((CRDJ[Account Code]=(TRIM($B40)))*(CRDJ[Date]&lt;=$E$7),CRDJ[Debit])))+(SUM(IF((GJ[Account Code]=(TRIM($B40)))*(GJ[Date]&lt;=$E$7),GJ[Debit]))))</f>
        <v>0</v>
      </c>
      <c r="F40" s="245">
        <f t="array" ref="F40">((SUM(IF((CkDJ[Date]=$A$3)*(CkDJ[Account Code]=(TRIM($B40))),CkDJ[Credit])))+(SUM(IF((CsDJ[Date]=$A$3)*(CsDJ[Account Code]=(TRIM($B40))),CsDJ[Credit])))+(SUM(IF((CRDJ[Date]=$A$3)*(CRDJ[Account Code]=(TRIM($B40))),CRDJ[Credit])))+(SUM(IF((GJ[Date]=$A$3)*(GJ[Account Code]=(TRIM($B40))),GJ[Credit]))))-((SUM(IF((CkDJ[Date]=$A$3)*(CkDJ[Account Code]=(TRIM($B40))),CkDJ[Debit])))+(SUM(IF((CsDJ[Date]=$A$3)*(CsDJ[Account Code]=(TRIM($B40))),CsDJ[Debit])))+(SUM(IF((CRDJ[Date]=$A$3)*(CRDJ[Account Code]=(TRIM($B40))),CRDJ[Debit])))+(SUM(IF((GJ[Date]=$A$3)*(GJ[Account Code]=(TRIM($B40))),GJ[Debit]))))</f>
        <v>0</v>
      </c>
      <c r="G40" s="343">
        <f t="shared" si="5"/>
        <v>0</v>
      </c>
      <c r="H40" s="246">
        <f t="shared" si="4"/>
        <v>-780000</v>
      </c>
      <c r="I40" s="246">
        <f t="shared" si="3"/>
        <v>0</v>
      </c>
    </row>
    <row r="41" spans="1:9" hidden="1">
      <c r="A41" s="272" t="s">
        <v>1270</v>
      </c>
      <c r="B41" s="339" t="s">
        <v>156</v>
      </c>
      <c r="C41" s="245">
        <f t="array" ref="C41">SUM(IF((Budget[Account Code]=B41),(Budget[Amount])))</f>
        <v>0</v>
      </c>
      <c r="D41" s="245">
        <f t="array" ref="D41">SUM(IF((Budget[Account Code]=B41)*(Budget[Date]&lt;=$D$7),(Budget[Amount])))</f>
        <v>0</v>
      </c>
      <c r="E41" s="245">
        <f t="array" ref="E41">((SUM(IF((CkDJ[Account Code]=(TRIM($B41)))*(CkDJ[Date]&lt;=$E$7),CkDJ[Credit])))+(SUM(IF((CsDJ[Account Code]=(TRIM($B41)))*(CsDJ[Date]&lt;=$E$7),CsDJ[Credit])))+(SUM(IF((CRDJ[Account Code]=(TRIM($B41)))*(CRDJ[Date]&lt;=$E$7),CRDJ[Credit])))+(SUM(IF((GJ[Account Code]=(TRIM($B41)))*(GJ[Date]&lt;=$E$7),GJ[Credit]))))-((SUM(IF((CkDJ[Account Code]=(TRIM($B41)))*(CkDJ[Date]&lt;=$E$7),CkDJ[Debit])))+(SUM(IF((CsDJ[Account Code]=(TRIM($B41)))*(CsDJ[Date]&lt;=$E$7),CsDJ[Debit])))+(SUM(IF((CRDJ[Account Code]=(TRIM($B41)))*(CRDJ[Date]&lt;=$E$7),CRDJ[Debit])))+(SUM(IF((GJ[Account Code]=(TRIM($B41)))*(GJ[Date]&lt;=$E$7),GJ[Debit]))))</f>
        <v>0</v>
      </c>
      <c r="F41" s="245">
        <f t="array" ref="F41">((SUM(IF((CkDJ[Date]=$A$3)*(CkDJ[Account Code]=(TRIM($B41))),CkDJ[Credit])))+(SUM(IF((CsDJ[Date]=$A$3)*(CsDJ[Account Code]=(TRIM($B41))),CsDJ[Credit])))+(SUM(IF((CRDJ[Date]=$A$3)*(CRDJ[Account Code]=(TRIM($B41))),CRDJ[Credit])))+(SUM(IF((GJ[Date]=$A$3)*(GJ[Account Code]=(TRIM($B41))),GJ[Credit]))))-((SUM(IF((CkDJ[Date]=$A$3)*(CkDJ[Account Code]=(TRIM($B41))),CkDJ[Debit])))+(SUM(IF((CsDJ[Date]=$A$3)*(CsDJ[Account Code]=(TRIM($B41))),CsDJ[Debit])))+(SUM(IF((CRDJ[Date]=$A$3)*(CRDJ[Account Code]=(TRIM($B41))),CRDJ[Debit])))+(SUM(IF((GJ[Date]=$A$3)*(GJ[Account Code]=(TRIM($B41))),GJ[Debit]))))</f>
        <v>0</v>
      </c>
      <c r="G41" s="343">
        <f t="shared" si="5"/>
        <v>0</v>
      </c>
      <c r="H41" s="246">
        <f t="shared" si="4"/>
        <v>0</v>
      </c>
      <c r="I41" s="246">
        <f t="shared" si="3"/>
        <v>0</v>
      </c>
    </row>
    <row r="42" spans="1:9" hidden="1">
      <c r="A42" s="272" t="s">
        <v>190</v>
      </c>
      <c r="B42" s="339" t="s">
        <v>157</v>
      </c>
      <c r="C42" s="245">
        <f t="array" ref="C42">SUM(IF((Budget[Account Code]=B42),(Budget[Amount])))</f>
        <v>0</v>
      </c>
      <c r="D42" s="245">
        <f t="array" ref="D42">SUM(IF((Budget[Account Code]=B42)*(Budget[Date]&lt;=$D$7),(Budget[Amount])))</f>
        <v>0</v>
      </c>
      <c r="E42" s="245">
        <f t="array" ref="E42">((SUM(IF((CkDJ[Account Code]=(TRIM($B42)))*(CkDJ[Date]&lt;=$E$7),CkDJ[Credit])))+(SUM(IF((CsDJ[Account Code]=(TRIM($B42)))*(CsDJ[Date]&lt;=$E$7),CsDJ[Credit])))+(SUM(IF((CRDJ[Account Code]=(TRIM($B42)))*(CRDJ[Date]&lt;=$E$7),CRDJ[Credit])))+(SUM(IF((GJ[Account Code]=(TRIM($B42)))*(GJ[Date]&lt;=$E$7),GJ[Credit]))))-((SUM(IF((CkDJ[Account Code]=(TRIM($B42)))*(CkDJ[Date]&lt;=$E$7),CkDJ[Debit])))+(SUM(IF((CsDJ[Account Code]=(TRIM($B42)))*(CsDJ[Date]&lt;=$E$7),CsDJ[Debit])))+(SUM(IF((CRDJ[Account Code]=(TRIM($B42)))*(CRDJ[Date]&lt;=$E$7),CRDJ[Debit])))+(SUM(IF((GJ[Account Code]=(TRIM($B42)))*(GJ[Date]&lt;=$E$7),GJ[Debit]))))</f>
        <v>0</v>
      </c>
      <c r="F42" s="245">
        <f t="array" ref="F42">((SUM(IF((CkDJ[Date]=$A$3)*(CkDJ[Account Code]=(TRIM($B42))),CkDJ[Credit])))+(SUM(IF((CsDJ[Date]=$A$3)*(CsDJ[Account Code]=(TRIM($B42))),CsDJ[Credit])))+(SUM(IF((CRDJ[Date]=$A$3)*(CRDJ[Account Code]=(TRIM($B42))),CRDJ[Credit])))+(SUM(IF((GJ[Date]=$A$3)*(GJ[Account Code]=(TRIM($B42))),GJ[Credit]))))-((SUM(IF((CkDJ[Date]=$A$3)*(CkDJ[Account Code]=(TRIM($B42))),CkDJ[Debit])))+(SUM(IF((CsDJ[Date]=$A$3)*(CsDJ[Account Code]=(TRIM($B42))),CsDJ[Debit])))+(SUM(IF((CRDJ[Date]=$A$3)*(CRDJ[Account Code]=(TRIM($B42))),CRDJ[Debit])))+(SUM(IF((GJ[Date]=$A$3)*(GJ[Account Code]=(TRIM($B42))),GJ[Debit]))))</f>
        <v>0</v>
      </c>
      <c r="G42" s="343">
        <f>E42+F42</f>
        <v>0</v>
      </c>
      <c r="H42" s="246">
        <f>G42-D42</f>
        <v>0</v>
      </c>
      <c r="I42" s="246">
        <f>IF((D42=0),0,G42/D42)</f>
        <v>0</v>
      </c>
    </row>
    <row r="43" spans="1:9" hidden="1">
      <c r="A43" s="272" t="s">
        <v>192</v>
      </c>
      <c r="B43" s="339" t="s">
        <v>159</v>
      </c>
      <c r="C43" s="245">
        <f t="array" ref="C43">SUM(IF((Budget[Account Code]=B43),(Budget[Amount])))</f>
        <v>0</v>
      </c>
      <c r="D43" s="245">
        <f t="array" ref="D43">SUM(IF((Budget[Account Code]=B43)*(Budget[Date]&lt;=$D$7),(Budget[Amount])))</f>
        <v>0</v>
      </c>
      <c r="E43" s="245">
        <f t="array" ref="E43">((SUM(IF((CkDJ[Account Code]=(TRIM($B43)))*(CkDJ[Date]&lt;=$E$7),CkDJ[Credit])))+(SUM(IF((CsDJ[Account Code]=(TRIM($B43)))*(CsDJ[Date]&lt;=$E$7),CsDJ[Credit])))+(SUM(IF((CRDJ[Account Code]=(TRIM($B43)))*(CRDJ[Date]&lt;=$E$7),CRDJ[Credit])))+(SUM(IF((GJ[Account Code]=(TRIM($B43)))*(GJ[Date]&lt;=$E$7),GJ[Credit]))))-((SUM(IF((CkDJ[Account Code]=(TRIM($B43)))*(CkDJ[Date]&lt;=$E$7),CkDJ[Debit])))+(SUM(IF((CsDJ[Account Code]=(TRIM($B43)))*(CsDJ[Date]&lt;=$E$7),CsDJ[Debit])))+(SUM(IF((CRDJ[Account Code]=(TRIM($B43)))*(CRDJ[Date]&lt;=$E$7),CRDJ[Debit])))+(SUM(IF((GJ[Account Code]=(TRIM($B43)))*(GJ[Date]&lt;=$E$7),GJ[Debit]))))</f>
        <v>0</v>
      </c>
      <c r="F43" s="245">
        <f t="array" ref="F43">((SUM(IF((CkDJ[Date]=$A$3)*(CkDJ[Account Code]=(TRIM($B43))),CkDJ[Credit])))+(SUM(IF((CsDJ[Date]=$A$3)*(CsDJ[Account Code]=(TRIM($B43))),CsDJ[Credit])))+(SUM(IF((CRDJ[Date]=$A$3)*(CRDJ[Account Code]=(TRIM($B43))),CRDJ[Credit])))+(SUM(IF((GJ[Date]=$A$3)*(GJ[Account Code]=(TRIM($B43))),GJ[Credit]))))-((SUM(IF((CkDJ[Date]=$A$3)*(CkDJ[Account Code]=(TRIM($B43))),CkDJ[Debit])))+(SUM(IF((CsDJ[Date]=$A$3)*(CsDJ[Account Code]=(TRIM($B43))),CsDJ[Debit])))+(SUM(IF((CRDJ[Date]=$A$3)*(CRDJ[Account Code]=(TRIM($B43))),CRDJ[Debit])))+(SUM(IF((GJ[Date]=$A$3)*(GJ[Account Code]=(TRIM($B43))),GJ[Debit]))))</f>
        <v>0</v>
      </c>
      <c r="G43" s="343">
        <f t="shared" si="5"/>
        <v>0</v>
      </c>
      <c r="H43" s="246">
        <f t="shared" si="4"/>
        <v>0</v>
      </c>
      <c r="I43" s="246">
        <f t="shared" si="3"/>
        <v>0</v>
      </c>
    </row>
    <row r="44" spans="1:9" hidden="1">
      <c r="A44" s="272" t="s">
        <v>193</v>
      </c>
      <c r="B44" s="339" t="s">
        <v>160</v>
      </c>
      <c r="C44" s="245">
        <f t="array" ref="C44">SUM(IF((Budget[Account Code]=B44),(Budget[Amount])))</f>
        <v>5104000</v>
      </c>
      <c r="D44" s="245">
        <f t="array" ref="D44">SUM(IF((Budget[Account Code]=B44)*(Budget[Date]&lt;=$D$7),(Budget[Amount])))</f>
        <v>5104000</v>
      </c>
      <c r="E44" s="245">
        <f t="array" ref="E44">((SUM(IF((CkDJ[Account Code]=(TRIM($B44)))*(CkDJ[Date]&lt;=$E$7),CkDJ[Credit])))+(SUM(IF((CsDJ[Account Code]=(TRIM($B44)))*(CsDJ[Date]&lt;=$E$7),CsDJ[Credit])))+(SUM(IF((CRDJ[Account Code]=(TRIM($B44)))*(CRDJ[Date]&lt;=$E$7),CRDJ[Credit])))+(SUM(IF((GJ[Account Code]=(TRIM($B44)))*(GJ[Date]&lt;=$E$7),GJ[Credit]))))-((SUM(IF((CkDJ[Account Code]=(TRIM($B44)))*(CkDJ[Date]&lt;=$E$7),CkDJ[Debit])))+(SUM(IF((CsDJ[Account Code]=(TRIM($B44)))*(CsDJ[Date]&lt;=$E$7),CsDJ[Debit])))+(SUM(IF((CRDJ[Account Code]=(TRIM($B44)))*(CRDJ[Date]&lt;=$E$7),CRDJ[Debit])))+(SUM(IF((GJ[Account Code]=(TRIM($B44)))*(GJ[Date]&lt;=$E$7),GJ[Debit]))))</f>
        <v>0</v>
      </c>
      <c r="F44" s="245">
        <f t="array" ref="F44">((SUM(IF((CkDJ[Date]=$A$3)*(CkDJ[Account Code]=(TRIM($B44))),CkDJ[Credit])))+(SUM(IF((CsDJ[Date]=$A$3)*(CsDJ[Account Code]=(TRIM($B44))),CsDJ[Credit])))+(SUM(IF((CRDJ[Date]=$A$3)*(CRDJ[Account Code]=(TRIM($B44))),CRDJ[Credit])))+(SUM(IF((GJ[Date]=$A$3)*(GJ[Account Code]=(TRIM($B44))),GJ[Credit]))))-((SUM(IF((CkDJ[Date]=$A$3)*(CkDJ[Account Code]=(TRIM($B44))),CkDJ[Debit])))+(SUM(IF((CsDJ[Date]=$A$3)*(CsDJ[Account Code]=(TRIM($B44))),CsDJ[Debit])))+(SUM(IF((CRDJ[Date]=$A$3)*(CRDJ[Account Code]=(TRIM($B44))),CRDJ[Debit])))+(SUM(IF((GJ[Date]=$A$3)*(GJ[Account Code]=(TRIM($B44))),GJ[Debit]))))</f>
        <v>0</v>
      </c>
      <c r="G44" s="343">
        <f t="shared" si="5"/>
        <v>0</v>
      </c>
      <c r="H44" s="246">
        <f t="shared" si="4"/>
        <v>-5104000</v>
      </c>
      <c r="I44" s="246">
        <f t="shared" si="3"/>
        <v>0</v>
      </c>
    </row>
    <row r="45" spans="1:9" hidden="1">
      <c r="A45" s="272" t="s">
        <v>191</v>
      </c>
      <c r="B45" s="339" t="s">
        <v>161</v>
      </c>
      <c r="C45" s="245">
        <f t="array" ref="C45">SUM(IF((Budget[Account Code]=B45),(Budget[Amount])))</f>
        <v>0</v>
      </c>
      <c r="D45" s="245">
        <f t="array" ref="D45">SUM(IF((Budget[Account Code]=B45)*(Budget[Date]&lt;=$D$7),(Budget[Amount])))</f>
        <v>0</v>
      </c>
      <c r="E45" s="245">
        <f t="array" ref="E45">((SUM(IF((CkDJ[Account Code]=(TRIM($B45)))*(CkDJ[Date]&lt;=$E$7),CkDJ[Credit])))+(SUM(IF((CsDJ[Account Code]=(TRIM($B45)))*(CsDJ[Date]&lt;=$E$7),CsDJ[Credit])))+(SUM(IF((CRDJ[Account Code]=(TRIM($B45)))*(CRDJ[Date]&lt;=$E$7),CRDJ[Credit])))+(SUM(IF((GJ[Account Code]=(TRIM($B45)))*(GJ[Date]&lt;=$E$7),GJ[Credit]))))-((SUM(IF((CkDJ[Account Code]=(TRIM($B45)))*(CkDJ[Date]&lt;=$E$7),CkDJ[Debit])))+(SUM(IF((CsDJ[Account Code]=(TRIM($B45)))*(CsDJ[Date]&lt;=$E$7),CsDJ[Debit])))+(SUM(IF((CRDJ[Account Code]=(TRIM($B45)))*(CRDJ[Date]&lt;=$E$7),CRDJ[Debit])))+(SUM(IF((GJ[Account Code]=(TRIM($B45)))*(GJ[Date]&lt;=$E$7),GJ[Debit]))))</f>
        <v>0</v>
      </c>
      <c r="F45" s="245">
        <f t="array" ref="F45">((SUM(IF((CkDJ[Date]=$A$3)*(CkDJ[Account Code]=(TRIM($B45))),CkDJ[Credit])))+(SUM(IF((CsDJ[Date]=$A$3)*(CsDJ[Account Code]=(TRIM($B45))),CsDJ[Credit])))+(SUM(IF((CRDJ[Date]=$A$3)*(CRDJ[Account Code]=(TRIM($B45))),CRDJ[Credit])))+(SUM(IF((GJ[Date]=$A$3)*(GJ[Account Code]=(TRIM($B45))),GJ[Credit]))))-((SUM(IF((CkDJ[Date]=$A$3)*(CkDJ[Account Code]=(TRIM($B45))),CkDJ[Debit])))+(SUM(IF((CsDJ[Date]=$A$3)*(CsDJ[Account Code]=(TRIM($B45))),CsDJ[Debit])))+(SUM(IF((CRDJ[Date]=$A$3)*(CRDJ[Account Code]=(TRIM($B45))),CRDJ[Debit])))+(SUM(IF((GJ[Date]=$A$3)*(GJ[Account Code]=(TRIM($B45))),GJ[Debit]))))</f>
        <v>0</v>
      </c>
      <c r="G45" s="343">
        <f t="shared" si="5"/>
        <v>0</v>
      </c>
      <c r="H45" s="246">
        <f t="shared" si="4"/>
        <v>0</v>
      </c>
      <c r="I45" s="246">
        <f t="shared" si="3"/>
        <v>0</v>
      </c>
    </row>
    <row r="46" spans="1:9">
      <c r="A46" s="241" t="s">
        <v>815</v>
      </c>
      <c r="B46" s="337"/>
      <c r="C46" s="248"/>
      <c r="D46" s="248"/>
      <c r="E46" s="344"/>
      <c r="F46" s="248"/>
      <c r="G46" s="343"/>
      <c r="H46" s="242"/>
      <c r="I46" s="242"/>
    </row>
    <row r="47" spans="1:9">
      <c r="A47" s="249" t="s">
        <v>814</v>
      </c>
      <c r="B47" s="338"/>
      <c r="C47" s="250">
        <f>C26+C27+C32+C36+C46</f>
        <v>27666078.059999999</v>
      </c>
      <c r="D47" s="250">
        <f>D26+D27+D32+D36+D46</f>
        <v>27666078.059999999</v>
      </c>
      <c r="E47" s="250">
        <f>E26+E27+E32+E36+E46</f>
        <v>0</v>
      </c>
      <c r="F47" s="250">
        <f>F26+F27+F32+F36+F46</f>
        <v>0</v>
      </c>
      <c r="G47" s="250">
        <f>G26+G27+G32+G36+G46</f>
        <v>0</v>
      </c>
      <c r="H47" s="250">
        <f t="shared" si="4"/>
        <v>-27666078.059999999</v>
      </c>
      <c r="I47" s="250">
        <f t="shared" si="3"/>
        <v>0</v>
      </c>
    </row>
    <row r="48" spans="1:9">
      <c r="A48" s="251" t="s">
        <v>813</v>
      </c>
      <c r="B48" s="338"/>
      <c r="C48" s="250">
        <f>C24+C47</f>
        <v>41066078.060000002</v>
      </c>
      <c r="D48" s="250">
        <f>D24+D47</f>
        <v>41066078.060000002</v>
      </c>
      <c r="E48" s="250">
        <f>E24+E47</f>
        <v>0</v>
      </c>
      <c r="F48" s="250">
        <f>F24+F47</f>
        <v>0</v>
      </c>
      <c r="G48" s="250">
        <f>G24+G47</f>
        <v>0</v>
      </c>
      <c r="H48" s="250">
        <f t="shared" si="4"/>
        <v>-41066078.060000002</v>
      </c>
      <c r="I48" s="250">
        <f t="shared" si="3"/>
        <v>0</v>
      </c>
    </row>
    <row r="49" spans="1:9">
      <c r="A49" s="239" t="s">
        <v>812</v>
      </c>
      <c r="B49" s="337"/>
      <c r="C49" s="240"/>
      <c r="D49" s="240"/>
      <c r="E49" s="240"/>
      <c r="F49" s="240"/>
      <c r="G49" s="246"/>
      <c r="H49" s="246"/>
      <c r="I49" s="246"/>
    </row>
    <row r="50" spans="1:9">
      <c r="A50" s="239" t="s">
        <v>811</v>
      </c>
      <c r="B50" s="337"/>
      <c r="C50" s="242">
        <f>C51+C75</f>
        <v>109361262.40000001</v>
      </c>
      <c r="D50" s="242">
        <f>D51+D75</f>
        <v>109361262.40000001</v>
      </c>
      <c r="E50" s="242">
        <f>E51+E75</f>
        <v>0</v>
      </c>
      <c r="F50" s="242">
        <f>F51+F75</f>
        <v>0</v>
      </c>
      <c r="G50" s="242">
        <f>G51+G75</f>
        <v>0</v>
      </c>
      <c r="H50" s="242">
        <f t="shared" ref="H50:H119" si="6">G50-D50</f>
        <v>-109361262.40000001</v>
      </c>
      <c r="I50" s="242">
        <f t="shared" ref="I50:I119" si="7">IF((D50=0),0,G50/D50)</f>
        <v>0</v>
      </c>
    </row>
    <row r="51" spans="1:9">
      <c r="A51" s="243" t="s">
        <v>806</v>
      </c>
      <c r="B51" s="337"/>
      <c r="C51" s="246">
        <f>SUM(C52:C74)</f>
        <v>109361262.40000001</v>
      </c>
      <c r="D51" s="246">
        <f>SUM(D52:D74)</f>
        <v>109361262.40000001</v>
      </c>
      <c r="E51" s="246">
        <f>SUM(E52:E74)</f>
        <v>0</v>
      </c>
      <c r="F51" s="246">
        <f>SUM(F52:F74)</f>
        <v>0</v>
      </c>
      <c r="G51" s="246">
        <f>SUM(G52:G74)</f>
        <v>0</v>
      </c>
      <c r="H51" s="246">
        <f t="shared" si="6"/>
        <v>-109361262.40000001</v>
      </c>
      <c r="I51" s="246">
        <f t="shared" si="7"/>
        <v>0</v>
      </c>
    </row>
    <row r="52" spans="1:9" hidden="1">
      <c r="A52" s="247" t="s">
        <v>194</v>
      </c>
      <c r="B52" s="339" t="s">
        <v>162</v>
      </c>
      <c r="C52" s="245">
        <f t="array" ref="C52">SUM(IF((Budget[Account Code]=B52),(Budget[Amount])))</f>
        <v>66970226</v>
      </c>
      <c r="D52" s="245">
        <f t="array" ref="D52">SUM(IF((Budget[Account Code]=B52)*(Budget[Date]&lt;=$D$7),(Budget[Amount])))</f>
        <v>66970226</v>
      </c>
      <c r="E52" s="245">
        <f t="array" ref="E52">((SUM(IF((CkDJ[Account Code]=(TRIM($B52)))*(CkDJ[Date]&lt;=$E$7),CkDJ[Debit])))+(SUM(IF((CsDJ[Account Code]=(TRIM($B52)))*(CsDJ[Date]&lt;=$E$7),CsDJ[Debit])))+(SUM(IF((CRDJ[Account Code]=(TRIM($B52)))*(CRDJ[Date]&lt;=$E$7),CRDJ[Debit])))+(SUM(IF((GJ[Account Code]=(TRIM($B52)))*(GJ[Date]&lt;=$E$7),GJ[Debit]))))-((SUM(IF((CkDJ[Account Code]=(TRIM($B52)))*(CkDJ[Date]&lt;=$E$7),CkDJ[Credit])))+(SUM(IF((CsDJ[Account Code]=(TRIM($B52)))*(CsDJ[Date]&lt;=$E$7),CsDJ[Credit])))+(SUM(IF((CRDJ[Account Code]=(TRIM($B52)))*(CRDJ[Date]&lt;=$E$7),CRDJ[Credit])))+(SUM(IF((GJ[Account Code]=(TRIM($B52)))*(GJ[Date]&lt;=$E$7),GJ[Credit]))))</f>
        <v>0</v>
      </c>
      <c r="F52" s="245">
        <f t="array" ref="F52">((SUM(IF((CkDJ[Date]=$A$3)*(CkDJ[Account Code]=(TRIM($B52))),CkDJ[Debit])))+(SUM(IF((CsDJ[Date]=$A$3)*(CsDJ[Account Code]=(TRIM($B52))),CsDJ[Debit])))+(SUM(IF((CRDJ[Date]=$A$3)*(CRDJ[Account Code]=(TRIM($B52))),CRDJ[Debit])))+(SUM(IF((GJ[Date]=$A$3)*(GJ[Account Code]=(TRIM($B52))),GJ[Debit]))))-((SUM(IF((CkDJ[Date]=$A$3)*(CkDJ[Account Code]=(TRIM($B52))),CkDJ[Credit])))+(SUM(IF((CsDJ[Date]=$A$3)*(CsDJ[Account Code]=(TRIM($B52))),CsDJ[Credit])))+(SUM(IF((CRDJ[Date]=$A$3)*(CRDJ[Account Code]=(TRIM($B52))),CRDJ[Credit])))+(SUM(IF((GJ[Date]=$A$3)*(GJ[Account Code]=(TRIM($B52))),GJ[Credit]))))</f>
        <v>0</v>
      </c>
      <c r="G52" s="343">
        <f>E52+F52</f>
        <v>0</v>
      </c>
      <c r="H52" s="246">
        <f t="shared" si="6"/>
        <v>-66970226</v>
      </c>
      <c r="I52" s="246">
        <f t="shared" si="7"/>
        <v>0</v>
      </c>
    </row>
    <row r="53" spans="1:9" hidden="1">
      <c r="A53" s="247" t="s">
        <v>195</v>
      </c>
      <c r="B53" s="339" t="s">
        <v>163</v>
      </c>
      <c r="C53" s="245">
        <f t="array" ref="C53">SUM(IF((Budget[Account Code]=B53),(Budget[Amount])))</f>
        <v>10796707.92</v>
      </c>
      <c r="D53" s="245">
        <f t="array" ref="D53">SUM(IF((Budget[Account Code]=B53)*(Budget[Date]&lt;=$D$7),(Budget[Amount])))</f>
        <v>10796707.92</v>
      </c>
      <c r="E53" s="245">
        <f t="array" ref="E53">((SUM(IF((CkDJ[Account Code]=(TRIM($B53)))*(CkDJ[Date]&lt;=$E$7),CkDJ[Debit])))+(SUM(IF((CsDJ[Account Code]=(TRIM($B53)))*(CsDJ[Date]&lt;=$E$7),CsDJ[Debit])))+(SUM(IF((CRDJ[Account Code]=(TRIM($B53)))*(CRDJ[Date]&lt;=$E$7),CRDJ[Debit])))+(SUM(IF((GJ[Account Code]=(TRIM($B53)))*(GJ[Date]&lt;=$E$7),GJ[Debit]))))-((SUM(IF((CkDJ[Account Code]=(TRIM($B53)))*(CkDJ[Date]&lt;=$E$7),CkDJ[Credit])))+(SUM(IF((CsDJ[Account Code]=(TRIM($B53)))*(CsDJ[Date]&lt;=$E$7),CsDJ[Credit])))+(SUM(IF((CRDJ[Account Code]=(TRIM($B53)))*(CRDJ[Date]&lt;=$E$7),CRDJ[Credit])))+(SUM(IF((GJ[Account Code]=(TRIM($B53)))*(GJ[Date]&lt;=$E$7),GJ[Credit]))))</f>
        <v>0</v>
      </c>
      <c r="F53" s="245">
        <f t="array" ref="F53">((SUM(IF((CkDJ[Date]=$A$3)*(CkDJ[Account Code]=(TRIM($B53))),CkDJ[Debit])))+(SUM(IF((CsDJ[Date]=$A$3)*(CsDJ[Account Code]=(TRIM($B53))),CsDJ[Debit])))+(SUM(IF((CRDJ[Date]=$A$3)*(CRDJ[Account Code]=(TRIM($B53))),CRDJ[Debit])))+(SUM(IF((GJ[Date]=$A$3)*(GJ[Account Code]=(TRIM($B53))),GJ[Debit]))))-((SUM(IF((CkDJ[Date]=$A$3)*(CkDJ[Account Code]=(TRIM($B53))),CkDJ[Credit])))+(SUM(IF((CsDJ[Date]=$A$3)*(CsDJ[Account Code]=(TRIM($B53))),CsDJ[Credit])))+(SUM(IF((CRDJ[Date]=$A$3)*(CRDJ[Account Code]=(TRIM($B53))),CRDJ[Credit])))+(SUM(IF((GJ[Date]=$A$3)*(GJ[Account Code]=(TRIM($B53))),GJ[Credit]))))</f>
        <v>0</v>
      </c>
      <c r="G53" s="343">
        <f t="shared" ref="G53:G74" si="8">E53+F53</f>
        <v>0</v>
      </c>
      <c r="H53" s="246">
        <f t="shared" si="6"/>
        <v>-10796707.92</v>
      </c>
      <c r="I53" s="246">
        <f t="shared" si="7"/>
        <v>0</v>
      </c>
    </row>
    <row r="54" spans="1:9" hidden="1">
      <c r="A54" s="247" t="s">
        <v>196</v>
      </c>
      <c r="B54" s="339" t="s">
        <v>1013</v>
      </c>
      <c r="C54" s="245">
        <f t="array" ref="C54">SUM(IF((Budget[Account Code]=B54),(Budget[Amount])))</f>
        <v>0</v>
      </c>
      <c r="D54" s="245">
        <f t="array" ref="D54">SUM(IF((Budget[Account Code]=B54)*(Budget[Date]&lt;=$D$7),(Budget[Amount])))</f>
        <v>0</v>
      </c>
      <c r="E54" s="245">
        <f t="array" ref="E54">((SUM(IF((CkDJ[Account Code]=(TRIM($B54)))*(CkDJ[Date]&lt;=$E$7),CkDJ[Debit])))+(SUM(IF((CsDJ[Account Code]=(TRIM($B54)))*(CsDJ[Date]&lt;=$E$7),CsDJ[Debit])))+(SUM(IF((CRDJ[Account Code]=(TRIM($B54)))*(CRDJ[Date]&lt;=$E$7),CRDJ[Debit])))+(SUM(IF((GJ[Account Code]=(TRIM($B54)))*(GJ[Date]&lt;=$E$7),GJ[Debit]))))-((SUM(IF((CkDJ[Account Code]=(TRIM($B54)))*(CkDJ[Date]&lt;=$E$7),CkDJ[Credit])))+(SUM(IF((CsDJ[Account Code]=(TRIM($B54)))*(CsDJ[Date]&lt;=$E$7),CsDJ[Credit])))+(SUM(IF((CRDJ[Account Code]=(TRIM($B54)))*(CRDJ[Date]&lt;=$E$7),CRDJ[Credit])))+(SUM(IF((GJ[Account Code]=(TRIM($B54)))*(GJ[Date]&lt;=$E$7),GJ[Credit]))))</f>
        <v>0</v>
      </c>
      <c r="F54" s="245">
        <f t="array" ref="F54">((SUM(IF((CkDJ[Date]=$A$3)*(CkDJ[Account Code]=(TRIM($B54))),CkDJ[Debit])))+(SUM(IF((CsDJ[Date]=$A$3)*(CsDJ[Account Code]=(TRIM($B54))),CsDJ[Debit])))+(SUM(IF((CRDJ[Date]=$A$3)*(CRDJ[Account Code]=(TRIM($B54))),CRDJ[Debit])))+(SUM(IF((GJ[Date]=$A$3)*(GJ[Account Code]=(TRIM($B54))),GJ[Debit]))))-((SUM(IF((CkDJ[Date]=$A$3)*(CkDJ[Account Code]=(TRIM($B54))),CkDJ[Credit])))+(SUM(IF((CsDJ[Date]=$A$3)*(CsDJ[Account Code]=(TRIM($B54))),CsDJ[Credit])))+(SUM(IF((CRDJ[Date]=$A$3)*(CRDJ[Account Code]=(TRIM($B54))),CRDJ[Credit])))+(SUM(IF((GJ[Date]=$A$3)*(GJ[Account Code]=(TRIM($B54))),GJ[Credit]))))</f>
        <v>0</v>
      </c>
      <c r="G54" s="343">
        <f t="shared" si="8"/>
        <v>0</v>
      </c>
      <c r="H54" s="246">
        <f t="shared" si="6"/>
        <v>0</v>
      </c>
      <c r="I54" s="246">
        <f t="shared" si="7"/>
        <v>0</v>
      </c>
    </row>
    <row r="55" spans="1:9" hidden="1">
      <c r="A55" s="247" t="s">
        <v>197</v>
      </c>
      <c r="B55" s="339" t="s">
        <v>164</v>
      </c>
      <c r="C55" s="245">
        <f t="array" ref="C55">SUM(IF((Budget[Account Code]=B55),(Budget[Amount])))</f>
        <v>6144000</v>
      </c>
      <c r="D55" s="245">
        <f t="array" ref="D55">SUM(IF((Budget[Account Code]=B55)*(Budget[Date]&lt;=$D$7),(Budget[Amount])))</f>
        <v>6144000</v>
      </c>
      <c r="E55" s="245">
        <f t="array" ref="E55">((SUM(IF((CkDJ[Account Code]=(TRIM($B55)))*(CkDJ[Date]&lt;=$E$7),CkDJ[Debit])))+(SUM(IF((CsDJ[Account Code]=(TRIM($B55)))*(CsDJ[Date]&lt;=$E$7),CsDJ[Debit])))+(SUM(IF((CRDJ[Account Code]=(TRIM($B55)))*(CRDJ[Date]&lt;=$E$7),CRDJ[Debit])))+(SUM(IF((GJ[Account Code]=(TRIM($B55)))*(GJ[Date]&lt;=$E$7),GJ[Debit]))))-((SUM(IF((CkDJ[Account Code]=(TRIM($B55)))*(CkDJ[Date]&lt;=$E$7),CkDJ[Credit])))+(SUM(IF((CsDJ[Account Code]=(TRIM($B55)))*(CsDJ[Date]&lt;=$E$7),CsDJ[Credit])))+(SUM(IF((CRDJ[Account Code]=(TRIM($B55)))*(CRDJ[Date]&lt;=$E$7),CRDJ[Credit])))+(SUM(IF((GJ[Account Code]=(TRIM($B55)))*(GJ[Date]&lt;=$E$7),GJ[Credit]))))</f>
        <v>0</v>
      </c>
      <c r="F55" s="245">
        <f t="array" ref="F55">((SUM(IF((CkDJ[Date]=$A$3)*(CkDJ[Account Code]=(TRIM($B55))),CkDJ[Debit])))+(SUM(IF((CsDJ[Date]=$A$3)*(CsDJ[Account Code]=(TRIM($B55))),CsDJ[Debit])))+(SUM(IF((CRDJ[Date]=$A$3)*(CRDJ[Account Code]=(TRIM($B55))),CRDJ[Debit])))+(SUM(IF((GJ[Date]=$A$3)*(GJ[Account Code]=(TRIM($B55))),GJ[Debit]))))-((SUM(IF((CkDJ[Date]=$A$3)*(CkDJ[Account Code]=(TRIM($B55))),CkDJ[Credit])))+(SUM(IF((CsDJ[Date]=$A$3)*(CsDJ[Account Code]=(TRIM($B55))),CsDJ[Credit])))+(SUM(IF((CRDJ[Date]=$A$3)*(CRDJ[Account Code]=(TRIM($B55))),CRDJ[Credit])))+(SUM(IF((GJ[Date]=$A$3)*(GJ[Account Code]=(TRIM($B55))),GJ[Credit]))))</f>
        <v>0</v>
      </c>
      <c r="G55" s="343">
        <f t="shared" si="8"/>
        <v>0</v>
      </c>
      <c r="H55" s="246">
        <f t="shared" si="6"/>
        <v>-6144000</v>
      </c>
      <c r="I55" s="246">
        <f t="shared" si="7"/>
        <v>0</v>
      </c>
    </row>
    <row r="56" spans="1:9" hidden="1">
      <c r="A56" s="247" t="s">
        <v>198</v>
      </c>
      <c r="B56" s="339" t="s">
        <v>165</v>
      </c>
      <c r="C56" s="245">
        <f t="array" ref="C56">SUM(IF((Budget[Account Code]=B56),(Budget[Amount])))</f>
        <v>360000</v>
      </c>
      <c r="D56" s="245">
        <f t="array" ref="D56">SUM(IF((Budget[Account Code]=B56)*(Budget[Date]&lt;=$D$7),(Budget[Amount])))</f>
        <v>360000</v>
      </c>
      <c r="E56" s="245">
        <f t="array" ref="E56">((SUM(IF((CkDJ[Account Code]=(TRIM($B56)))*(CkDJ[Date]&lt;=$E$7),CkDJ[Debit])))+(SUM(IF((CsDJ[Account Code]=(TRIM($B56)))*(CsDJ[Date]&lt;=$E$7),CsDJ[Debit])))+(SUM(IF((CRDJ[Account Code]=(TRIM($B56)))*(CRDJ[Date]&lt;=$E$7),CRDJ[Debit])))+(SUM(IF((GJ[Account Code]=(TRIM($B56)))*(GJ[Date]&lt;=$E$7),GJ[Debit]))))-((SUM(IF((CkDJ[Account Code]=(TRIM($B56)))*(CkDJ[Date]&lt;=$E$7),CkDJ[Credit])))+(SUM(IF((CsDJ[Account Code]=(TRIM($B56)))*(CsDJ[Date]&lt;=$E$7),CsDJ[Credit])))+(SUM(IF((CRDJ[Account Code]=(TRIM($B56)))*(CRDJ[Date]&lt;=$E$7),CRDJ[Credit])))+(SUM(IF((GJ[Account Code]=(TRIM($B56)))*(GJ[Date]&lt;=$E$7),GJ[Credit]))))</f>
        <v>0</v>
      </c>
      <c r="F56" s="245">
        <f t="array" ref="F56">((SUM(IF((CkDJ[Date]=$A$3)*(CkDJ[Account Code]=(TRIM($B56))),CkDJ[Debit])))+(SUM(IF((CsDJ[Date]=$A$3)*(CsDJ[Account Code]=(TRIM($B56))),CsDJ[Debit])))+(SUM(IF((CRDJ[Date]=$A$3)*(CRDJ[Account Code]=(TRIM($B56))),CRDJ[Debit])))+(SUM(IF((GJ[Date]=$A$3)*(GJ[Account Code]=(TRIM($B56))),GJ[Debit]))))-((SUM(IF((CkDJ[Date]=$A$3)*(CkDJ[Account Code]=(TRIM($B56))),CkDJ[Credit])))+(SUM(IF((CsDJ[Date]=$A$3)*(CsDJ[Account Code]=(TRIM($B56))),CsDJ[Credit])))+(SUM(IF((CRDJ[Date]=$A$3)*(CRDJ[Account Code]=(TRIM($B56))),CRDJ[Credit])))+(SUM(IF((GJ[Date]=$A$3)*(GJ[Account Code]=(TRIM($B56))),GJ[Credit]))))</f>
        <v>0</v>
      </c>
      <c r="G56" s="343">
        <f t="shared" si="8"/>
        <v>0</v>
      </c>
      <c r="H56" s="246">
        <f t="shared" si="6"/>
        <v>-360000</v>
      </c>
      <c r="I56" s="246">
        <f t="shared" si="7"/>
        <v>0</v>
      </c>
    </row>
    <row r="57" spans="1:9" hidden="1">
      <c r="A57" s="247" t="s">
        <v>199</v>
      </c>
      <c r="B57" s="339" t="s">
        <v>166</v>
      </c>
      <c r="C57" s="245">
        <f t="array" ref="C57">SUM(IF((Budget[Account Code]=B57),(Budget[Amount])))</f>
        <v>0</v>
      </c>
      <c r="D57" s="245">
        <f t="array" ref="D57">SUM(IF((Budget[Account Code]=B57)*(Budget[Date]&lt;=$D$7),(Budget[Amount])))</f>
        <v>0</v>
      </c>
      <c r="E57" s="245">
        <f t="array" ref="E57">((SUM(IF((CkDJ[Account Code]=(TRIM($B57)))*(CkDJ[Date]&lt;=$E$7),CkDJ[Debit])))+(SUM(IF((CsDJ[Account Code]=(TRIM($B57)))*(CsDJ[Date]&lt;=$E$7),CsDJ[Debit])))+(SUM(IF((CRDJ[Account Code]=(TRIM($B57)))*(CRDJ[Date]&lt;=$E$7),CRDJ[Debit])))+(SUM(IF((GJ[Account Code]=(TRIM($B57)))*(GJ[Date]&lt;=$E$7),GJ[Debit]))))-((SUM(IF((CkDJ[Account Code]=(TRIM($B57)))*(CkDJ[Date]&lt;=$E$7),CkDJ[Credit])))+(SUM(IF((CsDJ[Account Code]=(TRIM($B57)))*(CsDJ[Date]&lt;=$E$7),CsDJ[Credit])))+(SUM(IF((CRDJ[Account Code]=(TRIM($B57)))*(CRDJ[Date]&lt;=$E$7),CRDJ[Credit])))+(SUM(IF((GJ[Account Code]=(TRIM($B57)))*(GJ[Date]&lt;=$E$7),GJ[Credit]))))</f>
        <v>0</v>
      </c>
      <c r="F57" s="245">
        <f t="array" ref="F57">((SUM(IF((CkDJ[Date]=$A$3)*(CkDJ[Account Code]=(TRIM($B57))),CkDJ[Debit])))+(SUM(IF((CsDJ[Date]=$A$3)*(CsDJ[Account Code]=(TRIM($B57))),CsDJ[Debit])))+(SUM(IF((CRDJ[Date]=$A$3)*(CRDJ[Account Code]=(TRIM($B57))),CRDJ[Debit])))+(SUM(IF((GJ[Date]=$A$3)*(GJ[Account Code]=(TRIM($B57))),GJ[Debit]))))-((SUM(IF((CkDJ[Date]=$A$3)*(CkDJ[Account Code]=(TRIM($B57))),CkDJ[Credit])))+(SUM(IF((CsDJ[Date]=$A$3)*(CsDJ[Account Code]=(TRIM($B57))),CsDJ[Credit])))+(SUM(IF((CRDJ[Date]=$A$3)*(CRDJ[Account Code]=(TRIM($B57))),CRDJ[Credit])))+(SUM(IF((GJ[Date]=$A$3)*(GJ[Account Code]=(TRIM($B57))),GJ[Credit]))))</f>
        <v>0</v>
      </c>
      <c r="G57" s="343">
        <f t="shared" si="8"/>
        <v>0</v>
      </c>
      <c r="H57" s="246">
        <f t="shared" si="6"/>
        <v>0</v>
      </c>
      <c r="I57" s="246">
        <f t="shared" si="7"/>
        <v>0</v>
      </c>
    </row>
    <row r="58" spans="1:9" hidden="1">
      <c r="A58" s="247" t="s">
        <v>200</v>
      </c>
      <c r="B58" s="339" t="s">
        <v>167</v>
      </c>
      <c r="C58" s="245">
        <f t="array" ref="C58">SUM(IF((Budget[Account Code]=B58),(Budget[Amount])))</f>
        <v>1003000</v>
      </c>
      <c r="D58" s="245">
        <f t="array" ref="D58">SUM(IF((Budget[Account Code]=B58)*(Budget[Date]&lt;=$D$7),(Budget[Amount])))</f>
        <v>1003000</v>
      </c>
      <c r="E58" s="245">
        <f t="array" ref="E58">((SUM(IF((CkDJ[Account Code]=(TRIM($B58)))*(CkDJ[Date]&lt;=$E$7),CkDJ[Debit])))+(SUM(IF((CsDJ[Account Code]=(TRIM($B58)))*(CsDJ[Date]&lt;=$E$7),CsDJ[Debit])))+(SUM(IF((CRDJ[Account Code]=(TRIM($B58)))*(CRDJ[Date]&lt;=$E$7),CRDJ[Debit])))+(SUM(IF((GJ[Account Code]=(TRIM($B58)))*(GJ[Date]&lt;=$E$7),GJ[Debit]))))-((SUM(IF((CkDJ[Account Code]=(TRIM($B58)))*(CkDJ[Date]&lt;=$E$7),CkDJ[Credit])))+(SUM(IF((CsDJ[Account Code]=(TRIM($B58)))*(CsDJ[Date]&lt;=$E$7),CsDJ[Credit])))+(SUM(IF((CRDJ[Account Code]=(TRIM($B58)))*(CRDJ[Date]&lt;=$E$7),CRDJ[Credit])))+(SUM(IF((GJ[Account Code]=(TRIM($B58)))*(GJ[Date]&lt;=$E$7),GJ[Credit]))))</f>
        <v>0</v>
      </c>
      <c r="F58" s="245">
        <f t="array" ref="F58">((SUM(IF((CkDJ[Date]=$A$3)*(CkDJ[Account Code]=(TRIM($B58))),CkDJ[Debit])))+(SUM(IF((CsDJ[Date]=$A$3)*(CsDJ[Account Code]=(TRIM($B58))),CsDJ[Debit])))+(SUM(IF((CRDJ[Date]=$A$3)*(CRDJ[Account Code]=(TRIM($B58))),CRDJ[Debit])))+(SUM(IF((GJ[Date]=$A$3)*(GJ[Account Code]=(TRIM($B58))),GJ[Debit]))))-((SUM(IF((CkDJ[Date]=$A$3)*(CkDJ[Account Code]=(TRIM($B58))),CkDJ[Credit])))+(SUM(IF((CsDJ[Date]=$A$3)*(CsDJ[Account Code]=(TRIM($B58))),CsDJ[Credit])))+(SUM(IF((CRDJ[Date]=$A$3)*(CRDJ[Account Code]=(TRIM($B58))),CRDJ[Credit])))+(SUM(IF((GJ[Date]=$A$3)*(GJ[Account Code]=(TRIM($B58))),GJ[Credit]))))</f>
        <v>0</v>
      </c>
      <c r="G58" s="343">
        <f t="shared" si="8"/>
        <v>0</v>
      </c>
      <c r="H58" s="246">
        <f t="shared" si="6"/>
        <v>-1003000</v>
      </c>
      <c r="I58" s="246">
        <f t="shared" si="7"/>
        <v>0</v>
      </c>
    </row>
    <row r="59" spans="1:9" hidden="1">
      <c r="A59" s="247" t="s">
        <v>1204</v>
      </c>
      <c r="B59" s="339" t="s">
        <v>1262</v>
      </c>
      <c r="C59" s="245">
        <f t="array" ref="C59">SUM(IF((Budget[Account Code]=B59),(Budget[Amount])))</f>
        <v>0</v>
      </c>
      <c r="D59" s="245">
        <f t="array" ref="D59">SUM(IF((Budget[Account Code]=B59)*(Budget[Date]&lt;=$D$7),(Budget[Amount])))</f>
        <v>0</v>
      </c>
      <c r="E59" s="245">
        <f t="array" ref="E59">((SUM(IF((CkDJ[Account Code]=(TRIM($B59)))*(CkDJ[Date]&lt;=$E$7),CkDJ[Debit])))+(SUM(IF((CsDJ[Account Code]=(TRIM($B59)))*(CsDJ[Date]&lt;=$E$7),CsDJ[Debit])))+(SUM(IF((CRDJ[Account Code]=(TRIM($B59)))*(CRDJ[Date]&lt;=$E$7),CRDJ[Debit])))+(SUM(IF((GJ[Account Code]=(TRIM($B59)))*(GJ[Date]&lt;=$E$7),GJ[Debit]))))-((SUM(IF((CkDJ[Account Code]=(TRIM($B59)))*(CkDJ[Date]&lt;=$E$7),CkDJ[Credit])))+(SUM(IF((CsDJ[Account Code]=(TRIM($B59)))*(CsDJ[Date]&lt;=$E$7),CsDJ[Credit])))+(SUM(IF((CRDJ[Account Code]=(TRIM($B59)))*(CRDJ[Date]&lt;=$E$7),CRDJ[Credit])))+(SUM(IF((GJ[Account Code]=(TRIM($B59)))*(GJ[Date]&lt;=$E$7),GJ[Credit]))))</f>
        <v>0</v>
      </c>
      <c r="F59" s="245">
        <f t="array" ref="F59">((SUM(IF((CkDJ[Date]=$A$3)*(CkDJ[Account Code]=(TRIM($B59))),CkDJ[Debit])))+(SUM(IF((CsDJ[Date]=$A$3)*(CsDJ[Account Code]=(TRIM($B59))),CsDJ[Debit])))+(SUM(IF((CRDJ[Date]=$A$3)*(CRDJ[Account Code]=(TRIM($B59))),CRDJ[Debit])))+(SUM(IF((GJ[Date]=$A$3)*(GJ[Account Code]=(TRIM($B59))),GJ[Debit]))))-((SUM(IF((CkDJ[Date]=$A$3)*(CkDJ[Account Code]=(TRIM($B59))),CkDJ[Credit])))+(SUM(IF((CsDJ[Date]=$A$3)*(CsDJ[Account Code]=(TRIM($B59))),CsDJ[Credit])))+(SUM(IF((CRDJ[Date]=$A$3)*(CRDJ[Account Code]=(TRIM($B59))),CRDJ[Credit])))+(SUM(IF((GJ[Date]=$A$3)*(GJ[Account Code]=(TRIM($B59))),GJ[Credit]))))</f>
        <v>0</v>
      </c>
      <c r="G59" s="343">
        <f>E59+F59</f>
        <v>0</v>
      </c>
      <c r="H59" s="246">
        <f>G59-D59</f>
        <v>0</v>
      </c>
      <c r="I59" s="246">
        <f>IF((D59=0),0,G59/D59)</f>
        <v>0</v>
      </c>
    </row>
    <row r="60" spans="1:9" hidden="1">
      <c r="A60" s="247" t="s">
        <v>204</v>
      </c>
      <c r="B60" s="339" t="s">
        <v>171</v>
      </c>
      <c r="C60" s="245">
        <f t="array" ref="C60">SUM(IF((Budget[Account Code]=B60),(Budget[Amount])))</f>
        <v>0</v>
      </c>
      <c r="D60" s="245">
        <f t="array" ref="D60">SUM(IF((Budget[Account Code]=B60)*(Budget[Date]&lt;=$D$7),(Budget[Amount])))</f>
        <v>0</v>
      </c>
      <c r="E60" s="245">
        <f t="array" ref="E60">((SUM(IF((CkDJ[Account Code]=(TRIM($B60)))*(CkDJ[Date]&lt;=$E$7),CkDJ[Debit])))+(SUM(IF((CsDJ[Account Code]=(TRIM($B60)))*(CsDJ[Date]&lt;=$E$7),CsDJ[Debit])))+(SUM(IF((CRDJ[Account Code]=(TRIM($B60)))*(CRDJ[Date]&lt;=$E$7),CRDJ[Debit])))+(SUM(IF((GJ[Account Code]=(TRIM($B60)))*(GJ[Date]&lt;=$E$7),GJ[Debit]))))-((SUM(IF((CkDJ[Account Code]=(TRIM($B60)))*(CkDJ[Date]&lt;=$E$7),CkDJ[Credit])))+(SUM(IF((CsDJ[Account Code]=(TRIM($B60)))*(CsDJ[Date]&lt;=$E$7),CsDJ[Credit])))+(SUM(IF((CRDJ[Account Code]=(TRIM($B60)))*(CRDJ[Date]&lt;=$E$7),CRDJ[Credit])))+(SUM(IF((GJ[Account Code]=(TRIM($B60)))*(GJ[Date]&lt;=$E$7),GJ[Credit]))))</f>
        <v>0</v>
      </c>
      <c r="F60" s="245">
        <f t="array" ref="F60">((SUM(IF((CkDJ[Date]=$A$3)*(CkDJ[Account Code]=(TRIM($B60))),CkDJ[Debit])))+(SUM(IF((CsDJ[Date]=$A$3)*(CsDJ[Account Code]=(TRIM($B60))),CsDJ[Debit])))+(SUM(IF((CRDJ[Date]=$A$3)*(CRDJ[Account Code]=(TRIM($B60))),CRDJ[Debit])))+(SUM(IF((GJ[Date]=$A$3)*(GJ[Account Code]=(TRIM($B60))),GJ[Debit]))))-((SUM(IF((CkDJ[Date]=$A$3)*(CkDJ[Account Code]=(TRIM($B60))),CkDJ[Credit])))+(SUM(IF((CsDJ[Date]=$A$3)*(CsDJ[Account Code]=(TRIM($B60))),CsDJ[Credit])))+(SUM(IF((CRDJ[Date]=$A$3)*(CRDJ[Account Code]=(TRIM($B60))),CRDJ[Credit])))+(SUM(IF((GJ[Date]=$A$3)*(GJ[Account Code]=(TRIM($B60))),GJ[Credit]))))</f>
        <v>0</v>
      </c>
      <c r="G60" s="343">
        <f t="shared" si="8"/>
        <v>0</v>
      </c>
      <c r="H60" s="246">
        <f t="shared" si="6"/>
        <v>0</v>
      </c>
      <c r="I60" s="246">
        <f t="shared" si="7"/>
        <v>0</v>
      </c>
    </row>
    <row r="61" spans="1:9" hidden="1">
      <c r="A61" s="247" t="s">
        <v>201</v>
      </c>
      <c r="B61" s="339" t="s">
        <v>5</v>
      </c>
      <c r="C61" s="245">
        <f t="array" ref="C61">SUM(IF((Budget[Account Code]=B61),(Budget[Amount])))</f>
        <v>220800</v>
      </c>
      <c r="D61" s="245">
        <f t="array" ref="D61">SUM(IF((Budget[Account Code]=B61)*(Budget[Date]&lt;=$D$7),(Budget[Amount])))</f>
        <v>220800</v>
      </c>
      <c r="E61" s="245">
        <f t="array" ref="E61">((SUM(IF((CkDJ[Account Code]=(TRIM($B61)))*(CkDJ[Date]&lt;=$E$7),CkDJ[Debit])))+(SUM(IF((CsDJ[Account Code]=(TRIM($B61)))*(CsDJ[Date]&lt;=$E$7),CsDJ[Debit])))+(SUM(IF((CRDJ[Account Code]=(TRIM($B61)))*(CRDJ[Date]&lt;=$E$7),CRDJ[Debit])))+(SUM(IF((GJ[Account Code]=(TRIM($B61)))*(GJ[Date]&lt;=$E$7),GJ[Debit]))))-((SUM(IF((CkDJ[Account Code]=(TRIM($B61)))*(CkDJ[Date]&lt;=$E$7),CkDJ[Credit])))+(SUM(IF((CsDJ[Account Code]=(TRIM($B61)))*(CsDJ[Date]&lt;=$E$7),CsDJ[Credit])))+(SUM(IF((CRDJ[Account Code]=(TRIM($B61)))*(CRDJ[Date]&lt;=$E$7),CRDJ[Credit])))+(SUM(IF((GJ[Account Code]=(TRIM($B61)))*(GJ[Date]&lt;=$E$7),GJ[Credit]))))</f>
        <v>0</v>
      </c>
      <c r="F61" s="245">
        <f t="array" ref="F61">((SUM(IF((CkDJ[Date]=$A$3)*(CkDJ[Account Code]=(TRIM($B61))),CkDJ[Debit])))+(SUM(IF((CsDJ[Date]=$A$3)*(CsDJ[Account Code]=(TRIM($B61))),CsDJ[Debit])))+(SUM(IF((CRDJ[Date]=$A$3)*(CRDJ[Account Code]=(TRIM($B61))),CRDJ[Debit])))+(SUM(IF((GJ[Date]=$A$3)*(GJ[Account Code]=(TRIM($B61))),GJ[Debit]))))-((SUM(IF((CkDJ[Date]=$A$3)*(CkDJ[Account Code]=(TRIM($B61))),CkDJ[Credit])))+(SUM(IF((CsDJ[Date]=$A$3)*(CsDJ[Account Code]=(TRIM($B61))),CsDJ[Credit])))+(SUM(IF((CRDJ[Date]=$A$3)*(CRDJ[Account Code]=(TRIM($B61))),CRDJ[Credit])))+(SUM(IF((GJ[Date]=$A$3)*(GJ[Account Code]=(TRIM($B61))),GJ[Credit]))))</f>
        <v>0</v>
      </c>
      <c r="G61" s="343">
        <f t="shared" si="8"/>
        <v>0</v>
      </c>
      <c r="H61" s="246">
        <f t="shared" si="6"/>
        <v>-220800</v>
      </c>
      <c r="I61" s="246">
        <f t="shared" si="7"/>
        <v>0</v>
      </c>
    </row>
    <row r="62" spans="1:9" hidden="1">
      <c r="A62" s="247" t="s">
        <v>202</v>
      </c>
      <c r="B62" s="339" t="s">
        <v>6</v>
      </c>
      <c r="C62" s="245">
        <f t="array" ref="C62">SUM(IF((Budget[Account Code]=B62),(Budget[Amount])))</f>
        <v>72828</v>
      </c>
      <c r="D62" s="245">
        <f t="array" ref="D62">SUM(IF((Budget[Account Code]=B62)*(Budget[Date]&lt;=$D$7),(Budget[Amount])))</f>
        <v>72828</v>
      </c>
      <c r="E62" s="245">
        <f t="array" ref="E62">((SUM(IF((CkDJ[Account Code]=(TRIM($B62)))*(CkDJ[Date]&lt;=$E$7),CkDJ[Debit])))+(SUM(IF((CsDJ[Account Code]=(TRIM($B62)))*(CsDJ[Date]&lt;=$E$7),CsDJ[Debit])))+(SUM(IF((CRDJ[Account Code]=(TRIM($B62)))*(CRDJ[Date]&lt;=$E$7),CRDJ[Debit])))+(SUM(IF((GJ[Account Code]=(TRIM($B62)))*(GJ[Date]&lt;=$E$7),GJ[Debit]))))-((SUM(IF((CkDJ[Account Code]=(TRIM($B62)))*(CkDJ[Date]&lt;=$E$7),CkDJ[Credit])))+(SUM(IF((CsDJ[Account Code]=(TRIM($B62)))*(CsDJ[Date]&lt;=$E$7),CsDJ[Credit])))+(SUM(IF((CRDJ[Account Code]=(TRIM($B62)))*(CRDJ[Date]&lt;=$E$7),CRDJ[Credit])))+(SUM(IF((GJ[Account Code]=(TRIM($B62)))*(GJ[Date]&lt;=$E$7),GJ[Credit]))))</f>
        <v>0</v>
      </c>
      <c r="F62" s="245">
        <f t="array" ref="F62">((SUM(IF((CkDJ[Date]=$A$3)*(CkDJ[Account Code]=(TRIM($B62))),CkDJ[Debit])))+(SUM(IF((CsDJ[Date]=$A$3)*(CsDJ[Account Code]=(TRIM($B62))),CsDJ[Debit])))+(SUM(IF((CRDJ[Date]=$A$3)*(CRDJ[Account Code]=(TRIM($B62))),CRDJ[Debit])))+(SUM(IF((GJ[Date]=$A$3)*(GJ[Account Code]=(TRIM($B62))),GJ[Debit]))))-((SUM(IF((CkDJ[Date]=$A$3)*(CkDJ[Account Code]=(TRIM($B62))),CkDJ[Credit])))+(SUM(IF((CsDJ[Date]=$A$3)*(CsDJ[Account Code]=(TRIM($B62))),CsDJ[Credit])))+(SUM(IF((CRDJ[Date]=$A$3)*(CRDJ[Account Code]=(TRIM($B62))),CRDJ[Credit])))+(SUM(IF((GJ[Date]=$A$3)*(GJ[Account Code]=(TRIM($B62))),GJ[Credit]))))</f>
        <v>0</v>
      </c>
      <c r="G62" s="343">
        <f t="shared" si="8"/>
        <v>0</v>
      </c>
      <c r="H62" s="246">
        <f t="shared" si="6"/>
        <v>-72828</v>
      </c>
      <c r="I62" s="246">
        <f t="shared" si="7"/>
        <v>0</v>
      </c>
    </row>
    <row r="63" spans="1:9" hidden="1">
      <c r="A63" s="247" t="s">
        <v>203</v>
      </c>
      <c r="B63" s="339" t="s">
        <v>7</v>
      </c>
      <c r="C63" s="245">
        <f t="array" ref="C63">SUM(IF((Budget[Account Code]=B63),(Budget[Amount])))</f>
        <v>21960</v>
      </c>
      <c r="D63" s="245">
        <f t="array" ref="D63">SUM(IF((Budget[Account Code]=B63)*(Budget[Date]&lt;=$D$7),(Budget[Amount])))</f>
        <v>21960</v>
      </c>
      <c r="E63" s="245">
        <f t="array" ref="E63">((SUM(IF((CkDJ[Account Code]=(TRIM($B63)))*(CkDJ[Date]&lt;=$E$7),CkDJ[Debit])))+(SUM(IF((CsDJ[Account Code]=(TRIM($B63)))*(CsDJ[Date]&lt;=$E$7),CsDJ[Debit])))+(SUM(IF((CRDJ[Account Code]=(TRIM($B63)))*(CRDJ[Date]&lt;=$E$7),CRDJ[Debit])))+(SUM(IF((GJ[Account Code]=(TRIM($B63)))*(GJ[Date]&lt;=$E$7),GJ[Debit]))))-((SUM(IF((CkDJ[Account Code]=(TRIM($B63)))*(CkDJ[Date]&lt;=$E$7),CkDJ[Credit])))+(SUM(IF((CsDJ[Account Code]=(TRIM($B63)))*(CsDJ[Date]&lt;=$E$7),CsDJ[Credit])))+(SUM(IF((CRDJ[Account Code]=(TRIM($B63)))*(CRDJ[Date]&lt;=$E$7),CRDJ[Credit])))+(SUM(IF((GJ[Account Code]=(TRIM($B63)))*(GJ[Date]&lt;=$E$7),GJ[Credit]))))</f>
        <v>0</v>
      </c>
      <c r="F63" s="245">
        <f t="array" ref="F63">((SUM(IF((CkDJ[Date]=$A$3)*(CkDJ[Account Code]=(TRIM($B63))),CkDJ[Debit])))+(SUM(IF((CsDJ[Date]=$A$3)*(CsDJ[Account Code]=(TRIM($B63))),CsDJ[Debit])))+(SUM(IF((CRDJ[Date]=$A$3)*(CRDJ[Account Code]=(TRIM($B63))),CRDJ[Debit])))+(SUM(IF((GJ[Date]=$A$3)*(GJ[Account Code]=(TRIM($B63))),GJ[Debit]))))-((SUM(IF((CkDJ[Date]=$A$3)*(CkDJ[Account Code]=(TRIM($B63))),CkDJ[Credit])))+(SUM(IF((CsDJ[Date]=$A$3)*(CsDJ[Account Code]=(TRIM($B63))),CsDJ[Credit])))+(SUM(IF((CRDJ[Date]=$A$3)*(CRDJ[Account Code]=(TRIM($B63))),CRDJ[Credit])))+(SUM(IF((GJ[Date]=$A$3)*(GJ[Account Code]=(TRIM($B63))),GJ[Credit]))))</f>
        <v>0</v>
      </c>
      <c r="G63" s="343">
        <f t="shared" si="8"/>
        <v>0</v>
      </c>
      <c r="H63" s="246">
        <f t="shared" si="6"/>
        <v>-21960</v>
      </c>
      <c r="I63" s="246">
        <f t="shared" si="7"/>
        <v>0</v>
      </c>
    </row>
    <row r="64" spans="1:9" hidden="1">
      <c r="A64" s="247" t="s">
        <v>1378</v>
      </c>
      <c r="B64" s="339" t="s">
        <v>169</v>
      </c>
      <c r="C64" s="245">
        <f t="array" ref="C64">SUM(IF((Budget[Account Code]=B64),(Budget[Amount])))</f>
        <v>0</v>
      </c>
      <c r="D64" s="245">
        <f t="array" ref="D64">SUM(IF((Budget[Account Code]=B64)*(Budget[Date]&lt;=$D$7),(Budget[Amount])))</f>
        <v>0</v>
      </c>
      <c r="E64" s="245">
        <f t="array" ref="E64">((SUM(IF((CkDJ[Account Code]=(TRIM($B64)))*(CkDJ[Date]&lt;=$E$7),CkDJ[Debit])))+(SUM(IF((CsDJ[Account Code]=(TRIM($B64)))*(CsDJ[Date]&lt;=$E$7),CsDJ[Debit])))+(SUM(IF((CRDJ[Account Code]=(TRIM($B64)))*(CRDJ[Date]&lt;=$E$7),CRDJ[Debit])))+(SUM(IF((GJ[Account Code]=(TRIM($B64)))*(GJ[Date]&lt;=$E$7),GJ[Debit]))))-((SUM(IF((CkDJ[Account Code]=(TRIM($B64)))*(CkDJ[Date]&lt;=$E$7),CkDJ[Credit])))+(SUM(IF((CsDJ[Account Code]=(TRIM($B64)))*(CsDJ[Date]&lt;=$E$7),CsDJ[Credit])))+(SUM(IF((CRDJ[Account Code]=(TRIM($B64)))*(CRDJ[Date]&lt;=$E$7),CRDJ[Credit])))+(SUM(IF((GJ[Account Code]=(TRIM($B64)))*(GJ[Date]&lt;=$E$7),GJ[Credit]))))</f>
        <v>0</v>
      </c>
      <c r="F64" s="245">
        <f t="array" ref="F64">((SUM(IF((CkDJ[Date]=$A$3)*(CkDJ[Account Code]=(TRIM($B64))),CkDJ[Debit])))+(SUM(IF((CsDJ[Date]=$A$3)*(CsDJ[Account Code]=(TRIM($B64))),CsDJ[Debit])))+(SUM(IF((CRDJ[Date]=$A$3)*(CRDJ[Account Code]=(TRIM($B64))),CRDJ[Debit])))+(SUM(IF((GJ[Date]=$A$3)*(GJ[Account Code]=(TRIM($B64))),GJ[Debit]))))-((SUM(IF((CkDJ[Date]=$A$3)*(CkDJ[Account Code]=(TRIM($B64))),CkDJ[Credit])))+(SUM(IF((CsDJ[Date]=$A$3)*(CsDJ[Account Code]=(TRIM($B64))),CsDJ[Credit])))+(SUM(IF((CRDJ[Date]=$A$3)*(CRDJ[Account Code]=(TRIM($B64))),CRDJ[Credit])))+(SUM(IF((GJ[Date]=$A$3)*(GJ[Account Code]=(TRIM($B64))),GJ[Credit]))))</f>
        <v>0</v>
      </c>
      <c r="G64" s="343">
        <f>E64+F64</f>
        <v>0</v>
      </c>
      <c r="H64" s="246">
        <f>G64-D64</f>
        <v>0</v>
      </c>
      <c r="I64" s="246">
        <f>IF((D64=0),0,G64/D64)</f>
        <v>0</v>
      </c>
    </row>
    <row r="65" spans="1:9" hidden="1">
      <c r="A65" s="247" t="s">
        <v>206</v>
      </c>
      <c r="B65" s="339" t="s">
        <v>173</v>
      </c>
      <c r="C65" s="245">
        <f t="array" ref="C65">SUM(IF((Budget[Account Code]=B65),(Budget[Amount])))</f>
        <v>700000</v>
      </c>
      <c r="D65" s="245">
        <f t="array" ref="D65">SUM(IF((Budget[Account Code]=B65)*(Budget[Date]&lt;=$D$7),(Budget[Amount])))</f>
        <v>700000</v>
      </c>
      <c r="E65" s="245">
        <f t="array" ref="E65">((SUM(IF((CkDJ[Account Code]=(TRIM($B65)))*(CkDJ[Date]&lt;=$E$7),CkDJ[Debit])))+(SUM(IF((CsDJ[Account Code]=(TRIM($B65)))*(CsDJ[Date]&lt;=$E$7),CsDJ[Debit])))+(SUM(IF((CRDJ[Account Code]=(TRIM($B65)))*(CRDJ[Date]&lt;=$E$7),CRDJ[Debit])))+(SUM(IF((GJ[Account Code]=(TRIM($B65)))*(GJ[Date]&lt;=$E$7),GJ[Debit]))))-((SUM(IF((CkDJ[Account Code]=(TRIM($B65)))*(CkDJ[Date]&lt;=$E$7),CkDJ[Credit])))+(SUM(IF((CsDJ[Account Code]=(TRIM($B65)))*(CsDJ[Date]&lt;=$E$7),CsDJ[Credit])))+(SUM(IF((CRDJ[Account Code]=(TRIM($B65)))*(CRDJ[Date]&lt;=$E$7),CRDJ[Credit])))+(SUM(IF((GJ[Account Code]=(TRIM($B65)))*(GJ[Date]&lt;=$E$7),GJ[Credit]))))</f>
        <v>0</v>
      </c>
      <c r="F65" s="245">
        <f t="array" ref="F65">((SUM(IF((CkDJ[Date]=$A$3)*(CkDJ[Account Code]=(TRIM($B65))),CkDJ[Debit])))+(SUM(IF((CsDJ[Date]=$A$3)*(CsDJ[Account Code]=(TRIM($B65))),CsDJ[Debit])))+(SUM(IF((CRDJ[Date]=$A$3)*(CRDJ[Account Code]=(TRIM($B65))),CRDJ[Debit])))+(SUM(IF((GJ[Date]=$A$3)*(GJ[Account Code]=(TRIM($B65))),GJ[Debit]))))-((SUM(IF((CkDJ[Date]=$A$3)*(CkDJ[Account Code]=(TRIM($B65))),CkDJ[Credit])))+(SUM(IF((CsDJ[Date]=$A$3)*(CsDJ[Account Code]=(TRIM($B65))),CsDJ[Credit])))+(SUM(IF((CRDJ[Date]=$A$3)*(CRDJ[Account Code]=(TRIM($B65))),CRDJ[Credit])))+(SUM(IF((GJ[Date]=$A$3)*(GJ[Account Code]=(TRIM($B65))),GJ[Credit]))))</f>
        <v>0</v>
      </c>
      <c r="G65" s="343">
        <f t="shared" si="8"/>
        <v>0</v>
      </c>
      <c r="H65" s="246">
        <f t="shared" si="6"/>
        <v>-700000</v>
      </c>
      <c r="I65" s="246">
        <f t="shared" si="7"/>
        <v>0</v>
      </c>
    </row>
    <row r="66" spans="1:9" hidden="1">
      <c r="A66" s="247" t="s">
        <v>219</v>
      </c>
      <c r="B66" s="339" t="s">
        <v>214</v>
      </c>
      <c r="C66" s="245">
        <f t="array" ref="C66">SUM(IF((Budget[Account Code]=B66),(Budget[Amount])))</f>
        <v>0</v>
      </c>
      <c r="D66" s="245">
        <f t="array" ref="D66">SUM(IF((Budget[Account Code]=B66)*(Budget[Date]&lt;=$D$7),(Budget[Amount])))</f>
        <v>0</v>
      </c>
      <c r="E66" s="245">
        <f t="array" ref="E66">((SUM(IF((CkDJ[Account Code]=(TRIM($B66)))*(CkDJ[Date]&lt;=$E$7),CkDJ[Debit])))+(SUM(IF((CsDJ[Account Code]=(TRIM($B66)))*(CsDJ[Date]&lt;=$E$7),CsDJ[Debit])))+(SUM(IF((CRDJ[Account Code]=(TRIM($B66)))*(CRDJ[Date]&lt;=$E$7),CRDJ[Debit])))+(SUM(IF((GJ[Account Code]=(TRIM($B66)))*(GJ[Date]&lt;=$E$7),GJ[Debit]))))-((SUM(IF((CkDJ[Account Code]=(TRIM($B66)))*(CkDJ[Date]&lt;=$E$7),CkDJ[Credit])))+(SUM(IF((CsDJ[Account Code]=(TRIM($B66)))*(CsDJ[Date]&lt;=$E$7),CsDJ[Credit])))+(SUM(IF((CRDJ[Account Code]=(TRIM($B66)))*(CRDJ[Date]&lt;=$E$7),CRDJ[Credit])))+(SUM(IF((GJ[Account Code]=(TRIM($B66)))*(GJ[Date]&lt;=$E$7),GJ[Credit]))))</f>
        <v>0</v>
      </c>
      <c r="F66" s="245">
        <f t="array" ref="F66">((SUM(IF((CkDJ[Date]=$A$3)*(CkDJ[Account Code]=(TRIM($B66))),CkDJ[Debit])))+(SUM(IF((CsDJ[Date]=$A$3)*(CsDJ[Account Code]=(TRIM($B66))),CsDJ[Debit])))+(SUM(IF((CRDJ[Date]=$A$3)*(CRDJ[Account Code]=(TRIM($B66))),CRDJ[Debit])))+(SUM(IF((GJ[Date]=$A$3)*(GJ[Account Code]=(TRIM($B66))),GJ[Debit]))))-((SUM(IF((CkDJ[Date]=$A$3)*(CkDJ[Account Code]=(TRIM($B66))),CkDJ[Credit])))+(SUM(IF((CsDJ[Date]=$A$3)*(CsDJ[Account Code]=(TRIM($B66))),CsDJ[Credit])))+(SUM(IF((CRDJ[Date]=$A$3)*(CRDJ[Account Code]=(TRIM($B66))),CRDJ[Credit])))+(SUM(IF((GJ[Date]=$A$3)*(GJ[Account Code]=(TRIM($B66))),GJ[Credit]))))</f>
        <v>0</v>
      </c>
      <c r="G66" s="343">
        <f t="shared" si="8"/>
        <v>0</v>
      </c>
      <c r="H66" s="246">
        <f t="shared" si="6"/>
        <v>0</v>
      </c>
      <c r="I66" s="246">
        <f t="shared" si="7"/>
        <v>0</v>
      </c>
    </row>
    <row r="67" spans="1:9" hidden="1">
      <c r="A67" s="247" t="s">
        <v>205</v>
      </c>
      <c r="B67" s="339" t="s">
        <v>172</v>
      </c>
      <c r="C67" s="245">
        <f t="array" ref="C67">SUM(IF((Budget[Account Code]=B67),(Budget[Amount])))</f>
        <v>1320000</v>
      </c>
      <c r="D67" s="245">
        <f t="array" ref="D67">SUM(IF((Budget[Account Code]=B67)*(Budget[Date]&lt;=$D$7),(Budget[Amount])))</f>
        <v>1320000</v>
      </c>
      <c r="E67" s="245">
        <f t="array" ref="E67">((SUM(IF((CkDJ[Account Code]=(TRIM($B67)))*(CkDJ[Date]&lt;=$E$7),CkDJ[Debit])))+(SUM(IF((CsDJ[Account Code]=(TRIM($B67)))*(CsDJ[Date]&lt;=$E$7),CsDJ[Debit])))+(SUM(IF((CRDJ[Account Code]=(TRIM($B67)))*(CRDJ[Date]&lt;=$E$7),CRDJ[Debit])))+(SUM(IF((GJ[Account Code]=(TRIM($B67)))*(GJ[Date]&lt;=$E$7),GJ[Debit]))))-((SUM(IF((CkDJ[Account Code]=(TRIM($B67)))*(CkDJ[Date]&lt;=$E$7),CkDJ[Credit])))+(SUM(IF((CsDJ[Account Code]=(TRIM($B67)))*(CsDJ[Date]&lt;=$E$7),CsDJ[Credit])))+(SUM(IF((CRDJ[Account Code]=(TRIM($B67)))*(CRDJ[Date]&lt;=$E$7),CRDJ[Credit])))+(SUM(IF((GJ[Account Code]=(TRIM($B67)))*(GJ[Date]&lt;=$E$7),GJ[Credit]))))</f>
        <v>0</v>
      </c>
      <c r="F67" s="245">
        <f t="array" ref="F67">((SUM(IF((CkDJ[Date]=$A$3)*(CkDJ[Account Code]=(TRIM($B67))),CkDJ[Debit])))+(SUM(IF((CsDJ[Date]=$A$3)*(CsDJ[Account Code]=(TRIM($B67))),CsDJ[Debit])))+(SUM(IF((CRDJ[Date]=$A$3)*(CRDJ[Account Code]=(TRIM($B67))),CRDJ[Debit])))+(SUM(IF((GJ[Date]=$A$3)*(GJ[Account Code]=(TRIM($B67))),GJ[Debit]))))-((SUM(IF((CkDJ[Date]=$A$3)*(CkDJ[Account Code]=(TRIM($B67))),CkDJ[Credit])))+(SUM(IF((CsDJ[Date]=$A$3)*(CsDJ[Account Code]=(TRIM($B67))),CsDJ[Credit])))+(SUM(IF((CRDJ[Date]=$A$3)*(CRDJ[Account Code]=(TRIM($B67))),CRDJ[Credit])))+(SUM(IF((GJ[Date]=$A$3)*(GJ[Account Code]=(TRIM($B67))),GJ[Credit]))))</f>
        <v>0</v>
      </c>
      <c r="G67" s="343">
        <f t="shared" si="8"/>
        <v>0</v>
      </c>
      <c r="H67" s="246">
        <f t="shared" si="6"/>
        <v>-1320000</v>
      </c>
      <c r="I67" s="246">
        <f t="shared" si="7"/>
        <v>0</v>
      </c>
    </row>
    <row r="68" spans="1:9" hidden="1">
      <c r="A68" s="247" t="s">
        <v>207</v>
      </c>
      <c r="B68" s="339" t="s">
        <v>174</v>
      </c>
      <c r="C68" s="245">
        <f t="array" ref="C68">SUM(IF((Budget[Account Code]=B68),(Budget[Amount])))</f>
        <v>11774793</v>
      </c>
      <c r="D68" s="245">
        <f t="array" ref="D68">SUM(IF((Budget[Account Code]=B68)*(Budget[Date]&lt;=$D$7),(Budget[Amount])))</f>
        <v>11774793</v>
      </c>
      <c r="E68" s="245">
        <f t="array" ref="E68">((SUM(IF((CkDJ[Account Code]=(TRIM($B68)))*(CkDJ[Date]&lt;=$E$7),CkDJ[Debit])))+(SUM(IF((CsDJ[Account Code]=(TRIM($B68)))*(CsDJ[Date]&lt;=$E$7),CsDJ[Debit])))+(SUM(IF((CRDJ[Account Code]=(TRIM($B68)))*(CRDJ[Date]&lt;=$E$7),CRDJ[Debit])))+(SUM(IF((GJ[Account Code]=(TRIM($B68)))*(GJ[Date]&lt;=$E$7),GJ[Debit]))))-((SUM(IF((CkDJ[Account Code]=(TRIM($B68)))*(CkDJ[Date]&lt;=$E$7),CkDJ[Credit])))+(SUM(IF((CsDJ[Account Code]=(TRIM($B68)))*(CsDJ[Date]&lt;=$E$7),CsDJ[Credit])))+(SUM(IF((CRDJ[Account Code]=(TRIM($B68)))*(CRDJ[Date]&lt;=$E$7),CRDJ[Credit])))+(SUM(IF((GJ[Account Code]=(TRIM($B68)))*(GJ[Date]&lt;=$E$7),GJ[Credit]))))</f>
        <v>0</v>
      </c>
      <c r="F68" s="245">
        <f t="array" ref="F68">((SUM(IF((CkDJ[Date]=$A$3)*(CkDJ[Account Code]=(TRIM($B68))),CkDJ[Debit])))+(SUM(IF((CsDJ[Date]=$A$3)*(CsDJ[Account Code]=(TRIM($B68))),CsDJ[Debit])))+(SUM(IF((CRDJ[Date]=$A$3)*(CRDJ[Account Code]=(TRIM($B68))),CRDJ[Debit])))+(SUM(IF((GJ[Date]=$A$3)*(GJ[Account Code]=(TRIM($B68))),GJ[Debit]))))-((SUM(IF((CkDJ[Date]=$A$3)*(CkDJ[Account Code]=(TRIM($B68))),CkDJ[Credit])))+(SUM(IF((CsDJ[Date]=$A$3)*(CsDJ[Account Code]=(TRIM($B68))),CsDJ[Credit])))+(SUM(IF((CRDJ[Date]=$A$3)*(CRDJ[Account Code]=(TRIM($B68))),CRDJ[Credit])))+(SUM(IF((GJ[Date]=$A$3)*(GJ[Account Code]=(TRIM($B68))),GJ[Credit]))))</f>
        <v>0</v>
      </c>
      <c r="G68" s="343">
        <f t="shared" si="8"/>
        <v>0</v>
      </c>
      <c r="H68" s="246">
        <f t="shared" si="6"/>
        <v>-11774793</v>
      </c>
      <c r="I68" s="246">
        <f t="shared" si="7"/>
        <v>0</v>
      </c>
    </row>
    <row r="69" spans="1:9" hidden="1">
      <c r="A69" s="247" t="s">
        <v>208</v>
      </c>
      <c r="B69" s="339" t="s">
        <v>175</v>
      </c>
      <c r="C69" s="245">
        <f t="array" ref="C69">SUM(IF((Budget[Account Code]=B69),(Budget[Amount])))</f>
        <v>8507018.1600000001</v>
      </c>
      <c r="D69" s="245">
        <f t="array" ref="D69">SUM(IF((Budget[Account Code]=B69)*(Budget[Date]&lt;=$D$7),(Budget[Amount])))</f>
        <v>8507018.1600000001</v>
      </c>
      <c r="E69" s="245">
        <f t="array" ref="E69">((SUM(IF((CkDJ[Account Code]=(TRIM($B69)))*(CkDJ[Date]&lt;=$E$7),CkDJ[Debit])))+(SUM(IF((CsDJ[Account Code]=(TRIM($B69)))*(CsDJ[Date]&lt;=$E$7),CsDJ[Debit])))+(SUM(IF((CRDJ[Account Code]=(TRIM($B69)))*(CRDJ[Date]&lt;=$E$7),CRDJ[Debit])))+(SUM(IF((GJ[Account Code]=(TRIM($B69)))*(GJ[Date]&lt;=$E$7),GJ[Debit]))))-((SUM(IF((CkDJ[Account Code]=(TRIM($B69)))*(CkDJ[Date]&lt;=$E$7),CkDJ[Credit])))+(SUM(IF((CsDJ[Account Code]=(TRIM($B69)))*(CsDJ[Date]&lt;=$E$7),CsDJ[Credit])))+(SUM(IF((CRDJ[Account Code]=(TRIM($B69)))*(CRDJ[Date]&lt;=$E$7),CRDJ[Credit])))+(SUM(IF((GJ[Account Code]=(TRIM($B69)))*(GJ[Date]&lt;=$E$7),GJ[Credit]))))</f>
        <v>0</v>
      </c>
      <c r="F69" s="245">
        <f t="array" ref="F69">((SUM(IF((CkDJ[Date]=$A$3)*(CkDJ[Account Code]=(TRIM($B69))),CkDJ[Debit])))+(SUM(IF((CsDJ[Date]=$A$3)*(CsDJ[Account Code]=(TRIM($B69))),CsDJ[Debit])))+(SUM(IF((CRDJ[Date]=$A$3)*(CRDJ[Account Code]=(TRIM($B69))),CRDJ[Debit])))+(SUM(IF((GJ[Date]=$A$3)*(GJ[Account Code]=(TRIM($B69))),GJ[Debit]))))-((SUM(IF((CkDJ[Date]=$A$3)*(CkDJ[Account Code]=(TRIM($B69))),CkDJ[Credit])))+(SUM(IF((CsDJ[Date]=$A$3)*(CsDJ[Account Code]=(TRIM($B69))),CsDJ[Credit])))+(SUM(IF((CRDJ[Date]=$A$3)*(CRDJ[Account Code]=(TRIM($B69))),CRDJ[Credit])))+(SUM(IF((GJ[Date]=$A$3)*(GJ[Account Code]=(TRIM($B69))),GJ[Credit]))))</f>
        <v>0</v>
      </c>
      <c r="G69" s="343">
        <f t="shared" si="8"/>
        <v>0</v>
      </c>
      <c r="H69" s="246">
        <f t="shared" si="6"/>
        <v>-8507018.1600000001</v>
      </c>
      <c r="I69" s="246">
        <f t="shared" si="7"/>
        <v>0</v>
      </c>
    </row>
    <row r="70" spans="1:9" hidden="1">
      <c r="A70" s="247" t="s">
        <v>209</v>
      </c>
      <c r="B70" s="339" t="s">
        <v>176</v>
      </c>
      <c r="C70" s="245">
        <f t="array" ref="C70">SUM(IF((Budget[Account Code]=B70),(Budget[Amount])))</f>
        <v>308220</v>
      </c>
      <c r="D70" s="245">
        <f t="array" ref="D70">SUM(IF((Budget[Account Code]=B70)*(Budget[Date]&lt;=$D$7),(Budget[Amount])))</f>
        <v>308220</v>
      </c>
      <c r="E70" s="245">
        <f t="array" ref="E70">((SUM(IF((CkDJ[Account Code]=(TRIM($B70)))*(CkDJ[Date]&lt;=$E$7),CkDJ[Debit])))+(SUM(IF((CsDJ[Account Code]=(TRIM($B70)))*(CsDJ[Date]&lt;=$E$7),CsDJ[Debit])))+(SUM(IF((CRDJ[Account Code]=(TRIM($B70)))*(CRDJ[Date]&lt;=$E$7),CRDJ[Debit])))+(SUM(IF((GJ[Account Code]=(TRIM($B70)))*(GJ[Date]&lt;=$E$7),GJ[Debit]))))-((SUM(IF((CkDJ[Account Code]=(TRIM($B70)))*(CkDJ[Date]&lt;=$E$7),CkDJ[Credit])))+(SUM(IF((CsDJ[Account Code]=(TRIM($B70)))*(CsDJ[Date]&lt;=$E$7),CsDJ[Credit])))+(SUM(IF((CRDJ[Account Code]=(TRIM($B70)))*(CRDJ[Date]&lt;=$E$7),CRDJ[Credit])))+(SUM(IF((GJ[Account Code]=(TRIM($B70)))*(GJ[Date]&lt;=$E$7),GJ[Credit]))))</f>
        <v>0</v>
      </c>
      <c r="F70" s="245">
        <f t="array" ref="F70">((SUM(IF((CkDJ[Date]=$A$3)*(CkDJ[Account Code]=(TRIM($B70))),CkDJ[Debit])))+(SUM(IF((CsDJ[Date]=$A$3)*(CsDJ[Account Code]=(TRIM($B70))),CsDJ[Debit])))+(SUM(IF((CRDJ[Date]=$A$3)*(CRDJ[Account Code]=(TRIM($B70))),CRDJ[Debit])))+(SUM(IF((GJ[Date]=$A$3)*(GJ[Account Code]=(TRIM($B70))),GJ[Debit]))))-((SUM(IF((CkDJ[Date]=$A$3)*(CkDJ[Account Code]=(TRIM($B70))),CkDJ[Credit])))+(SUM(IF((CsDJ[Date]=$A$3)*(CsDJ[Account Code]=(TRIM($B70))),CsDJ[Credit])))+(SUM(IF((CRDJ[Date]=$A$3)*(CRDJ[Account Code]=(TRIM($B70))),CRDJ[Credit])))+(SUM(IF((GJ[Date]=$A$3)*(GJ[Account Code]=(TRIM($B70))),GJ[Credit]))))</f>
        <v>0</v>
      </c>
      <c r="G70" s="343">
        <f t="shared" si="8"/>
        <v>0</v>
      </c>
      <c r="H70" s="246">
        <f t="shared" si="6"/>
        <v>-308220</v>
      </c>
      <c r="I70" s="246">
        <f t="shared" si="7"/>
        <v>0</v>
      </c>
    </row>
    <row r="71" spans="1:9" hidden="1">
      <c r="A71" s="247" t="s">
        <v>210</v>
      </c>
      <c r="B71" s="339" t="s">
        <v>177</v>
      </c>
      <c r="C71" s="245">
        <f t="array" ref="C71">SUM(IF((Budget[Account Code]=B71),(Budget[Amount])))</f>
        <v>854389.32</v>
      </c>
      <c r="D71" s="245">
        <f t="array" ref="D71">SUM(IF((Budget[Account Code]=B71)*(Budget[Date]&lt;=$D$7),(Budget[Amount])))</f>
        <v>854389.32</v>
      </c>
      <c r="E71" s="245">
        <f t="array" ref="E71">((SUM(IF((CkDJ[Account Code]=(TRIM($B71)))*(CkDJ[Date]&lt;=$E$7),CkDJ[Debit])))+(SUM(IF((CsDJ[Account Code]=(TRIM($B71)))*(CsDJ[Date]&lt;=$E$7),CsDJ[Debit])))+(SUM(IF((CRDJ[Account Code]=(TRIM($B71)))*(CRDJ[Date]&lt;=$E$7),CRDJ[Debit])))+(SUM(IF((GJ[Account Code]=(TRIM($B71)))*(GJ[Date]&lt;=$E$7),GJ[Debit]))))-((SUM(IF((CkDJ[Account Code]=(TRIM($B71)))*(CkDJ[Date]&lt;=$E$7),CkDJ[Credit])))+(SUM(IF((CsDJ[Account Code]=(TRIM($B71)))*(CsDJ[Date]&lt;=$E$7),CsDJ[Credit])))+(SUM(IF((CRDJ[Account Code]=(TRIM($B71)))*(CRDJ[Date]&lt;=$E$7),CRDJ[Credit])))+(SUM(IF((GJ[Account Code]=(TRIM($B71)))*(GJ[Date]&lt;=$E$7),GJ[Credit]))))</f>
        <v>0</v>
      </c>
      <c r="F71" s="245">
        <f t="array" ref="F71">((SUM(IF((CkDJ[Date]=$A$3)*(CkDJ[Account Code]=(TRIM($B71))),CkDJ[Debit])))+(SUM(IF((CsDJ[Date]=$A$3)*(CsDJ[Account Code]=(TRIM($B71))),CsDJ[Debit])))+(SUM(IF((CRDJ[Date]=$A$3)*(CRDJ[Account Code]=(TRIM($B71))),CRDJ[Debit])))+(SUM(IF((GJ[Date]=$A$3)*(GJ[Account Code]=(TRIM($B71))),GJ[Debit]))))-((SUM(IF((CkDJ[Date]=$A$3)*(CkDJ[Account Code]=(TRIM($B71))),CkDJ[Credit])))+(SUM(IF((CsDJ[Date]=$A$3)*(CsDJ[Account Code]=(TRIM($B71))),CsDJ[Credit])))+(SUM(IF((CRDJ[Date]=$A$3)*(CRDJ[Account Code]=(TRIM($B71))),CRDJ[Credit])))+(SUM(IF((GJ[Date]=$A$3)*(GJ[Account Code]=(TRIM($B71))),GJ[Credit]))))</f>
        <v>0</v>
      </c>
      <c r="G71" s="343">
        <f t="shared" si="8"/>
        <v>0</v>
      </c>
      <c r="H71" s="246">
        <f t="shared" si="6"/>
        <v>-854389.32</v>
      </c>
      <c r="I71" s="246">
        <f t="shared" si="7"/>
        <v>0</v>
      </c>
    </row>
    <row r="72" spans="1:9" hidden="1">
      <c r="A72" s="247" t="s">
        <v>211</v>
      </c>
      <c r="B72" s="339" t="s">
        <v>178</v>
      </c>
      <c r="C72" s="245">
        <f t="array" ref="C72">SUM(IF((Budget[Account Code]=B72),(Budget[Amount])))</f>
        <v>307320</v>
      </c>
      <c r="D72" s="245">
        <f t="array" ref="D72">SUM(IF((Budget[Account Code]=B72)*(Budget[Date]&lt;=$D$7),(Budget[Amount])))</f>
        <v>307320</v>
      </c>
      <c r="E72" s="245">
        <f t="array" ref="E72">((SUM(IF((CkDJ[Account Code]=(TRIM($B72)))*(CkDJ[Date]&lt;=$E$7),CkDJ[Debit])))+(SUM(IF((CsDJ[Account Code]=(TRIM($B72)))*(CsDJ[Date]&lt;=$E$7),CsDJ[Debit])))+(SUM(IF((CRDJ[Account Code]=(TRIM($B72)))*(CRDJ[Date]&lt;=$E$7),CRDJ[Debit])))+(SUM(IF((GJ[Account Code]=(TRIM($B72)))*(GJ[Date]&lt;=$E$7),GJ[Debit]))))-((SUM(IF((CkDJ[Account Code]=(TRIM($B72)))*(CkDJ[Date]&lt;=$E$7),CkDJ[Credit])))+(SUM(IF((CsDJ[Account Code]=(TRIM($B72)))*(CsDJ[Date]&lt;=$E$7),CsDJ[Credit])))+(SUM(IF((CRDJ[Account Code]=(TRIM($B72)))*(CRDJ[Date]&lt;=$E$7),CRDJ[Credit])))+(SUM(IF((GJ[Account Code]=(TRIM($B72)))*(GJ[Date]&lt;=$E$7),GJ[Credit]))))</f>
        <v>0</v>
      </c>
      <c r="F72" s="245">
        <f t="array" ref="F72">((SUM(IF((CkDJ[Date]=$A$3)*(CkDJ[Account Code]=(TRIM($B72))),CkDJ[Debit])))+(SUM(IF((CsDJ[Date]=$A$3)*(CsDJ[Account Code]=(TRIM($B72))),CsDJ[Debit])))+(SUM(IF((CRDJ[Date]=$A$3)*(CRDJ[Account Code]=(TRIM($B72))),CRDJ[Debit])))+(SUM(IF((GJ[Date]=$A$3)*(GJ[Account Code]=(TRIM($B72))),GJ[Debit]))))-((SUM(IF((CkDJ[Date]=$A$3)*(CkDJ[Account Code]=(TRIM($B72))),CkDJ[Credit])))+(SUM(IF((CsDJ[Date]=$A$3)*(CsDJ[Account Code]=(TRIM($B72))),CsDJ[Credit])))+(SUM(IF((CRDJ[Date]=$A$3)*(CRDJ[Account Code]=(TRIM($B72))),CRDJ[Credit])))+(SUM(IF((GJ[Date]=$A$3)*(GJ[Account Code]=(TRIM($B72))),GJ[Credit]))))</f>
        <v>0</v>
      </c>
      <c r="G72" s="343">
        <f t="shared" si="8"/>
        <v>0</v>
      </c>
      <c r="H72" s="246">
        <f t="shared" si="6"/>
        <v>-307320</v>
      </c>
      <c r="I72" s="246">
        <f t="shared" si="7"/>
        <v>0</v>
      </c>
    </row>
    <row r="73" spans="1:9" hidden="1">
      <c r="A73" s="247" t="s">
        <v>1016</v>
      </c>
      <c r="B73" s="339" t="s">
        <v>985</v>
      </c>
      <c r="C73" s="245">
        <f t="array" ref="C73">SUM(IF((Budget[Account Code]=B73),(Budget[Amount])))</f>
        <v>0</v>
      </c>
      <c r="D73" s="245">
        <f t="array" ref="D73">SUM(IF((Budget[Account Code]=B73)*(Budget[Date]&lt;=$D$7),(Budget[Amount])))</f>
        <v>0</v>
      </c>
      <c r="E73" s="245">
        <f t="array" ref="E73">((SUM(IF((CkDJ[Account Code]=(TRIM($B73)))*(CkDJ[Date]&lt;=$E$7),CkDJ[Debit])))+(SUM(IF((CsDJ[Account Code]=(TRIM($B73)))*(CsDJ[Date]&lt;=$E$7),CsDJ[Debit])))+(SUM(IF((CRDJ[Account Code]=(TRIM($B73)))*(CRDJ[Date]&lt;=$E$7),CRDJ[Debit])))+(SUM(IF((GJ[Account Code]=(TRIM($B73)))*(GJ[Date]&lt;=$E$7),GJ[Debit]))))-((SUM(IF((CkDJ[Account Code]=(TRIM($B73)))*(CkDJ[Date]&lt;=$E$7),CkDJ[Credit])))+(SUM(IF((CsDJ[Account Code]=(TRIM($B73)))*(CsDJ[Date]&lt;=$E$7),CsDJ[Credit])))+(SUM(IF((CRDJ[Account Code]=(TRIM($B73)))*(CRDJ[Date]&lt;=$E$7),CRDJ[Credit])))+(SUM(IF((GJ[Account Code]=(TRIM($B73)))*(GJ[Date]&lt;=$E$7),GJ[Credit]))))</f>
        <v>0</v>
      </c>
      <c r="F73" s="245">
        <f t="array" ref="F73">((SUM(IF((CkDJ[Date]=$A$3)*(CkDJ[Account Code]=(TRIM($B73))),CkDJ[Debit])))+(SUM(IF((CsDJ[Date]=$A$3)*(CsDJ[Account Code]=(TRIM($B73))),CsDJ[Debit])))+(SUM(IF((CRDJ[Date]=$A$3)*(CRDJ[Account Code]=(TRIM($B73))),CRDJ[Debit])))+(SUM(IF((GJ[Date]=$A$3)*(GJ[Account Code]=(TRIM($B73))),GJ[Debit]))))-((SUM(IF((CkDJ[Date]=$A$3)*(CkDJ[Account Code]=(TRIM($B73))),CkDJ[Credit])))+(SUM(IF((CsDJ[Date]=$A$3)*(CsDJ[Account Code]=(TRIM($B73))),CsDJ[Credit])))+(SUM(IF((CRDJ[Date]=$A$3)*(CRDJ[Account Code]=(TRIM($B73))),CRDJ[Credit])))+(SUM(IF((GJ[Date]=$A$3)*(GJ[Account Code]=(TRIM($B73))),GJ[Credit]))))</f>
        <v>0</v>
      </c>
      <c r="G73" s="343">
        <f>E73+F73</f>
        <v>0</v>
      </c>
      <c r="H73" s="246">
        <f>G73-D73</f>
        <v>0</v>
      </c>
      <c r="I73" s="246">
        <f>IF((D73=0),0,G73/D73)</f>
        <v>0</v>
      </c>
    </row>
    <row r="74" spans="1:9" hidden="1">
      <c r="A74" s="247" t="s">
        <v>1173</v>
      </c>
      <c r="B74" s="339" t="s">
        <v>213</v>
      </c>
      <c r="C74" s="245">
        <f t="array" ref="C74">SUM(IF((Budget[Account Code]=B74),(Budget[Amount])))</f>
        <v>0</v>
      </c>
      <c r="D74" s="245">
        <f t="array" ref="D74">SUM(IF((Budget[Account Code]=B74)*(Budget[Date]&lt;=$D$7),(Budget[Amount])))</f>
        <v>0</v>
      </c>
      <c r="E74" s="245">
        <f t="array" ref="E74">((SUM(IF((CkDJ[Account Code]=(TRIM($B74)))*(CkDJ[Date]&lt;=$E$7),CkDJ[Debit])))+(SUM(IF((CsDJ[Account Code]=(TRIM($B74)))*(CsDJ[Date]&lt;=$E$7),CsDJ[Debit])))+(SUM(IF((CRDJ[Account Code]=(TRIM($B74)))*(CRDJ[Date]&lt;=$E$7),CRDJ[Debit])))+(SUM(IF((GJ[Account Code]=(TRIM($B74)))*(GJ[Date]&lt;=$E$7),GJ[Debit]))))-((SUM(IF((CkDJ[Account Code]=(TRIM($B74)))*(CkDJ[Date]&lt;=$E$7),CkDJ[Credit])))+(SUM(IF((CsDJ[Account Code]=(TRIM($B74)))*(CsDJ[Date]&lt;=$E$7),CsDJ[Credit])))+(SUM(IF((CRDJ[Account Code]=(TRIM($B74)))*(CRDJ[Date]&lt;=$E$7),CRDJ[Credit])))+(SUM(IF((GJ[Account Code]=(TRIM($B74)))*(GJ[Date]&lt;=$E$7),GJ[Credit]))))</f>
        <v>0</v>
      </c>
      <c r="F74" s="245">
        <f t="array" ref="F74">((SUM(IF((CkDJ[Date]=$A$3)*(CkDJ[Account Code]=(TRIM($B74))),CkDJ[Debit])))+(SUM(IF((CsDJ[Date]=$A$3)*(CsDJ[Account Code]=(TRIM($B74))),CsDJ[Debit])))+(SUM(IF((CRDJ[Date]=$A$3)*(CRDJ[Account Code]=(TRIM($B74))),CRDJ[Debit])))+(SUM(IF((GJ[Date]=$A$3)*(GJ[Account Code]=(TRIM($B74))),GJ[Debit]))))-((SUM(IF((CkDJ[Date]=$A$3)*(CkDJ[Account Code]=(TRIM($B74))),CkDJ[Credit])))+(SUM(IF((CsDJ[Date]=$A$3)*(CsDJ[Account Code]=(TRIM($B74))),CsDJ[Credit])))+(SUM(IF((CRDJ[Date]=$A$3)*(CRDJ[Account Code]=(TRIM($B74))),CRDJ[Credit])))+(SUM(IF((GJ[Date]=$A$3)*(GJ[Account Code]=(TRIM($B74))),GJ[Credit]))))</f>
        <v>0</v>
      </c>
      <c r="G74" s="343">
        <f t="shared" si="8"/>
        <v>0</v>
      </c>
      <c r="H74" s="246">
        <f t="shared" si="6"/>
        <v>0</v>
      </c>
      <c r="I74" s="246">
        <f t="shared" si="7"/>
        <v>0</v>
      </c>
    </row>
    <row r="75" spans="1:9">
      <c r="A75" s="243" t="s">
        <v>805</v>
      </c>
      <c r="B75" s="337"/>
      <c r="C75" s="245"/>
      <c r="D75" s="245"/>
      <c r="E75" s="246"/>
      <c r="F75" s="245"/>
      <c r="G75" s="246"/>
      <c r="H75" s="246"/>
      <c r="I75" s="246"/>
    </row>
    <row r="76" spans="1:9">
      <c r="A76" s="239" t="s">
        <v>810</v>
      </c>
      <c r="B76" s="337"/>
      <c r="C76" s="252">
        <f>C77+C139</f>
        <v>50376822.520000003</v>
      </c>
      <c r="D76" s="252">
        <f>D77+D139</f>
        <v>50376822.520000003</v>
      </c>
      <c r="E76" s="252">
        <f>E77+E139</f>
        <v>0</v>
      </c>
      <c r="F76" s="252">
        <f>F77+F139</f>
        <v>0</v>
      </c>
      <c r="G76" s="252">
        <f>G77+G139</f>
        <v>0</v>
      </c>
      <c r="H76" s="242">
        <f t="shared" si="6"/>
        <v>-50376822.520000003</v>
      </c>
      <c r="I76" s="242">
        <f t="shared" si="7"/>
        <v>0</v>
      </c>
    </row>
    <row r="77" spans="1:9">
      <c r="A77" s="253" t="s">
        <v>809</v>
      </c>
      <c r="B77" s="337"/>
      <c r="C77" s="254">
        <f>C78+C138</f>
        <v>34301384.009999998</v>
      </c>
      <c r="D77" s="254">
        <f>D78+D138</f>
        <v>34301384.009999998</v>
      </c>
      <c r="E77" s="254">
        <f>E78+E138</f>
        <v>0</v>
      </c>
      <c r="F77" s="254">
        <f>F78+F138</f>
        <v>0</v>
      </c>
      <c r="G77" s="254">
        <f>G78+G138</f>
        <v>0</v>
      </c>
      <c r="H77" s="246">
        <f t="shared" si="6"/>
        <v>-34301384.009999998</v>
      </c>
      <c r="I77" s="246">
        <f t="shared" si="7"/>
        <v>0</v>
      </c>
    </row>
    <row r="78" spans="1:9">
      <c r="A78" s="255" t="s">
        <v>806</v>
      </c>
      <c r="B78" s="337"/>
      <c r="C78" s="246">
        <f>SUM(C79:C137)</f>
        <v>34301384.009999998</v>
      </c>
      <c r="D78" s="246">
        <f>SUM(D79:D137)</f>
        <v>34301384.009999998</v>
      </c>
      <c r="E78" s="246">
        <f>SUM(E79:E137)</f>
        <v>0</v>
      </c>
      <c r="F78" s="246">
        <f>SUM(F79:F137)</f>
        <v>0</v>
      </c>
      <c r="G78" s="246">
        <f>SUM(G79:G137)</f>
        <v>0</v>
      </c>
      <c r="H78" s="246">
        <f t="shared" si="6"/>
        <v>-34301384.009999998</v>
      </c>
      <c r="I78" s="246">
        <f t="shared" si="7"/>
        <v>0</v>
      </c>
    </row>
    <row r="79" spans="1:9" hidden="1">
      <c r="A79" s="256" t="s">
        <v>284</v>
      </c>
      <c r="B79" s="339" t="s">
        <v>223</v>
      </c>
      <c r="C79" s="245">
        <f t="array" ref="C79">SUM(IF((Budget[Account Code]=B79),(Budget[Amount])))</f>
        <v>516160</v>
      </c>
      <c r="D79" s="245">
        <f t="array" ref="D79">SUM(IF((Budget[Account Code]=B79)*(Budget[Date]&lt;=$D$7),(Budget[Amount])))</f>
        <v>516160</v>
      </c>
      <c r="E79" s="245">
        <f t="array" ref="E79">((SUM(IF((CkDJ[Account Code]=(TRIM($B79)))*(CkDJ[Date]&lt;=$E$7),CkDJ[Debit])))+(SUM(IF((CsDJ[Account Code]=(TRIM($B79)))*(CsDJ[Date]&lt;=$E$7),CsDJ[Debit])))+(SUM(IF((CRDJ[Account Code]=(TRIM($B79)))*(CRDJ[Date]&lt;=$E$7),CRDJ[Debit])))+(SUM(IF((GJ[Account Code]=(TRIM($B79)))*(GJ[Date]&lt;=$E$7),GJ[Debit]))))-((SUM(IF((CkDJ[Account Code]=(TRIM($B79)))*(CkDJ[Date]&lt;=$E$7),CkDJ[Credit])))+(SUM(IF((CsDJ[Account Code]=(TRIM($B79)))*(CsDJ[Date]&lt;=$E$7),CsDJ[Credit])))+(SUM(IF((CRDJ[Account Code]=(TRIM($B79)))*(CRDJ[Date]&lt;=$E$7),CRDJ[Credit])))+(SUM(IF((GJ[Account Code]=(TRIM($B79)))*(GJ[Date]&lt;=$E$7),GJ[Credit]))))</f>
        <v>0</v>
      </c>
      <c r="F79" s="245">
        <f t="array" ref="F79">((SUM(IF((CkDJ[Date]=$A$3)*(CkDJ[Account Code]=(TRIM($B79))),CkDJ[Debit])))+(SUM(IF((CsDJ[Date]=$A$3)*(CsDJ[Account Code]=(TRIM($B79))),CsDJ[Debit])))+(SUM(IF((CRDJ[Date]=$A$3)*(CRDJ[Account Code]=(TRIM($B79))),CRDJ[Debit])))+(SUM(IF((GJ[Date]=$A$3)*(GJ[Account Code]=(TRIM($B79))),GJ[Debit]))))-((SUM(IF((CkDJ[Date]=$A$3)*(CkDJ[Account Code]=(TRIM($B79))),CkDJ[Credit])))+(SUM(IF((CsDJ[Date]=$A$3)*(CsDJ[Account Code]=(TRIM($B79))),CsDJ[Credit])))+(SUM(IF((CRDJ[Date]=$A$3)*(CRDJ[Account Code]=(TRIM($B79))),CRDJ[Credit])))+(SUM(IF((GJ[Date]=$A$3)*(GJ[Account Code]=(TRIM($B79))),GJ[Credit]))))</f>
        <v>0</v>
      </c>
      <c r="G79" s="343">
        <f t="shared" ref="G79:G137" si="9">E79+F79</f>
        <v>0</v>
      </c>
      <c r="H79" s="246">
        <f t="shared" si="6"/>
        <v>-516160</v>
      </c>
      <c r="I79" s="246">
        <f t="shared" si="7"/>
        <v>0</v>
      </c>
    </row>
    <row r="80" spans="1:9" hidden="1">
      <c r="A80" s="256" t="s">
        <v>1477</v>
      </c>
      <c r="B80" s="339" t="s">
        <v>1233</v>
      </c>
      <c r="C80" s="245">
        <f t="array" ref="C80">SUM(IF((Budget[Account Code]=B80),(Budget[Amount])))</f>
        <v>0</v>
      </c>
      <c r="D80" s="245">
        <f t="array" ref="D80">SUM(IF((Budget[Account Code]=B80)*(Budget[Date]&lt;=$D$7),(Budget[Amount])))</f>
        <v>0</v>
      </c>
      <c r="E80" s="245">
        <f t="array" ref="E80">((SUM(IF((CkDJ[Account Code]=(TRIM($B80)))*(CkDJ[Date]&lt;=$E$7),CkDJ[Debit])))+(SUM(IF((CsDJ[Account Code]=(TRIM($B80)))*(CsDJ[Date]&lt;=$E$7),CsDJ[Debit])))+(SUM(IF((CRDJ[Account Code]=(TRIM($B80)))*(CRDJ[Date]&lt;=$E$7),CRDJ[Debit])))+(SUM(IF((GJ[Account Code]=(TRIM($B80)))*(GJ[Date]&lt;=$E$7),GJ[Debit]))))-((SUM(IF((CkDJ[Account Code]=(TRIM($B80)))*(CkDJ[Date]&lt;=$E$7),CkDJ[Credit])))+(SUM(IF((CsDJ[Account Code]=(TRIM($B80)))*(CsDJ[Date]&lt;=$E$7),CsDJ[Credit])))+(SUM(IF((CRDJ[Account Code]=(TRIM($B80)))*(CRDJ[Date]&lt;=$E$7),CRDJ[Credit])))+(SUM(IF((GJ[Account Code]=(TRIM($B80)))*(GJ[Date]&lt;=$E$7),GJ[Credit]))))</f>
        <v>0</v>
      </c>
      <c r="F80" s="245">
        <f t="array" ref="F80">((SUM(IF((CkDJ[Date]=$A$3)*(CkDJ[Account Code]=(TRIM($B80))),CkDJ[Debit])))+(SUM(IF((CsDJ[Date]=$A$3)*(CsDJ[Account Code]=(TRIM($B80))),CsDJ[Debit])))+(SUM(IF((CRDJ[Date]=$A$3)*(CRDJ[Account Code]=(TRIM($B80))),CRDJ[Debit])))+(SUM(IF((GJ[Date]=$A$3)*(GJ[Account Code]=(TRIM($B80))),GJ[Debit]))))-((SUM(IF((CkDJ[Date]=$A$3)*(CkDJ[Account Code]=(TRIM($B80))),CkDJ[Credit])))+(SUM(IF((CsDJ[Date]=$A$3)*(CsDJ[Account Code]=(TRIM($B80))),CsDJ[Credit])))+(SUM(IF((CRDJ[Date]=$A$3)*(CRDJ[Account Code]=(TRIM($B80))),CRDJ[Credit])))+(SUM(IF((GJ[Date]=$A$3)*(GJ[Account Code]=(TRIM($B80))),GJ[Credit]))))</f>
        <v>0</v>
      </c>
      <c r="G80" s="343">
        <f>E80+F80</f>
        <v>0</v>
      </c>
      <c r="H80" s="246">
        <f>G80-D80</f>
        <v>0</v>
      </c>
      <c r="I80" s="246">
        <f>IF((D80=0),0,G80/D80)</f>
        <v>0</v>
      </c>
    </row>
    <row r="81" spans="1:9" hidden="1">
      <c r="A81" s="256" t="s">
        <v>285</v>
      </c>
      <c r="B81" s="339" t="s">
        <v>224</v>
      </c>
      <c r="C81" s="245">
        <f t="array" ref="C81">SUM(IF((Budget[Account Code]=B81),(Budget[Amount])))</f>
        <v>428820</v>
      </c>
      <c r="D81" s="245">
        <f t="array" ref="D81">SUM(IF((Budget[Account Code]=B81)*(Budget[Date]&lt;=$D$7),(Budget[Amount])))</f>
        <v>428820</v>
      </c>
      <c r="E81" s="245">
        <f t="array" ref="E81">((SUM(IF((CkDJ[Account Code]=(TRIM($B81)))*(CkDJ[Date]&lt;=$E$7),CkDJ[Debit])))+(SUM(IF((CsDJ[Account Code]=(TRIM($B81)))*(CsDJ[Date]&lt;=$E$7),CsDJ[Debit])))+(SUM(IF((CRDJ[Account Code]=(TRIM($B81)))*(CRDJ[Date]&lt;=$E$7),CRDJ[Debit])))+(SUM(IF((GJ[Account Code]=(TRIM($B81)))*(GJ[Date]&lt;=$E$7),GJ[Debit]))))-((SUM(IF((CkDJ[Account Code]=(TRIM($B81)))*(CkDJ[Date]&lt;=$E$7),CkDJ[Credit])))+(SUM(IF((CsDJ[Account Code]=(TRIM($B81)))*(CsDJ[Date]&lt;=$E$7),CsDJ[Credit])))+(SUM(IF((CRDJ[Account Code]=(TRIM($B81)))*(CRDJ[Date]&lt;=$E$7),CRDJ[Credit])))+(SUM(IF((GJ[Account Code]=(TRIM($B81)))*(GJ[Date]&lt;=$E$7),GJ[Credit]))))</f>
        <v>0</v>
      </c>
      <c r="F81" s="245">
        <f t="array" ref="F81">((SUM(IF((CkDJ[Date]=$A$3)*(CkDJ[Account Code]=(TRIM($B81))),CkDJ[Debit])))+(SUM(IF((CsDJ[Date]=$A$3)*(CsDJ[Account Code]=(TRIM($B81))),CsDJ[Debit])))+(SUM(IF((CRDJ[Date]=$A$3)*(CRDJ[Account Code]=(TRIM($B81))),CRDJ[Debit])))+(SUM(IF((GJ[Date]=$A$3)*(GJ[Account Code]=(TRIM($B81))),GJ[Debit]))))-((SUM(IF((CkDJ[Date]=$A$3)*(CkDJ[Account Code]=(TRIM($B81))),CkDJ[Credit])))+(SUM(IF((CsDJ[Date]=$A$3)*(CsDJ[Account Code]=(TRIM($B81))),CsDJ[Credit])))+(SUM(IF((CRDJ[Date]=$A$3)*(CRDJ[Account Code]=(TRIM($B81))),CRDJ[Credit])))+(SUM(IF((GJ[Date]=$A$3)*(GJ[Account Code]=(TRIM($B81))),GJ[Credit]))))</f>
        <v>0</v>
      </c>
      <c r="G81" s="343">
        <f t="shared" si="9"/>
        <v>0</v>
      </c>
      <c r="H81" s="246">
        <f t="shared" si="6"/>
        <v>-428820</v>
      </c>
      <c r="I81" s="246">
        <f t="shared" si="7"/>
        <v>0</v>
      </c>
    </row>
    <row r="82" spans="1:9" hidden="1">
      <c r="A82" s="256" t="s">
        <v>286</v>
      </c>
      <c r="B82" s="339" t="s">
        <v>225</v>
      </c>
      <c r="C82" s="245">
        <f t="array" ref="C82">SUM(IF((Budget[Account Code]=B82),(Budget[Amount])))</f>
        <v>1177903</v>
      </c>
      <c r="D82" s="245">
        <f t="array" ref="D82">SUM(IF((Budget[Account Code]=B82)*(Budget[Date]&lt;=$D$7),(Budget[Amount])))</f>
        <v>1177903</v>
      </c>
      <c r="E82" s="245">
        <f t="array" ref="E82">((SUM(IF((CkDJ[Account Code]=(TRIM($B82)))*(CkDJ[Date]&lt;=$E$7),CkDJ[Debit])))+(SUM(IF((CsDJ[Account Code]=(TRIM($B82)))*(CsDJ[Date]&lt;=$E$7),CsDJ[Debit])))+(SUM(IF((CRDJ[Account Code]=(TRIM($B82)))*(CRDJ[Date]&lt;=$E$7),CRDJ[Debit])))+(SUM(IF((GJ[Account Code]=(TRIM($B82)))*(GJ[Date]&lt;=$E$7),GJ[Debit]))))-((SUM(IF((CkDJ[Account Code]=(TRIM($B82)))*(CkDJ[Date]&lt;=$E$7),CkDJ[Credit])))+(SUM(IF((CsDJ[Account Code]=(TRIM($B82)))*(CsDJ[Date]&lt;=$E$7),CsDJ[Credit])))+(SUM(IF((CRDJ[Account Code]=(TRIM($B82)))*(CRDJ[Date]&lt;=$E$7),CRDJ[Credit])))+(SUM(IF((GJ[Account Code]=(TRIM($B82)))*(GJ[Date]&lt;=$E$7),GJ[Credit]))))</f>
        <v>0</v>
      </c>
      <c r="F82" s="245">
        <f t="array" ref="F82">((SUM(IF((CkDJ[Date]=$A$3)*(CkDJ[Account Code]=(TRIM($B82))),CkDJ[Debit])))+(SUM(IF((CsDJ[Date]=$A$3)*(CsDJ[Account Code]=(TRIM($B82))),CsDJ[Debit])))+(SUM(IF((CRDJ[Date]=$A$3)*(CRDJ[Account Code]=(TRIM($B82))),CRDJ[Debit])))+(SUM(IF((GJ[Date]=$A$3)*(GJ[Account Code]=(TRIM($B82))),GJ[Debit]))))-((SUM(IF((CkDJ[Date]=$A$3)*(CkDJ[Account Code]=(TRIM($B82))),CkDJ[Credit])))+(SUM(IF((CsDJ[Date]=$A$3)*(CsDJ[Account Code]=(TRIM($B82))),CsDJ[Credit])))+(SUM(IF((CRDJ[Date]=$A$3)*(CRDJ[Account Code]=(TRIM($B82))),CRDJ[Credit])))+(SUM(IF((GJ[Date]=$A$3)*(GJ[Account Code]=(TRIM($B82))),GJ[Credit]))))</f>
        <v>0</v>
      </c>
      <c r="G82" s="343">
        <f t="shared" si="9"/>
        <v>0</v>
      </c>
      <c r="H82" s="246">
        <f t="shared" si="6"/>
        <v>-1177903</v>
      </c>
      <c r="I82" s="246">
        <f t="shared" si="7"/>
        <v>0</v>
      </c>
    </row>
    <row r="83" spans="1:9" hidden="1">
      <c r="A83" s="256" t="s">
        <v>287</v>
      </c>
      <c r="B83" s="339" t="s">
        <v>226</v>
      </c>
      <c r="C83" s="245">
        <f t="array" ref="C83">SUM(IF((Budget[Account Code]=B83),(Budget[Amount])))</f>
        <v>195600</v>
      </c>
      <c r="D83" s="245">
        <f t="array" ref="D83">SUM(IF((Budget[Account Code]=B83)*(Budget[Date]&lt;=$D$7),(Budget[Amount])))</f>
        <v>195600</v>
      </c>
      <c r="E83" s="245">
        <f t="array" ref="E83">((SUM(IF((CkDJ[Account Code]=(TRIM($B83)))*(CkDJ[Date]&lt;=$E$7),CkDJ[Debit])))+(SUM(IF((CsDJ[Account Code]=(TRIM($B83)))*(CsDJ[Date]&lt;=$E$7),CsDJ[Debit])))+(SUM(IF((CRDJ[Account Code]=(TRIM($B83)))*(CRDJ[Date]&lt;=$E$7),CRDJ[Debit])))+(SUM(IF((GJ[Account Code]=(TRIM($B83)))*(GJ[Date]&lt;=$E$7),GJ[Debit]))))-((SUM(IF((CkDJ[Account Code]=(TRIM($B83)))*(CkDJ[Date]&lt;=$E$7),CkDJ[Credit])))+(SUM(IF((CsDJ[Account Code]=(TRIM($B83)))*(CsDJ[Date]&lt;=$E$7),CsDJ[Credit])))+(SUM(IF((CRDJ[Account Code]=(TRIM($B83)))*(CRDJ[Date]&lt;=$E$7),CRDJ[Credit])))+(SUM(IF((GJ[Account Code]=(TRIM($B83)))*(GJ[Date]&lt;=$E$7),GJ[Credit]))))</f>
        <v>0</v>
      </c>
      <c r="F83" s="245">
        <f t="array" ref="F83">((SUM(IF((CkDJ[Date]=$A$3)*(CkDJ[Account Code]=(TRIM($B83))),CkDJ[Debit])))+(SUM(IF((CsDJ[Date]=$A$3)*(CsDJ[Account Code]=(TRIM($B83))),CsDJ[Debit])))+(SUM(IF((CRDJ[Date]=$A$3)*(CRDJ[Account Code]=(TRIM($B83))),CRDJ[Debit])))+(SUM(IF((GJ[Date]=$A$3)*(GJ[Account Code]=(TRIM($B83))),GJ[Debit]))))-((SUM(IF((CkDJ[Date]=$A$3)*(CkDJ[Account Code]=(TRIM($B83))),CkDJ[Credit])))+(SUM(IF((CsDJ[Date]=$A$3)*(CsDJ[Account Code]=(TRIM($B83))),CsDJ[Credit])))+(SUM(IF((CRDJ[Date]=$A$3)*(CRDJ[Account Code]=(TRIM($B83))),CRDJ[Credit])))+(SUM(IF((GJ[Date]=$A$3)*(GJ[Account Code]=(TRIM($B83))),GJ[Credit]))))</f>
        <v>0</v>
      </c>
      <c r="G83" s="343">
        <f t="shared" si="9"/>
        <v>0</v>
      </c>
      <c r="H83" s="246">
        <f t="shared" si="6"/>
        <v>-195600</v>
      </c>
      <c r="I83" s="246">
        <f t="shared" si="7"/>
        <v>0</v>
      </c>
    </row>
    <row r="84" spans="1:9" hidden="1">
      <c r="A84" s="256" t="s">
        <v>1017</v>
      </c>
      <c r="B84" s="339" t="s">
        <v>227</v>
      </c>
      <c r="C84" s="245">
        <f t="array" ref="C84">SUM(IF((Budget[Account Code]=B84),(Budget[Amount])))</f>
        <v>11000.04</v>
      </c>
      <c r="D84" s="245">
        <f t="array" ref="D84">SUM(IF((Budget[Account Code]=B84)*(Budget[Date]&lt;=$D$7),(Budget[Amount])))</f>
        <v>11000.04</v>
      </c>
      <c r="E84" s="245">
        <f t="array" ref="E84">((SUM(IF((CkDJ[Account Code]=(TRIM($B84)))*(CkDJ[Date]&lt;=$E$7),CkDJ[Debit])))+(SUM(IF((CsDJ[Account Code]=(TRIM($B84)))*(CsDJ[Date]&lt;=$E$7),CsDJ[Debit])))+(SUM(IF((CRDJ[Account Code]=(TRIM($B84)))*(CRDJ[Date]&lt;=$E$7),CRDJ[Debit])))+(SUM(IF((GJ[Account Code]=(TRIM($B84)))*(GJ[Date]&lt;=$E$7),GJ[Debit]))))-((SUM(IF((CkDJ[Account Code]=(TRIM($B84)))*(CkDJ[Date]&lt;=$E$7),CkDJ[Credit])))+(SUM(IF((CsDJ[Account Code]=(TRIM($B84)))*(CsDJ[Date]&lt;=$E$7),CsDJ[Credit])))+(SUM(IF((CRDJ[Account Code]=(TRIM($B84)))*(CRDJ[Date]&lt;=$E$7),CRDJ[Credit])))+(SUM(IF((GJ[Account Code]=(TRIM($B84)))*(GJ[Date]&lt;=$E$7),GJ[Credit]))))</f>
        <v>0</v>
      </c>
      <c r="F84" s="245">
        <f t="array" ref="F84">((SUM(IF((CkDJ[Date]=$A$3)*(CkDJ[Account Code]=(TRIM($B84))),CkDJ[Debit])))+(SUM(IF((CsDJ[Date]=$A$3)*(CsDJ[Account Code]=(TRIM($B84))),CsDJ[Debit])))+(SUM(IF((CRDJ[Date]=$A$3)*(CRDJ[Account Code]=(TRIM($B84))),CRDJ[Debit])))+(SUM(IF((GJ[Date]=$A$3)*(GJ[Account Code]=(TRIM($B84))),GJ[Debit]))))-((SUM(IF((CkDJ[Date]=$A$3)*(CkDJ[Account Code]=(TRIM($B84))),CkDJ[Credit])))+(SUM(IF((CsDJ[Date]=$A$3)*(CsDJ[Account Code]=(TRIM($B84))),CsDJ[Credit])))+(SUM(IF((CRDJ[Date]=$A$3)*(CRDJ[Account Code]=(TRIM($B84))),CRDJ[Credit])))+(SUM(IF((GJ[Date]=$A$3)*(GJ[Account Code]=(TRIM($B84))),GJ[Credit]))))</f>
        <v>0</v>
      </c>
      <c r="G84" s="343">
        <f t="shared" si="9"/>
        <v>0</v>
      </c>
      <c r="H84" s="246">
        <f t="shared" si="6"/>
        <v>-11000.04</v>
      </c>
      <c r="I84" s="246">
        <f t="shared" si="7"/>
        <v>0</v>
      </c>
    </row>
    <row r="85" spans="1:9" hidden="1">
      <c r="A85" s="256" t="s">
        <v>1018</v>
      </c>
      <c r="B85" s="339" t="s">
        <v>228</v>
      </c>
      <c r="C85" s="245">
        <f t="array" ref="C85">SUM(IF((Budget[Account Code]=B85),(Budget[Amount])))</f>
        <v>16499.88</v>
      </c>
      <c r="D85" s="245">
        <f t="array" ref="D85">SUM(IF((Budget[Account Code]=B85)*(Budget[Date]&lt;=$D$7),(Budget[Amount])))</f>
        <v>16499.88</v>
      </c>
      <c r="E85" s="245">
        <f t="array" ref="E85">((SUM(IF((CkDJ[Account Code]=(TRIM($B85)))*(CkDJ[Date]&lt;=$E$7),CkDJ[Debit])))+(SUM(IF((CsDJ[Account Code]=(TRIM($B85)))*(CsDJ[Date]&lt;=$E$7),CsDJ[Debit])))+(SUM(IF((CRDJ[Account Code]=(TRIM($B85)))*(CRDJ[Date]&lt;=$E$7),CRDJ[Debit])))+(SUM(IF((GJ[Account Code]=(TRIM($B85)))*(GJ[Date]&lt;=$E$7),GJ[Debit]))))-((SUM(IF((CkDJ[Account Code]=(TRIM($B85)))*(CkDJ[Date]&lt;=$E$7),CkDJ[Credit])))+(SUM(IF((CsDJ[Account Code]=(TRIM($B85)))*(CsDJ[Date]&lt;=$E$7),CsDJ[Credit])))+(SUM(IF((CRDJ[Account Code]=(TRIM($B85)))*(CRDJ[Date]&lt;=$E$7),CRDJ[Credit])))+(SUM(IF((GJ[Account Code]=(TRIM($B85)))*(GJ[Date]&lt;=$E$7),GJ[Credit]))))</f>
        <v>0</v>
      </c>
      <c r="F85" s="245">
        <f t="array" ref="F85">((SUM(IF((CkDJ[Date]=$A$3)*(CkDJ[Account Code]=(TRIM($B85))),CkDJ[Debit])))+(SUM(IF((CsDJ[Date]=$A$3)*(CsDJ[Account Code]=(TRIM($B85))),CsDJ[Debit])))+(SUM(IF((CRDJ[Date]=$A$3)*(CRDJ[Account Code]=(TRIM($B85))),CRDJ[Debit])))+(SUM(IF((GJ[Date]=$A$3)*(GJ[Account Code]=(TRIM($B85))),GJ[Debit]))))-((SUM(IF((CkDJ[Date]=$A$3)*(CkDJ[Account Code]=(TRIM($B85))),CkDJ[Credit])))+(SUM(IF((CsDJ[Date]=$A$3)*(CsDJ[Account Code]=(TRIM($B85))),CsDJ[Credit])))+(SUM(IF((CRDJ[Date]=$A$3)*(CRDJ[Account Code]=(TRIM($B85))),CRDJ[Credit])))+(SUM(IF((GJ[Date]=$A$3)*(GJ[Account Code]=(TRIM($B85))),GJ[Credit]))))</f>
        <v>0</v>
      </c>
      <c r="G85" s="343">
        <f t="shared" si="9"/>
        <v>0</v>
      </c>
      <c r="H85" s="246">
        <f t="shared" si="6"/>
        <v>-16499.88</v>
      </c>
      <c r="I85" s="246">
        <f t="shared" si="7"/>
        <v>0</v>
      </c>
    </row>
    <row r="86" spans="1:9" hidden="1">
      <c r="A86" s="256" t="s">
        <v>289</v>
      </c>
      <c r="B86" s="339" t="s">
        <v>229</v>
      </c>
      <c r="C86" s="245">
        <f t="array" ref="C86">SUM(IF((Budget[Account Code]=B86),(Budget[Amount])))</f>
        <v>9937643.6799999997</v>
      </c>
      <c r="D86" s="245">
        <f t="array" ref="D86">SUM(IF((Budget[Account Code]=B86)*(Budget[Date]&lt;=$D$7),(Budget[Amount])))</f>
        <v>9937643.6799999997</v>
      </c>
      <c r="E86" s="245">
        <f t="array" ref="E86">((SUM(IF((CkDJ[Account Code]=(TRIM($B86)))*(CkDJ[Date]&lt;=$E$7),CkDJ[Debit])))+(SUM(IF((CsDJ[Account Code]=(TRIM($B86)))*(CsDJ[Date]&lt;=$E$7),CsDJ[Debit])))+(SUM(IF((CRDJ[Account Code]=(TRIM($B86)))*(CRDJ[Date]&lt;=$E$7),CRDJ[Debit])))+(SUM(IF((GJ[Account Code]=(TRIM($B86)))*(GJ[Date]&lt;=$E$7),GJ[Debit]))))-((SUM(IF((CkDJ[Account Code]=(TRIM($B86)))*(CkDJ[Date]&lt;=$E$7),CkDJ[Credit])))+(SUM(IF((CsDJ[Account Code]=(TRIM($B86)))*(CsDJ[Date]&lt;=$E$7),CsDJ[Credit])))+(SUM(IF((CRDJ[Account Code]=(TRIM($B86)))*(CRDJ[Date]&lt;=$E$7),CRDJ[Credit])))+(SUM(IF((GJ[Account Code]=(TRIM($B86)))*(GJ[Date]&lt;=$E$7),GJ[Credit]))))</f>
        <v>0</v>
      </c>
      <c r="F86" s="245">
        <f t="array" ref="F86">((SUM(IF((CkDJ[Date]=$A$3)*(CkDJ[Account Code]=(TRIM($B86))),CkDJ[Debit])))+(SUM(IF((CsDJ[Date]=$A$3)*(CsDJ[Account Code]=(TRIM($B86))),CsDJ[Debit])))+(SUM(IF((CRDJ[Date]=$A$3)*(CRDJ[Account Code]=(TRIM($B86))),CRDJ[Debit])))+(SUM(IF((GJ[Date]=$A$3)*(GJ[Account Code]=(TRIM($B86))),GJ[Debit]))))-((SUM(IF((CkDJ[Date]=$A$3)*(CkDJ[Account Code]=(TRIM($B86))),CkDJ[Credit])))+(SUM(IF((CsDJ[Date]=$A$3)*(CsDJ[Account Code]=(TRIM($B86))),CsDJ[Credit])))+(SUM(IF((CRDJ[Date]=$A$3)*(CRDJ[Account Code]=(TRIM($B86))),CRDJ[Credit])))+(SUM(IF((GJ[Date]=$A$3)*(GJ[Account Code]=(TRIM($B86))),GJ[Credit]))))</f>
        <v>0</v>
      </c>
      <c r="G86" s="343">
        <f t="shared" si="9"/>
        <v>0</v>
      </c>
      <c r="H86" s="246">
        <f t="shared" si="6"/>
        <v>-9937643.6799999997</v>
      </c>
      <c r="I86" s="246">
        <f t="shared" si="7"/>
        <v>0</v>
      </c>
    </row>
    <row r="87" spans="1:9" hidden="1">
      <c r="A87" s="256" t="s">
        <v>290</v>
      </c>
      <c r="B87" s="339" t="s">
        <v>230</v>
      </c>
      <c r="C87" s="245">
        <f t="array" ref="C87">SUM(IF((Budget[Account Code]=B87),(Budget[Amount])))</f>
        <v>0</v>
      </c>
      <c r="D87" s="245">
        <f t="array" ref="D87">SUM(IF((Budget[Account Code]=B87)*(Budget[Date]&lt;=$D$7),(Budget[Amount])))</f>
        <v>0</v>
      </c>
      <c r="E87" s="245">
        <f t="array" ref="E87">((SUM(IF((CkDJ[Account Code]=(TRIM($B87)))*(CkDJ[Date]&lt;=$E$7),CkDJ[Debit])))+(SUM(IF((CsDJ[Account Code]=(TRIM($B87)))*(CsDJ[Date]&lt;=$E$7),CsDJ[Debit])))+(SUM(IF((CRDJ[Account Code]=(TRIM($B87)))*(CRDJ[Date]&lt;=$E$7),CRDJ[Debit])))+(SUM(IF((GJ[Account Code]=(TRIM($B87)))*(GJ[Date]&lt;=$E$7),GJ[Debit]))))-((SUM(IF((CkDJ[Account Code]=(TRIM($B87)))*(CkDJ[Date]&lt;=$E$7),CkDJ[Credit])))+(SUM(IF((CsDJ[Account Code]=(TRIM($B87)))*(CsDJ[Date]&lt;=$E$7),CsDJ[Credit])))+(SUM(IF((CRDJ[Account Code]=(TRIM($B87)))*(CRDJ[Date]&lt;=$E$7),CRDJ[Credit])))+(SUM(IF((GJ[Account Code]=(TRIM($B87)))*(GJ[Date]&lt;=$E$7),GJ[Credit]))))</f>
        <v>0</v>
      </c>
      <c r="F87" s="245">
        <f t="array" ref="F87">((SUM(IF((CkDJ[Date]=$A$3)*(CkDJ[Account Code]=(TRIM($B87))),CkDJ[Debit])))+(SUM(IF((CsDJ[Date]=$A$3)*(CsDJ[Account Code]=(TRIM($B87))),CsDJ[Debit])))+(SUM(IF((CRDJ[Date]=$A$3)*(CRDJ[Account Code]=(TRIM($B87))),CRDJ[Debit])))+(SUM(IF((GJ[Date]=$A$3)*(GJ[Account Code]=(TRIM($B87))),GJ[Debit]))))-((SUM(IF((CkDJ[Date]=$A$3)*(CkDJ[Account Code]=(TRIM($B87))),CkDJ[Credit])))+(SUM(IF((CsDJ[Date]=$A$3)*(CsDJ[Account Code]=(TRIM($B87))),CsDJ[Credit])))+(SUM(IF((CRDJ[Date]=$A$3)*(CRDJ[Account Code]=(TRIM($B87))),CRDJ[Credit])))+(SUM(IF((GJ[Date]=$A$3)*(GJ[Account Code]=(TRIM($B87))),GJ[Credit]))))</f>
        <v>0</v>
      </c>
      <c r="G87" s="343">
        <f t="shared" si="9"/>
        <v>0</v>
      </c>
      <c r="H87" s="246">
        <f t="shared" si="6"/>
        <v>0</v>
      </c>
      <c r="I87" s="246">
        <f t="shared" si="7"/>
        <v>0</v>
      </c>
    </row>
    <row r="88" spans="1:9" hidden="1">
      <c r="A88" s="256" t="s">
        <v>291</v>
      </c>
      <c r="B88" s="339" t="s">
        <v>231</v>
      </c>
      <c r="C88" s="245">
        <f t="array" ref="C88">SUM(IF((Budget[Account Code]=B88),(Budget[Amount])))</f>
        <v>551725.12</v>
      </c>
      <c r="D88" s="245">
        <f t="array" ref="D88">SUM(IF((Budget[Account Code]=B88)*(Budget[Date]&lt;=$D$7),(Budget[Amount])))</f>
        <v>551725.12</v>
      </c>
      <c r="E88" s="245">
        <f t="array" ref="E88">((SUM(IF((CkDJ[Account Code]=(TRIM($B88)))*(CkDJ[Date]&lt;=$E$7),CkDJ[Debit])))+(SUM(IF((CsDJ[Account Code]=(TRIM($B88)))*(CsDJ[Date]&lt;=$E$7),CsDJ[Debit])))+(SUM(IF((CRDJ[Account Code]=(TRIM($B88)))*(CRDJ[Date]&lt;=$E$7),CRDJ[Debit])))+(SUM(IF((GJ[Account Code]=(TRIM($B88)))*(GJ[Date]&lt;=$E$7),GJ[Debit]))))-((SUM(IF((CkDJ[Account Code]=(TRIM($B88)))*(CkDJ[Date]&lt;=$E$7),CkDJ[Credit])))+(SUM(IF((CsDJ[Account Code]=(TRIM($B88)))*(CsDJ[Date]&lt;=$E$7),CsDJ[Credit])))+(SUM(IF((CRDJ[Account Code]=(TRIM($B88)))*(CRDJ[Date]&lt;=$E$7),CRDJ[Credit])))+(SUM(IF((GJ[Account Code]=(TRIM($B88)))*(GJ[Date]&lt;=$E$7),GJ[Credit]))))</f>
        <v>0</v>
      </c>
      <c r="F88" s="245">
        <f t="array" ref="F88">((SUM(IF((CkDJ[Date]=$A$3)*(CkDJ[Account Code]=(TRIM($B88))),CkDJ[Debit])))+(SUM(IF((CsDJ[Date]=$A$3)*(CsDJ[Account Code]=(TRIM($B88))),CsDJ[Debit])))+(SUM(IF((CRDJ[Date]=$A$3)*(CRDJ[Account Code]=(TRIM($B88))),CRDJ[Debit])))+(SUM(IF((GJ[Date]=$A$3)*(GJ[Account Code]=(TRIM($B88))),GJ[Debit]))))-((SUM(IF((CkDJ[Date]=$A$3)*(CkDJ[Account Code]=(TRIM($B88))),CkDJ[Credit])))+(SUM(IF((CsDJ[Date]=$A$3)*(CsDJ[Account Code]=(TRIM($B88))),CsDJ[Credit])))+(SUM(IF((CRDJ[Date]=$A$3)*(CRDJ[Account Code]=(TRIM($B88))),CRDJ[Credit])))+(SUM(IF((GJ[Date]=$A$3)*(GJ[Account Code]=(TRIM($B88))),GJ[Credit]))))</f>
        <v>0</v>
      </c>
      <c r="G88" s="343">
        <f t="shared" si="9"/>
        <v>0</v>
      </c>
      <c r="H88" s="246">
        <f t="shared" si="6"/>
        <v>-551725.12</v>
      </c>
      <c r="I88" s="246">
        <f t="shared" si="7"/>
        <v>0</v>
      </c>
    </row>
    <row r="89" spans="1:9" hidden="1">
      <c r="A89" s="256" t="s">
        <v>292</v>
      </c>
      <c r="B89" s="339" t="s">
        <v>232</v>
      </c>
      <c r="C89" s="245">
        <f t="array" ref="C89">SUM(IF((Budget[Account Code]=B89),(Budget[Amount])))</f>
        <v>340164.12</v>
      </c>
      <c r="D89" s="245">
        <f t="array" ref="D89">SUM(IF((Budget[Account Code]=B89)*(Budget[Date]&lt;=$D$7),(Budget[Amount])))</f>
        <v>340164.12</v>
      </c>
      <c r="E89" s="245">
        <f t="array" ref="E89">((SUM(IF((CkDJ[Account Code]=(TRIM($B89)))*(CkDJ[Date]&lt;=$E$7),CkDJ[Debit])))+(SUM(IF((CsDJ[Account Code]=(TRIM($B89)))*(CsDJ[Date]&lt;=$E$7),CsDJ[Debit])))+(SUM(IF((CRDJ[Account Code]=(TRIM($B89)))*(CRDJ[Date]&lt;=$E$7),CRDJ[Debit])))+(SUM(IF((GJ[Account Code]=(TRIM($B89)))*(GJ[Date]&lt;=$E$7),GJ[Debit]))))-((SUM(IF((CkDJ[Account Code]=(TRIM($B89)))*(CkDJ[Date]&lt;=$E$7),CkDJ[Credit])))+(SUM(IF((CsDJ[Account Code]=(TRIM($B89)))*(CsDJ[Date]&lt;=$E$7),CsDJ[Credit])))+(SUM(IF((CRDJ[Account Code]=(TRIM($B89)))*(CRDJ[Date]&lt;=$E$7),CRDJ[Credit])))+(SUM(IF((GJ[Account Code]=(TRIM($B89)))*(GJ[Date]&lt;=$E$7),GJ[Credit]))))</f>
        <v>0</v>
      </c>
      <c r="F89" s="245">
        <f t="array" ref="F89">((SUM(IF((CkDJ[Date]=$A$3)*(CkDJ[Account Code]=(TRIM($B89))),CkDJ[Debit])))+(SUM(IF((CsDJ[Date]=$A$3)*(CsDJ[Account Code]=(TRIM($B89))),CsDJ[Debit])))+(SUM(IF((CRDJ[Date]=$A$3)*(CRDJ[Account Code]=(TRIM($B89))),CRDJ[Debit])))+(SUM(IF((GJ[Date]=$A$3)*(GJ[Account Code]=(TRIM($B89))),GJ[Debit]))))-((SUM(IF((CkDJ[Date]=$A$3)*(CkDJ[Account Code]=(TRIM($B89))),CkDJ[Credit])))+(SUM(IF((CsDJ[Date]=$A$3)*(CsDJ[Account Code]=(TRIM($B89))),CsDJ[Credit])))+(SUM(IF((CRDJ[Date]=$A$3)*(CRDJ[Account Code]=(TRIM($B89))),CRDJ[Credit])))+(SUM(IF((GJ[Date]=$A$3)*(GJ[Account Code]=(TRIM($B89))),GJ[Credit]))))</f>
        <v>0</v>
      </c>
      <c r="G89" s="343">
        <f t="shared" si="9"/>
        <v>0</v>
      </c>
      <c r="H89" s="246">
        <f t="shared" si="6"/>
        <v>-340164.12</v>
      </c>
      <c r="I89" s="246">
        <f t="shared" si="7"/>
        <v>0</v>
      </c>
    </row>
    <row r="90" spans="1:9" hidden="1">
      <c r="A90" s="256" t="s">
        <v>293</v>
      </c>
      <c r="B90" s="339" t="s">
        <v>233</v>
      </c>
      <c r="C90" s="245">
        <f t="array" ref="C90">SUM(IF((Budget[Account Code]=B90),(Budget[Amount])))</f>
        <v>5800116</v>
      </c>
      <c r="D90" s="245">
        <f t="array" ref="D90">SUM(IF((Budget[Account Code]=B90)*(Budget[Date]&lt;=$D$7),(Budget[Amount])))</f>
        <v>5800116</v>
      </c>
      <c r="E90" s="245">
        <f t="array" ref="E90">((SUM(IF((CkDJ[Account Code]=(TRIM($B90)))*(CkDJ[Date]&lt;=$E$7),CkDJ[Debit])))+(SUM(IF((CsDJ[Account Code]=(TRIM($B90)))*(CsDJ[Date]&lt;=$E$7),CsDJ[Debit])))+(SUM(IF((CRDJ[Account Code]=(TRIM($B90)))*(CRDJ[Date]&lt;=$E$7),CRDJ[Debit])))+(SUM(IF((GJ[Account Code]=(TRIM($B90)))*(GJ[Date]&lt;=$E$7),GJ[Debit]))))-((SUM(IF((CkDJ[Account Code]=(TRIM($B90)))*(CkDJ[Date]&lt;=$E$7),CkDJ[Credit])))+(SUM(IF((CsDJ[Account Code]=(TRIM($B90)))*(CsDJ[Date]&lt;=$E$7),CsDJ[Credit])))+(SUM(IF((CRDJ[Account Code]=(TRIM($B90)))*(CRDJ[Date]&lt;=$E$7),CRDJ[Credit])))+(SUM(IF((GJ[Account Code]=(TRIM($B90)))*(GJ[Date]&lt;=$E$7),GJ[Credit]))))</f>
        <v>0</v>
      </c>
      <c r="F90" s="245">
        <f t="array" ref="F90">((SUM(IF((CkDJ[Date]=$A$3)*(CkDJ[Account Code]=(TRIM($B90))),CkDJ[Debit])))+(SUM(IF((CsDJ[Date]=$A$3)*(CsDJ[Account Code]=(TRIM($B90))),CsDJ[Debit])))+(SUM(IF((CRDJ[Date]=$A$3)*(CRDJ[Account Code]=(TRIM($B90))),CRDJ[Debit])))+(SUM(IF((GJ[Date]=$A$3)*(GJ[Account Code]=(TRIM($B90))),GJ[Debit]))))-((SUM(IF((CkDJ[Date]=$A$3)*(CkDJ[Account Code]=(TRIM($B90))),CkDJ[Credit])))+(SUM(IF((CsDJ[Date]=$A$3)*(CsDJ[Account Code]=(TRIM($B90))),CsDJ[Credit])))+(SUM(IF((CRDJ[Date]=$A$3)*(CRDJ[Account Code]=(TRIM($B90))),CRDJ[Credit])))+(SUM(IF((GJ[Date]=$A$3)*(GJ[Account Code]=(TRIM($B90))),GJ[Credit]))))</f>
        <v>0</v>
      </c>
      <c r="G90" s="343">
        <f t="shared" si="9"/>
        <v>0</v>
      </c>
      <c r="H90" s="246">
        <f t="shared" si="6"/>
        <v>-5800116</v>
      </c>
      <c r="I90" s="246">
        <f t="shared" si="7"/>
        <v>0</v>
      </c>
    </row>
    <row r="91" spans="1:9" hidden="1">
      <c r="A91" s="256" t="s">
        <v>1475</v>
      </c>
      <c r="B91" s="339" t="s">
        <v>1265</v>
      </c>
      <c r="C91" s="245">
        <f t="array" ref="C91">SUM(IF((Budget[Account Code]=B91),(Budget[Amount])))</f>
        <v>0</v>
      </c>
      <c r="D91" s="245">
        <f t="array" ref="D91">SUM(IF((Budget[Account Code]=B91)*(Budget[Date]&lt;=$D$7),(Budget[Amount])))</f>
        <v>0</v>
      </c>
      <c r="E91" s="245">
        <f t="array" ref="E91">((SUM(IF((CkDJ[Account Code]=(TRIM($B91)))*(CkDJ[Date]&lt;=$E$7),CkDJ[Debit])))+(SUM(IF((CsDJ[Account Code]=(TRIM($B91)))*(CsDJ[Date]&lt;=$E$7),CsDJ[Debit])))+(SUM(IF((CRDJ[Account Code]=(TRIM($B91)))*(CRDJ[Date]&lt;=$E$7),CRDJ[Debit])))+(SUM(IF((GJ[Account Code]=(TRIM($B91)))*(GJ[Date]&lt;=$E$7),GJ[Debit]))))-((SUM(IF((CkDJ[Account Code]=(TRIM($B91)))*(CkDJ[Date]&lt;=$E$7),CkDJ[Credit])))+(SUM(IF((CsDJ[Account Code]=(TRIM($B91)))*(CsDJ[Date]&lt;=$E$7),CsDJ[Credit])))+(SUM(IF((CRDJ[Account Code]=(TRIM($B91)))*(CRDJ[Date]&lt;=$E$7),CRDJ[Credit])))+(SUM(IF((GJ[Account Code]=(TRIM($B91)))*(GJ[Date]&lt;=$E$7),GJ[Credit]))))</f>
        <v>0</v>
      </c>
      <c r="F91" s="245">
        <f t="array" ref="F91">((SUM(IF((CkDJ[Date]=$A$3)*(CkDJ[Account Code]=(TRIM($B91))),CkDJ[Debit])))+(SUM(IF((CsDJ[Date]=$A$3)*(CsDJ[Account Code]=(TRIM($B91))),CsDJ[Debit])))+(SUM(IF((CRDJ[Date]=$A$3)*(CRDJ[Account Code]=(TRIM($B91))),CRDJ[Debit])))+(SUM(IF((GJ[Date]=$A$3)*(GJ[Account Code]=(TRIM($B91))),GJ[Debit]))))-((SUM(IF((CkDJ[Date]=$A$3)*(CkDJ[Account Code]=(TRIM($B91))),CkDJ[Credit])))+(SUM(IF((CsDJ[Date]=$A$3)*(CsDJ[Account Code]=(TRIM($B91))),CsDJ[Credit])))+(SUM(IF((CRDJ[Date]=$A$3)*(CRDJ[Account Code]=(TRIM($B91))),CRDJ[Credit])))+(SUM(IF((GJ[Date]=$A$3)*(GJ[Account Code]=(TRIM($B91))),GJ[Credit]))))</f>
        <v>0</v>
      </c>
      <c r="G91" s="343">
        <f>E91+F91</f>
        <v>0</v>
      </c>
      <c r="H91" s="246">
        <f>G91-D91</f>
        <v>0</v>
      </c>
      <c r="I91" s="246">
        <f>IF((D91=0),0,G91/D91)</f>
        <v>0</v>
      </c>
    </row>
    <row r="92" spans="1:9" hidden="1">
      <c r="A92" s="256" t="s">
        <v>1475</v>
      </c>
      <c r="B92" s="339" t="s">
        <v>1266</v>
      </c>
      <c r="C92" s="245">
        <f t="array" ref="C92">SUM(IF((Budget[Account Code]=B92),(Budget[Amount])))</f>
        <v>0</v>
      </c>
      <c r="D92" s="245">
        <f t="array" ref="D92">SUM(IF((Budget[Account Code]=B92)*(Budget[Date]&lt;=$D$7),(Budget[Amount])))</f>
        <v>0</v>
      </c>
      <c r="E92" s="245">
        <f t="array" ref="E92">((SUM(IF((CkDJ[Account Code]=(TRIM($B92)))*(CkDJ[Date]&lt;=$E$7),CkDJ[Debit])))+(SUM(IF((CsDJ[Account Code]=(TRIM($B92)))*(CsDJ[Date]&lt;=$E$7),CsDJ[Debit])))+(SUM(IF((CRDJ[Account Code]=(TRIM($B92)))*(CRDJ[Date]&lt;=$E$7),CRDJ[Debit])))+(SUM(IF((GJ[Account Code]=(TRIM($B92)))*(GJ[Date]&lt;=$E$7),GJ[Debit]))))-((SUM(IF((CkDJ[Account Code]=(TRIM($B92)))*(CkDJ[Date]&lt;=$E$7),CkDJ[Credit])))+(SUM(IF((CsDJ[Account Code]=(TRIM($B92)))*(CsDJ[Date]&lt;=$E$7),CsDJ[Credit])))+(SUM(IF((CRDJ[Account Code]=(TRIM($B92)))*(CRDJ[Date]&lt;=$E$7),CRDJ[Credit])))+(SUM(IF((GJ[Account Code]=(TRIM($B92)))*(GJ[Date]&lt;=$E$7),GJ[Credit]))))</f>
        <v>0</v>
      </c>
      <c r="F92" s="245">
        <f t="array" ref="F92">((SUM(IF((CkDJ[Date]=$A$3)*(CkDJ[Account Code]=(TRIM($B92))),CkDJ[Debit])))+(SUM(IF((CsDJ[Date]=$A$3)*(CsDJ[Account Code]=(TRIM($B92))),CsDJ[Debit])))+(SUM(IF((CRDJ[Date]=$A$3)*(CRDJ[Account Code]=(TRIM($B92))),CRDJ[Debit])))+(SUM(IF((GJ[Date]=$A$3)*(GJ[Account Code]=(TRIM($B92))),GJ[Debit]))))-((SUM(IF((CkDJ[Date]=$A$3)*(CkDJ[Account Code]=(TRIM($B92))),CkDJ[Credit])))+(SUM(IF((CsDJ[Date]=$A$3)*(CsDJ[Account Code]=(TRIM($B92))),CsDJ[Credit])))+(SUM(IF((CRDJ[Date]=$A$3)*(CRDJ[Account Code]=(TRIM($B92))),CRDJ[Credit])))+(SUM(IF((GJ[Date]=$A$3)*(GJ[Account Code]=(TRIM($B92))),GJ[Credit]))))</f>
        <v>0</v>
      </c>
      <c r="G92" s="343">
        <f>E92+F92</f>
        <v>0</v>
      </c>
      <c r="H92" s="246">
        <f>G92-D92</f>
        <v>0</v>
      </c>
      <c r="I92" s="246">
        <f>IF((D92=0),0,G92/D92)</f>
        <v>0</v>
      </c>
    </row>
    <row r="93" spans="1:9" hidden="1">
      <c r="A93" s="256" t="s">
        <v>294</v>
      </c>
      <c r="B93" s="339" t="s">
        <v>234</v>
      </c>
      <c r="C93" s="245">
        <f t="array" ref="C93">SUM(IF((Budget[Account Code]=B93),(Budget[Amount])))</f>
        <v>9999.9599999999991</v>
      </c>
      <c r="D93" s="245">
        <f t="array" ref="D93">SUM(IF((Budget[Account Code]=B93)*(Budget[Date]&lt;=$D$7),(Budget[Amount])))</f>
        <v>9999.9599999999991</v>
      </c>
      <c r="E93" s="245">
        <f t="array" ref="E93">((SUM(IF((CkDJ[Account Code]=(TRIM($B93)))*(CkDJ[Date]&lt;=$E$7),CkDJ[Debit])))+(SUM(IF((CsDJ[Account Code]=(TRIM($B93)))*(CsDJ[Date]&lt;=$E$7),CsDJ[Debit])))+(SUM(IF((CRDJ[Account Code]=(TRIM($B93)))*(CRDJ[Date]&lt;=$E$7),CRDJ[Debit])))+(SUM(IF((GJ[Account Code]=(TRIM($B93)))*(GJ[Date]&lt;=$E$7),GJ[Debit]))))-((SUM(IF((CkDJ[Account Code]=(TRIM($B93)))*(CkDJ[Date]&lt;=$E$7),CkDJ[Credit])))+(SUM(IF((CsDJ[Account Code]=(TRIM($B93)))*(CsDJ[Date]&lt;=$E$7),CsDJ[Credit])))+(SUM(IF((CRDJ[Account Code]=(TRIM($B93)))*(CRDJ[Date]&lt;=$E$7),CRDJ[Credit])))+(SUM(IF((GJ[Account Code]=(TRIM($B93)))*(GJ[Date]&lt;=$E$7),GJ[Credit]))))</f>
        <v>0</v>
      </c>
      <c r="F93" s="245">
        <f t="array" ref="F93">((SUM(IF((CkDJ[Date]=$A$3)*(CkDJ[Account Code]=(TRIM($B93))),CkDJ[Debit])))+(SUM(IF((CsDJ[Date]=$A$3)*(CsDJ[Account Code]=(TRIM($B93))),CsDJ[Debit])))+(SUM(IF((CRDJ[Date]=$A$3)*(CRDJ[Account Code]=(TRIM($B93))),CRDJ[Debit])))+(SUM(IF((GJ[Date]=$A$3)*(GJ[Account Code]=(TRIM($B93))),GJ[Debit]))))-((SUM(IF((CkDJ[Date]=$A$3)*(CkDJ[Account Code]=(TRIM($B93))),CkDJ[Credit])))+(SUM(IF((CsDJ[Date]=$A$3)*(CsDJ[Account Code]=(TRIM($B93))),CsDJ[Credit])))+(SUM(IF((CRDJ[Date]=$A$3)*(CRDJ[Account Code]=(TRIM($B93))),CRDJ[Credit])))+(SUM(IF((GJ[Date]=$A$3)*(GJ[Account Code]=(TRIM($B93))),GJ[Credit]))))</f>
        <v>0</v>
      </c>
      <c r="G93" s="343">
        <f t="shared" si="9"/>
        <v>0</v>
      </c>
      <c r="H93" s="246">
        <f t="shared" si="6"/>
        <v>-9999.9599999999991</v>
      </c>
      <c r="I93" s="246">
        <f t="shared" si="7"/>
        <v>0</v>
      </c>
    </row>
    <row r="94" spans="1:9" hidden="1">
      <c r="A94" s="256" t="s">
        <v>295</v>
      </c>
      <c r="B94" s="339" t="s">
        <v>235</v>
      </c>
      <c r="C94" s="245">
        <f t="array" ref="C94">SUM(IF((Budget[Account Code]=B94),(Budget[Amount])))</f>
        <v>717810</v>
      </c>
      <c r="D94" s="245">
        <f t="array" ref="D94">SUM(IF((Budget[Account Code]=B94)*(Budget[Date]&lt;=$D$7),(Budget[Amount])))</f>
        <v>717810</v>
      </c>
      <c r="E94" s="245">
        <f t="array" ref="E94">((SUM(IF((CkDJ[Account Code]=(TRIM($B94)))*(CkDJ[Date]&lt;=$E$7),CkDJ[Debit])))+(SUM(IF((CsDJ[Account Code]=(TRIM($B94)))*(CsDJ[Date]&lt;=$E$7),CsDJ[Debit])))+(SUM(IF((CRDJ[Account Code]=(TRIM($B94)))*(CRDJ[Date]&lt;=$E$7),CRDJ[Debit])))+(SUM(IF((GJ[Account Code]=(TRIM($B94)))*(GJ[Date]&lt;=$E$7),GJ[Debit]))))-((SUM(IF((CkDJ[Account Code]=(TRIM($B94)))*(CkDJ[Date]&lt;=$E$7),CkDJ[Credit])))+(SUM(IF((CsDJ[Account Code]=(TRIM($B94)))*(CsDJ[Date]&lt;=$E$7),CsDJ[Credit])))+(SUM(IF((CRDJ[Account Code]=(TRIM($B94)))*(CRDJ[Date]&lt;=$E$7),CRDJ[Credit])))+(SUM(IF((GJ[Account Code]=(TRIM($B94)))*(GJ[Date]&lt;=$E$7),GJ[Credit]))))</f>
        <v>0</v>
      </c>
      <c r="F94" s="245">
        <f t="array" ref="F94">((SUM(IF((CkDJ[Date]=$A$3)*(CkDJ[Account Code]=(TRIM($B94))),CkDJ[Debit])))+(SUM(IF((CsDJ[Date]=$A$3)*(CsDJ[Account Code]=(TRIM($B94))),CsDJ[Debit])))+(SUM(IF((CRDJ[Date]=$A$3)*(CRDJ[Account Code]=(TRIM($B94))),CRDJ[Debit])))+(SUM(IF((GJ[Date]=$A$3)*(GJ[Account Code]=(TRIM($B94))),GJ[Debit]))))-((SUM(IF((CkDJ[Date]=$A$3)*(CkDJ[Account Code]=(TRIM($B94))),CkDJ[Credit])))+(SUM(IF((CsDJ[Date]=$A$3)*(CsDJ[Account Code]=(TRIM($B94))),CsDJ[Credit])))+(SUM(IF((CRDJ[Date]=$A$3)*(CRDJ[Account Code]=(TRIM($B94))),CRDJ[Credit])))+(SUM(IF((GJ[Date]=$A$3)*(GJ[Account Code]=(TRIM($B94))),GJ[Credit]))))</f>
        <v>0</v>
      </c>
      <c r="G94" s="343">
        <f t="shared" si="9"/>
        <v>0</v>
      </c>
      <c r="H94" s="246">
        <f t="shared" si="6"/>
        <v>-717810</v>
      </c>
      <c r="I94" s="246">
        <f t="shared" si="7"/>
        <v>0</v>
      </c>
    </row>
    <row r="95" spans="1:9" hidden="1">
      <c r="A95" s="256" t="s">
        <v>296</v>
      </c>
      <c r="B95" s="339" t="s">
        <v>236</v>
      </c>
      <c r="C95" s="245">
        <f t="array" ref="C95">SUM(IF((Budget[Account Code]=B95),(Budget[Amount])))</f>
        <v>91560</v>
      </c>
      <c r="D95" s="245">
        <f t="array" ref="D95">SUM(IF((Budget[Account Code]=B95)*(Budget[Date]&lt;=$D$7),(Budget[Amount])))</f>
        <v>91560</v>
      </c>
      <c r="E95" s="245">
        <f t="array" ref="E95">((SUM(IF((CkDJ[Account Code]=(TRIM($B95)))*(CkDJ[Date]&lt;=$E$7),CkDJ[Debit])))+(SUM(IF((CsDJ[Account Code]=(TRIM($B95)))*(CsDJ[Date]&lt;=$E$7),CsDJ[Debit])))+(SUM(IF((CRDJ[Account Code]=(TRIM($B95)))*(CRDJ[Date]&lt;=$E$7),CRDJ[Debit])))+(SUM(IF((GJ[Account Code]=(TRIM($B95)))*(GJ[Date]&lt;=$E$7),GJ[Debit]))))-((SUM(IF((CkDJ[Account Code]=(TRIM($B95)))*(CkDJ[Date]&lt;=$E$7),CkDJ[Credit])))+(SUM(IF((CsDJ[Account Code]=(TRIM($B95)))*(CsDJ[Date]&lt;=$E$7),CsDJ[Credit])))+(SUM(IF((CRDJ[Account Code]=(TRIM($B95)))*(CRDJ[Date]&lt;=$E$7),CRDJ[Credit])))+(SUM(IF((GJ[Account Code]=(TRIM($B95)))*(GJ[Date]&lt;=$E$7),GJ[Credit]))))</f>
        <v>0</v>
      </c>
      <c r="F95" s="245">
        <f t="array" ref="F95">((SUM(IF((CkDJ[Date]=$A$3)*(CkDJ[Account Code]=(TRIM($B95))),CkDJ[Debit])))+(SUM(IF((CsDJ[Date]=$A$3)*(CsDJ[Account Code]=(TRIM($B95))),CsDJ[Debit])))+(SUM(IF((CRDJ[Date]=$A$3)*(CRDJ[Account Code]=(TRIM($B95))),CRDJ[Debit])))+(SUM(IF((GJ[Date]=$A$3)*(GJ[Account Code]=(TRIM($B95))),GJ[Debit]))))-((SUM(IF((CkDJ[Date]=$A$3)*(CkDJ[Account Code]=(TRIM($B95))),CkDJ[Credit])))+(SUM(IF((CsDJ[Date]=$A$3)*(CsDJ[Account Code]=(TRIM($B95))),CsDJ[Credit])))+(SUM(IF((CRDJ[Date]=$A$3)*(CRDJ[Account Code]=(TRIM($B95))),CRDJ[Credit])))+(SUM(IF((GJ[Date]=$A$3)*(GJ[Account Code]=(TRIM($B95))),GJ[Credit]))))</f>
        <v>0</v>
      </c>
      <c r="G95" s="343">
        <f t="shared" si="9"/>
        <v>0</v>
      </c>
      <c r="H95" s="246">
        <f t="shared" si="6"/>
        <v>-91560</v>
      </c>
      <c r="I95" s="246">
        <f t="shared" si="7"/>
        <v>0</v>
      </c>
    </row>
    <row r="96" spans="1:9" hidden="1">
      <c r="A96" s="256" t="s">
        <v>297</v>
      </c>
      <c r="B96" s="339" t="s">
        <v>237</v>
      </c>
      <c r="C96" s="245">
        <f t="array" ref="C96">SUM(IF((Budget[Account Code]=B96),(Budget[Amount])))</f>
        <v>224716.08</v>
      </c>
      <c r="D96" s="245">
        <f t="array" ref="D96">SUM(IF((Budget[Account Code]=B96)*(Budget[Date]&lt;=$D$7),(Budget[Amount])))</f>
        <v>224716.08</v>
      </c>
      <c r="E96" s="245">
        <f t="array" ref="E96">((SUM(IF((CkDJ[Account Code]=(TRIM($B96)))*(CkDJ[Date]&lt;=$E$7),CkDJ[Debit])))+(SUM(IF((CsDJ[Account Code]=(TRIM($B96)))*(CsDJ[Date]&lt;=$E$7),CsDJ[Debit])))+(SUM(IF((CRDJ[Account Code]=(TRIM($B96)))*(CRDJ[Date]&lt;=$E$7),CRDJ[Debit])))+(SUM(IF((GJ[Account Code]=(TRIM($B96)))*(GJ[Date]&lt;=$E$7),GJ[Debit]))))-((SUM(IF((CkDJ[Account Code]=(TRIM($B96)))*(CkDJ[Date]&lt;=$E$7),CkDJ[Credit])))+(SUM(IF((CsDJ[Account Code]=(TRIM($B96)))*(CsDJ[Date]&lt;=$E$7),CsDJ[Credit])))+(SUM(IF((CRDJ[Account Code]=(TRIM($B96)))*(CRDJ[Date]&lt;=$E$7),CRDJ[Credit])))+(SUM(IF((GJ[Account Code]=(TRIM($B96)))*(GJ[Date]&lt;=$E$7),GJ[Credit]))))</f>
        <v>0</v>
      </c>
      <c r="F96" s="245">
        <f t="array" ref="F96">((SUM(IF((CkDJ[Date]=$A$3)*(CkDJ[Account Code]=(TRIM($B96))),CkDJ[Debit])))+(SUM(IF((CsDJ[Date]=$A$3)*(CsDJ[Account Code]=(TRIM($B96))),CsDJ[Debit])))+(SUM(IF((CRDJ[Date]=$A$3)*(CRDJ[Account Code]=(TRIM($B96))),CRDJ[Debit])))+(SUM(IF((GJ[Date]=$A$3)*(GJ[Account Code]=(TRIM($B96))),GJ[Debit]))))-((SUM(IF((CkDJ[Date]=$A$3)*(CkDJ[Account Code]=(TRIM($B96))),CkDJ[Credit])))+(SUM(IF((CsDJ[Date]=$A$3)*(CsDJ[Account Code]=(TRIM($B96))),CsDJ[Credit])))+(SUM(IF((CRDJ[Date]=$A$3)*(CRDJ[Account Code]=(TRIM($B96))),CRDJ[Credit])))+(SUM(IF((GJ[Date]=$A$3)*(GJ[Account Code]=(TRIM($B96))),GJ[Credit]))))</f>
        <v>0</v>
      </c>
      <c r="G96" s="343">
        <f t="shared" si="9"/>
        <v>0</v>
      </c>
      <c r="H96" s="246">
        <f t="shared" si="6"/>
        <v>-224716.08</v>
      </c>
      <c r="I96" s="246">
        <f t="shared" si="7"/>
        <v>0</v>
      </c>
    </row>
    <row r="97" spans="1:9" hidden="1">
      <c r="A97" s="256" t="s">
        <v>298</v>
      </c>
      <c r="B97" s="339" t="s">
        <v>238</v>
      </c>
      <c r="C97" s="245">
        <f t="array" ref="C97">SUM(IF((Budget[Account Code]=B97),(Budget[Amount])))</f>
        <v>0</v>
      </c>
      <c r="D97" s="245">
        <f t="array" ref="D97">SUM(IF((Budget[Account Code]=B97)*(Budget[Date]&lt;=$D$7),(Budget[Amount])))</f>
        <v>0</v>
      </c>
      <c r="E97" s="245">
        <f t="array" ref="E97">((SUM(IF((CkDJ[Account Code]=(TRIM($B97)))*(CkDJ[Date]&lt;=$E$7),CkDJ[Debit])))+(SUM(IF((CsDJ[Account Code]=(TRIM($B97)))*(CsDJ[Date]&lt;=$E$7),CsDJ[Debit])))+(SUM(IF((CRDJ[Account Code]=(TRIM($B97)))*(CRDJ[Date]&lt;=$E$7),CRDJ[Debit])))+(SUM(IF((GJ[Account Code]=(TRIM($B97)))*(GJ[Date]&lt;=$E$7),GJ[Debit]))))-((SUM(IF((CkDJ[Account Code]=(TRIM($B97)))*(CkDJ[Date]&lt;=$E$7),CkDJ[Credit])))+(SUM(IF((CsDJ[Account Code]=(TRIM($B97)))*(CsDJ[Date]&lt;=$E$7),CsDJ[Credit])))+(SUM(IF((CRDJ[Account Code]=(TRIM($B97)))*(CRDJ[Date]&lt;=$E$7),CRDJ[Credit])))+(SUM(IF((GJ[Account Code]=(TRIM($B97)))*(GJ[Date]&lt;=$E$7),GJ[Credit]))))</f>
        <v>0</v>
      </c>
      <c r="F97" s="245">
        <f t="array" ref="F97">((SUM(IF((CkDJ[Date]=$A$3)*(CkDJ[Account Code]=(TRIM($B97))),CkDJ[Debit])))+(SUM(IF((CsDJ[Date]=$A$3)*(CsDJ[Account Code]=(TRIM($B97))),CsDJ[Debit])))+(SUM(IF((CRDJ[Date]=$A$3)*(CRDJ[Account Code]=(TRIM($B97))),CRDJ[Debit])))+(SUM(IF((GJ[Date]=$A$3)*(GJ[Account Code]=(TRIM($B97))),GJ[Debit]))))-((SUM(IF((CkDJ[Date]=$A$3)*(CkDJ[Account Code]=(TRIM($B97))),CkDJ[Credit])))+(SUM(IF((CsDJ[Date]=$A$3)*(CsDJ[Account Code]=(TRIM($B97))),CsDJ[Credit])))+(SUM(IF((CRDJ[Date]=$A$3)*(CRDJ[Account Code]=(TRIM($B97))),CRDJ[Credit])))+(SUM(IF((GJ[Date]=$A$3)*(GJ[Account Code]=(TRIM($B97))),GJ[Credit]))))</f>
        <v>0</v>
      </c>
      <c r="G97" s="343">
        <f t="shared" si="9"/>
        <v>0</v>
      </c>
      <c r="H97" s="246">
        <f t="shared" si="6"/>
        <v>0</v>
      </c>
      <c r="I97" s="246">
        <f t="shared" si="7"/>
        <v>0</v>
      </c>
    </row>
    <row r="98" spans="1:9" hidden="1">
      <c r="A98" s="256" t="s">
        <v>1019</v>
      </c>
      <c r="B98" s="339" t="s">
        <v>239</v>
      </c>
      <c r="C98" s="245">
        <f t="array" ref="C98">SUM(IF((Budget[Account Code]=B98),(Budget[Amount])))</f>
        <v>40800</v>
      </c>
      <c r="D98" s="245">
        <f t="array" ref="D98">SUM(IF((Budget[Account Code]=B98)*(Budget[Date]&lt;=$D$7),(Budget[Amount])))</f>
        <v>40800</v>
      </c>
      <c r="E98" s="245">
        <f t="array" ref="E98">((SUM(IF((CkDJ[Account Code]=(TRIM($B98)))*(CkDJ[Date]&lt;=$E$7),CkDJ[Debit])))+(SUM(IF((CsDJ[Account Code]=(TRIM($B98)))*(CsDJ[Date]&lt;=$E$7),CsDJ[Debit])))+(SUM(IF((CRDJ[Account Code]=(TRIM($B98)))*(CRDJ[Date]&lt;=$E$7),CRDJ[Debit])))+(SUM(IF((GJ[Account Code]=(TRIM($B98)))*(GJ[Date]&lt;=$E$7),GJ[Debit]))))-((SUM(IF((CkDJ[Account Code]=(TRIM($B98)))*(CkDJ[Date]&lt;=$E$7),CkDJ[Credit])))+(SUM(IF((CsDJ[Account Code]=(TRIM($B98)))*(CsDJ[Date]&lt;=$E$7),CsDJ[Credit])))+(SUM(IF((CRDJ[Account Code]=(TRIM($B98)))*(CRDJ[Date]&lt;=$E$7),CRDJ[Credit])))+(SUM(IF((GJ[Account Code]=(TRIM($B98)))*(GJ[Date]&lt;=$E$7),GJ[Credit]))))</f>
        <v>0</v>
      </c>
      <c r="F98" s="245">
        <f t="array" ref="F98">((SUM(IF((CkDJ[Date]=$A$3)*(CkDJ[Account Code]=(TRIM($B98))),CkDJ[Debit])))+(SUM(IF((CsDJ[Date]=$A$3)*(CsDJ[Account Code]=(TRIM($B98))),CsDJ[Debit])))+(SUM(IF((CRDJ[Date]=$A$3)*(CRDJ[Account Code]=(TRIM($B98))),CRDJ[Debit])))+(SUM(IF((GJ[Date]=$A$3)*(GJ[Account Code]=(TRIM($B98))),GJ[Debit]))))-((SUM(IF((CkDJ[Date]=$A$3)*(CkDJ[Account Code]=(TRIM($B98))),CkDJ[Credit])))+(SUM(IF((CsDJ[Date]=$A$3)*(CsDJ[Account Code]=(TRIM($B98))),CsDJ[Credit])))+(SUM(IF((CRDJ[Date]=$A$3)*(CRDJ[Account Code]=(TRIM($B98))),CRDJ[Credit])))+(SUM(IF((GJ[Date]=$A$3)*(GJ[Account Code]=(TRIM($B98))),GJ[Credit]))))</f>
        <v>0</v>
      </c>
      <c r="G98" s="343">
        <f t="shared" si="9"/>
        <v>0</v>
      </c>
      <c r="H98" s="246">
        <f t="shared" si="6"/>
        <v>-40800</v>
      </c>
      <c r="I98" s="246">
        <f t="shared" si="7"/>
        <v>0</v>
      </c>
    </row>
    <row r="99" spans="1:9" hidden="1">
      <c r="A99" s="256" t="s">
        <v>1020</v>
      </c>
      <c r="B99" s="339" t="s">
        <v>240</v>
      </c>
      <c r="C99" s="245">
        <f t="array" ref="C99">SUM(IF((Budget[Account Code]=B99),(Budget[Amount])))</f>
        <v>68343.960000000006</v>
      </c>
      <c r="D99" s="245">
        <f t="array" ref="D99">SUM(IF((Budget[Account Code]=B99)*(Budget[Date]&lt;=$D$7),(Budget[Amount])))</f>
        <v>68343.960000000006</v>
      </c>
      <c r="E99" s="245">
        <f t="array" ref="E99">((SUM(IF((CkDJ[Account Code]=(TRIM($B99)))*(CkDJ[Date]&lt;=$E$7),CkDJ[Debit])))+(SUM(IF((CsDJ[Account Code]=(TRIM($B99)))*(CsDJ[Date]&lt;=$E$7),CsDJ[Debit])))+(SUM(IF((CRDJ[Account Code]=(TRIM($B99)))*(CRDJ[Date]&lt;=$E$7),CRDJ[Debit])))+(SUM(IF((GJ[Account Code]=(TRIM($B99)))*(GJ[Date]&lt;=$E$7),GJ[Debit]))))-((SUM(IF((CkDJ[Account Code]=(TRIM($B99)))*(CkDJ[Date]&lt;=$E$7),CkDJ[Credit])))+(SUM(IF((CsDJ[Account Code]=(TRIM($B99)))*(CsDJ[Date]&lt;=$E$7),CsDJ[Credit])))+(SUM(IF((CRDJ[Account Code]=(TRIM($B99)))*(CRDJ[Date]&lt;=$E$7),CRDJ[Credit])))+(SUM(IF((GJ[Account Code]=(TRIM($B99)))*(GJ[Date]&lt;=$E$7),GJ[Credit]))))</f>
        <v>0</v>
      </c>
      <c r="F99" s="245">
        <f t="array" ref="F99">((SUM(IF((CkDJ[Date]=$A$3)*(CkDJ[Account Code]=(TRIM($B99))),CkDJ[Debit])))+(SUM(IF((CsDJ[Date]=$A$3)*(CsDJ[Account Code]=(TRIM($B99))),CsDJ[Debit])))+(SUM(IF((CRDJ[Date]=$A$3)*(CRDJ[Account Code]=(TRIM($B99))),CRDJ[Debit])))+(SUM(IF((GJ[Date]=$A$3)*(GJ[Account Code]=(TRIM($B99))),GJ[Debit]))))-((SUM(IF((CkDJ[Date]=$A$3)*(CkDJ[Account Code]=(TRIM($B99))),CkDJ[Credit])))+(SUM(IF((CsDJ[Date]=$A$3)*(CsDJ[Account Code]=(TRIM($B99))),CsDJ[Credit])))+(SUM(IF((CRDJ[Date]=$A$3)*(CRDJ[Account Code]=(TRIM($B99))),CRDJ[Credit])))+(SUM(IF((GJ[Date]=$A$3)*(GJ[Account Code]=(TRIM($B99))),GJ[Credit]))))</f>
        <v>0</v>
      </c>
      <c r="G99" s="343">
        <f t="shared" si="9"/>
        <v>0</v>
      </c>
      <c r="H99" s="246">
        <f t="shared" si="6"/>
        <v>-68343.960000000006</v>
      </c>
      <c r="I99" s="246">
        <f t="shared" si="7"/>
        <v>0</v>
      </c>
    </row>
    <row r="100" spans="1:9" hidden="1">
      <c r="A100" s="256" t="s">
        <v>299</v>
      </c>
      <c r="B100" s="339" t="s">
        <v>241</v>
      </c>
      <c r="C100" s="245">
        <f t="array" ref="C100">SUM(IF((Budget[Account Code]=B100),(Budget[Amount])))</f>
        <v>5141</v>
      </c>
      <c r="D100" s="245">
        <f t="array" ref="D100">SUM(IF((Budget[Account Code]=B100)*(Budget[Date]&lt;=$D$7),(Budget[Amount])))</f>
        <v>5141</v>
      </c>
      <c r="E100" s="245">
        <f t="array" ref="E100">((SUM(IF((CkDJ[Account Code]=(TRIM($B100)))*(CkDJ[Date]&lt;=$E$7),CkDJ[Debit])))+(SUM(IF((CsDJ[Account Code]=(TRIM($B100)))*(CsDJ[Date]&lt;=$E$7),CsDJ[Debit])))+(SUM(IF((CRDJ[Account Code]=(TRIM($B100)))*(CRDJ[Date]&lt;=$E$7),CRDJ[Debit])))+(SUM(IF((GJ[Account Code]=(TRIM($B100)))*(GJ[Date]&lt;=$E$7),GJ[Debit]))))-((SUM(IF((CkDJ[Account Code]=(TRIM($B100)))*(CkDJ[Date]&lt;=$E$7),CkDJ[Credit])))+(SUM(IF((CsDJ[Account Code]=(TRIM($B100)))*(CsDJ[Date]&lt;=$E$7),CsDJ[Credit])))+(SUM(IF((CRDJ[Account Code]=(TRIM($B100)))*(CRDJ[Date]&lt;=$E$7),CRDJ[Credit])))+(SUM(IF((GJ[Account Code]=(TRIM($B100)))*(GJ[Date]&lt;=$E$7),GJ[Credit]))))</f>
        <v>0</v>
      </c>
      <c r="F100" s="245">
        <f t="array" ref="F100">((SUM(IF((CkDJ[Date]=$A$3)*(CkDJ[Account Code]=(TRIM($B100))),CkDJ[Debit])))+(SUM(IF((CsDJ[Date]=$A$3)*(CsDJ[Account Code]=(TRIM($B100))),CsDJ[Debit])))+(SUM(IF((CRDJ[Date]=$A$3)*(CRDJ[Account Code]=(TRIM($B100))),CRDJ[Debit])))+(SUM(IF((GJ[Date]=$A$3)*(GJ[Account Code]=(TRIM($B100))),GJ[Debit]))))-((SUM(IF((CkDJ[Date]=$A$3)*(CkDJ[Account Code]=(TRIM($B100))),CkDJ[Credit])))+(SUM(IF((CsDJ[Date]=$A$3)*(CsDJ[Account Code]=(TRIM($B100))),CsDJ[Credit])))+(SUM(IF((CRDJ[Date]=$A$3)*(CRDJ[Account Code]=(TRIM($B100))),CRDJ[Credit])))+(SUM(IF((GJ[Date]=$A$3)*(GJ[Account Code]=(TRIM($B100))),GJ[Credit]))))</f>
        <v>0</v>
      </c>
      <c r="G100" s="343">
        <f t="shared" si="9"/>
        <v>0</v>
      </c>
      <c r="H100" s="246">
        <f t="shared" si="6"/>
        <v>-5141</v>
      </c>
      <c r="I100" s="246">
        <f t="shared" si="7"/>
        <v>0</v>
      </c>
    </row>
    <row r="101" spans="1:9" hidden="1">
      <c r="A101" s="256" t="s">
        <v>300</v>
      </c>
      <c r="B101" s="339" t="s">
        <v>242</v>
      </c>
      <c r="C101" s="245">
        <f t="array" ref="C101">SUM(IF((Budget[Account Code]=B101),(Budget[Amount])))</f>
        <v>0</v>
      </c>
      <c r="D101" s="245">
        <f t="array" ref="D101">SUM(IF((Budget[Account Code]=B101)*(Budget[Date]&lt;=$D$7),(Budget[Amount])))</f>
        <v>0</v>
      </c>
      <c r="E101" s="245">
        <f t="array" ref="E101">((SUM(IF((CkDJ[Account Code]=(TRIM($B101)))*(CkDJ[Date]&lt;=$E$7),CkDJ[Debit])))+(SUM(IF((CsDJ[Account Code]=(TRIM($B101)))*(CsDJ[Date]&lt;=$E$7),CsDJ[Debit])))+(SUM(IF((CRDJ[Account Code]=(TRIM($B101)))*(CRDJ[Date]&lt;=$E$7),CRDJ[Debit])))+(SUM(IF((GJ[Account Code]=(TRIM($B101)))*(GJ[Date]&lt;=$E$7),GJ[Debit]))))-((SUM(IF((CkDJ[Account Code]=(TRIM($B101)))*(CkDJ[Date]&lt;=$E$7),CkDJ[Credit])))+(SUM(IF((CsDJ[Account Code]=(TRIM($B101)))*(CsDJ[Date]&lt;=$E$7),CsDJ[Credit])))+(SUM(IF((CRDJ[Account Code]=(TRIM($B101)))*(CRDJ[Date]&lt;=$E$7),CRDJ[Credit])))+(SUM(IF((GJ[Account Code]=(TRIM($B101)))*(GJ[Date]&lt;=$E$7),GJ[Credit]))))</f>
        <v>0</v>
      </c>
      <c r="F101" s="245">
        <f t="array" ref="F101">((SUM(IF((CkDJ[Date]=$A$3)*(CkDJ[Account Code]=(TRIM($B101))),CkDJ[Debit])))+(SUM(IF((CsDJ[Date]=$A$3)*(CsDJ[Account Code]=(TRIM($B101))),CsDJ[Debit])))+(SUM(IF((CRDJ[Date]=$A$3)*(CRDJ[Account Code]=(TRIM($B101))),CRDJ[Debit])))+(SUM(IF((GJ[Date]=$A$3)*(GJ[Account Code]=(TRIM($B101))),GJ[Debit]))))-((SUM(IF((CkDJ[Date]=$A$3)*(CkDJ[Account Code]=(TRIM($B101))),CkDJ[Credit])))+(SUM(IF((CsDJ[Date]=$A$3)*(CsDJ[Account Code]=(TRIM($B101))),CsDJ[Credit])))+(SUM(IF((CRDJ[Date]=$A$3)*(CRDJ[Account Code]=(TRIM($B101))),CRDJ[Credit])))+(SUM(IF((GJ[Date]=$A$3)*(GJ[Account Code]=(TRIM($B101))),GJ[Credit]))))</f>
        <v>0</v>
      </c>
      <c r="G101" s="343">
        <f t="shared" si="9"/>
        <v>0</v>
      </c>
      <c r="H101" s="246">
        <f t="shared" si="6"/>
        <v>0</v>
      </c>
      <c r="I101" s="246">
        <f t="shared" si="7"/>
        <v>0</v>
      </c>
    </row>
    <row r="102" spans="1:9" hidden="1">
      <c r="A102" s="256" t="s">
        <v>301</v>
      </c>
      <c r="B102" s="339" t="s">
        <v>243</v>
      </c>
      <c r="C102" s="245">
        <f t="array" ref="C102">SUM(IF((Budget[Account Code]=B102),(Budget[Amount])))</f>
        <v>61200</v>
      </c>
      <c r="D102" s="245">
        <f t="array" ref="D102">SUM(IF((Budget[Account Code]=B102)*(Budget[Date]&lt;=$D$7),(Budget[Amount])))</f>
        <v>61200</v>
      </c>
      <c r="E102" s="245">
        <f t="array" ref="E102">((SUM(IF((CkDJ[Account Code]=(TRIM($B102)))*(CkDJ[Date]&lt;=$E$7),CkDJ[Debit])))+(SUM(IF((CsDJ[Account Code]=(TRIM($B102)))*(CsDJ[Date]&lt;=$E$7),CsDJ[Debit])))+(SUM(IF((CRDJ[Account Code]=(TRIM($B102)))*(CRDJ[Date]&lt;=$E$7),CRDJ[Debit])))+(SUM(IF((GJ[Account Code]=(TRIM($B102)))*(GJ[Date]&lt;=$E$7),GJ[Debit]))))-((SUM(IF((CkDJ[Account Code]=(TRIM($B102)))*(CkDJ[Date]&lt;=$E$7),CkDJ[Credit])))+(SUM(IF((CsDJ[Account Code]=(TRIM($B102)))*(CsDJ[Date]&lt;=$E$7),CsDJ[Credit])))+(SUM(IF((CRDJ[Account Code]=(TRIM($B102)))*(CRDJ[Date]&lt;=$E$7),CRDJ[Credit])))+(SUM(IF((GJ[Account Code]=(TRIM($B102)))*(GJ[Date]&lt;=$E$7),GJ[Credit]))))</f>
        <v>0</v>
      </c>
      <c r="F102" s="245">
        <f t="array" ref="F102">((SUM(IF((CkDJ[Date]=$A$3)*(CkDJ[Account Code]=(TRIM($B102))),CkDJ[Debit])))+(SUM(IF((CsDJ[Date]=$A$3)*(CsDJ[Account Code]=(TRIM($B102))),CsDJ[Debit])))+(SUM(IF((CRDJ[Date]=$A$3)*(CRDJ[Account Code]=(TRIM($B102))),CRDJ[Debit])))+(SUM(IF((GJ[Date]=$A$3)*(GJ[Account Code]=(TRIM($B102))),GJ[Debit]))))-((SUM(IF((CkDJ[Date]=$A$3)*(CkDJ[Account Code]=(TRIM($B102))),CkDJ[Credit])))+(SUM(IF((CsDJ[Date]=$A$3)*(CsDJ[Account Code]=(TRIM($B102))),CsDJ[Credit])))+(SUM(IF((CRDJ[Date]=$A$3)*(CRDJ[Account Code]=(TRIM($B102))),CRDJ[Credit])))+(SUM(IF((GJ[Date]=$A$3)*(GJ[Account Code]=(TRIM($B102))),GJ[Credit]))))</f>
        <v>0</v>
      </c>
      <c r="G102" s="343">
        <f t="shared" si="9"/>
        <v>0</v>
      </c>
      <c r="H102" s="246">
        <f t="shared" si="6"/>
        <v>-61200</v>
      </c>
      <c r="I102" s="246">
        <f t="shared" si="7"/>
        <v>0</v>
      </c>
    </row>
    <row r="103" spans="1:9" hidden="1">
      <c r="A103" s="256" t="s">
        <v>302</v>
      </c>
      <c r="B103" s="339" t="s">
        <v>244</v>
      </c>
      <c r="C103" s="245">
        <f t="array" ref="C103">SUM(IF((Budget[Account Code]=B103),(Budget[Amount])))</f>
        <v>24480</v>
      </c>
      <c r="D103" s="245">
        <f t="array" ref="D103">SUM(IF((Budget[Account Code]=B103)*(Budget[Date]&lt;=$D$7),(Budget[Amount])))</f>
        <v>24480</v>
      </c>
      <c r="E103" s="245">
        <f t="array" ref="E103">((SUM(IF((CkDJ[Account Code]=(TRIM($B103)))*(CkDJ[Date]&lt;=$E$7),CkDJ[Debit])))+(SUM(IF((CsDJ[Account Code]=(TRIM($B103)))*(CsDJ[Date]&lt;=$E$7),CsDJ[Debit])))+(SUM(IF((CRDJ[Account Code]=(TRIM($B103)))*(CRDJ[Date]&lt;=$E$7),CRDJ[Debit])))+(SUM(IF((GJ[Account Code]=(TRIM($B103)))*(GJ[Date]&lt;=$E$7),GJ[Debit]))))-((SUM(IF((CkDJ[Account Code]=(TRIM($B103)))*(CkDJ[Date]&lt;=$E$7),CkDJ[Credit])))+(SUM(IF((CsDJ[Account Code]=(TRIM($B103)))*(CsDJ[Date]&lt;=$E$7),CsDJ[Credit])))+(SUM(IF((CRDJ[Account Code]=(TRIM($B103)))*(CRDJ[Date]&lt;=$E$7),CRDJ[Credit])))+(SUM(IF((GJ[Account Code]=(TRIM($B103)))*(GJ[Date]&lt;=$E$7),GJ[Credit]))))</f>
        <v>0</v>
      </c>
      <c r="F103" s="245">
        <f t="array" ref="F103">((SUM(IF((CkDJ[Date]=$A$3)*(CkDJ[Account Code]=(TRIM($B103))),CkDJ[Debit])))+(SUM(IF((CsDJ[Date]=$A$3)*(CsDJ[Account Code]=(TRIM($B103))),CsDJ[Debit])))+(SUM(IF((CRDJ[Date]=$A$3)*(CRDJ[Account Code]=(TRIM($B103))),CRDJ[Debit])))+(SUM(IF((GJ[Date]=$A$3)*(GJ[Account Code]=(TRIM($B103))),GJ[Debit]))))-((SUM(IF((CkDJ[Date]=$A$3)*(CkDJ[Account Code]=(TRIM($B103))),CkDJ[Credit])))+(SUM(IF((CsDJ[Date]=$A$3)*(CsDJ[Account Code]=(TRIM($B103))),CsDJ[Credit])))+(SUM(IF((CRDJ[Date]=$A$3)*(CRDJ[Account Code]=(TRIM($B103))),CRDJ[Credit])))+(SUM(IF((GJ[Date]=$A$3)*(GJ[Account Code]=(TRIM($B103))),GJ[Credit]))))</f>
        <v>0</v>
      </c>
      <c r="G103" s="343">
        <f t="shared" si="9"/>
        <v>0</v>
      </c>
      <c r="H103" s="246">
        <f t="shared" si="6"/>
        <v>-24480</v>
      </c>
      <c r="I103" s="246">
        <f t="shared" si="7"/>
        <v>0</v>
      </c>
    </row>
    <row r="104" spans="1:9" hidden="1">
      <c r="A104" s="256" t="s">
        <v>347</v>
      </c>
      <c r="B104" s="339" t="s">
        <v>338</v>
      </c>
      <c r="C104" s="245">
        <f t="array" ref="C104">SUM(IF((Budget[Account Code]=B104),(Budget[Amount])))</f>
        <v>0</v>
      </c>
      <c r="D104" s="245">
        <f t="array" ref="D104">SUM(IF((Budget[Account Code]=B104)*(Budget[Date]&lt;=$D$7),(Budget[Amount])))</f>
        <v>0</v>
      </c>
      <c r="E104" s="245">
        <f t="array" ref="E104">((SUM(IF((CkDJ[Account Code]=(TRIM($B104)))*(CkDJ[Date]&lt;=$E$7),CkDJ[Debit])))+(SUM(IF((CsDJ[Account Code]=(TRIM($B104)))*(CsDJ[Date]&lt;=$E$7),CsDJ[Debit])))+(SUM(IF((CRDJ[Account Code]=(TRIM($B104)))*(CRDJ[Date]&lt;=$E$7),CRDJ[Debit])))+(SUM(IF((GJ[Account Code]=(TRIM($B104)))*(GJ[Date]&lt;=$E$7),GJ[Debit]))))-((SUM(IF((CkDJ[Account Code]=(TRIM($B104)))*(CkDJ[Date]&lt;=$E$7),CkDJ[Credit])))+(SUM(IF((CsDJ[Account Code]=(TRIM($B104)))*(CsDJ[Date]&lt;=$E$7),CsDJ[Credit])))+(SUM(IF((CRDJ[Account Code]=(TRIM($B104)))*(CRDJ[Date]&lt;=$E$7),CRDJ[Credit])))+(SUM(IF((GJ[Account Code]=(TRIM($B104)))*(GJ[Date]&lt;=$E$7),GJ[Credit]))))</f>
        <v>0</v>
      </c>
      <c r="F104" s="245">
        <f t="array" ref="F104">((SUM(IF((CkDJ[Date]=$A$3)*(CkDJ[Account Code]=(TRIM($B104))),CkDJ[Debit])))+(SUM(IF((CsDJ[Date]=$A$3)*(CsDJ[Account Code]=(TRIM($B104))),CsDJ[Debit])))+(SUM(IF((CRDJ[Date]=$A$3)*(CRDJ[Account Code]=(TRIM($B104))),CRDJ[Debit])))+(SUM(IF((GJ[Date]=$A$3)*(GJ[Account Code]=(TRIM($B104))),GJ[Debit]))))-((SUM(IF((CkDJ[Date]=$A$3)*(CkDJ[Account Code]=(TRIM($B104))),CkDJ[Credit])))+(SUM(IF((CsDJ[Date]=$A$3)*(CsDJ[Account Code]=(TRIM($B104))),CsDJ[Credit])))+(SUM(IF((CRDJ[Date]=$A$3)*(CRDJ[Account Code]=(TRIM($B104))),CRDJ[Credit])))+(SUM(IF((GJ[Date]=$A$3)*(GJ[Account Code]=(TRIM($B104))),GJ[Credit]))))</f>
        <v>0</v>
      </c>
      <c r="G104" s="343">
        <f t="shared" si="9"/>
        <v>0</v>
      </c>
      <c r="H104" s="246">
        <f t="shared" si="6"/>
        <v>0</v>
      </c>
      <c r="I104" s="246">
        <f t="shared" si="7"/>
        <v>0</v>
      </c>
    </row>
    <row r="105" spans="1:9" hidden="1">
      <c r="A105" s="256" t="s">
        <v>348</v>
      </c>
      <c r="B105" s="339" t="s">
        <v>339</v>
      </c>
      <c r="C105" s="245">
        <f t="array" ref="C105">SUM(IF((Budget[Account Code]=B105),(Budget[Amount])))</f>
        <v>0</v>
      </c>
      <c r="D105" s="245">
        <f t="array" ref="D105">SUM(IF((Budget[Account Code]=B105)*(Budget[Date]&lt;=$D$7),(Budget[Amount])))</f>
        <v>0</v>
      </c>
      <c r="E105" s="245">
        <f t="array" ref="E105">((SUM(IF((CkDJ[Account Code]=(TRIM($B105)))*(CkDJ[Date]&lt;=$E$7),CkDJ[Debit])))+(SUM(IF((CsDJ[Account Code]=(TRIM($B105)))*(CsDJ[Date]&lt;=$E$7),CsDJ[Debit])))+(SUM(IF((CRDJ[Account Code]=(TRIM($B105)))*(CRDJ[Date]&lt;=$E$7),CRDJ[Debit])))+(SUM(IF((GJ[Account Code]=(TRIM($B105)))*(GJ[Date]&lt;=$E$7),GJ[Debit]))))-((SUM(IF((CkDJ[Account Code]=(TRIM($B105)))*(CkDJ[Date]&lt;=$E$7),CkDJ[Credit])))+(SUM(IF((CsDJ[Account Code]=(TRIM($B105)))*(CsDJ[Date]&lt;=$E$7),CsDJ[Credit])))+(SUM(IF((CRDJ[Account Code]=(TRIM($B105)))*(CRDJ[Date]&lt;=$E$7),CRDJ[Credit])))+(SUM(IF((GJ[Account Code]=(TRIM($B105)))*(GJ[Date]&lt;=$E$7),GJ[Credit]))))</f>
        <v>0</v>
      </c>
      <c r="F105" s="245">
        <f t="array" ref="F105">((SUM(IF((CkDJ[Date]=$A$3)*(CkDJ[Account Code]=(TRIM($B105))),CkDJ[Debit])))+(SUM(IF((CsDJ[Date]=$A$3)*(CsDJ[Account Code]=(TRIM($B105))),CsDJ[Debit])))+(SUM(IF((CRDJ[Date]=$A$3)*(CRDJ[Account Code]=(TRIM($B105))),CRDJ[Debit])))+(SUM(IF((GJ[Date]=$A$3)*(GJ[Account Code]=(TRIM($B105))),GJ[Debit]))))-((SUM(IF((CkDJ[Date]=$A$3)*(CkDJ[Account Code]=(TRIM($B105))),CkDJ[Credit])))+(SUM(IF((CsDJ[Date]=$A$3)*(CsDJ[Account Code]=(TRIM($B105))),CsDJ[Credit])))+(SUM(IF((CRDJ[Date]=$A$3)*(CRDJ[Account Code]=(TRIM($B105))),CRDJ[Credit])))+(SUM(IF((GJ[Date]=$A$3)*(GJ[Account Code]=(TRIM($B105))),GJ[Credit]))))</f>
        <v>0</v>
      </c>
      <c r="G105" s="343">
        <f t="shared" si="9"/>
        <v>0</v>
      </c>
      <c r="H105" s="246">
        <f t="shared" si="6"/>
        <v>0</v>
      </c>
      <c r="I105" s="246">
        <f t="shared" si="7"/>
        <v>0</v>
      </c>
    </row>
    <row r="106" spans="1:9" hidden="1">
      <c r="A106" s="256" t="s">
        <v>1021</v>
      </c>
      <c r="B106" s="339" t="s">
        <v>245</v>
      </c>
      <c r="C106" s="245">
        <f t="array" ref="C106">SUM(IF((Budget[Account Code]=B106),(Budget[Amount])))</f>
        <v>0</v>
      </c>
      <c r="D106" s="245">
        <f t="array" ref="D106">SUM(IF((Budget[Account Code]=B106)*(Budget[Date]&lt;=$D$7),(Budget[Amount])))</f>
        <v>0</v>
      </c>
      <c r="E106" s="245">
        <f t="array" ref="E106">((SUM(IF((CkDJ[Account Code]=(TRIM($B106)))*(CkDJ[Date]&lt;=$E$7),CkDJ[Debit])))+(SUM(IF((CsDJ[Account Code]=(TRIM($B106)))*(CsDJ[Date]&lt;=$E$7),CsDJ[Debit])))+(SUM(IF((CRDJ[Account Code]=(TRIM($B106)))*(CRDJ[Date]&lt;=$E$7),CRDJ[Debit])))+(SUM(IF((GJ[Account Code]=(TRIM($B106)))*(GJ[Date]&lt;=$E$7),GJ[Debit]))))-((SUM(IF((CkDJ[Account Code]=(TRIM($B106)))*(CkDJ[Date]&lt;=$E$7),CkDJ[Credit])))+(SUM(IF((CsDJ[Account Code]=(TRIM($B106)))*(CsDJ[Date]&lt;=$E$7),CsDJ[Credit])))+(SUM(IF((CRDJ[Account Code]=(TRIM($B106)))*(CRDJ[Date]&lt;=$E$7),CRDJ[Credit])))+(SUM(IF((GJ[Account Code]=(TRIM($B106)))*(GJ[Date]&lt;=$E$7),GJ[Credit]))))</f>
        <v>0</v>
      </c>
      <c r="F106" s="245">
        <f t="array" ref="F106">((SUM(IF((CkDJ[Date]=$A$3)*(CkDJ[Account Code]=(TRIM($B106))),CkDJ[Debit])))+(SUM(IF((CsDJ[Date]=$A$3)*(CsDJ[Account Code]=(TRIM($B106))),CsDJ[Debit])))+(SUM(IF((CRDJ[Date]=$A$3)*(CRDJ[Account Code]=(TRIM($B106))),CRDJ[Debit])))+(SUM(IF((GJ[Date]=$A$3)*(GJ[Account Code]=(TRIM($B106))),GJ[Debit]))))-((SUM(IF((CkDJ[Date]=$A$3)*(CkDJ[Account Code]=(TRIM($B106))),CkDJ[Credit])))+(SUM(IF((CsDJ[Date]=$A$3)*(CsDJ[Account Code]=(TRIM($B106))),CsDJ[Credit])))+(SUM(IF((CRDJ[Date]=$A$3)*(CRDJ[Account Code]=(TRIM($B106))),CRDJ[Credit])))+(SUM(IF((GJ[Date]=$A$3)*(GJ[Account Code]=(TRIM($B106))),GJ[Credit]))))</f>
        <v>0</v>
      </c>
      <c r="G106" s="343">
        <f t="shared" si="9"/>
        <v>0</v>
      </c>
      <c r="H106" s="246">
        <f t="shared" si="6"/>
        <v>0</v>
      </c>
      <c r="I106" s="246">
        <f t="shared" si="7"/>
        <v>0</v>
      </c>
    </row>
    <row r="107" spans="1:9" hidden="1">
      <c r="A107" s="256" t="s">
        <v>1022</v>
      </c>
      <c r="B107" s="339" t="s">
        <v>246</v>
      </c>
      <c r="C107" s="245">
        <f t="array" ref="C107">SUM(IF((Budget[Account Code]=B107),(Budget[Amount])))</f>
        <v>0</v>
      </c>
      <c r="D107" s="245">
        <f t="array" ref="D107">SUM(IF((Budget[Account Code]=B107)*(Budget[Date]&lt;=$D$7),(Budget[Amount])))</f>
        <v>0</v>
      </c>
      <c r="E107" s="245">
        <f t="array" ref="E107">((SUM(IF((CkDJ[Account Code]=(TRIM($B107)))*(CkDJ[Date]&lt;=$E$7),CkDJ[Debit])))+(SUM(IF((CsDJ[Account Code]=(TRIM($B107)))*(CsDJ[Date]&lt;=$E$7),CsDJ[Debit])))+(SUM(IF((CRDJ[Account Code]=(TRIM($B107)))*(CRDJ[Date]&lt;=$E$7),CRDJ[Debit])))+(SUM(IF((GJ[Account Code]=(TRIM($B107)))*(GJ[Date]&lt;=$E$7),GJ[Debit]))))-((SUM(IF((CkDJ[Account Code]=(TRIM($B107)))*(CkDJ[Date]&lt;=$E$7),CkDJ[Credit])))+(SUM(IF((CsDJ[Account Code]=(TRIM($B107)))*(CsDJ[Date]&lt;=$E$7),CsDJ[Credit])))+(SUM(IF((CRDJ[Account Code]=(TRIM($B107)))*(CRDJ[Date]&lt;=$E$7),CRDJ[Credit])))+(SUM(IF((GJ[Account Code]=(TRIM($B107)))*(GJ[Date]&lt;=$E$7),GJ[Credit]))))</f>
        <v>0</v>
      </c>
      <c r="F107" s="245">
        <f t="array" ref="F107">((SUM(IF((CkDJ[Date]=$A$3)*(CkDJ[Account Code]=(TRIM($B107))),CkDJ[Debit])))+(SUM(IF((CsDJ[Date]=$A$3)*(CsDJ[Account Code]=(TRIM($B107))),CsDJ[Debit])))+(SUM(IF((CRDJ[Date]=$A$3)*(CRDJ[Account Code]=(TRIM($B107))),CRDJ[Debit])))+(SUM(IF((GJ[Date]=$A$3)*(GJ[Account Code]=(TRIM($B107))),GJ[Debit]))))-((SUM(IF((CkDJ[Date]=$A$3)*(CkDJ[Account Code]=(TRIM($B107))),CkDJ[Credit])))+(SUM(IF((CsDJ[Date]=$A$3)*(CsDJ[Account Code]=(TRIM($B107))),CsDJ[Credit])))+(SUM(IF((CRDJ[Date]=$A$3)*(CRDJ[Account Code]=(TRIM($B107))),CRDJ[Credit])))+(SUM(IF((GJ[Date]=$A$3)*(GJ[Account Code]=(TRIM($B107))),GJ[Credit]))))</f>
        <v>0</v>
      </c>
      <c r="G107" s="343">
        <f t="shared" si="9"/>
        <v>0</v>
      </c>
      <c r="H107" s="246">
        <f t="shared" si="6"/>
        <v>0</v>
      </c>
      <c r="I107" s="246">
        <f t="shared" si="7"/>
        <v>0</v>
      </c>
    </row>
    <row r="108" spans="1:9" hidden="1">
      <c r="A108" s="256" t="s">
        <v>1023</v>
      </c>
      <c r="B108" s="339" t="s">
        <v>247</v>
      </c>
      <c r="C108" s="245">
        <f t="array" ref="C108">SUM(IF((Budget[Account Code]=B108),(Budget[Amount])))</f>
        <v>0</v>
      </c>
      <c r="D108" s="245">
        <f t="array" ref="D108">SUM(IF((Budget[Account Code]=B108)*(Budget[Date]&lt;=$D$7),(Budget[Amount])))</f>
        <v>0</v>
      </c>
      <c r="E108" s="245">
        <f t="array" ref="E108">((SUM(IF((CkDJ[Account Code]=(TRIM($B108)))*(CkDJ[Date]&lt;=$E$7),CkDJ[Debit])))+(SUM(IF((CsDJ[Account Code]=(TRIM($B108)))*(CsDJ[Date]&lt;=$E$7),CsDJ[Debit])))+(SUM(IF((CRDJ[Account Code]=(TRIM($B108)))*(CRDJ[Date]&lt;=$E$7),CRDJ[Debit])))+(SUM(IF((GJ[Account Code]=(TRIM($B108)))*(GJ[Date]&lt;=$E$7),GJ[Debit]))))-((SUM(IF((CkDJ[Account Code]=(TRIM($B108)))*(CkDJ[Date]&lt;=$E$7),CkDJ[Credit])))+(SUM(IF((CsDJ[Account Code]=(TRIM($B108)))*(CsDJ[Date]&lt;=$E$7),CsDJ[Credit])))+(SUM(IF((CRDJ[Account Code]=(TRIM($B108)))*(CRDJ[Date]&lt;=$E$7),CRDJ[Credit])))+(SUM(IF((GJ[Account Code]=(TRIM($B108)))*(GJ[Date]&lt;=$E$7),GJ[Credit]))))</f>
        <v>0</v>
      </c>
      <c r="F108" s="245">
        <f t="array" ref="F108">((SUM(IF((CkDJ[Date]=$A$3)*(CkDJ[Account Code]=(TRIM($B108))),CkDJ[Debit])))+(SUM(IF((CsDJ[Date]=$A$3)*(CsDJ[Account Code]=(TRIM($B108))),CsDJ[Debit])))+(SUM(IF((CRDJ[Date]=$A$3)*(CRDJ[Account Code]=(TRIM($B108))),CRDJ[Debit])))+(SUM(IF((GJ[Date]=$A$3)*(GJ[Account Code]=(TRIM($B108))),GJ[Debit]))))-((SUM(IF((CkDJ[Date]=$A$3)*(CkDJ[Account Code]=(TRIM($B108))),CkDJ[Credit])))+(SUM(IF((CsDJ[Date]=$A$3)*(CsDJ[Account Code]=(TRIM($B108))),CsDJ[Credit])))+(SUM(IF((CRDJ[Date]=$A$3)*(CRDJ[Account Code]=(TRIM($B108))),CRDJ[Credit])))+(SUM(IF((GJ[Date]=$A$3)*(GJ[Account Code]=(TRIM($B108))),GJ[Credit]))))</f>
        <v>0</v>
      </c>
      <c r="G108" s="343">
        <f t="shared" si="9"/>
        <v>0</v>
      </c>
      <c r="H108" s="246">
        <f t="shared" si="6"/>
        <v>0</v>
      </c>
      <c r="I108" s="246">
        <f t="shared" si="7"/>
        <v>0</v>
      </c>
    </row>
    <row r="109" spans="1:9" hidden="1">
      <c r="A109" s="256" t="s">
        <v>1024</v>
      </c>
      <c r="B109" s="339" t="s">
        <v>248</v>
      </c>
      <c r="C109" s="245">
        <f t="array" ref="C109">SUM(IF((Budget[Account Code]=B109),(Budget[Amount])))</f>
        <v>10200</v>
      </c>
      <c r="D109" s="245">
        <f t="array" ref="D109">SUM(IF((Budget[Account Code]=B109)*(Budget[Date]&lt;=$D$7),(Budget[Amount])))</f>
        <v>10200</v>
      </c>
      <c r="E109" s="245">
        <f t="array" ref="E109">((SUM(IF((CkDJ[Account Code]=(TRIM($B109)))*(CkDJ[Date]&lt;=$E$7),CkDJ[Debit])))+(SUM(IF((CsDJ[Account Code]=(TRIM($B109)))*(CsDJ[Date]&lt;=$E$7),CsDJ[Debit])))+(SUM(IF((CRDJ[Account Code]=(TRIM($B109)))*(CRDJ[Date]&lt;=$E$7),CRDJ[Debit])))+(SUM(IF((GJ[Account Code]=(TRIM($B109)))*(GJ[Date]&lt;=$E$7),GJ[Debit]))))-((SUM(IF((CkDJ[Account Code]=(TRIM($B109)))*(CkDJ[Date]&lt;=$E$7),CkDJ[Credit])))+(SUM(IF((CsDJ[Account Code]=(TRIM($B109)))*(CsDJ[Date]&lt;=$E$7),CsDJ[Credit])))+(SUM(IF((CRDJ[Account Code]=(TRIM($B109)))*(CRDJ[Date]&lt;=$E$7),CRDJ[Credit])))+(SUM(IF((GJ[Account Code]=(TRIM($B109)))*(GJ[Date]&lt;=$E$7),GJ[Credit]))))</f>
        <v>0</v>
      </c>
      <c r="F109" s="245">
        <f t="array" ref="F109">((SUM(IF((CkDJ[Date]=$A$3)*(CkDJ[Account Code]=(TRIM($B109))),CkDJ[Debit])))+(SUM(IF((CsDJ[Date]=$A$3)*(CsDJ[Account Code]=(TRIM($B109))),CsDJ[Debit])))+(SUM(IF((CRDJ[Date]=$A$3)*(CRDJ[Account Code]=(TRIM($B109))),CRDJ[Debit])))+(SUM(IF((GJ[Date]=$A$3)*(GJ[Account Code]=(TRIM($B109))),GJ[Debit]))))-((SUM(IF((CkDJ[Date]=$A$3)*(CkDJ[Account Code]=(TRIM($B109))),CkDJ[Credit])))+(SUM(IF((CsDJ[Date]=$A$3)*(CsDJ[Account Code]=(TRIM($B109))),CsDJ[Credit])))+(SUM(IF((CRDJ[Date]=$A$3)*(CRDJ[Account Code]=(TRIM($B109))),CRDJ[Credit])))+(SUM(IF((GJ[Date]=$A$3)*(GJ[Account Code]=(TRIM($B109))),GJ[Credit]))))</f>
        <v>0</v>
      </c>
      <c r="G109" s="343">
        <f t="shared" si="9"/>
        <v>0</v>
      </c>
      <c r="H109" s="246">
        <f t="shared" si="6"/>
        <v>-10200</v>
      </c>
      <c r="I109" s="246">
        <f t="shared" si="7"/>
        <v>0</v>
      </c>
    </row>
    <row r="110" spans="1:9" hidden="1">
      <c r="A110" s="256" t="s">
        <v>1025</v>
      </c>
      <c r="B110" s="339" t="s">
        <v>249</v>
      </c>
      <c r="C110" s="245">
        <f t="array" ref="C110">SUM(IF((Budget[Account Code]=B110),(Budget[Amount])))</f>
        <v>0</v>
      </c>
      <c r="D110" s="245">
        <f t="array" ref="D110">SUM(IF((Budget[Account Code]=B110)*(Budget[Date]&lt;=$D$7),(Budget[Amount])))</f>
        <v>0</v>
      </c>
      <c r="E110" s="245">
        <f t="array" ref="E110">((SUM(IF((CkDJ[Account Code]=(TRIM($B110)))*(CkDJ[Date]&lt;=$E$7),CkDJ[Debit])))+(SUM(IF((CsDJ[Account Code]=(TRIM($B110)))*(CsDJ[Date]&lt;=$E$7),CsDJ[Debit])))+(SUM(IF((CRDJ[Account Code]=(TRIM($B110)))*(CRDJ[Date]&lt;=$E$7),CRDJ[Debit])))+(SUM(IF((GJ[Account Code]=(TRIM($B110)))*(GJ[Date]&lt;=$E$7),GJ[Debit]))))-((SUM(IF((CkDJ[Account Code]=(TRIM($B110)))*(CkDJ[Date]&lt;=$E$7),CkDJ[Credit])))+(SUM(IF((CsDJ[Account Code]=(TRIM($B110)))*(CsDJ[Date]&lt;=$E$7),CsDJ[Credit])))+(SUM(IF((CRDJ[Account Code]=(TRIM($B110)))*(CRDJ[Date]&lt;=$E$7),CRDJ[Credit])))+(SUM(IF((GJ[Account Code]=(TRIM($B110)))*(GJ[Date]&lt;=$E$7),GJ[Credit]))))</f>
        <v>0</v>
      </c>
      <c r="F110" s="245">
        <f t="array" ref="F110">((SUM(IF((CkDJ[Date]=$A$3)*(CkDJ[Account Code]=(TRIM($B110))),CkDJ[Debit])))+(SUM(IF((CsDJ[Date]=$A$3)*(CsDJ[Account Code]=(TRIM($B110))),CsDJ[Debit])))+(SUM(IF((CRDJ[Date]=$A$3)*(CRDJ[Account Code]=(TRIM($B110))),CRDJ[Debit])))+(SUM(IF((GJ[Date]=$A$3)*(GJ[Account Code]=(TRIM($B110))),GJ[Debit]))))-((SUM(IF((CkDJ[Date]=$A$3)*(CkDJ[Account Code]=(TRIM($B110))),CkDJ[Credit])))+(SUM(IF((CsDJ[Date]=$A$3)*(CsDJ[Account Code]=(TRIM($B110))),CsDJ[Credit])))+(SUM(IF((CRDJ[Date]=$A$3)*(CRDJ[Account Code]=(TRIM($B110))),CRDJ[Credit])))+(SUM(IF((GJ[Date]=$A$3)*(GJ[Account Code]=(TRIM($B110))),GJ[Credit]))))</f>
        <v>0</v>
      </c>
      <c r="G110" s="343">
        <f t="shared" si="9"/>
        <v>0</v>
      </c>
      <c r="H110" s="246">
        <f t="shared" si="6"/>
        <v>0</v>
      </c>
      <c r="I110" s="246">
        <f t="shared" si="7"/>
        <v>0</v>
      </c>
    </row>
    <row r="111" spans="1:9" hidden="1">
      <c r="A111" s="256" t="s">
        <v>302</v>
      </c>
      <c r="B111" s="339" t="s">
        <v>250</v>
      </c>
      <c r="C111" s="245">
        <f t="array" ref="C111">SUM(IF((Budget[Account Code]=B111),(Budget[Amount])))</f>
        <v>250200</v>
      </c>
      <c r="D111" s="245">
        <f t="array" ref="D111">SUM(IF((Budget[Account Code]=B111)*(Budget[Date]&lt;=$D$7),(Budget[Amount])))</f>
        <v>250200</v>
      </c>
      <c r="E111" s="245">
        <f t="array" ref="E111">((SUM(IF((CkDJ[Account Code]=(TRIM($B111)))*(CkDJ[Date]&lt;=$E$7),CkDJ[Debit])))+(SUM(IF((CsDJ[Account Code]=(TRIM($B111)))*(CsDJ[Date]&lt;=$E$7),CsDJ[Debit])))+(SUM(IF((CRDJ[Account Code]=(TRIM($B111)))*(CRDJ[Date]&lt;=$E$7),CRDJ[Debit])))+(SUM(IF((GJ[Account Code]=(TRIM($B111)))*(GJ[Date]&lt;=$E$7),GJ[Debit]))))-((SUM(IF((CkDJ[Account Code]=(TRIM($B111)))*(CkDJ[Date]&lt;=$E$7),CkDJ[Credit])))+(SUM(IF((CsDJ[Account Code]=(TRIM($B111)))*(CsDJ[Date]&lt;=$E$7),CsDJ[Credit])))+(SUM(IF((CRDJ[Account Code]=(TRIM($B111)))*(CRDJ[Date]&lt;=$E$7),CRDJ[Credit])))+(SUM(IF((GJ[Account Code]=(TRIM($B111)))*(GJ[Date]&lt;=$E$7),GJ[Credit]))))</f>
        <v>0</v>
      </c>
      <c r="F111" s="245">
        <f t="array" ref="F111">((SUM(IF((CkDJ[Date]=$A$3)*(CkDJ[Account Code]=(TRIM($B111))),CkDJ[Debit])))+(SUM(IF((CsDJ[Date]=$A$3)*(CsDJ[Account Code]=(TRIM($B111))),CsDJ[Debit])))+(SUM(IF((CRDJ[Date]=$A$3)*(CRDJ[Account Code]=(TRIM($B111))),CRDJ[Debit])))+(SUM(IF((GJ[Date]=$A$3)*(GJ[Account Code]=(TRIM($B111))),GJ[Debit]))))-((SUM(IF((CkDJ[Date]=$A$3)*(CkDJ[Account Code]=(TRIM($B111))),CkDJ[Credit])))+(SUM(IF((CsDJ[Date]=$A$3)*(CsDJ[Account Code]=(TRIM($B111))),CsDJ[Credit])))+(SUM(IF((CRDJ[Date]=$A$3)*(CRDJ[Account Code]=(TRIM($B111))),CRDJ[Credit])))+(SUM(IF((GJ[Date]=$A$3)*(GJ[Account Code]=(TRIM($B111))),GJ[Credit]))))</f>
        <v>0</v>
      </c>
      <c r="G111" s="343">
        <f t="shared" si="9"/>
        <v>0</v>
      </c>
      <c r="H111" s="246">
        <f t="shared" si="6"/>
        <v>-250200</v>
      </c>
      <c r="I111" s="246">
        <f t="shared" si="7"/>
        <v>0</v>
      </c>
    </row>
    <row r="112" spans="1:9" hidden="1">
      <c r="A112" s="256" t="s">
        <v>841</v>
      </c>
      <c r="B112" s="339" t="s">
        <v>251</v>
      </c>
      <c r="C112" s="245">
        <f t="array" ref="C112">SUM(IF((Budget[Account Code]=B112),(Budget[Amount])))</f>
        <v>5150000.12</v>
      </c>
      <c r="D112" s="245">
        <f t="array" ref="D112">SUM(IF((Budget[Account Code]=B112)*(Budget[Date]&lt;=$D$7),(Budget[Amount])))</f>
        <v>5150000.12</v>
      </c>
      <c r="E112" s="245">
        <f t="array" ref="E112">((SUM(IF((CkDJ[Account Code]=(TRIM($B112)))*(CkDJ[Date]&lt;=$E$7),CkDJ[Debit])))+(SUM(IF((CsDJ[Account Code]=(TRIM($B112)))*(CsDJ[Date]&lt;=$E$7),CsDJ[Debit])))+(SUM(IF((CRDJ[Account Code]=(TRIM($B112)))*(CRDJ[Date]&lt;=$E$7),CRDJ[Debit])))+(SUM(IF((GJ[Account Code]=(TRIM($B112)))*(GJ[Date]&lt;=$E$7),GJ[Debit]))))-((SUM(IF((CkDJ[Account Code]=(TRIM($B112)))*(CkDJ[Date]&lt;=$E$7),CkDJ[Credit])))+(SUM(IF((CsDJ[Account Code]=(TRIM($B112)))*(CsDJ[Date]&lt;=$E$7),CsDJ[Credit])))+(SUM(IF((CRDJ[Account Code]=(TRIM($B112)))*(CRDJ[Date]&lt;=$E$7),CRDJ[Credit])))+(SUM(IF((GJ[Account Code]=(TRIM($B112)))*(GJ[Date]&lt;=$E$7),GJ[Credit]))))</f>
        <v>0</v>
      </c>
      <c r="F112" s="245">
        <f t="array" ref="F112">((SUM(IF((CkDJ[Date]=$A$3)*(CkDJ[Account Code]=(TRIM($B112))),CkDJ[Debit])))+(SUM(IF((CsDJ[Date]=$A$3)*(CsDJ[Account Code]=(TRIM($B112))),CsDJ[Debit])))+(SUM(IF((CRDJ[Date]=$A$3)*(CRDJ[Account Code]=(TRIM($B112))),CRDJ[Debit])))+(SUM(IF((GJ[Date]=$A$3)*(GJ[Account Code]=(TRIM($B112))),GJ[Debit]))))-((SUM(IF((CkDJ[Date]=$A$3)*(CkDJ[Account Code]=(TRIM($B112))),CkDJ[Credit])))+(SUM(IF((CsDJ[Date]=$A$3)*(CsDJ[Account Code]=(TRIM($B112))),CsDJ[Credit])))+(SUM(IF((CRDJ[Date]=$A$3)*(CRDJ[Account Code]=(TRIM($B112))),CRDJ[Credit])))+(SUM(IF((GJ[Date]=$A$3)*(GJ[Account Code]=(TRIM($B112))),GJ[Credit]))))</f>
        <v>0</v>
      </c>
      <c r="G112" s="343">
        <f t="shared" si="9"/>
        <v>0</v>
      </c>
      <c r="H112" s="246">
        <f t="shared" si="6"/>
        <v>-5150000.12</v>
      </c>
      <c r="I112" s="246">
        <f t="shared" si="7"/>
        <v>0</v>
      </c>
    </row>
    <row r="113" spans="1:9" hidden="1">
      <c r="A113" s="256" t="s">
        <v>1026</v>
      </c>
      <c r="B113" s="339" t="s">
        <v>252</v>
      </c>
      <c r="C113" s="245">
        <f t="array" ref="C113">SUM(IF((Budget[Account Code]=B113),(Budget[Amount])))</f>
        <v>5000000</v>
      </c>
      <c r="D113" s="245">
        <f t="array" ref="D113">SUM(IF((Budget[Account Code]=B113)*(Budget[Date]&lt;=$D$7),(Budget[Amount])))</f>
        <v>5000000</v>
      </c>
      <c r="E113" s="245">
        <f t="array" ref="E113">((SUM(IF((CkDJ[Account Code]=(TRIM($B113)))*(CkDJ[Date]&lt;=$E$7),CkDJ[Debit])))+(SUM(IF((CsDJ[Account Code]=(TRIM($B113)))*(CsDJ[Date]&lt;=$E$7),CsDJ[Debit])))+(SUM(IF((CRDJ[Account Code]=(TRIM($B113)))*(CRDJ[Date]&lt;=$E$7),CRDJ[Debit])))+(SUM(IF((GJ[Account Code]=(TRIM($B113)))*(GJ[Date]&lt;=$E$7),GJ[Debit]))))-((SUM(IF((CkDJ[Account Code]=(TRIM($B113)))*(CkDJ[Date]&lt;=$E$7),CkDJ[Credit])))+(SUM(IF((CsDJ[Account Code]=(TRIM($B113)))*(CsDJ[Date]&lt;=$E$7),CsDJ[Credit])))+(SUM(IF((CRDJ[Account Code]=(TRIM($B113)))*(CRDJ[Date]&lt;=$E$7),CRDJ[Credit])))+(SUM(IF((GJ[Account Code]=(TRIM($B113)))*(GJ[Date]&lt;=$E$7),GJ[Credit]))))</f>
        <v>0</v>
      </c>
      <c r="F113" s="245">
        <f t="array" ref="F113">((SUM(IF((CkDJ[Date]=$A$3)*(CkDJ[Account Code]=(TRIM($B113))),CkDJ[Debit])))+(SUM(IF((CsDJ[Date]=$A$3)*(CsDJ[Account Code]=(TRIM($B113))),CsDJ[Debit])))+(SUM(IF((CRDJ[Date]=$A$3)*(CRDJ[Account Code]=(TRIM($B113))),CRDJ[Debit])))+(SUM(IF((GJ[Date]=$A$3)*(GJ[Account Code]=(TRIM($B113))),GJ[Debit]))))-((SUM(IF((CkDJ[Date]=$A$3)*(CkDJ[Account Code]=(TRIM($B113))),CkDJ[Credit])))+(SUM(IF((CsDJ[Date]=$A$3)*(CsDJ[Account Code]=(TRIM($B113))),CsDJ[Credit])))+(SUM(IF((CRDJ[Date]=$A$3)*(CRDJ[Account Code]=(TRIM($B113))),CRDJ[Credit])))+(SUM(IF((GJ[Date]=$A$3)*(GJ[Account Code]=(TRIM($B113))),GJ[Credit]))))</f>
        <v>0</v>
      </c>
      <c r="G113" s="343">
        <f t="shared" si="9"/>
        <v>0</v>
      </c>
      <c r="H113" s="246">
        <f t="shared" si="6"/>
        <v>-5000000</v>
      </c>
      <c r="I113" s="246">
        <f t="shared" si="7"/>
        <v>0</v>
      </c>
    </row>
    <row r="114" spans="1:9" hidden="1">
      <c r="A114" s="256" t="s">
        <v>307</v>
      </c>
      <c r="B114" s="339" t="s">
        <v>253</v>
      </c>
      <c r="C114" s="245">
        <f t="array" ref="C114">SUM(IF((Budget[Account Code]=B114),(Budget[Amount])))</f>
        <v>100000</v>
      </c>
      <c r="D114" s="245">
        <f t="array" ref="D114">SUM(IF((Budget[Account Code]=B114)*(Budget[Date]&lt;=$D$7),(Budget[Amount])))</f>
        <v>100000</v>
      </c>
      <c r="E114" s="245">
        <f t="array" ref="E114">((SUM(IF((CkDJ[Account Code]=(TRIM($B114)))*(CkDJ[Date]&lt;=$E$7),CkDJ[Debit])))+(SUM(IF((CsDJ[Account Code]=(TRIM($B114)))*(CsDJ[Date]&lt;=$E$7),CsDJ[Debit])))+(SUM(IF((CRDJ[Account Code]=(TRIM($B114)))*(CRDJ[Date]&lt;=$E$7),CRDJ[Debit])))+(SUM(IF((GJ[Account Code]=(TRIM($B114)))*(GJ[Date]&lt;=$E$7),GJ[Debit]))))-((SUM(IF((CkDJ[Account Code]=(TRIM($B114)))*(CkDJ[Date]&lt;=$E$7),CkDJ[Credit])))+(SUM(IF((CsDJ[Account Code]=(TRIM($B114)))*(CsDJ[Date]&lt;=$E$7),CsDJ[Credit])))+(SUM(IF((CRDJ[Account Code]=(TRIM($B114)))*(CRDJ[Date]&lt;=$E$7),CRDJ[Credit])))+(SUM(IF((GJ[Account Code]=(TRIM($B114)))*(GJ[Date]&lt;=$E$7),GJ[Credit]))))</f>
        <v>0</v>
      </c>
      <c r="F114" s="245">
        <f t="array" ref="F114">((SUM(IF((CkDJ[Date]=$A$3)*(CkDJ[Account Code]=(TRIM($B114))),CkDJ[Debit])))+(SUM(IF((CsDJ[Date]=$A$3)*(CsDJ[Account Code]=(TRIM($B114))),CsDJ[Debit])))+(SUM(IF((CRDJ[Date]=$A$3)*(CRDJ[Account Code]=(TRIM($B114))),CRDJ[Debit])))+(SUM(IF((GJ[Date]=$A$3)*(GJ[Account Code]=(TRIM($B114))),GJ[Debit]))))-((SUM(IF((CkDJ[Date]=$A$3)*(CkDJ[Account Code]=(TRIM($B114))),CkDJ[Credit])))+(SUM(IF((CsDJ[Date]=$A$3)*(CsDJ[Account Code]=(TRIM($B114))),CsDJ[Credit])))+(SUM(IF((CRDJ[Date]=$A$3)*(CRDJ[Account Code]=(TRIM($B114))),CRDJ[Credit])))+(SUM(IF((GJ[Date]=$A$3)*(GJ[Account Code]=(TRIM($B114))),GJ[Credit]))))</f>
        <v>0</v>
      </c>
      <c r="G114" s="343">
        <f t="shared" si="9"/>
        <v>0</v>
      </c>
      <c r="H114" s="246">
        <f t="shared" si="6"/>
        <v>-100000</v>
      </c>
      <c r="I114" s="246">
        <f t="shared" si="7"/>
        <v>0</v>
      </c>
    </row>
    <row r="115" spans="1:9" hidden="1">
      <c r="A115" s="256" t="s">
        <v>308</v>
      </c>
      <c r="B115" s="339" t="s">
        <v>256</v>
      </c>
      <c r="C115" s="245">
        <f t="array" ref="C115">SUM(IF((Budget[Account Code]=B115),(Budget[Amount])))</f>
        <v>0</v>
      </c>
      <c r="D115" s="245">
        <f t="array" ref="D115">SUM(IF((Budget[Account Code]=B115)*(Budget[Date]&lt;=$D$7),(Budget[Amount])))</f>
        <v>0</v>
      </c>
      <c r="E115" s="245">
        <f t="array" ref="E115">((SUM(IF((CkDJ[Account Code]=(TRIM($B115)))*(CkDJ[Date]&lt;=$E$7),CkDJ[Debit])))+(SUM(IF((CsDJ[Account Code]=(TRIM($B115)))*(CsDJ[Date]&lt;=$E$7),CsDJ[Debit])))+(SUM(IF((CRDJ[Account Code]=(TRIM($B115)))*(CRDJ[Date]&lt;=$E$7),CRDJ[Debit])))+(SUM(IF((GJ[Account Code]=(TRIM($B115)))*(GJ[Date]&lt;=$E$7),GJ[Debit]))))-((SUM(IF((CkDJ[Account Code]=(TRIM($B115)))*(CkDJ[Date]&lt;=$E$7),CkDJ[Credit])))+(SUM(IF((CsDJ[Account Code]=(TRIM($B115)))*(CsDJ[Date]&lt;=$E$7),CsDJ[Credit])))+(SUM(IF((CRDJ[Account Code]=(TRIM($B115)))*(CRDJ[Date]&lt;=$E$7),CRDJ[Credit])))+(SUM(IF((GJ[Account Code]=(TRIM($B115)))*(GJ[Date]&lt;=$E$7),GJ[Credit]))))</f>
        <v>0</v>
      </c>
      <c r="F115" s="245">
        <f t="array" ref="F115">((SUM(IF((CkDJ[Date]=$A$3)*(CkDJ[Account Code]=(TRIM($B115))),CkDJ[Debit])))+(SUM(IF((CsDJ[Date]=$A$3)*(CsDJ[Account Code]=(TRIM($B115))),CsDJ[Debit])))+(SUM(IF((CRDJ[Date]=$A$3)*(CRDJ[Account Code]=(TRIM($B115))),CRDJ[Debit])))+(SUM(IF((GJ[Date]=$A$3)*(GJ[Account Code]=(TRIM($B115))),GJ[Debit]))))-((SUM(IF((CkDJ[Date]=$A$3)*(CkDJ[Account Code]=(TRIM($B115))),CkDJ[Credit])))+(SUM(IF((CsDJ[Date]=$A$3)*(CsDJ[Account Code]=(TRIM($B115))),CsDJ[Credit])))+(SUM(IF((CRDJ[Date]=$A$3)*(CRDJ[Account Code]=(TRIM($B115))),CRDJ[Credit])))+(SUM(IF((GJ[Date]=$A$3)*(GJ[Account Code]=(TRIM($B115))),GJ[Credit]))))</f>
        <v>0</v>
      </c>
      <c r="G115" s="343">
        <f t="shared" si="9"/>
        <v>0</v>
      </c>
      <c r="H115" s="246">
        <f t="shared" si="6"/>
        <v>0</v>
      </c>
      <c r="I115" s="246">
        <f t="shared" si="7"/>
        <v>0</v>
      </c>
    </row>
    <row r="116" spans="1:9" hidden="1">
      <c r="A116" s="256" t="s">
        <v>309</v>
      </c>
      <c r="B116" s="339" t="s">
        <v>258</v>
      </c>
      <c r="C116" s="245">
        <f t="array" ref="C116">SUM(IF((Budget[Account Code]=B116),(Budget[Amount])))</f>
        <v>0</v>
      </c>
      <c r="D116" s="245">
        <f t="array" ref="D116">SUM(IF((Budget[Account Code]=B116)*(Budget[Date]&lt;=$D$7),(Budget[Amount])))</f>
        <v>0</v>
      </c>
      <c r="E116" s="245">
        <f t="array" ref="E116">((SUM(IF((CkDJ[Account Code]=(TRIM($B116)))*(CkDJ[Date]&lt;=$E$7),CkDJ[Debit])))+(SUM(IF((CsDJ[Account Code]=(TRIM($B116)))*(CsDJ[Date]&lt;=$E$7),CsDJ[Debit])))+(SUM(IF((CRDJ[Account Code]=(TRIM($B116)))*(CRDJ[Date]&lt;=$E$7),CRDJ[Debit])))+(SUM(IF((GJ[Account Code]=(TRIM($B116)))*(GJ[Date]&lt;=$E$7),GJ[Debit]))))-((SUM(IF((CkDJ[Account Code]=(TRIM($B116)))*(CkDJ[Date]&lt;=$E$7),CkDJ[Credit])))+(SUM(IF((CsDJ[Account Code]=(TRIM($B116)))*(CsDJ[Date]&lt;=$E$7),CsDJ[Credit])))+(SUM(IF((CRDJ[Account Code]=(TRIM($B116)))*(CRDJ[Date]&lt;=$E$7),CRDJ[Credit])))+(SUM(IF((GJ[Account Code]=(TRIM($B116)))*(GJ[Date]&lt;=$E$7),GJ[Credit]))))</f>
        <v>0</v>
      </c>
      <c r="F116" s="245">
        <f t="array" ref="F116">((SUM(IF((CkDJ[Date]=$A$3)*(CkDJ[Account Code]=(TRIM($B116))),CkDJ[Debit])))+(SUM(IF((CsDJ[Date]=$A$3)*(CsDJ[Account Code]=(TRIM($B116))),CsDJ[Debit])))+(SUM(IF((CRDJ[Date]=$A$3)*(CRDJ[Account Code]=(TRIM($B116))),CRDJ[Debit])))+(SUM(IF((GJ[Date]=$A$3)*(GJ[Account Code]=(TRIM($B116))),GJ[Debit]))))-((SUM(IF((CkDJ[Date]=$A$3)*(CkDJ[Account Code]=(TRIM($B116))),CkDJ[Credit])))+(SUM(IF((CsDJ[Date]=$A$3)*(CsDJ[Account Code]=(TRIM($B116))),CsDJ[Credit])))+(SUM(IF((CRDJ[Date]=$A$3)*(CRDJ[Account Code]=(TRIM($B116))),CRDJ[Credit])))+(SUM(IF((GJ[Date]=$A$3)*(GJ[Account Code]=(TRIM($B116))),GJ[Credit]))))</f>
        <v>0</v>
      </c>
      <c r="G116" s="343">
        <f t="shared" si="9"/>
        <v>0</v>
      </c>
      <c r="H116" s="246">
        <f t="shared" si="6"/>
        <v>0</v>
      </c>
      <c r="I116" s="246">
        <f t="shared" si="7"/>
        <v>0</v>
      </c>
    </row>
    <row r="117" spans="1:9" hidden="1">
      <c r="A117" s="256" t="s">
        <v>310</v>
      </c>
      <c r="B117" s="339" t="s">
        <v>261</v>
      </c>
      <c r="C117" s="245">
        <f t="array" ref="C117">SUM(IF((Budget[Account Code]=B117),(Budget[Amount])))</f>
        <v>0</v>
      </c>
      <c r="D117" s="245">
        <f t="array" ref="D117">SUM(IF((Budget[Account Code]=B117)*(Budget[Date]&lt;=$D$7),(Budget[Amount])))</f>
        <v>0</v>
      </c>
      <c r="E117" s="245">
        <f t="array" ref="E117">((SUM(IF((CkDJ[Account Code]=(TRIM($B117)))*(CkDJ[Date]&lt;=$E$7),CkDJ[Debit])))+(SUM(IF((CsDJ[Account Code]=(TRIM($B117)))*(CsDJ[Date]&lt;=$E$7),CsDJ[Debit])))+(SUM(IF((CRDJ[Account Code]=(TRIM($B117)))*(CRDJ[Date]&lt;=$E$7),CRDJ[Debit])))+(SUM(IF((GJ[Account Code]=(TRIM($B117)))*(GJ[Date]&lt;=$E$7),GJ[Debit]))))-((SUM(IF((CkDJ[Account Code]=(TRIM($B117)))*(CkDJ[Date]&lt;=$E$7),CkDJ[Credit])))+(SUM(IF((CsDJ[Account Code]=(TRIM($B117)))*(CsDJ[Date]&lt;=$E$7),CsDJ[Credit])))+(SUM(IF((CRDJ[Account Code]=(TRIM($B117)))*(CRDJ[Date]&lt;=$E$7),CRDJ[Credit])))+(SUM(IF((GJ[Account Code]=(TRIM($B117)))*(GJ[Date]&lt;=$E$7),GJ[Credit]))))</f>
        <v>0</v>
      </c>
      <c r="F117" s="245">
        <f t="array" ref="F117">((SUM(IF((CkDJ[Date]=$A$3)*(CkDJ[Account Code]=(TRIM($B117))),CkDJ[Debit])))+(SUM(IF((CsDJ[Date]=$A$3)*(CsDJ[Account Code]=(TRIM($B117))),CsDJ[Debit])))+(SUM(IF((CRDJ[Date]=$A$3)*(CRDJ[Account Code]=(TRIM($B117))),CRDJ[Debit])))+(SUM(IF((GJ[Date]=$A$3)*(GJ[Account Code]=(TRIM($B117))),GJ[Debit]))))-((SUM(IF((CkDJ[Date]=$A$3)*(CkDJ[Account Code]=(TRIM($B117))),CkDJ[Credit])))+(SUM(IF((CsDJ[Date]=$A$3)*(CsDJ[Account Code]=(TRIM($B117))),CsDJ[Credit])))+(SUM(IF((CRDJ[Date]=$A$3)*(CRDJ[Account Code]=(TRIM($B117))),CRDJ[Credit])))+(SUM(IF((GJ[Date]=$A$3)*(GJ[Account Code]=(TRIM($B117))),GJ[Credit]))))</f>
        <v>0</v>
      </c>
      <c r="G117" s="343">
        <f t="shared" si="9"/>
        <v>0</v>
      </c>
      <c r="H117" s="246">
        <f t="shared" si="6"/>
        <v>0</v>
      </c>
      <c r="I117" s="246">
        <f t="shared" si="7"/>
        <v>0</v>
      </c>
    </row>
    <row r="118" spans="1:9" hidden="1">
      <c r="A118" s="256" t="s">
        <v>311</v>
      </c>
      <c r="B118" s="339" t="s">
        <v>262</v>
      </c>
      <c r="C118" s="245">
        <f t="array" ref="C118">SUM(IF((Budget[Account Code]=B118),(Budget[Amount])))</f>
        <v>1975175.64</v>
      </c>
      <c r="D118" s="245">
        <f t="array" ref="D118">SUM(IF((Budget[Account Code]=B118)*(Budget[Date]&lt;=$D$7),(Budget[Amount])))</f>
        <v>1975175.64</v>
      </c>
      <c r="E118" s="245">
        <f t="array" ref="E118">((SUM(IF((CkDJ[Account Code]=(TRIM($B118)))*(CkDJ[Date]&lt;=$E$7),CkDJ[Debit])))+(SUM(IF((CsDJ[Account Code]=(TRIM($B118)))*(CsDJ[Date]&lt;=$E$7),CsDJ[Debit])))+(SUM(IF((CRDJ[Account Code]=(TRIM($B118)))*(CRDJ[Date]&lt;=$E$7),CRDJ[Debit])))+(SUM(IF((GJ[Account Code]=(TRIM($B118)))*(GJ[Date]&lt;=$E$7),GJ[Debit]))))-((SUM(IF((CkDJ[Account Code]=(TRIM($B118)))*(CkDJ[Date]&lt;=$E$7),CkDJ[Credit])))+(SUM(IF((CsDJ[Account Code]=(TRIM($B118)))*(CsDJ[Date]&lt;=$E$7),CsDJ[Credit])))+(SUM(IF((CRDJ[Account Code]=(TRIM($B118)))*(CRDJ[Date]&lt;=$E$7),CRDJ[Credit])))+(SUM(IF((GJ[Account Code]=(TRIM($B118)))*(GJ[Date]&lt;=$E$7),GJ[Credit]))))</f>
        <v>0</v>
      </c>
      <c r="F118" s="245">
        <f t="array" ref="F118">((SUM(IF((CkDJ[Date]=$A$3)*(CkDJ[Account Code]=(TRIM($B118))),CkDJ[Debit])))+(SUM(IF((CsDJ[Date]=$A$3)*(CsDJ[Account Code]=(TRIM($B118))),CsDJ[Debit])))+(SUM(IF((CRDJ[Date]=$A$3)*(CRDJ[Account Code]=(TRIM($B118))),CRDJ[Debit])))+(SUM(IF((GJ[Date]=$A$3)*(GJ[Account Code]=(TRIM($B118))),GJ[Debit]))))-((SUM(IF((CkDJ[Date]=$A$3)*(CkDJ[Account Code]=(TRIM($B118))),CkDJ[Credit])))+(SUM(IF((CsDJ[Date]=$A$3)*(CsDJ[Account Code]=(TRIM($B118))),CsDJ[Credit])))+(SUM(IF((CRDJ[Date]=$A$3)*(CRDJ[Account Code]=(TRIM($B118))),CRDJ[Credit])))+(SUM(IF((GJ[Date]=$A$3)*(GJ[Account Code]=(TRIM($B118))),GJ[Credit]))))</f>
        <v>0</v>
      </c>
      <c r="G118" s="343">
        <f t="shared" si="9"/>
        <v>0</v>
      </c>
      <c r="H118" s="246">
        <f t="shared" si="6"/>
        <v>-1975175.64</v>
      </c>
      <c r="I118" s="246">
        <f t="shared" si="7"/>
        <v>0</v>
      </c>
    </row>
    <row r="119" spans="1:9" hidden="1">
      <c r="A119" s="256" t="s">
        <v>312</v>
      </c>
      <c r="B119" s="339" t="s">
        <v>264</v>
      </c>
      <c r="C119" s="245">
        <f t="array" ref="C119">SUM(IF((Budget[Account Code]=B119),(Budget[Amount])))</f>
        <v>0</v>
      </c>
      <c r="D119" s="245">
        <f t="array" ref="D119">SUM(IF((Budget[Account Code]=B119)*(Budget[Date]&lt;=$D$7),(Budget[Amount])))</f>
        <v>0</v>
      </c>
      <c r="E119" s="245">
        <f t="array" ref="E119">((SUM(IF((CkDJ[Account Code]=(TRIM($B119)))*(CkDJ[Date]&lt;=$E$7),CkDJ[Debit])))+(SUM(IF((CsDJ[Account Code]=(TRIM($B119)))*(CsDJ[Date]&lt;=$E$7),CsDJ[Debit])))+(SUM(IF((CRDJ[Account Code]=(TRIM($B119)))*(CRDJ[Date]&lt;=$E$7),CRDJ[Debit])))+(SUM(IF((GJ[Account Code]=(TRIM($B119)))*(GJ[Date]&lt;=$E$7),GJ[Debit]))))-((SUM(IF((CkDJ[Account Code]=(TRIM($B119)))*(CkDJ[Date]&lt;=$E$7),CkDJ[Credit])))+(SUM(IF((CsDJ[Account Code]=(TRIM($B119)))*(CsDJ[Date]&lt;=$E$7),CsDJ[Credit])))+(SUM(IF((CRDJ[Account Code]=(TRIM($B119)))*(CRDJ[Date]&lt;=$E$7),CRDJ[Credit])))+(SUM(IF((GJ[Account Code]=(TRIM($B119)))*(GJ[Date]&lt;=$E$7),GJ[Credit]))))</f>
        <v>0</v>
      </c>
      <c r="F119" s="245">
        <f t="array" ref="F119">((SUM(IF((CkDJ[Date]=$A$3)*(CkDJ[Account Code]=(TRIM($B119))),CkDJ[Debit])))+(SUM(IF((CsDJ[Date]=$A$3)*(CsDJ[Account Code]=(TRIM($B119))),CsDJ[Debit])))+(SUM(IF((CRDJ[Date]=$A$3)*(CRDJ[Account Code]=(TRIM($B119))),CRDJ[Debit])))+(SUM(IF((GJ[Date]=$A$3)*(GJ[Account Code]=(TRIM($B119))),GJ[Debit]))))-((SUM(IF((CkDJ[Date]=$A$3)*(CkDJ[Account Code]=(TRIM($B119))),CkDJ[Credit])))+(SUM(IF((CsDJ[Date]=$A$3)*(CsDJ[Account Code]=(TRIM($B119))),CsDJ[Credit])))+(SUM(IF((CRDJ[Date]=$A$3)*(CRDJ[Account Code]=(TRIM($B119))),CRDJ[Credit])))+(SUM(IF((GJ[Date]=$A$3)*(GJ[Account Code]=(TRIM($B119))),GJ[Credit]))))</f>
        <v>0</v>
      </c>
      <c r="G119" s="343">
        <f t="shared" si="9"/>
        <v>0</v>
      </c>
      <c r="H119" s="246">
        <f t="shared" si="6"/>
        <v>0</v>
      </c>
      <c r="I119" s="246">
        <f t="shared" si="7"/>
        <v>0</v>
      </c>
    </row>
    <row r="120" spans="1:9" hidden="1">
      <c r="A120" s="256" t="s">
        <v>313</v>
      </c>
      <c r="B120" s="339" t="s">
        <v>265</v>
      </c>
      <c r="C120" s="245">
        <f t="array" ref="C120">SUM(IF((Budget[Account Code]=B120),(Budget[Amount])))</f>
        <v>100000</v>
      </c>
      <c r="D120" s="245">
        <f t="array" ref="D120">SUM(IF((Budget[Account Code]=B120)*(Budget[Date]&lt;=$D$7),(Budget[Amount])))</f>
        <v>100000</v>
      </c>
      <c r="E120" s="245">
        <f t="array" ref="E120">((SUM(IF((CkDJ[Account Code]=(TRIM($B120)))*(CkDJ[Date]&lt;=$E$7),CkDJ[Debit])))+(SUM(IF((CsDJ[Account Code]=(TRIM($B120)))*(CsDJ[Date]&lt;=$E$7),CsDJ[Debit])))+(SUM(IF((CRDJ[Account Code]=(TRIM($B120)))*(CRDJ[Date]&lt;=$E$7),CRDJ[Debit])))+(SUM(IF((GJ[Account Code]=(TRIM($B120)))*(GJ[Date]&lt;=$E$7),GJ[Debit]))))-((SUM(IF((CkDJ[Account Code]=(TRIM($B120)))*(CkDJ[Date]&lt;=$E$7),CkDJ[Credit])))+(SUM(IF((CsDJ[Account Code]=(TRIM($B120)))*(CsDJ[Date]&lt;=$E$7),CsDJ[Credit])))+(SUM(IF((CRDJ[Account Code]=(TRIM($B120)))*(CRDJ[Date]&lt;=$E$7),CRDJ[Credit])))+(SUM(IF((GJ[Account Code]=(TRIM($B120)))*(GJ[Date]&lt;=$E$7),GJ[Credit]))))</f>
        <v>0</v>
      </c>
      <c r="F120" s="245">
        <f t="array" ref="F120">((SUM(IF((CkDJ[Date]=$A$3)*(CkDJ[Account Code]=(TRIM($B120))),CkDJ[Debit])))+(SUM(IF((CsDJ[Date]=$A$3)*(CsDJ[Account Code]=(TRIM($B120))),CsDJ[Debit])))+(SUM(IF((CRDJ[Date]=$A$3)*(CRDJ[Account Code]=(TRIM($B120))),CRDJ[Debit])))+(SUM(IF((GJ[Date]=$A$3)*(GJ[Account Code]=(TRIM($B120))),GJ[Debit]))))-((SUM(IF((CkDJ[Date]=$A$3)*(CkDJ[Account Code]=(TRIM($B120))),CkDJ[Credit])))+(SUM(IF((CsDJ[Date]=$A$3)*(CsDJ[Account Code]=(TRIM($B120))),CsDJ[Credit])))+(SUM(IF((CRDJ[Date]=$A$3)*(CRDJ[Account Code]=(TRIM($B120))),CRDJ[Credit])))+(SUM(IF((GJ[Date]=$A$3)*(GJ[Account Code]=(TRIM($B120))),GJ[Credit]))))</f>
        <v>0</v>
      </c>
      <c r="G120" s="343">
        <f t="shared" si="9"/>
        <v>0</v>
      </c>
      <c r="H120" s="246">
        <f t="shared" ref="H120:H145" si="10">G120-D120</f>
        <v>-100000</v>
      </c>
      <c r="I120" s="246">
        <f t="shared" ref="I120:I145" si="11">IF((D120=0),0,G120/D120)</f>
        <v>0</v>
      </c>
    </row>
    <row r="121" spans="1:9" hidden="1">
      <c r="A121" s="256" t="s">
        <v>1027</v>
      </c>
      <c r="B121" s="339" t="s">
        <v>269</v>
      </c>
      <c r="C121" s="245">
        <f t="array" ref="C121">SUM(IF((Budget[Account Code]=B121),(Budget[Amount])))</f>
        <v>0</v>
      </c>
      <c r="D121" s="245">
        <f t="array" ref="D121">SUM(IF((Budget[Account Code]=B121)*(Budget[Date]&lt;=$D$7),(Budget[Amount])))</f>
        <v>0</v>
      </c>
      <c r="E121" s="245">
        <f t="array" ref="E121">((SUM(IF((CkDJ[Account Code]=(TRIM($B121)))*(CkDJ[Date]&lt;=$E$7),CkDJ[Debit])))+(SUM(IF((CsDJ[Account Code]=(TRIM($B121)))*(CsDJ[Date]&lt;=$E$7),CsDJ[Debit])))+(SUM(IF((CRDJ[Account Code]=(TRIM($B121)))*(CRDJ[Date]&lt;=$E$7),CRDJ[Debit])))+(SUM(IF((GJ[Account Code]=(TRIM($B121)))*(GJ[Date]&lt;=$E$7),GJ[Debit]))))-((SUM(IF((CkDJ[Account Code]=(TRIM($B121)))*(CkDJ[Date]&lt;=$E$7),CkDJ[Credit])))+(SUM(IF((CsDJ[Account Code]=(TRIM($B121)))*(CsDJ[Date]&lt;=$E$7),CsDJ[Credit])))+(SUM(IF((CRDJ[Account Code]=(TRIM($B121)))*(CRDJ[Date]&lt;=$E$7),CRDJ[Credit])))+(SUM(IF((GJ[Account Code]=(TRIM($B121)))*(GJ[Date]&lt;=$E$7),GJ[Credit]))))</f>
        <v>0</v>
      </c>
      <c r="F121" s="245">
        <f t="array" ref="F121">((SUM(IF((CkDJ[Date]=$A$3)*(CkDJ[Account Code]=(TRIM($B121))),CkDJ[Debit])))+(SUM(IF((CsDJ[Date]=$A$3)*(CsDJ[Account Code]=(TRIM($B121))),CsDJ[Debit])))+(SUM(IF((CRDJ[Date]=$A$3)*(CRDJ[Account Code]=(TRIM($B121))),CRDJ[Debit])))+(SUM(IF((GJ[Date]=$A$3)*(GJ[Account Code]=(TRIM($B121))),GJ[Debit]))))-((SUM(IF((CkDJ[Date]=$A$3)*(CkDJ[Account Code]=(TRIM($B121))),CkDJ[Credit])))+(SUM(IF((CsDJ[Date]=$A$3)*(CsDJ[Account Code]=(TRIM($B121))),CsDJ[Credit])))+(SUM(IF((CRDJ[Date]=$A$3)*(CRDJ[Account Code]=(TRIM($B121))),CRDJ[Credit])))+(SUM(IF((GJ[Date]=$A$3)*(GJ[Account Code]=(TRIM($B121))),GJ[Credit]))))</f>
        <v>0</v>
      </c>
      <c r="G121" s="343">
        <f t="shared" si="9"/>
        <v>0</v>
      </c>
      <c r="H121" s="246">
        <f t="shared" si="10"/>
        <v>0</v>
      </c>
      <c r="I121" s="246">
        <f t="shared" si="11"/>
        <v>0</v>
      </c>
    </row>
    <row r="122" spans="1:9">
      <c r="A122" s="256" t="s">
        <v>409</v>
      </c>
      <c r="B122" s="339" t="s">
        <v>408</v>
      </c>
      <c r="C122" s="245">
        <f t="array" ref="C122">SUM(IF((Budget[Account Code]=B122),(Budget[Amount])))</f>
        <v>0</v>
      </c>
      <c r="D122" s="245">
        <f t="array" ref="D122">SUM(IF((Budget[Account Code]=B122)*(Budget[Date]&lt;=$D$7),(Budget[Amount])))</f>
        <v>0</v>
      </c>
      <c r="E122" s="245">
        <f t="array" ref="E122">((SUM(IF((CkDJ[Account Code]=(TRIM($B122)))*(CkDJ[Date]&lt;=$E$7),CkDJ[Debit])))+(SUM(IF((CsDJ[Account Code]=(TRIM($B122)))*(CsDJ[Date]&lt;=$E$7),CsDJ[Debit])))+(SUM(IF((CRDJ[Account Code]=(TRIM($B122)))*(CRDJ[Date]&lt;=$E$7),CRDJ[Debit])))+(SUM(IF((GJ[Account Code]=(TRIM($B122)))*(GJ[Date]&lt;=$E$7),GJ[Debit]))))-((SUM(IF((CkDJ[Account Code]=(TRIM($B122)))*(CkDJ[Date]&lt;=$E$7),CkDJ[Credit])))+(SUM(IF((CsDJ[Account Code]=(TRIM($B122)))*(CsDJ[Date]&lt;=$E$7),CsDJ[Credit])))+(SUM(IF((CRDJ[Account Code]=(TRIM($B122)))*(CRDJ[Date]&lt;=$E$7),CRDJ[Credit])))+(SUM(IF((GJ[Account Code]=(TRIM($B122)))*(GJ[Date]&lt;=$E$7),GJ[Credit]))))</f>
        <v>0</v>
      </c>
      <c r="F122" s="245">
        <f t="array" ref="F122">((SUM(IF((CkDJ[Date]=$A$3)*(CkDJ[Account Code]=(TRIM($B122))),CkDJ[Debit])))+(SUM(IF((CsDJ[Date]=$A$3)*(CsDJ[Account Code]=(TRIM($B122))),CsDJ[Debit])))+(SUM(IF((CRDJ[Date]=$A$3)*(CRDJ[Account Code]=(TRIM($B122))),CRDJ[Debit])))+(SUM(IF((GJ[Date]=$A$3)*(GJ[Account Code]=(TRIM($B122))),GJ[Debit]))))-((SUM(IF((CkDJ[Date]=$A$3)*(CkDJ[Account Code]=(TRIM($B122))),CkDJ[Credit])))+(SUM(IF((CsDJ[Date]=$A$3)*(CsDJ[Account Code]=(TRIM($B122))),CsDJ[Credit])))+(SUM(IF((CRDJ[Date]=$A$3)*(CRDJ[Account Code]=(TRIM($B122))),CRDJ[Credit])))+(SUM(IF((GJ[Date]=$A$3)*(GJ[Account Code]=(TRIM($B122))),GJ[Credit]))))</f>
        <v>0</v>
      </c>
      <c r="G122" s="343">
        <f t="shared" si="9"/>
        <v>0</v>
      </c>
      <c r="H122" s="246">
        <f t="shared" si="10"/>
        <v>0</v>
      </c>
      <c r="I122" s="246">
        <f t="shared" si="11"/>
        <v>0</v>
      </c>
    </row>
    <row r="123" spans="1:9">
      <c r="A123" s="256" t="s">
        <v>315</v>
      </c>
      <c r="B123" s="339" t="s">
        <v>270</v>
      </c>
      <c r="C123" s="245">
        <f t="array" ref="C123">SUM(IF((Budget[Account Code]=B123),(Budget[Amount])))</f>
        <v>0</v>
      </c>
      <c r="D123" s="245">
        <f t="array" ref="D123">SUM(IF((Budget[Account Code]=B123)*(Budget[Date]&lt;=$D$7),(Budget[Amount])))</f>
        <v>0</v>
      </c>
      <c r="E123" s="245">
        <f t="array" ref="E123">((SUM(IF((CkDJ[Account Code]=(TRIM($B123)))*(CkDJ[Date]&lt;=$E$7),CkDJ[Debit])))+(SUM(IF((CsDJ[Account Code]=(TRIM($B123)))*(CsDJ[Date]&lt;=$E$7),CsDJ[Debit])))+(SUM(IF((CRDJ[Account Code]=(TRIM($B123)))*(CRDJ[Date]&lt;=$E$7),CRDJ[Debit])))+(SUM(IF((GJ[Account Code]=(TRIM($B123)))*(GJ[Date]&lt;=$E$7),GJ[Debit]))))-((SUM(IF((CkDJ[Account Code]=(TRIM($B123)))*(CkDJ[Date]&lt;=$E$7),CkDJ[Credit])))+(SUM(IF((CsDJ[Account Code]=(TRIM($B123)))*(CsDJ[Date]&lt;=$E$7),CsDJ[Credit])))+(SUM(IF((CRDJ[Account Code]=(TRIM($B123)))*(CRDJ[Date]&lt;=$E$7),CRDJ[Credit])))+(SUM(IF((GJ[Account Code]=(TRIM($B123)))*(GJ[Date]&lt;=$E$7),GJ[Credit]))))</f>
        <v>0</v>
      </c>
      <c r="F123" s="245">
        <f t="array" ref="F123">((SUM(IF((CkDJ[Date]=$A$3)*(CkDJ[Account Code]=(TRIM($B123))),CkDJ[Debit])))+(SUM(IF((CsDJ[Date]=$A$3)*(CsDJ[Account Code]=(TRIM($B123))),CsDJ[Debit])))+(SUM(IF((CRDJ[Date]=$A$3)*(CRDJ[Account Code]=(TRIM($B123))),CRDJ[Debit])))+(SUM(IF((GJ[Date]=$A$3)*(GJ[Account Code]=(TRIM($B123))),GJ[Debit]))))-((SUM(IF((CkDJ[Date]=$A$3)*(CkDJ[Account Code]=(TRIM($B123))),CkDJ[Credit])))+(SUM(IF((CsDJ[Date]=$A$3)*(CsDJ[Account Code]=(TRIM($B123))),CsDJ[Credit])))+(SUM(IF((CRDJ[Date]=$A$3)*(CRDJ[Account Code]=(TRIM($B123))),CRDJ[Credit])))+(SUM(IF((GJ[Date]=$A$3)*(GJ[Account Code]=(TRIM($B123))),GJ[Credit]))))</f>
        <v>0</v>
      </c>
      <c r="G123" s="343">
        <f>E123+F123</f>
        <v>0</v>
      </c>
      <c r="H123" s="246">
        <f>G123-D123</f>
        <v>0</v>
      </c>
      <c r="I123" s="246">
        <f>IF((D123=0),0,G123/D123)</f>
        <v>0</v>
      </c>
    </row>
    <row r="124" spans="1:9" hidden="1">
      <c r="A124" s="256" t="s">
        <v>368</v>
      </c>
      <c r="B124" s="339" t="s">
        <v>271</v>
      </c>
      <c r="C124" s="245">
        <f t="array" ref="C124">SUM(IF((Budget[Account Code]=B124),(Budget[Amount])))</f>
        <v>941795</v>
      </c>
      <c r="D124" s="245">
        <f t="array" ref="D124">SUM(IF((Budget[Account Code]=B124)*(Budget[Date]&lt;=$D$7),(Budget[Amount])))</f>
        <v>941795</v>
      </c>
      <c r="E124" s="245">
        <f t="array" ref="E124">((SUM(IF((CkDJ[Account Code]=(TRIM($B124)))*(CkDJ[Date]&lt;=$E$7),CkDJ[Debit])))+(SUM(IF((CsDJ[Account Code]=(TRIM($B124)))*(CsDJ[Date]&lt;=$E$7),CsDJ[Debit])))+(SUM(IF((CRDJ[Account Code]=(TRIM($B124)))*(CRDJ[Date]&lt;=$E$7),CRDJ[Debit])))+(SUM(IF((GJ[Account Code]=(TRIM($B124)))*(GJ[Date]&lt;=$E$7),GJ[Debit]))))-((SUM(IF((CkDJ[Account Code]=(TRIM($B124)))*(CkDJ[Date]&lt;=$E$7),CkDJ[Credit])))+(SUM(IF((CsDJ[Account Code]=(TRIM($B124)))*(CsDJ[Date]&lt;=$E$7),CsDJ[Credit])))+(SUM(IF((CRDJ[Account Code]=(TRIM($B124)))*(CRDJ[Date]&lt;=$E$7),CRDJ[Credit])))+(SUM(IF((GJ[Account Code]=(TRIM($B124)))*(GJ[Date]&lt;=$E$7),GJ[Credit]))))</f>
        <v>0</v>
      </c>
      <c r="F124" s="245">
        <f t="array" ref="F124">((SUM(IF((CkDJ[Date]=$A$3)*(CkDJ[Account Code]=(TRIM($B124))),CkDJ[Debit])))+(SUM(IF((CsDJ[Date]=$A$3)*(CsDJ[Account Code]=(TRIM($B124))),CsDJ[Debit])))+(SUM(IF((CRDJ[Date]=$A$3)*(CRDJ[Account Code]=(TRIM($B124))),CRDJ[Debit])))+(SUM(IF((GJ[Date]=$A$3)*(GJ[Account Code]=(TRIM($B124))),GJ[Debit]))))-((SUM(IF((CkDJ[Date]=$A$3)*(CkDJ[Account Code]=(TRIM($B124))),CkDJ[Credit])))+(SUM(IF((CsDJ[Date]=$A$3)*(CsDJ[Account Code]=(TRIM($B124))),CsDJ[Credit])))+(SUM(IF((CRDJ[Date]=$A$3)*(CRDJ[Account Code]=(TRIM($B124))),CRDJ[Credit])))+(SUM(IF((GJ[Date]=$A$3)*(GJ[Account Code]=(TRIM($B124))),GJ[Credit]))))</f>
        <v>0</v>
      </c>
      <c r="G124" s="343">
        <f t="shared" si="9"/>
        <v>0</v>
      </c>
      <c r="H124" s="246">
        <f t="shared" si="10"/>
        <v>-941795</v>
      </c>
      <c r="I124" s="246">
        <f t="shared" si="11"/>
        <v>0</v>
      </c>
    </row>
    <row r="125" spans="1:9" hidden="1">
      <c r="A125" s="256" t="s">
        <v>316</v>
      </c>
      <c r="B125" s="339" t="s">
        <v>272</v>
      </c>
      <c r="C125" s="245">
        <f t="array" ref="C125">SUM(IF((Budget[Account Code]=B125),(Budget[Amount])))</f>
        <v>554330.41</v>
      </c>
      <c r="D125" s="245">
        <f t="array" ref="D125">SUM(IF((Budget[Account Code]=B125)*(Budget[Date]&lt;=$D$7),(Budget[Amount])))</f>
        <v>554330.41</v>
      </c>
      <c r="E125" s="245">
        <f t="array" ref="E125">((SUM(IF((CkDJ[Account Code]=(TRIM($B125)))*(CkDJ[Date]&lt;=$E$7),CkDJ[Debit])))+(SUM(IF((CsDJ[Account Code]=(TRIM($B125)))*(CsDJ[Date]&lt;=$E$7),CsDJ[Debit])))+(SUM(IF((CRDJ[Account Code]=(TRIM($B125)))*(CRDJ[Date]&lt;=$E$7),CRDJ[Debit])))+(SUM(IF((GJ[Account Code]=(TRIM($B125)))*(GJ[Date]&lt;=$E$7),GJ[Debit]))))-((SUM(IF((CkDJ[Account Code]=(TRIM($B125)))*(CkDJ[Date]&lt;=$E$7),CkDJ[Credit])))+(SUM(IF((CsDJ[Account Code]=(TRIM($B125)))*(CsDJ[Date]&lt;=$E$7),CsDJ[Credit])))+(SUM(IF((CRDJ[Account Code]=(TRIM($B125)))*(CRDJ[Date]&lt;=$E$7),CRDJ[Credit])))+(SUM(IF((GJ[Account Code]=(TRIM($B125)))*(GJ[Date]&lt;=$E$7),GJ[Credit]))))</f>
        <v>0</v>
      </c>
      <c r="F125" s="245">
        <f t="array" ref="F125">((SUM(IF((CkDJ[Date]=$A$3)*(CkDJ[Account Code]=(TRIM($B125))),CkDJ[Debit])))+(SUM(IF((CsDJ[Date]=$A$3)*(CsDJ[Account Code]=(TRIM($B125))),CsDJ[Debit])))+(SUM(IF((CRDJ[Date]=$A$3)*(CRDJ[Account Code]=(TRIM($B125))),CRDJ[Debit])))+(SUM(IF((GJ[Date]=$A$3)*(GJ[Account Code]=(TRIM($B125))),GJ[Debit]))))-((SUM(IF((CkDJ[Date]=$A$3)*(CkDJ[Account Code]=(TRIM($B125))),CkDJ[Credit])))+(SUM(IF((CsDJ[Date]=$A$3)*(CsDJ[Account Code]=(TRIM($B125))),CsDJ[Credit])))+(SUM(IF((CRDJ[Date]=$A$3)*(CRDJ[Account Code]=(TRIM($B125))),CRDJ[Credit])))+(SUM(IF((GJ[Date]=$A$3)*(GJ[Account Code]=(TRIM($B125))),GJ[Credit]))))</f>
        <v>0</v>
      </c>
      <c r="G125" s="343">
        <f t="shared" si="9"/>
        <v>0</v>
      </c>
      <c r="H125" s="246">
        <f t="shared" si="10"/>
        <v>-554330.41</v>
      </c>
      <c r="I125" s="246">
        <f t="shared" si="11"/>
        <v>0</v>
      </c>
    </row>
    <row r="126" spans="1:9" hidden="1">
      <c r="A126" s="256" t="s">
        <v>317</v>
      </c>
      <c r="B126" s="339" t="s">
        <v>273</v>
      </c>
      <c r="C126" s="245">
        <f t="array" ref="C126">SUM(IF((Budget[Account Code]=B126),(Budget[Amount])))</f>
        <v>0</v>
      </c>
      <c r="D126" s="245">
        <f t="array" ref="D126">SUM(IF((Budget[Account Code]=B126)*(Budget[Date]&lt;=$D$7),(Budget[Amount])))</f>
        <v>0</v>
      </c>
      <c r="E126" s="245">
        <f t="array" ref="E126">((SUM(IF((CkDJ[Account Code]=(TRIM($B126)))*(CkDJ[Date]&lt;=$E$7),CkDJ[Debit])))+(SUM(IF((CsDJ[Account Code]=(TRIM($B126)))*(CsDJ[Date]&lt;=$E$7),CsDJ[Debit])))+(SUM(IF((CRDJ[Account Code]=(TRIM($B126)))*(CRDJ[Date]&lt;=$E$7),CRDJ[Debit])))+(SUM(IF((GJ[Account Code]=(TRIM($B126)))*(GJ[Date]&lt;=$E$7),GJ[Debit]))))-((SUM(IF((CkDJ[Account Code]=(TRIM($B126)))*(CkDJ[Date]&lt;=$E$7),CkDJ[Credit])))+(SUM(IF((CsDJ[Account Code]=(TRIM($B126)))*(CsDJ[Date]&lt;=$E$7),CsDJ[Credit])))+(SUM(IF((CRDJ[Account Code]=(TRIM($B126)))*(CRDJ[Date]&lt;=$E$7),CRDJ[Credit])))+(SUM(IF((GJ[Account Code]=(TRIM($B126)))*(GJ[Date]&lt;=$E$7),GJ[Credit]))))</f>
        <v>0</v>
      </c>
      <c r="F126" s="245">
        <f t="array" ref="F126">((SUM(IF((CkDJ[Date]=$A$3)*(CkDJ[Account Code]=(TRIM($B126))),CkDJ[Debit])))+(SUM(IF((CsDJ[Date]=$A$3)*(CsDJ[Account Code]=(TRIM($B126))),CsDJ[Debit])))+(SUM(IF((CRDJ[Date]=$A$3)*(CRDJ[Account Code]=(TRIM($B126))),CRDJ[Debit])))+(SUM(IF((GJ[Date]=$A$3)*(GJ[Account Code]=(TRIM($B126))),GJ[Debit]))))-((SUM(IF((CkDJ[Date]=$A$3)*(CkDJ[Account Code]=(TRIM($B126))),CkDJ[Credit])))+(SUM(IF((CsDJ[Date]=$A$3)*(CsDJ[Account Code]=(TRIM($B126))),CsDJ[Credit])))+(SUM(IF((CRDJ[Date]=$A$3)*(CRDJ[Account Code]=(TRIM($B126))),CRDJ[Credit])))+(SUM(IF((GJ[Date]=$A$3)*(GJ[Account Code]=(TRIM($B126))),GJ[Credit]))))</f>
        <v>0</v>
      </c>
      <c r="G126" s="343">
        <f t="shared" si="9"/>
        <v>0</v>
      </c>
      <c r="H126" s="246">
        <f t="shared" si="10"/>
        <v>0</v>
      </c>
      <c r="I126" s="246">
        <f t="shared" si="11"/>
        <v>0</v>
      </c>
    </row>
    <row r="127" spans="1:9" hidden="1">
      <c r="A127" s="256" t="s">
        <v>318</v>
      </c>
      <c r="B127" s="339" t="s">
        <v>274</v>
      </c>
      <c r="C127" s="245">
        <f t="array" ref="C127">SUM(IF((Budget[Account Code]=B127),(Budget[Amount])))</f>
        <v>0</v>
      </c>
      <c r="D127" s="245">
        <f t="array" ref="D127">SUM(IF((Budget[Account Code]=B127)*(Budget[Date]&lt;=$D$7),(Budget[Amount])))</f>
        <v>0</v>
      </c>
      <c r="E127" s="245">
        <f t="array" ref="E127">((SUM(IF((CkDJ[Account Code]=(TRIM($B127)))*(CkDJ[Date]&lt;=$E$7),CkDJ[Debit])))+(SUM(IF((CsDJ[Account Code]=(TRIM($B127)))*(CsDJ[Date]&lt;=$E$7),CsDJ[Debit])))+(SUM(IF((CRDJ[Account Code]=(TRIM($B127)))*(CRDJ[Date]&lt;=$E$7),CRDJ[Debit])))+(SUM(IF((GJ[Account Code]=(TRIM($B127)))*(GJ[Date]&lt;=$E$7),GJ[Debit]))))-((SUM(IF((CkDJ[Account Code]=(TRIM($B127)))*(CkDJ[Date]&lt;=$E$7),CkDJ[Credit])))+(SUM(IF((CsDJ[Account Code]=(TRIM($B127)))*(CsDJ[Date]&lt;=$E$7),CsDJ[Credit])))+(SUM(IF((CRDJ[Account Code]=(TRIM($B127)))*(CRDJ[Date]&lt;=$E$7),CRDJ[Credit])))+(SUM(IF((GJ[Account Code]=(TRIM($B127)))*(GJ[Date]&lt;=$E$7),GJ[Credit]))))</f>
        <v>0</v>
      </c>
      <c r="F127" s="245">
        <f t="array" ref="F127">((SUM(IF((CkDJ[Date]=$A$3)*(CkDJ[Account Code]=(TRIM($B127))),CkDJ[Debit])))+(SUM(IF((CsDJ[Date]=$A$3)*(CsDJ[Account Code]=(TRIM($B127))),CsDJ[Debit])))+(SUM(IF((CRDJ[Date]=$A$3)*(CRDJ[Account Code]=(TRIM($B127))),CRDJ[Debit])))+(SUM(IF((GJ[Date]=$A$3)*(GJ[Account Code]=(TRIM($B127))),GJ[Debit]))))-((SUM(IF((CkDJ[Date]=$A$3)*(CkDJ[Account Code]=(TRIM($B127))),CkDJ[Credit])))+(SUM(IF((CsDJ[Date]=$A$3)*(CsDJ[Account Code]=(TRIM($B127))),CsDJ[Credit])))+(SUM(IF((CRDJ[Date]=$A$3)*(CRDJ[Account Code]=(TRIM($B127))),CRDJ[Credit])))+(SUM(IF((GJ[Date]=$A$3)*(GJ[Account Code]=(TRIM($B127))),GJ[Credit]))))</f>
        <v>0</v>
      </c>
      <c r="G127" s="343">
        <f t="shared" si="9"/>
        <v>0</v>
      </c>
      <c r="H127" s="246">
        <f t="shared" si="10"/>
        <v>0</v>
      </c>
      <c r="I127" s="246">
        <f t="shared" si="11"/>
        <v>0</v>
      </c>
    </row>
    <row r="128" spans="1:9" hidden="1">
      <c r="A128" s="256" t="s">
        <v>1028</v>
      </c>
      <c r="B128" s="339" t="s">
        <v>332</v>
      </c>
      <c r="C128" s="245">
        <f t="array" ref="C128">SUM(IF((Budget[Account Code]=B128),(Budget[Amount])))</f>
        <v>0</v>
      </c>
      <c r="D128" s="245">
        <f t="array" ref="D128">SUM(IF((Budget[Account Code]=B128)*(Budget[Date]&lt;=$D$7),(Budget[Amount])))</f>
        <v>0</v>
      </c>
      <c r="E128" s="245">
        <f t="array" ref="E128">((SUM(IF((CkDJ[Account Code]=(TRIM($B128)))*(CkDJ[Date]&lt;=$E$7),CkDJ[Debit])))+(SUM(IF((CsDJ[Account Code]=(TRIM($B128)))*(CsDJ[Date]&lt;=$E$7),CsDJ[Debit])))+(SUM(IF((CRDJ[Account Code]=(TRIM($B128)))*(CRDJ[Date]&lt;=$E$7),CRDJ[Debit])))+(SUM(IF((GJ[Account Code]=(TRIM($B128)))*(GJ[Date]&lt;=$E$7),GJ[Debit]))))-((SUM(IF((CkDJ[Account Code]=(TRIM($B128)))*(CkDJ[Date]&lt;=$E$7),CkDJ[Credit])))+(SUM(IF((CsDJ[Account Code]=(TRIM($B128)))*(CsDJ[Date]&lt;=$E$7),CsDJ[Credit])))+(SUM(IF((CRDJ[Account Code]=(TRIM($B128)))*(CRDJ[Date]&lt;=$E$7),CRDJ[Credit])))+(SUM(IF((GJ[Account Code]=(TRIM($B128)))*(GJ[Date]&lt;=$E$7),GJ[Credit]))))</f>
        <v>0</v>
      </c>
      <c r="F128" s="245">
        <f t="array" ref="F128">((SUM(IF((CkDJ[Date]=$A$3)*(CkDJ[Account Code]=(TRIM($B128))),CkDJ[Debit])))+(SUM(IF((CsDJ[Date]=$A$3)*(CsDJ[Account Code]=(TRIM($B128))),CsDJ[Debit])))+(SUM(IF((CRDJ[Date]=$A$3)*(CRDJ[Account Code]=(TRIM($B128))),CRDJ[Debit])))+(SUM(IF((GJ[Date]=$A$3)*(GJ[Account Code]=(TRIM($B128))),GJ[Debit]))))-((SUM(IF((CkDJ[Date]=$A$3)*(CkDJ[Account Code]=(TRIM($B128))),CkDJ[Credit])))+(SUM(IF((CsDJ[Date]=$A$3)*(CsDJ[Account Code]=(TRIM($B128))),CsDJ[Credit])))+(SUM(IF((CRDJ[Date]=$A$3)*(CRDJ[Account Code]=(TRIM($B128))),CRDJ[Credit])))+(SUM(IF((GJ[Date]=$A$3)*(GJ[Account Code]=(TRIM($B128))),GJ[Credit]))))</f>
        <v>0</v>
      </c>
      <c r="G128" s="343">
        <f t="shared" si="9"/>
        <v>0</v>
      </c>
      <c r="H128" s="246">
        <f t="shared" si="10"/>
        <v>0</v>
      </c>
      <c r="I128" s="246">
        <f t="shared" si="11"/>
        <v>0</v>
      </c>
    </row>
    <row r="129" spans="1:9" hidden="1">
      <c r="A129" s="256" t="s">
        <v>343</v>
      </c>
      <c r="B129" s="339" t="s">
        <v>334</v>
      </c>
      <c r="C129" s="245">
        <f t="array" ref="C129">SUM(IF((Budget[Account Code]=B129),(Budget[Amount])))</f>
        <v>0</v>
      </c>
      <c r="D129" s="245">
        <f t="array" ref="D129">SUM(IF((Budget[Account Code]=B129)*(Budget[Date]&lt;=$D$7),(Budget[Amount])))</f>
        <v>0</v>
      </c>
      <c r="E129" s="245">
        <f t="array" ref="E129">((SUM(IF((CkDJ[Account Code]=(TRIM($B129)))*(CkDJ[Date]&lt;=$E$7),CkDJ[Debit])))+(SUM(IF((CsDJ[Account Code]=(TRIM($B129)))*(CsDJ[Date]&lt;=$E$7),CsDJ[Debit])))+(SUM(IF((CRDJ[Account Code]=(TRIM($B129)))*(CRDJ[Date]&lt;=$E$7),CRDJ[Debit])))+(SUM(IF((GJ[Account Code]=(TRIM($B129)))*(GJ[Date]&lt;=$E$7),GJ[Debit]))))-((SUM(IF((CkDJ[Account Code]=(TRIM($B129)))*(CkDJ[Date]&lt;=$E$7),CkDJ[Credit])))+(SUM(IF((CsDJ[Account Code]=(TRIM($B129)))*(CsDJ[Date]&lt;=$E$7),CsDJ[Credit])))+(SUM(IF((CRDJ[Account Code]=(TRIM($B129)))*(CRDJ[Date]&lt;=$E$7),CRDJ[Credit])))+(SUM(IF((GJ[Account Code]=(TRIM($B129)))*(GJ[Date]&lt;=$E$7),GJ[Credit]))))</f>
        <v>0</v>
      </c>
      <c r="F129" s="245">
        <f t="array" ref="F129">((SUM(IF((CkDJ[Date]=$A$3)*(CkDJ[Account Code]=(TRIM($B129))),CkDJ[Debit])))+(SUM(IF((CsDJ[Date]=$A$3)*(CsDJ[Account Code]=(TRIM($B129))),CsDJ[Debit])))+(SUM(IF((CRDJ[Date]=$A$3)*(CRDJ[Account Code]=(TRIM($B129))),CRDJ[Debit])))+(SUM(IF((GJ[Date]=$A$3)*(GJ[Account Code]=(TRIM($B129))),GJ[Debit]))))-((SUM(IF((CkDJ[Date]=$A$3)*(CkDJ[Account Code]=(TRIM($B129))),CkDJ[Credit])))+(SUM(IF((CsDJ[Date]=$A$3)*(CsDJ[Account Code]=(TRIM($B129))),CsDJ[Credit])))+(SUM(IF((CRDJ[Date]=$A$3)*(CRDJ[Account Code]=(TRIM($B129))),CRDJ[Credit])))+(SUM(IF((GJ[Date]=$A$3)*(GJ[Account Code]=(TRIM($B129))),GJ[Credit]))))</f>
        <v>0</v>
      </c>
      <c r="G129" s="343">
        <f t="shared" si="9"/>
        <v>0</v>
      </c>
      <c r="H129" s="246">
        <f t="shared" si="10"/>
        <v>0</v>
      </c>
      <c r="I129" s="246">
        <f t="shared" si="11"/>
        <v>0</v>
      </c>
    </row>
    <row r="130" spans="1:9" hidden="1">
      <c r="A130" s="256" t="s">
        <v>344</v>
      </c>
      <c r="B130" s="339" t="s">
        <v>335</v>
      </c>
      <c r="C130" s="245">
        <f t="array" ref="C130">SUM(IF((Budget[Account Code]=B130),(Budget[Amount])))</f>
        <v>0</v>
      </c>
      <c r="D130" s="245">
        <f t="array" ref="D130">SUM(IF((Budget[Account Code]=B130)*(Budget[Date]&lt;=$D$7),(Budget[Amount])))</f>
        <v>0</v>
      </c>
      <c r="E130" s="245">
        <f t="array" ref="E130">((SUM(IF((CkDJ[Account Code]=(TRIM($B130)))*(CkDJ[Date]&lt;=$E$7),CkDJ[Debit])))+(SUM(IF((CsDJ[Account Code]=(TRIM($B130)))*(CsDJ[Date]&lt;=$E$7),CsDJ[Debit])))+(SUM(IF((CRDJ[Account Code]=(TRIM($B130)))*(CRDJ[Date]&lt;=$E$7),CRDJ[Debit])))+(SUM(IF((GJ[Account Code]=(TRIM($B130)))*(GJ[Date]&lt;=$E$7),GJ[Debit]))))-((SUM(IF((CkDJ[Account Code]=(TRIM($B130)))*(CkDJ[Date]&lt;=$E$7),CkDJ[Credit])))+(SUM(IF((CsDJ[Account Code]=(TRIM($B130)))*(CsDJ[Date]&lt;=$E$7),CsDJ[Credit])))+(SUM(IF((CRDJ[Account Code]=(TRIM($B130)))*(CRDJ[Date]&lt;=$E$7),CRDJ[Credit])))+(SUM(IF((GJ[Account Code]=(TRIM($B130)))*(GJ[Date]&lt;=$E$7),GJ[Credit]))))</f>
        <v>0</v>
      </c>
      <c r="F130" s="245">
        <f t="array" ref="F130">((SUM(IF((CkDJ[Date]=$A$3)*(CkDJ[Account Code]=(TRIM($B130))),CkDJ[Debit])))+(SUM(IF((CsDJ[Date]=$A$3)*(CsDJ[Account Code]=(TRIM($B130))),CsDJ[Debit])))+(SUM(IF((CRDJ[Date]=$A$3)*(CRDJ[Account Code]=(TRIM($B130))),CRDJ[Debit])))+(SUM(IF((GJ[Date]=$A$3)*(GJ[Account Code]=(TRIM($B130))),GJ[Debit]))))-((SUM(IF((CkDJ[Date]=$A$3)*(CkDJ[Account Code]=(TRIM($B130))),CkDJ[Credit])))+(SUM(IF((CsDJ[Date]=$A$3)*(CsDJ[Account Code]=(TRIM($B130))),CsDJ[Credit])))+(SUM(IF((CRDJ[Date]=$A$3)*(CRDJ[Account Code]=(TRIM($B130))),CRDJ[Credit])))+(SUM(IF((GJ[Date]=$A$3)*(GJ[Account Code]=(TRIM($B130))),GJ[Credit]))))</f>
        <v>0</v>
      </c>
      <c r="G130" s="343">
        <f t="shared" si="9"/>
        <v>0</v>
      </c>
      <c r="H130" s="246">
        <f t="shared" si="10"/>
        <v>0</v>
      </c>
      <c r="I130" s="246">
        <f t="shared" si="11"/>
        <v>0</v>
      </c>
    </row>
    <row r="131" spans="1:9" hidden="1">
      <c r="A131" s="256" t="s">
        <v>368</v>
      </c>
      <c r="B131" s="339" t="s">
        <v>405</v>
      </c>
      <c r="C131" s="245">
        <f t="array" ref="C131">SUM(IF((Budget[Account Code]=B131),(Budget[Amount])))</f>
        <v>0</v>
      </c>
      <c r="D131" s="245">
        <f t="array" ref="D131">SUM(IF((Budget[Account Code]=B131)*(Budget[Date]&lt;=$D$7),(Budget[Amount])))</f>
        <v>0</v>
      </c>
      <c r="E131" s="245">
        <f t="array" ref="E131">((SUM(IF((CkDJ[Account Code]=(TRIM($B131)))*(CkDJ[Date]&lt;=$E$7),CkDJ[Debit])))+(SUM(IF((CsDJ[Account Code]=(TRIM($B131)))*(CsDJ[Date]&lt;=$E$7),CsDJ[Debit])))+(SUM(IF((CRDJ[Account Code]=(TRIM($B131)))*(CRDJ[Date]&lt;=$E$7),CRDJ[Debit])))+(SUM(IF((GJ[Account Code]=(TRIM($B131)))*(GJ[Date]&lt;=$E$7),GJ[Debit]))))-((SUM(IF((CkDJ[Account Code]=(TRIM($B131)))*(CkDJ[Date]&lt;=$E$7),CkDJ[Credit])))+(SUM(IF((CsDJ[Account Code]=(TRIM($B131)))*(CsDJ[Date]&lt;=$E$7),CsDJ[Credit])))+(SUM(IF((CRDJ[Account Code]=(TRIM($B131)))*(CRDJ[Date]&lt;=$E$7),CRDJ[Credit])))+(SUM(IF((GJ[Account Code]=(TRIM($B131)))*(GJ[Date]&lt;=$E$7),GJ[Credit]))))</f>
        <v>0</v>
      </c>
      <c r="F131" s="245">
        <f t="array" ref="F131">((SUM(IF((CkDJ[Date]=$A$3)*(CkDJ[Account Code]=(TRIM($B131))),CkDJ[Debit])))+(SUM(IF((CsDJ[Date]=$A$3)*(CsDJ[Account Code]=(TRIM($B131))),CsDJ[Debit])))+(SUM(IF((CRDJ[Date]=$A$3)*(CRDJ[Account Code]=(TRIM($B131))),CRDJ[Debit])))+(SUM(IF((GJ[Date]=$A$3)*(GJ[Account Code]=(TRIM($B131))),GJ[Debit]))))-((SUM(IF((CkDJ[Date]=$A$3)*(CkDJ[Account Code]=(TRIM($B131))),CkDJ[Credit])))+(SUM(IF((CsDJ[Date]=$A$3)*(CsDJ[Account Code]=(TRIM($B131))),CsDJ[Credit])))+(SUM(IF((CRDJ[Date]=$A$3)*(CRDJ[Account Code]=(TRIM($B131))),CRDJ[Credit])))+(SUM(IF((GJ[Date]=$A$3)*(GJ[Account Code]=(TRIM($B131))),GJ[Credit]))))</f>
        <v>0</v>
      </c>
      <c r="G131" s="343">
        <f t="shared" si="9"/>
        <v>0</v>
      </c>
      <c r="H131" s="246">
        <f t="shared" si="10"/>
        <v>0</v>
      </c>
      <c r="I131" s="246">
        <f t="shared" si="11"/>
        <v>0</v>
      </c>
    </row>
    <row r="132" spans="1:9" hidden="1">
      <c r="A132" s="256" t="s">
        <v>345</v>
      </c>
      <c r="B132" s="339" t="s">
        <v>336</v>
      </c>
      <c r="C132" s="245">
        <f t="array" ref="C132">SUM(IF((Budget[Account Code]=B132),(Budget[Amount])))</f>
        <v>0</v>
      </c>
      <c r="D132" s="245">
        <f t="array" ref="D132">SUM(IF((Budget[Account Code]=B132)*(Budget[Date]&lt;=$D$7),(Budget[Amount])))</f>
        <v>0</v>
      </c>
      <c r="E132" s="245">
        <f t="array" ref="E132">((SUM(IF((CkDJ[Account Code]=(TRIM($B132)))*(CkDJ[Date]&lt;=$E$7),CkDJ[Debit])))+(SUM(IF((CsDJ[Account Code]=(TRIM($B132)))*(CsDJ[Date]&lt;=$E$7),CsDJ[Debit])))+(SUM(IF((CRDJ[Account Code]=(TRIM($B132)))*(CRDJ[Date]&lt;=$E$7),CRDJ[Debit])))+(SUM(IF((GJ[Account Code]=(TRIM($B132)))*(GJ[Date]&lt;=$E$7),GJ[Debit]))))-((SUM(IF((CkDJ[Account Code]=(TRIM($B132)))*(CkDJ[Date]&lt;=$E$7),CkDJ[Credit])))+(SUM(IF((CsDJ[Account Code]=(TRIM($B132)))*(CsDJ[Date]&lt;=$E$7),CsDJ[Credit])))+(SUM(IF((CRDJ[Account Code]=(TRIM($B132)))*(CRDJ[Date]&lt;=$E$7),CRDJ[Credit])))+(SUM(IF((GJ[Account Code]=(TRIM($B132)))*(GJ[Date]&lt;=$E$7),GJ[Credit]))))</f>
        <v>0</v>
      </c>
      <c r="F132" s="245">
        <f t="array" ref="F132">((SUM(IF((CkDJ[Date]=$A$3)*(CkDJ[Account Code]=(TRIM($B132))),CkDJ[Debit])))+(SUM(IF((CsDJ[Date]=$A$3)*(CsDJ[Account Code]=(TRIM($B132))),CsDJ[Debit])))+(SUM(IF((CRDJ[Date]=$A$3)*(CRDJ[Account Code]=(TRIM($B132))),CRDJ[Debit])))+(SUM(IF((GJ[Date]=$A$3)*(GJ[Account Code]=(TRIM($B132))),GJ[Debit]))))-((SUM(IF((CkDJ[Date]=$A$3)*(CkDJ[Account Code]=(TRIM($B132))),CkDJ[Credit])))+(SUM(IF((CsDJ[Date]=$A$3)*(CsDJ[Account Code]=(TRIM($B132))),CsDJ[Credit])))+(SUM(IF((CRDJ[Date]=$A$3)*(CRDJ[Account Code]=(TRIM($B132))),CRDJ[Credit])))+(SUM(IF((GJ[Date]=$A$3)*(GJ[Account Code]=(TRIM($B132))),GJ[Credit]))))</f>
        <v>0</v>
      </c>
      <c r="G132" s="343">
        <f t="shared" si="9"/>
        <v>0</v>
      </c>
      <c r="H132" s="246">
        <f t="shared" si="10"/>
        <v>0</v>
      </c>
      <c r="I132" s="246">
        <f t="shared" si="11"/>
        <v>0</v>
      </c>
    </row>
    <row r="133" spans="1:9" hidden="1">
      <c r="A133" s="256" t="s">
        <v>346</v>
      </c>
      <c r="B133" s="339" t="s">
        <v>337</v>
      </c>
      <c r="C133" s="245">
        <f t="array" ref="C133">SUM(IF((Budget[Account Code]=B133),(Budget[Amount])))</f>
        <v>0</v>
      </c>
      <c r="D133" s="245">
        <f t="array" ref="D133">SUM(IF((Budget[Account Code]=B133)*(Budget[Date]&lt;=$D$7),(Budget[Amount])))</f>
        <v>0</v>
      </c>
      <c r="E133" s="245">
        <f t="array" ref="E133">((SUM(IF((CkDJ[Account Code]=(TRIM($B133)))*(CkDJ[Date]&lt;=$E$7),CkDJ[Debit])))+(SUM(IF((CsDJ[Account Code]=(TRIM($B133)))*(CsDJ[Date]&lt;=$E$7),CsDJ[Debit])))+(SUM(IF((CRDJ[Account Code]=(TRIM($B133)))*(CRDJ[Date]&lt;=$E$7),CRDJ[Debit])))+(SUM(IF((GJ[Account Code]=(TRIM($B133)))*(GJ[Date]&lt;=$E$7),GJ[Debit]))))-((SUM(IF((CkDJ[Account Code]=(TRIM($B133)))*(CkDJ[Date]&lt;=$E$7),CkDJ[Credit])))+(SUM(IF((CsDJ[Account Code]=(TRIM($B133)))*(CsDJ[Date]&lt;=$E$7),CsDJ[Credit])))+(SUM(IF((CRDJ[Account Code]=(TRIM($B133)))*(CRDJ[Date]&lt;=$E$7),CRDJ[Credit])))+(SUM(IF((GJ[Account Code]=(TRIM($B133)))*(GJ[Date]&lt;=$E$7),GJ[Credit]))))</f>
        <v>0</v>
      </c>
      <c r="F133" s="245">
        <f t="array" ref="F133">((SUM(IF((CkDJ[Date]=$A$3)*(CkDJ[Account Code]=(TRIM($B133))),CkDJ[Debit])))+(SUM(IF((CsDJ[Date]=$A$3)*(CsDJ[Account Code]=(TRIM($B133))),CsDJ[Debit])))+(SUM(IF((CRDJ[Date]=$A$3)*(CRDJ[Account Code]=(TRIM($B133))),CRDJ[Debit])))+(SUM(IF((GJ[Date]=$A$3)*(GJ[Account Code]=(TRIM($B133))),GJ[Debit]))))-((SUM(IF((CkDJ[Date]=$A$3)*(CkDJ[Account Code]=(TRIM($B133))),CkDJ[Credit])))+(SUM(IF((CsDJ[Date]=$A$3)*(CsDJ[Account Code]=(TRIM($B133))),CsDJ[Credit])))+(SUM(IF((CRDJ[Date]=$A$3)*(CRDJ[Account Code]=(TRIM($B133))),CRDJ[Credit])))+(SUM(IF((GJ[Date]=$A$3)*(GJ[Account Code]=(TRIM($B133))),GJ[Credit]))))</f>
        <v>0</v>
      </c>
      <c r="G133" s="343">
        <f t="shared" si="9"/>
        <v>0</v>
      </c>
      <c r="H133" s="246">
        <f t="shared" si="10"/>
        <v>0</v>
      </c>
      <c r="I133" s="246">
        <f t="shared" si="11"/>
        <v>0</v>
      </c>
    </row>
    <row r="134" spans="1:9" hidden="1">
      <c r="A134" s="256" t="s">
        <v>1030</v>
      </c>
      <c r="B134" s="339" t="s">
        <v>986</v>
      </c>
      <c r="C134" s="245">
        <f t="array" ref="C134">SUM(IF((Budget[Account Code]=B134),(Budget[Amount])))</f>
        <v>0</v>
      </c>
      <c r="D134" s="245">
        <f t="array" ref="D134">SUM(IF((Budget[Account Code]=B134)*(Budget[Date]&lt;=$D$7),(Budget[Amount])))</f>
        <v>0</v>
      </c>
      <c r="E134" s="245">
        <f t="array" ref="E134">((SUM(IF((CkDJ[Account Code]=(TRIM($B134)))*(CkDJ[Date]&lt;=$E$7),CkDJ[Debit])))+(SUM(IF((CsDJ[Account Code]=(TRIM($B134)))*(CsDJ[Date]&lt;=$E$7),CsDJ[Debit])))+(SUM(IF((CRDJ[Account Code]=(TRIM($B134)))*(CRDJ[Date]&lt;=$E$7),CRDJ[Debit])))+(SUM(IF((GJ[Account Code]=(TRIM($B134)))*(GJ[Date]&lt;=$E$7),GJ[Debit]))))-((SUM(IF((CkDJ[Account Code]=(TRIM($B134)))*(CkDJ[Date]&lt;=$E$7),CkDJ[Credit])))+(SUM(IF((CsDJ[Account Code]=(TRIM($B134)))*(CsDJ[Date]&lt;=$E$7),CsDJ[Credit])))+(SUM(IF((CRDJ[Account Code]=(TRIM($B134)))*(CRDJ[Date]&lt;=$E$7),CRDJ[Credit])))+(SUM(IF((GJ[Account Code]=(TRIM($B134)))*(GJ[Date]&lt;=$E$7),GJ[Credit]))))</f>
        <v>0</v>
      </c>
      <c r="F134" s="245">
        <f t="array" ref="F134">((SUM(IF((CkDJ[Date]=$A$3)*(CkDJ[Account Code]=(TRIM($B134))),CkDJ[Debit])))+(SUM(IF((CsDJ[Date]=$A$3)*(CsDJ[Account Code]=(TRIM($B134))),CsDJ[Debit])))+(SUM(IF((CRDJ[Date]=$A$3)*(CRDJ[Account Code]=(TRIM($B134))),CRDJ[Debit])))+(SUM(IF((GJ[Date]=$A$3)*(GJ[Account Code]=(TRIM($B134))),GJ[Debit]))))-((SUM(IF((CkDJ[Date]=$A$3)*(CkDJ[Account Code]=(TRIM($B134))),CkDJ[Credit])))+(SUM(IF((CsDJ[Date]=$A$3)*(CsDJ[Account Code]=(TRIM($B134))),CsDJ[Credit])))+(SUM(IF((CRDJ[Date]=$A$3)*(CRDJ[Account Code]=(TRIM($B134))),CRDJ[Credit])))+(SUM(IF((GJ[Date]=$A$3)*(GJ[Account Code]=(TRIM($B134))),GJ[Credit]))))</f>
        <v>0</v>
      </c>
      <c r="G134" s="343">
        <f t="shared" si="9"/>
        <v>0</v>
      </c>
      <c r="H134" s="246">
        <f t="shared" si="10"/>
        <v>0</v>
      </c>
      <c r="I134" s="246">
        <f t="shared" si="11"/>
        <v>0</v>
      </c>
    </row>
    <row r="135" spans="1:9" hidden="1">
      <c r="A135" s="256" t="s">
        <v>1029</v>
      </c>
      <c r="B135" s="339" t="s">
        <v>987</v>
      </c>
      <c r="C135" s="245">
        <f t="array" ref="C135">SUM(IF((Budget[Account Code]=B135),(Budget[Amount])))</f>
        <v>0</v>
      </c>
      <c r="D135" s="245">
        <f t="array" ref="D135">SUM(IF((Budget[Account Code]=B135)*(Budget[Date]&lt;=$D$7),(Budget[Amount])))</f>
        <v>0</v>
      </c>
      <c r="E135" s="245">
        <f t="array" ref="E135">((SUM(IF((CkDJ[Account Code]=(TRIM($B135)))*(CkDJ[Date]&lt;=$E$7),CkDJ[Debit])))+(SUM(IF((CsDJ[Account Code]=(TRIM($B135)))*(CsDJ[Date]&lt;=$E$7),CsDJ[Debit])))+(SUM(IF((CRDJ[Account Code]=(TRIM($B135)))*(CRDJ[Date]&lt;=$E$7),CRDJ[Debit])))+(SUM(IF((GJ[Account Code]=(TRIM($B135)))*(GJ[Date]&lt;=$E$7),GJ[Debit]))))-((SUM(IF((CkDJ[Account Code]=(TRIM($B135)))*(CkDJ[Date]&lt;=$E$7),CkDJ[Credit])))+(SUM(IF((CsDJ[Account Code]=(TRIM($B135)))*(CsDJ[Date]&lt;=$E$7),CsDJ[Credit])))+(SUM(IF((CRDJ[Account Code]=(TRIM($B135)))*(CRDJ[Date]&lt;=$E$7),CRDJ[Credit])))+(SUM(IF((GJ[Account Code]=(TRIM($B135)))*(GJ[Date]&lt;=$E$7),GJ[Credit]))))</f>
        <v>0</v>
      </c>
      <c r="F135" s="245">
        <f t="array" ref="F135">((SUM(IF((CkDJ[Date]=$A$3)*(CkDJ[Account Code]=(TRIM($B135))),CkDJ[Debit])))+(SUM(IF((CsDJ[Date]=$A$3)*(CsDJ[Account Code]=(TRIM($B135))),CsDJ[Debit])))+(SUM(IF((CRDJ[Date]=$A$3)*(CRDJ[Account Code]=(TRIM($B135))),CRDJ[Debit])))+(SUM(IF((GJ[Date]=$A$3)*(GJ[Account Code]=(TRIM($B135))),GJ[Debit]))))-((SUM(IF((CkDJ[Date]=$A$3)*(CkDJ[Account Code]=(TRIM($B135))),CkDJ[Credit])))+(SUM(IF((CsDJ[Date]=$A$3)*(CsDJ[Account Code]=(TRIM($B135))),CsDJ[Credit])))+(SUM(IF((CRDJ[Date]=$A$3)*(CRDJ[Account Code]=(TRIM($B135))),CRDJ[Credit])))+(SUM(IF((GJ[Date]=$A$3)*(GJ[Account Code]=(TRIM($B135))),GJ[Credit]))))</f>
        <v>0</v>
      </c>
      <c r="G135" s="343">
        <f t="shared" si="9"/>
        <v>0</v>
      </c>
      <c r="H135" s="246">
        <f t="shared" si="10"/>
        <v>0</v>
      </c>
      <c r="I135" s="246">
        <f t="shared" si="11"/>
        <v>0</v>
      </c>
    </row>
    <row r="136" spans="1:9" hidden="1">
      <c r="A136" s="256" t="s">
        <v>990</v>
      </c>
      <c r="B136" s="339" t="s">
        <v>988</v>
      </c>
      <c r="C136" s="245">
        <f t="array" ref="C136">SUM(IF((Budget[Account Code]=B136),(Budget[Amount])))</f>
        <v>0</v>
      </c>
      <c r="D136" s="245">
        <f t="array" ref="D136">SUM(IF((Budget[Account Code]=B136)*(Budget[Date]&lt;=$D$7),(Budget[Amount])))</f>
        <v>0</v>
      </c>
      <c r="E136" s="245">
        <f t="array" ref="E136">((SUM(IF((CkDJ[Account Code]=(TRIM($B136)))*(CkDJ[Date]&lt;=$E$7),CkDJ[Debit])))+(SUM(IF((CsDJ[Account Code]=(TRIM($B136)))*(CsDJ[Date]&lt;=$E$7),CsDJ[Debit])))+(SUM(IF((CRDJ[Account Code]=(TRIM($B136)))*(CRDJ[Date]&lt;=$E$7),CRDJ[Debit])))+(SUM(IF((GJ[Account Code]=(TRIM($B136)))*(GJ[Date]&lt;=$E$7),GJ[Debit]))))-((SUM(IF((CkDJ[Account Code]=(TRIM($B136)))*(CkDJ[Date]&lt;=$E$7),CkDJ[Credit])))+(SUM(IF((CsDJ[Account Code]=(TRIM($B136)))*(CsDJ[Date]&lt;=$E$7),CsDJ[Credit])))+(SUM(IF((CRDJ[Account Code]=(TRIM($B136)))*(CRDJ[Date]&lt;=$E$7),CRDJ[Credit])))+(SUM(IF((GJ[Account Code]=(TRIM($B136)))*(GJ[Date]&lt;=$E$7),GJ[Credit]))))</f>
        <v>0</v>
      </c>
      <c r="F136" s="245">
        <f t="array" ref="F136">((SUM(IF((CkDJ[Date]=$A$3)*(CkDJ[Account Code]=(TRIM($B136))),CkDJ[Debit])))+(SUM(IF((CsDJ[Date]=$A$3)*(CsDJ[Account Code]=(TRIM($B136))),CsDJ[Debit])))+(SUM(IF((CRDJ[Date]=$A$3)*(CRDJ[Account Code]=(TRIM($B136))),CRDJ[Debit])))+(SUM(IF((GJ[Date]=$A$3)*(GJ[Account Code]=(TRIM($B136))),GJ[Debit]))))-((SUM(IF((CkDJ[Date]=$A$3)*(CkDJ[Account Code]=(TRIM($B136))),CkDJ[Credit])))+(SUM(IF((CsDJ[Date]=$A$3)*(CsDJ[Account Code]=(TRIM($B136))),CsDJ[Credit])))+(SUM(IF((CRDJ[Date]=$A$3)*(CRDJ[Account Code]=(TRIM($B136))),CRDJ[Credit])))+(SUM(IF((GJ[Date]=$A$3)*(GJ[Account Code]=(TRIM($B136))),GJ[Credit]))))</f>
        <v>0</v>
      </c>
      <c r="G136" s="343">
        <f t="shared" si="9"/>
        <v>0</v>
      </c>
      <c r="H136" s="246">
        <f t="shared" si="10"/>
        <v>0</v>
      </c>
      <c r="I136" s="246">
        <f t="shared" si="11"/>
        <v>0</v>
      </c>
    </row>
    <row r="137" spans="1:9" hidden="1">
      <c r="A137" s="256" t="s">
        <v>349</v>
      </c>
      <c r="B137" s="339" t="s">
        <v>340</v>
      </c>
      <c r="C137" s="245">
        <f t="array" ref="C137">SUM(IF((Budget[Account Code]=B137),(Budget[Amount])))</f>
        <v>0</v>
      </c>
      <c r="D137" s="245">
        <f t="array" ref="D137">SUM(IF((Budget[Account Code]=B137)*(Budget[Date]&lt;=$D$7),(Budget[Amount])))</f>
        <v>0</v>
      </c>
      <c r="E137" s="245">
        <f t="array" ref="E137">((SUM(IF((CkDJ[Account Code]=(TRIM($B137)))*(CkDJ[Date]&lt;=$E$7),CkDJ[Debit])))+(SUM(IF((CsDJ[Account Code]=(TRIM($B137)))*(CsDJ[Date]&lt;=$E$7),CsDJ[Debit])))+(SUM(IF((CRDJ[Account Code]=(TRIM($B137)))*(CRDJ[Date]&lt;=$E$7),CRDJ[Debit])))+(SUM(IF((GJ[Account Code]=(TRIM($B137)))*(GJ[Date]&lt;=$E$7),GJ[Debit]))))-((SUM(IF((CkDJ[Account Code]=(TRIM($B137)))*(CkDJ[Date]&lt;=$E$7),CkDJ[Credit])))+(SUM(IF((CsDJ[Account Code]=(TRIM($B137)))*(CsDJ[Date]&lt;=$E$7),CsDJ[Credit])))+(SUM(IF((CRDJ[Account Code]=(TRIM($B137)))*(CRDJ[Date]&lt;=$E$7),CRDJ[Credit])))+(SUM(IF((GJ[Account Code]=(TRIM($B137)))*(GJ[Date]&lt;=$E$7),GJ[Credit]))))</f>
        <v>0</v>
      </c>
      <c r="F137" s="245">
        <f t="array" ref="F137">((SUM(IF((CkDJ[Date]=$A$3)*(CkDJ[Account Code]=(TRIM($B137))),CkDJ[Debit])))+(SUM(IF((CsDJ[Date]=$A$3)*(CsDJ[Account Code]=(TRIM($B137))),CsDJ[Debit])))+(SUM(IF((CRDJ[Date]=$A$3)*(CRDJ[Account Code]=(TRIM($B137))),CRDJ[Debit])))+(SUM(IF((GJ[Date]=$A$3)*(GJ[Account Code]=(TRIM($B137))),GJ[Debit]))))-((SUM(IF((CkDJ[Date]=$A$3)*(CkDJ[Account Code]=(TRIM($B137))),CkDJ[Credit])))+(SUM(IF((CsDJ[Date]=$A$3)*(CsDJ[Account Code]=(TRIM($B137))),CsDJ[Credit])))+(SUM(IF((CRDJ[Date]=$A$3)*(CRDJ[Account Code]=(TRIM($B137))),CRDJ[Credit])))+(SUM(IF((GJ[Date]=$A$3)*(GJ[Account Code]=(TRIM($B137))),GJ[Credit]))))</f>
        <v>0</v>
      </c>
      <c r="G137" s="343">
        <f t="shared" si="9"/>
        <v>0</v>
      </c>
      <c r="H137" s="246">
        <f t="shared" si="10"/>
        <v>0</v>
      </c>
      <c r="I137" s="246">
        <f t="shared" si="11"/>
        <v>0</v>
      </c>
    </row>
    <row r="138" spans="1:9">
      <c r="A138" s="255" t="s">
        <v>805</v>
      </c>
      <c r="B138" s="337"/>
      <c r="C138" s="245"/>
      <c r="D138" s="245"/>
      <c r="E138" s="246"/>
      <c r="F138" s="245"/>
      <c r="G138" s="246"/>
      <c r="H138" s="246">
        <f t="shared" si="10"/>
        <v>0</v>
      </c>
      <c r="I138" s="246">
        <f t="shared" si="11"/>
        <v>0</v>
      </c>
    </row>
    <row r="139" spans="1:9">
      <c r="A139" s="253" t="s">
        <v>808</v>
      </c>
      <c r="B139" s="337"/>
      <c r="C139" s="242">
        <f>SUM(C140:C143)</f>
        <v>16075438.51</v>
      </c>
      <c r="D139" s="242">
        <f>SUM(D140:D143)</f>
        <v>16075438.51</v>
      </c>
      <c r="E139" s="242">
        <f>SUM(E140:E143)</f>
        <v>0</v>
      </c>
      <c r="F139" s="242">
        <f>SUM(F140:F143)</f>
        <v>0</v>
      </c>
      <c r="G139" s="242">
        <f>SUM(G140:G143)</f>
        <v>0</v>
      </c>
      <c r="H139" s="242">
        <f t="shared" si="10"/>
        <v>-16075438.51</v>
      </c>
      <c r="I139" s="242">
        <f t="shared" si="11"/>
        <v>0</v>
      </c>
    </row>
    <row r="140" spans="1:9" hidden="1">
      <c r="A140" s="256" t="s">
        <v>342</v>
      </c>
      <c r="B140" s="339" t="s">
        <v>333</v>
      </c>
      <c r="C140" s="245">
        <f t="array" ref="C140">SUM(IF((Budget[Account Code]=B140),(Budget[Amount])))</f>
        <v>16075438.51</v>
      </c>
      <c r="D140" s="245">
        <f t="array" ref="D140">SUM(IF((Budget[Account Code]=B140)*(Budget[Date]&lt;=$D$7),(Budget[Amount])))</f>
        <v>16075438.51</v>
      </c>
      <c r="E140" s="245">
        <f t="array" ref="E140">((SUM(IF((CkDJ[Account Code]=(TRIM($B140)))*(CkDJ[Date]&lt;=$E$7),CkDJ[Debit])))+(SUM(IF((CsDJ[Account Code]=(TRIM($B140)))*(CsDJ[Date]&lt;=$E$7),CsDJ[Debit])))+(SUM(IF((CRDJ[Account Code]=(TRIM($B140)))*(CRDJ[Date]&lt;=$E$7),CRDJ[Debit])))+(SUM(IF((GJ[Account Code]=(TRIM($B140)))*(GJ[Date]&lt;=$E$7),GJ[Debit]))))-((SUM(IF((CkDJ[Account Code]=(TRIM($B140)))*(CkDJ[Date]&lt;=$E$7),CkDJ[Credit])))+(SUM(IF((CsDJ[Account Code]=(TRIM($B140)))*(CsDJ[Date]&lt;=$E$7),CsDJ[Credit])))+(SUM(IF((CRDJ[Account Code]=(TRIM($B140)))*(CRDJ[Date]&lt;=$E$7),CRDJ[Credit])))+(SUM(IF((GJ[Account Code]=(TRIM($B140)))*(GJ[Date]&lt;=$E$7),GJ[Credit]))))</f>
        <v>0</v>
      </c>
      <c r="F140" s="245">
        <f t="array" ref="F140">((SUM(IF((CkDJ[Date]=$A$3)*(CkDJ[Account Code]=(TRIM($B140))),CkDJ[Debit])))+(SUM(IF((CsDJ[Date]=$A$3)*(CsDJ[Account Code]=(TRIM($B140))),CsDJ[Debit])))+(SUM(IF((CRDJ[Date]=$A$3)*(CRDJ[Account Code]=(TRIM($B140))),CRDJ[Debit])))+(SUM(IF((GJ[Date]=$A$3)*(GJ[Account Code]=(TRIM($B140))),GJ[Debit]))))-((SUM(IF((CkDJ[Date]=$A$3)*(CkDJ[Account Code]=(TRIM($B140))),CkDJ[Credit])))+(SUM(IF((CsDJ[Date]=$A$3)*(CsDJ[Account Code]=(TRIM($B140))),CsDJ[Credit])))+(SUM(IF((CRDJ[Date]=$A$3)*(CRDJ[Account Code]=(TRIM($B140))),CRDJ[Credit])))+(SUM(IF((GJ[Date]=$A$3)*(GJ[Account Code]=(TRIM($B140))),GJ[Credit]))))</f>
        <v>0</v>
      </c>
      <c r="G140" s="343">
        <f>E140+F140</f>
        <v>0</v>
      </c>
      <c r="H140" s="246">
        <f t="shared" si="10"/>
        <v>-16075438.51</v>
      </c>
      <c r="I140" s="246">
        <f t="shared" si="11"/>
        <v>0</v>
      </c>
    </row>
    <row r="141" spans="1:9" hidden="1">
      <c r="A141" s="256" t="s">
        <v>1031</v>
      </c>
      <c r="B141" s="339" t="s">
        <v>992</v>
      </c>
      <c r="C141" s="245">
        <f t="array" ref="C141">SUM(IF((Budget[Account Code]=B141),(Budget[Amount])))</f>
        <v>0</v>
      </c>
      <c r="D141" s="245">
        <f t="array" ref="D141">SUM(IF((Budget[Account Code]=B141)*(Budget[Date]&lt;=$D$7),(Budget[Amount])))</f>
        <v>0</v>
      </c>
      <c r="E141" s="245">
        <f t="array" ref="E141">((SUM(IF((CkDJ[Account Code]=(TRIM($B141)))*(CkDJ[Date]&lt;=$E$7),CkDJ[Debit])))+(SUM(IF((CsDJ[Account Code]=(TRIM($B141)))*(CsDJ[Date]&lt;=$E$7),CsDJ[Debit])))+(SUM(IF((CRDJ[Account Code]=(TRIM($B141)))*(CRDJ[Date]&lt;=$E$7),CRDJ[Debit])))+(SUM(IF((GJ[Account Code]=(TRIM($B141)))*(GJ[Date]&lt;=$E$7),GJ[Debit]))))-((SUM(IF((CkDJ[Account Code]=(TRIM($B141)))*(CkDJ[Date]&lt;=$E$7),CkDJ[Credit])))+(SUM(IF((CsDJ[Account Code]=(TRIM($B141)))*(CsDJ[Date]&lt;=$E$7),CsDJ[Credit])))+(SUM(IF((CRDJ[Account Code]=(TRIM($B141)))*(CRDJ[Date]&lt;=$E$7),CRDJ[Credit])))+(SUM(IF((GJ[Account Code]=(TRIM($B141)))*(GJ[Date]&lt;=$E$7),GJ[Credit]))))</f>
        <v>0</v>
      </c>
      <c r="F141" s="245">
        <f t="array" ref="F141">((SUM(IF((CkDJ[Date]=$A$3)*(CkDJ[Account Code]=(TRIM($B141))),CkDJ[Debit])))+(SUM(IF((CsDJ[Date]=$A$3)*(CsDJ[Account Code]=(TRIM($B141))),CsDJ[Debit])))+(SUM(IF((CRDJ[Date]=$A$3)*(CRDJ[Account Code]=(TRIM($B141))),CRDJ[Debit])))+(SUM(IF((GJ[Date]=$A$3)*(GJ[Account Code]=(TRIM($B141))),GJ[Debit]))))-((SUM(IF((CkDJ[Date]=$A$3)*(CkDJ[Account Code]=(TRIM($B141))),CkDJ[Credit])))+(SUM(IF((CsDJ[Date]=$A$3)*(CsDJ[Account Code]=(TRIM($B141))),CsDJ[Credit])))+(SUM(IF((CRDJ[Date]=$A$3)*(CRDJ[Account Code]=(TRIM($B141))),CRDJ[Credit])))+(SUM(IF((GJ[Date]=$A$3)*(GJ[Account Code]=(TRIM($B141))),GJ[Credit]))))</f>
        <v>0</v>
      </c>
      <c r="G141" s="343">
        <f>E141+F141</f>
        <v>0</v>
      </c>
      <c r="H141" s="246">
        <f t="shared" si="10"/>
        <v>0</v>
      </c>
      <c r="I141" s="246">
        <f t="shared" si="11"/>
        <v>0</v>
      </c>
    </row>
    <row r="142" spans="1:9" hidden="1">
      <c r="A142" s="256" t="s">
        <v>1032</v>
      </c>
      <c r="B142" s="339" t="s">
        <v>993</v>
      </c>
      <c r="C142" s="245">
        <f t="array" ref="C142">SUM(IF((Budget[Account Code]=B142),(Budget[Amount])))</f>
        <v>0</v>
      </c>
      <c r="D142" s="245">
        <f t="array" ref="D142">SUM(IF((Budget[Account Code]=B142)*(Budget[Date]&lt;=$D$7),(Budget[Amount])))</f>
        <v>0</v>
      </c>
      <c r="E142" s="245">
        <f t="array" ref="E142">((SUM(IF((CkDJ[Account Code]=(TRIM($B142)))*(CkDJ[Date]&lt;=$E$7),CkDJ[Debit])))+(SUM(IF((CsDJ[Account Code]=(TRIM($B142)))*(CsDJ[Date]&lt;=$E$7),CsDJ[Debit])))+(SUM(IF((CRDJ[Account Code]=(TRIM($B142)))*(CRDJ[Date]&lt;=$E$7),CRDJ[Debit])))+(SUM(IF((GJ[Account Code]=(TRIM($B142)))*(GJ[Date]&lt;=$E$7),GJ[Debit]))))-((SUM(IF((CkDJ[Account Code]=(TRIM($B142)))*(CkDJ[Date]&lt;=$E$7),CkDJ[Credit])))+(SUM(IF((CsDJ[Account Code]=(TRIM($B142)))*(CsDJ[Date]&lt;=$E$7),CsDJ[Credit])))+(SUM(IF((CRDJ[Account Code]=(TRIM($B142)))*(CRDJ[Date]&lt;=$E$7),CRDJ[Credit])))+(SUM(IF((GJ[Account Code]=(TRIM($B142)))*(GJ[Date]&lt;=$E$7),GJ[Credit]))))</f>
        <v>0</v>
      </c>
      <c r="F142" s="245">
        <f t="array" ref="F142">((SUM(IF((CkDJ[Date]=$A$3)*(CkDJ[Account Code]=(TRIM($B142))),CkDJ[Debit])))+(SUM(IF((CsDJ[Date]=$A$3)*(CsDJ[Account Code]=(TRIM($B142))),CsDJ[Debit])))+(SUM(IF((CRDJ[Date]=$A$3)*(CRDJ[Account Code]=(TRIM($B142))),CRDJ[Debit])))+(SUM(IF((GJ[Date]=$A$3)*(GJ[Account Code]=(TRIM($B142))),GJ[Debit]))))-((SUM(IF((CkDJ[Date]=$A$3)*(CkDJ[Account Code]=(TRIM($B142))),CkDJ[Credit])))+(SUM(IF((CsDJ[Date]=$A$3)*(CsDJ[Account Code]=(TRIM($B142))),CsDJ[Credit])))+(SUM(IF((CRDJ[Date]=$A$3)*(CRDJ[Account Code]=(TRIM($B142))),CRDJ[Credit])))+(SUM(IF((GJ[Date]=$A$3)*(GJ[Account Code]=(TRIM($B142))),GJ[Credit]))))</f>
        <v>0</v>
      </c>
      <c r="G142" s="343">
        <f>E142+F142</f>
        <v>0</v>
      </c>
      <c r="H142" s="246">
        <f t="shared" si="10"/>
        <v>0</v>
      </c>
      <c r="I142" s="246">
        <f t="shared" si="11"/>
        <v>0</v>
      </c>
    </row>
    <row r="143" spans="1:9" hidden="1">
      <c r="A143" s="253"/>
      <c r="B143" s="337" t="s">
        <v>799</v>
      </c>
      <c r="C143" s="245">
        <f t="array" ref="C143">SUM(IF((Budget[Account Code]=B143)*(Budget[Ofc Code]=$G$4),(Budget[Amount])))</f>
        <v>0</v>
      </c>
      <c r="D143" s="245">
        <f t="array" ref="D143">SUM(IF((Budget[Account Code]=B143)*(Budget[Ofc Code]=$G$4)*(Budget[Date]&lt;=$D$7),(Budget[Amount])))</f>
        <v>0</v>
      </c>
      <c r="E143" s="246">
        <f>G143-F143</f>
        <v>0</v>
      </c>
      <c r="F143" s="245">
        <f t="array" ref="F143">(SUM(IF((CkDJ[Date]=$A$3)*(CkDJ[Ofc Code]=(TRIM(G$4)))*(CkDJ[Account Code]=(TRIM($B143))),CkDJ[Debit])))+(SUM(IF((CsDJ[Date]=$A$3)*(CsDJ[Ofc Code]=(TRIM(G$4)))*(CsDJ[Account Code]=(TRIM($B143))),CsDJ[Debit])))+(SUM(IF((CRDJ[Date]=$A$3)*(CRDJ[Ofc Code]=(TRIM(G$4)))*(CRDJ[Account Code]=(TRIM($B143))),CRDJ[Debit])))+(SUM(IF((GJ[Date]=$A$3)*(GJ[Ofc Code]=(TRIM(G$4)))*(GJ[Account Code]=(TRIM($B143))),GJ[Debit])))-(SUM(IF((CkDJ[Date]=$A$3)*(CkDJ[Ofc Code]=(TRIM(G$4)))*(CkDJ[Account Code]=(TRIM($B143))),CkDJ[Credit])))+(SUM(IF((CsDJ[Date]=$A$3)*(CsDJ[Ofc Code]=(TRIM(G$4)))*(CsDJ[Account Code]=(TRIM($B143))),CsDJ[Credit])))+(SUM(IF((CRDJ[Date]=$A$3)*(CRDJ[Ofc Code]=(TRIM(G$4)))*(CRDJ[Account Code]=(TRIM($B143))),CRDJ[Credit])))+(SUM(IF((GJ[Date]=$A$3)*(GJ[Ofc Code]=(TRIM(G$4)))*(GJ[Account Code]=(TRIM($B143))),GJ[Credit])))</f>
        <v>0</v>
      </c>
      <c r="G143" s="246">
        <f t="array" ref="G143">((SUM(IF((CkDJ[Ofc Code]=(TRIM(G$4)))*(CkDJ[Account Code]=(TRIM($B143))),CkDJ[Debit])))+(SUM(IF((CsDJ[Ofc Code]=(TRIM(G$4)))*(CsDJ[Account Code]=(TRIM($B143))),CsDJ[Debit])))+(SUM(IF((CRDJ[Ofc Code]=(TRIM(G$4)))*(CRDJ[Account Code]=(TRIM($B143))),CRDJ[Debit])))+(SUM(IF((GJ[Ofc Code]=(TRIM(G$4)))*(GJ[Account Code]=(TRIM($B143))),GJ[Debit]))))-((SUM(IF((CkDJ[Ofc Code]=(TRIM(G$4)))*(CkDJ[Account Code]=(TRIM($B143))),CkDJ[Credit])))+(SUM(IF((CsDJ[Ofc Code]=(TRIM(G$4)))*(CsDJ[Account Code]=(TRIM($B143))),CsDJ[Credit])))+(SUM(IF((CRDJ[Ofc Code]=(TRIM(G$4)))*(CRDJ[Account Code]=(TRIM($B143))),CRDJ[Credit])))+(SUM(IF((GJ[Ofc Code]=(TRIM(G$4)))*(GJ[Account Code]=(TRIM($B143))),GJ[Credit]))))</f>
        <v>0</v>
      </c>
      <c r="H143" s="246">
        <f t="shared" si="10"/>
        <v>0</v>
      </c>
      <c r="I143" s="246">
        <f t="shared" si="11"/>
        <v>0</v>
      </c>
    </row>
    <row r="144" spans="1:9">
      <c r="A144" s="239" t="s">
        <v>807</v>
      </c>
      <c r="B144" s="337"/>
      <c r="C144" s="252">
        <f>C145+C146</f>
        <v>15000000</v>
      </c>
      <c r="D144" s="252">
        <f>D145+D146</f>
        <v>15000000</v>
      </c>
      <c r="E144" s="252">
        <f>E145+E146</f>
        <v>0</v>
      </c>
      <c r="F144" s="252">
        <f>F145+F146</f>
        <v>0</v>
      </c>
      <c r="G144" s="252">
        <f>G145+G146</f>
        <v>0</v>
      </c>
      <c r="H144" s="242">
        <f t="shared" si="10"/>
        <v>-15000000</v>
      </c>
      <c r="I144" s="242">
        <f t="shared" si="11"/>
        <v>0</v>
      </c>
    </row>
    <row r="145" spans="1:9">
      <c r="A145" s="243" t="s">
        <v>806</v>
      </c>
      <c r="B145" s="339" t="s">
        <v>991</v>
      </c>
      <c r="C145" s="245">
        <f t="array" ref="C145">SUM(IF((Budget[Account Code]=B145),(Budget[Amount])))</f>
        <v>15000000</v>
      </c>
      <c r="D145" s="245">
        <f t="array" ref="D145">SUM(IF((Budget[Account Code]=B145)*(Budget[Date]&lt;=$D$7),(Budget[Amount])))</f>
        <v>15000000</v>
      </c>
      <c r="E145" s="245">
        <f t="array" ref="E145">((SUM(IF((CkDJ[Account Code]=(TRIM($B145)))*(CkDJ[Date]&lt;=$E$7),CkDJ[Debit])))+(SUM(IF((CsDJ[Account Code]=(TRIM($B145)))*(CsDJ[Date]&lt;=$E$7),CsDJ[Debit])))+(SUM(IF((CRDJ[Account Code]=(TRIM($B145)))*(CRDJ[Date]&lt;=$E$7),CRDJ[Debit])))+(SUM(IF((GJ[Account Code]=(TRIM($B145)))*(GJ[Date]&lt;=$E$7),GJ[Debit]))))-((SUM(IF((CkDJ[Account Code]=(TRIM($B145)))*(CkDJ[Date]&lt;=$E$7),CkDJ[Credit])))+(SUM(IF((CsDJ[Account Code]=(TRIM($B145)))*(CsDJ[Date]&lt;=$E$7),CsDJ[Credit])))+(SUM(IF((CRDJ[Account Code]=(TRIM($B145)))*(CRDJ[Date]&lt;=$E$7),CRDJ[Credit])))+(SUM(IF((GJ[Account Code]=(TRIM($B145)))*(GJ[Date]&lt;=$E$7),GJ[Credit]))))</f>
        <v>0</v>
      </c>
      <c r="F145" s="245">
        <f t="array" ref="F145">((SUM(IF((CkDJ[Date]=$A$3)*(CkDJ[Account Code]=(TRIM($B145))),CkDJ[Debit])))+(SUM(IF((CsDJ[Date]=$A$3)*(CsDJ[Account Code]=(TRIM($B145))),CsDJ[Debit])))+(SUM(IF((CRDJ[Date]=$A$3)*(CRDJ[Account Code]=(TRIM($B145))),CRDJ[Debit])))+(SUM(IF((GJ[Date]=$A$3)*(GJ[Account Code]=(TRIM($B145))),GJ[Debit]))))-((SUM(IF((CkDJ[Date]=$A$3)*(CkDJ[Account Code]=(TRIM($B145))),CkDJ[Credit])))+(SUM(IF((CsDJ[Date]=$A$3)*(CsDJ[Account Code]=(TRIM($B145))),CsDJ[Credit])))+(SUM(IF((CRDJ[Date]=$A$3)*(CRDJ[Account Code]=(TRIM($B145))),CRDJ[Credit])))+(SUM(IF((GJ[Date]=$A$3)*(GJ[Account Code]=(TRIM($B145))),GJ[Credit]))))</f>
        <v>0</v>
      </c>
      <c r="G145" s="343">
        <f>E145+F145</f>
        <v>0</v>
      </c>
      <c r="H145" s="246">
        <f t="shared" si="10"/>
        <v>-15000000</v>
      </c>
      <c r="I145" s="246">
        <f t="shared" si="11"/>
        <v>0</v>
      </c>
    </row>
    <row r="146" spans="1:9">
      <c r="A146" s="243" t="s">
        <v>805</v>
      </c>
      <c r="B146" s="337"/>
      <c r="C146" s="245"/>
      <c r="D146" s="245"/>
      <c r="E146" s="246"/>
      <c r="F146" s="245"/>
      <c r="G146" s="246"/>
      <c r="H146" s="246"/>
      <c r="I146" s="246"/>
    </row>
    <row r="147" spans="1:9">
      <c r="A147" s="251" t="s">
        <v>804</v>
      </c>
      <c r="B147" s="338"/>
      <c r="C147" s="250">
        <f>C50+C76+C144</f>
        <v>174738084.91999999</v>
      </c>
      <c r="D147" s="250">
        <f>D50+D76+D144</f>
        <v>174738084.91999999</v>
      </c>
      <c r="E147" s="250">
        <f>E50+E76+E144</f>
        <v>0</v>
      </c>
      <c r="F147" s="250">
        <f>F50+F76+F144</f>
        <v>0</v>
      </c>
      <c r="G147" s="250">
        <f>G50+G76+G144</f>
        <v>0</v>
      </c>
      <c r="H147" s="250">
        <f t="shared" ref="H147:H153" si="12">G147-D147</f>
        <v>-174738084.91999999</v>
      </c>
      <c r="I147" s="250">
        <f t="shared" ref="I147:I153" si="13">IF((D147=0),0,G147/D147)</f>
        <v>0</v>
      </c>
    </row>
    <row r="148" spans="1:9">
      <c r="A148" s="251" t="s">
        <v>785</v>
      </c>
      <c r="B148" s="338"/>
      <c r="C148" s="250">
        <f>C48-C147</f>
        <v>-133672006.86</v>
      </c>
      <c r="D148" s="250">
        <f>D48-D147</f>
        <v>-133672006.86</v>
      </c>
      <c r="E148" s="250">
        <f>E48-E147</f>
        <v>0</v>
      </c>
      <c r="F148" s="250">
        <f>F48-F147</f>
        <v>0</v>
      </c>
      <c r="G148" s="250">
        <f>G48-G147</f>
        <v>0</v>
      </c>
      <c r="H148" s="250">
        <f t="shared" si="12"/>
        <v>133672006.86</v>
      </c>
      <c r="I148" s="250">
        <f t="shared" si="13"/>
        <v>0</v>
      </c>
    </row>
    <row r="149" spans="1:9">
      <c r="A149" s="251" t="s">
        <v>749</v>
      </c>
      <c r="B149" s="338"/>
      <c r="C149" s="250">
        <f>C48/C147</f>
        <v>0.24</v>
      </c>
      <c r="D149" s="250">
        <f>D48/D147</f>
        <v>0.24</v>
      </c>
      <c r="E149" s="250" t="e">
        <f>E48/E147</f>
        <v>#DIV/0!</v>
      </c>
      <c r="F149" s="250" t="e">
        <f>F48/F147</f>
        <v>#DIV/0!</v>
      </c>
      <c r="G149" s="250" t="e">
        <f>G48/G147</f>
        <v>#DIV/0!</v>
      </c>
      <c r="H149" s="250" t="e">
        <f t="shared" si="12"/>
        <v>#DIV/0!</v>
      </c>
      <c r="I149" s="250" t="e">
        <f t="shared" si="13"/>
        <v>#DIV/0!</v>
      </c>
    </row>
    <row r="150" spans="1:9" hidden="1">
      <c r="A150" s="251" t="s">
        <v>803</v>
      </c>
      <c r="B150" s="338"/>
      <c r="C150" s="250"/>
      <c r="D150" s="250"/>
      <c r="E150" s="250"/>
      <c r="F150" s="250"/>
      <c r="G150" s="250"/>
      <c r="H150" s="250">
        <f t="shared" si="12"/>
        <v>0</v>
      </c>
      <c r="I150" s="250">
        <f t="shared" si="13"/>
        <v>0</v>
      </c>
    </row>
    <row r="151" spans="1:9" hidden="1">
      <c r="A151" s="251" t="s">
        <v>802</v>
      </c>
      <c r="B151" s="338"/>
      <c r="C151" s="250"/>
      <c r="D151" s="250"/>
      <c r="E151" s="250"/>
      <c r="F151" s="250"/>
      <c r="G151" s="250"/>
      <c r="H151" s="250">
        <f t="shared" si="12"/>
        <v>0</v>
      </c>
      <c r="I151" s="250">
        <f t="shared" si="13"/>
        <v>0</v>
      </c>
    </row>
    <row r="152" spans="1:9" ht="15.75" customHeight="1">
      <c r="A152" s="251" t="s">
        <v>785</v>
      </c>
      <c r="B152" s="338"/>
      <c r="C152" s="250">
        <f>C148+C150+C151</f>
        <v>-133672006.86</v>
      </c>
      <c r="D152" s="250">
        <f>D148+D150+D151</f>
        <v>-133672006.86</v>
      </c>
      <c r="E152" s="250">
        <f>E148+E150+E151</f>
        <v>0</v>
      </c>
      <c r="F152" s="250">
        <f>F148+F150+F151</f>
        <v>0</v>
      </c>
      <c r="G152" s="250">
        <f>G148+G150+G151</f>
        <v>0</v>
      </c>
      <c r="H152" s="250">
        <f t="shared" si="12"/>
        <v>133672006.86</v>
      </c>
      <c r="I152" s="250">
        <f t="shared" si="13"/>
        <v>0</v>
      </c>
    </row>
    <row r="153" spans="1:9">
      <c r="A153" s="251" t="s">
        <v>749</v>
      </c>
      <c r="B153" s="338"/>
      <c r="C153" s="250">
        <f>C48/(C147-C150-C151)</f>
        <v>0.24</v>
      </c>
      <c r="D153" s="250">
        <f>D48/(D147-D150-D151)</f>
        <v>0.24</v>
      </c>
      <c r="E153" s="250" t="e">
        <f>E48/(E147-E150-E151)</f>
        <v>#DIV/0!</v>
      </c>
      <c r="F153" s="250" t="e">
        <f>F48/(F147-F150-F151)</f>
        <v>#DIV/0!</v>
      </c>
      <c r="G153" s="250" t="e">
        <f>G48/(G147-G150-G151)</f>
        <v>#DIV/0!</v>
      </c>
      <c r="H153" s="250" t="e">
        <f t="shared" si="12"/>
        <v>#DIV/0!</v>
      </c>
      <c r="I153" s="250" t="e">
        <f t="shared" si="13"/>
        <v>#DIV/0!</v>
      </c>
    </row>
    <row r="154" spans="1:9">
      <c r="A154" s="257" t="s">
        <v>801</v>
      </c>
      <c r="B154" s="340"/>
      <c r="C154" s="271"/>
      <c r="D154" s="271"/>
      <c r="E154" s="271"/>
      <c r="F154" s="271"/>
      <c r="G154" s="263"/>
      <c r="H154" s="263"/>
      <c r="I154" s="263"/>
    </row>
    <row r="155" spans="1:9">
      <c r="A155" s="253" t="s">
        <v>800</v>
      </c>
      <c r="B155" s="337" t="s">
        <v>799</v>
      </c>
      <c r="C155" s="245">
        <f t="array" ref="C155">SUM(IF((Budget[Account Code]=B155),(Budget[Amount])))</f>
        <v>0</v>
      </c>
      <c r="D155" s="245">
        <f t="array" ref="D155">SUM(IF((Budget[Account Code]=B155)*(Budget[Date]&lt;=$D$7),(Budget[Amount])))</f>
        <v>0</v>
      </c>
      <c r="E155" s="245">
        <f t="array" ref="E155">((SUM(IF((CkDJ[Account Code]=(TRIM($B155)))*(CkDJ[Date]&lt;=$E$7),CkDJ[Debit])))+(SUM(IF((CsDJ[Account Code]=(TRIM($B155)))*(CsDJ[Date]&lt;=$E$7),CsDJ[Debit])))+(SUM(IF((CRDJ[Account Code]=(TRIM($B155)))*(CRDJ[Date]&lt;=$E$7),CRDJ[Debit])))+(SUM(IF((GJ[Account Code]=(TRIM($B155)))*(GJ[Date]&lt;=$E$7),GJ[Debit]))))-((SUM(IF((CkDJ[Account Code]=(TRIM($B155)))*(CkDJ[Date]&lt;=$E$7),CkDJ[Credit])))+(SUM(IF((CsDJ[Account Code]=(TRIM($B155)))*(CsDJ[Date]&lt;=$E$7),CsDJ[Credit])))+(SUM(IF((CRDJ[Account Code]=(TRIM($B155)))*(CRDJ[Date]&lt;=$E$7),CRDJ[Credit])))+(SUM(IF((GJ[Account Code]=(TRIM($B155)))*(GJ[Date]&lt;=$E$7),GJ[Credit]))))</f>
        <v>0</v>
      </c>
      <c r="F155" s="245">
        <f t="array" ref="F155">((SUM(IF((CkDJ[Date]=$A$3)*(CkDJ[Account Code]=(TRIM($B155))),CkDJ[Debit])))+(SUM(IF((CsDJ[Date]=$A$3)*(CsDJ[Account Code]=(TRIM($B155))),CsDJ[Debit])))+(SUM(IF((CRDJ[Date]=$A$3)*(CRDJ[Account Code]=(TRIM($B155))),CRDJ[Debit])))+(SUM(IF((GJ[Date]=$A$3)*(GJ[Account Code]=(TRIM($B155))),GJ[Debit]))))-((SUM(IF((CkDJ[Date]=$A$3)*(CkDJ[Account Code]=(TRIM($B155))),CkDJ[Credit])))+(SUM(IF((CsDJ[Date]=$A$3)*(CsDJ[Account Code]=(TRIM($B155))),CsDJ[Credit])))+(SUM(IF((CRDJ[Date]=$A$3)*(CRDJ[Account Code]=(TRIM($B155))),CRDJ[Credit])))+(SUM(IF((GJ[Date]=$A$3)*(GJ[Account Code]=(TRIM($B155))),GJ[Credit]))))</f>
        <v>0</v>
      </c>
      <c r="G155" s="343">
        <f t="shared" ref="G155:G163" si="14">E155+F155</f>
        <v>0</v>
      </c>
      <c r="H155" s="246">
        <f t="shared" ref="H155:H171" si="15">G155-D155</f>
        <v>0</v>
      </c>
      <c r="I155" s="246">
        <f t="shared" ref="I155:I171" si="16">IF((D155=0),0,G155/D155)</f>
        <v>0</v>
      </c>
    </row>
    <row r="156" spans="1:9">
      <c r="A156" s="253" t="s">
        <v>798</v>
      </c>
      <c r="B156" s="339" t="s">
        <v>170</v>
      </c>
      <c r="C156" s="245">
        <f t="array" ref="C156">SUM(IF((Budget[Account Code]=B156),(Budget[Amount])))</f>
        <v>2533347</v>
      </c>
      <c r="D156" s="245">
        <f t="array" ref="D156">SUM(IF((Budget[Account Code]=B156)*(Budget[Date]&lt;=$D$7),(Budget[Amount])))</f>
        <v>2533347</v>
      </c>
      <c r="E156" s="245">
        <f t="array" ref="E156">((SUM(IF((CkDJ[Account Code]=(TRIM($B156)))*(CkDJ[Date]&lt;=$E$7),CkDJ[Debit])))+(SUM(IF((CsDJ[Account Code]=(TRIM($B156)))*(CsDJ[Date]&lt;=$E$7),CsDJ[Debit])))+(SUM(IF((CRDJ[Account Code]=(TRIM($B156)))*(CRDJ[Date]&lt;=$E$7),CRDJ[Debit])))+(SUM(IF((GJ[Account Code]=(TRIM($B156)))*(GJ[Date]&lt;=$E$7),GJ[Debit]))))-((SUM(IF((CkDJ[Account Code]=(TRIM($B156)))*(CkDJ[Date]&lt;=$E$7),CkDJ[Credit])))+(SUM(IF((CsDJ[Account Code]=(TRIM($B156)))*(CsDJ[Date]&lt;=$E$7),CsDJ[Credit])))+(SUM(IF((CRDJ[Account Code]=(TRIM($B156)))*(CRDJ[Date]&lt;=$E$7),CRDJ[Credit])))+(SUM(IF((GJ[Account Code]=(TRIM($B156)))*(GJ[Date]&lt;=$E$7),GJ[Credit]))))</f>
        <v>0</v>
      </c>
      <c r="F156" s="245">
        <f t="array" ref="F156">((SUM(IF((CkDJ[Date]=$A$3)*(CkDJ[Account Code]=(TRIM($B156))),CkDJ[Debit])))+(SUM(IF((CsDJ[Date]=$A$3)*(CsDJ[Account Code]=(TRIM($B156))),CsDJ[Debit])))+(SUM(IF((CRDJ[Date]=$A$3)*(CRDJ[Account Code]=(TRIM($B156))),CRDJ[Debit])))+(SUM(IF((GJ[Date]=$A$3)*(GJ[Account Code]=(TRIM($B156))),GJ[Debit]))))-((SUM(IF((CkDJ[Date]=$A$3)*(CkDJ[Account Code]=(TRIM($B156))),CkDJ[Credit])))+(SUM(IF((CsDJ[Date]=$A$3)*(CsDJ[Account Code]=(TRIM($B156))),CsDJ[Credit])))+(SUM(IF((CRDJ[Date]=$A$3)*(CRDJ[Account Code]=(TRIM($B156))),CRDJ[Credit])))+(SUM(IF((GJ[Date]=$A$3)*(GJ[Account Code]=(TRIM($B156))),GJ[Credit]))))</f>
        <v>0</v>
      </c>
      <c r="G156" s="343">
        <f t="shared" si="14"/>
        <v>0</v>
      </c>
      <c r="H156" s="246">
        <f t="shared" si="15"/>
        <v>-2533347</v>
      </c>
      <c r="I156" s="246">
        <f t="shared" si="16"/>
        <v>0</v>
      </c>
    </row>
    <row r="157" spans="1:9">
      <c r="A157" s="253" t="s">
        <v>797</v>
      </c>
      <c r="B157" s="339" t="s">
        <v>168</v>
      </c>
      <c r="C157" s="245">
        <f t="array" ref="C157">SUM(IF((Budget[Account Code]=B157),(Budget[Amount])))</f>
        <v>3000000</v>
      </c>
      <c r="D157" s="245">
        <f t="array" ref="D157">SUM(IF((Budget[Account Code]=B157)*(Budget[Date]&lt;=$D$7),(Budget[Amount])))</f>
        <v>3000000</v>
      </c>
      <c r="E157" s="245">
        <f t="array" ref="E157">((SUM(IF((CkDJ[Account Code]=(TRIM($B157)))*(CkDJ[Date]&lt;=$E$7),CkDJ[Debit])))+(SUM(IF((CsDJ[Account Code]=(TRIM($B157)))*(CsDJ[Date]&lt;=$E$7),CsDJ[Debit])))+(SUM(IF((CRDJ[Account Code]=(TRIM($B157)))*(CRDJ[Date]&lt;=$E$7),CRDJ[Debit])))+(SUM(IF((GJ[Account Code]=(TRIM($B157)))*(GJ[Date]&lt;=$E$7),GJ[Debit]))))-((SUM(IF((CkDJ[Account Code]=(TRIM($B157)))*(CkDJ[Date]&lt;=$E$7),CkDJ[Credit])))+(SUM(IF((CsDJ[Account Code]=(TRIM($B157)))*(CsDJ[Date]&lt;=$E$7),CsDJ[Credit])))+(SUM(IF((CRDJ[Account Code]=(TRIM($B157)))*(CRDJ[Date]&lt;=$E$7),CRDJ[Credit])))+(SUM(IF((GJ[Account Code]=(TRIM($B157)))*(GJ[Date]&lt;=$E$7),GJ[Credit]))))</f>
        <v>0</v>
      </c>
      <c r="F157" s="245">
        <f t="array" ref="F157">((SUM(IF((CkDJ[Date]=$A$3)*(CkDJ[Account Code]=(TRIM($B157))),CkDJ[Debit])))+(SUM(IF((CsDJ[Date]=$A$3)*(CsDJ[Account Code]=(TRIM($B157))),CsDJ[Debit])))+(SUM(IF((CRDJ[Date]=$A$3)*(CRDJ[Account Code]=(TRIM($B157))),CRDJ[Debit])))+(SUM(IF((GJ[Date]=$A$3)*(GJ[Account Code]=(TRIM($B157))),GJ[Debit]))))-((SUM(IF((CkDJ[Date]=$A$3)*(CkDJ[Account Code]=(TRIM($B157))),CkDJ[Credit])))+(SUM(IF((CsDJ[Date]=$A$3)*(CsDJ[Account Code]=(TRIM($B157))),CsDJ[Credit])))+(SUM(IF((CRDJ[Date]=$A$3)*(CRDJ[Account Code]=(TRIM($B157))),CRDJ[Credit])))+(SUM(IF((GJ[Date]=$A$3)*(GJ[Account Code]=(TRIM($B157))),GJ[Credit]))))</f>
        <v>0</v>
      </c>
      <c r="G157" s="343">
        <f t="shared" si="14"/>
        <v>0</v>
      </c>
      <c r="H157" s="246">
        <f t="shared" si="15"/>
        <v>-3000000</v>
      </c>
      <c r="I157" s="246">
        <f t="shared" si="16"/>
        <v>0</v>
      </c>
    </row>
    <row r="158" spans="1:9">
      <c r="A158" s="253" t="s">
        <v>354</v>
      </c>
      <c r="B158" s="339" t="s">
        <v>216</v>
      </c>
      <c r="C158" s="245">
        <f t="array" ref="C158">SUM(IF((Budget[Account Code]=B158),(Budget[Amount])))</f>
        <v>165000</v>
      </c>
      <c r="D158" s="245">
        <f t="array" ref="D158">SUM(IF((Budget[Account Code]=B158)*(Budget[Date]&lt;=$D$7),(Budget[Amount])))</f>
        <v>165000</v>
      </c>
      <c r="E158" s="245">
        <f t="array" ref="E158">((SUM(IF((CkDJ[Account Code]=(TRIM($B158)))*(CkDJ[Date]&lt;=$E$7),CkDJ[Debit])))+(SUM(IF((CsDJ[Account Code]=(TRIM($B158)))*(CsDJ[Date]&lt;=$E$7),CsDJ[Debit])))+(SUM(IF((CRDJ[Account Code]=(TRIM($B158)))*(CRDJ[Date]&lt;=$E$7),CRDJ[Debit])))+(SUM(IF((GJ[Account Code]=(TRIM($B158)))*(GJ[Date]&lt;=$E$7),GJ[Debit]))))-((SUM(IF((CkDJ[Account Code]=(TRIM($B158)))*(CkDJ[Date]&lt;=$E$7),CkDJ[Credit])))+(SUM(IF((CsDJ[Account Code]=(TRIM($B158)))*(CsDJ[Date]&lt;=$E$7),CsDJ[Credit])))+(SUM(IF((CRDJ[Account Code]=(TRIM($B158)))*(CRDJ[Date]&lt;=$E$7),CRDJ[Credit])))+(SUM(IF((GJ[Account Code]=(TRIM($B158)))*(GJ[Date]&lt;=$E$7),GJ[Credit]))))</f>
        <v>0</v>
      </c>
      <c r="F158" s="245">
        <f t="array" ref="F158">((SUM(IF((CkDJ[Date]=$A$3)*(CkDJ[Account Code]=(TRIM($B158))),CkDJ[Debit])))+(SUM(IF((CsDJ[Date]=$A$3)*(CsDJ[Account Code]=(TRIM($B158))),CsDJ[Debit])))+(SUM(IF((CRDJ[Date]=$A$3)*(CRDJ[Account Code]=(TRIM($B158))),CRDJ[Debit])))+(SUM(IF((GJ[Date]=$A$3)*(GJ[Account Code]=(TRIM($B158))),GJ[Debit]))))-((SUM(IF((CkDJ[Date]=$A$3)*(CkDJ[Account Code]=(TRIM($B158))),CkDJ[Credit])))+(SUM(IF((CsDJ[Date]=$A$3)*(CsDJ[Account Code]=(TRIM($B158))),CsDJ[Credit])))+(SUM(IF((CRDJ[Date]=$A$3)*(CRDJ[Account Code]=(TRIM($B158))),CRDJ[Credit])))+(SUM(IF((GJ[Date]=$A$3)*(GJ[Account Code]=(TRIM($B158))),GJ[Credit]))))</f>
        <v>0</v>
      </c>
      <c r="G158" s="343">
        <f t="shared" si="14"/>
        <v>0</v>
      </c>
      <c r="H158" s="246">
        <f t="shared" si="15"/>
        <v>-165000</v>
      </c>
      <c r="I158" s="246">
        <f t="shared" si="16"/>
        <v>0</v>
      </c>
    </row>
    <row r="159" spans="1:9">
      <c r="A159" s="253" t="s">
        <v>796</v>
      </c>
      <c r="B159" s="337" t="s">
        <v>331</v>
      </c>
      <c r="C159" s="245">
        <f t="array" ref="C159">SUM(IF((Budget[Account Code]=B159),(Budget[Amount])))</f>
        <v>0</v>
      </c>
      <c r="D159" s="245">
        <f t="array" ref="D159">SUM(IF((Budget[Account Code]=B159)*(Budget[Date]&lt;=$D$7),(Budget[Amount])))</f>
        <v>0</v>
      </c>
      <c r="E159" s="245">
        <f t="array" ref="E159">((SUM(IF((CkDJ[Account Code]=(TRIM($B159)))*(CkDJ[Date]&lt;=$E$7),CkDJ[Debit])))+(SUM(IF((CsDJ[Account Code]=(TRIM($B159)))*(CsDJ[Date]&lt;=$E$7),CsDJ[Debit])))+(SUM(IF((CRDJ[Account Code]=(TRIM($B159)))*(CRDJ[Date]&lt;=$E$7),CRDJ[Debit])))+(SUM(IF((GJ[Account Code]=(TRIM($B159)))*(GJ[Date]&lt;=$E$7),GJ[Debit]))))-((SUM(IF((CkDJ[Account Code]=(TRIM($B159)))*(CkDJ[Date]&lt;=$E$7),CkDJ[Credit])))+(SUM(IF((CsDJ[Account Code]=(TRIM($B159)))*(CsDJ[Date]&lt;=$E$7),CsDJ[Credit])))+(SUM(IF((CRDJ[Account Code]=(TRIM($B159)))*(CRDJ[Date]&lt;=$E$7),CRDJ[Credit])))+(SUM(IF((GJ[Account Code]=(TRIM($B159)))*(GJ[Date]&lt;=$E$7),GJ[Credit]))))</f>
        <v>0</v>
      </c>
      <c r="F159" s="245">
        <f t="array" ref="F159">((SUM(IF((CkDJ[Date]=$A$3)*(CkDJ[Account Code]=(TRIM($B159))),CkDJ[Debit])))+(SUM(IF((CsDJ[Date]=$A$3)*(CsDJ[Account Code]=(TRIM($B159))),CsDJ[Debit])))+(SUM(IF((CRDJ[Date]=$A$3)*(CRDJ[Account Code]=(TRIM($B159))),CRDJ[Debit])))+(SUM(IF((GJ[Date]=$A$3)*(GJ[Account Code]=(TRIM($B159))),GJ[Debit]))))-((SUM(IF((CkDJ[Date]=$A$3)*(CkDJ[Account Code]=(TRIM($B159))),CkDJ[Credit])))+(SUM(IF((CsDJ[Date]=$A$3)*(CsDJ[Account Code]=(TRIM($B159))),CsDJ[Credit])))+(SUM(IF((CRDJ[Date]=$A$3)*(CRDJ[Account Code]=(TRIM($B159))),CRDJ[Credit])))+(SUM(IF((GJ[Date]=$A$3)*(GJ[Account Code]=(TRIM($B159))),GJ[Credit]))))</f>
        <v>0</v>
      </c>
      <c r="G159" s="343">
        <f t="shared" si="14"/>
        <v>0</v>
      </c>
      <c r="H159" s="246">
        <f t="shared" si="15"/>
        <v>0</v>
      </c>
      <c r="I159" s="246">
        <f t="shared" si="16"/>
        <v>0</v>
      </c>
    </row>
    <row r="160" spans="1:9">
      <c r="A160" s="253" t="s">
        <v>304</v>
      </c>
      <c r="B160" s="339" t="s">
        <v>222</v>
      </c>
      <c r="C160" s="245">
        <f t="array" ref="C160">SUM(IF((Budget[Account Code]=B160),(Budget[Amount])))</f>
        <v>316600.03999999998</v>
      </c>
      <c r="D160" s="245">
        <f t="array" ref="D160">SUM(IF((Budget[Account Code]=B160)*(Budget[Date]&lt;=$D$7),(Budget[Amount])))</f>
        <v>316600.03999999998</v>
      </c>
      <c r="E160" s="245">
        <f t="array" ref="E160">((SUM(IF((CkDJ[Account Code]=(TRIM($B160)))*(CkDJ[Date]&lt;=$E$7),CkDJ[Debit])))+(SUM(IF((CsDJ[Account Code]=(TRIM($B160)))*(CsDJ[Date]&lt;=$E$7),CsDJ[Debit])))+(SUM(IF((CRDJ[Account Code]=(TRIM($B160)))*(CRDJ[Date]&lt;=$E$7),CRDJ[Debit])))+(SUM(IF((GJ[Account Code]=(TRIM($B160)))*(GJ[Date]&lt;=$E$7),GJ[Debit]))))-((SUM(IF((CkDJ[Account Code]=(TRIM($B160)))*(CkDJ[Date]&lt;=$E$7),CkDJ[Credit])))+(SUM(IF((CsDJ[Account Code]=(TRIM($B160)))*(CsDJ[Date]&lt;=$E$7),CsDJ[Credit])))+(SUM(IF((CRDJ[Account Code]=(TRIM($B160)))*(CRDJ[Date]&lt;=$E$7),CRDJ[Credit])))+(SUM(IF((GJ[Account Code]=(TRIM($B160)))*(GJ[Date]&lt;=$E$7),GJ[Credit]))))</f>
        <v>0</v>
      </c>
      <c r="F160" s="245">
        <f t="array" ref="F160">((SUM(IF((CkDJ[Date]=$A$3)*(CkDJ[Account Code]=(TRIM($B160))),CkDJ[Debit])))+(SUM(IF((CsDJ[Date]=$A$3)*(CsDJ[Account Code]=(TRIM($B160))),CsDJ[Debit])))+(SUM(IF((CRDJ[Date]=$A$3)*(CRDJ[Account Code]=(TRIM($B160))),CRDJ[Debit])))+(SUM(IF((GJ[Date]=$A$3)*(GJ[Account Code]=(TRIM($B160))),GJ[Debit]))))-((SUM(IF((CkDJ[Date]=$A$3)*(CkDJ[Account Code]=(TRIM($B160))),CkDJ[Credit])))+(SUM(IF((CsDJ[Date]=$A$3)*(CsDJ[Account Code]=(TRIM($B160))),CsDJ[Credit])))+(SUM(IF((CRDJ[Date]=$A$3)*(CRDJ[Account Code]=(TRIM($B160))),CRDJ[Credit])))+(SUM(IF((GJ[Date]=$A$3)*(GJ[Account Code]=(TRIM($B160))),GJ[Credit]))))</f>
        <v>0</v>
      </c>
      <c r="G160" s="343">
        <f t="shared" si="14"/>
        <v>0</v>
      </c>
      <c r="H160" s="246">
        <f t="shared" si="15"/>
        <v>-316600.03999999998</v>
      </c>
      <c r="I160" s="246">
        <f t="shared" si="16"/>
        <v>0</v>
      </c>
    </row>
    <row r="161" spans="1:9">
      <c r="A161" s="253" t="s">
        <v>795</v>
      </c>
      <c r="B161" s="337"/>
      <c r="C161" s="245">
        <f t="array" ref="C161">SUM(IF((Budget[Account Code]=B161),(Budget[Amount])))</f>
        <v>0</v>
      </c>
      <c r="D161" s="245">
        <f t="array" ref="D161">SUM(IF((Budget[Account Code]=B161)*(Budget[Date]&lt;=$D$7),(Budget[Amount])))</f>
        <v>0</v>
      </c>
      <c r="E161" s="245">
        <f t="array" ref="E161">((SUM(IF((CkDJ[Account Code]=(TRIM($B161)))*(CkDJ[Date]&lt;=$E$7),CkDJ[Debit])))+(SUM(IF((CsDJ[Account Code]=(TRIM($B161)))*(CsDJ[Date]&lt;=$E$7),CsDJ[Debit])))+(SUM(IF((CRDJ[Account Code]=(TRIM($B161)))*(CRDJ[Date]&lt;=$E$7),CRDJ[Debit])))+(SUM(IF((GJ[Account Code]=(TRIM($B161)))*(GJ[Date]&lt;=$E$7),GJ[Debit]))))-((SUM(IF((CkDJ[Account Code]=(TRIM($B161)))*(CkDJ[Date]&lt;=$E$7),CkDJ[Credit])))+(SUM(IF((CsDJ[Account Code]=(TRIM($B161)))*(CsDJ[Date]&lt;=$E$7),CsDJ[Credit])))+(SUM(IF((CRDJ[Account Code]=(TRIM($B161)))*(CRDJ[Date]&lt;=$E$7),CRDJ[Credit])))+(SUM(IF((GJ[Account Code]=(TRIM($B161)))*(GJ[Date]&lt;=$E$7),GJ[Credit]))))</f>
        <v>0</v>
      </c>
      <c r="F161" s="245">
        <f t="array" ref="F161">((SUM(IF((CkDJ[Date]=$A$3)*(CkDJ[Account Code]=(TRIM($B161))),CkDJ[Debit])))+(SUM(IF((CsDJ[Date]=$A$3)*(CsDJ[Account Code]=(TRIM($B161))),CsDJ[Debit])))+(SUM(IF((CRDJ[Date]=$A$3)*(CRDJ[Account Code]=(TRIM($B161))),CRDJ[Debit])))+(SUM(IF((GJ[Date]=$A$3)*(GJ[Account Code]=(TRIM($B161))),GJ[Debit]))))-((SUM(IF((CkDJ[Date]=$A$3)*(CkDJ[Account Code]=(TRIM($B161))),CkDJ[Credit])))+(SUM(IF((CsDJ[Date]=$A$3)*(CsDJ[Account Code]=(TRIM($B161))),CsDJ[Credit])))+(SUM(IF((CRDJ[Date]=$A$3)*(CRDJ[Account Code]=(TRIM($B161))),CRDJ[Credit])))+(SUM(IF((GJ[Date]=$A$3)*(GJ[Account Code]=(TRIM($B161))),GJ[Credit]))))</f>
        <v>0</v>
      </c>
      <c r="G161" s="343">
        <f t="shared" si="14"/>
        <v>0</v>
      </c>
      <c r="H161" s="246">
        <f t="shared" si="15"/>
        <v>0</v>
      </c>
      <c r="I161" s="246">
        <f t="shared" si="16"/>
        <v>0</v>
      </c>
    </row>
    <row r="162" spans="1:9">
      <c r="A162" s="253" t="s">
        <v>794</v>
      </c>
      <c r="B162" s="339" t="s">
        <v>212</v>
      </c>
      <c r="C162" s="245">
        <f t="array" ref="C162">SUM(IF((Budget[Account Code]=B162),(Budget[Amount])))</f>
        <v>5794980.1399999997</v>
      </c>
      <c r="D162" s="245">
        <f t="array" ref="D162">SUM(IF((Budget[Account Code]=B162)*(Budget[Date]&lt;=$D$7),(Budget[Amount])))</f>
        <v>5794980.1399999997</v>
      </c>
      <c r="E162" s="245">
        <f t="array" ref="E162">((SUM(IF((CkDJ[Account Code]=(TRIM($B162)))*(CkDJ[Date]&lt;=$E$7),CkDJ[Debit])))+(SUM(IF((CsDJ[Account Code]=(TRIM($B162)))*(CsDJ[Date]&lt;=$E$7),CsDJ[Debit])))+(SUM(IF((CRDJ[Account Code]=(TRIM($B162)))*(CRDJ[Date]&lt;=$E$7),CRDJ[Debit])))+(SUM(IF((GJ[Account Code]=(TRIM($B162)))*(GJ[Date]&lt;=$E$7),GJ[Debit]))))-((SUM(IF((CkDJ[Account Code]=(TRIM($B162)))*(CkDJ[Date]&lt;=$E$7),CkDJ[Credit])))+(SUM(IF((CsDJ[Account Code]=(TRIM($B162)))*(CsDJ[Date]&lt;=$E$7),CsDJ[Credit])))+(SUM(IF((CRDJ[Account Code]=(TRIM($B162)))*(CRDJ[Date]&lt;=$E$7),CRDJ[Credit])))+(SUM(IF((GJ[Account Code]=(TRIM($B162)))*(GJ[Date]&lt;=$E$7),GJ[Credit]))))</f>
        <v>0</v>
      </c>
      <c r="F162" s="245">
        <f t="array" ref="F162">((SUM(IF((CkDJ[Date]=$A$3)*(CkDJ[Account Code]=(TRIM($B162))),CkDJ[Debit])))+(SUM(IF((CsDJ[Date]=$A$3)*(CsDJ[Account Code]=(TRIM($B162))),CsDJ[Debit])))+(SUM(IF((CRDJ[Date]=$A$3)*(CRDJ[Account Code]=(TRIM($B162))),CRDJ[Debit])))+(SUM(IF((GJ[Date]=$A$3)*(GJ[Account Code]=(TRIM($B162))),GJ[Debit]))))-((SUM(IF((CkDJ[Date]=$A$3)*(CkDJ[Account Code]=(TRIM($B162))),CkDJ[Credit])))+(SUM(IF((CsDJ[Date]=$A$3)*(CsDJ[Account Code]=(TRIM($B162))),CsDJ[Credit])))+(SUM(IF((CRDJ[Date]=$A$3)*(CRDJ[Account Code]=(TRIM($B162))),CRDJ[Credit])))+(SUM(IF((GJ[Date]=$A$3)*(GJ[Account Code]=(TRIM($B162))),GJ[Credit]))))</f>
        <v>0</v>
      </c>
      <c r="G162" s="343">
        <f t="shared" si="14"/>
        <v>0</v>
      </c>
      <c r="H162" s="246">
        <f t="shared" si="15"/>
        <v>-5794980.1399999997</v>
      </c>
      <c r="I162" s="246">
        <f t="shared" si="16"/>
        <v>0</v>
      </c>
    </row>
    <row r="163" spans="1:9">
      <c r="A163" s="253" t="s">
        <v>793</v>
      </c>
      <c r="B163" s="337"/>
      <c r="C163" s="245">
        <f t="array" ref="C163">SUM(IF((Budget[Account Code]=B163),(Budget[Amount])))</f>
        <v>0</v>
      </c>
      <c r="D163" s="245">
        <f t="array" ref="D163">SUM(IF((Budget[Account Code]=B163)*(Budget[Date]&lt;=$D$7),(Budget[Amount])))</f>
        <v>0</v>
      </c>
      <c r="E163" s="245">
        <f t="array" ref="E163">((SUM(IF((CkDJ[Account Code]=(TRIM($B163)))*(CkDJ[Date]&lt;=$E$7),CkDJ[Debit])))+(SUM(IF((CsDJ[Account Code]=(TRIM($B163)))*(CsDJ[Date]&lt;=$E$7),CsDJ[Debit])))+(SUM(IF((CRDJ[Account Code]=(TRIM($B163)))*(CRDJ[Date]&lt;=$E$7),CRDJ[Debit])))+(SUM(IF((GJ[Account Code]=(TRIM($B163)))*(GJ[Date]&lt;=$E$7),GJ[Debit]))))-((SUM(IF((CkDJ[Account Code]=(TRIM($B163)))*(CkDJ[Date]&lt;=$E$7),CkDJ[Credit])))+(SUM(IF((CsDJ[Account Code]=(TRIM($B163)))*(CsDJ[Date]&lt;=$E$7),CsDJ[Credit])))+(SUM(IF((CRDJ[Account Code]=(TRIM($B163)))*(CRDJ[Date]&lt;=$E$7),CRDJ[Credit])))+(SUM(IF((GJ[Account Code]=(TRIM($B163)))*(GJ[Date]&lt;=$E$7),GJ[Credit]))))</f>
        <v>0</v>
      </c>
      <c r="F163" s="245">
        <f t="array" ref="F163">((SUM(IF((CkDJ[Date]=$A$3)*(CkDJ[Account Code]=(TRIM($B163))),CkDJ[Debit])))+(SUM(IF((CsDJ[Date]=$A$3)*(CsDJ[Account Code]=(TRIM($B163))),CsDJ[Debit])))+(SUM(IF((CRDJ[Date]=$A$3)*(CRDJ[Account Code]=(TRIM($B163))),CRDJ[Debit])))+(SUM(IF((GJ[Date]=$A$3)*(GJ[Account Code]=(TRIM($B163))),GJ[Debit]))))-((SUM(IF((CkDJ[Date]=$A$3)*(CkDJ[Account Code]=(TRIM($B163))),CkDJ[Credit])))+(SUM(IF((CsDJ[Date]=$A$3)*(CsDJ[Account Code]=(TRIM($B163))),CsDJ[Credit])))+(SUM(IF((CRDJ[Date]=$A$3)*(CRDJ[Account Code]=(TRIM($B163))),CRDJ[Credit])))+(SUM(IF((GJ[Date]=$A$3)*(GJ[Account Code]=(TRIM($B163))),GJ[Credit]))))</f>
        <v>0</v>
      </c>
      <c r="G163" s="343">
        <f t="shared" si="14"/>
        <v>0</v>
      </c>
      <c r="H163" s="246">
        <f t="shared" si="15"/>
        <v>0</v>
      </c>
      <c r="I163" s="246">
        <f t="shared" si="16"/>
        <v>0</v>
      </c>
    </row>
    <row r="164" spans="1:9">
      <c r="A164" s="251" t="s">
        <v>789</v>
      </c>
      <c r="B164" s="338"/>
      <c r="C164" s="250">
        <f>SUM(C155:C163)</f>
        <v>11809927.18</v>
      </c>
      <c r="D164" s="250">
        <f>SUM(D155:D163)</f>
        <v>11809927.18</v>
      </c>
      <c r="E164" s="250">
        <f>SUM(E155:E163)</f>
        <v>0</v>
      </c>
      <c r="F164" s="250">
        <f>SUM(F155:F163)</f>
        <v>0</v>
      </c>
      <c r="G164" s="250">
        <f>SUM(G155:G163)</f>
        <v>0</v>
      </c>
      <c r="H164" s="250">
        <f t="shared" si="15"/>
        <v>-11809927.18</v>
      </c>
      <c r="I164" s="250">
        <f t="shared" si="16"/>
        <v>0</v>
      </c>
    </row>
    <row r="165" spans="1:9">
      <c r="A165" s="251" t="s">
        <v>788</v>
      </c>
      <c r="B165" s="338"/>
      <c r="C165" s="250">
        <f>C147+C164</f>
        <v>186548012.09999999</v>
      </c>
      <c r="D165" s="250">
        <f>D147+D164</f>
        <v>186548012.09999999</v>
      </c>
      <c r="E165" s="250">
        <f>E147+E164</f>
        <v>0</v>
      </c>
      <c r="F165" s="250">
        <f>F147+F164</f>
        <v>0</v>
      </c>
      <c r="G165" s="250">
        <f>G147+G164</f>
        <v>0</v>
      </c>
      <c r="H165" s="250">
        <f t="shared" si="15"/>
        <v>-186548012.09999999</v>
      </c>
      <c r="I165" s="250">
        <f t="shared" si="16"/>
        <v>0</v>
      </c>
    </row>
    <row r="166" spans="1:9">
      <c r="A166" s="251" t="s">
        <v>785</v>
      </c>
      <c r="B166" s="338"/>
      <c r="C166" s="250">
        <f>C48-C165</f>
        <v>-145481934.03999999</v>
      </c>
      <c r="D166" s="250">
        <f>D48-D165</f>
        <v>-145481934.03999999</v>
      </c>
      <c r="E166" s="250">
        <f>E48-E165</f>
        <v>0</v>
      </c>
      <c r="F166" s="250">
        <f>F48-F165</f>
        <v>0</v>
      </c>
      <c r="G166" s="250">
        <f>G48-G165</f>
        <v>0</v>
      </c>
      <c r="H166" s="250">
        <f t="shared" si="15"/>
        <v>145481934.03999999</v>
      </c>
      <c r="I166" s="250">
        <f t="shared" si="16"/>
        <v>0</v>
      </c>
    </row>
    <row r="167" spans="1:9">
      <c r="A167" s="251" t="s">
        <v>749</v>
      </c>
      <c r="B167" s="338"/>
      <c r="C167" s="250">
        <f>C48/C165</f>
        <v>0.22</v>
      </c>
      <c r="D167" s="250">
        <f>D48/D165</f>
        <v>0.22</v>
      </c>
      <c r="E167" s="250" t="e">
        <f>E48/E165</f>
        <v>#DIV/0!</v>
      </c>
      <c r="F167" s="250" t="e">
        <f>F48/F165</f>
        <v>#DIV/0!</v>
      </c>
      <c r="G167" s="250" t="e">
        <f>G48/G165</f>
        <v>#DIV/0!</v>
      </c>
      <c r="H167" s="250" t="e">
        <f t="shared" si="15"/>
        <v>#DIV/0!</v>
      </c>
      <c r="I167" s="250" t="e">
        <f t="shared" si="16"/>
        <v>#DIV/0!</v>
      </c>
    </row>
    <row r="168" spans="1:9" hidden="1">
      <c r="A168" s="251" t="s">
        <v>787</v>
      </c>
      <c r="B168" s="338"/>
      <c r="C168" s="250"/>
      <c r="D168" s="250"/>
      <c r="E168" s="250"/>
      <c r="F168" s="250"/>
      <c r="G168" s="250"/>
      <c r="H168" s="250">
        <f t="shared" si="15"/>
        <v>0</v>
      </c>
      <c r="I168" s="250">
        <f t="shared" si="16"/>
        <v>0</v>
      </c>
    </row>
    <row r="169" spans="1:9" hidden="1">
      <c r="A169" s="251" t="s">
        <v>786</v>
      </c>
      <c r="B169" s="338"/>
      <c r="C169" s="250"/>
      <c r="D169" s="250"/>
      <c r="E169" s="250"/>
      <c r="F169" s="250"/>
      <c r="G169" s="250"/>
      <c r="H169" s="250">
        <f t="shared" si="15"/>
        <v>0</v>
      </c>
      <c r="I169" s="250">
        <f t="shared" si="16"/>
        <v>0</v>
      </c>
    </row>
    <row r="170" spans="1:9">
      <c r="A170" s="251" t="s">
        <v>785</v>
      </c>
      <c r="B170" s="338"/>
      <c r="C170" s="250">
        <f>C166+C168+C169</f>
        <v>-145481934.03999999</v>
      </c>
      <c r="D170" s="250">
        <f>D166+D168+D169</f>
        <v>-145481934.03999999</v>
      </c>
      <c r="E170" s="250">
        <f>E166+E168+E169</f>
        <v>0</v>
      </c>
      <c r="F170" s="250">
        <f>F166+F168+F169</f>
        <v>0</v>
      </c>
      <c r="G170" s="250">
        <f>G166+G168+G169</f>
        <v>0</v>
      </c>
      <c r="H170" s="250">
        <f t="shared" si="15"/>
        <v>145481934.03999999</v>
      </c>
      <c r="I170" s="250">
        <f t="shared" si="16"/>
        <v>0</v>
      </c>
    </row>
    <row r="171" spans="1:9">
      <c r="A171" s="251" t="s">
        <v>792</v>
      </c>
      <c r="B171" s="338"/>
      <c r="C171" s="250">
        <f>C48/(C165-C168-C169)</f>
        <v>0.22</v>
      </c>
      <c r="D171" s="250">
        <f>D48/(D165-D168-D169)</f>
        <v>0.22</v>
      </c>
      <c r="E171" s="250" t="e">
        <f>E48/(E165-E168-E169)</f>
        <v>#DIV/0!</v>
      </c>
      <c r="F171" s="250" t="e">
        <f>F48/(F165-F168-F169)</f>
        <v>#DIV/0!</v>
      </c>
      <c r="G171" s="250" t="e">
        <f>G48/(G165-G168-G169)</f>
        <v>#DIV/0!</v>
      </c>
      <c r="H171" s="250" t="e">
        <f t="shared" si="15"/>
        <v>#DIV/0!</v>
      </c>
      <c r="I171" s="250" t="e">
        <f t="shared" si="16"/>
        <v>#DIV/0!</v>
      </c>
    </row>
    <row r="172" spans="1:9">
      <c r="A172" s="259"/>
      <c r="C172" s="345"/>
      <c r="D172" s="345"/>
      <c r="E172" s="345"/>
      <c r="F172" s="345"/>
      <c r="G172" s="345"/>
      <c r="H172" s="345"/>
      <c r="I172" s="346"/>
    </row>
    <row r="173" spans="1:9">
      <c r="A173" s="333" t="s">
        <v>791</v>
      </c>
      <c r="B173" s="341"/>
      <c r="C173" s="334"/>
      <c r="D173" s="334"/>
      <c r="E173" s="334"/>
      <c r="F173" s="334"/>
      <c r="G173" s="334"/>
      <c r="H173" s="334"/>
      <c r="I173" s="347"/>
    </row>
    <row r="174" spans="1:9">
      <c r="A174" s="261"/>
      <c r="B174" s="340"/>
      <c r="C174" s="348"/>
      <c r="D174" s="348"/>
      <c r="E174" s="348"/>
      <c r="F174" s="348"/>
      <c r="G174" s="263"/>
      <c r="H174" s="263"/>
      <c r="I174" s="263"/>
    </row>
    <row r="175" spans="1:9">
      <c r="A175" s="253" t="s">
        <v>790</v>
      </c>
      <c r="B175" s="339" t="s">
        <v>267</v>
      </c>
      <c r="C175" s="245">
        <f t="array" ref="C175">SUM(IF((Budget[Account Code]=B175),(Budget[Amount])))</f>
        <v>5000000</v>
      </c>
      <c r="D175" s="245">
        <f t="array" ref="D175">SUM(IF((Budget[Account Code]=B175)*(Budget[Date]&lt;=$D$7),(Budget[Amount])))</f>
        <v>5000000</v>
      </c>
      <c r="E175" s="245">
        <f t="array" ref="E175">((SUM(IF((CkDJ[Account Code]=(TRIM($B175)))*(CkDJ[Date]&lt;=$E$7),CkDJ[Debit])))+(SUM(IF((CsDJ[Account Code]=(TRIM($B175)))*(CsDJ[Date]&lt;=$E$7),CsDJ[Debit])))+(SUM(IF((CRDJ[Account Code]=(TRIM($B175)))*(CRDJ[Date]&lt;=$E$7),CRDJ[Debit])))+(SUM(IF((GJ[Account Code]=(TRIM($B175)))*(GJ[Date]&lt;=$E$7),GJ[Debit]))))-((SUM(IF((CkDJ[Account Code]=(TRIM($B175)))*(CkDJ[Date]&lt;=$E$7),CkDJ[Credit])))+(SUM(IF((CsDJ[Account Code]=(TRIM($B175)))*(CsDJ[Date]&lt;=$E$7),CsDJ[Credit])))+(SUM(IF((CRDJ[Account Code]=(TRIM($B175)))*(CRDJ[Date]&lt;=$E$7),CRDJ[Credit])))+(SUM(IF((GJ[Account Code]=(TRIM($B175)))*(GJ[Date]&lt;=$E$7),GJ[Credit]))))</f>
        <v>0</v>
      </c>
      <c r="F175" s="245">
        <f t="array" ref="F175">((SUM(IF((CkDJ[Date]=$A$3)*(CkDJ[Account Code]=(TRIM($B175))),CkDJ[Debit])))+(SUM(IF((CsDJ[Date]=$A$3)*(CsDJ[Account Code]=(TRIM($B175))),CsDJ[Debit])))+(SUM(IF((CRDJ[Date]=$A$3)*(CRDJ[Account Code]=(TRIM($B175))),CRDJ[Debit])))+(SUM(IF((GJ[Date]=$A$3)*(GJ[Account Code]=(TRIM($B175))),GJ[Debit]))))-((SUM(IF((CkDJ[Date]=$A$3)*(CkDJ[Account Code]=(TRIM($B175))),CkDJ[Credit])))+(SUM(IF((CsDJ[Date]=$A$3)*(CsDJ[Account Code]=(TRIM($B175))),CsDJ[Credit])))+(SUM(IF((CRDJ[Date]=$A$3)*(CRDJ[Account Code]=(TRIM($B175))),CRDJ[Credit])))+(SUM(IF((GJ[Date]=$A$3)*(GJ[Account Code]=(TRIM($B175))),GJ[Credit]))))</f>
        <v>0</v>
      </c>
      <c r="G175" s="343">
        <f>E175+F175</f>
        <v>0</v>
      </c>
      <c r="H175" s="246">
        <f>G175-D175</f>
        <v>-5000000</v>
      </c>
      <c r="I175" s="246">
        <f>IF((D175=0),0,G175/D175)</f>
        <v>0</v>
      </c>
    </row>
    <row r="176" spans="1:9">
      <c r="A176" s="253"/>
      <c r="B176" s="337"/>
      <c r="C176" s="245"/>
      <c r="D176" s="245"/>
      <c r="E176" s="245"/>
      <c r="F176" s="245"/>
      <c r="G176" s="246"/>
      <c r="H176" s="246"/>
      <c r="I176" s="246"/>
    </row>
    <row r="177" spans="1:9">
      <c r="A177" s="251" t="s">
        <v>789</v>
      </c>
      <c r="B177" s="338"/>
      <c r="C177" s="250">
        <f>SUM(C174:C176)</f>
        <v>5000000</v>
      </c>
      <c r="D177" s="250">
        <f>SUM(D174:D176)</f>
        <v>5000000</v>
      </c>
      <c r="E177" s="250">
        <f>SUM(E174:E176)</f>
        <v>0</v>
      </c>
      <c r="F177" s="250">
        <f>SUM(F174:F176)</f>
        <v>0</v>
      </c>
      <c r="G177" s="250">
        <f>SUM(G174:G176)</f>
        <v>0</v>
      </c>
      <c r="H177" s="250">
        <f t="shared" ref="H177:H184" si="17">G177-D177</f>
        <v>-5000000</v>
      </c>
      <c r="I177" s="250">
        <f t="shared" ref="I177:I184" si="18">IF((D177=0),0,G177/D177)</f>
        <v>0</v>
      </c>
    </row>
    <row r="178" spans="1:9">
      <c r="A178" s="251" t="s">
        <v>788</v>
      </c>
      <c r="B178" s="338"/>
      <c r="C178" s="250">
        <f>C165+C177</f>
        <v>191548012.09999999</v>
      </c>
      <c r="D178" s="250">
        <f>D165+D177</f>
        <v>191548012.09999999</v>
      </c>
      <c r="E178" s="250">
        <f>E165+E177</f>
        <v>0</v>
      </c>
      <c r="F178" s="250">
        <f>F165+F177</f>
        <v>0</v>
      </c>
      <c r="G178" s="250">
        <f>G165+G177</f>
        <v>0</v>
      </c>
      <c r="H178" s="250">
        <f t="shared" si="17"/>
        <v>-191548012.09999999</v>
      </c>
      <c r="I178" s="250">
        <f t="shared" si="18"/>
        <v>0</v>
      </c>
    </row>
    <row r="179" spans="1:9">
      <c r="A179" s="251" t="s">
        <v>785</v>
      </c>
      <c r="B179" s="338"/>
      <c r="C179" s="250">
        <f>C48-C178</f>
        <v>-150481934.03999999</v>
      </c>
      <c r="D179" s="250">
        <f>D48-D178</f>
        <v>-150481934.03999999</v>
      </c>
      <c r="E179" s="250">
        <f>E48-E178</f>
        <v>0</v>
      </c>
      <c r="F179" s="250">
        <f>F48-F178</f>
        <v>0</v>
      </c>
      <c r="G179" s="250">
        <f>G48-G178</f>
        <v>0</v>
      </c>
      <c r="H179" s="250">
        <f t="shared" si="17"/>
        <v>150481934.03999999</v>
      </c>
      <c r="I179" s="250">
        <f t="shared" si="18"/>
        <v>0</v>
      </c>
    </row>
    <row r="180" spans="1:9" hidden="1">
      <c r="A180" s="251" t="s">
        <v>749</v>
      </c>
      <c r="B180" s="338"/>
      <c r="C180" s="250"/>
      <c r="D180" s="250"/>
      <c r="E180" s="250"/>
      <c r="F180" s="250"/>
      <c r="G180" s="250"/>
      <c r="H180" s="250">
        <f t="shared" si="17"/>
        <v>0</v>
      </c>
      <c r="I180" s="250">
        <f t="shared" si="18"/>
        <v>0</v>
      </c>
    </row>
    <row r="181" spans="1:9" hidden="1">
      <c r="A181" s="251" t="s">
        <v>787</v>
      </c>
      <c r="B181" s="338"/>
      <c r="C181" s="250"/>
      <c r="D181" s="250"/>
      <c r="E181" s="250"/>
      <c r="F181" s="250"/>
      <c r="G181" s="250"/>
      <c r="H181" s="250">
        <f t="shared" si="17"/>
        <v>0</v>
      </c>
      <c r="I181" s="250">
        <f t="shared" si="18"/>
        <v>0</v>
      </c>
    </row>
    <row r="182" spans="1:9" hidden="1">
      <c r="A182" s="251" t="s">
        <v>786</v>
      </c>
      <c r="B182" s="338"/>
      <c r="C182" s="250"/>
      <c r="D182" s="250"/>
      <c r="E182" s="250"/>
      <c r="F182" s="250"/>
      <c r="G182" s="250"/>
      <c r="H182" s="250">
        <f t="shared" si="17"/>
        <v>0</v>
      </c>
      <c r="I182" s="250">
        <f t="shared" si="18"/>
        <v>0</v>
      </c>
    </row>
    <row r="183" spans="1:9" hidden="1">
      <c r="A183" s="251" t="s">
        <v>785</v>
      </c>
      <c r="B183" s="338"/>
      <c r="C183" s="250"/>
      <c r="D183" s="250"/>
      <c r="E183" s="250"/>
      <c r="F183" s="250"/>
      <c r="G183" s="250"/>
      <c r="H183" s="250">
        <f t="shared" si="17"/>
        <v>0</v>
      </c>
      <c r="I183" s="250">
        <f t="shared" si="18"/>
        <v>0</v>
      </c>
    </row>
    <row r="184" spans="1:9">
      <c r="A184" s="264" t="s">
        <v>749</v>
      </c>
      <c r="B184" s="338"/>
      <c r="C184" s="265">
        <f>C48/(C178-C181-C182)</f>
        <v>0.21</v>
      </c>
      <c r="D184" s="265">
        <f>D48/(D178-D181-D182)</f>
        <v>0.21</v>
      </c>
      <c r="E184" s="265" t="e">
        <f>E48/(E178-E181-E182)</f>
        <v>#DIV/0!</v>
      </c>
      <c r="F184" s="265" t="e">
        <f>F48/(F178-F181-F182)</f>
        <v>#DIV/0!</v>
      </c>
      <c r="G184" s="265" t="e">
        <f>G48/(G178-G181-G182)</f>
        <v>#DIV/0!</v>
      </c>
      <c r="H184" s="265" t="e">
        <f t="shared" si="17"/>
        <v>#DIV/0!</v>
      </c>
      <c r="I184" s="265" t="e">
        <f t="shared" si="18"/>
        <v>#DIV/0!</v>
      </c>
    </row>
    <row r="187" spans="1:9" ht="15.75">
      <c r="A187" s="171" t="s">
        <v>482</v>
      </c>
      <c r="B187" s="425"/>
      <c r="C187" s="171" t="s">
        <v>1061</v>
      </c>
      <c r="D187" s="426"/>
      <c r="E187" s="426" t="s">
        <v>353</v>
      </c>
      <c r="F187" s="426"/>
      <c r="G187" s="426" t="s">
        <v>1062</v>
      </c>
      <c r="H187" s="426"/>
    </row>
    <row r="188" spans="1:9" ht="15.75">
      <c r="A188" s="171"/>
      <c r="B188" s="426"/>
      <c r="C188" s="426"/>
      <c r="D188" s="426"/>
      <c r="E188" s="426"/>
      <c r="F188" s="426"/>
      <c r="G188" s="426"/>
      <c r="H188" s="426"/>
    </row>
    <row r="189" spans="1:9" ht="15.75">
      <c r="A189" s="171"/>
      <c r="B189" s="426"/>
      <c r="C189" s="426"/>
      <c r="D189" s="426"/>
      <c r="E189" s="426"/>
      <c r="F189" s="426"/>
      <c r="G189" s="426"/>
      <c r="H189" s="426"/>
    </row>
    <row r="190" spans="1:9" ht="15.75">
      <c r="A190" s="171"/>
      <c r="B190" s="426"/>
      <c r="C190" s="426"/>
      <c r="D190" s="426"/>
      <c r="E190" s="426"/>
      <c r="F190" s="426"/>
      <c r="G190" s="426"/>
      <c r="H190" s="426"/>
    </row>
    <row r="191" spans="1:9" ht="15.75">
      <c r="A191" s="427" t="s">
        <v>483</v>
      </c>
      <c r="B191" s="428"/>
      <c r="C191" s="427" t="s">
        <v>745</v>
      </c>
      <c r="D191" s="428"/>
      <c r="E191" s="428" t="s">
        <v>3</v>
      </c>
      <c r="F191" s="428"/>
      <c r="G191" s="428"/>
      <c r="H191" s="428" t="s">
        <v>744</v>
      </c>
    </row>
    <row r="192" spans="1:9" ht="15">
      <c r="A192" s="227" t="s">
        <v>743</v>
      </c>
      <c r="B192" s="429"/>
      <c r="C192" s="227" t="s">
        <v>742</v>
      </c>
      <c r="D192" s="429"/>
      <c r="E192" s="429" t="s">
        <v>464</v>
      </c>
      <c r="F192" s="429"/>
      <c r="G192" s="429"/>
      <c r="H192" s="429" t="s">
        <v>741</v>
      </c>
    </row>
  </sheetData>
  <mergeCells count="9">
    <mergeCell ref="I5:I7"/>
    <mergeCell ref="F6:F7"/>
    <mergeCell ref="G6:G7"/>
    <mergeCell ref="A5:A7"/>
    <mergeCell ref="B5:B7"/>
    <mergeCell ref="C5:C7"/>
    <mergeCell ref="D5:D6"/>
    <mergeCell ref="E5:G5"/>
    <mergeCell ref="H5:H7"/>
  </mergeCells>
  <printOptions horizontalCentered="1"/>
  <pageMargins left="0.25" right="0.25" top="0.75" bottom="1.5" header="0.3" footer="0.3"/>
  <pageSetup paperSize="5" scale="56"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V66"/>
  <sheetViews>
    <sheetView workbookViewId="0"/>
  </sheetViews>
  <sheetFormatPr defaultColWidth="9" defaultRowHeight="15.75"/>
  <cols>
    <col min="1" max="1" width="15.5" style="307" customWidth="1"/>
    <col min="2" max="2" width="13.125" style="307" customWidth="1"/>
    <col min="3" max="3" width="14.375" style="307" customWidth="1"/>
    <col min="4" max="4" width="14.125" style="307" hidden="1" customWidth="1"/>
    <col min="5" max="5" width="13.625" style="307" customWidth="1"/>
    <col min="6" max="6" width="1" style="307" hidden="1" customWidth="1"/>
    <col min="7" max="7" width="13.625" style="307" customWidth="1"/>
    <col min="8" max="8" width="13.5" style="307" customWidth="1"/>
    <col min="9" max="9" width="13.625" style="307" bestFit="1" customWidth="1"/>
    <col min="10" max="10" width="7.625" style="307" customWidth="1"/>
    <col min="11" max="12" width="16.375" style="395" hidden="1" customWidth="1"/>
    <col min="13" max="13" width="16.5" style="395" hidden="1" customWidth="1"/>
    <col min="14" max="14" width="19.125" style="395" hidden="1" customWidth="1"/>
    <col min="15" max="15" width="10.375" style="396" hidden="1" customWidth="1"/>
    <col min="16" max="16" width="13.125" style="307" customWidth="1"/>
    <col min="17" max="17" width="12.125" style="307" customWidth="1"/>
    <col min="18" max="18" width="9" style="307" hidden="1" customWidth="1"/>
    <col min="19" max="19" width="17.625" style="307" hidden="1" customWidth="1"/>
    <col min="20" max="20" width="17" style="307" hidden="1" customWidth="1"/>
    <col min="21" max="21" width="17.625" style="307" hidden="1" customWidth="1"/>
    <col min="22" max="22" width="10.375" style="307" hidden="1" customWidth="1"/>
    <col min="23" max="16384" width="9" style="307"/>
  </cols>
  <sheetData>
    <row r="1" spans="1:22" s="1" customFormat="1">
      <c r="A1" s="75" t="s">
        <v>836</v>
      </c>
      <c r="B1" s="75"/>
      <c r="C1" s="75"/>
      <c r="D1" s="75"/>
      <c r="E1" s="75"/>
      <c r="F1" s="75"/>
      <c r="G1" s="75"/>
      <c r="H1" s="75"/>
      <c r="I1" s="75"/>
      <c r="J1" s="75"/>
      <c r="K1" s="75"/>
      <c r="L1" s="75"/>
      <c r="M1" s="75"/>
      <c r="N1" s="75"/>
      <c r="O1" s="75"/>
      <c r="P1" s="75"/>
      <c r="Q1" s="75"/>
      <c r="S1" s="75"/>
      <c r="T1" s="75"/>
      <c r="U1" s="75"/>
      <c r="V1" s="75"/>
    </row>
    <row r="2" spans="1:22" s="1" customFormat="1">
      <c r="A2" s="75" t="s">
        <v>1060</v>
      </c>
      <c r="B2" s="75"/>
      <c r="C2" s="75"/>
      <c r="D2" s="75"/>
      <c r="E2" s="75"/>
      <c r="F2" s="75"/>
      <c r="G2" s="75"/>
      <c r="H2" s="75"/>
      <c r="I2" s="75"/>
      <c r="J2" s="75"/>
      <c r="K2" s="75"/>
      <c r="L2" s="75"/>
      <c r="M2" s="75"/>
      <c r="N2" s="75"/>
      <c r="O2" s="75"/>
      <c r="P2" s="75"/>
      <c r="Q2" s="75"/>
      <c r="S2" s="75"/>
      <c r="T2" s="75"/>
      <c r="U2" s="75"/>
      <c r="V2" s="75"/>
    </row>
    <row r="3" spans="1:22" s="1" customFormat="1">
      <c r="A3" s="75" t="s">
        <v>1034</v>
      </c>
      <c r="B3" s="75"/>
      <c r="C3" s="75"/>
      <c r="D3" s="75"/>
      <c r="E3" s="75"/>
      <c r="F3" s="75"/>
      <c r="G3" s="75"/>
      <c r="H3" s="75"/>
      <c r="I3" s="75"/>
      <c r="J3" s="75"/>
      <c r="K3" s="75"/>
      <c r="L3" s="75"/>
      <c r="M3" s="75"/>
      <c r="N3" s="75"/>
      <c r="O3" s="75"/>
      <c r="P3" s="75"/>
      <c r="Q3" s="75"/>
      <c r="S3" s="75"/>
      <c r="T3" s="75"/>
      <c r="U3" s="75"/>
      <c r="V3" s="75"/>
    </row>
    <row r="4" spans="1:22" s="1" customFormat="1" ht="16.5" thickBot="1">
      <c r="A4" s="350">
        <f>Account!G2</f>
        <v>45291</v>
      </c>
      <c r="B4" s="351"/>
      <c r="C4" s="351"/>
      <c r="D4" s="351"/>
      <c r="E4" s="351"/>
      <c r="F4" s="351"/>
      <c r="G4" s="351"/>
      <c r="H4" s="351"/>
      <c r="I4" s="351"/>
      <c r="J4" s="351"/>
      <c r="K4" s="351"/>
      <c r="L4" s="351"/>
      <c r="M4" s="351"/>
      <c r="N4" s="351"/>
      <c r="O4" s="351"/>
      <c r="P4" s="351"/>
      <c r="Q4" s="351"/>
      <c r="S4" s="351"/>
      <c r="T4" s="351"/>
      <c r="U4" s="351"/>
      <c r="V4" s="351"/>
    </row>
    <row r="5" spans="1:22" ht="17.25" customHeight="1" thickTop="1">
      <c r="A5" s="1409" t="s">
        <v>1035</v>
      </c>
      <c r="B5" s="1412" t="s">
        <v>1036</v>
      </c>
      <c r="C5" s="1413"/>
      <c r="D5" s="352" t="s">
        <v>1037</v>
      </c>
      <c r="E5" s="352" t="s">
        <v>1037</v>
      </c>
      <c r="F5" s="353"/>
      <c r="G5" s="1414">
        <f>$A$4</f>
        <v>45291</v>
      </c>
      <c r="H5" s="1415"/>
      <c r="I5" s="1415"/>
      <c r="J5" s="1416"/>
      <c r="K5" s="1396" t="s">
        <v>854</v>
      </c>
      <c r="L5" s="1417" t="s">
        <v>1038</v>
      </c>
      <c r="M5" s="1396" t="s">
        <v>1039</v>
      </c>
      <c r="N5" s="1396" t="s">
        <v>1040</v>
      </c>
      <c r="O5" s="1378" t="s">
        <v>1041</v>
      </c>
      <c r="P5" s="1381" t="s">
        <v>1042</v>
      </c>
      <c r="Q5" s="354">
        <f>B6</f>
        <v>45291</v>
      </c>
      <c r="S5" s="1384">
        <v>42978</v>
      </c>
      <c r="T5" s="1385"/>
      <c r="U5" s="1385"/>
      <c r="V5" s="1386"/>
    </row>
    <row r="6" spans="1:22" ht="17.25" customHeight="1">
      <c r="A6" s="1410"/>
      <c r="B6" s="1399">
        <f>Account!G2</f>
        <v>45291</v>
      </c>
      <c r="C6" s="1400"/>
      <c r="D6" s="355">
        <v>41820</v>
      </c>
      <c r="E6" s="1403">
        <f>S5</f>
        <v>42978</v>
      </c>
      <c r="F6" s="356"/>
      <c r="G6" s="1405" t="s">
        <v>761</v>
      </c>
      <c r="H6" s="1405" t="s">
        <v>1043</v>
      </c>
      <c r="I6" s="1407" t="s">
        <v>1044</v>
      </c>
      <c r="J6" s="357"/>
      <c r="K6" s="1397"/>
      <c r="L6" s="1418"/>
      <c r="M6" s="1397"/>
      <c r="N6" s="1397"/>
      <c r="O6" s="1379"/>
      <c r="P6" s="1382"/>
      <c r="Q6" s="358" t="s">
        <v>1045</v>
      </c>
      <c r="S6" s="1374" t="s">
        <v>761</v>
      </c>
      <c r="T6" s="1374" t="s">
        <v>1043</v>
      </c>
      <c r="U6" s="1376" t="s">
        <v>1044</v>
      </c>
      <c r="V6" s="359"/>
    </row>
    <row r="7" spans="1:22" ht="16.5" thickBot="1">
      <c r="A7" s="1411"/>
      <c r="B7" s="1401"/>
      <c r="C7" s="1402"/>
      <c r="D7" s="360" t="s">
        <v>1046</v>
      </c>
      <c r="E7" s="1404"/>
      <c r="F7" s="361"/>
      <c r="G7" s="1406"/>
      <c r="H7" s="1406"/>
      <c r="I7" s="1408"/>
      <c r="J7" s="362" t="s">
        <v>1041</v>
      </c>
      <c r="K7" s="1398"/>
      <c r="L7" s="1419"/>
      <c r="M7" s="1398"/>
      <c r="N7" s="1398"/>
      <c r="O7" s="1380"/>
      <c r="P7" s="1383"/>
      <c r="Q7" s="363">
        <f>S5</f>
        <v>42978</v>
      </c>
      <c r="S7" s="1375"/>
      <c r="T7" s="1375"/>
      <c r="U7" s="1377"/>
      <c r="V7" s="364" t="s">
        <v>1041</v>
      </c>
    </row>
    <row r="8" spans="1:22" ht="15.75" customHeight="1">
      <c r="A8" s="1387" t="s">
        <v>1047</v>
      </c>
      <c r="B8" s="365" t="s">
        <v>1048</v>
      </c>
      <c r="C8" s="398">
        <f>'REVGEN (2)(2)'!D48</f>
        <v>2162078.1</v>
      </c>
      <c r="D8" s="399">
        <v>303687</v>
      </c>
      <c r="E8" s="399">
        <f>S8</f>
        <v>176030</v>
      </c>
      <c r="F8" s="400"/>
      <c r="G8" s="1390">
        <f>'REVGEN (2)(2)'!G48</f>
        <v>0</v>
      </c>
      <c r="H8" s="1390">
        <f>'REVGEN (2)(2)'!G178</f>
        <v>0</v>
      </c>
      <c r="I8" s="1390">
        <f>G8-H8</f>
        <v>0</v>
      </c>
      <c r="J8" s="1371" t="e">
        <f>G8/H8</f>
        <v>#DIV/0!</v>
      </c>
      <c r="K8" s="1393">
        <f>[2]AU!F31</f>
        <v>196002</v>
      </c>
      <c r="L8" s="1393">
        <f>IF([2]AU!F63&gt;0,([2]AU!F63),([2]AU!F63*-1))</f>
        <v>93553</v>
      </c>
      <c r="M8" s="1393">
        <f>IF([2]AU!F64&gt;0,([2]AU!F64),([2]AU!F64*-1))</f>
        <v>73393</v>
      </c>
      <c r="N8" s="1393">
        <f>I8-L8-M8</f>
        <v>-166946</v>
      </c>
      <c r="O8" s="1362">
        <f>G8/(H8+L8+M8)</f>
        <v>0</v>
      </c>
      <c r="P8" s="366">
        <f>+G8-C8</f>
        <v>-2162078</v>
      </c>
      <c r="Q8" s="367">
        <f>G8-E8</f>
        <v>-176030</v>
      </c>
      <c r="S8" s="1365">
        <v>176030</v>
      </c>
      <c r="T8" s="1365">
        <v>1607622</v>
      </c>
      <c r="U8" s="1368">
        <f>S8-T8</f>
        <v>-1431592</v>
      </c>
      <c r="V8" s="1371">
        <f>S8/T8</f>
        <v>0.11</v>
      </c>
    </row>
    <row r="9" spans="1:22">
      <c r="A9" s="1388"/>
      <c r="B9" s="368" t="s">
        <v>1049</v>
      </c>
      <c r="C9" s="401">
        <f>'REVGEN (2)(2)'!D178</f>
        <v>4036957.9</v>
      </c>
      <c r="D9" s="402">
        <v>476872</v>
      </c>
      <c r="E9" s="402">
        <f>T8</f>
        <v>1607622</v>
      </c>
      <c r="F9" s="403"/>
      <c r="G9" s="1391"/>
      <c r="H9" s="1391"/>
      <c r="I9" s="1391"/>
      <c r="J9" s="1372"/>
      <c r="K9" s="1394"/>
      <c r="L9" s="1394"/>
      <c r="M9" s="1394"/>
      <c r="N9" s="1394"/>
      <c r="O9" s="1363"/>
      <c r="P9" s="369">
        <f>+H8-C9</f>
        <v>-4036958</v>
      </c>
      <c r="Q9" s="370">
        <f>H8-E9</f>
        <v>-1607622</v>
      </c>
      <c r="S9" s="1366"/>
      <c r="T9" s="1366"/>
      <c r="U9" s="1369"/>
      <c r="V9" s="1372"/>
    </row>
    <row r="10" spans="1:22" ht="16.5" thickBot="1">
      <c r="A10" s="1389"/>
      <c r="B10" s="371" t="s">
        <v>1050</v>
      </c>
      <c r="C10" s="404">
        <f>C8-C9</f>
        <v>-1874879.8</v>
      </c>
      <c r="D10" s="405">
        <f>+D8-D9</f>
        <v>-173185</v>
      </c>
      <c r="E10" s="405">
        <f>E8-E9</f>
        <v>-1431592</v>
      </c>
      <c r="F10" s="406"/>
      <c r="G10" s="1392"/>
      <c r="H10" s="1392"/>
      <c r="I10" s="1392"/>
      <c r="J10" s="1373"/>
      <c r="K10" s="1395"/>
      <c r="L10" s="1395"/>
      <c r="M10" s="1395"/>
      <c r="N10" s="1395"/>
      <c r="O10" s="1364"/>
      <c r="P10" s="372">
        <f>+P8-P9</f>
        <v>1874880</v>
      </c>
      <c r="Q10" s="373">
        <f>+Q8-Q9</f>
        <v>1431592</v>
      </c>
      <c r="S10" s="1367"/>
      <c r="T10" s="1367"/>
      <c r="U10" s="1370"/>
      <c r="V10" s="1373"/>
    </row>
    <row r="11" spans="1:22" ht="15.75" customHeight="1">
      <c r="A11" s="1387" t="s">
        <v>1051</v>
      </c>
      <c r="B11" s="365" t="s">
        <v>1048</v>
      </c>
      <c r="C11" s="398">
        <f>'REVGEN (2)(1)'!D48</f>
        <v>31350000</v>
      </c>
      <c r="D11" s="399">
        <v>40790014</v>
      </c>
      <c r="E11" s="399">
        <f>S11</f>
        <v>19623351</v>
      </c>
      <c r="F11" s="400"/>
      <c r="G11" s="1390">
        <f>'REVGEN (2)(1)'!G48</f>
        <v>0</v>
      </c>
      <c r="H11" s="1390">
        <f>'REVGEN (2)(1)'!G178</f>
        <v>0</v>
      </c>
      <c r="I11" s="1390">
        <f>G11-H11</f>
        <v>0</v>
      </c>
      <c r="J11" s="1371" t="e">
        <f>G11/H11</f>
        <v>#DIV/0!</v>
      </c>
      <c r="K11" s="1393">
        <f>[2]BUL!F31</f>
        <v>2132650</v>
      </c>
      <c r="L11" s="1393">
        <f>IF([2]BUL!F63&gt;0,([2]BUL!F63),([2]BUL!F63*-1))</f>
        <v>1017934</v>
      </c>
      <c r="M11" s="1393">
        <f>IF([2]BUL!F64&gt;0,([2]BUL!F64),([2]BUL!F64*-1))</f>
        <v>798573</v>
      </c>
      <c r="N11" s="1393">
        <f>I11-L11-M11</f>
        <v>-1816507</v>
      </c>
      <c r="O11" s="1362">
        <f>G11/(H11+L11+M11)</f>
        <v>0</v>
      </c>
      <c r="P11" s="366">
        <f>+G11-C11</f>
        <v>-31350000</v>
      </c>
      <c r="Q11" s="367">
        <f>G11-E11</f>
        <v>-19623351</v>
      </c>
      <c r="S11" s="1365">
        <v>19623351</v>
      </c>
      <c r="T11" s="1365">
        <v>17667658</v>
      </c>
      <c r="U11" s="1368">
        <f>S11-T11</f>
        <v>1955693</v>
      </c>
      <c r="V11" s="1371">
        <f>S11/T11</f>
        <v>1.1100000000000001</v>
      </c>
    </row>
    <row r="12" spans="1:22">
      <c r="A12" s="1388"/>
      <c r="B12" s="368" t="s">
        <v>1049</v>
      </c>
      <c r="C12" s="401">
        <f>'REVGEN (2)(1)'!D178</f>
        <v>58782243.799999997</v>
      </c>
      <c r="D12" s="402">
        <v>10308764</v>
      </c>
      <c r="E12" s="402">
        <f>T11</f>
        <v>17667658</v>
      </c>
      <c r="F12" s="403"/>
      <c r="G12" s="1420"/>
      <c r="H12" s="1391"/>
      <c r="I12" s="1391"/>
      <c r="J12" s="1372"/>
      <c r="K12" s="1394"/>
      <c r="L12" s="1394"/>
      <c r="M12" s="1394"/>
      <c r="N12" s="1394"/>
      <c r="O12" s="1363"/>
      <c r="P12" s="369">
        <f>+H11-C12</f>
        <v>-58782244</v>
      </c>
      <c r="Q12" s="370">
        <f>H11-E12</f>
        <v>-17667658</v>
      </c>
      <c r="S12" s="1366"/>
      <c r="T12" s="1366"/>
      <c r="U12" s="1369"/>
      <c r="V12" s="1372"/>
    </row>
    <row r="13" spans="1:22" ht="16.5" thickBot="1">
      <c r="A13" s="1389"/>
      <c r="B13" s="371" t="s">
        <v>1050</v>
      </c>
      <c r="C13" s="404">
        <f>C11-C12</f>
        <v>-27432243.800000001</v>
      </c>
      <c r="D13" s="405">
        <f>+D11-D12</f>
        <v>30481250</v>
      </c>
      <c r="E13" s="405">
        <f>E11-E12</f>
        <v>1955693</v>
      </c>
      <c r="F13" s="406"/>
      <c r="G13" s="1421"/>
      <c r="H13" s="1392"/>
      <c r="I13" s="1392"/>
      <c r="J13" s="1373"/>
      <c r="K13" s="1395"/>
      <c r="L13" s="1395"/>
      <c r="M13" s="1395"/>
      <c r="N13" s="1395"/>
      <c r="O13" s="1364"/>
      <c r="P13" s="372">
        <f>+P11-P12</f>
        <v>27432244</v>
      </c>
      <c r="Q13" s="373">
        <f>+Q11-Q12</f>
        <v>-1955693</v>
      </c>
      <c r="S13" s="1367"/>
      <c r="T13" s="1367"/>
      <c r="U13" s="1370"/>
      <c r="V13" s="1373"/>
    </row>
    <row r="14" spans="1:22" ht="15.75" customHeight="1">
      <c r="A14" s="1387" t="s">
        <v>1052</v>
      </c>
      <c r="B14" s="365" t="s">
        <v>1048</v>
      </c>
      <c r="C14" s="398">
        <f>'REVGEN (2)(3)'!D48</f>
        <v>2100000</v>
      </c>
      <c r="D14" s="399">
        <v>415417</v>
      </c>
      <c r="E14" s="399">
        <f>S14</f>
        <v>453072</v>
      </c>
      <c r="F14" s="399"/>
      <c r="G14" s="1390">
        <f>'REVGEN (2)(3)'!G48</f>
        <v>0</v>
      </c>
      <c r="H14" s="1390">
        <f>'REVGEN (2)(3)'!G178</f>
        <v>0</v>
      </c>
      <c r="I14" s="1390">
        <f>G14-H14</f>
        <v>0</v>
      </c>
      <c r="J14" s="1371" t="e">
        <f>G14/H14</f>
        <v>#DIV/0!</v>
      </c>
      <c r="K14" s="1393">
        <f>[2]NE!F31</f>
        <v>67060</v>
      </c>
      <c r="L14" s="1393">
        <f>IF([2]NE!F63&gt;0,([2]NE!F63),([2]NE!F63*-1))</f>
        <v>32008</v>
      </c>
      <c r="M14" s="1393">
        <f>IF([2]NE!F64&gt;0,([2]NE!F64),([2]NE!F64*-1))</f>
        <v>25111</v>
      </c>
      <c r="N14" s="1393">
        <f>I14-L14-M14</f>
        <v>-57119</v>
      </c>
      <c r="O14" s="1362">
        <f>G14/(H14+L14+M14)</f>
        <v>0</v>
      </c>
      <c r="P14" s="366">
        <f>+G14-C14</f>
        <v>-2100000</v>
      </c>
      <c r="Q14" s="367">
        <f>G14-E14</f>
        <v>-453072</v>
      </c>
      <c r="S14" s="1365">
        <v>453072</v>
      </c>
      <c r="T14" s="1365">
        <v>247675</v>
      </c>
      <c r="U14" s="1368">
        <f>S14-T14</f>
        <v>205397</v>
      </c>
      <c r="V14" s="1371">
        <f>S14/T14</f>
        <v>1.83</v>
      </c>
    </row>
    <row r="15" spans="1:22">
      <c r="A15" s="1388"/>
      <c r="B15" s="368" t="s">
        <v>1049</v>
      </c>
      <c r="C15" s="401">
        <f>'REVGEN (2)(3)'!D178</f>
        <v>1765908.9</v>
      </c>
      <c r="D15" s="402">
        <v>0</v>
      </c>
      <c r="E15" s="402">
        <f>T14</f>
        <v>247675</v>
      </c>
      <c r="F15" s="407"/>
      <c r="G15" s="1391"/>
      <c r="H15" s="1391"/>
      <c r="I15" s="1391"/>
      <c r="J15" s="1372"/>
      <c r="K15" s="1394"/>
      <c r="L15" s="1394"/>
      <c r="M15" s="1394"/>
      <c r="N15" s="1394"/>
      <c r="O15" s="1363"/>
      <c r="P15" s="369">
        <f>+H14-C15</f>
        <v>-1765909</v>
      </c>
      <c r="Q15" s="370">
        <f>H14-E15</f>
        <v>-247675</v>
      </c>
      <c r="S15" s="1366"/>
      <c r="T15" s="1366"/>
      <c r="U15" s="1369"/>
      <c r="V15" s="1372"/>
    </row>
    <row r="16" spans="1:22" ht="16.5" thickBot="1">
      <c r="A16" s="1389"/>
      <c r="B16" s="371" t="s">
        <v>1050</v>
      </c>
      <c r="C16" s="404">
        <f>C14-C15</f>
        <v>334091.09999999998</v>
      </c>
      <c r="D16" s="405">
        <f>+D14-D15</f>
        <v>415417</v>
      </c>
      <c r="E16" s="405">
        <f>E14-E15</f>
        <v>205397</v>
      </c>
      <c r="F16" s="406"/>
      <c r="G16" s="1392"/>
      <c r="H16" s="1392"/>
      <c r="I16" s="1392"/>
      <c r="J16" s="1373"/>
      <c r="K16" s="1395"/>
      <c r="L16" s="1395"/>
      <c r="M16" s="1395"/>
      <c r="N16" s="1395"/>
      <c r="O16" s="1364"/>
      <c r="P16" s="372">
        <f>+P14-P15</f>
        <v>-334091</v>
      </c>
      <c r="Q16" s="373">
        <f>+Q14-Q15</f>
        <v>-205397</v>
      </c>
      <c r="S16" s="1367"/>
      <c r="T16" s="1367"/>
      <c r="U16" s="1370"/>
      <c r="V16" s="1373"/>
    </row>
    <row r="17" spans="1:22">
      <c r="A17" s="1387" t="s">
        <v>1053</v>
      </c>
      <c r="B17" s="365" t="s">
        <v>1048</v>
      </c>
      <c r="C17" s="398">
        <f>'REVGEN (2)(4)'!D48</f>
        <v>0</v>
      </c>
      <c r="D17" s="399">
        <v>894146</v>
      </c>
      <c r="E17" s="399">
        <f>S17</f>
        <v>0</v>
      </c>
      <c r="F17" s="400"/>
      <c r="G17" s="1390">
        <f>'REVGEN (2)(4)'!G48</f>
        <v>0</v>
      </c>
      <c r="H17" s="1390">
        <f>'REVGEN (2)(4)'!G178</f>
        <v>0</v>
      </c>
      <c r="I17" s="1390">
        <f>G17-H17</f>
        <v>0</v>
      </c>
      <c r="J17" s="1371" t="e">
        <f>G17/H17</f>
        <v>#DIV/0!</v>
      </c>
      <c r="K17" s="1393">
        <f>[2]BNE!F31</f>
        <v>1011562</v>
      </c>
      <c r="L17" s="1393">
        <v>0</v>
      </c>
      <c r="M17" s="1393">
        <f>IF([2]BNE!F62&gt;0,([2]BNE!F62),([2]BNE!F62*-1))</f>
        <v>0</v>
      </c>
      <c r="N17" s="1393">
        <v>0</v>
      </c>
      <c r="O17" s="1362" t="e">
        <f>G17/(H17+L17+M17)</f>
        <v>#DIV/0!</v>
      </c>
      <c r="P17" s="366">
        <f>+G17-C17</f>
        <v>0</v>
      </c>
      <c r="Q17" s="367">
        <f>G17-E17</f>
        <v>0</v>
      </c>
      <c r="S17" s="1365">
        <v>0</v>
      </c>
      <c r="T17" s="1365">
        <v>32517124</v>
      </c>
      <c r="U17" s="1368">
        <f>S17-T17</f>
        <v>-32517124</v>
      </c>
      <c r="V17" s="1371">
        <f>S17/T17</f>
        <v>0</v>
      </c>
    </row>
    <row r="18" spans="1:22">
      <c r="A18" s="1388"/>
      <c r="B18" s="368" t="s">
        <v>1049</v>
      </c>
      <c r="C18" s="401">
        <f>'REVGEN (2)(4)'!D178</f>
        <v>8541585.5</v>
      </c>
      <c r="D18" s="402">
        <v>7221536</v>
      </c>
      <c r="E18" s="402">
        <f>T17</f>
        <v>32517124</v>
      </c>
      <c r="F18" s="407"/>
      <c r="G18" s="1391"/>
      <c r="H18" s="1391"/>
      <c r="I18" s="1391"/>
      <c r="J18" s="1372"/>
      <c r="K18" s="1394"/>
      <c r="L18" s="1394"/>
      <c r="M18" s="1394"/>
      <c r="N18" s="1394"/>
      <c r="O18" s="1363"/>
      <c r="P18" s="369">
        <f>+H17-C18</f>
        <v>-8541586</v>
      </c>
      <c r="Q18" s="370">
        <f>H17-E18</f>
        <v>-32517124</v>
      </c>
      <c r="S18" s="1366"/>
      <c r="T18" s="1366"/>
      <c r="U18" s="1369"/>
      <c r="V18" s="1372"/>
    </row>
    <row r="19" spans="1:22" ht="16.5" thickBot="1">
      <c r="A19" s="1389"/>
      <c r="B19" s="371" t="s">
        <v>1050</v>
      </c>
      <c r="C19" s="404">
        <f>C17-C18</f>
        <v>-8541585.5</v>
      </c>
      <c r="D19" s="405">
        <f>+D17-D18</f>
        <v>-6327390</v>
      </c>
      <c r="E19" s="405">
        <f>E17-E18</f>
        <v>-32517124</v>
      </c>
      <c r="F19" s="406"/>
      <c r="G19" s="1392"/>
      <c r="H19" s="1392"/>
      <c r="I19" s="1392"/>
      <c r="J19" s="1373"/>
      <c r="K19" s="1395"/>
      <c r="L19" s="1395"/>
      <c r="M19" s="1395"/>
      <c r="N19" s="1395"/>
      <c r="O19" s="1364"/>
      <c r="P19" s="372">
        <f>+P17-P18</f>
        <v>8541586</v>
      </c>
      <c r="Q19" s="373">
        <f>+Q17-Q18</f>
        <v>32517124</v>
      </c>
      <c r="S19" s="1367"/>
      <c r="T19" s="1367"/>
      <c r="U19" s="1370"/>
      <c r="V19" s="1373"/>
    </row>
    <row r="20" spans="1:22" ht="15.75" customHeight="1">
      <c r="A20" s="1431" t="s">
        <v>360</v>
      </c>
      <c r="B20" s="374" t="s">
        <v>1048</v>
      </c>
      <c r="C20" s="408">
        <f t="shared" ref="C20:E21" si="0">C8+C11+C14+C17</f>
        <v>35612078.100000001</v>
      </c>
      <c r="D20" s="409">
        <f t="shared" si="0"/>
        <v>42403264</v>
      </c>
      <c r="E20" s="409">
        <f t="shared" si="0"/>
        <v>20252453</v>
      </c>
      <c r="F20" s="410"/>
      <c r="G20" s="1434">
        <f>SUM(G8:G19)</f>
        <v>0</v>
      </c>
      <c r="H20" s="1434">
        <f>SUM(H8:H19)</f>
        <v>0</v>
      </c>
      <c r="I20" s="1434">
        <f>SUM(I8:I19)</f>
        <v>0</v>
      </c>
      <c r="J20" s="1428" t="e">
        <f>G20/H20</f>
        <v>#DIV/0!</v>
      </c>
      <c r="K20" s="1422">
        <f>SUM(K8:K19)</f>
        <v>3407274</v>
      </c>
      <c r="L20" s="1422">
        <f>SUM(L8:L19)</f>
        <v>1143495</v>
      </c>
      <c r="M20" s="1422">
        <f>SUM(M8:M19)</f>
        <v>897077</v>
      </c>
      <c r="N20" s="1422">
        <f>SUM(N8:N19)</f>
        <v>-2040572</v>
      </c>
      <c r="O20" s="1425">
        <f>G20/(H20+M20)</f>
        <v>0</v>
      </c>
      <c r="P20" s="375">
        <f t="shared" ref="P20:Q22" si="1">P8+P11+P14+P17</f>
        <v>-35612078</v>
      </c>
      <c r="Q20" s="376">
        <f t="shared" si="1"/>
        <v>-20252453</v>
      </c>
      <c r="S20" s="1422">
        <f>SUM(S8:S19)</f>
        <v>20252453</v>
      </c>
      <c r="T20" s="1422">
        <f>SUM(T8:T19)</f>
        <v>52040079</v>
      </c>
      <c r="U20" s="1422">
        <f>SUM(U8:U19)</f>
        <v>-31787626</v>
      </c>
      <c r="V20" s="1428">
        <f>S20/T20</f>
        <v>0.39</v>
      </c>
    </row>
    <row r="21" spans="1:22">
      <c r="A21" s="1432"/>
      <c r="B21" s="377" t="s">
        <v>1049</v>
      </c>
      <c r="C21" s="411">
        <f t="shared" si="0"/>
        <v>73126696.099999994</v>
      </c>
      <c r="D21" s="411">
        <f t="shared" si="0"/>
        <v>18007172</v>
      </c>
      <c r="E21" s="411">
        <f t="shared" si="0"/>
        <v>52040079</v>
      </c>
      <c r="F21" s="412"/>
      <c r="G21" s="1435"/>
      <c r="H21" s="1435"/>
      <c r="I21" s="1435"/>
      <c r="J21" s="1429"/>
      <c r="K21" s="1423"/>
      <c r="L21" s="1423"/>
      <c r="M21" s="1423"/>
      <c r="N21" s="1423"/>
      <c r="O21" s="1426"/>
      <c r="P21" s="378">
        <f t="shared" si="1"/>
        <v>-73126697</v>
      </c>
      <c r="Q21" s="379">
        <f t="shared" si="1"/>
        <v>-52040079</v>
      </c>
      <c r="S21" s="1423"/>
      <c r="T21" s="1423"/>
      <c r="U21" s="1423"/>
      <c r="V21" s="1429"/>
    </row>
    <row r="22" spans="1:22" ht="16.5" thickBot="1">
      <c r="A22" s="1433"/>
      <c r="B22" s="380" t="s">
        <v>1050</v>
      </c>
      <c r="C22" s="413">
        <f>C20-C21</f>
        <v>-37514618</v>
      </c>
      <c r="D22" s="413">
        <f>D20-D21</f>
        <v>24396092</v>
      </c>
      <c r="E22" s="413">
        <f>E20-E21</f>
        <v>-31787626</v>
      </c>
      <c r="F22" s="414"/>
      <c r="G22" s="1436"/>
      <c r="H22" s="1436"/>
      <c r="I22" s="1436"/>
      <c r="J22" s="1430"/>
      <c r="K22" s="1424"/>
      <c r="L22" s="1424"/>
      <c r="M22" s="1424"/>
      <c r="N22" s="1424"/>
      <c r="O22" s="1427"/>
      <c r="P22" s="381">
        <f t="shared" si="1"/>
        <v>37514619</v>
      </c>
      <c r="Q22" s="382">
        <f t="shared" si="1"/>
        <v>31787626</v>
      </c>
      <c r="S22" s="1424"/>
      <c r="T22" s="1424"/>
      <c r="U22" s="1424"/>
      <c r="V22" s="1430"/>
    </row>
    <row r="23" spans="1:22" ht="15.75" customHeight="1">
      <c r="A23" s="1387" t="s">
        <v>1054</v>
      </c>
      <c r="B23" s="365" t="s">
        <v>1048</v>
      </c>
      <c r="C23" s="398">
        <f>'REVGEN (3)(1)'!D48</f>
        <v>500000</v>
      </c>
      <c r="D23" s="399">
        <v>5421096</v>
      </c>
      <c r="E23" s="399">
        <f>S23</f>
        <v>2931038</v>
      </c>
      <c r="F23" s="415"/>
      <c r="G23" s="1390">
        <f>'REVGEN (3)(1)'!G48</f>
        <v>0</v>
      </c>
      <c r="H23" s="1390">
        <f>'REVGEN (3)(1)'!G178</f>
        <v>0</v>
      </c>
      <c r="I23" s="1390">
        <f>G23-H23</f>
        <v>0</v>
      </c>
      <c r="J23" s="1371" t="e">
        <f>G23/H23</f>
        <v>#DIV/0!</v>
      </c>
      <c r="K23" s="1393">
        <f>[2]PAM!F31</f>
        <v>510171</v>
      </c>
      <c r="L23" s="1393">
        <f>IF([2]PAM!F63&gt;0,([2]PAM!F63),([2]PAM!F63*-1))</f>
        <v>66135</v>
      </c>
      <c r="M23" s="1393">
        <f>IF([2]PAM!F64&gt;0,([2]PAM!F64),([2]PAM!F64*-1))</f>
        <v>191034</v>
      </c>
      <c r="N23" s="1393">
        <f>I23-L23-M23</f>
        <v>-257169</v>
      </c>
      <c r="O23" s="1362">
        <f>G23/(H23+L23+M23)</f>
        <v>0</v>
      </c>
      <c r="P23" s="366">
        <f>+G23-C23</f>
        <v>-500000</v>
      </c>
      <c r="Q23" s="383">
        <f>G23-E23</f>
        <v>-2931038</v>
      </c>
      <c r="S23" s="1437">
        <v>2931038</v>
      </c>
      <c r="T23" s="1437">
        <v>4119328</v>
      </c>
      <c r="U23" s="1368">
        <f>S23-T23</f>
        <v>-1188290</v>
      </c>
      <c r="V23" s="1371">
        <f>S23/T23</f>
        <v>0.71</v>
      </c>
    </row>
    <row r="24" spans="1:22">
      <c r="A24" s="1388"/>
      <c r="B24" s="368" t="s">
        <v>1049</v>
      </c>
      <c r="C24" s="401">
        <f>'REVGEN (3)(1)'!D178</f>
        <v>7240744.2000000002</v>
      </c>
      <c r="D24" s="402">
        <v>1987891</v>
      </c>
      <c r="E24" s="402">
        <f>T23</f>
        <v>4119328</v>
      </c>
      <c r="F24" s="407"/>
      <c r="G24" s="1420"/>
      <c r="H24" s="1420"/>
      <c r="I24" s="1391"/>
      <c r="J24" s="1372"/>
      <c r="K24" s="1394"/>
      <c r="L24" s="1394"/>
      <c r="M24" s="1394"/>
      <c r="N24" s="1394"/>
      <c r="O24" s="1363"/>
      <c r="P24" s="369">
        <f>+H23-C24</f>
        <v>-7240744</v>
      </c>
      <c r="Q24" s="370">
        <f>H23-E24</f>
        <v>-4119328</v>
      </c>
      <c r="S24" s="1438"/>
      <c r="T24" s="1438"/>
      <c r="U24" s="1369"/>
      <c r="V24" s="1372"/>
    </row>
    <row r="25" spans="1:22" ht="16.5" thickBot="1">
      <c r="A25" s="1389"/>
      <c r="B25" s="371" t="s">
        <v>1050</v>
      </c>
      <c r="C25" s="404">
        <f>C23-C24</f>
        <v>-6740744.2000000002</v>
      </c>
      <c r="D25" s="416">
        <f>+D23-D24</f>
        <v>3433205</v>
      </c>
      <c r="E25" s="405">
        <f>E23-E24</f>
        <v>-1188290</v>
      </c>
      <c r="F25" s="406"/>
      <c r="G25" s="1421"/>
      <c r="H25" s="1421"/>
      <c r="I25" s="1392"/>
      <c r="J25" s="1373"/>
      <c r="K25" s="1395"/>
      <c r="L25" s="1395"/>
      <c r="M25" s="1395"/>
      <c r="N25" s="1395"/>
      <c r="O25" s="1364"/>
      <c r="P25" s="372">
        <f>+P23-P24</f>
        <v>6740744</v>
      </c>
      <c r="Q25" s="373">
        <f>+Q23-Q24</f>
        <v>1188290</v>
      </c>
      <c r="S25" s="1439"/>
      <c r="T25" s="1439"/>
      <c r="U25" s="1370"/>
      <c r="V25" s="1373"/>
    </row>
    <row r="26" spans="1:22" ht="15.75" customHeight="1">
      <c r="A26" s="1387" t="s">
        <v>1055</v>
      </c>
      <c r="B26" s="365" t="s">
        <v>1048</v>
      </c>
      <c r="C26" s="398">
        <f>'REVGEN (3)(2)'!D48</f>
        <v>0</v>
      </c>
      <c r="D26" s="399">
        <v>2089737</v>
      </c>
      <c r="E26" s="399">
        <f>S26</f>
        <v>1080770</v>
      </c>
      <c r="F26" s="400"/>
      <c r="G26" s="1390">
        <f>'REVGEN (3)(2)'!G48</f>
        <v>0</v>
      </c>
      <c r="H26" s="1390">
        <f>'REVGEN (3)(2)'!G178</f>
        <v>0</v>
      </c>
      <c r="I26" s="1390">
        <f>G26-H26</f>
        <v>0</v>
      </c>
      <c r="J26" s="1371" t="e">
        <f>G26/H26</f>
        <v>#DIV/0!</v>
      </c>
      <c r="K26" s="1393">
        <f>[2]BAT!F31</f>
        <v>127162</v>
      </c>
      <c r="L26" s="1393">
        <f>IF([2]BAT!F63&gt;0,([2]BAT!F63),([2]BAT!F63*-1))</f>
        <v>16484</v>
      </c>
      <c r="M26" s="1393">
        <f>IF([2]BAT!F64&gt;0,([2]BAT!F64),([2]BAT!F64*-1))</f>
        <v>47616</v>
      </c>
      <c r="N26" s="1393">
        <f>I26-L26-M26</f>
        <v>-64100</v>
      </c>
      <c r="O26" s="1362">
        <f>G26/(H26+L26+M26)</f>
        <v>0</v>
      </c>
      <c r="P26" s="366">
        <f>+G26-C26</f>
        <v>0</v>
      </c>
      <c r="Q26" s="367">
        <f>G26-E26</f>
        <v>-1080770</v>
      </c>
      <c r="S26" s="1437">
        <v>1080770</v>
      </c>
      <c r="T26" s="1437">
        <v>959853</v>
      </c>
      <c r="U26" s="1368">
        <f>S26-T26</f>
        <v>120917</v>
      </c>
      <c r="V26" s="1371">
        <f>S26/T26</f>
        <v>1.1299999999999999</v>
      </c>
    </row>
    <row r="27" spans="1:22">
      <c r="A27" s="1388"/>
      <c r="B27" s="368" t="s">
        <v>1049</v>
      </c>
      <c r="C27" s="401">
        <f>'REVGEN (3)(2)'!D178</f>
        <v>1764899.4</v>
      </c>
      <c r="D27" s="402">
        <v>926166</v>
      </c>
      <c r="E27" s="402">
        <f>T26</f>
        <v>959853</v>
      </c>
      <c r="F27" s="403"/>
      <c r="G27" s="1420"/>
      <c r="H27" s="1420"/>
      <c r="I27" s="1391"/>
      <c r="J27" s="1372"/>
      <c r="K27" s="1394"/>
      <c r="L27" s="1394"/>
      <c r="M27" s="1394"/>
      <c r="N27" s="1394"/>
      <c r="O27" s="1363"/>
      <c r="P27" s="369">
        <f>+H26-C27</f>
        <v>-1764899</v>
      </c>
      <c r="Q27" s="370">
        <f>H26-E27</f>
        <v>-959853</v>
      </c>
      <c r="S27" s="1438"/>
      <c r="T27" s="1438"/>
      <c r="U27" s="1369"/>
      <c r="V27" s="1372"/>
    </row>
    <row r="28" spans="1:22" ht="16.5" thickBot="1">
      <c r="A28" s="1389"/>
      <c r="B28" s="371" t="s">
        <v>1050</v>
      </c>
      <c r="C28" s="404">
        <f>C26-C27</f>
        <v>-1764899.4</v>
      </c>
      <c r="D28" s="405">
        <f>+D26-D27</f>
        <v>1163571</v>
      </c>
      <c r="E28" s="405">
        <f>E26-E27</f>
        <v>120917</v>
      </c>
      <c r="F28" s="406"/>
      <c r="G28" s="1421"/>
      <c r="H28" s="1421"/>
      <c r="I28" s="1392"/>
      <c r="J28" s="1373"/>
      <c r="K28" s="1395"/>
      <c r="L28" s="1395"/>
      <c r="M28" s="1395"/>
      <c r="N28" s="1395"/>
      <c r="O28" s="1364"/>
      <c r="P28" s="372">
        <f>+P26-P27</f>
        <v>1764899</v>
      </c>
      <c r="Q28" s="373">
        <f>+Q26-Q27</f>
        <v>-120917</v>
      </c>
      <c r="S28" s="1439"/>
      <c r="T28" s="1439"/>
      <c r="U28" s="1370"/>
      <c r="V28" s="1373"/>
    </row>
    <row r="29" spans="1:22">
      <c r="A29" s="1387" t="s">
        <v>398</v>
      </c>
      <c r="B29" s="365" t="s">
        <v>1048</v>
      </c>
      <c r="C29" s="398">
        <f>'REVGEN (3)(3)'!D48</f>
        <v>1000000</v>
      </c>
      <c r="D29" s="399">
        <v>5749109</v>
      </c>
      <c r="E29" s="399">
        <f>S29</f>
        <v>926350</v>
      </c>
      <c r="F29" s="417"/>
      <c r="G29" s="1390">
        <f>'REVGEN (3)(3)'!G48</f>
        <v>0</v>
      </c>
      <c r="H29" s="1390">
        <f>'REVGEN (3)(3)'!G178</f>
        <v>0</v>
      </c>
      <c r="I29" s="1390">
        <f>G29-H29</f>
        <v>0</v>
      </c>
      <c r="J29" s="1371" t="e">
        <f>G29/H29</f>
        <v>#DIV/0!</v>
      </c>
      <c r="K29" s="1393">
        <f>[2]PDRIS!F31</f>
        <v>836800</v>
      </c>
      <c r="L29" s="1393">
        <f>IF([2]PDRIS!F63&gt;0,([2]PDRIS!F63),([2]PDRIS!F63*-1))</f>
        <v>108477</v>
      </c>
      <c r="M29" s="1393">
        <f>IF([2]PDRIS!F64&gt;0,([2]PDRIS!F64),([2]PDRIS!F64*-1))</f>
        <v>313341</v>
      </c>
      <c r="N29" s="1393">
        <f>I29-L29-M29</f>
        <v>-421818</v>
      </c>
      <c r="O29" s="1362">
        <f>G29/(H29+L29+M29)</f>
        <v>0</v>
      </c>
      <c r="P29" s="366">
        <f>+G29-C29</f>
        <v>-1000000</v>
      </c>
      <c r="Q29" s="367">
        <f>G29-E29</f>
        <v>-926350</v>
      </c>
      <c r="S29" s="1437">
        <v>926350</v>
      </c>
      <c r="T29" s="1437">
        <v>6137638</v>
      </c>
      <c r="U29" s="1368">
        <f>S29-T29</f>
        <v>-5211288</v>
      </c>
      <c r="V29" s="1371">
        <f>S29/T29</f>
        <v>0.15</v>
      </c>
    </row>
    <row r="30" spans="1:22">
      <c r="A30" s="1388"/>
      <c r="B30" s="368" t="s">
        <v>1049</v>
      </c>
      <c r="C30" s="401">
        <f>'REVGEN (3)(3)'!D178</f>
        <v>11849829.5</v>
      </c>
      <c r="D30" s="402">
        <v>4600248</v>
      </c>
      <c r="E30" s="402">
        <f>T29</f>
        <v>6137638</v>
      </c>
      <c r="F30" s="407"/>
      <c r="G30" s="1420"/>
      <c r="H30" s="1420"/>
      <c r="I30" s="1391"/>
      <c r="J30" s="1372"/>
      <c r="K30" s="1394"/>
      <c r="L30" s="1394"/>
      <c r="M30" s="1394"/>
      <c r="N30" s="1394"/>
      <c r="O30" s="1363"/>
      <c r="P30" s="369">
        <f>+H29-C30</f>
        <v>-11849830</v>
      </c>
      <c r="Q30" s="370">
        <f>H29-E30</f>
        <v>-6137638</v>
      </c>
      <c r="S30" s="1438"/>
      <c r="T30" s="1438"/>
      <c r="U30" s="1369"/>
      <c r="V30" s="1372"/>
    </row>
    <row r="31" spans="1:22" ht="16.5" thickBot="1">
      <c r="A31" s="1389"/>
      <c r="B31" s="371" t="s">
        <v>1050</v>
      </c>
      <c r="C31" s="404">
        <f>C29-C30</f>
        <v>-10849829.5</v>
      </c>
      <c r="D31" s="416">
        <f>+D29-D30</f>
        <v>1148861</v>
      </c>
      <c r="E31" s="405">
        <f>E29-E30</f>
        <v>-5211288</v>
      </c>
      <c r="F31" s="406"/>
      <c r="G31" s="1421"/>
      <c r="H31" s="1421"/>
      <c r="I31" s="1392"/>
      <c r="J31" s="1373"/>
      <c r="K31" s="1395"/>
      <c r="L31" s="1395"/>
      <c r="M31" s="1395"/>
      <c r="N31" s="1395"/>
      <c r="O31" s="1364"/>
      <c r="P31" s="372">
        <f>+P29-P30</f>
        <v>10849830</v>
      </c>
      <c r="Q31" s="373">
        <f>+Q29-Q30</f>
        <v>5211288</v>
      </c>
      <c r="S31" s="1439"/>
      <c r="T31" s="1439"/>
      <c r="U31" s="1370"/>
      <c r="V31" s="1373"/>
    </row>
    <row r="32" spans="1:22">
      <c r="A32" s="1387" t="s">
        <v>1053</v>
      </c>
      <c r="B32" s="365" t="s">
        <v>1048</v>
      </c>
      <c r="C32" s="398">
        <f>'REVGEN (3)(4)'!D48</f>
        <v>1628000</v>
      </c>
      <c r="D32" s="399">
        <v>0</v>
      </c>
      <c r="E32" s="399">
        <f>S32</f>
        <v>0</v>
      </c>
      <c r="F32" s="400"/>
      <c r="G32" s="1390">
        <f>'REVGEN (3)(4)'!G48</f>
        <v>0</v>
      </c>
      <c r="H32" s="1390">
        <f>'REVGEN (3)(4)'!G178</f>
        <v>0</v>
      </c>
      <c r="I32" s="1390">
        <f>G32-H32</f>
        <v>0</v>
      </c>
      <c r="J32" s="1371" t="e">
        <f>G32/H32</f>
        <v>#DIV/0!</v>
      </c>
      <c r="K32" s="1393">
        <f>[2]PMBT!F31</f>
        <v>826766</v>
      </c>
      <c r="L32" s="1393">
        <v>0</v>
      </c>
      <c r="M32" s="1393">
        <f>IF([2]PMBT!F62&gt;0,([2]PMBT!F62),([2]PMBT!F62*-1))</f>
        <v>0</v>
      </c>
      <c r="N32" s="1393">
        <v>0</v>
      </c>
      <c r="O32" s="1362" t="e">
        <f>G32/(H32+L32+M32)</f>
        <v>#DIV/0!</v>
      </c>
      <c r="P32" s="366">
        <f>+G32-C32</f>
        <v>-1628000</v>
      </c>
      <c r="Q32" s="367">
        <f>G32-E32</f>
        <v>0</v>
      </c>
      <c r="S32" s="1437">
        <v>0</v>
      </c>
      <c r="T32" s="1437">
        <v>8882641</v>
      </c>
      <c r="U32" s="1368">
        <f>S32-T32</f>
        <v>-8882641</v>
      </c>
      <c r="V32" s="1371">
        <f>S32/T32</f>
        <v>0</v>
      </c>
    </row>
    <row r="33" spans="1:22">
      <c r="A33" s="1388"/>
      <c r="B33" s="368" t="s">
        <v>1049</v>
      </c>
      <c r="C33" s="401">
        <f>'REVGEN (3)(4)'!D178</f>
        <v>16078535.199999999</v>
      </c>
      <c r="D33" s="402">
        <v>5013043</v>
      </c>
      <c r="E33" s="402">
        <f>T32</f>
        <v>8882641</v>
      </c>
      <c r="F33" s="407"/>
      <c r="G33" s="1420"/>
      <c r="H33" s="1420"/>
      <c r="I33" s="1391"/>
      <c r="J33" s="1372"/>
      <c r="K33" s="1394"/>
      <c r="L33" s="1394"/>
      <c r="M33" s="1394"/>
      <c r="N33" s="1394"/>
      <c r="O33" s="1363"/>
      <c r="P33" s="369">
        <f>+H32-C33</f>
        <v>-16078535</v>
      </c>
      <c r="Q33" s="370">
        <f>H32-E33</f>
        <v>-8882641</v>
      </c>
      <c r="S33" s="1438"/>
      <c r="T33" s="1438"/>
      <c r="U33" s="1369"/>
      <c r="V33" s="1372"/>
    </row>
    <row r="34" spans="1:22" ht="16.5" thickBot="1">
      <c r="A34" s="1389"/>
      <c r="B34" s="371" t="s">
        <v>1050</v>
      </c>
      <c r="C34" s="404">
        <f>C32-C33</f>
        <v>-14450535.199999999</v>
      </c>
      <c r="D34" s="405">
        <f>+D32-D33</f>
        <v>-5013043</v>
      </c>
      <c r="E34" s="405">
        <f>E32-E33</f>
        <v>-8882641</v>
      </c>
      <c r="F34" s="406"/>
      <c r="G34" s="1421"/>
      <c r="H34" s="1421"/>
      <c r="I34" s="1392"/>
      <c r="J34" s="1373"/>
      <c r="K34" s="1395"/>
      <c r="L34" s="1395"/>
      <c r="M34" s="1395"/>
      <c r="N34" s="1395"/>
      <c r="O34" s="1364"/>
      <c r="P34" s="372">
        <f>+P32-P33</f>
        <v>14450535</v>
      </c>
      <c r="Q34" s="373">
        <f>+Q32-Q33</f>
        <v>8882641</v>
      </c>
      <c r="S34" s="1439"/>
      <c r="T34" s="1439"/>
      <c r="U34" s="1370"/>
      <c r="V34" s="1373"/>
    </row>
    <row r="35" spans="1:22" ht="15.75" customHeight="1">
      <c r="A35" s="1431" t="s">
        <v>361</v>
      </c>
      <c r="B35" s="374" t="s">
        <v>1048</v>
      </c>
      <c r="C35" s="408">
        <f t="shared" ref="C35:E36" si="2">C23+C26+C29+C32</f>
        <v>3128000</v>
      </c>
      <c r="D35" s="409">
        <f>D23+D26+D29+D32</f>
        <v>13259942</v>
      </c>
      <c r="E35" s="409">
        <f t="shared" si="2"/>
        <v>4938158</v>
      </c>
      <c r="F35" s="410"/>
      <c r="G35" s="1443">
        <f>G23+G26+G29+G32</f>
        <v>0</v>
      </c>
      <c r="H35" s="1443">
        <f>H23+H26+H29+H32</f>
        <v>0</v>
      </c>
      <c r="I35" s="1443">
        <f>I23+I26+I29+I32</f>
        <v>0</v>
      </c>
      <c r="J35" s="1428" t="e">
        <f>G35/H35</f>
        <v>#DIV/0!</v>
      </c>
      <c r="K35" s="1422">
        <f>SUM(K23:K34)</f>
        <v>2300899</v>
      </c>
      <c r="L35" s="1422">
        <f>SUM(L23:L34)</f>
        <v>191096</v>
      </c>
      <c r="M35" s="1422">
        <f>SUM(M23:M34)</f>
        <v>551991</v>
      </c>
      <c r="N35" s="1422">
        <f>SUM(N23:N34)</f>
        <v>-743087</v>
      </c>
      <c r="O35" s="1425">
        <f>G35/(H35+M35)</f>
        <v>0</v>
      </c>
      <c r="P35" s="375">
        <f t="shared" ref="P35:Q37" si="3">P23+P26+P29+P32</f>
        <v>-3128000</v>
      </c>
      <c r="Q35" s="376">
        <f t="shared" si="3"/>
        <v>-4938158</v>
      </c>
      <c r="S35" s="1440">
        <f>S23+S26+S29+S32</f>
        <v>4938158</v>
      </c>
      <c r="T35" s="1440">
        <f>T23+T26+T29+T32</f>
        <v>20099460</v>
      </c>
      <c r="U35" s="1440">
        <f>U23+U26+U29+U32</f>
        <v>-15161302</v>
      </c>
      <c r="V35" s="1428">
        <f>S35/T35</f>
        <v>0.25</v>
      </c>
    </row>
    <row r="36" spans="1:22">
      <c r="A36" s="1432"/>
      <c r="B36" s="377" t="s">
        <v>1049</v>
      </c>
      <c r="C36" s="411">
        <f t="shared" si="2"/>
        <v>36934008.299999997</v>
      </c>
      <c r="D36" s="411">
        <f t="shared" si="2"/>
        <v>12527348</v>
      </c>
      <c r="E36" s="411">
        <f t="shared" si="2"/>
        <v>20099460</v>
      </c>
      <c r="F36" s="412"/>
      <c r="G36" s="1444"/>
      <c r="H36" s="1444"/>
      <c r="I36" s="1444"/>
      <c r="J36" s="1429"/>
      <c r="K36" s="1423"/>
      <c r="L36" s="1423"/>
      <c r="M36" s="1423"/>
      <c r="N36" s="1423"/>
      <c r="O36" s="1426"/>
      <c r="P36" s="378">
        <f t="shared" si="3"/>
        <v>-36934008</v>
      </c>
      <c r="Q36" s="379">
        <f t="shared" si="3"/>
        <v>-20099460</v>
      </c>
      <c r="S36" s="1441"/>
      <c r="T36" s="1441"/>
      <c r="U36" s="1441"/>
      <c r="V36" s="1429"/>
    </row>
    <row r="37" spans="1:22" ht="16.5" thickBot="1">
      <c r="A37" s="1433"/>
      <c r="B37" s="380" t="s">
        <v>1050</v>
      </c>
      <c r="C37" s="413">
        <f>C35-C36</f>
        <v>-33806008.299999997</v>
      </c>
      <c r="D37" s="413">
        <f>D35-D36</f>
        <v>732594</v>
      </c>
      <c r="E37" s="413">
        <f>E35-E36</f>
        <v>-15161302</v>
      </c>
      <c r="F37" s="414"/>
      <c r="G37" s="1445"/>
      <c r="H37" s="1445"/>
      <c r="I37" s="1445"/>
      <c r="J37" s="1430"/>
      <c r="K37" s="1424"/>
      <c r="L37" s="1424"/>
      <c r="M37" s="1424"/>
      <c r="N37" s="1424"/>
      <c r="O37" s="1427"/>
      <c r="P37" s="381">
        <f t="shared" si="3"/>
        <v>33806008</v>
      </c>
      <c r="Q37" s="382">
        <f t="shared" si="3"/>
        <v>15161302</v>
      </c>
      <c r="S37" s="1442"/>
      <c r="T37" s="1442"/>
      <c r="U37" s="1442"/>
      <c r="V37" s="1430"/>
    </row>
    <row r="38" spans="1:22" ht="15.75" customHeight="1">
      <c r="A38" s="1387" t="s">
        <v>1056</v>
      </c>
      <c r="B38" s="365" t="s">
        <v>1048</v>
      </c>
      <c r="C38" s="398">
        <f>'REVGEN (4)(1)'!D48</f>
        <v>200000</v>
      </c>
      <c r="D38" s="399">
        <v>5244524</v>
      </c>
      <c r="E38" s="399">
        <f>S38</f>
        <v>3656252</v>
      </c>
      <c r="F38" s="399"/>
      <c r="G38" s="1390">
        <f>'REVGEN (4)(1)'!G48</f>
        <v>0</v>
      </c>
      <c r="H38" s="1390">
        <f>'REVGEN (4)(1)'!G178</f>
        <v>0</v>
      </c>
      <c r="I38" s="1390">
        <f>G38-H38</f>
        <v>0</v>
      </c>
      <c r="J38" s="1371" t="e">
        <f>G38/H38</f>
        <v>#DIV/0!</v>
      </c>
      <c r="K38" s="1393">
        <f>[2]TAR!F31</f>
        <v>592480</v>
      </c>
      <c r="L38" s="1393">
        <f>IF([2]TAR!F63&gt;0,([2]TAR!F63),([2]TAR!F63*-1))</f>
        <v>427372</v>
      </c>
      <c r="M38" s="1393">
        <f>IF([2]TAR!F64&gt;0,([2]TAR!F64),([2]TAR!F64*-1))</f>
        <v>221855</v>
      </c>
      <c r="N38" s="1393">
        <f>I38-L38-M38</f>
        <v>-649227</v>
      </c>
      <c r="O38" s="1362">
        <f>G38/(H38+L38+M38)</f>
        <v>0</v>
      </c>
      <c r="P38" s="366">
        <f>+G38-C38</f>
        <v>-200000</v>
      </c>
      <c r="Q38" s="367">
        <f>G38-E38</f>
        <v>-3656252</v>
      </c>
      <c r="S38" s="1365">
        <v>3656252</v>
      </c>
      <c r="T38" s="1365">
        <v>4648665</v>
      </c>
      <c r="U38" s="1368">
        <f>S38-T38</f>
        <v>-992413</v>
      </c>
      <c r="V38" s="1371">
        <f>S38/T38</f>
        <v>0.79</v>
      </c>
    </row>
    <row r="39" spans="1:22">
      <c r="A39" s="1388"/>
      <c r="B39" s="368" t="s">
        <v>1049</v>
      </c>
      <c r="C39" s="401">
        <f>'REVGEN (4)(1)'!D178</f>
        <v>10553570.300000001</v>
      </c>
      <c r="D39" s="402">
        <v>2528033</v>
      </c>
      <c r="E39" s="402">
        <f>T38</f>
        <v>4648665</v>
      </c>
      <c r="F39" s="407"/>
      <c r="G39" s="1420"/>
      <c r="H39" s="1420"/>
      <c r="I39" s="1420"/>
      <c r="J39" s="1372"/>
      <c r="K39" s="1394"/>
      <c r="L39" s="1394"/>
      <c r="M39" s="1394"/>
      <c r="N39" s="1394"/>
      <c r="O39" s="1363"/>
      <c r="P39" s="369">
        <f>+H38-C39</f>
        <v>-10553570</v>
      </c>
      <c r="Q39" s="370">
        <f>H38-E39</f>
        <v>-4648665</v>
      </c>
      <c r="S39" s="1366"/>
      <c r="T39" s="1366"/>
      <c r="U39" s="1369"/>
      <c r="V39" s="1372"/>
    </row>
    <row r="40" spans="1:22" ht="16.5" thickBot="1">
      <c r="A40" s="1389"/>
      <c r="B40" s="371" t="s">
        <v>1050</v>
      </c>
      <c r="C40" s="404">
        <f>C38-C39</f>
        <v>-10353570.300000001</v>
      </c>
      <c r="D40" s="405">
        <f>+D38-D39</f>
        <v>2716491</v>
      </c>
      <c r="E40" s="405">
        <f>E38-E39</f>
        <v>-992413</v>
      </c>
      <c r="F40" s="406"/>
      <c r="G40" s="1421"/>
      <c r="H40" s="1421"/>
      <c r="I40" s="1421"/>
      <c r="J40" s="1373"/>
      <c r="K40" s="1395"/>
      <c r="L40" s="1395"/>
      <c r="M40" s="1395"/>
      <c r="N40" s="1395"/>
      <c r="O40" s="1364"/>
      <c r="P40" s="372">
        <f>+P38-P39</f>
        <v>10353570</v>
      </c>
      <c r="Q40" s="373">
        <f>+Q38-Q39</f>
        <v>992413</v>
      </c>
      <c r="S40" s="1367"/>
      <c r="T40" s="1367"/>
      <c r="U40" s="1370"/>
      <c r="V40" s="1373"/>
    </row>
    <row r="41" spans="1:22" ht="15.75" customHeight="1">
      <c r="A41" s="1387" t="s">
        <v>1057</v>
      </c>
      <c r="B41" s="365" t="s">
        <v>1048</v>
      </c>
      <c r="C41" s="398">
        <f>'REVGEN (4)(2)'!D48</f>
        <v>50000</v>
      </c>
      <c r="D41" s="399">
        <v>1444619</v>
      </c>
      <c r="E41" s="399">
        <f>S41</f>
        <v>737303</v>
      </c>
      <c r="F41" s="400"/>
      <c r="G41" s="1390">
        <f>'REVGEN (4)(2)'!G48</f>
        <v>0</v>
      </c>
      <c r="H41" s="1390">
        <f>'REVGEN (4)(2)'!G178</f>
        <v>0</v>
      </c>
      <c r="I41" s="1390">
        <f>G41-H41</f>
        <v>0</v>
      </c>
      <c r="J41" s="1371" t="e">
        <f>G41/H41</f>
        <v>#DIV/0!</v>
      </c>
      <c r="K41" s="1393">
        <f>[2]ZAM!F31</f>
        <v>272433</v>
      </c>
      <c r="L41" s="1393">
        <f>IF([2]ZAM!F63&gt;0,([2]ZAM!F63),([2]ZAM!F63*-1))</f>
        <v>196513</v>
      </c>
      <c r="M41" s="1393">
        <f>IF([2]ZAM!F64&gt;0,([2]ZAM!F64),([2]ZAM!F64*-1))</f>
        <v>102013</v>
      </c>
      <c r="N41" s="1393">
        <f>I41-L41-M41</f>
        <v>-298526</v>
      </c>
      <c r="O41" s="1362">
        <f>G41/(H41+L41+M41)</f>
        <v>0</v>
      </c>
      <c r="P41" s="366">
        <f>+G41-C41</f>
        <v>-50000</v>
      </c>
      <c r="Q41" s="367">
        <f>G41-E41</f>
        <v>-737303</v>
      </c>
      <c r="S41" s="1365">
        <v>737303</v>
      </c>
      <c r="T41" s="1365">
        <v>1871393</v>
      </c>
      <c r="U41" s="1368">
        <f>S41-T41</f>
        <v>-1134090</v>
      </c>
      <c r="V41" s="1371">
        <f>S41/T41</f>
        <v>0.39</v>
      </c>
    </row>
    <row r="42" spans="1:22">
      <c r="A42" s="1388"/>
      <c r="B42" s="368" t="s">
        <v>1049</v>
      </c>
      <c r="C42" s="401">
        <f>'REVGEN (4)(2)'!D178</f>
        <v>4735761.0999999996</v>
      </c>
      <c r="D42" s="402">
        <v>1226906</v>
      </c>
      <c r="E42" s="402">
        <f>T41</f>
        <v>1871393</v>
      </c>
      <c r="F42" s="407"/>
      <c r="G42" s="1420"/>
      <c r="H42" s="1420"/>
      <c r="I42" s="1420"/>
      <c r="J42" s="1372"/>
      <c r="K42" s="1394"/>
      <c r="L42" s="1394"/>
      <c r="M42" s="1394"/>
      <c r="N42" s="1394"/>
      <c r="O42" s="1363"/>
      <c r="P42" s="369">
        <f>+H41-C42</f>
        <v>-4735761</v>
      </c>
      <c r="Q42" s="370">
        <f>H41-E42</f>
        <v>-1871393</v>
      </c>
      <c r="S42" s="1366"/>
      <c r="T42" s="1366"/>
      <c r="U42" s="1369"/>
      <c r="V42" s="1372"/>
    </row>
    <row r="43" spans="1:22" ht="21.75" customHeight="1" thickBot="1">
      <c r="A43" s="1389"/>
      <c r="B43" s="371" t="s">
        <v>1050</v>
      </c>
      <c r="C43" s="404">
        <f>C41-C42</f>
        <v>-4685761.0999999996</v>
      </c>
      <c r="D43" s="405">
        <f>+D41-D42</f>
        <v>217713</v>
      </c>
      <c r="E43" s="405">
        <f>E41-E42</f>
        <v>-1134090</v>
      </c>
      <c r="F43" s="406"/>
      <c r="G43" s="1421"/>
      <c r="H43" s="1421"/>
      <c r="I43" s="1421"/>
      <c r="J43" s="1373"/>
      <c r="K43" s="1395"/>
      <c r="L43" s="1395"/>
      <c r="M43" s="1395"/>
      <c r="N43" s="1395"/>
      <c r="O43" s="1364"/>
      <c r="P43" s="372">
        <f>+P41-P42</f>
        <v>4685761</v>
      </c>
      <c r="Q43" s="373">
        <f>+Q41-Q42</f>
        <v>1134090</v>
      </c>
      <c r="S43" s="1367"/>
      <c r="T43" s="1367"/>
      <c r="U43" s="1370"/>
      <c r="V43" s="1373"/>
    </row>
    <row r="44" spans="1:22" ht="15.75" customHeight="1">
      <c r="A44" s="1387" t="s">
        <v>1058</v>
      </c>
      <c r="B44" s="365" t="s">
        <v>1048</v>
      </c>
      <c r="C44" s="398">
        <f>'REVGEN (4)(3)'!D48</f>
        <v>200000</v>
      </c>
      <c r="D44" s="399">
        <v>3400338</v>
      </c>
      <c r="E44" s="399">
        <f>S44</f>
        <v>1823983</v>
      </c>
      <c r="F44" s="417"/>
      <c r="G44" s="1390">
        <f>'REVGEN (4)(3)'!G48</f>
        <v>0</v>
      </c>
      <c r="H44" s="1390">
        <f>'REVGEN (4)(3)'!G178</f>
        <v>0</v>
      </c>
      <c r="I44" s="1390">
        <f>G44-H44</f>
        <v>0</v>
      </c>
      <c r="J44" s="1371" t="e">
        <f>G44/H44</f>
        <v>#DIV/0!</v>
      </c>
      <c r="K44" s="1393">
        <f>[2]CAMRIS!F31</f>
        <v>736182</v>
      </c>
      <c r="L44" s="1393">
        <f>IF([2]CAMRIS!F63&gt;0,([2]CAMRIS!F63),([2]CAMRIS!F63*-1))</f>
        <v>531027</v>
      </c>
      <c r="M44" s="1393">
        <f>IF([2]CAMRIS!F64&gt;0,([2]CAMRIS!F64),([2]CAMRIS!F64*-1))</f>
        <v>275664</v>
      </c>
      <c r="N44" s="1393">
        <f>I44-L44-M44</f>
        <v>-806691</v>
      </c>
      <c r="O44" s="1362">
        <f>G44/(H44+L44+M44)</f>
        <v>0</v>
      </c>
      <c r="P44" s="366">
        <f>+G44-C44</f>
        <v>-200000</v>
      </c>
      <c r="Q44" s="367">
        <f>G44-E44</f>
        <v>-1823983</v>
      </c>
      <c r="S44" s="1365">
        <v>1823983</v>
      </c>
      <c r="T44" s="1365">
        <v>4946212</v>
      </c>
      <c r="U44" s="1368">
        <f>S44-T44</f>
        <v>-3122229</v>
      </c>
      <c r="V44" s="1371">
        <f>S44/T44</f>
        <v>0.37</v>
      </c>
    </row>
    <row r="45" spans="1:22">
      <c r="A45" s="1388"/>
      <c r="B45" s="368" t="s">
        <v>1049</v>
      </c>
      <c r="C45" s="401">
        <f>'REVGEN (4)(3)'!D178</f>
        <v>10509690.199999999</v>
      </c>
      <c r="D45" s="402">
        <v>2964941</v>
      </c>
      <c r="E45" s="402">
        <f>T44</f>
        <v>4946212</v>
      </c>
      <c r="F45" s="407"/>
      <c r="G45" s="1420"/>
      <c r="H45" s="1420"/>
      <c r="I45" s="1420"/>
      <c r="J45" s="1372"/>
      <c r="K45" s="1394"/>
      <c r="L45" s="1394"/>
      <c r="M45" s="1394"/>
      <c r="N45" s="1394"/>
      <c r="O45" s="1363"/>
      <c r="P45" s="369">
        <f>+H44-C45</f>
        <v>-10509690</v>
      </c>
      <c r="Q45" s="370">
        <f>H44-E45</f>
        <v>-4946212</v>
      </c>
      <c r="S45" s="1366"/>
      <c r="T45" s="1366"/>
      <c r="U45" s="1369"/>
      <c r="V45" s="1372"/>
    </row>
    <row r="46" spans="1:22" ht="16.5" thickBot="1">
      <c r="A46" s="1389"/>
      <c r="B46" s="371" t="s">
        <v>1050</v>
      </c>
      <c r="C46" s="404">
        <f>C44-C45</f>
        <v>-10309690.199999999</v>
      </c>
      <c r="D46" s="416">
        <f>+D44-D45</f>
        <v>435397</v>
      </c>
      <c r="E46" s="405">
        <f>E44-E45</f>
        <v>-3122229</v>
      </c>
      <c r="F46" s="406"/>
      <c r="G46" s="1421"/>
      <c r="H46" s="1421"/>
      <c r="I46" s="1421"/>
      <c r="J46" s="1373"/>
      <c r="K46" s="1395"/>
      <c r="L46" s="1395"/>
      <c r="M46" s="1395"/>
      <c r="N46" s="1395"/>
      <c r="O46" s="1364"/>
      <c r="P46" s="372">
        <f>+P44-P45</f>
        <v>10309690</v>
      </c>
      <c r="Q46" s="373">
        <f>+Q44-Q45</f>
        <v>3122229</v>
      </c>
      <c r="S46" s="1367"/>
      <c r="T46" s="1367"/>
      <c r="U46" s="1370"/>
      <c r="V46" s="1373"/>
    </row>
    <row r="47" spans="1:22">
      <c r="A47" s="1387" t="s">
        <v>399</v>
      </c>
      <c r="B47" s="365" t="s">
        <v>1048</v>
      </c>
      <c r="C47" s="398">
        <f>'REVGEN (4)(4)'!D48</f>
        <v>50000</v>
      </c>
      <c r="D47" s="399">
        <v>2190030</v>
      </c>
      <c r="E47" s="399">
        <f>S47</f>
        <v>249067</v>
      </c>
      <c r="F47" s="400"/>
      <c r="G47" s="1390">
        <f>'REVGEN (4)(4)'!G48</f>
        <v>0</v>
      </c>
      <c r="H47" s="1390">
        <f>'REVGEN (4)(4)'!G178</f>
        <v>0</v>
      </c>
      <c r="I47" s="1390">
        <f>G47-H47</f>
        <v>0</v>
      </c>
      <c r="J47" s="1371" t="e">
        <f>G47/H47</f>
        <v>#DIV/0!</v>
      </c>
      <c r="K47" s="1393">
        <f>[2]Nayom!F31</f>
        <v>300662</v>
      </c>
      <c r="L47" s="1393">
        <f>IF([2]Nayom!F63&gt;0,([2]Nayom!F63),([2]Nayom!F63*-1))</f>
        <v>216875</v>
      </c>
      <c r="M47" s="1393">
        <f>IF([2]Nayom!F64&gt;0,([2]Nayom!F64),([2]Nayom!F64*-1))</f>
        <v>112583</v>
      </c>
      <c r="N47" s="1393">
        <f>I47-L47-M47</f>
        <v>-329458</v>
      </c>
      <c r="O47" s="1362">
        <f>G47/(H47+L47+M47)</f>
        <v>0</v>
      </c>
      <c r="P47" s="366">
        <f>+G47-C47</f>
        <v>-50000</v>
      </c>
      <c r="Q47" s="367">
        <f>G47-E47</f>
        <v>-249067</v>
      </c>
      <c r="S47" s="1365">
        <v>249067</v>
      </c>
      <c r="T47" s="1365">
        <v>1928551</v>
      </c>
      <c r="U47" s="1368">
        <f>S47-T47</f>
        <v>-1679484</v>
      </c>
      <c r="V47" s="1371">
        <f>S47/T47</f>
        <v>0.13</v>
      </c>
    </row>
    <row r="48" spans="1:22">
      <c r="A48" s="1388"/>
      <c r="B48" s="368" t="s">
        <v>1049</v>
      </c>
      <c r="C48" s="401">
        <f>'REVGEN (4)(4)'!D178</f>
        <v>2614433.2999999998</v>
      </c>
      <c r="D48" s="402">
        <v>854732</v>
      </c>
      <c r="E48" s="402">
        <f>T47</f>
        <v>1928551</v>
      </c>
      <c r="F48" s="407"/>
      <c r="G48" s="1420"/>
      <c r="H48" s="1420"/>
      <c r="I48" s="1420"/>
      <c r="J48" s="1372"/>
      <c r="K48" s="1394"/>
      <c r="L48" s="1394"/>
      <c r="M48" s="1394"/>
      <c r="N48" s="1394"/>
      <c r="O48" s="1363"/>
      <c r="P48" s="369">
        <f>+H47-C48</f>
        <v>-2614433</v>
      </c>
      <c r="Q48" s="370">
        <f>H47-E48</f>
        <v>-1928551</v>
      </c>
      <c r="S48" s="1366"/>
      <c r="T48" s="1366"/>
      <c r="U48" s="1369"/>
      <c r="V48" s="1372"/>
    </row>
    <row r="49" spans="1:22" ht="16.5" thickBot="1">
      <c r="A49" s="1389"/>
      <c r="B49" s="371" t="s">
        <v>1050</v>
      </c>
      <c r="C49" s="404">
        <f>C47-C48</f>
        <v>-2564433.2999999998</v>
      </c>
      <c r="D49" s="405">
        <f>+D47-D48</f>
        <v>1335298</v>
      </c>
      <c r="E49" s="405">
        <f>E47-E48</f>
        <v>-1679484</v>
      </c>
      <c r="F49" s="406"/>
      <c r="G49" s="1421"/>
      <c r="H49" s="1421"/>
      <c r="I49" s="1421"/>
      <c r="J49" s="1373"/>
      <c r="K49" s="1395"/>
      <c r="L49" s="1395"/>
      <c r="M49" s="1395"/>
      <c r="N49" s="1395"/>
      <c r="O49" s="1364"/>
      <c r="P49" s="372">
        <f>+P47-P48</f>
        <v>2564433</v>
      </c>
      <c r="Q49" s="373">
        <f>+Q47-Q48</f>
        <v>1679484</v>
      </c>
      <c r="S49" s="1367"/>
      <c r="T49" s="1367"/>
      <c r="U49" s="1370"/>
      <c r="V49" s="1373"/>
    </row>
    <row r="50" spans="1:22">
      <c r="A50" s="1387" t="s">
        <v>1053</v>
      </c>
      <c r="B50" s="365" t="s">
        <v>1048</v>
      </c>
      <c r="C50" s="398">
        <f>'REVGEN (4)(5)'!D48</f>
        <v>826000</v>
      </c>
      <c r="D50" s="399">
        <v>35100</v>
      </c>
      <c r="E50" s="399">
        <f>S50</f>
        <v>1454442</v>
      </c>
      <c r="F50" s="400"/>
      <c r="G50" s="1390">
        <f>'REVGEN (4)(5)'!G48</f>
        <v>0</v>
      </c>
      <c r="H50" s="1390">
        <f>'REVGEN (4)(5)'!G178</f>
        <v>0</v>
      </c>
      <c r="I50" s="1390">
        <f>G50-H50</f>
        <v>0</v>
      </c>
      <c r="J50" s="1371" t="e">
        <f>G50/H50</f>
        <v>#DIV/0!</v>
      </c>
      <c r="K50" s="1393">
        <f>[2]TRZM!F31</f>
        <v>944352</v>
      </c>
      <c r="L50" s="1393">
        <v>0</v>
      </c>
      <c r="M50" s="1393">
        <f>IF([2]TRZM!F62&gt;0,([2]TRZM!F62),([2]TRZM!F62*-1))</f>
        <v>0</v>
      </c>
      <c r="N50" s="1393">
        <v>0</v>
      </c>
      <c r="O50" s="1362" t="e">
        <f>G50/(H50+L50+M50)</f>
        <v>#DIV/0!</v>
      </c>
      <c r="P50" s="366">
        <f>+G50-C50</f>
        <v>-826000</v>
      </c>
      <c r="Q50" s="367">
        <f>G50-E50</f>
        <v>-1454442</v>
      </c>
      <c r="S50" s="1365">
        <v>1454442</v>
      </c>
      <c r="T50" s="1365">
        <v>8557972</v>
      </c>
      <c r="U50" s="1368">
        <f>S50-T50</f>
        <v>-7103530</v>
      </c>
      <c r="V50" s="1371">
        <f>S50/T50</f>
        <v>0.17</v>
      </c>
    </row>
    <row r="51" spans="1:22">
      <c r="A51" s="1388"/>
      <c r="B51" s="368" t="s">
        <v>1049</v>
      </c>
      <c r="C51" s="401">
        <f>'REVGEN (4)(5)'!D178</f>
        <v>9312285.5999999996</v>
      </c>
      <c r="D51" s="402">
        <v>3830115</v>
      </c>
      <c r="E51" s="402">
        <f>T50</f>
        <v>8557972</v>
      </c>
      <c r="F51" s="407"/>
      <c r="G51" s="1420"/>
      <c r="H51" s="1420"/>
      <c r="I51" s="1420"/>
      <c r="J51" s="1372"/>
      <c r="K51" s="1394"/>
      <c r="L51" s="1394"/>
      <c r="M51" s="1394"/>
      <c r="N51" s="1394"/>
      <c r="O51" s="1363"/>
      <c r="P51" s="369">
        <f>+H50-C51</f>
        <v>-9312286</v>
      </c>
      <c r="Q51" s="370">
        <f>H50-E51</f>
        <v>-8557972</v>
      </c>
      <c r="S51" s="1366"/>
      <c r="T51" s="1366"/>
      <c r="U51" s="1369"/>
      <c r="V51" s="1372"/>
    </row>
    <row r="52" spans="1:22" ht="16.5" thickBot="1">
      <c r="A52" s="1389"/>
      <c r="B52" s="371" t="s">
        <v>1050</v>
      </c>
      <c r="C52" s="404">
        <f>C50-C51</f>
        <v>-8486285.5999999996</v>
      </c>
      <c r="D52" s="405">
        <f>+D50-D51</f>
        <v>-3795015</v>
      </c>
      <c r="E52" s="405">
        <f>E50-E51</f>
        <v>-7103530</v>
      </c>
      <c r="F52" s="406"/>
      <c r="G52" s="1421"/>
      <c r="H52" s="1421"/>
      <c r="I52" s="1421"/>
      <c r="J52" s="1373"/>
      <c r="K52" s="1395"/>
      <c r="L52" s="1395"/>
      <c r="M52" s="1395"/>
      <c r="N52" s="1395"/>
      <c r="O52" s="1364"/>
      <c r="P52" s="372">
        <f>+P50-P51</f>
        <v>8486286</v>
      </c>
      <c r="Q52" s="373">
        <f>+Q50-Q51</f>
        <v>7103530</v>
      </c>
      <c r="S52" s="1367"/>
      <c r="T52" s="1367"/>
      <c r="U52" s="1370"/>
      <c r="V52" s="1373"/>
    </row>
    <row r="53" spans="1:22" ht="15.75" customHeight="1">
      <c r="A53" s="1431" t="s">
        <v>362</v>
      </c>
      <c r="B53" s="374" t="s">
        <v>1048</v>
      </c>
      <c r="C53" s="408">
        <f t="shared" ref="C53:E54" si="4">C38+C41+C44+C47+C50</f>
        <v>1326000</v>
      </c>
      <c r="D53" s="408">
        <f>D38+D41+D44+D47+D50</f>
        <v>12314611</v>
      </c>
      <c r="E53" s="408">
        <f t="shared" si="4"/>
        <v>7921047</v>
      </c>
      <c r="F53" s="410"/>
      <c r="G53" s="1443">
        <f>G38+G41+G44+G47+G50</f>
        <v>0</v>
      </c>
      <c r="H53" s="1443">
        <f>H38+H41+H44+H47+H50</f>
        <v>0</v>
      </c>
      <c r="I53" s="1443">
        <f>I38+I41+I44+I47+I50</f>
        <v>0</v>
      </c>
      <c r="J53" s="1428" t="e">
        <f>G53/H53</f>
        <v>#DIV/0!</v>
      </c>
      <c r="K53" s="1422">
        <f>SUM(K38:K52)</f>
        <v>2846109</v>
      </c>
      <c r="L53" s="1422">
        <f>SUM(L38:L52)</f>
        <v>1371787</v>
      </c>
      <c r="M53" s="1422">
        <f>SUM(M38:M52)</f>
        <v>712115</v>
      </c>
      <c r="N53" s="1422">
        <f>SUM(N38:N52)</f>
        <v>-2083902</v>
      </c>
      <c r="O53" s="1425">
        <f>G53/(H53+M53)</f>
        <v>0</v>
      </c>
      <c r="P53" s="375">
        <f t="shared" ref="P53:Q55" si="5">P38+P41+P44+P47+P50</f>
        <v>-1326000</v>
      </c>
      <c r="Q53" s="376">
        <f t="shared" si="5"/>
        <v>-7921047</v>
      </c>
      <c r="S53" s="1440">
        <f>S38+S41+S44+S47+S50</f>
        <v>7921047</v>
      </c>
      <c r="T53" s="1440">
        <f>T38+T41+T44+T47+T50</f>
        <v>21952793</v>
      </c>
      <c r="U53" s="1440">
        <f>U38+U41+U44+U47+U50</f>
        <v>-14031746</v>
      </c>
      <c r="V53" s="1428">
        <f>S53/T53</f>
        <v>0.36</v>
      </c>
    </row>
    <row r="54" spans="1:22">
      <c r="A54" s="1432"/>
      <c r="B54" s="377" t="s">
        <v>1049</v>
      </c>
      <c r="C54" s="411">
        <f t="shared" si="4"/>
        <v>37725740.5</v>
      </c>
      <c r="D54" s="411">
        <f>D39+D42+D45+D48+D51</f>
        <v>11404727</v>
      </c>
      <c r="E54" s="411">
        <f t="shared" si="4"/>
        <v>21952793</v>
      </c>
      <c r="F54" s="412"/>
      <c r="G54" s="1444">
        <v>0</v>
      </c>
      <c r="H54" s="1444">
        <v>0</v>
      </c>
      <c r="I54" s="1444">
        <v>0</v>
      </c>
      <c r="J54" s="1429"/>
      <c r="K54" s="1423"/>
      <c r="L54" s="1423"/>
      <c r="M54" s="1423"/>
      <c r="N54" s="1423"/>
      <c r="O54" s="1426"/>
      <c r="P54" s="378">
        <f t="shared" si="5"/>
        <v>-37725740</v>
      </c>
      <c r="Q54" s="379">
        <f t="shared" si="5"/>
        <v>-21952793</v>
      </c>
      <c r="S54" s="1441">
        <v>0</v>
      </c>
      <c r="T54" s="1441">
        <v>0</v>
      </c>
      <c r="U54" s="1441">
        <v>0</v>
      </c>
      <c r="V54" s="1429"/>
    </row>
    <row r="55" spans="1:22" ht="16.5" thickBot="1">
      <c r="A55" s="1433"/>
      <c r="B55" s="380" t="s">
        <v>1050</v>
      </c>
      <c r="C55" s="413">
        <f>C53-C54</f>
        <v>-36399740.5</v>
      </c>
      <c r="D55" s="413">
        <f>D53-D54</f>
        <v>909884</v>
      </c>
      <c r="E55" s="413">
        <f>E53-E54</f>
        <v>-14031746</v>
      </c>
      <c r="F55" s="414"/>
      <c r="G55" s="1445">
        <v>0</v>
      </c>
      <c r="H55" s="1445">
        <v>0</v>
      </c>
      <c r="I55" s="1445">
        <v>0</v>
      </c>
      <c r="J55" s="1430"/>
      <c r="K55" s="1424"/>
      <c r="L55" s="1424"/>
      <c r="M55" s="1424"/>
      <c r="N55" s="1424"/>
      <c r="O55" s="1427"/>
      <c r="P55" s="381">
        <f t="shared" si="5"/>
        <v>36399740</v>
      </c>
      <c r="Q55" s="382">
        <f t="shared" si="5"/>
        <v>14031746</v>
      </c>
      <c r="S55" s="1442">
        <v>0</v>
      </c>
      <c r="T55" s="1442">
        <v>0</v>
      </c>
      <c r="U55" s="1442">
        <v>0</v>
      </c>
      <c r="V55" s="1430"/>
    </row>
    <row r="56" spans="1:22" ht="15.75" customHeight="1">
      <c r="A56" s="1387" t="s">
        <v>1059</v>
      </c>
      <c r="B56" s="365" t="s">
        <v>1048</v>
      </c>
      <c r="C56" s="398">
        <f>'REVGEN (1)'!D48</f>
        <v>1000000</v>
      </c>
      <c r="D56" s="399">
        <v>1277915</v>
      </c>
      <c r="E56" s="399">
        <f>S56</f>
        <v>5576955</v>
      </c>
      <c r="F56" s="400"/>
      <c r="G56" s="1390">
        <f>'REVGEN (1)'!G48</f>
        <v>0</v>
      </c>
      <c r="H56" s="1390">
        <f>'REVGEN (1)'!G178</f>
        <v>0</v>
      </c>
      <c r="I56" s="1390">
        <f>G56-H56</f>
        <v>0</v>
      </c>
      <c r="J56" s="1371" t="e">
        <f>G56/H56</f>
        <v>#DIV/0!</v>
      </c>
      <c r="K56" s="1393">
        <f>[2]RO!F31</f>
        <v>3451926</v>
      </c>
      <c r="L56" s="1393">
        <v>0</v>
      </c>
      <c r="M56" s="1393">
        <v>0</v>
      </c>
      <c r="N56" s="1393">
        <v>0</v>
      </c>
      <c r="O56" s="1362" t="e">
        <f>G56/(H56+L56+M56)</f>
        <v>#DIV/0!</v>
      </c>
      <c r="P56" s="366">
        <f>+G56-C56</f>
        <v>-1000000</v>
      </c>
      <c r="Q56" s="367">
        <f>G56-E56</f>
        <v>-5576955</v>
      </c>
      <c r="S56" s="1437">
        <v>5576955</v>
      </c>
      <c r="T56" s="1437">
        <v>34685103</v>
      </c>
      <c r="U56" s="1368">
        <f>S56-T56</f>
        <v>-29108148</v>
      </c>
      <c r="V56" s="1371">
        <f>S56/T56</f>
        <v>0.16</v>
      </c>
    </row>
    <row r="57" spans="1:22">
      <c r="A57" s="1388"/>
      <c r="B57" s="368" t="s">
        <v>1049</v>
      </c>
      <c r="C57" s="401">
        <f>'REVGEN (1)'!D178</f>
        <v>43761567.200000003</v>
      </c>
      <c r="D57" s="402">
        <v>1277915</v>
      </c>
      <c r="E57" s="402">
        <f>T56</f>
        <v>34685103</v>
      </c>
      <c r="F57" s="407"/>
      <c r="G57" s="1420"/>
      <c r="H57" s="1420"/>
      <c r="I57" s="1420"/>
      <c r="J57" s="1372"/>
      <c r="K57" s="1394"/>
      <c r="L57" s="1394"/>
      <c r="M57" s="1394"/>
      <c r="N57" s="1394"/>
      <c r="O57" s="1363"/>
      <c r="P57" s="369">
        <f>+H56-C57</f>
        <v>-43761567</v>
      </c>
      <c r="Q57" s="370">
        <f>H56-E57</f>
        <v>-34685103</v>
      </c>
      <c r="S57" s="1438"/>
      <c r="T57" s="1438"/>
      <c r="U57" s="1369"/>
      <c r="V57" s="1372"/>
    </row>
    <row r="58" spans="1:22" ht="16.5" thickBot="1">
      <c r="A58" s="1389"/>
      <c r="B58" s="371" t="s">
        <v>1050</v>
      </c>
      <c r="C58" s="404">
        <f>C56-C57</f>
        <v>-42761567.200000003</v>
      </c>
      <c r="D58" s="405">
        <f>+D56-D57</f>
        <v>0</v>
      </c>
      <c r="E58" s="405">
        <f>E56-E57</f>
        <v>-29108148</v>
      </c>
      <c r="F58" s="406"/>
      <c r="G58" s="1421"/>
      <c r="H58" s="1421"/>
      <c r="I58" s="1421"/>
      <c r="J58" s="1373"/>
      <c r="K58" s="1395"/>
      <c r="L58" s="1395"/>
      <c r="M58" s="1395"/>
      <c r="N58" s="1395"/>
      <c r="O58" s="1364"/>
      <c r="P58" s="372">
        <f>+P56-P57</f>
        <v>42761567</v>
      </c>
      <c r="Q58" s="373">
        <f>+Q56-Q57</f>
        <v>29108148</v>
      </c>
      <c r="S58" s="1439"/>
      <c r="T58" s="1439"/>
      <c r="U58" s="1370"/>
      <c r="V58" s="1373"/>
    </row>
    <row r="59" spans="1:22">
      <c r="A59" s="1453" t="s">
        <v>358</v>
      </c>
      <c r="B59" s="384" t="s">
        <v>1048</v>
      </c>
      <c r="C59" s="418">
        <f t="shared" ref="C59:I59" si="6">C20+C35+C53+C56</f>
        <v>41066078.100000001</v>
      </c>
      <c r="D59" s="419">
        <f t="shared" si="6"/>
        <v>69255732</v>
      </c>
      <c r="E59" s="419">
        <f t="shared" si="6"/>
        <v>38688613</v>
      </c>
      <c r="F59" s="418"/>
      <c r="G59" s="1455">
        <f t="shared" si="6"/>
        <v>0</v>
      </c>
      <c r="H59" s="1455">
        <f>H20+H35+H53+H56</f>
        <v>0</v>
      </c>
      <c r="I59" s="1455">
        <f t="shared" si="6"/>
        <v>0</v>
      </c>
      <c r="J59" s="1448" t="e">
        <f>G59/H59</f>
        <v>#DIV/0!</v>
      </c>
      <c r="K59" s="1446">
        <f>K20+K35+K53+K56</f>
        <v>12006208</v>
      </c>
      <c r="L59" s="1446">
        <f>L20+L35+L53+L56</f>
        <v>2706378</v>
      </c>
      <c r="M59" s="1446">
        <f>M20+M35+M53+M56</f>
        <v>2161183</v>
      </c>
      <c r="N59" s="1446">
        <f>N20+N35+N53+N56</f>
        <v>-4867561</v>
      </c>
      <c r="O59" s="1450" t="e">
        <f>G59/(H59)</f>
        <v>#DIV/0!</v>
      </c>
      <c r="P59" s="385">
        <f>P20+P35+P53+P56</f>
        <v>-41066078</v>
      </c>
      <c r="Q59" s="386">
        <f>Q20+Q35+Q53+Q56</f>
        <v>-38688613</v>
      </c>
      <c r="S59" s="1446">
        <f>S20+S35+S53+S56</f>
        <v>38688613</v>
      </c>
      <c r="T59" s="1446">
        <f>T20+T35+T53+T56</f>
        <v>128777435</v>
      </c>
      <c r="U59" s="1446">
        <f>U20+U35+U53+U56</f>
        <v>-90088822</v>
      </c>
      <c r="V59" s="1448">
        <f>S59/T59</f>
        <v>0.3</v>
      </c>
    </row>
    <row r="60" spans="1:22">
      <c r="A60" s="1453"/>
      <c r="B60" s="387" t="s">
        <v>1049</v>
      </c>
      <c r="C60" s="420">
        <f>C21+C36+C54+C57</f>
        <v>191548012.09999999</v>
      </c>
      <c r="D60" s="421">
        <f>D21+D36+D54+D57</f>
        <v>43217162</v>
      </c>
      <c r="E60" s="421">
        <f>E21+E36+E54+E57</f>
        <v>128777435</v>
      </c>
      <c r="F60" s="420"/>
      <c r="G60" s="1455"/>
      <c r="H60" s="1455"/>
      <c r="I60" s="1455"/>
      <c r="J60" s="1448"/>
      <c r="K60" s="1446"/>
      <c r="L60" s="1446"/>
      <c r="M60" s="1446"/>
      <c r="N60" s="1446"/>
      <c r="O60" s="1451"/>
      <c r="P60" s="388">
        <f>P21+P36+P54+P57</f>
        <v>-191548012</v>
      </c>
      <c r="Q60" s="389">
        <f>Q21+Q36+Q54+Q57</f>
        <v>-128777435</v>
      </c>
      <c r="S60" s="1446"/>
      <c r="T60" s="1446"/>
      <c r="U60" s="1446"/>
      <c r="V60" s="1448"/>
    </row>
    <row r="61" spans="1:22" ht="16.5" thickBot="1">
      <c r="A61" s="1454"/>
      <c r="B61" s="390" t="s">
        <v>1050</v>
      </c>
      <c r="C61" s="422">
        <f>+C59-C60</f>
        <v>-150481934</v>
      </c>
      <c r="D61" s="423">
        <f>+D59-D60</f>
        <v>26038570</v>
      </c>
      <c r="E61" s="423">
        <f>+E59-E60</f>
        <v>-90088822</v>
      </c>
      <c r="F61" s="424"/>
      <c r="G61" s="1456"/>
      <c r="H61" s="1456"/>
      <c r="I61" s="1456"/>
      <c r="J61" s="1449"/>
      <c r="K61" s="1447"/>
      <c r="L61" s="1447"/>
      <c r="M61" s="1447"/>
      <c r="N61" s="1447"/>
      <c r="O61" s="1452"/>
      <c r="P61" s="391">
        <f>+P59-P60</f>
        <v>150481934</v>
      </c>
      <c r="Q61" s="392">
        <f>Q22+Q37+Q55+Q58</f>
        <v>90088822</v>
      </c>
      <c r="S61" s="1447"/>
      <c r="T61" s="1447"/>
      <c r="U61" s="1447"/>
      <c r="V61" s="1449"/>
    </row>
    <row r="62" spans="1:22" ht="16.5" thickTop="1">
      <c r="A62" s="1"/>
      <c r="D62" s="393"/>
      <c r="J62" s="394"/>
      <c r="V62" s="394"/>
    </row>
    <row r="63" spans="1:22">
      <c r="A63" s="397"/>
      <c r="D63" s="393"/>
    </row>
    <row r="66" spans="5:15">
      <c r="E66" s="393"/>
      <c r="K66" s="307"/>
      <c r="L66" s="307"/>
      <c r="M66" s="307"/>
      <c r="N66" s="307"/>
      <c r="O66" s="307"/>
    </row>
  </sheetData>
  <mergeCells count="270">
    <mergeCell ref="U59:U61"/>
    <mergeCell ref="V59:V61"/>
    <mergeCell ref="L59:L61"/>
    <mergeCell ref="M59:M61"/>
    <mergeCell ref="N59:N61"/>
    <mergeCell ref="O59:O61"/>
    <mergeCell ref="S59:S61"/>
    <mergeCell ref="T59:T61"/>
    <mergeCell ref="A59:A61"/>
    <mergeCell ref="G59:G61"/>
    <mergeCell ref="H59:H61"/>
    <mergeCell ref="I59:I61"/>
    <mergeCell ref="J59:J61"/>
    <mergeCell ref="K59:K61"/>
    <mergeCell ref="N56:N58"/>
    <mergeCell ref="O56:O58"/>
    <mergeCell ref="S56:S58"/>
    <mergeCell ref="T56:T58"/>
    <mergeCell ref="U56:U58"/>
    <mergeCell ref="V56:V58"/>
    <mergeCell ref="U53:U55"/>
    <mergeCell ref="V53:V55"/>
    <mergeCell ref="A56:A58"/>
    <mergeCell ref="G56:G58"/>
    <mergeCell ref="H56:H58"/>
    <mergeCell ref="I56:I58"/>
    <mergeCell ref="J56:J58"/>
    <mergeCell ref="K56:K58"/>
    <mergeCell ref="L56:L58"/>
    <mergeCell ref="M56:M58"/>
    <mergeCell ref="L53:L55"/>
    <mergeCell ref="M53:M55"/>
    <mergeCell ref="N53:N55"/>
    <mergeCell ref="O53:O55"/>
    <mergeCell ref="S53:S55"/>
    <mergeCell ref="T53:T55"/>
    <mergeCell ref="A53:A55"/>
    <mergeCell ref="G53:G55"/>
    <mergeCell ref="H53:H55"/>
    <mergeCell ref="I53:I55"/>
    <mergeCell ref="J53:J55"/>
    <mergeCell ref="K53:K55"/>
    <mergeCell ref="N50:N52"/>
    <mergeCell ref="O50:O52"/>
    <mergeCell ref="S50:S52"/>
    <mergeCell ref="T50:T52"/>
    <mergeCell ref="U50:U52"/>
    <mergeCell ref="V50:V52"/>
    <mergeCell ref="U47:U49"/>
    <mergeCell ref="V47:V49"/>
    <mergeCell ref="A50:A52"/>
    <mergeCell ref="G50:G52"/>
    <mergeCell ref="H50:H52"/>
    <mergeCell ref="I50:I52"/>
    <mergeCell ref="J50:J52"/>
    <mergeCell ref="K50:K52"/>
    <mergeCell ref="L50:L52"/>
    <mergeCell ref="M50:M52"/>
    <mergeCell ref="L47:L49"/>
    <mergeCell ref="M47:M49"/>
    <mergeCell ref="N47:N49"/>
    <mergeCell ref="O47:O49"/>
    <mergeCell ref="S47:S49"/>
    <mergeCell ref="T47:T49"/>
    <mergeCell ref="A47:A49"/>
    <mergeCell ref="G47:G49"/>
    <mergeCell ref="H47:H49"/>
    <mergeCell ref="I47:I49"/>
    <mergeCell ref="J47:J49"/>
    <mergeCell ref="K47:K49"/>
    <mergeCell ref="N44:N46"/>
    <mergeCell ref="O44:O46"/>
    <mergeCell ref="S44:S46"/>
    <mergeCell ref="T44:T46"/>
    <mergeCell ref="U44:U46"/>
    <mergeCell ref="V44:V46"/>
    <mergeCell ref="U41:U43"/>
    <mergeCell ref="V41:V43"/>
    <mergeCell ref="A44:A46"/>
    <mergeCell ref="G44:G46"/>
    <mergeCell ref="H44:H46"/>
    <mergeCell ref="I44:I46"/>
    <mergeCell ref="J44:J46"/>
    <mergeCell ref="K44:K46"/>
    <mergeCell ref="L44:L46"/>
    <mergeCell ref="M44:M46"/>
    <mergeCell ref="L41:L43"/>
    <mergeCell ref="M41:M43"/>
    <mergeCell ref="N41:N43"/>
    <mergeCell ref="O41:O43"/>
    <mergeCell ref="S41:S43"/>
    <mergeCell ref="T41:T43"/>
    <mergeCell ref="A41:A43"/>
    <mergeCell ref="G41:G43"/>
    <mergeCell ref="H41:H43"/>
    <mergeCell ref="I41:I43"/>
    <mergeCell ref="J41:J43"/>
    <mergeCell ref="K41:K43"/>
    <mergeCell ref="N38:N40"/>
    <mergeCell ref="O38:O40"/>
    <mergeCell ref="S38:S40"/>
    <mergeCell ref="T38:T40"/>
    <mergeCell ref="U38:U40"/>
    <mergeCell ref="V38:V40"/>
    <mergeCell ref="U35:U37"/>
    <mergeCell ref="V35:V37"/>
    <mergeCell ref="A38:A40"/>
    <mergeCell ref="G38:G40"/>
    <mergeCell ref="H38:H40"/>
    <mergeCell ref="I38:I40"/>
    <mergeCell ref="J38:J40"/>
    <mergeCell ref="K38:K40"/>
    <mergeCell ref="L38:L40"/>
    <mergeCell ref="M38:M40"/>
    <mergeCell ref="L35:L37"/>
    <mergeCell ref="M35:M37"/>
    <mergeCell ref="N35:N37"/>
    <mergeCell ref="O35:O37"/>
    <mergeCell ref="S35:S37"/>
    <mergeCell ref="T35:T37"/>
    <mergeCell ref="A35:A37"/>
    <mergeCell ref="G35:G37"/>
    <mergeCell ref="H35:H37"/>
    <mergeCell ref="I35:I37"/>
    <mergeCell ref="J35:J37"/>
    <mergeCell ref="K35:K37"/>
    <mergeCell ref="V32:V34"/>
    <mergeCell ref="U29:U31"/>
    <mergeCell ref="V29:V31"/>
    <mergeCell ref="A32:A34"/>
    <mergeCell ref="G32:G34"/>
    <mergeCell ref="H32:H34"/>
    <mergeCell ref="I32:I34"/>
    <mergeCell ref="J32:J34"/>
    <mergeCell ref="K32:K34"/>
    <mergeCell ref="L32:L34"/>
    <mergeCell ref="M32:M34"/>
    <mergeCell ref="L29:L31"/>
    <mergeCell ref="M29:M31"/>
    <mergeCell ref="N29:N31"/>
    <mergeCell ref="O29:O31"/>
    <mergeCell ref="S29:S31"/>
    <mergeCell ref="T29:T31"/>
    <mergeCell ref="A29:A31"/>
    <mergeCell ref="G29:G31"/>
    <mergeCell ref="H29:H31"/>
    <mergeCell ref="I29:I31"/>
    <mergeCell ref="J29:J31"/>
    <mergeCell ref="K29:K31"/>
    <mergeCell ref="O26:O28"/>
    <mergeCell ref="S26:S28"/>
    <mergeCell ref="T26:T28"/>
    <mergeCell ref="N32:N34"/>
    <mergeCell ref="O32:O34"/>
    <mergeCell ref="S32:S34"/>
    <mergeCell ref="T32:T34"/>
    <mergeCell ref="U26:U28"/>
    <mergeCell ref="U32:U34"/>
    <mergeCell ref="V26:V28"/>
    <mergeCell ref="U23:U25"/>
    <mergeCell ref="V23:V25"/>
    <mergeCell ref="A26:A28"/>
    <mergeCell ref="G26:G28"/>
    <mergeCell ref="H26:H28"/>
    <mergeCell ref="I26:I28"/>
    <mergeCell ref="J26:J28"/>
    <mergeCell ref="K26:K28"/>
    <mergeCell ref="L26:L28"/>
    <mergeCell ref="M26:M28"/>
    <mergeCell ref="L23:L25"/>
    <mergeCell ref="M23:M25"/>
    <mergeCell ref="N23:N25"/>
    <mergeCell ref="O23:O25"/>
    <mergeCell ref="S23:S25"/>
    <mergeCell ref="T23:T25"/>
    <mergeCell ref="A23:A25"/>
    <mergeCell ref="G23:G25"/>
    <mergeCell ref="H23:H25"/>
    <mergeCell ref="I23:I25"/>
    <mergeCell ref="J23:J25"/>
    <mergeCell ref="K23:K25"/>
    <mergeCell ref="N26:N28"/>
    <mergeCell ref="N20:N22"/>
    <mergeCell ref="O20:O22"/>
    <mergeCell ref="S20:S22"/>
    <mergeCell ref="T20:T22"/>
    <mergeCell ref="U20:U22"/>
    <mergeCell ref="V20:V22"/>
    <mergeCell ref="U17:U19"/>
    <mergeCell ref="V17:V19"/>
    <mergeCell ref="A20:A22"/>
    <mergeCell ref="G20:G22"/>
    <mergeCell ref="H20:H22"/>
    <mergeCell ref="I20:I22"/>
    <mergeCell ref="J20:J22"/>
    <mergeCell ref="K20:K22"/>
    <mergeCell ref="L20:L22"/>
    <mergeCell ref="M20:M22"/>
    <mergeCell ref="L17:L19"/>
    <mergeCell ref="M17:M19"/>
    <mergeCell ref="N17:N19"/>
    <mergeCell ref="O17:O19"/>
    <mergeCell ref="S17:S19"/>
    <mergeCell ref="T17:T19"/>
    <mergeCell ref="A17:A19"/>
    <mergeCell ref="G17:G19"/>
    <mergeCell ref="H17:H19"/>
    <mergeCell ref="I17:I19"/>
    <mergeCell ref="J17:J19"/>
    <mergeCell ref="K17:K19"/>
    <mergeCell ref="N14:N16"/>
    <mergeCell ref="O14:O16"/>
    <mergeCell ref="S14:S16"/>
    <mergeCell ref="T14:T16"/>
    <mergeCell ref="U14:U16"/>
    <mergeCell ref="V14:V16"/>
    <mergeCell ref="U11:U13"/>
    <mergeCell ref="V11:V13"/>
    <mergeCell ref="A14:A16"/>
    <mergeCell ref="G14:G16"/>
    <mergeCell ref="H14:H16"/>
    <mergeCell ref="I14:I16"/>
    <mergeCell ref="J14:J16"/>
    <mergeCell ref="K14:K16"/>
    <mergeCell ref="L14:L16"/>
    <mergeCell ref="M14:M16"/>
    <mergeCell ref="L11:L13"/>
    <mergeCell ref="M11:M13"/>
    <mergeCell ref="N11:N13"/>
    <mergeCell ref="O11:O13"/>
    <mergeCell ref="S11:S13"/>
    <mergeCell ref="T11:T13"/>
    <mergeCell ref="A11:A13"/>
    <mergeCell ref="G11:G13"/>
    <mergeCell ref="H11:H13"/>
    <mergeCell ref="I11:I13"/>
    <mergeCell ref="J11:J13"/>
    <mergeCell ref="K11:K13"/>
    <mergeCell ref="A8:A10"/>
    <mergeCell ref="G8:G10"/>
    <mergeCell ref="H8:H10"/>
    <mergeCell ref="I8:I10"/>
    <mergeCell ref="J8:J10"/>
    <mergeCell ref="K8:K10"/>
    <mergeCell ref="L8:L10"/>
    <mergeCell ref="M8:M10"/>
    <mergeCell ref="N5:N7"/>
    <mergeCell ref="B6:C7"/>
    <mergeCell ref="E6:E7"/>
    <mergeCell ref="G6:G7"/>
    <mergeCell ref="H6:H7"/>
    <mergeCell ref="I6:I7"/>
    <mergeCell ref="A5:A7"/>
    <mergeCell ref="B5:C5"/>
    <mergeCell ref="G5:J5"/>
    <mergeCell ref="K5:K7"/>
    <mergeCell ref="L5:L7"/>
    <mergeCell ref="M5:M7"/>
    <mergeCell ref="N8:N10"/>
    <mergeCell ref="O8:O10"/>
    <mergeCell ref="S8:S10"/>
    <mergeCell ref="T8:T10"/>
    <mergeCell ref="U8:U10"/>
    <mergeCell ref="V8:V10"/>
    <mergeCell ref="T6:T7"/>
    <mergeCell ref="U6:U7"/>
    <mergeCell ref="O5:O7"/>
    <mergeCell ref="P5:P7"/>
    <mergeCell ref="S5:V5"/>
    <mergeCell ref="S6:S7"/>
  </mergeCells>
  <printOptions horizontalCentered="1"/>
  <pageMargins left="0.25" right="0.25" top="0.75" bottom="1.5" header="0.3" footer="0.3"/>
  <pageSetup paperSize="5"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E143"/>
  <sheetViews>
    <sheetView workbookViewId="0"/>
  </sheetViews>
  <sheetFormatPr defaultColWidth="9" defaultRowHeight="14.25"/>
  <cols>
    <col min="1" max="1" width="63.625" style="233" bestFit="1" customWidth="1"/>
    <col min="2" max="2" width="10" style="336" hidden="1" customWidth="1"/>
    <col min="3" max="3" width="17.5" style="236" hidden="1" customWidth="1"/>
    <col min="4" max="4" width="17.125" style="237" hidden="1" customWidth="1"/>
    <col min="5" max="5" width="18" style="236" customWidth="1"/>
    <col min="6" max="16384" width="9" style="233"/>
  </cols>
  <sheetData>
    <row r="1" spans="1:5">
      <c r="A1" s="232" t="s">
        <v>355</v>
      </c>
      <c r="B1" s="335"/>
      <c r="C1" s="232"/>
      <c r="D1" s="232"/>
      <c r="E1" s="232"/>
    </row>
    <row r="2" spans="1:5">
      <c r="A2" s="232" t="s">
        <v>400</v>
      </c>
      <c r="B2" s="335"/>
      <c r="C2" s="232"/>
      <c r="D2" s="232"/>
      <c r="E2" s="232"/>
    </row>
    <row r="3" spans="1:5">
      <c r="A3" s="232" t="s">
        <v>1162</v>
      </c>
      <c r="B3" s="335"/>
      <c r="C3" s="232"/>
      <c r="D3" s="232"/>
      <c r="E3" s="232"/>
    </row>
    <row r="4" spans="1:5">
      <c r="A4" s="234">
        <f>Account!G2</f>
        <v>45291</v>
      </c>
      <c r="B4" s="335"/>
      <c r="C4" s="232"/>
      <c r="D4" s="232"/>
      <c r="E4" s="232"/>
    </row>
    <row r="5" spans="1:5">
      <c r="A5" s="235" t="str">
        <f>IF(E5=0,,VLOOKUP((TRIM(E5)),SortCode,2,))</f>
        <v>Regional Office</v>
      </c>
      <c r="E5" s="331" t="s">
        <v>494</v>
      </c>
    </row>
    <row r="6" spans="1:5" ht="14.25" customHeight="1">
      <c r="A6" s="1457" t="s">
        <v>440</v>
      </c>
      <c r="B6" s="1460" t="s">
        <v>370</v>
      </c>
      <c r="C6" s="1461" t="s">
        <v>832</v>
      </c>
      <c r="D6" s="1463">
        <f>A4</f>
        <v>45291</v>
      </c>
      <c r="E6" s="1461" t="s">
        <v>831</v>
      </c>
    </row>
    <row r="7" spans="1:5">
      <c r="A7" s="1458"/>
      <c r="B7" s="1460"/>
      <c r="C7" s="1462"/>
      <c r="D7" s="1464"/>
      <c r="E7" s="1462"/>
    </row>
    <row r="8" spans="1:5">
      <c r="A8" s="1459"/>
      <c r="B8" s="1460"/>
      <c r="C8" s="465">
        <f>'REVGEN (1)'!E7</f>
        <v>43373</v>
      </c>
      <c r="D8" s="1465"/>
      <c r="E8" s="1466"/>
    </row>
    <row r="9" spans="1:5">
      <c r="A9" s="471" t="s">
        <v>1170</v>
      </c>
      <c r="B9" s="339"/>
      <c r="C9" s="485"/>
      <c r="D9" s="485"/>
      <c r="E9" s="485"/>
    </row>
    <row r="10" spans="1:5">
      <c r="A10" s="473" t="s">
        <v>829</v>
      </c>
      <c r="B10" s="339"/>
      <c r="C10" s="474">
        <f>C11+C12</f>
        <v>0</v>
      </c>
      <c r="D10" s="474">
        <f>D11+D12</f>
        <v>0</v>
      </c>
      <c r="E10" s="474">
        <f>E11+E12</f>
        <v>0</v>
      </c>
    </row>
    <row r="11" spans="1:5">
      <c r="A11" s="475" t="s">
        <v>821</v>
      </c>
      <c r="B11" s="339" t="s">
        <v>125</v>
      </c>
      <c r="C11" s="466">
        <f t="array" ref="C11">((SUM(IF((CkDJ[Sort Code]=(TRIM(E$5)))*(CkDJ[Account Code]=(TRIM($B11)))*(CkDJ[Date]&lt;=$C$8),CkDJ[Credit])))+(SUM(IF((CsDJ[Sort Code]=(TRIM(E$5)))*(CsDJ[Account Code]=(TRIM($B11)))*(CsDJ[Date]&lt;=$C$8),CsDJ[Credit])))+(SUM(IF((CRDJ[Sort Code]=(TRIM(E$5)))*(CRDJ[Account Code]=(TRIM($B11)))*(CRDJ[Date]&lt;=$C$8),CRDJ[Credit])))+(SUM(IF((GJ[Sort Code]=(TRIM(E$5)))*(GJ[Account Code]=(TRIM($B11)))*(GJ[Date]&lt;=$C$8),GJ[Credit]))))-((SUM(IF((CkDJ[Sort Code]=(TRIM(E$5)))*(CkDJ[Account Code]=(TRIM($B11)))*(CkDJ[Date]&lt;=$C$8),CkDJ[Debit])))+(SUM(IF((CsDJ[Sort Code]=(TRIM(E$5)))*(CsDJ[Account Code]=(TRIM($B11)))*(CsDJ[Date]&lt;=$C$8),CsDJ[Debit])))+(SUM(IF((CRDJ[Sort Code]=(TRIM(E$5)))*(CRDJ[Account Code]=(TRIM($B11)))*(CRDJ[Date]&lt;=$C$8),CRDJ[Debit])))+(SUM(IF((GJ[Sort Code]=(TRIM(E$5)))*(GJ[Account Code]=(TRIM($B11)))*(GJ[Date]&lt;=$C$8),GJ[Debit]))))</f>
        <v>0</v>
      </c>
      <c r="D11" s="466">
        <f t="array" ref="D11">((SUM(IF((CkDJ[Date]=$A$4)*(CkDJ[Sort Code]=(TRIM(E$5)))*(CkDJ[Account Code]=(TRIM($B11))),CkDJ[Credit])))+(SUM(IF((CsDJ[Date]=$A$4)*(CsDJ[Sort Code]=(TRIM(E$5)))*(CsDJ[Account Code]=(TRIM($B11))),CsDJ[Credit])))+(SUM(IF((CRDJ[Date]=$A$4)*(CRDJ[Sort Code]=(TRIM(E$5)))*(CRDJ[Account Code]=(TRIM($B11))),CRDJ[Credit])))+(SUM(IF((GJ[Date]=$A$4)*(GJ[Sort Code]=(TRIM(E$5)))*(GJ[Account Code]=(TRIM($B11))),GJ[Credit]))))-((SUM(IF((CkDJ[Date]=$A$4)*(CkDJ[Sort Code]=(TRIM(E$5)))*(CkDJ[Account Code]=(TRIM($B11))),CkDJ[Debit])))+(SUM(IF((CsDJ[Date]=$A$4)*(CsDJ[Sort Code]=(TRIM(E$5)))*(CsDJ[Account Code]=(TRIM($B11))),CsDJ[Debit])))+(SUM(IF((CRDJ[Date]=$A$4)*(CRDJ[Sort Code]=(TRIM(E$5)))*(CRDJ[Account Code]=(TRIM($B11))),CRDJ[Debit])))+(SUM(IF((GJ[Date]=$A$4)*(GJ[Sort Code]=(TRIM(E$5)))*(GJ[Account Code]=(TRIM($B11))),GJ[Debit]))))</f>
        <v>0</v>
      </c>
      <c r="E11" s="467">
        <f>C11+D11</f>
        <v>0</v>
      </c>
    </row>
    <row r="12" spans="1:5">
      <c r="A12" s="475" t="s">
        <v>820</v>
      </c>
      <c r="B12" s="339"/>
      <c r="C12" s="466">
        <f>SUM(C13:C15)</f>
        <v>0</v>
      </c>
      <c r="D12" s="466">
        <f>SUM(D13:D15)</f>
        <v>0</v>
      </c>
      <c r="E12" s="467">
        <f>SUM(E13:E15)</f>
        <v>0</v>
      </c>
    </row>
    <row r="13" spans="1:5">
      <c r="A13" s="476" t="s">
        <v>809</v>
      </c>
      <c r="B13" s="339" t="s">
        <v>126</v>
      </c>
      <c r="C13" s="466">
        <f t="array" ref="C13">((SUM(IF((CkDJ[Sort Code]=(TRIM(E$5)))*(CkDJ[Account Code]=(TRIM($B13)))*(CkDJ[Date]&lt;=$C$8),CkDJ[Credit])))+(SUM(IF((CsDJ[Sort Code]=(TRIM(E$5)))*(CsDJ[Account Code]=(TRIM($B13)))*(CsDJ[Date]&lt;=$C$8),CsDJ[Credit])))+(SUM(IF((CRDJ[Sort Code]=(TRIM(E$5)))*(CRDJ[Account Code]=(TRIM($B13)))*(CRDJ[Date]&lt;=$C$8),CRDJ[Credit])))+(SUM(IF((GJ[Sort Code]=(TRIM(E$5)))*(GJ[Account Code]=(TRIM($B13)))*(GJ[Date]&lt;=$C$8),GJ[Credit]))))-((SUM(IF((CkDJ[Sort Code]=(TRIM(E$5)))*(CkDJ[Account Code]=(TRIM($B13)))*(CkDJ[Date]&lt;=$C$8),CkDJ[Debit])))+(SUM(IF((CsDJ[Sort Code]=(TRIM(E$5)))*(CsDJ[Account Code]=(TRIM($B13)))*(CsDJ[Date]&lt;=$C$8),CsDJ[Debit])))+(SUM(IF((CRDJ[Sort Code]=(TRIM(E$5)))*(CRDJ[Account Code]=(TRIM($B13)))*(CRDJ[Date]&lt;=$C$8),CRDJ[Debit])))+(SUM(IF((GJ[Sort Code]=(TRIM(E$5)))*(GJ[Account Code]=(TRIM($B13)))*(GJ[Date]&lt;=$C$8),GJ[Debit]))))</f>
        <v>0</v>
      </c>
      <c r="D13" s="466">
        <f t="array" ref="D13">((SUM(IF((CkDJ[Date]=$A$4)*(CkDJ[Sort Code]=(TRIM(E$5)))*(CkDJ[Account Code]=(TRIM($B13))),CkDJ[Credit])))+(SUM(IF((CsDJ[Date]=$A$4)*(CsDJ[Sort Code]=(TRIM(E$5)))*(CsDJ[Account Code]=(TRIM($B13))),CsDJ[Credit])))+(SUM(IF((CRDJ[Date]=$A$4)*(CRDJ[Sort Code]=(TRIM(E$5)))*(CRDJ[Account Code]=(TRIM($B13))),CRDJ[Credit])))+(SUM(IF((GJ[Date]=$A$4)*(GJ[Sort Code]=(TRIM(E$5)))*(GJ[Account Code]=(TRIM($B13))),GJ[Credit]))))-((SUM(IF((CkDJ[Date]=$A$4)*(CkDJ[Sort Code]=(TRIM(E$5)))*(CkDJ[Account Code]=(TRIM($B13))),CkDJ[Debit])))+(SUM(IF((CsDJ[Date]=$A$4)*(CsDJ[Sort Code]=(TRIM(E$5)))*(CsDJ[Account Code]=(TRIM($B13))),CsDJ[Debit])))+(SUM(IF((CRDJ[Date]=$A$4)*(CRDJ[Sort Code]=(TRIM(E$5)))*(CRDJ[Account Code]=(TRIM($B13))),CRDJ[Debit])))+(SUM(IF((GJ[Date]=$A$4)*(GJ[Sort Code]=(TRIM(E$5)))*(GJ[Account Code]=(TRIM($B13))),GJ[Debit]))))</f>
        <v>0</v>
      </c>
      <c r="E13" s="467">
        <f>C13+D13</f>
        <v>0</v>
      </c>
    </row>
    <row r="14" spans="1:5">
      <c r="A14" s="476" t="s">
        <v>828</v>
      </c>
      <c r="B14" s="339" t="s">
        <v>721</v>
      </c>
      <c r="C14" s="466">
        <f t="array" ref="C14">((SUM(IF((CkDJ[Sort Code]=(TRIM(E$5)))*(CkDJ[Account Code]=(TRIM($B14)))*(CkDJ[Date]&lt;=$C$8),CkDJ[Credit])))+(SUM(IF((CsDJ[Sort Code]=(TRIM(E$5)))*(CsDJ[Account Code]=(TRIM($B14)))*(CsDJ[Date]&lt;=$C$8),CsDJ[Credit])))+(SUM(IF((CRDJ[Sort Code]=(TRIM(E$5)))*(CRDJ[Account Code]=(TRIM($B14)))*(CRDJ[Date]&lt;=$C$8),CRDJ[Credit])))+(SUM(IF((GJ[Sort Code]=(TRIM(E$5)))*(GJ[Account Code]=(TRIM($B14)))*(GJ[Date]&lt;=$C$8),GJ[Credit]))))-((SUM(IF((CkDJ[Sort Code]=(TRIM(E$5)))*(CkDJ[Account Code]=(TRIM($B14)))*(CkDJ[Date]&lt;=$C$8),CkDJ[Debit])))+(SUM(IF((CsDJ[Sort Code]=(TRIM(E$5)))*(CsDJ[Account Code]=(TRIM($B14)))*(CsDJ[Date]&lt;=$C$8),CsDJ[Debit])))+(SUM(IF((CRDJ[Sort Code]=(TRIM(E$5)))*(CRDJ[Account Code]=(TRIM($B14)))*(CRDJ[Date]&lt;=$C$8),CRDJ[Debit])))+(SUM(IF((GJ[Sort Code]=(TRIM(E$5)))*(GJ[Account Code]=(TRIM($B14)))*(GJ[Date]&lt;=$C$8),GJ[Debit]))))</f>
        <v>0</v>
      </c>
      <c r="D14" s="466">
        <f t="array" ref="D14">((SUM(IF((CkDJ[Date]=$A$4)*(CkDJ[Sort Code]=(TRIM(E$5)))*(CkDJ[Account Code]=(TRIM($B14))),CkDJ[Credit])))+(SUM(IF((CsDJ[Date]=$A$4)*(CsDJ[Sort Code]=(TRIM(E$5)))*(CsDJ[Account Code]=(TRIM($B14))),CsDJ[Credit])))+(SUM(IF((CRDJ[Date]=$A$4)*(CRDJ[Sort Code]=(TRIM(E$5)))*(CRDJ[Account Code]=(TRIM($B14))),CRDJ[Credit])))+(SUM(IF((GJ[Date]=$A$4)*(GJ[Sort Code]=(TRIM(E$5)))*(GJ[Account Code]=(TRIM($B14))),GJ[Credit]))))-((SUM(IF((CkDJ[Date]=$A$4)*(CkDJ[Sort Code]=(TRIM(E$5)))*(CkDJ[Account Code]=(TRIM($B14))),CkDJ[Debit])))+(SUM(IF((CsDJ[Date]=$A$4)*(CsDJ[Sort Code]=(TRIM(E$5)))*(CsDJ[Account Code]=(TRIM($B14))),CsDJ[Debit])))+(SUM(IF((CRDJ[Date]=$A$4)*(CRDJ[Sort Code]=(TRIM(E$5)))*(CRDJ[Account Code]=(TRIM($B14))),CRDJ[Debit])))+(SUM(IF((GJ[Date]=$A$4)*(GJ[Sort Code]=(TRIM(E$5)))*(GJ[Account Code]=(TRIM($B14))),GJ[Debit]))))</f>
        <v>0</v>
      </c>
      <c r="E14" s="467">
        <f>C14+D14</f>
        <v>0</v>
      </c>
    </row>
    <row r="15" spans="1:5">
      <c r="A15" s="476" t="s">
        <v>827</v>
      </c>
      <c r="B15" s="339" t="s">
        <v>143</v>
      </c>
      <c r="C15" s="466">
        <f t="array" ref="C15">((SUM(IF((CkDJ[Sort Code]=(TRIM(E$5)))*(CkDJ[Account Code]=(TRIM($B15)))*(CkDJ[Date]&lt;=$C$8),CkDJ[Credit])))+(SUM(IF((CsDJ[Sort Code]=(TRIM(E$5)))*(CsDJ[Account Code]=(TRIM($B15)))*(CsDJ[Date]&lt;=$C$8),CsDJ[Credit])))+(SUM(IF((CRDJ[Sort Code]=(TRIM(E$5)))*(CRDJ[Account Code]=(TRIM($B15)))*(CRDJ[Date]&lt;=$C$8),CRDJ[Credit])))+(SUM(IF((GJ[Sort Code]=(TRIM(E$5)))*(GJ[Account Code]=(TRIM($B15)))*(GJ[Date]&lt;=$C$8),GJ[Credit]))))-((SUM(IF((CkDJ[Sort Code]=(TRIM(E$5)))*(CkDJ[Account Code]=(TRIM($B15)))*(CkDJ[Date]&lt;=$C$8),CkDJ[Debit])))+(SUM(IF((CsDJ[Sort Code]=(TRIM(E$5)))*(CsDJ[Account Code]=(TRIM($B15)))*(CsDJ[Date]&lt;=$C$8),CsDJ[Debit])))+(SUM(IF((CRDJ[Sort Code]=(TRIM(E$5)))*(CRDJ[Account Code]=(TRIM($B15)))*(CRDJ[Date]&lt;=$C$8),CRDJ[Debit])))+(SUM(IF((GJ[Sort Code]=(TRIM(E$5)))*(GJ[Account Code]=(TRIM($B15)))*(GJ[Date]&lt;=$C$8),GJ[Debit]))))</f>
        <v>0</v>
      </c>
      <c r="D15" s="466">
        <f t="array" ref="D15">((SUM(IF((CkDJ[Date]=$A$4)*(CkDJ[Sort Code]=(TRIM(E$5)))*(CkDJ[Account Code]=(TRIM($B15))),CkDJ[Credit])))+(SUM(IF((CsDJ[Date]=$A$4)*(CsDJ[Sort Code]=(TRIM(E$5)))*(CsDJ[Account Code]=(TRIM($B15))),CsDJ[Credit])))+(SUM(IF((CRDJ[Date]=$A$4)*(CRDJ[Sort Code]=(TRIM(E$5)))*(CRDJ[Account Code]=(TRIM($B15))),CRDJ[Credit])))+(SUM(IF((GJ[Date]=$A$4)*(GJ[Sort Code]=(TRIM(E$5)))*(GJ[Account Code]=(TRIM($B15))),GJ[Credit]))))-((SUM(IF((CkDJ[Date]=$A$4)*(CkDJ[Sort Code]=(TRIM(E$5)))*(CkDJ[Account Code]=(TRIM($B15))),CkDJ[Debit])))+(SUM(IF((CsDJ[Date]=$A$4)*(CsDJ[Sort Code]=(TRIM(E$5)))*(CsDJ[Account Code]=(TRIM($B15))),CsDJ[Debit])))+(SUM(IF((CRDJ[Date]=$A$4)*(CRDJ[Sort Code]=(TRIM(E$5)))*(CRDJ[Account Code]=(TRIM($B15))),CRDJ[Debit])))+(SUM(IF((GJ[Date]=$A$4)*(GJ[Sort Code]=(TRIM(E$5)))*(GJ[Account Code]=(TRIM($B15))),GJ[Debit]))))</f>
        <v>0</v>
      </c>
      <c r="E15" s="467">
        <f>C15+D15</f>
        <v>0</v>
      </c>
    </row>
    <row r="16" spans="1:5">
      <c r="A16" s="473" t="s">
        <v>826</v>
      </c>
      <c r="B16" s="339"/>
      <c r="C16" s="477">
        <f>SUM(C17:C19)</f>
        <v>0</v>
      </c>
      <c r="D16" s="477">
        <f>SUM(D17:D19)</f>
        <v>0</v>
      </c>
      <c r="E16" s="477">
        <f>SUM(E17:E19)</f>
        <v>0</v>
      </c>
    </row>
    <row r="17" spans="1:5">
      <c r="A17" s="475" t="s">
        <v>182</v>
      </c>
      <c r="B17" s="339" t="s">
        <v>146</v>
      </c>
      <c r="C17" s="466">
        <f t="array" ref="C17">((SUM(IF((CkDJ[Sort Code]=(TRIM(E$5)))*(CkDJ[Account Code]=(TRIM($B17)))*(CkDJ[Date]&lt;=$C$8),CkDJ[Credit])))+(SUM(IF((CsDJ[Sort Code]=(TRIM(E$5)))*(CsDJ[Account Code]=(TRIM($B17)))*(CsDJ[Date]&lt;=$C$8),CsDJ[Credit])))+(SUM(IF((CRDJ[Sort Code]=(TRIM(E$5)))*(CRDJ[Account Code]=(TRIM($B17)))*(CRDJ[Date]&lt;=$C$8),CRDJ[Credit])))+(SUM(IF((GJ[Sort Code]=(TRIM(E$5)))*(GJ[Account Code]=(TRIM($B17)))*(GJ[Date]&lt;=$C$8),GJ[Credit]))))-((SUM(IF((CkDJ[Sort Code]=(TRIM(E$5)))*(CkDJ[Account Code]=(TRIM($B17)))*(CkDJ[Date]&lt;=$C$8),CkDJ[Debit])))+(SUM(IF((CsDJ[Sort Code]=(TRIM(E$5)))*(CsDJ[Account Code]=(TRIM($B17)))*(CsDJ[Date]&lt;=$C$8),CsDJ[Debit])))+(SUM(IF((CRDJ[Sort Code]=(TRIM(E$5)))*(CRDJ[Account Code]=(TRIM($B17)))*(CRDJ[Date]&lt;=$C$8),CRDJ[Debit])))+(SUM(IF((GJ[Sort Code]=(TRIM(E$5)))*(GJ[Account Code]=(TRIM($B17)))*(GJ[Date]&lt;=$C$8),GJ[Debit]))))</f>
        <v>0</v>
      </c>
      <c r="D17" s="466">
        <f t="array" ref="D17">((SUM(IF((CkDJ[Date]=$A$4)*(CkDJ[Sort Code]=(TRIM(E$5)))*(CkDJ[Account Code]=(TRIM($B17))),CkDJ[Credit])))+(SUM(IF((CsDJ[Date]=$A$4)*(CsDJ[Sort Code]=(TRIM(E$5)))*(CsDJ[Account Code]=(TRIM($B17))),CsDJ[Credit])))+(SUM(IF((CRDJ[Date]=$A$4)*(CRDJ[Sort Code]=(TRIM(E$5)))*(CRDJ[Account Code]=(TRIM($B17))),CRDJ[Credit])))+(SUM(IF((GJ[Date]=$A$4)*(GJ[Sort Code]=(TRIM(E$5)))*(GJ[Account Code]=(TRIM($B17))),GJ[Credit]))))-((SUM(IF((CkDJ[Date]=$A$4)*(CkDJ[Sort Code]=(TRIM(E$5)))*(CkDJ[Account Code]=(TRIM($B17))),CkDJ[Debit])))+(SUM(IF((CsDJ[Date]=$A$4)*(CsDJ[Sort Code]=(TRIM(E$5)))*(CsDJ[Account Code]=(TRIM($B17))),CsDJ[Debit])))+(SUM(IF((CRDJ[Date]=$A$4)*(CRDJ[Sort Code]=(TRIM(E$5)))*(CRDJ[Account Code]=(TRIM($B17))),CRDJ[Debit])))+(SUM(IF((GJ[Date]=$A$4)*(GJ[Sort Code]=(TRIM(E$5)))*(GJ[Account Code]=(TRIM($B17))),GJ[Debit]))))</f>
        <v>0</v>
      </c>
      <c r="E17" s="467">
        <f>C17+D17</f>
        <v>0</v>
      </c>
    </row>
    <row r="18" spans="1:5">
      <c r="A18" s="475" t="s">
        <v>183</v>
      </c>
      <c r="B18" s="339" t="s">
        <v>147</v>
      </c>
      <c r="C18" s="466">
        <f t="array" ref="C18">((SUM(IF((CkDJ[Sort Code]=(TRIM(E$5)))*(CkDJ[Account Code]=(TRIM($B18)))*(CkDJ[Date]&lt;=$C$8),CkDJ[Credit])))+(SUM(IF((CsDJ[Sort Code]=(TRIM(E$5)))*(CsDJ[Account Code]=(TRIM($B18)))*(CsDJ[Date]&lt;=$C$8),CsDJ[Credit])))+(SUM(IF((CRDJ[Sort Code]=(TRIM(E$5)))*(CRDJ[Account Code]=(TRIM($B18)))*(CRDJ[Date]&lt;=$C$8),CRDJ[Credit])))+(SUM(IF((GJ[Sort Code]=(TRIM(E$5)))*(GJ[Account Code]=(TRIM($B18)))*(GJ[Date]&lt;=$C$8),GJ[Credit]))))-((SUM(IF((CkDJ[Sort Code]=(TRIM(E$5)))*(CkDJ[Account Code]=(TRIM($B18)))*(CkDJ[Date]&lt;=$C$8),CkDJ[Debit])))+(SUM(IF((CsDJ[Sort Code]=(TRIM(E$5)))*(CsDJ[Account Code]=(TRIM($B18)))*(CsDJ[Date]&lt;=$C$8),CsDJ[Debit])))+(SUM(IF((CRDJ[Sort Code]=(TRIM(E$5)))*(CRDJ[Account Code]=(TRIM($B18)))*(CRDJ[Date]&lt;=$C$8),CRDJ[Debit])))+(SUM(IF((GJ[Sort Code]=(TRIM(E$5)))*(GJ[Account Code]=(TRIM($B18)))*(GJ[Date]&lt;=$C$8),GJ[Debit]))))</f>
        <v>0</v>
      </c>
      <c r="D18" s="466">
        <f t="array" ref="D18">((SUM(IF((CkDJ[Date]=$A$4)*(CkDJ[Sort Code]=(TRIM(E$5)))*(CkDJ[Account Code]=(TRIM($B18))),CkDJ[Credit])))+(SUM(IF((CsDJ[Date]=$A$4)*(CsDJ[Sort Code]=(TRIM(E$5)))*(CsDJ[Account Code]=(TRIM($B18))),CsDJ[Credit])))+(SUM(IF((CRDJ[Date]=$A$4)*(CRDJ[Sort Code]=(TRIM(E$5)))*(CRDJ[Account Code]=(TRIM($B18))),CRDJ[Credit])))+(SUM(IF((GJ[Date]=$A$4)*(GJ[Sort Code]=(TRIM(E$5)))*(GJ[Account Code]=(TRIM($B18))),GJ[Credit]))))-((SUM(IF((CkDJ[Date]=$A$4)*(CkDJ[Sort Code]=(TRIM(E$5)))*(CkDJ[Account Code]=(TRIM($B18))),CkDJ[Debit])))+(SUM(IF((CsDJ[Date]=$A$4)*(CsDJ[Sort Code]=(TRIM(E$5)))*(CsDJ[Account Code]=(TRIM($B18))),CsDJ[Debit])))+(SUM(IF((CRDJ[Date]=$A$4)*(CRDJ[Sort Code]=(TRIM(E$5)))*(CRDJ[Account Code]=(TRIM($B18))),CRDJ[Debit])))+(SUM(IF((GJ[Date]=$A$4)*(GJ[Sort Code]=(TRIM(E$5)))*(GJ[Account Code]=(TRIM($B18))),GJ[Debit]))))</f>
        <v>0</v>
      </c>
      <c r="E18" s="467">
        <f>C18+D18</f>
        <v>0</v>
      </c>
    </row>
    <row r="19" spans="1:5" hidden="1">
      <c r="A19" s="475" t="s">
        <v>184</v>
      </c>
      <c r="B19" s="339" t="s">
        <v>148</v>
      </c>
      <c r="C19" s="466">
        <f t="array" ref="C19">((SUM(IF((CkDJ[Sort Code]=(TRIM(E$5)))*(CkDJ[Account Code]=(TRIM($B19)))*(CkDJ[Date]&lt;=$C$8),CkDJ[Credit])))+(SUM(IF((CsDJ[Sort Code]=(TRIM(E$5)))*(CsDJ[Account Code]=(TRIM($B19)))*(CsDJ[Date]&lt;=$C$8),CsDJ[Credit])))+(SUM(IF((CRDJ[Sort Code]=(TRIM(E$5)))*(CRDJ[Account Code]=(TRIM($B19)))*(CRDJ[Date]&lt;=$C$8),CRDJ[Credit])))+(SUM(IF((GJ[Sort Code]=(TRIM(E$5)))*(GJ[Account Code]=(TRIM($B19)))*(GJ[Date]&lt;=$C$8),GJ[Credit]))))-((SUM(IF((CkDJ[Sort Code]=(TRIM(E$5)))*(CkDJ[Account Code]=(TRIM($B19)))*(CkDJ[Date]&lt;=$C$8),CkDJ[Debit])))+(SUM(IF((CsDJ[Sort Code]=(TRIM(E$5)))*(CsDJ[Account Code]=(TRIM($B19)))*(CsDJ[Date]&lt;=$C$8),CsDJ[Debit])))+(SUM(IF((CRDJ[Sort Code]=(TRIM(E$5)))*(CRDJ[Account Code]=(TRIM($B19)))*(CRDJ[Date]&lt;=$C$8),CRDJ[Debit])))+(SUM(IF((GJ[Sort Code]=(TRIM(E$5)))*(GJ[Account Code]=(TRIM($B19)))*(GJ[Date]&lt;=$C$8),GJ[Debit]))))</f>
        <v>0</v>
      </c>
      <c r="D19" s="466">
        <f t="array" ref="D19">((SUM(IF((CkDJ[Date]=$A$4)*(CkDJ[Sort Code]=(TRIM(E$5)))*(CkDJ[Account Code]=(TRIM($B19))),CkDJ[Credit])))+(SUM(IF((CsDJ[Date]=$A$4)*(CsDJ[Sort Code]=(TRIM(E$5)))*(CsDJ[Account Code]=(TRIM($B19))),CsDJ[Credit])))+(SUM(IF((CRDJ[Date]=$A$4)*(CRDJ[Sort Code]=(TRIM(E$5)))*(CRDJ[Account Code]=(TRIM($B19))),CRDJ[Credit])))+(SUM(IF((GJ[Date]=$A$4)*(GJ[Sort Code]=(TRIM(E$5)))*(GJ[Account Code]=(TRIM($B19))),GJ[Credit]))))-((SUM(IF((CkDJ[Date]=$A$4)*(CkDJ[Sort Code]=(TRIM(E$5)))*(CkDJ[Account Code]=(TRIM($B19))),CkDJ[Debit])))+(SUM(IF((CsDJ[Date]=$A$4)*(CsDJ[Sort Code]=(TRIM(E$5)))*(CsDJ[Account Code]=(TRIM($B19))),CsDJ[Debit])))+(SUM(IF((CRDJ[Date]=$A$4)*(CRDJ[Sort Code]=(TRIM(E$5)))*(CRDJ[Account Code]=(TRIM($B19))),CRDJ[Debit])))+(SUM(IF((GJ[Date]=$A$4)*(GJ[Sort Code]=(TRIM(E$5)))*(GJ[Account Code]=(TRIM($B19))),GJ[Debit]))))</f>
        <v>0</v>
      </c>
      <c r="E19" s="467">
        <f>C19+D19</f>
        <v>0</v>
      </c>
    </row>
    <row r="20" spans="1:5">
      <c r="A20" s="473" t="s">
        <v>825</v>
      </c>
      <c r="B20" s="339"/>
      <c r="C20" s="477">
        <f>SUM(C21:C22)</f>
        <v>0</v>
      </c>
      <c r="D20" s="477">
        <f>SUM(D21:D22)</f>
        <v>0</v>
      </c>
      <c r="E20" s="477">
        <f>SUM(E21:E22)</f>
        <v>0</v>
      </c>
    </row>
    <row r="21" spans="1:5" hidden="1">
      <c r="A21" s="475" t="s">
        <v>821</v>
      </c>
      <c r="B21" s="339" t="s">
        <v>131</v>
      </c>
      <c r="C21" s="466">
        <f t="array" ref="C21">((SUM(IF((CkDJ[Sort Code]=(TRIM(E$5)))*(CkDJ[Account Code]=(TRIM($B21)))*(CkDJ[Date]&lt;=$C$8),CkDJ[Credit])))+(SUM(IF((CsDJ[Sort Code]=(TRIM(E$5)))*(CsDJ[Account Code]=(TRIM($B21)))*(CsDJ[Date]&lt;=$C$8),CsDJ[Credit])))+(SUM(IF((CRDJ[Sort Code]=(TRIM(E$5)))*(CRDJ[Account Code]=(TRIM($B21)))*(CRDJ[Date]&lt;=$C$8),CRDJ[Credit])))+(SUM(IF((GJ[Sort Code]=(TRIM(E$5)))*(GJ[Account Code]=(TRIM($B21)))*(GJ[Date]&lt;=$C$8),GJ[Credit]))))-((SUM(IF((CkDJ[Sort Code]=(TRIM(E$5)))*(CkDJ[Account Code]=(TRIM($B21)))*(CkDJ[Date]&lt;=$C$8),CkDJ[Debit])))+(SUM(IF((CsDJ[Sort Code]=(TRIM(E$5)))*(CsDJ[Account Code]=(TRIM($B21)))*(CsDJ[Date]&lt;=$C$8),CsDJ[Debit])))+(SUM(IF((CRDJ[Sort Code]=(TRIM(E$5)))*(CRDJ[Account Code]=(TRIM($B21)))*(CRDJ[Date]&lt;=$C$8),CRDJ[Debit])))+(SUM(IF((GJ[Sort Code]=(TRIM(E$5)))*(GJ[Account Code]=(TRIM($B21)))*(GJ[Date]&lt;=$C$8),GJ[Debit]))))</f>
        <v>0</v>
      </c>
      <c r="D21" s="466">
        <f t="array" ref="D21">((SUM(IF((CkDJ[Date]=$A$4)*(CkDJ[Sort Code]=(TRIM(E$5)))*(CkDJ[Account Code]=(TRIM($B21))),CkDJ[Credit])))+(SUM(IF((CsDJ[Date]=$A$4)*(CsDJ[Sort Code]=(TRIM(E$5)))*(CsDJ[Account Code]=(TRIM($B21))),CsDJ[Credit])))+(SUM(IF((CRDJ[Date]=$A$4)*(CRDJ[Sort Code]=(TRIM(E$5)))*(CRDJ[Account Code]=(TRIM($B21))),CRDJ[Credit])))+(SUM(IF((GJ[Date]=$A$4)*(GJ[Sort Code]=(TRIM(E$5)))*(GJ[Account Code]=(TRIM($B21))),GJ[Credit]))))-((SUM(IF((CkDJ[Date]=$A$4)*(CkDJ[Sort Code]=(TRIM(E$5)))*(CkDJ[Account Code]=(TRIM($B21))),CkDJ[Debit])))+(SUM(IF((CsDJ[Date]=$A$4)*(CsDJ[Sort Code]=(TRIM(E$5)))*(CsDJ[Account Code]=(TRIM($B21))),CsDJ[Debit])))+(SUM(IF((CRDJ[Date]=$A$4)*(CRDJ[Sort Code]=(TRIM(E$5)))*(CRDJ[Account Code]=(TRIM($B21))),CRDJ[Debit])))+(SUM(IF((GJ[Date]=$A$4)*(GJ[Sort Code]=(TRIM(E$5)))*(GJ[Account Code]=(TRIM($B21))),GJ[Debit]))))</f>
        <v>0</v>
      </c>
      <c r="E21" s="467">
        <f>C21+D21</f>
        <v>0</v>
      </c>
    </row>
    <row r="22" spans="1:5" hidden="1">
      <c r="A22" s="475" t="s">
        <v>820</v>
      </c>
      <c r="B22" s="339"/>
      <c r="C22" s="466">
        <f>SUM(C23:C24)</f>
        <v>0</v>
      </c>
      <c r="D22" s="466">
        <f>SUM(D23:D24)</f>
        <v>0</v>
      </c>
      <c r="E22" s="466">
        <f>SUM(E23:E24)</f>
        <v>0</v>
      </c>
    </row>
    <row r="23" spans="1:5" hidden="1">
      <c r="A23" s="476" t="s">
        <v>819</v>
      </c>
      <c r="B23" s="339" t="s">
        <v>140</v>
      </c>
      <c r="C23" s="466">
        <f t="array" ref="C23">((SUM(IF((CkDJ[Sort Code]=(TRIM(E$5)))*(CkDJ[Account Code]=(TRIM($B23)))*(CkDJ[Date]&lt;=$C$8),CkDJ[Credit])))+(SUM(IF((CsDJ[Sort Code]=(TRIM(E$5)))*(CsDJ[Account Code]=(TRIM($B23)))*(CsDJ[Date]&lt;=$C$8),CsDJ[Credit])))+(SUM(IF((CRDJ[Sort Code]=(TRIM(E$5)))*(CRDJ[Account Code]=(TRIM($B23)))*(CRDJ[Date]&lt;=$C$8),CRDJ[Credit])))+(SUM(IF((GJ[Sort Code]=(TRIM(E$5)))*(GJ[Account Code]=(TRIM($B23)))*(GJ[Date]&lt;=$C$8),GJ[Credit]))))-((SUM(IF((CkDJ[Sort Code]=(TRIM(E$5)))*(CkDJ[Account Code]=(TRIM($B23)))*(CkDJ[Date]&lt;=$C$8),CkDJ[Debit])))+(SUM(IF((CsDJ[Sort Code]=(TRIM(E$5)))*(CsDJ[Account Code]=(TRIM($B23)))*(CsDJ[Date]&lt;=$C$8),CsDJ[Debit])))+(SUM(IF((CRDJ[Sort Code]=(TRIM(E$5)))*(CRDJ[Account Code]=(TRIM($B23)))*(CRDJ[Date]&lt;=$C$8),CRDJ[Debit])))+(SUM(IF((GJ[Sort Code]=(TRIM(E$5)))*(GJ[Account Code]=(TRIM($B23)))*(GJ[Date]&lt;=$C$8),GJ[Debit]))))</f>
        <v>0</v>
      </c>
      <c r="D23" s="466">
        <f t="array" ref="D23">((SUM(IF((CkDJ[Date]=$A$4)*(CkDJ[Sort Code]=(TRIM(E$5)))*(CkDJ[Account Code]=(TRIM($B23))),CkDJ[Credit])))+(SUM(IF((CsDJ[Date]=$A$4)*(CsDJ[Sort Code]=(TRIM(E$5)))*(CsDJ[Account Code]=(TRIM($B23))),CsDJ[Credit])))+(SUM(IF((CRDJ[Date]=$A$4)*(CRDJ[Sort Code]=(TRIM(E$5)))*(CRDJ[Account Code]=(TRIM($B23))),CRDJ[Credit])))+(SUM(IF((GJ[Date]=$A$4)*(GJ[Sort Code]=(TRIM(E$5)))*(GJ[Account Code]=(TRIM($B23))),GJ[Credit]))))-((SUM(IF((CkDJ[Date]=$A$4)*(CkDJ[Sort Code]=(TRIM(E$5)))*(CkDJ[Account Code]=(TRIM($B23))),CkDJ[Debit])))+(SUM(IF((CsDJ[Date]=$A$4)*(CsDJ[Sort Code]=(TRIM(E$5)))*(CsDJ[Account Code]=(TRIM($B23))),CsDJ[Debit])))+(SUM(IF((CRDJ[Date]=$A$4)*(CRDJ[Sort Code]=(TRIM(E$5)))*(CRDJ[Account Code]=(TRIM($B23))),CRDJ[Debit])))+(SUM(IF((GJ[Date]=$A$4)*(GJ[Sort Code]=(TRIM(E$5)))*(GJ[Account Code]=(TRIM($B23))),GJ[Debit]))))</f>
        <v>0</v>
      </c>
      <c r="E23" s="467">
        <f>C23+D23</f>
        <v>0</v>
      </c>
    </row>
    <row r="24" spans="1:5" hidden="1">
      <c r="A24" s="476" t="s">
        <v>818</v>
      </c>
      <c r="B24" s="339" t="s">
        <v>144</v>
      </c>
      <c r="C24" s="466">
        <f t="array" ref="C24">((SUM(IF((CkDJ[Sort Code]=(TRIM(E$5)))*(CkDJ[Account Code]=(TRIM($B24)))*(CkDJ[Date]&lt;=$C$8),CkDJ[Credit])))+(SUM(IF((CsDJ[Sort Code]=(TRIM(E$5)))*(CsDJ[Account Code]=(TRIM($B24)))*(CsDJ[Date]&lt;=$C$8),CsDJ[Credit])))+(SUM(IF((CRDJ[Sort Code]=(TRIM(E$5)))*(CRDJ[Account Code]=(TRIM($B24)))*(CRDJ[Date]&lt;=$C$8),CRDJ[Credit])))+(SUM(IF((GJ[Sort Code]=(TRIM(E$5)))*(GJ[Account Code]=(TRIM($B24)))*(GJ[Date]&lt;=$C$8),GJ[Credit]))))-((SUM(IF((CkDJ[Sort Code]=(TRIM(E$5)))*(CkDJ[Account Code]=(TRIM($B24)))*(CkDJ[Date]&lt;=$C$8),CkDJ[Debit])))+(SUM(IF((CsDJ[Sort Code]=(TRIM(E$5)))*(CsDJ[Account Code]=(TRIM($B24)))*(CsDJ[Date]&lt;=$C$8),CsDJ[Debit])))+(SUM(IF((CRDJ[Sort Code]=(TRIM(E$5)))*(CRDJ[Account Code]=(TRIM($B24)))*(CRDJ[Date]&lt;=$C$8),CRDJ[Debit])))+(SUM(IF((GJ[Sort Code]=(TRIM(E$5)))*(GJ[Account Code]=(TRIM($B24)))*(GJ[Date]&lt;=$C$8),GJ[Debit]))))</f>
        <v>0</v>
      </c>
      <c r="D24" s="466">
        <f t="array" ref="D24">((SUM(IF((CkDJ[Date]=$A$4)*(CkDJ[Sort Code]=(TRIM(E$5)))*(CkDJ[Account Code]=(TRIM($B24))),CkDJ[Credit])))+(SUM(IF((CsDJ[Date]=$A$4)*(CsDJ[Sort Code]=(TRIM(E$5)))*(CsDJ[Account Code]=(TRIM($B24))),CsDJ[Credit])))+(SUM(IF((CRDJ[Date]=$A$4)*(CRDJ[Sort Code]=(TRIM(E$5)))*(CRDJ[Account Code]=(TRIM($B24))),CRDJ[Credit])))+(SUM(IF((GJ[Date]=$A$4)*(GJ[Sort Code]=(TRIM(E$5)))*(GJ[Account Code]=(TRIM($B24))),GJ[Credit]))))-((SUM(IF((CkDJ[Date]=$A$4)*(CkDJ[Sort Code]=(TRIM(E$5)))*(CkDJ[Account Code]=(TRIM($B24))),CkDJ[Debit])))+(SUM(IF((CsDJ[Date]=$A$4)*(CsDJ[Sort Code]=(TRIM(E$5)))*(CsDJ[Account Code]=(TRIM($B24))),CsDJ[Debit])))+(SUM(IF((CRDJ[Date]=$A$4)*(CRDJ[Sort Code]=(TRIM(E$5)))*(CRDJ[Account Code]=(TRIM($B24))),CRDJ[Debit])))+(SUM(IF((GJ[Date]=$A$4)*(GJ[Sort Code]=(TRIM(E$5)))*(GJ[Account Code]=(TRIM($B24))),GJ[Debit]))))</f>
        <v>0</v>
      </c>
      <c r="E24" s="467">
        <f>C24+D24</f>
        <v>0</v>
      </c>
    </row>
    <row r="25" spans="1:5">
      <c r="A25" s="473" t="s">
        <v>1163</v>
      </c>
      <c r="B25" s="339" t="s">
        <v>352</v>
      </c>
      <c r="C25" s="466">
        <f t="array" ref="C25">((SUM(IF((CkDJ[Sort Code]=(TRIM(E$5)))*(CkDJ[Account Code]=(TRIM($B25)))*(CkDJ[Date]&lt;=$C$8),CkDJ[Credit])))+(SUM(IF((CsDJ[Sort Code]=(TRIM(E$5)))*(CsDJ[Account Code]=(TRIM($B25)))*(CsDJ[Date]&lt;=$C$8),CsDJ[Credit])))+(SUM(IF((CRDJ[Sort Code]=(TRIM(E$5)))*(CRDJ[Account Code]=(TRIM($B25)))*(CRDJ[Date]&lt;=$C$8),CRDJ[Credit])))+(SUM(IF((GJ[Sort Code]=(TRIM(E$5)))*(GJ[Account Code]=(TRIM($B25)))*(GJ[Date]&lt;=$C$8),GJ[Credit]))))-((SUM(IF((CkDJ[Sort Code]=(TRIM(E$5)))*(CkDJ[Account Code]=(TRIM($B25)))*(CkDJ[Date]&lt;=$C$8),CkDJ[Debit])))+(SUM(IF((CsDJ[Sort Code]=(TRIM(E$5)))*(CsDJ[Account Code]=(TRIM($B25)))*(CsDJ[Date]&lt;=$C$8),CsDJ[Debit])))+(SUM(IF((CRDJ[Sort Code]=(TRIM(E$5)))*(CRDJ[Account Code]=(TRIM($B25)))*(CRDJ[Date]&lt;=$C$8),CRDJ[Debit])))+(SUM(IF((GJ[Sort Code]=(TRIM(E$5)))*(GJ[Account Code]=(TRIM($B25)))*(GJ[Date]&lt;=$C$8),GJ[Debit]))))</f>
        <v>0</v>
      </c>
      <c r="D25" s="466">
        <f t="array" ref="D25">((SUM(IF((CkDJ[Date]=$A$4)*(CkDJ[Sort Code]=(TRIM(E$5)))*(CkDJ[Account Code]=(TRIM($B25))),CkDJ[Credit])))+(SUM(IF((CsDJ[Date]=$A$4)*(CsDJ[Sort Code]=(TRIM(E$5)))*(CsDJ[Account Code]=(TRIM($B25))),CsDJ[Credit])))+(SUM(IF((CRDJ[Date]=$A$4)*(CRDJ[Sort Code]=(TRIM(E$5)))*(CRDJ[Account Code]=(TRIM($B25))),CRDJ[Credit])))+(SUM(IF((GJ[Date]=$A$4)*(GJ[Sort Code]=(TRIM(E$5)))*(GJ[Account Code]=(TRIM($B25))),GJ[Credit]))))-((SUM(IF((CkDJ[Date]=$A$4)*(CkDJ[Sort Code]=(TRIM(E$5)))*(CkDJ[Account Code]=(TRIM($B25))),CkDJ[Debit])))+(SUM(IF((CsDJ[Date]=$A$4)*(CsDJ[Sort Code]=(TRIM(E$5)))*(CsDJ[Account Code]=(TRIM($B25))),CsDJ[Debit])))+(SUM(IF((CRDJ[Date]=$A$4)*(CRDJ[Sort Code]=(TRIM(E$5)))*(CRDJ[Account Code]=(TRIM($B25))),CRDJ[Debit])))+(SUM(IF((GJ[Date]=$A$4)*(GJ[Sort Code]=(TRIM(E$5)))*(GJ[Account Code]=(TRIM($B25))),GJ[Debit]))))</f>
        <v>0</v>
      </c>
      <c r="E25" s="467">
        <f>C25+D25</f>
        <v>0</v>
      </c>
    </row>
    <row r="26" spans="1:5">
      <c r="A26" s="473" t="s">
        <v>1164</v>
      </c>
      <c r="B26" s="339"/>
      <c r="C26" s="477">
        <f>SUM(C27:C28)</f>
        <v>0</v>
      </c>
      <c r="D26" s="477">
        <f>SUM(D27:D28)</f>
        <v>0</v>
      </c>
      <c r="E26" s="477">
        <f>SUM(E27:E28)</f>
        <v>0</v>
      </c>
    </row>
    <row r="27" spans="1:5">
      <c r="A27" s="475" t="s">
        <v>821</v>
      </c>
      <c r="B27" s="339" t="s">
        <v>128</v>
      </c>
      <c r="C27" s="466">
        <f t="array" ref="C27">((SUM(IF((CkDJ[Sort Code]=(TRIM(E$5)))*(CkDJ[Account Code]=(TRIM($B27)))*(CkDJ[Date]&lt;=$C$8),CkDJ[Credit])))+(SUM(IF((CsDJ[Sort Code]=(TRIM(E$5)))*(CsDJ[Account Code]=(TRIM($B27)))*(CsDJ[Date]&lt;=$C$8),CsDJ[Credit])))+(SUM(IF((CRDJ[Sort Code]=(TRIM(E$5)))*(CRDJ[Account Code]=(TRIM($B27)))*(CRDJ[Date]&lt;=$C$8),CRDJ[Credit])))+(SUM(IF((GJ[Sort Code]=(TRIM(E$5)))*(GJ[Account Code]=(TRIM($B27)))*(GJ[Date]&lt;=$C$8),GJ[Credit]))))-((SUM(IF((CkDJ[Sort Code]=(TRIM(E$5)))*(CkDJ[Account Code]=(TRIM($B27)))*(CkDJ[Date]&lt;=$C$8),CkDJ[Debit])))+(SUM(IF((CsDJ[Sort Code]=(TRIM(E$5)))*(CsDJ[Account Code]=(TRIM($B27)))*(CsDJ[Date]&lt;=$C$8),CsDJ[Debit])))+(SUM(IF((CRDJ[Sort Code]=(TRIM(E$5)))*(CRDJ[Account Code]=(TRIM($B27)))*(CRDJ[Date]&lt;=$C$8),CRDJ[Debit])))+(SUM(IF((GJ[Sort Code]=(TRIM(E$5)))*(GJ[Account Code]=(TRIM($B27)))*(GJ[Date]&lt;=$C$8),GJ[Debit]))))</f>
        <v>0</v>
      </c>
      <c r="D27" s="466">
        <f t="array" ref="D27">((SUM(IF((CkDJ[Date]=$A$4)*(CkDJ[Sort Code]=(TRIM(E$5)))*(CkDJ[Account Code]=(TRIM($B27))),CkDJ[Credit])))+(SUM(IF((CsDJ[Date]=$A$4)*(CsDJ[Sort Code]=(TRIM(E$5)))*(CsDJ[Account Code]=(TRIM($B27))),CsDJ[Credit])))+(SUM(IF((CRDJ[Date]=$A$4)*(CRDJ[Sort Code]=(TRIM(E$5)))*(CRDJ[Account Code]=(TRIM($B27))),CRDJ[Credit])))+(SUM(IF((GJ[Date]=$A$4)*(GJ[Sort Code]=(TRIM(E$5)))*(GJ[Account Code]=(TRIM($B27))),GJ[Credit]))))-((SUM(IF((CkDJ[Date]=$A$4)*(CkDJ[Sort Code]=(TRIM(E$5)))*(CkDJ[Account Code]=(TRIM($B27))),CkDJ[Debit])))+(SUM(IF((CsDJ[Date]=$A$4)*(CsDJ[Sort Code]=(TRIM(E$5)))*(CsDJ[Account Code]=(TRIM($B27))),CsDJ[Debit])))+(SUM(IF((CRDJ[Date]=$A$4)*(CRDJ[Sort Code]=(TRIM(E$5)))*(CRDJ[Account Code]=(TRIM($B27))),CRDJ[Debit])))+(SUM(IF((GJ[Date]=$A$4)*(GJ[Sort Code]=(TRIM(E$5)))*(GJ[Account Code]=(TRIM($B27))),GJ[Debit]))))</f>
        <v>0</v>
      </c>
      <c r="E27" s="467">
        <f>C27+D27</f>
        <v>0</v>
      </c>
    </row>
    <row r="28" spans="1:5">
      <c r="A28" s="475" t="s">
        <v>820</v>
      </c>
      <c r="B28" s="339"/>
      <c r="C28" s="466">
        <f>SUM(C29:C30)</f>
        <v>0</v>
      </c>
      <c r="D28" s="466">
        <f>SUM(D29:D30)</f>
        <v>0</v>
      </c>
      <c r="E28" s="466">
        <f>SUM(E29:E30)</f>
        <v>0</v>
      </c>
    </row>
    <row r="29" spans="1:5" hidden="1">
      <c r="A29" s="476" t="s">
        <v>819</v>
      </c>
      <c r="B29" s="339" t="s">
        <v>129</v>
      </c>
      <c r="C29" s="466">
        <f t="array" ref="C29">((SUM(IF((CkDJ[Sort Code]=(TRIM(E$5)))*(CkDJ[Account Code]=(TRIM($B29)))*(CkDJ[Date]&lt;=$C$8),CkDJ[Credit])))+(SUM(IF((CsDJ[Sort Code]=(TRIM(E$5)))*(CsDJ[Account Code]=(TRIM($B29)))*(CsDJ[Date]&lt;=$C$8),CsDJ[Credit])))+(SUM(IF((CRDJ[Sort Code]=(TRIM(E$5)))*(CRDJ[Account Code]=(TRIM($B29)))*(CRDJ[Date]&lt;=$C$8),CRDJ[Credit])))+(SUM(IF((GJ[Sort Code]=(TRIM(E$5)))*(GJ[Account Code]=(TRIM($B29)))*(GJ[Date]&lt;=$C$8),GJ[Credit]))))-((SUM(IF((CkDJ[Sort Code]=(TRIM(E$5)))*(CkDJ[Account Code]=(TRIM($B29)))*(CkDJ[Date]&lt;=$C$8),CkDJ[Debit])))+(SUM(IF((CsDJ[Sort Code]=(TRIM(E$5)))*(CsDJ[Account Code]=(TRIM($B29)))*(CsDJ[Date]&lt;=$C$8),CsDJ[Debit])))+(SUM(IF((CRDJ[Sort Code]=(TRIM(E$5)))*(CRDJ[Account Code]=(TRIM($B29)))*(CRDJ[Date]&lt;=$C$8),CRDJ[Debit])))+(SUM(IF((GJ[Sort Code]=(TRIM(E$5)))*(GJ[Account Code]=(TRIM($B29)))*(GJ[Date]&lt;=$C$8),GJ[Debit]))))</f>
        <v>0</v>
      </c>
      <c r="D29" s="466">
        <f t="array" ref="D29">((SUM(IF((CkDJ[Date]=$A$4)*(CkDJ[Sort Code]=(TRIM(E$5)))*(CkDJ[Account Code]=(TRIM($B29))),CkDJ[Credit])))+(SUM(IF((CsDJ[Date]=$A$4)*(CsDJ[Sort Code]=(TRIM(E$5)))*(CsDJ[Account Code]=(TRIM($B29))),CsDJ[Credit])))+(SUM(IF((CRDJ[Date]=$A$4)*(CRDJ[Sort Code]=(TRIM(E$5)))*(CRDJ[Account Code]=(TRIM($B29))),CRDJ[Credit])))+(SUM(IF((GJ[Date]=$A$4)*(GJ[Sort Code]=(TRIM(E$5)))*(GJ[Account Code]=(TRIM($B29))),GJ[Credit]))))-((SUM(IF((CkDJ[Date]=$A$4)*(CkDJ[Sort Code]=(TRIM(E$5)))*(CkDJ[Account Code]=(TRIM($B29))),CkDJ[Debit])))+(SUM(IF((CsDJ[Date]=$A$4)*(CsDJ[Sort Code]=(TRIM(E$5)))*(CsDJ[Account Code]=(TRIM($B29))),CsDJ[Debit])))+(SUM(IF((CRDJ[Date]=$A$4)*(CRDJ[Sort Code]=(TRIM(E$5)))*(CRDJ[Account Code]=(TRIM($B29))),CRDJ[Debit])))+(SUM(IF((GJ[Date]=$A$4)*(GJ[Sort Code]=(TRIM(E$5)))*(GJ[Account Code]=(TRIM($B29))),GJ[Debit]))))</f>
        <v>0</v>
      </c>
      <c r="E29" s="467">
        <f>C29+D29</f>
        <v>0</v>
      </c>
    </row>
    <row r="30" spans="1:5" hidden="1">
      <c r="A30" s="476" t="s">
        <v>818</v>
      </c>
      <c r="B30" s="339" t="s">
        <v>145</v>
      </c>
      <c r="C30" s="466">
        <f t="array" ref="C30">((SUM(IF((CkDJ[Sort Code]=(TRIM(E$5)))*(CkDJ[Account Code]=(TRIM($B30)))*(CkDJ[Date]&lt;=$C$8),CkDJ[Credit])))+(SUM(IF((CsDJ[Sort Code]=(TRIM(E$5)))*(CsDJ[Account Code]=(TRIM($B30)))*(CsDJ[Date]&lt;=$C$8),CsDJ[Credit])))+(SUM(IF((CRDJ[Sort Code]=(TRIM(E$5)))*(CRDJ[Account Code]=(TRIM($B30)))*(CRDJ[Date]&lt;=$C$8),CRDJ[Credit])))+(SUM(IF((GJ[Sort Code]=(TRIM(E$5)))*(GJ[Account Code]=(TRIM($B30)))*(GJ[Date]&lt;=$C$8),GJ[Credit]))))-((SUM(IF((CkDJ[Sort Code]=(TRIM(E$5)))*(CkDJ[Account Code]=(TRIM($B30)))*(CkDJ[Date]&lt;=$C$8),CkDJ[Debit])))+(SUM(IF((CsDJ[Sort Code]=(TRIM(E$5)))*(CsDJ[Account Code]=(TRIM($B30)))*(CsDJ[Date]&lt;=$C$8),CsDJ[Debit])))+(SUM(IF((CRDJ[Sort Code]=(TRIM(E$5)))*(CRDJ[Account Code]=(TRIM($B30)))*(CRDJ[Date]&lt;=$C$8),CRDJ[Debit])))+(SUM(IF((GJ[Sort Code]=(TRIM(E$5)))*(GJ[Account Code]=(TRIM($B30)))*(GJ[Date]&lt;=$C$8),GJ[Debit]))))</f>
        <v>0</v>
      </c>
      <c r="D30" s="466">
        <f t="array" ref="D30">((SUM(IF((CkDJ[Date]=$A$4)*(CkDJ[Sort Code]=(TRIM(E$5)))*(CkDJ[Account Code]=(TRIM($B30))),CkDJ[Credit])))+(SUM(IF((CsDJ[Date]=$A$4)*(CsDJ[Sort Code]=(TRIM(E$5)))*(CsDJ[Account Code]=(TRIM($B30))),CsDJ[Credit])))+(SUM(IF((CRDJ[Date]=$A$4)*(CRDJ[Sort Code]=(TRIM(E$5)))*(CRDJ[Account Code]=(TRIM($B30))),CRDJ[Credit])))+(SUM(IF((GJ[Date]=$A$4)*(GJ[Sort Code]=(TRIM(E$5)))*(GJ[Account Code]=(TRIM($B30))),GJ[Credit]))))-((SUM(IF((CkDJ[Date]=$A$4)*(CkDJ[Sort Code]=(TRIM(E$5)))*(CkDJ[Account Code]=(TRIM($B30))),CkDJ[Debit])))+(SUM(IF((CsDJ[Date]=$A$4)*(CsDJ[Sort Code]=(TRIM(E$5)))*(CsDJ[Account Code]=(TRIM($B30))),CsDJ[Debit])))+(SUM(IF((CRDJ[Date]=$A$4)*(CRDJ[Sort Code]=(TRIM(E$5)))*(CRDJ[Account Code]=(TRIM($B30))),CRDJ[Debit])))+(SUM(IF((GJ[Date]=$A$4)*(GJ[Sort Code]=(TRIM(E$5)))*(GJ[Account Code]=(TRIM($B30))),GJ[Debit]))))</f>
        <v>0</v>
      </c>
      <c r="E30" s="467">
        <f>C30+D30</f>
        <v>0</v>
      </c>
    </row>
    <row r="31" spans="1:5">
      <c r="A31" s="473" t="s">
        <v>1165</v>
      </c>
      <c r="B31" s="339"/>
      <c r="C31" s="477">
        <f>SUM(C32:C34)</f>
        <v>0</v>
      </c>
      <c r="D31" s="477">
        <f>SUM(D32:D34)</f>
        <v>0</v>
      </c>
      <c r="E31" s="477">
        <f>SUM(E32:E34)</f>
        <v>0</v>
      </c>
    </row>
    <row r="32" spans="1:5">
      <c r="A32" s="475" t="s">
        <v>139</v>
      </c>
      <c r="B32" s="339" t="s">
        <v>130</v>
      </c>
      <c r="C32" s="466">
        <f t="array" ref="C32">((SUM(IF((CkDJ[Sort Code]=(TRIM(E$5)))*(CkDJ[Account Code]=(TRIM($B32)))*(CkDJ[Date]&lt;=$C$8),CkDJ[Credit])))+(SUM(IF((CsDJ[Sort Code]=(TRIM(E$5)))*(CsDJ[Account Code]=(TRIM($B32)))*(CsDJ[Date]&lt;=$C$8),CsDJ[Credit])))+(SUM(IF((CRDJ[Sort Code]=(TRIM(E$5)))*(CRDJ[Account Code]=(TRIM($B32)))*(CRDJ[Date]&lt;=$C$8),CRDJ[Credit])))+(SUM(IF((GJ[Sort Code]=(TRIM(E$5)))*(GJ[Account Code]=(TRIM($B32)))*(GJ[Date]&lt;=$C$8),GJ[Credit]))))-((SUM(IF((CkDJ[Sort Code]=(TRIM(E$5)))*(CkDJ[Account Code]=(TRIM($B32)))*(CkDJ[Date]&lt;=$C$8),CkDJ[Debit])))+(SUM(IF((CsDJ[Sort Code]=(TRIM(E$5)))*(CsDJ[Account Code]=(TRIM($B32)))*(CsDJ[Date]&lt;=$C$8),CsDJ[Debit])))+(SUM(IF((CRDJ[Sort Code]=(TRIM(E$5)))*(CRDJ[Account Code]=(TRIM($B32)))*(CRDJ[Date]&lt;=$C$8),CRDJ[Debit])))+(SUM(IF((GJ[Sort Code]=(TRIM(E$5)))*(GJ[Account Code]=(TRIM($B32)))*(GJ[Date]&lt;=$C$8),GJ[Debit]))))</f>
        <v>0</v>
      </c>
      <c r="D32" s="466">
        <f t="array" ref="D32">((SUM(IF((CkDJ[Date]=$A$4)*(CkDJ[Sort Code]=(TRIM(E$5)))*(CkDJ[Account Code]=(TRIM($B32))),CkDJ[Credit])))+(SUM(IF((CsDJ[Date]=$A$4)*(CsDJ[Sort Code]=(TRIM(E$5)))*(CsDJ[Account Code]=(TRIM($B32))),CsDJ[Credit])))+(SUM(IF((CRDJ[Date]=$A$4)*(CRDJ[Sort Code]=(TRIM(E$5)))*(CRDJ[Account Code]=(TRIM($B32))),CRDJ[Credit])))+(SUM(IF((GJ[Date]=$A$4)*(GJ[Sort Code]=(TRIM(E$5)))*(GJ[Account Code]=(TRIM($B32))),GJ[Credit]))))-((SUM(IF((CkDJ[Date]=$A$4)*(CkDJ[Sort Code]=(TRIM(E$5)))*(CkDJ[Account Code]=(TRIM($B32))),CkDJ[Debit])))+(SUM(IF((CsDJ[Date]=$A$4)*(CsDJ[Sort Code]=(TRIM(E$5)))*(CsDJ[Account Code]=(TRIM($B32))),CsDJ[Debit])))+(SUM(IF((CRDJ[Date]=$A$4)*(CRDJ[Sort Code]=(TRIM(E$5)))*(CRDJ[Account Code]=(TRIM($B32))),CRDJ[Debit])))+(SUM(IF((GJ[Date]=$A$4)*(GJ[Sort Code]=(TRIM(E$5)))*(GJ[Account Code]=(TRIM($B32))),GJ[Debit]))))</f>
        <v>0</v>
      </c>
      <c r="E32" s="467">
        <f>C32+D32</f>
        <v>0</v>
      </c>
    </row>
    <row r="33" spans="1:5">
      <c r="A33" s="475" t="s">
        <v>180</v>
      </c>
      <c r="B33" s="339" t="s">
        <v>141</v>
      </c>
      <c r="C33" s="466">
        <f t="array" ref="C33">((SUM(IF((CkDJ[Sort Code]=(TRIM(E$5)))*(CkDJ[Account Code]=(TRIM($B33)))*(CkDJ[Date]&lt;=$C$8),CkDJ[Credit])))+(SUM(IF((CsDJ[Sort Code]=(TRIM(E$5)))*(CsDJ[Account Code]=(TRIM($B33)))*(CsDJ[Date]&lt;=$C$8),CsDJ[Credit])))+(SUM(IF((CRDJ[Sort Code]=(TRIM(E$5)))*(CRDJ[Account Code]=(TRIM($B33)))*(CRDJ[Date]&lt;=$C$8),CRDJ[Credit])))+(SUM(IF((GJ[Sort Code]=(TRIM(E$5)))*(GJ[Account Code]=(TRIM($B33)))*(GJ[Date]&lt;=$C$8),GJ[Credit]))))-((SUM(IF((CkDJ[Sort Code]=(TRIM(E$5)))*(CkDJ[Account Code]=(TRIM($B33)))*(CkDJ[Date]&lt;=$C$8),CkDJ[Debit])))+(SUM(IF((CsDJ[Sort Code]=(TRIM(E$5)))*(CsDJ[Account Code]=(TRIM($B33)))*(CsDJ[Date]&lt;=$C$8),CsDJ[Debit])))+(SUM(IF((CRDJ[Sort Code]=(TRIM(E$5)))*(CRDJ[Account Code]=(TRIM($B33)))*(CRDJ[Date]&lt;=$C$8),CRDJ[Debit])))+(SUM(IF((GJ[Sort Code]=(TRIM(E$5)))*(GJ[Account Code]=(TRIM($B33)))*(GJ[Date]&lt;=$C$8),GJ[Debit]))))</f>
        <v>0</v>
      </c>
      <c r="D33" s="466">
        <f t="array" ref="D33">((SUM(IF((CkDJ[Date]=$A$4)*(CkDJ[Sort Code]=(TRIM(E$5)))*(CkDJ[Account Code]=(TRIM($B33))),CkDJ[Credit])))+(SUM(IF((CsDJ[Date]=$A$4)*(CsDJ[Sort Code]=(TRIM(E$5)))*(CsDJ[Account Code]=(TRIM($B33))),CsDJ[Credit])))+(SUM(IF((CRDJ[Date]=$A$4)*(CRDJ[Sort Code]=(TRIM(E$5)))*(CRDJ[Account Code]=(TRIM($B33))),CRDJ[Credit])))+(SUM(IF((GJ[Date]=$A$4)*(GJ[Sort Code]=(TRIM(E$5)))*(GJ[Account Code]=(TRIM($B33))),GJ[Credit]))))-((SUM(IF((CkDJ[Date]=$A$4)*(CkDJ[Sort Code]=(TRIM(E$5)))*(CkDJ[Account Code]=(TRIM($B33))),CkDJ[Debit])))+(SUM(IF((CsDJ[Date]=$A$4)*(CsDJ[Sort Code]=(TRIM(E$5)))*(CsDJ[Account Code]=(TRIM($B33))),CsDJ[Debit])))+(SUM(IF((CRDJ[Date]=$A$4)*(CRDJ[Sort Code]=(TRIM(E$5)))*(CRDJ[Account Code]=(TRIM($B33))),CRDJ[Debit])))+(SUM(IF((GJ[Date]=$A$4)*(GJ[Sort Code]=(TRIM(E$5)))*(GJ[Account Code]=(TRIM($B33))),GJ[Debit]))))</f>
        <v>0</v>
      </c>
      <c r="E33" s="467">
        <f>C33+D33</f>
        <v>0</v>
      </c>
    </row>
    <row r="34" spans="1:5">
      <c r="A34" s="475" t="s">
        <v>181</v>
      </c>
      <c r="B34" s="339" t="s">
        <v>142</v>
      </c>
      <c r="C34" s="466">
        <f t="array" ref="C34">((SUM(IF((CkDJ[Sort Code]=(TRIM(E$5)))*(CkDJ[Account Code]=(TRIM($B34)))*(CkDJ[Date]&lt;=$C$8),CkDJ[Credit])))+(SUM(IF((CsDJ[Sort Code]=(TRIM(E$5)))*(CsDJ[Account Code]=(TRIM($B34)))*(CsDJ[Date]&lt;=$C$8),CsDJ[Credit])))+(SUM(IF((CRDJ[Sort Code]=(TRIM(E$5)))*(CRDJ[Account Code]=(TRIM($B34)))*(CRDJ[Date]&lt;=$C$8),CRDJ[Credit])))+(SUM(IF((GJ[Sort Code]=(TRIM(E$5)))*(GJ[Account Code]=(TRIM($B34)))*(GJ[Date]&lt;=$C$8),GJ[Credit]))))-((SUM(IF((CkDJ[Sort Code]=(TRIM(E$5)))*(CkDJ[Account Code]=(TRIM($B34)))*(CkDJ[Date]&lt;=$C$8),CkDJ[Debit])))+(SUM(IF((CsDJ[Sort Code]=(TRIM(E$5)))*(CsDJ[Account Code]=(TRIM($B34)))*(CsDJ[Date]&lt;=$C$8),CsDJ[Debit])))+(SUM(IF((CRDJ[Sort Code]=(TRIM(E$5)))*(CRDJ[Account Code]=(TRIM($B34)))*(CRDJ[Date]&lt;=$C$8),CRDJ[Debit])))+(SUM(IF((GJ[Sort Code]=(TRIM(E$5)))*(GJ[Account Code]=(TRIM($B34)))*(GJ[Date]&lt;=$C$8),GJ[Debit]))))</f>
        <v>0</v>
      </c>
      <c r="D34" s="466">
        <f t="array" ref="D34">((SUM(IF((CkDJ[Date]=$A$4)*(CkDJ[Sort Code]=(TRIM(E$5)))*(CkDJ[Account Code]=(TRIM($B34))),CkDJ[Credit])))+(SUM(IF((CsDJ[Date]=$A$4)*(CsDJ[Sort Code]=(TRIM(E$5)))*(CsDJ[Account Code]=(TRIM($B34))),CsDJ[Credit])))+(SUM(IF((CRDJ[Date]=$A$4)*(CRDJ[Sort Code]=(TRIM(E$5)))*(CRDJ[Account Code]=(TRIM($B34))),CRDJ[Credit])))+(SUM(IF((GJ[Date]=$A$4)*(GJ[Sort Code]=(TRIM(E$5)))*(GJ[Account Code]=(TRIM($B34))),GJ[Credit]))))-((SUM(IF((CkDJ[Date]=$A$4)*(CkDJ[Sort Code]=(TRIM(E$5)))*(CkDJ[Account Code]=(TRIM($B34))),CkDJ[Debit])))+(SUM(IF((CsDJ[Date]=$A$4)*(CsDJ[Sort Code]=(TRIM(E$5)))*(CsDJ[Account Code]=(TRIM($B34))),CsDJ[Debit])))+(SUM(IF((CRDJ[Date]=$A$4)*(CRDJ[Sort Code]=(TRIM(E$5)))*(CRDJ[Account Code]=(TRIM($B34))),CRDJ[Debit])))+(SUM(IF((GJ[Date]=$A$4)*(GJ[Sort Code]=(TRIM(E$5)))*(GJ[Account Code]=(TRIM($B34))),GJ[Debit]))))</f>
        <v>0</v>
      </c>
      <c r="E34" s="467">
        <f>C34+D34</f>
        <v>0</v>
      </c>
    </row>
    <row r="35" spans="1:5">
      <c r="A35" s="473" t="s">
        <v>1166</v>
      </c>
      <c r="B35" s="339"/>
      <c r="C35" s="477">
        <f>SUM(C36:C44)</f>
        <v>0</v>
      </c>
      <c r="D35" s="477">
        <f>SUM(D36:D44)</f>
        <v>0</v>
      </c>
      <c r="E35" s="477">
        <f>SUM(E36:E44)</f>
        <v>0</v>
      </c>
    </row>
    <row r="36" spans="1:5">
      <c r="A36" s="475" t="s">
        <v>186</v>
      </c>
      <c r="B36" s="339" t="s">
        <v>150</v>
      </c>
      <c r="C36" s="466">
        <f t="array" ref="C36">((SUM(IF((CkDJ[Sort Code]=(TRIM(E$5)))*(CkDJ[Account Code]=(TRIM($B36)))*(CkDJ[Date]&lt;=$C$8),CkDJ[Credit])))+(SUM(IF((CsDJ[Sort Code]=(TRIM(E$5)))*(CsDJ[Account Code]=(TRIM($B36)))*(CsDJ[Date]&lt;=$C$8),CsDJ[Credit])))+(SUM(IF((CRDJ[Sort Code]=(TRIM(E$5)))*(CRDJ[Account Code]=(TRIM($B36)))*(CRDJ[Date]&lt;=$C$8),CRDJ[Credit])))+(SUM(IF((GJ[Sort Code]=(TRIM(E$5)))*(GJ[Account Code]=(TRIM($B36)))*(GJ[Date]&lt;=$C$8),GJ[Credit]))))-((SUM(IF((CkDJ[Sort Code]=(TRIM(E$5)))*(CkDJ[Account Code]=(TRIM($B36)))*(CkDJ[Date]&lt;=$C$8),CkDJ[Debit])))+(SUM(IF((CsDJ[Sort Code]=(TRIM(E$5)))*(CsDJ[Account Code]=(TRIM($B36)))*(CsDJ[Date]&lt;=$C$8),CsDJ[Debit])))+(SUM(IF((CRDJ[Sort Code]=(TRIM(E$5)))*(CRDJ[Account Code]=(TRIM($B36)))*(CRDJ[Date]&lt;=$C$8),CRDJ[Debit])))+(SUM(IF((GJ[Sort Code]=(TRIM(E$5)))*(GJ[Account Code]=(TRIM($B36)))*(GJ[Date]&lt;=$C$8),GJ[Debit]))))</f>
        <v>0</v>
      </c>
      <c r="D36" s="466">
        <f t="array" ref="D36">((SUM(IF((CkDJ[Date]=$A$4)*(CkDJ[Sort Code]=(TRIM(E$5)))*(CkDJ[Account Code]=(TRIM($B36))),CkDJ[Credit])))+(SUM(IF((CsDJ[Date]=$A$4)*(CsDJ[Sort Code]=(TRIM(E$5)))*(CsDJ[Account Code]=(TRIM($B36))),CsDJ[Credit])))+(SUM(IF((CRDJ[Date]=$A$4)*(CRDJ[Sort Code]=(TRIM(E$5)))*(CRDJ[Account Code]=(TRIM($B36))),CRDJ[Credit])))+(SUM(IF((GJ[Date]=$A$4)*(GJ[Sort Code]=(TRIM(E$5)))*(GJ[Account Code]=(TRIM($B36))),GJ[Credit]))))-((SUM(IF((CkDJ[Date]=$A$4)*(CkDJ[Sort Code]=(TRIM(E$5)))*(CkDJ[Account Code]=(TRIM($B36))),CkDJ[Debit])))+(SUM(IF((CsDJ[Date]=$A$4)*(CsDJ[Sort Code]=(TRIM(E$5)))*(CsDJ[Account Code]=(TRIM($B36))),CsDJ[Debit])))+(SUM(IF((CRDJ[Date]=$A$4)*(CRDJ[Sort Code]=(TRIM(E$5)))*(CRDJ[Account Code]=(TRIM($B36))),CRDJ[Debit])))+(SUM(IF((GJ[Date]=$A$4)*(GJ[Sort Code]=(TRIM(E$5)))*(GJ[Account Code]=(TRIM($B36))),GJ[Debit]))))</f>
        <v>0</v>
      </c>
      <c r="E36" s="467">
        <f t="shared" ref="E36:E44" si="0">C36+D36</f>
        <v>0</v>
      </c>
    </row>
    <row r="37" spans="1:5">
      <c r="A37" s="475" t="s">
        <v>187</v>
      </c>
      <c r="B37" s="339" t="s">
        <v>153</v>
      </c>
      <c r="C37" s="466">
        <f t="array" ref="C37">((SUM(IF((CkDJ[Sort Code]=(TRIM(E$5)))*(CkDJ[Account Code]=(TRIM($B37)))*(CkDJ[Date]&lt;=$C$8),CkDJ[Credit])))+(SUM(IF((CsDJ[Sort Code]=(TRIM(E$5)))*(CsDJ[Account Code]=(TRIM($B37)))*(CsDJ[Date]&lt;=$C$8),CsDJ[Credit])))+(SUM(IF((CRDJ[Sort Code]=(TRIM(E$5)))*(CRDJ[Account Code]=(TRIM($B37)))*(CRDJ[Date]&lt;=$C$8),CRDJ[Credit])))+(SUM(IF((GJ[Sort Code]=(TRIM(E$5)))*(GJ[Account Code]=(TRIM($B37)))*(GJ[Date]&lt;=$C$8),GJ[Credit]))))-((SUM(IF((CkDJ[Sort Code]=(TRIM(E$5)))*(CkDJ[Account Code]=(TRIM($B37)))*(CkDJ[Date]&lt;=$C$8),CkDJ[Debit])))+(SUM(IF((CsDJ[Sort Code]=(TRIM(E$5)))*(CsDJ[Account Code]=(TRIM($B37)))*(CsDJ[Date]&lt;=$C$8),CsDJ[Debit])))+(SUM(IF((CRDJ[Sort Code]=(TRIM(E$5)))*(CRDJ[Account Code]=(TRIM($B37)))*(CRDJ[Date]&lt;=$C$8),CRDJ[Debit])))+(SUM(IF((GJ[Sort Code]=(TRIM(E$5)))*(GJ[Account Code]=(TRIM($B37)))*(GJ[Date]&lt;=$C$8),GJ[Debit]))))</f>
        <v>0</v>
      </c>
      <c r="D37" s="466">
        <f t="array" ref="D37">((SUM(IF((CkDJ[Date]=$A$4)*(CkDJ[Sort Code]=(TRIM(E$5)))*(CkDJ[Account Code]=(TRIM($B37))),CkDJ[Credit])))+(SUM(IF((CsDJ[Date]=$A$4)*(CsDJ[Sort Code]=(TRIM(E$5)))*(CsDJ[Account Code]=(TRIM($B37))),CsDJ[Credit])))+(SUM(IF((CRDJ[Date]=$A$4)*(CRDJ[Sort Code]=(TRIM(E$5)))*(CRDJ[Account Code]=(TRIM($B37))),CRDJ[Credit])))+(SUM(IF((GJ[Date]=$A$4)*(GJ[Sort Code]=(TRIM(E$5)))*(GJ[Account Code]=(TRIM($B37))),GJ[Credit]))))-((SUM(IF((CkDJ[Date]=$A$4)*(CkDJ[Sort Code]=(TRIM(E$5)))*(CkDJ[Account Code]=(TRIM($B37))),CkDJ[Debit])))+(SUM(IF((CsDJ[Date]=$A$4)*(CsDJ[Sort Code]=(TRIM(E$5)))*(CsDJ[Account Code]=(TRIM($B37))),CsDJ[Debit])))+(SUM(IF((CRDJ[Date]=$A$4)*(CRDJ[Sort Code]=(TRIM(E$5)))*(CRDJ[Account Code]=(TRIM($B37))),CRDJ[Debit])))+(SUM(IF((GJ[Date]=$A$4)*(GJ[Sort Code]=(TRIM(E$5)))*(GJ[Account Code]=(TRIM($B37))),GJ[Debit]))))</f>
        <v>0</v>
      </c>
      <c r="E37" s="467">
        <f t="shared" si="0"/>
        <v>0</v>
      </c>
    </row>
    <row r="38" spans="1:5">
      <c r="A38" s="475" t="s">
        <v>188</v>
      </c>
      <c r="B38" s="339" t="s">
        <v>154</v>
      </c>
      <c r="C38" s="466">
        <f t="array" ref="C38">((SUM(IF((CkDJ[Sort Code]=(TRIM(E$5)))*(CkDJ[Account Code]=(TRIM($B38)))*(CkDJ[Date]&lt;=$C$8),CkDJ[Credit])))+(SUM(IF((CsDJ[Sort Code]=(TRIM(E$5)))*(CsDJ[Account Code]=(TRIM($B38)))*(CsDJ[Date]&lt;=$C$8),CsDJ[Credit])))+(SUM(IF((CRDJ[Sort Code]=(TRIM(E$5)))*(CRDJ[Account Code]=(TRIM($B38)))*(CRDJ[Date]&lt;=$C$8),CRDJ[Credit])))+(SUM(IF((GJ[Sort Code]=(TRIM(E$5)))*(GJ[Account Code]=(TRIM($B38)))*(GJ[Date]&lt;=$C$8),GJ[Credit]))))-((SUM(IF((CkDJ[Sort Code]=(TRIM(E$5)))*(CkDJ[Account Code]=(TRIM($B38)))*(CkDJ[Date]&lt;=$C$8),CkDJ[Debit])))+(SUM(IF((CsDJ[Sort Code]=(TRIM(E$5)))*(CsDJ[Account Code]=(TRIM($B38)))*(CsDJ[Date]&lt;=$C$8),CsDJ[Debit])))+(SUM(IF((CRDJ[Sort Code]=(TRIM(E$5)))*(CRDJ[Account Code]=(TRIM($B38)))*(CRDJ[Date]&lt;=$C$8),CRDJ[Debit])))+(SUM(IF((GJ[Sort Code]=(TRIM(E$5)))*(GJ[Account Code]=(TRIM($B38)))*(GJ[Date]&lt;=$C$8),GJ[Debit]))))</f>
        <v>0</v>
      </c>
      <c r="D38" s="466">
        <f t="array" ref="D38">((SUM(IF((CkDJ[Date]=$A$4)*(CkDJ[Sort Code]=(TRIM(E$5)))*(CkDJ[Account Code]=(TRIM($B38))),CkDJ[Credit])))+(SUM(IF((CsDJ[Date]=$A$4)*(CsDJ[Sort Code]=(TRIM(E$5)))*(CsDJ[Account Code]=(TRIM($B38))),CsDJ[Credit])))+(SUM(IF((CRDJ[Date]=$A$4)*(CRDJ[Sort Code]=(TRIM(E$5)))*(CRDJ[Account Code]=(TRIM($B38))),CRDJ[Credit])))+(SUM(IF((GJ[Date]=$A$4)*(GJ[Sort Code]=(TRIM(E$5)))*(GJ[Account Code]=(TRIM($B38))),GJ[Credit]))))-((SUM(IF((CkDJ[Date]=$A$4)*(CkDJ[Sort Code]=(TRIM(E$5)))*(CkDJ[Account Code]=(TRIM($B38))),CkDJ[Debit])))+(SUM(IF((CsDJ[Date]=$A$4)*(CsDJ[Sort Code]=(TRIM(E$5)))*(CsDJ[Account Code]=(TRIM($B38))),CsDJ[Debit])))+(SUM(IF((CRDJ[Date]=$A$4)*(CRDJ[Sort Code]=(TRIM(E$5)))*(CRDJ[Account Code]=(TRIM($B38))),CRDJ[Debit])))+(SUM(IF((GJ[Date]=$A$4)*(GJ[Sort Code]=(TRIM(E$5)))*(GJ[Account Code]=(TRIM($B38))),GJ[Debit]))))</f>
        <v>0</v>
      </c>
      <c r="E38" s="467">
        <f t="shared" si="0"/>
        <v>0</v>
      </c>
    </row>
    <row r="39" spans="1:5">
      <c r="A39" s="475" t="s">
        <v>189</v>
      </c>
      <c r="B39" s="339" t="s">
        <v>155</v>
      </c>
      <c r="C39" s="466">
        <f t="array" ref="C39">((SUM(IF((CkDJ[Sort Code]=(TRIM(E$5)))*(CkDJ[Account Code]=(TRIM($B39)))*(CkDJ[Date]&lt;=$C$8),CkDJ[Credit])))+(SUM(IF((CsDJ[Sort Code]=(TRIM(E$5)))*(CsDJ[Account Code]=(TRIM($B39)))*(CsDJ[Date]&lt;=$C$8),CsDJ[Credit])))+(SUM(IF((CRDJ[Sort Code]=(TRIM(E$5)))*(CRDJ[Account Code]=(TRIM($B39)))*(CRDJ[Date]&lt;=$C$8),CRDJ[Credit])))+(SUM(IF((GJ[Sort Code]=(TRIM(E$5)))*(GJ[Account Code]=(TRIM($B39)))*(GJ[Date]&lt;=$C$8),GJ[Credit]))))-((SUM(IF((CkDJ[Sort Code]=(TRIM(E$5)))*(CkDJ[Account Code]=(TRIM($B39)))*(CkDJ[Date]&lt;=$C$8),CkDJ[Debit])))+(SUM(IF((CsDJ[Sort Code]=(TRIM(E$5)))*(CsDJ[Account Code]=(TRIM($B39)))*(CsDJ[Date]&lt;=$C$8),CsDJ[Debit])))+(SUM(IF((CRDJ[Sort Code]=(TRIM(E$5)))*(CRDJ[Account Code]=(TRIM($B39)))*(CRDJ[Date]&lt;=$C$8),CRDJ[Debit])))+(SUM(IF((GJ[Sort Code]=(TRIM(E$5)))*(GJ[Account Code]=(TRIM($B39)))*(GJ[Date]&lt;=$C$8),GJ[Debit]))))</f>
        <v>0</v>
      </c>
      <c r="D39" s="466">
        <f t="array" ref="D39">((SUM(IF((CkDJ[Date]=$A$4)*(CkDJ[Sort Code]=(TRIM(E$5)))*(CkDJ[Account Code]=(TRIM($B39))),CkDJ[Credit])))+(SUM(IF((CsDJ[Date]=$A$4)*(CsDJ[Sort Code]=(TRIM(E$5)))*(CsDJ[Account Code]=(TRIM($B39))),CsDJ[Credit])))+(SUM(IF((CRDJ[Date]=$A$4)*(CRDJ[Sort Code]=(TRIM(E$5)))*(CRDJ[Account Code]=(TRIM($B39))),CRDJ[Credit])))+(SUM(IF((GJ[Date]=$A$4)*(GJ[Sort Code]=(TRIM(E$5)))*(GJ[Account Code]=(TRIM($B39))),GJ[Credit]))))-((SUM(IF((CkDJ[Date]=$A$4)*(CkDJ[Sort Code]=(TRIM(E$5)))*(CkDJ[Account Code]=(TRIM($B39))),CkDJ[Debit])))+(SUM(IF((CsDJ[Date]=$A$4)*(CsDJ[Sort Code]=(TRIM(E$5)))*(CsDJ[Account Code]=(TRIM($B39))),CsDJ[Debit])))+(SUM(IF((CRDJ[Date]=$A$4)*(CRDJ[Sort Code]=(TRIM(E$5)))*(CRDJ[Account Code]=(TRIM($B39))),CRDJ[Debit])))+(SUM(IF((GJ[Date]=$A$4)*(GJ[Sort Code]=(TRIM(E$5)))*(GJ[Account Code]=(TRIM($B39))),GJ[Debit]))))</f>
        <v>0</v>
      </c>
      <c r="E39" s="467">
        <f t="shared" si="0"/>
        <v>0</v>
      </c>
    </row>
    <row r="40" spans="1:5">
      <c r="A40" s="475" t="s">
        <v>1271</v>
      </c>
      <c r="B40" s="339" t="s">
        <v>156</v>
      </c>
      <c r="C40" s="466">
        <f t="array" ref="C40">((SUM(IF((CkDJ[Sort Code]=(TRIM(E$5)))*(CkDJ[Account Code]=(TRIM($B40)))*(CkDJ[Date]&lt;=$C$8),CkDJ[Credit])))+(SUM(IF((CsDJ[Sort Code]=(TRIM(E$5)))*(CsDJ[Account Code]=(TRIM($B40)))*(CsDJ[Date]&lt;=$C$8),CsDJ[Credit])))+(SUM(IF((CRDJ[Sort Code]=(TRIM(E$5)))*(CRDJ[Account Code]=(TRIM($B40)))*(CRDJ[Date]&lt;=$C$8),CRDJ[Credit])))+(SUM(IF((GJ[Sort Code]=(TRIM(E$5)))*(GJ[Account Code]=(TRIM($B40)))*(GJ[Date]&lt;=$C$8),GJ[Credit]))))-((SUM(IF((CkDJ[Sort Code]=(TRIM(E$5)))*(CkDJ[Account Code]=(TRIM($B40)))*(CkDJ[Date]&lt;=$C$8),CkDJ[Debit])))+(SUM(IF((CsDJ[Sort Code]=(TRIM(E$5)))*(CsDJ[Account Code]=(TRIM($B40)))*(CsDJ[Date]&lt;=$C$8),CsDJ[Debit])))+(SUM(IF((CRDJ[Sort Code]=(TRIM(E$5)))*(CRDJ[Account Code]=(TRIM($B40)))*(CRDJ[Date]&lt;=$C$8),CRDJ[Debit])))+(SUM(IF((GJ[Sort Code]=(TRIM(E$5)))*(GJ[Account Code]=(TRIM($B40)))*(GJ[Date]&lt;=$C$8),GJ[Debit]))))</f>
        <v>0</v>
      </c>
      <c r="D40" s="466">
        <f t="array" ref="D40">((SUM(IF((CkDJ[Date]=$A$4)*(CkDJ[Sort Code]=(TRIM(E$5)))*(CkDJ[Account Code]=(TRIM($B40))),CkDJ[Credit])))+(SUM(IF((CsDJ[Date]=$A$4)*(CsDJ[Sort Code]=(TRIM(E$5)))*(CsDJ[Account Code]=(TRIM($B40))),CsDJ[Credit])))+(SUM(IF((CRDJ[Date]=$A$4)*(CRDJ[Sort Code]=(TRIM(E$5)))*(CRDJ[Account Code]=(TRIM($B40))),CRDJ[Credit])))+(SUM(IF((GJ[Date]=$A$4)*(GJ[Sort Code]=(TRIM(E$5)))*(GJ[Account Code]=(TRIM($B40))),GJ[Credit]))))-((SUM(IF((CkDJ[Date]=$A$4)*(CkDJ[Sort Code]=(TRIM(E$5)))*(CkDJ[Account Code]=(TRIM($B40))),CkDJ[Debit])))+(SUM(IF((CsDJ[Date]=$A$4)*(CsDJ[Sort Code]=(TRIM(E$5)))*(CsDJ[Account Code]=(TRIM($B40))),CsDJ[Debit])))+(SUM(IF((CRDJ[Date]=$A$4)*(CRDJ[Sort Code]=(TRIM(E$5)))*(CRDJ[Account Code]=(TRIM($B40))),CRDJ[Debit])))+(SUM(IF((GJ[Date]=$A$4)*(GJ[Sort Code]=(TRIM(E$5)))*(GJ[Account Code]=(TRIM($B40))),GJ[Debit]))))</f>
        <v>0</v>
      </c>
      <c r="E40" s="467">
        <f>C40+D40</f>
        <v>0</v>
      </c>
    </row>
    <row r="41" spans="1:5">
      <c r="A41" s="475" t="s">
        <v>190</v>
      </c>
      <c r="B41" s="339" t="s">
        <v>157</v>
      </c>
      <c r="C41" s="466">
        <f t="array" ref="C41">((SUM(IF((CkDJ[Sort Code]=(TRIM(E$5)))*(CkDJ[Account Code]=(TRIM($B41)))*(CkDJ[Date]&lt;=$C$8),CkDJ[Credit])))+(SUM(IF((CsDJ[Sort Code]=(TRIM(E$5)))*(CsDJ[Account Code]=(TRIM($B41)))*(CsDJ[Date]&lt;=$C$8),CsDJ[Credit])))+(SUM(IF((CRDJ[Sort Code]=(TRIM(E$5)))*(CRDJ[Account Code]=(TRIM($B41)))*(CRDJ[Date]&lt;=$C$8),CRDJ[Credit])))+(SUM(IF((GJ[Sort Code]=(TRIM(E$5)))*(GJ[Account Code]=(TRIM($B41)))*(GJ[Date]&lt;=$C$8),GJ[Credit]))))-((SUM(IF((CkDJ[Sort Code]=(TRIM(E$5)))*(CkDJ[Account Code]=(TRIM($B41)))*(CkDJ[Date]&lt;=$C$8),CkDJ[Debit])))+(SUM(IF((CsDJ[Sort Code]=(TRIM(E$5)))*(CsDJ[Account Code]=(TRIM($B41)))*(CsDJ[Date]&lt;=$C$8),CsDJ[Debit])))+(SUM(IF((CRDJ[Sort Code]=(TRIM(E$5)))*(CRDJ[Account Code]=(TRIM($B41)))*(CRDJ[Date]&lt;=$C$8),CRDJ[Debit])))+(SUM(IF((GJ[Sort Code]=(TRIM(E$5)))*(GJ[Account Code]=(TRIM($B41)))*(GJ[Date]&lt;=$C$8),GJ[Debit]))))</f>
        <v>0</v>
      </c>
      <c r="D41" s="466">
        <f t="array" ref="D41">((SUM(IF((CkDJ[Date]=$A$4)*(CkDJ[Sort Code]=(TRIM(E$5)))*(CkDJ[Account Code]=(TRIM($B41))),CkDJ[Credit])))+(SUM(IF((CsDJ[Date]=$A$4)*(CsDJ[Sort Code]=(TRIM(E$5)))*(CsDJ[Account Code]=(TRIM($B41))),CsDJ[Credit])))+(SUM(IF((CRDJ[Date]=$A$4)*(CRDJ[Sort Code]=(TRIM(E$5)))*(CRDJ[Account Code]=(TRIM($B41))),CRDJ[Credit])))+(SUM(IF((GJ[Date]=$A$4)*(GJ[Sort Code]=(TRIM(E$5)))*(GJ[Account Code]=(TRIM($B41))),GJ[Credit]))))-((SUM(IF((CkDJ[Date]=$A$4)*(CkDJ[Sort Code]=(TRIM(E$5)))*(CkDJ[Account Code]=(TRIM($B41))),CkDJ[Debit])))+(SUM(IF((CsDJ[Date]=$A$4)*(CsDJ[Sort Code]=(TRIM(E$5)))*(CsDJ[Account Code]=(TRIM($B41))),CsDJ[Debit])))+(SUM(IF((CRDJ[Date]=$A$4)*(CRDJ[Sort Code]=(TRIM(E$5)))*(CRDJ[Account Code]=(TRIM($B41))),CRDJ[Debit])))+(SUM(IF((GJ[Date]=$A$4)*(GJ[Sort Code]=(TRIM(E$5)))*(GJ[Account Code]=(TRIM($B41))),GJ[Debit]))))</f>
        <v>0</v>
      </c>
      <c r="E41" s="467">
        <f t="shared" si="0"/>
        <v>0</v>
      </c>
    </row>
    <row r="42" spans="1:5">
      <c r="A42" s="475" t="s">
        <v>192</v>
      </c>
      <c r="B42" s="339" t="s">
        <v>159</v>
      </c>
      <c r="C42" s="466">
        <f t="array" ref="C42">((SUM(IF((CkDJ[Sort Code]=(TRIM(E$5)))*(CkDJ[Account Code]=(TRIM($B42)))*(CkDJ[Date]&lt;=$C$8),CkDJ[Credit])))+(SUM(IF((CsDJ[Sort Code]=(TRIM(E$5)))*(CsDJ[Account Code]=(TRIM($B42)))*(CsDJ[Date]&lt;=$C$8),CsDJ[Credit])))+(SUM(IF((CRDJ[Sort Code]=(TRIM(E$5)))*(CRDJ[Account Code]=(TRIM($B42)))*(CRDJ[Date]&lt;=$C$8),CRDJ[Credit])))+(SUM(IF((GJ[Sort Code]=(TRIM(E$5)))*(GJ[Account Code]=(TRIM($B42)))*(GJ[Date]&lt;=$C$8),GJ[Credit]))))-((SUM(IF((CkDJ[Sort Code]=(TRIM(E$5)))*(CkDJ[Account Code]=(TRIM($B42)))*(CkDJ[Date]&lt;=$C$8),CkDJ[Debit])))+(SUM(IF((CsDJ[Sort Code]=(TRIM(E$5)))*(CsDJ[Account Code]=(TRIM($B42)))*(CsDJ[Date]&lt;=$C$8),CsDJ[Debit])))+(SUM(IF((CRDJ[Sort Code]=(TRIM(E$5)))*(CRDJ[Account Code]=(TRIM($B42)))*(CRDJ[Date]&lt;=$C$8),CRDJ[Debit])))+(SUM(IF((GJ[Sort Code]=(TRIM(E$5)))*(GJ[Account Code]=(TRIM($B42)))*(GJ[Date]&lt;=$C$8),GJ[Debit]))))</f>
        <v>0</v>
      </c>
      <c r="D42" s="466">
        <f t="array" ref="D42">((SUM(IF((CkDJ[Date]=$A$4)*(CkDJ[Sort Code]=(TRIM(E$5)))*(CkDJ[Account Code]=(TRIM($B42))),CkDJ[Credit])))+(SUM(IF((CsDJ[Date]=$A$4)*(CsDJ[Sort Code]=(TRIM(E$5)))*(CsDJ[Account Code]=(TRIM($B42))),CsDJ[Credit])))+(SUM(IF((CRDJ[Date]=$A$4)*(CRDJ[Sort Code]=(TRIM(E$5)))*(CRDJ[Account Code]=(TRIM($B42))),CRDJ[Credit])))+(SUM(IF((GJ[Date]=$A$4)*(GJ[Sort Code]=(TRIM(E$5)))*(GJ[Account Code]=(TRIM($B42))),GJ[Credit]))))-((SUM(IF((CkDJ[Date]=$A$4)*(CkDJ[Sort Code]=(TRIM(E$5)))*(CkDJ[Account Code]=(TRIM($B42))),CkDJ[Debit])))+(SUM(IF((CsDJ[Date]=$A$4)*(CsDJ[Sort Code]=(TRIM(E$5)))*(CsDJ[Account Code]=(TRIM($B42))),CsDJ[Debit])))+(SUM(IF((CRDJ[Date]=$A$4)*(CRDJ[Sort Code]=(TRIM(E$5)))*(CRDJ[Account Code]=(TRIM($B42))),CRDJ[Debit])))+(SUM(IF((GJ[Date]=$A$4)*(GJ[Sort Code]=(TRIM(E$5)))*(GJ[Account Code]=(TRIM($B42))),GJ[Debit]))))</f>
        <v>0</v>
      </c>
      <c r="E42" s="467">
        <f t="shared" si="0"/>
        <v>0</v>
      </c>
    </row>
    <row r="43" spans="1:5">
      <c r="A43" s="475" t="s">
        <v>193</v>
      </c>
      <c r="B43" s="339" t="s">
        <v>160</v>
      </c>
      <c r="C43" s="466">
        <f t="array" ref="C43">((SUM(IF((CkDJ[Sort Code]=(TRIM(E$5)))*(CkDJ[Account Code]=(TRIM($B43)))*(CkDJ[Date]&lt;=$C$8),CkDJ[Credit])))+(SUM(IF((CsDJ[Sort Code]=(TRIM(E$5)))*(CsDJ[Account Code]=(TRIM($B43)))*(CsDJ[Date]&lt;=$C$8),CsDJ[Credit])))+(SUM(IF((CRDJ[Sort Code]=(TRIM(E$5)))*(CRDJ[Account Code]=(TRIM($B43)))*(CRDJ[Date]&lt;=$C$8),CRDJ[Credit])))+(SUM(IF((GJ[Sort Code]=(TRIM(E$5)))*(GJ[Account Code]=(TRIM($B43)))*(GJ[Date]&lt;=$C$8),GJ[Credit]))))-((SUM(IF((CkDJ[Sort Code]=(TRIM(E$5)))*(CkDJ[Account Code]=(TRIM($B43)))*(CkDJ[Date]&lt;=$C$8),CkDJ[Debit])))+(SUM(IF((CsDJ[Sort Code]=(TRIM(E$5)))*(CsDJ[Account Code]=(TRIM($B43)))*(CsDJ[Date]&lt;=$C$8),CsDJ[Debit])))+(SUM(IF((CRDJ[Sort Code]=(TRIM(E$5)))*(CRDJ[Account Code]=(TRIM($B43)))*(CRDJ[Date]&lt;=$C$8),CRDJ[Debit])))+(SUM(IF((GJ[Sort Code]=(TRIM(E$5)))*(GJ[Account Code]=(TRIM($B43)))*(GJ[Date]&lt;=$C$8),GJ[Debit]))))</f>
        <v>0</v>
      </c>
      <c r="D43" s="466">
        <f t="array" ref="D43">((SUM(IF((CkDJ[Date]=$A$4)*(CkDJ[Sort Code]=(TRIM(E$5)))*(CkDJ[Account Code]=(TRIM($B43))),CkDJ[Credit])))+(SUM(IF((CsDJ[Date]=$A$4)*(CsDJ[Sort Code]=(TRIM(E$5)))*(CsDJ[Account Code]=(TRIM($B43))),CsDJ[Credit])))+(SUM(IF((CRDJ[Date]=$A$4)*(CRDJ[Sort Code]=(TRIM(E$5)))*(CRDJ[Account Code]=(TRIM($B43))),CRDJ[Credit])))+(SUM(IF((GJ[Date]=$A$4)*(GJ[Sort Code]=(TRIM(E$5)))*(GJ[Account Code]=(TRIM($B43))),GJ[Credit]))))-((SUM(IF((CkDJ[Date]=$A$4)*(CkDJ[Sort Code]=(TRIM(E$5)))*(CkDJ[Account Code]=(TRIM($B43))),CkDJ[Debit])))+(SUM(IF((CsDJ[Date]=$A$4)*(CsDJ[Sort Code]=(TRIM(E$5)))*(CsDJ[Account Code]=(TRIM($B43))),CsDJ[Debit])))+(SUM(IF((CRDJ[Date]=$A$4)*(CRDJ[Sort Code]=(TRIM(E$5)))*(CRDJ[Account Code]=(TRIM($B43))),CRDJ[Debit])))+(SUM(IF((GJ[Date]=$A$4)*(GJ[Sort Code]=(TRIM(E$5)))*(GJ[Account Code]=(TRIM($B43))),GJ[Debit]))))</f>
        <v>0</v>
      </c>
      <c r="E43" s="467">
        <f t="shared" si="0"/>
        <v>0</v>
      </c>
    </row>
    <row r="44" spans="1:5">
      <c r="A44" s="475" t="s">
        <v>191</v>
      </c>
      <c r="B44" s="339" t="s">
        <v>161</v>
      </c>
      <c r="C44" s="466">
        <f t="array" ref="C44">((SUM(IF((CkDJ[Sort Code]=(TRIM(E$5)))*(CkDJ[Account Code]=(TRIM($B44)))*(CkDJ[Date]&lt;=$C$8),CkDJ[Credit])))+(SUM(IF((CsDJ[Sort Code]=(TRIM(E$5)))*(CsDJ[Account Code]=(TRIM($B44)))*(CsDJ[Date]&lt;=$C$8),CsDJ[Credit])))+(SUM(IF((CRDJ[Sort Code]=(TRIM(E$5)))*(CRDJ[Account Code]=(TRIM($B44)))*(CRDJ[Date]&lt;=$C$8),CRDJ[Credit])))+(SUM(IF((GJ[Sort Code]=(TRIM(E$5)))*(GJ[Account Code]=(TRIM($B44)))*(GJ[Date]&lt;=$C$8),GJ[Credit]))))-((SUM(IF((CkDJ[Sort Code]=(TRIM(E$5)))*(CkDJ[Account Code]=(TRIM($B44)))*(CkDJ[Date]&lt;=$C$8),CkDJ[Debit])))+(SUM(IF((CsDJ[Sort Code]=(TRIM(E$5)))*(CsDJ[Account Code]=(TRIM($B44)))*(CsDJ[Date]&lt;=$C$8),CsDJ[Debit])))+(SUM(IF((CRDJ[Sort Code]=(TRIM(E$5)))*(CRDJ[Account Code]=(TRIM($B44)))*(CRDJ[Date]&lt;=$C$8),CRDJ[Debit])))+(SUM(IF((GJ[Sort Code]=(TRIM(E$5)))*(GJ[Account Code]=(TRIM($B44)))*(GJ[Date]&lt;=$C$8),GJ[Debit]))))</f>
        <v>0</v>
      </c>
      <c r="D44" s="466">
        <f t="array" ref="D44">((SUM(IF((CkDJ[Date]=$A$4)*(CkDJ[Sort Code]=(TRIM(E$5)))*(CkDJ[Account Code]=(TRIM($B44))),CkDJ[Credit])))+(SUM(IF((CsDJ[Date]=$A$4)*(CsDJ[Sort Code]=(TRIM(E$5)))*(CsDJ[Account Code]=(TRIM($B44))),CsDJ[Credit])))+(SUM(IF((CRDJ[Date]=$A$4)*(CRDJ[Sort Code]=(TRIM(E$5)))*(CRDJ[Account Code]=(TRIM($B44))),CRDJ[Credit])))+(SUM(IF((GJ[Date]=$A$4)*(GJ[Sort Code]=(TRIM(E$5)))*(GJ[Account Code]=(TRIM($B44))),GJ[Credit]))))-((SUM(IF((CkDJ[Date]=$A$4)*(CkDJ[Sort Code]=(TRIM(E$5)))*(CkDJ[Account Code]=(TRIM($B44))),CkDJ[Debit])))+(SUM(IF((CsDJ[Date]=$A$4)*(CsDJ[Sort Code]=(TRIM(E$5)))*(CsDJ[Account Code]=(TRIM($B44))),CsDJ[Debit])))+(SUM(IF((CRDJ[Date]=$A$4)*(CRDJ[Sort Code]=(TRIM(E$5)))*(CRDJ[Account Code]=(TRIM($B44))),CRDJ[Debit])))+(SUM(IF((GJ[Date]=$A$4)*(GJ[Sort Code]=(TRIM(E$5)))*(GJ[Account Code]=(TRIM($B44))),GJ[Debit]))))</f>
        <v>0</v>
      </c>
      <c r="E44" s="467">
        <f t="shared" si="0"/>
        <v>0</v>
      </c>
    </row>
    <row r="45" spans="1:5">
      <c r="A45" s="468" t="s">
        <v>1171</v>
      </c>
      <c r="B45" s="469"/>
      <c r="C45" s="470">
        <f>C10+C16+C20+C25+C26+C31+C35</f>
        <v>0</v>
      </c>
      <c r="D45" s="470">
        <f>D10+D16+D20+D25+D26+D31+D35</f>
        <v>0</v>
      </c>
      <c r="E45" s="470">
        <f>E10+E16+E20+E25+E26+E31+E35</f>
        <v>0</v>
      </c>
    </row>
    <row r="46" spans="1:5">
      <c r="A46" s="471" t="s">
        <v>812</v>
      </c>
      <c r="B46" s="339"/>
      <c r="C46" s="472"/>
      <c r="D46" s="472"/>
      <c r="E46" s="479"/>
    </row>
    <row r="47" spans="1:5">
      <c r="A47" s="471" t="s">
        <v>811</v>
      </c>
      <c r="B47" s="339"/>
      <c r="C47" s="474">
        <f>SUM(C48:C72)</f>
        <v>0</v>
      </c>
      <c r="D47" s="474">
        <f>SUM(D48:D72)</f>
        <v>0</v>
      </c>
      <c r="E47" s="474">
        <f>SUM(E48:E72)</f>
        <v>0</v>
      </c>
    </row>
    <row r="48" spans="1:5">
      <c r="A48" s="476" t="s">
        <v>194</v>
      </c>
      <c r="B48" s="339" t="s">
        <v>162</v>
      </c>
      <c r="C48" s="466">
        <f t="array" ref="C48">((SUM(IF((CkDJ[Sort Code]=(TRIM(E$5)))*(CkDJ[Account Code]=(TRIM($B48)))*(CkDJ[Date]&lt;=$C$8),CkDJ[Debit])))+(SUM(IF((CsDJ[Sort Code]=(TRIM(E$5)))*(CsDJ[Account Code]=(TRIM($B48)))*(CsDJ[Date]&lt;=$C$8),CsDJ[Debit])))+(SUM(IF((CRDJ[Sort Code]=(TRIM(E$5)))*(CRDJ[Account Code]=(TRIM($B48)))*(CRDJ[Date]&lt;=$C$8),CRDJ[Debit])))+(SUM(IF((GJ[Sort Code]=(TRIM(E$5)))*(GJ[Account Code]=(TRIM($B48)))*(GJ[Date]&lt;=$C$8),GJ[Debit]))))-((SUM(IF((CkDJ[Sort Code]=(TRIM(E$5)))*(CkDJ[Account Code]=(TRIM($B48)))*(CkDJ[Date]&lt;=$C$8),CkDJ[Credit])))+(SUM(IF((CsDJ[Sort Code]=(TRIM(E$5)))*(CsDJ[Account Code]=(TRIM($B48)))*(CsDJ[Date]&lt;=$C$8),CsDJ[Credit])))+(SUM(IF((CRDJ[Sort Code]=(TRIM(E$5)))*(CRDJ[Account Code]=(TRIM($B48)))*(CRDJ[Date]&lt;=$C$8),CRDJ[Credit])))+(SUM(IF((GJ[Sort Code]=(TRIM(E$5)))*(GJ[Account Code]=(TRIM($B48)))*(GJ[Date]&lt;=$C$8),GJ[Credit]))))</f>
        <v>0</v>
      </c>
      <c r="D48" s="466">
        <f t="array" ref="D48">((SUM(IF((CkDJ[Date]=$A$4)*(CkDJ[Sort Code]=(TRIM(E$5)))*(CkDJ[Account Code]=(TRIM($B48))),CkDJ[Debit])))+(SUM(IF((CsDJ[Date]=$A$4)*(CsDJ[Sort Code]=(TRIM(E$5)))*(CsDJ[Account Code]=(TRIM($B48))),CsDJ[Debit])))+(SUM(IF((CRDJ[Date]=$A$4)*(CRDJ[Sort Code]=(TRIM(E$5)))*(CRDJ[Account Code]=(TRIM($B48))),CRDJ[Debit])))+(SUM(IF((GJ[Date]=$A$4)*(GJ[Sort Code]=(TRIM(E$5)))*(GJ[Account Code]=(TRIM($B48))),GJ[Debit]))))-((SUM(IF((CkDJ[Date]=$A$4)*(CkDJ[Sort Code]=(TRIM(E$5)))*(CkDJ[Account Code]=(TRIM($B48))),CkDJ[Credit])))+(SUM(IF((CsDJ[Date]=$A$4)*(CsDJ[Sort Code]=(TRIM(E$5)))*(CsDJ[Account Code]=(TRIM($B48))),CsDJ[Credit])))+(SUM(IF((CRDJ[Date]=$A$4)*(CRDJ[Sort Code]=(TRIM(E$5)))*(CRDJ[Account Code]=(TRIM($B48))),CRDJ[Credit])))+(SUM(IF((GJ[Date]=$A$4)*(GJ[Sort Code]=(TRIM(E$5)))*(GJ[Account Code]=(TRIM($B48))),GJ[Credit]))))</f>
        <v>0</v>
      </c>
      <c r="E48" s="467">
        <f t="shared" ref="E48:E53" si="1">C48+D48</f>
        <v>0</v>
      </c>
    </row>
    <row r="49" spans="1:5">
      <c r="A49" s="476" t="s">
        <v>195</v>
      </c>
      <c r="B49" s="339" t="s">
        <v>163</v>
      </c>
      <c r="C49" s="466">
        <f t="array" ref="C49">((SUM(IF((CkDJ[Sort Code]=(TRIM(E$5)))*(CkDJ[Account Code]=(TRIM($B49)))*(CkDJ[Date]&lt;=$C$8),CkDJ[Debit])))+(SUM(IF((CsDJ[Sort Code]=(TRIM(E$5)))*(CsDJ[Account Code]=(TRIM($B49)))*(CsDJ[Date]&lt;=$C$8),CsDJ[Debit])))+(SUM(IF((CRDJ[Sort Code]=(TRIM(E$5)))*(CRDJ[Account Code]=(TRIM($B49)))*(CRDJ[Date]&lt;=$C$8),CRDJ[Debit])))+(SUM(IF((GJ[Sort Code]=(TRIM(E$5)))*(GJ[Account Code]=(TRIM($B49)))*(GJ[Date]&lt;=$C$8),GJ[Debit]))))-((SUM(IF((CkDJ[Sort Code]=(TRIM(E$5)))*(CkDJ[Account Code]=(TRIM($B49)))*(CkDJ[Date]&lt;=$C$8),CkDJ[Credit])))+(SUM(IF((CsDJ[Sort Code]=(TRIM(E$5)))*(CsDJ[Account Code]=(TRIM($B49)))*(CsDJ[Date]&lt;=$C$8),CsDJ[Credit])))+(SUM(IF((CRDJ[Sort Code]=(TRIM(E$5)))*(CRDJ[Account Code]=(TRIM($B49)))*(CRDJ[Date]&lt;=$C$8),CRDJ[Credit])))+(SUM(IF((GJ[Sort Code]=(TRIM(E$5)))*(GJ[Account Code]=(TRIM($B49)))*(GJ[Date]&lt;=$C$8),GJ[Credit]))))</f>
        <v>0</v>
      </c>
      <c r="D49" s="466">
        <f t="array" ref="D49">((SUM(IF((CkDJ[Date]=$A$4)*(CkDJ[Sort Code]=(TRIM(E$5)))*(CkDJ[Account Code]=(TRIM($B49))),CkDJ[Debit])))+(SUM(IF((CsDJ[Date]=$A$4)*(CsDJ[Sort Code]=(TRIM(E$5)))*(CsDJ[Account Code]=(TRIM($B49))),CsDJ[Debit])))+(SUM(IF((CRDJ[Date]=$A$4)*(CRDJ[Sort Code]=(TRIM(E$5)))*(CRDJ[Account Code]=(TRIM($B49))),CRDJ[Debit])))+(SUM(IF((GJ[Date]=$A$4)*(GJ[Sort Code]=(TRIM(E$5)))*(GJ[Account Code]=(TRIM($B49))),GJ[Debit]))))-((SUM(IF((CkDJ[Date]=$A$4)*(CkDJ[Sort Code]=(TRIM(E$5)))*(CkDJ[Account Code]=(TRIM($B49))),CkDJ[Credit])))+(SUM(IF((CsDJ[Date]=$A$4)*(CsDJ[Sort Code]=(TRIM(E$5)))*(CsDJ[Account Code]=(TRIM($B49))),CsDJ[Credit])))+(SUM(IF((CRDJ[Date]=$A$4)*(CRDJ[Sort Code]=(TRIM(E$5)))*(CRDJ[Account Code]=(TRIM($B49))),CRDJ[Credit])))+(SUM(IF((GJ[Date]=$A$4)*(GJ[Sort Code]=(TRIM(E$5)))*(GJ[Account Code]=(TRIM($B49))),GJ[Credit]))))</f>
        <v>0</v>
      </c>
      <c r="E49" s="467">
        <f t="shared" si="1"/>
        <v>0</v>
      </c>
    </row>
    <row r="50" spans="1:5">
      <c r="A50" s="476" t="s">
        <v>196</v>
      </c>
      <c r="B50" s="339" t="s">
        <v>1013</v>
      </c>
      <c r="C50" s="466">
        <f t="array" ref="C50">((SUM(IF((CkDJ[Sort Code]=(TRIM(E$5)))*(CkDJ[Account Code]=(TRIM($B50)))*(CkDJ[Date]&lt;=$C$8),CkDJ[Debit])))+(SUM(IF((CsDJ[Sort Code]=(TRIM(E$5)))*(CsDJ[Account Code]=(TRIM($B50)))*(CsDJ[Date]&lt;=$C$8),CsDJ[Debit])))+(SUM(IF((CRDJ[Sort Code]=(TRIM(E$5)))*(CRDJ[Account Code]=(TRIM($B50)))*(CRDJ[Date]&lt;=$C$8),CRDJ[Debit])))+(SUM(IF((GJ[Sort Code]=(TRIM(E$5)))*(GJ[Account Code]=(TRIM($B50)))*(GJ[Date]&lt;=$C$8),GJ[Debit]))))-((SUM(IF((CkDJ[Sort Code]=(TRIM(E$5)))*(CkDJ[Account Code]=(TRIM($B50)))*(CkDJ[Date]&lt;=$C$8),CkDJ[Credit])))+(SUM(IF((CsDJ[Sort Code]=(TRIM(E$5)))*(CsDJ[Account Code]=(TRIM($B50)))*(CsDJ[Date]&lt;=$C$8),CsDJ[Credit])))+(SUM(IF((CRDJ[Sort Code]=(TRIM(E$5)))*(CRDJ[Account Code]=(TRIM($B50)))*(CRDJ[Date]&lt;=$C$8),CRDJ[Credit])))+(SUM(IF((GJ[Sort Code]=(TRIM(E$5)))*(GJ[Account Code]=(TRIM($B50)))*(GJ[Date]&lt;=$C$8),GJ[Credit]))))</f>
        <v>0</v>
      </c>
      <c r="D50" s="466">
        <f t="array" ref="D50">((SUM(IF((CkDJ[Date]=$A$4)*(CkDJ[Sort Code]=(TRIM(E$5)))*(CkDJ[Account Code]=(TRIM($B50))),CkDJ[Debit])))+(SUM(IF((CsDJ[Date]=$A$4)*(CsDJ[Sort Code]=(TRIM(E$5)))*(CsDJ[Account Code]=(TRIM($B50))),CsDJ[Debit])))+(SUM(IF((CRDJ[Date]=$A$4)*(CRDJ[Sort Code]=(TRIM(E$5)))*(CRDJ[Account Code]=(TRIM($B50))),CRDJ[Debit])))+(SUM(IF((GJ[Date]=$A$4)*(GJ[Sort Code]=(TRIM(E$5)))*(GJ[Account Code]=(TRIM($B50))),GJ[Debit]))))-((SUM(IF((CkDJ[Date]=$A$4)*(CkDJ[Sort Code]=(TRIM(E$5)))*(CkDJ[Account Code]=(TRIM($B50))),CkDJ[Credit])))+(SUM(IF((CsDJ[Date]=$A$4)*(CsDJ[Sort Code]=(TRIM(E$5)))*(CsDJ[Account Code]=(TRIM($B50))),CsDJ[Credit])))+(SUM(IF((CRDJ[Date]=$A$4)*(CRDJ[Sort Code]=(TRIM(E$5)))*(CRDJ[Account Code]=(TRIM($B50))),CRDJ[Credit])))+(SUM(IF((GJ[Date]=$A$4)*(GJ[Sort Code]=(TRIM(E$5)))*(GJ[Account Code]=(TRIM($B50))),GJ[Credit]))))</f>
        <v>0</v>
      </c>
      <c r="E50" s="467">
        <f t="shared" si="1"/>
        <v>0</v>
      </c>
    </row>
    <row r="51" spans="1:5">
      <c r="A51" s="476" t="s">
        <v>197</v>
      </c>
      <c r="B51" s="339" t="s">
        <v>164</v>
      </c>
      <c r="C51" s="466">
        <f t="array" ref="C51">((SUM(IF((CkDJ[Sort Code]=(TRIM(E$5)))*(CkDJ[Account Code]=(TRIM($B51)))*(CkDJ[Date]&lt;=$C$8),CkDJ[Debit])))+(SUM(IF((CsDJ[Sort Code]=(TRIM(E$5)))*(CsDJ[Account Code]=(TRIM($B51)))*(CsDJ[Date]&lt;=$C$8),CsDJ[Debit])))+(SUM(IF((CRDJ[Sort Code]=(TRIM(E$5)))*(CRDJ[Account Code]=(TRIM($B51)))*(CRDJ[Date]&lt;=$C$8),CRDJ[Debit])))+(SUM(IF((GJ[Sort Code]=(TRIM(E$5)))*(GJ[Account Code]=(TRIM($B51)))*(GJ[Date]&lt;=$C$8),GJ[Debit]))))-((SUM(IF((CkDJ[Sort Code]=(TRIM(E$5)))*(CkDJ[Account Code]=(TRIM($B51)))*(CkDJ[Date]&lt;=$C$8),CkDJ[Credit])))+(SUM(IF((CsDJ[Sort Code]=(TRIM(E$5)))*(CsDJ[Account Code]=(TRIM($B51)))*(CsDJ[Date]&lt;=$C$8),CsDJ[Credit])))+(SUM(IF((CRDJ[Sort Code]=(TRIM(E$5)))*(CRDJ[Account Code]=(TRIM($B51)))*(CRDJ[Date]&lt;=$C$8),CRDJ[Credit])))+(SUM(IF((GJ[Sort Code]=(TRIM(E$5)))*(GJ[Account Code]=(TRIM($B51)))*(GJ[Date]&lt;=$C$8),GJ[Credit]))))</f>
        <v>0</v>
      </c>
      <c r="D51" s="466">
        <f t="array" ref="D51">((SUM(IF((CkDJ[Date]=$A$4)*(CkDJ[Sort Code]=(TRIM(E$5)))*(CkDJ[Account Code]=(TRIM($B51))),CkDJ[Debit])))+(SUM(IF((CsDJ[Date]=$A$4)*(CsDJ[Sort Code]=(TRIM(E$5)))*(CsDJ[Account Code]=(TRIM($B51))),CsDJ[Debit])))+(SUM(IF((CRDJ[Date]=$A$4)*(CRDJ[Sort Code]=(TRIM(E$5)))*(CRDJ[Account Code]=(TRIM($B51))),CRDJ[Debit])))+(SUM(IF((GJ[Date]=$A$4)*(GJ[Sort Code]=(TRIM(E$5)))*(GJ[Account Code]=(TRIM($B51))),GJ[Debit]))))-((SUM(IF((CkDJ[Date]=$A$4)*(CkDJ[Sort Code]=(TRIM(E$5)))*(CkDJ[Account Code]=(TRIM($B51))),CkDJ[Credit])))+(SUM(IF((CsDJ[Date]=$A$4)*(CsDJ[Sort Code]=(TRIM(E$5)))*(CsDJ[Account Code]=(TRIM($B51))),CsDJ[Credit])))+(SUM(IF((CRDJ[Date]=$A$4)*(CRDJ[Sort Code]=(TRIM(E$5)))*(CRDJ[Account Code]=(TRIM($B51))),CRDJ[Credit])))+(SUM(IF((GJ[Date]=$A$4)*(GJ[Sort Code]=(TRIM(E$5)))*(GJ[Account Code]=(TRIM($B51))),GJ[Credit]))))</f>
        <v>0</v>
      </c>
      <c r="E51" s="467">
        <f t="shared" si="1"/>
        <v>0</v>
      </c>
    </row>
    <row r="52" spans="1:5">
      <c r="A52" s="476" t="s">
        <v>198</v>
      </c>
      <c r="B52" s="339" t="s">
        <v>165</v>
      </c>
      <c r="C52" s="466">
        <f t="array" ref="C52">((SUM(IF((CkDJ[Sort Code]=(TRIM(E$5)))*(CkDJ[Account Code]=(TRIM($B52)))*(CkDJ[Date]&lt;=$C$8),CkDJ[Debit])))+(SUM(IF((CsDJ[Sort Code]=(TRIM(E$5)))*(CsDJ[Account Code]=(TRIM($B52)))*(CsDJ[Date]&lt;=$C$8),CsDJ[Debit])))+(SUM(IF((CRDJ[Sort Code]=(TRIM(E$5)))*(CRDJ[Account Code]=(TRIM($B52)))*(CRDJ[Date]&lt;=$C$8),CRDJ[Debit])))+(SUM(IF((GJ[Sort Code]=(TRIM(E$5)))*(GJ[Account Code]=(TRIM($B52)))*(GJ[Date]&lt;=$C$8),GJ[Debit]))))-((SUM(IF((CkDJ[Sort Code]=(TRIM(E$5)))*(CkDJ[Account Code]=(TRIM($B52)))*(CkDJ[Date]&lt;=$C$8),CkDJ[Credit])))+(SUM(IF((CsDJ[Sort Code]=(TRIM(E$5)))*(CsDJ[Account Code]=(TRIM($B52)))*(CsDJ[Date]&lt;=$C$8),CsDJ[Credit])))+(SUM(IF((CRDJ[Sort Code]=(TRIM(E$5)))*(CRDJ[Account Code]=(TRIM($B52)))*(CRDJ[Date]&lt;=$C$8),CRDJ[Credit])))+(SUM(IF((GJ[Sort Code]=(TRIM(E$5)))*(GJ[Account Code]=(TRIM($B52)))*(GJ[Date]&lt;=$C$8),GJ[Credit]))))</f>
        <v>0</v>
      </c>
      <c r="D52" s="466">
        <f t="array" ref="D52">((SUM(IF((CkDJ[Date]=$A$4)*(CkDJ[Sort Code]=(TRIM(E$5)))*(CkDJ[Account Code]=(TRIM($B52))),CkDJ[Debit])))+(SUM(IF((CsDJ[Date]=$A$4)*(CsDJ[Sort Code]=(TRIM(E$5)))*(CsDJ[Account Code]=(TRIM($B52))),CsDJ[Debit])))+(SUM(IF((CRDJ[Date]=$A$4)*(CRDJ[Sort Code]=(TRIM(E$5)))*(CRDJ[Account Code]=(TRIM($B52))),CRDJ[Debit])))+(SUM(IF((GJ[Date]=$A$4)*(GJ[Sort Code]=(TRIM(E$5)))*(GJ[Account Code]=(TRIM($B52))),GJ[Debit]))))-((SUM(IF((CkDJ[Date]=$A$4)*(CkDJ[Sort Code]=(TRIM(E$5)))*(CkDJ[Account Code]=(TRIM($B52))),CkDJ[Credit])))+(SUM(IF((CsDJ[Date]=$A$4)*(CsDJ[Sort Code]=(TRIM(E$5)))*(CsDJ[Account Code]=(TRIM($B52))),CsDJ[Credit])))+(SUM(IF((CRDJ[Date]=$A$4)*(CRDJ[Sort Code]=(TRIM(E$5)))*(CRDJ[Account Code]=(TRIM($B52))),CRDJ[Credit])))+(SUM(IF((GJ[Date]=$A$4)*(GJ[Sort Code]=(TRIM(E$5)))*(GJ[Account Code]=(TRIM($B52))),GJ[Credit]))))</f>
        <v>0</v>
      </c>
      <c r="E52" s="467">
        <f t="shared" si="1"/>
        <v>0</v>
      </c>
    </row>
    <row r="53" spans="1:5">
      <c r="A53" s="476" t="s">
        <v>199</v>
      </c>
      <c r="B53" s="339" t="s">
        <v>166</v>
      </c>
      <c r="C53" s="466">
        <f t="array" ref="C53">((SUM(IF((CkDJ[Sort Code]=(TRIM(E$5)))*(CkDJ[Account Code]=(TRIM($B53)))*(CkDJ[Date]&lt;=$C$8),CkDJ[Debit])))+(SUM(IF((CsDJ[Sort Code]=(TRIM(E$5)))*(CsDJ[Account Code]=(TRIM($B53)))*(CsDJ[Date]&lt;=$C$8),CsDJ[Debit])))+(SUM(IF((CRDJ[Sort Code]=(TRIM(E$5)))*(CRDJ[Account Code]=(TRIM($B53)))*(CRDJ[Date]&lt;=$C$8),CRDJ[Debit])))+(SUM(IF((GJ[Sort Code]=(TRIM(E$5)))*(GJ[Account Code]=(TRIM($B53)))*(GJ[Date]&lt;=$C$8),GJ[Debit]))))-((SUM(IF((CkDJ[Sort Code]=(TRIM(E$5)))*(CkDJ[Account Code]=(TRIM($B53)))*(CkDJ[Date]&lt;=$C$8),CkDJ[Credit])))+(SUM(IF((CsDJ[Sort Code]=(TRIM(E$5)))*(CsDJ[Account Code]=(TRIM($B53)))*(CsDJ[Date]&lt;=$C$8),CsDJ[Credit])))+(SUM(IF((CRDJ[Sort Code]=(TRIM(E$5)))*(CRDJ[Account Code]=(TRIM($B53)))*(CRDJ[Date]&lt;=$C$8),CRDJ[Credit])))+(SUM(IF((GJ[Sort Code]=(TRIM(E$5)))*(GJ[Account Code]=(TRIM($B53)))*(GJ[Date]&lt;=$C$8),GJ[Credit]))))</f>
        <v>0</v>
      </c>
      <c r="D53" s="466">
        <f t="array" ref="D53">((SUM(IF((CkDJ[Date]=$A$4)*(CkDJ[Sort Code]=(TRIM(E$5)))*(CkDJ[Account Code]=(TRIM($B53))),CkDJ[Debit])))+(SUM(IF((CsDJ[Date]=$A$4)*(CsDJ[Sort Code]=(TRIM(E$5)))*(CsDJ[Account Code]=(TRIM($B53))),CsDJ[Debit])))+(SUM(IF((CRDJ[Date]=$A$4)*(CRDJ[Sort Code]=(TRIM(E$5)))*(CRDJ[Account Code]=(TRIM($B53))),CRDJ[Debit])))+(SUM(IF((GJ[Date]=$A$4)*(GJ[Sort Code]=(TRIM(E$5)))*(GJ[Account Code]=(TRIM($B53))),GJ[Debit]))))-((SUM(IF((CkDJ[Date]=$A$4)*(CkDJ[Sort Code]=(TRIM(E$5)))*(CkDJ[Account Code]=(TRIM($B53))),CkDJ[Credit])))+(SUM(IF((CsDJ[Date]=$A$4)*(CsDJ[Sort Code]=(TRIM(E$5)))*(CsDJ[Account Code]=(TRIM($B53))),CsDJ[Credit])))+(SUM(IF((CRDJ[Date]=$A$4)*(CRDJ[Sort Code]=(TRIM(E$5)))*(CRDJ[Account Code]=(TRIM($B53))),CRDJ[Credit])))+(SUM(IF((GJ[Date]=$A$4)*(GJ[Sort Code]=(TRIM(E$5)))*(GJ[Account Code]=(TRIM($B53))),GJ[Credit]))))</f>
        <v>0</v>
      </c>
      <c r="E53" s="467">
        <f t="shared" si="1"/>
        <v>0</v>
      </c>
    </row>
    <row r="54" spans="1:5">
      <c r="A54" s="476" t="s">
        <v>200</v>
      </c>
      <c r="B54" s="339" t="s">
        <v>167</v>
      </c>
      <c r="C54" s="466">
        <f t="array" ref="C54">((SUM(IF((CkDJ[Sort Code]=(TRIM(E$5)))*(CkDJ[Account Code]=(TRIM($B54)))*(CkDJ[Date]&lt;=$C$8),CkDJ[Debit])))+(SUM(IF((CsDJ[Sort Code]=(TRIM(E$5)))*(CsDJ[Account Code]=(TRIM($B54)))*(CsDJ[Date]&lt;=$C$8),CsDJ[Debit])))+(SUM(IF((CRDJ[Sort Code]=(TRIM(E$5)))*(CRDJ[Account Code]=(TRIM($B54)))*(CRDJ[Date]&lt;=$C$8),CRDJ[Debit])))+(SUM(IF((GJ[Sort Code]=(TRIM(E$5)))*(GJ[Account Code]=(TRIM($B54)))*(GJ[Date]&lt;=$C$8),GJ[Debit]))))-((SUM(IF((CkDJ[Sort Code]=(TRIM(E$5)))*(CkDJ[Account Code]=(TRIM($B54)))*(CkDJ[Date]&lt;=$C$8),CkDJ[Credit])))+(SUM(IF((CsDJ[Sort Code]=(TRIM(E$5)))*(CsDJ[Account Code]=(TRIM($B54)))*(CsDJ[Date]&lt;=$C$8),CsDJ[Credit])))+(SUM(IF((CRDJ[Sort Code]=(TRIM(E$5)))*(CRDJ[Account Code]=(TRIM($B54)))*(CRDJ[Date]&lt;=$C$8),CRDJ[Credit])))+(SUM(IF((GJ[Sort Code]=(TRIM(E$5)))*(GJ[Account Code]=(TRIM($B54)))*(GJ[Date]&lt;=$C$8),GJ[Credit]))))</f>
        <v>0</v>
      </c>
      <c r="D54" s="466">
        <f t="array" ref="D54">((SUM(IF((CkDJ[Date]=$A$4)*(CkDJ[Sort Code]=(TRIM(E$5)))*(CkDJ[Account Code]=(TRIM($B54))),CkDJ[Debit])))+(SUM(IF((CsDJ[Date]=$A$4)*(CsDJ[Sort Code]=(TRIM(E$5)))*(CsDJ[Account Code]=(TRIM($B54))),CsDJ[Debit])))+(SUM(IF((CRDJ[Date]=$A$4)*(CRDJ[Sort Code]=(TRIM(E$5)))*(CRDJ[Account Code]=(TRIM($B54))),CRDJ[Debit])))+(SUM(IF((GJ[Date]=$A$4)*(GJ[Sort Code]=(TRIM(E$5)))*(GJ[Account Code]=(TRIM($B54))),GJ[Debit]))))-((SUM(IF((CkDJ[Date]=$A$4)*(CkDJ[Sort Code]=(TRIM(E$5)))*(CkDJ[Account Code]=(TRIM($B54))),CkDJ[Credit])))+(SUM(IF((CsDJ[Date]=$A$4)*(CsDJ[Sort Code]=(TRIM(E$5)))*(CsDJ[Account Code]=(TRIM($B54))),CsDJ[Credit])))+(SUM(IF((CRDJ[Date]=$A$4)*(CRDJ[Sort Code]=(TRIM(E$5)))*(CRDJ[Account Code]=(TRIM($B54))),CRDJ[Credit])))+(SUM(IF((GJ[Date]=$A$4)*(GJ[Sort Code]=(TRIM(E$5)))*(GJ[Account Code]=(TRIM($B54))),GJ[Credit]))))</f>
        <v>0</v>
      </c>
      <c r="E54" s="467">
        <f>C54+D54</f>
        <v>0</v>
      </c>
    </row>
    <row r="55" spans="1:5">
      <c r="A55" s="476" t="s">
        <v>1204</v>
      </c>
      <c r="B55" s="339" t="s">
        <v>1262</v>
      </c>
      <c r="C55" s="466">
        <f t="array" ref="C55">((SUM(IF((CkDJ[Sort Code]=(TRIM(E$5)))*(CkDJ[Account Code]=(TRIM($B55)))*(CkDJ[Date]&lt;=$C$8),CkDJ[Debit])))+(SUM(IF((CsDJ[Sort Code]=(TRIM(E$5)))*(CsDJ[Account Code]=(TRIM($B55)))*(CsDJ[Date]&lt;=$C$8),CsDJ[Debit])))+(SUM(IF((CRDJ[Sort Code]=(TRIM(E$5)))*(CRDJ[Account Code]=(TRIM($B55)))*(CRDJ[Date]&lt;=$C$8),CRDJ[Debit])))+(SUM(IF((GJ[Sort Code]=(TRIM(E$5)))*(GJ[Account Code]=(TRIM($B55)))*(GJ[Date]&lt;=$C$8),GJ[Debit]))))-((SUM(IF((CkDJ[Sort Code]=(TRIM(E$5)))*(CkDJ[Account Code]=(TRIM($B55)))*(CkDJ[Date]&lt;=$C$8),CkDJ[Credit])))+(SUM(IF((CsDJ[Sort Code]=(TRIM(E$5)))*(CsDJ[Account Code]=(TRIM($B55)))*(CsDJ[Date]&lt;=$C$8),CsDJ[Credit])))+(SUM(IF((CRDJ[Sort Code]=(TRIM(E$5)))*(CRDJ[Account Code]=(TRIM($B55)))*(CRDJ[Date]&lt;=$C$8),CRDJ[Credit])))+(SUM(IF((GJ[Sort Code]=(TRIM(E$5)))*(GJ[Account Code]=(TRIM($B55)))*(GJ[Date]&lt;=$C$8),GJ[Credit]))))</f>
        <v>0</v>
      </c>
      <c r="D55" s="466">
        <f t="array" ref="D55">((SUM(IF((CkDJ[Date]=$A$4)*(CkDJ[Sort Code]=(TRIM(E$5)))*(CkDJ[Account Code]=(TRIM($B55))),CkDJ[Debit])))+(SUM(IF((CsDJ[Date]=$A$4)*(CsDJ[Sort Code]=(TRIM(E$5)))*(CsDJ[Account Code]=(TRIM($B55))),CsDJ[Debit])))+(SUM(IF((CRDJ[Date]=$A$4)*(CRDJ[Sort Code]=(TRIM(E$5)))*(CRDJ[Account Code]=(TRIM($B55))),CRDJ[Debit])))+(SUM(IF((GJ[Date]=$A$4)*(GJ[Sort Code]=(TRIM(E$5)))*(GJ[Account Code]=(TRIM($B55))),GJ[Debit]))))-((SUM(IF((CkDJ[Date]=$A$4)*(CkDJ[Sort Code]=(TRIM(E$5)))*(CkDJ[Account Code]=(TRIM($B55))),CkDJ[Credit])))+(SUM(IF((CsDJ[Date]=$A$4)*(CsDJ[Sort Code]=(TRIM(E$5)))*(CsDJ[Account Code]=(TRIM($B55))),CsDJ[Credit])))+(SUM(IF((CRDJ[Date]=$A$4)*(CRDJ[Sort Code]=(TRIM(E$5)))*(CRDJ[Account Code]=(TRIM($B55))),CRDJ[Credit])))+(SUM(IF((GJ[Date]=$A$4)*(GJ[Sort Code]=(TRIM(E$5)))*(GJ[Account Code]=(TRIM($B55))),GJ[Credit]))))</f>
        <v>0</v>
      </c>
      <c r="E55" s="467">
        <f>C55+D55</f>
        <v>0</v>
      </c>
    </row>
    <row r="56" spans="1:5">
      <c r="A56" s="476" t="s">
        <v>204</v>
      </c>
      <c r="B56" s="339" t="s">
        <v>171</v>
      </c>
      <c r="C56" s="466">
        <f t="array" ref="C56">((SUM(IF((CkDJ[Sort Code]=(TRIM(E$5)))*(CkDJ[Account Code]=(TRIM($B56)))*(CkDJ[Date]&lt;=$C$8),CkDJ[Debit])))+(SUM(IF((CsDJ[Sort Code]=(TRIM(E$5)))*(CsDJ[Account Code]=(TRIM($B56)))*(CsDJ[Date]&lt;=$C$8),CsDJ[Debit])))+(SUM(IF((CRDJ[Sort Code]=(TRIM(E$5)))*(CRDJ[Account Code]=(TRIM($B56)))*(CRDJ[Date]&lt;=$C$8),CRDJ[Debit])))+(SUM(IF((GJ[Sort Code]=(TRIM(E$5)))*(GJ[Account Code]=(TRIM($B56)))*(GJ[Date]&lt;=$C$8),GJ[Debit]))))-((SUM(IF((CkDJ[Sort Code]=(TRIM(E$5)))*(CkDJ[Account Code]=(TRIM($B56)))*(CkDJ[Date]&lt;=$C$8),CkDJ[Credit])))+(SUM(IF((CsDJ[Sort Code]=(TRIM(E$5)))*(CsDJ[Account Code]=(TRIM($B56)))*(CsDJ[Date]&lt;=$C$8),CsDJ[Credit])))+(SUM(IF((CRDJ[Sort Code]=(TRIM(E$5)))*(CRDJ[Account Code]=(TRIM($B56)))*(CRDJ[Date]&lt;=$C$8),CRDJ[Credit])))+(SUM(IF((GJ[Sort Code]=(TRIM(E$5)))*(GJ[Account Code]=(TRIM($B56)))*(GJ[Date]&lt;=$C$8),GJ[Credit]))))</f>
        <v>0</v>
      </c>
      <c r="D56" s="466">
        <f t="array" ref="D56">((SUM(IF((CkDJ[Date]=$A$4)*(CkDJ[Sort Code]=(TRIM(E$5)))*(CkDJ[Account Code]=(TRIM($B56))),CkDJ[Debit])))+(SUM(IF((CsDJ[Date]=$A$4)*(CsDJ[Sort Code]=(TRIM(E$5)))*(CsDJ[Account Code]=(TRIM($B56))),CsDJ[Debit])))+(SUM(IF((CRDJ[Date]=$A$4)*(CRDJ[Sort Code]=(TRIM(E$5)))*(CRDJ[Account Code]=(TRIM($B56))),CRDJ[Debit])))+(SUM(IF((GJ[Date]=$A$4)*(GJ[Sort Code]=(TRIM(E$5)))*(GJ[Account Code]=(TRIM($B56))),GJ[Debit]))))-((SUM(IF((CkDJ[Date]=$A$4)*(CkDJ[Sort Code]=(TRIM(E$5)))*(CkDJ[Account Code]=(TRIM($B56))),CkDJ[Credit])))+(SUM(IF((CsDJ[Date]=$A$4)*(CsDJ[Sort Code]=(TRIM(E$5)))*(CsDJ[Account Code]=(TRIM($B56))),CsDJ[Credit])))+(SUM(IF((CRDJ[Date]=$A$4)*(CRDJ[Sort Code]=(TRIM(E$5)))*(CRDJ[Account Code]=(TRIM($B56))),CRDJ[Credit])))+(SUM(IF((GJ[Date]=$A$4)*(GJ[Sort Code]=(TRIM(E$5)))*(GJ[Account Code]=(TRIM($B56))),GJ[Credit]))))</f>
        <v>0</v>
      </c>
      <c r="E56" s="467">
        <f t="shared" ref="E56:E72" si="2">C56+D56</f>
        <v>0</v>
      </c>
    </row>
    <row r="57" spans="1:5">
      <c r="A57" s="476" t="s">
        <v>201</v>
      </c>
      <c r="B57" s="339" t="s">
        <v>5</v>
      </c>
      <c r="C57" s="466">
        <f t="array" ref="C57">((SUM(IF((CkDJ[Sort Code]=(TRIM(E$5)))*(CkDJ[Account Code]=(TRIM($B57)))*(CkDJ[Date]&lt;=$C$8),CkDJ[Debit])))+(SUM(IF((CsDJ[Sort Code]=(TRIM(E$5)))*(CsDJ[Account Code]=(TRIM($B57)))*(CsDJ[Date]&lt;=$C$8),CsDJ[Debit])))+(SUM(IF((CRDJ[Sort Code]=(TRIM(E$5)))*(CRDJ[Account Code]=(TRIM($B57)))*(CRDJ[Date]&lt;=$C$8),CRDJ[Debit])))+(SUM(IF((GJ[Sort Code]=(TRIM(E$5)))*(GJ[Account Code]=(TRIM($B57)))*(GJ[Date]&lt;=$C$8),GJ[Debit]))))-((SUM(IF((CkDJ[Sort Code]=(TRIM(E$5)))*(CkDJ[Account Code]=(TRIM($B57)))*(CkDJ[Date]&lt;=$C$8),CkDJ[Credit])))+(SUM(IF((CsDJ[Sort Code]=(TRIM(E$5)))*(CsDJ[Account Code]=(TRIM($B57)))*(CsDJ[Date]&lt;=$C$8),CsDJ[Credit])))+(SUM(IF((CRDJ[Sort Code]=(TRIM(E$5)))*(CRDJ[Account Code]=(TRIM($B57)))*(CRDJ[Date]&lt;=$C$8),CRDJ[Credit])))+(SUM(IF((GJ[Sort Code]=(TRIM(E$5)))*(GJ[Account Code]=(TRIM($B57)))*(GJ[Date]&lt;=$C$8),GJ[Credit]))))</f>
        <v>0</v>
      </c>
      <c r="D57" s="466">
        <f t="array" ref="D57">((SUM(IF((CkDJ[Date]=$A$4)*(CkDJ[Sort Code]=(TRIM(E$5)))*(CkDJ[Account Code]=(TRIM($B57))),CkDJ[Debit])))+(SUM(IF((CsDJ[Date]=$A$4)*(CsDJ[Sort Code]=(TRIM(E$5)))*(CsDJ[Account Code]=(TRIM($B57))),CsDJ[Debit])))+(SUM(IF((CRDJ[Date]=$A$4)*(CRDJ[Sort Code]=(TRIM(E$5)))*(CRDJ[Account Code]=(TRIM($B57))),CRDJ[Debit])))+(SUM(IF((GJ[Date]=$A$4)*(GJ[Sort Code]=(TRIM(E$5)))*(GJ[Account Code]=(TRIM($B57))),GJ[Debit]))))-((SUM(IF((CkDJ[Date]=$A$4)*(CkDJ[Sort Code]=(TRIM(E$5)))*(CkDJ[Account Code]=(TRIM($B57))),CkDJ[Credit])))+(SUM(IF((CsDJ[Date]=$A$4)*(CsDJ[Sort Code]=(TRIM(E$5)))*(CsDJ[Account Code]=(TRIM($B57))),CsDJ[Credit])))+(SUM(IF((CRDJ[Date]=$A$4)*(CRDJ[Sort Code]=(TRIM(E$5)))*(CRDJ[Account Code]=(TRIM($B57))),CRDJ[Credit])))+(SUM(IF((GJ[Date]=$A$4)*(GJ[Sort Code]=(TRIM(E$5)))*(GJ[Account Code]=(TRIM($B57))),GJ[Credit]))))</f>
        <v>0</v>
      </c>
      <c r="E57" s="467">
        <f t="shared" si="2"/>
        <v>0</v>
      </c>
    </row>
    <row r="58" spans="1:5">
      <c r="A58" s="476" t="s">
        <v>202</v>
      </c>
      <c r="B58" s="339" t="s">
        <v>6</v>
      </c>
      <c r="C58" s="466">
        <f t="array" ref="C58">((SUM(IF((CkDJ[Sort Code]=(TRIM(E$5)))*(CkDJ[Account Code]=(TRIM($B58)))*(CkDJ[Date]&lt;=$C$8),CkDJ[Debit])))+(SUM(IF((CsDJ[Sort Code]=(TRIM(E$5)))*(CsDJ[Account Code]=(TRIM($B58)))*(CsDJ[Date]&lt;=$C$8),CsDJ[Debit])))+(SUM(IF((CRDJ[Sort Code]=(TRIM(E$5)))*(CRDJ[Account Code]=(TRIM($B58)))*(CRDJ[Date]&lt;=$C$8),CRDJ[Debit])))+(SUM(IF((GJ[Sort Code]=(TRIM(E$5)))*(GJ[Account Code]=(TRIM($B58)))*(GJ[Date]&lt;=$C$8),GJ[Debit]))))-((SUM(IF((CkDJ[Sort Code]=(TRIM(E$5)))*(CkDJ[Account Code]=(TRIM($B58)))*(CkDJ[Date]&lt;=$C$8),CkDJ[Credit])))+(SUM(IF((CsDJ[Sort Code]=(TRIM(E$5)))*(CsDJ[Account Code]=(TRIM($B58)))*(CsDJ[Date]&lt;=$C$8),CsDJ[Credit])))+(SUM(IF((CRDJ[Sort Code]=(TRIM(E$5)))*(CRDJ[Account Code]=(TRIM($B58)))*(CRDJ[Date]&lt;=$C$8),CRDJ[Credit])))+(SUM(IF((GJ[Sort Code]=(TRIM(E$5)))*(GJ[Account Code]=(TRIM($B58)))*(GJ[Date]&lt;=$C$8),GJ[Credit]))))</f>
        <v>0</v>
      </c>
      <c r="D58" s="466">
        <f t="array" ref="D58">((SUM(IF((CkDJ[Date]=$A$4)*(CkDJ[Sort Code]=(TRIM(E$5)))*(CkDJ[Account Code]=(TRIM($B58))),CkDJ[Debit])))+(SUM(IF((CsDJ[Date]=$A$4)*(CsDJ[Sort Code]=(TRIM(E$5)))*(CsDJ[Account Code]=(TRIM($B58))),CsDJ[Debit])))+(SUM(IF((CRDJ[Date]=$A$4)*(CRDJ[Sort Code]=(TRIM(E$5)))*(CRDJ[Account Code]=(TRIM($B58))),CRDJ[Debit])))+(SUM(IF((GJ[Date]=$A$4)*(GJ[Sort Code]=(TRIM(E$5)))*(GJ[Account Code]=(TRIM($B58))),GJ[Debit]))))-((SUM(IF((CkDJ[Date]=$A$4)*(CkDJ[Sort Code]=(TRIM(E$5)))*(CkDJ[Account Code]=(TRIM($B58))),CkDJ[Credit])))+(SUM(IF((CsDJ[Date]=$A$4)*(CsDJ[Sort Code]=(TRIM(E$5)))*(CsDJ[Account Code]=(TRIM($B58))),CsDJ[Credit])))+(SUM(IF((CRDJ[Date]=$A$4)*(CRDJ[Sort Code]=(TRIM(E$5)))*(CRDJ[Account Code]=(TRIM($B58))),CRDJ[Credit])))+(SUM(IF((GJ[Date]=$A$4)*(GJ[Sort Code]=(TRIM(E$5)))*(GJ[Account Code]=(TRIM($B58))),GJ[Credit]))))</f>
        <v>0</v>
      </c>
      <c r="E58" s="467">
        <f t="shared" si="2"/>
        <v>0</v>
      </c>
    </row>
    <row r="59" spans="1:5">
      <c r="A59" s="476" t="s">
        <v>203</v>
      </c>
      <c r="B59" s="339" t="s">
        <v>7</v>
      </c>
      <c r="C59" s="466">
        <f t="array" ref="C59">((SUM(IF((CkDJ[Sort Code]=(TRIM(E$5)))*(CkDJ[Account Code]=(TRIM($B59)))*(CkDJ[Date]&lt;=$C$8),CkDJ[Debit])))+(SUM(IF((CsDJ[Sort Code]=(TRIM(E$5)))*(CsDJ[Account Code]=(TRIM($B59)))*(CsDJ[Date]&lt;=$C$8),CsDJ[Debit])))+(SUM(IF((CRDJ[Sort Code]=(TRIM(E$5)))*(CRDJ[Account Code]=(TRIM($B59)))*(CRDJ[Date]&lt;=$C$8),CRDJ[Debit])))+(SUM(IF((GJ[Sort Code]=(TRIM(E$5)))*(GJ[Account Code]=(TRIM($B59)))*(GJ[Date]&lt;=$C$8),GJ[Debit]))))-((SUM(IF((CkDJ[Sort Code]=(TRIM(E$5)))*(CkDJ[Account Code]=(TRIM($B59)))*(CkDJ[Date]&lt;=$C$8),CkDJ[Credit])))+(SUM(IF((CsDJ[Sort Code]=(TRIM(E$5)))*(CsDJ[Account Code]=(TRIM($B59)))*(CsDJ[Date]&lt;=$C$8),CsDJ[Credit])))+(SUM(IF((CRDJ[Sort Code]=(TRIM(E$5)))*(CRDJ[Account Code]=(TRIM($B59)))*(CRDJ[Date]&lt;=$C$8),CRDJ[Credit])))+(SUM(IF((GJ[Sort Code]=(TRIM(E$5)))*(GJ[Account Code]=(TRIM($B59)))*(GJ[Date]&lt;=$C$8),GJ[Credit]))))</f>
        <v>0</v>
      </c>
      <c r="D59" s="466">
        <f t="array" ref="D59">((SUM(IF((CkDJ[Date]=$A$4)*(CkDJ[Sort Code]=(TRIM(E$5)))*(CkDJ[Account Code]=(TRIM($B59))),CkDJ[Debit])))+(SUM(IF((CsDJ[Date]=$A$4)*(CsDJ[Sort Code]=(TRIM(E$5)))*(CsDJ[Account Code]=(TRIM($B59))),CsDJ[Debit])))+(SUM(IF((CRDJ[Date]=$A$4)*(CRDJ[Sort Code]=(TRIM(E$5)))*(CRDJ[Account Code]=(TRIM($B59))),CRDJ[Debit])))+(SUM(IF((GJ[Date]=$A$4)*(GJ[Sort Code]=(TRIM(E$5)))*(GJ[Account Code]=(TRIM($B59))),GJ[Debit]))))-((SUM(IF((CkDJ[Date]=$A$4)*(CkDJ[Sort Code]=(TRIM(E$5)))*(CkDJ[Account Code]=(TRIM($B59))),CkDJ[Credit])))+(SUM(IF((CsDJ[Date]=$A$4)*(CsDJ[Sort Code]=(TRIM(E$5)))*(CsDJ[Account Code]=(TRIM($B59))),CsDJ[Credit])))+(SUM(IF((CRDJ[Date]=$A$4)*(CRDJ[Sort Code]=(TRIM(E$5)))*(CRDJ[Account Code]=(TRIM($B59))),CRDJ[Credit])))+(SUM(IF((GJ[Date]=$A$4)*(GJ[Sort Code]=(TRIM(E$5)))*(GJ[Account Code]=(TRIM($B59))),GJ[Credit]))))</f>
        <v>0</v>
      </c>
      <c r="E59" s="467">
        <f t="shared" si="2"/>
        <v>0</v>
      </c>
    </row>
    <row r="60" spans="1:5">
      <c r="A60" s="476" t="s">
        <v>1378</v>
      </c>
      <c r="B60" s="339" t="s">
        <v>169</v>
      </c>
      <c r="C60" s="466">
        <f t="array" ref="C60">((SUM(IF((CkDJ[Sort Code]=(TRIM(E$5)))*(CkDJ[Account Code]=(TRIM($B60)))*(CkDJ[Date]&lt;=$C$8),CkDJ[Debit])))+(SUM(IF((CsDJ[Sort Code]=(TRIM(E$5)))*(CsDJ[Account Code]=(TRIM($B60)))*(CsDJ[Date]&lt;=$C$8),CsDJ[Debit])))+(SUM(IF((CRDJ[Sort Code]=(TRIM(E$5)))*(CRDJ[Account Code]=(TRIM($B60)))*(CRDJ[Date]&lt;=$C$8),CRDJ[Debit])))+(SUM(IF((GJ[Sort Code]=(TRIM(E$5)))*(GJ[Account Code]=(TRIM($B60)))*(GJ[Date]&lt;=$C$8),GJ[Debit]))))-((SUM(IF((CkDJ[Sort Code]=(TRIM(E$5)))*(CkDJ[Account Code]=(TRIM($B60)))*(CkDJ[Date]&lt;=$C$8),CkDJ[Credit])))+(SUM(IF((CsDJ[Sort Code]=(TRIM(E$5)))*(CsDJ[Account Code]=(TRIM($B60)))*(CsDJ[Date]&lt;=$C$8),CsDJ[Credit])))+(SUM(IF((CRDJ[Sort Code]=(TRIM(E$5)))*(CRDJ[Account Code]=(TRIM($B60)))*(CRDJ[Date]&lt;=$C$8),CRDJ[Credit])))+(SUM(IF((GJ[Sort Code]=(TRIM(E$5)))*(GJ[Account Code]=(TRIM($B60)))*(GJ[Date]&lt;=$C$8),GJ[Credit]))))</f>
        <v>0</v>
      </c>
      <c r="D60" s="466">
        <f t="array" ref="D60">((SUM(IF((CkDJ[Date]=$A$4)*(CkDJ[Sort Code]=(TRIM(E$5)))*(CkDJ[Account Code]=(TRIM($B60))),CkDJ[Debit])))+(SUM(IF((CsDJ[Date]=$A$4)*(CsDJ[Sort Code]=(TRIM(E$5)))*(CsDJ[Account Code]=(TRIM($B60))),CsDJ[Debit])))+(SUM(IF((CRDJ[Date]=$A$4)*(CRDJ[Sort Code]=(TRIM(E$5)))*(CRDJ[Account Code]=(TRIM($B60))),CRDJ[Debit])))+(SUM(IF((GJ[Date]=$A$4)*(GJ[Sort Code]=(TRIM(E$5)))*(GJ[Account Code]=(TRIM($B60))),GJ[Debit]))))-((SUM(IF((CkDJ[Date]=$A$4)*(CkDJ[Sort Code]=(TRIM(E$5)))*(CkDJ[Account Code]=(TRIM($B60))),CkDJ[Credit])))+(SUM(IF((CsDJ[Date]=$A$4)*(CsDJ[Sort Code]=(TRIM(E$5)))*(CsDJ[Account Code]=(TRIM($B60))),CsDJ[Credit])))+(SUM(IF((CRDJ[Date]=$A$4)*(CRDJ[Sort Code]=(TRIM(E$5)))*(CRDJ[Account Code]=(TRIM($B60))),CRDJ[Credit])))+(SUM(IF((GJ[Date]=$A$4)*(GJ[Sort Code]=(TRIM(E$5)))*(GJ[Account Code]=(TRIM($B60))),GJ[Credit]))))</f>
        <v>0</v>
      </c>
      <c r="E60" s="467">
        <f>C60+D60</f>
        <v>0</v>
      </c>
    </row>
    <row r="61" spans="1:5">
      <c r="A61" s="476" t="s">
        <v>1474</v>
      </c>
      <c r="B61" s="339" t="s">
        <v>170</v>
      </c>
      <c r="C61" s="466">
        <f t="array" ref="C61">((SUM(IF((CkDJ[Sort Code]=(TRIM(E$5)))*(CkDJ[Account Code]=(TRIM($B61)))*(CkDJ[Date]&lt;=$C$8),CkDJ[Debit])))+(SUM(IF((CsDJ[Sort Code]=(TRIM(E$5)))*(CsDJ[Account Code]=(TRIM($B61)))*(CsDJ[Date]&lt;=$C$8),CsDJ[Debit])))+(SUM(IF((CRDJ[Sort Code]=(TRIM(E$5)))*(CRDJ[Account Code]=(TRIM($B61)))*(CRDJ[Date]&lt;=$C$8),CRDJ[Debit])))+(SUM(IF((GJ[Sort Code]=(TRIM(E$5)))*(GJ[Account Code]=(TRIM($B61)))*(GJ[Date]&lt;=$C$8),GJ[Debit]))))-((SUM(IF((CkDJ[Sort Code]=(TRIM(E$5)))*(CkDJ[Account Code]=(TRIM($B61)))*(CkDJ[Date]&lt;=$C$8),CkDJ[Credit])))+(SUM(IF((CsDJ[Sort Code]=(TRIM(E$5)))*(CsDJ[Account Code]=(TRIM($B61)))*(CsDJ[Date]&lt;=$C$8),CsDJ[Credit])))+(SUM(IF((CRDJ[Sort Code]=(TRIM(E$5)))*(CRDJ[Account Code]=(TRIM($B61)))*(CRDJ[Date]&lt;=$C$8),CRDJ[Credit])))+(SUM(IF((GJ[Sort Code]=(TRIM(E$5)))*(GJ[Account Code]=(TRIM($B61)))*(GJ[Date]&lt;=$C$8),GJ[Credit]))))</f>
        <v>0</v>
      </c>
      <c r="D61" s="466">
        <f t="array" ref="D61">((SUM(IF((CkDJ[Date]=$A$4)*(CkDJ[Sort Code]=(TRIM(E$5)))*(CkDJ[Account Code]=(TRIM($B61))),CkDJ[Debit])))+(SUM(IF((CsDJ[Date]=$A$4)*(CsDJ[Sort Code]=(TRIM(E$5)))*(CsDJ[Account Code]=(TRIM($B61))),CsDJ[Debit])))+(SUM(IF((CRDJ[Date]=$A$4)*(CRDJ[Sort Code]=(TRIM(E$5)))*(CRDJ[Account Code]=(TRIM($B61))),CRDJ[Debit])))+(SUM(IF((GJ[Date]=$A$4)*(GJ[Sort Code]=(TRIM(E$5)))*(GJ[Account Code]=(TRIM($B61))),GJ[Debit]))))-((SUM(IF((CkDJ[Date]=$A$4)*(CkDJ[Sort Code]=(TRIM(E$5)))*(CkDJ[Account Code]=(TRIM($B61))),CkDJ[Credit])))+(SUM(IF((CsDJ[Date]=$A$4)*(CsDJ[Sort Code]=(TRIM(E$5)))*(CsDJ[Account Code]=(TRIM($B61))),CsDJ[Credit])))+(SUM(IF((CRDJ[Date]=$A$4)*(CRDJ[Sort Code]=(TRIM(E$5)))*(CRDJ[Account Code]=(TRIM($B61))),CRDJ[Credit])))+(SUM(IF((GJ[Date]=$A$4)*(GJ[Sort Code]=(TRIM(E$5)))*(GJ[Account Code]=(TRIM($B61))),GJ[Credit]))))</f>
        <v>0</v>
      </c>
      <c r="E61" s="467">
        <f>C61+D61</f>
        <v>0</v>
      </c>
    </row>
    <row r="62" spans="1:5">
      <c r="A62" s="476" t="s">
        <v>206</v>
      </c>
      <c r="B62" s="339" t="s">
        <v>173</v>
      </c>
      <c r="C62" s="466">
        <f t="array" ref="C62">((SUM(IF((CkDJ[Sort Code]=(TRIM(E$5)))*(CkDJ[Account Code]=(TRIM($B62)))*(CkDJ[Date]&lt;=$C$8),CkDJ[Debit])))+(SUM(IF((CsDJ[Sort Code]=(TRIM(E$5)))*(CsDJ[Account Code]=(TRIM($B62)))*(CsDJ[Date]&lt;=$C$8),CsDJ[Debit])))+(SUM(IF((CRDJ[Sort Code]=(TRIM(E$5)))*(CRDJ[Account Code]=(TRIM($B62)))*(CRDJ[Date]&lt;=$C$8),CRDJ[Debit])))+(SUM(IF((GJ[Sort Code]=(TRIM(E$5)))*(GJ[Account Code]=(TRIM($B62)))*(GJ[Date]&lt;=$C$8),GJ[Debit]))))-((SUM(IF((CkDJ[Sort Code]=(TRIM(E$5)))*(CkDJ[Account Code]=(TRIM($B62)))*(CkDJ[Date]&lt;=$C$8),CkDJ[Credit])))+(SUM(IF((CsDJ[Sort Code]=(TRIM(E$5)))*(CsDJ[Account Code]=(TRIM($B62)))*(CsDJ[Date]&lt;=$C$8),CsDJ[Credit])))+(SUM(IF((CRDJ[Sort Code]=(TRIM(E$5)))*(CRDJ[Account Code]=(TRIM($B62)))*(CRDJ[Date]&lt;=$C$8),CRDJ[Credit])))+(SUM(IF((GJ[Sort Code]=(TRIM(E$5)))*(GJ[Account Code]=(TRIM($B62)))*(GJ[Date]&lt;=$C$8),GJ[Credit]))))</f>
        <v>0</v>
      </c>
      <c r="D62" s="466">
        <f t="array" ref="D62">((SUM(IF((CkDJ[Date]=$A$4)*(CkDJ[Sort Code]=(TRIM(E$5)))*(CkDJ[Account Code]=(TRIM($B62))),CkDJ[Debit])))+(SUM(IF((CsDJ[Date]=$A$4)*(CsDJ[Sort Code]=(TRIM(E$5)))*(CsDJ[Account Code]=(TRIM($B62))),CsDJ[Debit])))+(SUM(IF((CRDJ[Date]=$A$4)*(CRDJ[Sort Code]=(TRIM(E$5)))*(CRDJ[Account Code]=(TRIM($B62))),CRDJ[Debit])))+(SUM(IF((GJ[Date]=$A$4)*(GJ[Sort Code]=(TRIM(E$5)))*(GJ[Account Code]=(TRIM($B62))),GJ[Debit]))))-((SUM(IF((CkDJ[Date]=$A$4)*(CkDJ[Sort Code]=(TRIM(E$5)))*(CkDJ[Account Code]=(TRIM($B62))),CkDJ[Credit])))+(SUM(IF((CsDJ[Date]=$A$4)*(CsDJ[Sort Code]=(TRIM(E$5)))*(CsDJ[Account Code]=(TRIM($B62))),CsDJ[Credit])))+(SUM(IF((CRDJ[Date]=$A$4)*(CRDJ[Sort Code]=(TRIM(E$5)))*(CRDJ[Account Code]=(TRIM($B62))),CRDJ[Credit])))+(SUM(IF((GJ[Date]=$A$4)*(GJ[Sort Code]=(TRIM(E$5)))*(GJ[Account Code]=(TRIM($B62))),GJ[Credit]))))</f>
        <v>0</v>
      </c>
      <c r="E62" s="467">
        <f t="shared" si="2"/>
        <v>0</v>
      </c>
    </row>
    <row r="63" spans="1:5">
      <c r="A63" s="476" t="s">
        <v>354</v>
      </c>
      <c r="B63" s="339" t="s">
        <v>216</v>
      </c>
      <c r="C63" s="466">
        <f t="array" ref="C63">((SUM(IF((CkDJ[Sort Code]=(TRIM(E$5)))*(CkDJ[Account Code]=(TRIM($B63)))*(CkDJ[Date]&lt;=$C$8),CkDJ[Debit])))+(SUM(IF((CsDJ[Sort Code]=(TRIM(E$5)))*(CsDJ[Account Code]=(TRIM($B63)))*(CsDJ[Date]&lt;=$C$8),CsDJ[Debit])))+(SUM(IF((CRDJ[Sort Code]=(TRIM(E$5)))*(CRDJ[Account Code]=(TRIM($B63)))*(CRDJ[Date]&lt;=$C$8),CRDJ[Debit])))+(SUM(IF((GJ[Sort Code]=(TRIM(E$5)))*(GJ[Account Code]=(TRIM($B63)))*(GJ[Date]&lt;=$C$8),GJ[Debit]))))-((SUM(IF((CkDJ[Sort Code]=(TRIM(E$5)))*(CkDJ[Account Code]=(TRIM($B63)))*(CkDJ[Date]&lt;=$C$8),CkDJ[Credit])))+(SUM(IF((CsDJ[Sort Code]=(TRIM(E$5)))*(CsDJ[Account Code]=(TRIM($B63)))*(CsDJ[Date]&lt;=$C$8),CsDJ[Credit])))+(SUM(IF((CRDJ[Sort Code]=(TRIM(E$5)))*(CRDJ[Account Code]=(TRIM($B63)))*(CRDJ[Date]&lt;=$C$8),CRDJ[Credit])))+(SUM(IF((GJ[Sort Code]=(TRIM(E$5)))*(GJ[Account Code]=(TRIM($B63)))*(GJ[Date]&lt;=$C$8),GJ[Credit]))))</f>
        <v>0</v>
      </c>
      <c r="D63" s="466">
        <f t="array" ref="D63">((SUM(IF((CkDJ[Date]=$A$4)*(CkDJ[Sort Code]=(TRIM(E$5)))*(CkDJ[Account Code]=(TRIM($B63))),CkDJ[Debit])))+(SUM(IF((CsDJ[Date]=$A$4)*(CsDJ[Sort Code]=(TRIM(E$5)))*(CsDJ[Account Code]=(TRIM($B63))),CsDJ[Debit])))+(SUM(IF((CRDJ[Date]=$A$4)*(CRDJ[Sort Code]=(TRIM(E$5)))*(CRDJ[Account Code]=(TRIM($B63))),CRDJ[Debit])))+(SUM(IF((GJ[Date]=$A$4)*(GJ[Sort Code]=(TRIM(E$5)))*(GJ[Account Code]=(TRIM($B63))),GJ[Debit]))))-((SUM(IF((CkDJ[Date]=$A$4)*(CkDJ[Sort Code]=(TRIM(E$5)))*(CkDJ[Account Code]=(TRIM($B63))),CkDJ[Credit])))+(SUM(IF((CsDJ[Date]=$A$4)*(CsDJ[Sort Code]=(TRIM(E$5)))*(CsDJ[Account Code]=(TRIM($B63))),CsDJ[Credit])))+(SUM(IF((CRDJ[Date]=$A$4)*(CRDJ[Sort Code]=(TRIM(E$5)))*(CRDJ[Account Code]=(TRIM($B63))),CRDJ[Credit])))+(SUM(IF((GJ[Date]=$A$4)*(GJ[Sort Code]=(TRIM(E$5)))*(GJ[Account Code]=(TRIM($B63))),GJ[Credit]))))</f>
        <v>0</v>
      </c>
      <c r="E63" s="467">
        <f t="shared" si="2"/>
        <v>0</v>
      </c>
    </row>
    <row r="64" spans="1:5">
      <c r="A64" s="476" t="s">
        <v>219</v>
      </c>
      <c r="B64" s="339" t="s">
        <v>214</v>
      </c>
      <c r="C64" s="466">
        <f t="array" ref="C64">((SUM(IF((CkDJ[Sort Code]=(TRIM(E$5)))*(CkDJ[Account Code]=(TRIM($B64)))*(CkDJ[Date]&lt;=$C$8),CkDJ[Debit])))+(SUM(IF((CsDJ[Sort Code]=(TRIM(E$5)))*(CsDJ[Account Code]=(TRIM($B64)))*(CsDJ[Date]&lt;=$C$8),CsDJ[Debit])))+(SUM(IF((CRDJ[Sort Code]=(TRIM(E$5)))*(CRDJ[Account Code]=(TRIM($B64)))*(CRDJ[Date]&lt;=$C$8),CRDJ[Debit])))+(SUM(IF((GJ[Sort Code]=(TRIM(E$5)))*(GJ[Account Code]=(TRIM($B64)))*(GJ[Date]&lt;=$C$8),GJ[Debit]))))-((SUM(IF((CkDJ[Sort Code]=(TRIM(E$5)))*(CkDJ[Account Code]=(TRIM($B64)))*(CkDJ[Date]&lt;=$C$8),CkDJ[Credit])))+(SUM(IF((CsDJ[Sort Code]=(TRIM(E$5)))*(CsDJ[Account Code]=(TRIM($B64)))*(CsDJ[Date]&lt;=$C$8),CsDJ[Credit])))+(SUM(IF((CRDJ[Sort Code]=(TRIM(E$5)))*(CRDJ[Account Code]=(TRIM($B64)))*(CRDJ[Date]&lt;=$C$8),CRDJ[Credit])))+(SUM(IF((GJ[Sort Code]=(TRIM(E$5)))*(GJ[Account Code]=(TRIM($B64)))*(GJ[Date]&lt;=$C$8),GJ[Credit]))))</f>
        <v>0</v>
      </c>
      <c r="D64" s="466">
        <f t="array" ref="D64">((SUM(IF((CkDJ[Date]=$A$4)*(CkDJ[Sort Code]=(TRIM(E$5)))*(CkDJ[Account Code]=(TRIM($B64))),CkDJ[Debit])))+(SUM(IF((CsDJ[Date]=$A$4)*(CsDJ[Sort Code]=(TRIM(E$5)))*(CsDJ[Account Code]=(TRIM($B64))),CsDJ[Debit])))+(SUM(IF((CRDJ[Date]=$A$4)*(CRDJ[Sort Code]=(TRIM(E$5)))*(CRDJ[Account Code]=(TRIM($B64))),CRDJ[Debit])))+(SUM(IF((GJ[Date]=$A$4)*(GJ[Sort Code]=(TRIM(E$5)))*(GJ[Account Code]=(TRIM($B64))),GJ[Debit]))))-((SUM(IF((CkDJ[Date]=$A$4)*(CkDJ[Sort Code]=(TRIM(E$5)))*(CkDJ[Account Code]=(TRIM($B64))),CkDJ[Credit])))+(SUM(IF((CsDJ[Date]=$A$4)*(CsDJ[Sort Code]=(TRIM(E$5)))*(CsDJ[Account Code]=(TRIM($B64))),CsDJ[Credit])))+(SUM(IF((CRDJ[Date]=$A$4)*(CRDJ[Sort Code]=(TRIM(E$5)))*(CRDJ[Account Code]=(TRIM($B64))),CRDJ[Credit])))+(SUM(IF((GJ[Date]=$A$4)*(GJ[Sort Code]=(TRIM(E$5)))*(GJ[Account Code]=(TRIM($B64))),GJ[Credit]))))</f>
        <v>0</v>
      </c>
      <c r="E64" s="467">
        <f t="shared" si="2"/>
        <v>0</v>
      </c>
    </row>
    <row r="65" spans="1:5">
      <c r="A65" s="476" t="s">
        <v>205</v>
      </c>
      <c r="B65" s="339" t="s">
        <v>172</v>
      </c>
      <c r="C65" s="466">
        <f t="array" ref="C65">((SUM(IF((CkDJ[Sort Code]=(TRIM(E$5)))*(CkDJ[Account Code]=(TRIM($B65)))*(CkDJ[Date]&lt;=$C$8),CkDJ[Debit])))+(SUM(IF((CsDJ[Sort Code]=(TRIM(E$5)))*(CsDJ[Account Code]=(TRIM($B65)))*(CsDJ[Date]&lt;=$C$8),CsDJ[Debit])))+(SUM(IF((CRDJ[Sort Code]=(TRIM(E$5)))*(CRDJ[Account Code]=(TRIM($B65)))*(CRDJ[Date]&lt;=$C$8),CRDJ[Debit])))+(SUM(IF((GJ[Sort Code]=(TRIM(E$5)))*(GJ[Account Code]=(TRIM($B65)))*(GJ[Date]&lt;=$C$8),GJ[Debit]))))-((SUM(IF((CkDJ[Sort Code]=(TRIM(E$5)))*(CkDJ[Account Code]=(TRIM($B65)))*(CkDJ[Date]&lt;=$C$8),CkDJ[Credit])))+(SUM(IF((CsDJ[Sort Code]=(TRIM(E$5)))*(CsDJ[Account Code]=(TRIM($B65)))*(CsDJ[Date]&lt;=$C$8),CsDJ[Credit])))+(SUM(IF((CRDJ[Sort Code]=(TRIM(E$5)))*(CRDJ[Account Code]=(TRIM($B65)))*(CRDJ[Date]&lt;=$C$8),CRDJ[Credit])))+(SUM(IF((GJ[Sort Code]=(TRIM(E$5)))*(GJ[Account Code]=(TRIM($B65)))*(GJ[Date]&lt;=$C$8),GJ[Credit]))))</f>
        <v>0</v>
      </c>
      <c r="D65" s="466">
        <f t="array" ref="D65">((SUM(IF((CkDJ[Date]=$A$4)*(CkDJ[Sort Code]=(TRIM(E$5)))*(CkDJ[Account Code]=(TRIM($B65))),CkDJ[Debit])))+(SUM(IF((CsDJ[Date]=$A$4)*(CsDJ[Sort Code]=(TRIM(E$5)))*(CsDJ[Account Code]=(TRIM($B65))),CsDJ[Debit])))+(SUM(IF((CRDJ[Date]=$A$4)*(CRDJ[Sort Code]=(TRIM(E$5)))*(CRDJ[Account Code]=(TRIM($B65))),CRDJ[Debit])))+(SUM(IF((GJ[Date]=$A$4)*(GJ[Sort Code]=(TRIM(E$5)))*(GJ[Account Code]=(TRIM($B65))),GJ[Debit]))))-((SUM(IF((CkDJ[Date]=$A$4)*(CkDJ[Sort Code]=(TRIM(E$5)))*(CkDJ[Account Code]=(TRIM($B65))),CkDJ[Credit])))+(SUM(IF((CsDJ[Date]=$A$4)*(CsDJ[Sort Code]=(TRIM(E$5)))*(CsDJ[Account Code]=(TRIM($B65))),CsDJ[Credit])))+(SUM(IF((CRDJ[Date]=$A$4)*(CRDJ[Sort Code]=(TRIM(E$5)))*(CRDJ[Account Code]=(TRIM($B65))),CRDJ[Credit])))+(SUM(IF((GJ[Date]=$A$4)*(GJ[Sort Code]=(TRIM(E$5)))*(GJ[Account Code]=(TRIM($B65))),GJ[Credit]))))</f>
        <v>0</v>
      </c>
      <c r="E65" s="467">
        <f t="shared" si="2"/>
        <v>0</v>
      </c>
    </row>
    <row r="66" spans="1:5">
      <c r="A66" s="476" t="s">
        <v>207</v>
      </c>
      <c r="B66" s="339" t="s">
        <v>174</v>
      </c>
      <c r="C66" s="466">
        <f t="array" ref="C66">((SUM(IF((CkDJ[Sort Code]=(TRIM(E$5)))*(CkDJ[Account Code]=(TRIM($B66)))*(CkDJ[Date]&lt;=$C$8),CkDJ[Debit])))+(SUM(IF((CsDJ[Sort Code]=(TRIM(E$5)))*(CsDJ[Account Code]=(TRIM($B66)))*(CsDJ[Date]&lt;=$C$8),CsDJ[Debit])))+(SUM(IF((CRDJ[Sort Code]=(TRIM(E$5)))*(CRDJ[Account Code]=(TRIM($B66)))*(CRDJ[Date]&lt;=$C$8),CRDJ[Debit])))+(SUM(IF((GJ[Sort Code]=(TRIM(E$5)))*(GJ[Account Code]=(TRIM($B66)))*(GJ[Date]&lt;=$C$8),GJ[Debit]))))-((SUM(IF((CkDJ[Sort Code]=(TRIM(E$5)))*(CkDJ[Account Code]=(TRIM($B66)))*(CkDJ[Date]&lt;=$C$8),CkDJ[Credit])))+(SUM(IF((CsDJ[Sort Code]=(TRIM(E$5)))*(CsDJ[Account Code]=(TRIM($B66)))*(CsDJ[Date]&lt;=$C$8),CsDJ[Credit])))+(SUM(IF((CRDJ[Sort Code]=(TRIM(E$5)))*(CRDJ[Account Code]=(TRIM($B66)))*(CRDJ[Date]&lt;=$C$8),CRDJ[Credit])))+(SUM(IF((GJ[Sort Code]=(TRIM(E$5)))*(GJ[Account Code]=(TRIM($B66)))*(GJ[Date]&lt;=$C$8),GJ[Credit]))))</f>
        <v>0</v>
      </c>
      <c r="D66" s="466">
        <f t="array" ref="D66">((SUM(IF((CkDJ[Date]=$A$4)*(CkDJ[Sort Code]=(TRIM(E$5)))*(CkDJ[Account Code]=(TRIM($B66))),CkDJ[Debit])))+(SUM(IF((CsDJ[Date]=$A$4)*(CsDJ[Sort Code]=(TRIM(E$5)))*(CsDJ[Account Code]=(TRIM($B66))),CsDJ[Debit])))+(SUM(IF((CRDJ[Date]=$A$4)*(CRDJ[Sort Code]=(TRIM(E$5)))*(CRDJ[Account Code]=(TRIM($B66))),CRDJ[Debit])))+(SUM(IF((GJ[Date]=$A$4)*(GJ[Sort Code]=(TRIM(E$5)))*(GJ[Account Code]=(TRIM($B66))),GJ[Debit]))))-((SUM(IF((CkDJ[Date]=$A$4)*(CkDJ[Sort Code]=(TRIM(E$5)))*(CkDJ[Account Code]=(TRIM($B66))),CkDJ[Credit])))+(SUM(IF((CsDJ[Date]=$A$4)*(CsDJ[Sort Code]=(TRIM(E$5)))*(CsDJ[Account Code]=(TRIM($B66))),CsDJ[Credit])))+(SUM(IF((CRDJ[Date]=$A$4)*(CRDJ[Sort Code]=(TRIM(E$5)))*(CRDJ[Account Code]=(TRIM($B66))),CRDJ[Credit])))+(SUM(IF((GJ[Date]=$A$4)*(GJ[Sort Code]=(TRIM(E$5)))*(GJ[Account Code]=(TRIM($B66))),GJ[Credit]))))</f>
        <v>0</v>
      </c>
      <c r="E66" s="467">
        <f t="shared" si="2"/>
        <v>0</v>
      </c>
    </row>
    <row r="67" spans="1:5">
      <c r="A67" s="476" t="s">
        <v>208</v>
      </c>
      <c r="B67" s="339" t="s">
        <v>175</v>
      </c>
      <c r="C67" s="466">
        <f t="array" ref="C67">((SUM(IF((CkDJ[Sort Code]=(TRIM(E$5)))*(CkDJ[Account Code]=(TRIM($B67)))*(CkDJ[Date]&lt;=$C$8),CkDJ[Debit])))+(SUM(IF((CsDJ[Sort Code]=(TRIM(E$5)))*(CsDJ[Account Code]=(TRIM($B67)))*(CsDJ[Date]&lt;=$C$8),CsDJ[Debit])))+(SUM(IF((CRDJ[Sort Code]=(TRIM(E$5)))*(CRDJ[Account Code]=(TRIM($B67)))*(CRDJ[Date]&lt;=$C$8),CRDJ[Debit])))+(SUM(IF((GJ[Sort Code]=(TRIM(E$5)))*(GJ[Account Code]=(TRIM($B67)))*(GJ[Date]&lt;=$C$8),GJ[Debit]))))-((SUM(IF((CkDJ[Sort Code]=(TRIM(E$5)))*(CkDJ[Account Code]=(TRIM($B67)))*(CkDJ[Date]&lt;=$C$8),CkDJ[Credit])))+(SUM(IF((CsDJ[Sort Code]=(TRIM(E$5)))*(CsDJ[Account Code]=(TRIM($B67)))*(CsDJ[Date]&lt;=$C$8),CsDJ[Credit])))+(SUM(IF((CRDJ[Sort Code]=(TRIM(E$5)))*(CRDJ[Account Code]=(TRIM($B67)))*(CRDJ[Date]&lt;=$C$8),CRDJ[Credit])))+(SUM(IF((GJ[Sort Code]=(TRIM(E$5)))*(GJ[Account Code]=(TRIM($B67)))*(GJ[Date]&lt;=$C$8),GJ[Credit]))))</f>
        <v>0</v>
      </c>
      <c r="D67" s="466">
        <f t="array" ref="D67">((SUM(IF((CkDJ[Date]=$A$4)*(CkDJ[Sort Code]=(TRIM(E$5)))*(CkDJ[Account Code]=(TRIM($B67))),CkDJ[Debit])))+(SUM(IF((CsDJ[Date]=$A$4)*(CsDJ[Sort Code]=(TRIM(E$5)))*(CsDJ[Account Code]=(TRIM($B67))),CsDJ[Debit])))+(SUM(IF((CRDJ[Date]=$A$4)*(CRDJ[Sort Code]=(TRIM(E$5)))*(CRDJ[Account Code]=(TRIM($B67))),CRDJ[Debit])))+(SUM(IF((GJ[Date]=$A$4)*(GJ[Sort Code]=(TRIM(E$5)))*(GJ[Account Code]=(TRIM($B67))),GJ[Debit]))))-((SUM(IF((CkDJ[Date]=$A$4)*(CkDJ[Sort Code]=(TRIM(E$5)))*(CkDJ[Account Code]=(TRIM($B67))),CkDJ[Credit])))+(SUM(IF((CsDJ[Date]=$A$4)*(CsDJ[Sort Code]=(TRIM(E$5)))*(CsDJ[Account Code]=(TRIM($B67))),CsDJ[Credit])))+(SUM(IF((CRDJ[Date]=$A$4)*(CRDJ[Sort Code]=(TRIM(E$5)))*(CRDJ[Account Code]=(TRIM($B67))),CRDJ[Credit])))+(SUM(IF((GJ[Date]=$A$4)*(GJ[Sort Code]=(TRIM(E$5)))*(GJ[Account Code]=(TRIM($B67))),GJ[Credit]))))</f>
        <v>0</v>
      </c>
      <c r="E67" s="467">
        <f t="shared" si="2"/>
        <v>0</v>
      </c>
    </row>
    <row r="68" spans="1:5">
      <c r="A68" s="476" t="s">
        <v>209</v>
      </c>
      <c r="B68" s="339" t="s">
        <v>176</v>
      </c>
      <c r="C68" s="466">
        <f t="array" ref="C68">((SUM(IF((CkDJ[Sort Code]=(TRIM(E$5)))*(CkDJ[Account Code]=(TRIM($B68)))*(CkDJ[Date]&lt;=$C$8),CkDJ[Debit])))+(SUM(IF((CsDJ[Sort Code]=(TRIM(E$5)))*(CsDJ[Account Code]=(TRIM($B68)))*(CsDJ[Date]&lt;=$C$8),CsDJ[Debit])))+(SUM(IF((CRDJ[Sort Code]=(TRIM(E$5)))*(CRDJ[Account Code]=(TRIM($B68)))*(CRDJ[Date]&lt;=$C$8),CRDJ[Debit])))+(SUM(IF((GJ[Sort Code]=(TRIM(E$5)))*(GJ[Account Code]=(TRIM($B68)))*(GJ[Date]&lt;=$C$8),GJ[Debit]))))-((SUM(IF((CkDJ[Sort Code]=(TRIM(E$5)))*(CkDJ[Account Code]=(TRIM($B68)))*(CkDJ[Date]&lt;=$C$8),CkDJ[Credit])))+(SUM(IF((CsDJ[Sort Code]=(TRIM(E$5)))*(CsDJ[Account Code]=(TRIM($B68)))*(CsDJ[Date]&lt;=$C$8),CsDJ[Credit])))+(SUM(IF((CRDJ[Sort Code]=(TRIM(E$5)))*(CRDJ[Account Code]=(TRIM($B68)))*(CRDJ[Date]&lt;=$C$8),CRDJ[Credit])))+(SUM(IF((GJ[Sort Code]=(TRIM(E$5)))*(GJ[Account Code]=(TRIM($B68)))*(GJ[Date]&lt;=$C$8),GJ[Credit]))))</f>
        <v>0</v>
      </c>
      <c r="D68" s="466">
        <f t="array" ref="D68">((SUM(IF((CkDJ[Date]=$A$4)*(CkDJ[Sort Code]=(TRIM(E$5)))*(CkDJ[Account Code]=(TRIM($B68))),CkDJ[Debit])))+(SUM(IF((CsDJ[Date]=$A$4)*(CsDJ[Sort Code]=(TRIM(E$5)))*(CsDJ[Account Code]=(TRIM($B68))),CsDJ[Debit])))+(SUM(IF((CRDJ[Date]=$A$4)*(CRDJ[Sort Code]=(TRIM(E$5)))*(CRDJ[Account Code]=(TRIM($B68))),CRDJ[Debit])))+(SUM(IF((GJ[Date]=$A$4)*(GJ[Sort Code]=(TRIM(E$5)))*(GJ[Account Code]=(TRIM($B68))),GJ[Debit]))))-((SUM(IF((CkDJ[Date]=$A$4)*(CkDJ[Sort Code]=(TRIM(E$5)))*(CkDJ[Account Code]=(TRIM($B68))),CkDJ[Credit])))+(SUM(IF((CsDJ[Date]=$A$4)*(CsDJ[Sort Code]=(TRIM(E$5)))*(CsDJ[Account Code]=(TRIM($B68))),CsDJ[Credit])))+(SUM(IF((CRDJ[Date]=$A$4)*(CRDJ[Sort Code]=(TRIM(E$5)))*(CRDJ[Account Code]=(TRIM($B68))),CRDJ[Credit])))+(SUM(IF((GJ[Date]=$A$4)*(GJ[Sort Code]=(TRIM(E$5)))*(GJ[Account Code]=(TRIM($B68))),GJ[Credit]))))</f>
        <v>0</v>
      </c>
      <c r="E68" s="467">
        <f t="shared" si="2"/>
        <v>0</v>
      </c>
    </row>
    <row r="69" spans="1:5">
      <c r="A69" s="476" t="s">
        <v>210</v>
      </c>
      <c r="B69" s="339" t="s">
        <v>177</v>
      </c>
      <c r="C69" s="466">
        <f t="array" ref="C69">((SUM(IF((CkDJ[Sort Code]=(TRIM(E$5)))*(CkDJ[Account Code]=(TRIM($B69)))*(CkDJ[Date]&lt;=$C$8),CkDJ[Debit])))+(SUM(IF((CsDJ[Sort Code]=(TRIM(E$5)))*(CsDJ[Account Code]=(TRIM($B69)))*(CsDJ[Date]&lt;=$C$8),CsDJ[Debit])))+(SUM(IF((CRDJ[Sort Code]=(TRIM(E$5)))*(CRDJ[Account Code]=(TRIM($B69)))*(CRDJ[Date]&lt;=$C$8),CRDJ[Debit])))+(SUM(IF((GJ[Sort Code]=(TRIM(E$5)))*(GJ[Account Code]=(TRIM($B69)))*(GJ[Date]&lt;=$C$8),GJ[Debit]))))-((SUM(IF((CkDJ[Sort Code]=(TRIM(E$5)))*(CkDJ[Account Code]=(TRIM($B69)))*(CkDJ[Date]&lt;=$C$8),CkDJ[Credit])))+(SUM(IF((CsDJ[Sort Code]=(TRIM(E$5)))*(CsDJ[Account Code]=(TRIM($B69)))*(CsDJ[Date]&lt;=$C$8),CsDJ[Credit])))+(SUM(IF((CRDJ[Sort Code]=(TRIM(E$5)))*(CRDJ[Account Code]=(TRIM($B69)))*(CRDJ[Date]&lt;=$C$8),CRDJ[Credit])))+(SUM(IF((GJ[Sort Code]=(TRIM(E$5)))*(GJ[Account Code]=(TRIM($B69)))*(GJ[Date]&lt;=$C$8),GJ[Credit]))))</f>
        <v>0</v>
      </c>
      <c r="D69" s="466">
        <f t="array" ref="D69">((SUM(IF((CkDJ[Date]=$A$4)*(CkDJ[Sort Code]=(TRIM(E$5)))*(CkDJ[Account Code]=(TRIM($B69))),CkDJ[Debit])))+(SUM(IF((CsDJ[Date]=$A$4)*(CsDJ[Sort Code]=(TRIM(E$5)))*(CsDJ[Account Code]=(TRIM($B69))),CsDJ[Debit])))+(SUM(IF((CRDJ[Date]=$A$4)*(CRDJ[Sort Code]=(TRIM(E$5)))*(CRDJ[Account Code]=(TRIM($B69))),CRDJ[Debit])))+(SUM(IF((GJ[Date]=$A$4)*(GJ[Sort Code]=(TRIM(E$5)))*(GJ[Account Code]=(TRIM($B69))),GJ[Debit]))))-((SUM(IF((CkDJ[Date]=$A$4)*(CkDJ[Sort Code]=(TRIM(E$5)))*(CkDJ[Account Code]=(TRIM($B69))),CkDJ[Credit])))+(SUM(IF((CsDJ[Date]=$A$4)*(CsDJ[Sort Code]=(TRIM(E$5)))*(CsDJ[Account Code]=(TRIM($B69))),CsDJ[Credit])))+(SUM(IF((CRDJ[Date]=$A$4)*(CRDJ[Sort Code]=(TRIM(E$5)))*(CRDJ[Account Code]=(TRIM($B69))),CRDJ[Credit])))+(SUM(IF((GJ[Date]=$A$4)*(GJ[Sort Code]=(TRIM(E$5)))*(GJ[Account Code]=(TRIM($B69))),GJ[Credit]))))</f>
        <v>0</v>
      </c>
      <c r="E69" s="467">
        <f t="shared" si="2"/>
        <v>0</v>
      </c>
    </row>
    <row r="70" spans="1:5">
      <c r="A70" s="476" t="s">
        <v>211</v>
      </c>
      <c r="B70" s="339" t="s">
        <v>178</v>
      </c>
      <c r="C70" s="466">
        <f t="array" ref="C70">((SUM(IF((CkDJ[Sort Code]=(TRIM(E$5)))*(CkDJ[Account Code]=(TRIM($B70)))*(CkDJ[Date]&lt;=$C$8),CkDJ[Debit])))+(SUM(IF((CsDJ[Sort Code]=(TRIM(E$5)))*(CsDJ[Account Code]=(TRIM($B70)))*(CsDJ[Date]&lt;=$C$8),CsDJ[Debit])))+(SUM(IF((CRDJ[Sort Code]=(TRIM(E$5)))*(CRDJ[Account Code]=(TRIM($B70)))*(CRDJ[Date]&lt;=$C$8),CRDJ[Debit])))+(SUM(IF((GJ[Sort Code]=(TRIM(E$5)))*(GJ[Account Code]=(TRIM($B70)))*(GJ[Date]&lt;=$C$8),GJ[Debit]))))-((SUM(IF((CkDJ[Sort Code]=(TRIM(E$5)))*(CkDJ[Account Code]=(TRIM($B70)))*(CkDJ[Date]&lt;=$C$8),CkDJ[Credit])))+(SUM(IF((CsDJ[Sort Code]=(TRIM(E$5)))*(CsDJ[Account Code]=(TRIM($B70)))*(CsDJ[Date]&lt;=$C$8),CsDJ[Credit])))+(SUM(IF((CRDJ[Sort Code]=(TRIM(E$5)))*(CRDJ[Account Code]=(TRIM($B70)))*(CRDJ[Date]&lt;=$C$8),CRDJ[Credit])))+(SUM(IF((GJ[Sort Code]=(TRIM(E$5)))*(GJ[Account Code]=(TRIM($B70)))*(GJ[Date]&lt;=$C$8),GJ[Credit]))))</f>
        <v>0</v>
      </c>
      <c r="D70" s="466">
        <f t="array" ref="D70">((SUM(IF((CkDJ[Date]=$A$4)*(CkDJ[Sort Code]=(TRIM(E$5)))*(CkDJ[Account Code]=(TRIM($B70))),CkDJ[Debit])))+(SUM(IF((CsDJ[Date]=$A$4)*(CsDJ[Sort Code]=(TRIM(E$5)))*(CsDJ[Account Code]=(TRIM($B70))),CsDJ[Debit])))+(SUM(IF((CRDJ[Date]=$A$4)*(CRDJ[Sort Code]=(TRIM(E$5)))*(CRDJ[Account Code]=(TRIM($B70))),CRDJ[Debit])))+(SUM(IF((GJ[Date]=$A$4)*(GJ[Sort Code]=(TRIM(E$5)))*(GJ[Account Code]=(TRIM($B70))),GJ[Debit]))))-((SUM(IF((CkDJ[Date]=$A$4)*(CkDJ[Sort Code]=(TRIM(E$5)))*(CkDJ[Account Code]=(TRIM($B70))),CkDJ[Credit])))+(SUM(IF((CsDJ[Date]=$A$4)*(CsDJ[Sort Code]=(TRIM(E$5)))*(CsDJ[Account Code]=(TRIM($B70))),CsDJ[Credit])))+(SUM(IF((CRDJ[Date]=$A$4)*(CRDJ[Sort Code]=(TRIM(E$5)))*(CRDJ[Account Code]=(TRIM($B70))),CRDJ[Credit])))+(SUM(IF((GJ[Date]=$A$4)*(GJ[Sort Code]=(TRIM(E$5)))*(GJ[Account Code]=(TRIM($B70))),GJ[Credit]))))</f>
        <v>0</v>
      </c>
      <c r="E70" s="467">
        <f t="shared" si="2"/>
        <v>0</v>
      </c>
    </row>
    <row r="71" spans="1:5">
      <c r="A71" s="476" t="s">
        <v>1167</v>
      </c>
      <c r="B71" s="339" t="s">
        <v>212</v>
      </c>
      <c r="C71" s="466">
        <f t="array" ref="C71">((SUM(IF((CkDJ[Sort Code]=(TRIM(E$5)))*(CkDJ[Account Code]=(TRIM($B71)))*(CkDJ[Date]&lt;=$C$8),CkDJ[Debit])))+(SUM(IF((CsDJ[Sort Code]=(TRIM(E$5)))*(CsDJ[Account Code]=(TRIM($B71)))*(CsDJ[Date]&lt;=$C$8),CsDJ[Debit])))+(SUM(IF((CRDJ[Sort Code]=(TRIM(E$5)))*(CRDJ[Account Code]=(TRIM($B71)))*(CRDJ[Date]&lt;=$C$8),CRDJ[Debit])))+(SUM(IF((GJ[Sort Code]=(TRIM(E$5)))*(GJ[Account Code]=(TRIM($B71)))*(GJ[Date]&lt;=$C$8),GJ[Debit]))))-((SUM(IF((CkDJ[Sort Code]=(TRIM(E$5)))*(CkDJ[Account Code]=(TRIM($B71)))*(CkDJ[Date]&lt;=$C$8),CkDJ[Credit])))+(SUM(IF((CsDJ[Sort Code]=(TRIM(E$5)))*(CsDJ[Account Code]=(TRIM($B71)))*(CsDJ[Date]&lt;=$C$8),CsDJ[Credit])))+(SUM(IF((CRDJ[Sort Code]=(TRIM(E$5)))*(CRDJ[Account Code]=(TRIM($B71)))*(CRDJ[Date]&lt;=$C$8),CRDJ[Credit])))+(SUM(IF((GJ[Sort Code]=(TRIM(E$5)))*(GJ[Account Code]=(TRIM($B71)))*(GJ[Date]&lt;=$C$8),GJ[Credit]))))</f>
        <v>0</v>
      </c>
      <c r="D71" s="466">
        <f t="array" ref="D71">((SUM(IF((CkDJ[Date]=$A$4)*(CkDJ[Sort Code]=(TRIM(E$5)))*(CkDJ[Account Code]=(TRIM($B71))),CkDJ[Debit])))+(SUM(IF((CsDJ[Date]=$A$4)*(CsDJ[Sort Code]=(TRIM(E$5)))*(CsDJ[Account Code]=(TRIM($B71))),CsDJ[Debit])))+(SUM(IF((CRDJ[Date]=$A$4)*(CRDJ[Sort Code]=(TRIM(E$5)))*(CRDJ[Account Code]=(TRIM($B71))),CRDJ[Debit])))+(SUM(IF((GJ[Date]=$A$4)*(GJ[Sort Code]=(TRIM(E$5)))*(GJ[Account Code]=(TRIM($B71))),GJ[Debit]))))-((SUM(IF((CkDJ[Date]=$A$4)*(CkDJ[Sort Code]=(TRIM(E$5)))*(CkDJ[Account Code]=(TRIM($B71))),CkDJ[Credit])))+(SUM(IF((CsDJ[Date]=$A$4)*(CsDJ[Sort Code]=(TRIM(E$5)))*(CsDJ[Account Code]=(TRIM($B71))),CsDJ[Credit])))+(SUM(IF((CRDJ[Date]=$A$4)*(CRDJ[Sort Code]=(TRIM(E$5)))*(CRDJ[Account Code]=(TRIM($B71))),CRDJ[Credit])))+(SUM(IF((GJ[Date]=$A$4)*(GJ[Sort Code]=(TRIM(E$5)))*(GJ[Account Code]=(TRIM($B71))),GJ[Credit]))))</f>
        <v>0</v>
      </c>
      <c r="E71" s="467">
        <f>C71+D71</f>
        <v>0</v>
      </c>
    </row>
    <row r="72" spans="1:5">
      <c r="A72" s="481" t="s">
        <v>218</v>
      </c>
      <c r="B72" s="482" t="s">
        <v>213</v>
      </c>
      <c r="C72" s="483">
        <f t="array" ref="C72">((SUM(IF((CkDJ[Sort Code]=(TRIM(E$5)))*(CkDJ[Account Code]=(TRIM($B72)))*(CkDJ[Date]&lt;=$C$8),CkDJ[Debit])))+(SUM(IF((CsDJ[Sort Code]=(TRIM(E$5)))*(CsDJ[Account Code]=(TRIM($B72)))*(CsDJ[Date]&lt;=$C$8),CsDJ[Debit])))+(SUM(IF((CRDJ[Sort Code]=(TRIM(E$5)))*(CRDJ[Account Code]=(TRIM($B72)))*(CRDJ[Date]&lt;=$C$8),CRDJ[Debit])))+(SUM(IF((GJ[Sort Code]=(TRIM(E$5)))*(GJ[Account Code]=(TRIM($B72)))*(GJ[Date]&lt;=$C$8),GJ[Debit]))))-((SUM(IF((CkDJ[Sort Code]=(TRIM(E$5)))*(CkDJ[Account Code]=(TRIM($B72)))*(CkDJ[Date]&lt;=$C$8),CkDJ[Credit])))+(SUM(IF((CsDJ[Sort Code]=(TRIM(E$5)))*(CsDJ[Account Code]=(TRIM($B72)))*(CsDJ[Date]&lt;=$C$8),CsDJ[Credit])))+(SUM(IF((CRDJ[Sort Code]=(TRIM(E$5)))*(CRDJ[Account Code]=(TRIM($B72)))*(CRDJ[Date]&lt;=$C$8),CRDJ[Credit])))+(SUM(IF((GJ[Sort Code]=(TRIM(E$5)))*(GJ[Account Code]=(TRIM($B72)))*(GJ[Date]&lt;=$C$8),GJ[Credit]))))</f>
        <v>0</v>
      </c>
      <c r="D72" s="483">
        <f t="array" ref="D72">((SUM(IF((CkDJ[Date]=$A$4)*(CkDJ[Sort Code]=(TRIM(E$5)))*(CkDJ[Account Code]=(TRIM($B72))),CkDJ[Debit])))+(SUM(IF((CsDJ[Date]=$A$4)*(CsDJ[Sort Code]=(TRIM(E$5)))*(CsDJ[Account Code]=(TRIM($B72))),CsDJ[Debit])))+(SUM(IF((CRDJ[Date]=$A$4)*(CRDJ[Sort Code]=(TRIM(E$5)))*(CRDJ[Account Code]=(TRIM($B72))),CRDJ[Debit])))+(SUM(IF((GJ[Date]=$A$4)*(GJ[Sort Code]=(TRIM(E$5)))*(GJ[Account Code]=(TRIM($B72))),GJ[Debit]))))-((SUM(IF((CkDJ[Date]=$A$4)*(CkDJ[Sort Code]=(TRIM(E$5)))*(CkDJ[Account Code]=(TRIM($B72))),CkDJ[Credit])))+(SUM(IF((CsDJ[Date]=$A$4)*(CsDJ[Sort Code]=(TRIM(E$5)))*(CsDJ[Account Code]=(TRIM($B72))),CsDJ[Credit])))+(SUM(IF((CRDJ[Date]=$A$4)*(CRDJ[Sort Code]=(TRIM(E$5)))*(CRDJ[Account Code]=(TRIM($B72))),CRDJ[Credit])))+(SUM(IF((GJ[Date]=$A$4)*(GJ[Sort Code]=(TRIM(E$5)))*(GJ[Account Code]=(TRIM($B72))),GJ[Credit]))))</f>
        <v>0</v>
      </c>
      <c r="E72" s="484">
        <f t="shared" si="2"/>
        <v>0</v>
      </c>
    </row>
    <row r="73" spans="1:5">
      <c r="A73" s="476"/>
      <c r="B73" s="339"/>
      <c r="C73" s="466"/>
      <c r="D73" s="466"/>
      <c r="E73" s="467"/>
    </row>
    <row r="74" spans="1:5">
      <c r="A74" s="471" t="s">
        <v>810</v>
      </c>
      <c r="B74" s="339"/>
      <c r="C74" s="480">
        <f>SUM(C75:C137)</f>
        <v>0</v>
      </c>
      <c r="D74" s="480">
        <f>SUM(D75:D137)</f>
        <v>0</v>
      </c>
      <c r="E74" s="480">
        <f>SUM(E75:E137)</f>
        <v>0</v>
      </c>
    </row>
    <row r="75" spans="1:5">
      <c r="A75" s="476" t="s">
        <v>284</v>
      </c>
      <c r="B75" s="339" t="s">
        <v>223</v>
      </c>
      <c r="C75" s="466">
        <f t="array" ref="C75">((SUM(IF((CkDJ[Sort Code]=(TRIM(E$5)))*(CkDJ[Account Code]=(TRIM($B75)))*(CkDJ[Date]&lt;=$C$8),CkDJ[Debit])))+(SUM(IF((CsDJ[Sort Code]=(TRIM(E$5)))*(CsDJ[Account Code]=(TRIM($B75)))*(CsDJ[Date]&lt;=$C$8),CsDJ[Debit])))+(SUM(IF((CRDJ[Sort Code]=(TRIM(E$5)))*(CRDJ[Account Code]=(TRIM($B75)))*(CRDJ[Date]&lt;=$C$8),CRDJ[Debit])))+(SUM(IF((GJ[Sort Code]=(TRIM(E$5)))*(GJ[Account Code]=(TRIM($B75)))*(GJ[Date]&lt;=$C$8),GJ[Debit]))))-((SUM(IF((CkDJ[Sort Code]=(TRIM(E$5)))*(CkDJ[Account Code]=(TRIM($B75)))*(CkDJ[Date]&lt;=$C$8),CkDJ[Credit])))+(SUM(IF((CsDJ[Sort Code]=(TRIM(E$5)))*(CsDJ[Account Code]=(TRIM($B75)))*(CsDJ[Date]&lt;=$C$8),CsDJ[Credit])))+(SUM(IF((CRDJ[Sort Code]=(TRIM(E$5)))*(CRDJ[Account Code]=(TRIM($B75)))*(CRDJ[Date]&lt;=$C$8),CRDJ[Credit])))+(SUM(IF((GJ[Sort Code]=(TRIM(E$5)))*(GJ[Account Code]=(TRIM($B75)))*(GJ[Date]&lt;=$C$8),GJ[Credit]))))</f>
        <v>0</v>
      </c>
      <c r="D75" s="466">
        <f t="array" ref="D75">((SUM(IF((CkDJ[Date]=$A$4)*(CkDJ[Sort Code]=(TRIM(E$5)))*(CkDJ[Account Code]=(TRIM($B75))),CkDJ[Debit])))+(SUM(IF((CsDJ[Date]=$A$4)*(CsDJ[Sort Code]=(TRIM(E$5)))*(CsDJ[Account Code]=(TRIM($B75))),CsDJ[Debit])))+(SUM(IF((CRDJ[Date]=$A$4)*(CRDJ[Sort Code]=(TRIM(E$5)))*(CRDJ[Account Code]=(TRIM($B75))),CRDJ[Debit])))+(SUM(IF((GJ[Date]=$A$4)*(GJ[Sort Code]=(TRIM(E$5)))*(GJ[Account Code]=(TRIM($B75))),GJ[Debit]))))-((SUM(IF((CkDJ[Date]=$A$4)*(CkDJ[Sort Code]=(TRIM(E$5)))*(CkDJ[Account Code]=(TRIM($B75))),CkDJ[Credit])))+(SUM(IF((CsDJ[Date]=$A$4)*(CsDJ[Sort Code]=(TRIM(E$5)))*(CsDJ[Account Code]=(TRIM($B75))),CsDJ[Credit])))+(SUM(IF((CRDJ[Date]=$A$4)*(CRDJ[Sort Code]=(TRIM(E$5)))*(CRDJ[Account Code]=(TRIM($B75))),CRDJ[Credit])))+(SUM(IF((GJ[Date]=$A$4)*(GJ[Sort Code]=(TRIM(E$5)))*(GJ[Account Code]=(TRIM($B75))),GJ[Credit]))))</f>
        <v>0</v>
      </c>
      <c r="E75" s="467">
        <f t="shared" ref="E75:E117" si="3">C75+D75</f>
        <v>0</v>
      </c>
    </row>
    <row r="76" spans="1:5">
      <c r="A76" s="476" t="s">
        <v>1477</v>
      </c>
      <c r="B76" s="339" t="s">
        <v>1233</v>
      </c>
      <c r="C76" s="466">
        <f t="array" ref="C76">((SUM(IF((CkDJ[Sort Code]=(TRIM(E$5)))*(CkDJ[Account Code]=(TRIM($B76)))*(CkDJ[Date]&lt;=$C$8),CkDJ[Debit])))+(SUM(IF((CsDJ[Sort Code]=(TRIM(E$5)))*(CsDJ[Account Code]=(TRIM($B76)))*(CsDJ[Date]&lt;=$C$8),CsDJ[Debit])))+(SUM(IF((CRDJ[Sort Code]=(TRIM(E$5)))*(CRDJ[Account Code]=(TRIM($B76)))*(CRDJ[Date]&lt;=$C$8),CRDJ[Debit])))+(SUM(IF((GJ[Sort Code]=(TRIM(E$5)))*(GJ[Account Code]=(TRIM($B76)))*(GJ[Date]&lt;=$C$8),GJ[Debit]))))-((SUM(IF((CkDJ[Sort Code]=(TRIM(E$5)))*(CkDJ[Account Code]=(TRIM($B76)))*(CkDJ[Date]&lt;=$C$8),CkDJ[Credit])))+(SUM(IF((CsDJ[Sort Code]=(TRIM(E$5)))*(CsDJ[Account Code]=(TRIM($B76)))*(CsDJ[Date]&lt;=$C$8),CsDJ[Credit])))+(SUM(IF((CRDJ[Sort Code]=(TRIM(E$5)))*(CRDJ[Account Code]=(TRIM($B76)))*(CRDJ[Date]&lt;=$C$8),CRDJ[Credit])))+(SUM(IF((GJ[Sort Code]=(TRIM(E$5)))*(GJ[Account Code]=(TRIM($B76)))*(GJ[Date]&lt;=$C$8),GJ[Credit]))))</f>
        <v>0</v>
      </c>
      <c r="D76" s="466">
        <f t="array" ref="D76">((SUM(IF((CkDJ[Date]=$A$4)*(CkDJ[Sort Code]=(TRIM(E$5)))*(CkDJ[Account Code]=(TRIM($B76))),CkDJ[Debit])))+(SUM(IF((CsDJ[Date]=$A$4)*(CsDJ[Sort Code]=(TRIM(E$5)))*(CsDJ[Account Code]=(TRIM($B76))),CsDJ[Debit])))+(SUM(IF((CRDJ[Date]=$A$4)*(CRDJ[Sort Code]=(TRIM(E$5)))*(CRDJ[Account Code]=(TRIM($B76))),CRDJ[Debit])))+(SUM(IF((GJ[Date]=$A$4)*(GJ[Sort Code]=(TRIM(E$5)))*(GJ[Account Code]=(TRIM($B76))),GJ[Debit]))))-((SUM(IF((CkDJ[Date]=$A$4)*(CkDJ[Sort Code]=(TRIM(E$5)))*(CkDJ[Account Code]=(TRIM($B76))),CkDJ[Credit])))+(SUM(IF((CsDJ[Date]=$A$4)*(CsDJ[Sort Code]=(TRIM(E$5)))*(CsDJ[Account Code]=(TRIM($B76))),CsDJ[Credit])))+(SUM(IF((CRDJ[Date]=$A$4)*(CRDJ[Sort Code]=(TRIM(E$5)))*(CRDJ[Account Code]=(TRIM($B76))),CRDJ[Credit])))+(SUM(IF((GJ[Date]=$A$4)*(GJ[Sort Code]=(TRIM(E$5)))*(GJ[Account Code]=(TRIM($B76))),GJ[Credit]))))</f>
        <v>0</v>
      </c>
      <c r="E76" s="467">
        <f>C76+D76</f>
        <v>0</v>
      </c>
    </row>
    <row r="77" spans="1:5">
      <c r="A77" s="476" t="s">
        <v>285</v>
      </c>
      <c r="B77" s="339" t="s">
        <v>224</v>
      </c>
      <c r="C77" s="466">
        <f t="array" ref="C77">((SUM(IF((CkDJ[Sort Code]=(TRIM(E$5)))*(CkDJ[Account Code]=(TRIM($B77)))*(CkDJ[Date]&lt;=$C$8),CkDJ[Debit])))+(SUM(IF((CsDJ[Sort Code]=(TRIM(E$5)))*(CsDJ[Account Code]=(TRIM($B77)))*(CsDJ[Date]&lt;=$C$8),CsDJ[Debit])))+(SUM(IF((CRDJ[Sort Code]=(TRIM(E$5)))*(CRDJ[Account Code]=(TRIM($B77)))*(CRDJ[Date]&lt;=$C$8),CRDJ[Debit])))+(SUM(IF((GJ[Sort Code]=(TRIM(E$5)))*(GJ[Account Code]=(TRIM($B77)))*(GJ[Date]&lt;=$C$8),GJ[Debit]))))-((SUM(IF((CkDJ[Sort Code]=(TRIM(E$5)))*(CkDJ[Account Code]=(TRIM($B77)))*(CkDJ[Date]&lt;=$C$8),CkDJ[Credit])))+(SUM(IF((CsDJ[Sort Code]=(TRIM(E$5)))*(CsDJ[Account Code]=(TRIM($B77)))*(CsDJ[Date]&lt;=$C$8),CsDJ[Credit])))+(SUM(IF((CRDJ[Sort Code]=(TRIM(E$5)))*(CRDJ[Account Code]=(TRIM($B77)))*(CRDJ[Date]&lt;=$C$8),CRDJ[Credit])))+(SUM(IF((GJ[Sort Code]=(TRIM(E$5)))*(GJ[Account Code]=(TRIM($B77)))*(GJ[Date]&lt;=$C$8),GJ[Credit]))))</f>
        <v>0</v>
      </c>
      <c r="D77" s="466">
        <f t="array" ref="D77">((SUM(IF((CkDJ[Date]=$A$4)*(CkDJ[Sort Code]=(TRIM(E$5)))*(CkDJ[Account Code]=(TRIM($B77))),CkDJ[Debit])))+(SUM(IF((CsDJ[Date]=$A$4)*(CsDJ[Sort Code]=(TRIM(E$5)))*(CsDJ[Account Code]=(TRIM($B77))),CsDJ[Debit])))+(SUM(IF((CRDJ[Date]=$A$4)*(CRDJ[Sort Code]=(TRIM(E$5)))*(CRDJ[Account Code]=(TRIM($B77))),CRDJ[Debit])))+(SUM(IF((GJ[Date]=$A$4)*(GJ[Sort Code]=(TRIM(E$5)))*(GJ[Account Code]=(TRIM($B77))),GJ[Debit]))))-((SUM(IF((CkDJ[Date]=$A$4)*(CkDJ[Sort Code]=(TRIM(E$5)))*(CkDJ[Account Code]=(TRIM($B77))),CkDJ[Credit])))+(SUM(IF((CsDJ[Date]=$A$4)*(CsDJ[Sort Code]=(TRIM(E$5)))*(CsDJ[Account Code]=(TRIM($B77))),CsDJ[Credit])))+(SUM(IF((CRDJ[Date]=$A$4)*(CRDJ[Sort Code]=(TRIM(E$5)))*(CRDJ[Account Code]=(TRIM($B77))),CRDJ[Credit])))+(SUM(IF((GJ[Date]=$A$4)*(GJ[Sort Code]=(TRIM(E$5)))*(GJ[Account Code]=(TRIM($B77))),GJ[Credit]))))</f>
        <v>0</v>
      </c>
      <c r="E77" s="467">
        <f t="shared" si="3"/>
        <v>0</v>
      </c>
    </row>
    <row r="78" spans="1:5">
      <c r="A78" s="476" t="s">
        <v>286</v>
      </c>
      <c r="B78" s="339" t="s">
        <v>225</v>
      </c>
      <c r="C78" s="466">
        <f t="array" ref="C78">((SUM(IF((CkDJ[Sort Code]=(TRIM(E$5)))*(CkDJ[Account Code]=(TRIM($B78)))*(CkDJ[Date]&lt;=$C$8),CkDJ[Debit])))+(SUM(IF((CsDJ[Sort Code]=(TRIM(E$5)))*(CsDJ[Account Code]=(TRIM($B78)))*(CsDJ[Date]&lt;=$C$8),CsDJ[Debit])))+(SUM(IF((CRDJ[Sort Code]=(TRIM(E$5)))*(CRDJ[Account Code]=(TRIM($B78)))*(CRDJ[Date]&lt;=$C$8),CRDJ[Debit])))+(SUM(IF((GJ[Sort Code]=(TRIM(E$5)))*(GJ[Account Code]=(TRIM($B78)))*(GJ[Date]&lt;=$C$8),GJ[Debit]))))-((SUM(IF((CkDJ[Sort Code]=(TRIM(E$5)))*(CkDJ[Account Code]=(TRIM($B78)))*(CkDJ[Date]&lt;=$C$8),CkDJ[Credit])))+(SUM(IF((CsDJ[Sort Code]=(TRIM(E$5)))*(CsDJ[Account Code]=(TRIM($B78)))*(CsDJ[Date]&lt;=$C$8),CsDJ[Credit])))+(SUM(IF((CRDJ[Sort Code]=(TRIM(E$5)))*(CRDJ[Account Code]=(TRIM($B78)))*(CRDJ[Date]&lt;=$C$8),CRDJ[Credit])))+(SUM(IF((GJ[Sort Code]=(TRIM(E$5)))*(GJ[Account Code]=(TRIM($B78)))*(GJ[Date]&lt;=$C$8),GJ[Credit]))))</f>
        <v>0</v>
      </c>
      <c r="D78" s="466">
        <f t="array" ref="D78">((SUM(IF((CkDJ[Date]=$A$4)*(CkDJ[Sort Code]=(TRIM(E$5)))*(CkDJ[Account Code]=(TRIM($B78))),CkDJ[Debit])))+(SUM(IF((CsDJ[Date]=$A$4)*(CsDJ[Sort Code]=(TRIM(E$5)))*(CsDJ[Account Code]=(TRIM($B78))),CsDJ[Debit])))+(SUM(IF((CRDJ[Date]=$A$4)*(CRDJ[Sort Code]=(TRIM(E$5)))*(CRDJ[Account Code]=(TRIM($B78))),CRDJ[Debit])))+(SUM(IF((GJ[Date]=$A$4)*(GJ[Sort Code]=(TRIM(E$5)))*(GJ[Account Code]=(TRIM($B78))),GJ[Debit]))))-((SUM(IF((CkDJ[Date]=$A$4)*(CkDJ[Sort Code]=(TRIM(E$5)))*(CkDJ[Account Code]=(TRIM($B78))),CkDJ[Credit])))+(SUM(IF((CsDJ[Date]=$A$4)*(CsDJ[Sort Code]=(TRIM(E$5)))*(CsDJ[Account Code]=(TRIM($B78))),CsDJ[Credit])))+(SUM(IF((CRDJ[Date]=$A$4)*(CRDJ[Sort Code]=(TRIM(E$5)))*(CRDJ[Account Code]=(TRIM($B78))),CRDJ[Credit])))+(SUM(IF((GJ[Date]=$A$4)*(GJ[Sort Code]=(TRIM(E$5)))*(GJ[Account Code]=(TRIM($B78))),GJ[Credit]))))</f>
        <v>0</v>
      </c>
      <c r="E78" s="467">
        <f t="shared" si="3"/>
        <v>0</v>
      </c>
    </row>
    <row r="79" spans="1:5">
      <c r="A79" s="476" t="s">
        <v>287</v>
      </c>
      <c r="B79" s="339" t="s">
        <v>226</v>
      </c>
      <c r="C79" s="466">
        <f t="array" ref="C79">((SUM(IF((CkDJ[Sort Code]=(TRIM(E$5)))*(CkDJ[Account Code]=(TRIM($B79)))*(CkDJ[Date]&lt;=$C$8),CkDJ[Debit])))+(SUM(IF((CsDJ[Sort Code]=(TRIM(E$5)))*(CsDJ[Account Code]=(TRIM($B79)))*(CsDJ[Date]&lt;=$C$8),CsDJ[Debit])))+(SUM(IF((CRDJ[Sort Code]=(TRIM(E$5)))*(CRDJ[Account Code]=(TRIM($B79)))*(CRDJ[Date]&lt;=$C$8),CRDJ[Debit])))+(SUM(IF((GJ[Sort Code]=(TRIM(E$5)))*(GJ[Account Code]=(TRIM($B79)))*(GJ[Date]&lt;=$C$8),GJ[Debit]))))-((SUM(IF((CkDJ[Sort Code]=(TRIM(E$5)))*(CkDJ[Account Code]=(TRIM($B79)))*(CkDJ[Date]&lt;=$C$8),CkDJ[Credit])))+(SUM(IF((CsDJ[Sort Code]=(TRIM(E$5)))*(CsDJ[Account Code]=(TRIM($B79)))*(CsDJ[Date]&lt;=$C$8),CsDJ[Credit])))+(SUM(IF((CRDJ[Sort Code]=(TRIM(E$5)))*(CRDJ[Account Code]=(TRIM($B79)))*(CRDJ[Date]&lt;=$C$8),CRDJ[Credit])))+(SUM(IF((GJ[Sort Code]=(TRIM(E$5)))*(GJ[Account Code]=(TRIM($B79)))*(GJ[Date]&lt;=$C$8),GJ[Credit]))))</f>
        <v>0</v>
      </c>
      <c r="D79" s="466">
        <f t="array" ref="D79">((SUM(IF((CkDJ[Date]=$A$4)*(CkDJ[Sort Code]=(TRIM(E$5)))*(CkDJ[Account Code]=(TRIM($B79))),CkDJ[Debit])))+(SUM(IF((CsDJ[Date]=$A$4)*(CsDJ[Sort Code]=(TRIM(E$5)))*(CsDJ[Account Code]=(TRIM($B79))),CsDJ[Debit])))+(SUM(IF((CRDJ[Date]=$A$4)*(CRDJ[Sort Code]=(TRIM(E$5)))*(CRDJ[Account Code]=(TRIM($B79))),CRDJ[Debit])))+(SUM(IF((GJ[Date]=$A$4)*(GJ[Sort Code]=(TRIM(E$5)))*(GJ[Account Code]=(TRIM($B79))),GJ[Debit]))))-((SUM(IF((CkDJ[Date]=$A$4)*(CkDJ[Sort Code]=(TRIM(E$5)))*(CkDJ[Account Code]=(TRIM($B79))),CkDJ[Credit])))+(SUM(IF((CsDJ[Date]=$A$4)*(CsDJ[Sort Code]=(TRIM(E$5)))*(CsDJ[Account Code]=(TRIM($B79))),CsDJ[Credit])))+(SUM(IF((CRDJ[Date]=$A$4)*(CRDJ[Sort Code]=(TRIM(E$5)))*(CRDJ[Account Code]=(TRIM($B79))),CRDJ[Credit])))+(SUM(IF((GJ[Date]=$A$4)*(GJ[Sort Code]=(TRIM(E$5)))*(GJ[Account Code]=(TRIM($B79))),GJ[Credit]))))</f>
        <v>0</v>
      </c>
      <c r="E79" s="467">
        <f t="shared" si="3"/>
        <v>0</v>
      </c>
    </row>
    <row r="80" spans="1:5">
      <c r="A80" s="476" t="s">
        <v>1017</v>
      </c>
      <c r="B80" s="339" t="s">
        <v>227</v>
      </c>
      <c r="C80" s="466">
        <f t="array" ref="C80">((SUM(IF((CkDJ[Sort Code]=(TRIM(E$5)))*(CkDJ[Account Code]=(TRIM($B80)))*(CkDJ[Date]&lt;=$C$8),CkDJ[Debit])))+(SUM(IF((CsDJ[Sort Code]=(TRIM(E$5)))*(CsDJ[Account Code]=(TRIM($B80)))*(CsDJ[Date]&lt;=$C$8),CsDJ[Debit])))+(SUM(IF((CRDJ[Sort Code]=(TRIM(E$5)))*(CRDJ[Account Code]=(TRIM($B80)))*(CRDJ[Date]&lt;=$C$8),CRDJ[Debit])))+(SUM(IF((GJ[Sort Code]=(TRIM(E$5)))*(GJ[Account Code]=(TRIM($B80)))*(GJ[Date]&lt;=$C$8),GJ[Debit]))))-((SUM(IF((CkDJ[Sort Code]=(TRIM(E$5)))*(CkDJ[Account Code]=(TRIM($B80)))*(CkDJ[Date]&lt;=$C$8),CkDJ[Credit])))+(SUM(IF((CsDJ[Sort Code]=(TRIM(E$5)))*(CsDJ[Account Code]=(TRIM($B80)))*(CsDJ[Date]&lt;=$C$8),CsDJ[Credit])))+(SUM(IF((CRDJ[Sort Code]=(TRIM(E$5)))*(CRDJ[Account Code]=(TRIM($B80)))*(CRDJ[Date]&lt;=$C$8),CRDJ[Credit])))+(SUM(IF((GJ[Sort Code]=(TRIM(E$5)))*(GJ[Account Code]=(TRIM($B80)))*(GJ[Date]&lt;=$C$8),GJ[Credit]))))</f>
        <v>0</v>
      </c>
      <c r="D80" s="466">
        <f t="array" ref="D80">((SUM(IF((CkDJ[Date]=$A$4)*(CkDJ[Sort Code]=(TRIM(E$5)))*(CkDJ[Account Code]=(TRIM($B80))),CkDJ[Debit])))+(SUM(IF((CsDJ[Date]=$A$4)*(CsDJ[Sort Code]=(TRIM(E$5)))*(CsDJ[Account Code]=(TRIM($B80))),CsDJ[Debit])))+(SUM(IF((CRDJ[Date]=$A$4)*(CRDJ[Sort Code]=(TRIM(E$5)))*(CRDJ[Account Code]=(TRIM($B80))),CRDJ[Debit])))+(SUM(IF((GJ[Date]=$A$4)*(GJ[Sort Code]=(TRIM(E$5)))*(GJ[Account Code]=(TRIM($B80))),GJ[Debit]))))-((SUM(IF((CkDJ[Date]=$A$4)*(CkDJ[Sort Code]=(TRIM(E$5)))*(CkDJ[Account Code]=(TRIM($B80))),CkDJ[Credit])))+(SUM(IF((CsDJ[Date]=$A$4)*(CsDJ[Sort Code]=(TRIM(E$5)))*(CsDJ[Account Code]=(TRIM($B80))),CsDJ[Credit])))+(SUM(IF((CRDJ[Date]=$A$4)*(CRDJ[Sort Code]=(TRIM(E$5)))*(CRDJ[Account Code]=(TRIM($B80))),CRDJ[Credit])))+(SUM(IF((GJ[Date]=$A$4)*(GJ[Sort Code]=(TRIM(E$5)))*(GJ[Account Code]=(TRIM($B80))),GJ[Credit]))))</f>
        <v>0</v>
      </c>
      <c r="E80" s="467">
        <f t="shared" si="3"/>
        <v>0</v>
      </c>
    </row>
    <row r="81" spans="1:5">
      <c r="A81" s="476" t="s">
        <v>1018</v>
      </c>
      <c r="B81" s="339" t="s">
        <v>228</v>
      </c>
      <c r="C81" s="466">
        <f t="array" ref="C81">((SUM(IF((CkDJ[Sort Code]=(TRIM(E$5)))*(CkDJ[Account Code]=(TRIM($B81)))*(CkDJ[Date]&lt;=$C$8),CkDJ[Debit])))+(SUM(IF((CsDJ[Sort Code]=(TRIM(E$5)))*(CsDJ[Account Code]=(TRIM($B81)))*(CsDJ[Date]&lt;=$C$8),CsDJ[Debit])))+(SUM(IF((CRDJ[Sort Code]=(TRIM(E$5)))*(CRDJ[Account Code]=(TRIM($B81)))*(CRDJ[Date]&lt;=$C$8),CRDJ[Debit])))+(SUM(IF((GJ[Sort Code]=(TRIM(E$5)))*(GJ[Account Code]=(TRIM($B81)))*(GJ[Date]&lt;=$C$8),GJ[Debit]))))-((SUM(IF((CkDJ[Sort Code]=(TRIM(E$5)))*(CkDJ[Account Code]=(TRIM($B81)))*(CkDJ[Date]&lt;=$C$8),CkDJ[Credit])))+(SUM(IF((CsDJ[Sort Code]=(TRIM(E$5)))*(CsDJ[Account Code]=(TRIM($B81)))*(CsDJ[Date]&lt;=$C$8),CsDJ[Credit])))+(SUM(IF((CRDJ[Sort Code]=(TRIM(E$5)))*(CRDJ[Account Code]=(TRIM($B81)))*(CRDJ[Date]&lt;=$C$8),CRDJ[Credit])))+(SUM(IF((GJ[Sort Code]=(TRIM(E$5)))*(GJ[Account Code]=(TRIM($B81)))*(GJ[Date]&lt;=$C$8),GJ[Credit]))))</f>
        <v>0</v>
      </c>
      <c r="D81" s="466">
        <f t="array" ref="D81">((SUM(IF((CkDJ[Date]=$A$4)*(CkDJ[Sort Code]=(TRIM(E$5)))*(CkDJ[Account Code]=(TRIM($B81))),CkDJ[Debit])))+(SUM(IF((CsDJ[Date]=$A$4)*(CsDJ[Sort Code]=(TRIM(E$5)))*(CsDJ[Account Code]=(TRIM($B81))),CsDJ[Debit])))+(SUM(IF((CRDJ[Date]=$A$4)*(CRDJ[Sort Code]=(TRIM(E$5)))*(CRDJ[Account Code]=(TRIM($B81))),CRDJ[Debit])))+(SUM(IF((GJ[Date]=$A$4)*(GJ[Sort Code]=(TRIM(E$5)))*(GJ[Account Code]=(TRIM($B81))),GJ[Debit]))))-((SUM(IF((CkDJ[Date]=$A$4)*(CkDJ[Sort Code]=(TRIM(E$5)))*(CkDJ[Account Code]=(TRIM($B81))),CkDJ[Credit])))+(SUM(IF((CsDJ[Date]=$A$4)*(CsDJ[Sort Code]=(TRIM(E$5)))*(CsDJ[Account Code]=(TRIM($B81))),CsDJ[Credit])))+(SUM(IF((CRDJ[Date]=$A$4)*(CRDJ[Sort Code]=(TRIM(E$5)))*(CRDJ[Account Code]=(TRIM($B81))),CRDJ[Credit])))+(SUM(IF((GJ[Date]=$A$4)*(GJ[Sort Code]=(TRIM(E$5)))*(GJ[Account Code]=(TRIM($B81))),GJ[Credit]))))</f>
        <v>0</v>
      </c>
      <c r="E81" s="467">
        <f t="shared" si="3"/>
        <v>0</v>
      </c>
    </row>
    <row r="82" spans="1:5">
      <c r="A82" s="476" t="s">
        <v>289</v>
      </c>
      <c r="B82" s="339" t="s">
        <v>229</v>
      </c>
      <c r="C82" s="466">
        <f t="array" ref="C82">((SUM(IF((CkDJ[Sort Code]=(TRIM(E$5)))*(CkDJ[Account Code]=(TRIM($B82)))*(CkDJ[Date]&lt;=$C$8),CkDJ[Debit])))+(SUM(IF((CsDJ[Sort Code]=(TRIM(E$5)))*(CsDJ[Account Code]=(TRIM($B82)))*(CsDJ[Date]&lt;=$C$8),CsDJ[Debit])))+(SUM(IF((CRDJ[Sort Code]=(TRIM(E$5)))*(CRDJ[Account Code]=(TRIM($B82)))*(CRDJ[Date]&lt;=$C$8),CRDJ[Debit])))+(SUM(IF((GJ[Sort Code]=(TRIM(E$5)))*(GJ[Account Code]=(TRIM($B82)))*(GJ[Date]&lt;=$C$8),GJ[Debit]))))-((SUM(IF((CkDJ[Sort Code]=(TRIM(E$5)))*(CkDJ[Account Code]=(TRIM($B82)))*(CkDJ[Date]&lt;=$C$8),CkDJ[Credit])))+(SUM(IF((CsDJ[Sort Code]=(TRIM(E$5)))*(CsDJ[Account Code]=(TRIM($B82)))*(CsDJ[Date]&lt;=$C$8),CsDJ[Credit])))+(SUM(IF((CRDJ[Sort Code]=(TRIM(E$5)))*(CRDJ[Account Code]=(TRIM($B82)))*(CRDJ[Date]&lt;=$C$8),CRDJ[Credit])))+(SUM(IF((GJ[Sort Code]=(TRIM(E$5)))*(GJ[Account Code]=(TRIM($B82)))*(GJ[Date]&lt;=$C$8),GJ[Credit]))))</f>
        <v>0</v>
      </c>
      <c r="D82" s="466">
        <f t="array" ref="D82">((SUM(IF((CkDJ[Date]=$A$4)*(CkDJ[Sort Code]=(TRIM(E$5)))*(CkDJ[Account Code]=(TRIM($B82))),CkDJ[Debit])))+(SUM(IF((CsDJ[Date]=$A$4)*(CsDJ[Sort Code]=(TRIM(E$5)))*(CsDJ[Account Code]=(TRIM($B82))),CsDJ[Debit])))+(SUM(IF((CRDJ[Date]=$A$4)*(CRDJ[Sort Code]=(TRIM(E$5)))*(CRDJ[Account Code]=(TRIM($B82))),CRDJ[Debit])))+(SUM(IF((GJ[Date]=$A$4)*(GJ[Sort Code]=(TRIM(E$5)))*(GJ[Account Code]=(TRIM($B82))),GJ[Debit]))))-((SUM(IF((CkDJ[Date]=$A$4)*(CkDJ[Sort Code]=(TRIM(E$5)))*(CkDJ[Account Code]=(TRIM($B82))),CkDJ[Credit])))+(SUM(IF((CsDJ[Date]=$A$4)*(CsDJ[Sort Code]=(TRIM(E$5)))*(CsDJ[Account Code]=(TRIM($B82))),CsDJ[Credit])))+(SUM(IF((CRDJ[Date]=$A$4)*(CRDJ[Sort Code]=(TRIM(E$5)))*(CRDJ[Account Code]=(TRIM($B82))),CRDJ[Credit])))+(SUM(IF((GJ[Date]=$A$4)*(GJ[Sort Code]=(TRIM(E$5)))*(GJ[Account Code]=(TRIM($B82))),GJ[Credit]))))</f>
        <v>0</v>
      </c>
      <c r="E82" s="467">
        <f t="shared" si="3"/>
        <v>0</v>
      </c>
    </row>
    <row r="83" spans="1:5">
      <c r="A83" s="476" t="s">
        <v>290</v>
      </c>
      <c r="B83" s="339" t="s">
        <v>230</v>
      </c>
      <c r="C83" s="466">
        <f t="array" ref="C83">((SUM(IF((CkDJ[Sort Code]=(TRIM(E$5)))*(CkDJ[Account Code]=(TRIM($B83)))*(CkDJ[Date]&lt;=$C$8),CkDJ[Debit])))+(SUM(IF((CsDJ[Sort Code]=(TRIM(E$5)))*(CsDJ[Account Code]=(TRIM($B83)))*(CsDJ[Date]&lt;=$C$8),CsDJ[Debit])))+(SUM(IF((CRDJ[Sort Code]=(TRIM(E$5)))*(CRDJ[Account Code]=(TRIM($B83)))*(CRDJ[Date]&lt;=$C$8),CRDJ[Debit])))+(SUM(IF((GJ[Sort Code]=(TRIM(E$5)))*(GJ[Account Code]=(TRIM($B83)))*(GJ[Date]&lt;=$C$8),GJ[Debit]))))-((SUM(IF((CkDJ[Sort Code]=(TRIM(E$5)))*(CkDJ[Account Code]=(TRIM($B83)))*(CkDJ[Date]&lt;=$C$8),CkDJ[Credit])))+(SUM(IF((CsDJ[Sort Code]=(TRIM(E$5)))*(CsDJ[Account Code]=(TRIM($B83)))*(CsDJ[Date]&lt;=$C$8),CsDJ[Credit])))+(SUM(IF((CRDJ[Sort Code]=(TRIM(E$5)))*(CRDJ[Account Code]=(TRIM($B83)))*(CRDJ[Date]&lt;=$C$8),CRDJ[Credit])))+(SUM(IF((GJ[Sort Code]=(TRIM(E$5)))*(GJ[Account Code]=(TRIM($B83)))*(GJ[Date]&lt;=$C$8),GJ[Credit]))))</f>
        <v>0</v>
      </c>
      <c r="D83" s="466">
        <f t="array" ref="D83">((SUM(IF((CkDJ[Date]=$A$4)*(CkDJ[Sort Code]=(TRIM(E$5)))*(CkDJ[Account Code]=(TRIM($B83))),CkDJ[Debit])))+(SUM(IF((CsDJ[Date]=$A$4)*(CsDJ[Sort Code]=(TRIM(E$5)))*(CsDJ[Account Code]=(TRIM($B83))),CsDJ[Debit])))+(SUM(IF((CRDJ[Date]=$A$4)*(CRDJ[Sort Code]=(TRIM(E$5)))*(CRDJ[Account Code]=(TRIM($B83))),CRDJ[Debit])))+(SUM(IF((GJ[Date]=$A$4)*(GJ[Sort Code]=(TRIM(E$5)))*(GJ[Account Code]=(TRIM($B83))),GJ[Debit]))))-((SUM(IF((CkDJ[Date]=$A$4)*(CkDJ[Sort Code]=(TRIM(E$5)))*(CkDJ[Account Code]=(TRIM($B83))),CkDJ[Credit])))+(SUM(IF((CsDJ[Date]=$A$4)*(CsDJ[Sort Code]=(TRIM(E$5)))*(CsDJ[Account Code]=(TRIM($B83))),CsDJ[Credit])))+(SUM(IF((CRDJ[Date]=$A$4)*(CRDJ[Sort Code]=(TRIM(E$5)))*(CRDJ[Account Code]=(TRIM($B83))),CRDJ[Credit])))+(SUM(IF((GJ[Date]=$A$4)*(GJ[Sort Code]=(TRIM(E$5)))*(GJ[Account Code]=(TRIM($B83))),GJ[Credit]))))</f>
        <v>0</v>
      </c>
      <c r="E83" s="467">
        <f t="shared" si="3"/>
        <v>0</v>
      </c>
    </row>
    <row r="84" spans="1:5">
      <c r="A84" s="476" t="s">
        <v>291</v>
      </c>
      <c r="B84" s="339" t="s">
        <v>231</v>
      </c>
      <c r="C84" s="466">
        <f t="array" ref="C84">((SUM(IF((CkDJ[Sort Code]=(TRIM(E$5)))*(CkDJ[Account Code]=(TRIM($B84)))*(CkDJ[Date]&lt;=$C$8),CkDJ[Debit])))+(SUM(IF((CsDJ[Sort Code]=(TRIM(E$5)))*(CsDJ[Account Code]=(TRIM($B84)))*(CsDJ[Date]&lt;=$C$8),CsDJ[Debit])))+(SUM(IF((CRDJ[Sort Code]=(TRIM(E$5)))*(CRDJ[Account Code]=(TRIM($B84)))*(CRDJ[Date]&lt;=$C$8),CRDJ[Debit])))+(SUM(IF((GJ[Sort Code]=(TRIM(E$5)))*(GJ[Account Code]=(TRIM($B84)))*(GJ[Date]&lt;=$C$8),GJ[Debit]))))-((SUM(IF((CkDJ[Sort Code]=(TRIM(E$5)))*(CkDJ[Account Code]=(TRIM($B84)))*(CkDJ[Date]&lt;=$C$8),CkDJ[Credit])))+(SUM(IF((CsDJ[Sort Code]=(TRIM(E$5)))*(CsDJ[Account Code]=(TRIM($B84)))*(CsDJ[Date]&lt;=$C$8),CsDJ[Credit])))+(SUM(IF((CRDJ[Sort Code]=(TRIM(E$5)))*(CRDJ[Account Code]=(TRIM($B84)))*(CRDJ[Date]&lt;=$C$8),CRDJ[Credit])))+(SUM(IF((GJ[Sort Code]=(TRIM(E$5)))*(GJ[Account Code]=(TRIM($B84)))*(GJ[Date]&lt;=$C$8),GJ[Credit]))))</f>
        <v>0</v>
      </c>
      <c r="D84" s="466">
        <f t="array" ref="D84">((SUM(IF((CkDJ[Date]=$A$4)*(CkDJ[Sort Code]=(TRIM(E$5)))*(CkDJ[Account Code]=(TRIM($B84))),CkDJ[Debit])))+(SUM(IF((CsDJ[Date]=$A$4)*(CsDJ[Sort Code]=(TRIM(E$5)))*(CsDJ[Account Code]=(TRIM($B84))),CsDJ[Debit])))+(SUM(IF((CRDJ[Date]=$A$4)*(CRDJ[Sort Code]=(TRIM(E$5)))*(CRDJ[Account Code]=(TRIM($B84))),CRDJ[Debit])))+(SUM(IF((GJ[Date]=$A$4)*(GJ[Sort Code]=(TRIM(E$5)))*(GJ[Account Code]=(TRIM($B84))),GJ[Debit]))))-((SUM(IF((CkDJ[Date]=$A$4)*(CkDJ[Sort Code]=(TRIM(E$5)))*(CkDJ[Account Code]=(TRIM($B84))),CkDJ[Credit])))+(SUM(IF((CsDJ[Date]=$A$4)*(CsDJ[Sort Code]=(TRIM(E$5)))*(CsDJ[Account Code]=(TRIM($B84))),CsDJ[Credit])))+(SUM(IF((CRDJ[Date]=$A$4)*(CRDJ[Sort Code]=(TRIM(E$5)))*(CRDJ[Account Code]=(TRIM($B84))),CRDJ[Credit])))+(SUM(IF((GJ[Date]=$A$4)*(GJ[Sort Code]=(TRIM(E$5)))*(GJ[Account Code]=(TRIM($B84))),GJ[Credit]))))</f>
        <v>0</v>
      </c>
      <c r="E84" s="467">
        <f t="shared" si="3"/>
        <v>0</v>
      </c>
    </row>
    <row r="85" spans="1:5">
      <c r="A85" s="476" t="s">
        <v>292</v>
      </c>
      <c r="B85" s="339" t="s">
        <v>232</v>
      </c>
      <c r="C85" s="466">
        <f t="array" ref="C85">((SUM(IF((CkDJ[Sort Code]=(TRIM(E$5)))*(CkDJ[Account Code]=(TRIM($B85)))*(CkDJ[Date]&lt;=$C$8),CkDJ[Debit])))+(SUM(IF((CsDJ[Sort Code]=(TRIM(E$5)))*(CsDJ[Account Code]=(TRIM($B85)))*(CsDJ[Date]&lt;=$C$8),CsDJ[Debit])))+(SUM(IF((CRDJ[Sort Code]=(TRIM(E$5)))*(CRDJ[Account Code]=(TRIM($B85)))*(CRDJ[Date]&lt;=$C$8),CRDJ[Debit])))+(SUM(IF((GJ[Sort Code]=(TRIM(E$5)))*(GJ[Account Code]=(TRIM($B85)))*(GJ[Date]&lt;=$C$8),GJ[Debit]))))-((SUM(IF((CkDJ[Sort Code]=(TRIM(E$5)))*(CkDJ[Account Code]=(TRIM($B85)))*(CkDJ[Date]&lt;=$C$8),CkDJ[Credit])))+(SUM(IF((CsDJ[Sort Code]=(TRIM(E$5)))*(CsDJ[Account Code]=(TRIM($B85)))*(CsDJ[Date]&lt;=$C$8),CsDJ[Credit])))+(SUM(IF((CRDJ[Sort Code]=(TRIM(E$5)))*(CRDJ[Account Code]=(TRIM($B85)))*(CRDJ[Date]&lt;=$C$8),CRDJ[Credit])))+(SUM(IF((GJ[Sort Code]=(TRIM(E$5)))*(GJ[Account Code]=(TRIM($B85)))*(GJ[Date]&lt;=$C$8),GJ[Credit]))))</f>
        <v>0</v>
      </c>
      <c r="D85" s="466">
        <f t="array" ref="D85">((SUM(IF((CkDJ[Date]=$A$4)*(CkDJ[Sort Code]=(TRIM(E$5)))*(CkDJ[Account Code]=(TRIM($B85))),CkDJ[Debit])))+(SUM(IF((CsDJ[Date]=$A$4)*(CsDJ[Sort Code]=(TRIM(E$5)))*(CsDJ[Account Code]=(TRIM($B85))),CsDJ[Debit])))+(SUM(IF((CRDJ[Date]=$A$4)*(CRDJ[Sort Code]=(TRIM(E$5)))*(CRDJ[Account Code]=(TRIM($B85))),CRDJ[Debit])))+(SUM(IF((GJ[Date]=$A$4)*(GJ[Sort Code]=(TRIM(E$5)))*(GJ[Account Code]=(TRIM($B85))),GJ[Debit]))))-((SUM(IF((CkDJ[Date]=$A$4)*(CkDJ[Sort Code]=(TRIM(E$5)))*(CkDJ[Account Code]=(TRIM($B85))),CkDJ[Credit])))+(SUM(IF((CsDJ[Date]=$A$4)*(CsDJ[Sort Code]=(TRIM(E$5)))*(CsDJ[Account Code]=(TRIM($B85))),CsDJ[Credit])))+(SUM(IF((CRDJ[Date]=$A$4)*(CRDJ[Sort Code]=(TRIM(E$5)))*(CRDJ[Account Code]=(TRIM($B85))),CRDJ[Credit])))+(SUM(IF((GJ[Date]=$A$4)*(GJ[Sort Code]=(TRIM(E$5)))*(GJ[Account Code]=(TRIM($B85))),GJ[Credit]))))</f>
        <v>0</v>
      </c>
      <c r="E85" s="467">
        <f t="shared" si="3"/>
        <v>0</v>
      </c>
    </row>
    <row r="86" spans="1:5">
      <c r="A86" s="476" t="s">
        <v>293</v>
      </c>
      <c r="B86" s="339" t="s">
        <v>233</v>
      </c>
      <c r="C86" s="466">
        <f t="array" ref="C86">((SUM(IF((CkDJ[Sort Code]=(TRIM(E$5)))*(CkDJ[Account Code]=(TRIM($B86)))*(CkDJ[Date]&lt;=$C$8),CkDJ[Debit])))+(SUM(IF((CsDJ[Sort Code]=(TRIM(E$5)))*(CsDJ[Account Code]=(TRIM($B86)))*(CsDJ[Date]&lt;=$C$8),CsDJ[Debit])))+(SUM(IF((CRDJ[Sort Code]=(TRIM(E$5)))*(CRDJ[Account Code]=(TRIM($B86)))*(CRDJ[Date]&lt;=$C$8),CRDJ[Debit])))+(SUM(IF((GJ[Sort Code]=(TRIM(E$5)))*(GJ[Account Code]=(TRIM($B86)))*(GJ[Date]&lt;=$C$8),GJ[Debit]))))-((SUM(IF((CkDJ[Sort Code]=(TRIM(E$5)))*(CkDJ[Account Code]=(TRIM($B86)))*(CkDJ[Date]&lt;=$C$8),CkDJ[Credit])))+(SUM(IF((CsDJ[Sort Code]=(TRIM(E$5)))*(CsDJ[Account Code]=(TRIM($B86)))*(CsDJ[Date]&lt;=$C$8),CsDJ[Credit])))+(SUM(IF((CRDJ[Sort Code]=(TRIM(E$5)))*(CRDJ[Account Code]=(TRIM($B86)))*(CRDJ[Date]&lt;=$C$8),CRDJ[Credit])))+(SUM(IF((GJ[Sort Code]=(TRIM(E$5)))*(GJ[Account Code]=(TRIM($B86)))*(GJ[Date]&lt;=$C$8),GJ[Credit]))))</f>
        <v>0</v>
      </c>
      <c r="D86" s="466">
        <f t="array" ref="D86">((SUM(IF((CkDJ[Date]=$A$4)*(CkDJ[Sort Code]=(TRIM(E$5)))*(CkDJ[Account Code]=(TRIM($B86))),CkDJ[Debit])))+(SUM(IF((CsDJ[Date]=$A$4)*(CsDJ[Sort Code]=(TRIM(E$5)))*(CsDJ[Account Code]=(TRIM($B86))),CsDJ[Debit])))+(SUM(IF((CRDJ[Date]=$A$4)*(CRDJ[Sort Code]=(TRIM(E$5)))*(CRDJ[Account Code]=(TRIM($B86))),CRDJ[Debit])))+(SUM(IF((GJ[Date]=$A$4)*(GJ[Sort Code]=(TRIM(E$5)))*(GJ[Account Code]=(TRIM($B86))),GJ[Debit]))))-((SUM(IF((CkDJ[Date]=$A$4)*(CkDJ[Sort Code]=(TRIM(E$5)))*(CkDJ[Account Code]=(TRIM($B86))),CkDJ[Credit])))+(SUM(IF((CsDJ[Date]=$A$4)*(CsDJ[Sort Code]=(TRIM(E$5)))*(CsDJ[Account Code]=(TRIM($B86))),CsDJ[Credit])))+(SUM(IF((CRDJ[Date]=$A$4)*(CRDJ[Sort Code]=(TRIM(E$5)))*(CRDJ[Account Code]=(TRIM($B86))),CRDJ[Credit])))+(SUM(IF((GJ[Date]=$A$4)*(GJ[Sort Code]=(TRIM(E$5)))*(GJ[Account Code]=(TRIM($B86))),GJ[Credit]))))</f>
        <v>0</v>
      </c>
      <c r="E86" s="467">
        <f t="shared" si="3"/>
        <v>0</v>
      </c>
    </row>
    <row r="87" spans="1:5">
      <c r="A87" s="476" t="s">
        <v>1475</v>
      </c>
      <c r="B87" s="339" t="s">
        <v>1265</v>
      </c>
      <c r="C87" s="466">
        <f t="array" ref="C87">((SUM(IF((CkDJ[Sort Code]=(TRIM(E$5)))*(CkDJ[Account Code]=(TRIM($B87)))*(CkDJ[Date]&lt;=$C$8),CkDJ[Debit])))+(SUM(IF((CsDJ[Sort Code]=(TRIM(E$5)))*(CsDJ[Account Code]=(TRIM($B87)))*(CsDJ[Date]&lt;=$C$8),CsDJ[Debit])))+(SUM(IF((CRDJ[Sort Code]=(TRIM(E$5)))*(CRDJ[Account Code]=(TRIM($B87)))*(CRDJ[Date]&lt;=$C$8),CRDJ[Debit])))+(SUM(IF((GJ[Sort Code]=(TRIM(E$5)))*(GJ[Account Code]=(TRIM($B87)))*(GJ[Date]&lt;=$C$8),GJ[Debit]))))-((SUM(IF((CkDJ[Sort Code]=(TRIM(E$5)))*(CkDJ[Account Code]=(TRIM($B87)))*(CkDJ[Date]&lt;=$C$8),CkDJ[Credit])))+(SUM(IF((CsDJ[Sort Code]=(TRIM(E$5)))*(CsDJ[Account Code]=(TRIM($B87)))*(CsDJ[Date]&lt;=$C$8),CsDJ[Credit])))+(SUM(IF((CRDJ[Sort Code]=(TRIM(E$5)))*(CRDJ[Account Code]=(TRIM($B87)))*(CRDJ[Date]&lt;=$C$8),CRDJ[Credit])))+(SUM(IF((GJ[Sort Code]=(TRIM(E$5)))*(GJ[Account Code]=(TRIM($B87)))*(GJ[Date]&lt;=$C$8),GJ[Credit]))))</f>
        <v>0</v>
      </c>
      <c r="D87" s="466">
        <f t="array" ref="D87">((SUM(IF((CkDJ[Date]=$A$4)*(CkDJ[Sort Code]=(TRIM(E$5)))*(CkDJ[Account Code]=(TRIM($B87))),CkDJ[Debit])))+(SUM(IF((CsDJ[Date]=$A$4)*(CsDJ[Sort Code]=(TRIM(E$5)))*(CsDJ[Account Code]=(TRIM($B87))),CsDJ[Debit])))+(SUM(IF((CRDJ[Date]=$A$4)*(CRDJ[Sort Code]=(TRIM(E$5)))*(CRDJ[Account Code]=(TRIM($B87))),CRDJ[Debit])))+(SUM(IF((GJ[Date]=$A$4)*(GJ[Sort Code]=(TRIM(E$5)))*(GJ[Account Code]=(TRIM($B87))),GJ[Debit]))))-((SUM(IF((CkDJ[Date]=$A$4)*(CkDJ[Sort Code]=(TRIM(E$5)))*(CkDJ[Account Code]=(TRIM($B87))),CkDJ[Credit])))+(SUM(IF((CsDJ[Date]=$A$4)*(CsDJ[Sort Code]=(TRIM(E$5)))*(CsDJ[Account Code]=(TRIM($B87))),CsDJ[Credit])))+(SUM(IF((CRDJ[Date]=$A$4)*(CRDJ[Sort Code]=(TRIM(E$5)))*(CRDJ[Account Code]=(TRIM($B87))),CRDJ[Credit])))+(SUM(IF((GJ[Date]=$A$4)*(GJ[Sort Code]=(TRIM(E$5)))*(GJ[Account Code]=(TRIM($B87))),GJ[Credit]))))</f>
        <v>0</v>
      </c>
      <c r="E87" s="467">
        <f>C87+D87</f>
        <v>0</v>
      </c>
    </row>
    <row r="88" spans="1:5">
      <c r="A88" s="476" t="s">
        <v>1475</v>
      </c>
      <c r="B88" s="339" t="s">
        <v>1266</v>
      </c>
      <c r="C88" s="466">
        <f t="array" ref="C88">((SUM(IF((CkDJ[Sort Code]=(TRIM(E$5)))*(CkDJ[Account Code]=(TRIM($B88)))*(CkDJ[Date]&lt;=$C$8),CkDJ[Debit])))+(SUM(IF((CsDJ[Sort Code]=(TRIM(E$5)))*(CsDJ[Account Code]=(TRIM($B88)))*(CsDJ[Date]&lt;=$C$8),CsDJ[Debit])))+(SUM(IF((CRDJ[Sort Code]=(TRIM(E$5)))*(CRDJ[Account Code]=(TRIM($B88)))*(CRDJ[Date]&lt;=$C$8),CRDJ[Debit])))+(SUM(IF((GJ[Sort Code]=(TRIM(E$5)))*(GJ[Account Code]=(TRIM($B88)))*(GJ[Date]&lt;=$C$8),GJ[Debit]))))-((SUM(IF((CkDJ[Sort Code]=(TRIM(E$5)))*(CkDJ[Account Code]=(TRIM($B88)))*(CkDJ[Date]&lt;=$C$8),CkDJ[Credit])))+(SUM(IF((CsDJ[Sort Code]=(TRIM(E$5)))*(CsDJ[Account Code]=(TRIM($B88)))*(CsDJ[Date]&lt;=$C$8),CsDJ[Credit])))+(SUM(IF((CRDJ[Sort Code]=(TRIM(E$5)))*(CRDJ[Account Code]=(TRIM($B88)))*(CRDJ[Date]&lt;=$C$8),CRDJ[Credit])))+(SUM(IF((GJ[Sort Code]=(TRIM(E$5)))*(GJ[Account Code]=(TRIM($B88)))*(GJ[Date]&lt;=$C$8),GJ[Credit]))))</f>
        <v>0</v>
      </c>
      <c r="D88" s="466">
        <f t="array" ref="D88">((SUM(IF((CkDJ[Date]=$A$4)*(CkDJ[Sort Code]=(TRIM(E$5)))*(CkDJ[Account Code]=(TRIM($B88))),CkDJ[Debit])))+(SUM(IF((CsDJ[Date]=$A$4)*(CsDJ[Sort Code]=(TRIM(E$5)))*(CsDJ[Account Code]=(TRIM($B88))),CsDJ[Debit])))+(SUM(IF((CRDJ[Date]=$A$4)*(CRDJ[Sort Code]=(TRIM(E$5)))*(CRDJ[Account Code]=(TRIM($B88))),CRDJ[Debit])))+(SUM(IF((GJ[Date]=$A$4)*(GJ[Sort Code]=(TRIM(E$5)))*(GJ[Account Code]=(TRIM($B88))),GJ[Debit]))))-((SUM(IF((CkDJ[Date]=$A$4)*(CkDJ[Sort Code]=(TRIM(E$5)))*(CkDJ[Account Code]=(TRIM($B88))),CkDJ[Credit])))+(SUM(IF((CsDJ[Date]=$A$4)*(CsDJ[Sort Code]=(TRIM(E$5)))*(CsDJ[Account Code]=(TRIM($B88))),CsDJ[Credit])))+(SUM(IF((CRDJ[Date]=$A$4)*(CRDJ[Sort Code]=(TRIM(E$5)))*(CRDJ[Account Code]=(TRIM($B88))),CRDJ[Credit])))+(SUM(IF((GJ[Date]=$A$4)*(GJ[Sort Code]=(TRIM(E$5)))*(GJ[Account Code]=(TRIM($B88))),GJ[Credit]))))</f>
        <v>0</v>
      </c>
      <c r="E88" s="467">
        <f>C88+D88</f>
        <v>0</v>
      </c>
    </row>
    <row r="89" spans="1:5">
      <c r="A89" s="476" t="s">
        <v>294</v>
      </c>
      <c r="B89" s="339" t="s">
        <v>234</v>
      </c>
      <c r="C89" s="466">
        <f t="array" ref="C89">((SUM(IF((CkDJ[Sort Code]=(TRIM(E$5)))*(CkDJ[Account Code]=(TRIM($B89)))*(CkDJ[Date]&lt;=$C$8),CkDJ[Debit])))+(SUM(IF((CsDJ[Sort Code]=(TRIM(E$5)))*(CsDJ[Account Code]=(TRIM($B89)))*(CsDJ[Date]&lt;=$C$8),CsDJ[Debit])))+(SUM(IF((CRDJ[Sort Code]=(TRIM(E$5)))*(CRDJ[Account Code]=(TRIM($B89)))*(CRDJ[Date]&lt;=$C$8),CRDJ[Debit])))+(SUM(IF((GJ[Sort Code]=(TRIM(E$5)))*(GJ[Account Code]=(TRIM($B89)))*(GJ[Date]&lt;=$C$8),GJ[Debit]))))-((SUM(IF((CkDJ[Sort Code]=(TRIM(E$5)))*(CkDJ[Account Code]=(TRIM($B89)))*(CkDJ[Date]&lt;=$C$8),CkDJ[Credit])))+(SUM(IF((CsDJ[Sort Code]=(TRIM(E$5)))*(CsDJ[Account Code]=(TRIM($B89)))*(CsDJ[Date]&lt;=$C$8),CsDJ[Credit])))+(SUM(IF((CRDJ[Sort Code]=(TRIM(E$5)))*(CRDJ[Account Code]=(TRIM($B89)))*(CRDJ[Date]&lt;=$C$8),CRDJ[Credit])))+(SUM(IF((GJ[Sort Code]=(TRIM(E$5)))*(GJ[Account Code]=(TRIM($B89)))*(GJ[Date]&lt;=$C$8),GJ[Credit]))))</f>
        <v>0</v>
      </c>
      <c r="D89" s="466">
        <f t="array" ref="D89">((SUM(IF((CkDJ[Date]=$A$4)*(CkDJ[Sort Code]=(TRIM(E$5)))*(CkDJ[Account Code]=(TRIM($B89))),CkDJ[Debit])))+(SUM(IF((CsDJ[Date]=$A$4)*(CsDJ[Sort Code]=(TRIM(E$5)))*(CsDJ[Account Code]=(TRIM($B89))),CsDJ[Debit])))+(SUM(IF((CRDJ[Date]=$A$4)*(CRDJ[Sort Code]=(TRIM(E$5)))*(CRDJ[Account Code]=(TRIM($B89))),CRDJ[Debit])))+(SUM(IF((GJ[Date]=$A$4)*(GJ[Sort Code]=(TRIM(E$5)))*(GJ[Account Code]=(TRIM($B89))),GJ[Debit]))))-((SUM(IF((CkDJ[Date]=$A$4)*(CkDJ[Sort Code]=(TRIM(E$5)))*(CkDJ[Account Code]=(TRIM($B89))),CkDJ[Credit])))+(SUM(IF((CsDJ[Date]=$A$4)*(CsDJ[Sort Code]=(TRIM(E$5)))*(CsDJ[Account Code]=(TRIM($B89))),CsDJ[Credit])))+(SUM(IF((CRDJ[Date]=$A$4)*(CRDJ[Sort Code]=(TRIM(E$5)))*(CRDJ[Account Code]=(TRIM($B89))),CRDJ[Credit])))+(SUM(IF((GJ[Date]=$A$4)*(GJ[Sort Code]=(TRIM(E$5)))*(GJ[Account Code]=(TRIM($B89))),GJ[Credit]))))</f>
        <v>0</v>
      </c>
      <c r="E89" s="467">
        <f t="shared" si="3"/>
        <v>0</v>
      </c>
    </row>
    <row r="90" spans="1:5">
      <c r="A90" s="476" t="s">
        <v>295</v>
      </c>
      <c r="B90" s="339" t="s">
        <v>235</v>
      </c>
      <c r="C90" s="466">
        <f t="array" ref="C90">((SUM(IF((CkDJ[Sort Code]=(TRIM(E$5)))*(CkDJ[Account Code]=(TRIM($B90)))*(CkDJ[Date]&lt;=$C$8),CkDJ[Debit])))+(SUM(IF((CsDJ[Sort Code]=(TRIM(E$5)))*(CsDJ[Account Code]=(TRIM($B90)))*(CsDJ[Date]&lt;=$C$8),CsDJ[Debit])))+(SUM(IF((CRDJ[Sort Code]=(TRIM(E$5)))*(CRDJ[Account Code]=(TRIM($B90)))*(CRDJ[Date]&lt;=$C$8),CRDJ[Debit])))+(SUM(IF((GJ[Sort Code]=(TRIM(E$5)))*(GJ[Account Code]=(TRIM($B90)))*(GJ[Date]&lt;=$C$8),GJ[Debit]))))-((SUM(IF((CkDJ[Sort Code]=(TRIM(E$5)))*(CkDJ[Account Code]=(TRIM($B90)))*(CkDJ[Date]&lt;=$C$8),CkDJ[Credit])))+(SUM(IF((CsDJ[Sort Code]=(TRIM(E$5)))*(CsDJ[Account Code]=(TRIM($B90)))*(CsDJ[Date]&lt;=$C$8),CsDJ[Credit])))+(SUM(IF((CRDJ[Sort Code]=(TRIM(E$5)))*(CRDJ[Account Code]=(TRIM($B90)))*(CRDJ[Date]&lt;=$C$8),CRDJ[Credit])))+(SUM(IF((GJ[Sort Code]=(TRIM(E$5)))*(GJ[Account Code]=(TRIM($B90)))*(GJ[Date]&lt;=$C$8),GJ[Credit]))))</f>
        <v>0</v>
      </c>
      <c r="D90" s="466">
        <f t="array" ref="D90">((SUM(IF((CkDJ[Date]=$A$4)*(CkDJ[Sort Code]=(TRIM(E$5)))*(CkDJ[Account Code]=(TRIM($B90))),CkDJ[Debit])))+(SUM(IF((CsDJ[Date]=$A$4)*(CsDJ[Sort Code]=(TRIM(E$5)))*(CsDJ[Account Code]=(TRIM($B90))),CsDJ[Debit])))+(SUM(IF((CRDJ[Date]=$A$4)*(CRDJ[Sort Code]=(TRIM(E$5)))*(CRDJ[Account Code]=(TRIM($B90))),CRDJ[Debit])))+(SUM(IF((GJ[Date]=$A$4)*(GJ[Sort Code]=(TRIM(E$5)))*(GJ[Account Code]=(TRIM($B90))),GJ[Debit]))))-((SUM(IF((CkDJ[Date]=$A$4)*(CkDJ[Sort Code]=(TRIM(E$5)))*(CkDJ[Account Code]=(TRIM($B90))),CkDJ[Credit])))+(SUM(IF((CsDJ[Date]=$A$4)*(CsDJ[Sort Code]=(TRIM(E$5)))*(CsDJ[Account Code]=(TRIM($B90))),CsDJ[Credit])))+(SUM(IF((CRDJ[Date]=$A$4)*(CRDJ[Sort Code]=(TRIM(E$5)))*(CRDJ[Account Code]=(TRIM($B90))),CRDJ[Credit])))+(SUM(IF((GJ[Date]=$A$4)*(GJ[Sort Code]=(TRIM(E$5)))*(GJ[Account Code]=(TRIM($B90))),GJ[Credit]))))</f>
        <v>0</v>
      </c>
      <c r="E90" s="467">
        <f t="shared" si="3"/>
        <v>0</v>
      </c>
    </row>
    <row r="91" spans="1:5">
      <c r="A91" s="476" t="s">
        <v>296</v>
      </c>
      <c r="B91" s="339" t="s">
        <v>236</v>
      </c>
      <c r="C91" s="466">
        <f t="array" ref="C91">((SUM(IF((CkDJ[Sort Code]=(TRIM(E$5)))*(CkDJ[Account Code]=(TRIM($B91)))*(CkDJ[Date]&lt;=$C$8),CkDJ[Debit])))+(SUM(IF((CsDJ[Sort Code]=(TRIM(E$5)))*(CsDJ[Account Code]=(TRIM($B91)))*(CsDJ[Date]&lt;=$C$8),CsDJ[Debit])))+(SUM(IF((CRDJ[Sort Code]=(TRIM(E$5)))*(CRDJ[Account Code]=(TRIM($B91)))*(CRDJ[Date]&lt;=$C$8),CRDJ[Debit])))+(SUM(IF((GJ[Sort Code]=(TRIM(E$5)))*(GJ[Account Code]=(TRIM($B91)))*(GJ[Date]&lt;=$C$8),GJ[Debit]))))-((SUM(IF((CkDJ[Sort Code]=(TRIM(E$5)))*(CkDJ[Account Code]=(TRIM($B91)))*(CkDJ[Date]&lt;=$C$8),CkDJ[Credit])))+(SUM(IF((CsDJ[Sort Code]=(TRIM(E$5)))*(CsDJ[Account Code]=(TRIM($B91)))*(CsDJ[Date]&lt;=$C$8),CsDJ[Credit])))+(SUM(IF((CRDJ[Sort Code]=(TRIM(E$5)))*(CRDJ[Account Code]=(TRIM($B91)))*(CRDJ[Date]&lt;=$C$8),CRDJ[Credit])))+(SUM(IF((GJ[Sort Code]=(TRIM(E$5)))*(GJ[Account Code]=(TRIM($B91)))*(GJ[Date]&lt;=$C$8),GJ[Credit]))))</f>
        <v>0</v>
      </c>
      <c r="D91" s="466">
        <f t="array" ref="D91">((SUM(IF((CkDJ[Date]=$A$4)*(CkDJ[Sort Code]=(TRIM(E$5)))*(CkDJ[Account Code]=(TRIM($B91))),CkDJ[Debit])))+(SUM(IF((CsDJ[Date]=$A$4)*(CsDJ[Sort Code]=(TRIM(E$5)))*(CsDJ[Account Code]=(TRIM($B91))),CsDJ[Debit])))+(SUM(IF((CRDJ[Date]=$A$4)*(CRDJ[Sort Code]=(TRIM(E$5)))*(CRDJ[Account Code]=(TRIM($B91))),CRDJ[Debit])))+(SUM(IF((GJ[Date]=$A$4)*(GJ[Sort Code]=(TRIM(E$5)))*(GJ[Account Code]=(TRIM($B91))),GJ[Debit]))))-((SUM(IF((CkDJ[Date]=$A$4)*(CkDJ[Sort Code]=(TRIM(E$5)))*(CkDJ[Account Code]=(TRIM($B91))),CkDJ[Credit])))+(SUM(IF((CsDJ[Date]=$A$4)*(CsDJ[Sort Code]=(TRIM(E$5)))*(CsDJ[Account Code]=(TRIM($B91))),CsDJ[Credit])))+(SUM(IF((CRDJ[Date]=$A$4)*(CRDJ[Sort Code]=(TRIM(E$5)))*(CRDJ[Account Code]=(TRIM($B91))),CRDJ[Credit])))+(SUM(IF((GJ[Date]=$A$4)*(GJ[Sort Code]=(TRIM(E$5)))*(GJ[Account Code]=(TRIM($B91))),GJ[Credit]))))</f>
        <v>0</v>
      </c>
      <c r="E91" s="467">
        <f t="shared" si="3"/>
        <v>0</v>
      </c>
    </row>
    <row r="92" spans="1:5">
      <c r="A92" s="476" t="s">
        <v>297</v>
      </c>
      <c r="B92" s="339" t="s">
        <v>237</v>
      </c>
      <c r="C92" s="466">
        <f t="array" ref="C92">((SUM(IF((CkDJ[Sort Code]=(TRIM(E$5)))*(CkDJ[Account Code]=(TRIM($B92)))*(CkDJ[Date]&lt;=$C$8),CkDJ[Debit])))+(SUM(IF((CsDJ[Sort Code]=(TRIM(E$5)))*(CsDJ[Account Code]=(TRIM($B92)))*(CsDJ[Date]&lt;=$C$8),CsDJ[Debit])))+(SUM(IF((CRDJ[Sort Code]=(TRIM(E$5)))*(CRDJ[Account Code]=(TRIM($B92)))*(CRDJ[Date]&lt;=$C$8),CRDJ[Debit])))+(SUM(IF((GJ[Sort Code]=(TRIM(E$5)))*(GJ[Account Code]=(TRIM($B92)))*(GJ[Date]&lt;=$C$8),GJ[Debit]))))-((SUM(IF((CkDJ[Sort Code]=(TRIM(E$5)))*(CkDJ[Account Code]=(TRIM($B92)))*(CkDJ[Date]&lt;=$C$8),CkDJ[Credit])))+(SUM(IF((CsDJ[Sort Code]=(TRIM(E$5)))*(CsDJ[Account Code]=(TRIM($B92)))*(CsDJ[Date]&lt;=$C$8),CsDJ[Credit])))+(SUM(IF((CRDJ[Sort Code]=(TRIM(E$5)))*(CRDJ[Account Code]=(TRIM($B92)))*(CRDJ[Date]&lt;=$C$8),CRDJ[Credit])))+(SUM(IF((GJ[Sort Code]=(TRIM(E$5)))*(GJ[Account Code]=(TRIM($B92)))*(GJ[Date]&lt;=$C$8),GJ[Credit]))))</f>
        <v>0</v>
      </c>
      <c r="D92" s="466">
        <f t="array" ref="D92">((SUM(IF((CkDJ[Date]=$A$4)*(CkDJ[Sort Code]=(TRIM(E$5)))*(CkDJ[Account Code]=(TRIM($B92))),CkDJ[Debit])))+(SUM(IF((CsDJ[Date]=$A$4)*(CsDJ[Sort Code]=(TRIM(E$5)))*(CsDJ[Account Code]=(TRIM($B92))),CsDJ[Debit])))+(SUM(IF((CRDJ[Date]=$A$4)*(CRDJ[Sort Code]=(TRIM(E$5)))*(CRDJ[Account Code]=(TRIM($B92))),CRDJ[Debit])))+(SUM(IF((GJ[Date]=$A$4)*(GJ[Sort Code]=(TRIM(E$5)))*(GJ[Account Code]=(TRIM($B92))),GJ[Debit]))))-((SUM(IF((CkDJ[Date]=$A$4)*(CkDJ[Sort Code]=(TRIM(E$5)))*(CkDJ[Account Code]=(TRIM($B92))),CkDJ[Credit])))+(SUM(IF((CsDJ[Date]=$A$4)*(CsDJ[Sort Code]=(TRIM(E$5)))*(CsDJ[Account Code]=(TRIM($B92))),CsDJ[Credit])))+(SUM(IF((CRDJ[Date]=$A$4)*(CRDJ[Sort Code]=(TRIM(E$5)))*(CRDJ[Account Code]=(TRIM($B92))),CRDJ[Credit])))+(SUM(IF((GJ[Date]=$A$4)*(GJ[Sort Code]=(TRIM(E$5)))*(GJ[Account Code]=(TRIM($B92))),GJ[Credit]))))</f>
        <v>0</v>
      </c>
      <c r="E92" s="467">
        <f t="shared" si="3"/>
        <v>0</v>
      </c>
    </row>
    <row r="93" spans="1:5">
      <c r="A93" s="476" t="s">
        <v>298</v>
      </c>
      <c r="B93" s="339" t="s">
        <v>238</v>
      </c>
      <c r="C93" s="466">
        <f t="array" ref="C93">((SUM(IF((CkDJ[Sort Code]=(TRIM(E$5)))*(CkDJ[Account Code]=(TRIM($B93)))*(CkDJ[Date]&lt;=$C$8),CkDJ[Debit])))+(SUM(IF((CsDJ[Sort Code]=(TRIM(E$5)))*(CsDJ[Account Code]=(TRIM($B93)))*(CsDJ[Date]&lt;=$C$8),CsDJ[Debit])))+(SUM(IF((CRDJ[Sort Code]=(TRIM(E$5)))*(CRDJ[Account Code]=(TRIM($B93)))*(CRDJ[Date]&lt;=$C$8),CRDJ[Debit])))+(SUM(IF((GJ[Sort Code]=(TRIM(E$5)))*(GJ[Account Code]=(TRIM($B93)))*(GJ[Date]&lt;=$C$8),GJ[Debit]))))-((SUM(IF((CkDJ[Sort Code]=(TRIM(E$5)))*(CkDJ[Account Code]=(TRIM($B93)))*(CkDJ[Date]&lt;=$C$8),CkDJ[Credit])))+(SUM(IF((CsDJ[Sort Code]=(TRIM(E$5)))*(CsDJ[Account Code]=(TRIM($B93)))*(CsDJ[Date]&lt;=$C$8),CsDJ[Credit])))+(SUM(IF((CRDJ[Sort Code]=(TRIM(E$5)))*(CRDJ[Account Code]=(TRIM($B93)))*(CRDJ[Date]&lt;=$C$8),CRDJ[Credit])))+(SUM(IF((GJ[Sort Code]=(TRIM(E$5)))*(GJ[Account Code]=(TRIM($B93)))*(GJ[Date]&lt;=$C$8),GJ[Credit]))))</f>
        <v>0</v>
      </c>
      <c r="D93" s="466">
        <f t="array" ref="D93">((SUM(IF((CkDJ[Date]=$A$4)*(CkDJ[Sort Code]=(TRIM(E$5)))*(CkDJ[Account Code]=(TRIM($B93))),CkDJ[Debit])))+(SUM(IF((CsDJ[Date]=$A$4)*(CsDJ[Sort Code]=(TRIM(E$5)))*(CsDJ[Account Code]=(TRIM($B93))),CsDJ[Debit])))+(SUM(IF((CRDJ[Date]=$A$4)*(CRDJ[Sort Code]=(TRIM(E$5)))*(CRDJ[Account Code]=(TRIM($B93))),CRDJ[Debit])))+(SUM(IF((GJ[Date]=$A$4)*(GJ[Sort Code]=(TRIM(E$5)))*(GJ[Account Code]=(TRIM($B93))),GJ[Debit]))))-((SUM(IF((CkDJ[Date]=$A$4)*(CkDJ[Sort Code]=(TRIM(E$5)))*(CkDJ[Account Code]=(TRIM($B93))),CkDJ[Credit])))+(SUM(IF((CsDJ[Date]=$A$4)*(CsDJ[Sort Code]=(TRIM(E$5)))*(CsDJ[Account Code]=(TRIM($B93))),CsDJ[Credit])))+(SUM(IF((CRDJ[Date]=$A$4)*(CRDJ[Sort Code]=(TRIM(E$5)))*(CRDJ[Account Code]=(TRIM($B93))),CRDJ[Credit])))+(SUM(IF((GJ[Date]=$A$4)*(GJ[Sort Code]=(TRIM(E$5)))*(GJ[Account Code]=(TRIM($B93))),GJ[Credit]))))</f>
        <v>0</v>
      </c>
      <c r="E93" s="467">
        <f t="shared" si="3"/>
        <v>0</v>
      </c>
    </row>
    <row r="94" spans="1:5">
      <c r="A94" s="476" t="s">
        <v>1019</v>
      </c>
      <c r="B94" s="339" t="s">
        <v>239</v>
      </c>
      <c r="C94" s="466">
        <f t="array" ref="C94">((SUM(IF((CkDJ[Sort Code]=(TRIM(E$5)))*(CkDJ[Account Code]=(TRIM($B94)))*(CkDJ[Date]&lt;=$C$8),CkDJ[Debit])))+(SUM(IF((CsDJ[Sort Code]=(TRIM(E$5)))*(CsDJ[Account Code]=(TRIM($B94)))*(CsDJ[Date]&lt;=$C$8),CsDJ[Debit])))+(SUM(IF((CRDJ[Sort Code]=(TRIM(E$5)))*(CRDJ[Account Code]=(TRIM($B94)))*(CRDJ[Date]&lt;=$C$8),CRDJ[Debit])))+(SUM(IF((GJ[Sort Code]=(TRIM(E$5)))*(GJ[Account Code]=(TRIM($B94)))*(GJ[Date]&lt;=$C$8),GJ[Debit]))))-((SUM(IF((CkDJ[Sort Code]=(TRIM(E$5)))*(CkDJ[Account Code]=(TRIM($B94)))*(CkDJ[Date]&lt;=$C$8),CkDJ[Credit])))+(SUM(IF((CsDJ[Sort Code]=(TRIM(E$5)))*(CsDJ[Account Code]=(TRIM($B94)))*(CsDJ[Date]&lt;=$C$8),CsDJ[Credit])))+(SUM(IF((CRDJ[Sort Code]=(TRIM(E$5)))*(CRDJ[Account Code]=(TRIM($B94)))*(CRDJ[Date]&lt;=$C$8),CRDJ[Credit])))+(SUM(IF((GJ[Sort Code]=(TRIM(E$5)))*(GJ[Account Code]=(TRIM($B94)))*(GJ[Date]&lt;=$C$8),GJ[Credit]))))</f>
        <v>0</v>
      </c>
      <c r="D94" s="466">
        <f t="array" ref="D94">((SUM(IF((CkDJ[Date]=$A$4)*(CkDJ[Sort Code]=(TRIM(E$5)))*(CkDJ[Account Code]=(TRIM($B94))),CkDJ[Debit])))+(SUM(IF((CsDJ[Date]=$A$4)*(CsDJ[Sort Code]=(TRIM(E$5)))*(CsDJ[Account Code]=(TRIM($B94))),CsDJ[Debit])))+(SUM(IF((CRDJ[Date]=$A$4)*(CRDJ[Sort Code]=(TRIM(E$5)))*(CRDJ[Account Code]=(TRIM($B94))),CRDJ[Debit])))+(SUM(IF((GJ[Date]=$A$4)*(GJ[Sort Code]=(TRIM(E$5)))*(GJ[Account Code]=(TRIM($B94))),GJ[Debit]))))-((SUM(IF((CkDJ[Date]=$A$4)*(CkDJ[Sort Code]=(TRIM(E$5)))*(CkDJ[Account Code]=(TRIM($B94))),CkDJ[Credit])))+(SUM(IF((CsDJ[Date]=$A$4)*(CsDJ[Sort Code]=(TRIM(E$5)))*(CsDJ[Account Code]=(TRIM($B94))),CsDJ[Credit])))+(SUM(IF((CRDJ[Date]=$A$4)*(CRDJ[Sort Code]=(TRIM(E$5)))*(CRDJ[Account Code]=(TRIM($B94))),CRDJ[Credit])))+(SUM(IF((GJ[Date]=$A$4)*(GJ[Sort Code]=(TRIM(E$5)))*(GJ[Account Code]=(TRIM($B94))),GJ[Credit]))))</f>
        <v>0</v>
      </c>
      <c r="E94" s="467">
        <f t="shared" si="3"/>
        <v>0</v>
      </c>
    </row>
    <row r="95" spans="1:5">
      <c r="A95" s="476" t="s">
        <v>1020</v>
      </c>
      <c r="B95" s="339" t="s">
        <v>240</v>
      </c>
      <c r="C95" s="466">
        <f t="array" ref="C95">((SUM(IF((CkDJ[Sort Code]=(TRIM(E$5)))*(CkDJ[Account Code]=(TRIM($B95)))*(CkDJ[Date]&lt;=$C$8),CkDJ[Debit])))+(SUM(IF((CsDJ[Sort Code]=(TRIM(E$5)))*(CsDJ[Account Code]=(TRIM($B95)))*(CsDJ[Date]&lt;=$C$8),CsDJ[Debit])))+(SUM(IF((CRDJ[Sort Code]=(TRIM(E$5)))*(CRDJ[Account Code]=(TRIM($B95)))*(CRDJ[Date]&lt;=$C$8),CRDJ[Debit])))+(SUM(IF((GJ[Sort Code]=(TRIM(E$5)))*(GJ[Account Code]=(TRIM($B95)))*(GJ[Date]&lt;=$C$8),GJ[Debit]))))-((SUM(IF((CkDJ[Sort Code]=(TRIM(E$5)))*(CkDJ[Account Code]=(TRIM($B95)))*(CkDJ[Date]&lt;=$C$8),CkDJ[Credit])))+(SUM(IF((CsDJ[Sort Code]=(TRIM(E$5)))*(CsDJ[Account Code]=(TRIM($B95)))*(CsDJ[Date]&lt;=$C$8),CsDJ[Credit])))+(SUM(IF((CRDJ[Sort Code]=(TRIM(E$5)))*(CRDJ[Account Code]=(TRIM($B95)))*(CRDJ[Date]&lt;=$C$8),CRDJ[Credit])))+(SUM(IF((GJ[Sort Code]=(TRIM(E$5)))*(GJ[Account Code]=(TRIM($B95)))*(GJ[Date]&lt;=$C$8),GJ[Credit]))))</f>
        <v>0</v>
      </c>
      <c r="D95" s="466">
        <f t="array" ref="D95">((SUM(IF((CkDJ[Date]=$A$4)*(CkDJ[Sort Code]=(TRIM(E$5)))*(CkDJ[Account Code]=(TRIM($B95))),CkDJ[Debit])))+(SUM(IF((CsDJ[Date]=$A$4)*(CsDJ[Sort Code]=(TRIM(E$5)))*(CsDJ[Account Code]=(TRIM($B95))),CsDJ[Debit])))+(SUM(IF((CRDJ[Date]=$A$4)*(CRDJ[Sort Code]=(TRIM(E$5)))*(CRDJ[Account Code]=(TRIM($B95))),CRDJ[Debit])))+(SUM(IF((GJ[Date]=$A$4)*(GJ[Sort Code]=(TRIM(E$5)))*(GJ[Account Code]=(TRIM($B95))),GJ[Debit]))))-((SUM(IF((CkDJ[Date]=$A$4)*(CkDJ[Sort Code]=(TRIM(E$5)))*(CkDJ[Account Code]=(TRIM($B95))),CkDJ[Credit])))+(SUM(IF((CsDJ[Date]=$A$4)*(CsDJ[Sort Code]=(TRIM(E$5)))*(CsDJ[Account Code]=(TRIM($B95))),CsDJ[Credit])))+(SUM(IF((CRDJ[Date]=$A$4)*(CRDJ[Sort Code]=(TRIM(E$5)))*(CRDJ[Account Code]=(TRIM($B95))),CRDJ[Credit])))+(SUM(IF((GJ[Date]=$A$4)*(GJ[Sort Code]=(TRIM(E$5)))*(GJ[Account Code]=(TRIM($B95))),GJ[Credit]))))</f>
        <v>0</v>
      </c>
      <c r="E95" s="467">
        <f t="shared" si="3"/>
        <v>0</v>
      </c>
    </row>
    <row r="96" spans="1:5">
      <c r="A96" s="476" t="s">
        <v>299</v>
      </c>
      <c r="B96" s="339" t="s">
        <v>241</v>
      </c>
      <c r="C96" s="466">
        <f t="array" ref="C96">((SUM(IF((CkDJ[Sort Code]=(TRIM(E$5)))*(CkDJ[Account Code]=(TRIM($B96)))*(CkDJ[Date]&lt;=$C$8),CkDJ[Debit])))+(SUM(IF((CsDJ[Sort Code]=(TRIM(E$5)))*(CsDJ[Account Code]=(TRIM($B96)))*(CsDJ[Date]&lt;=$C$8),CsDJ[Debit])))+(SUM(IF((CRDJ[Sort Code]=(TRIM(E$5)))*(CRDJ[Account Code]=(TRIM($B96)))*(CRDJ[Date]&lt;=$C$8),CRDJ[Debit])))+(SUM(IF((GJ[Sort Code]=(TRIM(E$5)))*(GJ[Account Code]=(TRIM($B96)))*(GJ[Date]&lt;=$C$8),GJ[Debit]))))-((SUM(IF((CkDJ[Sort Code]=(TRIM(E$5)))*(CkDJ[Account Code]=(TRIM($B96)))*(CkDJ[Date]&lt;=$C$8),CkDJ[Credit])))+(SUM(IF((CsDJ[Sort Code]=(TRIM(E$5)))*(CsDJ[Account Code]=(TRIM($B96)))*(CsDJ[Date]&lt;=$C$8),CsDJ[Credit])))+(SUM(IF((CRDJ[Sort Code]=(TRIM(E$5)))*(CRDJ[Account Code]=(TRIM($B96)))*(CRDJ[Date]&lt;=$C$8),CRDJ[Credit])))+(SUM(IF((GJ[Sort Code]=(TRIM(E$5)))*(GJ[Account Code]=(TRIM($B96)))*(GJ[Date]&lt;=$C$8),GJ[Credit]))))</f>
        <v>0</v>
      </c>
      <c r="D96" s="466">
        <f t="array" ref="D96">((SUM(IF((CkDJ[Date]=$A$4)*(CkDJ[Sort Code]=(TRIM(E$5)))*(CkDJ[Account Code]=(TRIM($B96))),CkDJ[Debit])))+(SUM(IF((CsDJ[Date]=$A$4)*(CsDJ[Sort Code]=(TRIM(E$5)))*(CsDJ[Account Code]=(TRIM($B96))),CsDJ[Debit])))+(SUM(IF((CRDJ[Date]=$A$4)*(CRDJ[Sort Code]=(TRIM(E$5)))*(CRDJ[Account Code]=(TRIM($B96))),CRDJ[Debit])))+(SUM(IF((GJ[Date]=$A$4)*(GJ[Sort Code]=(TRIM(E$5)))*(GJ[Account Code]=(TRIM($B96))),GJ[Debit]))))-((SUM(IF((CkDJ[Date]=$A$4)*(CkDJ[Sort Code]=(TRIM(E$5)))*(CkDJ[Account Code]=(TRIM($B96))),CkDJ[Credit])))+(SUM(IF((CsDJ[Date]=$A$4)*(CsDJ[Sort Code]=(TRIM(E$5)))*(CsDJ[Account Code]=(TRIM($B96))),CsDJ[Credit])))+(SUM(IF((CRDJ[Date]=$A$4)*(CRDJ[Sort Code]=(TRIM(E$5)))*(CRDJ[Account Code]=(TRIM($B96))),CRDJ[Credit])))+(SUM(IF((GJ[Date]=$A$4)*(GJ[Sort Code]=(TRIM(E$5)))*(GJ[Account Code]=(TRIM($B96))),GJ[Credit]))))</f>
        <v>0</v>
      </c>
      <c r="E96" s="467">
        <f t="shared" si="3"/>
        <v>0</v>
      </c>
    </row>
    <row r="97" spans="1:5">
      <c r="A97" s="476" t="s">
        <v>300</v>
      </c>
      <c r="B97" s="339" t="s">
        <v>242</v>
      </c>
      <c r="C97" s="466">
        <f t="array" ref="C97">((SUM(IF((CkDJ[Sort Code]=(TRIM(E$5)))*(CkDJ[Account Code]=(TRIM($B97)))*(CkDJ[Date]&lt;=$C$8),CkDJ[Debit])))+(SUM(IF((CsDJ[Sort Code]=(TRIM(E$5)))*(CsDJ[Account Code]=(TRIM($B97)))*(CsDJ[Date]&lt;=$C$8),CsDJ[Debit])))+(SUM(IF((CRDJ[Sort Code]=(TRIM(E$5)))*(CRDJ[Account Code]=(TRIM($B97)))*(CRDJ[Date]&lt;=$C$8),CRDJ[Debit])))+(SUM(IF((GJ[Sort Code]=(TRIM(E$5)))*(GJ[Account Code]=(TRIM($B97)))*(GJ[Date]&lt;=$C$8),GJ[Debit]))))-((SUM(IF((CkDJ[Sort Code]=(TRIM(E$5)))*(CkDJ[Account Code]=(TRIM($B97)))*(CkDJ[Date]&lt;=$C$8),CkDJ[Credit])))+(SUM(IF((CsDJ[Sort Code]=(TRIM(E$5)))*(CsDJ[Account Code]=(TRIM($B97)))*(CsDJ[Date]&lt;=$C$8),CsDJ[Credit])))+(SUM(IF((CRDJ[Sort Code]=(TRIM(E$5)))*(CRDJ[Account Code]=(TRIM($B97)))*(CRDJ[Date]&lt;=$C$8),CRDJ[Credit])))+(SUM(IF((GJ[Sort Code]=(TRIM(E$5)))*(GJ[Account Code]=(TRIM($B97)))*(GJ[Date]&lt;=$C$8),GJ[Credit]))))</f>
        <v>0</v>
      </c>
      <c r="D97" s="466">
        <f t="array" ref="D97">((SUM(IF((CkDJ[Date]=$A$4)*(CkDJ[Sort Code]=(TRIM(E$5)))*(CkDJ[Account Code]=(TRIM($B97))),CkDJ[Debit])))+(SUM(IF((CsDJ[Date]=$A$4)*(CsDJ[Sort Code]=(TRIM(E$5)))*(CsDJ[Account Code]=(TRIM($B97))),CsDJ[Debit])))+(SUM(IF((CRDJ[Date]=$A$4)*(CRDJ[Sort Code]=(TRIM(E$5)))*(CRDJ[Account Code]=(TRIM($B97))),CRDJ[Debit])))+(SUM(IF((GJ[Date]=$A$4)*(GJ[Sort Code]=(TRIM(E$5)))*(GJ[Account Code]=(TRIM($B97))),GJ[Debit]))))-((SUM(IF((CkDJ[Date]=$A$4)*(CkDJ[Sort Code]=(TRIM(E$5)))*(CkDJ[Account Code]=(TRIM($B97))),CkDJ[Credit])))+(SUM(IF((CsDJ[Date]=$A$4)*(CsDJ[Sort Code]=(TRIM(E$5)))*(CsDJ[Account Code]=(TRIM($B97))),CsDJ[Credit])))+(SUM(IF((CRDJ[Date]=$A$4)*(CRDJ[Sort Code]=(TRIM(E$5)))*(CRDJ[Account Code]=(TRIM($B97))),CRDJ[Credit])))+(SUM(IF((GJ[Date]=$A$4)*(GJ[Sort Code]=(TRIM(E$5)))*(GJ[Account Code]=(TRIM($B97))),GJ[Credit]))))</f>
        <v>0</v>
      </c>
      <c r="E97" s="467">
        <f t="shared" si="3"/>
        <v>0</v>
      </c>
    </row>
    <row r="98" spans="1:5">
      <c r="A98" s="476" t="s">
        <v>301</v>
      </c>
      <c r="B98" s="339" t="s">
        <v>243</v>
      </c>
      <c r="C98" s="466">
        <f t="array" ref="C98">((SUM(IF((CkDJ[Sort Code]=(TRIM(E$5)))*(CkDJ[Account Code]=(TRIM($B98)))*(CkDJ[Date]&lt;=$C$8),CkDJ[Debit])))+(SUM(IF((CsDJ[Sort Code]=(TRIM(E$5)))*(CsDJ[Account Code]=(TRIM($B98)))*(CsDJ[Date]&lt;=$C$8),CsDJ[Debit])))+(SUM(IF((CRDJ[Sort Code]=(TRIM(E$5)))*(CRDJ[Account Code]=(TRIM($B98)))*(CRDJ[Date]&lt;=$C$8),CRDJ[Debit])))+(SUM(IF((GJ[Sort Code]=(TRIM(E$5)))*(GJ[Account Code]=(TRIM($B98)))*(GJ[Date]&lt;=$C$8),GJ[Debit]))))-((SUM(IF((CkDJ[Sort Code]=(TRIM(E$5)))*(CkDJ[Account Code]=(TRIM($B98)))*(CkDJ[Date]&lt;=$C$8),CkDJ[Credit])))+(SUM(IF((CsDJ[Sort Code]=(TRIM(E$5)))*(CsDJ[Account Code]=(TRIM($B98)))*(CsDJ[Date]&lt;=$C$8),CsDJ[Credit])))+(SUM(IF((CRDJ[Sort Code]=(TRIM(E$5)))*(CRDJ[Account Code]=(TRIM($B98)))*(CRDJ[Date]&lt;=$C$8),CRDJ[Credit])))+(SUM(IF((GJ[Sort Code]=(TRIM(E$5)))*(GJ[Account Code]=(TRIM($B98)))*(GJ[Date]&lt;=$C$8),GJ[Credit]))))</f>
        <v>0</v>
      </c>
      <c r="D98" s="466">
        <f t="array" ref="D98">((SUM(IF((CkDJ[Date]=$A$4)*(CkDJ[Sort Code]=(TRIM(E$5)))*(CkDJ[Account Code]=(TRIM($B98))),CkDJ[Debit])))+(SUM(IF((CsDJ[Date]=$A$4)*(CsDJ[Sort Code]=(TRIM(E$5)))*(CsDJ[Account Code]=(TRIM($B98))),CsDJ[Debit])))+(SUM(IF((CRDJ[Date]=$A$4)*(CRDJ[Sort Code]=(TRIM(E$5)))*(CRDJ[Account Code]=(TRIM($B98))),CRDJ[Debit])))+(SUM(IF((GJ[Date]=$A$4)*(GJ[Sort Code]=(TRIM(E$5)))*(GJ[Account Code]=(TRIM($B98))),GJ[Debit]))))-((SUM(IF((CkDJ[Date]=$A$4)*(CkDJ[Sort Code]=(TRIM(E$5)))*(CkDJ[Account Code]=(TRIM($B98))),CkDJ[Credit])))+(SUM(IF((CsDJ[Date]=$A$4)*(CsDJ[Sort Code]=(TRIM(E$5)))*(CsDJ[Account Code]=(TRIM($B98))),CsDJ[Credit])))+(SUM(IF((CRDJ[Date]=$A$4)*(CRDJ[Sort Code]=(TRIM(E$5)))*(CRDJ[Account Code]=(TRIM($B98))),CRDJ[Credit])))+(SUM(IF((GJ[Date]=$A$4)*(GJ[Sort Code]=(TRIM(E$5)))*(GJ[Account Code]=(TRIM($B98))),GJ[Credit]))))</f>
        <v>0</v>
      </c>
      <c r="E98" s="467">
        <f t="shared" si="3"/>
        <v>0</v>
      </c>
    </row>
    <row r="99" spans="1:5">
      <c r="A99" s="476" t="s">
        <v>302</v>
      </c>
      <c r="B99" s="339" t="s">
        <v>244</v>
      </c>
      <c r="C99" s="466">
        <f t="array" ref="C99">((SUM(IF((CkDJ[Sort Code]=(TRIM(E$5)))*(CkDJ[Account Code]=(TRIM($B99)))*(CkDJ[Date]&lt;=$C$8),CkDJ[Debit])))+(SUM(IF((CsDJ[Sort Code]=(TRIM(E$5)))*(CsDJ[Account Code]=(TRIM($B99)))*(CsDJ[Date]&lt;=$C$8),CsDJ[Debit])))+(SUM(IF((CRDJ[Sort Code]=(TRIM(E$5)))*(CRDJ[Account Code]=(TRIM($B99)))*(CRDJ[Date]&lt;=$C$8),CRDJ[Debit])))+(SUM(IF((GJ[Sort Code]=(TRIM(E$5)))*(GJ[Account Code]=(TRIM($B99)))*(GJ[Date]&lt;=$C$8),GJ[Debit]))))-((SUM(IF((CkDJ[Sort Code]=(TRIM(E$5)))*(CkDJ[Account Code]=(TRIM($B99)))*(CkDJ[Date]&lt;=$C$8),CkDJ[Credit])))+(SUM(IF((CsDJ[Sort Code]=(TRIM(E$5)))*(CsDJ[Account Code]=(TRIM($B99)))*(CsDJ[Date]&lt;=$C$8),CsDJ[Credit])))+(SUM(IF((CRDJ[Sort Code]=(TRIM(E$5)))*(CRDJ[Account Code]=(TRIM($B99)))*(CRDJ[Date]&lt;=$C$8),CRDJ[Credit])))+(SUM(IF((GJ[Sort Code]=(TRIM(E$5)))*(GJ[Account Code]=(TRIM($B99)))*(GJ[Date]&lt;=$C$8),GJ[Credit]))))</f>
        <v>0</v>
      </c>
      <c r="D99" s="466">
        <f t="array" ref="D99">((SUM(IF((CkDJ[Date]=$A$4)*(CkDJ[Sort Code]=(TRIM(E$5)))*(CkDJ[Account Code]=(TRIM($B99))),CkDJ[Debit])))+(SUM(IF((CsDJ[Date]=$A$4)*(CsDJ[Sort Code]=(TRIM(E$5)))*(CsDJ[Account Code]=(TRIM($B99))),CsDJ[Debit])))+(SUM(IF((CRDJ[Date]=$A$4)*(CRDJ[Sort Code]=(TRIM(E$5)))*(CRDJ[Account Code]=(TRIM($B99))),CRDJ[Debit])))+(SUM(IF((GJ[Date]=$A$4)*(GJ[Sort Code]=(TRIM(E$5)))*(GJ[Account Code]=(TRIM($B99))),GJ[Debit]))))-((SUM(IF((CkDJ[Date]=$A$4)*(CkDJ[Sort Code]=(TRIM(E$5)))*(CkDJ[Account Code]=(TRIM($B99))),CkDJ[Credit])))+(SUM(IF((CsDJ[Date]=$A$4)*(CsDJ[Sort Code]=(TRIM(E$5)))*(CsDJ[Account Code]=(TRIM($B99))),CsDJ[Credit])))+(SUM(IF((CRDJ[Date]=$A$4)*(CRDJ[Sort Code]=(TRIM(E$5)))*(CRDJ[Account Code]=(TRIM($B99))),CRDJ[Credit])))+(SUM(IF((GJ[Date]=$A$4)*(GJ[Sort Code]=(TRIM(E$5)))*(GJ[Account Code]=(TRIM($B99))),GJ[Credit]))))</f>
        <v>0</v>
      </c>
      <c r="E99" s="467">
        <f t="shared" si="3"/>
        <v>0</v>
      </c>
    </row>
    <row r="100" spans="1:5">
      <c r="A100" s="476" t="s">
        <v>347</v>
      </c>
      <c r="B100" s="339" t="s">
        <v>338</v>
      </c>
      <c r="C100" s="466">
        <f t="array" ref="C100">((SUM(IF((CkDJ[Sort Code]=(TRIM(E$5)))*(CkDJ[Account Code]=(TRIM($B100)))*(CkDJ[Date]&lt;=$C$8),CkDJ[Debit])))+(SUM(IF((CsDJ[Sort Code]=(TRIM(E$5)))*(CsDJ[Account Code]=(TRIM($B100)))*(CsDJ[Date]&lt;=$C$8),CsDJ[Debit])))+(SUM(IF((CRDJ[Sort Code]=(TRIM(E$5)))*(CRDJ[Account Code]=(TRIM($B100)))*(CRDJ[Date]&lt;=$C$8),CRDJ[Debit])))+(SUM(IF((GJ[Sort Code]=(TRIM(E$5)))*(GJ[Account Code]=(TRIM($B100)))*(GJ[Date]&lt;=$C$8),GJ[Debit]))))-((SUM(IF((CkDJ[Sort Code]=(TRIM(E$5)))*(CkDJ[Account Code]=(TRIM($B100)))*(CkDJ[Date]&lt;=$C$8),CkDJ[Credit])))+(SUM(IF((CsDJ[Sort Code]=(TRIM(E$5)))*(CsDJ[Account Code]=(TRIM($B100)))*(CsDJ[Date]&lt;=$C$8),CsDJ[Credit])))+(SUM(IF((CRDJ[Sort Code]=(TRIM(E$5)))*(CRDJ[Account Code]=(TRIM($B100)))*(CRDJ[Date]&lt;=$C$8),CRDJ[Credit])))+(SUM(IF((GJ[Sort Code]=(TRIM(E$5)))*(GJ[Account Code]=(TRIM($B100)))*(GJ[Date]&lt;=$C$8),GJ[Credit]))))</f>
        <v>0</v>
      </c>
      <c r="D100" s="466">
        <f t="array" ref="D100">((SUM(IF((CkDJ[Date]=$A$4)*(CkDJ[Sort Code]=(TRIM(E$5)))*(CkDJ[Account Code]=(TRIM($B100))),CkDJ[Debit])))+(SUM(IF((CsDJ[Date]=$A$4)*(CsDJ[Sort Code]=(TRIM(E$5)))*(CsDJ[Account Code]=(TRIM($B100))),CsDJ[Debit])))+(SUM(IF((CRDJ[Date]=$A$4)*(CRDJ[Sort Code]=(TRIM(E$5)))*(CRDJ[Account Code]=(TRIM($B100))),CRDJ[Debit])))+(SUM(IF((GJ[Date]=$A$4)*(GJ[Sort Code]=(TRIM(E$5)))*(GJ[Account Code]=(TRIM($B100))),GJ[Debit]))))-((SUM(IF((CkDJ[Date]=$A$4)*(CkDJ[Sort Code]=(TRIM(E$5)))*(CkDJ[Account Code]=(TRIM($B100))),CkDJ[Credit])))+(SUM(IF((CsDJ[Date]=$A$4)*(CsDJ[Sort Code]=(TRIM(E$5)))*(CsDJ[Account Code]=(TRIM($B100))),CsDJ[Credit])))+(SUM(IF((CRDJ[Date]=$A$4)*(CRDJ[Sort Code]=(TRIM(E$5)))*(CRDJ[Account Code]=(TRIM($B100))),CRDJ[Credit])))+(SUM(IF((GJ[Date]=$A$4)*(GJ[Sort Code]=(TRIM(E$5)))*(GJ[Account Code]=(TRIM($B100))),GJ[Credit]))))</f>
        <v>0</v>
      </c>
      <c r="E100" s="467">
        <f t="shared" si="3"/>
        <v>0</v>
      </c>
    </row>
    <row r="101" spans="1:5">
      <c r="A101" s="476" t="s">
        <v>348</v>
      </c>
      <c r="B101" s="339" t="s">
        <v>339</v>
      </c>
      <c r="C101" s="466">
        <f t="array" ref="C101">((SUM(IF((CkDJ[Sort Code]=(TRIM(E$5)))*(CkDJ[Account Code]=(TRIM($B101)))*(CkDJ[Date]&lt;=$C$8),CkDJ[Debit])))+(SUM(IF((CsDJ[Sort Code]=(TRIM(E$5)))*(CsDJ[Account Code]=(TRIM($B101)))*(CsDJ[Date]&lt;=$C$8),CsDJ[Debit])))+(SUM(IF((CRDJ[Sort Code]=(TRIM(E$5)))*(CRDJ[Account Code]=(TRIM($B101)))*(CRDJ[Date]&lt;=$C$8),CRDJ[Debit])))+(SUM(IF((GJ[Sort Code]=(TRIM(E$5)))*(GJ[Account Code]=(TRIM($B101)))*(GJ[Date]&lt;=$C$8),GJ[Debit]))))-((SUM(IF((CkDJ[Sort Code]=(TRIM(E$5)))*(CkDJ[Account Code]=(TRIM($B101)))*(CkDJ[Date]&lt;=$C$8),CkDJ[Credit])))+(SUM(IF((CsDJ[Sort Code]=(TRIM(E$5)))*(CsDJ[Account Code]=(TRIM($B101)))*(CsDJ[Date]&lt;=$C$8),CsDJ[Credit])))+(SUM(IF((CRDJ[Sort Code]=(TRIM(E$5)))*(CRDJ[Account Code]=(TRIM($B101)))*(CRDJ[Date]&lt;=$C$8),CRDJ[Credit])))+(SUM(IF((GJ[Sort Code]=(TRIM(E$5)))*(GJ[Account Code]=(TRIM($B101)))*(GJ[Date]&lt;=$C$8),GJ[Credit]))))</f>
        <v>0</v>
      </c>
      <c r="D101" s="466">
        <f t="array" ref="D101">((SUM(IF((CkDJ[Date]=$A$4)*(CkDJ[Sort Code]=(TRIM(E$5)))*(CkDJ[Account Code]=(TRIM($B101))),CkDJ[Debit])))+(SUM(IF((CsDJ[Date]=$A$4)*(CsDJ[Sort Code]=(TRIM(E$5)))*(CsDJ[Account Code]=(TRIM($B101))),CsDJ[Debit])))+(SUM(IF((CRDJ[Date]=$A$4)*(CRDJ[Sort Code]=(TRIM(E$5)))*(CRDJ[Account Code]=(TRIM($B101))),CRDJ[Debit])))+(SUM(IF((GJ[Date]=$A$4)*(GJ[Sort Code]=(TRIM(E$5)))*(GJ[Account Code]=(TRIM($B101))),GJ[Debit]))))-((SUM(IF((CkDJ[Date]=$A$4)*(CkDJ[Sort Code]=(TRIM(E$5)))*(CkDJ[Account Code]=(TRIM($B101))),CkDJ[Credit])))+(SUM(IF((CsDJ[Date]=$A$4)*(CsDJ[Sort Code]=(TRIM(E$5)))*(CsDJ[Account Code]=(TRIM($B101))),CsDJ[Credit])))+(SUM(IF((CRDJ[Date]=$A$4)*(CRDJ[Sort Code]=(TRIM(E$5)))*(CRDJ[Account Code]=(TRIM($B101))),CRDJ[Credit])))+(SUM(IF((GJ[Date]=$A$4)*(GJ[Sort Code]=(TRIM(E$5)))*(GJ[Account Code]=(TRIM($B101))),GJ[Credit]))))</f>
        <v>0</v>
      </c>
      <c r="E101" s="467">
        <f t="shared" si="3"/>
        <v>0</v>
      </c>
    </row>
    <row r="102" spans="1:5">
      <c r="A102" s="476" t="s">
        <v>1021</v>
      </c>
      <c r="B102" s="339" t="s">
        <v>245</v>
      </c>
      <c r="C102" s="466">
        <f t="array" ref="C102">((SUM(IF((CkDJ[Sort Code]=(TRIM(E$5)))*(CkDJ[Account Code]=(TRIM($B102)))*(CkDJ[Date]&lt;=$C$8),CkDJ[Debit])))+(SUM(IF((CsDJ[Sort Code]=(TRIM(E$5)))*(CsDJ[Account Code]=(TRIM($B102)))*(CsDJ[Date]&lt;=$C$8),CsDJ[Debit])))+(SUM(IF((CRDJ[Sort Code]=(TRIM(E$5)))*(CRDJ[Account Code]=(TRIM($B102)))*(CRDJ[Date]&lt;=$C$8),CRDJ[Debit])))+(SUM(IF((GJ[Sort Code]=(TRIM(E$5)))*(GJ[Account Code]=(TRIM($B102)))*(GJ[Date]&lt;=$C$8),GJ[Debit]))))-((SUM(IF((CkDJ[Sort Code]=(TRIM(E$5)))*(CkDJ[Account Code]=(TRIM($B102)))*(CkDJ[Date]&lt;=$C$8),CkDJ[Credit])))+(SUM(IF((CsDJ[Sort Code]=(TRIM(E$5)))*(CsDJ[Account Code]=(TRIM($B102)))*(CsDJ[Date]&lt;=$C$8),CsDJ[Credit])))+(SUM(IF((CRDJ[Sort Code]=(TRIM(E$5)))*(CRDJ[Account Code]=(TRIM($B102)))*(CRDJ[Date]&lt;=$C$8),CRDJ[Credit])))+(SUM(IF((GJ[Sort Code]=(TRIM(E$5)))*(GJ[Account Code]=(TRIM($B102)))*(GJ[Date]&lt;=$C$8),GJ[Credit]))))</f>
        <v>0</v>
      </c>
      <c r="D102" s="466">
        <f t="array" ref="D102">((SUM(IF((CkDJ[Date]=$A$4)*(CkDJ[Sort Code]=(TRIM(E$5)))*(CkDJ[Account Code]=(TRIM($B102))),CkDJ[Debit])))+(SUM(IF((CsDJ[Date]=$A$4)*(CsDJ[Sort Code]=(TRIM(E$5)))*(CsDJ[Account Code]=(TRIM($B102))),CsDJ[Debit])))+(SUM(IF((CRDJ[Date]=$A$4)*(CRDJ[Sort Code]=(TRIM(E$5)))*(CRDJ[Account Code]=(TRIM($B102))),CRDJ[Debit])))+(SUM(IF((GJ[Date]=$A$4)*(GJ[Sort Code]=(TRIM(E$5)))*(GJ[Account Code]=(TRIM($B102))),GJ[Debit]))))-((SUM(IF((CkDJ[Date]=$A$4)*(CkDJ[Sort Code]=(TRIM(E$5)))*(CkDJ[Account Code]=(TRIM($B102))),CkDJ[Credit])))+(SUM(IF((CsDJ[Date]=$A$4)*(CsDJ[Sort Code]=(TRIM(E$5)))*(CsDJ[Account Code]=(TRIM($B102))),CsDJ[Credit])))+(SUM(IF((CRDJ[Date]=$A$4)*(CRDJ[Sort Code]=(TRIM(E$5)))*(CRDJ[Account Code]=(TRIM($B102))),CRDJ[Credit])))+(SUM(IF((GJ[Date]=$A$4)*(GJ[Sort Code]=(TRIM(E$5)))*(GJ[Account Code]=(TRIM($B102))),GJ[Credit]))))</f>
        <v>0</v>
      </c>
      <c r="E102" s="467">
        <f t="shared" si="3"/>
        <v>0</v>
      </c>
    </row>
    <row r="103" spans="1:5">
      <c r="A103" s="476" t="s">
        <v>1022</v>
      </c>
      <c r="B103" s="339" t="s">
        <v>246</v>
      </c>
      <c r="C103" s="466">
        <f t="array" ref="C103">((SUM(IF((CkDJ[Sort Code]=(TRIM(E$5)))*(CkDJ[Account Code]=(TRIM($B103)))*(CkDJ[Date]&lt;=$C$8),CkDJ[Debit])))+(SUM(IF((CsDJ[Sort Code]=(TRIM(E$5)))*(CsDJ[Account Code]=(TRIM($B103)))*(CsDJ[Date]&lt;=$C$8),CsDJ[Debit])))+(SUM(IF((CRDJ[Sort Code]=(TRIM(E$5)))*(CRDJ[Account Code]=(TRIM($B103)))*(CRDJ[Date]&lt;=$C$8),CRDJ[Debit])))+(SUM(IF((GJ[Sort Code]=(TRIM(E$5)))*(GJ[Account Code]=(TRIM($B103)))*(GJ[Date]&lt;=$C$8),GJ[Debit]))))-((SUM(IF((CkDJ[Sort Code]=(TRIM(E$5)))*(CkDJ[Account Code]=(TRIM($B103)))*(CkDJ[Date]&lt;=$C$8),CkDJ[Credit])))+(SUM(IF((CsDJ[Sort Code]=(TRIM(E$5)))*(CsDJ[Account Code]=(TRIM($B103)))*(CsDJ[Date]&lt;=$C$8),CsDJ[Credit])))+(SUM(IF((CRDJ[Sort Code]=(TRIM(E$5)))*(CRDJ[Account Code]=(TRIM($B103)))*(CRDJ[Date]&lt;=$C$8),CRDJ[Credit])))+(SUM(IF((GJ[Sort Code]=(TRIM(E$5)))*(GJ[Account Code]=(TRIM($B103)))*(GJ[Date]&lt;=$C$8),GJ[Credit]))))</f>
        <v>0</v>
      </c>
      <c r="D103" s="466">
        <f t="array" ref="D103">((SUM(IF((CkDJ[Date]=$A$4)*(CkDJ[Sort Code]=(TRIM(E$5)))*(CkDJ[Account Code]=(TRIM($B103))),CkDJ[Debit])))+(SUM(IF((CsDJ[Date]=$A$4)*(CsDJ[Sort Code]=(TRIM(E$5)))*(CsDJ[Account Code]=(TRIM($B103))),CsDJ[Debit])))+(SUM(IF((CRDJ[Date]=$A$4)*(CRDJ[Sort Code]=(TRIM(E$5)))*(CRDJ[Account Code]=(TRIM($B103))),CRDJ[Debit])))+(SUM(IF((GJ[Date]=$A$4)*(GJ[Sort Code]=(TRIM(E$5)))*(GJ[Account Code]=(TRIM($B103))),GJ[Debit]))))-((SUM(IF((CkDJ[Date]=$A$4)*(CkDJ[Sort Code]=(TRIM(E$5)))*(CkDJ[Account Code]=(TRIM($B103))),CkDJ[Credit])))+(SUM(IF((CsDJ[Date]=$A$4)*(CsDJ[Sort Code]=(TRIM(E$5)))*(CsDJ[Account Code]=(TRIM($B103))),CsDJ[Credit])))+(SUM(IF((CRDJ[Date]=$A$4)*(CRDJ[Sort Code]=(TRIM(E$5)))*(CRDJ[Account Code]=(TRIM($B103))),CRDJ[Credit])))+(SUM(IF((GJ[Date]=$A$4)*(GJ[Sort Code]=(TRIM(E$5)))*(GJ[Account Code]=(TRIM($B103))),GJ[Credit]))))</f>
        <v>0</v>
      </c>
      <c r="E103" s="467">
        <f t="shared" si="3"/>
        <v>0</v>
      </c>
    </row>
    <row r="104" spans="1:5">
      <c r="A104" s="476" t="s">
        <v>304</v>
      </c>
      <c r="B104" s="339" t="s">
        <v>222</v>
      </c>
      <c r="C104" s="466">
        <f t="array" ref="C104">((SUM(IF((CkDJ[Sort Code]=(TRIM(E$5)))*(CkDJ[Account Code]=(TRIM($B104)))*(CkDJ[Date]&lt;=$C$8),CkDJ[Debit])))+(SUM(IF((CsDJ[Sort Code]=(TRIM(E$5)))*(CsDJ[Account Code]=(TRIM($B104)))*(CsDJ[Date]&lt;=$C$8),CsDJ[Debit])))+(SUM(IF((CRDJ[Sort Code]=(TRIM(E$5)))*(CRDJ[Account Code]=(TRIM($B104)))*(CRDJ[Date]&lt;=$C$8),CRDJ[Debit])))+(SUM(IF((GJ[Sort Code]=(TRIM(E$5)))*(GJ[Account Code]=(TRIM($B104)))*(GJ[Date]&lt;=$C$8),GJ[Debit]))))-((SUM(IF((CkDJ[Sort Code]=(TRIM(E$5)))*(CkDJ[Account Code]=(TRIM($B104)))*(CkDJ[Date]&lt;=$C$8),CkDJ[Credit])))+(SUM(IF((CsDJ[Sort Code]=(TRIM(E$5)))*(CsDJ[Account Code]=(TRIM($B104)))*(CsDJ[Date]&lt;=$C$8),CsDJ[Credit])))+(SUM(IF((CRDJ[Sort Code]=(TRIM(E$5)))*(CRDJ[Account Code]=(TRIM($B104)))*(CRDJ[Date]&lt;=$C$8),CRDJ[Credit])))+(SUM(IF((GJ[Sort Code]=(TRIM(E$5)))*(GJ[Account Code]=(TRIM($B104)))*(GJ[Date]&lt;=$C$8),GJ[Credit]))))</f>
        <v>0</v>
      </c>
      <c r="D104" s="466">
        <f t="array" ref="D104">((SUM(IF((CkDJ[Date]=$A$4)*(CkDJ[Sort Code]=(TRIM(E$5)))*(CkDJ[Account Code]=(TRIM($B104))),CkDJ[Debit])))+(SUM(IF((CsDJ[Date]=$A$4)*(CsDJ[Sort Code]=(TRIM(E$5)))*(CsDJ[Account Code]=(TRIM($B104))),CsDJ[Debit])))+(SUM(IF((CRDJ[Date]=$A$4)*(CRDJ[Sort Code]=(TRIM(E$5)))*(CRDJ[Account Code]=(TRIM($B104))),CRDJ[Debit])))+(SUM(IF((GJ[Date]=$A$4)*(GJ[Sort Code]=(TRIM(E$5)))*(GJ[Account Code]=(TRIM($B104))),GJ[Debit]))))-((SUM(IF((CkDJ[Date]=$A$4)*(CkDJ[Sort Code]=(TRIM(E$5)))*(CkDJ[Account Code]=(TRIM($B104))),CkDJ[Credit])))+(SUM(IF((CsDJ[Date]=$A$4)*(CsDJ[Sort Code]=(TRIM(E$5)))*(CsDJ[Account Code]=(TRIM($B104))),CsDJ[Credit])))+(SUM(IF((CRDJ[Date]=$A$4)*(CRDJ[Sort Code]=(TRIM(E$5)))*(CRDJ[Account Code]=(TRIM($B104))),CRDJ[Credit])))+(SUM(IF((GJ[Date]=$A$4)*(GJ[Sort Code]=(TRIM(E$5)))*(GJ[Account Code]=(TRIM($B104))),GJ[Credit]))))</f>
        <v>0</v>
      </c>
      <c r="E104" s="467">
        <f t="shared" si="3"/>
        <v>0</v>
      </c>
    </row>
    <row r="105" spans="1:5">
      <c r="A105" s="476" t="s">
        <v>1023</v>
      </c>
      <c r="B105" s="339" t="s">
        <v>247</v>
      </c>
      <c r="C105" s="466">
        <f t="array" ref="C105">((SUM(IF((CkDJ[Sort Code]=(TRIM(E$5)))*(CkDJ[Account Code]=(TRIM($B105)))*(CkDJ[Date]&lt;=$C$8),CkDJ[Debit])))+(SUM(IF((CsDJ[Sort Code]=(TRIM(E$5)))*(CsDJ[Account Code]=(TRIM($B105)))*(CsDJ[Date]&lt;=$C$8),CsDJ[Debit])))+(SUM(IF((CRDJ[Sort Code]=(TRIM(E$5)))*(CRDJ[Account Code]=(TRIM($B105)))*(CRDJ[Date]&lt;=$C$8),CRDJ[Debit])))+(SUM(IF((GJ[Sort Code]=(TRIM(E$5)))*(GJ[Account Code]=(TRIM($B105)))*(GJ[Date]&lt;=$C$8),GJ[Debit]))))-((SUM(IF((CkDJ[Sort Code]=(TRIM(E$5)))*(CkDJ[Account Code]=(TRIM($B105)))*(CkDJ[Date]&lt;=$C$8),CkDJ[Credit])))+(SUM(IF((CsDJ[Sort Code]=(TRIM(E$5)))*(CsDJ[Account Code]=(TRIM($B105)))*(CsDJ[Date]&lt;=$C$8),CsDJ[Credit])))+(SUM(IF((CRDJ[Sort Code]=(TRIM(E$5)))*(CRDJ[Account Code]=(TRIM($B105)))*(CRDJ[Date]&lt;=$C$8),CRDJ[Credit])))+(SUM(IF((GJ[Sort Code]=(TRIM(E$5)))*(GJ[Account Code]=(TRIM($B105)))*(GJ[Date]&lt;=$C$8),GJ[Credit]))))</f>
        <v>0</v>
      </c>
      <c r="D105" s="466">
        <f t="array" ref="D105">((SUM(IF((CkDJ[Date]=$A$4)*(CkDJ[Sort Code]=(TRIM(E$5)))*(CkDJ[Account Code]=(TRIM($B105))),CkDJ[Debit])))+(SUM(IF((CsDJ[Date]=$A$4)*(CsDJ[Sort Code]=(TRIM(E$5)))*(CsDJ[Account Code]=(TRIM($B105))),CsDJ[Debit])))+(SUM(IF((CRDJ[Date]=$A$4)*(CRDJ[Sort Code]=(TRIM(E$5)))*(CRDJ[Account Code]=(TRIM($B105))),CRDJ[Debit])))+(SUM(IF((GJ[Date]=$A$4)*(GJ[Sort Code]=(TRIM(E$5)))*(GJ[Account Code]=(TRIM($B105))),GJ[Debit]))))-((SUM(IF((CkDJ[Date]=$A$4)*(CkDJ[Sort Code]=(TRIM(E$5)))*(CkDJ[Account Code]=(TRIM($B105))),CkDJ[Credit])))+(SUM(IF((CsDJ[Date]=$A$4)*(CsDJ[Sort Code]=(TRIM(E$5)))*(CsDJ[Account Code]=(TRIM($B105))),CsDJ[Credit])))+(SUM(IF((CRDJ[Date]=$A$4)*(CRDJ[Sort Code]=(TRIM(E$5)))*(CRDJ[Account Code]=(TRIM($B105))),CRDJ[Credit])))+(SUM(IF((GJ[Date]=$A$4)*(GJ[Sort Code]=(TRIM(E$5)))*(GJ[Account Code]=(TRIM($B105))),GJ[Credit]))))</f>
        <v>0</v>
      </c>
      <c r="E105" s="467">
        <f t="shared" si="3"/>
        <v>0</v>
      </c>
    </row>
    <row r="106" spans="1:5">
      <c r="A106" s="476" t="s">
        <v>1024</v>
      </c>
      <c r="B106" s="339" t="s">
        <v>248</v>
      </c>
      <c r="C106" s="466">
        <f t="array" ref="C106">((SUM(IF((CkDJ[Sort Code]=(TRIM(E$5)))*(CkDJ[Account Code]=(TRIM($B106)))*(CkDJ[Date]&lt;=$C$8),CkDJ[Debit])))+(SUM(IF((CsDJ[Sort Code]=(TRIM(E$5)))*(CsDJ[Account Code]=(TRIM($B106)))*(CsDJ[Date]&lt;=$C$8),CsDJ[Debit])))+(SUM(IF((CRDJ[Sort Code]=(TRIM(E$5)))*(CRDJ[Account Code]=(TRIM($B106)))*(CRDJ[Date]&lt;=$C$8),CRDJ[Debit])))+(SUM(IF((GJ[Sort Code]=(TRIM(E$5)))*(GJ[Account Code]=(TRIM($B106)))*(GJ[Date]&lt;=$C$8),GJ[Debit]))))-((SUM(IF((CkDJ[Sort Code]=(TRIM(E$5)))*(CkDJ[Account Code]=(TRIM($B106)))*(CkDJ[Date]&lt;=$C$8),CkDJ[Credit])))+(SUM(IF((CsDJ[Sort Code]=(TRIM(E$5)))*(CsDJ[Account Code]=(TRIM($B106)))*(CsDJ[Date]&lt;=$C$8),CsDJ[Credit])))+(SUM(IF((CRDJ[Sort Code]=(TRIM(E$5)))*(CRDJ[Account Code]=(TRIM($B106)))*(CRDJ[Date]&lt;=$C$8),CRDJ[Credit])))+(SUM(IF((GJ[Sort Code]=(TRIM(E$5)))*(GJ[Account Code]=(TRIM($B106)))*(GJ[Date]&lt;=$C$8),GJ[Credit]))))</f>
        <v>0</v>
      </c>
      <c r="D106" s="466">
        <f t="array" ref="D106">((SUM(IF((CkDJ[Date]=$A$4)*(CkDJ[Sort Code]=(TRIM(E$5)))*(CkDJ[Account Code]=(TRIM($B106))),CkDJ[Debit])))+(SUM(IF((CsDJ[Date]=$A$4)*(CsDJ[Sort Code]=(TRIM(E$5)))*(CsDJ[Account Code]=(TRIM($B106))),CsDJ[Debit])))+(SUM(IF((CRDJ[Date]=$A$4)*(CRDJ[Sort Code]=(TRIM(E$5)))*(CRDJ[Account Code]=(TRIM($B106))),CRDJ[Debit])))+(SUM(IF((GJ[Date]=$A$4)*(GJ[Sort Code]=(TRIM(E$5)))*(GJ[Account Code]=(TRIM($B106))),GJ[Debit]))))-((SUM(IF((CkDJ[Date]=$A$4)*(CkDJ[Sort Code]=(TRIM(E$5)))*(CkDJ[Account Code]=(TRIM($B106))),CkDJ[Credit])))+(SUM(IF((CsDJ[Date]=$A$4)*(CsDJ[Sort Code]=(TRIM(E$5)))*(CsDJ[Account Code]=(TRIM($B106))),CsDJ[Credit])))+(SUM(IF((CRDJ[Date]=$A$4)*(CRDJ[Sort Code]=(TRIM(E$5)))*(CRDJ[Account Code]=(TRIM($B106))),CRDJ[Credit])))+(SUM(IF((GJ[Date]=$A$4)*(GJ[Sort Code]=(TRIM(E$5)))*(GJ[Account Code]=(TRIM($B106))),GJ[Credit]))))</f>
        <v>0</v>
      </c>
      <c r="E106" s="467">
        <f t="shared" si="3"/>
        <v>0</v>
      </c>
    </row>
    <row r="107" spans="1:5">
      <c r="A107" s="476" t="s">
        <v>1025</v>
      </c>
      <c r="B107" s="339" t="s">
        <v>249</v>
      </c>
      <c r="C107" s="466">
        <f t="array" ref="C107">((SUM(IF((CkDJ[Sort Code]=(TRIM(E$5)))*(CkDJ[Account Code]=(TRIM($B107)))*(CkDJ[Date]&lt;=$C$8),CkDJ[Debit])))+(SUM(IF((CsDJ[Sort Code]=(TRIM(E$5)))*(CsDJ[Account Code]=(TRIM($B107)))*(CsDJ[Date]&lt;=$C$8),CsDJ[Debit])))+(SUM(IF((CRDJ[Sort Code]=(TRIM(E$5)))*(CRDJ[Account Code]=(TRIM($B107)))*(CRDJ[Date]&lt;=$C$8),CRDJ[Debit])))+(SUM(IF((GJ[Sort Code]=(TRIM(E$5)))*(GJ[Account Code]=(TRIM($B107)))*(GJ[Date]&lt;=$C$8),GJ[Debit]))))-((SUM(IF((CkDJ[Sort Code]=(TRIM(E$5)))*(CkDJ[Account Code]=(TRIM($B107)))*(CkDJ[Date]&lt;=$C$8),CkDJ[Credit])))+(SUM(IF((CsDJ[Sort Code]=(TRIM(E$5)))*(CsDJ[Account Code]=(TRIM($B107)))*(CsDJ[Date]&lt;=$C$8),CsDJ[Credit])))+(SUM(IF((CRDJ[Sort Code]=(TRIM(E$5)))*(CRDJ[Account Code]=(TRIM($B107)))*(CRDJ[Date]&lt;=$C$8),CRDJ[Credit])))+(SUM(IF((GJ[Sort Code]=(TRIM(E$5)))*(GJ[Account Code]=(TRIM($B107)))*(GJ[Date]&lt;=$C$8),GJ[Credit]))))</f>
        <v>0</v>
      </c>
      <c r="D107" s="466">
        <f t="array" ref="D107">((SUM(IF((CkDJ[Date]=$A$4)*(CkDJ[Sort Code]=(TRIM(E$5)))*(CkDJ[Account Code]=(TRIM($B107))),CkDJ[Debit])))+(SUM(IF((CsDJ[Date]=$A$4)*(CsDJ[Sort Code]=(TRIM(E$5)))*(CsDJ[Account Code]=(TRIM($B107))),CsDJ[Debit])))+(SUM(IF((CRDJ[Date]=$A$4)*(CRDJ[Sort Code]=(TRIM(E$5)))*(CRDJ[Account Code]=(TRIM($B107))),CRDJ[Debit])))+(SUM(IF((GJ[Date]=$A$4)*(GJ[Sort Code]=(TRIM(E$5)))*(GJ[Account Code]=(TRIM($B107))),GJ[Debit]))))-((SUM(IF((CkDJ[Date]=$A$4)*(CkDJ[Sort Code]=(TRIM(E$5)))*(CkDJ[Account Code]=(TRIM($B107))),CkDJ[Credit])))+(SUM(IF((CsDJ[Date]=$A$4)*(CsDJ[Sort Code]=(TRIM(E$5)))*(CsDJ[Account Code]=(TRIM($B107))),CsDJ[Credit])))+(SUM(IF((CRDJ[Date]=$A$4)*(CRDJ[Sort Code]=(TRIM(E$5)))*(CRDJ[Account Code]=(TRIM($B107))),CRDJ[Credit])))+(SUM(IF((GJ[Date]=$A$4)*(GJ[Sort Code]=(TRIM(E$5)))*(GJ[Account Code]=(TRIM($B107))),GJ[Credit]))))</f>
        <v>0</v>
      </c>
      <c r="E107" s="467">
        <f t="shared" si="3"/>
        <v>0</v>
      </c>
    </row>
    <row r="108" spans="1:5">
      <c r="A108" s="476" t="s">
        <v>302</v>
      </c>
      <c r="B108" s="339" t="s">
        <v>250</v>
      </c>
      <c r="C108" s="466">
        <f t="array" ref="C108">((SUM(IF((CkDJ[Sort Code]=(TRIM(E$5)))*(CkDJ[Account Code]=(TRIM($B108)))*(CkDJ[Date]&lt;=$C$8),CkDJ[Debit])))+(SUM(IF((CsDJ[Sort Code]=(TRIM(E$5)))*(CsDJ[Account Code]=(TRIM($B108)))*(CsDJ[Date]&lt;=$C$8),CsDJ[Debit])))+(SUM(IF((CRDJ[Sort Code]=(TRIM(E$5)))*(CRDJ[Account Code]=(TRIM($B108)))*(CRDJ[Date]&lt;=$C$8),CRDJ[Debit])))+(SUM(IF((GJ[Sort Code]=(TRIM(E$5)))*(GJ[Account Code]=(TRIM($B108)))*(GJ[Date]&lt;=$C$8),GJ[Debit]))))-((SUM(IF((CkDJ[Sort Code]=(TRIM(E$5)))*(CkDJ[Account Code]=(TRIM($B108)))*(CkDJ[Date]&lt;=$C$8),CkDJ[Credit])))+(SUM(IF((CsDJ[Sort Code]=(TRIM(E$5)))*(CsDJ[Account Code]=(TRIM($B108)))*(CsDJ[Date]&lt;=$C$8),CsDJ[Credit])))+(SUM(IF((CRDJ[Sort Code]=(TRIM(E$5)))*(CRDJ[Account Code]=(TRIM($B108)))*(CRDJ[Date]&lt;=$C$8),CRDJ[Credit])))+(SUM(IF((GJ[Sort Code]=(TRIM(E$5)))*(GJ[Account Code]=(TRIM($B108)))*(GJ[Date]&lt;=$C$8),GJ[Credit]))))</f>
        <v>0</v>
      </c>
      <c r="D108" s="466">
        <f t="array" ref="D108">((SUM(IF((CkDJ[Date]=$A$4)*(CkDJ[Sort Code]=(TRIM(E$5)))*(CkDJ[Account Code]=(TRIM($B108))),CkDJ[Debit])))+(SUM(IF((CsDJ[Date]=$A$4)*(CsDJ[Sort Code]=(TRIM(E$5)))*(CsDJ[Account Code]=(TRIM($B108))),CsDJ[Debit])))+(SUM(IF((CRDJ[Date]=$A$4)*(CRDJ[Sort Code]=(TRIM(E$5)))*(CRDJ[Account Code]=(TRIM($B108))),CRDJ[Debit])))+(SUM(IF((GJ[Date]=$A$4)*(GJ[Sort Code]=(TRIM(E$5)))*(GJ[Account Code]=(TRIM($B108))),GJ[Debit]))))-((SUM(IF((CkDJ[Date]=$A$4)*(CkDJ[Sort Code]=(TRIM(E$5)))*(CkDJ[Account Code]=(TRIM($B108))),CkDJ[Credit])))+(SUM(IF((CsDJ[Date]=$A$4)*(CsDJ[Sort Code]=(TRIM(E$5)))*(CsDJ[Account Code]=(TRIM($B108))),CsDJ[Credit])))+(SUM(IF((CRDJ[Date]=$A$4)*(CRDJ[Sort Code]=(TRIM(E$5)))*(CRDJ[Account Code]=(TRIM($B108))),CRDJ[Credit])))+(SUM(IF((GJ[Date]=$A$4)*(GJ[Sort Code]=(TRIM(E$5)))*(GJ[Account Code]=(TRIM($B108))),GJ[Credit]))))</f>
        <v>0</v>
      </c>
      <c r="E108" s="467">
        <f t="shared" si="3"/>
        <v>0</v>
      </c>
    </row>
    <row r="109" spans="1:5">
      <c r="A109" s="476" t="s">
        <v>841</v>
      </c>
      <c r="B109" s="339" t="s">
        <v>251</v>
      </c>
      <c r="C109" s="466">
        <f t="array" ref="C109">((SUM(IF((CkDJ[Sort Code]=(TRIM(E$5)))*(CkDJ[Account Code]=(TRIM($B109)))*(CkDJ[Date]&lt;=$C$8),CkDJ[Debit])))+(SUM(IF((CsDJ[Sort Code]=(TRIM(E$5)))*(CsDJ[Account Code]=(TRIM($B109)))*(CsDJ[Date]&lt;=$C$8),CsDJ[Debit])))+(SUM(IF((CRDJ[Sort Code]=(TRIM(E$5)))*(CRDJ[Account Code]=(TRIM($B109)))*(CRDJ[Date]&lt;=$C$8),CRDJ[Debit])))+(SUM(IF((GJ[Sort Code]=(TRIM(E$5)))*(GJ[Account Code]=(TRIM($B109)))*(GJ[Date]&lt;=$C$8),GJ[Debit]))))-((SUM(IF((CkDJ[Sort Code]=(TRIM(E$5)))*(CkDJ[Account Code]=(TRIM($B109)))*(CkDJ[Date]&lt;=$C$8),CkDJ[Credit])))+(SUM(IF((CsDJ[Sort Code]=(TRIM(E$5)))*(CsDJ[Account Code]=(TRIM($B109)))*(CsDJ[Date]&lt;=$C$8),CsDJ[Credit])))+(SUM(IF((CRDJ[Sort Code]=(TRIM(E$5)))*(CRDJ[Account Code]=(TRIM($B109)))*(CRDJ[Date]&lt;=$C$8),CRDJ[Credit])))+(SUM(IF((GJ[Sort Code]=(TRIM(E$5)))*(GJ[Account Code]=(TRIM($B109)))*(GJ[Date]&lt;=$C$8),GJ[Credit]))))</f>
        <v>0</v>
      </c>
      <c r="D109" s="466">
        <f t="array" ref="D109">((SUM(IF((CkDJ[Date]=$A$4)*(CkDJ[Sort Code]=(TRIM(E$5)))*(CkDJ[Account Code]=(TRIM($B109))),CkDJ[Debit])))+(SUM(IF((CsDJ[Date]=$A$4)*(CsDJ[Sort Code]=(TRIM(E$5)))*(CsDJ[Account Code]=(TRIM($B109))),CsDJ[Debit])))+(SUM(IF((CRDJ[Date]=$A$4)*(CRDJ[Sort Code]=(TRIM(E$5)))*(CRDJ[Account Code]=(TRIM($B109))),CRDJ[Debit])))+(SUM(IF((GJ[Date]=$A$4)*(GJ[Sort Code]=(TRIM(E$5)))*(GJ[Account Code]=(TRIM($B109))),GJ[Debit]))))-((SUM(IF((CkDJ[Date]=$A$4)*(CkDJ[Sort Code]=(TRIM(E$5)))*(CkDJ[Account Code]=(TRIM($B109))),CkDJ[Credit])))+(SUM(IF((CsDJ[Date]=$A$4)*(CsDJ[Sort Code]=(TRIM(E$5)))*(CsDJ[Account Code]=(TRIM($B109))),CsDJ[Credit])))+(SUM(IF((CRDJ[Date]=$A$4)*(CRDJ[Sort Code]=(TRIM(E$5)))*(CRDJ[Account Code]=(TRIM($B109))),CRDJ[Credit])))+(SUM(IF((GJ[Date]=$A$4)*(GJ[Sort Code]=(TRIM(E$5)))*(GJ[Account Code]=(TRIM($B109))),GJ[Credit]))))</f>
        <v>0</v>
      </c>
      <c r="E109" s="467">
        <f t="shared" si="3"/>
        <v>0</v>
      </c>
    </row>
    <row r="110" spans="1:5">
      <c r="A110" s="476" t="s">
        <v>1026</v>
      </c>
      <c r="B110" s="339" t="s">
        <v>252</v>
      </c>
      <c r="C110" s="466">
        <f t="array" ref="C110">((SUM(IF((CkDJ[Sort Code]=(TRIM(E$5)))*(CkDJ[Account Code]=(TRIM($B110)))*(CkDJ[Date]&lt;=$C$8),CkDJ[Debit])))+(SUM(IF((CsDJ[Sort Code]=(TRIM(E$5)))*(CsDJ[Account Code]=(TRIM($B110)))*(CsDJ[Date]&lt;=$C$8),CsDJ[Debit])))+(SUM(IF((CRDJ[Sort Code]=(TRIM(E$5)))*(CRDJ[Account Code]=(TRIM($B110)))*(CRDJ[Date]&lt;=$C$8),CRDJ[Debit])))+(SUM(IF((GJ[Sort Code]=(TRIM(E$5)))*(GJ[Account Code]=(TRIM($B110)))*(GJ[Date]&lt;=$C$8),GJ[Debit]))))-((SUM(IF((CkDJ[Sort Code]=(TRIM(E$5)))*(CkDJ[Account Code]=(TRIM($B110)))*(CkDJ[Date]&lt;=$C$8),CkDJ[Credit])))+(SUM(IF((CsDJ[Sort Code]=(TRIM(E$5)))*(CsDJ[Account Code]=(TRIM($B110)))*(CsDJ[Date]&lt;=$C$8),CsDJ[Credit])))+(SUM(IF((CRDJ[Sort Code]=(TRIM(E$5)))*(CRDJ[Account Code]=(TRIM($B110)))*(CRDJ[Date]&lt;=$C$8),CRDJ[Credit])))+(SUM(IF((GJ[Sort Code]=(TRIM(E$5)))*(GJ[Account Code]=(TRIM($B110)))*(GJ[Date]&lt;=$C$8),GJ[Credit]))))</f>
        <v>0</v>
      </c>
      <c r="D110" s="466">
        <f t="array" ref="D110">((SUM(IF((CkDJ[Date]=$A$4)*(CkDJ[Sort Code]=(TRIM(E$5)))*(CkDJ[Account Code]=(TRIM($B110))),CkDJ[Debit])))+(SUM(IF((CsDJ[Date]=$A$4)*(CsDJ[Sort Code]=(TRIM(E$5)))*(CsDJ[Account Code]=(TRIM($B110))),CsDJ[Debit])))+(SUM(IF((CRDJ[Date]=$A$4)*(CRDJ[Sort Code]=(TRIM(E$5)))*(CRDJ[Account Code]=(TRIM($B110))),CRDJ[Debit])))+(SUM(IF((GJ[Date]=$A$4)*(GJ[Sort Code]=(TRIM(E$5)))*(GJ[Account Code]=(TRIM($B110))),GJ[Debit]))))-((SUM(IF((CkDJ[Date]=$A$4)*(CkDJ[Sort Code]=(TRIM(E$5)))*(CkDJ[Account Code]=(TRIM($B110))),CkDJ[Credit])))+(SUM(IF((CsDJ[Date]=$A$4)*(CsDJ[Sort Code]=(TRIM(E$5)))*(CsDJ[Account Code]=(TRIM($B110))),CsDJ[Credit])))+(SUM(IF((CRDJ[Date]=$A$4)*(CRDJ[Sort Code]=(TRIM(E$5)))*(CRDJ[Account Code]=(TRIM($B110))),CRDJ[Credit])))+(SUM(IF((GJ[Date]=$A$4)*(GJ[Sort Code]=(TRIM(E$5)))*(GJ[Account Code]=(TRIM($B110))),GJ[Credit]))))</f>
        <v>0</v>
      </c>
      <c r="E110" s="467">
        <f t="shared" si="3"/>
        <v>0</v>
      </c>
    </row>
    <row r="111" spans="1:5">
      <c r="A111" s="476" t="s">
        <v>307</v>
      </c>
      <c r="B111" s="339" t="s">
        <v>253</v>
      </c>
      <c r="C111" s="466">
        <f t="array" ref="C111">((SUM(IF((CkDJ[Sort Code]=(TRIM(E$5)))*(CkDJ[Account Code]=(TRIM($B111)))*(CkDJ[Date]&lt;=$C$8),CkDJ[Debit])))+(SUM(IF((CsDJ[Sort Code]=(TRIM(E$5)))*(CsDJ[Account Code]=(TRIM($B111)))*(CsDJ[Date]&lt;=$C$8),CsDJ[Debit])))+(SUM(IF((CRDJ[Sort Code]=(TRIM(E$5)))*(CRDJ[Account Code]=(TRIM($B111)))*(CRDJ[Date]&lt;=$C$8),CRDJ[Debit])))+(SUM(IF((GJ[Sort Code]=(TRIM(E$5)))*(GJ[Account Code]=(TRIM($B111)))*(GJ[Date]&lt;=$C$8),GJ[Debit]))))-((SUM(IF((CkDJ[Sort Code]=(TRIM(E$5)))*(CkDJ[Account Code]=(TRIM($B111)))*(CkDJ[Date]&lt;=$C$8),CkDJ[Credit])))+(SUM(IF((CsDJ[Sort Code]=(TRIM(E$5)))*(CsDJ[Account Code]=(TRIM($B111)))*(CsDJ[Date]&lt;=$C$8),CsDJ[Credit])))+(SUM(IF((CRDJ[Sort Code]=(TRIM(E$5)))*(CRDJ[Account Code]=(TRIM($B111)))*(CRDJ[Date]&lt;=$C$8),CRDJ[Credit])))+(SUM(IF((GJ[Sort Code]=(TRIM(E$5)))*(GJ[Account Code]=(TRIM($B111)))*(GJ[Date]&lt;=$C$8),GJ[Credit]))))</f>
        <v>0</v>
      </c>
      <c r="D111" s="466">
        <f t="array" ref="D111">((SUM(IF((CkDJ[Date]=$A$4)*(CkDJ[Sort Code]=(TRIM(E$5)))*(CkDJ[Account Code]=(TRIM($B111))),CkDJ[Debit])))+(SUM(IF((CsDJ[Date]=$A$4)*(CsDJ[Sort Code]=(TRIM(E$5)))*(CsDJ[Account Code]=(TRIM($B111))),CsDJ[Debit])))+(SUM(IF((CRDJ[Date]=$A$4)*(CRDJ[Sort Code]=(TRIM(E$5)))*(CRDJ[Account Code]=(TRIM($B111))),CRDJ[Debit])))+(SUM(IF((GJ[Date]=$A$4)*(GJ[Sort Code]=(TRIM(E$5)))*(GJ[Account Code]=(TRIM($B111))),GJ[Debit]))))-((SUM(IF((CkDJ[Date]=$A$4)*(CkDJ[Sort Code]=(TRIM(E$5)))*(CkDJ[Account Code]=(TRIM($B111))),CkDJ[Credit])))+(SUM(IF((CsDJ[Date]=$A$4)*(CsDJ[Sort Code]=(TRIM(E$5)))*(CsDJ[Account Code]=(TRIM($B111))),CsDJ[Credit])))+(SUM(IF((CRDJ[Date]=$A$4)*(CRDJ[Sort Code]=(TRIM(E$5)))*(CRDJ[Account Code]=(TRIM($B111))),CRDJ[Credit])))+(SUM(IF((GJ[Date]=$A$4)*(GJ[Sort Code]=(TRIM(E$5)))*(GJ[Account Code]=(TRIM($B111))),GJ[Credit]))))</f>
        <v>0</v>
      </c>
      <c r="E111" s="467">
        <f t="shared" si="3"/>
        <v>0</v>
      </c>
    </row>
    <row r="112" spans="1:5">
      <c r="A112" s="476" t="s">
        <v>308</v>
      </c>
      <c r="B112" s="339" t="s">
        <v>256</v>
      </c>
      <c r="C112" s="466">
        <f t="array" ref="C112">((SUM(IF((CkDJ[Sort Code]=(TRIM(E$5)))*(CkDJ[Account Code]=(TRIM($B112)))*(CkDJ[Date]&lt;=$C$8),CkDJ[Debit])))+(SUM(IF((CsDJ[Sort Code]=(TRIM(E$5)))*(CsDJ[Account Code]=(TRIM($B112)))*(CsDJ[Date]&lt;=$C$8),CsDJ[Debit])))+(SUM(IF((CRDJ[Sort Code]=(TRIM(E$5)))*(CRDJ[Account Code]=(TRIM($B112)))*(CRDJ[Date]&lt;=$C$8),CRDJ[Debit])))+(SUM(IF((GJ[Sort Code]=(TRIM(E$5)))*(GJ[Account Code]=(TRIM($B112)))*(GJ[Date]&lt;=$C$8),GJ[Debit]))))-((SUM(IF((CkDJ[Sort Code]=(TRIM(E$5)))*(CkDJ[Account Code]=(TRIM($B112)))*(CkDJ[Date]&lt;=$C$8),CkDJ[Credit])))+(SUM(IF((CsDJ[Sort Code]=(TRIM(E$5)))*(CsDJ[Account Code]=(TRIM($B112)))*(CsDJ[Date]&lt;=$C$8),CsDJ[Credit])))+(SUM(IF((CRDJ[Sort Code]=(TRIM(E$5)))*(CRDJ[Account Code]=(TRIM($B112)))*(CRDJ[Date]&lt;=$C$8),CRDJ[Credit])))+(SUM(IF((GJ[Sort Code]=(TRIM(E$5)))*(GJ[Account Code]=(TRIM($B112)))*(GJ[Date]&lt;=$C$8),GJ[Credit]))))</f>
        <v>0</v>
      </c>
      <c r="D112" s="466">
        <f t="array" ref="D112">((SUM(IF((CkDJ[Date]=$A$4)*(CkDJ[Sort Code]=(TRIM(E$5)))*(CkDJ[Account Code]=(TRIM($B112))),CkDJ[Debit])))+(SUM(IF((CsDJ[Date]=$A$4)*(CsDJ[Sort Code]=(TRIM(E$5)))*(CsDJ[Account Code]=(TRIM($B112))),CsDJ[Debit])))+(SUM(IF((CRDJ[Date]=$A$4)*(CRDJ[Sort Code]=(TRIM(E$5)))*(CRDJ[Account Code]=(TRIM($B112))),CRDJ[Debit])))+(SUM(IF((GJ[Date]=$A$4)*(GJ[Sort Code]=(TRIM(E$5)))*(GJ[Account Code]=(TRIM($B112))),GJ[Debit]))))-((SUM(IF((CkDJ[Date]=$A$4)*(CkDJ[Sort Code]=(TRIM(E$5)))*(CkDJ[Account Code]=(TRIM($B112))),CkDJ[Credit])))+(SUM(IF((CsDJ[Date]=$A$4)*(CsDJ[Sort Code]=(TRIM(E$5)))*(CsDJ[Account Code]=(TRIM($B112))),CsDJ[Credit])))+(SUM(IF((CRDJ[Date]=$A$4)*(CRDJ[Sort Code]=(TRIM(E$5)))*(CRDJ[Account Code]=(TRIM($B112))),CRDJ[Credit])))+(SUM(IF((GJ[Date]=$A$4)*(GJ[Sort Code]=(TRIM(E$5)))*(GJ[Account Code]=(TRIM($B112))),GJ[Credit]))))</f>
        <v>0</v>
      </c>
      <c r="E112" s="467">
        <f t="shared" si="3"/>
        <v>0</v>
      </c>
    </row>
    <row r="113" spans="1:5">
      <c r="A113" s="476" t="s">
        <v>309</v>
      </c>
      <c r="B113" s="339" t="s">
        <v>258</v>
      </c>
      <c r="C113" s="466">
        <f t="array" ref="C113">((SUM(IF((CkDJ[Sort Code]=(TRIM(E$5)))*(CkDJ[Account Code]=(TRIM($B113)))*(CkDJ[Date]&lt;=$C$8),CkDJ[Debit])))+(SUM(IF((CsDJ[Sort Code]=(TRIM(E$5)))*(CsDJ[Account Code]=(TRIM($B113)))*(CsDJ[Date]&lt;=$C$8),CsDJ[Debit])))+(SUM(IF((CRDJ[Sort Code]=(TRIM(E$5)))*(CRDJ[Account Code]=(TRIM($B113)))*(CRDJ[Date]&lt;=$C$8),CRDJ[Debit])))+(SUM(IF((GJ[Sort Code]=(TRIM(E$5)))*(GJ[Account Code]=(TRIM($B113)))*(GJ[Date]&lt;=$C$8),GJ[Debit]))))-((SUM(IF((CkDJ[Sort Code]=(TRIM(E$5)))*(CkDJ[Account Code]=(TRIM($B113)))*(CkDJ[Date]&lt;=$C$8),CkDJ[Credit])))+(SUM(IF((CsDJ[Sort Code]=(TRIM(E$5)))*(CsDJ[Account Code]=(TRIM($B113)))*(CsDJ[Date]&lt;=$C$8),CsDJ[Credit])))+(SUM(IF((CRDJ[Sort Code]=(TRIM(E$5)))*(CRDJ[Account Code]=(TRIM($B113)))*(CRDJ[Date]&lt;=$C$8),CRDJ[Credit])))+(SUM(IF((GJ[Sort Code]=(TRIM(E$5)))*(GJ[Account Code]=(TRIM($B113)))*(GJ[Date]&lt;=$C$8),GJ[Credit]))))</f>
        <v>0</v>
      </c>
      <c r="D113" s="466">
        <f t="array" ref="D113">((SUM(IF((CkDJ[Date]=$A$4)*(CkDJ[Sort Code]=(TRIM(E$5)))*(CkDJ[Account Code]=(TRIM($B113))),CkDJ[Debit])))+(SUM(IF((CsDJ[Date]=$A$4)*(CsDJ[Sort Code]=(TRIM(E$5)))*(CsDJ[Account Code]=(TRIM($B113))),CsDJ[Debit])))+(SUM(IF((CRDJ[Date]=$A$4)*(CRDJ[Sort Code]=(TRIM(E$5)))*(CRDJ[Account Code]=(TRIM($B113))),CRDJ[Debit])))+(SUM(IF((GJ[Date]=$A$4)*(GJ[Sort Code]=(TRIM(E$5)))*(GJ[Account Code]=(TRIM($B113))),GJ[Debit]))))-((SUM(IF((CkDJ[Date]=$A$4)*(CkDJ[Sort Code]=(TRIM(E$5)))*(CkDJ[Account Code]=(TRIM($B113))),CkDJ[Credit])))+(SUM(IF((CsDJ[Date]=$A$4)*(CsDJ[Sort Code]=(TRIM(E$5)))*(CsDJ[Account Code]=(TRIM($B113))),CsDJ[Credit])))+(SUM(IF((CRDJ[Date]=$A$4)*(CRDJ[Sort Code]=(TRIM(E$5)))*(CRDJ[Account Code]=(TRIM($B113))),CRDJ[Credit])))+(SUM(IF((GJ[Date]=$A$4)*(GJ[Sort Code]=(TRIM(E$5)))*(GJ[Account Code]=(TRIM($B113))),GJ[Credit]))))</f>
        <v>0</v>
      </c>
      <c r="E113" s="467">
        <f t="shared" si="3"/>
        <v>0</v>
      </c>
    </row>
    <row r="114" spans="1:5">
      <c r="A114" s="476" t="s">
        <v>310</v>
      </c>
      <c r="B114" s="339" t="s">
        <v>261</v>
      </c>
      <c r="C114" s="466">
        <f t="array" ref="C114">((SUM(IF((CkDJ[Sort Code]=(TRIM(E$5)))*(CkDJ[Account Code]=(TRIM($B114)))*(CkDJ[Date]&lt;=$C$8),CkDJ[Debit])))+(SUM(IF((CsDJ[Sort Code]=(TRIM(E$5)))*(CsDJ[Account Code]=(TRIM($B114)))*(CsDJ[Date]&lt;=$C$8),CsDJ[Debit])))+(SUM(IF((CRDJ[Sort Code]=(TRIM(E$5)))*(CRDJ[Account Code]=(TRIM($B114)))*(CRDJ[Date]&lt;=$C$8),CRDJ[Debit])))+(SUM(IF((GJ[Sort Code]=(TRIM(E$5)))*(GJ[Account Code]=(TRIM($B114)))*(GJ[Date]&lt;=$C$8),GJ[Debit]))))-((SUM(IF((CkDJ[Sort Code]=(TRIM(E$5)))*(CkDJ[Account Code]=(TRIM($B114)))*(CkDJ[Date]&lt;=$C$8),CkDJ[Credit])))+(SUM(IF((CsDJ[Sort Code]=(TRIM(E$5)))*(CsDJ[Account Code]=(TRIM($B114)))*(CsDJ[Date]&lt;=$C$8),CsDJ[Credit])))+(SUM(IF((CRDJ[Sort Code]=(TRIM(E$5)))*(CRDJ[Account Code]=(TRIM($B114)))*(CRDJ[Date]&lt;=$C$8),CRDJ[Credit])))+(SUM(IF((GJ[Sort Code]=(TRIM(E$5)))*(GJ[Account Code]=(TRIM($B114)))*(GJ[Date]&lt;=$C$8),GJ[Credit]))))</f>
        <v>0</v>
      </c>
      <c r="D114" s="466">
        <f t="array" ref="D114">((SUM(IF((CkDJ[Date]=$A$4)*(CkDJ[Sort Code]=(TRIM(E$5)))*(CkDJ[Account Code]=(TRIM($B114))),CkDJ[Debit])))+(SUM(IF((CsDJ[Date]=$A$4)*(CsDJ[Sort Code]=(TRIM(E$5)))*(CsDJ[Account Code]=(TRIM($B114))),CsDJ[Debit])))+(SUM(IF((CRDJ[Date]=$A$4)*(CRDJ[Sort Code]=(TRIM(E$5)))*(CRDJ[Account Code]=(TRIM($B114))),CRDJ[Debit])))+(SUM(IF((GJ[Date]=$A$4)*(GJ[Sort Code]=(TRIM(E$5)))*(GJ[Account Code]=(TRIM($B114))),GJ[Debit]))))-((SUM(IF((CkDJ[Date]=$A$4)*(CkDJ[Sort Code]=(TRIM(E$5)))*(CkDJ[Account Code]=(TRIM($B114))),CkDJ[Credit])))+(SUM(IF((CsDJ[Date]=$A$4)*(CsDJ[Sort Code]=(TRIM(E$5)))*(CsDJ[Account Code]=(TRIM($B114))),CsDJ[Credit])))+(SUM(IF((CRDJ[Date]=$A$4)*(CRDJ[Sort Code]=(TRIM(E$5)))*(CRDJ[Account Code]=(TRIM($B114))),CRDJ[Credit])))+(SUM(IF((GJ[Date]=$A$4)*(GJ[Sort Code]=(TRIM(E$5)))*(GJ[Account Code]=(TRIM($B114))),GJ[Credit]))))</f>
        <v>0</v>
      </c>
      <c r="E114" s="467">
        <f t="shared" si="3"/>
        <v>0</v>
      </c>
    </row>
    <row r="115" spans="1:5">
      <c r="A115" s="476" t="s">
        <v>311</v>
      </c>
      <c r="B115" s="339" t="s">
        <v>262</v>
      </c>
      <c r="C115" s="466">
        <f t="array" ref="C115">((SUM(IF((CkDJ[Sort Code]=(TRIM(E$5)))*(CkDJ[Account Code]=(TRIM($B115)))*(CkDJ[Date]&lt;=$C$8),CkDJ[Debit])))+(SUM(IF((CsDJ[Sort Code]=(TRIM(E$5)))*(CsDJ[Account Code]=(TRIM($B115)))*(CsDJ[Date]&lt;=$C$8),CsDJ[Debit])))+(SUM(IF((CRDJ[Sort Code]=(TRIM(E$5)))*(CRDJ[Account Code]=(TRIM($B115)))*(CRDJ[Date]&lt;=$C$8),CRDJ[Debit])))+(SUM(IF((GJ[Sort Code]=(TRIM(E$5)))*(GJ[Account Code]=(TRIM($B115)))*(GJ[Date]&lt;=$C$8),GJ[Debit]))))-((SUM(IF((CkDJ[Sort Code]=(TRIM(E$5)))*(CkDJ[Account Code]=(TRIM($B115)))*(CkDJ[Date]&lt;=$C$8),CkDJ[Credit])))+(SUM(IF((CsDJ[Sort Code]=(TRIM(E$5)))*(CsDJ[Account Code]=(TRIM($B115)))*(CsDJ[Date]&lt;=$C$8),CsDJ[Credit])))+(SUM(IF((CRDJ[Sort Code]=(TRIM(E$5)))*(CRDJ[Account Code]=(TRIM($B115)))*(CRDJ[Date]&lt;=$C$8),CRDJ[Credit])))+(SUM(IF((GJ[Sort Code]=(TRIM(E$5)))*(GJ[Account Code]=(TRIM($B115)))*(GJ[Date]&lt;=$C$8),GJ[Credit]))))</f>
        <v>0</v>
      </c>
      <c r="D115" s="466">
        <f t="array" ref="D115">((SUM(IF((CkDJ[Date]=$A$4)*(CkDJ[Sort Code]=(TRIM(E$5)))*(CkDJ[Account Code]=(TRIM($B115))),CkDJ[Debit])))+(SUM(IF((CsDJ[Date]=$A$4)*(CsDJ[Sort Code]=(TRIM(E$5)))*(CsDJ[Account Code]=(TRIM($B115))),CsDJ[Debit])))+(SUM(IF((CRDJ[Date]=$A$4)*(CRDJ[Sort Code]=(TRIM(E$5)))*(CRDJ[Account Code]=(TRIM($B115))),CRDJ[Debit])))+(SUM(IF((GJ[Date]=$A$4)*(GJ[Sort Code]=(TRIM(E$5)))*(GJ[Account Code]=(TRIM($B115))),GJ[Debit]))))-((SUM(IF((CkDJ[Date]=$A$4)*(CkDJ[Sort Code]=(TRIM(E$5)))*(CkDJ[Account Code]=(TRIM($B115))),CkDJ[Credit])))+(SUM(IF((CsDJ[Date]=$A$4)*(CsDJ[Sort Code]=(TRIM(E$5)))*(CsDJ[Account Code]=(TRIM($B115))),CsDJ[Credit])))+(SUM(IF((CRDJ[Date]=$A$4)*(CRDJ[Sort Code]=(TRIM(E$5)))*(CRDJ[Account Code]=(TRIM($B115))),CRDJ[Credit])))+(SUM(IF((GJ[Date]=$A$4)*(GJ[Sort Code]=(TRIM(E$5)))*(GJ[Account Code]=(TRIM($B115))),GJ[Credit]))))</f>
        <v>0</v>
      </c>
      <c r="E115" s="467">
        <f t="shared" si="3"/>
        <v>0</v>
      </c>
    </row>
    <row r="116" spans="1:5">
      <c r="A116" s="476" t="s">
        <v>312</v>
      </c>
      <c r="B116" s="339" t="s">
        <v>264</v>
      </c>
      <c r="C116" s="466">
        <f t="array" ref="C116">((SUM(IF((CkDJ[Sort Code]=(TRIM(E$5)))*(CkDJ[Account Code]=(TRIM($B116)))*(CkDJ[Date]&lt;=$C$8),CkDJ[Debit])))+(SUM(IF((CsDJ[Sort Code]=(TRIM(E$5)))*(CsDJ[Account Code]=(TRIM($B116)))*(CsDJ[Date]&lt;=$C$8),CsDJ[Debit])))+(SUM(IF((CRDJ[Sort Code]=(TRIM(E$5)))*(CRDJ[Account Code]=(TRIM($B116)))*(CRDJ[Date]&lt;=$C$8),CRDJ[Debit])))+(SUM(IF((GJ[Sort Code]=(TRIM(E$5)))*(GJ[Account Code]=(TRIM($B116)))*(GJ[Date]&lt;=$C$8),GJ[Debit]))))-((SUM(IF((CkDJ[Sort Code]=(TRIM(E$5)))*(CkDJ[Account Code]=(TRIM($B116)))*(CkDJ[Date]&lt;=$C$8),CkDJ[Credit])))+(SUM(IF((CsDJ[Sort Code]=(TRIM(E$5)))*(CsDJ[Account Code]=(TRIM($B116)))*(CsDJ[Date]&lt;=$C$8),CsDJ[Credit])))+(SUM(IF((CRDJ[Sort Code]=(TRIM(E$5)))*(CRDJ[Account Code]=(TRIM($B116)))*(CRDJ[Date]&lt;=$C$8),CRDJ[Credit])))+(SUM(IF((GJ[Sort Code]=(TRIM(E$5)))*(GJ[Account Code]=(TRIM($B116)))*(GJ[Date]&lt;=$C$8),GJ[Credit]))))</f>
        <v>0</v>
      </c>
      <c r="D116" s="466">
        <f t="array" ref="D116">((SUM(IF((CkDJ[Date]=$A$4)*(CkDJ[Sort Code]=(TRIM(E$5)))*(CkDJ[Account Code]=(TRIM($B116))),CkDJ[Debit])))+(SUM(IF((CsDJ[Date]=$A$4)*(CsDJ[Sort Code]=(TRIM(E$5)))*(CsDJ[Account Code]=(TRIM($B116))),CsDJ[Debit])))+(SUM(IF((CRDJ[Date]=$A$4)*(CRDJ[Sort Code]=(TRIM(E$5)))*(CRDJ[Account Code]=(TRIM($B116))),CRDJ[Debit])))+(SUM(IF((GJ[Date]=$A$4)*(GJ[Sort Code]=(TRIM(E$5)))*(GJ[Account Code]=(TRIM($B116))),GJ[Debit]))))-((SUM(IF((CkDJ[Date]=$A$4)*(CkDJ[Sort Code]=(TRIM(E$5)))*(CkDJ[Account Code]=(TRIM($B116))),CkDJ[Credit])))+(SUM(IF((CsDJ[Date]=$A$4)*(CsDJ[Sort Code]=(TRIM(E$5)))*(CsDJ[Account Code]=(TRIM($B116))),CsDJ[Credit])))+(SUM(IF((CRDJ[Date]=$A$4)*(CRDJ[Sort Code]=(TRIM(E$5)))*(CRDJ[Account Code]=(TRIM($B116))),CRDJ[Credit])))+(SUM(IF((GJ[Date]=$A$4)*(GJ[Sort Code]=(TRIM(E$5)))*(GJ[Account Code]=(TRIM($B116))),GJ[Credit]))))</f>
        <v>0</v>
      </c>
      <c r="E116" s="467">
        <f t="shared" si="3"/>
        <v>0</v>
      </c>
    </row>
    <row r="117" spans="1:5">
      <c r="A117" s="476" t="s">
        <v>313</v>
      </c>
      <c r="B117" s="339" t="s">
        <v>265</v>
      </c>
      <c r="C117" s="466">
        <f t="array" ref="C117">((SUM(IF((CkDJ[Sort Code]=(TRIM(E$5)))*(CkDJ[Account Code]=(TRIM($B117)))*(CkDJ[Date]&lt;=$C$8),CkDJ[Debit])))+(SUM(IF((CsDJ[Sort Code]=(TRIM(E$5)))*(CsDJ[Account Code]=(TRIM($B117)))*(CsDJ[Date]&lt;=$C$8),CsDJ[Debit])))+(SUM(IF((CRDJ[Sort Code]=(TRIM(E$5)))*(CRDJ[Account Code]=(TRIM($B117)))*(CRDJ[Date]&lt;=$C$8),CRDJ[Debit])))+(SUM(IF((GJ[Sort Code]=(TRIM(E$5)))*(GJ[Account Code]=(TRIM($B117)))*(GJ[Date]&lt;=$C$8),GJ[Debit]))))-((SUM(IF((CkDJ[Sort Code]=(TRIM(E$5)))*(CkDJ[Account Code]=(TRIM($B117)))*(CkDJ[Date]&lt;=$C$8),CkDJ[Credit])))+(SUM(IF((CsDJ[Sort Code]=(TRIM(E$5)))*(CsDJ[Account Code]=(TRIM($B117)))*(CsDJ[Date]&lt;=$C$8),CsDJ[Credit])))+(SUM(IF((CRDJ[Sort Code]=(TRIM(E$5)))*(CRDJ[Account Code]=(TRIM($B117)))*(CRDJ[Date]&lt;=$C$8),CRDJ[Credit])))+(SUM(IF((GJ[Sort Code]=(TRIM(E$5)))*(GJ[Account Code]=(TRIM($B117)))*(GJ[Date]&lt;=$C$8),GJ[Credit]))))</f>
        <v>0</v>
      </c>
      <c r="D117" s="466">
        <f t="array" ref="D117">((SUM(IF((CkDJ[Date]=$A$4)*(CkDJ[Sort Code]=(TRIM(E$5)))*(CkDJ[Account Code]=(TRIM($B117))),CkDJ[Debit])))+(SUM(IF((CsDJ[Date]=$A$4)*(CsDJ[Sort Code]=(TRIM(E$5)))*(CsDJ[Account Code]=(TRIM($B117))),CsDJ[Debit])))+(SUM(IF((CRDJ[Date]=$A$4)*(CRDJ[Sort Code]=(TRIM(E$5)))*(CRDJ[Account Code]=(TRIM($B117))),CRDJ[Debit])))+(SUM(IF((GJ[Date]=$A$4)*(GJ[Sort Code]=(TRIM(E$5)))*(GJ[Account Code]=(TRIM($B117))),GJ[Debit]))))-((SUM(IF((CkDJ[Date]=$A$4)*(CkDJ[Sort Code]=(TRIM(E$5)))*(CkDJ[Account Code]=(TRIM($B117))),CkDJ[Credit])))+(SUM(IF((CsDJ[Date]=$A$4)*(CsDJ[Sort Code]=(TRIM(E$5)))*(CsDJ[Account Code]=(TRIM($B117))),CsDJ[Credit])))+(SUM(IF((CRDJ[Date]=$A$4)*(CRDJ[Sort Code]=(TRIM(E$5)))*(CRDJ[Account Code]=(TRIM($B117))),CRDJ[Credit])))+(SUM(IF((GJ[Date]=$A$4)*(GJ[Sort Code]=(TRIM(E$5)))*(GJ[Account Code]=(TRIM($B117))),GJ[Credit]))))</f>
        <v>0</v>
      </c>
      <c r="E117" s="467">
        <f t="shared" si="3"/>
        <v>0</v>
      </c>
    </row>
    <row r="118" spans="1:5">
      <c r="A118" s="476" t="s">
        <v>790</v>
      </c>
      <c r="B118" s="339" t="s">
        <v>267</v>
      </c>
      <c r="C118" s="466">
        <f t="array" ref="C118">((SUM(IF((CkDJ[Sort Code]=(TRIM(E$5)))*(CkDJ[Account Code]=(TRIM($B118)))*(CkDJ[Date]&lt;=$C$8),CkDJ[Debit])))+(SUM(IF((CsDJ[Sort Code]=(TRIM(E$5)))*(CsDJ[Account Code]=(TRIM($B118)))*(CsDJ[Date]&lt;=$C$8),CsDJ[Debit])))+(SUM(IF((CRDJ[Sort Code]=(TRIM(E$5)))*(CRDJ[Account Code]=(TRIM($B118)))*(CRDJ[Date]&lt;=$C$8),CRDJ[Debit])))+(SUM(IF((GJ[Sort Code]=(TRIM(E$5)))*(GJ[Account Code]=(TRIM($B118)))*(GJ[Date]&lt;=$C$8),GJ[Debit]))))-((SUM(IF((CkDJ[Sort Code]=(TRIM(E$5)))*(CkDJ[Account Code]=(TRIM($B118)))*(CkDJ[Date]&lt;=$C$8),CkDJ[Credit])))+(SUM(IF((CsDJ[Sort Code]=(TRIM(E$5)))*(CsDJ[Account Code]=(TRIM($B118)))*(CsDJ[Date]&lt;=$C$8),CsDJ[Credit])))+(SUM(IF((CRDJ[Sort Code]=(TRIM(E$5)))*(CRDJ[Account Code]=(TRIM($B118)))*(CRDJ[Date]&lt;=$C$8),CRDJ[Credit])))+(SUM(IF((GJ[Sort Code]=(TRIM(E$5)))*(GJ[Account Code]=(TRIM($B118)))*(GJ[Date]&lt;=$C$8),GJ[Credit]))))</f>
        <v>0</v>
      </c>
      <c r="D118" s="466">
        <f t="array" ref="D118">((SUM(IF((CkDJ[Date]=$A$4)*(CkDJ[Sort Code]=(TRIM(E$5)))*(CkDJ[Account Code]=(TRIM($B118))),CkDJ[Debit])))+(SUM(IF((CsDJ[Date]=$A$4)*(CsDJ[Sort Code]=(TRIM(E$5)))*(CsDJ[Account Code]=(TRIM($B118))),CsDJ[Debit])))+(SUM(IF((CRDJ[Date]=$A$4)*(CRDJ[Sort Code]=(TRIM(E$5)))*(CRDJ[Account Code]=(TRIM($B118))),CRDJ[Debit])))+(SUM(IF((GJ[Date]=$A$4)*(GJ[Sort Code]=(TRIM(E$5)))*(GJ[Account Code]=(TRIM($B118))),GJ[Debit]))))-((SUM(IF((CkDJ[Date]=$A$4)*(CkDJ[Sort Code]=(TRIM(E$5)))*(CkDJ[Account Code]=(TRIM($B118))),CkDJ[Credit])))+(SUM(IF((CsDJ[Date]=$A$4)*(CsDJ[Sort Code]=(TRIM(E$5)))*(CsDJ[Account Code]=(TRIM($B118))),CsDJ[Credit])))+(SUM(IF((CRDJ[Date]=$A$4)*(CRDJ[Sort Code]=(TRIM(E$5)))*(CRDJ[Account Code]=(TRIM($B118))),CRDJ[Credit])))+(SUM(IF((GJ[Date]=$A$4)*(GJ[Sort Code]=(TRIM(E$5)))*(GJ[Account Code]=(TRIM($B118))),GJ[Credit]))))</f>
        <v>0</v>
      </c>
      <c r="E118" s="467">
        <f>C118+D118</f>
        <v>0</v>
      </c>
    </row>
    <row r="119" spans="1:5">
      <c r="A119" s="476" t="s">
        <v>1027</v>
      </c>
      <c r="B119" s="339" t="s">
        <v>269</v>
      </c>
      <c r="C119" s="466">
        <f t="array" ref="C119">((SUM(IF((CkDJ[Sort Code]=(TRIM(E$5)))*(CkDJ[Account Code]=(TRIM($B119)))*(CkDJ[Date]&lt;=$C$8),CkDJ[Debit])))+(SUM(IF((CsDJ[Sort Code]=(TRIM(E$5)))*(CsDJ[Account Code]=(TRIM($B119)))*(CsDJ[Date]&lt;=$C$8),CsDJ[Debit])))+(SUM(IF((CRDJ[Sort Code]=(TRIM(E$5)))*(CRDJ[Account Code]=(TRIM($B119)))*(CRDJ[Date]&lt;=$C$8),CRDJ[Debit])))+(SUM(IF((GJ[Sort Code]=(TRIM(E$5)))*(GJ[Account Code]=(TRIM($B119)))*(GJ[Date]&lt;=$C$8),GJ[Debit]))))-((SUM(IF((CkDJ[Sort Code]=(TRIM(E$5)))*(CkDJ[Account Code]=(TRIM($B119)))*(CkDJ[Date]&lt;=$C$8),CkDJ[Credit])))+(SUM(IF((CsDJ[Sort Code]=(TRIM(E$5)))*(CsDJ[Account Code]=(TRIM($B119)))*(CsDJ[Date]&lt;=$C$8),CsDJ[Credit])))+(SUM(IF((CRDJ[Sort Code]=(TRIM(E$5)))*(CRDJ[Account Code]=(TRIM($B119)))*(CRDJ[Date]&lt;=$C$8),CRDJ[Credit])))+(SUM(IF((GJ[Sort Code]=(TRIM(E$5)))*(GJ[Account Code]=(TRIM($B119)))*(GJ[Date]&lt;=$C$8),GJ[Credit]))))</f>
        <v>0</v>
      </c>
      <c r="D119" s="466">
        <f t="array" ref="D119">((SUM(IF((CkDJ[Date]=$A$4)*(CkDJ[Sort Code]=(TRIM(E$5)))*(CkDJ[Account Code]=(TRIM($B119))),CkDJ[Debit])))+(SUM(IF((CsDJ[Date]=$A$4)*(CsDJ[Sort Code]=(TRIM(E$5)))*(CsDJ[Account Code]=(TRIM($B119))),CsDJ[Debit])))+(SUM(IF((CRDJ[Date]=$A$4)*(CRDJ[Sort Code]=(TRIM(E$5)))*(CRDJ[Account Code]=(TRIM($B119))),CRDJ[Debit])))+(SUM(IF((GJ[Date]=$A$4)*(GJ[Sort Code]=(TRIM(E$5)))*(GJ[Account Code]=(TRIM($B119))),GJ[Debit]))))-((SUM(IF((CkDJ[Date]=$A$4)*(CkDJ[Sort Code]=(TRIM(E$5)))*(CkDJ[Account Code]=(TRIM($B119))),CkDJ[Credit])))+(SUM(IF((CsDJ[Date]=$A$4)*(CsDJ[Sort Code]=(TRIM(E$5)))*(CsDJ[Account Code]=(TRIM($B119))),CsDJ[Credit])))+(SUM(IF((CRDJ[Date]=$A$4)*(CRDJ[Sort Code]=(TRIM(E$5)))*(CRDJ[Account Code]=(TRIM($B119))),CRDJ[Credit])))+(SUM(IF((GJ[Date]=$A$4)*(GJ[Sort Code]=(TRIM(E$5)))*(GJ[Account Code]=(TRIM($B119))),GJ[Credit]))))</f>
        <v>0</v>
      </c>
      <c r="E119" s="467">
        <f t="shared" ref="E119:E136" si="4">C119+D119</f>
        <v>0</v>
      </c>
    </row>
    <row r="120" spans="1:5">
      <c r="A120" s="476" t="s">
        <v>409</v>
      </c>
      <c r="B120" s="339" t="s">
        <v>408</v>
      </c>
      <c r="C120" s="466">
        <f t="array" ref="C120">((SUM(IF((CkDJ[Sort Code]=(TRIM(E$5)))*(CkDJ[Account Code]=(TRIM($B120)))*(CkDJ[Date]&lt;=$C$8),CkDJ[Debit])))+(SUM(IF((CsDJ[Sort Code]=(TRIM(E$5)))*(CsDJ[Account Code]=(TRIM($B120)))*(CsDJ[Date]&lt;=$C$8),CsDJ[Debit])))+(SUM(IF((CRDJ[Sort Code]=(TRIM(E$5)))*(CRDJ[Account Code]=(TRIM($B120)))*(CRDJ[Date]&lt;=$C$8),CRDJ[Debit])))+(SUM(IF((GJ[Sort Code]=(TRIM(E$5)))*(GJ[Account Code]=(TRIM($B120)))*(GJ[Date]&lt;=$C$8),GJ[Debit]))))-((SUM(IF((CkDJ[Sort Code]=(TRIM(E$5)))*(CkDJ[Account Code]=(TRIM($B120)))*(CkDJ[Date]&lt;=$C$8),CkDJ[Credit])))+(SUM(IF((CsDJ[Sort Code]=(TRIM(E$5)))*(CsDJ[Account Code]=(TRIM($B120)))*(CsDJ[Date]&lt;=$C$8),CsDJ[Credit])))+(SUM(IF((CRDJ[Sort Code]=(TRIM(E$5)))*(CRDJ[Account Code]=(TRIM($B120)))*(CRDJ[Date]&lt;=$C$8),CRDJ[Credit])))+(SUM(IF((GJ[Sort Code]=(TRIM(E$5)))*(GJ[Account Code]=(TRIM($B120)))*(GJ[Date]&lt;=$C$8),GJ[Credit]))))</f>
        <v>0</v>
      </c>
      <c r="D120" s="466">
        <f t="array" ref="D120">((SUM(IF((CkDJ[Date]=$A$4)*(CkDJ[Sort Code]=(TRIM(E$5)))*(CkDJ[Account Code]=(TRIM($B120))),CkDJ[Debit])))+(SUM(IF((CsDJ[Date]=$A$4)*(CsDJ[Sort Code]=(TRIM(E$5)))*(CsDJ[Account Code]=(TRIM($B120))),CsDJ[Debit])))+(SUM(IF((CRDJ[Date]=$A$4)*(CRDJ[Sort Code]=(TRIM(E$5)))*(CRDJ[Account Code]=(TRIM($B120))),CRDJ[Debit])))+(SUM(IF((GJ[Date]=$A$4)*(GJ[Sort Code]=(TRIM(E$5)))*(GJ[Account Code]=(TRIM($B120))),GJ[Debit]))))-((SUM(IF((CkDJ[Date]=$A$4)*(CkDJ[Sort Code]=(TRIM(E$5)))*(CkDJ[Account Code]=(TRIM($B120))),CkDJ[Credit])))+(SUM(IF((CsDJ[Date]=$A$4)*(CsDJ[Sort Code]=(TRIM(E$5)))*(CsDJ[Account Code]=(TRIM($B120))),CsDJ[Credit])))+(SUM(IF((CRDJ[Date]=$A$4)*(CRDJ[Sort Code]=(TRIM(E$5)))*(CRDJ[Account Code]=(TRIM($B120))),CRDJ[Credit])))+(SUM(IF((GJ[Date]=$A$4)*(GJ[Sort Code]=(TRIM(E$5)))*(GJ[Account Code]=(TRIM($B120))),GJ[Credit]))))</f>
        <v>0</v>
      </c>
      <c r="E120" s="467">
        <f>C120+D120</f>
        <v>0</v>
      </c>
    </row>
    <row r="121" spans="1:5">
      <c r="A121" s="476" t="s">
        <v>315</v>
      </c>
      <c r="B121" s="339" t="s">
        <v>270</v>
      </c>
      <c r="C121" s="466">
        <f t="array" ref="C121">((SUM(IF((CkDJ[Sort Code]=(TRIM(E$5)))*(CkDJ[Account Code]=(TRIM($B121)))*(CkDJ[Date]&lt;=$C$8),CkDJ[Debit])))+(SUM(IF((CsDJ[Sort Code]=(TRIM(E$5)))*(CsDJ[Account Code]=(TRIM($B121)))*(CsDJ[Date]&lt;=$C$8),CsDJ[Debit])))+(SUM(IF((CRDJ[Sort Code]=(TRIM(E$5)))*(CRDJ[Account Code]=(TRIM($B121)))*(CRDJ[Date]&lt;=$C$8),CRDJ[Debit])))+(SUM(IF((GJ[Sort Code]=(TRIM(E$5)))*(GJ[Account Code]=(TRIM($B121)))*(GJ[Date]&lt;=$C$8),GJ[Debit]))))-((SUM(IF((CkDJ[Sort Code]=(TRIM(E$5)))*(CkDJ[Account Code]=(TRIM($B121)))*(CkDJ[Date]&lt;=$C$8),CkDJ[Credit])))+(SUM(IF((CsDJ[Sort Code]=(TRIM(E$5)))*(CsDJ[Account Code]=(TRIM($B121)))*(CsDJ[Date]&lt;=$C$8),CsDJ[Credit])))+(SUM(IF((CRDJ[Sort Code]=(TRIM(E$5)))*(CRDJ[Account Code]=(TRIM($B121)))*(CRDJ[Date]&lt;=$C$8),CRDJ[Credit])))+(SUM(IF((GJ[Sort Code]=(TRIM(E$5)))*(GJ[Account Code]=(TRIM($B121)))*(GJ[Date]&lt;=$C$8),GJ[Credit]))))</f>
        <v>0</v>
      </c>
      <c r="D121" s="466">
        <f t="array" ref="D121">((SUM(IF((CkDJ[Date]=$A$4)*(CkDJ[Sort Code]=(TRIM(E$5)))*(CkDJ[Account Code]=(TRIM($B121))),CkDJ[Debit])))+(SUM(IF((CsDJ[Date]=$A$4)*(CsDJ[Sort Code]=(TRIM(E$5)))*(CsDJ[Account Code]=(TRIM($B121))),CsDJ[Debit])))+(SUM(IF((CRDJ[Date]=$A$4)*(CRDJ[Sort Code]=(TRIM(E$5)))*(CRDJ[Account Code]=(TRIM($B121))),CRDJ[Debit])))+(SUM(IF((GJ[Date]=$A$4)*(GJ[Sort Code]=(TRIM(E$5)))*(GJ[Account Code]=(TRIM($B121))),GJ[Debit]))))-((SUM(IF((CkDJ[Date]=$A$4)*(CkDJ[Sort Code]=(TRIM(E$5)))*(CkDJ[Account Code]=(TRIM($B121))),CkDJ[Credit])))+(SUM(IF((CsDJ[Date]=$A$4)*(CsDJ[Sort Code]=(TRIM(E$5)))*(CsDJ[Account Code]=(TRIM($B121))),CsDJ[Credit])))+(SUM(IF((CRDJ[Date]=$A$4)*(CRDJ[Sort Code]=(TRIM(E$5)))*(CRDJ[Account Code]=(TRIM($B121))),CRDJ[Credit])))+(SUM(IF((GJ[Date]=$A$4)*(GJ[Sort Code]=(TRIM(E$5)))*(GJ[Account Code]=(TRIM($B121))),GJ[Credit]))))</f>
        <v>0</v>
      </c>
      <c r="E121" s="467">
        <f>C121+D121</f>
        <v>0</v>
      </c>
    </row>
    <row r="122" spans="1:5">
      <c r="A122" s="476" t="s">
        <v>368</v>
      </c>
      <c r="B122" s="339" t="s">
        <v>271</v>
      </c>
      <c r="C122" s="466">
        <f t="array" ref="C122">((SUM(IF((CkDJ[Sort Code]=(TRIM(E$5)))*(CkDJ[Account Code]=(TRIM($B122)))*(CkDJ[Date]&lt;=$C$8),CkDJ[Debit])))+(SUM(IF((CsDJ[Sort Code]=(TRIM(E$5)))*(CsDJ[Account Code]=(TRIM($B122)))*(CsDJ[Date]&lt;=$C$8),CsDJ[Debit])))+(SUM(IF((CRDJ[Sort Code]=(TRIM(E$5)))*(CRDJ[Account Code]=(TRIM($B122)))*(CRDJ[Date]&lt;=$C$8),CRDJ[Debit])))+(SUM(IF((GJ[Sort Code]=(TRIM(E$5)))*(GJ[Account Code]=(TRIM($B122)))*(GJ[Date]&lt;=$C$8),GJ[Debit]))))-((SUM(IF((CkDJ[Sort Code]=(TRIM(E$5)))*(CkDJ[Account Code]=(TRIM($B122)))*(CkDJ[Date]&lt;=$C$8),CkDJ[Credit])))+(SUM(IF((CsDJ[Sort Code]=(TRIM(E$5)))*(CsDJ[Account Code]=(TRIM($B122)))*(CsDJ[Date]&lt;=$C$8),CsDJ[Credit])))+(SUM(IF((CRDJ[Sort Code]=(TRIM(E$5)))*(CRDJ[Account Code]=(TRIM($B122)))*(CRDJ[Date]&lt;=$C$8),CRDJ[Credit])))+(SUM(IF((GJ[Sort Code]=(TRIM(E$5)))*(GJ[Account Code]=(TRIM($B122)))*(GJ[Date]&lt;=$C$8),GJ[Credit]))))</f>
        <v>0</v>
      </c>
      <c r="D122" s="466">
        <f t="array" ref="D122">((SUM(IF((CkDJ[Date]=$A$4)*(CkDJ[Sort Code]=(TRIM(E$5)))*(CkDJ[Account Code]=(TRIM($B122))),CkDJ[Debit])))+(SUM(IF((CsDJ[Date]=$A$4)*(CsDJ[Sort Code]=(TRIM(E$5)))*(CsDJ[Account Code]=(TRIM($B122))),CsDJ[Debit])))+(SUM(IF((CRDJ[Date]=$A$4)*(CRDJ[Sort Code]=(TRIM(E$5)))*(CRDJ[Account Code]=(TRIM($B122))),CRDJ[Debit])))+(SUM(IF((GJ[Date]=$A$4)*(GJ[Sort Code]=(TRIM(E$5)))*(GJ[Account Code]=(TRIM($B122))),GJ[Debit]))))-((SUM(IF((CkDJ[Date]=$A$4)*(CkDJ[Sort Code]=(TRIM(E$5)))*(CkDJ[Account Code]=(TRIM($B122))),CkDJ[Credit])))+(SUM(IF((CsDJ[Date]=$A$4)*(CsDJ[Sort Code]=(TRIM(E$5)))*(CsDJ[Account Code]=(TRIM($B122))),CsDJ[Credit])))+(SUM(IF((CRDJ[Date]=$A$4)*(CRDJ[Sort Code]=(TRIM(E$5)))*(CRDJ[Account Code]=(TRIM($B122))),CRDJ[Credit])))+(SUM(IF((GJ[Date]=$A$4)*(GJ[Sort Code]=(TRIM(E$5)))*(GJ[Account Code]=(TRIM($B122))),GJ[Credit]))))</f>
        <v>0</v>
      </c>
      <c r="E122" s="467">
        <f t="shared" si="4"/>
        <v>0</v>
      </c>
    </row>
    <row r="123" spans="1:5">
      <c r="A123" s="476" t="s">
        <v>316</v>
      </c>
      <c r="B123" s="339" t="s">
        <v>272</v>
      </c>
      <c r="C123" s="466">
        <f t="array" ref="C123">((SUM(IF((CkDJ[Sort Code]=(TRIM(E$5)))*(CkDJ[Account Code]=(TRIM($B123)))*(CkDJ[Date]&lt;=$C$8),CkDJ[Debit])))+(SUM(IF((CsDJ[Sort Code]=(TRIM(E$5)))*(CsDJ[Account Code]=(TRIM($B123)))*(CsDJ[Date]&lt;=$C$8),CsDJ[Debit])))+(SUM(IF((CRDJ[Sort Code]=(TRIM(E$5)))*(CRDJ[Account Code]=(TRIM($B123)))*(CRDJ[Date]&lt;=$C$8),CRDJ[Debit])))+(SUM(IF((GJ[Sort Code]=(TRIM(E$5)))*(GJ[Account Code]=(TRIM($B123)))*(GJ[Date]&lt;=$C$8),GJ[Debit]))))-((SUM(IF((CkDJ[Sort Code]=(TRIM(E$5)))*(CkDJ[Account Code]=(TRIM($B123)))*(CkDJ[Date]&lt;=$C$8),CkDJ[Credit])))+(SUM(IF((CsDJ[Sort Code]=(TRIM(E$5)))*(CsDJ[Account Code]=(TRIM($B123)))*(CsDJ[Date]&lt;=$C$8),CsDJ[Credit])))+(SUM(IF((CRDJ[Sort Code]=(TRIM(E$5)))*(CRDJ[Account Code]=(TRIM($B123)))*(CRDJ[Date]&lt;=$C$8),CRDJ[Credit])))+(SUM(IF((GJ[Sort Code]=(TRIM(E$5)))*(GJ[Account Code]=(TRIM($B123)))*(GJ[Date]&lt;=$C$8),GJ[Credit]))))</f>
        <v>0</v>
      </c>
      <c r="D123" s="466">
        <f t="array" ref="D123">((SUM(IF((CkDJ[Date]=$A$4)*(CkDJ[Sort Code]=(TRIM(E$5)))*(CkDJ[Account Code]=(TRIM($B123))),CkDJ[Debit])))+(SUM(IF((CsDJ[Date]=$A$4)*(CsDJ[Sort Code]=(TRIM(E$5)))*(CsDJ[Account Code]=(TRIM($B123))),CsDJ[Debit])))+(SUM(IF((CRDJ[Date]=$A$4)*(CRDJ[Sort Code]=(TRIM(E$5)))*(CRDJ[Account Code]=(TRIM($B123))),CRDJ[Debit])))+(SUM(IF((GJ[Date]=$A$4)*(GJ[Sort Code]=(TRIM(E$5)))*(GJ[Account Code]=(TRIM($B123))),GJ[Debit]))))-((SUM(IF((CkDJ[Date]=$A$4)*(CkDJ[Sort Code]=(TRIM(E$5)))*(CkDJ[Account Code]=(TRIM($B123))),CkDJ[Credit])))+(SUM(IF((CsDJ[Date]=$A$4)*(CsDJ[Sort Code]=(TRIM(E$5)))*(CsDJ[Account Code]=(TRIM($B123))),CsDJ[Credit])))+(SUM(IF((CRDJ[Date]=$A$4)*(CRDJ[Sort Code]=(TRIM(E$5)))*(CRDJ[Account Code]=(TRIM($B123))),CRDJ[Credit])))+(SUM(IF((GJ[Date]=$A$4)*(GJ[Sort Code]=(TRIM(E$5)))*(GJ[Account Code]=(TRIM($B123))),GJ[Credit]))))</f>
        <v>0</v>
      </c>
      <c r="E123" s="467">
        <f t="shared" si="4"/>
        <v>0</v>
      </c>
    </row>
    <row r="124" spans="1:5">
      <c r="A124" s="476" t="s">
        <v>317</v>
      </c>
      <c r="B124" s="339" t="s">
        <v>273</v>
      </c>
      <c r="C124" s="466">
        <f t="array" ref="C124">((SUM(IF((CkDJ[Sort Code]=(TRIM(E$5)))*(CkDJ[Account Code]=(TRIM($B124)))*(CkDJ[Date]&lt;=$C$8),CkDJ[Debit])))+(SUM(IF((CsDJ[Sort Code]=(TRIM(E$5)))*(CsDJ[Account Code]=(TRIM($B124)))*(CsDJ[Date]&lt;=$C$8),CsDJ[Debit])))+(SUM(IF((CRDJ[Sort Code]=(TRIM(E$5)))*(CRDJ[Account Code]=(TRIM($B124)))*(CRDJ[Date]&lt;=$C$8),CRDJ[Debit])))+(SUM(IF((GJ[Sort Code]=(TRIM(E$5)))*(GJ[Account Code]=(TRIM($B124)))*(GJ[Date]&lt;=$C$8),GJ[Debit]))))-((SUM(IF((CkDJ[Sort Code]=(TRIM(E$5)))*(CkDJ[Account Code]=(TRIM($B124)))*(CkDJ[Date]&lt;=$C$8),CkDJ[Credit])))+(SUM(IF((CsDJ[Sort Code]=(TRIM(E$5)))*(CsDJ[Account Code]=(TRIM($B124)))*(CsDJ[Date]&lt;=$C$8),CsDJ[Credit])))+(SUM(IF((CRDJ[Sort Code]=(TRIM(E$5)))*(CRDJ[Account Code]=(TRIM($B124)))*(CRDJ[Date]&lt;=$C$8),CRDJ[Credit])))+(SUM(IF((GJ[Sort Code]=(TRIM(E$5)))*(GJ[Account Code]=(TRIM($B124)))*(GJ[Date]&lt;=$C$8),GJ[Credit]))))</f>
        <v>0</v>
      </c>
      <c r="D124" s="466">
        <f t="array" ref="D124">((SUM(IF((CkDJ[Date]=$A$4)*(CkDJ[Sort Code]=(TRIM(E$5)))*(CkDJ[Account Code]=(TRIM($B124))),CkDJ[Debit])))+(SUM(IF((CsDJ[Date]=$A$4)*(CsDJ[Sort Code]=(TRIM(E$5)))*(CsDJ[Account Code]=(TRIM($B124))),CsDJ[Debit])))+(SUM(IF((CRDJ[Date]=$A$4)*(CRDJ[Sort Code]=(TRIM(E$5)))*(CRDJ[Account Code]=(TRIM($B124))),CRDJ[Debit])))+(SUM(IF((GJ[Date]=$A$4)*(GJ[Sort Code]=(TRIM(E$5)))*(GJ[Account Code]=(TRIM($B124))),GJ[Debit]))))-((SUM(IF((CkDJ[Date]=$A$4)*(CkDJ[Sort Code]=(TRIM(E$5)))*(CkDJ[Account Code]=(TRIM($B124))),CkDJ[Credit])))+(SUM(IF((CsDJ[Date]=$A$4)*(CsDJ[Sort Code]=(TRIM(E$5)))*(CsDJ[Account Code]=(TRIM($B124))),CsDJ[Credit])))+(SUM(IF((CRDJ[Date]=$A$4)*(CRDJ[Sort Code]=(TRIM(E$5)))*(CRDJ[Account Code]=(TRIM($B124))),CRDJ[Credit])))+(SUM(IF((GJ[Date]=$A$4)*(GJ[Sort Code]=(TRIM(E$5)))*(GJ[Account Code]=(TRIM($B124))),GJ[Credit]))))</f>
        <v>0</v>
      </c>
      <c r="E124" s="467">
        <f t="shared" si="4"/>
        <v>0</v>
      </c>
    </row>
    <row r="125" spans="1:5">
      <c r="A125" s="476" t="s">
        <v>318</v>
      </c>
      <c r="B125" s="339" t="s">
        <v>274</v>
      </c>
      <c r="C125" s="466">
        <f t="array" ref="C125">((SUM(IF((CkDJ[Sort Code]=(TRIM(E$5)))*(CkDJ[Account Code]=(TRIM($B125)))*(CkDJ[Date]&lt;=$C$8),CkDJ[Debit])))+(SUM(IF((CsDJ[Sort Code]=(TRIM(E$5)))*(CsDJ[Account Code]=(TRIM($B125)))*(CsDJ[Date]&lt;=$C$8),CsDJ[Debit])))+(SUM(IF((CRDJ[Sort Code]=(TRIM(E$5)))*(CRDJ[Account Code]=(TRIM($B125)))*(CRDJ[Date]&lt;=$C$8),CRDJ[Debit])))+(SUM(IF((GJ[Sort Code]=(TRIM(E$5)))*(GJ[Account Code]=(TRIM($B125)))*(GJ[Date]&lt;=$C$8),GJ[Debit]))))-((SUM(IF((CkDJ[Sort Code]=(TRIM(E$5)))*(CkDJ[Account Code]=(TRIM($B125)))*(CkDJ[Date]&lt;=$C$8),CkDJ[Credit])))+(SUM(IF((CsDJ[Sort Code]=(TRIM(E$5)))*(CsDJ[Account Code]=(TRIM($B125)))*(CsDJ[Date]&lt;=$C$8),CsDJ[Credit])))+(SUM(IF((CRDJ[Sort Code]=(TRIM(E$5)))*(CRDJ[Account Code]=(TRIM($B125)))*(CRDJ[Date]&lt;=$C$8),CRDJ[Credit])))+(SUM(IF((GJ[Sort Code]=(TRIM(E$5)))*(GJ[Account Code]=(TRIM($B125)))*(GJ[Date]&lt;=$C$8),GJ[Credit]))))</f>
        <v>0</v>
      </c>
      <c r="D125" s="466">
        <f t="array" ref="D125">((SUM(IF((CkDJ[Date]=$A$4)*(CkDJ[Sort Code]=(TRIM(E$5)))*(CkDJ[Account Code]=(TRIM($B125))),CkDJ[Debit])))+(SUM(IF((CsDJ[Date]=$A$4)*(CsDJ[Sort Code]=(TRIM(E$5)))*(CsDJ[Account Code]=(TRIM($B125))),CsDJ[Debit])))+(SUM(IF((CRDJ[Date]=$A$4)*(CRDJ[Sort Code]=(TRIM(E$5)))*(CRDJ[Account Code]=(TRIM($B125))),CRDJ[Debit])))+(SUM(IF((GJ[Date]=$A$4)*(GJ[Sort Code]=(TRIM(E$5)))*(GJ[Account Code]=(TRIM($B125))),GJ[Debit]))))-((SUM(IF((CkDJ[Date]=$A$4)*(CkDJ[Sort Code]=(TRIM(E$5)))*(CkDJ[Account Code]=(TRIM($B125))),CkDJ[Credit])))+(SUM(IF((CsDJ[Date]=$A$4)*(CsDJ[Sort Code]=(TRIM(E$5)))*(CsDJ[Account Code]=(TRIM($B125))),CsDJ[Credit])))+(SUM(IF((CRDJ[Date]=$A$4)*(CRDJ[Sort Code]=(TRIM(E$5)))*(CRDJ[Account Code]=(TRIM($B125))),CRDJ[Credit])))+(SUM(IF((GJ[Date]=$A$4)*(GJ[Sort Code]=(TRIM(E$5)))*(GJ[Account Code]=(TRIM($B125))),GJ[Credit]))))</f>
        <v>0</v>
      </c>
      <c r="E125" s="467">
        <f t="shared" si="4"/>
        <v>0</v>
      </c>
    </row>
    <row r="126" spans="1:5">
      <c r="A126" s="476" t="s">
        <v>796</v>
      </c>
      <c r="B126" s="339" t="s">
        <v>331</v>
      </c>
      <c r="C126" s="466">
        <f t="array" ref="C126">((SUM(IF((CkDJ[Sort Code]=(TRIM(E$5)))*(CkDJ[Account Code]=(TRIM($B126)))*(CkDJ[Date]&lt;=$C$8),CkDJ[Debit])))+(SUM(IF((CsDJ[Sort Code]=(TRIM(E$5)))*(CsDJ[Account Code]=(TRIM($B126)))*(CsDJ[Date]&lt;=$C$8),CsDJ[Debit])))+(SUM(IF((CRDJ[Sort Code]=(TRIM(E$5)))*(CRDJ[Account Code]=(TRIM($B126)))*(CRDJ[Date]&lt;=$C$8),CRDJ[Debit])))+(SUM(IF((GJ[Sort Code]=(TRIM(E$5)))*(GJ[Account Code]=(TRIM($B126)))*(GJ[Date]&lt;=$C$8),GJ[Debit]))))-((SUM(IF((CkDJ[Sort Code]=(TRIM(E$5)))*(CkDJ[Account Code]=(TRIM($B126)))*(CkDJ[Date]&lt;=$C$8),CkDJ[Credit])))+(SUM(IF((CsDJ[Sort Code]=(TRIM(E$5)))*(CsDJ[Account Code]=(TRIM($B126)))*(CsDJ[Date]&lt;=$C$8),CsDJ[Credit])))+(SUM(IF((CRDJ[Sort Code]=(TRIM(E$5)))*(CRDJ[Account Code]=(TRIM($B126)))*(CRDJ[Date]&lt;=$C$8),CRDJ[Credit])))+(SUM(IF((GJ[Sort Code]=(TRIM(E$5)))*(GJ[Account Code]=(TRIM($B126)))*(GJ[Date]&lt;=$C$8),GJ[Credit]))))</f>
        <v>0</v>
      </c>
      <c r="D126" s="466">
        <f t="array" ref="D126">((SUM(IF((CkDJ[Date]=$A$4)*(CkDJ[Sort Code]=(TRIM(E$5)))*(CkDJ[Account Code]=(TRIM($B126))),CkDJ[Debit])))+(SUM(IF((CsDJ[Date]=$A$4)*(CsDJ[Sort Code]=(TRIM(E$5)))*(CsDJ[Account Code]=(TRIM($B126))),CsDJ[Debit])))+(SUM(IF((CRDJ[Date]=$A$4)*(CRDJ[Sort Code]=(TRIM(E$5)))*(CRDJ[Account Code]=(TRIM($B126))),CRDJ[Debit])))+(SUM(IF((GJ[Date]=$A$4)*(GJ[Sort Code]=(TRIM(E$5)))*(GJ[Account Code]=(TRIM($B126))),GJ[Debit]))))-((SUM(IF((CkDJ[Date]=$A$4)*(CkDJ[Sort Code]=(TRIM(E$5)))*(CkDJ[Account Code]=(TRIM($B126))),CkDJ[Credit])))+(SUM(IF((CsDJ[Date]=$A$4)*(CsDJ[Sort Code]=(TRIM(E$5)))*(CsDJ[Account Code]=(TRIM($B126))),CsDJ[Credit])))+(SUM(IF((CRDJ[Date]=$A$4)*(CRDJ[Sort Code]=(TRIM(E$5)))*(CRDJ[Account Code]=(TRIM($B126))),CRDJ[Credit])))+(SUM(IF((GJ[Date]=$A$4)*(GJ[Sort Code]=(TRIM(E$5)))*(GJ[Account Code]=(TRIM($B126))),GJ[Credit]))))</f>
        <v>0</v>
      </c>
      <c r="E126" s="467">
        <f t="shared" si="4"/>
        <v>0</v>
      </c>
    </row>
    <row r="127" spans="1:5">
      <c r="A127" s="476" t="s">
        <v>1028</v>
      </c>
      <c r="B127" s="339" t="s">
        <v>332</v>
      </c>
      <c r="C127" s="466">
        <f t="array" ref="C127">((SUM(IF((CkDJ[Sort Code]=(TRIM(E$5)))*(CkDJ[Account Code]=(TRIM($B127)))*(CkDJ[Date]&lt;=$C$8),CkDJ[Debit])))+(SUM(IF((CsDJ[Sort Code]=(TRIM(E$5)))*(CsDJ[Account Code]=(TRIM($B127)))*(CsDJ[Date]&lt;=$C$8),CsDJ[Debit])))+(SUM(IF((CRDJ[Sort Code]=(TRIM(E$5)))*(CRDJ[Account Code]=(TRIM($B127)))*(CRDJ[Date]&lt;=$C$8),CRDJ[Debit])))+(SUM(IF((GJ[Sort Code]=(TRIM(E$5)))*(GJ[Account Code]=(TRIM($B127)))*(GJ[Date]&lt;=$C$8),GJ[Debit]))))-((SUM(IF((CkDJ[Sort Code]=(TRIM(E$5)))*(CkDJ[Account Code]=(TRIM($B127)))*(CkDJ[Date]&lt;=$C$8),CkDJ[Credit])))+(SUM(IF((CsDJ[Sort Code]=(TRIM(E$5)))*(CsDJ[Account Code]=(TRIM($B127)))*(CsDJ[Date]&lt;=$C$8),CsDJ[Credit])))+(SUM(IF((CRDJ[Sort Code]=(TRIM(E$5)))*(CRDJ[Account Code]=(TRIM($B127)))*(CRDJ[Date]&lt;=$C$8),CRDJ[Credit])))+(SUM(IF((GJ[Sort Code]=(TRIM(E$5)))*(GJ[Account Code]=(TRIM($B127)))*(GJ[Date]&lt;=$C$8),GJ[Credit]))))</f>
        <v>0</v>
      </c>
      <c r="D127" s="466">
        <f t="array" ref="D127">((SUM(IF((CkDJ[Date]=$A$4)*(CkDJ[Sort Code]=(TRIM(E$5)))*(CkDJ[Account Code]=(TRIM($B127))),CkDJ[Debit])))+(SUM(IF((CsDJ[Date]=$A$4)*(CsDJ[Sort Code]=(TRIM(E$5)))*(CsDJ[Account Code]=(TRIM($B127))),CsDJ[Debit])))+(SUM(IF((CRDJ[Date]=$A$4)*(CRDJ[Sort Code]=(TRIM(E$5)))*(CRDJ[Account Code]=(TRIM($B127))),CRDJ[Debit])))+(SUM(IF((GJ[Date]=$A$4)*(GJ[Sort Code]=(TRIM(E$5)))*(GJ[Account Code]=(TRIM($B127))),GJ[Debit]))))-((SUM(IF((CkDJ[Date]=$A$4)*(CkDJ[Sort Code]=(TRIM(E$5)))*(CkDJ[Account Code]=(TRIM($B127))),CkDJ[Credit])))+(SUM(IF((CsDJ[Date]=$A$4)*(CsDJ[Sort Code]=(TRIM(E$5)))*(CsDJ[Account Code]=(TRIM($B127))),CsDJ[Credit])))+(SUM(IF((CRDJ[Date]=$A$4)*(CRDJ[Sort Code]=(TRIM(E$5)))*(CRDJ[Account Code]=(TRIM($B127))),CRDJ[Credit])))+(SUM(IF((GJ[Date]=$A$4)*(GJ[Sort Code]=(TRIM(E$5)))*(GJ[Account Code]=(TRIM($B127))),GJ[Credit]))))</f>
        <v>0</v>
      </c>
      <c r="E127" s="467">
        <f t="shared" si="4"/>
        <v>0</v>
      </c>
    </row>
    <row r="128" spans="1:5">
      <c r="A128" s="476" t="s">
        <v>343</v>
      </c>
      <c r="B128" s="339" t="s">
        <v>334</v>
      </c>
      <c r="C128" s="466">
        <f t="array" ref="C128">((SUM(IF((CkDJ[Sort Code]=(TRIM(E$5)))*(CkDJ[Account Code]=(TRIM($B128)))*(CkDJ[Date]&lt;=$C$8),CkDJ[Debit])))+(SUM(IF((CsDJ[Sort Code]=(TRIM(E$5)))*(CsDJ[Account Code]=(TRIM($B128)))*(CsDJ[Date]&lt;=$C$8),CsDJ[Debit])))+(SUM(IF((CRDJ[Sort Code]=(TRIM(E$5)))*(CRDJ[Account Code]=(TRIM($B128)))*(CRDJ[Date]&lt;=$C$8),CRDJ[Debit])))+(SUM(IF((GJ[Sort Code]=(TRIM(E$5)))*(GJ[Account Code]=(TRIM($B128)))*(GJ[Date]&lt;=$C$8),GJ[Debit]))))-((SUM(IF((CkDJ[Sort Code]=(TRIM(E$5)))*(CkDJ[Account Code]=(TRIM($B128)))*(CkDJ[Date]&lt;=$C$8),CkDJ[Credit])))+(SUM(IF((CsDJ[Sort Code]=(TRIM(E$5)))*(CsDJ[Account Code]=(TRIM($B128)))*(CsDJ[Date]&lt;=$C$8),CsDJ[Credit])))+(SUM(IF((CRDJ[Sort Code]=(TRIM(E$5)))*(CRDJ[Account Code]=(TRIM($B128)))*(CRDJ[Date]&lt;=$C$8),CRDJ[Credit])))+(SUM(IF((GJ[Sort Code]=(TRIM(E$5)))*(GJ[Account Code]=(TRIM($B128)))*(GJ[Date]&lt;=$C$8),GJ[Credit]))))</f>
        <v>0</v>
      </c>
      <c r="D128" s="466">
        <f t="array" ref="D128">((SUM(IF((CkDJ[Date]=$A$4)*(CkDJ[Sort Code]=(TRIM(E$5)))*(CkDJ[Account Code]=(TRIM($B128))),CkDJ[Debit])))+(SUM(IF((CsDJ[Date]=$A$4)*(CsDJ[Sort Code]=(TRIM(E$5)))*(CsDJ[Account Code]=(TRIM($B128))),CsDJ[Debit])))+(SUM(IF((CRDJ[Date]=$A$4)*(CRDJ[Sort Code]=(TRIM(E$5)))*(CRDJ[Account Code]=(TRIM($B128))),CRDJ[Debit])))+(SUM(IF((GJ[Date]=$A$4)*(GJ[Sort Code]=(TRIM(E$5)))*(GJ[Account Code]=(TRIM($B128))),GJ[Debit]))))-((SUM(IF((CkDJ[Date]=$A$4)*(CkDJ[Sort Code]=(TRIM(E$5)))*(CkDJ[Account Code]=(TRIM($B128))),CkDJ[Credit])))+(SUM(IF((CsDJ[Date]=$A$4)*(CsDJ[Sort Code]=(TRIM(E$5)))*(CsDJ[Account Code]=(TRIM($B128))),CsDJ[Credit])))+(SUM(IF((CRDJ[Date]=$A$4)*(CRDJ[Sort Code]=(TRIM(E$5)))*(CRDJ[Account Code]=(TRIM($B128))),CRDJ[Credit])))+(SUM(IF((GJ[Date]=$A$4)*(GJ[Sort Code]=(TRIM(E$5)))*(GJ[Account Code]=(TRIM($B128))),GJ[Credit]))))</f>
        <v>0</v>
      </c>
      <c r="E128" s="467">
        <f t="shared" si="4"/>
        <v>0</v>
      </c>
    </row>
    <row r="129" spans="1:5">
      <c r="A129" s="476" t="s">
        <v>344</v>
      </c>
      <c r="B129" s="339" t="s">
        <v>335</v>
      </c>
      <c r="C129" s="466">
        <f t="array" ref="C129">((SUM(IF((CkDJ[Sort Code]=(TRIM(E$5)))*(CkDJ[Account Code]=(TRIM($B129)))*(CkDJ[Date]&lt;=$C$8),CkDJ[Debit])))+(SUM(IF((CsDJ[Sort Code]=(TRIM(E$5)))*(CsDJ[Account Code]=(TRIM($B129)))*(CsDJ[Date]&lt;=$C$8),CsDJ[Debit])))+(SUM(IF((CRDJ[Sort Code]=(TRIM(E$5)))*(CRDJ[Account Code]=(TRIM($B129)))*(CRDJ[Date]&lt;=$C$8),CRDJ[Debit])))+(SUM(IF((GJ[Sort Code]=(TRIM(E$5)))*(GJ[Account Code]=(TRIM($B129)))*(GJ[Date]&lt;=$C$8),GJ[Debit]))))-((SUM(IF((CkDJ[Sort Code]=(TRIM(E$5)))*(CkDJ[Account Code]=(TRIM($B129)))*(CkDJ[Date]&lt;=$C$8),CkDJ[Credit])))+(SUM(IF((CsDJ[Sort Code]=(TRIM(E$5)))*(CsDJ[Account Code]=(TRIM($B129)))*(CsDJ[Date]&lt;=$C$8),CsDJ[Credit])))+(SUM(IF((CRDJ[Sort Code]=(TRIM(E$5)))*(CRDJ[Account Code]=(TRIM($B129)))*(CRDJ[Date]&lt;=$C$8),CRDJ[Credit])))+(SUM(IF((GJ[Sort Code]=(TRIM(E$5)))*(GJ[Account Code]=(TRIM($B129)))*(GJ[Date]&lt;=$C$8),GJ[Credit]))))</f>
        <v>0</v>
      </c>
      <c r="D129" s="466">
        <f t="array" ref="D129">((SUM(IF((CkDJ[Date]=$A$4)*(CkDJ[Sort Code]=(TRIM(E$5)))*(CkDJ[Account Code]=(TRIM($B129))),CkDJ[Debit])))+(SUM(IF((CsDJ[Date]=$A$4)*(CsDJ[Sort Code]=(TRIM(E$5)))*(CsDJ[Account Code]=(TRIM($B129))),CsDJ[Debit])))+(SUM(IF((CRDJ[Date]=$A$4)*(CRDJ[Sort Code]=(TRIM(E$5)))*(CRDJ[Account Code]=(TRIM($B129))),CRDJ[Debit])))+(SUM(IF((GJ[Date]=$A$4)*(GJ[Sort Code]=(TRIM(E$5)))*(GJ[Account Code]=(TRIM($B129))),GJ[Debit]))))-((SUM(IF((CkDJ[Date]=$A$4)*(CkDJ[Sort Code]=(TRIM(E$5)))*(CkDJ[Account Code]=(TRIM($B129))),CkDJ[Credit])))+(SUM(IF((CsDJ[Date]=$A$4)*(CsDJ[Sort Code]=(TRIM(E$5)))*(CsDJ[Account Code]=(TRIM($B129))),CsDJ[Credit])))+(SUM(IF((CRDJ[Date]=$A$4)*(CRDJ[Sort Code]=(TRIM(E$5)))*(CRDJ[Account Code]=(TRIM($B129))),CRDJ[Credit])))+(SUM(IF((GJ[Date]=$A$4)*(GJ[Sort Code]=(TRIM(E$5)))*(GJ[Account Code]=(TRIM($B129))),GJ[Credit]))))</f>
        <v>0</v>
      </c>
      <c r="E129" s="467">
        <f t="shared" si="4"/>
        <v>0</v>
      </c>
    </row>
    <row r="130" spans="1:5">
      <c r="A130" s="476" t="s">
        <v>368</v>
      </c>
      <c r="B130" s="339" t="s">
        <v>405</v>
      </c>
      <c r="C130" s="466">
        <f t="array" ref="C130">((SUM(IF((CkDJ[Sort Code]=(TRIM(E$5)))*(CkDJ[Account Code]=(TRIM($B130)))*(CkDJ[Date]&lt;=$C$8),CkDJ[Debit])))+(SUM(IF((CsDJ[Sort Code]=(TRIM(E$5)))*(CsDJ[Account Code]=(TRIM($B130)))*(CsDJ[Date]&lt;=$C$8),CsDJ[Debit])))+(SUM(IF((CRDJ[Sort Code]=(TRIM(E$5)))*(CRDJ[Account Code]=(TRIM($B130)))*(CRDJ[Date]&lt;=$C$8),CRDJ[Debit])))+(SUM(IF((GJ[Sort Code]=(TRIM(E$5)))*(GJ[Account Code]=(TRIM($B130)))*(GJ[Date]&lt;=$C$8),GJ[Debit]))))-((SUM(IF((CkDJ[Sort Code]=(TRIM(E$5)))*(CkDJ[Account Code]=(TRIM($B130)))*(CkDJ[Date]&lt;=$C$8),CkDJ[Credit])))+(SUM(IF((CsDJ[Sort Code]=(TRIM(E$5)))*(CsDJ[Account Code]=(TRIM($B130)))*(CsDJ[Date]&lt;=$C$8),CsDJ[Credit])))+(SUM(IF((CRDJ[Sort Code]=(TRIM(E$5)))*(CRDJ[Account Code]=(TRIM($B130)))*(CRDJ[Date]&lt;=$C$8),CRDJ[Credit])))+(SUM(IF((GJ[Sort Code]=(TRIM(E$5)))*(GJ[Account Code]=(TRIM($B130)))*(GJ[Date]&lt;=$C$8),GJ[Credit]))))</f>
        <v>0</v>
      </c>
      <c r="D130" s="466">
        <f t="array" ref="D130">((SUM(IF((CkDJ[Date]=$A$4)*(CkDJ[Sort Code]=(TRIM(E$5)))*(CkDJ[Account Code]=(TRIM($B130))),CkDJ[Debit])))+(SUM(IF((CsDJ[Date]=$A$4)*(CsDJ[Sort Code]=(TRIM(E$5)))*(CsDJ[Account Code]=(TRIM($B130))),CsDJ[Debit])))+(SUM(IF((CRDJ[Date]=$A$4)*(CRDJ[Sort Code]=(TRIM(E$5)))*(CRDJ[Account Code]=(TRIM($B130))),CRDJ[Debit])))+(SUM(IF((GJ[Date]=$A$4)*(GJ[Sort Code]=(TRIM(E$5)))*(GJ[Account Code]=(TRIM($B130))),GJ[Debit]))))-((SUM(IF((CkDJ[Date]=$A$4)*(CkDJ[Sort Code]=(TRIM(E$5)))*(CkDJ[Account Code]=(TRIM($B130))),CkDJ[Credit])))+(SUM(IF((CsDJ[Date]=$A$4)*(CsDJ[Sort Code]=(TRIM(E$5)))*(CsDJ[Account Code]=(TRIM($B130))),CsDJ[Credit])))+(SUM(IF((CRDJ[Date]=$A$4)*(CRDJ[Sort Code]=(TRIM(E$5)))*(CRDJ[Account Code]=(TRIM($B130))),CRDJ[Credit])))+(SUM(IF((GJ[Date]=$A$4)*(GJ[Sort Code]=(TRIM(E$5)))*(GJ[Account Code]=(TRIM($B130))),GJ[Credit]))))</f>
        <v>0</v>
      </c>
      <c r="E130" s="467">
        <f t="shared" si="4"/>
        <v>0</v>
      </c>
    </row>
    <row r="131" spans="1:5">
      <c r="A131" s="476" t="s">
        <v>345</v>
      </c>
      <c r="B131" s="339" t="s">
        <v>336</v>
      </c>
      <c r="C131" s="466">
        <f t="array" ref="C131">((SUM(IF((CkDJ[Sort Code]=(TRIM(E$5)))*(CkDJ[Account Code]=(TRIM($B131)))*(CkDJ[Date]&lt;=$C$8),CkDJ[Debit])))+(SUM(IF((CsDJ[Sort Code]=(TRIM(E$5)))*(CsDJ[Account Code]=(TRIM($B131)))*(CsDJ[Date]&lt;=$C$8),CsDJ[Debit])))+(SUM(IF((CRDJ[Sort Code]=(TRIM(E$5)))*(CRDJ[Account Code]=(TRIM($B131)))*(CRDJ[Date]&lt;=$C$8),CRDJ[Debit])))+(SUM(IF((GJ[Sort Code]=(TRIM(E$5)))*(GJ[Account Code]=(TRIM($B131)))*(GJ[Date]&lt;=$C$8),GJ[Debit]))))-((SUM(IF((CkDJ[Sort Code]=(TRIM(E$5)))*(CkDJ[Account Code]=(TRIM($B131)))*(CkDJ[Date]&lt;=$C$8),CkDJ[Credit])))+(SUM(IF((CsDJ[Sort Code]=(TRIM(E$5)))*(CsDJ[Account Code]=(TRIM($B131)))*(CsDJ[Date]&lt;=$C$8),CsDJ[Credit])))+(SUM(IF((CRDJ[Sort Code]=(TRIM(E$5)))*(CRDJ[Account Code]=(TRIM($B131)))*(CRDJ[Date]&lt;=$C$8),CRDJ[Credit])))+(SUM(IF((GJ[Sort Code]=(TRIM(E$5)))*(GJ[Account Code]=(TRIM($B131)))*(GJ[Date]&lt;=$C$8),GJ[Credit]))))</f>
        <v>0</v>
      </c>
      <c r="D131" s="466">
        <f t="array" ref="D131">((SUM(IF((CkDJ[Date]=$A$4)*(CkDJ[Sort Code]=(TRIM(E$5)))*(CkDJ[Account Code]=(TRIM($B131))),CkDJ[Debit])))+(SUM(IF((CsDJ[Date]=$A$4)*(CsDJ[Sort Code]=(TRIM(E$5)))*(CsDJ[Account Code]=(TRIM($B131))),CsDJ[Debit])))+(SUM(IF((CRDJ[Date]=$A$4)*(CRDJ[Sort Code]=(TRIM(E$5)))*(CRDJ[Account Code]=(TRIM($B131))),CRDJ[Debit])))+(SUM(IF((GJ[Date]=$A$4)*(GJ[Sort Code]=(TRIM(E$5)))*(GJ[Account Code]=(TRIM($B131))),GJ[Debit]))))-((SUM(IF((CkDJ[Date]=$A$4)*(CkDJ[Sort Code]=(TRIM(E$5)))*(CkDJ[Account Code]=(TRIM($B131))),CkDJ[Credit])))+(SUM(IF((CsDJ[Date]=$A$4)*(CsDJ[Sort Code]=(TRIM(E$5)))*(CsDJ[Account Code]=(TRIM($B131))),CsDJ[Credit])))+(SUM(IF((CRDJ[Date]=$A$4)*(CRDJ[Sort Code]=(TRIM(E$5)))*(CRDJ[Account Code]=(TRIM($B131))),CRDJ[Credit])))+(SUM(IF((GJ[Date]=$A$4)*(GJ[Sort Code]=(TRIM(E$5)))*(GJ[Account Code]=(TRIM($B131))),GJ[Credit]))))</f>
        <v>0</v>
      </c>
      <c r="E131" s="467">
        <f t="shared" si="4"/>
        <v>0</v>
      </c>
    </row>
    <row r="132" spans="1:5">
      <c r="A132" s="476" t="s">
        <v>346</v>
      </c>
      <c r="B132" s="339" t="s">
        <v>337</v>
      </c>
      <c r="C132" s="466">
        <f t="array" ref="C132">((SUM(IF((CkDJ[Sort Code]=(TRIM(E$5)))*(CkDJ[Account Code]=(TRIM($B132)))*(CkDJ[Date]&lt;=$C$8),CkDJ[Debit])))+(SUM(IF((CsDJ[Sort Code]=(TRIM(E$5)))*(CsDJ[Account Code]=(TRIM($B132)))*(CsDJ[Date]&lt;=$C$8),CsDJ[Debit])))+(SUM(IF((CRDJ[Sort Code]=(TRIM(E$5)))*(CRDJ[Account Code]=(TRIM($B132)))*(CRDJ[Date]&lt;=$C$8),CRDJ[Debit])))+(SUM(IF((GJ[Sort Code]=(TRIM(E$5)))*(GJ[Account Code]=(TRIM($B132)))*(GJ[Date]&lt;=$C$8),GJ[Debit]))))-((SUM(IF((CkDJ[Sort Code]=(TRIM(E$5)))*(CkDJ[Account Code]=(TRIM($B132)))*(CkDJ[Date]&lt;=$C$8),CkDJ[Credit])))+(SUM(IF((CsDJ[Sort Code]=(TRIM(E$5)))*(CsDJ[Account Code]=(TRIM($B132)))*(CsDJ[Date]&lt;=$C$8),CsDJ[Credit])))+(SUM(IF((CRDJ[Sort Code]=(TRIM(E$5)))*(CRDJ[Account Code]=(TRIM($B132)))*(CRDJ[Date]&lt;=$C$8),CRDJ[Credit])))+(SUM(IF((GJ[Sort Code]=(TRIM(E$5)))*(GJ[Account Code]=(TRIM($B132)))*(GJ[Date]&lt;=$C$8),GJ[Credit]))))</f>
        <v>0</v>
      </c>
      <c r="D132" s="466">
        <f t="array" ref="D132">((SUM(IF((CkDJ[Date]=$A$4)*(CkDJ[Sort Code]=(TRIM(E$5)))*(CkDJ[Account Code]=(TRIM($B132))),CkDJ[Debit])))+(SUM(IF((CsDJ[Date]=$A$4)*(CsDJ[Sort Code]=(TRIM(E$5)))*(CsDJ[Account Code]=(TRIM($B132))),CsDJ[Debit])))+(SUM(IF((CRDJ[Date]=$A$4)*(CRDJ[Sort Code]=(TRIM(E$5)))*(CRDJ[Account Code]=(TRIM($B132))),CRDJ[Debit])))+(SUM(IF((GJ[Date]=$A$4)*(GJ[Sort Code]=(TRIM(E$5)))*(GJ[Account Code]=(TRIM($B132))),GJ[Debit]))))-((SUM(IF((CkDJ[Date]=$A$4)*(CkDJ[Sort Code]=(TRIM(E$5)))*(CkDJ[Account Code]=(TRIM($B132))),CkDJ[Credit])))+(SUM(IF((CsDJ[Date]=$A$4)*(CsDJ[Sort Code]=(TRIM(E$5)))*(CsDJ[Account Code]=(TRIM($B132))),CsDJ[Credit])))+(SUM(IF((CRDJ[Date]=$A$4)*(CRDJ[Sort Code]=(TRIM(E$5)))*(CRDJ[Account Code]=(TRIM($B132))),CRDJ[Credit])))+(SUM(IF((GJ[Date]=$A$4)*(GJ[Sort Code]=(TRIM(E$5)))*(GJ[Account Code]=(TRIM($B132))),GJ[Credit]))))</f>
        <v>0</v>
      </c>
      <c r="E132" s="467">
        <f t="shared" si="4"/>
        <v>0</v>
      </c>
    </row>
    <row r="133" spans="1:5">
      <c r="A133" s="476" t="s">
        <v>1030</v>
      </c>
      <c r="B133" s="339" t="s">
        <v>986</v>
      </c>
      <c r="C133" s="466">
        <f t="array" ref="C133">((SUM(IF((CkDJ[Sort Code]=(TRIM(E$5)))*(CkDJ[Account Code]=(TRIM($B133)))*(CkDJ[Date]&lt;=$C$8),CkDJ[Debit])))+(SUM(IF((CsDJ[Sort Code]=(TRIM(E$5)))*(CsDJ[Account Code]=(TRIM($B133)))*(CsDJ[Date]&lt;=$C$8),CsDJ[Debit])))+(SUM(IF((CRDJ[Sort Code]=(TRIM(E$5)))*(CRDJ[Account Code]=(TRIM($B133)))*(CRDJ[Date]&lt;=$C$8),CRDJ[Debit])))+(SUM(IF((GJ[Sort Code]=(TRIM(E$5)))*(GJ[Account Code]=(TRIM($B133)))*(GJ[Date]&lt;=$C$8),GJ[Debit]))))-((SUM(IF((CkDJ[Sort Code]=(TRIM(E$5)))*(CkDJ[Account Code]=(TRIM($B133)))*(CkDJ[Date]&lt;=$C$8),CkDJ[Credit])))+(SUM(IF((CsDJ[Sort Code]=(TRIM(E$5)))*(CsDJ[Account Code]=(TRIM($B133)))*(CsDJ[Date]&lt;=$C$8),CsDJ[Credit])))+(SUM(IF((CRDJ[Sort Code]=(TRIM(E$5)))*(CRDJ[Account Code]=(TRIM($B133)))*(CRDJ[Date]&lt;=$C$8),CRDJ[Credit])))+(SUM(IF((GJ[Sort Code]=(TRIM(E$5)))*(GJ[Account Code]=(TRIM($B133)))*(GJ[Date]&lt;=$C$8),GJ[Credit]))))</f>
        <v>0</v>
      </c>
      <c r="D133" s="466">
        <f t="array" ref="D133">((SUM(IF((CkDJ[Date]=$A$4)*(CkDJ[Sort Code]=(TRIM(E$5)))*(CkDJ[Account Code]=(TRIM($B133))),CkDJ[Debit])))+(SUM(IF((CsDJ[Date]=$A$4)*(CsDJ[Sort Code]=(TRIM(E$5)))*(CsDJ[Account Code]=(TRIM($B133))),CsDJ[Debit])))+(SUM(IF((CRDJ[Date]=$A$4)*(CRDJ[Sort Code]=(TRIM(E$5)))*(CRDJ[Account Code]=(TRIM($B133))),CRDJ[Debit])))+(SUM(IF((GJ[Date]=$A$4)*(GJ[Sort Code]=(TRIM(E$5)))*(GJ[Account Code]=(TRIM($B133))),GJ[Debit]))))-((SUM(IF((CkDJ[Date]=$A$4)*(CkDJ[Sort Code]=(TRIM(E$5)))*(CkDJ[Account Code]=(TRIM($B133))),CkDJ[Credit])))+(SUM(IF((CsDJ[Date]=$A$4)*(CsDJ[Sort Code]=(TRIM(E$5)))*(CsDJ[Account Code]=(TRIM($B133))),CsDJ[Credit])))+(SUM(IF((CRDJ[Date]=$A$4)*(CRDJ[Sort Code]=(TRIM(E$5)))*(CRDJ[Account Code]=(TRIM($B133))),CRDJ[Credit])))+(SUM(IF((GJ[Date]=$A$4)*(GJ[Sort Code]=(TRIM(E$5)))*(GJ[Account Code]=(TRIM($B133))),GJ[Credit]))))</f>
        <v>0</v>
      </c>
      <c r="E133" s="467">
        <f t="shared" si="4"/>
        <v>0</v>
      </c>
    </row>
    <row r="134" spans="1:5">
      <c r="A134" s="476" t="s">
        <v>1029</v>
      </c>
      <c r="B134" s="339" t="s">
        <v>987</v>
      </c>
      <c r="C134" s="466">
        <f t="array" ref="C134">((SUM(IF((CkDJ[Sort Code]=(TRIM(E$5)))*(CkDJ[Account Code]=(TRIM($B134)))*(CkDJ[Date]&lt;=$C$8),CkDJ[Debit])))+(SUM(IF((CsDJ[Sort Code]=(TRIM(E$5)))*(CsDJ[Account Code]=(TRIM($B134)))*(CsDJ[Date]&lt;=$C$8),CsDJ[Debit])))+(SUM(IF((CRDJ[Sort Code]=(TRIM(E$5)))*(CRDJ[Account Code]=(TRIM($B134)))*(CRDJ[Date]&lt;=$C$8),CRDJ[Debit])))+(SUM(IF((GJ[Sort Code]=(TRIM(E$5)))*(GJ[Account Code]=(TRIM($B134)))*(GJ[Date]&lt;=$C$8),GJ[Debit]))))-((SUM(IF((CkDJ[Sort Code]=(TRIM(E$5)))*(CkDJ[Account Code]=(TRIM($B134)))*(CkDJ[Date]&lt;=$C$8),CkDJ[Credit])))+(SUM(IF((CsDJ[Sort Code]=(TRIM(E$5)))*(CsDJ[Account Code]=(TRIM($B134)))*(CsDJ[Date]&lt;=$C$8),CsDJ[Credit])))+(SUM(IF((CRDJ[Sort Code]=(TRIM(E$5)))*(CRDJ[Account Code]=(TRIM($B134)))*(CRDJ[Date]&lt;=$C$8),CRDJ[Credit])))+(SUM(IF((GJ[Sort Code]=(TRIM(E$5)))*(GJ[Account Code]=(TRIM($B134)))*(GJ[Date]&lt;=$C$8),GJ[Credit]))))</f>
        <v>0</v>
      </c>
      <c r="D134" s="466">
        <f t="array" ref="D134">((SUM(IF((CkDJ[Date]=$A$4)*(CkDJ[Sort Code]=(TRIM(E$5)))*(CkDJ[Account Code]=(TRIM($B134))),CkDJ[Debit])))+(SUM(IF((CsDJ[Date]=$A$4)*(CsDJ[Sort Code]=(TRIM(E$5)))*(CsDJ[Account Code]=(TRIM($B134))),CsDJ[Debit])))+(SUM(IF((CRDJ[Date]=$A$4)*(CRDJ[Sort Code]=(TRIM(E$5)))*(CRDJ[Account Code]=(TRIM($B134))),CRDJ[Debit])))+(SUM(IF((GJ[Date]=$A$4)*(GJ[Sort Code]=(TRIM(E$5)))*(GJ[Account Code]=(TRIM($B134))),GJ[Debit]))))-((SUM(IF((CkDJ[Date]=$A$4)*(CkDJ[Sort Code]=(TRIM(E$5)))*(CkDJ[Account Code]=(TRIM($B134))),CkDJ[Credit])))+(SUM(IF((CsDJ[Date]=$A$4)*(CsDJ[Sort Code]=(TRIM(E$5)))*(CsDJ[Account Code]=(TRIM($B134))),CsDJ[Credit])))+(SUM(IF((CRDJ[Date]=$A$4)*(CRDJ[Sort Code]=(TRIM(E$5)))*(CRDJ[Account Code]=(TRIM($B134))),CRDJ[Credit])))+(SUM(IF((GJ[Date]=$A$4)*(GJ[Sort Code]=(TRIM(E$5)))*(GJ[Account Code]=(TRIM($B134))),GJ[Credit]))))</f>
        <v>0</v>
      </c>
      <c r="E134" s="467">
        <f t="shared" si="4"/>
        <v>0</v>
      </c>
    </row>
    <row r="135" spans="1:5">
      <c r="A135" s="476" t="s">
        <v>990</v>
      </c>
      <c r="B135" s="339" t="s">
        <v>988</v>
      </c>
      <c r="C135" s="466">
        <f t="array" ref="C135">((SUM(IF((CkDJ[Sort Code]=(TRIM(E$5)))*(CkDJ[Account Code]=(TRIM($B135)))*(CkDJ[Date]&lt;=$C$8),CkDJ[Debit])))+(SUM(IF((CsDJ[Sort Code]=(TRIM(E$5)))*(CsDJ[Account Code]=(TRIM($B135)))*(CsDJ[Date]&lt;=$C$8),CsDJ[Debit])))+(SUM(IF((CRDJ[Sort Code]=(TRIM(E$5)))*(CRDJ[Account Code]=(TRIM($B135)))*(CRDJ[Date]&lt;=$C$8),CRDJ[Debit])))+(SUM(IF((GJ[Sort Code]=(TRIM(E$5)))*(GJ[Account Code]=(TRIM($B135)))*(GJ[Date]&lt;=$C$8),GJ[Debit]))))-((SUM(IF((CkDJ[Sort Code]=(TRIM(E$5)))*(CkDJ[Account Code]=(TRIM($B135)))*(CkDJ[Date]&lt;=$C$8),CkDJ[Credit])))+(SUM(IF((CsDJ[Sort Code]=(TRIM(E$5)))*(CsDJ[Account Code]=(TRIM($B135)))*(CsDJ[Date]&lt;=$C$8),CsDJ[Credit])))+(SUM(IF((CRDJ[Sort Code]=(TRIM(E$5)))*(CRDJ[Account Code]=(TRIM($B135)))*(CRDJ[Date]&lt;=$C$8),CRDJ[Credit])))+(SUM(IF((GJ[Sort Code]=(TRIM(E$5)))*(GJ[Account Code]=(TRIM($B135)))*(GJ[Date]&lt;=$C$8),GJ[Credit]))))</f>
        <v>0</v>
      </c>
      <c r="D135" s="466">
        <f t="array" ref="D135">((SUM(IF((CkDJ[Date]=$A$4)*(CkDJ[Sort Code]=(TRIM(E$5)))*(CkDJ[Account Code]=(TRIM($B135))),CkDJ[Debit])))+(SUM(IF((CsDJ[Date]=$A$4)*(CsDJ[Sort Code]=(TRIM(E$5)))*(CsDJ[Account Code]=(TRIM($B135))),CsDJ[Debit])))+(SUM(IF((CRDJ[Date]=$A$4)*(CRDJ[Sort Code]=(TRIM(E$5)))*(CRDJ[Account Code]=(TRIM($B135))),CRDJ[Debit])))+(SUM(IF((GJ[Date]=$A$4)*(GJ[Sort Code]=(TRIM(E$5)))*(GJ[Account Code]=(TRIM($B135))),GJ[Debit]))))-((SUM(IF((CkDJ[Date]=$A$4)*(CkDJ[Sort Code]=(TRIM(E$5)))*(CkDJ[Account Code]=(TRIM($B135))),CkDJ[Credit])))+(SUM(IF((CsDJ[Date]=$A$4)*(CsDJ[Sort Code]=(TRIM(E$5)))*(CsDJ[Account Code]=(TRIM($B135))),CsDJ[Credit])))+(SUM(IF((CRDJ[Date]=$A$4)*(CRDJ[Sort Code]=(TRIM(E$5)))*(CRDJ[Account Code]=(TRIM($B135))),CRDJ[Credit])))+(SUM(IF((GJ[Date]=$A$4)*(GJ[Sort Code]=(TRIM(E$5)))*(GJ[Account Code]=(TRIM($B135))),GJ[Credit]))))</f>
        <v>0</v>
      </c>
      <c r="E135" s="467">
        <f t="shared" si="4"/>
        <v>0</v>
      </c>
    </row>
    <row r="136" spans="1:5">
      <c r="A136" s="476" t="s">
        <v>349</v>
      </c>
      <c r="B136" s="339" t="s">
        <v>340</v>
      </c>
      <c r="C136" s="466">
        <f t="array" ref="C136">((SUM(IF((CkDJ[Sort Code]=(TRIM(E$5)))*(CkDJ[Account Code]=(TRIM($B136)))*(CkDJ[Date]&lt;=$C$8),CkDJ[Debit])))+(SUM(IF((CsDJ[Sort Code]=(TRIM(E$5)))*(CsDJ[Account Code]=(TRIM($B136)))*(CsDJ[Date]&lt;=$C$8),CsDJ[Debit])))+(SUM(IF((CRDJ[Sort Code]=(TRIM(E$5)))*(CRDJ[Account Code]=(TRIM($B136)))*(CRDJ[Date]&lt;=$C$8),CRDJ[Debit])))+(SUM(IF((GJ[Sort Code]=(TRIM(E$5)))*(GJ[Account Code]=(TRIM($B136)))*(GJ[Date]&lt;=$C$8),GJ[Debit]))))-((SUM(IF((CkDJ[Sort Code]=(TRIM(E$5)))*(CkDJ[Account Code]=(TRIM($B136)))*(CkDJ[Date]&lt;=$C$8),CkDJ[Credit])))+(SUM(IF((CsDJ[Sort Code]=(TRIM(E$5)))*(CsDJ[Account Code]=(TRIM($B136)))*(CsDJ[Date]&lt;=$C$8),CsDJ[Credit])))+(SUM(IF((CRDJ[Sort Code]=(TRIM(E$5)))*(CRDJ[Account Code]=(TRIM($B136)))*(CRDJ[Date]&lt;=$C$8),CRDJ[Credit])))+(SUM(IF((GJ[Sort Code]=(TRIM(E$5)))*(GJ[Account Code]=(TRIM($B136)))*(GJ[Date]&lt;=$C$8),GJ[Credit]))))</f>
        <v>0</v>
      </c>
      <c r="D136" s="466">
        <f t="array" ref="D136">((SUM(IF((CkDJ[Date]=$A$4)*(CkDJ[Sort Code]=(TRIM(E$5)))*(CkDJ[Account Code]=(TRIM($B136))),CkDJ[Debit])))+(SUM(IF((CsDJ[Date]=$A$4)*(CsDJ[Sort Code]=(TRIM(E$5)))*(CsDJ[Account Code]=(TRIM($B136))),CsDJ[Debit])))+(SUM(IF((CRDJ[Date]=$A$4)*(CRDJ[Sort Code]=(TRIM(E$5)))*(CRDJ[Account Code]=(TRIM($B136))),CRDJ[Debit])))+(SUM(IF((GJ[Date]=$A$4)*(GJ[Sort Code]=(TRIM(E$5)))*(GJ[Account Code]=(TRIM($B136))),GJ[Debit]))))-((SUM(IF((CkDJ[Date]=$A$4)*(CkDJ[Sort Code]=(TRIM(E$5)))*(CkDJ[Account Code]=(TRIM($B136))),CkDJ[Credit])))+(SUM(IF((CsDJ[Date]=$A$4)*(CsDJ[Sort Code]=(TRIM(E$5)))*(CsDJ[Account Code]=(TRIM($B136))),CsDJ[Credit])))+(SUM(IF((CRDJ[Date]=$A$4)*(CRDJ[Sort Code]=(TRIM(E$5)))*(CRDJ[Account Code]=(TRIM($B136))),CRDJ[Credit])))+(SUM(IF((GJ[Date]=$A$4)*(GJ[Sort Code]=(TRIM(E$5)))*(GJ[Account Code]=(TRIM($B136))),GJ[Credit]))))</f>
        <v>0</v>
      </c>
      <c r="E136" s="467">
        <f t="shared" si="4"/>
        <v>0</v>
      </c>
    </row>
    <row r="137" spans="1:5">
      <c r="A137" s="476" t="s">
        <v>342</v>
      </c>
      <c r="B137" s="339" t="s">
        <v>333</v>
      </c>
      <c r="C137" s="466">
        <f t="array" ref="C137">((SUM(IF((CkDJ[Sort Code]=(TRIM(E$5)))*(CkDJ[Account Code]=(TRIM($B137)))*(CkDJ[Date]&lt;=$C$8),CkDJ[Debit])))+(SUM(IF((CsDJ[Sort Code]=(TRIM(E$5)))*(CsDJ[Account Code]=(TRIM($B137)))*(CsDJ[Date]&lt;=$C$8),CsDJ[Debit])))+(SUM(IF((CRDJ[Sort Code]=(TRIM(E$5)))*(CRDJ[Account Code]=(TRIM($B137)))*(CRDJ[Date]&lt;=$C$8),CRDJ[Debit])))+(SUM(IF((GJ[Sort Code]=(TRIM(E$5)))*(GJ[Account Code]=(TRIM($B137)))*(GJ[Date]&lt;=$C$8),GJ[Debit]))))-((SUM(IF((CkDJ[Sort Code]=(TRIM(E$5)))*(CkDJ[Account Code]=(TRIM($B137)))*(CkDJ[Date]&lt;=$C$8),CkDJ[Credit])))+(SUM(IF((CsDJ[Sort Code]=(TRIM(E$5)))*(CsDJ[Account Code]=(TRIM($B137)))*(CsDJ[Date]&lt;=$C$8),CsDJ[Credit])))+(SUM(IF((CRDJ[Sort Code]=(TRIM(E$5)))*(CRDJ[Account Code]=(TRIM($B137)))*(CRDJ[Date]&lt;=$C$8),CRDJ[Credit])))+(SUM(IF((GJ[Sort Code]=(TRIM(E$5)))*(GJ[Account Code]=(TRIM($B137)))*(GJ[Date]&lt;=$C$8),GJ[Credit]))))</f>
        <v>0</v>
      </c>
      <c r="D137" s="466">
        <f t="array" ref="D137">((SUM(IF((CkDJ[Date]=$A$4)*(CkDJ[Sort Code]=(TRIM(E$5)))*(CkDJ[Account Code]=(TRIM($B137))),CkDJ[Debit])))+(SUM(IF((CsDJ[Date]=$A$4)*(CsDJ[Sort Code]=(TRIM(E$5)))*(CsDJ[Account Code]=(TRIM($B137))),CsDJ[Debit])))+(SUM(IF((CRDJ[Date]=$A$4)*(CRDJ[Sort Code]=(TRIM(E$5)))*(CRDJ[Account Code]=(TRIM($B137))),CRDJ[Debit])))+(SUM(IF((GJ[Date]=$A$4)*(GJ[Sort Code]=(TRIM(E$5)))*(GJ[Account Code]=(TRIM($B137))),GJ[Debit]))))-((SUM(IF((CkDJ[Date]=$A$4)*(CkDJ[Sort Code]=(TRIM(E$5)))*(CkDJ[Account Code]=(TRIM($B137))),CkDJ[Credit])))+(SUM(IF((CsDJ[Date]=$A$4)*(CsDJ[Sort Code]=(TRIM(E$5)))*(CsDJ[Account Code]=(TRIM($B137))),CsDJ[Credit])))+(SUM(IF((CRDJ[Date]=$A$4)*(CRDJ[Sort Code]=(TRIM(E$5)))*(CRDJ[Account Code]=(TRIM($B137))),CRDJ[Credit])))+(SUM(IF((GJ[Date]=$A$4)*(GJ[Sort Code]=(TRIM(E$5)))*(GJ[Account Code]=(TRIM($B137))),GJ[Credit]))))</f>
        <v>0</v>
      </c>
      <c r="E137" s="467">
        <f>C137+D137</f>
        <v>0</v>
      </c>
    </row>
    <row r="138" spans="1:5">
      <c r="A138" s="468" t="s">
        <v>804</v>
      </c>
      <c r="B138" s="469"/>
      <c r="C138" s="470">
        <f>C47+C74</f>
        <v>0</v>
      </c>
      <c r="D138" s="470">
        <f>D47+D74</f>
        <v>0</v>
      </c>
      <c r="E138" s="470">
        <f>E47+E74</f>
        <v>0</v>
      </c>
    </row>
    <row r="139" spans="1:5">
      <c r="A139" s="468" t="s">
        <v>785</v>
      </c>
      <c r="B139" s="469"/>
      <c r="C139" s="470">
        <f>C45-C138</f>
        <v>0</v>
      </c>
      <c r="D139" s="470">
        <f>D45-D138</f>
        <v>0</v>
      </c>
      <c r="E139" s="470">
        <f>E45-E138</f>
        <v>0</v>
      </c>
    </row>
    <row r="140" spans="1:5">
      <c r="A140" s="468"/>
      <c r="B140" s="469"/>
      <c r="C140" s="470"/>
      <c r="D140" s="470"/>
      <c r="E140" s="470"/>
    </row>
    <row r="141" spans="1:5">
      <c r="A141" s="468" t="s">
        <v>1168</v>
      </c>
      <c r="B141" s="469"/>
      <c r="C141" s="470">
        <v>0</v>
      </c>
      <c r="D141" s="470">
        <v>0</v>
      </c>
      <c r="E141" s="470">
        <v>0</v>
      </c>
    </row>
    <row r="142" spans="1:5">
      <c r="A142" s="468"/>
      <c r="B142" s="469"/>
      <c r="C142" s="470"/>
      <c r="D142" s="470"/>
      <c r="E142" s="470"/>
    </row>
    <row r="143" spans="1:5">
      <c r="A143" s="468" t="s">
        <v>1169</v>
      </c>
      <c r="B143" s="469"/>
      <c r="C143" s="470">
        <f>C139-C141</f>
        <v>0</v>
      </c>
      <c r="D143" s="470">
        <f>D139-D141</f>
        <v>0</v>
      </c>
      <c r="E143" s="470">
        <f>E139-E141</f>
        <v>0</v>
      </c>
    </row>
  </sheetData>
  <mergeCells count="5">
    <mergeCell ref="A6:A8"/>
    <mergeCell ref="B6:B8"/>
    <mergeCell ref="C6:C7"/>
    <mergeCell ref="D6:D8"/>
    <mergeCell ref="E6:E8"/>
  </mergeCells>
  <printOptions horizontalCentered="1"/>
  <pageMargins left="0.25" right="0.25" top="0.75" bottom="1.5" header="0.3" footer="0.3"/>
  <pageSetup paperSize="5" scale="80" orientation="portrait" r:id="rId1"/>
  <rowBreaks count="1" manualBreakCount="1">
    <brk id="72"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E143"/>
  <sheetViews>
    <sheetView workbookViewId="0"/>
  </sheetViews>
  <sheetFormatPr defaultColWidth="9" defaultRowHeight="14.25"/>
  <cols>
    <col min="1" max="1" width="63.625" style="233" bestFit="1" customWidth="1"/>
    <col min="2" max="2" width="10" style="336" hidden="1" customWidth="1"/>
    <col min="3" max="3" width="17.5" style="236" hidden="1" customWidth="1"/>
    <col min="4" max="4" width="17.125" style="237" hidden="1" customWidth="1"/>
    <col min="5" max="5" width="18" style="236" customWidth="1"/>
    <col min="6" max="16384" width="9" style="233"/>
  </cols>
  <sheetData>
    <row r="1" spans="1:5">
      <c r="A1" s="232" t="s">
        <v>355</v>
      </c>
      <c r="B1" s="335"/>
      <c r="C1" s="232"/>
      <c r="D1" s="232"/>
      <c r="E1" s="232"/>
    </row>
    <row r="2" spans="1:5">
      <c r="A2" s="232" t="s">
        <v>400</v>
      </c>
      <c r="B2" s="335"/>
      <c r="C2" s="232"/>
      <c r="D2" s="232"/>
      <c r="E2" s="232"/>
    </row>
    <row r="3" spans="1:5">
      <c r="A3" s="232" t="s">
        <v>1162</v>
      </c>
      <c r="B3" s="335"/>
      <c r="C3" s="232"/>
      <c r="D3" s="232"/>
      <c r="E3" s="232"/>
    </row>
    <row r="4" spans="1:5">
      <c r="A4" s="234">
        <f>Account!G2</f>
        <v>45291</v>
      </c>
      <c r="B4" s="335"/>
      <c r="C4" s="232"/>
      <c r="D4" s="232"/>
      <c r="E4" s="232"/>
    </row>
    <row r="5" spans="1:5">
      <c r="A5" s="235" t="str">
        <f>IF(E5=0,,VLOOKUP((TRIM(E5)),SortCode,2,))</f>
        <v>Ilocos Norte IMO</v>
      </c>
      <c r="E5" s="331" t="s">
        <v>484</v>
      </c>
    </row>
    <row r="6" spans="1:5" ht="14.25" customHeight="1">
      <c r="A6" s="1457" t="s">
        <v>440</v>
      </c>
      <c r="B6" s="1460" t="s">
        <v>370</v>
      </c>
      <c r="C6" s="1461" t="s">
        <v>832</v>
      </c>
      <c r="D6" s="1463">
        <f>A4</f>
        <v>45291</v>
      </c>
      <c r="E6" s="1461" t="s">
        <v>831</v>
      </c>
    </row>
    <row r="7" spans="1:5">
      <c r="A7" s="1458"/>
      <c r="B7" s="1460"/>
      <c r="C7" s="1462"/>
      <c r="D7" s="1464"/>
      <c r="E7" s="1462"/>
    </row>
    <row r="8" spans="1:5">
      <c r="A8" s="1459"/>
      <c r="B8" s="1460"/>
      <c r="C8" s="465">
        <f>'REVGEN (1)'!E7</f>
        <v>43373</v>
      </c>
      <c r="D8" s="1465"/>
      <c r="E8" s="1466"/>
    </row>
    <row r="9" spans="1:5">
      <c r="A9" s="471" t="s">
        <v>1170</v>
      </c>
      <c r="B9" s="339"/>
      <c r="C9" s="485"/>
      <c r="D9" s="485"/>
      <c r="E9" s="485"/>
    </row>
    <row r="10" spans="1:5">
      <c r="A10" s="473" t="s">
        <v>829</v>
      </c>
      <c r="B10" s="339"/>
      <c r="C10" s="474">
        <f>C11+C12</f>
        <v>0</v>
      </c>
      <c r="D10" s="474">
        <f>D11+D12</f>
        <v>0</v>
      </c>
      <c r="E10" s="474">
        <f>E11+E12</f>
        <v>0</v>
      </c>
    </row>
    <row r="11" spans="1:5">
      <c r="A11" s="475" t="s">
        <v>821</v>
      </c>
      <c r="B11" s="339" t="s">
        <v>125</v>
      </c>
      <c r="C11" s="466">
        <f t="array" ref="C11">((SUM(IF((CkDJ[Sort Code]=(TRIM(E$5)))*(CkDJ[Account Code]=(TRIM($B11)))*(CkDJ[Date]&lt;=$C$8),CkDJ[Credit])))+(SUM(IF((CsDJ[Sort Code]=(TRIM(E$5)))*(CsDJ[Account Code]=(TRIM($B11)))*(CsDJ[Date]&lt;=$C$8),CsDJ[Credit])))+(SUM(IF((CRDJ[Sort Code]=(TRIM(E$5)))*(CRDJ[Account Code]=(TRIM($B11)))*(CRDJ[Date]&lt;=$C$8),CRDJ[Credit])))+(SUM(IF((GJ[Sort Code]=(TRIM(E$5)))*(GJ[Account Code]=(TRIM($B11)))*(GJ[Date]&lt;=$C$8),GJ[Credit]))))-((SUM(IF((CkDJ[Sort Code]=(TRIM(E$5)))*(CkDJ[Account Code]=(TRIM($B11)))*(CkDJ[Date]&lt;=$C$8),CkDJ[Debit])))+(SUM(IF((CsDJ[Sort Code]=(TRIM(E$5)))*(CsDJ[Account Code]=(TRIM($B11)))*(CsDJ[Date]&lt;=$C$8),CsDJ[Debit])))+(SUM(IF((CRDJ[Sort Code]=(TRIM(E$5)))*(CRDJ[Account Code]=(TRIM($B11)))*(CRDJ[Date]&lt;=$C$8),CRDJ[Debit])))+(SUM(IF((GJ[Sort Code]=(TRIM(E$5)))*(GJ[Account Code]=(TRIM($B11)))*(GJ[Date]&lt;=$C$8),GJ[Debit]))))</f>
        <v>0</v>
      </c>
      <c r="D11" s="466">
        <f t="array" ref="D11">((SUM(IF((CkDJ[Date]=$A$4)*(CkDJ[Sort Code]=(TRIM(E$5)))*(CkDJ[Account Code]=(TRIM($B11))),CkDJ[Credit])))+(SUM(IF((CsDJ[Date]=$A$4)*(CsDJ[Sort Code]=(TRIM(E$5)))*(CsDJ[Account Code]=(TRIM($B11))),CsDJ[Credit])))+(SUM(IF((CRDJ[Date]=$A$4)*(CRDJ[Sort Code]=(TRIM(E$5)))*(CRDJ[Account Code]=(TRIM($B11))),CRDJ[Credit])))+(SUM(IF((GJ[Date]=$A$4)*(GJ[Sort Code]=(TRIM(E$5)))*(GJ[Account Code]=(TRIM($B11))),GJ[Credit]))))-((SUM(IF((CkDJ[Date]=$A$4)*(CkDJ[Sort Code]=(TRIM(E$5)))*(CkDJ[Account Code]=(TRIM($B11))),CkDJ[Debit])))+(SUM(IF((CsDJ[Date]=$A$4)*(CsDJ[Sort Code]=(TRIM(E$5)))*(CsDJ[Account Code]=(TRIM($B11))),CsDJ[Debit])))+(SUM(IF((CRDJ[Date]=$A$4)*(CRDJ[Sort Code]=(TRIM(E$5)))*(CRDJ[Account Code]=(TRIM($B11))),CRDJ[Debit])))+(SUM(IF((GJ[Date]=$A$4)*(GJ[Sort Code]=(TRIM(E$5)))*(GJ[Account Code]=(TRIM($B11))),GJ[Debit]))))</f>
        <v>0</v>
      </c>
      <c r="E11" s="467">
        <f>C11+D11</f>
        <v>0</v>
      </c>
    </row>
    <row r="12" spans="1:5">
      <c r="A12" s="475" t="s">
        <v>820</v>
      </c>
      <c r="B12" s="339"/>
      <c r="C12" s="466">
        <f>SUM(C13:C15)</f>
        <v>0</v>
      </c>
      <c r="D12" s="466">
        <f>SUM(D13:D15)</f>
        <v>0</v>
      </c>
      <c r="E12" s="467">
        <f>SUM(E13:E15)</f>
        <v>0</v>
      </c>
    </row>
    <row r="13" spans="1:5">
      <c r="A13" s="476" t="s">
        <v>809</v>
      </c>
      <c r="B13" s="339" t="s">
        <v>126</v>
      </c>
      <c r="C13" s="466">
        <f t="array" ref="C13">((SUM(IF((CkDJ[Sort Code]=(TRIM(E$5)))*(CkDJ[Account Code]=(TRIM($B13)))*(CkDJ[Date]&lt;=$C$8),CkDJ[Credit])))+(SUM(IF((CsDJ[Sort Code]=(TRIM(E$5)))*(CsDJ[Account Code]=(TRIM($B13)))*(CsDJ[Date]&lt;=$C$8),CsDJ[Credit])))+(SUM(IF((CRDJ[Sort Code]=(TRIM(E$5)))*(CRDJ[Account Code]=(TRIM($B13)))*(CRDJ[Date]&lt;=$C$8),CRDJ[Credit])))+(SUM(IF((GJ[Sort Code]=(TRIM(E$5)))*(GJ[Account Code]=(TRIM($B13)))*(GJ[Date]&lt;=$C$8),GJ[Credit]))))-((SUM(IF((CkDJ[Sort Code]=(TRIM(E$5)))*(CkDJ[Account Code]=(TRIM($B13)))*(CkDJ[Date]&lt;=$C$8),CkDJ[Debit])))+(SUM(IF((CsDJ[Sort Code]=(TRIM(E$5)))*(CsDJ[Account Code]=(TRIM($B13)))*(CsDJ[Date]&lt;=$C$8),CsDJ[Debit])))+(SUM(IF((CRDJ[Sort Code]=(TRIM(E$5)))*(CRDJ[Account Code]=(TRIM($B13)))*(CRDJ[Date]&lt;=$C$8),CRDJ[Debit])))+(SUM(IF((GJ[Sort Code]=(TRIM(E$5)))*(GJ[Account Code]=(TRIM($B13)))*(GJ[Date]&lt;=$C$8),GJ[Debit]))))</f>
        <v>0</v>
      </c>
      <c r="D13" s="466">
        <f t="array" ref="D13">((SUM(IF((CkDJ[Date]=$A$4)*(CkDJ[Sort Code]=(TRIM(E$5)))*(CkDJ[Account Code]=(TRIM($B13))),CkDJ[Credit])))+(SUM(IF((CsDJ[Date]=$A$4)*(CsDJ[Sort Code]=(TRIM(E$5)))*(CsDJ[Account Code]=(TRIM($B13))),CsDJ[Credit])))+(SUM(IF((CRDJ[Date]=$A$4)*(CRDJ[Sort Code]=(TRIM(E$5)))*(CRDJ[Account Code]=(TRIM($B13))),CRDJ[Credit])))+(SUM(IF((GJ[Date]=$A$4)*(GJ[Sort Code]=(TRIM(E$5)))*(GJ[Account Code]=(TRIM($B13))),GJ[Credit]))))-((SUM(IF((CkDJ[Date]=$A$4)*(CkDJ[Sort Code]=(TRIM(E$5)))*(CkDJ[Account Code]=(TRIM($B13))),CkDJ[Debit])))+(SUM(IF((CsDJ[Date]=$A$4)*(CsDJ[Sort Code]=(TRIM(E$5)))*(CsDJ[Account Code]=(TRIM($B13))),CsDJ[Debit])))+(SUM(IF((CRDJ[Date]=$A$4)*(CRDJ[Sort Code]=(TRIM(E$5)))*(CRDJ[Account Code]=(TRIM($B13))),CRDJ[Debit])))+(SUM(IF((GJ[Date]=$A$4)*(GJ[Sort Code]=(TRIM(E$5)))*(GJ[Account Code]=(TRIM($B13))),GJ[Debit]))))</f>
        <v>0</v>
      </c>
      <c r="E13" s="467">
        <f>C13+D13</f>
        <v>0</v>
      </c>
    </row>
    <row r="14" spans="1:5">
      <c r="A14" s="476" t="s">
        <v>828</v>
      </c>
      <c r="B14" s="339" t="s">
        <v>721</v>
      </c>
      <c r="C14" s="466">
        <f t="array" ref="C14">((SUM(IF((CkDJ[Sort Code]=(TRIM(E$5)))*(CkDJ[Account Code]=(TRIM($B14)))*(CkDJ[Date]&lt;=$C$8),CkDJ[Credit])))+(SUM(IF((CsDJ[Sort Code]=(TRIM(E$5)))*(CsDJ[Account Code]=(TRIM($B14)))*(CsDJ[Date]&lt;=$C$8),CsDJ[Credit])))+(SUM(IF((CRDJ[Sort Code]=(TRIM(E$5)))*(CRDJ[Account Code]=(TRIM($B14)))*(CRDJ[Date]&lt;=$C$8),CRDJ[Credit])))+(SUM(IF((GJ[Sort Code]=(TRIM(E$5)))*(GJ[Account Code]=(TRIM($B14)))*(GJ[Date]&lt;=$C$8),GJ[Credit]))))-((SUM(IF((CkDJ[Sort Code]=(TRIM(E$5)))*(CkDJ[Account Code]=(TRIM($B14)))*(CkDJ[Date]&lt;=$C$8),CkDJ[Debit])))+(SUM(IF((CsDJ[Sort Code]=(TRIM(E$5)))*(CsDJ[Account Code]=(TRIM($B14)))*(CsDJ[Date]&lt;=$C$8),CsDJ[Debit])))+(SUM(IF((CRDJ[Sort Code]=(TRIM(E$5)))*(CRDJ[Account Code]=(TRIM($B14)))*(CRDJ[Date]&lt;=$C$8),CRDJ[Debit])))+(SUM(IF((GJ[Sort Code]=(TRIM(E$5)))*(GJ[Account Code]=(TRIM($B14)))*(GJ[Date]&lt;=$C$8),GJ[Debit]))))</f>
        <v>0</v>
      </c>
      <c r="D14" s="466">
        <f t="array" ref="D14">((SUM(IF((CkDJ[Date]=$A$4)*(CkDJ[Sort Code]=(TRIM(E$5)))*(CkDJ[Account Code]=(TRIM($B14))),CkDJ[Credit])))+(SUM(IF((CsDJ[Date]=$A$4)*(CsDJ[Sort Code]=(TRIM(E$5)))*(CsDJ[Account Code]=(TRIM($B14))),CsDJ[Credit])))+(SUM(IF((CRDJ[Date]=$A$4)*(CRDJ[Sort Code]=(TRIM(E$5)))*(CRDJ[Account Code]=(TRIM($B14))),CRDJ[Credit])))+(SUM(IF((GJ[Date]=$A$4)*(GJ[Sort Code]=(TRIM(E$5)))*(GJ[Account Code]=(TRIM($B14))),GJ[Credit]))))-((SUM(IF((CkDJ[Date]=$A$4)*(CkDJ[Sort Code]=(TRIM(E$5)))*(CkDJ[Account Code]=(TRIM($B14))),CkDJ[Debit])))+(SUM(IF((CsDJ[Date]=$A$4)*(CsDJ[Sort Code]=(TRIM(E$5)))*(CsDJ[Account Code]=(TRIM($B14))),CsDJ[Debit])))+(SUM(IF((CRDJ[Date]=$A$4)*(CRDJ[Sort Code]=(TRIM(E$5)))*(CRDJ[Account Code]=(TRIM($B14))),CRDJ[Debit])))+(SUM(IF((GJ[Date]=$A$4)*(GJ[Sort Code]=(TRIM(E$5)))*(GJ[Account Code]=(TRIM($B14))),GJ[Debit]))))</f>
        <v>0</v>
      </c>
      <c r="E14" s="467">
        <f>C14+D14</f>
        <v>0</v>
      </c>
    </row>
    <row r="15" spans="1:5">
      <c r="A15" s="476" t="s">
        <v>827</v>
      </c>
      <c r="B15" s="339" t="s">
        <v>143</v>
      </c>
      <c r="C15" s="466">
        <f t="array" ref="C15">((SUM(IF((CkDJ[Sort Code]=(TRIM(E$5)))*(CkDJ[Account Code]=(TRIM($B15)))*(CkDJ[Date]&lt;=$C$8),CkDJ[Credit])))+(SUM(IF((CsDJ[Sort Code]=(TRIM(E$5)))*(CsDJ[Account Code]=(TRIM($B15)))*(CsDJ[Date]&lt;=$C$8),CsDJ[Credit])))+(SUM(IF((CRDJ[Sort Code]=(TRIM(E$5)))*(CRDJ[Account Code]=(TRIM($B15)))*(CRDJ[Date]&lt;=$C$8),CRDJ[Credit])))+(SUM(IF((GJ[Sort Code]=(TRIM(E$5)))*(GJ[Account Code]=(TRIM($B15)))*(GJ[Date]&lt;=$C$8),GJ[Credit]))))-((SUM(IF((CkDJ[Sort Code]=(TRIM(E$5)))*(CkDJ[Account Code]=(TRIM($B15)))*(CkDJ[Date]&lt;=$C$8),CkDJ[Debit])))+(SUM(IF((CsDJ[Sort Code]=(TRIM(E$5)))*(CsDJ[Account Code]=(TRIM($B15)))*(CsDJ[Date]&lt;=$C$8),CsDJ[Debit])))+(SUM(IF((CRDJ[Sort Code]=(TRIM(E$5)))*(CRDJ[Account Code]=(TRIM($B15)))*(CRDJ[Date]&lt;=$C$8),CRDJ[Debit])))+(SUM(IF((GJ[Sort Code]=(TRIM(E$5)))*(GJ[Account Code]=(TRIM($B15)))*(GJ[Date]&lt;=$C$8),GJ[Debit]))))</f>
        <v>0</v>
      </c>
      <c r="D15" s="466">
        <f t="array" ref="D15">((SUM(IF((CkDJ[Date]=$A$4)*(CkDJ[Sort Code]=(TRIM(E$5)))*(CkDJ[Account Code]=(TRIM($B15))),CkDJ[Credit])))+(SUM(IF((CsDJ[Date]=$A$4)*(CsDJ[Sort Code]=(TRIM(E$5)))*(CsDJ[Account Code]=(TRIM($B15))),CsDJ[Credit])))+(SUM(IF((CRDJ[Date]=$A$4)*(CRDJ[Sort Code]=(TRIM(E$5)))*(CRDJ[Account Code]=(TRIM($B15))),CRDJ[Credit])))+(SUM(IF((GJ[Date]=$A$4)*(GJ[Sort Code]=(TRIM(E$5)))*(GJ[Account Code]=(TRIM($B15))),GJ[Credit]))))-((SUM(IF((CkDJ[Date]=$A$4)*(CkDJ[Sort Code]=(TRIM(E$5)))*(CkDJ[Account Code]=(TRIM($B15))),CkDJ[Debit])))+(SUM(IF((CsDJ[Date]=$A$4)*(CsDJ[Sort Code]=(TRIM(E$5)))*(CsDJ[Account Code]=(TRIM($B15))),CsDJ[Debit])))+(SUM(IF((CRDJ[Date]=$A$4)*(CRDJ[Sort Code]=(TRIM(E$5)))*(CRDJ[Account Code]=(TRIM($B15))),CRDJ[Debit])))+(SUM(IF((GJ[Date]=$A$4)*(GJ[Sort Code]=(TRIM(E$5)))*(GJ[Account Code]=(TRIM($B15))),GJ[Debit]))))</f>
        <v>0</v>
      </c>
      <c r="E15" s="467">
        <f>C15+D15</f>
        <v>0</v>
      </c>
    </row>
    <row r="16" spans="1:5">
      <c r="A16" s="473" t="s">
        <v>826</v>
      </c>
      <c r="B16" s="339"/>
      <c r="C16" s="477">
        <f>SUM(C17:C19)</f>
        <v>0</v>
      </c>
      <c r="D16" s="477">
        <f>SUM(D17:D19)</f>
        <v>0</v>
      </c>
      <c r="E16" s="477">
        <f>SUM(E17:E19)</f>
        <v>0</v>
      </c>
    </row>
    <row r="17" spans="1:5">
      <c r="A17" s="475" t="s">
        <v>182</v>
      </c>
      <c r="B17" s="339" t="s">
        <v>146</v>
      </c>
      <c r="C17" s="466">
        <f t="array" ref="C17">((SUM(IF((CkDJ[Sort Code]=(TRIM(E$5)))*(CkDJ[Account Code]=(TRIM($B17)))*(CkDJ[Date]&lt;=$C$8),CkDJ[Credit])))+(SUM(IF((CsDJ[Sort Code]=(TRIM(E$5)))*(CsDJ[Account Code]=(TRIM($B17)))*(CsDJ[Date]&lt;=$C$8),CsDJ[Credit])))+(SUM(IF((CRDJ[Sort Code]=(TRIM(E$5)))*(CRDJ[Account Code]=(TRIM($B17)))*(CRDJ[Date]&lt;=$C$8),CRDJ[Credit])))+(SUM(IF((GJ[Sort Code]=(TRIM(E$5)))*(GJ[Account Code]=(TRIM($B17)))*(GJ[Date]&lt;=$C$8),GJ[Credit]))))-((SUM(IF((CkDJ[Sort Code]=(TRIM(E$5)))*(CkDJ[Account Code]=(TRIM($B17)))*(CkDJ[Date]&lt;=$C$8),CkDJ[Debit])))+(SUM(IF((CsDJ[Sort Code]=(TRIM(E$5)))*(CsDJ[Account Code]=(TRIM($B17)))*(CsDJ[Date]&lt;=$C$8),CsDJ[Debit])))+(SUM(IF((CRDJ[Sort Code]=(TRIM(E$5)))*(CRDJ[Account Code]=(TRIM($B17)))*(CRDJ[Date]&lt;=$C$8),CRDJ[Debit])))+(SUM(IF((GJ[Sort Code]=(TRIM(E$5)))*(GJ[Account Code]=(TRIM($B17)))*(GJ[Date]&lt;=$C$8),GJ[Debit]))))</f>
        <v>0</v>
      </c>
      <c r="D17" s="466">
        <f t="array" ref="D17">((SUM(IF((CkDJ[Date]=$A$4)*(CkDJ[Sort Code]=(TRIM(E$5)))*(CkDJ[Account Code]=(TRIM($B17))),CkDJ[Credit])))+(SUM(IF((CsDJ[Date]=$A$4)*(CsDJ[Sort Code]=(TRIM(E$5)))*(CsDJ[Account Code]=(TRIM($B17))),CsDJ[Credit])))+(SUM(IF((CRDJ[Date]=$A$4)*(CRDJ[Sort Code]=(TRIM(E$5)))*(CRDJ[Account Code]=(TRIM($B17))),CRDJ[Credit])))+(SUM(IF((GJ[Date]=$A$4)*(GJ[Sort Code]=(TRIM(E$5)))*(GJ[Account Code]=(TRIM($B17))),GJ[Credit]))))-((SUM(IF((CkDJ[Date]=$A$4)*(CkDJ[Sort Code]=(TRIM(E$5)))*(CkDJ[Account Code]=(TRIM($B17))),CkDJ[Debit])))+(SUM(IF((CsDJ[Date]=$A$4)*(CsDJ[Sort Code]=(TRIM(E$5)))*(CsDJ[Account Code]=(TRIM($B17))),CsDJ[Debit])))+(SUM(IF((CRDJ[Date]=$A$4)*(CRDJ[Sort Code]=(TRIM(E$5)))*(CRDJ[Account Code]=(TRIM($B17))),CRDJ[Debit])))+(SUM(IF((GJ[Date]=$A$4)*(GJ[Sort Code]=(TRIM(E$5)))*(GJ[Account Code]=(TRIM($B17))),GJ[Debit]))))</f>
        <v>0</v>
      </c>
      <c r="E17" s="467">
        <f>C17+D17</f>
        <v>0</v>
      </c>
    </row>
    <row r="18" spans="1:5">
      <c r="A18" s="475" t="s">
        <v>183</v>
      </c>
      <c r="B18" s="339" t="s">
        <v>147</v>
      </c>
      <c r="C18" s="466">
        <f t="array" ref="C18">((SUM(IF((CkDJ[Sort Code]=(TRIM(E$5)))*(CkDJ[Account Code]=(TRIM($B18)))*(CkDJ[Date]&lt;=$C$8),CkDJ[Credit])))+(SUM(IF((CsDJ[Sort Code]=(TRIM(E$5)))*(CsDJ[Account Code]=(TRIM($B18)))*(CsDJ[Date]&lt;=$C$8),CsDJ[Credit])))+(SUM(IF((CRDJ[Sort Code]=(TRIM(E$5)))*(CRDJ[Account Code]=(TRIM($B18)))*(CRDJ[Date]&lt;=$C$8),CRDJ[Credit])))+(SUM(IF((GJ[Sort Code]=(TRIM(E$5)))*(GJ[Account Code]=(TRIM($B18)))*(GJ[Date]&lt;=$C$8),GJ[Credit]))))-((SUM(IF((CkDJ[Sort Code]=(TRIM(E$5)))*(CkDJ[Account Code]=(TRIM($B18)))*(CkDJ[Date]&lt;=$C$8),CkDJ[Debit])))+(SUM(IF((CsDJ[Sort Code]=(TRIM(E$5)))*(CsDJ[Account Code]=(TRIM($B18)))*(CsDJ[Date]&lt;=$C$8),CsDJ[Debit])))+(SUM(IF((CRDJ[Sort Code]=(TRIM(E$5)))*(CRDJ[Account Code]=(TRIM($B18)))*(CRDJ[Date]&lt;=$C$8),CRDJ[Debit])))+(SUM(IF((GJ[Sort Code]=(TRIM(E$5)))*(GJ[Account Code]=(TRIM($B18)))*(GJ[Date]&lt;=$C$8),GJ[Debit]))))</f>
        <v>0</v>
      </c>
      <c r="D18" s="466">
        <f t="array" ref="D18">((SUM(IF((CkDJ[Date]=$A$4)*(CkDJ[Sort Code]=(TRIM(E$5)))*(CkDJ[Account Code]=(TRIM($B18))),CkDJ[Credit])))+(SUM(IF((CsDJ[Date]=$A$4)*(CsDJ[Sort Code]=(TRIM(E$5)))*(CsDJ[Account Code]=(TRIM($B18))),CsDJ[Credit])))+(SUM(IF((CRDJ[Date]=$A$4)*(CRDJ[Sort Code]=(TRIM(E$5)))*(CRDJ[Account Code]=(TRIM($B18))),CRDJ[Credit])))+(SUM(IF((GJ[Date]=$A$4)*(GJ[Sort Code]=(TRIM(E$5)))*(GJ[Account Code]=(TRIM($B18))),GJ[Credit]))))-((SUM(IF((CkDJ[Date]=$A$4)*(CkDJ[Sort Code]=(TRIM(E$5)))*(CkDJ[Account Code]=(TRIM($B18))),CkDJ[Debit])))+(SUM(IF((CsDJ[Date]=$A$4)*(CsDJ[Sort Code]=(TRIM(E$5)))*(CsDJ[Account Code]=(TRIM($B18))),CsDJ[Debit])))+(SUM(IF((CRDJ[Date]=$A$4)*(CRDJ[Sort Code]=(TRIM(E$5)))*(CRDJ[Account Code]=(TRIM($B18))),CRDJ[Debit])))+(SUM(IF((GJ[Date]=$A$4)*(GJ[Sort Code]=(TRIM(E$5)))*(GJ[Account Code]=(TRIM($B18))),GJ[Debit]))))</f>
        <v>0</v>
      </c>
      <c r="E18" s="467">
        <f>C18+D18</f>
        <v>0</v>
      </c>
    </row>
    <row r="19" spans="1:5" hidden="1">
      <c r="A19" s="475" t="s">
        <v>184</v>
      </c>
      <c r="B19" s="339" t="s">
        <v>148</v>
      </c>
      <c r="C19" s="466">
        <f t="array" ref="C19">((SUM(IF((CkDJ[Sort Code]=(TRIM(E$5)))*(CkDJ[Account Code]=(TRIM($B19)))*(CkDJ[Date]&lt;=$C$8),CkDJ[Credit])))+(SUM(IF((CsDJ[Sort Code]=(TRIM(E$5)))*(CsDJ[Account Code]=(TRIM($B19)))*(CsDJ[Date]&lt;=$C$8),CsDJ[Credit])))+(SUM(IF((CRDJ[Sort Code]=(TRIM(E$5)))*(CRDJ[Account Code]=(TRIM($B19)))*(CRDJ[Date]&lt;=$C$8),CRDJ[Credit])))+(SUM(IF((GJ[Sort Code]=(TRIM(E$5)))*(GJ[Account Code]=(TRIM($B19)))*(GJ[Date]&lt;=$C$8),GJ[Credit]))))-((SUM(IF((CkDJ[Sort Code]=(TRIM(E$5)))*(CkDJ[Account Code]=(TRIM($B19)))*(CkDJ[Date]&lt;=$C$8),CkDJ[Debit])))+(SUM(IF((CsDJ[Sort Code]=(TRIM(E$5)))*(CsDJ[Account Code]=(TRIM($B19)))*(CsDJ[Date]&lt;=$C$8),CsDJ[Debit])))+(SUM(IF((CRDJ[Sort Code]=(TRIM(E$5)))*(CRDJ[Account Code]=(TRIM($B19)))*(CRDJ[Date]&lt;=$C$8),CRDJ[Debit])))+(SUM(IF((GJ[Sort Code]=(TRIM(E$5)))*(GJ[Account Code]=(TRIM($B19)))*(GJ[Date]&lt;=$C$8),GJ[Debit]))))</f>
        <v>0</v>
      </c>
      <c r="D19" s="466">
        <f t="array" ref="D19">((SUM(IF((CkDJ[Date]=$A$4)*(CkDJ[Sort Code]=(TRIM(E$5)))*(CkDJ[Account Code]=(TRIM($B19))),CkDJ[Credit])))+(SUM(IF((CsDJ[Date]=$A$4)*(CsDJ[Sort Code]=(TRIM(E$5)))*(CsDJ[Account Code]=(TRIM($B19))),CsDJ[Credit])))+(SUM(IF((CRDJ[Date]=$A$4)*(CRDJ[Sort Code]=(TRIM(E$5)))*(CRDJ[Account Code]=(TRIM($B19))),CRDJ[Credit])))+(SUM(IF((GJ[Date]=$A$4)*(GJ[Sort Code]=(TRIM(E$5)))*(GJ[Account Code]=(TRIM($B19))),GJ[Credit]))))-((SUM(IF((CkDJ[Date]=$A$4)*(CkDJ[Sort Code]=(TRIM(E$5)))*(CkDJ[Account Code]=(TRIM($B19))),CkDJ[Debit])))+(SUM(IF((CsDJ[Date]=$A$4)*(CsDJ[Sort Code]=(TRIM(E$5)))*(CsDJ[Account Code]=(TRIM($B19))),CsDJ[Debit])))+(SUM(IF((CRDJ[Date]=$A$4)*(CRDJ[Sort Code]=(TRIM(E$5)))*(CRDJ[Account Code]=(TRIM($B19))),CRDJ[Debit])))+(SUM(IF((GJ[Date]=$A$4)*(GJ[Sort Code]=(TRIM(E$5)))*(GJ[Account Code]=(TRIM($B19))),GJ[Debit]))))</f>
        <v>0</v>
      </c>
      <c r="E19" s="467">
        <f>C19+D19</f>
        <v>0</v>
      </c>
    </row>
    <row r="20" spans="1:5">
      <c r="A20" s="473" t="s">
        <v>825</v>
      </c>
      <c r="B20" s="339"/>
      <c r="C20" s="477">
        <f>SUM(C21:C22)</f>
        <v>0</v>
      </c>
      <c r="D20" s="477">
        <f>SUM(D21:D22)</f>
        <v>0</v>
      </c>
      <c r="E20" s="477">
        <f>SUM(E21:E22)</f>
        <v>0</v>
      </c>
    </row>
    <row r="21" spans="1:5" hidden="1">
      <c r="A21" s="475" t="s">
        <v>821</v>
      </c>
      <c r="B21" s="339" t="s">
        <v>131</v>
      </c>
      <c r="C21" s="466">
        <f t="array" ref="C21">((SUM(IF((CkDJ[Sort Code]=(TRIM(E$5)))*(CkDJ[Account Code]=(TRIM($B21)))*(CkDJ[Date]&lt;=$C$8),CkDJ[Credit])))+(SUM(IF((CsDJ[Sort Code]=(TRIM(E$5)))*(CsDJ[Account Code]=(TRIM($B21)))*(CsDJ[Date]&lt;=$C$8),CsDJ[Credit])))+(SUM(IF((CRDJ[Sort Code]=(TRIM(E$5)))*(CRDJ[Account Code]=(TRIM($B21)))*(CRDJ[Date]&lt;=$C$8),CRDJ[Credit])))+(SUM(IF((GJ[Sort Code]=(TRIM(E$5)))*(GJ[Account Code]=(TRIM($B21)))*(GJ[Date]&lt;=$C$8),GJ[Credit]))))-((SUM(IF((CkDJ[Sort Code]=(TRIM(E$5)))*(CkDJ[Account Code]=(TRIM($B21)))*(CkDJ[Date]&lt;=$C$8),CkDJ[Debit])))+(SUM(IF((CsDJ[Sort Code]=(TRIM(E$5)))*(CsDJ[Account Code]=(TRIM($B21)))*(CsDJ[Date]&lt;=$C$8),CsDJ[Debit])))+(SUM(IF((CRDJ[Sort Code]=(TRIM(E$5)))*(CRDJ[Account Code]=(TRIM($B21)))*(CRDJ[Date]&lt;=$C$8),CRDJ[Debit])))+(SUM(IF((GJ[Sort Code]=(TRIM(E$5)))*(GJ[Account Code]=(TRIM($B21)))*(GJ[Date]&lt;=$C$8),GJ[Debit]))))</f>
        <v>0</v>
      </c>
      <c r="D21" s="466">
        <f t="array" ref="D21">((SUM(IF((CkDJ[Date]=$A$4)*(CkDJ[Sort Code]=(TRIM(E$5)))*(CkDJ[Account Code]=(TRIM($B21))),CkDJ[Credit])))+(SUM(IF((CsDJ[Date]=$A$4)*(CsDJ[Sort Code]=(TRIM(E$5)))*(CsDJ[Account Code]=(TRIM($B21))),CsDJ[Credit])))+(SUM(IF((CRDJ[Date]=$A$4)*(CRDJ[Sort Code]=(TRIM(E$5)))*(CRDJ[Account Code]=(TRIM($B21))),CRDJ[Credit])))+(SUM(IF((GJ[Date]=$A$4)*(GJ[Sort Code]=(TRIM(E$5)))*(GJ[Account Code]=(TRIM($B21))),GJ[Credit]))))-((SUM(IF((CkDJ[Date]=$A$4)*(CkDJ[Sort Code]=(TRIM(E$5)))*(CkDJ[Account Code]=(TRIM($B21))),CkDJ[Debit])))+(SUM(IF((CsDJ[Date]=$A$4)*(CsDJ[Sort Code]=(TRIM(E$5)))*(CsDJ[Account Code]=(TRIM($B21))),CsDJ[Debit])))+(SUM(IF((CRDJ[Date]=$A$4)*(CRDJ[Sort Code]=(TRIM(E$5)))*(CRDJ[Account Code]=(TRIM($B21))),CRDJ[Debit])))+(SUM(IF((GJ[Date]=$A$4)*(GJ[Sort Code]=(TRIM(E$5)))*(GJ[Account Code]=(TRIM($B21))),GJ[Debit]))))</f>
        <v>0</v>
      </c>
      <c r="E21" s="467">
        <f>C21+D21</f>
        <v>0</v>
      </c>
    </row>
    <row r="22" spans="1:5" hidden="1">
      <c r="A22" s="475" t="s">
        <v>820</v>
      </c>
      <c r="B22" s="339"/>
      <c r="C22" s="466">
        <f>SUM(C23:C24)</f>
        <v>0</v>
      </c>
      <c r="D22" s="466">
        <f>SUM(D23:D24)</f>
        <v>0</v>
      </c>
      <c r="E22" s="466">
        <f>SUM(E23:E24)</f>
        <v>0</v>
      </c>
    </row>
    <row r="23" spans="1:5" hidden="1">
      <c r="A23" s="476" t="s">
        <v>819</v>
      </c>
      <c r="B23" s="339" t="s">
        <v>140</v>
      </c>
      <c r="C23" s="466">
        <f t="array" ref="C23">((SUM(IF((CkDJ[Sort Code]=(TRIM(E$5)))*(CkDJ[Account Code]=(TRIM($B23)))*(CkDJ[Date]&lt;=$C$8),CkDJ[Credit])))+(SUM(IF((CsDJ[Sort Code]=(TRIM(E$5)))*(CsDJ[Account Code]=(TRIM($B23)))*(CsDJ[Date]&lt;=$C$8),CsDJ[Credit])))+(SUM(IF((CRDJ[Sort Code]=(TRIM(E$5)))*(CRDJ[Account Code]=(TRIM($B23)))*(CRDJ[Date]&lt;=$C$8),CRDJ[Credit])))+(SUM(IF((GJ[Sort Code]=(TRIM(E$5)))*(GJ[Account Code]=(TRIM($B23)))*(GJ[Date]&lt;=$C$8),GJ[Credit]))))-((SUM(IF((CkDJ[Sort Code]=(TRIM(E$5)))*(CkDJ[Account Code]=(TRIM($B23)))*(CkDJ[Date]&lt;=$C$8),CkDJ[Debit])))+(SUM(IF((CsDJ[Sort Code]=(TRIM(E$5)))*(CsDJ[Account Code]=(TRIM($B23)))*(CsDJ[Date]&lt;=$C$8),CsDJ[Debit])))+(SUM(IF((CRDJ[Sort Code]=(TRIM(E$5)))*(CRDJ[Account Code]=(TRIM($B23)))*(CRDJ[Date]&lt;=$C$8),CRDJ[Debit])))+(SUM(IF((GJ[Sort Code]=(TRIM(E$5)))*(GJ[Account Code]=(TRIM($B23)))*(GJ[Date]&lt;=$C$8),GJ[Debit]))))</f>
        <v>0</v>
      </c>
      <c r="D23" s="466">
        <f t="array" ref="D23">((SUM(IF((CkDJ[Date]=$A$4)*(CkDJ[Sort Code]=(TRIM(E$5)))*(CkDJ[Account Code]=(TRIM($B23))),CkDJ[Credit])))+(SUM(IF((CsDJ[Date]=$A$4)*(CsDJ[Sort Code]=(TRIM(E$5)))*(CsDJ[Account Code]=(TRIM($B23))),CsDJ[Credit])))+(SUM(IF((CRDJ[Date]=$A$4)*(CRDJ[Sort Code]=(TRIM(E$5)))*(CRDJ[Account Code]=(TRIM($B23))),CRDJ[Credit])))+(SUM(IF((GJ[Date]=$A$4)*(GJ[Sort Code]=(TRIM(E$5)))*(GJ[Account Code]=(TRIM($B23))),GJ[Credit]))))-((SUM(IF((CkDJ[Date]=$A$4)*(CkDJ[Sort Code]=(TRIM(E$5)))*(CkDJ[Account Code]=(TRIM($B23))),CkDJ[Debit])))+(SUM(IF((CsDJ[Date]=$A$4)*(CsDJ[Sort Code]=(TRIM(E$5)))*(CsDJ[Account Code]=(TRIM($B23))),CsDJ[Debit])))+(SUM(IF((CRDJ[Date]=$A$4)*(CRDJ[Sort Code]=(TRIM(E$5)))*(CRDJ[Account Code]=(TRIM($B23))),CRDJ[Debit])))+(SUM(IF((GJ[Date]=$A$4)*(GJ[Sort Code]=(TRIM(E$5)))*(GJ[Account Code]=(TRIM($B23))),GJ[Debit]))))</f>
        <v>0</v>
      </c>
      <c r="E23" s="467">
        <f>C23+D23</f>
        <v>0</v>
      </c>
    </row>
    <row r="24" spans="1:5" hidden="1">
      <c r="A24" s="476" t="s">
        <v>818</v>
      </c>
      <c r="B24" s="339" t="s">
        <v>144</v>
      </c>
      <c r="C24" s="466">
        <f t="array" ref="C24">((SUM(IF((CkDJ[Sort Code]=(TRIM(E$5)))*(CkDJ[Account Code]=(TRIM($B24)))*(CkDJ[Date]&lt;=$C$8),CkDJ[Credit])))+(SUM(IF((CsDJ[Sort Code]=(TRIM(E$5)))*(CsDJ[Account Code]=(TRIM($B24)))*(CsDJ[Date]&lt;=$C$8),CsDJ[Credit])))+(SUM(IF((CRDJ[Sort Code]=(TRIM(E$5)))*(CRDJ[Account Code]=(TRIM($B24)))*(CRDJ[Date]&lt;=$C$8),CRDJ[Credit])))+(SUM(IF((GJ[Sort Code]=(TRIM(E$5)))*(GJ[Account Code]=(TRIM($B24)))*(GJ[Date]&lt;=$C$8),GJ[Credit]))))-((SUM(IF((CkDJ[Sort Code]=(TRIM(E$5)))*(CkDJ[Account Code]=(TRIM($B24)))*(CkDJ[Date]&lt;=$C$8),CkDJ[Debit])))+(SUM(IF((CsDJ[Sort Code]=(TRIM(E$5)))*(CsDJ[Account Code]=(TRIM($B24)))*(CsDJ[Date]&lt;=$C$8),CsDJ[Debit])))+(SUM(IF((CRDJ[Sort Code]=(TRIM(E$5)))*(CRDJ[Account Code]=(TRIM($B24)))*(CRDJ[Date]&lt;=$C$8),CRDJ[Debit])))+(SUM(IF((GJ[Sort Code]=(TRIM(E$5)))*(GJ[Account Code]=(TRIM($B24)))*(GJ[Date]&lt;=$C$8),GJ[Debit]))))</f>
        <v>0</v>
      </c>
      <c r="D24" s="466">
        <f t="array" ref="D24">((SUM(IF((CkDJ[Date]=$A$4)*(CkDJ[Sort Code]=(TRIM(E$5)))*(CkDJ[Account Code]=(TRIM($B24))),CkDJ[Credit])))+(SUM(IF((CsDJ[Date]=$A$4)*(CsDJ[Sort Code]=(TRIM(E$5)))*(CsDJ[Account Code]=(TRIM($B24))),CsDJ[Credit])))+(SUM(IF((CRDJ[Date]=$A$4)*(CRDJ[Sort Code]=(TRIM(E$5)))*(CRDJ[Account Code]=(TRIM($B24))),CRDJ[Credit])))+(SUM(IF((GJ[Date]=$A$4)*(GJ[Sort Code]=(TRIM(E$5)))*(GJ[Account Code]=(TRIM($B24))),GJ[Credit]))))-((SUM(IF((CkDJ[Date]=$A$4)*(CkDJ[Sort Code]=(TRIM(E$5)))*(CkDJ[Account Code]=(TRIM($B24))),CkDJ[Debit])))+(SUM(IF((CsDJ[Date]=$A$4)*(CsDJ[Sort Code]=(TRIM(E$5)))*(CsDJ[Account Code]=(TRIM($B24))),CsDJ[Debit])))+(SUM(IF((CRDJ[Date]=$A$4)*(CRDJ[Sort Code]=(TRIM(E$5)))*(CRDJ[Account Code]=(TRIM($B24))),CRDJ[Debit])))+(SUM(IF((GJ[Date]=$A$4)*(GJ[Sort Code]=(TRIM(E$5)))*(GJ[Account Code]=(TRIM($B24))),GJ[Debit]))))</f>
        <v>0</v>
      </c>
      <c r="E24" s="467">
        <f>C24+D24</f>
        <v>0</v>
      </c>
    </row>
    <row r="25" spans="1:5">
      <c r="A25" s="473" t="s">
        <v>1163</v>
      </c>
      <c r="B25" s="339" t="s">
        <v>352</v>
      </c>
      <c r="C25" s="466">
        <f t="array" ref="C25">((SUM(IF((CkDJ[Sort Code]=(TRIM(E$5)))*(CkDJ[Account Code]=(TRIM($B25)))*(CkDJ[Date]&lt;=$C$8),CkDJ[Credit])))+(SUM(IF((CsDJ[Sort Code]=(TRIM(E$5)))*(CsDJ[Account Code]=(TRIM($B25)))*(CsDJ[Date]&lt;=$C$8),CsDJ[Credit])))+(SUM(IF((CRDJ[Sort Code]=(TRIM(E$5)))*(CRDJ[Account Code]=(TRIM($B25)))*(CRDJ[Date]&lt;=$C$8),CRDJ[Credit])))+(SUM(IF((GJ[Sort Code]=(TRIM(E$5)))*(GJ[Account Code]=(TRIM($B25)))*(GJ[Date]&lt;=$C$8),GJ[Credit]))))-((SUM(IF((CkDJ[Sort Code]=(TRIM(E$5)))*(CkDJ[Account Code]=(TRIM($B25)))*(CkDJ[Date]&lt;=$C$8),CkDJ[Debit])))+(SUM(IF((CsDJ[Sort Code]=(TRIM(E$5)))*(CsDJ[Account Code]=(TRIM($B25)))*(CsDJ[Date]&lt;=$C$8),CsDJ[Debit])))+(SUM(IF((CRDJ[Sort Code]=(TRIM(E$5)))*(CRDJ[Account Code]=(TRIM($B25)))*(CRDJ[Date]&lt;=$C$8),CRDJ[Debit])))+(SUM(IF((GJ[Sort Code]=(TRIM(E$5)))*(GJ[Account Code]=(TRIM($B25)))*(GJ[Date]&lt;=$C$8),GJ[Debit]))))</f>
        <v>0</v>
      </c>
      <c r="D25" s="466">
        <f t="array" ref="D25">((SUM(IF((CkDJ[Date]=$A$4)*(CkDJ[Sort Code]=(TRIM(E$5)))*(CkDJ[Account Code]=(TRIM($B25))),CkDJ[Credit])))+(SUM(IF((CsDJ[Date]=$A$4)*(CsDJ[Sort Code]=(TRIM(E$5)))*(CsDJ[Account Code]=(TRIM($B25))),CsDJ[Credit])))+(SUM(IF((CRDJ[Date]=$A$4)*(CRDJ[Sort Code]=(TRIM(E$5)))*(CRDJ[Account Code]=(TRIM($B25))),CRDJ[Credit])))+(SUM(IF((GJ[Date]=$A$4)*(GJ[Sort Code]=(TRIM(E$5)))*(GJ[Account Code]=(TRIM($B25))),GJ[Credit]))))-((SUM(IF((CkDJ[Date]=$A$4)*(CkDJ[Sort Code]=(TRIM(E$5)))*(CkDJ[Account Code]=(TRIM($B25))),CkDJ[Debit])))+(SUM(IF((CsDJ[Date]=$A$4)*(CsDJ[Sort Code]=(TRIM(E$5)))*(CsDJ[Account Code]=(TRIM($B25))),CsDJ[Debit])))+(SUM(IF((CRDJ[Date]=$A$4)*(CRDJ[Sort Code]=(TRIM(E$5)))*(CRDJ[Account Code]=(TRIM($B25))),CRDJ[Debit])))+(SUM(IF((GJ[Date]=$A$4)*(GJ[Sort Code]=(TRIM(E$5)))*(GJ[Account Code]=(TRIM($B25))),GJ[Debit]))))</f>
        <v>0</v>
      </c>
      <c r="E25" s="467">
        <f>C25+D25</f>
        <v>0</v>
      </c>
    </row>
    <row r="26" spans="1:5">
      <c r="A26" s="473" t="s">
        <v>1164</v>
      </c>
      <c r="B26" s="339"/>
      <c r="C26" s="477">
        <f>SUM(C27:C28)</f>
        <v>0</v>
      </c>
      <c r="D26" s="477">
        <f>SUM(D27:D28)</f>
        <v>0</v>
      </c>
      <c r="E26" s="477">
        <f>SUM(E27:E28)</f>
        <v>0</v>
      </c>
    </row>
    <row r="27" spans="1:5">
      <c r="A27" s="475" t="s">
        <v>821</v>
      </c>
      <c r="B27" s="339" t="s">
        <v>128</v>
      </c>
      <c r="C27" s="466">
        <f t="array" ref="C27">((SUM(IF((CkDJ[Sort Code]=(TRIM(E$5)))*(CkDJ[Account Code]=(TRIM($B27)))*(CkDJ[Date]&lt;=$C$8),CkDJ[Credit])))+(SUM(IF((CsDJ[Sort Code]=(TRIM(E$5)))*(CsDJ[Account Code]=(TRIM($B27)))*(CsDJ[Date]&lt;=$C$8),CsDJ[Credit])))+(SUM(IF((CRDJ[Sort Code]=(TRIM(E$5)))*(CRDJ[Account Code]=(TRIM($B27)))*(CRDJ[Date]&lt;=$C$8),CRDJ[Credit])))+(SUM(IF((GJ[Sort Code]=(TRIM(E$5)))*(GJ[Account Code]=(TRIM($B27)))*(GJ[Date]&lt;=$C$8),GJ[Credit]))))-((SUM(IF((CkDJ[Sort Code]=(TRIM(E$5)))*(CkDJ[Account Code]=(TRIM($B27)))*(CkDJ[Date]&lt;=$C$8),CkDJ[Debit])))+(SUM(IF((CsDJ[Sort Code]=(TRIM(E$5)))*(CsDJ[Account Code]=(TRIM($B27)))*(CsDJ[Date]&lt;=$C$8),CsDJ[Debit])))+(SUM(IF((CRDJ[Sort Code]=(TRIM(E$5)))*(CRDJ[Account Code]=(TRIM($B27)))*(CRDJ[Date]&lt;=$C$8),CRDJ[Debit])))+(SUM(IF((GJ[Sort Code]=(TRIM(E$5)))*(GJ[Account Code]=(TRIM($B27)))*(GJ[Date]&lt;=$C$8),GJ[Debit]))))</f>
        <v>0</v>
      </c>
      <c r="D27" s="466">
        <f t="array" ref="D27">((SUM(IF((CkDJ[Date]=$A$4)*(CkDJ[Sort Code]=(TRIM(E$5)))*(CkDJ[Account Code]=(TRIM($B27))),CkDJ[Credit])))+(SUM(IF((CsDJ[Date]=$A$4)*(CsDJ[Sort Code]=(TRIM(E$5)))*(CsDJ[Account Code]=(TRIM($B27))),CsDJ[Credit])))+(SUM(IF((CRDJ[Date]=$A$4)*(CRDJ[Sort Code]=(TRIM(E$5)))*(CRDJ[Account Code]=(TRIM($B27))),CRDJ[Credit])))+(SUM(IF((GJ[Date]=$A$4)*(GJ[Sort Code]=(TRIM(E$5)))*(GJ[Account Code]=(TRIM($B27))),GJ[Credit]))))-((SUM(IF((CkDJ[Date]=$A$4)*(CkDJ[Sort Code]=(TRIM(E$5)))*(CkDJ[Account Code]=(TRIM($B27))),CkDJ[Debit])))+(SUM(IF((CsDJ[Date]=$A$4)*(CsDJ[Sort Code]=(TRIM(E$5)))*(CsDJ[Account Code]=(TRIM($B27))),CsDJ[Debit])))+(SUM(IF((CRDJ[Date]=$A$4)*(CRDJ[Sort Code]=(TRIM(E$5)))*(CRDJ[Account Code]=(TRIM($B27))),CRDJ[Debit])))+(SUM(IF((GJ[Date]=$A$4)*(GJ[Sort Code]=(TRIM(E$5)))*(GJ[Account Code]=(TRIM($B27))),GJ[Debit]))))</f>
        <v>0</v>
      </c>
      <c r="E27" s="467">
        <f>C27+D27</f>
        <v>0</v>
      </c>
    </row>
    <row r="28" spans="1:5">
      <c r="A28" s="475" t="s">
        <v>820</v>
      </c>
      <c r="B28" s="339"/>
      <c r="C28" s="466">
        <f>SUM(C29:C30)</f>
        <v>0</v>
      </c>
      <c r="D28" s="466">
        <f>SUM(D29:D30)</f>
        <v>0</v>
      </c>
      <c r="E28" s="466">
        <f>SUM(E29:E30)</f>
        <v>0</v>
      </c>
    </row>
    <row r="29" spans="1:5" hidden="1">
      <c r="A29" s="476" t="s">
        <v>819</v>
      </c>
      <c r="B29" s="339" t="s">
        <v>129</v>
      </c>
      <c r="C29" s="466">
        <f t="array" ref="C29">((SUM(IF((CkDJ[Sort Code]=(TRIM(E$5)))*(CkDJ[Account Code]=(TRIM($B29)))*(CkDJ[Date]&lt;=$C$8),CkDJ[Credit])))+(SUM(IF((CsDJ[Sort Code]=(TRIM(E$5)))*(CsDJ[Account Code]=(TRIM($B29)))*(CsDJ[Date]&lt;=$C$8),CsDJ[Credit])))+(SUM(IF((CRDJ[Sort Code]=(TRIM(E$5)))*(CRDJ[Account Code]=(TRIM($B29)))*(CRDJ[Date]&lt;=$C$8),CRDJ[Credit])))+(SUM(IF((GJ[Sort Code]=(TRIM(E$5)))*(GJ[Account Code]=(TRIM($B29)))*(GJ[Date]&lt;=$C$8),GJ[Credit]))))-((SUM(IF((CkDJ[Sort Code]=(TRIM(E$5)))*(CkDJ[Account Code]=(TRIM($B29)))*(CkDJ[Date]&lt;=$C$8),CkDJ[Debit])))+(SUM(IF((CsDJ[Sort Code]=(TRIM(E$5)))*(CsDJ[Account Code]=(TRIM($B29)))*(CsDJ[Date]&lt;=$C$8),CsDJ[Debit])))+(SUM(IF((CRDJ[Sort Code]=(TRIM(E$5)))*(CRDJ[Account Code]=(TRIM($B29)))*(CRDJ[Date]&lt;=$C$8),CRDJ[Debit])))+(SUM(IF((GJ[Sort Code]=(TRIM(E$5)))*(GJ[Account Code]=(TRIM($B29)))*(GJ[Date]&lt;=$C$8),GJ[Debit]))))</f>
        <v>0</v>
      </c>
      <c r="D29" s="466">
        <f t="array" ref="D29">((SUM(IF((CkDJ[Date]=$A$4)*(CkDJ[Sort Code]=(TRIM(E$5)))*(CkDJ[Account Code]=(TRIM($B29))),CkDJ[Credit])))+(SUM(IF((CsDJ[Date]=$A$4)*(CsDJ[Sort Code]=(TRIM(E$5)))*(CsDJ[Account Code]=(TRIM($B29))),CsDJ[Credit])))+(SUM(IF((CRDJ[Date]=$A$4)*(CRDJ[Sort Code]=(TRIM(E$5)))*(CRDJ[Account Code]=(TRIM($B29))),CRDJ[Credit])))+(SUM(IF((GJ[Date]=$A$4)*(GJ[Sort Code]=(TRIM(E$5)))*(GJ[Account Code]=(TRIM($B29))),GJ[Credit]))))-((SUM(IF((CkDJ[Date]=$A$4)*(CkDJ[Sort Code]=(TRIM(E$5)))*(CkDJ[Account Code]=(TRIM($B29))),CkDJ[Debit])))+(SUM(IF((CsDJ[Date]=$A$4)*(CsDJ[Sort Code]=(TRIM(E$5)))*(CsDJ[Account Code]=(TRIM($B29))),CsDJ[Debit])))+(SUM(IF((CRDJ[Date]=$A$4)*(CRDJ[Sort Code]=(TRIM(E$5)))*(CRDJ[Account Code]=(TRIM($B29))),CRDJ[Debit])))+(SUM(IF((GJ[Date]=$A$4)*(GJ[Sort Code]=(TRIM(E$5)))*(GJ[Account Code]=(TRIM($B29))),GJ[Debit]))))</f>
        <v>0</v>
      </c>
      <c r="E29" s="467">
        <f>C29+D29</f>
        <v>0</v>
      </c>
    </row>
    <row r="30" spans="1:5" hidden="1">
      <c r="A30" s="476" t="s">
        <v>818</v>
      </c>
      <c r="B30" s="339" t="s">
        <v>145</v>
      </c>
      <c r="C30" s="466">
        <f t="array" ref="C30">((SUM(IF((CkDJ[Sort Code]=(TRIM(E$5)))*(CkDJ[Account Code]=(TRIM($B30)))*(CkDJ[Date]&lt;=$C$8),CkDJ[Credit])))+(SUM(IF((CsDJ[Sort Code]=(TRIM(E$5)))*(CsDJ[Account Code]=(TRIM($B30)))*(CsDJ[Date]&lt;=$C$8),CsDJ[Credit])))+(SUM(IF((CRDJ[Sort Code]=(TRIM(E$5)))*(CRDJ[Account Code]=(TRIM($B30)))*(CRDJ[Date]&lt;=$C$8),CRDJ[Credit])))+(SUM(IF((GJ[Sort Code]=(TRIM(E$5)))*(GJ[Account Code]=(TRIM($B30)))*(GJ[Date]&lt;=$C$8),GJ[Credit]))))-((SUM(IF((CkDJ[Sort Code]=(TRIM(E$5)))*(CkDJ[Account Code]=(TRIM($B30)))*(CkDJ[Date]&lt;=$C$8),CkDJ[Debit])))+(SUM(IF((CsDJ[Sort Code]=(TRIM(E$5)))*(CsDJ[Account Code]=(TRIM($B30)))*(CsDJ[Date]&lt;=$C$8),CsDJ[Debit])))+(SUM(IF((CRDJ[Sort Code]=(TRIM(E$5)))*(CRDJ[Account Code]=(TRIM($B30)))*(CRDJ[Date]&lt;=$C$8),CRDJ[Debit])))+(SUM(IF((GJ[Sort Code]=(TRIM(E$5)))*(GJ[Account Code]=(TRIM($B30)))*(GJ[Date]&lt;=$C$8),GJ[Debit]))))</f>
        <v>0</v>
      </c>
      <c r="D30" s="466">
        <f t="array" ref="D30">((SUM(IF((CkDJ[Date]=$A$4)*(CkDJ[Sort Code]=(TRIM(E$5)))*(CkDJ[Account Code]=(TRIM($B30))),CkDJ[Credit])))+(SUM(IF((CsDJ[Date]=$A$4)*(CsDJ[Sort Code]=(TRIM(E$5)))*(CsDJ[Account Code]=(TRIM($B30))),CsDJ[Credit])))+(SUM(IF((CRDJ[Date]=$A$4)*(CRDJ[Sort Code]=(TRIM(E$5)))*(CRDJ[Account Code]=(TRIM($B30))),CRDJ[Credit])))+(SUM(IF((GJ[Date]=$A$4)*(GJ[Sort Code]=(TRIM(E$5)))*(GJ[Account Code]=(TRIM($B30))),GJ[Credit]))))-((SUM(IF((CkDJ[Date]=$A$4)*(CkDJ[Sort Code]=(TRIM(E$5)))*(CkDJ[Account Code]=(TRIM($B30))),CkDJ[Debit])))+(SUM(IF((CsDJ[Date]=$A$4)*(CsDJ[Sort Code]=(TRIM(E$5)))*(CsDJ[Account Code]=(TRIM($B30))),CsDJ[Debit])))+(SUM(IF((CRDJ[Date]=$A$4)*(CRDJ[Sort Code]=(TRIM(E$5)))*(CRDJ[Account Code]=(TRIM($B30))),CRDJ[Debit])))+(SUM(IF((GJ[Date]=$A$4)*(GJ[Sort Code]=(TRIM(E$5)))*(GJ[Account Code]=(TRIM($B30))),GJ[Debit]))))</f>
        <v>0</v>
      </c>
      <c r="E30" s="467">
        <f>C30+D30</f>
        <v>0</v>
      </c>
    </row>
    <row r="31" spans="1:5">
      <c r="A31" s="473" t="s">
        <v>1165</v>
      </c>
      <c r="B31" s="339"/>
      <c r="C31" s="477">
        <f>SUM(C32:C34)</f>
        <v>0</v>
      </c>
      <c r="D31" s="477">
        <f>SUM(D32:D34)</f>
        <v>0</v>
      </c>
      <c r="E31" s="477">
        <f>SUM(E32:E34)</f>
        <v>0</v>
      </c>
    </row>
    <row r="32" spans="1:5">
      <c r="A32" s="475" t="s">
        <v>139</v>
      </c>
      <c r="B32" s="339" t="s">
        <v>130</v>
      </c>
      <c r="C32" s="466">
        <f t="array" ref="C32">((SUM(IF((CkDJ[Sort Code]=(TRIM(E$5)))*(CkDJ[Account Code]=(TRIM($B32)))*(CkDJ[Date]&lt;=$C$8),CkDJ[Credit])))+(SUM(IF((CsDJ[Sort Code]=(TRIM(E$5)))*(CsDJ[Account Code]=(TRIM($B32)))*(CsDJ[Date]&lt;=$C$8),CsDJ[Credit])))+(SUM(IF((CRDJ[Sort Code]=(TRIM(E$5)))*(CRDJ[Account Code]=(TRIM($B32)))*(CRDJ[Date]&lt;=$C$8),CRDJ[Credit])))+(SUM(IF((GJ[Sort Code]=(TRIM(E$5)))*(GJ[Account Code]=(TRIM($B32)))*(GJ[Date]&lt;=$C$8),GJ[Credit]))))-((SUM(IF((CkDJ[Sort Code]=(TRIM(E$5)))*(CkDJ[Account Code]=(TRIM($B32)))*(CkDJ[Date]&lt;=$C$8),CkDJ[Debit])))+(SUM(IF((CsDJ[Sort Code]=(TRIM(E$5)))*(CsDJ[Account Code]=(TRIM($B32)))*(CsDJ[Date]&lt;=$C$8),CsDJ[Debit])))+(SUM(IF((CRDJ[Sort Code]=(TRIM(E$5)))*(CRDJ[Account Code]=(TRIM($B32)))*(CRDJ[Date]&lt;=$C$8),CRDJ[Debit])))+(SUM(IF((GJ[Sort Code]=(TRIM(E$5)))*(GJ[Account Code]=(TRIM($B32)))*(GJ[Date]&lt;=$C$8),GJ[Debit]))))</f>
        <v>0</v>
      </c>
      <c r="D32" s="466">
        <f t="array" ref="D32">((SUM(IF((CkDJ[Date]=$A$4)*(CkDJ[Sort Code]=(TRIM(E$5)))*(CkDJ[Account Code]=(TRIM($B32))),CkDJ[Credit])))+(SUM(IF((CsDJ[Date]=$A$4)*(CsDJ[Sort Code]=(TRIM(E$5)))*(CsDJ[Account Code]=(TRIM($B32))),CsDJ[Credit])))+(SUM(IF((CRDJ[Date]=$A$4)*(CRDJ[Sort Code]=(TRIM(E$5)))*(CRDJ[Account Code]=(TRIM($B32))),CRDJ[Credit])))+(SUM(IF((GJ[Date]=$A$4)*(GJ[Sort Code]=(TRIM(E$5)))*(GJ[Account Code]=(TRIM($B32))),GJ[Credit]))))-((SUM(IF((CkDJ[Date]=$A$4)*(CkDJ[Sort Code]=(TRIM(E$5)))*(CkDJ[Account Code]=(TRIM($B32))),CkDJ[Debit])))+(SUM(IF((CsDJ[Date]=$A$4)*(CsDJ[Sort Code]=(TRIM(E$5)))*(CsDJ[Account Code]=(TRIM($B32))),CsDJ[Debit])))+(SUM(IF((CRDJ[Date]=$A$4)*(CRDJ[Sort Code]=(TRIM(E$5)))*(CRDJ[Account Code]=(TRIM($B32))),CRDJ[Debit])))+(SUM(IF((GJ[Date]=$A$4)*(GJ[Sort Code]=(TRIM(E$5)))*(GJ[Account Code]=(TRIM($B32))),GJ[Debit]))))</f>
        <v>0</v>
      </c>
      <c r="E32" s="467">
        <f>C32+D32</f>
        <v>0</v>
      </c>
    </row>
    <row r="33" spans="1:5">
      <c r="A33" s="475" t="s">
        <v>180</v>
      </c>
      <c r="B33" s="339" t="s">
        <v>141</v>
      </c>
      <c r="C33" s="466">
        <f t="array" ref="C33">((SUM(IF((CkDJ[Sort Code]=(TRIM(E$5)))*(CkDJ[Account Code]=(TRIM($B33)))*(CkDJ[Date]&lt;=$C$8),CkDJ[Credit])))+(SUM(IF((CsDJ[Sort Code]=(TRIM(E$5)))*(CsDJ[Account Code]=(TRIM($B33)))*(CsDJ[Date]&lt;=$C$8),CsDJ[Credit])))+(SUM(IF((CRDJ[Sort Code]=(TRIM(E$5)))*(CRDJ[Account Code]=(TRIM($B33)))*(CRDJ[Date]&lt;=$C$8),CRDJ[Credit])))+(SUM(IF((GJ[Sort Code]=(TRIM(E$5)))*(GJ[Account Code]=(TRIM($B33)))*(GJ[Date]&lt;=$C$8),GJ[Credit]))))-((SUM(IF((CkDJ[Sort Code]=(TRIM(E$5)))*(CkDJ[Account Code]=(TRIM($B33)))*(CkDJ[Date]&lt;=$C$8),CkDJ[Debit])))+(SUM(IF((CsDJ[Sort Code]=(TRIM(E$5)))*(CsDJ[Account Code]=(TRIM($B33)))*(CsDJ[Date]&lt;=$C$8),CsDJ[Debit])))+(SUM(IF((CRDJ[Sort Code]=(TRIM(E$5)))*(CRDJ[Account Code]=(TRIM($B33)))*(CRDJ[Date]&lt;=$C$8),CRDJ[Debit])))+(SUM(IF((GJ[Sort Code]=(TRIM(E$5)))*(GJ[Account Code]=(TRIM($B33)))*(GJ[Date]&lt;=$C$8),GJ[Debit]))))</f>
        <v>0</v>
      </c>
      <c r="D33" s="466">
        <f t="array" ref="D33">((SUM(IF((CkDJ[Date]=$A$4)*(CkDJ[Sort Code]=(TRIM(E$5)))*(CkDJ[Account Code]=(TRIM($B33))),CkDJ[Credit])))+(SUM(IF((CsDJ[Date]=$A$4)*(CsDJ[Sort Code]=(TRIM(E$5)))*(CsDJ[Account Code]=(TRIM($B33))),CsDJ[Credit])))+(SUM(IF((CRDJ[Date]=$A$4)*(CRDJ[Sort Code]=(TRIM(E$5)))*(CRDJ[Account Code]=(TRIM($B33))),CRDJ[Credit])))+(SUM(IF((GJ[Date]=$A$4)*(GJ[Sort Code]=(TRIM(E$5)))*(GJ[Account Code]=(TRIM($B33))),GJ[Credit]))))-((SUM(IF((CkDJ[Date]=$A$4)*(CkDJ[Sort Code]=(TRIM(E$5)))*(CkDJ[Account Code]=(TRIM($B33))),CkDJ[Debit])))+(SUM(IF((CsDJ[Date]=$A$4)*(CsDJ[Sort Code]=(TRIM(E$5)))*(CsDJ[Account Code]=(TRIM($B33))),CsDJ[Debit])))+(SUM(IF((CRDJ[Date]=$A$4)*(CRDJ[Sort Code]=(TRIM(E$5)))*(CRDJ[Account Code]=(TRIM($B33))),CRDJ[Debit])))+(SUM(IF((GJ[Date]=$A$4)*(GJ[Sort Code]=(TRIM(E$5)))*(GJ[Account Code]=(TRIM($B33))),GJ[Debit]))))</f>
        <v>0</v>
      </c>
      <c r="E33" s="467">
        <f>C33+D33</f>
        <v>0</v>
      </c>
    </row>
    <row r="34" spans="1:5">
      <c r="A34" s="475" t="s">
        <v>181</v>
      </c>
      <c r="B34" s="339" t="s">
        <v>142</v>
      </c>
      <c r="C34" s="466">
        <f t="array" ref="C34">((SUM(IF((CkDJ[Sort Code]=(TRIM(E$5)))*(CkDJ[Account Code]=(TRIM($B34)))*(CkDJ[Date]&lt;=$C$8),CkDJ[Credit])))+(SUM(IF((CsDJ[Sort Code]=(TRIM(E$5)))*(CsDJ[Account Code]=(TRIM($B34)))*(CsDJ[Date]&lt;=$C$8),CsDJ[Credit])))+(SUM(IF((CRDJ[Sort Code]=(TRIM(E$5)))*(CRDJ[Account Code]=(TRIM($B34)))*(CRDJ[Date]&lt;=$C$8),CRDJ[Credit])))+(SUM(IF((GJ[Sort Code]=(TRIM(E$5)))*(GJ[Account Code]=(TRIM($B34)))*(GJ[Date]&lt;=$C$8),GJ[Credit]))))-((SUM(IF((CkDJ[Sort Code]=(TRIM(E$5)))*(CkDJ[Account Code]=(TRIM($B34)))*(CkDJ[Date]&lt;=$C$8),CkDJ[Debit])))+(SUM(IF((CsDJ[Sort Code]=(TRIM(E$5)))*(CsDJ[Account Code]=(TRIM($B34)))*(CsDJ[Date]&lt;=$C$8),CsDJ[Debit])))+(SUM(IF((CRDJ[Sort Code]=(TRIM(E$5)))*(CRDJ[Account Code]=(TRIM($B34)))*(CRDJ[Date]&lt;=$C$8),CRDJ[Debit])))+(SUM(IF((GJ[Sort Code]=(TRIM(E$5)))*(GJ[Account Code]=(TRIM($B34)))*(GJ[Date]&lt;=$C$8),GJ[Debit]))))</f>
        <v>0</v>
      </c>
      <c r="D34" s="466">
        <f t="array" ref="D34">((SUM(IF((CkDJ[Date]=$A$4)*(CkDJ[Sort Code]=(TRIM(E$5)))*(CkDJ[Account Code]=(TRIM($B34))),CkDJ[Credit])))+(SUM(IF((CsDJ[Date]=$A$4)*(CsDJ[Sort Code]=(TRIM(E$5)))*(CsDJ[Account Code]=(TRIM($B34))),CsDJ[Credit])))+(SUM(IF((CRDJ[Date]=$A$4)*(CRDJ[Sort Code]=(TRIM(E$5)))*(CRDJ[Account Code]=(TRIM($B34))),CRDJ[Credit])))+(SUM(IF((GJ[Date]=$A$4)*(GJ[Sort Code]=(TRIM(E$5)))*(GJ[Account Code]=(TRIM($B34))),GJ[Credit]))))-((SUM(IF((CkDJ[Date]=$A$4)*(CkDJ[Sort Code]=(TRIM(E$5)))*(CkDJ[Account Code]=(TRIM($B34))),CkDJ[Debit])))+(SUM(IF((CsDJ[Date]=$A$4)*(CsDJ[Sort Code]=(TRIM(E$5)))*(CsDJ[Account Code]=(TRIM($B34))),CsDJ[Debit])))+(SUM(IF((CRDJ[Date]=$A$4)*(CRDJ[Sort Code]=(TRIM(E$5)))*(CRDJ[Account Code]=(TRIM($B34))),CRDJ[Debit])))+(SUM(IF((GJ[Date]=$A$4)*(GJ[Sort Code]=(TRIM(E$5)))*(GJ[Account Code]=(TRIM($B34))),GJ[Debit]))))</f>
        <v>0</v>
      </c>
      <c r="E34" s="467">
        <f>C34+D34</f>
        <v>0</v>
      </c>
    </row>
    <row r="35" spans="1:5">
      <c r="A35" s="473" t="s">
        <v>1166</v>
      </c>
      <c r="B35" s="339"/>
      <c r="C35" s="477">
        <f>SUM(C36:C44)</f>
        <v>0</v>
      </c>
      <c r="D35" s="477">
        <f>SUM(D36:D44)</f>
        <v>0</v>
      </c>
      <c r="E35" s="477">
        <f>SUM(E36:E44)</f>
        <v>0</v>
      </c>
    </row>
    <row r="36" spans="1:5">
      <c r="A36" s="475" t="s">
        <v>186</v>
      </c>
      <c r="B36" s="339" t="s">
        <v>150</v>
      </c>
      <c r="C36" s="466">
        <f t="array" ref="C36">((SUM(IF((CkDJ[Sort Code]=(TRIM(E$5)))*(CkDJ[Account Code]=(TRIM($B36)))*(CkDJ[Date]&lt;=$C$8),CkDJ[Credit])))+(SUM(IF((CsDJ[Sort Code]=(TRIM(E$5)))*(CsDJ[Account Code]=(TRIM($B36)))*(CsDJ[Date]&lt;=$C$8),CsDJ[Credit])))+(SUM(IF((CRDJ[Sort Code]=(TRIM(E$5)))*(CRDJ[Account Code]=(TRIM($B36)))*(CRDJ[Date]&lt;=$C$8),CRDJ[Credit])))+(SUM(IF((GJ[Sort Code]=(TRIM(E$5)))*(GJ[Account Code]=(TRIM($B36)))*(GJ[Date]&lt;=$C$8),GJ[Credit]))))-((SUM(IF((CkDJ[Sort Code]=(TRIM(E$5)))*(CkDJ[Account Code]=(TRIM($B36)))*(CkDJ[Date]&lt;=$C$8),CkDJ[Debit])))+(SUM(IF((CsDJ[Sort Code]=(TRIM(E$5)))*(CsDJ[Account Code]=(TRIM($B36)))*(CsDJ[Date]&lt;=$C$8),CsDJ[Debit])))+(SUM(IF((CRDJ[Sort Code]=(TRIM(E$5)))*(CRDJ[Account Code]=(TRIM($B36)))*(CRDJ[Date]&lt;=$C$8),CRDJ[Debit])))+(SUM(IF((GJ[Sort Code]=(TRIM(E$5)))*(GJ[Account Code]=(TRIM($B36)))*(GJ[Date]&lt;=$C$8),GJ[Debit]))))</f>
        <v>0</v>
      </c>
      <c r="D36" s="466">
        <f t="array" ref="D36">((SUM(IF((CkDJ[Date]=$A$4)*(CkDJ[Sort Code]=(TRIM(E$5)))*(CkDJ[Account Code]=(TRIM($B36))),CkDJ[Credit])))+(SUM(IF((CsDJ[Date]=$A$4)*(CsDJ[Sort Code]=(TRIM(E$5)))*(CsDJ[Account Code]=(TRIM($B36))),CsDJ[Credit])))+(SUM(IF((CRDJ[Date]=$A$4)*(CRDJ[Sort Code]=(TRIM(E$5)))*(CRDJ[Account Code]=(TRIM($B36))),CRDJ[Credit])))+(SUM(IF((GJ[Date]=$A$4)*(GJ[Sort Code]=(TRIM(E$5)))*(GJ[Account Code]=(TRIM($B36))),GJ[Credit]))))-((SUM(IF((CkDJ[Date]=$A$4)*(CkDJ[Sort Code]=(TRIM(E$5)))*(CkDJ[Account Code]=(TRIM($B36))),CkDJ[Debit])))+(SUM(IF((CsDJ[Date]=$A$4)*(CsDJ[Sort Code]=(TRIM(E$5)))*(CsDJ[Account Code]=(TRIM($B36))),CsDJ[Debit])))+(SUM(IF((CRDJ[Date]=$A$4)*(CRDJ[Sort Code]=(TRIM(E$5)))*(CRDJ[Account Code]=(TRIM($B36))),CRDJ[Debit])))+(SUM(IF((GJ[Date]=$A$4)*(GJ[Sort Code]=(TRIM(E$5)))*(GJ[Account Code]=(TRIM($B36))),GJ[Debit]))))</f>
        <v>0</v>
      </c>
      <c r="E36" s="467">
        <f t="shared" ref="E36:E44" si="0">C36+D36</f>
        <v>0</v>
      </c>
    </row>
    <row r="37" spans="1:5">
      <c r="A37" s="475" t="s">
        <v>187</v>
      </c>
      <c r="B37" s="339" t="s">
        <v>153</v>
      </c>
      <c r="C37" s="466">
        <f t="array" ref="C37">((SUM(IF((CkDJ[Sort Code]=(TRIM(E$5)))*(CkDJ[Account Code]=(TRIM($B37)))*(CkDJ[Date]&lt;=$C$8),CkDJ[Credit])))+(SUM(IF((CsDJ[Sort Code]=(TRIM(E$5)))*(CsDJ[Account Code]=(TRIM($B37)))*(CsDJ[Date]&lt;=$C$8),CsDJ[Credit])))+(SUM(IF((CRDJ[Sort Code]=(TRIM(E$5)))*(CRDJ[Account Code]=(TRIM($B37)))*(CRDJ[Date]&lt;=$C$8),CRDJ[Credit])))+(SUM(IF((GJ[Sort Code]=(TRIM(E$5)))*(GJ[Account Code]=(TRIM($B37)))*(GJ[Date]&lt;=$C$8),GJ[Credit]))))-((SUM(IF((CkDJ[Sort Code]=(TRIM(E$5)))*(CkDJ[Account Code]=(TRIM($B37)))*(CkDJ[Date]&lt;=$C$8),CkDJ[Debit])))+(SUM(IF((CsDJ[Sort Code]=(TRIM(E$5)))*(CsDJ[Account Code]=(TRIM($B37)))*(CsDJ[Date]&lt;=$C$8),CsDJ[Debit])))+(SUM(IF((CRDJ[Sort Code]=(TRIM(E$5)))*(CRDJ[Account Code]=(TRIM($B37)))*(CRDJ[Date]&lt;=$C$8),CRDJ[Debit])))+(SUM(IF((GJ[Sort Code]=(TRIM(E$5)))*(GJ[Account Code]=(TRIM($B37)))*(GJ[Date]&lt;=$C$8),GJ[Debit]))))</f>
        <v>0</v>
      </c>
      <c r="D37" s="466">
        <f t="array" ref="D37">((SUM(IF((CkDJ[Date]=$A$4)*(CkDJ[Sort Code]=(TRIM(E$5)))*(CkDJ[Account Code]=(TRIM($B37))),CkDJ[Credit])))+(SUM(IF((CsDJ[Date]=$A$4)*(CsDJ[Sort Code]=(TRIM(E$5)))*(CsDJ[Account Code]=(TRIM($B37))),CsDJ[Credit])))+(SUM(IF((CRDJ[Date]=$A$4)*(CRDJ[Sort Code]=(TRIM(E$5)))*(CRDJ[Account Code]=(TRIM($B37))),CRDJ[Credit])))+(SUM(IF((GJ[Date]=$A$4)*(GJ[Sort Code]=(TRIM(E$5)))*(GJ[Account Code]=(TRIM($B37))),GJ[Credit]))))-((SUM(IF((CkDJ[Date]=$A$4)*(CkDJ[Sort Code]=(TRIM(E$5)))*(CkDJ[Account Code]=(TRIM($B37))),CkDJ[Debit])))+(SUM(IF((CsDJ[Date]=$A$4)*(CsDJ[Sort Code]=(TRIM(E$5)))*(CsDJ[Account Code]=(TRIM($B37))),CsDJ[Debit])))+(SUM(IF((CRDJ[Date]=$A$4)*(CRDJ[Sort Code]=(TRIM(E$5)))*(CRDJ[Account Code]=(TRIM($B37))),CRDJ[Debit])))+(SUM(IF((GJ[Date]=$A$4)*(GJ[Sort Code]=(TRIM(E$5)))*(GJ[Account Code]=(TRIM($B37))),GJ[Debit]))))</f>
        <v>0</v>
      </c>
      <c r="E37" s="467">
        <f t="shared" si="0"/>
        <v>0</v>
      </c>
    </row>
    <row r="38" spans="1:5">
      <c r="A38" s="475" t="s">
        <v>188</v>
      </c>
      <c r="B38" s="339" t="s">
        <v>154</v>
      </c>
      <c r="C38" s="466">
        <f t="array" ref="C38">((SUM(IF((CkDJ[Sort Code]=(TRIM(E$5)))*(CkDJ[Account Code]=(TRIM($B38)))*(CkDJ[Date]&lt;=$C$8),CkDJ[Credit])))+(SUM(IF((CsDJ[Sort Code]=(TRIM(E$5)))*(CsDJ[Account Code]=(TRIM($B38)))*(CsDJ[Date]&lt;=$C$8),CsDJ[Credit])))+(SUM(IF((CRDJ[Sort Code]=(TRIM(E$5)))*(CRDJ[Account Code]=(TRIM($B38)))*(CRDJ[Date]&lt;=$C$8),CRDJ[Credit])))+(SUM(IF((GJ[Sort Code]=(TRIM(E$5)))*(GJ[Account Code]=(TRIM($B38)))*(GJ[Date]&lt;=$C$8),GJ[Credit]))))-((SUM(IF((CkDJ[Sort Code]=(TRIM(E$5)))*(CkDJ[Account Code]=(TRIM($B38)))*(CkDJ[Date]&lt;=$C$8),CkDJ[Debit])))+(SUM(IF((CsDJ[Sort Code]=(TRIM(E$5)))*(CsDJ[Account Code]=(TRIM($B38)))*(CsDJ[Date]&lt;=$C$8),CsDJ[Debit])))+(SUM(IF((CRDJ[Sort Code]=(TRIM(E$5)))*(CRDJ[Account Code]=(TRIM($B38)))*(CRDJ[Date]&lt;=$C$8),CRDJ[Debit])))+(SUM(IF((GJ[Sort Code]=(TRIM(E$5)))*(GJ[Account Code]=(TRIM($B38)))*(GJ[Date]&lt;=$C$8),GJ[Debit]))))</f>
        <v>0</v>
      </c>
      <c r="D38" s="466">
        <f t="array" ref="D38">((SUM(IF((CkDJ[Date]=$A$4)*(CkDJ[Sort Code]=(TRIM(E$5)))*(CkDJ[Account Code]=(TRIM($B38))),CkDJ[Credit])))+(SUM(IF((CsDJ[Date]=$A$4)*(CsDJ[Sort Code]=(TRIM(E$5)))*(CsDJ[Account Code]=(TRIM($B38))),CsDJ[Credit])))+(SUM(IF((CRDJ[Date]=$A$4)*(CRDJ[Sort Code]=(TRIM(E$5)))*(CRDJ[Account Code]=(TRIM($B38))),CRDJ[Credit])))+(SUM(IF((GJ[Date]=$A$4)*(GJ[Sort Code]=(TRIM(E$5)))*(GJ[Account Code]=(TRIM($B38))),GJ[Credit]))))-((SUM(IF((CkDJ[Date]=$A$4)*(CkDJ[Sort Code]=(TRIM(E$5)))*(CkDJ[Account Code]=(TRIM($B38))),CkDJ[Debit])))+(SUM(IF((CsDJ[Date]=$A$4)*(CsDJ[Sort Code]=(TRIM(E$5)))*(CsDJ[Account Code]=(TRIM($B38))),CsDJ[Debit])))+(SUM(IF((CRDJ[Date]=$A$4)*(CRDJ[Sort Code]=(TRIM(E$5)))*(CRDJ[Account Code]=(TRIM($B38))),CRDJ[Debit])))+(SUM(IF((GJ[Date]=$A$4)*(GJ[Sort Code]=(TRIM(E$5)))*(GJ[Account Code]=(TRIM($B38))),GJ[Debit]))))</f>
        <v>0</v>
      </c>
      <c r="E38" s="467">
        <f t="shared" si="0"/>
        <v>0</v>
      </c>
    </row>
    <row r="39" spans="1:5">
      <c r="A39" s="475" t="s">
        <v>189</v>
      </c>
      <c r="B39" s="339" t="s">
        <v>155</v>
      </c>
      <c r="C39" s="466">
        <f t="array" ref="C39">((SUM(IF((CkDJ[Sort Code]=(TRIM(E$5)))*(CkDJ[Account Code]=(TRIM($B39)))*(CkDJ[Date]&lt;=$C$8),CkDJ[Credit])))+(SUM(IF((CsDJ[Sort Code]=(TRIM(E$5)))*(CsDJ[Account Code]=(TRIM($B39)))*(CsDJ[Date]&lt;=$C$8),CsDJ[Credit])))+(SUM(IF((CRDJ[Sort Code]=(TRIM(E$5)))*(CRDJ[Account Code]=(TRIM($B39)))*(CRDJ[Date]&lt;=$C$8),CRDJ[Credit])))+(SUM(IF((GJ[Sort Code]=(TRIM(E$5)))*(GJ[Account Code]=(TRIM($B39)))*(GJ[Date]&lt;=$C$8),GJ[Credit]))))-((SUM(IF((CkDJ[Sort Code]=(TRIM(E$5)))*(CkDJ[Account Code]=(TRIM($B39)))*(CkDJ[Date]&lt;=$C$8),CkDJ[Debit])))+(SUM(IF((CsDJ[Sort Code]=(TRIM(E$5)))*(CsDJ[Account Code]=(TRIM($B39)))*(CsDJ[Date]&lt;=$C$8),CsDJ[Debit])))+(SUM(IF((CRDJ[Sort Code]=(TRIM(E$5)))*(CRDJ[Account Code]=(TRIM($B39)))*(CRDJ[Date]&lt;=$C$8),CRDJ[Debit])))+(SUM(IF((GJ[Sort Code]=(TRIM(E$5)))*(GJ[Account Code]=(TRIM($B39)))*(GJ[Date]&lt;=$C$8),GJ[Debit]))))</f>
        <v>0</v>
      </c>
      <c r="D39" s="466">
        <f t="array" ref="D39">((SUM(IF((CkDJ[Date]=$A$4)*(CkDJ[Sort Code]=(TRIM(E$5)))*(CkDJ[Account Code]=(TRIM($B39))),CkDJ[Credit])))+(SUM(IF((CsDJ[Date]=$A$4)*(CsDJ[Sort Code]=(TRIM(E$5)))*(CsDJ[Account Code]=(TRIM($B39))),CsDJ[Credit])))+(SUM(IF((CRDJ[Date]=$A$4)*(CRDJ[Sort Code]=(TRIM(E$5)))*(CRDJ[Account Code]=(TRIM($B39))),CRDJ[Credit])))+(SUM(IF((GJ[Date]=$A$4)*(GJ[Sort Code]=(TRIM(E$5)))*(GJ[Account Code]=(TRIM($B39))),GJ[Credit]))))-((SUM(IF((CkDJ[Date]=$A$4)*(CkDJ[Sort Code]=(TRIM(E$5)))*(CkDJ[Account Code]=(TRIM($B39))),CkDJ[Debit])))+(SUM(IF((CsDJ[Date]=$A$4)*(CsDJ[Sort Code]=(TRIM(E$5)))*(CsDJ[Account Code]=(TRIM($B39))),CsDJ[Debit])))+(SUM(IF((CRDJ[Date]=$A$4)*(CRDJ[Sort Code]=(TRIM(E$5)))*(CRDJ[Account Code]=(TRIM($B39))),CRDJ[Debit])))+(SUM(IF((GJ[Date]=$A$4)*(GJ[Sort Code]=(TRIM(E$5)))*(GJ[Account Code]=(TRIM($B39))),GJ[Debit]))))</f>
        <v>0</v>
      </c>
      <c r="E39" s="467">
        <f t="shared" si="0"/>
        <v>0</v>
      </c>
    </row>
    <row r="40" spans="1:5">
      <c r="A40" s="475" t="s">
        <v>1271</v>
      </c>
      <c r="B40" s="339" t="s">
        <v>156</v>
      </c>
      <c r="C40" s="466">
        <f t="array" ref="C40">((SUM(IF((CkDJ[Sort Code]=(TRIM(E$5)))*(CkDJ[Account Code]=(TRIM($B40)))*(CkDJ[Date]&lt;=$C$8),CkDJ[Credit])))+(SUM(IF((CsDJ[Sort Code]=(TRIM(E$5)))*(CsDJ[Account Code]=(TRIM($B40)))*(CsDJ[Date]&lt;=$C$8),CsDJ[Credit])))+(SUM(IF((CRDJ[Sort Code]=(TRIM(E$5)))*(CRDJ[Account Code]=(TRIM($B40)))*(CRDJ[Date]&lt;=$C$8),CRDJ[Credit])))+(SUM(IF((GJ[Sort Code]=(TRIM(E$5)))*(GJ[Account Code]=(TRIM($B40)))*(GJ[Date]&lt;=$C$8),GJ[Credit]))))-((SUM(IF((CkDJ[Sort Code]=(TRIM(E$5)))*(CkDJ[Account Code]=(TRIM($B40)))*(CkDJ[Date]&lt;=$C$8),CkDJ[Debit])))+(SUM(IF((CsDJ[Sort Code]=(TRIM(E$5)))*(CsDJ[Account Code]=(TRIM($B40)))*(CsDJ[Date]&lt;=$C$8),CsDJ[Debit])))+(SUM(IF((CRDJ[Sort Code]=(TRIM(E$5)))*(CRDJ[Account Code]=(TRIM($B40)))*(CRDJ[Date]&lt;=$C$8),CRDJ[Debit])))+(SUM(IF((GJ[Sort Code]=(TRIM(E$5)))*(GJ[Account Code]=(TRIM($B40)))*(GJ[Date]&lt;=$C$8),GJ[Debit]))))</f>
        <v>0</v>
      </c>
      <c r="D40" s="466">
        <f t="array" ref="D40">((SUM(IF((CkDJ[Date]=$A$4)*(CkDJ[Sort Code]=(TRIM(E$5)))*(CkDJ[Account Code]=(TRIM($B40))),CkDJ[Credit])))+(SUM(IF((CsDJ[Date]=$A$4)*(CsDJ[Sort Code]=(TRIM(E$5)))*(CsDJ[Account Code]=(TRIM($B40))),CsDJ[Credit])))+(SUM(IF((CRDJ[Date]=$A$4)*(CRDJ[Sort Code]=(TRIM(E$5)))*(CRDJ[Account Code]=(TRIM($B40))),CRDJ[Credit])))+(SUM(IF((GJ[Date]=$A$4)*(GJ[Sort Code]=(TRIM(E$5)))*(GJ[Account Code]=(TRIM($B40))),GJ[Credit]))))-((SUM(IF((CkDJ[Date]=$A$4)*(CkDJ[Sort Code]=(TRIM(E$5)))*(CkDJ[Account Code]=(TRIM($B40))),CkDJ[Debit])))+(SUM(IF((CsDJ[Date]=$A$4)*(CsDJ[Sort Code]=(TRIM(E$5)))*(CsDJ[Account Code]=(TRIM($B40))),CsDJ[Debit])))+(SUM(IF((CRDJ[Date]=$A$4)*(CRDJ[Sort Code]=(TRIM(E$5)))*(CRDJ[Account Code]=(TRIM($B40))),CRDJ[Debit])))+(SUM(IF((GJ[Date]=$A$4)*(GJ[Sort Code]=(TRIM(E$5)))*(GJ[Account Code]=(TRIM($B40))),GJ[Debit]))))</f>
        <v>0</v>
      </c>
      <c r="E40" s="467">
        <f>C40+D40</f>
        <v>0</v>
      </c>
    </row>
    <row r="41" spans="1:5">
      <c r="A41" s="475" t="s">
        <v>190</v>
      </c>
      <c r="B41" s="339" t="s">
        <v>157</v>
      </c>
      <c r="C41" s="466">
        <f t="array" ref="C41">((SUM(IF((CkDJ[Sort Code]=(TRIM(E$5)))*(CkDJ[Account Code]=(TRIM($B41)))*(CkDJ[Date]&lt;=$C$8),CkDJ[Credit])))+(SUM(IF((CsDJ[Sort Code]=(TRIM(E$5)))*(CsDJ[Account Code]=(TRIM($B41)))*(CsDJ[Date]&lt;=$C$8),CsDJ[Credit])))+(SUM(IF((CRDJ[Sort Code]=(TRIM(E$5)))*(CRDJ[Account Code]=(TRIM($B41)))*(CRDJ[Date]&lt;=$C$8),CRDJ[Credit])))+(SUM(IF((GJ[Sort Code]=(TRIM(E$5)))*(GJ[Account Code]=(TRIM($B41)))*(GJ[Date]&lt;=$C$8),GJ[Credit]))))-((SUM(IF((CkDJ[Sort Code]=(TRIM(E$5)))*(CkDJ[Account Code]=(TRIM($B41)))*(CkDJ[Date]&lt;=$C$8),CkDJ[Debit])))+(SUM(IF((CsDJ[Sort Code]=(TRIM(E$5)))*(CsDJ[Account Code]=(TRIM($B41)))*(CsDJ[Date]&lt;=$C$8),CsDJ[Debit])))+(SUM(IF((CRDJ[Sort Code]=(TRIM(E$5)))*(CRDJ[Account Code]=(TRIM($B41)))*(CRDJ[Date]&lt;=$C$8),CRDJ[Debit])))+(SUM(IF((GJ[Sort Code]=(TRIM(E$5)))*(GJ[Account Code]=(TRIM($B41)))*(GJ[Date]&lt;=$C$8),GJ[Debit]))))</f>
        <v>0</v>
      </c>
      <c r="D41" s="466">
        <f t="array" ref="D41">((SUM(IF((CkDJ[Date]=$A$4)*(CkDJ[Sort Code]=(TRIM(E$5)))*(CkDJ[Account Code]=(TRIM($B41))),CkDJ[Credit])))+(SUM(IF((CsDJ[Date]=$A$4)*(CsDJ[Sort Code]=(TRIM(E$5)))*(CsDJ[Account Code]=(TRIM($B41))),CsDJ[Credit])))+(SUM(IF((CRDJ[Date]=$A$4)*(CRDJ[Sort Code]=(TRIM(E$5)))*(CRDJ[Account Code]=(TRIM($B41))),CRDJ[Credit])))+(SUM(IF((GJ[Date]=$A$4)*(GJ[Sort Code]=(TRIM(E$5)))*(GJ[Account Code]=(TRIM($B41))),GJ[Credit]))))-((SUM(IF((CkDJ[Date]=$A$4)*(CkDJ[Sort Code]=(TRIM(E$5)))*(CkDJ[Account Code]=(TRIM($B41))),CkDJ[Debit])))+(SUM(IF((CsDJ[Date]=$A$4)*(CsDJ[Sort Code]=(TRIM(E$5)))*(CsDJ[Account Code]=(TRIM($B41))),CsDJ[Debit])))+(SUM(IF((CRDJ[Date]=$A$4)*(CRDJ[Sort Code]=(TRIM(E$5)))*(CRDJ[Account Code]=(TRIM($B41))),CRDJ[Debit])))+(SUM(IF((GJ[Date]=$A$4)*(GJ[Sort Code]=(TRIM(E$5)))*(GJ[Account Code]=(TRIM($B41))),GJ[Debit]))))</f>
        <v>0</v>
      </c>
      <c r="E41" s="467">
        <f t="shared" si="0"/>
        <v>0</v>
      </c>
    </row>
    <row r="42" spans="1:5">
      <c r="A42" s="475" t="s">
        <v>192</v>
      </c>
      <c r="B42" s="339" t="s">
        <v>159</v>
      </c>
      <c r="C42" s="466">
        <f t="array" ref="C42">((SUM(IF((CkDJ[Sort Code]=(TRIM(E$5)))*(CkDJ[Account Code]=(TRIM($B42)))*(CkDJ[Date]&lt;=$C$8),CkDJ[Credit])))+(SUM(IF((CsDJ[Sort Code]=(TRIM(E$5)))*(CsDJ[Account Code]=(TRIM($B42)))*(CsDJ[Date]&lt;=$C$8),CsDJ[Credit])))+(SUM(IF((CRDJ[Sort Code]=(TRIM(E$5)))*(CRDJ[Account Code]=(TRIM($B42)))*(CRDJ[Date]&lt;=$C$8),CRDJ[Credit])))+(SUM(IF((GJ[Sort Code]=(TRIM(E$5)))*(GJ[Account Code]=(TRIM($B42)))*(GJ[Date]&lt;=$C$8),GJ[Credit]))))-((SUM(IF((CkDJ[Sort Code]=(TRIM(E$5)))*(CkDJ[Account Code]=(TRIM($B42)))*(CkDJ[Date]&lt;=$C$8),CkDJ[Debit])))+(SUM(IF((CsDJ[Sort Code]=(TRIM(E$5)))*(CsDJ[Account Code]=(TRIM($B42)))*(CsDJ[Date]&lt;=$C$8),CsDJ[Debit])))+(SUM(IF((CRDJ[Sort Code]=(TRIM(E$5)))*(CRDJ[Account Code]=(TRIM($B42)))*(CRDJ[Date]&lt;=$C$8),CRDJ[Debit])))+(SUM(IF((GJ[Sort Code]=(TRIM(E$5)))*(GJ[Account Code]=(TRIM($B42)))*(GJ[Date]&lt;=$C$8),GJ[Debit]))))</f>
        <v>0</v>
      </c>
      <c r="D42" s="466">
        <f t="array" ref="D42">((SUM(IF((CkDJ[Date]=$A$4)*(CkDJ[Sort Code]=(TRIM(E$5)))*(CkDJ[Account Code]=(TRIM($B42))),CkDJ[Credit])))+(SUM(IF((CsDJ[Date]=$A$4)*(CsDJ[Sort Code]=(TRIM(E$5)))*(CsDJ[Account Code]=(TRIM($B42))),CsDJ[Credit])))+(SUM(IF((CRDJ[Date]=$A$4)*(CRDJ[Sort Code]=(TRIM(E$5)))*(CRDJ[Account Code]=(TRIM($B42))),CRDJ[Credit])))+(SUM(IF((GJ[Date]=$A$4)*(GJ[Sort Code]=(TRIM(E$5)))*(GJ[Account Code]=(TRIM($B42))),GJ[Credit]))))-((SUM(IF((CkDJ[Date]=$A$4)*(CkDJ[Sort Code]=(TRIM(E$5)))*(CkDJ[Account Code]=(TRIM($B42))),CkDJ[Debit])))+(SUM(IF((CsDJ[Date]=$A$4)*(CsDJ[Sort Code]=(TRIM(E$5)))*(CsDJ[Account Code]=(TRIM($B42))),CsDJ[Debit])))+(SUM(IF((CRDJ[Date]=$A$4)*(CRDJ[Sort Code]=(TRIM(E$5)))*(CRDJ[Account Code]=(TRIM($B42))),CRDJ[Debit])))+(SUM(IF((GJ[Date]=$A$4)*(GJ[Sort Code]=(TRIM(E$5)))*(GJ[Account Code]=(TRIM($B42))),GJ[Debit]))))</f>
        <v>0</v>
      </c>
      <c r="E42" s="467">
        <f t="shared" si="0"/>
        <v>0</v>
      </c>
    </row>
    <row r="43" spans="1:5">
      <c r="A43" s="475" t="s">
        <v>193</v>
      </c>
      <c r="B43" s="339" t="s">
        <v>160</v>
      </c>
      <c r="C43" s="466">
        <f t="array" ref="C43">((SUM(IF((CkDJ[Sort Code]=(TRIM(E$5)))*(CkDJ[Account Code]=(TRIM($B43)))*(CkDJ[Date]&lt;=$C$8),CkDJ[Credit])))+(SUM(IF((CsDJ[Sort Code]=(TRIM(E$5)))*(CsDJ[Account Code]=(TRIM($B43)))*(CsDJ[Date]&lt;=$C$8),CsDJ[Credit])))+(SUM(IF((CRDJ[Sort Code]=(TRIM(E$5)))*(CRDJ[Account Code]=(TRIM($B43)))*(CRDJ[Date]&lt;=$C$8),CRDJ[Credit])))+(SUM(IF((GJ[Sort Code]=(TRIM(E$5)))*(GJ[Account Code]=(TRIM($B43)))*(GJ[Date]&lt;=$C$8),GJ[Credit]))))-((SUM(IF((CkDJ[Sort Code]=(TRIM(E$5)))*(CkDJ[Account Code]=(TRIM($B43)))*(CkDJ[Date]&lt;=$C$8),CkDJ[Debit])))+(SUM(IF((CsDJ[Sort Code]=(TRIM(E$5)))*(CsDJ[Account Code]=(TRIM($B43)))*(CsDJ[Date]&lt;=$C$8),CsDJ[Debit])))+(SUM(IF((CRDJ[Sort Code]=(TRIM(E$5)))*(CRDJ[Account Code]=(TRIM($B43)))*(CRDJ[Date]&lt;=$C$8),CRDJ[Debit])))+(SUM(IF((GJ[Sort Code]=(TRIM(E$5)))*(GJ[Account Code]=(TRIM($B43)))*(GJ[Date]&lt;=$C$8),GJ[Debit]))))</f>
        <v>0</v>
      </c>
      <c r="D43" s="466">
        <f t="array" ref="D43">((SUM(IF((CkDJ[Date]=$A$4)*(CkDJ[Sort Code]=(TRIM(E$5)))*(CkDJ[Account Code]=(TRIM($B43))),CkDJ[Credit])))+(SUM(IF((CsDJ[Date]=$A$4)*(CsDJ[Sort Code]=(TRIM(E$5)))*(CsDJ[Account Code]=(TRIM($B43))),CsDJ[Credit])))+(SUM(IF((CRDJ[Date]=$A$4)*(CRDJ[Sort Code]=(TRIM(E$5)))*(CRDJ[Account Code]=(TRIM($B43))),CRDJ[Credit])))+(SUM(IF((GJ[Date]=$A$4)*(GJ[Sort Code]=(TRIM(E$5)))*(GJ[Account Code]=(TRIM($B43))),GJ[Credit]))))-((SUM(IF((CkDJ[Date]=$A$4)*(CkDJ[Sort Code]=(TRIM(E$5)))*(CkDJ[Account Code]=(TRIM($B43))),CkDJ[Debit])))+(SUM(IF((CsDJ[Date]=$A$4)*(CsDJ[Sort Code]=(TRIM(E$5)))*(CsDJ[Account Code]=(TRIM($B43))),CsDJ[Debit])))+(SUM(IF((CRDJ[Date]=$A$4)*(CRDJ[Sort Code]=(TRIM(E$5)))*(CRDJ[Account Code]=(TRIM($B43))),CRDJ[Debit])))+(SUM(IF((GJ[Date]=$A$4)*(GJ[Sort Code]=(TRIM(E$5)))*(GJ[Account Code]=(TRIM($B43))),GJ[Debit]))))</f>
        <v>0</v>
      </c>
      <c r="E43" s="467">
        <f t="shared" si="0"/>
        <v>0</v>
      </c>
    </row>
    <row r="44" spans="1:5">
      <c r="A44" s="475" t="s">
        <v>191</v>
      </c>
      <c r="B44" s="339" t="s">
        <v>161</v>
      </c>
      <c r="C44" s="466">
        <f t="array" ref="C44">((SUM(IF((CkDJ[Sort Code]=(TRIM(E$5)))*(CkDJ[Account Code]=(TRIM($B44)))*(CkDJ[Date]&lt;=$C$8),CkDJ[Credit])))+(SUM(IF((CsDJ[Sort Code]=(TRIM(E$5)))*(CsDJ[Account Code]=(TRIM($B44)))*(CsDJ[Date]&lt;=$C$8),CsDJ[Credit])))+(SUM(IF((CRDJ[Sort Code]=(TRIM(E$5)))*(CRDJ[Account Code]=(TRIM($B44)))*(CRDJ[Date]&lt;=$C$8),CRDJ[Credit])))+(SUM(IF((GJ[Sort Code]=(TRIM(E$5)))*(GJ[Account Code]=(TRIM($B44)))*(GJ[Date]&lt;=$C$8),GJ[Credit]))))-((SUM(IF((CkDJ[Sort Code]=(TRIM(E$5)))*(CkDJ[Account Code]=(TRIM($B44)))*(CkDJ[Date]&lt;=$C$8),CkDJ[Debit])))+(SUM(IF((CsDJ[Sort Code]=(TRIM(E$5)))*(CsDJ[Account Code]=(TRIM($B44)))*(CsDJ[Date]&lt;=$C$8),CsDJ[Debit])))+(SUM(IF((CRDJ[Sort Code]=(TRIM(E$5)))*(CRDJ[Account Code]=(TRIM($B44)))*(CRDJ[Date]&lt;=$C$8),CRDJ[Debit])))+(SUM(IF((GJ[Sort Code]=(TRIM(E$5)))*(GJ[Account Code]=(TRIM($B44)))*(GJ[Date]&lt;=$C$8),GJ[Debit]))))</f>
        <v>0</v>
      </c>
      <c r="D44" s="466">
        <f t="array" ref="D44">((SUM(IF((CkDJ[Date]=$A$4)*(CkDJ[Sort Code]=(TRIM(E$5)))*(CkDJ[Account Code]=(TRIM($B44))),CkDJ[Credit])))+(SUM(IF((CsDJ[Date]=$A$4)*(CsDJ[Sort Code]=(TRIM(E$5)))*(CsDJ[Account Code]=(TRIM($B44))),CsDJ[Credit])))+(SUM(IF((CRDJ[Date]=$A$4)*(CRDJ[Sort Code]=(TRIM(E$5)))*(CRDJ[Account Code]=(TRIM($B44))),CRDJ[Credit])))+(SUM(IF((GJ[Date]=$A$4)*(GJ[Sort Code]=(TRIM(E$5)))*(GJ[Account Code]=(TRIM($B44))),GJ[Credit]))))-((SUM(IF((CkDJ[Date]=$A$4)*(CkDJ[Sort Code]=(TRIM(E$5)))*(CkDJ[Account Code]=(TRIM($B44))),CkDJ[Debit])))+(SUM(IF((CsDJ[Date]=$A$4)*(CsDJ[Sort Code]=(TRIM(E$5)))*(CsDJ[Account Code]=(TRIM($B44))),CsDJ[Debit])))+(SUM(IF((CRDJ[Date]=$A$4)*(CRDJ[Sort Code]=(TRIM(E$5)))*(CRDJ[Account Code]=(TRIM($B44))),CRDJ[Debit])))+(SUM(IF((GJ[Date]=$A$4)*(GJ[Sort Code]=(TRIM(E$5)))*(GJ[Account Code]=(TRIM($B44))),GJ[Debit]))))</f>
        <v>0</v>
      </c>
      <c r="E44" s="467">
        <f t="shared" si="0"/>
        <v>0</v>
      </c>
    </row>
    <row r="45" spans="1:5">
      <c r="A45" s="468" t="s">
        <v>1171</v>
      </c>
      <c r="B45" s="469"/>
      <c r="C45" s="470">
        <f>C10+C16+C20+C25+C26+C31+C35</f>
        <v>0</v>
      </c>
      <c r="D45" s="470">
        <f>D10+D16+D20+D25+D26+D31+D35</f>
        <v>0</v>
      </c>
      <c r="E45" s="470">
        <f>E10+E16+E20+E25+E26+E31+E35</f>
        <v>0</v>
      </c>
    </row>
    <row r="46" spans="1:5">
      <c r="A46" s="471" t="s">
        <v>812</v>
      </c>
      <c r="B46" s="339"/>
      <c r="C46" s="472"/>
      <c r="D46" s="472"/>
      <c r="E46" s="479"/>
    </row>
    <row r="47" spans="1:5">
      <c r="A47" s="471" t="s">
        <v>811</v>
      </c>
      <c r="B47" s="339"/>
      <c r="C47" s="474">
        <f>SUM(C48:C72)</f>
        <v>0</v>
      </c>
      <c r="D47" s="474">
        <f>SUM(D48:D72)</f>
        <v>0</v>
      </c>
      <c r="E47" s="474">
        <f>SUM(E48:E72)</f>
        <v>0</v>
      </c>
    </row>
    <row r="48" spans="1:5">
      <c r="A48" s="476" t="s">
        <v>194</v>
      </c>
      <c r="B48" s="339" t="s">
        <v>162</v>
      </c>
      <c r="C48" s="466">
        <f t="array" ref="C48">((SUM(IF((CkDJ[Sort Code]=(TRIM(E$5)))*(CkDJ[Account Code]=(TRIM($B48)))*(CkDJ[Date]&lt;=$C$8),CkDJ[Debit])))+(SUM(IF((CsDJ[Sort Code]=(TRIM(E$5)))*(CsDJ[Account Code]=(TRIM($B48)))*(CsDJ[Date]&lt;=$C$8),CsDJ[Debit])))+(SUM(IF((CRDJ[Sort Code]=(TRIM(E$5)))*(CRDJ[Account Code]=(TRIM($B48)))*(CRDJ[Date]&lt;=$C$8),CRDJ[Debit])))+(SUM(IF((GJ[Sort Code]=(TRIM(E$5)))*(GJ[Account Code]=(TRIM($B48)))*(GJ[Date]&lt;=$C$8),GJ[Debit]))))-((SUM(IF((CkDJ[Sort Code]=(TRIM(E$5)))*(CkDJ[Account Code]=(TRIM($B48)))*(CkDJ[Date]&lt;=$C$8),CkDJ[Credit])))+(SUM(IF((CsDJ[Sort Code]=(TRIM(E$5)))*(CsDJ[Account Code]=(TRIM($B48)))*(CsDJ[Date]&lt;=$C$8),CsDJ[Credit])))+(SUM(IF((CRDJ[Sort Code]=(TRIM(E$5)))*(CRDJ[Account Code]=(TRIM($B48)))*(CRDJ[Date]&lt;=$C$8),CRDJ[Credit])))+(SUM(IF((GJ[Sort Code]=(TRIM(E$5)))*(GJ[Account Code]=(TRIM($B48)))*(GJ[Date]&lt;=$C$8),GJ[Credit]))))</f>
        <v>0</v>
      </c>
      <c r="D48" s="466">
        <f t="array" ref="D48">((SUM(IF((CkDJ[Date]=$A$4)*(CkDJ[Sort Code]=(TRIM(E$5)))*(CkDJ[Account Code]=(TRIM($B48))),CkDJ[Debit])))+(SUM(IF((CsDJ[Date]=$A$4)*(CsDJ[Sort Code]=(TRIM(E$5)))*(CsDJ[Account Code]=(TRIM($B48))),CsDJ[Debit])))+(SUM(IF((CRDJ[Date]=$A$4)*(CRDJ[Sort Code]=(TRIM(E$5)))*(CRDJ[Account Code]=(TRIM($B48))),CRDJ[Debit])))+(SUM(IF((GJ[Date]=$A$4)*(GJ[Sort Code]=(TRIM(E$5)))*(GJ[Account Code]=(TRIM($B48))),GJ[Debit]))))-((SUM(IF((CkDJ[Date]=$A$4)*(CkDJ[Sort Code]=(TRIM(E$5)))*(CkDJ[Account Code]=(TRIM($B48))),CkDJ[Credit])))+(SUM(IF((CsDJ[Date]=$A$4)*(CsDJ[Sort Code]=(TRIM(E$5)))*(CsDJ[Account Code]=(TRIM($B48))),CsDJ[Credit])))+(SUM(IF((CRDJ[Date]=$A$4)*(CRDJ[Sort Code]=(TRIM(E$5)))*(CRDJ[Account Code]=(TRIM($B48))),CRDJ[Credit])))+(SUM(IF((GJ[Date]=$A$4)*(GJ[Sort Code]=(TRIM(E$5)))*(GJ[Account Code]=(TRIM($B48))),GJ[Credit]))))</f>
        <v>0</v>
      </c>
      <c r="E48" s="467">
        <f t="shared" ref="E48:E53" si="1">C48+D48</f>
        <v>0</v>
      </c>
    </row>
    <row r="49" spans="1:5">
      <c r="A49" s="476" t="s">
        <v>195</v>
      </c>
      <c r="B49" s="339" t="s">
        <v>163</v>
      </c>
      <c r="C49" s="466">
        <f t="array" ref="C49">((SUM(IF((CkDJ[Sort Code]=(TRIM(E$5)))*(CkDJ[Account Code]=(TRIM($B49)))*(CkDJ[Date]&lt;=$C$8),CkDJ[Debit])))+(SUM(IF((CsDJ[Sort Code]=(TRIM(E$5)))*(CsDJ[Account Code]=(TRIM($B49)))*(CsDJ[Date]&lt;=$C$8),CsDJ[Debit])))+(SUM(IF((CRDJ[Sort Code]=(TRIM(E$5)))*(CRDJ[Account Code]=(TRIM($B49)))*(CRDJ[Date]&lt;=$C$8),CRDJ[Debit])))+(SUM(IF((GJ[Sort Code]=(TRIM(E$5)))*(GJ[Account Code]=(TRIM($B49)))*(GJ[Date]&lt;=$C$8),GJ[Debit]))))-((SUM(IF((CkDJ[Sort Code]=(TRIM(E$5)))*(CkDJ[Account Code]=(TRIM($B49)))*(CkDJ[Date]&lt;=$C$8),CkDJ[Credit])))+(SUM(IF((CsDJ[Sort Code]=(TRIM(E$5)))*(CsDJ[Account Code]=(TRIM($B49)))*(CsDJ[Date]&lt;=$C$8),CsDJ[Credit])))+(SUM(IF((CRDJ[Sort Code]=(TRIM(E$5)))*(CRDJ[Account Code]=(TRIM($B49)))*(CRDJ[Date]&lt;=$C$8),CRDJ[Credit])))+(SUM(IF((GJ[Sort Code]=(TRIM(E$5)))*(GJ[Account Code]=(TRIM($B49)))*(GJ[Date]&lt;=$C$8),GJ[Credit]))))</f>
        <v>0</v>
      </c>
      <c r="D49" s="466">
        <f t="array" ref="D49">((SUM(IF((CkDJ[Date]=$A$4)*(CkDJ[Sort Code]=(TRIM(E$5)))*(CkDJ[Account Code]=(TRIM($B49))),CkDJ[Debit])))+(SUM(IF((CsDJ[Date]=$A$4)*(CsDJ[Sort Code]=(TRIM(E$5)))*(CsDJ[Account Code]=(TRIM($B49))),CsDJ[Debit])))+(SUM(IF((CRDJ[Date]=$A$4)*(CRDJ[Sort Code]=(TRIM(E$5)))*(CRDJ[Account Code]=(TRIM($B49))),CRDJ[Debit])))+(SUM(IF((GJ[Date]=$A$4)*(GJ[Sort Code]=(TRIM(E$5)))*(GJ[Account Code]=(TRIM($B49))),GJ[Debit]))))-((SUM(IF((CkDJ[Date]=$A$4)*(CkDJ[Sort Code]=(TRIM(E$5)))*(CkDJ[Account Code]=(TRIM($B49))),CkDJ[Credit])))+(SUM(IF((CsDJ[Date]=$A$4)*(CsDJ[Sort Code]=(TRIM(E$5)))*(CsDJ[Account Code]=(TRIM($B49))),CsDJ[Credit])))+(SUM(IF((CRDJ[Date]=$A$4)*(CRDJ[Sort Code]=(TRIM(E$5)))*(CRDJ[Account Code]=(TRIM($B49))),CRDJ[Credit])))+(SUM(IF((GJ[Date]=$A$4)*(GJ[Sort Code]=(TRIM(E$5)))*(GJ[Account Code]=(TRIM($B49))),GJ[Credit]))))</f>
        <v>0</v>
      </c>
      <c r="E49" s="467">
        <f t="shared" si="1"/>
        <v>0</v>
      </c>
    </row>
    <row r="50" spans="1:5">
      <c r="A50" s="476" t="s">
        <v>196</v>
      </c>
      <c r="B50" s="339" t="s">
        <v>1013</v>
      </c>
      <c r="C50" s="466">
        <f t="array" ref="C50">((SUM(IF((CkDJ[Sort Code]=(TRIM(E$5)))*(CkDJ[Account Code]=(TRIM($B50)))*(CkDJ[Date]&lt;=$C$8),CkDJ[Debit])))+(SUM(IF((CsDJ[Sort Code]=(TRIM(E$5)))*(CsDJ[Account Code]=(TRIM($B50)))*(CsDJ[Date]&lt;=$C$8),CsDJ[Debit])))+(SUM(IF((CRDJ[Sort Code]=(TRIM(E$5)))*(CRDJ[Account Code]=(TRIM($B50)))*(CRDJ[Date]&lt;=$C$8),CRDJ[Debit])))+(SUM(IF((GJ[Sort Code]=(TRIM(E$5)))*(GJ[Account Code]=(TRIM($B50)))*(GJ[Date]&lt;=$C$8),GJ[Debit]))))-((SUM(IF((CkDJ[Sort Code]=(TRIM(E$5)))*(CkDJ[Account Code]=(TRIM($B50)))*(CkDJ[Date]&lt;=$C$8),CkDJ[Credit])))+(SUM(IF((CsDJ[Sort Code]=(TRIM(E$5)))*(CsDJ[Account Code]=(TRIM($B50)))*(CsDJ[Date]&lt;=$C$8),CsDJ[Credit])))+(SUM(IF((CRDJ[Sort Code]=(TRIM(E$5)))*(CRDJ[Account Code]=(TRIM($B50)))*(CRDJ[Date]&lt;=$C$8),CRDJ[Credit])))+(SUM(IF((GJ[Sort Code]=(TRIM(E$5)))*(GJ[Account Code]=(TRIM($B50)))*(GJ[Date]&lt;=$C$8),GJ[Credit]))))</f>
        <v>0</v>
      </c>
      <c r="D50" s="466">
        <f t="array" ref="D50">((SUM(IF((CkDJ[Date]=$A$4)*(CkDJ[Sort Code]=(TRIM(E$5)))*(CkDJ[Account Code]=(TRIM($B50))),CkDJ[Debit])))+(SUM(IF((CsDJ[Date]=$A$4)*(CsDJ[Sort Code]=(TRIM(E$5)))*(CsDJ[Account Code]=(TRIM($B50))),CsDJ[Debit])))+(SUM(IF((CRDJ[Date]=$A$4)*(CRDJ[Sort Code]=(TRIM(E$5)))*(CRDJ[Account Code]=(TRIM($B50))),CRDJ[Debit])))+(SUM(IF((GJ[Date]=$A$4)*(GJ[Sort Code]=(TRIM(E$5)))*(GJ[Account Code]=(TRIM($B50))),GJ[Debit]))))-((SUM(IF((CkDJ[Date]=$A$4)*(CkDJ[Sort Code]=(TRIM(E$5)))*(CkDJ[Account Code]=(TRIM($B50))),CkDJ[Credit])))+(SUM(IF((CsDJ[Date]=$A$4)*(CsDJ[Sort Code]=(TRIM(E$5)))*(CsDJ[Account Code]=(TRIM($B50))),CsDJ[Credit])))+(SUM(IF((CRDJ[Date]=$A$4)*(CRDJ[Sort Code]=(TRIM(E$5)))*(CRDJ[Account Code]=(TRIM($B50))),CRDJ[Credit])))+(SUM(IF((GJ[Date]=$A$4)*(GJ[Sort Code]=(TRIM(E$5)))*(GJ[Account Code]=(TRIM($B50))),GJ[Credit]))))</f>
        <v>0</v>
      </c>
      <c r="E50" s="467">
        <f t="shared" si="1"/>
        <v>0</v>
      </c>
    </row>
    <row r="51" spans="1:5">
      <c r="A51" s="476" t="s">
        <v>197</v>
      </c>
      <c r="B51" s="339" t="s">
        <v>164</v>
      </c>
      <c r="C51" s="466">
        <f t="array" ref="C51">((SUM(IF((CkDJ[Sort Code]=(TRIM(E$5)))*(CkDJ[Account Code]=(TRIM($B51)))*(CkDJ[Date]&lt;=$C$8),CkDJ[Debit])))+(SUM(IF((CsDJ[Sort Code]=(TRIM(E$5)))*(CsDJ[Account Code]=(TRIM($B51)))*(CsDJ[Date]&lt;=$C$8),CsDJ[Debit])))+(SUM(IF((CRDJ[Sort Code]=(TRIM(E$5)))*(CRDJ[Account Code]=(TRIM($B51)))*(CRDJ[Date]&lt;=$C$8),CRDJ[Debit])))+(SUM(IF((GJ[Sort Code]=(TRIM(E$5)))*(GJ[Account Code]=(TRIM($B51)))*(GJ[Date]&lt;=$C$8),GJ[Debit]))))-((SUM(IF((CkDJ[Sort Code]=(TRIM(E$5)))*(CkDJ[Account Code]=(TRIM($B51)))*(CkDJ[Date]&lt;=$C$8),CkDJ[Credit])))+(SUM(IF((CsDJ[Sort Code]=(TRIM(E$5)))*(CsDJ[Account Code]=(TRIM($B51)))*(CsDJ[Date]&lt;=$C$8),CsDJ[Credit])))+(SUM(IF((CRDJ[Sort Code]=(TRIM(E$5)))*(CRDJ[Account Code]=(TRIM($B51)))*(CRDJ[Date]&lt;=$C$8),CRDJ[Credit])))+(SUM(IF((GJ[Sort Code]=(TRIM(E$5)))*(GJ[Account Code]=(TRIM($B51)))*(GJ[Date]&lt;=$C$8),GJ[Credit]))))</f>
        <v>0</v>
      </c>
      <c r="D51" s="466">
        <f t="array" ref="D51">((SUM(IF((CkDJ[Date]=$A$4)*(CkDJ[Sort Code]=(TRIM(E$5)))*(CkDJ[Account Code]=(TRIM($B51))),CkDJ[Debit])))+(SUM(IF((CsDJ[Date]=$A$4)*(CsDJ[Sort Code]=(TRIM(E$5)))*(CsDJ[Account Code]=(TRIM($B51))),CsDJ[Debit])))+(SUM(IF((CRDJ[Date]=$A$4)*(CRDJ[Sort Code]=(TRIM(E$5)))*(CRDJ[Account Code]=(TRIM($B51))),CRDJ[Debit])))+(SUM(IF((GJ[Date]=$A$4)*(GJ[Sort Code]=(TRIM(E$5)))*(GJ[Account Code]=(TRIM($B51))),GJ[Debit]))))-((SUM(IF((CkDJ[Date]=$A$4)*(CkDJ[Sort Code]=(TRIM(E$5)))*(CkDJ[Account Code]=(TRIM($B51))),CkDJ[Credit])))+(SUM(IF((CsDJ[Date]=$A$4)*(CsDJ[Sort Code]=(TRIM(E$5)))*(CsDJ[Account Code]=(TRIM($B51))),CsDJ[Credit])))+(SUM(IF((CRDJ[Date]=$A$4)*(CRDJ[Sort Code]=(TRIM(E$5)))*(CRDJ[Account Code]=(TRIM($B51))),CRDJ[Credit])))+(SUM(IF((GJ[Date]=$A$4)*(GJ[Sort Code]=(TRIM(E$5)))*(GJ[Account Code]=(TRIM($B51))),GJ[Credit]))))</f>
        <v>0</v>
      </c>
      <c r="E51" s="467">
        <f t="shared" si="1"/>
        <v>0</v>
      </c>
    </row>
    <row r="52" spans="1:5">
      <c r="A52" s="476" t="s">
        <v>198</v>
      </c>
      <c r="B52" s="339" t="s">
        <v>165</v>
      </c>
      <c r="C52" s="466">
        <f t="array" ref="C52">((SUM(IF((CkDJ[Sort Code]=(TRIM(E$5)))*(CkDJ[Account Code]=(TRIM($B52)))*(CkDJ[Date]&lt;=$C$8),CkDJ[Debit])))+(SUM(IF((CsDJ[Sort Code]=(TRIM(E$5)))*(CsDJ[Account Code]=(TRIM($B52)))*(CsDJ[Date]&lt;=$C$8),CsDJ[Debit])))+(SUM(IF((CRDJ[Sort Code]=(TRIM(E$5)))*(CRDJ[Account Code]=(TRIM($B52)))*(CRDJ[Date]&lt;=$C$8),CRDJ[Debit])))+(SUM(IF((GJ[Sort Code]=(TRIM(E$5)))*(GJ[Account Code]=(TRIM($B52)))*(GJ[Date]&lt;=$C$8),GJ[Debit]))))-((SUM(IF((CkDJ[Sort Code]=(TRIM(E$5)))*(CkDJ[Account Code]=(TRIM($B52)))*(CkDJ[Date]&lt;=$C$8),CkDJ[Credit])))+(SUM(IF((CsDJ[Sort Code]=(TRIM(E$5)))*(CsDJ[Account Code]=(TRIM($B52)))*(CsDJ[Date]&lt;=$C$8),CsDJ[Credit])))+(SUM(IF((CRDJ[Sort Code]=(TRIM(E$5)))*(CRDJ[Account Code]=(TRIM($B52)))*(CRDJ[Date]&lt;=$C$8),CRDJ[Credit])))+(SUM(IF((GJ[Sort Code]=(TRIM(E$5)))*(GJ[Account Code]=(TRIM($B52)))*(GJ[Date]&lt;=$C$8),GJ[Credit]))))</f>
        <v>0</v>
      </c>
      <c r="D52" s="466">
        <f t="array" ref="D52">((SUM(IF((CkDJ[Date]=$A$4)*(CkDJ[Sort Code]=(TRIM(E$5)))*(CkDJ[Account Code]=(TRIM($B52))),CkDJ[Debit])))+(SUM(IF((CsDJ[Date]=$A$4)*(CsDJ[Sort Code]=(TRIM(E$5)))*(CsDJ[Account Code]=(TRIM($B52))),CsDJ[Debit])))+(SUM(IF((CRDJ[Date]=$A$4)*(CRDJ[Sort Code]=(TRIM(E$5)))*(CRDJ[Account Code]=(TRIM($B52))),CRDJ[Debit])))+(SUM(IF((GJ[Date]=$A$4)*(GJ[Sort Code]=(TRIM(E$5)))*(GJ[Account Code]=(TRIM($B52))),GJ[Debit]))))-((SUM(IF((CkDJ[Date]=$A$4)*(CkDJ[Sort Code]=(TRIM(E$5)))*(CkDJ[Account Code]=(TRIM($B52))),CkDJ[Credit])))+(SUM(IF((CsDJ[Date]=$A$4)*(CsDJ[Sort Code]=(TRIM(E$5)))*(CsDJ[Account Code]=(TRIM($B52))),CsDJ[Credit])))+(SUM(IF((CRDJ[Date]=$A$4)*(CRDJ[Sort Code]=(TRIM(E$5)))*(CRDJ[Account Code]=(TRIM($B52))),CRDJ[Credit])))+(SUM(IF((GJ[Date]=$A$4)*(GJ[Sort Code]=(TRIM(E$5)))*(GJ[Account Code]=(TRIM($B52))),GJ[Credit]))))</f>
        <v>0</v>
      </c>
      <c r="E52" s="467">
        <f t="shared" si="1"/>
        <v>0</v>
      </c>
    </row>
    <row r="53" spans="1:5">
      <c r="A53" s="476" t="s">
        <v>199</v>
      </c>
      <c r="B53" s="339" t="s">
        <v>166</v>
      </c>
      <c r="C53" s="466">
        <f t="array" ref="C53">((SUM(IF((CkDJ[Sort Code]=(TRIM(E$5)))*(CkDJ[Account Code]=(TRIM($B53)))*(CkDJ[Date]&lt;=$C$8),CkDJ[Debit])))+(SUM(IF((CsDJ[Sort Code]=(TRIM(E$5)))*(CsDJ[Account Code]=(TRIM($B53)))*(CsDJ[Date]&lt;=$C$8),CsDJ[Debit])))+(SUM(IF((CRDJ[Sort Code]=(TRIM(E$5)))*(CRDJ[Account Code]=(TRIM($B53)))*(CRDJ[Date]&lt;=$C$8),CRDJ[Debit])))+(SUM(IF((GJ[Sort Code]=(TRIM(E$5)))*(GJ[Account Code]=(TRIM($B53)))*(GJ[Date]&lt;=$C$8),GJ[Debit]))))-((SUM(IF((CkDJ[Sort Code]=(TRIM(E$5)))*(CkDJ[Account Code]=(TRIM($B53)))*(CkDJ[Date]&lt;=$C$8),CkDJ[Credit])))+(SUM(IF((CsDJ[Sort Code]=(TRIM(E$5)))*(CsDJ[Account Code]=(TRIM($B53)))*(CsDJ[Date]&lt;=$C$8),CsDJ[Credit])))+(SUM(IF((CRDJ[Sort Code]=(TRIM(E$5)))*(CRDJ[Account Code]=(TRIM($B53)))*(CRDJ[Date]&lt;=$C$8),CRDJ[Credit])))+(SUM(IF((GJ[Sort Code]=(TRIM(E$5)))*(GJ[Account Code]=(TRIM($B53)))*(GJ[Date]&lt;=$C$8),GJ[Credit]))))</f>
        <v>0</v>
      </c>
      <c r="D53" s="466">
        <f t="array" ref="D53">((SUM(IF((CkDJ[Date]=$A$4)*(CkDJ[Sort Code]=(TRIM(E$5)))*(CkDJ[Account Code]=(TRIM($B53))),CkDJ[Debit])))+(SUM(IF((CsDJ[Date]=$A$4)*(CsDJ[Sort Code]=(TRIM(E$5)))*(CsDJ[Account Code]=(TRIM($B53))),CsDJ[Debit])))+(SUM(IF((CRDJ[Date]=$A$4)*(CRDJ[Sort Code]=(TRIM(E$5)))*(CRDJ[Account Code]=(TRIM($B53))),CRDJ[Debit])))+(SUM(IF((GJ[Date]=$A$4)*(GJ[Sort Code]=(TRIM(E$5)))*(GJ[Account Code]=(TRIM($B53))),GJ[Debit]))))-((SUM(IF((CkDJ[Date]=$A$4)*(CkDJ[Sort Code]=(TRIM(E$5)))*(CkDJ[Account Code]=(TRIM($B53))),CkDJ[Credit])))+(SUM(IF((CsDJ[Date]=$A$4)*(CsDJ[Sort Code]=(TRIM(E$5)))*(CsDJ[Account Code]=(TRIM($B53))),CsDJ[Credit])))+(SUM(IF((CRDJ[Date]=$A$4)*(CRDJ[Sort Code]=(TRIM(E$5)))*(CRDJ[Account Code]=(TRIM($B53))),CRDJ[Credit])))+(SUM(IF((GJ[Date]=$A$4)*(GJ[Sort Code]=(TRIM(E$5)))*(GJ[Account Code]=(TRIM($B53))),GJ[Credit]))))</f>
        <v>0</v>
      </c>
      <c r="E53" s="467">
        <f t="shared" si="1"/>
        <v>0</v>
      </c>
    </row>
    <row r="54" spans="1:5">
      <c r="A54" s="476" t="s">
        <v>200</v>
      </c>
      <c r="B54" s="339" t="s">
        <v>167</v>
      </c>
      <c r="C54" s="466">
        <f t="array" ref="C54">((SUM(IF((CkDJ[Sort Code]=(TRIM(E$5)))*(CkDJ[Account Code]=(TRIM($B54)))*(CkDJ[Date]&lt;=$C$8),CkDJ[Debit])))+(SUM(IF((CsDJ[Sort Code]=(TRIM(E$5)))*(CsDJ[Account Code]=(TRIM($B54)))*(CsDJ[Date]&lt;=$C$8),CsDJ[Debit])))+(SUM(IF((CRDJ[Sort Code]=(TRIM(E$5)))*(CRDJ[Account Code]=(TRIM($B54)))*(CRDJ[Date]&lt;=$C$8),CRDJ[Debit])))+(SUM(IF((GJ[Sort Code]=(TRIM(E$5)))*(GJ[Account Code]=(TRIM($B54)))*(GJ[Date]&lt;=$C$8),GJ[Debit]))))-((SUM(IF((CkDJ[Sort Code]=(TRIM(E$5)))*(CkDJ[Account Code]=(TRIM($B54)))*(CkDJ[Date]&lt;=$C$8),CkDJ[Credit])))+(SUM(IF((CsDJ[Sort Code]=(TRIM(E$5)))*(CsDJ[Account Code]=(TRIM($B54)))*(CsDJ[Date]&lt;=$C$8),CsDJ[Credit])))+(SUM(IF((CRDJ[Sort Code]=(TRIM(E$5)))*(CRDJ[Account Code]=(TRIM($B54)))*(CRDJ[Date]&lt;=$C$8),CRDJ[Credit])))+(SUM(IF((GJ[Sort Code]=(TRIM(E$5)))*(GJ[Account Code]=(TRIM($B54)))*(GJ[Date]&lt;=$C$8),GJ[Credit]))))</f>
        <v>0</v>
      </c>
      <c r="D54" s="466">
        <f t="array" ref="D54">((SUM(IF((CkDJ[Date]=$A$4)*(CkDJ[Sort Code]=(TRIM(E$5)))*(CkDJ[Account Code]=(TRIM($B54))),CkDJ[Debit])))+(SUM(IF((CsDJ[Date]=$A$4)*(CsDJ[Sort Code]=(TRIM(E$5)))*(CsDJ[Account Code]=(TRIM($B54))),CsDJ[Debit])))+(SUM(IF((CRDJ[Date]=$A$4)*(CRDJ[Sort Code]=(TRIM(E$5)))*(CRDJ[Account Code]=(TRIM($B54))),CRDJ[Debit])))+(SUM(IF((GJ[Date]=$A$4)*(GJ[Sort Code]=(TRIM(E$5)))*(GJ[Account Code]=(TRIM($B54))),GJ[Debit]))))-((SUM(IF((CkDJ[Date]=$A$4)*(CkDJ[Sort Code]=(TRIM(E$5)))*(CkDJ[Account Code]=(TRIM($B54))),CkDJ[Credit])))+(SUM(IF((CsDJ[Date]=$A$4)*(CsDJ[Sort Code]=(TRIM(E$5)))*(CsDJ[Account Code]=(TRIM($B54))),CsDJ[Credit])))+(SUM(IF((CRDJ[Date]=$A$4)*(CRDJ[Sort Code]=(TRIM(E$5)))*(CRDJ[Account Code]=(TRIM($B54))),CRDJ[Credit])))+(SUM(IF((GJ[Date]=$A$4)*(GJ[Sort Code]=(TRIM(E$5)))*(GJ[Account Code]=(TRIM($B54))),GJ[Credit]))))</f>
        <v>0</v>
      </c>
      <c r="E54" s="467">
        <f>C54+D54</f>
        <v>0</v>
      </c>
    </row>
    <row r="55" spans="1:5">
      <c r="A55" s="476" t="s">
        <v>1204</v>
      </c>
      <c r="B55" s="339" t="s">
        <v>1262</v>
      </c>
      <c r="C55" s="466">
        <f t="array" ref="C55">((SUM(IF((CkDJ[Sort Code]=(TRIM(E$5)))*(CkDJ[Account Code]=(TRIM($B55)))*(CkDJ[Date]&lt;=$C$8),CkDJ[Debit])))+(SUM(IF((CsDJ[Sort Code]=(TRIM(E$5)))*(CsDJ[Account Code]=(TRIM($B55)))*(CsDJ[Date]&lt;=$C$8),CsDJ[Debit])))+(SUM(IF((CRDJ[Sort Code]=(TRIM(E$5)))*(CRDJ[Account Code]=(TRIM($B55)))*(CRDJ[Date]&lt;=$C$8),CRDJ[Debit])))+(SUM(IF((GJ[Sort Code]=(TRIM(E$5)))*(GJ[Account Code]=(TRIM($B55)))*(GJ[Date]&lt;=$C$8),GJ[Debit]))))-((SUM(IF((CkDJ[Sort Code]=(TRIM(E$5)))*(CkDJ[Account Code]=(TRIM($B55)))*(CkDJ[Date]&lt;=$C$8),CkDJ[Credit])))+(SUM(IF((CsDJ[Sort Code]=(TRIM(E$5)))*(CsDJ[Account Code]=(TRIM($B55)))*(CsDJ[Date]&lt;=$C$8),CsDJ[Credit])))+(SUM(IF((CRDJ[Sort Code]=(TRIM(E$5)))*(CRDJ[Account Code]=(TRIM($B55)))*(CRDJ[Date]&lt;=$C$8),CRDJ[Credit])))+(SUM(IF((GJ[Sort Code]=(TRIM(E$5)))*(GJ[Account Code]=(TRIM($B55)))*(GJ[Date]&lt;=$C$8),GJ[Credit]))))</f>
        <v>0</v>
      </c>
      <c r="D55" s="466">
        <f t="array" ref="D55">((SUM(IF((CkDJ[Date]=$A$4)*(CkDJ[Sort Code]=(TRIM(E$5)))*(CkDJ[Account Code]=(TRIM($B55))),CkDJ[Debit])))+(SUM(IF((CsDJ[Date]=$A$4)*(CsDJ[Sort Code]=(TRIM(E$5)))*(CsDJ[Account Code]=(TRIM($B55))),CsDJ[Debit])))+(SUM(IF((CRDJ[Date]=$A$4)*(CRDJ[Sort Code]=(TRIM(E$5)))*(CRDJ[Account Code]=(TRIM($B55))),CRDJ[Debit])))+(SUM(IF((GJ[Date]=$A$4)*(GJ[Sort Code]=(TRIM(E$5)))*(GJ[Account Code]=(TRIM($B55))),GJ[Debit]))))-((SUM(IF((CkDJ[Date]=$A$4)*(CkDJ[Sort Code]=(TRIM(E$5)))*(CkDJ[Account Code]=(TRIM($B55))),CkDJ[Credit])))+(SUM(IF((CsDJ[Date]=$A$4)*(CsDJ[Sort Code]=(TRIM(E$5)))*(CsDJ[Account Code]=(TRIM($B55))),CsDJ[Credit])))+(SUM(IF((CRDJ[Date]=$A$4)*(CRDJ[Sort Code]=(TRIM(E$5)))*(CRDJ[Account Code]=(TRIM($B55))),CRDJ[Credit])))+(SUM(IF((GJ[Date]=$A$4)*(GJ[Sort Code]=(TRIM(E$5)))*(GJ[Account Code]=(TRIM($B55))),GJ[Credit]))))</f>
        <v>0</v>
      </c>
      <c r="E55" s="467">
        <f>C55+D55</f>
        <v>0</v>
      </c>
    </row>
    <row r="56" spans="1:5">
      <c r="A56" s="476" t="s">
        <v>204</v>
      </c>
      <c r="B56" s="339" t="s">
        <v>171</v>
      </c>
      <c r="C56" s="466">
        <f t="array" ref="C56">((SUM(IF((CkDJ[Sort Code]=(TRIM(E$5)))*(CkDJ[Account Code]=(TRIM($B56)))*(CkDJ[Date]&lt;=$C$8),CkDJ[Debit])))+(SUM(IF((CsDJ[Sort Code]=(TRIM(E$5)))*(CsDJ[Account Code]=(TRIM($B56)))*(CsDJ[Date]&lt;=$C$8),CsDJ[Debit])))+(SUM(IF((CRDJ[Sort Code]=(TRIM(E$5)))*(CRDJ[Account Code]=(TRIM($B56)))*(CRDJ[Date]&lt;=$C$8),CRDJ[Debit])))+(SUM(IF((GJ[Sort Code]=(TRIM(E$5)))*(GJ[Account Code]=(TRIM($B56)))*(GJ[Date]&lt;=$C$8),GJ[Debit]))))-((SUM(IF((CkDJ[Sort Code]=(TRIM(E$5)))*(CkDJ[Account Code]=(TRIM($B56)))*(CkDJ[Date]&lt;=$C$8),CkDJ[Credit])))+(SUM(IF((CsDJ[Sort Code]=(TRIM(E$5)))*(CsDJ[Account Code]=(TRIM($B56)))*(CsDJ[Date]&lt;=$C$8),CsDJ[Credit])))+(SUM(IF((CRDJ[Sort Code]=(TRIM(E$5)))*(CRDJ[Account Code]=(TRIM($B56)))*(CRDJ[Date]&lt;=$C$8),CRDJ[Credit])))+(SUM(IF((GJ[Sort Code]=(TRIM(E$5)))*(GJ[Account Code]=(TRIM($B56)))*(GJ[Date]&lt;=$C$8),GJ[Credit]))))</f>
        <v>0</v>
      </c>
      <c r="D56" s="466">
        <f t="array" ref="D56">((SUM(IF((CkDJ[Date]=$A$4)*(CkDJ[Sort Code]=(TRIM(E$5)))*(CkDJ[Account Code]=(TRIM($B56))),CkDJ[Debit])))+(SUM(IF((CsDJ[Date]=$A$4)*(CsDJ[Sort Code]=(TRIM(E$5)))*(CsDJ[Account Code]=(TRIM($B56))),CsDJ[Debit])))+(SUM(IF((CRDJ[Date]=$A$4)*(CRDJ[Sort Code]=(TRIM(E$5)))*(CRDJ[Account Code]=(TRIM($B56))),CRDJ[Debit])))+(SUM(IF((GJ[Date]=$A$4)*(GJ[Sort Code]=(TRIM(E$5)))*(GJ[Account Code]=(TRIM($B56))),GJ[Debit]))))-((SUM(IF((CkDJ[Date]=$A$4)*(CkDJ[Sort Code]=(TRIM(E$5)))*(CkDJ[Account Code]=(TRIM($B56))),CkDJ[Credit])))+(SUM(IF((CsDJ[Date]=$A$4)*(CsDJ[Sort Code]=(TRIM(E$5)))*(CsDJ[Account Code]=(TRIM($B56))),CsDJ[Credit])))+(SUM(IF((CRDJ[Date]=$A$4)*(CRDJ[Sort Code]=(TRIM(E$5)))*(CRDJ[Account Code]=(TRIM($B56))),CRDJ[Credit])))+(SUM(IF((GJ[Date]=$A$4)*(GJ[Sort Code]=(TRIM(E$5)))*(GJ[Account Code]=(TRIM($B56))),GJ[Credit]))))</f>
        <v>0</v>
      </c>
      <c r="E56" s="467">
        <f t="shared" ref="E56:E72" si="2">C56+D56</f>
        <v>0</v>
      </c>
    </row>
    <row r="57" spans="1:5">
      <c r="A57" s="476" t="s">
        <v>201</v>
      </c>
      <c r="B57" s="339" t="s">
        <v>5</v>
      </c>
      <c r="C57" s="466">
        <f t="array" ref="C57">((SUM(IF((CkDJ[Sort Code]=(TRIM(E$5)))*(CkDJ[Account Code]=(TRIM($B57)))*(CkDJ[Date]&lt;=$C$8),CkDJ[Debit])))+(SUM(IF((CsDJ[Sort Code]=(TRIM(E$5)))*(CsDJ[Account Code]=(TRIM($B57)))*(CsDJ[Date]&lt;=$C$8),CsDJ[Debit])))+(SUM(IF((CRDJ[Sort Code]=(TRIM(E$5)))*(CRDJ[Account Code]=(TRIM($B57)))*(CRDJ[Date]&lt;=$C$8),CRDJ[Debit])))+(SUM(IF((GJ[Sort Code]=(TRIM(E$5)))*(GJ[Account Code]=(TRIM($B57)))*(GJ[Date]&lt;=$C$8),GJ[Debit]))))-((SUM(IF((CkDJ[Sort Code]=(TRIM(E$5)))*(CkDJ[Account Code]=(TRIM($B57)))*(CkDJ[Date]&lt;=$C$8),CkDJ[Credit])))+(SUM(IF((CsDJ[Sort Code]=(TRIM(E$5)))*(CsDJ[Account Code]=(TRIM($B57)))*(CsDJ[Date]&lt;=$C$8),CsDJ[Credit])))+(SUM(IF((CRDJ[Sort Code]=(TRIM(E$5)))*(CRDJ[Account Code]=(TRIM($B57)))*(CRDJ[Date]&lt;=$C$8),CRDJ[Credit])))+(SUM(IF((GJ[Sort Code]=(TRIM(E$5)))*(GJ[Account Code]=(TRIM($B57)))*(GJ[Date]&lt;=$C$8),GJ[Credit]))))</f>
        <v>0</v>
      </c>
      <c r="D57" s="466">
        <f t="array" ref="D57">((SUM(IF((CkDJ[Date]=$A$4)*(CkDJ[Sort Code]=(TRIM(E$5)))*(CkDJ[Account Code]=(TRIM($B57))),CkDJ[Debit])))+(SUM(IF((CsDJ[Date]=$A$4)*(CsDJ[Sort Code]=(TRIM(E$5)))*(CsDJ[Account Code]=(TRIM($B57))),CsDJ[Debit])))+(SUM(IF((CRDJ[Date]=$A$4)*(CRDJ[Sort Code]=(TRIM(E$5)))*(CRDJ[Account Code]=(TRIM($B57))),CRDJ[Debit])))+(SUM(IF((GJ[Date]=$A$4)*(GJ[Sort Code]=(TRIM(E$5)))*(GJ[Account Code]=(TRIM($B57))),GJ[Debit]))))-((SUM(IF((CkDJ[Date]=$A$4)*(CkDJ[Sort Code]=(TRIM(E$5)))*(CkDJ[Account Code]=(TRIM($B57))),CkDJ[Credit])))+(SUM(IF((CsDJ[Date]=$A$4)*(CsDJ[Sort Code]=(TRIM(E$5)))*(CsDJ[Account Code]=(TRIM($B57))),CsDJ[Credit])))+(SUM(IF((CRDJ[Date]=$A$4)*(CRDJ[Sort Code]=(TRIM(E$5)))*(CRDJ[Account Code]=(TRIM($B57))),CRDJ[Credit])))+(SUM(IF((GJ[Date]=$A$4)*(GJ[Sort Code]=(TRIM(E$5)))*(GJ[Account Code]=(TRIM($B57))),GJ[Credit]))))</f>
        <v>0</v>
      </c>
      <c r="E57" s="467">
        <f t="shared" si="2"/>
        <v>0</v>
      </c>
    </row>
    <row r="58" spans="1:5">
      <c r="A58" s="476" t="s">
        <v>202</v>
      </c>
      <c r="B58" s="339" t="s">
        <v>6</v>
      </c>
      <c r="C58" s="466">
        <f t="array" ref="C58">((SUM(IF((CkDJ[Sort Code]=(TRIM(E$5)))*(CkDJ[Account Code]=(TRIM($B58)))*(CkDJ[Date]&lt;=$C$8),CkDJ[Debit])))+(SUM(IF((CsDJ[Sort Code]=(TRIM(E$5)))*(CsDJ[Account Code]=(TRIM($B58)))*(CsDJ[Date]&lt;=$C$8),CsDJ[Debit])))+(SUM(IF((CRDJ[Sort Code]=(TRIM(E$5)))*(CRDJ[Account Code]=(TRIM($B58)))*(CRDJ[Date]&lt;=$C$8),CRDJ[Debit])))+(SUM(IF((GJ[Sort Code]=(TRIM(E$5)))*(GJ[Account Code]=(TRIM($B58)))*(GJ[Date]&lt;=$C$8),GJ[Debit]))))-((SUM(IF((CkDJ[Sort Code]=(TRIM(E$5)))*(CkDJ[Account Code]=(TRIM($B58)))*(CkDJ[Date]&lt;=$C$8),CkDJ[Credit])))+(SUM(IF((CsDJ[Sort Code]=(TRIM(E$5)))*(CsDJ[Account Code]=(TRIM($B58)))*(CsDJ[Date]&lt;=$C$8),CsDJ[Credit])))+(SUM(IF((CRDJ[Sort Code]=(TRIM(E$5)))*(CRDJ[Account Code]=(TRIM($B58)))*(CRDJ[Date]&lt;=$C$8),CRDJ[Credit])))+(SUM(IF((GJ[Sort Code]=(TRIM(E$5)))*(GJ[Account Code]=(TRIM($B58)))*(GJ[Date]&lt;=$C$8),GJ[Credit]))))</f>
        <v>0</v>
      </c>
      <c r="D58" s="466">
        <f t="array" ref="D58">((SUM(IF((CkDJ[Date]=$A$4)*(CkDJ[Sort Code]=(TRIM(E$5)))*(CkDJ[Account Code]=(TRIM($B58))),CkDJ[Debit])))+(SUM(IF((CsDJ[Date]=$A$4)*(CsDJ[Sort Code]=(TRIM(E$5)))*(CsDJ[Account Code]=(TRIM($B58))),CsDJ[Debit])))+(SUM(IF((CRDJ[Date]=$A$4)*(CRDJ[Sort Code]=(TRIM(E$5)))*(CRDJ[Account Code]=(TRIM($B58))),CRDJ[Debit])))+(SUM(IF((GJ[Date]=$A$4)*(GJ[Sort Code]=(TRIM(E$5)))*(GJ[Account Code]=(TRIM($B58))),GJ[Debit]))))-((SUM(IF((CkDJ[Date]=$A$4)*(CkDJ[Sort Code]=(TRIM(E$5)))*(CkDJ[Account Code]=(TRIM($B58))),CkDJ[Credit])))+(SUM(IF((CsDJ[Date]=$A$4)*(CsDJ[Sort Code]=(TRIM(E$5)))*(CsDJ[Account Code]=(TRIM($B58))),CsDJ[Credit])))+(SUM(IF((CRDJ[Date]=$A$4)*(CRDJ[Sort Code]=(TRIM(E$5)))*(CRDJ[Account Code]=(TRIM($B58))),CRDJ[Credit])))+(SUM(IF((GJ[Date]=$A$4)*(GJ[Sort Code]=(TRIM(E$5)))*(GJ[Account Code]=(TRIM($B58))),GJ[Credit]))))</f>
        <v>0</v>
      </c>
      <c r="E58" s="467">
        <f t="shared" si="2"/>
        <v>0</v>
      </c>
    </row>
    <row r="59" spans="1:5">
      <c r="A59" s="476" t="s">
        <v>203</v>
      </c>
      <c r="B59" s="339" t="s">
        <v>7</v>
      </c>
      <c r="C59" s="466">
        <f t="array" ref="C59">((SUM(IF((CkDJ[Sort Code]=(TRIM(E$5)))*(CkDJ[Account Code]=(TRIM($B59)))*(CkDJ[Date]&lt;=$C$8),CkDJ[Debit])))+(SUM(IF((CsDJ[Sort Code]=(TRIM(E$5)))*(CsDJ[Account Code]=(TRIM($B59)))*(CsDJ[Date]&lt;=$C$8),CsDJ[Debit])))+(SUM(IF((CRDJ[Sort Code]=(TRIM(E$5)))*(CRDJ[Account Code]=(TRIM($B59)))*(CRDJ[Date]&lt;=$C$8),CRDJ[Debit])))+(SUM(IF((GJ[Sort Code]=(TRIM(E$5)))*(GJ[Account Code]=(TRIM($B59)))*(GJ[Date]&lt;=$C$8),GJ[Debit]))))-((SUM(IF((CkDJ[Sort Code]=(TRIM(E$5)))*(CkDJ[Account Code]=(TRIM($B59)))*(CkDJ[Date]&lt;=$C$8),CkDJ[Credit])))+(SUM(IF((CsDJ[Sort Code]=(TRIM(E$5)))*(CsDJ[Account Code]=(TRIM($B59)))*(CsDJ[Date]&lt;=$C$8),CsDJ[Credit])))+(SUM(IF((CRDJ[Sort Code]=(TRIM(E$5)))*(CRDJ[Account Code]=(TRIM($B59)))*(CRDJ[Date]&lt;=$C$8),CRDJ[Credit])))+(SUM(IF((GJ[Sort Code]=(TRIM(E$5)))*(GJ[Account Code]=(TRIM($B59)))*(GJ[Date]&lt;=$C$8),GJ[Credit]))))</f>
        <v>0</v>
      </c>
      <c r="D59" s="466">
        <f t="array" ref="D59">((SUM(IF((CkDJ[Date]=$A$4)*(CkDJ[Sort Code]=(TRIM(E$5)))*(CkDJ[Account Code]=(TRIM($B59))),CkDJ[Debit])))+(SUM(IF((CsDJ[Date]=$A$4)*(CsDJ[Sort Code]=(TRIM(E$5)))*(CsDJ[Account Code]=(TRIM($B59))),CsDJ[Debit])))+(SUM(IF((CRDJ[Date]=$A$4)*(CRDJ[Sort Code]=(TRIM(E$5)))*(CRDJ[Account Code]=(TRIM($B59))),CRDJ[Debit])))+(SUM(IF((GJ[Date]=$A$4)*(GJ[Sort Code]=(TRIM(E$5)))*(GJ[Account Code]=(TRIM($B59))),GJ[Debit]))))-((SUM(IF((CkDJ[Date]=$A$4)*(CkDJ[Sort Code]=(TRIM(E$5)))*(CkDJ[Account Code]=(TRIM($B59))),CkDJ[Credit])))+(SUM(IF((CsDJ[Date]=$A$4)*(CsDJ[Sort Code]=(TRIM(E$5)))*(CsDJ[Account Code]=(TRIM($B59))),CsDJ[Credit])))+(SUM(IF((CRDJ[Date]=$A$4)*(CRDJ[Sort Code]=(TRIM(E$5)))*(CRDJ[Account Code]=(TRIM($B59))),CRDJ[Credit])))+(SUM(IF((GJ[Date]=$A$4)*(GJ[Sort Code]=(TRIM(E$5)))*(GJ[Account Code]=(TRIM($B59))),GJ[Credit]))))</f>
        <v>0</v>
      </c>
      <c r="E59" s="467">
        <f t="shared" si="2"/>
        <v>0</v>
      </c>
    </row>
    <row r="60" spans="1:5">
      <c r="A60" s="476" t="s">
        <v>1378</v>
      </c>
      <c r="B60" s="339" t="s">
        <v>169</v>
      </c>
      <c r="C60" s="466">
        <f t="array" ref="C60">((SUM(IF((CkDJ[Sort Code]=(TRIM(E$5)))*(CkDJ[Account Code]=(TRIM($B60)))*(CkDJ[Date]&lt;=$C$8),CkDJ[Debit])))+(SUM(IF((CsDJ[Sort Code]=(TRIM(E$5)))*(CsDJ[Account Code]=(TRIM($B60)))*(CsDJ[Date]&lt;=$C$8),CsDJ[Debit])))+(SUM(IF((CRDJ[Sort Code]=(TRIM(E$5)))*(CRDJ[Account Code]=(TRIM($B60)))*(CRDJ[Date]&lt;=$C$8),CRDJ[Debit])))+(SUM(IF((GJ[Sort Code]=(TRIM(E$5)))*(GJ[Account Code]=(TRIM($B60)))*(GJ[Date]&lt;=$C$8),GJ[Debit]))))-((SUM(IF((CkDJ[Sort Code]=(TRIM(E$5)))*(CkDJ[Account Code]=(TRIM($B60)))*(CkDJ[Date]&lt;=$C$8),CkDJ[Credit])))+(SUM(IF((CsDJ[Sort Code]=(TRIM(E$5)))*(CsDJ[Account Code]=(TRIM($B60)))*(CsDJ[Date]&lt;=$C$8),CsDJ[Credit])))+(SUM(IF((CRDJ[Sort Code]=(TRIM(E$5)))*(CRDJ[Account Code]=(TRIM($B60)))*(CRDJ[Date]&lt;=$C$8),CRDJ[Credit])))+(SUM(IF((GJ[Sort Code]=(TRIM(E$5)))*(GJ[Account Code]=(TRIM($B60)))*(GJ[Date]&lt;=$C$8),GJ[Credit]))))</f>
        <v>0</v>
      </c>
      <c r="D60" s="466">
        <f t="array" ref="D60">((SUM(IF((CkDJ[Date]=$A$4)*(CkDJ[Sort Code]=(TRIM(E$5)))*(CkDJ[Account Code]=(TRIM($B60))),CkDJ[Debit])))+(SUM(IF((CsDJ[Date]=$A$4)*(CsDJ[Sort Code]=(TRIM(E$5)))*(CsDJ[Account Code]=(TRIM($B60))),CsDJ[Debit])))+(SUM(IF((CRDJ[Date]=$A$4)*(CRDJ[Sort Code]=(TRIM(E$5)))*(CRDJ[Account Code]=(TRIM($B60))),CRDJ[Debit])))+(SUM(IF((GJ[Date]=$A$4)*(GJ[Sort Code]=(TRIM(E$5)))*(GJ[Account Code]=(TRIM($B60))),GJ[Debit]))))-((SUM(IF((CkDJ[Date]=$A$4)*(CkDJ[Sort Code]=(TRIM(E$5)))*(CkDJ[Account Code]=(TRIM($B60))),CkDJ[Credit])))+(SUM(IF((CsDJ[Date]=$A$4)*(CsDJ[Sort Code]=(TRIM(E$5)))*(CsDJ[Account Code]=(TRIM($B60))),CsDJ[Credit])))+(SUM(IF((CRDJ[Date]=$A$4)*(CRDJ[Sort Code]=(TRIM(E$5)))*(CRDJ[Account Code]=(TRIM($B60))),CRDJ[Credit])))+(SUM(IF((GJ[Date]=$A$4)*(GJ[Sort Code]=(TRIM(E$5)))*(GJ[Account Code]=(TRIM($B60))),GJ[Credit]))))</f>
        <v>0</v>
      </c>
      <c r="E60" s="467">
        <f>C60+D60</f>
        <v>0</v>
      </c>
    </row>
    <row r="61" spans="1:5">
      <c r="A61" s="476" t="s">
        <v>1474</v>
      </c>
      <c r="B61" s="339" t="s">
        <v>170</v>
      </c>
      <c r="C61" s="466">
        <f t="array" ref="C61">((SUM(IF((CkDJ[Sort Code]=(TRIM(E$5)))*(CkDJ[Account Code]=(TRIM($B61)))*(CkDJ[Date]&lt;=$C$8),CkDJ[Debit])))+(SUM(IF((CsDJ[Sort Code]=(TRIM(E$5)))*(CsDJ[Account Code]=(TRIM($B61)))*(CsDJ[Date]&lt;=$C$8),CsDJ[Debit])))+(SUM(IF((CRDJ[Sort Code]=(TRIM(E$5)))*(CRDJ[Account Code]=(TRIM($B61)))*(CRDJ[Date]&lt;=$C$8),CRDJ[Debit])))+(SUM(IF((GJ[Sort Code]=(TRIM(E$5)))*(GJ[Account Code]=(TRIM($B61)))*(GJ[Date]&lt;=$C$8),GJ[Debit]))))-((SUM(IF((CkDJ[Sort Code]=(TRIM(E$5)))*(CkDJ[Account Code]=(TRIM($B61)))*(CkDJ[Date]&lt;=$C$8),CkDJ[Credit])))+(SUM(IF((CsDJ[Sort Code]=(TRIM(E$5)))*(CsDJ[Account Code]=(TRIM($B61)))*(CsDJ[Date]&lt;=$C$8),CsDJ[Credit])))+(SUM(IF((CRDJ[Sort Code]=(TRIM(E$5)))*(CRDJ[Account Code]=(TRIM($B61)))*(CRDJ[Date]&lt;=$C$8),CRDJ[Credit])))+(SUM(IF((GJ[Sort Code]=(TRIM(E$5)))*(GJ[Account Code]=(TRIM($B61)))*(GJ[Date]&lt;=$C$8),GJ[Credit]))))</f>
        <v>0</v>
      </c>
      <c r="D61" s="466">
        <f t="array" ref="D61">((SUM(IF((CkDJ[Date]=$A$4)*(CkDJ[Sort Code]=(TRIM(E$5)))*(CkDJ[Account Code]=(TRIM($B61))),CkDJ[Debit])))+(SUM(IF((CsDJ[Date]=$A$4)*(CsDJ[Sort Code]=(TRIM(E$5)))*(CsDJ[Account Code]=(TRIM($B61))),CsDJ[Debit])))+(SUM(IF((CRDJ[Date]=$A$4)*(CRDJ[Sort Code]=(TRIM(E$5)))*(CRDJ[Account Code]=(TRIM($B61))),CRDJ[Debit])))+(SUM(IF((GJ[Date]=$A$4)*(GJ[Sort Code]=(TRIM(E$5)))*(GJ[Account Code]=(TRIM($B61))),GJ[Debit]))))-((SUM(IF((CkDJ[Date]=$A$4)*(CkDJ[Sort Code]=(TRIM(E$5)))*(CkDJ[Account Code]=(TRIM($B61))),CkDJ[Credit])))+(SUM(IF((CsDJ[Date]=$A$4)*(CsDJ[Sort Code]=(TRIM(E$5)))*(CsDJ[Account Code]=(TRIM($B61))),CsDJ[Credit])))+(SUM(IF((CRDJ[Date]=$A$4)*(CRDJ[Sort Code]=(TRIM(E$5)))*(CRDJ[Account Code]=(TRIM($B61))),CRDJ[Credit])))+(SUM(IF((GJ[Date]=$A$4)*(GJ[Sort Code]=(TRIM(E$5)))*(GJ[Account Code]=(TRIM($B61))),GJ[Credit]))))</f>
        <v>0</v>
      </c>
      <c r="E61" s="467">
        <f>C61+D61</f>
        <v>0</v>
      </c>
    </row>
    <row r="62" spans="1:5">
      <c r="A62" s="476" t="s">
        <v>206</v>
      </c>
      <c r="B62" s="339" t="s">
        <v>173</v>
      </c>
      <c r="C62" s="466">
        <f t="array" ref="C62">((SUM(IF((CkDJ[Sort Code]=(TRIM(E$5)))*(CkDJ[Account Code]=(TRIM($B62)))*(CkDJ[Date]&lt;=$C$8),CkDJ[Debit])))+(SUM(IF((CsDJ[Sort Code]=(TRIM(E$5)))*(CsDJ[Account Code]=(TRIM($B62)))*(CsDJ[Date]&lt;=$C$8),CsDJ[Debit])))+(SUM(IF((CRDJ[Sort Code]=(TRIM(E$5)))*(CRDJ[Account Code]=(TRIM($B62)))*(CRDJ[Date]&lt;=$C$8),CRDJ[Debit])))+(SUM(IF((GJ[Sort Code]=(TRIM(E$5)))*(GJ[Account Code]=(TRIM($B62)))*(GJ[Date]&lt;=$C$8),GJ[Debit]))))-((SUM(IF((CkDJ[Sort Code]=(TRIM(E$5)))*(CkDJ[Account Code]=(TRIM($B62)))*(CkDJ[Date]&lt;=$C$8),CkDJ[Credit])))+(SUM(IF((CsDJ[Sort Code]=(TRIM(E$5)))*(CsDJ[Account Code]=(TRIM($B62)))*(CsDJ[Date]&lt;=$C$8),CsDJ[Credit])))+(SUM(IF((CRDJ[Sort Code]=(TRIM(E$5)))*(CRDJ[Account Code]=(TRIM($B62)))*(CRDJ[Date]&lt;=$C$8),CRDJ[Credit])))+(SUM(IF((GJ[Sort Code]=(TRIM(E$5)))*(GJ[Account Code]=(TRIM($B62)))*(GJ[Date]&lt;=$C$8),GJ[Credit]))))</f>
        <v>0</v>
      </c>
      <c r="D62" s="466">
        <f t="array" ref="D62">((SUM(IF((CkDJ[Date]=$A$4)*(CkDJ[Sort Code]=(TRIM(E$5)))*(CkDJ[Account Code]=(TRIM($B62))),CkDJ[Debit])))+(SUM(IF((CsDJ[Date]=$A$4)*(CsDJ[Sort Code]=(TRIM(E$5)))*(CsDJ[Account Code]=(TRIM($B62))),CsDJ[Debit])))+(SUM(IF((CRDJ[Date]=$A$4)*(CRDJ[Sort Code]=(TRIM(E$5)))*(CRDJ[Account Code]=(TRIM($B62))),CRDJ[Debit])))+(SUM(IF((GJ[Date]=$A$4)*(GJ[Sort Code]=(TRIM(E$5)))*(GJ[Account Code]=(TRIM($B62))),GJ[Debit]))))-((SUM(IF((CkDJ[Date]=$A$4)*(CkDJ[Sort Code]=(TRIM(E$5)))*(CkDJ[Account Code]=(TRIM($B62))),CkDJ[Credit])))+(SUM(IF((CsDJ[Date]=$A$4)*(CsDJ[Sort Code]=(TRIM(E$5)))*(CsDJ[Account Code]=(TRIM($B62))),CsDJ[Credit])))+(SUM(IF((CRDJ[Date]=$A$4)*(CRDJ[Sort Code]=(TRIM(E$5)))*(CRDJ[Account Code]=(TRIM($B62))),CRDJ[Credit])))+(SUM(IF((GJ[Date]=$A$4)*(GJ[Sort Code]=(TRIM(E$5)))*(GJ[Account Code]=(TRIM($B62))),GJ[Credit]))))</f>
        <v>0</v>
      </c>
      <c r="E62" s="467">
        <f t="shared" si="2"/>
        <v>0</v>
      </c>
    </row>
    <row r="63" spans="1:5">
      <c r="A63" s="476" t="s">
        <v>354</v>
      </c>
      <c r="B63" s="339" t="s">
        <v>216</v>
      </c>
      <c r="C63" s="466">
        <f t="array" ref="C63">((SUM(IF((CkDJ[Sort Code]=(TRIM(E$5)))*(CkDJ[Account Code]=(TRIM($B63)))*(CkDJ[Date]&lt;=$C$8),CkDJ[Debit])))+(SUM(IF((CsDJ[Sort Code]=(TRIM(E$5)))*(CsDJ[Account Code]=(TRIM($B63)))*(CsDJ[Date]&lt;=$C$8),CsDJ[Debit])))+(SUM(IF((CRDJ[Sort Code]=(TRIM(E$5)))*(CRDJ[Account Code]=(TRIM($B63)))*(CRDJ[Date]&lt;=$C$8),CRDJ[Debit])))+(SUM(IF((GJ[Sort Code]=(TRIM(E$5)))*(GJ[Account Code]=(TRIM($B63)))*(GJ[Date]&lt;=$C$8),GJ[Debit]))))-((SUM(IF((CkDJ[Sort Code]=(TRIM(E$5)))*(CkDJ[Account Code]=(TRIM($B63)))*(CkDJ[Date]&lt;=$C$8),CkDJ[Credit])))+(SUM(IF((CsDJ[Sort Code]=(TRIM(E$5)))*(CsDJ[Account Code]=(TRIM($B63)))*(CsDJ[Date]&lt;=$C$8),CsDJ[Credit])))+(SUM(IF((CRDJ[Sort Code]=(TRIM(E$5)))*(CRDJ[Account Code]=(TRIM($B63)))*(CRDJ[Date]&lt;=$C$8),CRDJ[Credit])))+(SUM(IF((GJ[Sort Code]=(TRIM(E$5)))*(GJ[Account Code]=(TRIM($B63)))*(GJ[Date]&lt;=$C$8),GJ[Credit]))))</f>
        <v>0</v>
      </c>
      <c r="D63" s="466">
        <f t="array" ref="D63">((SUM(IF((CkDJ[Date]=$A$4)*(CkDJ[Sort Code]=(TRIM(E$5)))*(CkDJ[Account Code]=(TRIM($B63))),CkDJ[Debit])))+(SUM(IF((CsDJ[Date]=$A$4)*(CsDJ[Sort Code]=(TRIM(E$5)))*(CsDJ[Account Code]=(TRIM($B63))),CsDJ[Debit])))+(SUM(IF((CRDJ[Date]=$A$4)*(CRDJ[Sort Code]=(TRIM(E$5)))*(CRDJ[Account Code]=(TRIM($B63))),CRDJ[Debit])))+(SUM(IF((GJ[Date]=$A$4)*(GJ[Sort Code]=(TRIM(E$5)))*(GJ[Account Code]=(TRIM($B63))),GJ[Debit]))))-((SUM(IF((CkDJ[Date]=$A$4)*(CkDJ[Sort Code]=(TRIM(E$5)))*(CkDJ[Account Code]=(TRIM($B63))),CkDJ[Credit])))+(SUM(IF((CsDJ[Date]=$A$4)*(CsDJ[Sort Code]=(TRIM(E$5)))*(CsDJ[Account Code]=(TRIM($B63))),CsDJ[Credit])))+(SUM(IF((CRDJ[Date]=$A$4)*(CRDJ[Sort Code]=(TRIM(E$5)))*(CRDJ[Account Code]=(TRIM($B63))),CRDJ[Credit])))+(SUM(IF((GJ[Date]=$A$4)*(GJ[Sort Code]=(TRIM(E$5)))*(GJ[Account Code]=(TRIM($B63))),GJ[Credit]))))</f>
        <v>0</v>
      </c>
      <c r="E63" s="467">
        <f t="shared" si="2"/>
        <v>0</v>
      </c>
    </row>
    <row r="64" spans="1:5">
      <c r="A64" s="476" t="s">
        <v>219</v>
      </c>
      <c r="B64" s="339" t="s">
        <v>214</v>
      </c>
      <c r="C64" s="466">
        <f t="array" ref="C64">((SUM(IF((CkDJ[Sort Code]=(TRIM(E$5)))*(CkDJ[Account Code]=(TRIM($B64)))*(CkDJ[Date]&lt;=$C$8),CkDJ[Debit])))+(SUM(IF((CsDJ[Sort Code]=(TRIM(E$5)))*(CsDJ[Account Code]=(TRIM($B64)))*(CsDJ[Date]&lt;=$C$8),CsDJ[Debit])))+(SUM(IF((CRDJ[Sort Code]=(TRIM(E$5)))*(CRDJ[Account Code]=(TRIM($B64)))*(CRDJ[Date]&lt;=$C$8),CRDJ[Debit])))+(SUM(IF((GJ[Sort Code]=(TRIM(E$5)))*(GJ[Account Code]=(TRIM($B64)))*(GJ[Date]&lt;=$C$8),GJ[Debit]))))-((SUM(IF((CkDJ[Sort Code]=(TRIM(E$5)))*(CkDJ[Account Code]=(TRIM($B64)))*(CkDJ[Date]&lt;=$C$8),CkDJ[Credit])))+(SUM(IF((CsDJ[Sort Code]=(TRIM(E$5)))*(CsDJ[Account Code]=(TRIM($B64)))*(CsDJ[Date]&lt;=$C$8),CsDJ[Credit])))+(SUM(IF((CRDJ[Sort Code]=(TRIM(E$5)))*(CRDJ[Account Code]=(TRIM($B64)))*(CRDJ[Date]&lt;=$C$8),CRDJ[Credit])))+(SUM(IF((GJ[Sort Code]=(TRIM(E$5)))*(GJ[Account Code]=(TRIM($B64)))*(GJ[Date]&lt;=$C$8),GJ[Credit]))))</f>
        <v>0</v>
      </c>
      <c r="D64" s="466">
        <f t="array" ref="D64">((SUM(IF((CkDJ[Date]=$A$4)*(CkDJ[Sort Code]=(TRIM(E$5)))*(CkDJ[Account Code]=(TRIM($B64))),CkDJ[Debit])))+(SUM(IF((CsDJ[Date]=$A$4)*(CsDJ[Sort Code]=(TRIM(E$5)))*(CsDJ[Account Code]=(TRIM($B64))),CsDJ[Debit])))+(SUM(IF((CRDJ[Date]=$A$4)*(CRDJ[Sort Code]=(TRIM(E$5)))*(CRDJ[Account Code]=(TRIM($B64))),CRDJ[Debit])))+(SUM(IF((GJ[Date]=$A$4)*(GJ[Sort Code]=(TRIM(E$5)))*(GJ[Account Code]=(TRIM($B64))),GJ[Debit]))))-((SUM(IF((CkDJ[Date]=$A$4)*(CkDJ[Sort Code]=(TRIM(E$5)))*(CkDJ[Account Code]=(TRIM($B64))),CkDJ[Credit])))+(SUM(IF((CsDJ[Date]=$A$4)*(CsDJ[Sort Code]=(TRIM(E$5)))*(CsDJ[Account Code]=(TRIM($B64))),CsDJ[Credit])))+(SUM(IF((CRDJ[Date]=$A$4)*(CRDJ[Sort Code]=(TRIM(E$5)))*(CRDJ[Account Code]=(TRIM($B64))),CRDJ[Credit])))+(SUM(IF((GJ[Date]=$A$4)*(GJ[Sort Code]=(TRIM(E$5)))*(GJ[Account Code]=(TRIM($B64))),GJ[Credit]))))</f>
        <v>0</v>
      </c>
      <c r="E64" s="467">
        <f t="shared" si="2"/>
        <v>0</v>
      </c>
    </row>
    <row r="65" spans="1:5">
      <c r="A65" s="476" t="s">
        <v>205</v>
      </c>
      <c r="B65" s="339" t="s">
        <v>172</v>
      </c>
      <c r="C65" s="466">
        <f t="array" ref="C65">((SUM(IF((CkDJ[Sort Code]=(TRIM(E$5)))*(CkDJ[Account Code]=(TRIM($B65)))*(CkDJ[Date]&lt;=$C$8),CkDJ[Debit])))+(SUM(IF((CsDJ[Sort Code]=(TRIM(E$5)))*(CsDJ[Account Code]=(TRIM($B65)))*(CsDJ[Date]&lt;=$C$8),CsDJ[Debit])))+(SUM(IF((CRDJ[Sort Code]=(TRIM(E$5)))*(CRDJ[Account Code]=(TRIM($B65)))*(CRDJ[Date]&lt;=$C$8),CRDJ[Debit])))+(SUM(IF((GJ[Sort Code]=(TRIM(E$5)))*(GJ[Account Code]=(TRIM($B65)))*(GJ[Date]&lt;=$C$8),GJ[Debit]))))-((SUM(IF((CkDJ[Sort Code]=(TRIM(E$5)))*(CkDJ[Account Code]=(TRIM($B65)))*(CkDJ[Date]&lt;=$C$8),CkDJ[Credit])))+(SUM(IF((CsDJ[Sort Code]=(TRIM(E$5)))*(CsDJ[Account Code]=(TRIM($B65)))*(CsDJ[Date]&lt;=$C$8),CsDJ[Credit])))+(SUM(IF((CRDJ[Sort Code]=(TRIM(E$5)))*(CRDJ[Account Code]=(TRIM($B65)))*(CRDJ[Date]&lt;=$C$8),CRDJ[Credit])))+(SUM(IF((GJ[Sort Code]=(TRIM(E$5)))*(GJ[Account Code]=(TRIM($B65)))*(GJ[Date]&lt;=$C$8),GJ[Credit]))))</f>
        <v>0</v>
      </c>
      <c r="D65" s="466">
        <f t="array" ref="D65">((SUM(IF((CkDJ[Date]=$A$4)*(CkDJ[Sort Code]=(TRIM(E$5)))*(CkDJ[Account Code]=(TRIM($B65))),CkDJ[Debit])))+(SUM(IF((CsDJ[Date]=$A$4)*(CsDJ[Sort Code]=(TRIM(E$5)))*(CsDJ[Account Code]=(TRIM($B65))),CsDJ[Debit])))+(SUM(IF((CRDJ[Date]=$A$4)*(CRDJ[Sort Code]=(TRIM(E$5)))*(CRDJ[Account Code]=(TRIM($B65))),CRDJ[Debit])))+(SUM(IF((GJ[Date]=$A$4)*(GJ[Sort Code]=(TRIM(E$5)))*(GJ[Account Code]=(TRIM($B65))),GJ[Debit]))))-((SUM(IF((CkDJ[Date]=$A$4)*(CkDJ[Sort Code]=(TRIM(E$5)))*(CkDJ[Account Code]=(TRIM($B65))),CkDJ[Credit])))+(SUM(IF((CsDJ[Date]=$A$4)*(CsDJ[Sort Code]=(TRIM(E$5)))*(CsDJ[Account Code]=(TRIM($B65))),CsDJ[Credit])))+(SUM(IF((CRDJ[Date]=$A$4)*(CRDJ[Sort Code]=(TRIM(E$5)))*(CRDJ[Account Code]=(TRIM($B65))),CRDJ[Credit])))+(SUM(IF((GJ[Date]=$A$4)*(GJ[Sort Code]=(TRIM(E$5)))*(GJ[Account Code]=(TRIM($B65))),GJ[Credit]))))</f>
        <v>0</v>
      </c>
      <c r="E65" s="467">
        <f t="shared" si="2"/>
        <v>0</v>
      </c>
    </row>
    <row r="66" spans="1:5">
      <c r="A66" s="476" t="s">
        <v>207</v>
      </c>
      <c r="B66" s="339" t="s">
        <v>174</v>
      </c>
      <c r="C66" s="466">
        <f t="array" ref="C66">((SUM(IF((CkDJ[Sort Code]=(TRIM(E$5)))*(CkDJ[Account Code]=(TRIM($B66)))*(CkDJ[Date]&lt;=$C$8),CkDJ[Debit])))+(SUM(IF((CsDJ[Sort Code]=(TRIM(E$5)))*(CsDJ[Account Code]=(TRIM($B66)))*(CsDJ[Date]&lt;=$C$8),CsDJ[Debit])))+(SUM(IF((CRDJ[Sort Code]=(TRIM(E$5)))*(CRDJ[Account Code]=(TRIM($B66)))*(CRDJ[Date]&lt;=$C$8),CRDJ[Debit])))+(SUM(IF((GJ[Sort Code]=(TRIM(E$5)))*(GJ[Account Code]=(TRIM($B66)))*(GJ[Date]&lt;=$C$8),GJ[Debit]))))-((SUM(IF((CkDJ[Sort Code]=(TRIM(E$5)))*(CkDJ[Account Code]=(TRIM($B66)))*(CkDJ[Date]&lt;=$C$8),CkDJ[Credit])))+(SUM(IF((CsDJ[Sort Code]=(TRIM(E$5)))*(CsDJ[Account Code]=(TRIM($B66)))*(CsDJ[Date]&lt;=$C$8),CsDJ[Credit])))+(SUM(IF((CRDJ[Sort Code]=(TRIM(E$5)))*(CRDJ[Account Code]=(TRIM($B66)))*(CRDJ[Date]&lt;=$C$8),CRDJ[Credit])))+(SUM(IF((GJ[Sort Code]=(TRIM(E$5)))*(GJ[Account Code]=(TRIM($B66)))*(GJ[Date]&lt;=$C$8),GJ[Credit]))))</f>
        <v>0</v>
      </c>
      <c r="D66" s="466">
        <f t="array" ref="D66">((SUM(IF((CkDJ[Date]=$A$4)*(CkDJ[Sort Code]=(TRIM(E$5)))*(CkDJ[Account Code]=(TRIM($B66))),CkDJ[Debit])))+(SUM(IF((CsDJ[Date]=$A$4)*(CsDJ[Sort Code]=(TRIM(E$5)))*(CsDJ[Account Code]=(TRIM($B66))),CsDJ[Debit])))+(SUM(IF((CRDJ[Date]=$A$4)*(CRDJ[Sort Code]=(TRIM(E$5)))*(CRDJ[Account Code]=(TRIM($B66))),CRDJ[Debit])))+(SUM(IF((GJ[Date]=$A$4)*(GJ[Sort Code]=(TRIM(E$5)))*(GJ[Account Code]=(TRIM($B66))),GJ[Debit]))))-((SUM(IF((CkDJ[Date]=$A$4)*(CkDJ[Sort Code]=(TRIM(E$5)))*(CkDJ[Account Code]=(TRIM($B66))),CkDJ[Credit])))+(SUM(IF((CsDJ[Date]=$A$4)*(CsDJ[Sort Code]=(TRIM(E$5)))*(CsDJ[Account Code]=(TRIM($B66))),CsDJ[Credit])))+(SUM(IF((CRDJ[Date]=$A$4)*(CRDJ[Sort Code]=(TRIM(E$5)))*(CRDJ[Account Code]=(TRIM($B66))),CRDJ[Credit])))+(SUM(IF((GJ[Date]=$A$4)*(GJ[Sort Code]=(TRIM(E$5)))*(GJ[Account Code]=(TRIM($B66))),GJ[Credit]))))</f>
        <v>0</v>
      </c>
      <c r="E66" s="467">
        <f t="shared" si="2"/>
        <v>0</v>
      </c>
    </row>
    <row r="67" spans="1:5">
      <c r="A67" s="476" t="s">
        <v>208</v>
      </c>
      <c r="B67" s="339" t="s">
        <v>175</v>
      </c>
      <c r="C67" s="466">
        <f t="array" ref="C67">((SUM(IF((CkDJ[Sort Code]=(TRIM(E$5)))*(CkDJ[Account Code]=(TRIM($B67)))*(CkDJ[Date]&lt;=$C$8),CkDJ[Debit])))+(SUM(IF((CsDJ[Sort Code]=(TRIM(E$5)))*(CsDJ[Account Code]=(TRIM($B67)))*(CsDJ[Date]&lt;=$C$8),CsDJ[Debit])))+(SUM(IF((CRDJ[Sort Code]=(TRIM(E$5)))*(CRDJ[Account Code]=(TRIM($B67)))*(CRDJ[Date]&lt;=$C$8),CRDJ[Debit])))+(SUM(IF((GJ[Sort Code]=(TRIM(E$5)))*(GJ[Account Code]=(TRIM($B67)))*(GJ[Date]&lt;=$C$8),GJ[Debit]))))-((SUM(IF((CkDJ[Sort Code]=(TRIM(E$5)))*(CkDJ[Account Code]=(TRIM($B67)))*(CkDJ[Date]&lt;=$C$8),CkDJ[Credit])))+(SUM(IF((CsDJ[Sort Code]=(TRIM(E$5)))*(CsDJ[Account Code]=(TRIM($B67)))*(CsDJ[Date]&lt;=$C$8),CsDJ[Credit])))+(SUM(IF((CRDJ[Sort Code]=(TRIM(E$5)))*(CRDJ[Account Code]=(TRIM($B67)))*(CRDJ[Date]&lt;=$C$8),CRDJ[Credit])))+(SUM(IF((GJ[Sort Code]=(TRIM(E$5)))*(GJ[Account Code]=(TRIM($B67)))*(GJ[Date]&lt;=$C$8),GJ[Credit]))))</f>
        <v>0</v>
      </c>
      <c r="D67" s="466">
        <f t="array" ref="D67">((SUM(IF((CkDJ[Date]=$A$4)*(CkDJ[Sort Code]=(TRIM(E$5)))*(CkDJ[Account Code]=(TRIM($B67))),CkDJ[Debit])))+(SUM(IF((CsDJ[Date]=$A$4)*(CsDJ[Sort Code]=(TRIM(E$5)))*(CsDJ[Account Code]=(TRIM($B67))),CsDJ[Debit])))+(SUM(IF((CRDJ[Date]=$A$4)*(CRDJ[Sort Code]=(TRIM(E$5)))*(CRDJ[Account Code]=(TRIM($B67))),CRDJ[Debit])))+(SUM(IF((GJ[Date]=$A$4)*(GJ[Sort Code]=(TRIM(E$5)))*(GJ[Account Code]=(TRIM($B67))),GJ[Debit]))))-((SUM(IF((CkDJ[Date]=$A$4)*(CkDJ[Sort Code]=(TRIM(E$5)))*(CkDJ[Account Code]=(TRIM($B67))),CkDJ[Credit])))+(SUM(IF((CsDJ[Date]=$A$4)*(CsDJ[Sort Code]=(TRIM(E$5)))*(CsDJ[Account Code]=(TRIM($B67))),CsDJ[Credit])))+(SUM(IF((CRDJ[Date]=$A$4)*(CRDJ[Sort Code]=(TRIM(E$5)))*(CRDJ[Account Code]=(TRIM($B67))),CRDJ[Credit])))+(SUM(IF((GJ[Date]=$A$4)*(GJ[Sort Code]=(TRIM(E$5)))*(GJ[Account Code]=(TRIM($B67))),GJ[Credit]))))</f>
        <v>0</v>
      </c>
      <c r="E67" s="467">
        <f t="shared" si="2"/>
        <v>0</v>
      </c>
    </row>
    <row r="68" spans="1:5">
      <c r="A68" s="476" t="s">
        <v>209</v>
      </c>
      <c r="B68" s="339" t="s">
        <v>176</v>
      </c>
      <c r="C68" s="466">
        <f t="array" ref="C68">((SUM(IF((CkDJ[Sort Code]=(TRIM(E$5)))*(CkDJ[Account Code]=(TRIM($B68)))*(CkDJ[Date]&lt;=$C$8),CkDJ[Debit])))+(SUM(IF((CsDJ[Sort Code]=(TRIM(E$5)))*(CsDJ[Account Code]=(TRIM($B68)))*(CsDJ[Date]&lt;=$C$8),CsDJ[Debit])))+(SUM(IF((CRDJ[Sort Code]=(TRIM(E$5)))*(CRDJ[Account Code]=(TRIM($B68)))*(CRDJ[Date]&lt;=$C$8),CRDJ[Debit])))+(SUM(IF((GJ[Sort Code]=(TRIM(E$5)))*(GJ[Account Code]=(TRIM($B68)))*(GJ[Date]&lt;=$C$8),GJ[Debit]))))-((SUM(IF((CkDJ[Sort Code]=(TRIM(E$5)))*(CkDJ[Account Code]=(TRIM($B68)))*(CkDJ[Date]&lt;=$C$8),CkDJ[Credit])))+(SUM(IF((CsDJ[Sort Code]=(TRIM(E$5)))*(CsDJ[Account Code]=(TRIM($B68)))*(CsDJ[Date]&lt;=$C$8),CsDJ[Credit])))+(SUM(IF((CRDJ[Sort Code]=(TRIM(E$5)))*(CRDJ[Account Code]=(TRIM($B68)))*(CRDJ[Date]&lt;=$C$8),CRDJ[Credit])))+(SUM(IF((GJ[Sort Code]=(TRIM(E$5)))*(GJ[Account Code]=(TRIM($B68)))*(GJ[Date]&lt;=$C$8),GJ[Credit]))))</f>
        <v>0</v>
      </c>
      <c r="D68" s="466">
        <f t="array" ref="D68">((SUM(IF((CkDJ[Date]=$A$4)*(CkDJ[Sort Code]=(TRIM(E$5)))*(CkDJ[Account Code]=(TRIM($B68))),CkDJ[Debit])))+(SUM(IF((CsDJ[Date]=$A$4)*(CsDJ[Sort Code]=(TRIM(E$5)))*(CsDJ[Account Code]=(TRIM($B68))),CsDJ[Debit])))+(SUM(IF((CRDJ[Date]=$A$4)*(CRDJ[Sort Code]=(TRIM(E$5)))*(CRDJ[Account Code]=(TRIM($B68))),CRDJ[Debit])))+(SUM(IF((GJ[Date]=$A$4)*(GJ[Sort Code]=(TRIM(E$5)))*(GJ[Account Code]=(TRIM($B68))),GJ[Debit]))))-((SUM(IF((CkDJ[Date]=$A$4)*(CkDJ[Sort Code]=(TRIM(E$5)))*(CkDJ[Account Code]=(TRIM($B68))),CkDJ[Credit])))+(SUM(IF((CsDJ[Date]=$A$4)*(CsDJ[Sort Code]=(TRIM(E$5)))*(CsDJ[Account Code]=(TRIM($B68))),CsDJ[Credit])))+(SUM(IF((CRDJ[Date]=$A$4)*(CRDJ[Sort Code]=(TRIM(E$5)))*(CRDJ[Account Code]=(TRIM($B68))),CRDJ[Credit])))+(SUM(IF((GJ[Date]=$A$4)*(GJ[Sort Code]=(TRIM(E$5)))*(GJ[Account Code]=(TRIM($B68))),GJ[Credit]))))</f>
        <v>0</v>
      </c>
      <c r="E68" s="467">
        <f t="shared" si="2"/>
        <v>0</v>
      </c>
    </row>
    <row r="69" spans="1:5">
      <c r="A69" s="476" t="s">
        <v>210</v>
      </c>
      <c r="B69" s="339" t="s">
        <v>177</v>
      </c>
      <c r="C69" s="466">
        <f t="array" ref="C69">((SUM(IF((CkDJ[Sort Code]=(TRIM(E$5)))*(CkDJ[Account Code]=(TRIM($B69)))*(CkDJ[Date]&lt;=$C$8),CkDJ[Debit])))+(SUM(IF((CsDJ[Sort Code]=(TRIM(E$5)))*(CsDJ[Account Code]=(TRIM($B69)))*(CsDJ[Date]&lt;=$C$8),CsDJ[Debit])))+(SUM(IF((CRDJ[Sort Code]=(TRIM(E$5)))*(CRDJ[Account Code]=(TRIM($B69)))*(CRDJ[Date]&lt;=$C$8),CRDJ[Debit])))+(SUM(IF((GJ[Sort Code]=(TRIM(E$5)))*(GJ[Account Code]=(TRIM($B69)))*(GJ[Date]&lt;=$C$8),GJ[Debit]))))-((SUM(IF((CkDJ[Sort Code]=(TRIM(E$5)))*(CkDJ[Account Code]=(TRIM($B69)))*(CkDJ[Date]&lt;=$C$8),CkDJ[Credit])))+(SUM(IF((CsDJ[Sort Code]=(TRIM(E$5)))*(CsDJ[Account Code]=(TRIM($B69)))*(CsDJ[Date]&lt;=$C$8),CsDJ[Credit])))+(SUM(IF((CRDJ[Sort Code]=(TRIM(E$5)))*(CRDJ[Account Code]=(TRIM($B69)))*(CRDJ[Date]&lt;=$C$8),CRDJ[Credit])))+(SUM(IF((GJ[Sort Code]=(TRIM(E$5)))*(GJ[Account Code]=(TRIM($B69)))*(GJ[Date]&lt;=$C$8),GJ[Credit]))))</f>
        <v>0</v>
      </c>
      <c r="D69" s="466">
        <f t="array" ref="D69">((SUM(IF((CkDJ[Date]=$A$4)*(CkDJ[Sort Code]=(TRIM(E$5)))*(CkDJ[Account Code]=(TRIM($B69))),CkDJ[Debit])))+(SUM(IF((CsDJ[Date]=$A$4)*(CsDJ[Sort Code]=(TRIM(E$5)))*(CsDJ[Account Code]=(TRIM($B69))),CsDJ[Debit])))+(SUM(IF((CRDJ[Date]=$A$4)*(CRDJ[Sort Code]=(TRIM(E$5)))*(CRDJ[Account Code]=(TRIM($B69))),CRDJ[Debit])))+(SUM(IF((GJ[Date]=$A$4)*(GJ[Sort Code]=(TRIM(E$5)))*(GJ[Account Code]=(TRIM($B69))),GJ[Debit]))))-((SUM(IF((CkDJ[Date]=$A$4)*(CkDJ[Sort Code]=(TRIM(E$5)))*(CkDJ[Account Code]=(TRIM($B69))),CkDJ[Credit])))+(SUM(IF((CsDJ[Date]=$A$4)*(CsDJ[Sort Code]=(TRIM(E$5)))*(CsDJ[Account Code]=(TRIM($B69))),CsDJ[Credit])))+(SUM(IF((CRDJ[Date]=$A$4)*(CRDJ[Sort Code]=(TRIM(E$5)))*(CRDJ[Account Code]=(TRIM($B69))),CRDJ[Credit])))+(SUM(IF((GJ[Date]=$A$4)*(GJ[Sort Code]=(TRIM(E$5)))*(GJ[Account Code]=(TRIM($B69))),GJ[Credit]))))</f>
        <v>0</v>
      </c>
      <c r="E69" s="467">
        <f t="shared" si="2"/>
        <v>0</v>
      </c>
    </row>
    <row r="70" spans="1:5">
      <c r="A70" s="476" t="s">
        <v>211</v>
      </c>
      <c r="B70" s="339" t="s">
        <v>178</v>
      </c>
      <c r="C70" s="466">
        <f t="array" ref="C70">((SUM(IF((CkDJ[Sort Code]=(TRIM(E$5)))*(CkDJ[Account Code]=(TRIM($B70)))*(CkDJ[Date]&lt;=$C$8),CkDJ[Debit])))+(SUM(IF((CsDJ[Sort Code]=(TRIM(E$5)))*(CsDJ[Account Code]=(TRIM($B70)))*(CsDJ[Date]&lt;=$C$8),CsDJ[Debit])))+(SUM(IF((CRDJ[Sort Code]=(TRIM(E$5)))*(CRDJ[Account Code]=(TRIM($B70)))*(CRDJ[Date]&lt;=$C$8),CRDJ[Debit])))+(SUM(IF((GJ[Sort Code]=(TRIM(E$5)))*(GJ[Account Code]=(TRIM($B70)))*(GJ[Date]&lt;=$C$8),GJ[Debit]))))-((SUM(IF((CkDJ[Sort Code]=(TRIM(E$5)))*(CkDJ[Account Code]=(TRIM($B70)))*(CkDJ[Date]&lt;=$C$8),CkDJ[Credit])))+(SUM(IF((CsDJ[Sort Code]=(TRIM(E$5)))*(CsDJ[Account Code]=(TRIM($B70)))*(CsDJ[Date]&lt;=$C$8),CsDJ[Credit])))+(SUM(IF((CRDJ[Sort Code]=(TRIM(E$5)))*(CRDJ[Account Code]=(TRIM($B70)))*(CRDJ[Date]&lt;=$C$8),CRDJ[Credit])))+(SUM(IF((GJ[Sort Code]=(TRIM(E$5)))*(GJ[Account Code]=(TRIM($B70)))*(GJ[Date]&lt;=$C$8),GJ[Credit]))))</f>
        <v>0</v>
      </c>
      <c r="D70" s="466">
        <f t="array" ref="D70">((SUM(IF((CkDJ[Date]=$A$4)*(CkDJ[Sort Code]=(TRIM(E$5)))*(CkDJ[Account Code]=(TRIM($B70))),CkDJ[Debit])))+(SUM(IF((CsDJ[Date]=$A$4)*(CsDJ[Sort Code]=(TRIM(E$5)))*(CsDJ[Account Code]=(TRIM($B70))),CsDJ[Debit])))+(SUM(IF((CRDJ[Date]=$A$4)*(CRDJ[Sort Code]=(TRIM(E$5)))*(CRDJ[Account Code]=(TRIM($B70))),CRDJ[Debit])))+(SUM(IF((GJ[Date]=$A$4)*(GJ[Sort Code]=(TRIM(E$5)))*(GJ[Account Code]=(TRIM($B70))),GJ[Debit]))))-((SUM(IF((CkDJ[Date]=$A$4)*(CkDJ[Sort Code]=(TRIM(E$5)))*(CkDJ[Account Code]=(TRIM($B70))),CkDJ[Credit])))+(SUM(IF((CsDJ[Date]=$A$4)*(CsDJ[Sort Code]=(TRIM(E$5)))*(CsDJ[Account Code]=(TRIM($B70))),CsDJ[Credit])))+(SUM(IF((CRDJ[Date]=$A$4)*(CRDJ[Sort Code]=(TRIM(E$5)))*(CRDJ[Account Code]=(TRIM($B70))),CRDJ[Credit])))+(SUM(IF((GJ[Date]=$A$4)*(GJ[Sort Code]=(TRIM(E$5)))*(GJ[Account Code]=(TRIM($B70))),GJ[Credit]))))</f>
        <v>0</v>
      </c>
      <c r="E70" s="467">
        <f t="shared" si="2"/>
        <v>0</v>
      </c>
    </row>
    <row r="71" spans="1:5">
      <c r="A71" s="476" t="s">
        <v>1167</v>
      </c>
      <c r="B71" s="339" t="s">
        <v>212</v>
      </c>
      <c r="C71" s="466">
        <f t="array" ref="C71">((SUM(IF((CkDJ[Sort Code]=(TRIM(E$5)))*(CkDJ[Account Code]=(TRIM($B71)))*(CkDJ[Date]&lt;=$C$8),CkDJ[Debit])))+(SUM(IF((CsDJ[Sort Code]=(TRIM(E$5)))*(CsDJ[Account Code]=(TRIM($B71)))*(CsDJ[Date]&lt;=$C$8),CsDJ[Debit])))+(SUM(IF((CRDJ[Sort Code]=(TRIM(E$5)))*(CRDJ[Account Code]=(TRIM($B71)))*(CRDJ[Date]&lt;=$C$8),CRDJ[Debit])))+(SUM(IF((GJ[Sort Code]=(TRIM(E$5)))*(GJ[Account Code]=(TRIM($B71)))*(GJ[Date]&lt;=$C$8),GJ[Debit]))))-((SUM(IF((CkDJ[Sort Code]=(TRIM(E$5)))*(CkDJ[Account Code]=(TRIM($B71)))*(CkDJ[Date]&lt;=$C$8),CkDJ[Credit])))+(SUM(IF((CsDJ[Sort Code]=(TRIM(E$5)))*(CsDJ[Account Code]=(TRIM($B71)))*(CsDJ[Date]&lt;=$C$8),CsDJ[Credit])))+(SUM(IF((CRDJ[Sort Code]=(TRIM(E$5)))*(CRDJ[Account Code]=(TRIM($B71)))*(CRDJ[Date]&lt;=$C$8),CRDJ[Credit])))+(SUM(IF((GJ[Sort Code]=(TRIM(E$5)))*(GJ[Account Code]=(TRIM($B71)))*(GJ[Date]&lt;=$C$8),GJ[Credit]))))</f>
        <v>0</v>
      </c>
      <c r="D71" s="466">
        <f t="array" ref="D71">((SUM(IF((CkDJ[Date]=$A$4)*(CkDJ[Sort Code]=(TRIM(E$5)))*(CkDJ[Account Code]=(TRIM($B71))),CkDJ[Debit])))+(SUM(IF((CsDJ[Date]=$A$4)*(CsDJ[Sort Code]=(TRIM(E$5)))*(CsDJ[Account Code]=(TRIM($B71))),CsDJ[Debit])))+(SUM(IF((CRDJ[Date]=$A$4)*(CRDJ[Sort Code]=(TRIM(E$5)))*(CRDJ[Account Code]=(TRIM($B71))),CRDJ[Debit])))+(SUM(IF((GJ[Date]=$A$4)*(GJ[Sort Code]=(TRIM(E$5)))*(GJ[Account Code]=(TRIM($B71))),GJ[Debit]))))-((SUM(IF((CkDJ[Date]=$A$4)*(CkDJ[Sort Code]=(TRIM(E$5)))*(CkDJ[Account Code]=(TRIM($B71))),CkDJ[Credit])))+(SUM(IF((CsDJ[Date]=$A$4)*(CsDJ[Sort Code]=(TRIM(E$5)))*(CsDJ[Account Code]=(TRIM($B71))),CsDJ[Credit])))+(SUM(IF((CRDJ[Date]=$A$4)*(CRDJ[Sort Code]=(TRIM(E$5)))*(CRDJ[Account Code]=(TRIM($B71))),CRDJ[Credit])))+(SUM(IF((GJ[Date]=$A$4)*(GJ[Sort Code]=(TRIM(E$5)))*(GJ[Account Code]=(TRIM($B71))),GJ[Credit]))))</f>
        <v>0</v>
      </c>
      <c r="E71" s="467">
        <f>C71+D71</f>
        <v>0</v>
      </c>
    </row>
    <row r="72" spans="1:5">
      <c r="A72" s="481" t="s">
        <v>218</v>
      </c>
      <c r="B72" s="482" t="s">
        <v>213</v>
      </c>
      <c r="C72" s="483">
        <f t="array" ref="C72">((SUM(IF((CkDJ[Sort Code]=(TRIM(E$5)))*(CkDJ[Account Code]=(TRIM($B72)))*(CkDJ[Date]&lt;=$C$8),CkDJ[Debit])))+(SUM(IF((CsDJ[Sort Code]=(TRIM(E$5)))*(CsDJ[Account Code]=(TRIM($B72)))*(CsDJ[Date]&lt;=$C$8),CsDJ[Debit])))+(SUM(IF((CRDJ[Sort Code]=(TRIM(E$5)))*(CRDJ[Account Code]=(TRIM($B72)))*(CRDJ[Date]&lt;=$C$8),CRDJ[Debit])))+(SUM(IF((GJ[Sort Code]=(TRIM(E$5)))*(GJ[Account Code]=(TRIM($B72)))*(GJ[Date]&lt;=$C$8),GJ[Debit]))))-((SUM(IF((CkDJ[Sort Code]=(TRIM(E$5)))*(CkDJ[Account Code]=(TRIM($B72)))*(CkDJ[Date]&lt;=$C$8),CkDJ[Credit])))+(SUM(IF((CsDJ[Sort Code]=(TRIM(E$5)))*(CsDJ[Account Code]=(TRIM($B72)))*(CsDJ[Date]&lt;=$C$8),CsDJ[Credit])))+(SUM(IF((CRDJ[Sort Code]=(TRIM(E$5)))*(CRDJ[Account Code]=(TRIM($B72)))*(CRDJ[Date]&lt;=$C$8),CRDJ[Credit])))+(SUM(IF((GJ[Sort Code]=(TRIM(E$5)))*(GJ[Account Code]=(TRIM($B72)))*(GJ[Date]&lt;=$C$8),GJ[Credit]))))</f>
        <v>0</v>
      </c>
      <c r="D72" s="483">
        <f t="array" ref="D72">((SUM(IF((CkDJ[Date]=$A$4)*(CkDJ[Sort Code]=(TRIM(E$5)))*(CkDJ[Account Code]=(TRIM($B72))),CkDJ[Debit])))+(SUM(IF((CsDJ[Date]=$A$4)*(CsDJ[Sort Code]=(TRIM(E$5)))*(CsDJ[Account Code]=(TRIM($B72))),CsDJ[Debit])))+(SUM(IF((CRDJ[Date]=$A$4)*(CRDJ[Sort Code]=(TRIM(E$5)))*(CRDJ[Account Code]=(TRIM($B72))),CRDJ[Debit])))+(SUM(IF((GJ[Date]=$A$4)*(GJ[Sort Code]=(TRIM(E$5)))*(GJ[Account Code]=(TRIM($B72))),GJ[Debit]))))-((SUM(IF((CkDJ[Date]=$A$4)*(CkDJ[Sort Code]=(TRIM(E$5)))*(CkDJ[Account Code]=(TRIM($B72))),CkDJ[Credit])))+(SUM(IF((CsDJ[Date]=$A$4)*(CsDJ[Sort Code]=(TRIM(E$5)))*(CsDJ[Account Code]=(TRIM($B72))),CsDJ[Credit])))+(SUM(IF((CRDJ[Date]=$A$4)*(CRDJ[Sort Code]=(TRIM(E$5)))*(CRDJ[Account Code]=(TRIM($B72))),CRDJ[Credit])))+(SUM(IF((GJ[Date]=$A$4)*(GJ[Sort Code]=(TRIM(E$5)))*(GJ[Account Code]=(TRIM($B72))),GJ[Credit]))))</f>
        <v>0</v>
      </c>
      <c r="E72" s="484">
        <f t="shared" si="2"/>
        <v>0</v>
      </c>
    </row>
    <row r="73" spans="1:5">
      <c r="A73" s="476"/>
      <c r="B73" s="339"/>
      <c r="C73" s="466"/>
      <c r="D73" s="466"/>
      <c r="E73" s="467"/>
    </row>
    <row r="74" spans="1:5">
      <c r="A74" s="471" t="s">
        <v>810</v>
      </c>
      <c r="B74" s="339"/>
      <c r="C74" s="480">
        <f>SUM(C75:C137)</f>
        <v>0</v>
      </c>
      <c r="D74" s="480">
        <f>SUM(D75:D137)</f>
        <v>0</v>
      </c>
      <c r="E74" s="480">
        <f>SUM(E75:E137)</f>
        <v>0</v>
      </c>
    </row>
    <row r="75" spans="1:5">
      <c r="A75" s="476" t="s">
        <v>284</v>
      </c>
      <c r="B75" s="339" t="s">
        <v>223</v>
      </c>
      <c r="C75" s="466">
        <f t="array" ref="C75">((SUM(IF((CkDJ[Sort Code]=(TRIM(E$5)))*(CkDJ[Account Code]=(TRIM($B75)))*(CkDJ[Date]&lt;=$C$8),CkDJ[Debit])))+(SUM(IF((CsDJ[Sort Code]=(TRIM(E$5)))*(CsDJ[Account Code]=(TRIM($B75)))*(CsDJ[Date]&lt;=$C$8),CsDJ[Debit])))+(SUM(IF((CRDJ[Sort Code]=(TRIM(E$5)))*(CRDJ[Account Code]=(TRIM($B75)))*(CRDJ[Date]&lt;=$C$8),CRDJ[Debit])))+(SUM(IF((GJ[Sort Code]=(TRIM(E$5)))*(GJ[Account Code]=(TRIM($B75)))*(GJ[Date]&lt;=$C$8),GJ[Debit]))))-((SUM(IF((CkDJ[Sort Code]=(TRIM(E$5)))*(CkDJ[Account Code]=(TRIM($B75)))*(CkDJ[Date]&lt;=$C$8),CkDJ[Credit])))+(SUM(IF((CsDJ[Sort Code]=(TRIM(E$5)))*(CsDJ[Account Code]=(TRIM($B75)))*(CsDJ[Date]&lt;=$C$8),CsDJ[Credit])))+(SUM(IF((CRDJ[Sort Code]=(TRIM(E$5)))*(CRDJ[Account Code]=(TRIM($B75)))*(CRDJ[Date]&lt;=$C$8),CRDJ[Credit])))+(SUM(IF((GJ[Sort Code]=(TRIM(E$5)))*(GJ[Account Code]=(TRIM($B75)))*(GJ[Date]&lt;=$C$8),GJ[Credit]))))</f>
        <v>0</v>
      </c>
      <c r="D75" s="466">
        <f t="array" ref="D75">((SUM(IF((CkDJ[Date]=$A$4)*(CkDJ[Sort Code]=(TRIM(E$5)))*(CkDJ[Account Code]=(TRIM($B75))),CkDJ[Debit])))+(SUM(IF((CsDJ[Date]=$A$4)*(CsDJ[Sort Code]=(TRIM(E$5)))*(CsDJ[Account Code]=(TRIM($B75))),CsDJ[Debit])))+(SUM(IF((CRDJ[Date]=$A$4)*(CRDJ[Sort Code]=(TRIM(E$5)))*(CRDJ[Account Code]=(TRIM($B75))),CRDJ[Debit])))+(SUM(IF((GJ[Date]=$A$4)*(GJ[Sort Code]=(TRIM(E$5)))*(GJ[Account Code]=(TRIM($B75))),GJ[Debit]))))-((SUM(IF((CkDJ[Date]=$A$4)*(CkDJ[Sort Code]=(TRIM(E$5)))*(CkDJ[Account Code]=(TRIM($B75))),CkDJ[Credit])))+(SUM(IF((CsDJ[Date]=$A$4)*(CsDJ[Sort Code]=(TRIM(E$5)))*(CsDJ[Account Code]=(TRIM($B75))),CsDJ[Credit])))+(SUM(IF((CRDJ[Date]=$A$4)*(CRDJ[Sort Code]=(TRIM(E$5)))*(CRDJ[Account Code]=(TRIM($B75))),CRDJ[Credit])))+(SUM(IF((GJ[Date]=$A$4)*(GJ[Sort Code]=(TRIM(E$5)))*(GJ[Account Code]=(TRIM($B75))),GJ[Credit]))))</f>
        <v>0</v>
      </c>
      <c r="E75" s="467">
        <f t="shared" ref="E75:E136" si="3">C75+D75</f>
        <v>0</v>
      </c>
    </row>
    <row r="76" spans="1:5">
      <c r="A76" s="476" t="s">
        <v>1477</v>
      </c>
      <c r="B76" s="339" t="s">
        <v>1233</v>
      </c>
      <c r="C76" s="466">
        <f t="array" ref="C76">((SUM(IF((CkDJ[Sort Code]=(TRIM(E$5)))*(CkDJ[Account Code]=(TRIM($B76)))*(CkDJ[Date]&lt;=$C$8),CkDJ[Debit])))+(SUM(IF((CsDJ[Sort Code]=(TRIM(E$5)))*(CsDJ[Account Code]=(TRIM($B76)))*(CsDJ[Date]&lt;=$C$8),CsDJ[Debit])))+(SUM(IF((CRDJ[Sort Code]=(TRIM(E$5)))*(CRDJ[Account Code]=(TRIM($B76)))*(CRDJ[Date]&lt;=$C$8),CRDJ[Debit])))+(SUM(IF((GJ[Sort Code]=(TRIM(E$5)))*(GJ[Account Code]=(TRIM($B76)))*(GJ[Date]&lt;=$C$8),GJ[Debit]))))-((SUM(IF((CkDJ[Sort Code]=(TRIM(E$5)))*(CkDJ[Account Code]=(TRIM($B76)))*(CkDJ[Date]&lt;=$C$8),CkDJ[Credit])))+(SUM(IF((CsDJ[Sort Code]=(TRIM(E$5)))*(CsDJ[Account Code]=(TRIM($B76)))*(CsDJ[Date]&lt;=$C$8),CsDJ[Credit])))+(SUM(IF((CRDJ[Sort Code]=(TRIM(E$5)))*(CRDJ[Account Code]=(TRIM($B76)))*(CRDJ[Date]&lt;=$C$8),CRDJ[Credit])))+(SUM(IF((GJ[Sort Code]=(TRIM(E$5)))*(GJ[Account Code]=(TRIM($B76)))*(GJ[Date]&lt;=$C$8),GJ[Credit]))))</f>
        <v>0</v>
      </c>
      <c r="D76" s="466">
        <f t="array" ref="D76">((SUM(IF((CkDJ[Date]=$A$4)*(CkDJ[Sort Code]=(TRIM(E$5)))*(CkDJ[Account Code]=(TRIM($B76))),CkDJ[Debit])))+(SUM(IF((CsDJ[Date]=$A$4)*(CsDJ[Sort Code]=(TRIM(E$5)))*(CsDJ[Account Code]=(TRIM($B76))),CsDJ[Debit])))+(SUM(IF((CRDJ[Date]=$A$4)*(CRDJ[Sort Code]=(TRIM(E$5)))*(CRDJ[Account Code]=(TRIM($B76))),CRDJ[Debit])))+(SUM(IF((GJ[Date]=$A$4)*(GJ[Sort Code]=(TRIM(E$5)))*(GJ[Account Code]=(TRIM($B76))),GJ[Debit]))))-((SUM(IF((CkDJ[Date]=$A$4)*(CkDJ[Sort Code]=(TRIM(E$5)))*(CkDJ[Account Code]=(TRIM($B76))),CkDJ[Credit])))+(SUM(IF((CsDJ[Date]=$A$4)*(CsDJ[Sort Code]=(TRIM(E$5)))*(CsDJ[Account Code]=(TRIM($B76))),CsDJ[Credit])))+(SUM(IF((CRDJ[Date]=$A$4)*(CRDJ[Sort Code]=(TRIM(E$5)))*(CRDJ[Account Code]=(TRIM($B76))),CRDJ[Credit])))+(SUM(IF((GJ[Date]=$A$4)*(GJ[Sort Code]=(TRIM(E$5)))*(GJ[Account Code]=(TRIM($B76))),GJ[Credit]))))</f>
        <v>0</v>
      </c>
      <c r="E76" s="467">
        <f>C76+D76</f>
        <v>0</v>
      </c>
    </row>
    <row r="77" spans="1:5">
      <c r="A77" s="476" t="s">
        <v>285</v>
      </c>
      <c r="B77" s="339" t="s">
        <v>224</v>
      </c>
      <c r="C77" s="466">
        <f t="array" ref="C77">((SUM(IF((CkDJ[Sort Code]=(TRIM(E$5)))*(CkDJ[Account Code]=(TRIM($B77)))*(CkDJ[Date]&lt;=$C$8),CkDJ[Debit])))+(SUM(IF((CsDJ[Sort Code]=(TRIM(E$5)))*(CsDJ[Account Code]=(TRIM($B77)))*(CsDJ[Date]&lt;=$C$8),CsDJ[Debit])))+(SUM(IF((CRDJ[Sort Code]=(TRIM(E$5)))*(CRDJ[Account Code]=(TRIM($B77)))*(CRDJ[Date]&lt;=$C$8),CRDJ[Debit])))+(SUM(IF((GJ[Sort Code]=(TRIM(E$5)))*(GJ[Account Code]=(TRIM($B77)))*(GJ[Date]&lt;=$C$8),GJ[Debit]))))-((SUM(IF((CkDJ[Sort Code]=(TRIM(E$5)))*(CkDJ[Account Code]=(TRIM($B77)))*(CkDJ[Date]&lt;=$C$8),CkDJ[Credit])))+(SUM(IF((CsDJ[Sort Code]=(TRIM(E$5)))*(CsDJ[Account Code]=(TRIM($B77)))*(CsDJ[Date]&lt;=$C$8),CsDJ[Credit])))+(SUM(IF((CRDJ[Sort Code]=(TRIM(E$5)))*(CRDJ[Account Code]=(TRIM($B77)))*(CRDJ[Date]&lt;=$C$8),CRDJ[Credit])))+(SUM(IF((GJ[Sort Code]=(TRIM(E$5)))*(GJ[Account Code]=(TRIM($B77)))*(GJ[Date]&lt;=$C$8),GJ[Credit]))))</f>
        <v>0</v>
      </c>
      <c r="D77" s="466">
        <f t="array" ref="D77">((SUM(IF((CkDJ[Date]=$A$4)*(CkDJ[Sort Code]=(TRIM(E$5)))*(CkDJ[Account Code]=(TRIM($B77))),CkDJ[Debit])))+(SUM(IF((CsDJ[Date]=$A$4)*(CsDJ[Sort Code]=(TRIM(E$5)))*(CsDJ[Account Code]=(TRIM($B77))),CsDJ[Debit])))+(SUM(IF((CRDJ[Date]=$A$4)*(CRDJ[Sort Code]=(TRIM(E$5)))*(CRDJ[Account Code]=(TRIM($B77))),CRDJ[Debit])))+(SUM(IF((GJ[Date]=$A$4)*(GJ[Sort Code]=(TRIM(E$5)))*(GJ[Account Code]=(TRIM($B77))),GJ[Debit]))))-((SUM(IF((CkDJ[Date]=$A$4)*(CkDJ[Sort Code]=(TRIM(E$5)))*(CkDJ[Account Code]=(TRIM($B77))),CkDJ[Credit])))+(SUM(IF((CsDJ[Date]=$A$4)*(CsDJ[Sort Code]=(TRIM(E$5)))*(CsDJ[Account Code]=(TRIM($B77))),CsDJ[Credit])))+(SUM(IF((CRDJ[Date]=$A$4)*(CRDJ[Sort Code]=(TRIM(E$5)))*(CRDJ[Account Code]=(TRIM($B77))),CRDJ[Credit])))+(SUM(IF((GJ[Date]=$A$4)*(GJ[Sort Code]=(TRIM(E$5)))*(GJ[Account Code]=(TRIM($B77))),GJ[Credit]))))</f>
        <v>0</v>
      </c>
      <c r="E77" s="467">
        <f t="shared" si="3"/>
        <v>0</v>
      </c>
    </row>
    <row r="78" spans="1:5">
      <c r="A78" s="476" t="s">
        <v>286</v>
      </c>
      <c r="B78" s="339" t="s">
        <v>225</v>
      </c>
      <c r="C78" s="466">
        <f t="array" ref="C78">((SUM(IF((CkDJ[Sort Code]=(TRIM(E$5)))*(CkDJ[Account Code]=(TRIM($B78)))*(CkDJ[Date]&lt;=$C$8),CkDJ[Debit])))+(SUM(IF((CsDJ[Sort Code]=(TRIM(E$5)))*(CsDJ[Account Code]=(TRIM($B78)))*(CsDJ[Date]&lt;=$C$8),CsDJ[Debit])))+(SUM(IF((CRDJ[Sort Code]=(TRIM(E$5)))*(CRDJ[Account Code]=(TRIM($B78)))*(CRDJ[Date]&lt;=$C$8),CRDJ[Debit])))+(SUM(IF((GJ[Sort Code]=(TRIM(E$5)))*(GJ[Account Code]=(TRIM($B78)))*(GJ[Date]&lt;=$C$8),GJ[Debit]))))-((SUM(IF((CkDJ[Sort Code]=(TRIM(E$5)))*(CkDJ[Account Code]=(TRIM($B78)))*(CkDJ[Date]&lt;=$C$8),CkDJ[Credit])))+(SUM(IF((CsDJ[Sort Code]=(TRIM(E$5)))*(CsDJ[Account Code]=(TRIM($B78)))*(CsDJ[Date]&lt;=$C$8),CsDJ[Credit])))+(SUM(IF((CRDJ[Sort Code]=(TRIM(E$5)))*(CRDJ[Account Code]=(TRIM($B78)))*(CRDJ[Date]&lt;=$C$8),CRDJ[Credit])))+(SUM(IF((GJ[Sort Code]=(TRIM(E$5)))*(GJ[Account Code]=(TRIM($B78)))*(GJ[Date]&lt;=$C$8),GJ[Credit]))))</f>
        <v>0</v>
      </c>
      <c r="D78" s="466">
        <f t="array" ref="D78">((SUM(IF((CkDJ[Date]=$A$4)*(CkDJ[Sort Code]=(TRIM(E$5)))*(CkDJ[Account Code]=(TRIM($B78))),CkDJ[Debit])))+(SUM(IF((CsDJ[Date]=$A$4)*(CsDJ[Sort Code]=(TRIM(E$5)))*(CsDJ[Account Code]=(TRIM($B78))),CsDJ[Debit])))+(SUM(IF((CRDJ[Date]=$A$4)*(CRDJ[Sort Code]=(TRIM(E$5)))*(CRDJ[Account Code]=(TRIM($B78))),CRDJ[Debit])))+(SUM(IF((GJ[Date]=$A$4)*(GJ[Sort Code]=(TRIM(E$5)))*(GJ[Account Code]=(TRIM($B78))),GJ[Debit]))))-((SUM(IF((CkDJ[Date]=$A$4)*(CkDJ[Sort Code]=(TRIM(E$5)))*(CkDJ[Account Code]=(TRIM($B78))),CkDJ[Credit])))+(SUM(IF((CsDJ[Date]=$A$4)*(CsDJ[Sort Code]=(TRIM(E$5)))*(CsDJ[Account Code]=(TRIM($B78))),CsDJ[Credit])))+(SUM(IF((CRDJ[Date]=$A$4)*(CRDJ[Sort Code]=(TRIM(E$5)))*(CRDJ[Account Code]=(TRIM($B78))),CRDJ[Credit])))+(SUM(IF((GJ[Date]=$A$4)*(GJ[Sort Code]=(TRIM(E$5)))*(GJ[Account Code]=(TRIM($B78))),GJ[Credit]))))</f>
        <v>0</v>
      </c>
      <c r="E78" s="467">
        <f t="shared" si="3"/>
        <v>0</v>
      </c>
    </row>
    <row r="79" spans="1:5">
      <c r="A79" s="476" t="s">
        <v>287</v>
      </c>
      <c r="B79" s="339" t="s">
        <v>226</v>
      </c>
      <c r="C79" s="466">
        <f t="array" ref="C79">((SUM(IF((CkDJ[Sort Code]=(TRIM(E$5)))*(CkDJ[Account Code]=(TRIM($B79)))*(CkDJ[Date]&lt;=$C$8),CkDJ[Debit])))+(SUM(IF((CsDJ[Sort Code]=(TRIM(E$5)))*(CsDJ[Account Code]=(TRIM($B79)))*(CsDJ[Date]&lt;=$C$8),CsDJ[Debit])))+(SUM(IF((CRDJ[Sort Code]=(TRIM(E$5)))*(CRDJ[Account Code]=(TRIM($B79)))*(CRDJ[Date]&lt;=$C$8),CRDJ[Debit])))+(SUM(IF((GJ[Sort Code]=(TRIM(E$5)))*(GJ[Account Code]=(TRIM($B79)))*(GJ[Date]&lt;=$C$8),GJ[Debit]))))-((SUM(IF((CkDJ[Sort Code]=(TRIM(E$5)))*(CkDJ[Account Code]=(TRIM($B79)))*(CkDJ[Date]&lt;=$C$8),CkDJ[Credit])))+(SUM(IF((CsDJ[Sort Code]=(TRIM(E$5)))*(CsDJ[Account Code]=(TRIM($B79)))*(CsDJ[Date]&lt;=$C$8),CsDJ[Credit])))+(SUM(IF((CRDJ[Sort Code]=(TRIM(E$5)))*(CRDJ[Account Code]=(TRIM($B79)))*(CRDJ[Date]&lt;=$C$8),CRDJ[Credit])))+(SUM(IF((GJ[Sort Code]=(TRIM(E$5)))*(GJ[Account Code]=(TRIM($B79)))*(GJ[Date]&lt;=$C$8),GJ[Credit]))))</f>
        <v>0</v>
      </c>
      <c r="D79" s="466">
        <f t="array" ref="D79">((SUM(IF((CkDJ[Date]=$A$4)*(CkDJ[Sort Code]=(TRIM(E$5)))*(CkDJ[Account Code]=(TRIM($B79))),CkDJ[Debit])))+(SUM(IF((CsDJ[Date]=$A$4)*(CsDJ[Sort Code]=(TRIM(E$5)))*(CsDJ[Account Code]=(TRIM($B79))),CsDJ[Debit])))+(SUM(IF((CRDJ[Date]=$A$4)*(CRDJ[Sort Code]=(TRIM(E$5)))*(CRDJ[Account Code]=(TRIM($B79))),CRDJ[Debit])))+(SUM(IF((GJ[Date]=$A$4)*(GJ[Sort Code]=(TRIM(E$5)))*(GJ[Account Code]=(TRIM($B79))),GJ[Debit]))))-((SUM(IF((CkDJ[Date]=$A$4)*(CkDJ[Sort Code]=(TRIM(E$5)))*(CkDJ[Account Code]=(TRIM($B79))),CkDJ[Credit])))+(SUM(IF((CsDJ[Date]=$A$4)*(CsDJ[Sort Code]=(TRIM(E$5)))*(CsDJ[Account Code]=(TRIM($B79))),CsDJ[Credit])))+(SUM(IF((CRDJ[Date]=$A$4)*(CRDJ[Sort Code]=(TRIM(E$5)))*(CRDJ[Account Code]=(TRIM($B79))),CRDJ[Credit])))+(SUM(IF((GJ[Date]=$A$4)*(GJ[Sort Code]=(TRIM(E$5)))*(GJ[Account Code]=(TRIM($B79))),GJ[Credit]))))</f>
        <v>0</v>
      </c>
      <c r="E79" s="467">
        <f t="shared" si="3"/>
        <v>0</v>
      </c>
    </row>
    <row r="80" spans="1:5">
      <c r="A80" s="476" t="s">
        <v>1017</v>
      </c>
      <c r="B80" s="339" t="s">
        <v>227</v>
      </c>
      <c r="C80" s="466">
        <f t="array" ref="C80">((SUM(IF((CkDJ[Sort Code]=(TRIM(E$5)))*(CkDJ[Account Code]=(TRIM($B80)))*(CkDJ[Date]&lt;=$C$8),CkDJ[Debit])))+(SUM(IF((CsDJ[Sort Code]=(TRIM(E$5)))*(CsDJ[Account Code]=(TRIM($B80)))*(CsDJ[Date]&lt;=$C$8),CsDJ[Debit])))+(SUM(IF((CRDJ[Sort Code]=(TRIM(E$5)))*(CRDJ[Account Code]=(TRIM($B80)))*(CRDJ[Date]&lt;=$C$8),CRDJ[Debit])))+(SUM(IF((GJ[Sort Code]=(TRIM(E$5)))*(GJ[Account Code]=(TRIM($B80)))*(GJ[Date]&lt;=$C$8),GJ[Debit]))))-((SUM(IF((CkDJ[Sort Code]=(TRIM(E$5)))*(CkDJ[Account Code]=(TRIM($B80)))*(CkDJ[Date]&lt;=$C$8),CkDJ[Credit])))+(SUM(IF((CsDJ[Sort Code]=(TRIM(E$5)))*(CsDJ[Account Code]=(TRIM($B80)))*(CsDJ[Date]&lt;=$C$8),CsDJ[Credit])))+(SUM(IF((CRDJ[Sort Code]=(TRIM(E$5)))*(CRDJ[Account Code]=(TRIM($B80)))*(CRDJ[Date]&lt;=$C$8),CRDJ[Credit])))+(SUM(IF((GJ[Sort Code]=(TRIM(E$5)))*(GJ[Account Code]=(TRIM($B80)))*(GJ[Date]&lt;=$C$8),GJ[Credit]))))</f>
        <v>0</v>
      </c>
      <c r="D80" s="466">
        <f t="array" ref="D80">((SUM(IF((CkDJ[Date]=$A$4)*(CkDJ[Sort Code]=(TRIM(E$5)))*(CkDJ[Account Code]=(TRIM($B80))),CkDJ[Debit])))+(SUM(IF((CsDJ[Date]=$A$4)*(CsDJ[Sort Code]=(TRIM(E$5)))*(CsDJ[Account Code]=(TRIM($B80))),CsDJ[Debit])))+(SUM(IF((CRDJ[Date]=$A$4)*(CRDJ[Sort Code]=(TRIM(E$5)))*(CRDJ[Account Code]=(TRIM($B80))),CRDJ[Debit])))+(SUM(IF((GJ[Date]=$A$4)*(GJ[Sort Code]=(TRIM(E$5)))*(GJ[Account Code]=(TRIM($B80))),GJ[Debit]))))-((SUM(IF((CkDJ[Date]=$A$4)*(CkDJ[Sort Code]=(TRIM(E$5)))*(CkDJ[Account Code]=(TRIM($B80))),CkDJ[Credit])))+(SUM(IF((CsDJ[Date]=$A$4)*(CsDJ[Sort Code]=(TRIM(E$5)))*(CsDJ[Account Code]=(TRIM($B80))),CsDJ[Credit])))+(SUM(IF((CRDJ[Date]=$A$4)*(CRDJ[Sort Code]=(TRIM(E$5)))*(CRDJ[Account Code]=(TRIM($B80))),CRDJ[Credit])))+(SUM(IF((GJ[Date]=$A$4)*(GJ[Sort Code]=(TRIM(E$5)))*(GJ[Account Code]=(TRIM($B80))),GJ[Credit]))))</f>
        <v>0</v>
      </c>
      <c r="E80" s="467">
        <f t="shared" si="3"/>
        <v>0</v>
      </c>
    </row>
    <row r="81" spans="1:5">
      <c r="A81" s="476" t="s">
        <v>1018</v>
      </c>
      <c r="B81" s="339" t="s">
        <v>228</v>
      </c>
      <c r="C81" s="466">
        <f t="array" ref="C81">((SUM(IF((CkDJ[Sort Code]=(TRIM(E$5)))*(CkDJ[Account Code]=(TRIM($B81)))*(CkDJ[Date]&lt;=$C$8),CkDJ[Debit])))+(SUM(IF((CsDJ[Sort Code]=(TRIM(E$5)))*(CsDJ[Account Code]=(TRIM($B81)))*(CsDJ[Date]&lt;=$C$8),CsDJ[Debit])))+(SUM(IF((CRDJ[Sort Code]=(TRIM(E$5)))*(CRDJ[Account Code]=(TRIM($B81)))*(CRDJ[Date]&lt;=$C$8),CRDJ[Debit])))+(SUM(IF((GJ[Sort Code]=(TRIM(E$5)))*(GJ[Account Code]=(TRIM($B81)))*(GJ[Date]&lt;=$C$8),GJ[Debit]))))-((SUM(IF((CkDJ[Sort Code]=(TRIM(E$5)))*(CkDJ[Account Code]=(TRIM($B81)))*(CkDJ[Date]&lt;=$C$8),CkDJ[Credit])))+(SUM(IF((CsDJ[Sort Code]=(TRIM(E$5)))*(CsDJ[Account Code]=(TRIM($B81)))*(CsDJ[Date]&lt;=$C$8),CsDJ[Credit])))+(SUM(IF((CRDJ[Sort Code]=(TRIM(E$5)))*(CRDJ[Account Code]=(TRIM($B81)))*(CRDJ[Date]&lt;=$C$8),CRDJ[Credit])))+(SUM(IF((GJ[Sort Code]=(TRIM(E$5)))*(GJ[Account Code]=(TRIM($B81)))*(GJ[Date]&lt;=$C$8),GJ[Credit]))))</f>
        <v>0</v>
      </c>
      <c r="D81" s="466">
        <f t="array" ref="D81">((SUM(IF((CkDJ[Date]=$A$4)*(CkDJ[Sort Code]=(TRIM(E$5)))*(CkDJ[Account Code]=(TRIM($B81))),CkDJ[Debit])))+(SUM(IF((CsDJ[Date]=$A$4)*(CsDJ[Sort Code]=(TRIM(E$5)))*(CsDJ[Account Code]=(TRIM($B81))),CsDJ[Debit])))+(SUM(IF((CRDJ[Date]=$A$4)*(CRDJ[Sort Code]=(TRIM(E$5)))*(CRDJ[Account Code]=(TRIM($B81))),CRDJ[Debit])))+(SUM(IF((GJ[Date]=$A$4)*(GJ[Sort Code]=(TRIM(E$5)))*(GJ[Account Code]=(TRIM($B81))),GJ[Debit]))))-((SUM(IF((CkDJ[Date]=$A$4)*(CkDJ[Sort Code]=(TRIM(E$5)))*(CkDJ[Account Code]=(TRIM($B81))),CkDJ[Credit])))+(SUM(IF((CsDJ[Date]=$A$4)*(CsDJ[Sort Code]=(TRIM(E$5)))*(CsDJ[Account Code]=(TRIM($B81))),CsDJ[Credit])))+(SUM(IF((CRDJ[Date]=$A$4)*(CRDJ[Sort Code]=(TRIM(E$5)))*(CRDJ[Account Code]=(TRIM($B81))),CRDJ[Credit])))+(SUM(IF((GJ[Date]=$A$4)*(GJ[Sort Code]=(TRIM(E$5)))*(GJ[Account Code]=(TRIM($B81))),GJ[Credit]))))</f>
        <v>0</v>
      </c>
      <c r="E81" s="467">
        <f t="shared" si="3"/>
        <v>0</v>
      </c>
    </row>
    <row r="82" spans="1:5">
      <c r="A82" s="476" t="s">
        <v>289</v>
      </c>
      <c r="B82" s="339" t="s">
        <v>229</v>
      </c>
      <c r="C82" s="466">
        <f t="array" ref="C82">((SUM(IF((CkDJ[Sort Code]=(TRIM(E$5)))*(CkDJ[Account Code]=(TRIM($B82)))*(CkDJ[Date]&lt;=$C$8),CkDJ[Debit])))+(SUM(IF((CsDJ[Sort Code]=(TRIM(E$5)))*(CsDJ[Account Code]=(TRIM($B82)))*(CsDJ[Date]&lt;=$C$8),CsDJ[Debit])))+(SUM(IF((CRDJ[Sort Code]=(TRIM(E$5)))*(CRDJ[Account Code]=(TRIM($B82)))*(CRDJ[Date]&lt;=$C$8),CRDJ[Debit])))+(SUM(IF((GJ[Sort Code]=(TRIM(E$5)))*(GJ[Account Code]=(TRIM($B82)))*(GJ[Date]&lt;=$C$8),GJ[Debit]))))-((SUM(IF((CkDJ[Sort Code]=(TRIM(E$5)))*(CkDJ[Account Code]=(TRIM($B82)))*(CkDJ[Date]&lt;=$C$8),CkDJ[Credit])))+(SUM(IF((CsDJ[Sort Code]=(TRIM(E$5)))*(CsDJ[Account Code]=(TRIM($B82)))*(CsDJ[Date]&lt;=$C$8),CsDJ[Credit])))+(SUM(IF((CRDJ[Sort Code]=(TRIM(E$5)))*(CRDJ[Account Code]=(TRIM($B82)))*(CRDJ[Date]&lt;=$C$8),CRDJ[Credit])))+(SUM(IF((GJ[Sort Code]=(TRIM(E$5)))*(GJ[Account Code]=(TRIM($B82)))*(GJ[Date]&lt;=$C$8),GJ[Credit]))))</f>
        <v>0</v>
      </c>
      <c r="D82" s="466">
        <f t="array" ref="D82">((SUM(IF((CkDJ[Date]=$A$4)*(CkDJ[Sort Code]=(TRIM(E$5)))*(CkDJ[Account Code]=(TRIM($B82))),CkDJ[Debit])))+(SUM(IF((CsDJ[Date]=$A$4)*(CsDJ[Sort Code]=(TRIM(E$5)))*(CsDJ[Account Code]=(TRIM($B82))),CsDJ[Debit])))+(SUM(IF((CRDJ[Date]=$A$4)*(CRDJ[Sort Code]=(TRIM(E$5)))*(CRDJ[Account Code]=(TRIM($B82))),CRDJ[Debit])))+(SUM(IF((GJ[Date]=$A$4)*(GJ[Sort Code]=(TRIM(E$5)))*(GJ[Account Code]=(TRIM($B82))),GJ[Debit]))))-((SUM(IF((CkDJ[Date]=$A$4)*(CkDJ[Sort Code]=(TRIM(E$5)))*(CkDJ[Account Code]=(TRIM($B82))),CkDJ[Credit])))+(SUM(IF((CsDJ[Date]=$A$4)*(CsDJ[Sort Code]=(TRIM(E$5)))*(CsDJ[Account Code]=(TRIM($B82))),CsDJ[Credit])))+(SUM(IF((CRDJ[Date]=$A$4)*(CRDJ[Sort Code]=(TRIM(E$5)))*(CRDJ[Account Code]=(TRIM($B82))),CRDJ[Credit])))+(SUM(IF((GJ[Date]=$A$4)*(GJ[Sort Code]=(TRIM(E$5)))*(GJ[Account Code]=(TRIM($B82))),GJ[Credit]))))</f>
        <v>0</v>
      </c>
      <c r="E82" s="467">
        <f t="shared" si="3"/>
        <v>0</v>
      </c>
    </row>
    <row r="83" spans="1:5">
      <c r="A83" s="476" t="s">
        <v>290</v>
      </c>
      <c r="B83" s="339" t="s">
        <v>230</v>
      </c>
      <c r="C83" s="466">
        <f t="array" ref="C83">((SUM(IF((CkDJ[Sort Code]=(TRIM(E$5)))*(CkDJ[Account Code]=(TRIM($B83)))*(CkDJ[Date]&lt;=$C$8),CkDJ[Debit])))+(SUM(IF((CsDJ[Sort Code]=(TRIM(E$5)))*(CsDJ[Account Code]=(TRIM($B83)))*(CsDJ[Date]&lt;=$C$8),CsDJ[Debit])))+(SUM(IF((CRDJ[Sort Code]=(TRIM(E$5)))*(CRDJ[Account Code]=(TRIM($B83)))*(CRDJ[Date]&lt;=$C$8),CRDJ[Debit])))+(SUM(IF((GJ[Sort Code]=(TRIM(E$5)))*(GJ[Account Code]=(TRIM($B83)))*(GJ[Date]&lt;=$C$8),GJ[Debit]))))-((SUM(IF((CkDJ[Sort Code]=(TRIM(E$5)))*(CkDJ[Account Code]=(TRIM($B83)))*(CkDJ[Date]&lt;=$C$8),CkDJ[Credit])))+(SUM(IF((CsDJ[Sort Code]=(TRIM(E$5)))*(CsDJ[Account Code]=(TRIM($B83)))*(CsDJ[Date]&lt;=$C$8),CsDJ[Credit])))+(SUM(IF((CRDJ[Sort Code]=(TRIM(E$5)))*(CRDJ[Account Code]=(TRIM($B83)))*(CRDJ[Date]&lt;=$C$8),CRDJ[Credit])))+(SUM(IF((GJ[Sort Code]=(TRIM(E$5)))*(GJ[Account Code]=(TRIM($B83)))*(GJ[Date]&lt;=$C$8),GJ[Credit]))))</f>
        <v>0</v>
      </c>
      <c r="D83" s="466">
        <f t="array" ref="D83">((SUM(IF((CkDJ[Date]=$A$4)*(CkDJ[Sort Code]=(TRIM(E$5)))*(CkDJ[Account Code]=(TRIM($B83))),CkDJ[Debit])))+(SUM(IF((CsDJ[Date]=$A$4)*(CsDJ[Sort Code]=(TRIM(E$5)))*(CsDJ[Account Code]=(TRIM($B83))),CsDJ[Debit])))+(SUM(IF((CRDJ[Date]=$A$4)*(CRDJ[Sort Code]=(TRIM(E$5)))*(CRDJ[Account Code]=(TRIM($B83))),CRDJ[Debit])))+(SUM(IF((GJ[Date]=$A$4)*(GJ[Sort Code]=(TRIM(E$5)))*(GJ[Account Code]=(TRIM($B83))),GJ[Debit]))))-((SUM(IF((CkDJ[Date]=$A$4)*(CkDJ[Sort Code]=(TRIM(E$5)))*(CkDJ[Account Code]=(TRIM($B83))),CkDJ[Credit])))+(SUM(IF((CsDJ[Date]=$A$4)*(CsDJ[Sort Code]=(TRIM(E$5)))*(CsDJ[Account Code]=(TRIM($B83))),CsDJ[Credit])))+(SUM(IF((CRDJ[Date]=$A$4)*(CRDJ[Sort Code]=(TRIM(E$5)))*(CRDJ[Account Code]=(TRIM($B83))),CRDJ[Credit])))+(SUM(IF((GJ[Date]=$A$4)*(GJ[Sort Code]=(TRIM(E$5)))*(GJ[Account Code]=(TRIM($B83))),GJ[Credit]))))</f>
        <v>0</v>
      </c>
      <c r="E83" s="467">
        <f t="shared" si="3"/>
        <v>0</v>
      </c>
    </row>
    <row r="84" spans="1:5">
      <c r="A84" s="476" t="s">
        <v>291</v>
      </c>
      <c r="B84" s="339" t="s">
        <v>231</v>
      </c>
      <c r="C84" s="466">
        <f t="array" ref="C84">((SUM(IF((CkDJ[Sort Code]=(TRIM(E$5)))*(CkDJ[Account Code]=(TRIM($B84)))*(CkDJ[Date]&lt;=$C$8),CkDJ[Debit])))+(SUM(IF((CsDJ[Sort Code]=(TRIM(E$5)))*(CsDJ[Account Code]=(TRIM($B84)))*(CsDJ[Date]&lt;=$C$8),CsDJ[Debit])))+(SUM(IF((CRDJ[Sort Code]=(TRIM(E$5)))*(CRDJ[Account Code]=(TRIM($B84)))*(CRDJ[Date]&lt;=$C$8),CRDJ[Debit])))+(SUM(IF((GJ[Sort Code]=(TRIM(E$5)))*(GJ[Account Code]=(TRIM($B84)))*(GJ[Date]&lt;=$C$8),GJ[Debit]))))-((SUM(IF((CkDJ[Sort Code]=(TRIM(E$5)))*(CkDJ[Account Code]=(TRIM($B84)))*(CkDJ[Date]&lt;=$C$8),CkDJ[Credit])))+(SUM(IF((CsDJ[Sort Code]=(TRIM(E$5)))*(CsDJ[Account Code]=(TRIM($B84)))*(CsDJ[Date]&lt;=$C$8),CsDJ[Credit])))+(SUM(IF((CRDJ[Sort Code]=(TRIM(E$5)))*(CRDJ[Account Code]=(TRIM($B84)))*(CRDJ[Date]&lt;=$C$8),CRDJ[Credit])))+(SUM(IF((GJ[Sort Code]=(TRIM(E$5)))*(GJ[Account Code]=(TRIM($B84)))*(GJ[Date]&lt;=$C$8),GJ[Credit]))))</f>
        <v>0</v>
      </c>
      <c r="D84" s="466">
        <f t="array" ref="D84">((SUM(IF((CkDJ[Date]=$A$4)*(CkDJ[Sort Code]=(TRIM(E$5)))*(CkDJ[Account Code]=(TRIM($B84))),CkDJ[Debit])))+(SUM(IF((CsDJ[Date]=$A$4)*(CsDJ[Sort Code]=(TRIM(E$5)))*(CsDJ[Account Code]=(TRIM($B84))),CsDJ[Debit])))+(SUM(IF((CRDJ[Date]=$A$4)*(CRDJ[Sort Code]=(TRIM(E$5)))*(CRDJ[Account Code]=(TRIM($B84))),CRDJ[Debit])))+(SUM(IF((GJ[Date]=$A$4)*(GJ[Sort Code]=(TRIM(E$5)))*(GJ[Account Code]=(TRIM($B84))),GJ[Debit]))))-((SUM(IF((CkDJ[Date]=$A$4)*(CkDJ[Sort Code]=(TRIM(E$5)))*(CkDJ[Account Code]=(TRIM($B84))),CkDJ[Credit])))+(SUM(IF((CsDJ[Date]=$A$4)*(CsDJ[Sort Code]=(TRIM(E$5)))*(CsDJ[Account Code]=(TRIM($B84))),CsDJ[Credit])))+(SUM(IF((CRDJ[Date]=$A$4)*(CRDJ[Sort Code]=(TRIM(E$5)))*(CRDJ[Account Code]=(TRIM($B84))),CRDJ[Credit])))+(SUM(IF((GJ[Date]=$A$4)*(GJ[Sort Code]=(TRIM(E$5)))*(GJ[Account Code]=(TRIM($B84))),GJ[Credit]))))</f>
        <v>0</v>
      </c>
      <c r="E84" s="467">
        <f t="shared" si="3"/>
        <v>0</v>
      </c>
    </row>
    <row r="85" spans="1:5">
      <c r="A85" s="476" t="s">
        <v>292</v>
      </c>
      <c r="B85" s="339" t="s">
        <v>232</v>
      </c>
      <c r="C85" s="466">
        <f t="array" ref="C85">((SUM(IF((CkDJ[Sort Code]=(TRIM(E$5)))*(CkDJ[Account Code]=(TRIM($B85)))*(CkDJ[Date]&lt;=$C$8),CkDJ[Debit])))+(SUM(IF((CsDJ[Sort Code]=(TRIM(E$5)))*(CsDJ[Account Code]=(TRIM($B85)))*(CsDJ[Date]&lt;=$C$8),CsDJ[Debit])))+(SUM(IF((CRDJ[Sort Code]=(TRIM(E$5)))*(CRDJ[Account Code]=(TRIM($B85)))*(CRDJ[Date]&lt;=$C$8),CRDJ[Debit])))+(SUM(IF((GJ[Sort Code]=(TRIM(E$5)))*(GJ[Account Code]=(TRIM($B85)))*(GJ[Date]&lt;=$C$8),GJ[Debit]))))-((SUM(IF((CkDJ[Sort Code]=(TRIM(E$5)))*(CkDJ[Account Code]=(TRIM($B85)))*(CkDJ[Date]&lt;=$C$8),CkDJ[Credit])))+(SUM(IF((CsDJ[Sort Code]=(TRIM(E$5)))*(CsDJ[Account Code]=(TRIM($B85)))*(CsDJ[Date]&lt;=$C$8),CsDJ[Credit])))+(SUM(IF((CRDJ[Sort Code]=(TRIM(E$5)))*(CRDJ[Account Code]=(TRIM($B85)))*(CRDJ[Date]&lt;=$C$8),CRDJ[Credit])))+(SUM(IF((GJ[Sort Code]=(TRIM(E$5)))*(GJ[Account Code]=(TRIM($B85)))*(GJ[Date]&lt;=$C$8),GJ[Credit]))))</f>
        <v>0</v>
      </c>
      <c r="D85" s="466">
        <f t="array" ref="D85">((SUM(IF((CkDJ[Date]=$A$4)*(CkDJ[Sort Code]=(TRIM(E$5)))*(CkDJ[Account Code]=(TRIM($B85))),CkDJ[Debit])))+(SUM(IF((CsDJ[Date]=$A$4)*(CsDJ[Sort Code]=(TRIM(E$5)))*(CsDJ[Account Code]=(TRIM($B85))),CsDJ[Debit])))+(SUM(IF((CRDJ[Date]=$A$4)*(CRDJ[Sort Code]=(TRIM(E$5)))*(CRDJ[Account Code]=(TRIM($B85))),CRDJ[Debit])))+(SUM(IF((GJ[Date]=$A$4)*(GJ[Sort Code]=(TRIM(E$5)))*(GJ[Account Code]=(TRIM($B85))),GJ[Debit]))))-((SUM(IF((CkDJ[Date]=$A$4)*(CkDJ[Sort Code]=(TRIM(E$5)))*(CkDJ[Account Code]=(TRIM($B85))),CkDJ[Credit])))+(SUM(IF((CsDJ[Date]=$A$4)*(CsDJ[Sort Code]=(TRIM(E$5)))*(CsDJ[Account Code]=(TRIM($B85))),CsDJ[Credit])))+(SUM(IF((CRDJ[Date]=$A$4)*(CRDJ[Sort Code]=(TRIM(E$5)))*(CRDJ[Account Code]=(TRIM($B85))),CRDJ[Credit])))+(SUM(IF((GJ[Date]=$A$4)*(GJ[Sort Code]=(TRIM(E$5)))*(GJ[Account Code]=(TRIM($B85))),GJ[Credit]))))</f>
        <v>0</v>
      </c>
      <c r="E85" s="467">
        <f t="shared" si="3"/>
        <v>0</v>
      </c>
    </row>
    <row r="86" spans="1:5">
      <c r="A86" s="476" t="s">
        <v>293</v>
      </c>
      <c r="B86" s="339" t="s">
        <v>233</v>
      </c>
      <c r="C86" s="466">
        <f t="array" ref="C86">((SUM(IF((CkDJ[Sort Code]=(TRIM(E$5)))*(CkDJ[Account Code]=(TRIM($B86)))*(CkDJ[Date]&lt;=$C$8),CkDJ[Debit])))+(SUM(IF((CsDJ[Sort Code]=(TRIM(E$5)))*(CsDJ[Account Code]=(TRIM($B86)))*(CsDJ[Date]&lt;=$C$8),CsDJ[Debit])))+(SUM(IF((CRDJ[Sort Code]=(TRIM(E$5)))*(CRDJ[Account Code]=(TRIM($B86)))*(CRDJ[Date]&lt;=$C$8),CRDJ[Debit])))+(SUM(IF((GJ[Sort Code]=(TRIM(E$5)))*(GJ[Account Code]=(TRIM($B86)))*(GJ[Date]&lt;=$C$8),GJ[Debit]))))-((SUM(IF((CkDJ[Sort Code]=(TRIM(E$5)))*(CkDJ[Account Code]=(TRIM($B86)))*(CkDJ[Date]&lt;=$C$8),CkDJ[Credit])))+(SUM(IF((CsDJ[Sort Code]=(TRIM(E$5)))*(CsDJ[Account Code]=(TRIM($B86)))*(CsDJ[Date]&lt;=$C$8),CsDJ[Credit])))+(SUM(IF((CRDJ[Sort Code]=(TRIM(E$5)))*(CRDJ[Account Code]=(TRIM($B86)))*(CRDJ[Date]&lt;=$C$8),CRDJ[Credit])))+(SUM(IF((GJ[Sort Code]=(TRIM(E$5)))*(GJ[Account Code]=(TRIM($B86)))*(GJ[Date]&lt;=$C$8),GJ[Credit]))))</f>
        <v>0</v>
      </c>
      <c r="D86" s="466">
        <f t="array" ref="D86">((SUM(IF((CkDJ[Date]=$A$4)*(CkDJ[Sort Code]=(TRIM(E$5)))*(CkDJ[Account Code]=(TRIM($B86))),CkDJ[Debit])))+(SUM(IF((CsDJ[Date]=$A$4)*(CsDJ[Sort Code]=(TRIM(E$5)))*(CsDJ[Account Code]=(TRIM($B86))),CsDJ[Debit])))+(SUM(IF((CRDJ[Date]=$A$4)*(CRDJ[Sort Code]=(TRIM(E$5)))*(CRDJ[Account Code]=(TRIM($B86))),CRDJ[Debit])))+(SUM(IF((GJ[Date]=$A$4)*(GJ[Sort Code]=(TRIM(E$5)))*(GJ[Account Code]=(TRIM($B86))),GJ[Debit]))))-((SUM(IF((CkDJ[Date]=$A$4)*(CkDJ[Sort Code]=(TRIM(E$5)))*(CkDJ[Account Code]=(TRIM($B86))),CkDJ[Credit])))+(SUM(IF((CsDJ[Date]=$A$4)*(CsDJ[Sort Code]=(TRIM(E$5)))*(CsDJ[Account Code]=(TRIM($B86))),CsDJ[Credit])))+(SUM(IF((CRDJ[Date]=$A$4)*(CRDJ[Sort Code]=(TRIM(E$5)))*(CRDJ[Account Code]=(TRIM($B86))),CRDJ[Credit])))+(SUM(IF((GJ[Date]=$A$4)*(GJ[Sort Code]=(TRIM(E$5)))*(GJ[Account Code]=(TRIM($B86))),GJ[Credit]))))</f>
        <v>0</v>
      </c>
      <c r="E86" s="467">
        <f t="shared" si="3"/>
        <v>0</v>
      </c>
    </row>
    <row r="87" spans="1:5">
      <c r="A87" s="476" t="s">
        <v>1475</v>
      </c>
      <c r="B87" s="339" t="s">
        <v>1265</v>
      </c>
      <c r="C87" s="466">
        <f t="array" ref="C87">((SUM(IF((CkDJ[Sort Code]=(TRIM(E$5)))*(CkDJ[Account Code]=(TRIM($B87)))*(CkDJ[Date]&lt;=$C$8),CkDJ[Debit])))+(SUM(IF((CsDJ[Sort Code]=(TRIM(E$5)))*(CsDJ[Account Code]=(TRIM($B87)))*(CsDJ[Date]&lt;=$C$8),CsDJ[Debit])))+(SUM(IF((CRDJ[Sort Code]=(TRIM(E$5)))*(CRDJ[Account Code]=(TRIM($B87)))*(CRDJ[Date]&lt;=$C$8),CRDJ[Debit])))+(SUM(IF((GJ[Sort Code]=(TRIM(E$5)))*(GJ[Account Code]=(TRIM($B87)))*(GJ[Date]&lt;=$C$8),GJ[Debit]))))-((SUM(IF((CkDJ[Sort Code]=(TRIM(E$5)))*(CkDJ[Account Code]=(TRIM($B87)))*(CkDJ[Date]&lt;=$C$8),CkDJ[Credit])))+(SUM(IF((CsDJ[Sort Code]=(TRIM(E$5)))*(CsDJ[Account Code]=(TRIM($B87)))*(CsDJ[Date]&lt;=$C$8),CsDJ[Credit])))+(SUM(IF((CRDJ[Sort Code]=(TRIM(E$5)))*(CRDJ[Account Code]=(TRIM($B87)))*(CRDJ[Date]&lt;=$C$8),CRDJ[Credit])))+(SUM(IF((GJ[Sort Code]=(TRIM(E$5)))*(GJ[Account Code]=(TRIM($B87)))*(GJ[Date]&lt;=$C$8),GJ[Credit]))))</f>
        <v>0</v>
      </c>
      <c r="D87" s="466">
        <f t="array" ref="D87">((SUM(IF((CkDJ[Date]=$A$4)*(CkDJ[Sort Code]=(TRIM(E$5)))*(CkDJ[Account Code]=(TRIM($B87))),CkDJ[Debit])))+(SUM(IF((CsDJ[Date]=$A$4)*(CsDJ[Sort Code]=(TRIM(E$5)))*(CsDJ[Account Code]=(TRIM($B87))),CsDJ[Debit])))+(SUM(IF((CRDJ[Date]=$A$4)*(CRDJ[Sort Code]=(TRIM(E$5)))*(CRDJ[Account Code]=(TRIM($B87))),CRDJ[Debit])))+(SUM(IF((GJ[Date]=$A$4)*(GJ[Sort Code]=(TRIM(E$5)))*(GJ[Account Code]=(TRIM($B87))),GJ[Debit]))))-((SUM(IF((CkDJ[Date]=$A$4)*(CkDJ[Sort Code]=(TRIM(E$5)))*(CkDJ[Account Code]=(TRIM($B87))),CkDJ[Credit])))+(SUM(IF((CsDJ[Date]=$A$4)*(CsDJ[Sort Code]=(TRIM(E$5)))*(CsDJ[Account Code]=(TRIM($B87))),CsDJ[Credit])))+(SUM(IF((CRDJ[Date]=$A$4)*(CRDJ[Sort Code]=(TRIM(E$5)))*(CRDJ[Account Code]=(TRIM($B87))),CRDJ[Credit])))+(SUM(IF((GJ[Date]=$A$4)*(GJ[Sort Code]=(TRIM(E$5)))*(GJ[Account Code]=(TRIM($B87))),GJ[Credit]))))</f>
        <v>0</v>
      </c>
      <c r="E87" s="467">
        <f>C87+D87</f>
        <v>0</v>
      </c>
    </row>
    <row r="88" spans="1:5">
      <c r="A88" s="476" t="s">
        <v>1475</v>
      </c>
      <c r="B88" s="339" t="s">
        <v>1266</v>
      </c>
      <c r="C88" s="466">
        <f t="array" ref="C88">((SUM(IF((CkDJ[Sort Code]=(TRIM(E$5)))*(CkDJ[Account Code]=(TRIM($B88)))*(CkDJ[Date]&lt;=$C$8),CkDJ[Debit])))+(SUM(IF((CsDJ[Sort Code]=(TRIM(E$5)))*(CsDJ[Account Code]=(TRIM($B88)))*(CsDJ[Date]&lt;=$C$8),CsDJ[Debit])))+(SUM(IF((CRDJ[Sort Code]=(TRIM(E$5)))*(CRDJ[Account Code]=(TRIM($B88)))*(CRDJ[Date]&lt;=$C$8),CRDJ[Debit])))+(SUM(IF((GJ[Sort Code]=(TRIM(E$5)))*(GJ[Account Code]=(TRIM($B88)))*(GJ[Date]&lt;=$C$8),GJ[Debit]))))-((SUM(IF((CkDJ[Sort Code]=(TRIM(E$5)))*(CkDJ[Account Code]=(TRIM($B88)))*(CkDJ[Date]&lt;=$C$8),CkDJ[Credit])))+(SUM(IF((CsDJ[Sort Code]=(TRIM(E$5)))*(CsDJ[Account Code]=(TRIM($B88)))*(CsDJ[Date]&lt;=$C$8),CsDJ[Credit])))+(SUM(IF((CRDJ[Sort Code]=(TRIM(E$5)))*(CRDJ[Account Code]=(TRIM($B88)))*(CRDJ[Date]&lt;=$C$8),CRDJ[Credit])))+(SUM(IF((GJ[Sort Code]=(TRIM(E$5)))*(GJ[Account Code]=(TRIM($B88)))*(GJ[Date]&lt;=$C$8),GJ[Credit]))))</f>
        <v>0</v>
      </c>
      <c r="D88" s="466">
        <f t="array" ref="D88">((SUM(IF((CkDJ[Date]=$A$4)*(CkDJ[Sort Code]=(TRIM(E$5)))*(CkDJ[Account Code]=(TRIM($B88))),CkDJ[Debit])))+(SUM(IF((CsDJ[Date]=$A$4)*(CsDJ[Sort Code]=(TRIM(E$5)))*(CsDJ[Account Code]=(TRIM($B88))),CsDJ[Debit])))+(SUM(IF((CRDJ[Date]=$A$4)*(CRDJ[Sort Code]=(TRIM(E$5)))*(CRDJ[Account Code]=(TRIM($B88))),CRDJ[Debit])))+(SUM(IF((GJ[Date]=$A$4)*(GJ[Sort Code]=(TRIM(E$5)))*(GJ[Account Code]=(TRIM($B88))),GJ[Debit]))))-((SUM(IF((CkDJ[Date]=$A$4)*(CkDJ[Sort Code]=(TRIM(E$5)))*(CkDJ[Account Code]=(TRIM($B88))),CkDJ[Credit])))+(SUM(IF((CsDJ[Date]=$A$4)*(CsDJ[Sort Code]=(TRIM(E$5)))*(CsDJ[Account Code]=(TRIM($B88))),CsDJ[Credit])))+(SUM(IF((CRDJ[Date]=$A$4)*(CRDJ[Sort Code]=(TRIM(E$5)))*(CRDJ[Account Code]=(TRIM($B88))),CRDJ[Credit])))+(SUM(IF((GJ[Date]=$A$4)*(GJ[Sort Code]=(TRIM(E$5)))*(GJ[Account Code]=(TRIM($B88))),GJ[Credit]))))</f>
        <v>0</v>
      </c>
      <c r="E88" s="467">
        <f>C88+D88</f>
        <v>0</v>
      </c>
    </row>
    <row r="89" spans="1:5">
      <c r="A89" s="476" t="s">
        <v>294</v>
      </c>
      <c r="B89" s="339" t="s">
        <v>234</v>
      </c>
      <c r="C89" s="466">
        <f t="array" ref="C89">((SUM(IF((CkDJ[Sort Code]=(TRIM(E$5)))*(CkDJ[Account Code]=(TRIM($B89)))*(CkDJ[Date]&lt;=$C$8),CkDJ[Debit])))+(SUM(IF((CsDJ[Sort Code]=(TRIM(E$5)))*(CsDJ[Account Code]=(TRIM($B89)))*(CsDJ[Date]&lt;=$C$8),CsDJ[Debit])))+(SUM(IF((CRDJ[Sort Code]=(TRIM(E$5)))*(CRDJ[Account Code]=(TRIM($B89)))*(CRDJ[Date]&lt;=$C$8),CRDJ[Debit])))+(SUM(IF((GJ[Sort Code]=(TRIM(E$5)))*(GJ[Account Code]=(TRIM($B89)))*(GJ[Date]&lt;=$C$8),GJ[Debit]))))-((SUM(IF((CkDJ[Sort Code]=(TRIM(E$5)))*(CkDJ[Account Code]=(TRIM($B89)))*(CkDJ[Date]&lt;=$C$8),CkDJ[Credit])))+(SUM(IF((CsDJ[Sort Code]=(TRIM(E$5)))*(CsDJ[Account Code]=(TRIM($B89)))*(CsDJ[Date]&lt;=$C$8),CsDJ[Credit])))+(SUM(IF((CRDJ[Sort Code]=(TRIM(E$5)))*(CRDJ[Account Code]=(TRIM($B89)))*(CRDJ[Date]&lt;=$C$8),CRDJ[Credit])))+(SUM(IF((GJ[Sort Code]=(TRIM(E$5)))*(GJ[Account Code]=(TRIM($B89)))*(GJ[Date]&lt;=$C$8),GJ[Credit]))))</f>
        <v>0</v>
      </c>
      <c r="D89" s="466">
        <f t="array" ref="D89">((SUM(IF((CkDJ[Date]=$A$4)*(CkDJ[Sort Code]=(TRIM(E$5)))*(CkDJ[Account Code]=(TRIM($B89))),CkDJ[Debit])))+(SUM(IF((CsDJ[Date]=$A$4)*(CsDJ[Sort Code]=(TRIM(E$5)))*(CsDJ[Account Code]=(TRIM($B89))),CsDJ[Debit])))+(SUM(IF((CRDJ[Date]=$A$4)*(CRDJ[Sort Code]=(TRIM(E$5)))*(CRDJ[Account Code]=(TRIM($B89))),CRDJ[Debit])))+(SUM(IF((GJ[Date]=$A$4)*(GJ[Sort Code]=(TRIM(E$5)))*(GJ[Account Code]=(TRIM($B89))),GJ[Debit]))))-((SUM(IF((CkDJ[Date]=$A$4)*(CkDJ[Sort Code]=(TRIM(E$5)))*(CkDJ[Account Code]=(TRIM($B89))),CkDJ[Credit])))+(SUM(IF((CsDJ[Date]=$A$4)*(CsDJ[Sort Code]=(TRIM(E$5)))*(CsDJ[Account Code]=(TRIM($B89))),CsDJ[Credit])))+(SUM(IF((CRDJ[Date]=$A$4)*(CRDJ[Sort Code]=(TRIM(E$5)))*(CRDJ[Account Code]=(TRIM($B89))),CRDJ[Credit])))+(SUM(IF((GJ[Date]=$A$4)*(GJ[Sort Code]=(TRIM(E$5)))*(GJ[Account Code]=(TRIM($B89))),GJ[Credit]))))</f>
        <v>0</v>
      </c>
      <c r="E89" s="467">
        <f t="shared" si="3"/>
        <v>0</v>
      </c>
    </row>
    <row r="90" spans="1:5">
      <c r="A90" s="476" t="s">
        <v>295</v>
      </c>
      <c r="B90" s="339" t="s">
        <v>235</v>
      </c>
      <c r="C90" s="466">
        <f t="array" ref="C90">((SUM(IF((CkDJ[Sort Code]=(TRIM(E$5)))*(CkDJ[Account Code]=(TRIM($B90)))*(CkDJ[Date]&lt;=$C$8),CkDJ[Debit])))+(SUM(IF((CsDJ[Sort Code]=(TRIM(E$5)))*(CsDJ[Account Code]=(TRIM($B90)))*(CsDJ[Date]&lt;=$C$8),CsDJ[Debit])))+(SUM(IF((CRDJ[Sort Code]=(TRIM(E$5)))*(CRDJ[Account Code]=(TRIM($B90)))*(CRDJ[Date]&lt;=$C$8),CRDJ[Debit])))+(SUM(IF((GJ[Sort Code]=(TRIM(E$5)))*(GJ[Account Code]=(TRIM($B90)))*(GJ[Date]&lt;=$C$8),GJ[Debit]))))-((SUM(IF((CkDJ[Sort Code]=(TRIM(E$5)))*(CkDJ[Account Code]=(TRIM($B90)))*(CkDJ[Date]&lt;=$C$8),CkDJ[Credit])))+(SUM(IF((CsDJ[Sort Code]=(TRIM(E$5)))*(CsDJ[Account Code]=(TRIM($B90)))*(CsDJ[Date]&lt;=$C$8),CsDJ[Credit])))+(SUM(IF((CRDJ[Sort Code]=(TRIM(E$5)))*(CRDJ[Account Code]=(TRIM($B90)))*(CRDJ[Date]&lt;=$C$8),CRDJ[Credit])))+(SUM(IF((GJ[Sort Code]=(TRIM(E$5)))*(GJ[Account Code]=(TRIM($B90)))*(GJ[Date]&lt;=$C$8),GJ[Credit]))))</f>
        <v>0</v>
      </c>
      <c r="D90" s="466">
        <f t="array" ref="D90">((SUM(IF((CkDJ[Date]=$A$4)*(CkDJ[Sort Code]=(TRIM(E$5)))*(CkDJ[Account Code]=(TRIM($B90))),CkDJ[Debit])))+(SUM(IF((CsDJ[Date]=$A$4)*(CsDJ[Sort Code]=(TRIM(E$5)))*(CsDJ[Account Code]=(TRIM($B90))),CsDJ[Debit])))+(SUM(IF((CRDJ[Date]=$A$4)*(CRDJ[Sort Code]=(TRIM(E$5)))*(CRDJ[Account Code]=(TRIM($B90))),CRDJ[Debit])))+(SUM(IF((GJ[Date]=$A$4)*(GJ[Sort Code]=(TRIM(E$5)))*(GJ[Account Code]=(TRIM($B90))),GJ[Debit]))))-((SUM(IF((CkDJ[Date]=$A$4)*(CkDJ[Sort Code]=(TRIM(E$5)))*(CkDJ[Account Code]=(TRIM($B90))),CkDJ[Credit])))+(SUM(IF((CsDJ[Date]=$A$4)*(CsDJ[Sort Code]=(TRIM(E$5)))*(CsDJ[Account Code]=(TRIM($B90))),CsDJ[Credit])))+(SUM(IF((CRDJ[Date]=$A$4)*(CRDJ[Sort Code]=(TRIM(E$5)))*(CRDJ[Account Code]=(TRIM($B90))),CRDJ[Credit])))+(SUM(IF((GJ[Date]=$A$4)*(GJ[Sort Code]=(TRIM(E$5)))*(GJ[Account Code]=(TRIM($B90))),GJ[Credit]))))</f>
        <v>0</v>
      </c>
      <c r="E90" s="467">
        <f t="shared" si="3"/>
        <v>0</v>
      </c>
    </row>
    <row r="91" spans="1:5">
      <c r="A91" s="476" t="s">
        <v>296</v>
      </c>
      <c r="B91" s="339" t="s">
        <v>236</v>
      </c>
      <c r="C91" s="466">
        <f t="array" ref="C91">((SUM(IF((CkDJ[Sort Code]=(TRIM(E$5)))*(CkDJ[Account Code]=(TRIM($B91)))*(CkDJ[Date]&lt;=$C$8),CkDJ[Debit])))+(SUM(IF((CsDJ[Sort Code]=(TRIM(E$5)))*(CsDJ[Account Code]=(TRIM($B91)))*(CsDJ[Date]&lt;=$C$8),CsDJ[Debit])))+(SUM(IF((CRDJ[Sort Code]=(TRIM(E$5)))*(CRDJ[Account Code]=(TRIM($B91)))*(CRDJ[Date]&lt;=$C$8),CRDJ[Debit])))+(SUM(IF((GJ[Sort Code]=(TRIM(E$5)))*(GJ[Account Code]=(TRIM($B91)))*(GJ[Date]&lt;=$C$8),GJ[Debit]))))-((SUM(IF((CkDJ[Sort Code]=(TRIM(E$5)))*(CkDJ[Account Code]=(TRIM($B91)))*(CkDJ[Date]&lt;=$C$8),CkDJ[Credit])))+(SUM(IF((CsDJ[Sort Code]=(TRIM(E$5)))*(CsDJ[Account Code]=(TRIM($B91)))*(CsDJ[Date]&lt;=$C$8),CsDJ[Credit])))+(SUM(IF((CRDJ[Sort Code]=(TRIM(E$5)))*(CRDJ[Account Code]=(TRIM($B91)))*(CRDJ[Date]&lt;=$C$8),CRDJ[Credit])))+(SUM(IF((GJ[Sort Code]=(TRIM(E$5)))*(GJ[Account Code]=(TRIM($B91)))*(GJ[Date]&lt;=$C$8),GJ[Credit]))))</f>
        <v>0</v>
      </c>
      <c r="D91" s="466">
        <f t="array" ref="D91">((SUM(IF((CkDJ[Date]=$A$4)*(CkDJ[Sort Code]=(TRIM(E$5)))*(CkDJ[Account Code]=(TRIM($B91))),CkDJ[Debit])))+(SUM(IF((CsDJ[Date]=$A$4)*(CsDJ[Sort Code]=(TRIM(E$5)))*(CsDJ[Account Code]=(TRIM($B91))),CsDJ[Debit])))+(SUM(IF((CRDJ[Date]=$A$4)*(CRDJ[Sort Code]=(TRIM(E$5)))*(CRDJ[Account Code]=(TRIM($B91))),CRDJ[Debit])))+(SUM(IF((GJ[Date]=$A$4)*(GJ[Sort Code]=(TRIM(E$5)))*(GJ[Account Code]=(TRIM($B91))),GJ[Debit]))))-((SUM(IF((CkDJ[Date]=$A$4)*(CkDJ[Sort Code]=(TRIM(E$5)))*(CkDJ[Account Code]=(TRIM($B91))),CkDJ[Credit])))+(SUM(IF((CsDJ[Date]=$A$4)*(CsDJ[Sort Code]=(TRIM(E$5)))*(CsDJ[Account Code]=(TRIM($B91))),CsDJ[Credit])))+(SUM(IF((CRDJ[Date]=$A$4)*(CRDJ[Sort Code]=(TRIM(E$5)))*(CRDJ[Account Code]=(TRIM($B91))),CRDJ[Credit])))+(SUM(IF((GJ[Date]=$A$4)*(GJ[Sort Code]=(TRIM(E$5)))*(GJ[Account Code]=(TRIM($B91))),GJ[Credit]))))</f>
        <v>0</v>
      </c>
      <c r="E91" s="467">
        <f t="shared" si="3"/>
        <v>0</v>
      </c>
    </row>
    <row r="92" spans="1:5">
      <c r="A92" s="476" t="s">
        <v>297</v>
      </c>
      <c r="B92" s="339" t="s">
        <v>237</v>
      </c>
      <c r="C92" s="466">
        <f t="array" ref="C92">((SUM(IF((CkDJ[Sort Code]=(TRIM(E$5)))*(CkDJ[Account Code]=(TRIM($B92)))*(CkDJ[Date]&lt;=$C$8),CkDJ[Debit])))+(SUM(IF((CsDJ[Sort Code]=(TRIM(E$5)))*(CsDJ[Account Code]=(TRIM($B92)))*(CsDJ[Date]&lt;=$C$8),CsDJ[Debit])))+(SUM(IF((CRDJ[Sort Code]=(TRIM(E$5)))*(CRDJ[Account Code]=(TRIM($B92)))*(CRDJ[Date]&lt;=$C$8),CRDJ[Debit])))+(SUM(IF((GJ[Sort Code]=(TRIM(E$5)))*(GJ[Account Code]=(TRIM($B92)))*(GJ[Date]&lt;=$C$8),GJ[Debit]))))-((SUM(IF((CkDJ[Sort Code]=(TRIM(E$5)))*(CkDJ[Account Code]=(TRIM($B92)))*(CkDJ[Date]&lt;=$C$8),CkDJ[Credit])))+(SUM(IF((CsDJ[Sort Code]=(TRIM(E$5)))*(CsDJ[Account Code]=(TRIM($B92)))*(CsDJ[Date]&lt;=$C$8),CsDJ[Credit])))+(SUM(IF((CRDJ[Sort Code]=(TRIM(E$5)))*(CRDJ[Account Code]=(TRIM($B92)))*(CRDJ[Date]&lt;=$C$8),CRDJ[Credit])))+(SUM(IF((GJ[Sort Code]=(TRIM(E$5)))*(GJ[Account Code]=(TRIM($B92)))*(GJ[Date]&lt;=$C$8),GJ[Credit]))))</f>
        <v>0</v>
      </c>
      <c r="D92" s="466">
        <f t="array" ref="D92">((SUM(IF((CkDJ[Date]=$A$4)*(CkDJ[Sort Code]=(TRIM(E$5)))*(CkDJ[Account Code]=(TRIM($B92))),CkDJ[Debit])))+(SUM(IF((CsDJ[Date]=$A$4)*(CsDJ[Sort Code]=(TRIM(E$5)))*(CsDJ[Account Code]=(TRIM($B92))),CsDJ[Debit])))+(SUM(IF((CRDJ[Date]=$A$4)*(CRDJ[Sort Code]=(TRIM(E$5)))*(CRDJ[Account Code]=(TRIM($B92))),CRDJ[Debit])))+(SUM(IF((GJ[Date]=$A$4)*(GJ[Sort Code]=(TRIM(E$5)))*(GJ[Account Code]=(TRIM($B92))),GJ[Debit]))))-((SUM(IF((CkDJ[Date]=$A$4)*(CkDJ[Sort Code]=(TRIM(E$5)))*(CkDJ[Account Code]=(TRIM($B92))),CkDJ[Credit])))+(SUM(IF((CsDJ[Date]=$A$4)*(CsDJ[Sort Code]=(TRIM(E$5)))*(CsDJ[Account Code]=(TRIM($B92))),CsDJ[Credit])))+(SUM(IF((CRDJ[Date]=$A$4)*(CRDJ[Sort Code]=(TRIM(E$5)))*(CRDJ[Account Code]=(TRIM($B92))),CRDJ[Credit])))+(SUM(IF((GJ[Date]=$A$4)*(GJ[Sort Code]=(TRIM(E$5)))*(GJ[Account Code]=(TRIM($B92))),GJ[Credit]))))</f>
        <v>0</v>
      </c>
      <c r="E92" s="467">
        <f t="shared" si="3"/>
        <v>0</v>
      </c>
    </row>
    <row r="93" spans="1:5">
      <c r="A93" s="476" t="s">
        <v>298</v>
      </c>
      <c r="B93" s="339" t="s">
        <v>238</v>
      </c>
      <c r="C93" s="466">
        <f t="array" ref="C93">((SUM(IF((CkDJ[Sort Code]=(TRIM(E$5)))*(CkDJ[Account Code]=(TRIM($B93)))*(CkDJ[Date]&lt;=$C$8),CkDJ[Debit])))+(SUM(IF((CsDJ[Sort Code]=(TRIM(E$5)))*(CsDJ[Account Code]=(TRIM($B93)))*(CsDJ[Date]&lt;=$C$8),CsDJ[Debit])))+(SUM(IF((CRDJ[Sort Code]=(TRIM(E$5)))*(CRDJ[Account Code]=(TRIM($B93)))*(CRDJ[Date]&lt;=$C$8),CRDJ[Debit])))+(SUM(IF((GJ[Sort Code]=(TRIM(E$5)))*(GJ[Account Code]=(TRIM($B93)))*(GJ[Date]&lt;=$C$8),GJ[Debit]))))-((SUM(IF((CkDJ[Sort Code]=(TRIM(E$5)))*(CkDJ[Account Code]=(TRIM($B93)))*(CkDJ[Date]&lt;=$C$8),CkDJ[Credit])))+(SUM(IF((CsDJ[Sort Code]=(TRIM(E$5)))*(CsDJ[Account Code]=(TRIM($B93)))*(CsDJ[Date]&lt;=$C$8),CsDJ[Credit])))+(SUM(IF((CRDJ[Sort Code]=(TRIM(E$5)))*(CRDJ[Account Code]=(TRIM($B93)))*(CRDJ[Date]&lt;=$C$8),CRDJ[Credit])))+(SUM(IF((GJ[Sort Code]=(TRIM(E$5)))*(GJ[Account Code]=(TRIM($B93)))*(GJ[Date]&lt;=$C$8),GJ[Credit]))))</f>
        <v>0</v>
      </c>
      <c r="D93" s="466">
        <f t="array" ref="D93">((SUM(IF((CkDJ[Date]=$A$4)*(CkDJ[Sort Code]=(TRIM(E$5)))*(CkDJ[Account Code]=(TRIM($B93))),CkDJ[Debit])))+(SUM(IF((CsDJ[Date]=$A$4)*(CsDJ[Sort Code]=(TRIM(E$5)))*(CsDJ[Account Code]=(TRIM($B93))),CsDJ[Debit])))+(SUM(IF((CRDJ[Date]=$A$4)*(CRDJ[Sort Code]=(TRIM(E$5)))*(CRDJ[Account Code]=(TRIM($B93))),CRDJ[Debit])))+(SUM(IF((GJ[Date]=$A$4)*(GJ[Sort Code]=(TRIM(E$5)))*(GJ[Account Code]=(TRIM($B93))),GJ[Debit]))))-((SUM(IF((CkDJ[Date]=$A$4)*(CkDJ[Sort Code]=(TRIM(E$5)))*(CkDJ[Account Code]=(TRIM($B93))),CkDJ[Credit])))+(SUM(IF((CsDJ[Date]=$A$4)*(CsDJ[Sort Code]=(TRIM(E$5)))*(CsDJ[Account Code]=(TRIM($B93))),CsDJ[Credit])))+(SUM(IF((CRDJ[Date]=$A$4)*(CRDJ[Sort Code]=(TRIM(E$5)))*(CRDJ[Account Code]=(TRIM($B93))),CRDJ[Credit])))+(SUM(IF((GJ[Date]=$A$4)*(GJ[Sort Code]=(TRIM(E$5)))*(GJ[Account Code]=(TRIM($B93))),GJ[Credit]))))</f>
        <v>0</v>
      </c>
      <c r="E93" s="467">
        <f t="shared" si="3"/>
        <v>0</v>
      </c>
    </row>
    <row r="94" spans="1:5">
      <c r="A94" s="476" t="s">
        <v>1019</v>
      </c>
      <c r="B94" s="339" t="s">
        <v>239</v>
      </c>
      <c r="C94" s="466">
        <f t="array" ref="C94">((SUM(IF((CkDJ[Sort Code]=(TRIM(E$5)))*(CkDJ[Account Code]=(TRIM($B94)))*(CkDJ[Date]&lt;=$C$8),CkDJ[Debit])))+(SUM(IF((CsDJ[Sort Code]=(TRIM(E$5)))*(CsDJ[Account Code]=(TRIM($B94)))*(CsDJ[Date]&lt;=$C$8),CsDJ[Debit])))+(SUM(IF((CRDJ[Sort Code]=(TRIM(E$5)))*(CRDJ[Account Code]=(TRIM($B94)))*(CRDJ[Date]&lt;=$C$8),CRDJ[Debit])))+(SUM(IF((GJ[Sort Code]=(TRIM(E$5)))*(GJ[Account Code]=(TRIM($B94)))*(GJ[Date]&lt;=$C$8),GJ[Debit]))))-((SUM(IF((CkDJ[Sort Code]=(TRIM(E$5)))*(CkDJ[Account Code]=(TRIM($B94)))*(CkDJ[Date]&lt;=$C$8),CkDJ[Credit])))+(SUM(IF((CsDJ[Sort Code]=(TRIM(E$5)))*(CsDJ[Account Code]=(TRIM($B94)))*(CsDJ[Date]&lt;=$C$8),CsDJ[Credit])))+(SUM(IF((CRDJ[Sort Code]=(TRIM(E$5)))*(CRDJ[Account Code]=(TRIM($B94)))*(CRDJ[Date]&lt;=$C$8),CRDJ[Credit])))+(SUM(IF((GJ[Sort Code]=(TRIM(E$5)))*(GJ[Account Code]=(TRIM($B94)))*(GJ[Date]&lt;=$C$8),GJ[Credit]))))</f>
        <v>0</v>
      </c>
      <c r="D94" s="466">
        <f t="array" ref="D94">((SUM(IF((CkDJ[Date]=$A$4)*(CkDJ[Sort Code]=(TRIM(E$5)))*(CkDJ[Account Code]=(TRIM($B94))),CkDJ[Debit])))+(SUM(IF((CsDJ[Date]=$A$4)*(CsDJ[Sort Code]=(TRIM(E$5)))*(CsDJ[Account Code]=(TRIM($B94))),CsDJ[Debit])))+(SUM(IF((CRDJ[Date]=$A$4)*(CRDJ[Sort Code]=(TRIM(E$5)))*(CRDJ[Account Code]=(TRIM($B94))),CRDJ[Debit])))+(SUM(IF((GJ[Date]=$A$4)*(GJ[Sort Code]=(TRIM(E$5)))*(GJ[Account Code]=(TRIM($B94))),GJ[Debit]))))-((SUM(IF((CkDJ[Date]=$A$4)*(CkDJ[Sort Code]=(TRIM(E$5)))*(CkDJ[Account Code]=(TRIM($B94))),CkDJ[Credit])))+(SUM(IF((CsDJ[Date]=$A$4)*(CsDJ[Sort Code]=(TRIM(E$5)))*(CsDJ[Account Code]=(TRIM($B94))),CsDJ[Credit])))+(SUM(IF((CRDJ[Date]=$A$4)*(CRDJ[Sort Code]=(TRIM(E$5)))*(CRDJ[Account Code]=(TRIM($B94))),CRDJ[Credit])))+(SUM(IF((GJ[Date]=$A$4)*(GJ[Sort Code]=(TRIM(E$5)))*(GJ[Account Code]=(TRIM($B94))),GJ[Credit]))))</f>
        <v>0</v>
      </c>
      <c r="E94" s="467">
        <f t="shared" si="3"/>
        <v>0</v>
      </c>
    </row>
    <row r="95" spans="1:5">
      <c r="A95" s="476" t="s">
        <v>1020</v>
      </c>
      <c r="B95" s="339" t="s">
        <v>240</v>
      </c>
      <c r="C95" s="466">
        <f t="array" ref="C95">((SUM(IF((CkDJ[Sort Code]=(TRIM(E$5)))*(CkDJ[Account Code]=(TRIM($B95)))*(CkDJ[Date]&lt;=$C$8),CkDJ[Debit])))+(SUM(IF((CsDJ[Sort Code]=(TRIM(E$5)))*(CsDJ[Account Code]=(TRIM($B95)))*(CsDJ[Date]&lt;=$C$8),CsDJ[Debit])))+(SUM(IF((CRDJ[Sort Code]=(TRIM(E$5)))*(CRDJ[Account Code]=(TRIM($B95)))*(CRDJ[Date]&lt;=$C$8),CRDJ[Debit])))+(SUM(IF((GJ[Sort Code]=(TRIM(E$5)))*(GJ[Account Code]=(TRIM($B95)))*(GJ[Date]&lt;=$C$8),GJ[Debit]))))-((SUM(IF((CkDJ[Sort Code]=(TRIM(E$5)))*(CkDJ[Account Code]=(TRIM($B95)))*(CkDJ[Date]&lt;=$C$8),CkDJ[Credit])))+(SUM(IF((CsDJ[Sort Code]=(TRIM(E$5)))*(CsDJ[Account Code]=(TRIM($B95)))*(CsDJ[Date]&lt;=$C$8),CsDJ[Credit])))+(SUM(IF((CRDJ[Sort Code]=(TRIM(E$5)))*(CRDJ[Account Code]=(TRIM($B95)))*(CRDJ[Date]&lt;=$C$8),CRDJ[Credit])))+(SUM(IF((GJ[Sort Code]=(TRIM(E$5)))*(GJ[Account Code]=(TRIM($B95)))*(GJ[Date]&lt;=$C$8),GJ[Credit]))))</f>
        <v>0</v>
      </c>
      <c r="D95" s="466">
        <f t="array" ref="D95">((SUM(IF((CkDJ[Date]=$A$4)*(CkDJ[Sort Code]=(TRIM(E$5)))*(CkDJ[Account Code]=(TRIM($B95))),CkDJ[Debit])))+(SUM(IF((CsDJ[Date]=$A$4)*(CsDJ[Sort Code]=(TRIM(E$5)))*(CsDJ[Account Code]=(TRIM($B95))),CsDJ[Debit])))+(SUM(IF((CRDJ[Date]=$A$4)*(CRDJ[Sort Code]=(TRIM(E$5)))*(CRDJ[Account Code]=(TRIM($B95))),CRDJ[Debit])))+(SUM(IF((GJ[Date]=$A$4)*(GJ[Sort Code]=(TRIM(E$5)))*(GJ[Account Code]=(TRIM($B95))),GJ[Debit]))))-((SUM(IF((CkDJ[Date]=$A$4)*(CkDJ[Sort Code]=(TRIM(E$5)))*(CkDJ[Account Code]=(TRIM($B95))),CkDJ[Credit])))+(SUM(IF((CsDJ[Date]=$A$4)*(CsDJ[Sort Code]=(TRIM(E$5)))*(CsDJ[Account Code]=(TRIM($B95))),CsDJ[Credit])))+(SUM(IF((CRDJ[Date]=$A$4)*(CRDJ[Sort Code]=(TRIM(E$5)))*(CRDJ[Account Code]=(TRIM($B95))),CRDJ[Credit])))+(SUM(IF((GJ[Date]=$A$4)*(GJ[Sort Code]=(TRIM(E$5)))*(GJ[Account Code]=(TRIM($B95))),GJ[Credit]))))</f>
        <v>0</v>
      </c>
      <c r="E95" s="467">
        <f t="shared" si="3"/>
        <v>0</v>
      </c>
    </row>
    <row r="96" spans="1:5">
      <c r="A96" s="476" t="s">
        <v>299</v>
      </c>
      <c r="B96" s="339" t="s">
        <v>241</v>
      </c>
      <c r="C96" s="466">
        <f t="array" ref="C96">((SUM(IF((CkDJ[Sort Code]=(TRIM(E$5)))*(CkDJ[Account Code]=(TRIM($B96)))*(CkDJ[Date]&lt;=$C$8),CkDJ[Debit])))+(SUM(IF((CsDJ[Sort Code]=(TRIM(E$5)))*(CsDJ[Account Code]=(TRIM($B96)))*(CsDJ[Date]&lt;=$C$8),CsDJ[Debit])))+(SUM(IF((CRDJ[Sort Code]=(TRIM(E$5)))*(CRDJ[Account Code]=(TRIM($B96)))*(CRDJ[Date]&lt;=$C$8),CRDJ[Debit])))+(SUM(IF((GJ[Sort Code]=(TRIM(E$5)))*(GJ[Account Code]=(TRIM($B96)))*(GJ[Date]&lt;=$C$8),GJ[Debit]))))-((SUM(IF((CkDJ[Sort Code]=(TRIM(E$5)))*(CkDJ[Account Code]=(TRIM($B96)))*(CkDJ[Date]&lt;=$C$8),CkDJ[Credit])))+(SUM(IF((CsDJ[Sort Code]=(TRIM(E$5)))*(CsDJ[Account Code]=(TRIM($B96)))*(CsDJ[Date]&lt;=$C$8),CsDJ[Credit])))+(SUM(IF((CRDJ[Sort Code]=(TRIM(E$5)))*(CRDJ[Account Code]=(TRIM($B96)))*(CRDJ[Date]&lt;=$C$8),CRDJ[Credit])))+(SUM(IF((GJ[Sort Code]=(TRIM(E$5)))*(GJ[Account Code]=(TRIM($B96)))*(GJ[Date]&lt;=$C$8),GJ[Credit]))))</f>
        <v>0</v>
      </c>
      <c r="D96" s="466">
        <f t="array" ref="D96">((SUM(IF((CkDJ[Date]=$A$4)*(CkDJ[Sort Code]=(TRIM(E$5)))*(CkDJ[Account Code]=(TRIM($B96))),CkDJ[Debit])))+(SUM(IF((CsDJ[Date]=$A$4)*(CsDJ[Sort Code]=(TRIM(E$5)))*(CsDJ[Account Code]=(TRIM($B96))),CsDJ[Debit])))+(SUM(IF((CRDJ[Date]=$A$4)*(CRDJ[Sort Code]=(TRIM(E$5)))*(CRDJ[Account Code]=(TRIM($B96))),CRDJ[Debit])))+(SUM(IF((GJ[Date]=$A$4)*(GJ[Sort Code]=(TRIM(E$5)))*(GJ[Account Code]=(TRIM($B96))),GJ[Debit]))))-((SUM(IF((CkDJ[Date]=$A$4)*(CkDJ[Sort Code]=(TRIM(E$5)))*(CkDJ[Account Code]=(TRIM($B96))),CkDJ[Credit])))+(SUM(IF((CsDJ[Date]=$A$4)*(CsDJ[Sort Code]=(TRIM(E$5)))*(CsDJ[Account Code]=(TRIM($B96))),CsDJ[Credit])))+(SUM(IF((CRDJ[Date]=$A$4)*(CRDJ[Sort Code]=(TRIM(E$5)))*(CRDJ[Account Code]=(TRIM($B96))),CRDJ[Credit])))+(SUM(IF((GJ[Date]=$A$4)*(GJ[Sort Code]=(TRIM(E$5)))*(GJ[Account Code]=(TRIM($B96))),GJ[Credit]))))</f>
        <v>0</v>
      </c>
      <c r="E96" s="467">
        <f t="shared" si="3"/>
        <v>0</v>
      </c>
    </row>
    <row r="97" spans="1:5">
      <c r="A97" s="476" t="s">
        <v>300</v>
      </c>
      <c r="B97" s="339" t="s">
        <v>242</v>
      </c>
      <c r="C97" s="466">
        <f t="array" ref="C97">((SUM(IF((CkDJ[Sort Code]=(TRIM(E$5)))*(CkDJ[Account Code]=(TRIM($B97)))*(CkDJ[Date]&lt;=$C$8),CkDJ[Debit])))+(SUM(IF((CsDJ[Sort Code]=(TRIM(E$5)))*(CsDJ[Account Code]=(TRIM($B97)))*(CsDJ[Date]&lt;=$C$8),CsDJ[Debit])))+(SUM(IF((CRDJ[Sort Code]=(TRIM(E$5)))*(CRDJ[Account Code]=(TRIM($B97)))*(CRDJ[Date]&lt;=$C$8),CRDJ[Debit])))+(SUM(IF((GJ[Sort Code]=(TRIM(E$5)))*(GJ[Account Code]=(TRIM($B97)))*(GJ[Date]&lt;=$C$8),GJ[Debit]))))-((SUM(IF((CkDJ[Sort Code]=(TRIM(E$5)))*(CkDJ[Account Code]=(TRIM($B97)))*(CkDJ[Date]&lt;=$C$8),CkDJ[Credit])))+(SUM(IF((CsDJ[Sort Code]=(TRIM(E$5)))*(CsDJ[Account Code]=(TRIM($B97)))*(CsDJ[Date]&lt;=$C$8),CsDJ[Credit])))+(SUM(IF((CRDJ[Sort Code]=(TRIM(E$5)))*(CRDJ[Account Code]=(TRIM($B97)))*(CRDJ[Date]&lt;=$C$8),CRDJ[Credit])))+(SUM(IF((GJ[Sort Code]=(TRIM(E$5)))*(GJ[Account Code]=(TRIM($B97)))*(GJ[Date]&lt;=$C$8),GJ[Credit]))))</f>
        <v>0</v>
      </c>
      <c r="D97" s="466">
        <f t="array" ref="D97">((SUM(IF((CkDJ[Date]=$A$4)*(CkDJ[Sort Code]=(TRIM(E$5)))*(CkDJ[Account Code]=(TRIM($B97))),CkDJ[Debit])))+(SUM(IF((CsDJ[Date]=$A$4)*(CsDJ[Sort Code]=(TRIM(E$5)))*(CsDJ[Account Code]=(TRIM($B97))),CsDJ[Debit])))+(SUM(IF((CRDJ[Date]=$A$4)*(CRDJ[Sort Code]=(TRIM(E$5)))*(CRDJ[Account Code]=(TRIM($B97))),CRDJ[Debit])))+(SUM(IF((GJ[Date]=$A$4)*(GJ[Sort Code]=(TRIM(E$5)))*(GJ[Account Code]=(TRIM($B97))),GJ[Debit]))))-((SUM(IF((CkDJ[Date]=$A$4)*(CkDJ[Sort Code]=(TRIM(E$5)))*(CkDJ[Account Code]=(TRIM($B97))),CkDJ[Credit])))+(SUM(IF((CsDJ[Date]=$A$4)*(CsDJ[Sort Code]=(TRIM(E$5)))*(CsDJ[Account Code]=(TRIM($B97))),CsDJ[Credit])))+(SUM(IF((CRDJ[Date]=$A$4)*(CRDJ[Sort Code]=(TRIM(E$5)))*(CRDJ[Account Code]=(TRIM($B97))),CRDJ[Credit])))+(SUM(IF((GJ[Date]=$A$4)*(GJ[Sort Code]=(TRIM(E$5)))*(GJ[Account Code]=(TRIM($B97))),GJ[Credit]))))</f>
        <v>0</v>
      </c>
      <c r="E97" s="467">
        <f t="shared" si="3"/>
        <v>0</v>
      </c>
    </row>
    <row r="98" spans="1:5">
      <c r="A98" s="476" t="s">
        <v>301</v>
      </c>
      <c r="B98" s="339" t="s">
        <v>243</v>
      </c>
      <c r="C98" s="466">
        <f t="array" ref="C98">((SUM(IF((CkDJ[Sort Code]=(TRIM(E$5)))*(CkDJ[Account Code]=(TRIM($B98)))*(CkDJ[Date]&lt;=$C$8),CkDJ[Debit])))+(SUM(IF((CsDJ[Sort Code]=(TRIM(E$5)))*(CsDJ[Account Code]=(TRIM($B98)))*(CsDJ[Date]&lt;=$C$8),CsDJ[Debit])))+(SUM(IF((CRDJ[Sort Code]=(TRIM(E$5)))*(CRDJ[Account Code]=(TRIM($B98)))*(CRDJ[Date]&lt;=$C$8),CRDJ[Debit])))+(SUM(IF((GJ[Sort Code]=(TRIM(E$5)))*(GJ[Account Code]=(TRIM($B98)))*(GJ[Date]&lt;=$C$8),GJ[Debit]))))-((SUM(IF((CkDJ[Sort Code]=(TRIM(E$5)))*(CkDJ[Account Code]=(TRIM($B98)))*(CkDJ[Date]&lt;=$C$8),CkDJ[Credit])))+(SUM(IF((CsDJ[Sort Code]=(TRIM(E$5)))*(CsDJ[Account Code]=(TRIM($B98)))*(CsDJ[Date]&lt;=$C$8),CsDJ[Credit])))+(SUM(IF((CRDJ[Sort Code]=(TRIM(E$5)))*(CRDJ[Account Code]=(TRIM($B98)))*(CRDJ[Date]&lt;=$C$8),CRDJ[Credit])))+(SUM(IF((GJ[Sort Code]=(TRIM(E$5)))*(GJ[Account Code]=(TRIM($B98)))*(GJ[Date]&lt;=$C$8),GJ[Credit]))))</f>
        <v>0</v>
      </c>
      <c r="D98" s="466">
        <f t="array" ref="D98">((SUM(IF((CkDJ[Date]=$A$4)*(CkDJ[Sort Code]=(TRIM(E$5)))*(CkDJ[Account Code]=(TRIM($B98))),CkDJ[Debit])))+(SUM(IF((CsDJ[Date]=$A$4)*(CsDJ[Sort Code]=(TRIM(E$5)))*(CsDJ[Account Code]=(TRIM($B98))),CsDJ[Debit])))+(SUM(IF((CRDJ[Date]=$A$4)*(CRDJ[Sort Code]=(TRIM(E$5)))*(CRDJ[Account Code]=(TRIM($B98))),CRDJ[Debit])))+(SUM(IF((GJ[Date]=$A$4)*(GJ[Sort Code]=(TRIM(E$5)))*(GJ[Account Code]=(TRIM($B98))),GJ[Debit]))))-((SUM(IF((CkDJ[Date]=$A$4)*(CkDJ[Sort Code]=(TRIM(E$5)))*(CkDJ[Account Code]=(TRIM($B98))),CkDJ[Credit])))+(SUM(IF((CsDJ[Date]=$A$4)*(CsDJ[Sort Code]=(TRIM(E$5)))*(CsDJ[Account Code]=(TRIM($B98))),CsDJ[Credit])))+(SUM(IF((CRDJ[Date]=$A$4)*(CRDJ[Sort Code]=(TRIM(E$5)))*(CRDJ[Account Code]=(TRIM($B98))),CRDJ[Credit])))+(SUM(IF((GJ[Date]=$A$4)*(GJ[Sort Code]=(TRIM(E$5)))*(GJ[Account Code]=(TRIM($B98))),GJ[Credit]))))</f>
        <v>0</v>
      </c>
      <c r="E98" s="467">
        <f t="shared" si="3"/>
        <v>0</v>
      </c>
    </row>
    <row r="99" spans="1:5">
      <c r="A99" s="476" t="s">
        <v>302</v>
      </c>
      <c r="B99" s="339" t="s">
        <v>244</v>
      </c>
      <c r="C99" s="466">
        <f t="array" ref="C99">((SUM(IF((CkDJ[Sort Code]=(TRIM(E$5)))*(CkDJ[Account Code]=(TRIM($B99)))*(CkDJ[Date]&lt;=$C$8),CkDJ[Debit])))+(SUM(IF((CsDJ[Sort Code]=(TRIM(E$5)))*(CsDJ[Account Code]=(TRIM($B99)))*(CsDJ[Date]&lt;=$C$8),CsDJ[Debit])))+(SUM(IF((CRDJ[Sort Code]=(TRIM(E$5)))*(CRDJ[Account Code]=(TRIM($B99)))*(CRDJ[Date]&lt;=$C$8),CRDJ[Debit])))+(SUM(IF((GJ[Sort Code]=(TRIM(E$5)))*(GJ[Account Code]=(TRIM($B99)))*(GJ[Date]&lt;=$C$8),GJ[Debit]))))-((SUM(IF((CkDJ[Sort Code]=(TRIM(E$5)))*(CkDJ[Account Code]=(TRIM($B99)))*(CkDJ[Date]&lt;=$C$8),CkDJ[Credit])))+(SUM(IF((CsDJ[Sort Code]=(TRIM(E$5)))*(CsDJ[Account Code]=(TRIM($B99)))*(CsDJ[Date]&lt;=$C$8),CsDJ[Credit])))+(SUM(IF((CRDJ[Sort Code]=(TRIM(E$5)))*(CRDJ[Account Code]=(TRIM($B99)))*(CRDJ[Date]&lt;=$C$8),CRDJ[Credit])))+(SUM(IF((GJ[Sort Code]=(TRIM(E$5)))*(GJ[Account Code]=(TRIM($B99)))*(GJ[Date]&lt;=$C$8),GJ[Credit]))))</f>
        <v>0</v>
      </c>
      <c r="D99" s="466">
        <f t="array" ref="D99">((SUM(IF((CkDJ[Date]=$A$4)*(CkDJ[Sort Code]=(TRIM(E$5)))*(CkDJ[Account Code]=(TRIM($B99))),CkDJ[Debit])))+(SUM(IF((CsDJ[Date]=$A$4)*(CsDJ[Sort Code]=(TRIM(E$5)))*(CsDJ[Account Code]=(TRIM($B99))),CsDJ[Debit])))+(SUM(IF((CRDJ[Date]=$A$4)*(CRDJ[Sort Code]=(TRIM(E$5)))*(CRDJ[Account Code]=(TRIM($B99))),CRDJ[Debit])))+(SUM(IF((GJ[Date]=$A$4)*(GJ[Sort Code]=(TRIM(E$5)))*(GJ[Account Code]=(TRIM($B99))),GJ[Debit]))))-((SUM(IF((CkDJ[Date]=$A$4)*(CkDJ[Sort Code]=(TRIM(E$5)))*(CkDJ[Account Code]=(TRIM($B99))),CkDJ[Credit])))+(SUM(IF((CsDJ[Date]=$A$4)*(CsDJ[Sort Code]=(TRIM(E$5)))*(CsDJ[Account Code]=(TRIM($B99))),CsDJ[Credit])))+(SUM(IF((CRDJ[Date]=$A$4)*(CRDJ[Sort Code]=(TRIM(E$5)))*(CRDJ[Account Code]=(TRIM($B99))),CRDJ[Credit])))+(SUM(IF((GJ[Date]=$A$4)*(GJ[Sort Code]=(TRIM(E$5)))*(GJ[Account Code]=(TRIM($B99))),GJ[Credit]))))</f>
        <v>0</v>
      </c>
      <c r="E99" s="467">
        <f t="shared" si="3"/>
        <v>0</v>
      </c>
    </row>
    <row r="100" spans="1:5">
      <c r="A100" s="476" t="s">
        <v>347</v>
      </c>
      <c r="B100" s="339" t="s">
        <v>338</v>
      </c>
      <c r="C100" s="466">
        <f t="array" ref="C100">((SUM(IF((CkDJ[Sort Code]=(TRIM(E$5)))*(CkDJ[Account Code]=(TRIM($B100)))*(CkDJ[Date]&lt;=$C$8),CkDJ[Debit])))+(SUM(IF((CsDJ[Sort Code]=(TRIM(E$5)))*(CsDJ[Account Code]=(TRIM($B100)))*(CsDJ[Date]&lt;=$C$8),CsDJ[Debit])))+(SUM(IF((CRDJ[Sort Code]=(TRIM(E$5)))*(CRDJ[Account Code]=(TRIM($B100)))*(CRDJ[Date]&lt;=$C$8),CRDJ[Debit])))+(SUM(IF((GJ[Sort Code]=(TRIM(E$5)))*(GJ[Account Code]=(TRIM($B100)))*(GJ[Date]&lt;=$C$8),GJ[Debit]))))-((SUM(IF((CkDJ[Sort Code]=(TRIM(E$5)))*(CkDJ[Account Code]=(TRIM($B100)))*(CkDJ[Date]&lt;=$C$8),CkDJ[Credit])))+(SUM(IF((CsDJ[Sort Code]=(TRIM(E$5)))*(CsDJ[Account Code]=(TRIM($B100)))*(CsDJ[Date]&lt;=$C$8),CsDJ[Credit])))+(SUM(IF((CRDJ[Sort Code]=(TRIM(E$5)))*(CRDJ[Account Code]=(TRIM($B100)))*(CRDJ[Date]&lt;=$C$8),CRDJ[Credit])))+(SUM(IF((GJ[Sort Code]=(TRIM(E$5)))*(GJ[Account Code]=(TRIM($B100)))*(GJ[Date]&lt;=$C$8),GJ[Credit]))))</f>
        <v>0</v>
      </c>
      <c r="D100" s="466">
        <f t="array" ref="D100">((SUM(IF((CkDJ[Date]=$A$4)*(CkDJ[Sort Code]=(TRIM(E$5)))*(CkDJ[Account Code]=(TRIM($B100))),CkDJ[Debit])))+(SUM(IF((CsDJ[Date]=$A$4)*(CsDJ[Sort Code]=(TRIM(E$5)))*(CsDJ[Account Code]=(TRIM($B100))),CsDJ[Debit])))+(SUM(IF((CRDJ[Date]=$A$4)*(CRDJ[Sort Code]=(TRIM(E$5)))*(CRDJ[Account Code]=(TRIM($B100))),CRDJ[Debit])))+(SUM(IF((GJ[Date]=$A$4)*(GJ[Sort Code]=(TRIM(E$5)))*(GJ[Account Code]=(TRIM($B100))),GJ[Debit]))))-((SUM(IF((CkDJ[Date]=$A$4)*(CkDJ[Sort Code]=(TRIM(E$5)))*(CkDJ[Account Code]=(TRIM($B100))),CkDJ[Credit])))+(SUM(IF((CsDJ[Date]=$A$4)*(CsDJ[Sort Code]=(TRIM(E$5)))*(CsDJ[Account Code]=(TRIM($B100))),CsDJ[Credit])))+(SUM(IF((CRDJ[Date]=$A$4)*(CRDJ[Sort Code]=(TRIM(E$5)))*(CRDJ[Account Code]=(TRIM($B100))),CRDJ[Credit])))+(SUM(IF((GJ[Date]=$A$4)*(GJ[Sort Code]=(TRIM(E$5)))*(GJ[Account Code]=(TRIM($B100))),GJ[Credit]))))</f>
        <v>0</v>
      </c>
      <c r="E100" s="467">
        <f t="shared" si="3"/>
        <v>0</v>
      </c>
    </row>
    <row r="101" spans="1:5">
      <c r="A101" s="476" t="s">
        <v>348</v>
      </c>
      <c r="B101" s="339" t="s">
        <v>339</v>
      </c>
      <c r="C101" s="466">
        <f t="array" ref="C101">((SUM(IF((CkDJ[Sort Code]=(TRIM(E$5)))*(CkDJ[Account Code]=(TRIM($B101)))*(CkDJ[Date]&lt;=$C$8),CkDJ[Debit])))+(SUM(IF((CsDJ[Sort Code]=(TRIM(E$5)))*(CsDJ[Account Code]=(TRIM($B101)))*(CsDJ[Date]&lt;=$C$8),CsDJ[Debit])))+(SUM(IF((CRDJ[Sort Code]=(TRIM(E$5)))*(CRDJ[Account Code]=(TRIM($B101)))*(CRDJ[Date]&lt;=$C$8),CRDJ[Debit])))+(SUM(IF((GJ[Sort Code]=(TRIM(E$5)))*(GJ[Account Code]=(TRIM($B101)))*(GJ[Date]&lt;=$C$8),GJ[Debit]))))-((SUM(IF((CkDJ[Sort Code]=(TRIM(E$5)))*(CkDJ[Account Code]=(TRIM($B101)))*(CkDJ[Date]&lt;=$C$8),CkDJ[Credit])))+(SUM(IF((CsDJ[Sort Code]=(TRIM(E$5)))*(CsDJ[Account Code]=(TRIM($B101)))*(CsDJ[Date]&lt;=$C$8),CsDJ[Credit])))+(SUM(IF((CRDJ[Sort Code]=(TRIM(E$5)))*(CRDJ[Account Code]=(TRIM($B101)))*(CRDJ[Date]&lt;=$C$8),CRDJ[Credit])))+(SUM(IF((GJ[Sort Code]=(TRIM(E$5)))*(GJ[Account Code]=(TRIM($B101)))*(GJ[Date]&lt;=$C$8),GJ[Credit]))))</f>
        <v>0</v>
      </c>
      <c r="D101" s="466">
        <f t="array" ref="D101">((SUM(IF((CkDJ[Date]=$A$4)*(CkDJ[Sort Code]=(TRIM(E$5)))*(CkDJ[Account Code]=(TRIM($B101))),CkDJ[Debit])))+(SUM(IF((CsDJ[Date]=$A$4)*(CsDJ[Sort Code]=(TRIM(E$5)))*(CsDJ[Account Code]=(TRIM($B101))),CsDJ[Debit])))+(SUM(IF((CRDJ[Date]=$A$4)*(CRDJ[Sort Code]=(TRIM(E$5)))*(CRDJ[Account Code]=(TRIM($B101))),CRDJ[Debit])))+(SUM(IF((GJ[Date]=$A$4)*(GJ[Sort Code]=(TRIM(E$5)))*(GJ[Account Code]=(TRIM($B101))),GJ[Debit]))))-((SUM(IF((CkDJ[Date]=$A$4)*(CkDJ[Sort Code]=(TRIM(E$5)))*(CkDJ[Account Code]=(TRIM($B101))),CkDJ[Credit])))+(SUM(IF((CsDJ[Date]=$A$4)*(CsDJ[Sort Code]=(TRIM(E$5)))*(CsDJ[Account Code]=(TRIM($B101))),CsDJ[Credit])))+(SUM(IF((CRDJ[Date]=$A$4)*(CRDJ[Sort Code]=(TRIM(E$5)))*(CRDJ[Account Code]=(TRIM($B101))),CRDJ[Credit])))+(SUM(IF((GJ[Date]=$A$4)*(GJ[Sort Code]=(TRIM(E$5)))*(GJ[Account Code]=(TRIM($B101))),GJ[Credit]))))</f>
        <v>0</v>
      </c>
      <c r="E101" s="467">
        <f t="shared" si="3"/>
        <v>0</v>
      </c>
    </row>
    <row r="102" spans="1:5">
      <c r="A102" s="476" t="s">
        <v>1021</v>
      </c>
      <c r="B102" s="339" t="s">
        <v>245</v>
      </c>
      <c r="C102" s="466">
        <f t="array" ref="C102">((SUM(IF((CkDJ[Sort Code]=(TRIM(E$5)))*(CkDJ[Account Code]=(TRIM($B102)))*(CkDJ[Date]&lt;=$C$8),CkDJ[Debit])))+(SUM(IF((CsDJ[Sort Code]=(TRIM(E$5)))*(CsDJ[Account Code]=(TRIM($B102)))*(CsDJ[Date]&lt;=$C$8),CsDJ[Debit])))+(SUM(IF((CRDJ[Sort Code]=(TRIM(E$5)))*(CRDJ[Account Code]=(TRIM($B102)))*(CRDJ[Date]&lt;=$C$8),CRDJ[Debit])))+(SUM(IF((GJ[Sort Code]=(TRIM(E$5)))*(GJ[Account Code]=(TRIM($B102)))*(GJ[Date]&lt;=$C$8),GJ[Debit]))))-((SUM(IF((CkDJ[Sort Code]=(TRIM(E$5)))*(CkDJ[Account Code]=(TRIM($B102)))*(CkDJ[Date]&lt;=$C$8),CkDJ[Credit])))+(SUM(IF((CsDJ[Sort Code]=(TRIM(E$5)))*(CsDJ[Account Code]=(TRIM($B102)))*(CsDJ[Date]&lt;=$C$8),CsDJ[Credit])))+(SUM(IF((CRDJ[Sort Code]=(TRIM(E$5)))*(CRDJ[Account Code]=(TRIM($B102)))*(CRDJ[Date]&lt;=$C$8),CRDJ[Credit])))+(SUM(IF((GJ[Sort Code]=(TRIM(E$5)))*(GJ[Account Code]=(TRIM($B102)))*(GJ[Date]&lt;=$C$8),GJ[Credit]))))</f>
        <v>0</v>
      </c>
      <c r="D102" s="466">
        <f t="array" ref="D102">((SUM(IF((CkDJ[Date]=$A$4)*(CkDJ[Sort Code]=(TRIM(E$5)))*(CkDJ[Account Code]=(TRIM($B102))),CkDJ[Debit])))+(SUM(IF((CsDJ[Date]=$A$4)*(CsDJ[Sort Code]=(TRIM(E$5)))*(CsDJ[Account Code]=(TRIM($B102))),CsDJ[Debit])))+(SUM(IF((CRDJ[Date]=$A$4)*(CRDJ[Sort Code]=(TRIM(E$5)))*(CRDJ[Account Code]=(TRIM($B102))),CRDJ[Debit])))+(SUM(IF((GJ[Date]=$A$4)*(GJ[Sort Code]=(TRIM(E$5)))*(GJ[Account Code]=(TRIM($B102))),GJ[Debit]))))-((SUM(IF((CkDJ[Date]=$A$4)*(CkDJ[Sort Code]=(TRIM(E$5)))*(CkDJ[Account Code]=(TRIM($B102))),CkDJ[Credit])))+(SUM(IF((CsDJ[Date]=$A$4)*(CsDJ[Sort Code]=(TRIM(E$5)))*(CsDJ[Account Code]=(TRIM($B102))),CsDJ[Credit])))+(SUM(IF((CRDJ[Date]=$A$4)*(CRDJ[Sort Code]=(TRIM(E$5)))*(CRDJ[Account Code]=(TRIM($B102))),CRDJ[Credit])))+(SUM(IF((GJ[Date]=$A$4)*(GJ[Sort Code]=(TRIM(E$5)))*(GJ[Account Code]=(TRIM($B102))),GJ[Credit]))))</f>
        <v>0</v>
      </c>
      <c r="E102" s="467">
        <f t="shared" si="3"/>
        <v>0</v>
      </c>
    </row>
    <row r="103" spans="1:5">
      <c r="A103" s="476" t="s">
        <v>1022</v>
      </c>
      <c r="B103" s="339" t="s">
        <v>246</v>
      </c>
      <c r="C103" s="466">
        <f t="array" ref="C103">((SUM(IF((CkDJ[Sort Code]=(TRIM(E$5)))*(CkDJ[Account Code]=(TRIM($B103)))*(CkDJ[Date]&lt;=$C$8),CkDJ[Debit])))+(SUM(IF((CsDJ[Sort Code]=(TRIM(E$5)))*(CsDJ[Account Code]=(TRIM($B103)))*(CsDJ[Date]&lt;=$C$8),CsDJ[Debit])))+(SUM(IF((CRDJ[Sort Code]=(TRIM(E$5)))*(CRDJ[Account Code]=(TRIM($B103)))*(CRDJ[Date]&lt;=$C$8),CRDJ[Debit])))+(SUM(IF((GJ[Sort Code]=(TRIM(E$5)))*(GJ[Account Code]=(TRIM($B103)))*(GJ[Date]&lt;=$C$8),GJ[Debit]))))-((SUM(IF((CkDJ[Sort Code]=(TRIM(E$5)))*(CkDJ[Account Code]=(TRIM($B103)))*(CkDJ[Date]&lt;=$C$8),CkDJ[Credit])))+(SUM(IF((CsDJ[Sort Code]=(TRIM(E$5)))*(CsDJ[Account Code]=(TRIM($B103)))*(CsDJ[Date]&lt;=$C$8),CsDJ[Credit])))+(SUM(IF((CRDJ[Sort Code]=(TRIM(E$5)))*(CRDJ[Account Code]=(TRIM($B103)))*(CRDJ[Date]&lt;=$C$8),CRDJ[Credit])))+(SUM(IF((GJ[Sort Code]=(TRIM(E$5)))*(GJ[Account Code]=(TRIM($B103)))*(GJ[Date]&lt;=$C$8),GJ[Credit]))))</f>
        <v>0</v>
      </c>
      <c r="D103" s="466">
        <f t="array" ref="D103">((SUM(IF((CkDJ[Date]=$A$4)*(CkDJ[Sort Code]=(TRIM(E$5)))*(CkDJ[Account Code]=(TRIM($B103))),CkDJ[Debit])))+(SUM(IF((CsDJ[Date]=$A$4)*(CsDJ[Sort Code]=(TRIM(E$5)))*(CsDJ[Account Code]=(TRIM($B103))),CsDJ[Debit])))+(SUM(IF((CRDJ[Date]=$A$4)*(CRDJ[Sort Code]=(TRIM(E$5)))*(CRDJ[Account Code]=(TRIM($B103))),CRDJ[Debit])))+(SUM(IF((GJ[Date]=$A$4)*(GJ[Sort Code]=(TRIM(E$5)))*(GJ[Account Code]=(TRIM($B103))),GJ[Debit]))))-((SUM(IF((CkDJ[Date]=$A$4)*(CkDJ[Sort Code]=(TRIM(E$5)))*(CkDJ[Account Code]=(TRIM($B103))),CkDJ[Credit])))+(SUM(IF((CsDJ[Date]=$A$4)*(CsDJ[Sort Code]=(TRIM(E$5)))*(CsDJ[Account Code]=(TRIM($B103))),CsDJ[Credit])))+(SUM(IF((CRDJ[Date]=$A$4)*(CRDJ[Sort Code]=(TRIM(E$5)))*(CRDJ[Account Code]=(TRIM($B103))),CRDJ[Credit])))+(SUM(IF((GJ[Date]=$A$4)*(GJ[Sort Code]=(TRIM(E$5)))*(GJ[Account Code]=(TRIM($B103))),GJ[Credit]))))</f>
        <v>0</v>
      </c>
      <c r="E103" s="467">
        <f t="shared" si="3"/>
        <v>0</v>
      </c>
    </row>
    <row r="104" spans="1:5">
      <c r="A104" s="476" t="s">
        <v>304</v>
      </c>
      <c r="B104" s="339" t="s">
        <v>222</v>
      </c>
      <c r="C104" s="466">
        <f t="array" ref="C104">((SUM(IF((CkDJ[Sort Code]=(TRIM(E$5)))*(CkDJ[Account Code]=(TRIM($B104)))*(CkDJ[Date]&lt;=$C$8),CkDJ[Debit])))+(SUM(IF((CsDJ[Sort Code]=(TRIM(E$5)))*(CsDJ[Account Code]=(TRIM($B104)))*(CsDJ[Date]&lt;=$C$8),CsDJ[Debit])))+(SUM(IF((CRDJ[Sort Code]=(TRIM(E$5)))*(CRDJ[Account Code]=(TRIM($B104)))*(CRDJ[Date]&lt;=$C$8),CRDJ[Debit])))+(SUM(IF((GJ[Sort Code]=(TRIM(E$5)))*(GJ[Account Code]=(TRIM($B104)))*(GJ[Date]&lt;=$C$8),GJ[Debit]))))-((SUM(IF((CkDJ[Sort Code]=(TRIM(E$5)))*(CkDJ[Account Code]=(TRIM($B104)))*(CkDJ[Date]&lt;=$C$8),CkDJ[Credit])))+(SUM(IF((CsDJ[Sort Code]=(TRIM(E$5)))*(CsDJ[Account Code]=(TRIM($B104)))*(CsDJ[Date]&lt;=$C$8),CsDJ[Credit])))+(SUM(IF((CRDJ[Sort Code]=(TRIM(E$5)))*(CRDJ[Account Code]=(TRIM($B104)))*(CRDJ[Date]&lt;=$C$8),CRDJ[Credit])))+(SUM(IF((GJ[Sort Code]=(TRIM(E$5)))*(GJ[Account Code]=(TRIM($B104)))*(GJ[Date]&lt;=$C$8),GJ[Credit]))))</f>
        <v>0</v>
      </c>
      <c r="D104" s="466">
        <f t="array" ref="D104">((SUM(IF((CkDJ[Date]=$A$4)*(CkDJ[Sort Code]=(TRIM(E$5)))*(CkDJ[Account Code]=(TRIM($B104))),CkDJ[Debit])))+(SUM(IF((CsDJ[Date]=$A$4)*(CsDJ[Sort Code]=(TRIM(E$5)))*(CsDJ[Account Code]=(TRIM($B104))),CsDJ[Debit])))+(SUM(IF((CRDJ[Date]=$A$4)*(CRDJ[Sort Code]=(TRIM(E$5)))*(CRDJ[Account Code]=(TRIM($B104))),CRDJ[Debit])))+(SUM(IF((GJ[Date]=$A$4)*(GJ[Sort Code]=(TRIM(E$5)))*(GJ[Account Code]=(TRIM($B104))),GJ[Debit]))))-((SUM(IF((CkDJ[Date]=$A$4)*(CkDJ[Sort Code]=(TRIM(E$5)))*(CkDJ[Account Code]=(TRIM($B104))),CkDJ[Credit])))+(SUM(IF((CsDJ[Date]=$A$4)*(CsDJ[Sort Code]=(TRIM(E$5)))*(CsDJ[Account Code]=(TRIM($B104))),CsDJ[Credit])))+(SUM(IF((CRDJ[Date]=$A$4)*(CRDJ[Sort Code]=(TRIM(E$5)))*(CRDJ[Account Code]=(TRIM($B104))),CRDJ[Credit])))+(SUM(IF((GJ[Date]=$A$4)*(GJ[Sort Code]=(TRIM(E$5)))*(GJ[Account Code]=(TRIM($B104))),GJ[Credit]))))</f>
        <v>0</v>
      </c>
      <c r="E104" s="467">
        <f t="shared" si="3"/>
        <v>0</v>
      </c>
    </row>
    <row r="105" spans="1:5">
      <c r="A105" s="476" t="s">
        <v>1023</v>
      </c>
      <c r="B105" s="339" t="s">
        <v>247</v>
      </c>
      <c r="C105" s="466">
        <f t="array" ref="C105">((SUM(IF((CkDJ[Sort Code]=(TRIM(E$5)))*(CkDJ[Account Code]=(TRIM($B105)))*(CkDJ[Date]&lt;=$C$8),CkDJ[Debit])))+(SUM(IF((CsDJ[Sort Code]=(TRIM(E$5)))*(CsDJ[Account Code]=(TRIM($B105)))*(CsDJ[Date]&lt;=$C$8),CsDJ[Debit])))+(SUM(IF((CRDJ[Sort Code]=(TRIM(E$5)))*(CRDJ[Account Code]=(TRIM($B105)))*(CRDJ[Date]&lt;=$C$8),CRDJ[Debit])))+(SUM(IF((GJ[Sort Code]=(TRIM(E$5)))*(GJ[Account Code]=(TRIM($B105)))*(GJ[Date]&lt;=$C$8),GJ[Debit]))))-((SUM(IF((CkDJ[Sort Code]=(TRIM(E$5)))*(CkDJ[Account Code]=(TRIM($B105)))*(CkDJ[Date]&lt;=$C$8),CkDJ[Credit])))+(SUM(IF((CsDJ[Sort Code]=(TRIM(E$5)))*(CsDJ[Account Code]=(TRIM($B105)))*(CsDJ[Date]&lt;=$C$8),CsDJ[Credit])))+(SUM(IF((CRDJ[Sort Code]=(TRIM(E$5)))*(CRDJ[Account Code]=(TRIM($B105)))*(CRDJ[Date]&lt;=$C$8),CRDJ[Credit])))+(SUM(IF((GJ[Sort Code]=(TRIM(E$5)))*(GJ[Account Code]=(TRIM($B105)))*(GJ[Date]&lt;=$C$8),GJ[Credit]))))</f>
        <v>0</v>
      </c>
      <c r="D105" s="466">
        <f t="array" ref="D105">((SUM(IF((CkDJ[Date]=$A$4)*(CkDJ[Sort Code]=(TRIM(E$5)))*(CkDJ[Account Code]=(TRIM($B105))),CkDJ[Debit])))+(SUM(IF((CsDJ[Date]=$A$4)*(CsDJ[Sort Code]=(TRIM(E$5)))*(CsDJ[Account Code]=(TRIM($B105))),CsDJ[Debit])))+(SUM(IF((CRDJ[Date]=$A$4)*(CRDJ[Sort Code]=(TRIM(E$5)))*(CRDJ[Account Code]=(TRIM($B105))),CRDJ[Debit])))+(SUM(IF((GJ[Date]=$A$4)*(GJ[Sort Code]=(TRIM(E$5)))*(GJ[Account Code]=(TRIM($B105))),GJ[Debit]))))-((SUM(IF((CkDJ[Date]=$A$4)*(CkDJ[Sort Code]=(TRIM(E$5)))*(CkDJ[Account Code]=(TRIM($B105))),CkDJ[Credit])))+(SUM(IF((CsDJ[Date]=$A$4)*(CsDJ[Sort Code]=(TRIM(E$5)))*(CsDJ[Account Code]=(TRIM($B105))),CsDJ[Credit])))+(SUM(IF((CRDJ[Date]=$A$4)*(CRDJ[Sort Code]=(TRIM(E$5)))*(CRDJ[Account Code]=(TRIM($B105))),CRDJ[Credit])))+(SUM(IF((GJ[Date]=$A$4)*(GJ[Sort Code]=(TRIM(E$5)))*(GJ[Account Code]=(TRIM($B105))),GJ[Credit]))))</f>
        <v>0</v>
      </c>
      <c r="E105" s="467">
        <f t="shared" si="3"/>
        <v>0</v>
      </c>
    </row>
    <row r="106" spans="1:5">
      <c r="A106" s="476" t="s">
        <v>1024</v>
      </c>
      <c r="B106" s="339" t="s">
        <v>248</v>
      </c>
      <c r="C106" s="466">
        <f t="array" ref="C106">((SUM(IF((CkDJ[Sort Code]=(TRIM(E$5)))*(CkDJ[Account Code]=(TRIM($B106)))*(CkDJ[Date]&lt;=$C$8),CkDJ[Debit])))+(SUM(IF((CsDJ[Sort Code]=(TRIM(E$5)))*(CsDJ[Account Code]=(TRIM($B106)))*(CsDJ[Date]&lt;=$C$8),CsDJ[Debit])))+(SUM(IF((CRDJ[Sort Code]=(TRIM(E$5)))*(CRDJ[Account Code]=(TRIM($B106)))*(CRDJ[Date]&lt;=$C$8),CRDJ[Debit])))+(SUM(IF((GJ[Sort Code]=(TRIM(E$5)))*(GJ[Account Code]=(TRIM($B106)))*(GJ[Date]&lt;=$C$8),GJ[Debit]))))-((SUM(IF((CkDJ[Sort Code]=(TRIM(E$5)))*(CkDJ[Account Code]=(TRIM($B106)))*(CkDJ[Date]&lt;=$C$8),CkDJ[Credit])))+(SUM(IF((CsDJ[Sort Code]=(TRIM(E$5)))*(CsDJ[Account Code]=(TRIM($B106)))*(CsDJ[Date]&lt;=$C$8),CsDJ[Credit])))+(SUM(IF((CRDJ[Sort Code]=(TRIM(E$5)))*(CRDJ[Account Code]=(TRIM($B106)))*(CRDJ[Date]&lt;=$C$8),CRDJ[Credit])))+(SUM(IF((GJ[Sort Code]=(TRIM(E$5)))*(GJ[Account Code]=(TRIM($B106)))*(GJ[Date]&lt;=$C$8),GJ[Credit]))))</f>
        <v>0</v>
      </c>
      <c r="D106" s="466">
        <f t="array" ref="D106">((SUM(IF((CkDJ[Date]=$A$4)*(CkDJ[Sort Code]=(TRIM(E$5)))*(CkDJ[Account Code]=(TRIM($B106))),CkDJ[Debit])))+(SUM(IF((CsDJ[Date]=$A$4)*(CsDJ[Sort Code]=(TRIM(E$5)))*(CsDJ[Account Code]=(TRIM($B106))),CsDJ[Debit])))+(SUM(IF((CRDJ[Date]=$A$4)*(CRDJ[Sort Code]=(TRIM(E$5)))*(CRDJ[Account Code]=(TRIM($B106))),CRDJ[Debit])))+(SUM(IF((GJ[Date]=$A$4)*(GJ[Sort Code]=(TRIM(E$5)))*(GJ[Account Code]=(TRIM($B106))),GJ[Debit]))))-((SUM(IF((CkDJ[Date]=$A$4)*(CkDJ[Sort Code]=(TRIM(E$5)))*(CkDJ[Account Code]=(TRIM($B106))),CkDJ[Credit])))+(SUM(IF((CsDJ[Date]=$A$4)*(CsDJ[Sort Code]=(TRIM(E$5)))*(CsDJ[Account Code]=(TRIM($B106))),CsDJ[Credit])))+(SUM(IF((CRDJ[Date]=$A$4)*(CRDJ[Sort Code]=(TRIM(E$5)))*(CRDJ[Account Code]=(TRIM($B106))),CRDJ[Credit])))+(SUM(IF((GJ[Date]=$A$4)*(GJ[Sort Code]=(TRIM(E$5)))*(GJ[Account Code]=(TRIM($B106))),GJ[Credit]))))</f>
        <v>0</v>
      </c>
      <c r="E106" s="467">
        <f t="shared" si="3"/>
        <v>0</v>
      </c>
    </row>
    <row r="107" spans="1:5">
      <c r="A107" s="476" t="s">
        <v>1025</v>
      </c>
      <c r="B107" s="339" t="s">
        <v>249</v>
      </c>
      <c r="C107" s="466">
        <f t="array" ref="C107">((SUM(IF((CkDJ[Sort Code]=(TRIM(E$5)))*(CkDJ[Account Code]=(TRIM($B107)))*(CkDJ[Date]&lt;=$C$8),CkDJ[Debit])))+(SUM(IF((CsDJ[Sort Code]=(TRIM(E$5)))*(CsDJ[Account Code]=(TRIM($B107)))*(CsDJ[Date]&lt;=$C$8),CsDJ[Debit])))+(SUM(IF((CRDJ[Sort Code]=(TRIM(E$5)))*(CRDJ[Account Code]=(TRIM($B107)))*(CRDJ[Date]&lt;=$C$8),CRDJ[Debit])))+(SUM(IF((GJ[Sort Code]=(TRIM(E$5)))*(GJ[Account Code]=(TRIM($B107)))*(GJ[Date]&lt;=$C$8),GJ[Debit]))))-((SUM(IF((CkDJ[Sort Code]=(TRIM(E$5)))*(CkDJ[Account Code]=(TRIM($B107)))*(CkDJ[Date]&lt;=$C$8),CkDJ[Credit])))+(SUM(IF((CsDJ[Sort Code]=(TRIM(E$5)))*(CsDJ[Account Code]=(TRIM($B107)))*(CsDJ[Date]&lt;=$C$8),CsDJ[Credit])))+(SUM(IF((CRDJ[Sort Code]=(TRIM(E$5)))*(CRDJ[Account Code]=(TRIM($B107)))*(CRDJ[Date]&lt;=$C$8),CRDJ[Credit])))+(SUM(IF((GJ[Sort Code]=(TRIM(E$5)))*(GJ[Account Code]=(TRIM($B107)))*(GJ[Date]&lt;=$C$8),GJ[Credit]))))</f>
        <v>0</v>
      </c>
      <c r="D107" s="466">
        <f t="array" ref="D107">((SUM(IF((CkDJ[Date]=$A$4)*(CkDJ[Sort Code]=(TRIM(E$5)))*(CkDJ[Account Code]=(TRIM($B107))),CkDJ[Debit])))+(SUM(IF((CsDJ[Date]=$A$4)*(CsDJ[Sort Code]=(TRIM(E$5)))*(CsDJ[Account Code]=(TRIM($B107))),CsDJ[Debit])))+(SUM(IF((CRDJ[Date]=$A$4)*(CRDJ[Sort Code]=(TRIM(E$5)))*(CRDJ[Account Code]=(TRIM($B107))),CRDJ[Debit])))+(SUM(IF((GJ[Date]=$A$4)*(GJ[Sort Code]=(TRIM(E$5)))*(GJ[Account Code]=(TRIM($B107))),GJ[Debit]))))-((SUM(IF((CkDJ[Date]=$A$4)*(CkDJ[Sort Code]=(TRIM(E$5)))*(CkDJ[Account Code]=(TRIM($B107))),CkDJ[Credit])))+(SUM(IF((CsDJ[Date]=$A$4)*(CsDJ[Sort Code]=(TRIM(E$5)))*(CsDJ[Account Code]=(TRIM($B107))),CsDJ[Credit])))+(SUM(IF((CRDJ[Date]=$A$4)*(CRDJ[Sort Code]=(TRIM(E$5)))*(CRDJ[Account Code]=(TRIM($B107))),CRDJ[Credit])))+(SUM(IF((GJ[Date]=$A$4)*(GJ[Sort Code]=(TRIM(E$5)))*(GJ[Account Code]=(TRIM($B107))),GJ[Credit]))))</f>
        <v>0</v>
      </c>
      <c r="E107" s="467">
        <f t="shared" si="3"/>
        <v>0</v>
      </c>
    </row>
    <row r="108" spans="1:5">
      <c r="A108" s="476" t="s">
        <v>302</v>
      </c>
      <c r="B108" s="339" t="s">
        <v>250</v>
      </c>
      <c r="C108" s="466">
        <f t="array" ref="C108">((SUM(IF((CkDJ[Sort Code]=(TRIM(E$5)))*(CkDJ[Account Code]=(TRIM($B108)))*(CkDJ[Date]&lt;=$C$8),CkDJ[Debit])))+(SUM(IF((CsDJ[Sort Code]=(TRIM(E$5)))*(CsDJ[Account Code]=(TRIM($B108)))*(CsDJ[Date]&lt;=$C$8),CsDJ[Debit])))+(SUM(IF((CRDJ[Sort Code]=(TRIM(E$5)))*(CRDJ[Account Code]=(TRIM($B108)))*(CRDJ[Date]&lt;=$C$8),CRDJ[Debit])))+(SUM(IF((GJ[Sort Code]=(TRIM(E$5)))*(GJ[Account Code]=(TRIM($B108)))*(GJ[Date]&lt;=$C$8),GJ[Debit]))))-((SUM(IF((CkDJ[Sort Code]=(TRIM(E$5)))*(CkDJ[Account Code]=(TRIM($B108)))*(CkDJ[Date]&lt;=$C$8),CkDJ[Credit])))+(SUM(IF((CsDJ[Sort Code]=(TRIM(E$5)))*(CsDJ[Account Code]=(TRIM($B108)))*(CsDJ[Date]&lt;=$C$8),CsDJ[Credit])))+(SUM(IF((CRDJ[Sort Code]=(TRIM(E$5)))*(CRDJ[Account Code]=(TRIM($B108)))*(CRDJ[Date]&lt;=$C$8),CRDJ[Credit])))+(SUM(IF((GJ[Sort Code]=(TRIM(E$5)))*(GJ[Account Code]=(TRIM($B108)))*(GJ[Date]&lt;=$C$8),GJ[Credit]))))</f>
        <v>0</v>
      </c>
      <c r="D108" s="466">
        <f t="array" ref="D108">((SUM(IF((CkDJ[Date]=$A$4)*(CkDJ[Sort Code]=(TRIM(E$5)))*(CkDJ[Account Code]=(TRIM($B108))),CkDJ[Debit])))+(SUM(IF((CsDJ[Date]=$A$4)*(CsDJ[Sort Code]=(TRIM(E$5)))*(CsDJ[Account Code]=(TRIM($B108))),CsDJ[Debit])))+(SUM(IF((CRDJ[Date]=$A$4)*(CRDJ[Sort Code]=(TRIM(E$5)))*(CRDJ[Account Code]=(TRIM($B108))),CRDJ[Debit])))+(SUM(IF((GJ[Date]=$A$4)*(GJ[Sort Code]=(TRIM(E$5)))*(GJ[Account Code]=(TRIM($B108))),GJ[Debit]))))-((SUM(IF((CkDJ[Date]=$A$4)*(CkDJ[Sort Code]=(TRIM(E$5)))*(CkDJ[Account Code]=(TRIM($B108))),CkDJ[Credit])))+(SUM(IF((CsDJ[Date]=$A$4)*(CsDJ[Sort Code]=(TRIM(E$5)))*(CsDJ[Account Code]=(TRIM($B108))),CsDJ[Credit])))+(SUM(IF((CRDJ[Date]=$A$4)*(CRDJ[Sort Code]=(TRIM(E$5)))*(CRDJ[Account Code]=(TRIM($B108))),CRDJ[Credit])))+(SUM(IF((GJ[Date]=$A$4)*(GJ[Sort Code]=(TRIM(E$5)))*(GJ[Account Code]=(TRIM($B108))),GJ[Credit]))))</f>
        <v>0</v>
      </c>
      <c r="E108" s="467">
        <f t="shared" si="3"/>
        <v>0</v>
      </c>
    </row>
    <row r="109" spans="1:5">
      <c r="A109" s="476" t="s">
        <v>841</v>
      </c>
      <c r="B109" s="339" t="s">
        <v>251</v>
      </c>
      <c r="C109" s="466">
        <f t="array" ref="C109">((SUM(IF((CkDJ[Sort Code]=(TRIM(E$5)))*(CkDJ[Account Code]=(TRIM($B109)))*(CkDJ[Date]&lt;=$C$8),CkDJ[Debit])))+(SUM(IF((CsDJ[Sort Code]=(TRIM(E$5)))*(CsDJ[Account Code]=(TRIM($B109)))*(CsDJ[Date]&lt;=$C$8),CsDJ[Debit])))+(SUM(IF((CRDJ[Sort Code]=(TRIM(E$5)))*(CRDJ[Account Code]=(TRIM($B109)))*(CRDJ[Date]&lt;=$C$8),CRDJ[Debit])))+(SUM(IF((GJ[Sort Code]=(TRIM(E$5)))*(GJ[Account Code]=(TRIM($B109)))*(GJ[Date]&lt;=$C$8),GJ[Debit]))))-((SUM(IF((CkDJ[Sort Code]=(TRIM(E$5)))*(CkDJ[Account Code]=(TRIM($B109)))*(CkDJ[Date]&lt;=$C$8),CkDJ[Credit])))+(SUM(IF((CsDJ[Sort Code]=(TRIM(E$5)))*(CsDJ[Account Code]=(TRIM($B109)))*(CsDJ[Date]&lt;=$C$8),CsDJ[Credit])))+(SUM(IF((CRDJ[Sort Code]=(TRIM(E$5)))*(CRDJ[Account Code]=(TRIM($B109)))*(CRDJ[Date]&lt;=$C$8),CRDJ[Credit])))+(SUM(IF((GJ[Sort Code]=(TRIM(E$5)))*(GJ[Account Code]=(TRIM($B109)))*(GJ[Date]&lt;=$C$8),GJ[Credit]))))</f>
        <v>0</v>
      </c>
      <c r="D109" s="466">
        <f t="array" ref="D109">((SUM(IF((CkDJ[Date]=$A$4)*(CkDJ[Sort Code]=(TRIM(E$5)))*(CkDJ[Account Code]=(TRIM($B109))),CkDJ[Debit])))+(SUM(IF((CsDJ[Date]=$A$4)*(CsDJ[Sort Code]=(TRIM(E$5)))*(CsDJ[Account Code]=(TRIM($B109))),CsDJ[Debit])))+(SUM(IF((CRDJ[Date]=$A$4)*(CRDJ[Sort Code]=(TRIM(E$5)))*(CRDJ[Account Code]=(TRIM($B109))),CRDJ[Debit])))+(SUM(IF((GJ[Date]=$A$4)*(GJ[Sort Code]=(TRIM(E$5)))*(GJ[Account Code]=(TRIM($B109))),GJ[Debit]))))-((SUM(IF((CkDJ[Date]=$A$4)*(CkDJ[Sort Code]=(TRIM(E$5)))*(CkDJ[Account Code]=(TRIM($B109))),CkDJ[Credit])))+(SUM(IF((CsDJ[Date]=$A$4)*(CsDJ[Sort Code]=(TRIM(E$5)))*(CsDJ[Account Code]=(TRIM($B109))),CsDJ[Credit])))+(SUM(IF((CRDJ[Date]=$A$4)*(CRDJ[Sort Code]=(TRIM(E$5)))*(CRDJ[Account Code]=(TRIM($B109))),CRDJ[Credit])))+(SUM(IF((GJ[Date]=$A$4)*(GJ[Sort Code]=(TRIM(E$5)))*(GJ[Account Code]=(TRIM($B109))),GJ[Credit]))))</f>
        <v>0</v>
      </c>
      <c r="E109" s="467">
        <f t="shared" si="3"/>
        <v>0</v>
      </c>
    </row>
    <row r="110" spans="1:5">
      <c r="A110" s="476" t="s">
        <v>1026</v>
      </c>
      <c r="B110" s="339" t="s">
        <v>252</v>
      </c>
      <c r="C110" s="466">
        <f t="array" ref="C110">((SUM(IF((CkDJ[Sort Code]=(TRIM(E$5)))*(CkDJ[Account Code]=(TRIM($B110)))*(CkDJ[Date]&lt;=$C$8),CkDJ[Debit])))+(SUM(IF((CsDJ[Sort Code]=(TRIM(E$5)))*(CsDJ[Account Code]=(TRIM($B110)))*(CsDJ[Date]&lt;=$C$8),CsDJ[Debit])))+(SUM(IF((CRDJ[Sort Code]=(TRIM(E$5)))*(CRDJ[Account Code]=(TRIM($B110)))*(CRDJ[Date]&lt;=$C$8),CRDJ[Debit])))+(SUM(IF((GJ[Sort Code]=(TRIM(E$5)))*(GJ[Account Code]=(TRIM($B110)))*(GJ[Date]&lt;=$C$8),GJ[Debit]))))-((SUM(IF((CkDJ[Sort Code]=(TRIM(E$5)))*(CkDJ[Account Code]=(TRIM($B110)))*(CkDJ[Date]&lt;=$C$8),CkDJ[Credit])))+(SUM(IF((CsDJ[Sort Code]=(TRIM(E$5)))*(CsDJ[Account Code]=(TRIM($B110)))*(CsDJ[Date]&lt;=$C$8),CsDJ[Credit])))+(SUM(IF((CRDJ[Sort Code]=(TRIM(E$5)))*(CRDJ[Account Code]=(TRIM($B110)))*(CRDJ[Date]&lt;=$C$8),CRDJ[Credit])))+(SUM(IF((GJ[Sort Code]=(TRIM(E$5)))*(GJ[Account Code]=(TRIM($B110)))*(GJ[Date]&lt;=$C$8),GJ[Credit]))))</f>
        <v>0</v>
      </c>
      <c r="D110" s="466">
        <f t="array" ref="D110">((SUM(IF((CkDJ[Date]=$A$4)*(CkDJ[Sort Code]=(TRIM(E$5)))*(CkDJ[Account Code]=(TRIM($B110))),CkDJ[Debit])))+(SUM(IF((CsDJ[Date]=$A$4)*(CsDJ[Sort Code]=(TRIM(E$5)))*(CsDJ[Account Code]=(TRIM($B110))),CsDJ[Debit])))+(SUM(IF((CRDJ[Date]=$A$4)*(CRDJ[Sort Code]=(TRIM(E$5)))*(CRDJ[Account Code]=(TRIM($B110))),CRDJ[Debit])))+(SUM(IF((GJ[Date]=$A$4)*(GJ[Sort Code]=(TRIM(E$5)))*(GJ[Account Code]=(TRIM($B110))),GJ[Debit]))))-((SUM(IF((CkDJ[Date]=$A$4)*(CkDJ[Sort Code]=(TRIM(E$5)))*(CkDJ[Account Code]=(TRIM($B110))),CkDJ[Credit])))+(SUM(IF((CsDJ[Date]=$A$4)*(CsDJ[Sort Code]=(TRIM(E$5)))*(CsDJ[Account Code]=(TRIM($B110))),CsDJ[Credit])))+(SUM(IF((CRDJ[Date]=$A$4)*(CRDJ[Sort Code]=(TRIM(E$5)))*(CRDJ[Account Code]=(TRIM($B110))),CRDJ[Credit])))+(SUM(IF((GJ[Date]=$A$4)*(GJ[Sort Code]=(TRIM(E$5)))*(GJ[Account Code]=(TRIM($B110))),GJ[Credit]))))</f>
        <v>0</v>
      </c>
      <c r="E110" s="467">
        <f t="shared" si="3"/>
        <v>0</v>
      </c>
    </row>
    <row r="111" spans="1:5">
      <c r="A111" s="476" t="s">
        <v>307</v>
      </c>
      <c r="B111" s="339" t="s">
        <v>253</v>
      </c>
      <c r="C111" s="466">
        <f t="array" ref="C111">((SUM(IF((CkDJ[Sort Code]=(TRIM(E$5)))*(CkDJ[Account Code]=(TRIM($B111)))*(CkDJ[Date]&lt;=$C$8),CkDJ[Debit])))+(SUM(IF((CsDJ[Sort Code]=(TRIM(E$5)))*(CsDJ[Account Code]=(TRIM($B111)))*(CsDJ[Date]&lt;=$C$8),CsDJ[Debit])))+(SUM(IF((CRDJ[Sort Code]=(TRIM(E$5)))*(CRDJ[Account Code]=(TRIM($B111)))*(CRDJ[Date]&lt;=$C$8),CRDJ[Debit])))+(SUM(IF((GJ[Sort Code]=(TRIM(E$5)))*(GJ[Account Code]=(TRIM($B111)))*(GJ[Date]&lt;=$C$8),GJ[Debit]))))-((SUM(IF((CkDJ[Sort Code]=(TRIM(E$5)))*(CkDJ[Account Code]=(TRIM($B111)))*(CkDJ[Date]&lt;=$C$8),CkDJ[Credit])))+(SUM(IF((CsDJ[Sort Code]=(TRIM(E$5)))*(CsDJ[Account Code]=(TRIM($B111)))*(CsDJ[Date]&lt;=$C$8),CsDJ[Credit])))+(SUM(IF((CRDJ[Sort Code]=(TRIM(E$5)))*(CRDJ[Account Code]=(TRIM($B111)))*(CRDJ[Date]&lt;=$C$8),CRDJ[Credit])))+(SUM(IF((GJ[Sort Code]=(TRIM(E$5)))*(GJ[Account Code]=(TRIM($B111)))*(GJ[Date]&lt;=$C$8),GJ[Credit]))))</f>
        <v>0</v>
      </c>
      <c r="D111" s="466">
        <f t="array" ref="D111">((SUM(IF((CkDJ[Date]=$A$4)*(CkDJ[Sort Code]=(TRIM(E$5)))*(CkDJ[Account Code]=(TRIM($B111))),CkDJ[Debit])))+(SUM(IF((CsDJ[Date]=$A$4)*(CsDJ[Sort Code]=(TRIM(E$5)))*(CsDJ[Account Code]=(TRIM($B111))),CsDJ[Debit])))+(SUM(IF((CRDJ[Date]=$A$4)*(CRDJ[Sort Code]=(TRIM(E$5)))*(CRDJ[Account Code]=(TRIM($B111))),CRDJ[Debit])))+(SUM(IF((GJ[Date]=$A$4)*(GJ[Sort Code]=(TRIM(E$5)))*(GJ[Account Code]=(TRIM($B111))),GJ[Debit]))))-((SUM(IF((CkDJ[Date]=$A$4)*(CkDJ[Sort Code]=(TRIM(E$5)))*(CkDJ[Account Code]=(TRIM($B111))),CkDJ[Credit])))+(SUM(IF((CsDJ[Date]=$A$4)*(CsDJ[Sort Code]=(TRIM(E$5)))*(CsDJ[Account Code]=(TRIM($B111))),CsDJ[Credit])))+(SUM(IF((CRDJ[Date]=$A$4)*(CRDJ[Sort Code]=(TRIM(E$5)))*(CRDJ[Account Code]=(TRIM($B111))),CRDJ[Credit])))+(SUM(IF((GJ[Date]=$A$4)*(GJ[Sort Code]=(TRIM(E$5)))*(GJ[Account Code]=(TRIM($B111))),GJ[Credit]))))</f>
        <v>0</v>
      </c>
      <c r="E111" s="467">
        <f t="shared" si="3"/>
        <v>0</v>
      </c>
    </row>
    <row r="112" spans="1:5">
      <c r="A112" s="476" t="s">
        <v>308</v>
      </c>
      <c r="B112" s="339" t="s">
        <v>256</v>
      </c>
      <c r="C112" s="466">
        <f t="array" ref="C112">((SUM(IF((CkDJ[Sort Code]=(TRIM(E$5)))*(CkDJ[Account Code]=(TRIM($B112)))*(CkDJ[Date]&lt;=$C$8),CkDJ[Debit])))+(SUM(IF((CsDJ[Sort Code]=(TRIM(E$5)))*(CsDJ[Account Code]=(TRIM($B112)))*(CsDJ[Date]&lt;=$C$8),CsDJ[Debit])))+(SUM(IF((CRDJ[Sort Code]=(TRIM(E$5)))*(CRDJ[Account Code]=(TRIM($B112)))*(CRDJ[Date]&lt;=$C$8),CRDJ[Debit])))+(SUM(IF((GJ[Sort Code]=(TRIM(E$5)))*(GJ[Account Code]=(TRIM($B112)))*(GJ[Date]&lt;=$C$8),GJ[Debit]))))-((SUM(IF((CkDJ[Sort Code]=(TRIM(E$5)))*(CkDJ[Account Code]=(TRIM($B112)))*(CkDJ[Date]&lt;=$C$8),CkDJ[Credit])))+(SUM(IF((CsDJ[Sort Code]=(TRIM(E$5)))*(CsDJ[Account Code]=(TRIM($B112)))*(CsDJ[Date]&lt;=$C$8),CsDJ[Credit])))+(SUM(IF((CRDJ[Sort Code]=(TRIM(E$5)))*(CRDJ[Account Code]=(TRIM($B112)))*(CRDJ[Date]&lt;=$C$8),CRDJ[Credit])))+(SUM(IF((GJ[Sort Code]=(TRIM(E$5)))*(GJ[Account Code]=(TRIM($B112)))*(GJ[Date]&lt;=$C$8),GJ[Credit]))))</f>
        <v>0</v>
      </c>
      <c r="D112" s="466">
        <f t="array" ref="D112">((SUM(IF((CkDJ[Date]=$A$4)*(CkDJ[Sort Code]=(TRIM(E$5)))*(CkDJ[Account Code]=(TRIM($B112))),CkDJ[Debit])))+(SUM(IF((CsDJ[Date]=$A$4)*(CsDJ[Sort Code]=(TRIM(E$5)))*(CsDJ[Account Code]=(TRIM($B112))),CsDJ[Debit])))+(SUM(IF((CRDJ[Date]=$A$4)*(CRDJ[Sort Code]=(TRIM(E$5)))*(CRDJ[Account Code]=(TRIM($B112))),CRDJ[Debit])))+(SUM(IF((GJ[Date]=$A$4)*(GJ[Sort Code]=(TRIM(E$5)))*(GJ[Account Code]=(TRIM($B112))),GJ[Debit]))))-((SUM(IF((CkDJ[Date]=$A$4)*(CkDJ[Sort Code]=(TRIM(E$5)))*(CkDJ[Account Code]=(TRIM($B112))),CkDJ[Credit])))+(SUM(IF((CsDJ[Date]=$A$4)*(CsDJ[Sort Code]=(TRIM(E$5)))*(CsDJ[Account Code]=(TRIM($B112))),CsDJ[Credit])))+(SUM(IF((CRDJ[Date]=$A$4)*(CRDJ[Sort Code]=(TRIM(E$5)))*(CRDJ[Account Code]=(TRIM($B112))),CRDJ[Credit])))+(SUM(IF((GJ[Date]=$A$4)*(GJ[Sort Code]=(TRIM(E$5)))*(GJ[Account Code]=(TRIM($B112))),GJ[Credit]))))</f>
        <v>0</v>
      </c>
      <c r="E112" s="467">
        <f t="shared" si="3"/>
        <v>0</v>
      </c>
    </row>
    <row r="113" spans="1:5">
      <c r="A113" s="476" t="s">
        <v>309</v>
      </c>
      <c r="B113" s="339" t="s">
        <v>258</v>
      </c>
      <c r="C113" s="466">
        <f t="array" ref="C113">((SUM(IF((CkDJ[Sort Code]=(TRIM(E$5)))*(CkDJ[Account Code]=(TRIM($B113)))*(CkDJ[Date]&lt;=$C$8),CkDJ[Debit])))+(SUM(IF((CsDJ[Sort Code]=(TRIM(E$5)))*(CsDJ[Account Code]=(TRIM($B113)))*(CsDJ[Date]&lt;=$C$8),CsDJ[Debit])))+(SUM(IF((CRDJ[Sort Code]=(TRIM(E$5)))*(CRDJ[Account Code]=(TRIM($B113)))*(CRDJ[Date]&lt;=$C$8),CRDJ[Debit])))+(SUM(IF((GJ[Sort Code]=(TRIM(E$5)))*(GJ[Account Code]=(TRIM($B113)))*(GJ[Date]&lt;=$C$8),GJ[Debit]))))-((SUM(IF((CkDJ[Sort Code]=(TRIM(E$5)))*(CkDJ[Account Code]=(TRIM($B113)))*(CkDJ[Date]&lt;=$C$8),CkDJ[Credit])))+(SUM(IF((CsDJ[Sort Code]=(TRIM(E$5)))*(CsDJ[Account Code]=(TRIM($B113)))*(CsDJ[Date]&lt;=$C$8),CsDJ[Credit])))+(SUM(IF((CRDJ[Sort Code]=(TRIM(E$5)))*(CRDJ[Account Code]=(TRIM($B113)))*(CRDJ[Date]&lt;=$C$8),CRDJ[Credit])))+(SUM(IF((GJ[Sort Code]=(TRIM(E$5)))*(GJ[Account Code]=(TRIM($B113)))*(GJ[Date]&lt;=$C$8),GJ[Credit]))))</f>
        <v>0</v>
      </c>
      <c r="D113" s="466">
        <f t="array" ref="D113">((SUM(IF((CkDJ[Date]=$A$4)*(CkDJ[Sort Code]=(TRIM(E$5)))*(CkDJ[Account Code]=(TRIM($B113))),CkDJ[Debit])))+(SUM(IF((CsDJ[Date]=$A$4)*(CsDJ[Sort Code]=(TRIM(E$5)))*(CsDJ[Account Code]=(TRIM($B113))),CsDJ[Debit])))+(SUM(IF((CRDJ[Date]=$A$4)*(CRDJ[Sort Code]=(TRIM(E$5)))*(CRDJ[Account Code]=(TRIM($B113))),CRDJ[Debit])))+(SUM(IF((GJ[Date]=$A$4)*(GJ[Sort Code]=(TRIM(E$5)))*(GJ[Account Code]=(TRIM($B113))),GJ[Debit]))))-((SUM(IF((CkDJ[Date]=$A$4)*(CkDJ[Sort Code]=(TRIM(E$5)))*(CkDJ[Account Code]=(TRIM($B113))),CkDJ[Credit])))+(SUM(IF((CsDJ[Date]=$A$4)*(CsDJ[Sort Code]=(TRIM(E$5)))*(CsDJ[Account Code]=(TRIM($B113))),CsDJ[Credit])))+(SUM(IF((CRDJ[Date]=$A$4)*(CRDJ[Sort Code]=(TRIM(E$5)))*(CRDJ[Account Code]=(TRIM($B113))),CRDJ[Credit])))+(SUM(IF((GJ[Date]=$A$4)*(GJ[Sort Code]=(TRIM(E$5)))*(GJ[Account Code]=(TRIM($B113))),GJ[Credit]))))</f>
        <v>0</v>
      </c>
      <c r="E113" s="467">
        <f t="shared" si="3"/>
        <v>0</v>
      </c>
    </row>
    <row r="114" spans="1:5">
      <c r="A114" s="476" t="s">
        <v>310</v>
      </c>
      <c r="B114" s="339" t="s">
        <v>261</v>
      </c>
      <c r="C114" s="466">
        <f t="array" ref="C114">((SUM(IF((CkDJ[Sort Code]=(TRIM(E$5)))*(CkDJ[Account Code]=(TRIM($B114)))*(CkDJ[Date]&lt;=$C$8),CkDJ[Debit])))+(SUM(IF((CsDJ[Sort Code]=(TRIM(E$5)))*(CsDJ[Account Code]=(TRIM($B114)))*(CsDJ[Date]&lt;=$C$8),CsDJ[Debit])))+(SUM(IF((CRDJ[Sort Code]=(TRIM(E$5)))*(CRDJ[Account Code]=(TRIM($B114)))*(CRDJ[Date]&lt;=$C$8),CRDJ[Debit])))+(SUM(IF((GJ[Sort Code]=(TRIM(E$5)))*(GJ[Account Code]=(TRIM($B114)))*(GJ[Date]&lt;=$C$8),GJ[Debit]))))-((SUM(IF((CkDJ[Sort Code]=(TRIM(E$5)))*(CkDJ[Account Code]=(TRIM($B114)))*(CkDJ[Date]&lt;=$C$8),CkDJ[Credit])))+(SUM(IF((CsDJ[Sort Code]=(TRIM(E$5)))*(CsDJ[Account Code]=(TRIM($B114)))*(CsDJ[Date]&lt;=$C$8),CsDJ[Credit])))+(SUM(IF((CRDJ[Sort Code]=(TRIM(E$5)))*(CRDJ[Account Code]=(TRIM($B114)))*(CRDJ[Date]&lt;=$C$8),CRDJ[Credit])))+(SUM(IF((GJ[Sort Code]=(TRIM(E$5)))*(GJ[Account Code]=(TRIM($B114)))*(GJ[Date]&lt;=$C$8),GJ[Credit]))))</f>
        <v>0</v>
      </c>
      <c r="D114" s="466">
        <f t="array" ref="D114">((SUM(IF((CkDJ[Date]=$A$4)*(CkDJ[Sort Code]=(TRIM(E$5)))*(CkDJ[Account Code]=(TRIM($B114))),CkDJ[Debit])))+(SUM(IF((CsDJ[Date]=$A$4)*(CsDJ[Sort Code]=(TRIM(E$5)))*(CsDJ[Account Code]=(TRIM($B114))),CsDJ[Debit])))+(SUM(IF((CRDJ[Date]=$A$4)*(CRDJ[Sort Code]=(TRIM(E$5)))*(CRDJ[Account Code]=(TRIM($B114))),CRDJ[Debit])))+(SUM(IF((GJ[Date]=$A$4)*(GJ[Sort Code]=(TRIM(E$5)))*(GJ[Account Code]=(TRIM($B114))),GJ[Debit]))))-((SUM(IF((CkDJ[Date]=$A$4)*(CkDJ[Sort Code]=(TRIM(E$5)))*(CkDJ[Account Code]=(TRIM($B114))),CkDJ[Credit])))+(SUM(IF((CsDJ[Date]=$A$4)*(CsDJ[Sort Code]=(TRIM(E$5)))*(CsDJ[Account Code]=(TRIM($B114))),CsDJ[Credit])))+(SUM(IF((CRDJ[Date]=$A$4)*(CRDJ[Sort Code]=(TRIM(E$5)))*(CRDJ[Account Code]=(TRIM($B114))),CRDJ[Credit])))+(SUM(IF((GJ[Date]=$A$4)*(GJ[Sort Code]=(TRIM(E$5)))*(GJ[Account Code]=(TRIM($B114))),GJ[Credit]))))</f>
        <v>0</v>
      </c>
      <c r="E114" s="467">
        <f t="shared" si="3"/>
        <v>0</v>
      </c>
    </row>
    <row r="115" spans="1:5">
      <c r="A115" s="476" t="s">
        <v>311</v>
      </c>
      <c r="B115" s="339" t="s">
        <v>262</v>
      </c>
      <c r="C115" s="466">
        <f t="array" ref="C115">((SUM(IF((CkDJ[Sort Code]=(TRIM(E$5)))*(CkDJ[Account Code]=(TRIM($B115)))*(CkDJ[Date]&lt;=$C$8),CkDJ[Debit])))+(SUM(IF((CsDJ[Sort Code]=(TRIM(E$5)))*(CsDJ[Account Code]=(TRIM($B115)))*(CsDJ[Date]&lt;=$C$8),CsDJ[Debit])))+(SUM(IF((CRDJ[Sort Code]=(TRIM(E$5)))*(CRDJ[Account Code]=(TRIM($B115)))*(CRDJ[Date]&lt;=$C$8),CRDJ[Debit])))+(SUM(IF((GJ[Sort Code]=(TRIM(E$5)))*(GJ[Account Code]=(TRIM($B115)))*(GJ[Date]&lt;=$C$8),GJ[Debit]))))-((SUM(IF((CkDJ[Sort Code]=(TRIM(E$5)))*(CkDJ[Account Code]=(TRIM($B115)))*(CkDJ[Date]&lt;=$C$8),CkDJ[Credit])))+(SUM(IF((CsDJ[Sort Code]=(TRIM(E$5)))*(CsDJ[Account Code]=(TRIM($B115)))*(CsDJ[Date]&lt;=$C$8),CsDJ[Credit])))+(SUM(IF((CRDJ[Sort Code]=(TRIM(E$5)))*(CRDJ[Account Code]=(TRIM($B115)))*(CRDJ[Date]&lt;=$C$8),CRDJ[Credit])))+(SUM(IF((GJ[Sort Code]=(TRIM(E$5)))*(GJ[Account Code]=(TRIM($B115)))*(GJ[Date]&lt;=$C$8),GJ[Credit]))))</f>
        <v>0</v>
      </c>
      <c r="D115" s="466">
        <f t="array" ref="D115">((SUM(IF((CkDJ[Date]=$A$4)*(CkDJ[Sort Code]=(TRIM(E$5)))*(CkDJ[Account Code]=(TRIM($B115))),CkDJ[Debit])))+(SUM(IF((CsDJ[Date]=$A$4)*(CsDJ[Sort Code]=(TRIM(E$5)))*(CsDJ[Account Code]=(TRIM($B115))),CsDJ[Debit])))+(SUM(IF((CRDJ[Date]=$A$4)*(CRDJ[Sort Code]=(TRIM(E$5)))*(CRDJ[Account Code]=(TRIM($B115))),CRDJ[Debit])))+(SUM(IF((GJ[Date]=$A$4)*(GJ[Sort Code]=(TRIM(E$5)))*(GJ[Account Code]=(TRIM($B115))),GJ[Debit]))))-((SUM(IF((CkDJ[Date]=$A$4)*(CkDJ[Sort Code]=(TRIM(E$5)))*(CkDJ[Account Code]=(TRIM($B115))),CkDJ[Credit])))+(SUM(IF((CsDJ[Date]=$A$4)*(CsDJ[Sort Code]=(TRIM(E$5)))*(CsDJ[Account Code]=(TRIM($B115))),CsDJ[Credit])))+(SUM(IF((CRDJ[Date]=$A$4)*(CRDJ[Sort Code]=(TRIM(E$5)))*(CRDJ[Account Code]=(TRIM($B115))),CRDJ[Credit])))+(SUM(IF((GJ[Date]=$A$4)*(GJ[Sort Code]=(TRIM(E$5)))*(GJ[Account Code]=(TRIM($B115))),GJ[Credit]))))</f>
        <v>0</v>
      </c>
      <c r="E115" s="467">
        <f t="shared" si="3"/>
        <v>0</v>
      </c>
    </row>
    <row r="116" spans="1:5">
      <c r="A116" s="476" t="s">
        <v>312</v>
      </c>
      <c r="B116" s="339" t="s">
        <v>264</v>
      </c>
      <c r="C116" s="466">
        <f t="array" ref="C116">((SUM(IF((CkDJ[Sort Code]=(TRIM(E$5)))*(CkDJ[Account Code]=(TRIM($B116)))*(CkDJ[Date]&lt;=$C$8),CkDJ[Debit])))+(SUM(IF((CsDJ[Sort Code]=(TRIM(E$5)))*(CsDJ[Account Code]=(TRIM($B116)))*(CsDJ[Date]&lt;=$C$8),CsDJ[Debit])))+(SUM(IF((CRDJ[Sort Code]=(TRIM(E$5)))*(CRDJ[Account Code]=(TRIM($B116)))*(CRDJ[Date]&lt;=$C$8),CRDJ[Debit])))+(SUM(IF((GJ[Sort Code]=(TRIM(E$5)))*(GJ[Account Code]=(TRIM($B116)))*(GJ[Date]&lt;=$C$8),GJ[Debit]))))-((SUM(IF((CkDJ[Sort Code]=(TRIM(E$5)))*(CkDJ[Account Code]=(TRIM($B116)))*(CkDJ[Date]&lt;=$C$8),CkDJ[Credit])))+(SUM(IF((CsDJ[Sort Code]=(TRIM(E$5)))*(CsDJ[Account Code]=(TRIM($B116)))*(CsDJ[Date]&lt;=$C$8),CsDJ[Credit])))+(SUM(IF((CRDJ[Sort Code]=(TRIM(E$5)))*(CRDJ[Account Code]=(TRIM($B116)))*(CRDJ[Date]&lt;=$C$8),CRDJ[Credit])))+(SUM(IF((GJ[Sort Code]=(TRIM(E$5)))*(GJ[Account Code]=(TRIM($B116)))*(GJ[Date]&lt;=$C$8),GJ[Credit]))))</f>
        <v>0</v>
      </c>
      <c r="D116" s="466">
        <f t="array" ref="D116">((SUM(IF((CkDJ[Date]=$A$4)*(CkDJ[Sort Code]=(TRIM(E$5)))*(CkDJ[Account Code]=(TRIM($B116))),CkDJ[Debit])))+(SUM(IF((CsDJ[Date]=$A$4)*(CsDJ[Sort Code]=(TRIM(E$5)))*(CsDJ[Account Code]=(TRIM($B116))),CsDJ[Debit])))+(SUM(IF((CRDJ[Date]=$A$4)*(CRDJ[Sort Code]=(TRIM(E$5)))*(CRDJ[Account Code]=(TRIM($B116))),CRDJ[Debit])))+(SUM(IF((GJ[Date]=$A$4)*(GJ[Sort Code]=(TRIM(E$5)))*(GJ[Account Code]=(TRIM($B116))),GJ[Debit]))))-((SUM(IF((CkDJ[Date]=$A$4)*(CkDJ[Sort Code]=(TRIM(E$5)))*(CkDJ[Account Code]=(TRIM($B116))),CkDJ[Credit])))+(SUM(IF((CsDJ[Date]=$A$4)*(CsDJ[Sort Code]=(TRIM(E$5)))*(CsDJ[Account Code]=(TRIM($B116))),CsDJ[Credit])))+(SUM(IF((CRDJ[Date]=$A$4)*(CRDJ[Sort Code]=(TRIM(E$5)))*(CRDJ[Account Code]=(TRIM($B116))),CRDJ[Credit])))+(SUM(IF((GJ[Date]=$A$4)*(GJ[Sort Code]=(TRIM(E$5)))*(GJ[Account Code]=(TRIM($B116))),GJ[Credit]))))</f>
        <v>0</v>
      </c>
      <c r="E116" s="467">
        <f t="shared" si="3"/>
        <v>0</v>
      </c>
    </row>
    <row r="117" spans="1:5">
      <c r="A117" s="476" t="s">
        <v>313</v>
      </c>
      <c r="B117" s="339" t="s">
        <v>265</v>
      </c>
      <c r="C117" s="466">
        <f t="array" ref="C117">((SUM(IF((CkDJ[Sort Code]=(TRIM(E$5)))*(CkDJ[Account Code]=(TRIM($B117)))*(CkDJ[Date]&lt;=$C$8),CkDJ[Debit])))+(SUM(IF((CsDJ[Sort Code]=(TRIM(E$5)))*(CsDJ[Account Code]=(TRIM($B117)))*(CsDJ[Date]&lt;=$C$8),CsDJ[Debit])))+(SUM(IF((CRDJ[Sort Code]=(TRIM(E$5)))*(CRDJ[Account Code]=(TRIM($B117)))*(CRDJ[Date]&lt;=$C$8),CRDJ[Debit])))+(SUM(IF((GJ[Sort Code]=(TRIM(E$5)))*(GJ[Account Code]=(TRIM($B117)))*(GJ[Date]&lt;=$C$8),GJ[Debit]))))-((SUM(IF((CkDJ[Sort Code]=(TRIM(E$5)))*(CkDJ[Account Code]=(TRIM($B117)))*(CkDJ[Date]&lt;=$C$8),CkDJ[Credit])))+(SUM(IF((CsDJ[Sort Code]=(TRIM(E$5)))*(CsDJ[Account Code]=(TRIM($B117)))*(CsDJ[Date]&lt;=$C$8),CsDJ[Credit])))+(SUM(IF((CRDJ[Sort Code]=(TRIM(E$5)))*(CRDJ[Account Code]=(TRIM($B117)))*(CRDJ[Date]&lt;=$C$8),CRDJ[Credit])))+(SUM(IF((GJ[Sort Code]=(TRIM(E$5)))*(GJ[Account Code]=(TRIM($B117)))*(GJ[Date]&lt;=$C$8),GJ[Credit]))))</f>
        <v>0</v>
      </c>
      <c r="D117" s="466">
        <f t="array" ref="D117">((SUM(IF((CkDJ[Date]=$A$4)*(CkDJ[Sort Code]=(TRIM(E$5)))*(CkDJ[Account Code]=(TRIM($B117))),CkDJ[Debit])))+(SUM(IF((CsDJ[Date]=$A$4)*(CsDJ[Sort Code]=(TRIM(E$5)))*(CsDJ[Account Code]=(TRIM($B117))),CsDJ[Debit])))+(SUM(IF((CRDJ[Date]=$A$4)*(CRDJ[Sort Code]=(TRIM(E$5)))*(CRDJ[Account Code]=(TRIM($B117))),CRDJ[Debit])))+(SUM(IF((GJ[Date]=$A$4)*(GJ[Sort Code]=(TRIM(E$5)))*(GJ[Account Code]=(TRIM($B117))),GJ[Debit]))))-((SUM(IF((CkDJ[Date]=$A$4)*(CkDJ[Sort Code]=(TRIM(E$5)))*(CkDJ[Account Code]=(TRIM($B117))),CkDJ[Credit])))+(SUM(IF((CsDJ[Date]=$A$4)*(CsDJ[Sort Code]=(TRIM(E$5)))*(CsDJ[Account Code]=(TRIM($B117))),CsDJ[Credit])))+(SUM(IF((CRDJ[Date]=$A$4)*(CRDJ[Sort Code]=(TRIM(E$5)))*(CRDJ[Account Code]=(TRIM($B117))),CRDJ[Credit])))+(SUM(IF((GJ[Date]=$A$4)*(GJ[Sort Code]=(TRIM(E$5)))*(GJ[Account Code]=(TRIM($B117))),GJ[Credit]))))</f>
        <v>0</v>
      </c>
      <c r="E117" s="467">
        <f t="shared" si="3"/>
        <v>0</v>
      </c>
    </row>
    <row r="118" spans="1:5">
      <c r="A118" s="476" t="s">
        <v>790</v>
      </c>
      <c r="B118" s="339" t="s">
        <v>267</v>
      </c>
      <c r="C118" s="466">
        <f t="array" ref="C118">((SUM(IF((CkDJ[Sort Code]=(TRIM(E$5)))*(CkDJ[Account Code]=(TRIM($B118)))*(CkDJ[Date]&lt;=$C$8),CkDJ[Debit])))+(SUM(IF((CsDJ[Sort Code]=(TRIM(E$5)))*(CsDJ[Account Code]=(TRIM($B118)))*(CsDJ[Date]&lt;=$C$8),CsDJ[Debit])))+(SUM(IF((CRDJ[Sort Code]=(TRIM(E$5)))*(CRDJ[Account Code]=(TRIM($B118)))*(CRDJ[Date]&lt;=$C$8),CRDJ[Debit])))+(SUM(IF((GJ[Sort Code]=(TRIM(E$5)))*(GJ[Account Code]=(TRIM($B118)))*(GJ[Date]&lt;=$C$8),GJ[Debit]))))-((SUM(IF((CkDJ[Sort Code]=(TRIM(E$5)))*(CkDJ[Account Code]=(TRIM($B118)))*(CkDJ[Date]&lt;=$C$8),CkDJ[Credit])))+(SUM(IF((CsDJ[Sort Code]=(TRIM(E$5)))*(CsDJ[Account Code]=(TRIM($B118)))*(CsDJ[Date]&lt;=$C$8),CsDJ[Credit])))+(SUM(IF((CRDJ[Sort Code]=(TRIM(E$5)))*(CRDJ[Account Code]=(TRIM($B118)))*(CRDJ[Date]&lt;=$C$8),CRDJ[Credit])))+(SUM(IF((GJ[Sort Code]=(TRIM(E$5)))*(GJ[Account Code]=(TRIM($B118)))*(GJ[Date]&lt;=$C$8),GJ[Credit]))))</f>
        <v>0</v>
      </c>
      <c r="D118" s="466">
        <f t="array" ref="D118">((SUM(IF((CkDJ[Date]=$A$4)*(CkDJ[Sort Code]=(TRIM(E$5)))*(CkDJ[Account Code]=(TRIM($B118))),CkDJ[Debit])))+(SUM(IF((CsDJ[Date]=$A$4)*(CsDJ[Sort Code]=(TRIM(E$5)))*(CsDJ[Account Code]=(TRIM($B118))),CsDJ[Debit])))+(SUM(IF((CRDJ[Date]=$A$4)*(CRDJ[Sort Code]=(TRIM(E$5)))*(CRDJ[Account Code]=(TRIM($B118))),CRDJ[Debit])))+(SUM(IF((GJ[Date]=$A$4)*(GJ[Sort Code]=(TRIM(E$5)))*(GJ[Account Code]=(TRIM($B118))),GJ[Debit]))))-((SUM(IF((CkDJ[Date]=$A$4)*(CkDJ[Sort Code]=(TRIM(E$5)))*(CkDJ[Account Code]=(TRIM($B118))),CkDJ[Credit])))+(SUM(IF((CsDJ[Date]=$A$4)*(CsDJ[Sort Code]=(TRIM(E$5)))*(CsDJ[Account Code]=(TRIM($B118))),CsDJ[Credit])))+(SUM(IF((CRDJ[Date]=$A$4)*(CRDJ[Sort Code]=(TRIM(E$5)))*(CRDJ[Account Code]=(TRIM($B118))),CRDJ[Credit])))+(SUM(IF((GJ[Date]=$A$4)*(GJ[Sort Code]=(TRIM(E$5)))*(GJ[Account Code]=(TRIM($B118))),GJ[Credit]))))</f>
        <v>0</v>
      </c>
      <c r="E118" s="467">
        <f>C118+D118</f>
        <v>0</v>
      </c>
    </row>
    <row r="119" spans="1:5">
      <c r="A119" s="476" t="s">
        <v>1027</v>
      </c>
      <c r="B119" s="339" t="s">
        <v>269</v>
      </c>
      <c r="C119" s="466">
        <f t="array" ref="C119">((SUM(IF((CkDJ[Sort Code]=(TRIM(E$5)))*(CkDJ[Account Code]=(TRIM($B119)))*(CkDJ[Date]&lt;=$C$8),CkDJ[Debit])))+(SUM(IF((CsDJ[Sort Code]=(TRIM(E$5)))*(CsDJ[Account Code]=(TRIM($B119)))*(CsDJ[Date]&lt;=$C$8),CsDJ[Debit])))+(SUM(IF((CRDJ[Sort Code]=(TRIM(E$5)))*(CRDJ[Account Code]=(TRIM($B119)))*(CRDJ[Date]&lt;=$C$8),CRDJ[Debit])))+(SUM(IF((GJ[Sort Code]=(TRIM(E$5)))*(GJ[Account Code]=(TRIM($B119)))*(GJ[Date]&lt;=$C$8),GJ[Debit]))))-((SUM(IF((CkDJ[Sort Code]=(TRIM(E$5)))*(CkDJ[Account Code]=(TRIM($B119)))*(CkDJ[Date]&lt;=$C$8),CkDJ[Credit])))+(SUM(IF((CsDJ[Sort Code]=(TRIM(E$5)))*(CsDJ[Account Code]=(TRIM($B119)))*(CsDJ[Date]&lt;=$C$8),CsDJ[Credit])))+(SUM(IF((CRDJ[Sort Code]=(TRIM(E$5)))*(CRDJ[Account Code]=(TRIM($B119)))*(CRDJ[Date]&lt;=$C$8),CRDJ[Credit])))+(SUM(IF((GJ[Sort Code]=(TRIM(E$5)))*(GJ[Account Code]=(TRIM($B119)))*(GJ[Date]&lt;=$C$8),GJ[Credit]))))</f>
        <v>0</v>
      </c>
      <c r="D119" s="466">
        <f t="array" ref="D119">((SUM(IF((CkDJ[Date]=$A$4)*(CkDJ[Sort Code]=(TRIM(E$5)))*(CkDJ[Account Code]=(TRIM($B119))),CkDJ[Debit])))+(SUM(IF((CsDJ[Date]=$A$4)*(CsDJ[Sort Code]=(TRIM(E$5)))*(CsDJ[Account Code]=(TRIM($B119))),CsDJ[Debit])))+(SUM(IF((CRDJ[Date]=$A$4)*(CRDJ[Sort Code]=(TRIM(E$5)))*(CRDJ[Account Code]=(TRIM($B119))),CRDJ[Debit])))+(SUM(IF((GJ[Date]=$A$4)*(GJ[Sort Code]=(TRIM(E$5)))*(GJ[Account Code]=(TRIM($B119))),GJ[Debit]))))-((SUM(IF((CkDJ[Date]=$A$4)*(CkDJ[Sort Code]=(TRIM(E$5)))*(CkDJ[Account Code]=(TRIM($B119))),CkDJ[Credit])))+(SUM(IF((CsDJ[Date]=$A$4)*(CsDJ[Sort Code]=(TRIM(E$5)))*(CsDJ[Account Code]=(TRIM($B119))),CsDJ[Credit])))+(SUM(IF((CRDJ[Date]=$A$4)*(CRDJ[Sort Code]=(TRIM(E$5)))*(CRDJ[Account Code]=(TRIM($B119))),CRDJ[Credit])))+(SUM(IF((GJ[Date]=$A$4)*(GJ[Sort Code]=(TRIM(E$5)))*(GJ[Account Code]=(TRIM($B119))),GJ[Credit]))))</f>
        <v>0</v>
      </c>
      <c r="E119" s="467">
        <f t="shared" si="3"/>
        <v>0</v>
      </c>
    </row>
    <row r="120" spans="1:5">
      <c r="A120" s="476" t="s">
        <v>409</v>
      </c>
      <c r="B120" s="339" t="s">
        <v>408</v>
      </c>
      <c r="C120" s="466">
        <f t="array" ref="C120">((SUM(IF((CkDJ[Sort Code]=(TRIM(E$5)))*(CkDJ[Account Code]=(TRIM($B120)))*(CkDJ[Date]&lt;=$C$8),CkDJ[Debit])))+(SUM(IF((CsDJ[Sort Code]=(TRIM(E$5)))*(CsDJ[Account Code]=(TRIM($B120)))*(CsDJ[Date]&lt;=$C$8),CsDJ[Debit])))+(SUM(IF((CRDJ[Sort Code]=(TRIM(E$5)))*(CRDJ[Account Code]=(TRIM($B120)))*(CRDJ[Date]&lt;=$C$8),CRDJ[Debit])))+(SUM(IF((GJ[Sort Code]=(TRIM(E$5)))*(GJ[Account Code]=(TRIM($B120)))*(GJ[Date]&lt;=$C$8),GJ[Debit]))))-((SUM(IF((CkDJ[Sort Code]=(TRIM(E$5)))*(CkDJ[Account Code]=(TRIM($B120)))*(CkDJ[Date]&lt;=$C$8),CkDJ[Credit])))+(SUM(IF((CsDJ[Sort Code]=(TRIM(E$5)))*(CsDJ[Account Code]=(TRIM($B120)))*(CsDJ[Date]&lt;=$C$8),CsDJ[Credit])))+(SUM(IF((CRDJ[Sort Code]=(TRIM(E$5)))*(CRDJ[Account Code]=(TRIM($B120)))*(CRDJ[Date]&lt;=$C$8),CRDJ[Credit])))+(SUM(IF((GJ[Sort Code]=(TRIM(E$5)))*(GJ[Account Code]=(TRIM($B120)))*(GJ[Date]&lt;=$C$8),GJ[Credit]))))</f>
        <v>0</v>
      </c>
      <c r="D120" s="466">
        <f t="array" ref="D120">((SUM(IF((CkDJ[Date]=$A$4)*(CkDJ[Sort Code]=(TRIM(E$5)))*(CkDJ[Account Code]=(TRIM($B120))),CkDJ[Debit])))+(SUM(IF((CsDJ[Date]=$A$4)*(CsDJ[Sort Code]=(TRIM(E$5)))*(CsDJ[Account Code]=(TRIM($B120))),CsDJ[Debit])))+(SUM(IF((CRDJ[Date]=$A$4)*(CRDJ[Sort Code]=(TRIM(E$5)))*(CRDJ[Account Code]=(TRIM($B120))),CRDJ[Debit])))+(SUM(IF((GJ[Date]=$A$4)*(GJ[Sort Code]=(TRIM(E$5)))*(GJ[Account Code]=(TRIM($B120))),GJ[Debit]))))-((SUM(IF((CkDJ[Date]=$A$4)*(CkDJ[Sort Code]=(TRIM(E$5)))*(CkDJ[Account Code]=(TRIM($B120))),CkDJ[Credit])))+(SUM(IF((CsDJ[Date]=$A$4)*(CsDJ[Sort Code]=(TRIM(E$5)))*(CsDJ[Account Code]=(TRIM($B120))),CsDJ[Credit])))+(SUM(IF((CRDJ[Date]=$A$4)*(CRDJ[Sort Code]=(TRIM(E$5)))*(CRDJ[Account Code]=(TRIM($B120))),CRDJ[Credit])))+(SUM(IF((GJ[Date]=$A$4)*(GJ[Sort Code]=(TRIM(E$5)))*(GJ[Account Code]=(TRIM($B120))),GJ[Credit]))))</f>
        <v>0</v>
      </c>
      <c r="E120" s="467">
        <f>C120+D120</f>
        <v>0</v>
      </c>
    </row>
    <row r="121" spans="1:5">
      <c r="A121" s="476" t="s">
        <v>315</v>
      </c>
      <c r="B121" s="339" t="s">
        <v>270</v>
      </c>
      <c r="C121" s="466">
        <f t="array" ref="C121">((SUM(IF((CkDJ[Sort Code]=(TRIM(E$5)))*(CkDJ[Account Code]=(TRIM($B121)))*(CkDJ[Date]&lt;=$C$8),CkDJ[Debit])))+(SUM(IF((CsDJ[Sort Code]=(TRIM(E$5)))*(CsDJ[Account Code]=(TRIM($B121)))*(CsDJ[Date]&lt;=$C$8),CsDJ[Debit])))+(SUM(IF((CRDJ[Sort Code]=(TRIM(E$5)))*(CRDJ[Account Code]=(TRIM($B121)))*(CRDJ[Date]&lt;=$C$8),CRDJ[Debit])))+(SUM(IF((GJ[Sort Code]=(TRIM(E$5)))*(GJ[Account Code]=(TRIM($B121)))*(GJ[Date]&lt;=$C$8),GJ[Debit]))))-((SUM(IF((CkDJ[Sort Code]=(TRIM(E$5)))*(CkDJ[Account Code]=(TRIM($B121)))*(CkDJ[Date]&lt;=$C$8),CkDJ[Credit])))+(SUM(IF((CsDJ[Sort Code]=(TRIM(E$5)))*(CsDJ[Account Code]=(TRIM($B121)))*(CsDJ[Date]&lt;=$C$8),CsDJ[Credit])))+(SUM(IF((CRDJ[Sort Code]=(TRIM(E$5)))*(CRDJ[Account Code]=(TRIM($B121)))*(CRDJ[Date]&lt;=$C$8),CRDJ[Credit])))+(SUM(IF((GJ[Sort Code]=(TRIM(E$5)))*(GJ[Account Code]=(TRIM($B121)))*(GJ[Date]&lt;=$C$8),GJ[Credit]))))</f>
        <v>0</v>
      </c>
      <c r="D121" s="466">
        <f t="array" ref="D121">((SUM(IF((CkDJ[Date]=$A$4)*(CkDJ[Sort Code]=(TRIM(E$5)))*(CkDJ[Account Code]=(TRIM($B121))),CkDJ[Debit])))+(SUM(IF((CsDJ[Date]=$A$4)*(CsDJ[Sort Code]=(TRIM(E$5)))*(CsDJ[Account Code]=(TRIM($B121))),CsDJ[Debit])))+(SUM(IF((CRDJ[Date]=$A$4)*(CRDJ[Sort Code]=(TRIM(E$5)))*(CRDJ[Account Code]=(TRIM($B121))),CRDJ[Debit])))+(SUM(IF((GJ[Date]=$A$4)*(GJ[Sort Code]=(TRIM(E$5)))*(GJ[Account Code]=(TRIM($B121))),GJ[Debit]))))-((SUM(IF((CkDJ[Date]=$A$4)*(CkDJ[Sort Code]=(TRIM(E$5)))*(CkDJ[Account Code]=(TRIM($B121))),CkDJ[Credit])))+(SUM(IF((CsDJ[Date]=$A$4)*(CsDJ[Sort Code]=(TRIM(E$5)))*(CsDJ[Account Code]=(TRIM($B121))),CsDJ[Credit])))+(SUM(IF((CRDJ[Date]=$A$4)*(CRDJ[Sort Code]=(TRIM(E$5)))*(CRDJ[Account Code]=(TRIM($B121))),CRDJ[Credit])))+(SUM(IF((GJ[Date]=$A$4)*(GJ[Sort Code]=(TRIM(E$5)))*(GJ[Account Code]=(TRIM($B121))),GJ[Credit]))))</f>
        <v>0</v>
      </c>
      <c r="E121" s="467">
        <f>C121+D121</f>
        <v>0</v>
      </c>
    </row>
    <row r="122" spans="1:5">
      <c r="A122" s="476" t="s">
        <v>368</v>
      </c>
      <c r="B122" s="339" t="s">
        <v>271</v>
      </c>
      <c r="C122" s="466">
        <f t="array" ref="C122">((SUM(IF((CkDJ[Sort Code]=(TRIM(E$5)))*(CkDJ[Account Code]=(TRIM($B122)))*(CkDJ[Date]&lt;=$C$8),CkDJ[Debit])))+(SUM(IF((CsDJ[Sort Code]=(TRIM(E$5)))*(CsDJ[Account Code]=(TRIM($B122)))*(CsDJ[Date]&lt;=$C$8),CsDJ[Debit])))+(SUM(IF((CRDJ[Sort Code]=(TRIM(E$5)))*(CRDJ[Account Code]=(TRIM($B122)))*(CRDJ[Date]&lt;=$C$8),CRDJ[Debit])))+(SUM(IF((GJ[Sort Code]=(TRIM(E$5)))*(GJ[Account Code]=(TRIM($B122)))*(GJ[Date]&lt;=$C$8),GJ[Debit]))))-((SUM(IF((CkDJ[Sort Code]=(TRIM(E$5)))*(CkDJ[Account Code]=(TRIM($B122)))*(CkDJ[Date]&lt;=$C$8),CkDJ[Credit])))+(SUM(IF((CsDJ[Sort Code]=(TRIM(E$5)))*(CsDJ[Account Code]=(TRIM($B122)))*(CsDJ[Date]&lt;=$C$8),CsDJ[Credit])))+(SUM(IF((CRDJ[Sort Code]=(TRIM(E$5)))*(CRDJ[Account Code]=(TRIM($B122)))*(CRDJ[Date]&lt;=$C$8),CRDJ[Credit])))+(SUM(IF((GJ[Sort Code]=(TRIM(E$5)))*(GJ[Account Code]=(TRIM($B122)))*(GJ[Date]&lt;=$C$8),GJ[Credit]))))</f>
        <v>0</v>
      </c>
      <c r="D122" s="466">
        <f t="array" ref="D122">((SUM(IF((CkDJ[Date]=$A$4)*(CkDJ[Sort Code]=(TRIM(E$5)))*(CkDJ[Account Code]=(TRIM($B122))),CkDJ[Debit])))+(SUM(IF((CsDJ[Date]=$A$4)*(CsDJ[Sort Code]=(TRIM(E$5)))*(CsDJ[Account Code]=(TRIM($B122))),CsDJ[Debit])))+(SUM(IF((CRDJ[Date]=$A$4)*(CRDJ[Sort Code]=(TRIM(E$5)))*(CRDJ[Account Code]=(TRIM($B122))),CRDJ[Debit])))+(SUM(IF((GJ[Date]=$A$4)*(GJ[Sort Code]=(TRIM(E$5)))*(GJ[Account Code]=(TRIM($B122))),GJ[Debit]))))-((SUM(IF((CkDJ[Date]=$A$4)*(CkDJ[Sort Code]=(TRIM(E$5)))*(CkDJ[Account Code]=(TRIM($B122))),CkDJ[Credit])))+(SUM(IF((CsDJ[Date]=$A$4)*(CsDJ[Sort Code]=(TRIM(E$5)))*(CsDJ[Account Code]=(TRIM($B122))),CsDJ[Credit])))+(SUM(IF((CRDJ[Date]=$A$4)*(CRDJ[Sort Code]=(TRIM(E$5)))*(CRDJ[Account Code]=(TRIM($B122))),CRDJ[Credit])))+(SUM(IF((GJ[Date]=$A$4)*(GJ[Sort Code]=(TRIM(E$5)))*(GJ[Account Code]=(TRIM($B122))),GJ[Credit]))))</f>
        <v>0</v>
      </c>
      <c r="E122" s="467">
        <f t="shared" si="3"/>
        <v>0</v>
      </c>
    </row>
    <row r="123" spans="1:5">
      <c r="A123" s="476" t="s">
        <v>316</v>
      </c>
      <c r="B123" s="339" t="s">
        <v>272</v>
      </c>
      <c r="C123" s="466">
        <f t="array" ref="C123">((SUM(IF((CkDJ[Sort Code]=(TRIM(E$5)))*(CkDJ[Account Code]=(TRIM($B123)))*(CkDJ[Date]&lt;=$C$8),CkDJ[Debit])))+(SUM(IF((CsDJ[Sort Code]=(TRIM(E$5)))*(CsDJ[Account Code]=(TRIM($B123)))*(CsDJ[Date]&lt;=$C$8),CsDJ[Debit])))+(SUM(IF((CRDJ[Sort Code]=(TRIM(E$5)))*(CRDJ[Account Code]=(TRIM($B123)))*(CRDJ[Date]&lt;=$C$8),CRDJ[Debit])))+(SUM(IF((GJ[Sort Code]=(TRIM(E$5)))*(GJ[Account Code]=(TRIM($B123)))*(GJ[Date]&lt;=$C$8),GJ[Debit]))))-((SUM(IF((CkDJ[Sort Code]=(TRIM(E$5)))*(CkDJ[Account Code]=(TRIM($B123)))*(CkDJ[Date]&lt;=$C$8),CkDJ[Credit])))+(SUM(IF((CsDJ[Sort Code]=(TRIM(E$5)))*(CsDJ[Account Code]=(TRIM($B123)))*(CsDJ[Date]&lt;=$C$8),CsDJ[Credit])))+(SUM(IF((CRDJ[Sort Code]=(TRIM(E$5)))*(CRDJ[Account Code]=(TRIM($B123)))*(CRDJ[Date]&lt;=$C$8),CRDJ[Credit])))+(SUM(IF((GJ[Sort Code]=(TRIM(E$5)))*(GJ[Account Code]=(TRIM($B123)))*(GJ[Date]&lt;=$C$8),GJ[Credit]))))</f>
        <v>0</v>
      </c>
      <c r="D123" s="466">
        <f t="array" ref="D123">((SUM(IF((CkDJ[Date]=$A$4)*(CkDJ[Sort Code]=(TRIM(E$5)))*(CkDJ[Account Code]=(TRIM($B123))),CkDJ[Debit])))+(SUM(IF((CsDJ[Date]=$A$4)*(CsDJ[Sort Code]=(TRIM(E$5)))*(CsDJ[Account Code]=(TRIM($B123))),CsDJ[Debit])))+(SUM(IF((CRDJ[Date]=$A$4)*(CRDJ[Sort Code]=(TRIM(E$5)))*(CRDJ[Account Code]=(TRIM($B123))),CRDJ[Debit])))+(SUM(IF((GJ[Date]=$A$4)*(GJ[Sort Code]=(TRIM(E$5)))*(GJ[Account Code]=(TRIM($B123))),GJ[Debit]))))-((SUM(IF((CkDJ[Date]=$A$4)*(CkDJ[Sort Code]=(TRIM(E$5)))*(CkDJ[Account Code]=(TRIM($B123))),CkDJ[Credit])))+(SUM(IF((CsDJ[Date]=$A$4)*(CsDJ[Sort Code]=(TRIM(E$5)))*(CsDJ[Account Code]=(TRIM($B123))),CsDJ[Credit])))+(SUM(IF((CRDJ[Date]=$A$4)*(CRDJ[Sort Code]=(TRIM(E$5)))*(CRDJ[Account Code]=(TRIM($B123))),CRDJ[Credit])))+(SUM(IF((GJ[Date]=$A$4)*(GJ[Sort Code]=(TRIM(E$5)))*(GJ[Account Code]=(TRIM($B123))),GJ[Credit]))))</f>
        <v>0</v>
      </c>
      <c r="E123" s="467">
        <f t="shared" si="3"/>
        <v>0</v>
      </c>
    </row>
    <row r="124" spans="1:5">
      <c r="A124" s="476" t="s">
        <v>317</v>
      </c>
      <c r="B124" s="339" t="s">
        <v>273</v>
      </c>
      <c r="C124" s="466">
        <f t="array" ref="C124">((SUM(IF((CkDJ[Sort Code]=(TRIM(E$5)))*(CkDJ[Account Code]=(TRIM($B124)))*(CkDJ[Date]&lt;=$C$8),CkDJ[Debit])))+(SUM(IF((CsDJ[Sort Code]=(TRIM(E$5)))*(CsDJ[Account Code]=(TRIM($B124)))*(CsDJ[Date]&lt;=$C$8),CsDJ[Debit])))+(SUM(IF((CRDJ[Sort Code]=(TRIM(E$5)))*(CRDJ[Account Code]=(TRIM($B124)))*(CRDJ[Date]&lt;=$C$8),CRDJ[Debit])))+(SUM(IF((GJ[Sort Code]=(TRIM(E$5)))*(GJ[Account Code]=(TRIM($B124)))*(GJ[Date]&lt;=$C$8),GJ[Debit]))))-((SUM(IF((CkDJ[Sort Code]=(TRIM(E$5)))*(CkDJ[Account Code]=(TRIM($B124)))*(CkDJ[Date]&lt;=$C$8),CkDJ[Credit])))+(SUM(IF((CsDJ[Sort Code]=(TRIM(E$5)))*(CsDJ[Account Code]=(TRIM($B124)))*(CsDJ[Date]&lt;=$C$8),CsDJ[Credit])))+(SUM(IF((CRDJ[Sort Code]=(TRIM(E$5)))*(CRDJ[Account Code]=(TRIM($B124)))*(CRDJ[Date]&lt;=$C$8),CRDJ[Credit])))+(SUM(IF((GJ[Sort Code]=(TRIM(E$5)))*(GJ[Account Code]=(TRIM($B124)))*(GJ[Date]&lt;=$C$8),GJ[Credit]))))</f>
        <v>0</v>
      </c>
      <c r="D124" s="466">
        <f t="array" ref="D124">((SUM(IF((CkDJ[Date]=$A$4)*(CkDJ[Sort Code]=(TRIM(E$5)))*(CkDJ[Account Code]=(TRIM($B124))),CkDJ[Debit])))+(SUM(IF((CsDJ[Date]=$A$4)*(CsDJ[Sort Code]=(TRIM(E$5)))*(CsDJ[Account Code]=(TRIM($B124))),CsDJ[Debit])))+(SUM(IF((CRDJ[Date]=$A$4)*(CRDJ[Sort Code]=(TRIM(E$5)))*(CRDJ[Account Code]=(TRIM($B124))),CRDJ[Debit])))+(SUM(IF((GJ[Date]=$A$4)*(GJ[Sort Code]=(TRIM(E$5)))*(GJ[Account Code]=(TRIM($B124))),GJ[Debit]))))-((SUM(IF((CkDJ[Date]=$A$4)*(CkDJ[Sort Code]=(TRIM(E$5)))*(CkDJ[Account Code]=(TRIM($B124))),CkDJ[Credit])))+(SUM(IF((CsDJ[Date]=$A$4)*(CsDJ[Sort Code]=(TRIM(E$5)))*(CsDJ[Account Code]=(TRIM($B124))),CsDJ[Credit])))+(SUM(IF((CRDJ[Date]=$A$4)*(CRDJ[Sort Code]=(TRIM(E$5)))*(CRDJ[Account Code]=(TRIM($B124))),CRDJ[Credit])))+(SUM(IF((GJ[Date]=$A$4)*(GJ[Sort Code]=(TRIM(E$5)))*(GJ[Account Code]=(TRIM($B124))),GJ[Credit]))))</f>
        <v>0</v>
      </c>
      <c r="E124" s="467">
        <f t="shared" si="3"/>
        <v>0</v>
      </c>
    </row>
    <row r="125" spans="1:5">
      <c r="A125" s="476" t="s">
        <v>318</v>
      </c>
      <c r="B125" s="339" t="s">
        <v>274</v>
      </c>
      <c r="C125" s="466">
        <f t="array" ref="C125">((SUM(IF((CkDJ[Sort Code]=(TRIM(E$5)))*(CkDJ[Account Code]=(TRIM($B125)))*(CkDJ[Date]&lt;=$C$8),CkDJ[Debit])))+(SUM(IF((CsDJ[Sort Code]=(TRIM(E$5)))*(CsDJ[Account Code]=(TRIM($B125)))*(CsDJ[Date]&lt;=$C$8),CsDJ[Debit])))+(SUM(IF((CRDJ[Sort Code]=(TRIM(E$5)))*(CRDJ[Account Code]=(TRIM($B125)))*(CRDJ[Date]&lt;=$C$8),CRDJ[Debit])))+(SUM(IF((GJ[Sort Code]=(TRIM(E$5)))*(GJ[Account Code]=(TRIM($B125)))*(GJ[Date]&lt;=$C$8),GJ[Debit]))))-((SUM(IF((CkDJ[Sort Code]=(TRIM(E$5)))*(CkDJ[Account Code]=(TRIM($B125)))*(CkDJ[Date]&lt;=$C$8),CkDJ[Credit])))+(SUM(IF((CsDJ[Sort Code]=(TRIM(E$5)))*(CsDJ[Account Code]=(TRIM($B125)))*(CsDJ[Date]&lt;=$C$8),CsDJ[Credit])))+(SUM(IF((CRDJ[Sort Code]=(TRIM(E$5)))*(CRDJ[Account Code]=(TRIM($B125)))*(CRDJ[Date]&lt;=$C$8),CRDJ[Credit])))+(SUM(IF((GJ[Sort Code]=(TRIM(E$5)))*(GJ[Account Code]=(TRIM($B125)))*(GJ[Date]&lt;=$C$8),GJ[Credit]))))</f>
        <v>0</v>
      </c>
      <c r="D125" s="466">
        <f t="array" ref="D125">((SUM(IF((CkDJ[Date]=$A$4)*(CkDJ[Sort Code]=(TRIM(E$5)))*(CkDJ[Account Code]=(TRIM($B125))),CkDJ[Debit])))+(SUM(IF((CsDJ[Date]=$A$4)*(CsDJ[Sort Code]=(TRIM(E$5)))*(CsDJ[Account Code]=(TRIM($B125))),CsDJ[Debit])))+(SUM(IF((CRDJ[Date]=$A$4)*(CRDJ[Sort Code]=(TRIM(E$5)))*(CRDJ[Account Code]=(TRIM($B125))),CRDJ[Debit])))+(SUM(IF((GJ[Date]=$A$4)*(GJ[Sort Code]=(TRIM(E$5)))*(GJ[Account Code]=(TRIM($B125))),GJ[Debit]))))-((SUM(IF((CkDJ[Date]=$A$4)*(CkDJ[Sort Code]=(TRIM(E$5)))*(CkDJ[Account Code]=(TRIM($B125))),CkDJ[Credit])))+(SUM(IF((CsDJ[Date]=$A$4)*(CsDJ[Sort Code]=(TRIM(E$5)))*(CsDJ[Account Code]=(TRIM($B125))),CsDJ[Credit])))+(SUM(IF((CRDJ[Date]=$A$4)*(CRDJ[Sort Code]=(TRIM(E$5)))*(CRDJ[Account Code]=(TRIM($B125))),CRDJ[Credit])))+(SUM(IF((GJ[Date]=$A$4)*(GJ[Sort Code]=(TRIM(E$5)))*(GJ[Account Code]=(TRIM($B125))),GJ[Credit]))))</f>
        <v>0</v>
      </c>
      <c r="E125" s="467">
        <f t="shared" si="3"/>
        <v>0</v>
      </c>
    </row>
    <row r="126" spans="1:5">
      <c r="A126" s="476" t="s">
        <v>796</v>
      </c>
      <c r="B126" s="339" t="s">
        <v>331</v>
      </c>
      <c r="C126" s="466">
        <f t="array" ref="C126">((SUM(IF((CkDJ[Sort Code]=(TRIM(E$5)))*(CkDJ[Account Code]=(TRIM($B126)))*(CkDJ[Date]&lt;=$C$8),CkDJ[Debit])))+(SUM(IF((CsDJ[Sort Code]=(TRIM(E$5)))*(CsDJ[Account Code]=(TRIM($B126)))*(CsDJ[Date]&lt;=$C$8),CsDJ[Debit])))+(SUM(IF((CRDJ[Sort Code]=(TRIM(E$5)))*(CRDJ[Account Code]=(TRIM($B126)))*(CRDJ[Date]&lt;=$C$8),CRDJ[Debit])))+(SUM(IF((GJ[Sort Code]=(TRIM(E$5)))*(GJ[Account Code]=(TRIM($B126)))*(GJ[Date]&lt;=$C$8),GJ[Debit]))))-((SUM(IF((CkDJ[Sort Code]=(TRIM(E$5)))*(CkDJ[Account Code]=(TRIM($B126)))*(CkDJ[Date]&lt;=$C$8),CkDJ[Credit])))+(SUM(IF((CsDJ[Sort Code]=(TRIM(E$5)))*(CsDJ[Account Code]=(TRIM($B126)))*(CsDJ[Date]&lt;=$C$8),CsDJ[Credit])))+(SUM(IF((CRDJ[Sort Code]=(TRIM(E$5)))*(CRDJ[Account Code]=(TRIM($B126)))*(CRDJ[Date]&lt;=$C$8),CRDJ[Credit])))+(SUM(IF((GJ[Sort Code]=(TRIM(E$5)))*(GJ[Account Code]=(TRIM($B126)))*(GJ[Date]&lt;=$C$8),GJ[Credit]))))</f>
        <v>0</v>
      </c>
      <c r="D126" s="466">
        <f t="array" ref="D126">((SUM(IF((CkDJ[Date]=$A$4)*(CkDJ[Sort Code]=(TRIM(E$5)))*(CkDJ[Account Code]=(TRIM($B126))),CkDJ[Debit])))+(SUM(IF((CsDJ[Date]=$A$4)*(CsDJ[Sort Code]=(TRIM(E$5)))*(CsDJ[Account Code]=(TRIM($B126))),CsDJ[Debit])))+(SUM(IF((CRDJ[Date]=$A$4)*(CRDJ[Sort Code]=(TRIM(E$5)))*(CRDJ[Account Code]=(TRIM($B126))),CRDJ[Debit])))+(SUM(IF((GJ[Date]=$A$4)*(GJ[Sort Code]=(TRIM(E$5)))*(GJ[Account Code]=(TRIM($B126))),GJ[Debit]))))-((SUM(IF((CkDJ[Date]=$A$4)*(CkDJ[Sort Code]=(TRIM(E$5)))*(CkDJ[Account Code]=(TRIM($B126))),CkDJ[Credit])))+(SUM(IF((CsDJ[Date]=$A$4)*(CsDJ[Sort Code]=(TRIM(E$5)))*(CsDJ[Account Code]=(TRIM($B126))),CsDJ[Credit])))+(SUM(IF((CRDJ[Date]=$A$4)*(CRDJ[Sort Code]=(TRIM(E$5)))*(CRDJ[Account Code]=(TRIM($B126))),CRDJ[Credit])))+(SUM(IF((GJ[Date]=$A$4)*(GJ[Sort Code]=(TRIM(E$5)))*(GJ[Account Code]=(TRIM($B126))),GJ[Credit]))))</f>
        <v>0</v>
      </c>
      <c r="E126" s="467">
        <f>C126+D126</f>
        <v>0</v>
      </c>
    </row>
    <row r="127" spans="1:5">
      <c r="A127" s="476" t="s">
        <v>1028</v>
      </c>
      <c r="B127" s="339" t="s">
        <v>332</v>
      </c>
      <c r="C127" s="466">
        <f t="array" ref="C127">((SUM(IF((CkDJ[Sort Code]=(TRIM(E$5)))*(CkDJ[Account Code]=(TRIM($B127)))*(CkDJ[Date]&lt;=$C$8),CkDJ[Debit])))+(SUM(IF((CsDJ[Sort Code]=(TRIM(E$5)))*(CsDJ[Account Code]=(TRIM($B127)))*(CsDJ[Date]&lt;=$C$8),CsDJ[Debit])))+(SUM(IF((CRDJ[Sort Code]=(TRIM(E$5)))*(CRDJ[Account Code]=(TRIM($B127)))*(CRDJ[Date]&lt;=$C$8),CRDJ[Debit])))+(SUM(IF((GJ[Sort Code]=(TRIM(E$5)))*(GJ[Account Code]=(TRIM($B127)))*(GJ[Date]&lt;=$C$8),GJ[Debit]))))-((SUM(IF((CkDJ[Sort Code]=(TRIM(E$5)))*(CkDJ[Account Code]=(TRIM($B127)))*(CkDJ[Date]&lt;=$C$8),CkDJ[Credit])))+(SUM(IF((CsDJ[Sort Code]=(TRIM(E$5)))*(CsDJ[Account Code]=(TRIM($B127)))*(CsDJ[Date]&lt;=$C$8),CsDJ[Credit])))+(SUM(IF((CRDJ[Sort Code]=(TRIM(E$5)))*(CRDJ[Account Code]=(TRIM($B127)))*(CRDJ[Date]&lt;=$C$8),CRDJ[Credit])))+(SUM(IF((GJ[Sort Code]=(TRIM(E$5)))*(GJ[Account Code]=(TRIM($B127)))*(GJ[Date]&lt;=$C$8),GJ[Credit]))))</f>
        <v>0</v>
      </c>
      <c r="D127" s="466">
        <f t="array" ref="D127">((SUM(IF((CkDJ[Date]=$A$4)*(CkDJ[Sort Code]=(TRIM(E$5)))*(CkDJ[Account Code]=(TRIM($B127))),CkDJ[Debit])))+(SUM(IF((CsDJ[Date]=$A$4)*(CsDJ[Sort Code]=(TRIM(E$5)))*(CsDJ[Account Code]=(TRIM($B127))),CsDJ[Debit])))+(SUM(IF((CRDJ[Date]=$A$4)*(CRDJ[Sort Code]=(TRIM(E$5)))*(CRDJ[Account Code]=(TRIM($B127))),CRDJ[Debit])))+(SUM(IF((GJ[Date]=$A$4)*(GJ[Sort Code]=(TRIM(E$5)))*(GJ[Account Code]=(TRIM($B127))),GJ[Debit]))))-((SUM(IF((CkDJ[Date]=$A$4)*(CkDJ[Sort Code]=(TRIM(E$5)))*(CkDJ[Account Code]=(TRIM($B127))),CkDJ[Credit])))+(SUM(IF((CsDJ[Date]=$A$4)*(CsDJ[Sort Code]=(TRIM(E$5)))*(CsDJ[Account Code]=(TRIM($B127))),CsDJ[Credit])))+(SUM(IF((CRDJ[Date]=$A$4)*(CRDJ[Sort Code]=(TRIM(E$5)))*(CRDJ[Account Code]=(TRIM($B127))),CRDJ[Credit])))+(SUM(IF((GJ[Date]=$A$4)*(GJ[Sort Code]=(TRIM(E$5)))*(GJ[Account Code]=(TRIM($B127))),GJ[Credit]))))</f>
        <v>0</v>
      </c>
      <c r="E127" s="467">
        <f t="shared" si="3"/>
        <v>0</v>
      </c>
    </row>
    <row r="128" spans="1:5">
      <c r="A128" s="476" t="s">
        <v>343</v>
      </c>
      <c r="B128" s="339" t="s">
        <v>334</v>
      </c>
      <c r="C128" s="466">
        <f t="array" ref="C128">((SUM(IF((CkDJ[Sort Code]=(TRIM(E$5)))*(CkDJ[Account Code]=(TRIM($B128)))*(CkDJ[Date]&lt;=$C$8),CkDJ[Debit])))+(SUM(IF((CsDJ[Sort Code]=(TRIM(E$5)))*(CsDJ[Account Code]=(TRIM($B128)))*(CsDJ[Date]&lt;=$C$8),CsDJ[Debit])))+(SUM(IF((CRDJ[Sort Code]=(TRIM(E$5)))*(CRDJ[Account Code]=(TRIM($B128)))*(CRDJ[Date]&lt;=$C$8),CRDJ[Debit])))+(SUM(IF((GJ[Sort Code]=(TRIM(E$5)))*(GJ[Account Code]=(TRIM($B128)))*(GJ[Date]&lt;=$C$8),GJ[Debit]))))-((SUM(IF((CkDJ[Sort Code]=(TRIM(E$5)))*(CkDJ[Account Code]=(TRIM($B128)))*(CkDJ[Date]&lt;=$C$8),CkDJ[Credit])))+(SUM(IF((CsDJ[Sort Code]=(TRIM(E$5)))*(CsDJ[Account Code]=(TRIM($B128)))*(CsDJ[Date]&lt;=$C$8),CsDJ[Credit])))+(SUM(IF((CRDJ[Sort Code]=(TRIM(E$5)))*(CRDJ[Account Code]=(TRIM($B128)))*(CRDJ[Date]&lt;=$C$8),CRDJ[Credit])))+(SUM(IF((GJ[Sort Code]=(TRIM(E$5)))*(GJ[Account Code]=(TRIM($B128)))*(GJ[Date]&lt;=$C$8),GJ[Credit]))))</f>
        <v>0</v>
      </c>
      <c r="D128" s="466">
        <f t="array" ref="D128">((SUM(IF((CkDJ[Date]=$A$4)*(CkDJ[Sort Code]=(TRIM(E$5)))*(CkDJ[Account Code]=(TRIM($B128))),CkDJ[Debit])))+(SUM(IF((CsDJ[Date]=$A$4)*(CsDJ[Sort Code]=(TRIM(E$5)))*(CsDJ[Account Code]=(TRIM($B128))),CsDJ[Debit])))+(SUM(IF((CRDJ[Date]=$A$4)*(CRDJ[Sort Code]=(TRIM(E$5)))*(CRDJ[Account Code]=(TRIM($B128))),CRDJ[Debit])))+(SUM(IF((GJ[Date]=$A$4)*(GJ[Sort Code]=(TRIM(E$5)))*(GJ[Account Code]=(TRIM($B128))),GJ[Debit]))))-((SUM(IF((CkDJ[Date]=$A$4)*(CkDJ[Sort Code]=(TRIM(E$5)))*(CkDJ[Account Code]=(TRIM($B128))),CkDJ[Credit])))+(SUM(IF((CsDJ[Date]=$A$4)*(CsDJ[Sort Code]=(TRIM(E$5)))*(CsDJ[Account Code]=(TRIM($B128))),CsDJ[Credit])))+(SUM(IF((CRDJ[Date]=$A$4)*(CRDJ[Sort Code]=(TRIM(E$5)))*(CRDJ[Account Code]=(TRIM($B128))),CRDJ[Credit])))+(SUM(IF((GJ[Date]=$A$4)*(GJ[Sort Code]=(TRIM(E$5)))*(GJ[Account Code]=(TRIM($B128))),GJ[Credit]))))</f>
        <v>0</v>
      </c>
      <c r="E128" s="467">
        <f t="shared" si="3"/>
        <v>0</v>
      </c>
    </row>
    <row r="129" spans="1:5">
      <c r="A129" s="476" t="s">
        <v>344</v>
      </c>
      <c r="B129" s="339" t="s">
        <v>335</v>
      </c>
      <c r="C129" s="466">
        <f t="array" ref="C129">((SUM(IF((CkDJ[Sort Code]=(TRIM(E$5)))*(CkDJ[Account Code]=(TRIM($B129)))*(CkDJ[Date]&lt;=$C$8),CkDJ[Debit])))+(SUM(IF((CsDJ[Sort Code]=(TRIM(E$5)))*(CsDJ[Account Code]=(TRIM($B129)))*(CsDJ[Date]&lt;=$C$8),CsDJ[Debit])))+(SUM(IF((CRDJ[Sort Code]=(TRIM(E$5)))*(CRDJ[Account Code]=(TRIM($B129)))*(CRDJ[Date]&lt;=$C$8),CRDJ[Debit])))+(SUM(IF((GJ[Sort Code]=(TRIM(E$5)))*(GJ[Account Code]=(TRIM($B129)))*(GJ[Date]&lt;=$C$8),GJ[Debit]))))-((SUM(IF((CkDJ[Sort Code]=(TRIM(E$5)))*(CkDJ[Account Code]=(TRIM($B129)))*(CkDJ[Date]&lt;=$C$8),CkDJ[Credit])))+(SUM(IF((CsDJ[Sort Code]=(TRIM(E$5)))*(CsDJ[Account Code]=(TRIM($B129)))*(CsDJ[Date]&lt;=$C$8),CsDJ[Credit])))+(SUM(IF((CRDJ[Sort Code]=(TRIM(E$5)))*(CRDJ[Account Code]=(TRIM($B129)))*(CRDJ[Date]&lt;=$C$8),CRDJ[Credit])))+(SUM(IF((GJ[Sort Code]=(TRIM(E$5)))*(GJ[Account Code]=(TRIM($B129)))*(GJ[Date]&lt;=$C$8),GJ[Credit]))))</f>
        <v>0</v>
      </c>
      <c r="D129" s="466">
        <f t="array" ref="D129">((SUM(IF((CkDJ[Date]=$A$4)*(CkDJ[Sort Code]=(TRIM(E$5)))*(CkDJ[Account Code]=(TRIM($B129))),CkDJ[Debit])))+(SUM(IF((CsDJ[Date]=$A$4)*(CsDJ[Sort Code]=(TRIM(E$5)))*(CsDJ[Account Code]=(TRIM($B129))),CsDJ[Debit])))+(SUM(IF((CRDJ[Date]=$A$4)*(CRDJ[Sort Code]=(TRIM(E$5)))*(CRDJ[Account Code]=(TRIM($B129))),CRDJ[Debit])))+(SUM(IF((GJ[Date]=$A$4)*(GJ[Sort Code]=(TRIM(E$5)))*(GJ[Account Code]=(TRIM($B129))),GJ[Debit]))))-((SUM(IF((CkDJ[Date]=$A$4)*(CkDJ[Sort Code]=(TRIM(E$5)))*(CkDJ[Account Code]=(TRIM($B129))),CkDJ[Credit])))+(SUM(IF((CsDJ[Date]=$A$4)*(CsDJ[Sort Code]=(TRIM(E$5)))*(CsDJ[Account Code]=(TRIM($B129))),CsDJ[Credit])))+(SUM(IF((CRDJ[Date]=$A$4)*(CRDJ[Sort Code]=(TRIM(E$5)))*(CRDJ[Account Code]=(TRIM($B129))),CRDJ[Credit])))+(SUM(IF((GJ[Date]=$A$4)*(GJ[Sort Code]=(TRIM(E$5)))*(GJ[Account Code]=(TRIM($B129))),GJ[Credit]))))</f>
        <v>0</v>
      </c>
      <c r="E129" s="467">
        <f t="shared" si="3"/>
        <v>0</v>
      </c>
    </row>
    <row r="130" spans="1:5">
      <c r="A130" s="476" t="s">
        <v>368</v>
      </c>
      <c r="B130" s="339" t="s">
        <v>405</v>
      </c>
      <c r="C130" s="466">
        <f t="array" ref="C130">((SUM(IF((CkDJ[Sort Code]=(TRIM(E$5)))*(CkDJ[Account Code]=(TRIM($B130)))*(CkDJ[Date]&lt;=$C$8),CkDJ[Debit])))+(SUM(IF((CsDJ[Sort Code]=(TRIM(E$5)))*(CsDJ[Account Code]=(TRIM($B130)))*(CsDJ[Date]&lt;=$C$8),CsDJ[Debit])))+(SUM(IF((CRDJ[Sort Code]=(TRIM(E$5)))*(CRDJ[Account Code]=(TRIM($B130)))*(CRDJ[Date]&lt;=$C$8),CRDJ[Debit])))+(SUM(IF((GJ[Sort Code]=(TRIM(E$5)))*(GJ[Account Code]=(TRIM($B130)))*(GJ[Date]&lt;=$C$8),GJ[Debit]))))-((SUM(IF((CkDJ[Sort Code]=(TRIM(E$5)))*(CkDJ[Account Code]=(TRIM($B130)))*(CkDJ[Date]&lt;=$C$8),CkDJ[Credit])))+(SUM(IF((CsDJ[Sort Code]=(TRIM(E$5)))*(CsDJ[Account Code]=(TRIM($B130)))*(CsDJ[Date]&lt;=$C$8),CsDJ[Credit])))+(SUM(IF((CRDJ[Sort Code]=(TRIM(E$5)))*(CRDJ[Account Code]=(TRIM($B130)))*(CRDJ[Date]&lt;=$C$8),CRDJ[Credit])))+(SUM(IF((GJ[Sort Code]=(TRIM(E$5)))*(GJ[Account Code]=(TRIM($B130)))*(GJ[Date]&lt;=$C$8),GJ[Credit]))))</f>
        <v>0</v>
      </c>
      <c r="D130" s="466">
        <f t="array" ref="D130">((SUM(IF((CkDJ[Date]=$A$4)*(CkDJ[Sort Code]=(TRIM(E$5)))*(CkDJ[Account Code]=(TRIM($B130))),CkDJ[Debit])))+(SUM(IF((CsDJ[Date]=$A$4)*(CsDJ[Sort Code]=(TRIM(E$5)))*(CsDJ[Account Code]=(TRIM($B130))),CsDJ[Debit])))+(SUM(IF((CRDJ[Date]=$A$4)*(CRDJ[Sort Code]=(TRIM(E$5)))*(CRDJ[Account Code]=(TRIM($B130))),CRDJ[Debit])))+(SUM(IF((GJ[Date]=$A$4)*(GJ[Sort Code]=(TRIM(E$5)))*(GJ[Account Code]=(TRIM($B130))),GJ[Debit]))))-((SUM(IF((CkDJ[Date]=$A$4)*(CkDJ[Sort Code]=(TRIM(E$5)))*(CkDJ[Account Code]=(TRIM($B130))),CkDJ[Credit])))+(SUM(IF((CsDJ[Date]=$A$4)*(CsDJ[Sort Code]=(TRIM(E$5)))*(CsDJ[Account Code]=(TRIM($B130))),CsDJ[Credit])))+(SUM(IF((CRDJ[Date]=$A$4)*(CRDJ[Sort Code]=(TRIM(E$5)))*(CRDJ[Account Code]=(TRIM($B130))),CRDJ[Credit])))+(SUM(IF((GJ[Date]=$A$4)*(GJ[Sort Code]=(TRIM(E$5)))*(GJ[Account Code]=(TRIM($B130))),GJ[Credit]))))</f>
        <v>0</v>
      </c>
      <c r="E130" s="467">
        <f t="shared" si="3"/>
        <v>0</v>
      </c>
    </row>
    <row r="131" spans="1:5">
      <c r="A131" s="476" t="s">
        <v>345</v>
      </c>
      <c r="B131" s="339" t="s">
        <v>336</v>
      </c>
      <c r="C131" s="466">
        <f t="array" ref="C131">((SUM(IF((CkDJ[Sort Code]=(TRIM(E$5)))*(CkDJ[Account Code]=(TRIM($B131)))*(CkDJ[Date]&lt;=$C$8),CkDJ[Debit])))+(SUM(IF((CsDJ[Sort Code]=(TRIM(E$5)))*(CsDJ[Account Code]=(TRIM($B131)))*(CsDJ[Date]&lt;=$C$8),CsDJ[Debit])))+(SUM(IF((CRDJ[Sort Code]=(TRIM(E$5)))*(CRDJ[Account Code]=(TRIM($B131)))*(CRDJ[Date]&lt;=$C$8),CRDJ[Debit])))+(SUM(IF((GJ[Sort Code]=(TRIM(E$5)))*(GJ[Account Code]=(TRIM($B131)))*(GJ[Date]&lt;=$C$8),GJ[Debit]))))-((SUM(IF((CkDJ[Sort Code]=(TRIM(E$5)))*(CkDJ[Account Code]=(TRIM($B131)))*(CkDJ[Date]&lt;=$C$8),CkDJ[Credit])))+(SUM(IF((CsDJ[Sort Code]=(TRIM(E$5)))*(CsDJ[Account Code]=(TRIM($B131)))*(CsDJ[Date]&lt;=$C$8),CsDJ[Credit])))+(SUM(IF((CRDJ[Sort Code]=(TRIM(E$5)))*(CRDJ[Account Code]=(TRIM($B131)))*(CRDJ[Date]&lt;=$C$8),CRDJ[Credit])))+(SUM(IF((GJ[Sort Code]=(TRIM(E$5)))*(GJ[Account Code]=(TRIM($B131)))*(GJ[Date]&lt;=$C$8),GJ[Credit]))))</f>
        <v>0</v>
      </c>
      <c r="D131" s="466">
        <f t="array" ref="D131">((SUM(IF((CkDJ[Date]=$A$4)*(CkDJ[Sort Code]=(TRIM(E$5)))*(CkDJ[Account Code]=(TRIM($B131))),CkDJ[Debit])))+(SUM(IF((CsDJ[Date]=$A$4)*(CsDJ[Sort Code]=(TRIM(E$5)))*(CsDJ[Account Code]=(TRIM($B131))),CsDJ[Debit])))+(SUM(IF((CRDJ[Date]=$A$4)*(CRDJ[Sort Code]=(TRIM(E$5)))*(CRDJ[Account Code]=(TRIM($B131))),CRDJ[Debit])))+(SUM(IF((GJ[Date]=$A$4)*(GJ[Sort Code]=(TRIM(E$5)))*(GJ[Account Code]=(TRIM($B131))),GJ[Debit]))))-((SUM(IF((CkDJ[Date]=$A$4)*(CkDJ[Sort Code]=(TRIM(E$5)))*(CkDJ[Account Code]=(TRIM($B131))),CkDJ[Credit])))+(SUM(IF((CsDJ[Date]=$A$4)*(CsDJ[Sort Code]=(TRIM(E$5)))*(CsDJ[Account Code]=(TRIM($B131))),CsDJ[Credit])))+(SUM(IF((CRDJ[Date]=$A$4)*(CRDJ[Sort Code]=(TRIM(E$5)))*(CRDJ[Account Code]=(TRIM($B131))),CRDJ[Credit])))+(SUM(IF((GJ[Date]=$A$4)*(GJ[Sort Code]=(TRIM(E$5)))*(GJ[Account Code]=(TRIM($B131))),GJ[Credit]))))</f>
        <v>0</v>
      </c>
      <c r="E131" s="467">
        <f t="shared" si="3"/>
        <v>0</v>
      </c>
    </row>
    <row r="132" spans="1:5">
      <c r="A132" s="476" t="s">
        <v>346</v>
      </c>
      <c r="B132" s="339" t="s">
        <v>337</v>
      </c>
      <c r="C132" s="466">
        <f t="array" ref="C132">((SUM(IF((CkDJ[Sort Code]=(TRIM(E$5)))*(CkDJ[Account Code]=(TRIM($B132)))*(CkDJ[Date]&lt;=$C$8),CkDJ[Debit])))+(SUM(IF((CsDJ[Sort Code]=(TRIM(E$5)))*(CsDJ[Account Code]=(TRIM($B132)))*(CsDJ[Date]&lt;=$C$8),CsDJ[Debit])))+(SUM(IF((CRDJ[Sort Code]=(TRIM(E$5)))*(CRDJ[Account Code]=(TRIM($B132)))*(CRDJ[Date]&lt;=$C$8),CRDJ[Debit])))+(SUM(IF((GJ[Sort Code]=(TRIM(E$5)))*(GJ[Account Code]=(TRIM($B132)))*(GJ[Date]&lt;=$C$8),GJ[Debit]))))-((SUM(IF((CkDJ[Sort Code]=(TRIM(E$5)))*(CkDJ[Account Code]=(TRIM($B132)))*(CkDJ[Date]&lt;=$C$8),CkDJ[Credit])))+(SUM(IF((CsDJ[Sort Code]=(TRIM(E$5)))*(CsDJ[Account Code]=(TRIM($B132)))*(CsDJ[Date]&lt;=$C$8),CsDJ[Credit])))+(SUM(IF((CRDJ[Sort Code]=(TRIM(E$5)))*(CRDJ[Account Code]=(TRIM($B132)))*(CRDJ[Date]&lt;=$C$8),CRDJ[Credit])))+(SUM(IF((GJ[Sort Code]=(TRIM(E$5)))*(GJ[Account Code]=(TRIM($B132)))*(GJ[Date]&lt;=$C$8),GJ[Credit]))))</f>
        <v>0</v>
      </c>
      <c r="D132" s="466">
        <f t="array" ref="D132">((SUM(IF((CkDJ[Date]=$A$4)*(CkDJ[Sort Code]=(TRIM(E$5)))*(CkDJ[Account Code]=(TRIM($B132))),CkDJ[Debit])))+(SUM(IF((CsDJ[Date]=$A$4)*(CsDJ[Sort Code]=(TRIM(E$5)))*(CsDJ[Account Code]=(TRIM($B132))),CsDJ[Debit])))+(SUM(IF((CRDJ[Date]=$A$4)*(CRDJ[Sort Code]=(TRIM(E$5)))*(CRDJ[Account Code]=(TRIM($B132))),CRDJ[Debit])))+(SUM(IF((GJ[Date]=$A$4)*(GJ[Sort Code]=(TRIM(E$5)))*(GJ[Account Code]=(TRIM($B132))),GJ[Debit]))))-((SUM(IF((CkDJ[Date]=$A$4)*(CkDJ[Sort Code]=(TRIM(E$5)))*(CkDJ[Account Code]=(TRIM($B132))),CkDJ[Credit])))+(SUM(IF((CsDJ[Date]=$A$4)*(CsDJ[Sort Code]=(TRIM(E$5)))*(CsDJ[Account Code]=(TRIM($B132))),CsDJ[Credit])))+(SUM(IF((CRDJ[Date]=$A$4)*(CRDJ[Sort Code]=(TRIM(E$5)))*(CRDJ[Account Code]=(TRIM($B132))),CRDJ[Credit])))+(SUM(IF((GJ[Date]=$A$4)*(GJ[Sort Code]=(TRIM(E$5)))*(GJ[Account Code]=(TRIM($B132))),GJ[Credit]))))</f>
        <v>0</v>
      </c>
      <c r="E132" s="467">
        <f t="shared" si="3"/>
        <v>0</v>
      </c>
    </row>
    <row r="133" spans="1:5">
      <c r="A133" s="476" t="s">
        <v>1030</v>
      </c>
      <c r="B133" s="339" t="s">
        <v>986</v>
      </c>
      <c r="C133" s="466">
        <f t="array" ref="C133">((SUM(IF((CkDJ[Sort Code]=(TRIM(E$5)))*(CkDJ[Account Code]=(TRIM($B133)))*(CkDJ[Date]&lt;=$C$8),CkDJ[Debit])))+(SUM(IF((CsDJ[Sort Code]=(TRIM(E$5)))*(CsDJ[Account Code]=(TRIM($B133)))*(CsDJ[Date]&lt;=$C$8),CsDJ[Debit])))+(SUM(IF((CRDJ[Sort Code]=(TRIM(E$5)))*(CRDJ[Account Code]=(TRIM($B133)))*(CRDJ[Date]&lt;=$C$8),CRDJ[Debit])))+(SUM(IF((GJ[Sort Code]=(TRIM(E$5)))*(GJ[Account Code]=(TRIM($B133)))*(GJ[Date]&lt;=$C$8),GJ[Debit]))))-((SUM(IF((CkDJ[Sort Code]=(TRIM(E$5)))*(CkDJ[Account Code]=(TRIM($B133)))*(CkDJ[Date]&lt;=$C$8),CkDJ[Credit])))+(SUM(IF((CsDJ[Sort Code]=(TRIM(E$5)))*(CsDJ[Account Code]=(TRIM($B133)))*(CsDJ[Date]&lt;=$C$8),CsDJ[Credit])))+(SUM(IF((CRDJ[Sort Code]=(TRIM(E$5)))*(CRDJ[Account Code]=(TRIM($B133)))*(CRDJ[Date]&lt;=$C$8),CRDJ[Credit])))+(SUM(IF((GJ[Sort Code]=(TRIM(E$5)))*(GJ[Account Code]=(TRIM($B133)))*(GJ[Date]&lt;=$C$8),GJ[Credit]))))</f>
        <v>0</v>
      </c>
      <c r="D133" s="466">
        <f t="array" ref="D133">((SUM(IF((CkDJ[Date]=$A$4)*(CkDJ[Sort Code]=(TRIM(E$5)))*(CkDJ[Account Code]=(TRIM($B133))),CkDJ[Debit])))+(SUM(IF((CsDJ[Date]=$A$4)*(CsDJ[Sort Code]=(TRIM(E$5)))*(CsDJ[Account Code]=(TRIM($B133))),CsDJ[Debit])))+(SUM(IF((CRDJ[Date]=$A$4)*(CRDJ[Sort Code]=(TRIM(E$5)))*(CRDJ[Account Code]=(TRIM($B133))),CRDJ[Debit])))+(SUM(IF((GJ[Date]=$A$4)*(GJ[Sort Code]=(TRIM(E$5)))*(GJ[Account Code]=(TRIM($B133))),GJ[Debit]))))-((SUM(IF((CkDJ[Date]=$A$4)*(CkDJ[Sort Code]=(TRIM(E$5)))*(CkDJ[Account Code]=(TRIM($B133))),CkDJ[Credit])))+(SUM(IF((CsDJ[Date]=$A$4)*(CsDJ[Sort Code]=(TRIM(E$5)))*(CsDJ[Account Code]=(TRIM($B133))),CsDJ[Credit])))+(SUM(IF((CRDJ[Date]=$A$4)*(CRDJ[Sort Code]=(TRIM(E$5)))*(CRDJ[Account Code]=(TRIM($B133))),CRDJ[Credit])))+(SUM(IF((GJ[Date]=$A$4)*(GJ[Sort Code]=(TRIM(E$5)))*(GJ[Account Code]=(TRIM($B133))),GJ[Credit]))))</f>
        <v>0</v>
      </c>
      <c r="E133" s="467">
        <f t="shared" si="3"/>
        <v>0</v>
      </c>
    </row>
    <row r="134" spans="1:5">
      <c r="A134" s="476" t="s">
        <v>1029</v>
      </c>
      <c r="B134" s="339" t="s">
        <v>987</v>
      </c>
      <c r="C134" s="466">
        <f t="array" ref="C134">((SUM(IF((CkDJ[Sort Code]=(TRIM(E$5)))*(CkDJ[Account Code]=(TRIM($B134)))*(CkDJ[Date]&lt;=$C$8),CkDJ[Debit])))+(SUM(IF((CsDJ[Sort Code]=(TRIM(E$5)))*(CsDJ[Account Code]=(TRIM($B134)))*(CsDJ[Date]&lt;=$C$8),CsDJ[Debit])))+(SUM(IF((CRDJ[Sort Code]=(TRIM(E$5)))*(CRDJ[Account Code]=(TRIM($B134)))*(CRDJ[Date]&lt;=$C$8),CRDJ[Debit])))+(SUM(IF((GJ[Sort Code]=(TRIM(E$5)))*(GJ[Account Code]=(TRIM($B134)))*(GJ[Date]&lt;=$C$8),GJ[Debit]))))-((SUM(IF((CkDJ[Sort Code]=(TRIM(E$5)))*(CkDJ[Account Code]=(TRIM($B134)))*(CkDJ[Date]&lt;=$C$8),CkDJ[Credit])))+(SUM(IF((CsDJ[Sort Code]=(TRIM(E$5)))*(CsDJ[Account Code]=(TRIM($B134)))*(CsDJ[Date]&lt;=$C$8),CsDJ[Credit])))+(SUM(IF((CRDJ[Sort Code]=(TRIM(E$5)))*(CRDJ[Account Code]=(TRIM($B134)))*(CRDJ[Date]&lt;=$C$8),CRDJ[Credit])))+(SUM(IF((GJ[Sort Code]=(TRIM(E$5)))*(GJ[Account Code]=(TRIM($B134)))*(GJ[Date]&lt;=$C$8),GJ[Credit]))))</f>
        <v>0</v>
      </c>
      <c r="D134" s="466">
        <f t="array" ref="D134">((SUM(IF((CkDJ[Date]=$A$4)*(CkDJ[Sort Code]=(TRIM(E$5)))*(CkDJ[Account Code]=(TRIM($B134))),CkDJ[Debit])))+(SUM(IF((CsDJ[Date]=$A$4)*(CsDJ[Sort Code]=(TRIM(E$5)))*(CsDJ[Account Code]=(TRIM($B134))),CsDJ[Debit])))+(SUM(IF((CRDJ[Date]=$A$4)*(CRDJ[Sort Code]=(TRIM(E$5)))*(CRDJ[Account Code]=(TRIM($B134))),CRDJ[Debit])))+(SUM(IF((GJ[Date]=$A$4)*(GJ[Sort Code]=(TRIM(E$5)))*(GJ[Account Code]=(TRIM($B134))),GJ[Debit]))))-((SUM(IF((CkDJ[Date]=$A$4)*(CkDJ[Sort Code]=(TRIM(E$5)))*(CkDJ[Account Code]=(TRIM($B134))),CkDJ[Credit])))+(SUM(IF((CsDJ[Date]=$A$4)*(CsDJ[Sort Code]=(TRIM(E$5)))*(CsDJ[Account Code]=(TRIM($B134))),CsDJ[Credit])))+(SUM(IF((CRDJ[Date]=$A$4)*(CRDJ[Sort Code]=(TRIM(E$5)))*(CRDJ[Account Code]=(TRIM($B134))),CRDJ[Credit])))+(SUM(IF((GJ[Date]=$A$4)*(GJ[Sort Code]=(TRIM(E$5)))*(GJ[Account Code]=(TRIM($B134))),GJ[Credit]))))</f>
        <v>0</v>
      </c>
      <c r="E134" s="467">
        <f t="shared" si="3"/>
        <v>0</v>
      </c>
    </row>
    <row r="135" spans="1:5">
      <c r="A135" s="476" t="s">
        <v>990</v>
      </c>
      <c r="B135" s="339" t="s">
        <v>988</v>
      </c>
      <c r="C135" s="466">
        <f t="array" ref="C135">((SUM(IF((CkDJ[Sort Code]=(TRIM(E$5)))*(CkDJ[Account Code]=(TRIM($B135)))*(CkDJ[Date]&lt;=$C$8),CkDJ[Debit])))+(SUM(IF((CsDJ[Sort Code]=(TRIM(E$5)))*(CsDJ[Account Code]=(TRIM($B135)))*(CsDJ[Date]&lt;=$C$8),CsDJ[Debit])))+(SUM(IF((CRDJ[Sort Code]=(TRIM(E$5)))*(CRDJ[Account Code]=(TRIM($B135)))*(CRDJ[Date]&lt;=$C$8),CRDJ[Debit])))+(SUM(IF((GJ[Sort Code]=(TRIM(E$5)))*(GJ[Account Code]=(TRIM($B135)))*(GJ[Date]&lt;=$C$8),GJ[Debit]))))-((SUM(IF((CkDJ[Sort Code]=(TRIM(E$5)))*(CkDJ[Account Code]=(TRIM($B135)))*(CkDJ[Date]&lt;=$C$8),CkDJ[Credit])))+(SUM(IF((CsDJ[Sort Code]=(TRIM(E$5)))*(CsDJ[Account Code]=(TRIM($B135)))*(CsDJ[Date]&lt;=$C$8),CsDJ[Credit])))+(SUM(IF((CRDJ[Sort Code]=(TRIM(E$5)))*(CRDJ[Account Code]=(TRIM($B135)))*(CRDJ[Date]&lt;=$C$8),CRDJ[Credit])))+(SUM(IF((GJ[Sort Code]=(TRIM(E$5)))*(GJ[Account Code]=(TRIM($B135)))*(GJ[Date]&lt;=$C$8),GJ[Credit]))))</f>
        <v>0</v>
      </c>
      <c r="D135" s="466">
        <f t="array" ref="D135">((SUM(IF((CkDJ[Date]=$A$4)*(CkDJ[Sort Code]=(TRIM(E$5)))*(CkDJ[Account Code]=(TRIM($B135))),CkDJ[Debit])))+(SUM(IF((CsDJ[Date]=$A$4)*(CsDJ[Sort Code]=(TRIM(E$5)))*(CsDJ[Account Code]=(TRIM($B135))),CsDJ[Debit])))+(SUM(IF((CRDJ[Date]=$A$4)*(CRDJ[Sort Code]=(TRIM(E$5)))*(CRDJ[Account Code]=(TRIM($B135))),CRDJ[Debit])))+(SUM(IF((GJ[Date]=$A$4)*(GJ[Sort Code]=(TRIM(E$5)))*(GJ[Account Code]=(TRIM($B135))),GJ[Debit]))))-((SUM(IF((CkDJ[Date]=$A$4)*(CkDJ[Sort Code]=(TRIM(E$5)))*(CkDJ[Account Code]=(TRIM($B135))),CkDJ[Credit])))+(SUM(IF((CsDJ[Date]=$A$4)*(CsDJ[Sort Code]=(TRIM(E$5)))*(CsDJ[Account Code]=(TRIM($B135))),CsDJ[Credit])))+(SUM(IF((CRDJ[Date]=$A$4)*(CRDJ[Sort Code]=(TRIM(E$5)))*(CRDJ[Account Code]=(TRIM($B135))),CRDJ[Credit])))+(SUM(IF((GJ[Date]=$A$4)*(GJ[Sort Code]=(TRIM(E$5)))*(GJ[Account Code]=(TRIM($B135))),GJ[Credit]))))</f>
        <v>0</v>
      </c>
      <c r="E135" s="467">
        <f t="shared" si="3"/>
        <v>0</v>
      </c>
    </row>
    <row r="136" spans="1:5">
      <c r="A136" s="476" t="s">
        <v>349</v>
      </c>
      <c r="B136" s="339" t="s">
        <v>340</v>
      </c>
      <c r="C136" s="466">
        <f t="array" ref="C136">((SUM(IF((CkDJ[Sort Code]=(TRIM(E$5)))*(CkDJ[Account Code]=(TRIM($B136)))*(CkDJ[Date]&lt;=$C$8),CkDJ[Debit])))+(SUM(IF((CsDJ[Sort Code]=(TRIM(E$5)))*(CsDJ[Account Code]=(TRIM($B136)))*(CsDJ[Date]&lt;=$C$8),CsDJ[Debit])))+(SUM(IF((CRDJ[Sort Code]=(TRIM(E$5)))*(CRDJ[Account Code]=(TRIM($B136)))*(CRDJ[Date]&lt;=$C$8),CRDJ[Debit])))+(SUM(IF((GJ[Sort Code]=(TRIM(E$5)))*(GJ[Account Code]=(TRIM($B136)))*(GJ[Date]&lt;=$C$8),GJ[Debit]))))-((SUM(IF((CkDJ[Sort Code]=(TRIM(E$5)))*(CkDJ[Account Code]=(TRIM($B136)))*(CkDJ[Date]&lt;=$C$8),CkDJ[Credit])))+(SUM(IF((CsDJ[Sort Code]=(TRIM(E$5)))*(CsDJ[Account Code]=(TRIM($B136)))*(CsDJ[Date]&lt;=$C$8),CsDJ[Credit])))+(SUM(IF((CRDJ[Sort Code]=(TRIM(E$5)))*(CRDJ[Account Code]=(TRIM($B136)))*(CRDJ[Date]&lt;=$C$8),CRDJ[Credit])))+(SUM(IF((GJ[Sort Code]=(TRIM(E$5)))*(GJ[Account Code]=(TRIM($B136)))*(GJ[Date]&lt;=$C$8),GJ[Credit]))))</f>
        <v>0</v>
      </c>
      <c r="D136" s="466">
        <f t="array" ref="D136">((SUM(IF((CkDJ[Date]=$A$4)*(CkDJ[Sort Code]=(TRIM(E$5)))*(CkDJ[Account Code]=(TRIM($B136))),CkDJ[Debit])))+(SUM(IF((CsDJ[Date]=$A$4)*(CsDJ[Sort Code]=(TRIM(E$5)))*(CsDJ[Account Code]=(TRIM($B136))),CsDJ[Debit])))+(SUM(IF((CRDJ[Date]=$A$4)*(CRDJ[Sort Code]=(TRIM(E$5)))*(CRDJ[Account Code]=(TRIM($B136))),CRDJ[Debit])))+(SUM(IF((GJ[Date]=$A$4)*(GJ[Sort Code]=(TRIM(E$5)))*(GJ[Account Code]=(TRIM($B136))),GJ[Debit]))))-((SUM(IF((CkDJ[Date]=$A$4)*(CkDJ[Sort Code]=(TRIM(E$5)))*(CkDJ[Account Code]=(TRIM($B136))),CkDJ[Credit])))+(SUM(IF((CsDJ[Date]=$A$4)*(CsDJ[Sort Code]=(TRIM(E$5)))*(CsDJ[Account Code]=(TRIM($B136))),CsDJ[Credit])))+(SUM(IF((CRDJ[Date]=$A$4)*(CRDJ[Sort Code]=(TRIM(E$5)))*(CRDJ[Account Code]=(TRIM($B136))),CRDJ[Credit])))+(SUM(IF((GJ[Date]=$A$4)*(GJ[Sort Code]=(TRIM(E$5)))*(GJ[Account Code]=(TRIM($B136))),GJ[Credit]))))</f>
        <v>0</v>
      </c>
      <c r="E136" s="467">
        <f t="shared" si="3"/>
        <v>0</v>
      </c>
    </row>
    <row r="137" spans="1:5">
      <c r="A137" s="476" t="s">
        <v>342</v>
      </c>
      <c r="B137" s="339" t="s">
        <v>333</v>
      </c>
      <c r="C137" s="466">
        <f t="array" ref="C137">((SUM(IF((CkDJ[Sort Code]=(TRIM(E$5)))*(CkDJ[Account Code]=(TRIM($B137)))*(CkDJ[Date]&lt;=$C$8),CkDJ[Debit])))+(SUM(IF((CsDJ[Sort Code]=(TRIM(E$5)))*(CsDJ[Account Code]=(TRIM($B137)))*(CsDJ[Date]&lt;=$C$8),CsDJ[Debit])))+(SUM(IF((CRDJ[Sort Code]=(TRIM(E$5)))*(CRDJ[Account Code]=(TRIM($B137)))*(CRDJ[Date]&lt;=$C$8),CRDJ[Debit])))+(SUM(IF((GJ[Sort Code]=(TRIM(E$5)))*(GJ[Account Code]=(TRIM($B137)))*(GJ[Date]&lt;=$C$8),GJ[Debit]))))-((SUM(IF((CkDJ[Sort Code]=(TRIM(E$5)))*(CkDJ[Account Code]=(TRIM($B137)))*(CkDJ[Date]&lt;=$C$8),CkDJ[Credit])))+(SUM(IF((CsDJ[Sort Code]=(TRIM(E$5)))*(CsDJ[Account Code]=(TRIM($B137)))*(CsDJ[Date]&lt;=$C$8),CsDJ[Credit])))+(SUM(IF((CRDJ[Sort Code]=(TRIM(E$5)))*(CRDJ[Account Code]=(TRIM($B137)))*(CRDJ[Date]&lt;=$C$8),CRDJ[Credit])))+(SUM(IF((GJ[Sort Code]=(TRIM(E$5)))*(GJ[Account Code]=(TRIM($B137)))*(GJ[Date]&lt;=$C$8),GJ[Credit]))))</f>
        <v>0</v>
      </c>
      <c r="D137" s="466">
        <f t="array" ref="D137">((SUM(IF((CkDJ[Date]=$A$4)*(CkDJ[Sort Code]=(TRIM(E$5)))*(CkDJ[Account Code]=(TRIM($B137))),CkDJ[Debit])))+(SUM(IF((CsDJ[Date]=$A$4)*(CsDJ[Sort Code]=(TRIM(E$5)))*(CsDJ[Account Code]=(TRIM($B137))),CsDJ[Debit])))+(SUM(IF((CRDJ[Date]=$A$4)*(CRDJ[Sort Code]=(TRIM(E$5)))*(CRDJ[Account Code]=(TRIM($B137))),CRDJ[Debit])))+(SUM(IF((GJ[Date]=$A$4)*(GJ[Sort Code]=(TRIM(E$5)))*(GJ[Account Code]=(TRIM($B137))),GJ[Debit]))))-((SUM(IF((CkDJ[Date]=$A$4)*(CkDJ[Sort Code]=(TRIM(E$5)))*(CkDJ[Account Code]=(TRIM($B137))),CkDJ[Credit])))+(SUM(IF((CsDJ[Date]=$A$4)*(CsDJ[Sort Code]=(TRIM(E$5)))*(CsDJ[Account Code]=(TRIM($B137))),CsDJ[Credit])))+(SUM(IF((CRDJ[Date]=$A$4)*(CRDJ[Sort Code]=(TRIM(E$5)))*(CRDJ[Account Code]=(TRIM($B137))),CRDJ[Credit])))+(SUM(IF((GJ[Date]=$A$4)*(GJ[Sort Code]=(TRIM(E$5)))*(GJ[Account Code]=(TRIM($B137))),GJ[Credit]))))</f>
        <v>0</v>
      </c>
      <c r="E137" s="467">
        <f>C137+D137</f>
        <v>0</v>
      </c>
    </row>
    <row r="138" spans="1:5">
      <c r="A138" s="468" t="s">
        <v>804</v>
      </c>
      <c r="B138" s="469"/>
      <c r="C138" s="470">
        <f>C47+C74</f>
        <v>0</v>
      </c>
      <c r="D138" s="470">
        <f>D47+D74</f>
        <v>0</v>
      </c>
      <c r="E138" s="470">
        <f>E47+E74</f>
        <v>0</v>
      </c>
    </row>
    <row r="139" spans="1:5">
      <c r="A139" s="468" t="s">
        <v>785</v>
      </c>
      <c r="B139" s="469"/>
      <c r="C139" s="470">
        <f>C45-C138</f>
        <v>0</v>
      </c>
      <c r="D139" s="470">
        <f>D45-D138</f>
        <v>0</v>
      </c>
      <c r="E139" s="470">
        <f>E45-E138</f>
        <v>0</v>
      </c>
    </row>
    <row r="140" spans="1:5">
      <c r="A140" s="468"/>
      <c r="B140" s="469"/>
      <c r="C140" s="470"/>
      <c r="D140" s="470"/>
      <c r="E140" s="470"/>
    </row>
    <row r="141" spans="1:5">
      <c r="A141" s="468" t="s">
        <v>1168</v>
      </c>
      <c r="B141" s="469"/>
      <c r="C141" s="470">
        <v>0</v>
      </c>
      <c r="D141" s="470">
        <v>0</v>
      </c>
      <c r="E141" s="470">
        <v>0</v>
      </c>
    </row>
    <row r="142" spans="1:5">
      <c r="A142" s="468"/>
      <c r="B142" s="469"/>
      <c r="C142" s="470"/>
      <c r="D142" s="470"/>
      <c r="E142" s="470"/>
    </row>
    <row r="143" spans="1:5">
      <c r="A143" s="468" t="s">
        <v>1169</v>
      </c>
      <c r="B143" s="469"/>
      <c r="C143" s="470">
        <f>C139-C141</f>
        <v>0</v>
      </c>
      <c r="D143" s="470">
        <f>D139-D141</f>
        <v>0</v>
      </c>
      <c r="E143" s="470">
        <f>E139-E141</f>
        <v>0</v>
      </c>
    </row>
  </sheetData>
  <mergeCells count="5">
    <mergeCell ref="C6:C7"/>
    <mergeCell ref="D6:D8"/>
    <mergeCell ref="E6:E8"/>
    <mergeCell ref="A6:A8"/>
    <mergeCell ref="B6:B8"/>
  </mergeCells>
  <printOptions horizontalCentered="1"/>
  <pageMargins left="0.25" right="0.25" top="0.75" bottom="1.5" header="0.3" footer="0.3"/>
  <pageSetup paperSize="5" scale="80" orientation="portrait" r:id="rId1"/>
  <rowBreaks count="1" manualBreakCount="1">
    <brk id="72"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E143"/>
  <sheetViews>
    <sheetView workbookViewId="0"/>
  </sheetViews>
  <sheetFormatPr defaultColWidth="9" defaultRowHeight="14.25"/>
  <cols>
    <col min="1" max="1" width="63.625" style="233" bestFit="1" customWidth="1"/>
    <col min="2" max="2" width="10" style="336" hidden="1" customWidth="1"/>
    <col min="3" max="3" width="17.5" style="236" hidden="1" customWidth="1"/>
    <col min="4" max="4" width="17.125" style="237" hidden="1" customWidth="1"/>
    <col min="5" max="5" width="18" style="236" customWidth="1"/>
    <col min="6" max="16384" width="9" style="233"/>
  </cols>
  <sheetData>
    <row r="1" spans="1:5">
      <c r="A1" s="232" t="s">
        <v>355</v>
      </c>
      <c r="B1" s="335"/>
      <c r="C1" s="232"/>
      <c r="D1" s="232"/>
      <c r="E1" s="232"/>
    </row>
    <row r="2" spans="1:5">
      <c r="A2" s="232" t="s">
        <v>400</v>
      </c>
      <c r="B2" s="335"/>
      <c r="C2" s="232"/>
      <c r="D2" s="232"/>
      <c r="E2" s="232"/>
    </row>
    <row r="3" spans="1:5">
      <c r="A3" s="232" t="s">
        <v>1162</v>
      </c>
      <c r="B3" s="335"/>
      <c r="C3" s="232"/>
      <c r="D3" s="232"/>
      <c r="E3" s="232"/>
    </row>
    <row r="4" spans="1:5">
      <c r="A4" s="234">
        <f>Account!G2</f>
        <v>45291</v>
      </c>
      <c r="B4" s="335"/>
      <c r="C4" s="232"/>
      <c r="D4" s="232"/>
      <c r="E4" s="232"/>
    </row>
    <row r="5" spans="1:5">
      <c r="A5" s="235" t="str">
        <f>IF(E5=0,,VLOOKUP((TRIM(E5)),SortCode,2,))</f>
        <v>Ilocos Sur IMO</v>
      </c>
      <c r="E5" s="331" t="s">
        <v>485</v>
      </c>
    </row>
    <row r="6" spans="1:5" ht="14.25" customHeight="1">
      <c r="A6" s="1457" t="s">
        <v>440</v>
      </c>
      <c r="B6" s="1460" t="s">
        <v>370</v>
      </c>
      <c r="C6" s="1461" t="s">
        <v>832</v>
      </c>
      <c r="D6" s="1463">
        <f>A4</f>
        <v>45291</v>
      </c>
      <c r="E6" s="1461" t="s">
        <v>831</v>
      </c>
    </row>
    <row r="7" spans="1:5">
      <c r="A7" s="1458"/>
      <c r="B7" s="1460"/>
      <c r="C7" s="1462"/>
      <c r="D7" s="1464"/>
      <c r="E7" s="1462"/>
    </row>
    <row r="8" spans="1:5">
      <c r="A8" s="1459"/>
      <c r="B8" s="1460"/>
      <c r="C8" s="465">
        <f>'REVGEN (1)'!E7</f>
        <v>43373</v>
      </c>
      <c r="D8" s="1465"/>
      <c r="E8" s="1466"/>
    </row>
    <row r="9" spans="1:5">
      <c r="A9" s="471" t="s">
        <v>1170</v>
      </c>
      <c r="B9" s="339"/>
      <c r="C9" s="485"/>
      <c r="D9" s="485"/>
      <c r="E9" s="485"/>
    </row>
    <row r="10" spans="1:5">
      <c r="A10" s="473" t="s">
        <v>829</v>
      </c>
      <c r="B10" s="339"/>
      <c r="C10" s="474">
        <f>C11+C12</f>
        <v>0</v>
      </c>
      <c r="D10" s="474">
        <f>D11+D12</f>
        <v>0</v>
      </c>
      <c r="E10" s="474">
        <f>E11+E12</f>
        <v>0</v>
      </c>
    </row>
    <row r="11" spans="1:5">
      <c r="A11" s="475" t="s">
        <v>821</v>
      </c>
      <c r="B11" s="339" t="s">
        <v>125</v>
      </c>
      <c r="C11" s="466">
        <f t="array" ref="C11">((SUM(IF((CkDJ[Sort Code]=(TRIM(E$5)))*(CkDJ[Account Code]=(TRIM($B11)))*(CkDJ[Date]&lt;=$C$8),CkDJ[Credit])))+(SUM(IF((CsDJ[Sort Code]=(TRIM(E$5)))*(CsDJ[Account Code]=(TRIM($B11)))*(CsDJ[Date]&lt;=$C$8),CsDJ[Credit])))+(SUM(IF((CRDJ[Sort Code]=(TRIM(E$5)))*(CRDJ[Account Code]=(TRIM($B11)))*(CRDJ[Date]&lt;=$C$8),CRDJ[Credit])))+(SUM(IF((GJ[Sort Code]=(TRIM(E$5)))*(GJ[Account Code]=(TRIM($B11)))*(GJ[Date]&lt;=$C$8),GJ[Credit]))))-((SUM(IF((CkDJ[Sort Code]=(TRIM(E$5)))*(CkDJ[Account Code]=(TRIM($B11)))*(CkDJ[Date]&lt;=$C$8),CkDJ[Debit])))+(SUM(IF((CsDJ[Sort Code]=(TRIM(E$5)))*(CsDJ[Account Code]=(TRIM($B11)))*(CsDJ[Date]&lt;=$C$8),CsDJ[Debit])))+(SUM(IF((CRDJ[Sort Code]=(TRIM(E$5)))*(CRDJ[Account Code]=(TRIM($B11)))*(CRDJ[Date]&lt;=$C$8),CRDJ[Debit])))+(SUM(IF((GJ[Sort Code]=(TRIM(E$5)))*(GJ[Account Code]=(TRIM($B11)))*(GJ[Date]&lt;=$C$8),GJ[Debit]))))</f>
        <v>0</v>
      </c>
      <c r="D11" s="466">
        <f t="array" ref="D11">((SUM(IF((CkDJ[Date]=$A$4)*(CkDJ[Sort Code]=(TRIM(E$5)))*(CkDJ[Account Code]=(TRIM($B11))),CkDJ[Credit])))+(SUM(IF((CsDJ[Date]=$A$4)*(CsDJ[Sort Code]=(TRIM(E$5)))*(CsDJ[Account Code]=(TRIM($B11))),CsDJ[Credit])))+(SUM(IF((CRDJ[Date]=$A$4)*(CRDJ[Sort Code]=(TRIM(E$5)))*(CRDJ[Account Code]=(TRIM($B11))),CRDJ[Credit])))+(SUM(IF((GJ[Date]=$A$4)*(GJ[Sort Code]=(TRIM(E$5)))*(GJ[Account Code]=(TRIM($B11))),GJ[Credit]))))-((SUM(IF((CkDJ[Date]=$A$4)*(CkDJ[Sort Code]=(TRIM(E$5)))*(CkDJ[Account Code]=(TRIM($B11))),CkDJ[Debit])))+(SUM(IF((CsDJ[Date]=$A$4)*(CsDJ[Sort Code]=(TRIM(E$5)))*(CsDJ[Account Code]=(TRIM($B11))),CsDJ[Debit])))+(SUM(IF((CRDJ[Date]=$A$4)*(CRDJ[Sort Code]=(TRIM(E$5)))*(CRDJ[Account Code]=(TRIM($B11))),CRDJ[Debit])))+(SUM(IF((GJ[Date]=$A$4)*(GJ[Sort Code]=(TRIM(E$5)))*(GJ[Account Code]=(TRIM($B11))),GJ[Debit]))))</f>
        <v>0</v>
      </c>
      <c r="E11" s="467">
        <f>C11+D11</f>
        <v>0</v>
      </c>
    </row>
    <row r="12" spans="1:5">
      <c r="A12" s="475" t="s">
        <v>820</v>
      </c>
      <c r="B12" s="339"/>
      <c r="C12" s="466">
        <f>SUM(C13:C15)</f>
        <v>0</v>
      </c>
      <c r="D12" s="466">
        <f>SUM(D13:D15)</f>
        <v>0</v>
      </c>
      <c r="E12" s="467">
        <f>SUM(E13:E15)</f>
        <v>0</v>
      </c>
    </row>
    <row r="13" spans="1:5">
      <c r="A13" s="476" t="s">
        <v>809</v>
      </c>
      <c r="B13" s="339" t="s">
        <v>126</v>
      </c>
      <c r="C13" s="466">
        <f t="array" ref="C13">((SUM(IF((CkDJ[Sort Code]=(TRIM(E$5)))*(CkDJ[Account Code]=(TRIM($B13)))*(CkDJ[Date]&lt;=$C$8),CkDJ[Credit])))+(SUM(IF((CsDJ[Sort Code]=(TRIM(E$5)))*(CsDJ[Account Code]=(TRIM($B13)))*(CsDJ[Date]&lt;=$C$8),CsDJ[Credit])))+(SUM(IF((CRDJ[Sort Code]=(TRIM(E$5)))*(CRDJ[Account Code]=(TRIM($B13)))*(CRDJ[Date]&lt;=$C$8),CRDJ[Credit])))+(SUM(IF((GJ[Sort Code]=(TRIM(E$5)))*(GJ[Account Code]=(TRIM($B13)))*(GJ[Date]&lt;=$C$8),GJ[Credit]))))-((SUM(IF((CkDJ[Sort Code]=(TRIM(E$5)))*(CkDJ[Account Code]=(TRIM($B13)))*(CkDJ[Date]&lt;=$C$8),CkDJ[Debit])))+(SUM(IF((CsDJ[Sort Code]=(TRIM(E$5)))*(CsDJ[Account Code]=(TRIM($B13)))*(CsDJ[Date]&lt;=$C$8),CsDJ[Debit])))+(SUM(IF((CRDJ[Sort Code]=(TRIM(E$5)))*(CRDJ[Account Code]=(TRIM($B13)))*(CRDJ[Date]&lt;=$C$8),CRDJ[Debit])))+(SUM(IF((GJ[Sort Code]=(TRIM(E$5)))*(GJ[Account Code]=(TRIM($B13)))*(GJ[Date]&lt;=$C$8),GJ[Debit]))))</f>
        <v>0</v>
      </c>
      <c r="D13" s="466">
        <f t="array" ref="D13">((SUM(IF((CkDJ[Date]=$A$4)*(CkDJ[Sort Code]=(TRIM(E$5)))*(CkDJ[Account Code]=(TRIM($B13))),CkDJ[Credit])))+(SUM(IF((CsDJ[Date]=$A$4)*(CsDJ[Sort Code]=(TRIM(E$5)))*(CsDJ[Account Code]=(TRIM($B13))),CsDJ[Credit])))+(SUM(IF((CRDJ[Date]=$A$4)*(CRDJ[Sort Code]=(TRIM(E$5)))*(CRDJ[Account Code]=(TRIM($B13))),CRDJ[Credit])))+(SUM(IF((GJ[Date]=$A$4)*(GJ[Sort Code]=(TRIM(E$5)))*(GJ[Account Code]=(TRIM($B13))),GJ[Credit]))))-((SUM(IF((CkDJ[Date]=$A$4)*(CkDJ[Sort Code]=(TRIM(E$5)))*(CkDJ[Account Code]=(TRIM($B13))),CkDJ[Debit])))+(SUM(IF((CsDJ[Date]=$A$4)*(CsDJ[Sort Code]=(TRIM(E$5)))*(CsDJ[Account Code]=(TRIM($B13))),CsDJ[Debit])))+(SUM(IF((CRDJ[Date]=$A$4)*(CRDJ[Sort Code]=(TRIM(E$5)))*(CRDJ[Account Code]=(TRIM($B13))),CRDJ[Debit])))+(SUM(IF((GJ[Date]=$A$4)*(GJ[Sort Code]=(TRIM(E$5)))*(GJ[Account Code]=(TRIM($B13))),GJ[Debit]))))</f>
        <v>0</v>
      </c>
      <c r="E13" s="467">
        <f>C13+D13</f>
        <v>0</v>
      </c>
    </row>
    <row r="14" spans="1:5">
      <c r="A14" s="476" t="s">
        <v>828</v>
      </c>
      <c r="B14" s="339" t="s">
        <v>721</v>
      </c>
      <c r="C14" s="466">
        <f t="array" ref="C14">((SUM(IF((CkDJ[Sort Code]=(TRIM(E$5)))*(CkDJ[Account Code]=(TRIM($B14)))*(CkDJ[Date]&lt;=$C$8),CkDJ[Credit])))+(SUM(IF((CsDJ[Sort Code]=(TRIM(E$5)))*(CsDJ[Account Code]=(TRIM($B14)))*(CsDJ[Date]&lt;=$C$8),CsDJ[Credit])))+(SUM(IF((CRDJ[Sort Code]=(TRIM(E$5)))*(CRDJ[Account Code]=(TRIM($B14)))*(CRDJ[Date]&lt;=$C$8),CRDJ[Credit])))+(SUM(IF((GJ[Sort Code]=(TRIM(E$5)))*(GJ[Account Code]=(TRIM($B14)))*(GJ[Date]&lt;=$C$8),GJ[Credit]))))-((SUM(IF((CkDJ[Sort Code]=(TRIM(E$5)))*(CkDJ[Account Code]=(TRIM($B14)))*(CkDJ[Date]&lt;=$C$8),CkDJ[Debit])))+(SUM(IF((CsDJ[Sort Code]=(TRIM(E$5)))*(CsDJ[Account Code]=(TRIM($B14)))*(CsDJ[Date]&lt;=$C$8),CsDJ[Debit])))+(SUM(IF((CRDJ[Sort Code]=(TRIM(E$5)))*(CRDJ[Account Code]=(TRIM($B14)))*(CRDJ[Date]&lt;=$C$8),CRDJ[Debit])))+(SUM(IF((GJ[Sort Code]=(TRIM(E$5)))*(GJ[Account Code]=(TRIM($B14)))*(GJ[Date]&lt;=$C$8),GJ[Debit]))))</f>
        <v>0</v>
      </c>
      <c r="D14" s="466">
        <f t="array" ref="D14">((SUM(IF((CkDJ[Date]=$A$4)*(CkDJ[Sort Code]=(TRIM(E$5)))*(CkDJ[Account Code]=(TRIM($B14))),CkDJ[Credit])))+(SUM(IF((CsDJ[Date]=$A$4)*(CsDJ[Sort Code]=(TRIM(E$5)))*(CsDJ[Account Code]=(TRIM($B14))),CsDJ[Credit])))+(SUM(IF((CRDJ[Date]=$A$4)*(CRDJ[Sort Code]=(TRIM(E$5)))*(CRDJ[Account Code]=(TRIM($B14))),CRDJ[Credit])))+(SUM(IF((GJ[Date]=$A$4)*(GJ[Sort Code]=(TRIM(E$5)))*(GJ[Account Code]=(TRIM($B14))),GJ[Credit]))))-((SUM(IF((CkDJ[Date]=$A$4)*(CkDJ[Sort Code]=(TRIM(E$5)))*(CkDJ[Account Code]=(TRIM($B14))),CkDJ[Debit])))+(SUM(IF((CsDJ[Date]=$A$4)*(CsDJ[Sort Code]=(TRIM(E$5)))*(CsDJ[Account Code]=(TRIM($B14))),CsDJ[Debit])))+(SUM(IF((CRDJ[Date]=$A$4)*(CRDJ[Sort Code]=(TRIM(E$5)))*(CRDJ[Account Code]=(TRIM($B14))),CRDJ[Debit])))+(SUM(IF((GJ[Date]=$A$4)*(GJ[Sort Code]=(TRIM(E$5)))*(GJ[Account Code]=(TRIM($B14))),GJ[Debit]))))</f>
        <v>0</v>
      </c>
      <c r="E14" s="467">
        <f>C14+D14</f>
        <v>0</v>
      </c>
    </row>
    <row r="15" spans="1:5">
      <c r="A15" s="476" t="s">
        <v>827</v>
      </c>
      <c r="B15" s="339" t="s">
        <v>143</v>
      </c>
      <c r="C15" s="466">
        <f t="array" ref="C15">((SUM(IF((CkDJ[Sort Code]=(TRIM(E$5)))*(CkDJ[Account Code]=(TRIM($B15)))*(CkDJ[Date]&lt;=$C$8),CkDJ[Credit])))+(SUM(IF((CsDJ[Sort Code]=(TRIM(E$5)))*(CsDJ[Account Code]=(TRIM($B15)))*(CsDJ[Date]&lt;=$C$8),CsDJ[Credit])))+(SUM(IF((CRDJ[Sort Code]=(TRIM(E$5)))*(CRDJ[Account Code]=(TRIM($B15)))*(CRDJ[Date]&lt;=$C$8),CRDJ[Credit])))+(SUM(IF((GJ[Sort Code]=(TRIM(E$5)))*(GJ[Account Code]=(TRIM($B15)))*(GJ[Date]&lt;=$C$8),GJ[Credit]))))-((SUM(IF((CkDJ[Sort Code]=(TRIM(E$5)))*(CkDJ[Account Code]=(TRIM($B15)))*(CkDJ[Date]&lt;=$C$8),CkDJ[Debit])))+(SUM(IF((CsDJ[Sort Code]=(TRIM(E$5)))*(CsDJ[Account Code]=(TRIM($B15)))*(CsDJ[Date]&lt;=$C$8),CsDJ[Debit])))+(SUM(IF((CRDJ[Sort Code]=(TRIM(E$5)))*(CRDJ[Account Code]=(TRIM($B15)))*(CRDJ[Date]&lt;=$C$8),CRDJ[Debit])))+(SUM(IF((GJ[Sort Code]=(TRIM(E$5)))*(GJ[Account Code]=(TRIM($B15)))*(GJ[Date]&lt;=$C$8),GJ[Debit]))))</f>
        <v>0</v>
      </c>
      <c r="D15" s="466">
        <f t="array" ref="D15">((SUM(IF((CkDJ[Date]=$A$4)*(CkDJ[Sort Code]=(TRIM(E$5)))*(CkDJ[Account Code]=(TRIM($B15))),CkDJ[Credit])))+(SUM(IF((CsDJ[Date]=$A$4)*(CsDJ[Sort Code]=(TRIM(E$5)))*(CsDJ[Account Code]=(TRIM($B15))),CsDJ[Credit])))+(SUM(IF((CRDJ[Date]=$A$4)*(CRDJ[Sort Code]=(TRIM(E$5)))*(CRDJ[Account Code]=(TRIM($B15))),CRDJ[Credit])))+(SUM(IF((GJ[Date]=$A$4)*(GJ[Sort Code]=(TRIM(E$5)))*(GJ[Account Code]=(TRIM($B15))),GJ[Credit]))))-((SUM(IF((CkDJ[Date]=$A$4)*(CkDJ[Sort Code]=(TRIM(E$5)))*(CkDJ[Account Code]=(TRIM($B15))),CkDJ[Debit])))+(SUM(IF((CsDJ[Date]=$A$4)*(CsDJ[Sort Code]=(TRIM(E$5)))*(CsDJ[Account Code]=(TRIM($B15))),CsDJ[Debit])))+(SUM(IF((CRDJ[Date]=$A$4)*(CRDJ[Sort Code]=(TRIM(E$5)))*(CRDJ[Account Code]=(TRIM($B15))),CRDJ[Debit])))+(SUM(IF((GJ[Date]=$A$4)*(GJ[Sort Code]=(TRIM(E$5)))*(GJ[Account Code]=(TRIM($B15))),GJ[Debit]))))</f>
        <v>0</v>
      </c>
      <c r="E15" s="467">
        <f>C15+D15</f>
        <v>0</v>
      </c>
    </row>
    <row r="16" spans="1:5">
      <c r="A16" s="473" t="s">
        <v>826</v>
      </c>
      <c r="B16" s="339"/>
      <c r="C16" s="477">
        <f>SUM(C17:C19)</f>
        <v>0</v>
      </c>
      <c r="D16" s="477">
        <f>SUM(D17:D19)</f>
        <v>0</v>
      </c>
      <c r="E16" s="477">
        <f>SUM(E17:E19)</f>
        <v>0</v>
      </c>
    </row>
    <row r="17" spans="1:5">
      <c r="A17" s="475" t="s">
        <v>182</v>
      </c>
      <c r="B17" s="339" t="s">
        <v>146</v>
      </c>
      <c r="C17" s="466">
        <f t="array" ref="C17">((SUM(IF((CkDJ[Sort Code]=(TRIM(E$5)))*(CkDJ[Account Code]=(TRIM($B17)))*(CkDJ[Date]&lt;=$C$8),CkDJ[Credit])))+(SUM(IF((CsDJ[Sort Code]=(TRIM(E$5)))*(CsDJ[Account Code]=(TRIM($B17)))*(CsDJ[Date]&lt;=$C$8),CsDJ[Credit])))+(SUM(IF((CRDJ[Sort Code]=(TRIM(E$5)))*(CRDJ[Account Code]=(TRIM($B17)))*(CRDJ[Date]&lt;=$C$8),CRDJ[Credit])))+(SUM(IF((GJ[Sort Code]=(TRIM(E$5)))*(GJ[Account Code]=(TRIM($B17)))*(GJ[Date]&lt;=$C$8),GJ[Credit]))))-((SUM(IF((CkDJ[Sort Code]=(TRIM(E$5)))*(CkDJ[Account Code]=(TRIM($B17)))*(CkDJ[Date]&lt;=$C$8),CkDJ[Debit])))+(SUM(IF((CsDJ[Sort Code]=(TRIM(E$5)))*(CsDJ[Account Code]=(TRIM($B17)))*(CsDJ[Date]&lt;=$C$8),CsDJ[Debit])))+(SUM(IF((CRDJ[Sort Code]=(TRIM(E$5)))*(CRDJ[Account Code]=(TRIM($B17)))*(CRDJ[Date]&lt;=$C$8),CRDJ[Debit])))+(SUM(IF((GJ[Sort Code]=(TRIM(E$5)))*(GJ[Account Code]=(TRIM($B17)))*(GJ[Date]&lt;=$C$8),GJ[Debit]))))</f>
        <v>0</v>
      </c>
      <c r="D17" s="466">
        <f t="array" ref="D17">((SUM(IF((CkDJ[Date]=$A$4)*(CkDJ[Sort Code]=(TRIM(E$5)))*(CkDJ[Account Code]=(TRIM($B17))),CkDJ[Credit])))+(SUM(IF((CsDJ[Date]=$A$4)*(CsDJ[Sort Code]=(TRIM(E$5)))*(CsDJ[Account Code]=(TRIM($B17))),CsDJ[Credit])))+(SUM(IF((CRDJ[Date]=$A$4)*(CRDJ[Sort Code]=(TRIM(E$5)))*(CRDJ[Account Code]=(TRIM($B17))),CRDJ[Credit])))+(SUM(IF((GJ[Date]=$A$4)*(GJ[Sort Code]=(TRIM(E$5)))*(GJ[Account Code]=(TRIM($B17))),GJ[Credit]))))-((SUM(IF((CkDJ[Date]=$A$4)*(CkDJ[Sort Code]=(TRIM(E$5)))*(CkDJ[Account Code]=(TRIM($B17))),CkDJ[Debit])))+(SUM(IF((CsDJ[Date]=$A$4)*(CsDJ[Sort Code]=(TRIM(E$5)))*(CsDJ[Account Code]=(TRIM($B17))),CsDJ[Debit])))+(SUM(IF((CRDJ[Date]=$A$4)*(CRDJ[Sort Code]=(TRIM(E$5)))*(CRDJ[Account Code]=(TRIM($B17))),CRDJ[Debit])))+(SUM(IF((GJ[Date]=$A$4)*(GJ[Sort Code]=(TRIM(E$5)))*(GJ[Account Code]=(TRIM($B17))),GJ[Debit]))))</f>
        <v>0</v>
      </c>
      <c r="E17" s="467">
        <f>C17+D17</f>
        <v>0</v>
      </c>
    </row>
    <row r="18" spans="1:5">
      <c r="A18" s="475" t="s">
        <v>183</v>
      </c>
      <c r="B18" s="339" t="s">
        <v>147</v>
      </c>
      <c r="C18" s="466">
        <f t="array" ref="C18">((SUM(IF((CkDJ[Sort Code]=(TRIM(E$5)))*(CkDJ[Account Code]=(TRIM($B18)))*(CkDJ[Date]&lt;=$C$8),CkDJ[Credit])))+(SUM(IF((CsDJ[Sort Code]=(TRIM(E$5)))*(CsDJ[Account Code]=(TRIM($B18)))*(CsDJ[Date]&lt;=$C$8),CsDJ[Credit])))+(SUM(IF((CRDJ[Sort Code]=(TRIM(E$5)))*(CRDJ[Account Code]=(TRIM($B18)))*(CRDJ[Date]&lt;=$C$8),CRDJ[Credit])))+(SUM(IF((GJ[Sort Code]=(TRIM(E$5)))*(GJ[Account Code]=(TRIM($B18)))*(GJ[Date]&lt;=$C$8),GJ[Credit]))))-((SUM(IF((CkDJ[Sort Code]=(TRIM(E$5)))*(CkDJ[Account Code]=(TRIM($B18)))*(CkDJ[Date]&lt;=$C$8),CkDJ[Debit])))+(SUM(IF((CsDJ[Sort Code]=(TRIM(E$5)))*(CsDJ[Account Code]=(TRIM($B18)))*(CsDJ[Date]&lt;=$C$8),CsDJ[Debit])))+(SUM(IF((CRDJ[Sort Code]=(TRIM(E$5)))*(CRDJ[Account Code]=(TRIM($B18)))*(CRDJ[Date]&lt;=$C$8),CRDJ[Debit])))+(SUM(IF((GJ[Sort Code]=(TRIM(E$5)))*(GJ[Account Code]=(TRIM($B18)))*(GJ[Date]&lt;=$C$8),GJ[Debit]))))</f>
        <v>0</v>
      </c>
      <c r="D18" s="466">
        <f t="array" ref="D18">((SUM(IF((CkDJ[Date]=$A$4)*(CkDJ[Sort Code]=(TRIM(E$5)))*(CkDJ[Account Code]=(TRIM($B18))),CkDJ[Credit])))+(SUM(IF((CsDJ[Date]=$A$4)*(CsDJ[Sort Code]=(TRIM(E$5)))*(CsDJ[Account Code]=(TRIM($B18))),CsDJ[Credit])))+(SUM(IF((CRDJ[Date]=$A$4)*(CRDJ[Sort Code]=(TRIM(E$5)))*(CRDJ[Account Code]=(TRIM($B18))),CRDJ[Credit])))+(SUM(IF((GJ[Date]=$A$4)*(GJ[Sort Code]=(TRIM(E$5)))*(GJ[Account Code]=(TRIM($B18))),GJ[Credit]))))-((SUM(IF((CkDJ[Date]=$A$4)*(CkDJ[Sort Code]=(TRIM(E$5)))*(CkDJ[Account Code]=(TRIM($B18))),CkDJ[Debit])))+(SUM(IF((CsDJ[Date]=$A$4)*(CsDJ[Sort Code]=(TRIM(E$5)))*(CsDJ[Account Code]=(TRIM($B18))),CsDJ[Debit])))+(SUM(IF((CRDJ[Date]=$A$4)*(CRDJ[Sort Code]=(TRIM(E$5)))*(CRDJ[Account Code]=(TRIM($B18))),CRDJ[Debit])))+(SUM(IF((GJ[Date]=$A$4)*(GJ[Sort Code]=(TRIM(E$5)))*(GJ[Account Code]=(TRIM($B18))),GJ[Debit]))))</f>
        <v>0</v>
      </c>
      <c r="E18" s="467">
        <f>C18+D18</f>
        <v>0</v>
      </c>
    </row>
    <row r="19" spans="1:5" hidden="1">
      <c r="A19" s="475" t="s">
        <v>184</v>
      </c>
      <c r="B19" s="339" t="s">
        <v>148</v>
      </c>
      <c r="C19" s="466">
        <f t="array" ref="C19">((SUM(IF((CkDJ[Sort Code]=(TRIM(E$5)))*(CkDJ[Account Code]=(TRIM($B19)))*(CkDJ[Date]&lt;=$C$8),CkDJ[Credit])))+(SUM(IF((CsDJ[Sort Code]=(TRIM(E$5)))*(CsDJ[Account Code]=(TRIM($B19)))*(CsDJ[Date]&lt;=$C$8),CsDJ[Credit])))+(SUM(IF((CRDJ[Sort Code]=(TRIM(E$5)))*(CRDJ[Account Code]=(TRIM($B19)))*(CRDJ[Date]&lt;=$C$8),CRDJ[Credit])))+(SUM(IF((GJ[Sort Code]=(TRIM(E$5)))*(GJ[Account Code]=(TRIM($B19)))*(GJ[Date]&lt;=$C$8),GJ[Credit]))))-((SUM(IF((CkDJ[Sort Code]=(TRIM(E$5)))*(CkDJ[Account Code]=(TRIM($B19)))*(CkDJ[Date]&lt;=$C$8),CkDJ[Debit])))+(SUM(IF((CsDJ[Sort Code]=(TRIM(E$5)))*(CsDJ[Account Code]=(TRIM($B19)))*(CsDJ[Date]&lt;=$C$8),CsDJ[Debit])))+(SUM(IF((CRDJ[Sort Code]=(TRIM(E$5)))*(CRDJ[Account Code]=(TRIM($B19)))*(CRDJ[Date]&lt;=$C$8),CRDJ[Debit])))+(SUM(IF((GJ[Sort Code]=(TRIM(E$5)))*(GJ[Account Code]=(TRIM($B19)))*(GJ[Date]&lt;=$C$8),GJ[Debit]))))</f>
        <v>0</v>
      </c>
      <c r="D19" s="466">
        <f t="array" ref="D19">((SUM(IF((CkDJ[Date]=$A$4)*(CkDJ[Sort Code]=(TRIM(E$5)))*(CkDJ[Account Code]=(TRIM($B19))),CkDJ[Credit])))+(SUM(IF((CsDJ[Date]=$A$4)*(CsDJ[Sort Code]=(TRIM(E$5)))*(CsDJ[Account Code]=(TRIM($B19))),CsDJ[Credit])))+(SUM(IF((CRDJ[Date]=$A$4)*(CRDJ[Sort Code]=(TRIM(E$5)))*(CRDJ[Account Code]=(TRIM($B19))),CRDJ[Credit])))+(SUM(IF((GJ[Date]=$A$4)*(GJ[Sort Code]=(TRIM(E$5)))*(GJ[Account Code]=(TRIM($B19))),GJ[Credit]))))-((SUM(IF((CkDJ[Date]=$A$4)*(CkDJ[Sort Code]=(TRIM(E$5)))*(CkDJ[Account Code]=(TRIM($B19))),CkDJ[Debit])))+(SUM(IF((CsDJ[Date]=$A$4)*(CsDJ[Sort Code]=(TRIM(E$5)))*(CsDJ[Account Code]=(TRIM($B19))),CsDJ[Debit])))+(SUM(IF((CRDJ[Date]=$A$4)*(CRDJ[Sort Code]=(TRIM(E$5)))*(CRDJ[Account Code]=(TRIM($B19))),CRDJ[Debit])))+(SUM(IF((GJ[Date]=$A$4)*(GJ[Sort Code]=(TRIM(E$5)))*(GJ[Account Code]=(TRIM($B19))),GJ[Debit]))))</f>
        <v>0</v>
      </c>
      <c r="E19" s="467">
        <f>C19+D19</f>
        <v>0</v>
      </c>
    </row>
    <row r="20" spans="1:5">
      <c r="A20" s="473" t="s">
        <v>825</v>
      </c>
      <c r="B20" s="339"/>
      <c r="C20" s="477">
        <f>SUM(C21:C22)</f>
        <v>0</v>
      </c>
      <c r="D20" s="477">
        <f>SUM(D21:D22)</f>
        <v>0</v>
      </c>
      <c r="E20" s="477">
        <f>SUM(E21:E22)</f>
        <v>0</v>
      </c>
    </row>
    <row r="21" spans="1:5" hidden="1">
      <c r="A21" s="475" t="s">
        <v>821</v>
      </c>
      <c r="B21" s="339" t="s">
        <v>131</v>
      </c>
      <c r="C21" s="466">
        <f t="array" ref="C21">((SUM(IF((CkDJ[Sort Code]=(TRIM(E$5)))*(CkDJ[Account Code]=(TRIM($B21)))*(CkDJ[Date]&lt;=$C$8),CkDJ[Credit])))+(SUM(IF((CsDJ[Sort Code]=(TRIM(E$5)))*(CsDJ[Account Code]=(TRIM($B21)))*(CsDJ[Date]&lt;=$C$8),CsDJ[Credit])))+(SUM(IF((CRDJ[Sort Code]=(TRIM(E$5)))*(CRDJ[Account Code]=(TRIM($B21)))*(CRDJ[Date]&lt;=$C$8),CRDJ[Credit])))+(SUM(IF((GJ[Sort Code]=(TRIM(E$5)))*(GJ[Account Code]=(TRIM($B21)))*(GJ[Date]&lt;=$C$8),GJ[Credit]))))-((SUM(IF((CkDJ[Sort Code]=(TRIM(E$5)))*(CkDJ[Account Code]=(TRIM($B21)))*(CkDJ[Date]&lt;=$C$8),CkDJ[Debit])))+(SUM(IF((CsDJ[Sort Code]=(TRIM(E$5)))*(CsDJ[Account Code]=(TRIM($B21)))*(CsDJ[Date]&lt;=$C$8),CsDJ[Debit])))+(SUM(IF((CRDJ[Sort Code]=(TRIM(E$5)))*(CRDJ[Account Code]=(TRIM($B21)))*(CRDJ[Date]&lt;=$C$8),CRDJ[Debit])))+(SUM(IF((GJ[Sort Code]=(TRIM(E$5)))*(GJ[Account Code]=(TRIM($B21)))*(GJ[Date]&lt;=$C$8),GJ[Debit]))))</f>
        <v>0</v>
      </c>
      <c r="D21" s="466">
        <f t="array" ref="D21">((SUM(IF((CkDJ[Date]=$A$4)*(CkDJ[Sort Code]=(TRIM(E$5)))*(CkDJ[Account Code]=(TRIM($B21))),CkDJ[Credit])))+(SUM(IF((CsDJ[Date]=$A$4)*(CsDJ[Sort Code]=(TRIM(E$5)))*(CsDJ[Account Code]=(TRIM($B21))),CsDJ[Credit])))+(SUM(IF((CRDJ[Date]=$A$4)*(CRDJ[Sort Code]=(TRIM(E$5)))*(CRDJ[Account Code]=(TRIM($B21))),CRDJ[Credit])))+(SUM(IF((GJ[Date]=$A$4)*(GJ[Sort Code]=(TRIM(E$5)))*(GJ[Account Code]=(TRIM($B21))),GJ[Credit]))))-((SUM(IF((CkDJ[Date]=$A$4)*(CkDJ[Sort Code]=(TRIM(E$5)))*(CkDJ[Account Code]=(TRIM($B21))),CkDJ[Debit])))+(SUM(IF((CsDJ[Date]=$A$4)*(CsDJ[Sort Code]=(TRIM(E$5)))*(CsDJ[Account Code]=(TRIM($B21))),CsDJ[Debit])))+(SUM(IF((CRDJ[Date]=$A$4)*(CRDJ[Sort Code]=(TRIM(E$5)))*(CRDJ[Account Code]=(TRIM($B21))),CRDJ[Debit])))+(SUM(IF((GJ[Date]=$A$4)*(GJ[Sort Code]=(TRIM(E$5)))*(GJ[Account Code]=(TRIM($B21))),GJ[Debit]))))</f>
        <v>0</v>
      </c>
      <c r="E21" s="467">
        <f>C21+D21</f>
        <v>0</v>
      </c>
    </row>
    <row r="22" spans="1:5" hidden="1">
      <c r="A22" s="475" t="s">
        <v>820</v>
      </c>
      <c r="B22" s="339"/>
      <c r="C22" s="466">
        <f>SUM(C23:C24)</f>
        <v>0</v>
      </c>
      <c r="D22" s="466">
        <f>SUM(D23:D24)</f>
        <v>0</v>
      </c>
      <c r="E22" s="466">
        <f>SUM(E23:E24)</f>
        <v>0</v>
      </c>
    </row>
    <row r="23" spans="1:5" hidden="1">
      <c r="A23" s="476" t="s">
        <v>819</v>
      </c>
      <c r="B23" s="339" t="s">
        <v>140</v>
      </c>
      <c r="C23" s="466">
        <f t="array" ref="C23">((SUM(IF((CkDJ[Sort Code]=(TRIM(E$5)))*(CkDJ[Account Code]=(TRIM($B23)))*(CkDJ[Date]&lt;=$C$8),CkDJ[Credit])))+(SUM(IF((CsDJ[Sort Code]=(TRIM(E$5)))*(CsDJ[Account Code]=(TRIM($B23)))*(CsDJ[Date]&lt;=$C$8),CsDJ[Credit])))+(SUM(IF((CRDJ[Sort Code]=(TRIM(E$5)))*(CRDJ[Account Code]=(TRIM($B23)))*(CRDJ[Date]&lt;=$C$8),CRDJ[Credit])))+(SUM(IF((GJ[Sort Code]=(TRIM(E$5)))*(GJ[Account Code]=(TRIM($B23)))*(GJ[Date]&lt;=$C$8),GJ[Credit]))))-((SUM(IF((CkDJ[Sort Code]=(TRIM(E$5)))*(CkDJ[Account Code]=(TRIM($B23)))*(CkDJ[Date]&lt;=$C$8),CkDJ[Debit])))+(SUM(IF((CsDJ[Sort Code]=(TRIM(E$5)))*(CsDJ[Account Code]=(TRIM($B23)))*(CsDJ[Date]&lt;=$C$8),CsDJ[Debit])))+(SUM(IF((CRDJ[Sort Code]=(TRIM(E$5)))*(CRDJ[Account Code]=(TRIM($B23)))*(CRDJ[Date]&lt;=$C$8),CRDJ[Debit])))+(SUM(IF((GJ[Sort Code]=(TRIM(E$5)))*(GJ[Account Code]=(TRIM($B23)))*(GJ[Date]&lt;=$C$8),GJ[Debit]))))</f>
        <v>0</v>
      </c>
      <c r="D23" s="466">
        <f t="array" ref="D23">((SUM(IF((CkDJ[Date]=$A$4)*(CkDJ[Sort Code]=(TRIM(E$5)))*(CkDJ[Account Code]=(TRIM($B23))),CkDJ[Credit])))+(SUM(IF((CsDJ[Date]=$A$4)*(CsDJ[Sort Code]=(TRIM(E$5)))*(CsDJ[Account Code]=(TRIM($B23))),CsDJ[Credit])))+(SUM(IF((CRDJ[Date]=$A$4)*(CRDJ[Sort Code]=(TRIM(E$5)))*(CRDJ[Account Code]=(TRIM($B23))),CRDJ[Credit])))+(SUM(IF((GJ[Date]=$A$4)*(GJ[Sort Code]=(TRIM(E$5)))*(GJ[Account Code]=(TRIM($B23))),GJ[Credit]))))-((SUM(IF((CkDJ[Date]=$A$4)*(CkDJ[Sort Code]=(TRIM(E$5)))*(CkDJ[Account Code]=(TRIM($B23))),CkDJ[Debit])))+(SUM(IF((CsDJ[Date]=$A$4)*(CsDJ[Sort Code]=(TRIM(E$5)))*(CsDJ[Account Code]=(TRIM($B23))),CsDJ[Debit])))+(SUM(IF((CRDJ[Date]=$A$4)*(CRDJ[Sort Code]=(TRIM(E$5)))*(CRDJ[Account Code]=(TRIM($B23))),CRDJ[Debit])))+(SUM(IF((GJ[Date]=$A$4)*(GJ[Sort Code]=(TRIM(E$5)))*(GJ[Account Code]=(TRIM($B23))),GJ[Debit]))))</f>
        <v>0</v>
      </c>
      <c r="E23" s="467">
        <f>C23+D23</f>
        <v>0</v>
      </c>
    </row>
    <row r="24" spans="1:5" hidden="1">
      <c r="A24" s="476" t="s">
        <v>818</v>
      </c>
      <c r="B24" s="339" t="s">
        <v>144</v>
      </c>
      <c r="C24" s="466">
        <f t="array" ref="C24">((SUM(IF((CkDJ[Sort Code]=(TRIM(E$5)))*(CkDJ[Account Code]=(TRIM($B24)))*(CkDJ[Date]&lt;=$C$8),CkDJ[Credit])))+(SUM(IF((CsDJ[Sort Code]=(TRIM(E$5)))*(CsDJ[Account Code]=(TRIM($B24)))*(CsDJ[Date]&lt;=$C$8),CsDJ[Credit])))+(SUM(IF((CRDJ[Sort Code]=(TRIM(E$5)))*(CRDJ[Account Code]=(TRIM($B24)))*(CRDJ[Date]&lt;=$C$8),CRDJ[Credit])))+(SUM(IF((GJ[Sort Code]=(TRIM(E$5)))*(GJ[Account Code]=(TRIM($B24)))*(GJ[Date]&lt;=$C$8),GJ[Credit]))))-((SUM(IF((CkDJ[Sort Code]=(TRIM(E$5)))*(CkDJ[Account Code]=(TRIM($B24)))*(CkDJ[Date]&lt;=$C$8),CkDJ[Debit])))+(SUM(IF((CsDJ[Sort Code]=(TRIM(E$5)))*(CsDJ[Account Code]=(TRIM($B24)))*(CsDJ[Date]&lt;=$C$8),CsDJ[Debit])))+(SUM(IF((CRDJ[Sort Code]=(TRIM(E$5)))*(CRDJ[Account Code]=(TRIM($B24)))*(CRDJ[Date]&lt;=$C$8),CRDJ[Debit])))+(SUM(IF((GJ[Sort Code]=(TRIM(E$5)))*(GJ[Account Code]=(TRIM($B24)))*(GJ[Date]&lt;=$C$8),GJ[Debit]))))</f>
        <v>0</v>
      </c>
      <c r="D24" s="466">
        <f t="array" ref="D24">((SUM(IF((CkDJ[Date]=$A$4)*(CkDJ[Sort Code]=(TRIM(E$5)))*(CkDJ[Account Code]=(TRIM($B24))),CkDJ[Credit])))+(SUM(IF((CsDJ[Date]=$A$4)*(CsDJ[Sort Code]=(TRIM(E$5)))*(CsDJ[Account Code]=(TRIM($B24))),CsDJ[Credit])))+(SUM(IF((CRDJ[Date]=$A$4)*(CRDJ[Sort Code]=(TRIM(E$5)))*(CRDJ[Account Code]=(TRIM($B24))),CRDJ[Credit])))+(SUM(IF((GJ[Date]=$A$4)*(GJ[Sort Code]=(TRIM(E$5)))*(GJ[Account Code]=(TRIM($B24))),GJ[Credit]))))-((SUM(IF((CkDJ[Date]=$A$4)*(CkDJ[Sort Code]=(TRIM(E$5)))*(CkDJ[Account Code]=(TRIM($B24))),CkDJ[Debit])))+(SUM(IF((CsDJ[Date]=$A$4)*(CsDJ[Sort Code]=(TRIM(E$5)))*(CsDJ[Account Code]=(TRIM($B24))),CsDJ[Debit])))+(SUM(IF((CRDJ[Date]=$A$4)*(CRDJ[Sort Code]=(TRIM(E$5)))*(CRDJ[Account Code]=(TRIM($B24))),CRDJ[Debit])))+(SUM(IF((GJ[Date]=$A$4)*(GJ[Sort Code]=(TRIM(E$5)))*(GJ[Account Code]=(TRIM($B24))),GJ[Debit]))))</f>
        <v>0</v>
      </c>
      <c r="E24" s="467">
        <f>C24+D24</f>
        <v>0</v>
      </c>
    </row>
    <row r="25" spans="1:5">
      <c r="A25" s="473" t="s">
        <v>1163</v>
      </c>
      <c r="B25" s="339" t="s">
        <v>352</v>
      </c>
      <c r="C25" s="466">
        <f t="array" ref="C25">((SUM(IF((CkDJ[Sort Code]=(TRIM(E$5)))*(CkDJ[Account Code]=(TRIM($B25)))*(CkDJ[Date]&lt;=$C$8),CkDJ[Credit])))+(SUM(IF((CsDJ[Sort Code]=(TRIM(E$5)))*(CsDJ[Account Code]=(TRIM($B25)))*(CsDJ[Date]&lt;=$C$8),CsDJ[Credit])))+(SUM(IF((CRDJ[Sort Code]=(TRIM(E$5)))*(CRDJ[Account Code]=(TRIM($B25)))*(CRDJ[Date]&lt;=$C$8),CRDJ[Credit])))+(SUM(IF((GJ[Sort Code]=(TRIM(E$5)))*(GJ[Account Code]=(TRIM($B25)))*(GJ[Date]&lt;=$C$8),GJ[Credit]))))-((SUM(IF((CkDJ[Sort Code]=(TRIM(E$5)))*(CkDJ[Account Code]=(TRIM($B25)))*(CkDJ[Date]&lt;=$C$8),CkDJ[Debit])))+(SUM(IF((CsDJ[Sort Code]=(TRIM(E$5)))*(CsDJ[Account Code]=(TRIM($B25)))*(CsDJ[Date]&lt;=$C$8),CsDJ[Debit])))+(SUM(IF((CRDJ[Sort Code]=(TRIM(E$5)))*(CRDJ[Account Code]=(TRIM($B25)))*(CRDJ[Date]&lt;=$C$8),CRDJ[Debit])))+(SUM(IF((GJ[Sort Code]=(TRIM(E$5)))*(GJ[Account Code]=(TRIM($B25)))*(GJ[Date]&lt;=$C$8),GJ[Debit]))))</f>
        <v>0</v>
      </c>
      <c r="D25" s="466">
        <f t="array" ref="D25">((SUM(IF((CkDJ[Date]=$A$4)*(CkDJ[Sort Code]=(TRIM(E$5)))*(CkDJ[Account Code]=(TRIM($B25))),CkDJ[Credit])))+(SUM(IF((CsDJ[Date]=$A$4)*(CsDJ[Sort Code]=(TRIM(E$5)))*(CsDJ[Account Code]=(TRIM($B25))),CsDJ[Credit])))+(SUM(IF((CRDJ[Date]=$A$4)*(CRDJ[Sort Code]=(TRIM(E$5)))*(CRDJ[Account Code]=(TRIM($B25))),CRDJ[Credit])))+(SUM(IF((GJ[Date]=$A$4)*(GJ[Sort Code]=(TRIM(E$5)))*(GJ[Account Code]=(TRIM($B25))),GJ[Credit]))))-((SUM(IF((CkDJ[Date]=$A$4)*(CkDJ[Sort Code]=(TRIM(E$5)))*(CkDJ[Account Code]=(TRIM($B25))),CkDJ[Debit])))+(SUM(IF((CsDJ[Date]=$A$4)*(CsDJ[Sort Code]=(TRIM(E$5)))*(CsDJ[Account Code]=(TRIM($B25))),CsDJ[Debit])))+(SUM(IF((CRDJ[Date]=$A$4)*(CRDJ[Sort Code]=(TRIM(E$5)))*(CRDJ[Account Code]=(TRIM($B25))),CRDJ[Debit])))+(SUM(IF((GJ[Date]=$A$4)*(GJ[Sort Code]=(TRIM(E$5)))*(GJ[Account Code]=(TRIM($B25))),GJ[Debit]))))</f>
        <v>0</v>
      </c>
      <c r="E25" s="467">
        <f>C25+D25</f>
        <v>0</v>
      </c>
    </row>
    <row r="26" spans="1:5">
      <c r="A26" s="473" t="s">
        <v>1164</v>
      </c>
      <c r="B26" s="339"/>
      <c r="C26" s="477">
        <f>SUM(C27:C28)</f>
        <v>0</v>
      </c>
      <c r="D26" s="477">
        <f>SUM(D27:D28)</f>
        <v>0</v>
      </c>
      <c r="E26" s="477">
        <f>SUM(E27:E28)</f>
        <v>0</v>
      </c>
    </row>
    <row r="27" spans="1:5">
      <c r="A27" s="475" t="s">
        <v>821</v>
      </c>
      <c r="B27" s="339" t="s">
        <v>128</v>
      </c>
      <c r="C27" s="466">
        <f t="array" ref="C27">((SUM(IF((CkDJ[Sort Code]=(TRIM(E$5)))*(CkDJ[Account Code]=(TRIM($B27)))*(CkDJ[Date]&lt;=$C$8),CkDJ[Credit])))+(SUM(IF((CsDJ[Sort Code]=(TRIM(E$5)))*(CsDJ[Account Code]=(TRIM($B27)))*(CsDJ[Date]&lt;=$C$8),CsDJ[Credit])))+(SUM(IF((CRDJ[Sort Code]=(TRIM(E$5)))*(CRDJ[Account Code]=(TRIM($B27)))*(CRDJ[Date]&lt;=$C$8),CRDJ[Credit])))+(SUM(IF((GJ[Sort Code]=(TRIM(E$5)))*(GJ[Account Code]=(TRIM($B27)))*(GJ[Date]&lt;=$C$8),GJ[Credit]))))-((SUM(IF((CkDJ[Sort Code]=(TRIM(E$5)))*(CkDJ[Account Code]=(TRIM($B27)))*(CkDJ[Date]&lt;=$C$8),CkDJ[Debit])))+(SUM(IF((CsDJ[Sort Code]=(TRIM(E$5)))*(CsDJ[Account Code]=(TRIM($B27)))*(CsDJ[Date]&lt;=$C$8),CsDJ[Debit])))+(SUM(IF((CRDJ[Sort Code]=(TRIM(E$5)))*(CRDJ[Account Code]=(TRIM($B27)))*(CRDJ[Date]&lt;=$C$8),CRDJ[Debit])))+(SUM(IF((GJ[Sort Code]=(TRIM(E$5)))*(GJ[Account Code]=(TRIM($B27)))*(GJ[Date]&lt;=$C$8),GJ[Debit]))))</f>
        <v>0</v>
      </c>
      <c r="D27" s="466">
        <f t="array" ref="D27">((SUM(IF((CkDJ[Date]=$A$4)*(CkDJ[Sort Code]=(TRIM(E$5)))*(CkDJ[Account Code]=(TRIM($B27))),CkDJ[Credit])))+(SUM(IF((CsDJ[Date]=$A$4)*(CsDJ[Sort Code]=(TRIM(E$5)))*(CsDJ[Account Code]=(TRIM($B27))),CsDJ[Credit])))+(SUM(IF((CRDJ[Date]=$A$4)*(CRDJ[Sort Code]=(TRIM(E$5)))*(CRDJ[Account Code]=(TRIM($B27))),CRDJ[Credit])))+(SUM(IF((GJ[Date]=$A$4)*(GJ[Sort Code]=(TRIM(E$5)))*(GJ[Account Code]=(TRIM($B27))),GJ[Credit]))))-((SUM(IF((CkDJ[Date]=$A$4)*(CkDJ[Sort Code]=(TRIM(E$5)))*(CkDJ[Account Code]=(TRIM($B27))),CkDJ[Debit])))+(SUM(IF((CsDJ[Date]=$A$4)*(CsDJ[Sort Code]=(TRIM(E$5)))*(CsDJ[Account Code]=(TRIM($B27))),CsDJ[Debit])))+(SUM(IF((CRDJ[Date]=$A$4)*(CRDJ[Sort Code]=(TRIM(E$5)))*(CRDJ[Account Code]=(TRIM($B27))),CRDJ[Debit])))+(SUM(IF((GJ[Date]=$A$4)*(GJ[Sort Code]=(TRIM(E$5)))*(GJ[Account Code]=(TRIM($B27))),GJ[Debit]))))</f>
        <v>0</v>
      </c>
      <c r="E27" s="467">
        <f>C27+D27</f>
        <v>0</v>
      </c>
    </row>
    <row r="28" spans="1:5">
      <c r="A28" s="475" t="s">
        <v>820</v>
      </c>
      <c r="B28" s="339"/>
      <c r="C28" s="466">
        <f>SUM(C29:C30)</f>
        <v>0</v>
      </c>
      <c r="D28" s="466">
        <f>SUM(D29:D30)</f>
        <v>0</v>
      </c>
      <c r="E28" s="466">
        <f>SUM(E29:E30)</f>
        <v>0</v>
      </c>
    </row>
    <row r="29" spans="1:5" hidden="1">
      <c r="A29" s="476" t="s">
        <v>819</v>
      </c>
      <c r="B29" s="339" t="s">
        <v>129</v>
      </c>
      <c r="C29" s="466">
        <f t="array" ref="C29">((SUM(IF((CkDJ[Sort Code]=(TRIM(E$5)))*(CkDJ[Account Code]=(TRIM($B29)))*(CkDJ[Date]&lt;=$C$8),CkDJ[Credit])))+(SUM(IF((CsDJ[Sort Code]=(TRIM(E$5)))*(CsDJ[Account Code]=(TRIM($B29)))*(CsDJ[Date]&lt;=$C$8),CsDJ[Credit])))+(SUM(IF((CRDJ[Sort Code]=(TRIM(E$5)))*(CRDJ[Account Code]=(TRIM($B29)))*(CRDJ[Date]&lt;=$C$8),CRDJ[Credit])))+(SUM(IF((GJ[Sort Code]=(TRIM(E$5)))*(GJ[Account Code]=(TRIM($B29)))*(GJ[Date]&lt;=$C$8),GJ[Credit]))))-((SUM(IF((CkDJ[Sort Code]=(TRIM(E$5)))*(CkDJ[Account Code]=(TRIM($B29)))*(CkDJ[Date]&lt;=$C$8),CkDJ[Debit])))+(SUM(IF((CsDJ[Sort Code]=(TRIM(E$5)))*(CsDJ[Account Code]=(TRIM($B29)))*(CsDJ[Date]&lt;=$C$8),CsDJ[Debit])))+(SUM(IF((CRDJ[Sort Code]=(TRIM(E$5)))*(CRDJ[Account Code]=(TRIM($B29)))*(CRDJ[Date]&lt;=$C$8),CRDJ[Debit])))+(SUM(IF((GJ[Sort Code]=(TRIM(E$5)))*(GJ[Account Code]=(TRIM($B29)))*(GJ[Date]&lt;=$C$8),GJ[Debit]))))</f>
        <v>0</v>
      </c>
      <c r="D29" s="466">
        <f t="array" ref="D29">((SUM(IF((CkDJ[Date]=$A$4)*(CkDJ[Sort Code]=(TRIM(E$5)))*(CkDJ[Account Code]=(TRIM($B29))),CkDJ[Credit])))+(SUM(IF((CsDJ[Date]=$A$4)*(CsDJ[Sort Code]=(TRIM(E$5)))*(CsDJ[Account Code]=(TRIM($B29))),CsDJ[Credit])))+(SUM(IF((CRDJ[Date]=$A$4)*(CRDJ[Sort Code]=(TRIM(E$5)))*(CRDJ[Account Code]=(TRIM($B29))),CRDJ[Credit])))+(SUM(IF((GJ[Date]=$A$4)*(GJ[Sort Code]=(TRIM(E$5)))*(GJ[Account Code]=(TRIM($B29))),GJ[Credit]))))-((SUM(IF((CkDJ[Date]=$A$4)*(CkDJ[Sort Code]=(TRIM(E$5)))*(CkDJ[Account Code]=(TRIM($B29))),CkDJ[Debit])))+(SUM(IF((CsDJ[Date]=$A$4)*(CsDJ[Sort Code]=(TRIM(E$5)))*(CsDJ[Account Code]=(TRIM($B29))),CsDJ[Debit])))+(SUM(IF((CRDJ[Date]=$A$4)*(CRDJ[Sort Code]=(TRIM(E$5)))*(CRDJ[Account Code]=(TRIM($B29))),CRDJ[Debit])))+(SUM(IF((GJ[Date]=$A$4)*(GJ[Sort Code]=(TRIM(E$5)))*(GJ[Account Code]=(TRIM($B29))),GJ[Debit]))))</f>
        <v>0</v>
      </c>
      <c r="E29" s="467">
        <f>C29+D29</f>
        <v>0</v>
      </c>
    </row>
    <row r="30" spans="1:5" hidden="1">
      <c r="A30" s="476" t="s">
        <v>818</v>
      </c>
      <c r="B30" s="339" t="s">
        <v>145</v>
      </c>
      <c r="C30" s="466">
        <f t="array" ref="C30">((SUM(IF((CkDJ[Sort Code]=(TRIM(E$5)))*(CkDJ[Account Code]=(TRIM($B30)))*(CkDJ[Date]&lt;=$C$8),CkDJ[Credit])))+(SUM(IF((CsDJ[Sort Code]=(TRIM(E$5)))*(CsDJ[Account Code]=(TRIM($B30)))*(CsDJ[Date]&lt;=$C$8),CsDJ[Credit])))+(SUM(IF((CRDJ[Sort Code]=(TRIM(E$5)))*(CRDJ[Account Code]=(TRIM($B30)))*(CRDJ[Date]&lt;=$C$8),CRDJ[Credit])))+(SUM(IF((GJ[Sort Code]=(TRIM(E$5)))*(GJ[Account Code]=(TRIM($B30)))*(GJ[Date]&lt;=$C$8),GJ[Credit]))))-((SUM(IF((CkDJ[Sort Code]=(TRIM(E$5)))*(CkDJ[Account Code]=(TRIM($B30)))*(CkDJ[Date]&lt;=$C$8),CkDJ[Debit])))+(SUM(IF((CsDJ[Sort Code]=(TRIM(E$5)))*(CsDJ[Account Code]=(TRIM($B30)))*(CsDJ[Date]&lt;=$C$8),CsDJ[Debit])))+(SUM(IF((CRDJ[Sort Code]=(TRIM(E$5)))*(CRDJ[Account Code]=(TRIM($B30)))*(CRDJ[Date]&lt;=$C$8),CRDJ[Debit])))+(SUM(IF((GJ[Sort Code]=(TRIM(E$5)))*(GJ[Account Code]=(TRIM($B30)))*(GJ[Date]&lt;=$C$8),GJ[Debit]))))</f>
        <v>0</v>
      </c>
      <c r="D30" s="466">
        <f t="array" ref="D30">((SUM(IF((CkDJ[Date]=$A$4)*(CkDJ[Sort Code]=(TRIM(E$5)))*(CkDJ[Account Code]=(TRIM($B30))),CkDJ[Credit])))+(SUM(IF((CsDJ[Date]=$A$4)*(CsDJ[Sort Code]=(TRIM(E$5)))*(CsDJ[Account Code]=(TRIM($B30))),CsDJ[Credit])))+(SUM(IF((CRDJ[Date]=$A$4)*(CRDJ[Sort Code]=(TRIM(E$5)))*(CRDJ[Account Code]=(TRIM($B30))),CRDJ[Credit])))+(SUM(IF((GJ[Date]=$A$4)*(GJ[Sort Code]=(TRIM(E$5)))*(GJ[Account Code]=(TRIM($B30))),GJ[Credit]))))-((SUM(IF((CkDJ[Date]=$A$4)*(CkDJ[Sort Code]=(TRIM(E$5)))*(CkDJ[Account Code]=(TRIM($B30))),CkDJ[Debit])))+(SUM(IF((CsDJ[Date]=$A$4)*(CsDJ[Sort Code]=(TRIM(E$5)))*(CsDJ[Account Code]=(TRIM($B30))),CsDJ[Debit])))+(SUM(IF((CRDJ[Date]=$A$4)*(CRDJ[Sort Code]=(TRIM(E$5)))*(CRDJ[Account Code]=(TRIM($B30))),CRDJ[Debit])))+(SUM(IF((GJ[Date]=$A$4)*(GJ[Sort Code]=(TRIM(E$5)))*(GJ[Account Code]=(TRIM($B30))),GJ[Debit]))))</f>
        <v>0</v>
      </c>
      <c r="E30" s="467">
        <f>C30+D30</f>
        <v>0</v>
      </c>
    </row>
    <row r="31" spans="1:5">
      <c r="A31" s="473" t="s">
        <v>1165</v>
      </c>
      <c r="B31" s="339"/>
      <c r="C31" s="477">
        <f>SUM(C32:C34)</f>
        <v>0</v>
      </c>
      <c r="D31" s="477">
        <f>SUM(D32:D34)</f>
        <v>0</v>
      </c>
      <c r="E31" s="477">
        <f>SUM(E32:E34)</f>
        <v>0</v>
      </c>
    </row>
    <row r="32" spans="1:5">
      <c r="A32" s="475" t="s">
        <v>139</v>
      </c>
      <c r="B32" s="339" t="s">
        <v>130</v>
      </c>
      <c r="C32" s="466">
        <f t="array" ref="C32">((SUM(IF((CkDJ[Sort Code]=(TRIM(E$5)))*(CkDJ[Account Code]=(TRIM($B32)))*(CkDJ[Date]&lt;=$C$8),CkDJ[Credit])))+(SUM(IF((CsDJ[Sort Code]=(TRIM(E$5)))*(CsDJ[Account Code]=(TRIM($B32)))*(CsDJ[Date]&lt;=$C$8),CsDJ[Credit])))+(SUM(IF((CRDJ[Sort Code]=(TRIM(E$5)))*(CRDJ[Account Code]=(TRIM($B32)))*(CRDJ[Date]&lt;=$C$8),CRDJ[Credit])))+(SUM(IF((GJ[Sort Code]=(TRIM(E$5)))*(GJ[Account Code]=(TRIM($B32)))*(GJ[Date]&lt;=$C$8),GJ[Credit]))))-((SUM(IF((CkDJ[Sort Code]=(TRIM(E$5)))*(CkDJ[Account Code]=(TRIM($B32)))*(CkDJ[Date]&lt;=$C$8),CkDJ[Debit])))+(SUM(IF((CsDJ[Sort Code]=(TRIM(E$5)))*(CsDJ[Account Code]=(TRIM($B32)))*(CsDJ[Date]&lt;=$C$8),CsDJ[Debit])))+(SUM(IF((CRDJ[Sort Code]=(TRIM(E$5)))*(CRDJ[Account Code]=(TRIM($B32)))*(CRDJ[Date]&lt;=$C$8),CRDJ[Debit])))+(SUM(IF((GJ[Sort Code]=(TRIM(E$5)))*(GJ[Account Code]=(TRIM($B32)))*(GJ[Date]&lt;=$C$8),GJ[Debit]))))</f>
        <v>0</v>
      </c>
      <c r="D32" s="466">
        <f t="array" ref="D32">((SUM(IF((CkDJ[Date]=$A$4)*(CkDJ[Sort Code]=(TRIM(E$5)))*(CkDJ[Account Code]=(TRIM($B32))),CkDJ[Credit])))+(SUM(IF((CsDJ[Date]=$A$4)*(CsDJ[Sort Code]=(TRIM(E$5)))*(CsDJ[Account Code]=(TRIM($B32))),CsDJ[Credit])))+(SUM(IF((CRDJ[Date]=$A$4)*(CRDJ[Sort Code]=(TRIM(E$5)))*(CRDJ[Account Code]=(TRIM($B32))),CRDJ[Credit])))+(SUM(IF((GJ[Date]=$A$4)*(GJ[Sort Code]=(TRIM(E$5)))*(GJ[Account Code]=(TRIM($B32))),GJ[Credit]))))-((SUM(IF((CkDJ[Date]=$A$4)*(CkDJ[Sort Code]=(TRIM(E$5)))*(CkDJ[Account Code]=(TRIM($B32))),CkDJ[Debit])))+(SUM(IF((CsDJ[Date]=$A$4)*(CsDJ[Sort Code]=(TRIM(E$5)))*(CsDJ[Account Code]=(TRIM($B32))),CsDJ[Debit])))+(SUM(IF((CRDJ[Date]=$A$4)*(CRDJ[Sort Code]=(TRIM(E$5)))*(CRDJ[Account Code]=(TRIM($B32))),CRDJ[Debit])))+(SUM(IF((GJ[Date]=$A$4)*(GJ[Sort Code]=(TRIM(E$5)))*(GJ[Account Code]=(TRIM($B32))),GJ[Debit]))))</f>
        <v>0</v>
      </c>
      <c r="E32" s="467">
        <f>C32+D32</f>
        <v>0</v>
      </c>
    </row>
    <row r="33" spans="1:5">
      <c r="A33" s="475" t="s">
        <v>180</v>
      </c>
      <c r="B33" s="339" t="s">
        <v>141</v>
      </c>
      <c r="C33" s="466">
        <f t="array" ref="C33">((SUM(IF((CkDJ[Sort Code]=(TRIM(E$5)))*(CkDJ[Account Code]=(TRIM($B33)))*(CkDJ[Date]&lt;=$C$8),CkDJ[Credit])))+(SUM(IF((CsDJ[Sort Code]=(TRIM(E$5)))*(CsDJ[Account Code]=(TRIM($B33)))*(CsDJ[Date]&lt;=$C$8),CsDJ[Credit])))+(SUM(IF((CRDJ[Sort Code]=(TRIM(E$5)))*(CRDJ[Account Code]=(TRIM($B33)))*(CRDJ[Date]&lt;=$C$8),CRDJ[Credit])))+(SUM(IF((GJ[Sort Code]=(TRIM(E$5)))*(GJ[Account Code]=(TRIM($B33)))*(GJ[Date]&lt;=$C$8),GJ[Credit]))))-((SUM(IF((CkDJ[Sort Code]=(TRIM(E$5)))*(CkDJ[Account Code]=(TRIM($B33)))*(CkDJ[Date]&lt;=$C$8),CkDJ[Debit])))+(SUM(IF((CsDJ[Sort Code]=(TRIM(E$5)))*(CsDJ[Account Code]=(TRIM($B33)))*(CsDJ[Date]&lt;=$C$8),CsDJ[Debit])))+(SUM(IF((CRDJ[Sort Code]=(TRIM(E$5)))*(CRDJ[Account Code]=(TRIM($B33)))*(CRDJ[Date]&lt;=$C$8),CRDJ[Debit])))+(SUM(IF((GJ[Sort Code]=(TRIM(E$5)))*(GJ[Account Code]=(TRIM($B33)))*(GJ[Date]&lt;=$C$8),GJ[Debit]))))</f>
        <v>0</v>
      </c>
      <c r="D33" s="466">
        <f t="array" ref="D33">((SUM(IF((CkDJ[Date]=$A$4)*(CkDJ[Sort Code]=(TRIM(E$5)))*(CkDJ[Account Code]=(TRIM($B33))),CkDJ[Credit])))+(SUM(IF((CsDJ[Date]=$A$4)*(CsDJ[Sort Code]=(TRIM(E$5)))*(CsDJ[Account Code]=(TRIM($B33))),CsDJ[Credit])))+(SUM(IF((CRDJ[Date]=$A$4)*(CRDJ[Sort Code]=(TRIM(E$5)))*(CRDJ[Account Code]=(TRIM($B33))),CRDJ[Credit])))+(SUM(IF((GJ[Date]=$A$4)*(GJ[Sort Code]=(TRIM(E$5)))*(GJ[Account Code]=(TRIM($B33))),GJ[Credit]))))-((SUM(IF((CkDJ[Date]=$A$4)*(CkDJ[Sort Code]=(TRIM(E$5)))*(CkDJ[Account Code]=(TRIM($B33))),CkDJ[Debit])))+(SUM(IF((CsDJ[Date]=$A$4)*(CsDJ[Sort Code]=(TRIM(E$5)))*(CsDJ[Account Code]=(TRIM($B33))),CsDJ[Debit])))+(SUM(IF((CRDJ[Date]=$A$4)*(CRDJ[Sort Code]=(TRIM(E$5)))*(CRDJ[Account Code]=(TRIM($B33))),CRDJ[Debit])))+(SUM(IF((GJ[Date]=$A$4)*(GJ[Sort Code]=(TRIM(E$5)))*(GJ[Account Code]=(TRIM($B33))),GJ[Debit]))))</f>
        <v>0</v>
      </c>
      <c r="E33" s="467">
        <f>C33+D33</f>
        <v>0</v>
      </c>
    </row>
    <row r="34" spans="1:5">
      <c r="A34" s="475" t="s">
        <v>181</v>
      </c>
      <c r="B34" s="339" t="s">
        <v>142</v>
      </c>
      <c r="C34" s="466">
        <f t="array" ref="C34">((SUM(IF((CkDJ[Sort Code]=(TRIM(E$5)))*(CkDJ[Account Code]=(TRIM($B34)))*(CkDJ[Date]&lt;=$C$8),CkDJ[Credit])))+(SUM(IF((CsDJ[Sort Code]=(TRIM(E$5)))*(CsDJ[Account Code]=(TRIM($B34)))*(CsDJ[Date]&lt;=$C$8),CsDJ[Credit])))+(SUM(IF((CRDJ[Sort Code]=(TRIM(E$5)))*(CRDJ[Account Code]=(TRIM($B34)))*(CRDJ[Date]&lt;=$C$8),CRDJ[Credit])))+(SUM(IF((GJ[Sort Code]=(TRIM(E$5)))*(GJ[Account Code]=(TRIM($B34)))*(GJ[Date]&lt;=$C$8),GJ[Credit]))))-((SUM(IF((CkDJ[Sort Code]=(TRIM(E$5)))*(CkDJ[Account Code]=(TRIM($B34)))*(CkDJ[Date]&lt;=$C$8),CkDJ[Debit])))+(SUM(IF((CsDJ[Sort Code]=(TRIM(E$5)))*(CsDJ[Account Code]=(TRIM($B34)))*(CsDJ[Date]&lt;=$C$8),CsDJ[Debit])))+(SUM(IF((CRDJ[Sort Code]=(TRIM(E$5)))*(CRDJ[Account Code]=(TRIM($B34)))*(CRDJ[Date]&lt;=$C$8),CRDJ[Debit])))+(SUM(IF((GJ[Sort Code]=(TRIM(E$5)))*(GJ[Account Code]=(TRIM($B34)))*(GJ[Date]&lt;=$C$8),GJ[Debit]))))</f>
        <v>0</v>
      </c>
      <c r="D34" s="466">
        <f t="array" ref="D34">((SUM(IF((CkDJ[Date]=$A$4)*(CkDJ[Sort Code]=(TRIM(E$5)))*(CkDJ[Account Code]=(TRIM($B34))),CkDJ[Credit])))+(SUM(IF((CsDJ[Date]=$A$4)*(CsDJ[Sort Code]=(TRIM(E$5)))*(CsDJ[Account Code]=(TRIM($B34))),CsDJ[Credit])))+(SUM(IF((CRDJ[Date]=$A$4)*(CRDJ[Sort Code]=(TRIM(E$5)))*(CRDJ[Account Code]=(TRIM($B34))),CRDJ[Credit])))+(SUM(IF((GJ[Date]=$A$4)*(GJ[Sort Code]=(TRIM(E$5)))*(GJ[Account Code]=(TRIM($B34))),GJ[Credit]))))-((SUM(IF((CkDJ[Date]=$A$4)*(CkDJ[Sort Code]=(TRIM(E$5)))*(CkDJ[Account Code]=(TRIM($B34))),CkDJ[Debit])))+(SUM(IF((CsDJ[Date]=$A$4)*(CsDJ[Sort Code]=(TRIM(E$5)))*(CsDJ[Account Code]=(TRIM($B34))),CsDJ[Debit])))+(SUM(IF((CRDJ[Date]=$A$4)*(CRDJ[Sort Code]=(TRIM(E$5)))*(CRDJ[Account Code]=(TRIM($B34))),CRDJ[Debit])))+(SUM(IF((GJ[Date]=$A$4)*(GJ[Sort Code]=(TRIM(E$5)))*(GJ[Account Code]=(TRIM($B34))),GJ[Debit]))))</f>
        <v>0</v>
      </c>
      <c r="E34" s="467">
        <f>C34+D34</f>
        <v>0</v>
      </c>
    </row>
    <row r="35" spans="1:5">
      <c r="A35" s="473" t="s">
        <v>1166</v>
      </c>
      <c r="B35" s="339"/>
      <c r="C35" s="477">
        <f>SUM(C36:C44)</f>
        <v>0</v>
      </c>
      <c r="D35" s="477">
        <f>SUM(D36:D44)</f>
        <v>0</v>
      </c>
      <c r="E35" s="477">
        <f>SUM(E36:E44)</f>
        <v>0</v>
      </c>
    </row>
    <row r="36" spans="1:5">
      <c r="A36" s="475" t="s">
        <v>186</v>
      </c>
      <c r="B36" s="339" t="s">
        <v>150</v>
      </c>
      <c r="C36" s="466">
        <f t="array" ref="C36">((SUM(IF((CkDJ[Sort Code]=(TRIM(E$5)))*(CkDJ[Account Code]=(TRIM($B36)))*(CkDJ[Date]&lt;=$C$8),CkDJ[Credit])))+(SUM(IF((CsDJ[Sort Code]=(TRIM(E$5)))*(CsDJ[Account Code]=(TRIM($B36)))*(CsDJ[Date]&lt;=$C$8),CsDJ[Credit])))+(SUM(IF((CRDJ[Sort Code]=(TRIM(E$5)))*(CRDJ[Account Code]=(TRIM($B36)))*(CRDJ[Date]&lt;=$C$8),CRDJ[Credit])))+(SUM(IF((GJ[Sort Code]=(TRIM(E$5)))*(GJ[Account Code]=(TRIM($B36)))*(GJ[Date]&lt;=$C$8),GJ[Credit]))))-((SUM(IF((CkDJ[Sort Code]=(TRIM(E$5)))*(CkDJ[Account Code]=(TRIM($B36)))*(CkDJ[Date]&lt;=$C$8),CkDJ[Debit])))+(SUM(IF((CsDJ[Sort Code]=(TRIM(E$5)))*(CsDJ[Account Code]=(TRIM($B36)))*(CsDJ[Date]&lt;=$C$8),CsDJ[Debit])))+(SUM(IF((CRDJ[Sort Code]=(TRIM(E$5)))*(CRDJ[Account Code]=(TRIM($B36)))*(CRDJ[Date]&lt;=$C$8),CRDJ[Debit])))+(SUM(IF((GJ[Sort Code]=(TRIM(E$5)))*(GJ[Account Code]=(TRIM($B36)))*(GJ[Date]&lt;=$C$8),GJ[Debit]))))</f>
        <v>0</v>
      </c>
      <c r="D36" s="466">
        <f t="array" ref="D36">((SUM(IF((CkDJ[Date]=$A$4)*(CkDJ[Sort Code]=(TRIM(E$5)))*(CkDJ[Account Code]=(TRIM($B36))),CkDJ[Credit])))+(SUM(IF((CsDJ[Date]=$A$4)*(CsDJ[Sort Code]=(TRIM(E$5)))*(CsDJ[Account Code]=(TRIM($B36))),CsDJ[Credit])))+(SUM(IF((CRDJ[Date]=$A$4)*(CRDJ[Sort Code]=(TRIM(E$5)))*(CRDJ[Account Code]=(TRIM($B36))),CRDJ[Credit])))+(SUM(IF((GJ[Date]=$A$4)*(GJ[Sort Code]=(TRIM(E$5)))*(GJ[Account Code]=(TRIM($B36))),GJ[Credit]))))-((SUM(IF((CkDJ[Date]=$A$4)*(CkDJ[Sort Code]=(TRIM(E$5)))*(CkDJ[Account Code]=(TRIM($B36))),CkDJ[Debit])))+(SUM(IF((CsDJ[Date]=$A$4)*(CsDJ[Sort Code]=(TRIM(E$5)))*(CsDJ[Account Code]=(TRIM($B36))),CsDJ[Debit])))+(SUM(IF((CRDJ[Date]=$A$4)*(CRDJ[Sort Code]=(TRIM(E$5)))*(CRDJ[Account Code]=(TRIM($B36))),CRDJ[Debit])))+(SUM(IF((GJ[Date]=$A$4)*(GJ[Sort Code]=(TRIM(E$5)))*(GJ[Account Code]=(TRIM($B36))),GJ[Debit]))))</f>
        <v>0</v>
      </c>
      <c r="E36" s="467">
        <f t="shared" ref="E36:E44" si="0">C36+D36</f>
        <v>0</v>
      </c>
    </row>
    <row r="37" spans="1:5">
      <c r="A37" s="475" t="s">
        <v>187</v>
      </c>
      <c r="B37" s="339" t="s">
        <v>153</v>
      </c>
      <c r="C37" s="466">
        <f t="array" ref="C37">((SUM(IF((CkDJ[Sort Code]=(TRIM(E$5)))*(CkDJ[Account Code]=(TRIM($B37)))*(CkDJ[Date]&lt;=$C$8),CkDJ[Credit])))+(SUM(IF((CsDJ[Sort Code]=(TRIM(E$5)))*(CsDJ[Account Code]=(TRIM($B37)))*(CsDJ[Date]&lt;=$C$8),CsDJ[Credit])))+(SUM(IF((CRDJ[Sort Code]=(TRIM(E$5)))*(CRDJ[Account Code]=(TRIM($B37)))*(CRDJ[Date]&lt;=$C$8),CRDJ[Credit])))+(SUM(IF((GJ[Sort Code]=(TRIM(E$5)))*(GJ[Account Code]=(TRIM($B37)))*(GJ[Date]&lt;=$C$8),GJ[Credit]))))-((SUM(IF((CkDJ[Sort Code]=(TRIM(E$5)))*(CkDJ[Account Code]=(TRIM($B37)))*(CkDJ[Date]&lt;=$C$8),CkDJ[Debit])))+(SUM(IF((CsDJ[Sort Code]=(TRIM(E$5)))*(CsDJ[Account Code]=(TRIM($B37)))*(CsDJ[Date]&lt;=$C$8),CsDJ[Debit])))+(SUM(IF((CRDJ[Sort Code]=(TRIM(E$5)))*(CRDJ[Account Code]=(TRIM($B37)))*(CRDJ[Date]&lt;=$C$8),CRDJ[Debit])))+(SUM(IF((GJ[Sort Code]=(TRIM(E$5)))*(GJ[Account Code]=(TRIM($B37)))*(GJ[Date]&lt;=$C$8),GJ[Debit]))))</f>
        <v>0</v>
      </c>
      <c r="D37" s="466">
        <f t="array" ref="D37">((SUM(IF((CkDJ[Date]=$A$4)*(CkDJ[Sort Code]=(TRIM(E$5)))*(CkDJ[Account Code]=(TRIM($B37))),CkDJ[Credit])))+(SUM(IF((CsDJ[Date]=$A$4)*(CsDJ[Sort Code]=(TRIM(E$5)))*(CsDJ[Account Code]=(TRIM($B37))),CsDJ[Credit])))+(SUM(IF((CRDJ[Date]=$A$4)*(CRDJ[Sort Code]=(TRIM(E$5)))*(CRDJ[Account Code]=(TRIM($B37))),CRDJ[Credit])))+(SUM(IF((GJ[Date]=$A$4)*(GJ[Sort Code]=(TRIM(E$5)))*(GJ[Account Code]=(TRIM($B37))),GJ[Credit]))))-((SUM(IF((CkDJ[Date]=$A$4)*(CkDJ[Sort Code]=(TRIM(E$5)))*(CkDJ[Account Code]=(TRIM($B37))),CkDJ[Debit])))+(SUM(IF((CsDJ[Date]=$A$4)*(CsDJ[Sort Code]=(TRIM(E$5)))*(CsDJ[Account Code]=(TRIM($B37))),CsDJ[Debit])))+(SUM(IF((CRDJ[Date]=$A$4)*(CRDJ[Sort Code]=(TRIM(E$5)))*(CRDJ[Account Code]=(TRIM($B37))),CRDJ[Debit])))+(SUM(IF((GJ[Date]=$A$4)*(GJ[Sort Code]=(TRIM(E$5)))*(GJ[Account Code]=(TRIM($B37))),GJ[Debit]))))</f>
        <v>0</v>
      </c>
      <c r="E37" s="467">
        <f t="shared" si="0"/>
        <v>0</v>
      </c>
    </row>
    <row r="38" spans="1:5">
      <c r="A38" s="475" t="s">
        <v>188</v>
      </c>
      <c r="B38" s="339" t="s">
        <v>154</v>
      </c>
      <c r="C38" s="466">
        <f t="array" ref="C38">((SUM(IF((CkDJ[Sort Code]=(TRIM(E$5)))*(CkDJ[Account Code]=(TRIM($B38)))*(CkDJ[Date]&lt;=$C$8),CkDJ[Credit])))+(SUM(IF((CsDJ[Sort Code]=(TRIM(E$5)))*(CsDJ[Account Code]=(TRIM($B38)))*(CsDJ[Date]&lt;=$C$8),CsDJ[Credit])))+(SUM(IF((CRDJ[Sort Code]=(TRIM(E$5)))*(CRDJ[Account Code]=(TRIM($B38)))*(CRDJ[Date]&lt;=$C$8),CRDJ[Credit])))+(SUM(IF((GJ[Sort Code]=(TRIM(E$5)))*(GJ[Account Code]=(TRIM($B38)))*(GJ[Date]&lt;=$C$8),GJ[Credit]))))-((SUM(IF((CkDJ[Sort Code]=(TRIM(E$5)))*(CkDJ[Account Code]=(TRIM($B38)))*(CkDJ[Date]&lt;=$C$8),CkDJ[Debit])))+(SUM(IF((CsDJ[Sort Code]=(TRIM(E$5)))*(CsDJ[Account Code]=(TRIM($B38)))*(CsDJ[Date]&lt;=$C$8),CsDJ[Debit])))+(SUM(IF((CRDJ[Sort Code]=(TRIM(E$5)))*(CRDJ[Account Code]=(TRIM($B38)))*(CRDJ[Date]&lt;=$C$8),CRDJ[Debit])))+(SUM(IF((GJ[Sort Code]=(TRIM(E$5)))*(GJ[Account Code]=(TRIM($B38)))*(GJ[Date]&lt;=$C$8),GJ[Debit]))))</f>
        <v>0</v>
      </c>
      <c r="D38" s="466">
        <f t="array" ref="D38">((SUM(IF((CkDJ[Date]=$A$4)*(CkDJ[Sort Code]=(TRIM(E$5)))*(CkDJ[Account Code]=(TRIM($B38))),CkDJ[Credit])))+(SUM(IF((CsDJ[Date]=$A$4)*(CsDJ[Sort Code]=(TRIM(E$5)))*(CsDJ[Account Code]=(TRIM($B38))),CsDJ[Credit])))+(SUM(IF((CRDJ[Date]=$A$4)*(CRDJ[Sort Code]=(TRIM(E$5)))*(CRDJ[Account Code]=(TRIM($B38))),CRDJ[Credit])))+(SUM(IF((GJ[Date]=$A$4)*(GJ[Sort Code]=(TRIM(E$5)))*(GJ[Account Code]=(TRIM($B38))),GJ[Credit]))))-((SUM(IF((CkDJ[Date]=$A$4)*(CkDJ[Sort Code]=(TRIM(E$5)))*(CkDJ[Account Code]=(TRIM($B38))),CkDJ[Debit])))+(SUM(IF((CsDJ[Date]=$A$4)*(CsDJ[Sort Code]=(TRIM(E$5)))*(CsDJ[Account Code]=(TRIM($B38))),CsDJ[Debit])))+(SUM(IF((CRDJ[Date]=$A$4)*(CRDJ[Sort Code]=(TRIM(E$5)))*(CRDJ[Account Code]=(TRIM($B38))),CRDJ[Debit])))+(SUM(IF((GJ[Date]=$A$4)*(GJ[Sort Code]=(TRIM(E$5)))*(GJ[Account Code]=(TRIM($B38))),GJ[Debit]))))</f>
        <v>0</v>
      </c>
      <c r="E38" s="467">
        <f t="shared" si="0"/>
        <v>0</v>
      </c>
    </row>
    <row r="39" spans="1:5">
      <c r="A39" s="475" t="s">
        <v>189</v>
      </c>
      <c r="B39" s="339" t="s">
        <v>155</v>
      </c>
      <c r="C39" s="466">
        <f t="array" ref="C39">((SUM(IF((CkDJ[Sort Code]=(TRIM(E$5)))*(CkDJ[Account Code]=(TRIM($B39)))*(CkDJ[Date]&lt;=$C$8),CkDJ[Credit])))+(SUM(IF((CsDJ[Sort Code]=(TRIM(E$5)))*(CsDJ[Account Code]=(TRIM($B39)))*(CsDJ[Date]&lt;=$C$8),CsDJ[Credit])))+(SUM(IF((CRDJ[Sort Code]=(TRIM(E$5)))*(CRDJ[Account Code]=(TRIM($B39)))*(CRDJ[Date]&lt;=$C$8),CRDJ[Credit])))+(SUM(IF((GJ[Sort Code]=(TRIM(E$5)))*(GJ[Account Code]=(TRIM($B39)))*(GJ[Date]&lt;=$C$8),GJ[Credit]))))-((SUM(IF((CkDJ[Sort Code]=(TRIM(E$5)))*(CkDJ[Account Code]=(TRIM($B39)))*(CkDJ[Date]&lt;=$C$8),CkDJ[Debit])))+(SUM(IF((CsDJ[Sort Code]=(TRIM(E$5)))*(CsDJ[Account Code]=(TRIM($B39)))*(CsDJ[Date]&lt;=$C$8),CsDJ[Debit])))+(SUM(IF((CRDJ[Sort Code]=(TRIM(E$5)))*(CRDJ[Account Code]=(TRIM($B39)))*(CRDJ[Date]&lt;=$C$8),CRDJ[Debit])))+(SUM(IF((GJ[Sort Code]=(TRIM(E$5)))*(GJ[Account Code]=(TRIM($B39)))*(GJ[Date]&lt;=$C$8),GJ[Debit]))))</f>
        <v>0</v>
      </c>
      <c r="D39" s="466">
        <f t="array" ref="D39">((SUM(IF((CkDJ[Date]=$A$4)*(CkDJ[Sort Code]=(TRIM(E$5)))*(CkDJ[Account Code]=(TRIM($B39))),CkDJ[Credit])))+(SUM(IF((CsDJ[Date]=$A$4)*(CsDJ[Sort Code]=(TRIM(E$5)))*(CsDJ[Account Code]=(TRIM($B39))),CsDJ[Credit])))+(SUM(IF((CRDJ[Date]=$A$4)*(CRDJ[Sort Code]=(TRIM(E$5)))*(CRDJ[Account Code]=(TRIM($B39))),CRDJ[Credit])))+(SUM(IF((GJ[Date]=$A$4)*(GJ[Sort Code]=(TRIM(E$5)))*(GJ[Account Code]=(TRIM($B39))),GJ[Credit]))))-((SUM(IF((CkDJ[Date]=$A$4)*(CkDJ[Sort Code]=(TRIM(E$5)))*(CkDJ[Account Code]=(TRIM($B39))),CkDJ[Debit])))+(SUM(IF((CsDJ[Date]=$A$4)*(CsDJ[Sort Code]=(TRIM(E$5)))*(CsDJ[Account Code]=(TRIM($B39))),CsDJ[Debit])))+(SUM(IF((CRDJ[Date]=$A$4)*(CRDJ[Sort Code]=(TRIM(E$5)))*(CRDJ[Account Code]=(TRIM($B39))),CRDJ[Debit])))+(SUM(IF((GJ[Date]=$A$4)*(GJ[Sort Code]=(TRIM(E$5)))*(GJ[Account Code]=(TRIM($B39))),GJ[Debit]))))</f>
        <v>0</v>
      </c>
      <c r="E39" s="467">
        <f t="shared" si="0"/>
        <v>0</v>
      </c>
    </row>
    <row r="40" spans="1:5">
      <c r="A40" s="475" t="s">
        <v>1271</v>
      </c>
      <c r="B40" s="339" t="s">
        <v>156</v>
      </c>
      <c r="C40" s="466">
        <f t="array" ref="C40">((SUM(IF((CkDJ[Sort Code]=(TRIM(E$5)))*(CkDJ[Account Code]=(TRIM($B40)))*(CkDJ[Date]&lt;=$C$8),CkDJ[Credit])))+(SUM(IF((CsDJ[Sort Code]=(TRIM(E$5)))*(CsDJ[Account Code]=(TRIM($B40)))*(CsDJ[Date]&lt;=$C$8),CsDJ[Credit])))+(SUM(IF((CRDJ[Sort Code]=(TRIM(E$5)))*(CRDJ[Account Code]=(TRIM($B40)))*(CRDJ[Date]&lt;=$C$8),CRDJ[Credit])))+(SUM(IF((GJ[Sort Code]=(TRIM(E$5)))*(GJ[Account Code]=(TRIM($B40)))*(GJ[Date]&lt;=$C$8),GJ[Credit]))))-((SUM(IF((CkDJ[Sort Code]=(TRIM(E$5)))*(CkDJ[Account Code]=(TRIM($B40)))*(CkDJ[Date]&lt;=$C$8),CkDJ[Debit])))+(SUM(IF((CsDJ[Sort Code]=(TRIM(E$5)))*(CsDJ[Account Code]=(TRIM($B40)))*(CsDJ[Date]&lt;=$C$8),CsDJ[Debit])))+(SUM(IF((CRDJ[Sort Code]=(TRIM(E$5)))*(CRDJ[Account Code]=(TRIM($B40)))*(CRDJ[Date]&lt;=$C$8),CRDJ[Debit])))+(SUM(IF((GJ[Sort Code]=(TRIM(E$5)))*(GJ[Account Code]=(TRIM($B40)))*(GJ[Date]&lt;=$C$8),GJ[Debit]))))</f>
        <v>0</v>
      </c>
      <c r="D40" s="466">
        <f t="array" ref="D40">((SUM(IF((CkDJ[Date]=$A$4)*(CkDJ[Sort Code]=(TRIM(E$5)))*(CkDJ[Account Code]=(TRIM($B40))),CkDJ[Credit])))+(SUM(IF((CsDJ[Date]=$A$4)*(CsDJ[Sort Code]=(TRIM(E$5)))*(CsDJ[Account Code]=(TRIM($B40))),CsDJ[Credit])))+(SUM(IF((CRDJ[Date]=$A$4)*(CRDJ[Sort Code]=(TRIM(E$5)))*(CRDJ[Account Code]=(TRIM($B40))),CRDJ[Credit])))+(SUM(IF((GJ[Date]=$A$4)*(GJ[Sort Code]=(TRIM(E$5)))*(GJ[Account Code]=(TRIM($B40))),GJ[Credit]))))-((SUM(IF((CkDJ[Date]=$A$4)*(CkDJ[Sort Code]=(TRIM(E$5)))*(CkDJ[Account Code]=(TRIM($B40))),CkDJ[Debit])))+(SUM(IF((CsDJ[Date]=$A$4)*(CsDJ[Sort Code]=(TRIM(E$5)))*(CsDJ[Account Code]=(TRIM($B40))),CsDJ[Debit])))+(SUM(IF((CRDJ[Date]=$A$4)*(CRDJ[Sort Code]=(TRIM(E$5)))*(CRDJ[Account Code]=(TRIM($B40))),CRDJ[Debit])))+(SUM(IF((GJ[Date]=$A$4)*(GJ[Sort Code]=(TRIM(E$5)))*(GJ[Account Code]=(TRIM($B40))),GJ[Debit]))))</f>
        <v>0</v>
      </c>
      <c r="E40" s="467">
        <f>C40+D40</f>
        <v>0</v>
      </c>
    </row>
    <row r="41" spans="1:5">
      <c r="A41" s="475" t="s">
        <v>190</v>
      </c>
      <c r="B41" s="339" t="s">
        <v>157</v>
      </c>
      <c r="C41" s="466">
        <f t="array" ref="C41">((SUM(IF((CkDJ[Sort Code]=(TRIM(E$5)))*(CkDJ[Account Code]=(TRIM($B41)))*(CkDJ[Date]&lt;=$C$8),CkDJ[Credit])))+(SUM(IF((CsDJ[Sort Code]=(TRIM(E$5)))*(CsDJ[Account Code]=(TRIM($B41)))*(CsDJ[Date]&lt;=$C$8),CsDJ[Credit])))+(SUM(IF((CRDJ[Sort Code]=(TRIM(E$5)))*(CRDJ[Account Code]=(TRIM($B41)))*(CRDJ[Date]&lt;=$C$8),CRDJ[Credit])))+(SUM(IF((GJ[Sort Code]=(TRIM(E$5)))*(GJ[Account Code]=(TRIM($B41)))*(GJ[Date]&lt;=$C$8),GJ[Credit]))))-((SUM(IF((CkDJ[Sort Code]=(TRIM(E$5)))*(CkDJ[Account Code]=(TRIM($B41)))*(CkDJ[Date]&lt;=$C$8),CkDJ[Debit])))+(SUM(IF((CsDJ[Sort Code]=(TRIM(E$5)))*(CsDJ[Account Code]=(TRIM($B41)))*(CsDJ[Date]&lt;=$C$8),CsDJ[Debit])))+(SUM(IF((CRDJ[Sort Code]=(TRIM(E$5)))*(CRDJ[Account Code]=(TRIM($B41)))*(CRDJ[Date]&lt;=$C$8),CRDJ[Debit])))+(SUM(IF((GJ[Sort Code]=(TRIM(E$5)))*(GJ[Account Code]=(TRIM($B41)))*(GJ[Date]&lt;=$C$8),GJ[Debit]))))</f>
        <v>0</v>
      </c>
      <c r="D41" s="466">
        <f t="array" ref="D41">((SUM(IF((CkDJ[Date]=$A$4)*(CkDJ[Sort Code]=(TRIM(E$5)))*(CkDJ[Account Code]=(TRIM($B41))),CkDJ[Credit])))+(SUM(IF((CsDJ[Date]=$A$4)*(CsDJ[Sort Code]=(TRIM(E$5)))*(CsDJ[Account Code]=(TRIM($B41))),CsDJ[Credit])))+(SUM(IF((CRDJ[Date]=$A$4)*(CRDJ[Sort Code]=(TRIM(E$5)))*(CRDJ[Account Code]=(TRIM($B41))),CRDJ[Credit])))+(SUM(IF((GJ[Date]=$A$4)*(GJ[Sort Code]=(TRIM(E$5)))*(GJ[Account Code]=(TRIM($B41))),GJ[Credit]))))-((SUM(IF((CkDJ[Date]=$A$4)*(CkDJ[Sort Code]=(TRIM(E$5)))*(CkDJ[Account Code]=(TRIM($B41))),CkDJ[Debit])))+(SUM(IF((CsDJ[Date]=$A$4)*(CsDJ[Sort Code]=(TRIM(E$5)))*(CsDJ[Account Code]=(TRIM($B41))),CsDJ[Debit])))+(SUM(IF((CRDJ[Date]=$A$4)*(CRDJ[Sort Code]=(TRIM(E$5)))*(CRDJ[Account Code]=(TRIM($B41))),CRDJ[Debit])))+(SUM(IF((GJ[Date]=$A$4)*(GJ[Sort Code]=(TRIM(E$5)))*(GJ[Account Code]=(TRIM($B41))),GJ[Debit]))))</f>
        <v>0</v>
      </c>
      <c r="E41" s="467">
        <f t="shared" si="0"/>
        <v>0</v>
      </c>
    </row>
    <row r="42" spans="1:5">
      <c r="A42" s="475" t="s">
        <v>192</v>
      </c>
      <c r="B42" s="339" t="s">
        <v>159</v>
      </c>
      <c r="C42" s="466">
        <f t="array" ref="C42">((SUM(IF((CkDJ[Sort Code]=(TRIM(E$5)))*(CkDJ[Account Code]=(TRIM($B42)))*(CkDJ[Date]&lt;=$C$8),CkDJ[Credit])))+(SUM(IF((CsDJ[Sort Code]=(TRIM(E$5)))*(CsDJ[Account Code]=(TRIM($B42)))*(CsDJ[Date]&lt;=$C$8),CsDJ[Credit])))+(SUM(IF((CRDJ[Sort Code]=(TRIM(E$5)))*(CRDJ[Account Code]=(TRIM($B42)))*(CRDJ[Date]&lt;=$C$8),CRDJ[Credit])))+(SUM(IF((GJ[Sort Code]=(TRIM(E$5)))*(GJ[Account Code]=(TRIM($B42)))*(GJ[Date]&lt;=$C$8),GJ[Credit]))))-((SUM(IF((CkDJ[Sort Code]=(TRIM(E$5)))*(CkDJ[Account Code]=(TRIM($B42)))*(CkDJ[Date]&lt;=$C$8),CkDJ[Debit])))+(SUM(IF((CsDJ[Sort Code]=(TRIM(E$5)))*(CsDJ[Account Code]=(TRIM($B42)))*(CsDJ[Date]&lt;=$C$8),CsDJ[Debit])))+(SUM(IF((CRDJ[Sort Code]=(TRIM(E$5)))*(CRDJ[Account Code]=(TRIM($B42)))*(CRDJ[Date]&lt;=$C$8),CRDJ[Debit])))+(SUM(IF((GJ[Sort Code]=(TRIM(E$5)))*(GJ[Account Code]=(TRIM($B42)))*(GJ[Date]&lt;=$C$8),GJ[Debit]))))</f>
        <v>0</v>
      </c>
      <c r="D42" s="466">
        <f t="array" ref="D42">((SUM(IF((CkDJ[Date]=$A$4)*(CkDJ[Sort Code]=(TRIM(E$5)))*(CkDJ[Account Code]=(TRIM($B42))),CkDJ[Credit])))+(SUM(IF((CsDJ[Date]=$A$4)*(CsDJ[Sort Code]=(TRIM(E$5)))*(CsDJ[Account Code]=(TRIM($B42))),CsDJ[Credit])))+(SUM(IF((CRDJ[Date]=$A$4)*(CRDJ[Sort Code]=(TRIM(E$5)))*(CRDJ[Account Code]=(TRIM($B42))),CRDJ[Credit])))+(SUM(IF((GJ[Date]=$A$4)*(GJ[Sort Code]=(TRIM(E$5)))*(GJ[Account Code]=(TRIM($B42))),GJ[Credit]))))-((SUM(IF((CkDJ[Date]=$A$4)*(CkDJ[Sort Code]=(TRIM(E$5)))*(CkDJ[Account Code]=(TRIM($B42))),CkDJ[Debit])))+(SUM(IF((CsDJ[Date]=$A$4)*(CsDJ[Sort Code]=(TRIM(E$5)))*(CsDJ[Account Code]=(TRIM($B42))),CsDJ[Debit])))+(SUM(IF((CRDJ[Date]=$A$4)*(CRDJ[Sort Code]=(TRIM(E$5)))*(CRDJ[Account Code]=(TRIM($B42))),CRDJ[Debit])))+(SUM(IF((GJ[Date]=$A$4)*(GJ[Sort Code]=(TRIM(E$5)))*(GJ[Account Code]=(TRIM($B42))),GJ[Debit]))))</f>
        <v>0</v>
      </c>
      <c r="E42" s="467">
        <f t="shared" si="0"/>
        <v>0</v>
      </c>
    </row>
    <row r="43" spans="1:5">
      <c r="A43" s="475" t="s">
        <v>193</v>
      </c>
      <c r="B43" s="339" t="s">
        <v>160</v>
      </c>
      <c r="C43" s="466">
        <f t="array" ref="C43">((SUM(IF((CkDJ[Sort Code]=(TRIM(E$5)))*(CkDJ[Account Code]=(TRIM($B43)))*(CkDJ[Date]&lt;=$C$8),CkDJ[Credit])))+(SUM(IF((CsDJ[Sort Code]=(TRIM(E$5)))*(CsDJ[Account Code]=(TRIM($B43)))*(CsDJ[Date]&lt;=$C$8),CsDJ[Credit])))+(SUM(IF((CRDJ[Sort Code]=(TRIM(E$5)))*(CRDJ[Account Code]=(TRIM($B43)))*(CRDJ[Date]&lt;=$C$8),CRDJ[Credit])))+(SUM(IF((GJ[Sort Code]=(TRIM(E$5)))*(GJ[Account Code]=(TRIM($B43)))*(GJ[Date]&lt;=$C$8),GJ[Credit]))))-((SUM(IF((CkDJ[Sort Code]=(TRIM(E$5)))*(CkDJ[Account Code]=(TRIM($B43)))*(CkDJ[Date]&lt;=$C$8),CkDJ[Debit])))+(SUM(IF((CsDJ[Sort Code]=(TRIM(E$5)))*(CsDJ[Account Code]=(TRIM($B43)))*(CsDJ[Date]&lt;=$C$8),CsDJ[Debit])))+(SUM(IF((CRDJ[Sort Code]=(TRIM(E$5)))*(CRDJ[Account Code]=(TRIM($B43)))*(CRDJ[Date]&lt;=$C$8),CRDJ[Debit])))+(SUM(IF((GJ[Sort Code]=(TRIM(E$5)))*(GJ[Account Code]=(TRIM($B43)))*(GJ[Date]&lt;=$C$8),GJ[Debit]))))</f>
        <v>0</v>
      </c>
      <c r="D43" s="466">
        <f t="array" ref="D43">((SUM(IF((CkDJ[Date]=$A$4)*(CkDJ[Sort Code]=(TRIM(E$5)))*(CkDJ[Account Code]=(TRIM($B43))),CkDJ[Credit])))+(SUM(IF((CsDJ[Date]=$A$4)*(CsDJ[Sort Code]=(TRIM(E$5)))*(CsDJ[Account Code]=(TRIM($B43))),CsDJ[Credit])))+(SUM(IF((CRDJ[Date]=$A$4)*(CRDJ[Sort Code]=(TRIM(E$5)))*(CRDJ[Account Code]=(TRIM($B43))),CRDJ[Credit])))+(SUM(IF((GJ[Date]=$A$4)*(GJ[Sort Code]=(TRIM(E$5)))*(GJ[Account Code]=(TRIM($B43))),GJ[Credit]))))-((SUM(IF((CkDJ[Date]=$A$4)*(CkDJ[Sort Code]=(TRIM(E$5)))*(CkDJ[Account Code]=(TRIM($B43))),CkDJ[Debit])))+(SUM(IF((CsDJ[Date]=$A$4)*(CsDJ[Sort Code]=(TRIM(E$5)))*(CsDJ[Account Code]=(TRIM($B43))),CsDJ[Debit])))+(SUM(IF((CRDJ[Date]=$A$4)*(CRDJ[Sort Code]=(TRIM(E$5)))*(CRDJ[Account Code]=(TRIM($B43))),CRDJ[Debit])))+(SUM(IF((GJ[Date]=$A$4)*(GJ[Sort Code]=(TRIM(E$5)))*(GJ[Account Code]=(TRIM($B43))),GJ[Debit]))))</f>
        <v>0</v>
      </c>
      <c r="E43" s="467">
        <f t="shared" si="0"/>
        <v>0</v>
      </c>
    </row>
    <row r="44" spans="1:5">
      <c r="A44" s="475" t="s">
        <v>191</v>
      </c>
      <c r="B44" s="339" t="s">
        <v>161</v>
      </c>
      <c r="C44" s="466">
        <f t="array" ref="C44">((SUM(IF((CkDJ[Sort Code]=(TRIM(E$5)))*(CkDJ[Account Code]=(TRIM($B44)))*(CkDJ[Date]&lt;=$C$8),CkDJ[Credit])))+(SUM(IF((CsDJ[Sort Code]=(TRIM(E$5)))*(CsDJ[Account Code]=(TRIM($B44)))*(CsDJ[Date]&lt;=$C$8),CsDJ[Credit])))+(SUM(IF((CRDJ[Sort Code]=(TRIM(E$5)))*(CRDJ[Account Code]=(TRIM($B44)))*(CRDJ[Date]&lt;=$C$8),CRDJ[Credit])))+(SUM(IF((GJ[Sort Code]=(TRIM(E$5)))*(GJ[Account Code]=(TRIM($B44)))*(GJ[Date]&lt;=$C$8),GJ[Credit]))))-((SUM(IF((CkDJ[Sort Code]=(TRIM(E$5)))*(CkDJ[Account Code]=(TRIM($B44)))*(CkDJ[Date]&lt;=$C$8),CkDJ[Debit])))+(SUM(IF((CsDJ[Sort Code]=(TRIM(E$5)))*(CsDJ[Account Code]=(TRIM($B44)))*(CsDJ[Date]&lt;=$C$8),CsDJ[Debit])))+(SUM(IF((CRDJ[Sort Code]=(TRIM(E$5)))*(CRDJ[Account Code]=(TRIM($B44)))*(CRDJ[Date]&lt;=$C$8),CRDJ[Debit])))+(SUM(IF((GJ[Sort Code]=(TRIM(E$5)))*(GJ[Account Code]=(TRIM($B44)))*(GJ[Date]&lt;=$C$8),GJ[Debit]))))</f>
        <v>0</v>
      </c>
      <c r="D44" s="466">
        <f t="array" ref="D44">((SUM(IF((CkDJ[Date]=$A$4)*(CkDJ[Sort Code]=(TRIM(E$5)))*(CkDJ[Account Code]=(TRIM($B44))),CkDJ[Credit])))+(SUM(IF((CsDJ[Date]=$A$4)*(CsDJ[Sort Code]=(TRIM(E$5)))*(CsDJ[Account Code]=(TRIM($B44))),CsDJ[Credit])))+(SUM(IF((CRDJ[Date]=$A$4)*(CRDJ[Sort Code]=(TRIM(E$5)))*(CRDJ[Account Code]=(TRIM($B44))),CRDJ[Credit])))+(SUM(IF((GJ[Date]=$A$4)*(GJ[Sort Code]=(TRIM(E$5)))*(GJ[Account Code]=(TRIM($B44))),GJ[Credit]))))-((SUM(IF((CkDJ[Date]=$A$4)*(CkDJ[Sort Code]=(TRIM(E$5)))*(CkDJ[Account Code]=(TRIM($B44))),CkDJ[Debit])))+(SUM(IF((CsDJ[Date]=$A$4)*(CsDJ[Sort Code]=(TRIM(E$5)))*(CsDJ[Account Code]=(TRIM($B44))),CsDJ[Debit])))+(SUM(IF((CRDJ[Date]=$A$4)*(CRDJ[Sort Code]=(TRIM(E$5)))*(CRDJ[Account Code]=(TRIM($B44))),CRDJ[Debit])))+(SUM(IF((GJ[Date]=$A$4)*(GJ[Sort Code]=(TRIM(E$5)))*(GJ[Account Code]=(TRIM($B44))),GJ[Debit]))))</f>
        <v>0</v>
      </c>
      <c r="E44" s="467">
        <f t="shared" si="0"/>
        <v>0</v>
      </c>
    </row>
    <row r="45" spans="1:5">
      <c r="A45" s="468" t="s">
        <v>1171</v>
      </c>
      <c r="B45" s="469"/>
      <c r="C45" s="470">
        <f>C10+C16+C20+C25+C26+C31+C35</f>
        <v>0</v>
      </c>
      <c r="D45" s="470">
        <f>D10+D16+D20+D25+D26+D31+D35</f>
        <v>0</v>
      </c>
      <c r="E45" s="470">
        <f>E10+E16+E20+E25+E26+E31+E35</f>
        <v>0</v>
      </c>
    </row>
    <row r="46" spans="1:5">
      <c r="A46" s="471" t="s">
        <v>812</v>
      </c>
      <c r="B46" s="339"/>
      <c r="C46" s="472"/>
      <c r="D46" s="472"/>
      <c r="E46" s="479"/>
    </row>
    <row r="47" spans="1:5">
      <c r="A47" s="471" t="s">
        <v>811</v>
      </c>
      <c r="B47" s="339"/>
      <c r="C47" s="474">
        <f>SUM(C48:C72)</f>
        <v>0</v>
      </c>
      <c r="D47" s="474">
        <f>SUM(D48:D72)</f>
        <v>0</v>
      </c>
      <c r="E47" s="474">
        <f>SUM(E48:E72)</f>
        <v>0</v>
      </c>
    </row>
    <row r="48" spans="1:5">
      <c r="A48" s="476" t="s">
        <v>194</v>
      </c>
      <c r="B48" s="339" t="s">
        <v>162</v>
      </c>
      <c r="C48" s="466">
        <f t="array" ref="C48">((SUM(IF((CkDJ[Sort Code]=(TRIM(E$5)))*(CkDJ[Account Code]=(TRIM($B48)))*(CkDJ[Date]&lt;=$C$8),CkDJ[Debit])))+(SUM(IF((CsDJ[Sort Code]=(TRIM(E$5)))*(CsDJ[Account Code]=(TRIM($B48)))*(CsDJ[Date]&lt;=$C$8),CsDJ[Debit])))+(SUM(IF((CRDJ[Sort Code]=(TRIM(E$5)))*(CRDJ[Account Code]=(TRIM($B48)))*(CRDJ[Date]&lt;=$C$8),CRDJ[Debit])))+(SUM(IF((GJ[Sort Code]=(TRIM(E$5)))*(GJ[Account Code]=(TRIM($B48)))*(GJ[Date]&lt;=$C$8),GJ[Debit]))))-((SUM(IF((CkDJ[Sort Code]=(TRIM(E$5)))*(CkDJ[Account Code]=(TRIM($B48)))*(CkDJ[Date]&lt;=$C$8),CkDJ[Credit])))+(SUM(IF((CsDJ[Sort Code]=(TRIM(E$5)))*(CsDJ[Account Code]=(TRIM($B48)))*(CsDJ[Date]&lt;=$C$8),CsDJ[Credit])))+(SUM(IF((CRDJ[Sort Code]=(TRIM(E$5)))*(CRDJ[Account Code]=(TRIM($B48)))*(CRDJ[Date]&lt;=$C$8),CRDJ[Credit])))+(SUM(IF((GJ[Sort Code]=(TRIM(E$5)))*(GJ[Account Code]=(TRIM($B48)))*(GJ[Date]&lt;=$C$8),GJ[Credit]))))</f>
        <v>0</v>
      </c>
      <c r="D48" s="466">
        <f t="array" ref="D48">((SUM(IF((CkDJ[Date]=$A$4)*(CkDJ[Sort Code]=(TRIM(E$5)))*(CkDJ[Account Code]=(TRIM($B48))),CkDJ[Debit])))+(SUM(IF((CsDJ[Date]=$A$4)*(CsDJ[Sort Code]=(TRIM(E$5)))*(CsDJ[Account Code]=(TRIM($B48))),CsDJ[Debit])))+(SUM(IF((CRDJ[Date]=$A$4)*(CRDJ[Sort Code]=(TRIM(E$5)))*(CRDJ[Account Code]=(TRIM($B48))),CRDJ[Debit])))+(SUM(IF((GJ[Date]=$A$4)*(GJ[Sort Code]=(TRIM(E$5)))*(GJ[Account Code]=(TRIM($B48))),GJ[Debit]))))-((SUM(IF((CkDJ[Date]=$A$4)*(CkDJ[Sort Code]=(TRIM(E$5)))*(CkDJ[Account Code]=(TRIM($B48))),CkDJ[Credit])))+(SUM(IF((CsDJ[Date]=$A$4)*(CsDJ[Sort Code]=(TRIM(E$5)))*(CsDJ[Account Code]=(TRIM($B48))),CsDJ[Credit])))+(SUM(IF((CRDJ[Date]=$A$4)*(CRDJ[Sort Code]=(TRIM(E$5)))*(CRDJ[Account Code]=(TRIM($B48))),CRDJ[Credit])))+(SUM(IF((GJ[Date]=$A$4)*(GJ[Sort Code]=(TRIM(E$5)))*(GJ[Account Code]=(TRIM($B48))),GJ[Credit]))))</f>
        <v>0</v>
      </c>
      <c r="E48" s="467">
        <f t="shared" ref="E48:E53" si="1">C48+D48</f>
        <v>0</v>
      </c>
    </row>
    <row r="49" spans="1:5">
      <c r="A49" s="476" t="s">
        <v>195</v>
      </c>
      <c r="B49" s="339" t="s">
        <v>163</v>
      </c>
      <c r="C49" s="466">
        <f t="array" ref="C49">((SUM(IF((CkDJ[Sort Code]=(TRIM(E$5)))*(CkDJ[Account Code]=(TRIM($B49)))*(CkDJ[Date]&lt;=$C$8),CkDJ[Debit])))+(SUM(IF((CsDJ[Sort Code]=(TRIM(E$5)))*(CsDJ[Account Code]=(TRIM($B49)))*(CsDJ[Date]&lt;=$C$8),CsDJ[Debit])))+(SUM(IF((CRDJ[Sort Code]=(TRIM(E$5)))*(CRDJ[Account Code]=(TRIM($B49)))*(CRDJ[Date]&lt;=$C$8),CRDJ[Debit])))+(SUM(IF((GJ[Sort Code]=(TRIM(E$5)))*(GJ[Account Code]=(TRIM($B49)))*(GJ[Date]&lt;=$C$8),GJ[Debit]))))-((SUM(IF((CkDJ[Sort Code]=(TRIM(E$5)))*(CkDJ[Account Code]=(TRIM($B49)))*(CkDJ[Date]&lt;=$C$8),CkDJ[Credit])))+(SUM(IF((CsDJ[Sort Code]=(TRIM(E$5)))*(CsDJ[Account Code]=(TRIM($B49)))*(CsDJ[Date]&lt;=$C$8),CsDJ[Credit])))+(SUM(IF((CRDJ[Sort Code]=(TRIM(E$5)))*(CRDJ[Account Code]=(TRIM($B49)))*(CRDJ[Date]&lt;=$C$8),CRDJ[Credit])))+(SUM(IF((GJ[Sort Code]=(TRIM(E$5)))*(GJ[Account Code]=(TRIM($B49)))*(GJ[Date]&lt;=$C$8),GJ[Credit]))))</f>
        <v>0</v>
      </c>
      <c r="D49" s="466">
        <f t="array" ref="D49">((SUM(IF((CkDJ[Date]=$A$4)*(CkDJ[Sort Code]=(TRIM(E$5)))*(CkDJ[Account Code]=(TRIM($B49))),CkDJ[Debit])))+(SUM(IF((CsDJ[Date]=$A$4)*(CsDJ[Sort Code]=(TRIM(E$5)))*(CsDJ[Account Code]=(TRIM($B49))),CsDJ[Debit])))+(SUM(IF((CRDJ[Date]=$A$4)*(CRDJ[Sort Code]=(TRIM(E$5)))*(CRDJ[Account Code]=(TRIM($B49))),CRDJ[Debit])))+(SUM(IF((GJ[Date]=$A$4)*(GJ[Sort Code]=(TRIM(E$5)))*(GJ[Account Code]=(TRIM($B49))),GJ[Debit]))))-((SUM(IF((CkDJ[Date]=$A$4)*(CkDJ[Sort Code]=(TRIM(E$5)))*(CkDJ[Account Code]=(TRIM($B49))),CkDJ[Credit])))+(SUM(IF((CsDJ[Date]=$A$4)*(CsDJ[Sort Code]=(TRIM(E$5)))*(CsDJ[Account Code]=(TRIM($B49))),CsDJ[Credit])))+(SUM(IF((CRDJ[Date]=$A$4)*(CRDJ[Sort Code]=(TRIM(E$5)))*(CRDJ[Account Code]=(TRIM($B49))),CRDJ[Credit])))+(SUM(IF((GJ[Date]=$A$4)*(GJ[Sort Code]=(TRIM(E$5)))*(GJ[Account Code]=(TRIM($B49))),GJ[Credit]))))</f>
        <v>0</v>
      </c>
      <c r="E49" s="467">
        <f t="shared" si="1"/>
        <v>0</v>
      </c>
    </row>
    <row r="50" spans="1:5">
      <c r="A50" s="476" t="s">
        <v>196</v>
      </c>
      <c r="B50" s="339" t="s">
        <v>1013</v>
      </c>
      <c r="C50" s="466">
        <f t="array" ref="C50">((SUM(IF((CkDJ[Sort Code]=(TRIM(E$5)))*(CkDJ[Account Code]=(TRIM($B50)))*(CkDJ[Date]&lt;=$C$8),CkDJ[Debit])))+(SUM(IF((CsDJ[Sort Code]=(TRIM(E$5)))*(CsDJ[Account Code]=(TRIM($B50)))*(CsDJ[Date]&lt;=$C$8),CsDJ[Debit])))+(SUM(IF((CRDJ[Sort Code]=(TRIM(E$5)))*(CRDJ[Account Code]=(TRIM($B50)))*(CRDJ[Date]&lt;=$C$8),CRDJ[Debit])))+(SUM(IF((GJ[Sort Code]=(TRIM(E$5)))*(GJ[Account Code]=(TRIM($B50)))*(GJ[Date]&lt;=$C$8),GJ[Debit]))))-((SUM(IF((CkDJ[Sort Code]=(TRIM(E$5)))*(CkDJ[Account Code]=(TRIM($B50)))*(CkDJ[Date]&lt;=$C$8),CkDJ[Credit])))+(SUM(IF((CsDJ[Sort Code]=(TRIM(E$5)))*(CsDJ[Account Code]=(TRIM($B50)))*(CsDJ[Date]&lt;=$C$8),CsDJ[Credit])))+(SUM(IF((CRDJ[Sort Code]=(TRIM(E$5)))*(CRDJ[Account Code]=(TRIM($B50)))*(CRDJ[Date]&lt;=$C$8),CRDJ[Credit])))+(SUM(IF((GJ[Sort Code]=(TRIM(E$5)))*(GJ[Account Code]=(TRIM($B50)))*(GJ[Date]&lt;=$C$8),GJ[Credit]))))</f>
        <v>0</v>
      </c>
      <c r="D50" s="466">
        <f t="array" ref="D50">((SUM(IF((CkDJ[Date]=$A$4)*(CkDJ[Sort Code]=(TRIM(E$5)))*(CkDJ[Account Code]=(TRIM($B50))),CkDJ[Debit])))+(SUM(IF((CsDJ[Date]=$A$4)*(CsDJ[Sort Code]=(TRIM(E$5)))*(CsDJ[Account Code]=(TRIM($B50))),CsDJ[Debit])))+(SUM(IF((CRDJ[Date]=$A$4)*(CRDJ[Sort Code]=(TRIM(E$5)))*(CRDJ[Account Code]=(TRIM($B50))),CRDJ[Debit])))+(SUM(IF((GJ[Date]=$A$4)*(GJ[Sort Code]=(TRIM(E$5)))*(GJ[Account Code]=(TRIM($B50))),GJ[Debit]))))-((SUM(IF((CkDJ[Date]=$A$4)*(CkDJ[Sort Code]=(TRIM(E$5)))*(CkDJ[Account Code]=(TRIM($B50))),CkDJ[Credit])))+(SUM(IF((CsDJ[Date]=$A$4)*(CsDJ[Sort Code]=(TRIM(E$5)))*(CsDJ[Account Code]=(TRIM($B50))),CsDJ[Credit])))+(SUM(IF((CRDJ[Date]=$A$4)*(CRDJ[Sort Code]=(TRIM(E$5)))*(CRDJ[Account Code]=(TRIM($B50))),CRDJ[Credit])))+(SUM(IF((GJ[Date]=$A$4)*(GJ[Sort Code]=(TRIM(E$5)))*(GJ[Account Code]=(TRIM($B50))),GJ[Credit]))))</f>
        <v>0</v>
      </c>
      <c r="E50" s="467">
        <f t="shared" si="1"/>
        <v>0</v>
      </c>
    </row>
    <row r="51" spans="1:5">
      <c r="A51" s="476" t="s">
        <v>197</v>
      </c>
      <c r="B51" s="339" t="s">
        <v>164</v>
      </c>
      <c r="C51" s="466">
        <f t="array" ref="C51">((SUM(IF((CkDJ[Sort Code]=(TRIM(E$5)))*(CkDJ[Account Code]=(TRIM($B51)))*(CkDJ[Date]&lt;=$C$8),CkDJ[Debit])))+(SUM(IF((CsDJ[Sort Code]=(TRIM(E$5)))*(CsDJ[Account Code]=(TRIM($B51)))*(CsDJ[Date]&lt;=$C$8),CsDJ[Debit])))+(SUM(IF((CRDJ[Sort Code]=(TRIM(E$5)))*(CRDJ[Account Code]=(TRIM($B51)))*(CRDJ[Date]&lt;=$C$8),CRDJ[Debit])))+(SUM(IF((GJ[Sort Code]=(TRIM(E$5)))*(GJ[Account Code]=(TRIM($B51)))*(GJ[Date]&lt;=$C$8),GJ[Debit]))))-((SUM(IF((CkDJ[Sort Code]=(TRIM(E$5)))*(CkDJ[Account Code]=(TRIM($B51)))*(CkDJ[Date]&lt;=$C$8),CkDJ[Credit])))+(SUM(IF((CsDJ[Sort Code]=(TRIM(E$5)))*(CsDJ[Account Code]=(TRIM($B51)))*(CsDJ[Date]&lt;=$C$8),CsDJ[Credit])))+(SUM(IF((CRDJ[Sort Code]=(TRIM(E$5)))*(CRDJ[Account Code]=(TRIM($B51)))*(CRDJ[Date]&lt;=$C$8),CRDJ[Credit])))+(SUM(IF((GJ[Sort Code]=(TRIM(E$5)))*(GJ[Account Code]=(TRIM($B51)))*(GJ[Date]&lt;=$C$8),GJ[Credit]))))</f>
        <v>0</v>
      </c>
      <c r="D51" s="466">
        <f t="array" ref="D51">((SUM(IF((CkDJ[Date]=$A$4)*(CkDJ[Sort Code]=(TRIM(E$5)))*(CkDJ[Account Code]=(TRIM($B51))),CkDJ[Debit])))+(SUM(IF((CsDJ[Date]=$A$4)*(CsDJ[Sort Code]=(TRIM(E$5)))*(CsDJ[Account Code]=(TRIM($B51))),CsDJ[Debit])))+(SUM(IF((CRDJ[Date]=$A$4)*(CRDJ[Sort Code]=(TRIM(E$5)))*(CRDJ[Account Code]=(TRIM($B51))),CRDJ[Debit])))+(SUM(IF((GJ[Date]=$A$4)*(GJ[Sort Code]=(TRIM(E$5)))*(GJ[Account Code]=(TRIM($B51))),GJ[Debit]))))-((SUM(IF((CkDJ[Date]=$A$4)*(CkDJ[Sort Code]=(TRIM(E$5)))*(CkDJ[Account Code]=(TRIM($B51))),CkDJ[Credit])))+(SUM(IF((CsDJ[Date]=$A$4)*(CsDJ[Sort Code]=(TRIM(E$5)))*(CsDJ[Account Code]=(TRIM($B51))),CsDJ[Credit])))+(SUM(IF((CRDJ[Date]=$A$4)*(CRDJ[Sort Code]=(TRIM(E$5)))*(CRDJ[Account Code]=(TRIM($B51))),CRDJ[Credit])))+(SUM(IF((GJ[Date]=$A$4)*(GJ[Sort Code]=(TRIM(E$5)))*(GJ[Account Code]=(TRIM($B51))),GJ[Credit]))))</f>
        <v>0</v>
      </c>
      <c r="E51" s="467">
        <f t="shared" si="1"/>
        <v>0</v>
      </c>
    </row>
    <row r="52" spans="1:5">
      <c r="A52" s="476" t="s">
        <v>198</v>
      </c>
      <c r="B52" s="339" t="s">
        <v>165</v>
      </c>
      <c r="C52" s="466">
        <f t="array" ref="C52">((SUM(IF((CkDJ[Sort Code]=(TRIM(E$5)))*(CkDJ[Account Code]=(TRIM($B52)))*(CkDJ[Date]&lt;=$C$8),CkDJ[Debit])))+(SUM(IF((CsDJ[Sort Code]=(TRIM(E$5)))*(CsDJ[Account Code]=(TRIM($B52)))*(CsDJ[Date]&lt;=$C$8),CsDJ[Debit])))+(SUM(IF((CRDJ[Sort Code]=(TRIM(E$5)))*(CRDJ[Account Code]=(TRIM($B52)))*(CRDJ[Date]&lt;=$C$8),CRDJ[Debit])))+(SUM(IF((GJ[Sort Code]=(TRIM(E$5)))*(GJ[Account Code]=(TRIM($B52)))*(GJ[Date]&lt;=$C$8),GJ[Debit]))))-((SUM(IF((CkDJ[Sort Code]=(TRIM(E$5)))*(CkDJ[Account Code]=(TRIM($B52)))*(CkDJ[Date]&lt;=$C$8),CkDJ[Credit])))+(SUM(IF((CsDJ[Sort Code]=(TRIM(E$5)))*(CsDJ[Account Code]=(TRIM($B52)))*(CsDJ[Date]&lt;=$C$8),CsDJ[Credit])))+(SUM(IF((CRDJ[Sort Code]=(TRIM(E$5)))*(CRDJ[Account Code]=(TRIM($B52)))*(CRDJ[Date]&lt;=$C$8),CRDJ[Credit])))+(SUM(IF((GJ[Sort Code]=(TRIM(E$5)))*(GJ[Account Code]=(TRIM($B52)))*(GJ[Date]&lt;=$C$8),GJ[Credit]))))</f>
        <v>0</v>
      </c>
      <c r="D52" s="466">
        <f t="array" ref="D52">((SUM(IF((CkDJ[Date]=$A$4)*(CkDJ[Sort Code]=(TRIM(E$5)))*(CkDJ[Account Code]=(TRIM($B52))),CkDJ[Debit])))+(SUM(IF((CsDJ[Date]=$A$4)*(CsDJ[Sort Code]=(TRIM(E$5)))*(CsDJ[Account Code]=(TRIM($B52))),CsDJ[Debit])))+(SUM(IF((CRDJ[Date]=$A$4)*(CRDJ[Sort Code]=(TRIM(E$5)))*(CRDJ[Account Code]=(TRIM($B52))),CRDJ[Debit])))+(SUM(IF((GJ[Date]=$A$4)*(GJ[Sort Code]=(TRIM(E$5)))*(GJ[Account Code]=(TRIM($B52))),GJ[Debit]))))-((SUM(IF((CkDJ[Date]=$A$4)*(CkDJ[Sort Code]=(TRIM(E$5)))*(CkDJ[Account Code]=(TRIM($B52))),CkDJ[Credit])))+(SUM(IF((CsDJ[Date]=$A$4)*(CsDJ[Sort Code]=(TRIM(E$5)))*(CsDJ[Account Code]=(TRIM($B52))),CsDJ[Credit])))+(SUM(IF((CRDJ[Date]=$A$4)*(CRDJ[Sort Code]=(TRIM(E$5)))*(CRDJ[Account Code]=(TRIM($B52))),CRDJ[Credit])))+(SUM(IF((GJ[Date]=$A$4)*(GJ[Sort Code]=(TRIM(E$5)))*(GJ[Account Code]=(TRIM($B52))),GJ[Credit]))))</f>
        <v>0</v>
      </c>
      <c r="E52" s="467">
        <f t="shared" si="1"/>
        <v>0</v>
      </c>
    </row>
    <row r="53" spans="1:5">
      <c r="A53" s="476" t="s">
        <v>199</v>
      </c>
      <c r="B53" s="339" t="s">
        <v>166</v>
      </c>
      <c r="C53" s="466">
        <f t="array" ref="C53">((SUM(IF((CkDJ[Sort Code]=(TRIM(E$5)))*(CkDJ[Account Code]=(TRIM($B53)))*(CkDJ[Date]&lt;=$C$8),CkDJ[Debit])))+(SUM(IF((CsDJ[Sort Code]=(TRIM(E$5)))*(CsDJ[Account Code]=(TRIM($B53)))*(CsDJ[Date]&lt;=$C$8),CsDJ[Debit])))+(SUM(IF((CRDJ[Sort Code]=(TRIM(E$5)))*(CRDJ[Account Code]=(TRIM($B53)))*(CRDJ[Date]&lt;=$C$8),CRDJ[Debit])))+(SUM(IF((GJ[Sort Code]=(TRIM(E$5)))*(GJ[Account Code]=(TRIM($B53)))*(GJ[Date]&lt;=$C$8),GJ[Debit]))))-((SUM(IF((CkDJ[Sort Code]=(TRIM(E$5)))*(CkDJ[Account Code]=(TRIM($B53)))*(CkDJ[Date]&lt;=$C$8),CkDJ[Credit])))+(SUM(IF((CsDJ[Sort Code]=(TRIM(E$5)))*(CsDJ[Account Code]=(TRIM($B53)))*(CsDJ[Date]&lt;=$C$8),CsDJ[Credit])))+(SUM(IF((CRDJ[Sort Code]=(TRIM(E$5)))*(CRDJ[Account Code]=(TRIM($B53)))*(CRDJ[Date]&lt;=$C$8),CRDJ[Credit])))+(SUM(IF((GJ[Sort Code]=(TRIM(E$5)))*(GJ[Account Code]=(TRIM($B53)))*(GJ[Date]&lt;=$C$8),GJ[Credit]))))</f>
        <v>0</v>
      </c>
      <c r="D53" s="466">
        <f t="array" ref="D53">((SUM(IF((CkDJ[Date]=$A$4)*(CkDJ[Sort Code]=(TRIM(E$5)))*(CkDJ[Account Code]=(TRIM($B53))),CkDJ[Debit])))+(SUM(IF((CsDJ[Date]=$A$4)*(CsDJ[Sort Code]=(TRIM(E$5)))*(CsDJ[Account Code]=(TRIM($B53))),CsDJ[Debit])))+(SUM(IF((CRDJ[Date]=$A$4)*(CRDJ[Sort Code]=(TRIM(E$5)))*(CRDJ[Account Code]=(TRIM($B53))),CRDJ[Debit])))+(SUM(IF((GJ[Date]=$A$4)*(GJ[Sort Code]=(TRIM(E$5)))*(GJ[Account Code]=(TRIM($B53))),GJ[Debit]))))-((SUM(IF((CkDJ[Date]=$A$4)*(CkDJ[Sort Code]=(TRIM(E$5)))*(CkDJ[Account Code]=(TRIM($B53))),CkDJ[Credit])))+(SUM(IF((CsDJ[Date]=$A$4)*(CsDJ[Sort Code]=(TRIM(E$5)))*(CsDJ[Account Code]=(TRIM($B53))),CsDJ[Credit])))+(SUM(IF((CRDJ[Date]=$A$4)*(CRDJ[Sort Code]=(TRIM(E$5)))*(CRDJ[Account Code]=(TRIM($B53))),CRDJ[Credit])))+(SUM(IF((GJ[Date]=$A$4)*(GJ[Sort Code]=(TRIM(E$5)))*(GJ[Account Code]=(TRIM($B53))),GJ[Credit]))))</f>
        <v>0</v>
      </c>
      <c r="E53" s="467">
        <f t="shared" si="1"/>
        <v>0</v>
      </c>
    </row>
    <row r="54" spans="1:5">
      <c r="A54" s="476" t="s">
        <v>200</v>
      </c>
      <c r="B54" s="339" t="s">
        <v>167</v>
      </c>
      <c r="C54" s="466">
        <f t="array" ref="C54">((SUM(IF((CkDJ[Sort Code]=(TRIM(E$5)))*(CkDJ[Account Code]=(TRIM($B54)))*(CkDJ[Date]&lt;=$C$8),CkDJ[Debit])))+(SUM(IF((CsDJ[Sort Code]=(TRIM(E$5)))*(CsDJ[Account Code]=(TRIM($B54)))*(CsDJ[Date]&lt;=$C$8),CsDJ[Debit])))+(SUM(IF((CRDJ[Sort Code]=(TRIM(E$5)))*(CRDJ[Account Code]=(TRIM($B54)))*(CRDJ[Date]&lt;=$C$8),CRDJ[Debit])))+(SUM(IF((GJ[Sort Code]=(TRIM(E$5)))*(GJ[Account Code]=(TRIM($B54)))*(GJ[Date]&lt;=$C$8),GJ[Debit]))))-((SUM(IF((CkDJ[Sort Code]=(TRIM(E$5)))*(CkDJ[Account Code]=(TRIM($B54)))*(CkDJ[Date]&lt;=$C$8),CkDJ[Credit])))+(SUM(IF((CsDJ[Sort Code]=(TRIM(E$5)))*(CsDJ[Account Code]=(TRIM($B54)))*(CsDJ[Date]&lt;=$C$8),CsDJ[Credit])))+(SUM(IF((CRDJ[Sort Code]=(TRIM(E$5)))*(CRDJ[Account Code]=(TRIM($B54)))*(CRDJ[Date]&lt;=$C$8),CRDJ[Credit])))+(SUM(IF((GJ[Sort Code]=(TRIM(E$5)))*(GJ[Account Code]=(TRIM($B54)))*(GJ[Date]&lt;=$C$8),GJ[Credit]))))</f>
        <v>0</v>
      </c>
      <c r="D54" s="466">
        <f t="array" ref="D54">((SUM(IF((CkDJ[Date]=$A$4)*(CkDJ[Sort Code]=(TRIM(E$5)))*(CkDJ[Account Code]=(TRIM($B54))),CkDJ[Debit])))+(SUM(IF((CsDJ[Date]=$A$4)*(CsDJ[Sort Code]=(TRIM(E$5)))*(CsDJ[Account Code]=(TRIM($B54))),CsDJ[Debit])))+(SUM(IF((CRDJ[Date]=$A$4)*(CRDJ[Sort Code]=(TRIM(E$5)))*(CRDJ[Account Code]=(TRIM($B54))),CRDJ[Debit])))+(SUM(IF((GJ[Date]=$A$4)*(GJ[Sort Code]=(TRIM(E$5)))*(GJ[Account Code]=(TRIM($B54))),GJ[Debit]))))-((SUM(IF((CkDJ[Date]=$A$4)*(CkDJ[Sort Code]=(TRIM(E$5)))*(CkDJ[Account Code]=(TRIM($B54))),CkDJ[Credit])))+(SUM(IF((CsDJ[Date]=$A$4)*(CsDJ[Sort Code]=(TRIM(E$5)))*(CsDJ[Account Code]=(TRIM($B54))),CsDJ[Credit])))+(SUM(IF((CRDJ[Date]=$A$4)*(CRDJ[Sort Code]=(TRIM(E$5)))*(CRDJ[Account Code]=(TRIM($B54))),CRDJ[Credit])))+(SUM(IF((GJ[Date]=$A$4)*(GJ[Sort Code]=(TRIM(E$5)))*(GJ[Account Code]=(TRIM($B54))),GJ[Credit]))))</f>
        <v>0</v>
      </c>
      <c r="E54" s="467">
        <f>C54+D54</f>
        <v>0</v>
      </c>
    </row>
    <row r="55" spans="1:5">
      <c r="A55" s="476" t="s">
        <v>1204</v>
      </c>
      <c r="B55" s="339" t="s">
        <v>1262</v>
      </c>
      <c r="C55" s="466">
        <f t="array" ref="C55">((SUM(IF((CkDJ[Sort Code]=(TRIM(E$5)))*(CkDJ[Account Code]=(TRIM($B55)))*(CkDJ[Date]&lt;=$C$8),CkDJ[Debit])))+(SUM(IF((CsDJ[Sort Code]=(TRIM(E$5)))*(CsDJ[Account Code]=(TRIM($B55)))*(CsDJ[Date]&lt;=$C$8),CsDJ[Debit])))+(SUM(IF((CRDJ[Sort Code]=(TRIM(E$5)))*(CRDJ[Account Code]=(TRIM($B55)))*(CRDJ[Date]&lt;=$C$8),CRDJ[Debit])))+(SUM(IF((GJ[Sort Code]=(TRIM(E$5)))*(GJ[Account Code]=(TRIM($B55)))*(GJ[Date]&lt;=$C$8),GJ[Debit]))))-((SUM(IF((CkDJ[Sort Code]=(TRIM(E$5)))*(CkDJ[Account Code]=(TRIM($B55)))*(CkDJ[Date]&lt;=$C$8),CkDJ[Credit])))+(SUM(IF((CsDJ[Sort Code]=(TRIM(E$5)))*(CsDJ[Account Code]=(TRIM($B55)))*(CsDJ[Date]&lt;=$C$8),CsDJ[Credit])))+(SUM(IF((CRDJ[Sort Code]=(TRIM(E$5)))*(CRDJ[Account Code]=(TRIM($B55)))*(CRDJ[Date]&lt;=$C$8),CRDJ[Credit])))+(SUM(IF((GJ[Sort Code]=(TRIM(E$5)))*(GJ[Account Code]=(TRIM($B55)))*(GJ[Date]&lt;=$C$8),GJ[Credit]))))</f>
        <v>0</v>
      </c>
      <c r="D55" s="466">
        <f t="array" ref="D55">((SUM(IF((CkDJ[Date]=$A$4)*(CkDJ[Sort Code]=(TRIM(E$5)))*(CkDJ[Account Code]=(TRIM($B55))),CkDJ[Debit])))+(SUM(IF((CsDJ[Date]=$A$4)*(CsDJ[Sort Code]=(TRIM(E$5)))*(CsDJ[Account Code]=(TRIM($B55))),CsDJ[Debit])))+(SUM(IF((CRDJ[Date]=$A$4)*(CRDJ[Sort Code]=(TRIM(E$5)))*(CRDJ[Account Code]=(TRIM($B55))),CRDJ[Debit])))+(SUM(IF((GJ[Date]=$A$4)*(GJ[Sort Code]=(TRIM(E$5)))*(GJ[Account Code]=(TRIM($B55))),GJ[Debit]))))-((SUM(IF((CkDJ[Date]=$A$4)*(CkDJ[Sort Code]=(TRIM(E$5)))*(CkDJ[Account Code]=(TRIM($B55))),CkDJ[Credit])))+(SUM(IF((CsDJ[Date]=$A$4)*(CsDJ[Sort Code]=(TRIM(E$5)))*(CsDJ[Account Code]=(TRIM($B55))),CsDJ[Credit])))+(SUM(IF((CRDJ[Date]=$A$4)*(CRDJ[Sort Code]=(TRIM(E$5)))*(CRDJ[Account Code]=(TRIM($B55))),CRDJ[Credit])))+(SUM(IF((GJ[Date]=$A$4)*(GJ[Sort Code]=(TRIM(E$5)))*(GJ[Account Code]=(TRIM($B55))),GJ[Credit]))))</f>
        <v>0</v>
      </c>
      <c r="E55" s="467">
        <f>C55+D55</f>
        <v>0</v>
      </c>
    </row>
    <row r="56" spans="1:5">
      <c r="A56" s="476" t="s">
        <v>204</v>
      </c>
      <c r="B56" s="339" t="s">
        <v>171</v>
      </c>
      <c r="C56" s="466">
        <f t="array" ref="C56">((SUM(IF((CkDJ[Sort Code]=(TRIM(E$5)))*(CkDJ[Account Code]=(TRIM($B56)))*(CkDJ[Date]&lt;=$C$8),CkDJ[Debit])))+(SUM(IF((CsDJ[Sort Code]=(TRIM(E$5)))*(CsDJ[Account Code]=(TRIM($B56)))*(CsDJ[Date]&lt;=$C$8),CsDJ[Debit])))+(SUM(IF((CRDJ[Sort Code]=(TRIM(E$5)))*(CRDJ[Account Code]=(TRIM($B56)))*(CRDJ[Date]&lt;=$C$8),CRDJ[Debit])))+(SUM(IF((GJ[Sort Code]=(TRIM(E$5)))*(GJ[Account Code]=(TRIM($B56)))*(GJ[Date]&lt;=$C$8),GJ[Debit]))))-((SUM(IF((CkDJ[Sort Code]=(TRIM(E$5)))*(CkDJ[Account Code]=(TRIM($B56)))*(CkDJ[Date]&lt;=$C$8),CkDJ[Credit])))+(SUM(IF((CsDJ[Sort Code]=(TRIM(E$5)))*(CsDJ[Account Code]=(TRIM($B56)))*(CsDJ[Date]&lt;=$C$8),CsDJ[Credit])))+(SUM(IF((CRDJ[Sort Code]=(TRIM(E$5)))*(CRDJ[Account Code]=(TRIM($B56)))*(CRDJ[Date]&lt;=$C$8),CRDJ[Credit])))+(SUM(IF((GJ[Sort Code]=(TRIM(E$5)))*(GJ[Account Code]=(TRIM($B56)))*(GJ[Date]&lt;=$C$8),GJ[Credit]))))</f>
        <v>0</v>
      </c>
      <c r="D56" s="466">
        <f t="array" ref="D56">((SUM(IF((CkDJ[Date]=$A$4)*(CkDJ[Sort Code]=(TRIM(E$5)))*(CkDJ[Account Code]=(TRIM($B56))),CkDJ[Debit])))+(SUM(IF((CsDJ[Date]=$A$4)*(CsDJ[Sort Code]=(TRIM(E$5)))*(CsDJ[Account Code]=(TRIM($B56))),CsDJ[Debit])))+(SUM(IF((CRDJ[Date]=$A$4)*(CRDJ[Sort Code]=(TRIM(E$5)))*(CRDJ[Account Code]=(TRIM($B56))),CRDJ[Debit])))+(SUM(IF((GJ[Date]=$A$4)*(GJ[Sort Code]=(TRIM(E$5)))*(GJ[Account Code]=(TRIM($B56))),GJ[Debit]))))-((SUM(IF((CkDJ[Date]=$A$4)*(CkDJ[Sort Code]=(TRIM(E$5)))*(CkDJ[Account Code]=(TRIM($B56))),CkDJ[Credit])))+(SUM(IF((CsDJ[Date]=$A$4)*(CsDJ[Sort Code]=(TRIM(E$5)))*(CsDJ[Account Code]=(TRIM($B56))),CsDJ[Credit])))+(SUM(IF((CRDJ[Date]=$A$4)*(CRDJ[Sort Code]=(TRIM(E$5)))*(CRDJ[Account Code]=(TRIM($B56))),CRDJ[Credit])))+(SUM(IF((GJ[Date]=$A$4)*(GJ[Sort Code]=(TRIM(E$5)))*(GJ[Account Code]=(TRIM($B56))),GJ[Credit]))))</f>
        <v>0</v>
      </c>
      <c r="E56" s="467">
        <f t="shared" ref="E56:E72" si="2">C56+D56</f>
        <v>0</v>
      </c>
    </row>
    <row r="57" spans="1:5">
      <c r="A57" s="476" t="s">
        <v>201</v>
      </c>
      <c r="B57" s="339" t="s">
        <v>5</v>
      </c>
      <c r="C57" s="466">
        <f t="array" ref="C57">((SUM(IF((CkDJ[Sort Code]=(TRIM(E$5)))*(CkDJ[Account Code]=(TRIM($B57)))*(CkDJ[Date]&lt;=$C$8),CkDJ[Debit])))+(SUM(IF((CsDJ[Sort Code]=(TRIM(E$5)))*(CsDJ[Account Code]=(TRIM($B57)))*(CsDJ[Date]&lt;=$C$8),CsDJ[Debit])))+(SUM(IF((CRDJ[Sort Code]=(TRIM(E$5)))*(CRDJ[Account Code]=(TRIM($B57)))*(CRDJ[Date]&lt;=$C$8),CRDJ[Debit])))+(SUM(IF((GJ[Sort Code]=(TRIM(E$5)))*(GJ[Account Code]=(TRIM($B57)))*(GJ[Date]&lt;=$C$8),GJ[Debit]))))-((SUM(IF((CkDJ[Sort Code]=(TRIM(E$5)))*(CkDJ[Account Code]=(TRIM($B57)))*(CkDJ[Date]&lt;=$C$8),CkDJ[Credit])))+(SUM(IF((CsDJ[Sort Code]=(TRIM(E$5)))*(CsDJ[Account Code]=(TRIM($B57)))*(CsDJ[Date]&lt;=$C$8),CsDJ[Credit])))+(SUM(IF((CRDJ[Sort Code]=(TRIM(E$5)))*(CRDJ[Account Code]=(TRIM($B57)))*(CRDJ[Date]&lt;=$C$8),CRDJ[Credit])))+(SUM(IF((GJ[Sort Code]=(TRIM(E$5)))*(GJ[Account Code]=(TRIM($B57)))*(GJ[Date]&lt;=$C$8),GJ[Credit]))))</f>
        <v>0</v>
      </c>
      <c r="D57" s="466">
        <f t="array" ref="D57">((SUM(IF((CkDJ[Date]=$A$4)*(CkDJ[Sort Code]=(TRIM(E$5)))*(CkDJ[Account Code]=(TRIM($B57))),CkDJ[Debit])))+(SUM(IF((CsDJ[Date]=$A$4)*(CsDJ[Sort Code]=(TRIM(E$5)))*(CsDJ[Account Code]=(TRIM($B57))),CsDJ[Debit])))+(SUM(IF((CRDJ[Date]=$A$4)*(CRDJ[Sort Code]=(TRIM(E$5)))*(CRDJ[Account Code]=(TRIM($B57))),CRDJ[Debit])))+(SUM(IF((GJ[Date]=$A$4)*(GJ[Sort Code]=(TRIM(E$5)))*(GJ[Account Code]=(TRIM($B57))),GJ[Debit]))))-((SUM(IF((CkDJ[Date]=$A$4)*(CkDJ[Sort Code]=(TRIM(E$5)))*(CkDJ[Account Code]=(TRIM($B57))),CkDJ[Credit])))+(SUM(IF((CsDJ[Date]=$A$4)*(CsDJ[Sort Code]=(TRIM(E$5)))*(CsDJ[Account Code]=(TRIM($B57))),CsDJ[Credit])))+(SUM(IF((CRDJ[Date]=$A$4)*(CRDJ[Sort Code]=(TRIM(E$5)))*(CRDJ[Account Code]=(TRIM($B57))),CRDJ[Credit])))+(SUM(IF((GJ[Date]=$A$4)*(GJ[Sort Code]=(TRIM(E$5)))*(GJ[Account Code]=(TRIM($B57))),GJ[Credit]))))</f>
        <v>0</v>
      </c>
      <c r="E57" s="467">
        <f t="shared" si="2"/>
        <v>0</v>
      </c>
    </row>
    <row r="58" spans="1:5">
      <c r="A58" s="476" t="s">
        <v>202</v>
      </c>
      <c r="B58" s="339" t="s">
        <v>6</v>
      </c>
      <c r="C58" s="466">
        <f t="array" ref="C58">((SUM(IF((CkDJ[Sort Code]=(TRIM(E$5)))*(CkDJ[Account Code]=(TRIM($B58)))*(CkDJ[Date]&lt;=$C$8),CkDJ[Debit])))+(SUM(IF((CsDJ[Sort Code]=(TRIM(E$5)))*(CsDJ[Account Code]=(TRIM($B58)))*(CsDJ[Date]&lt;=$C$8),CsDJ[Debit])))+(SUM(IF((CRDJ[Sort Code]=(TRIM(E$5)))*(CRDJ[Account Code]=(TRIM($B58)))*(CRDJ[Date]&lt;=$C$8),CRDJ[Debit])))+(SUM(IF((GJ[Sort Code]=(TRIM(E$5)))*(GJ[Account Code]=(TRIM($B58)))*(GJ[Date]&lt;=$C$8),GJ[Debit]))))-((SUM(IF((CkDJ[Sort Code]=(TRIM(E$5)))*(CkDJ[Account Code]=(TRIM($B58)))*(CkDJ[Date]&lt;=$C$8),CkDJ[Credit])))+(SUM(IF((CsDJ[Sort Code]=(TRIM(E$5)))*(CsDJ[Account Code]=(TRIM($B58)))*(CsDJ[Date]&lt;=$C$8),CsDJ[Credit])))+(SUM(IF((CRDJ[Sort Code]=(TRIM(E$5)))*(CRDJ[Account Code]=(TRIM($B58)))*(CRDJ[Date]&lt;=$C$8),CRDJ[Credit])))+(SUM(IF((GJ[Sort Code]=(TRIM(E$5)))*(GJ[Account Code]=(TRIM($B58)))*(GJ[Date]&lt;=$C$8),GJ[Credit]))))</f>
        <v>0</v>
      </c>
      <c r="D58" s="466">
        <f t="array" ref="D58">((SUM(IF((CkDJ[Date]=$A$4)*(CkDJ[Sort Code]=(TRIM(E$5)))*(CkDJ[Account Code]=(TRIM($B58))),CkDJ[Debit])))+(SUM(IF((CsDJ[Date]=$A$4)*(CsDJ[Sort Code]=(TRIM(E$5)))*(CsDJ[Account Code]=(TRIM($B58))),CsDJ[Debit])))+(SUM(IF((CRDJ[Date]=$A$4)*(CRDJ[Sort Code]=(TRIM(E$5)))*(CRDJ[Account Code]=(TRIM($B58))),CRDJ[Debit])))+(SUM(IF((GJ[Date]=$A$4)*(GJ[Sort Code]=(TRIM(E$5)))*(GJ[Account Code]=(TRIM($B58))),GJ[Debit]))))-((SUM(IF((CkDJ[Date]=$A$4)*(CkDJ[Sort Code]=(TRIM(E$5)))*(CkDJ[Account Code]=(TRIM($B58))),CkDJ[Credit])))+(SUM(IF((CsDJ[Date]=$A$4)*(CsDJ[Sort Code]=(TRIM(E$5)))*(CsDJ[Account Code]=(TRIM($B58))),CsDJ[Credit])))+(SUM(IF((CRDJ[Date]=$A$4)*(CRDJ[Sort Code]=(TRIM(E$5)))*(CRDJ[Account Code]=(TRIM($B58))),CRDJ[Credit])))+(SUM(IF((GJ[Date]=$A$4)*(GJ[Sort Code]=(TRIM(E$5)))*(GJ[Account Code]=(TRIM($B58))),GJ[Credit]))))</f>
        <v>0</v>
      </c>
      <c r="E58" s="467">
        <f t="shared" si="2"/>
        <v>0</v>
      </c>
    </row>
    <row r="59" spans="1:5">
      <c r="A59" s="476" t="s">
        <v>203</v>
      </c>
      <c r="B59" s="339" t="s">
        <v>7</v>
      </c>
      <c r="C59" s="466">
        <f t="array" ref="C59">((SUM(IF((CkDJ[Sort Code]=(TRIM(E$5)))*(CkDJ[Account Code]=(TRIM($B59)))*(CkDJ[Date]&lt;=$C$8),CkDJ[Debit])))+(SUM(IF((CsDJ[Sort Code]=(TRIM(E$5)))*(CsDJ[Account Code]=(TRIM($B59)))*(CsDJ[Date]&lt;=$C$8),CsDJ[Debit])))+(SUM(IF((CRDJ[Sort Code]=(TRIM(E$5)))*(CRDJ[Account Code]=(TRIM($B59)))*(CRDJ[Date]&lt;=$C$8),CRDJ[Debit])))+(SUM(IF((GJ[Sort Code]=(TRIM(E$5)))*(GJ[Account Code]=(TRIM($B59)))*(GJ[Date]&lt;=$C$8),GJ[Debit]))))-((SUM(IF((CkDJ[Sort Code]=(TRIM(E$5)))*(CkDJ[Account Code]=(TRIM($B59)))*(CkDJ[Date]&lt;=$C$8),CkDJ[Credit])))+(SUM(IF((CsDJ[Sort Code]=(TRIM(E$5)))*(CsDJ[Account Code]=(TRIM($B59)))*(CsDJ[Date]&lt;=$C$8),CsDJ[Credit])))+(SUM(IF((CRDJ[Sort Code]=(TRIM(E$5)))*(CRDJ[Account Code]=(TRIM($B59)))*(CRDJ[Date]&lt;=$C$8),CRDJ[Credit])))+(SUM(IF((GJ[Sort Code]=(TRIM(E$5)))*(GJ[Account Code]=(TRIM($B59)))*(GJ[Date]&lt;=$C$8),GJ[Credit]))))</f>
        <v>0</v>
      </c>
      <c r="D59" s="466">
        <f t="array" ref="D59">((SUM(IF((CkDJ[Date]=$A$4)*(CkDJ[Sort Code]=(TRIM(E$5)))*(CkDJ[Account Code]=(TRIM($B59))),CkDJ[Debit])))+(SUM(IF((CsDJ[Date]=$A$4)*(CsDJ[Sort Code]=(TRIM(E$5)))*(CsDJ[Account Code]=(TRIM($B59))),CsDJ[Debit])))+(SUM(IF((CRDJ[Date]=$A$4)*(CRDJ[Sort Code]=(TRIM(E$5)))*(CRDJ[Account Code]=(TRIM($B59))),CRDJ[Debit])))+(SUM(IF((GJ[Date]=$A$4)*(GJ[Sort Code]=(TRIM(E$5)))*(GJ[Account Code]=(TRIM($B59))),GJ[Debit]))))-((SUM(IF((CkDJ[Date]=$A$4)*(CkDJ[Sort Code]=(TRIM(E$5)))*(CkDJ[Account Code]=(TRIM($B59))),CkDJ[Credit])))+(SUM(IF((CsDJ[Date]=$A$4)*(CsDJ[Sort Code]=(TRIM(E$5)))*(CsDJ[Account Code]=(TRIM($B59))),CsDJ[Credit])))+(SUM(IF((CRDJ[Date]=$A$4)*(CRDJ[Sort Code]=(TRIM(E$5)))*(CRDJ[Account Code]=(TRIM($B59))),CRDJ[Credit])))+(SUM(IF((GJ[Date]=$A$4)*(GJ[Sort Code]=(TRIM(E$5)))*(GJ[Account Code]=(TRIM($B59))),GJ[Credit]))))</f>
        <v>0</v>
      </c>
      <c r="E59" s="467">
        <f t="shared" si="2"/>
        <v>0</v>
      </c>
    </row>
    <row r="60" spans="1:5">
      <c r="A60" s="476" t="s">
        <v>1378</v>
      </c>
      <c r="B60" s="339" t="s">
        <v>169</v>
      </c>
      <c r="C60" s="466">
        <f t="array" ref="C60">((SUM(IF((CkDJ[Sort Code]=(TRIM(E$5)))*(CkDJ[Account Code]=(TRIM($B60)))*(CkDJ[Date]&lt;=$C$8),CkDJ[Debit])))+(SUM(IF((CsDJ[Sort Code]=(TRIM(E$5)))*(CsDJ[Account Code]=(TRIM($B60)))*(CsDJ[Date]&lt;=$C$8),CsDJ[Debit])))+(SUM(IF((CRDJ[Sort Code]=(TRIM(E$5)))*(CRDJ[Account Code]=(TRIM($B60)))*(CRDJ[Date]&lt;=$C$8),CRDJ[Debit])))+(SUM(IF((GJ[Sort Code]=(TRIM(E$5)))*(GJ[Account Code]=(TRIM($B60)))*(GJ[Date]&lt;=$C$8),GJ[Debit]))))-((SUM(IF((CkDJ[Sort Code]=(TRIM(E$5)))*(CkDJ[Account Code]=(TRIM($B60)))*(CkDJ[Date]&lt;=$C$8),CkDJ[Credit])))+(SUM(IF((CsDJ[Sort Code]=(TRIM(E$5)))*(CsDJ[Account Code]=(TRIM($B60)))*(CsDJ[Date]&lt;=$C$8),CsDJ[Credit])))+(SUM(IF((CRDJ[Sort Code]=(TRIM(E$5)))*(CRDJ[Account Code]=(TRIM($B60)))*(CRDJ[Date]&lt;=$C$8),CRDJ[Credit])))+(SUM(IF((GJ[Sort Code]=(TRIM(E$5)))*(GJ[Account Code]=(TRIM($B60)))*(GJ[Date]&lt;=$C$8),GJ[Credit]))))</f>
        <v>0</v>
      </c>
      <c r="D60" s="466">
        <f t="array" ref="D60">((SUM(IF((CkDJ[Date]=$A$4)*(CkDJ[Sort Code]=(TRIM(E$5)))*(CkDJ[Account Code]=(TRIM($B60))),CkDJ[Debit])))+(SUM(IF((CsDJ[Date]=$A$4)*(CsDJ[Sort Code]=(TRIM(E$5)))*(CsDJ[Account Code]=(TRIM($B60))),CsDJ[Debit])))+(SUM(IF((CRDJ[Date]=$A$4)*(CRDJ[Sort Code]=(TRIM(E$5)))*(CRDJ[Account Code]=(TRIM($B60))),CRDJ[Debit])))+(SUM(IF((GJ[Date]=$A$4)*(GJ[Sort Code]=(TRIM(E$5)))*(GJ[Account Code]=(TRIM($B60))),GJ[Debit]))))-((SUM(IF((CkDJ[Date]=$A$4)*(CkDJ[Sort Code]=(TRIM(E$5)))*(CkDJ[Account Code]=(TRIM($B60))),CkDJ[Credit])))+(SUM(IF((CsDJ[Date]=$A$4)*(CsDJ[Sort Code]=(TRIM(E$5)))*(CsDJ[Account Code]=(TRIM($B60))),CsDJ[Credit])))+(SUM(IF((CRDJ[Date]=$A$4)*(CRDJ[Sort Code]=(TRIM(E$5)))*(CRDJ[Account Code]=(TRIM($B60))),CRDJ[Credit])))+(SUM(IF((GJ[Date]=$A$4)*(GJ[Sort Code]=(TRIM(E$5)))*(GJ[Account Code]=(TRIM($B60))),GJ[Credit]))))</f>
        <v>0</v>
      </c>
      <c r="E60" s="467">
        <f>C60+D60</f>
        <v>0</v>
      </c>
    </row>
    <row r="61" spans="1:5">
      <c r="A61" s="476" t="s">
        <v>1474</v>
      </c>
      <c r="B61" s="339" t="s">
        <v>170</v>
      </c>
      <c r="C61" s="466">
        <f t="array" ref="C61">((SUM(IF((CkDJ[Sort Code]=(TRIM(E$5)))*(CkDJ[Account Code]=(TRIM($B61)))*(CkDJ[Date]&lt;=$C$8),CkDJ[Debit])))+(SUM(IF((CsDJ[Sort Code]=(TRIM(E$5)))*(CsDJ[Account Code]=(TRIM($B61)))*(CsDJ[Date]&lt;=$C$8),CsDJ[Debit])))+(SUM(IF((CRDJ[Sort Code]=(TRIM(E$5)))*(CRDJ[Account Code]=(TRIM($B61)))*(CRDJ[Date]&lt;=$C$8),CRDJ[Debit])))+(SUM(IF((GJ[Sort Code]=(TRIM(E$5)))*(GJ[Account Code]=(TRIM($B61)))*(GJ[Date]&lt;=$C$8),GJ[Debit]))))-((SUM(IF((CkDJ[Sort Code]=(TRIM(E$5)))*(CkDJ[Account Code]=(TRIM($B61)))*(CkDJ[Date]&lt;=$C$8),CkDJ[Credit])))+(SUM(IF((CsDJ[Sort Code]=(TRIM(E$5)))*(CsDJ[Account Code]=(TRIM($B61)))*(CsDJ[Date]&lt;=$C$8),CsDJ[Credit])))+(SUM(IF((CRDJ[Sort Code]=(TRIM(E$5)))*(CRDJ[Account Code]=(TRIM($B61)))*(CRDJ[Date]&lt;=$C$8),CRDJ[Credit])))+(SUM(IF((GJ[Sort Code]=(TRIM(E$5)))*(GJ[Account Code]=(TRIM($B61)))*(GJ[Date]&lt;=$C$8),GJ[Credit]))))</f>
        <v>0</v>
      </c>
      <c r="D61" s="466">
        <f t="array" ref="D61">((SUM(IF((CkDJ[Date]=$A$4)*(CkDJ[Sort Code]=(TRIM(E$5)))*(CkDJ[Account Code]=(TRIM($B61))),CkDJ[Debit])))+(SUM(IF((CsDJ[Date]=$A$4)*(CsDJ[Sort Code]=(TRIM(E$5)))*(CsDJ[Account Code]=(TRIM($B61))),CsDJ[Debit])))+(SUM(IF((CRDJ[Date]=$A$4)*(CRDJ[Sort Code]=(TRIM(E$5)))*(CRDJ[Account Code]=(TRIM($B61))),CRDJ[Debit])))+(SUM(IF((GJ[Date]=$A$4)*(GJ[Sort Code]=(TRIM(E$5)))*(GJ[Account Code]=(TRIM($B61))),GJ[Debit]))))-((SUM(IF((CkDJ[Date]=$A$4)*(CkDJ[Sort Code]=(TRIM(E$5)))*(CkDJ[Account Code]=(TRIM($B61))),CkDJ[Credit])))+(SUM(IF((CsDJ[Date]=$A$4)*(CsDJ[Sort Code]=(TRIM(E$5)))*(CsDJ[Account Code]=(TRIM($B61))),CsDJ[Credit])))+(SUM(IF((CRDJ[Date]=$A$4)*(CRDJ[Sort Code]=(TRIM(E$5)))*(CRDJ[Account Code]=(TRIM($B61))),CRDJ[Credit])))+(SUM(IF((GJ[Date]=$A$4)*(GJ[Sort Code]=(TRIM(E$5)))*(GJ[Account Code]=(TRIM($B61))),GJ[Credit]))))</f>
        <v>0</v>
      </c>
      <c r="E61" s="467">
        <f>C61+D61</f>
        <v>0</v>
      </c>
    </row>
    <row r="62" spans="1:5">
      <c r="A62" s="476" t="s">
        <v>206</v>
      </c>
      <c r="B62" s="339" t="s">
        <v>173</v>
      </c>
      <c r="C62" s="466">
        <f t="array" ref="C62">((SUM(IF((CkDJ[Sort Code]=(TRIM(E$5)))*(CkDJ[Account Code]=(TRIM($B62)))*(CkDJ[Date]&lt;=$C$8),CkDJ[Debit])))+(SUM(IF((CsDJ[Sort Code]=(TRIM(E$5)))*(CsDJ[Account Code]=(TRIM($B62)))*(CsDJ[Date]&lt;=$C$8),CsDJ[Debit])))+(SUM(IF((CRDJ[Sort Code]=(TRIM(E$5)))*(CRDJ[Account Code]=(TRIM($B62)))*(CRDJ[Date]&lt;=$C$8),CRDJ[Debit])))+(SUM(IF((GJ[Sort Code]=(TRIM(E$5)))*(GJ[Account Code]=(TRIM($B62)))*(GJ[Date]&lt;=$C$8),GJ[Debit]))))-((SUM(IF((CkDJ[Sort Code]=(TRIM(E$5)))*(CkDJ[Account Code]=(TRIM($B62)))*(CkDJ[Date]&lt;=$C$8),CkDJ[Credit])))+(SUM(IF((CsDJ[Sort Code]=(TRIM(E$5)))*(CsDJ[Account Code]=(TRIM($B62)))*(CsDJ[Date]&lt;=$C$8),CsDJ[Credit])))+(SUM(IF((CRDJ[Sort Code]=(TRIM(E$5)))*(CRDJ[Account Code]=(TRIM($B62)))*(CRDJ[Date]&lt;=$C$8),CRDJ[Credit])))+(SUM(IF((GJ[Sort Code]=(TRIM(E$5)))*(GJ[Account Code]=(TRIM($B62)))*(GJ[Date]&lt;=$C$8),GJ[Credit]))))</f>
        <v>0</v>
      </c>
      <c r="D62" s="466">
        <f t="array" ref="D62">((SUM(IF((CkDJ[Date]=$A$4)*(CkDJ[Sort Code]=(TRIM(E$5)))*(CkDJ[Account Code]=(TRIM($B62))),CkDJ[Debit])))+(SUM(IF((CsDJ[Date]=$A$4)*(CsDJ[Sort Code]=(TRIM(E$5)))*(CsDJ[Account Code]=(TRIM($B62))),CsDJ[Debit])))+(SUM(IF((CRDJ[Date]=$A$4)*(CRDJ[Sort Code]=(TRIM(E$5)))*(CRDJ[Account Code]=(TRIM($B62))),CRDJ[Debit])))+(SUM(IF((GJ[Date]=$A$4)*(GJ[Sort Code]=(TRIM(E$5)))*(GJ[Account Code]=(TRIM($B62))),GJ[Debit]))))-((SUM(IF((CkDJ[Date]=$A$4)*(CkDJ[Sort Code]=(TRIM(E$5)))*(CkDJ[Account Code]=(TRIM($B62))),CkDJ[Credit])))+(SUM(IF((CsDJ[Date]=$A$4)*(CsDJ[Sort Code]=(TRIM(E$5)))*(CsDJ[Account Code]=(TRIM($B62))),CsDJ[Credit])))+(SUM(IF((CRDJ[Date]=$A$4)*(CRDJ[Sort Code]=(TRIM(E$5)))*(CRDJ[Account Code]=(TRIM($B62))),CRDJ[Credit])))+(SUM(IF((GJ[Date]=$A$4)*(GJ[Sort Code]=(TRIM(E$5)))*(GJ[Account Code]=(TRIM($B62))),GJ[Credit]))))</f>
        <v>0</v>
      </c>
      <c r="E62" s="467">
        <f t="shared" si="2"/>
        <v>0</v>
      </c>
    </row>
    <row r="63" spans="1:5">
      <c r="A63" s="476" t="s">
        <v>354</v>
      </c>
      <c r="B63" s="339" t="s">
        <v>216</v>
      </c>
      <c r="C63" s="466">
        <f t="array" ref="C63">((SUM(IF((CkDJ[Sort Code]=(TRIM(E$5)))*(CkDJ[Account Code]=(TRIM($B63)))*(CkDJ[Date]&lt;=$C$8),CkDJ[Debit])))+(SUM(IF((CsDJ[Sort Code]=(TRIM(E$5)))*(CsDJ[Account Code]=(TRIM($B63)))*(CsDJ[Date]&lt;=$C$8),CsDJ[Debit])))+(SUM(IF((CRDJ[Sort Code]=(TRIM(E$5)))*(CRDJ[Account Code]=(TRIM($B63)))*(CRDJ[Date]&lt;=$C$8),CRDJ[Debit])))+(SUM(IF((GJ[Sort Code]=(TRIM(E$5)))*(GJ[Account Code]=(TRIM($B63)))*(GJ[Date]&lt;=$C$8),GJ[Debit]))))-((SUM(IF((CkDJ[Sort Code]=(TRIM(E$5)))*(CkDJ[Account Code]=(TRIM($B63)))*(CkDJ[Date]&lt;=$C$8),CkDJ[Credit])))+(SUM(IF((CsDJ[Sort Code]=(TRIM(E$5)))*(CsDJ[Account Code]=(TRIM($B63)))*(CsDJ[Date]&lt;=$C$8),CsDJ[Credit])))+(SUM(IF((CRDJ[Sort Code]=(TRIM(E$5)))*(CRDJ[Account Code]=(TRIM($B63)))*(CRDJ[Date]&lt;=$C$8),CRDJ[Credit])))+(SUM(IF((GJ[Sort Code]=(TRIM(E$5)))*(GJ[Account Code]=(TRIM($B63)))*(GJ[Date]&lt;=$C$8),GJ[Credit]))))</f>
        <v>0</v>
      </c>
      <c r="D63" s="466">
        <f t="array" ref="D63">((SUM(IF((CkDJ[Date]=$A$4)*(CkDJ[Sort Code]=(TRIM(E$5)))*(CkDJ[Account Code]=(TRIM($B63))),CkDJ[Debit])))+(SUM(IF((CsDJ[Date]=$A$4)*(CsDJ[Sort Code]=(TRIM(E$5)))*(CsDJ[Account Code]=(TRIM($B63))),CsDJ[Debit])))+(SUM(IF((CRDJ[Date]=$A$4)*(CRDJ[Sort Code]=(TRIM(E$5)))*(CRDJ[Account Code]=(TRIM($B63))),CRDJ[Debit])))+(SUM(IF((GJ[Date]=$A$4)*(GJ[Sort Code]=(TRIM(E$5)))*(GJ[Account Code]=(TRIM($B63))),GJ[Debit]))))-((SUM(IF((CkDJ[Date]=$A$4)*(CkDJ[Sort Code]=(TRIM(E$5)))*(CkDJ[Account Code]=(TRIM($B63))),CkDJ[Credit])))+(SUM(IF((CsDJ[Date]=$A$4)*(CsDJ[Sort Code]=(TRIM(E$5)))*(CsDJ[Account Code]=(TRIM($B63))),CsDJ[Credit])))+(SUM(IF((CRDJ[Date]=$A$4)*(CRDJ[Sort Code]=(TRIM(E$5)))*(CRDJ[Account Code]=(TRIM($B63))),CRDJ[Credit])))+(SUM(IF((GJ[Date]=$A$4)*(GJ[Sort Code]=(TRIM(E$5)))*(GJ[Account Code]=(TRIM($B63))),GJ[Credit]))))</f>
        <v>0</v>
      </c>
      <c r="E63" s="467">
        <f t="shared" si="2"/>
        <v>0</v>
      </c>
    </row>
    <row r="64" spans="1:5">
      <c r="A64" s="476" t="s">
        <v>219</v>
      </c>
      <c r="B64" s="339" t="s">
        <v>214</v>
      </c>
      <c r="C64" s="466">
        <f t="array" ref="C64">((SUM(IF((CkDJ[Sort Code]=(TRIM(E$5)))*(CkDJ[Account Code]=(TRIM($B64)))*(CkDJ[Date]&lt;=$C$8),CkDJ[Debit])))+(SUM(IF((CsDJ[Sort Code]=(TRIM(E$5)))*(CsDJ[Account Code]=(TRIM($B64)))*(CsDJ[Date]&lt;=$C$8),CsDJ[Debit])))+(SUM(IF((CRDJ[Sort Code]=(TRIM(E$5)))*(CRDJ[Account Code]=(TRIM($B64)))*(CRDJ[Date]&lt;=$C$8),CRDJ[Debit])))+(SUM(IF((GJ[Sort Code]=(TRIM(E$5)))*(GJ[Account Code]=(TRIM($B64)))*(GJ[Date]&lt;=$C$8),GJ[Debit]))))-((SUM(IF((CkDJ[Sort Code]=(TRIM(E$5)))*(CkDJ[Account Code]=(TRIM($B64)))*(CkDJ[Date]&lt;=$C$8),CkDJ[Credit])))+(SUM(IF((CsDJ[Sort Code]=(TRIM(E$5)))*(CsDJ[Account Code]=(TRIM($B64)))*(CsDJ[Date]&lt;=$C$8),CsDJ[Credit])))+(SUM(IF((CRDJ[Sort Code]=(TRIM(E$5)))*(CRDJ[Account Code]=(TRIM($B64)))*(CRDJ[Date]&lt;=$C$8),CRDJ[Credit])))+(SUM(IF((GJ[Sort Code]=(TRIM(E$5)))*(GJ[Account Code]=(TRIM($B64)))*(GJ[Date]&lt;=$C$8),GJ[Credit]))))</f>
        <v>0</v>
      </c>
      <c r="D64" s="466">
        <f t="array" ref="D64">((SUM(IF((CkDJ[Date]=$A$4)*(CkDJ[Sort Code]=(TRIM(E$5)))*(CkDJ[Account Code]=(TRIM($B64))),CkDJ[Debit])))+(SUM(IF((CsDJ[Date]=$A$4)*(CsDJ[Sort Code]=(TRIM(E$5)))*(CsDJ[Account Code]=(TRIM($B64))),CsDJ[Debit])))+(SUM(IF((CRDJ[Date]=$A$4)*(CRDJ[Sort Code]=(TRIM(E$5)))*(CRDJ[Account Code]=(TRIM($B64))),CRDJ[Debit])))+(SUM(IF((GJ[Date]=$A$4)*(GJ[Sort Code]=(TRIM(E$5)))*(GJ[Account Code]=(TRIM($B64))),GJ[Debit]))))-((SUM(IF((CkDJ[Date]=$A$4)*(CkDJ[Sort Code]=(TRIM(E$5)))*(CkDJ[Account Code]=(TRIM($B64))),CkDJ[Credit])))+(SUM(IF((CsDJ[Date]=$A$4)*(CsDJ[Sort Code]=(TRIM(E$5)))*(CsDJ[Account Code]=(TRIM($B64))),CsDJ[Credit])))+(SUM(IF((CRDJ[Date]=$A$4)*(CRDJ[Sort Code]=(TRIM(E$5)))*(CRDJ[Account Code]=(TRIM($B64))),CRDJ[Credit])))+(SUM(IF((GJ[Date]=$A$4)*(GJ[Sort Code]=(TRIM(E$5)))*(GJ[Account Code]=(TRIM($B64))),GJ[Credit]))))</f>
        <v>0</v>
      </c>
      <c r="E64" s="467">
        <f t="shared" si="2"/>
        <v>0</v>
      </c>
    </row>
    <row r="65" spans="1:5">
      <c r="A65" s="476" t="s">
        <v>205</v>
      </c>
      <c r="B65" s="339" t="s">
        <v>172</v>
      </c>
      <c r="C65" s="466">
        <f t="array" ref="C65">((SUM(IF((CkDJ[Sort Code]=(TRIM(E$5)))*(CkDJ[Account Code]=(TRIM($B65)))*(CkDJ[Date]&lt;=$C$8),CkDJ[Debit])))+(SUM(IF((CsDJ[Sort Code]=(TRIM(E$5)))*(CsDJ[Account Code]=(TRIM($B65)))*(CsDJ[Date]&lt;=$C$8),CsDJ[Debit])))+(SUM(IF((CRDJ[Sort Code]=(TRIM(E$5)))*(CRDJ[Account Code]=(TRIM($B65)))*(CRDJ[Date]&lt;=$C$8),CRDJ[Debit])))+(SUM(IF((GJ[Sort Code]=(TRIM(E$5)))*(GJ[Account Code]=(TRIM($B65)))*(GJ[Date]&lt;=$C$8),GJ[Debit]))))-((SUM(IF((CkDJ[Sort Code]=(TRIM(E$5)))*(CkDJ[Account Code]=(TRIM($B65)))*(CkDJ[Date]&lt;=$C$8),CkDJ[Credit])))+(SUM(IF((CsDJ[Sort Code]=(TRIM(E$5)))*(CsDJ[Account Code]=(TRIM($B65)))*(CsDJ[Date]&lt;=$C$8),CsDJ[Credit])))+(SUM(IF((CRDJ[Sort Code]=(TRIM(E$5)))*(CRDJ[Account Code]=(TRIM($B65)))*(CRDJ[Date]&lt;=$C$8),CRDJ[Credit])))+(SUM(IF((GJ[Sort Code]=(TRIM(E$5)))*(GJ[Account Code]=(TRIM($B65)))*(GJ[Date]&lt;=$C$8),GJ[Credit]))))</f>
        <v>0</v>
      </c>
      <c r="D65" s="466">
        <f t="array" ref="D65">((SUM(IF((CkDJ[Date]=$A$4)*(CkDJ[Sort Code]=(TRIM(E$5)))*(CkDJ[Account Code]=(TRIM($B65))),CkDJ[Debit])))+(SUM(IF((CsDJ[Date]=$A$4)*(CsDJ[Sort Code]=(TRIM(E$5)))*(CsDJ[Account Code]=(TRIM($B65))),CsDJ[Debit])))+(SUM(IF((CRDJ[Date]=$A$4)*(CRDJ[Sort Code]=(TRIM(E$5)))*(CRDJ[Account Code]=(TRIM($B65))),CRDJ[Debit])))+(SUM(IF((GJ[Date]=$A$4)*(GJ[Sort Code]=(TRIM(E$5)))*(GJ[Account Code]=(TRIM($B65))),GJ[Debit]))))-((SUM(IF((CkDJ[Date]=$A$4)*(CkDJ[Sort Code]=(TRIM(E$5)))*(CkDJ[Account Code]=(TRIM($B65))),CkDJ[Credit])))+(SUM(IF((CsDJ[Date]=$A$4)*(CsDJ[Sort Code]=(TRIM(E$5)))*(CsDJ[Account Code]=(TRIM($B65))),CsDJ[Credit])))+(SUM(IF((CRDJ[Date]=$A$4)*(CRDJ[Sort Code]=(TRIM(E$5)))*(CRDJ[Account Code]=(TRIM($B65))),CRDJ[Credit])))+(SUM(IF((GJ[Date]=$A$4)*(GJ[Sort Code]=(TRIM(E$5)))*(GJ[Account Code]=(TRIM($B65))),GJ[Credit]))))</f>
        <v>0</v>
      </c>
      <c r="E65" s="467">
        <f t="shared" si="2"/>
        <v>0</v>
      </c>
    </row>
    <row r="66" spans="1:5">
      <c r="A66" s="476" t="s">
        <v>207</v>
      </c>
      <c r="B66" s="339" t="s">
        <v>174</v>
      </c>
      <c r="C66" s="466">
        <f t="array" ref="C66">((SUM(IF((CkDJ[Sort Code]=(TRIM(E$5)))*(CkDJ[Account Code]=(TRIM($B66)))*(CkDJ[Date]&lt;=$C$8),CkDJ[Debit])))+(SUM(IF((CsDJ[Sort Code]=(TRIM(E$5)))*(CsDJ[Account Code]=(TRIM($B66)))*(CsDJ[Date]&lt;=$C$8),CsDJ[Debit])))+(SUM(IF((CRDJ[Sort Code]=(TRIM(E$5)))*(CRDJ[Account Code]=(TRIM($B66)))*(CRDJ[Date]&lt;=$C$8),CRDJ[Debit])))+(SUM(IF((GJ[Sort Code]=(TRIM(E$5)))*(GJ[Account Code]=(TRIM($B66)))*(GJ[Date]&lt;=$C$8),GJ[Debit]))))-((SUM(IF((CkDJ[Sort Code]=(TRIM(E$5)))*(CkDJ[Account Code]=(TRIM($B66)))*(CkDJ[Date]&lt;=$C$8),CkDJ[Credit])))+(SUM(IF((CsDJ[Sort Code]=(TRIM(E$5)))*(CsDJ[Account Code]=(TRIM($B66)))*(CsDJ[Date]&lt;=$C$8),CsDJ[Credit])))+(SUM(IF((CRDJ[Sort Code]=(TRIM(E$5)))*(CRDJ[Account Code]=(TRIM($B66)))*(CRDJ[Date]&lt;=$C$8),CRDJ[Credit])))+(SUM(IF((GJ[Sort Code]=(TRIM(E$5)))*(GJ[Account Code]=(TRIM($B66)))*(GJ[Date]&lt;=$C$8),GJ[Credit]))))</f>
        <v>0</v>
      </c>
      <c r="D66" s="466">
        <f t="array" ref="D66">((SUM(IF((CkDJ[Date]=$A$4)*(CkDJ[Sort Code]=(TRIM(E$5)))*(CkDJ[Account Code]=(TRIM($B66))),CkDJ[Debit])))+(SUM(IF((CsDJ[Date]=$A$4)*(CsDJ[Sort Code]=(TRIM(E$5)))*(CsDJ[Account Code]=(TRIM($B66))),CsDJ[Debit])))+(SUM(IF((CRDJ[Date]=$A$4)*(CRDJ[Sort Code]=(TRIM(E$5)))*(CRDJ[Account Code]=(TRIM($B66))),CRDJ[Debit])))+(SUM(IF((GJ[Date]=$A$4)*(GJ[Sort Code]=(TRIM(E$5)))*(GJ[Account Code]=(TRIM($B66))),GJ[Debit]))))-((SUM(IF((CkDJ[Date]=$A$4)*(CkDJ[Sort Code]=(TRIM(E$5)))*(CkDJ[Account Code]=(TRIM($B66))),CkDJ[Credit])))+(SUM(IF((CsDJ[Date]=$A$4)*(CsDJ[Sort Code]=(TRIM(E$5)))*(CsDJ[Account Code]=(TRIM($B66))),CsDJ[Credit])))+(SUM(IF((CRDJ[Date]=$A$4)*(CRDJ[Sort Code]=(TRIM(E$5)))*(CRDJ[Account Code]=(TRIM($B66))),CRDJ[Credit])))+(SUM(IF((GJ[Date]=$A$4)*(GJ[Sort Code]=(TRIM(E$5)))*(GJ[Account Code]=(TRIM($B66))),GJ[Credit]))))</f>
        <v>0</v>
      </c>
      <c r="E66" s="467">
        <f t="shared" si="2"/>
        <v>0</v>
      </c>
    </row>
    <row r="67" spans="1:5">
      <c r="A67" s="476" t="s">
        <v>208</v>
      </c>
      <c r="B67" s="339" t="s">
        <v>175</v>
      </c>
      <c r="C67" s="466">
        <f t="array" ref="C67">((SUM(IF((CkDJ[Sort Code]=(TRIM(E$5)))*(CkDJ[Account Code]=(TRIM($B67)))*(CkDJ[Date]&lt;=$C$8),CkDJ[Debit])))+(SUM(IF((CsDJ[Sort Code]=(TRIM(E$5)))*(CsDJ[Account Code]=(TRIM($B67)))*(CsDJ[Date]&lt;=$C$8),CsDJ[Debit])))+(SUM(IF((CRDJ[Sort Code]=(TRIM(E$5)))*(CRDJ[Account Code]=(TRIM($B67)))*(CRDJ[Date]&lt;=$C$8),CRDJ[Debit])))+(SUM(IF((GJ[Sort Code]=(TRIM(E$5)))*(GJ[Account Code]=(TRIM($B67)))*(GJ[Date]&lt;=$C$8),GJ[Debit]))))-((SUM(IF((CkDJ[Sort Code]=(TRIM(E$5)))*(CkDJ[Account Code]=(TRIM($B67)))*(CkDJ[Date]&lt;=$C$8),CkDJ[Credit])))+(SUM(IF((CsDJ[Sort Code]=(TRIM(E$5)))*(CsDJ[Account Code]=(TRIM($B67)))*(CsDJ[Date]&lt;=$C$8),CsDJ[Credit])))+(SUM(IF((CRDJ[Sort Code]=(TRIM(E$5)))*(CRDJ[Account Code]=(TRIM($B67)))*(CRDJ[Date]&lt;=$C$8),CRDJ[Credit])))+(SUM(IF((GJ[Sort Code]=(TRIM(E$5)))*(GJ[Account Code]=(TRIM($B67)))*(GJ[Date]&lt;=$C$8),GJ[Credit]))))</f>
        <v>0</v>
      </c>
      <c r="D67" s="466">
        <f t="array" ref="D67">((SUM(IF((CkDJ[Date]=$A$4)*(CkDJ[Sort Code]=(TRIM(E$5)))*(CkDJ[Account Code]=(TRIM($B67))),CkDJ[Debit])))+(SUM(IF((CsDJ[Date]=$A$4)*(CsDJ[Sort Code]=(TRIM(E$5)))*(CsDJ[Account Code]=(TRIM($B67))),CsDJ[Debit])))+(SUM(IF((CRDJ[Date]=$A$4)*(CRDJ[Sort Code]=(TRIM(E$5)))*(CRDJ[Account Code]=(TRIM($B67))),CRDJ[Debit])))+(SUM(IF((GJ[Date]=$A$4)*(GJ[Sort Code]=(TRIM(E$5)))*(GJ[Account Code]=(TRIM($B67))),GJ[Debit]))))-((SUM(IF((CkDJ[Date]=$A$4)*(CkDJ[Sort Code]=(TRIM(E$5)))*(CkDJ[Account Code]=(TRIM($B67))),CkDJ[Credit])))+(SUM(IF((CsDJ[Date]=$A$4)*(CsDJ[Sort Code]=(TRIM(E$5)))*(CsDJ[Account Code]=(TRIM($B67))),CsDJ[Credit])))+(SUM(IF((CRDJ[Date]=$A$4)*(CRDJ[Sort Code]=(TRIM(E$5)))*(CRDJ[Account Code]=(TRIM($B67))),CRDJ[Credit])))+(SUM(IF((GJ[Date]=$A$4)*(GJ[Sort Code]=(TRIM(E$5)))*(GJ[Account Code]=(TRIM($B67))),GJ[Credit]))))</f>
        <v>0</v>
      </c>
      <c r="E67" s="467">
        <f t="shared" si="2"/>
        <v>0</v>
      </c>
    </row>
    <row r="68" spans="1:5">
      <c r="A68" s="476" t="s">
        <v>209</v>
      </c>
      <c r="B68" s="339" t="s">
        <v>176</v>
      </c>
      <c r="C68" s="466">
        <f t="array" ref="C68">((SUM(IF((CkDJ[Sort Code]=(TRIM(E$5)))*(CkDJ[Account Code]=(TRIM($B68)))*(CkDJ[Date]&lt;=$C$8),CkDJ[Debit])))+(SUM(IF((CsDJ[Sort Code]=(TRIM(E$5)))*(CsDJ[Account Code]=(TRIM($B68)))*(CsDJ[Date]&lt;=$C$8),CsDJ[Debit])))+(SUM(IF((CRDJ[Sort Code]=(TRIM(E$5)))*(CRDJ[Account Code]=(TRIM($B68)))*(CRDJ[Date]&lt;=$C$8),CRDJ[Debit])))+(SUM(IF((GJ[Sort Code]=(TRIM(E$5)))*(GJ[Account Code]=(TRIM($B68)))*(GJ[Date]&lt;=$C$8),GJ[Debit]))))-((SUM(IF((CkDJ[Sort Code]=(TRIM(E$5)))*(CkDJ[Account Code]=(TRIM($B68)))*(CkDJ[Date]&lt;=$C$8),CkDJ[Credit])))+(SUM(IF((CsDJ[Sort Code]=(TRIM(E$5)))*(CsDJ[Account Code]=(TRIM($B68)))*(CsDJ[Date]&lt;=$C$8),CsDJ[Credit])))+(SUM(IF((CRDJ[Sort Code]=(TRIM(E$5)))*(CRDJ[Account Code]=(TRIM($B68)))*(CRDJ[Date]&lt;=$C$8),CRDJ[Credit])))+(SUM(IF((GJ[Sort Code]=(TRIM(E$5)))*(GJ[Account Code]=(TRIM($B68)))*(GJ[Date]&lt;=$C$8),GJ[Credit]))))</f>
        <v>0</v>
      </c>
      <c r="D68" s="466">
        <f t="array" ref="D68">((SUM(IF((CkDJ[Date]=$A$4)*(CkDJ[Sort Code]=(TRIM(E$5)))*(CkDJ[Account Code]=(TRIM($B68))),CkDJ[Debit])))+(SUM(IF((CsDJ[Date]=$A$4)*(CsDJ[Sort Code]=(TRIM(E$5)))*(CsDJ[Account Code]=(TRIM($B68))),CsDJ[Debit])))+(SUM(IF((CRDJ[Date]=$A$4)*(CRDJ[Sort Code]=(TRIM(E$5)))*(CRDJ[Account Code]=(TRIM($B68))),CRDJ[Debit])))+(SUM(IF((GJ[Date]=$A$4)*(GJ[Sort Code]=(TRIM(E$5)))*(GJ[Account Code]=(TRIM($B68))),GJ[Debit]))))-((SUM(IF((CkDJ[Date]=$A$4)*(CkDJ[Sort Code]=(TRIM(E$5)))*(CkDJ[Account Code]=(TRIM($B68))),CkDJ[Credit])))+(SUM(IF((CsDJ[Date]=$A$4)*(CsDJ[Sort Code]=(TRIM(E$5)))*(CsDJ[Account Code]=(TRIM($B68))),CsDJ[Credit])))+(SUM(IF((CRDJ[Date]=$A$4)*(CRDJ[Sort Code]=(TRIM(E$5)))*(CRDJ[Account Code]=(TRIM($B68))),CRDJ[Credit])))+(SUM(IF((GJ[Date]=$A$4)*(GJ[Sort Code]=(TRIM(E$5)))*(GJ[Account Code]=(TRIM($B68))),GJ[Credit]))))</f>
        <v>0</v>
      </c>
      <c r="E68" s="467">
        <f t="shared" si="2"/>
        <v>0</v>
      </c>
    </row>
    <row r="69" spans="1:5">
      <c r="A69" s="476" t="s">
        <v>210</v>
      </c>
      <c r="B69" s="339" t="s">
        <v>177</v>
      </c>
      <c r="C69" s="466">
        <f t="array" ref="C69">((SUM(IF((CkDJ[Sort Code]=(TRIM(E$5)))*(CkDJ[Account Code]=(TRIM($B69)))*(CkDJ[Date]&lt;=$C$8),CkDJ[Debit])))+(SUM(IF((CsDJ[Sort Code]=(TRIM(E$5)))*(CsDJ[Account Code]=(TRIM($B69)))*(CsDJ[Date]&lt;=$C$8),CsDJ[Debit])))+(SUM(IF((CRDJ[Sort Code]=(TRIM(E$5)))*(CRDJ[Account Code]=(TRIM($B69)))*(CRDJ[Date]&lt;=$C$8),CRDJ[Debit])))+(SUM(IF((GJ[Sort Code]=(TRIM(E$5)))*(GJ[Account Code]=(TRIM($B69)))*(GJ[Date]&lt;=$C$8),GJ[Debit]))))-((SUM(IF((CkDJ[Sort Code]=(TRIM(E$5)))*(CkDJ[Account Code]=(TRIM($B69)))*(CkDJ[Date]&lt;=$C$8),CkDJ[Credit])))+(SUM(IF((CsDJ[Sort Code]=(TRIM(E$5)))*(CsDJ[Account Code]=(TRIM($B69)))*(CsDJ[Date]&lt;=$C$8),CsDJ[Credit])))+(SUM(IF((CRDJ[Sort Code]=(TRIM(E$5)))*(CRDJ[Account Code]=(TRIM($B69)))*(CRDJ[Date]&lt;=$C$8),CRDJ[Credit])))+(SUM(IF((GJ[Sort Code]=(TRIM(E$5)))*(GJ[Account Code]=(TRIM($B69)))*(GJ[Date]&lt;=$C$8),GJ[Credit]))))</f>
        <v>0</v>
      </c>
      <c r="D69" s="466">
        <f t="array" ref="D69">((SUM(IF((CkDJ[Date]=$A$4)*(CkDJ[Sort Code]=(TRIM(E$5)))*(CkDJ[Account Code]=(TRIM($B69))),CkDJ[Debit])))+(SUM(IF((CsDJ[Date]=$A$4)*(CsDJ[Sort Code]=(TRIM(E$5)))*(CsDJ[Account Code]=(TRIM($B69))),CsDJ[Debit])))+(SUM(IF((CRDJ[Date]=$A$4)*(CRDJ[Sort Code]=(TRIM(E$5)))*(CRDJ[Account Code]=(TRIM($B69))),CRDJ[Debit])))+(SUM(IF((GJ[Date]=$A$4)*(GJ[Sort Code]=(TRIM(E$5)))*(GJ[Account Code]=(TRIM($B69))),GJ[Debit]))))-((SUM(IF((CkDJ[Date]=$A$4)*(CkDJ[Sort Code]=(TRIM(E$5)))*(CkDJ[Account Code]=(TRIM($B69))),CkDJ[Credit])))+(SUM(IF((CsDJ[Date]=$A$4)*(CsDJ[Sort Code]=(TRIM(E$5)))*(CsDJ[Account Code]=(TRIM($B69))),CsDJ[Credit])))+(SUM(IF((CRDJ[Date]=$A$4)*(CRDJ[Sort Code]=(TRIM(E$5)))*(CRDJ[Account Code]=(TRIM($B69))),CRDJ[Credit])))+(SUM(IF((GJ[Date]=$A$4)*(GJ[Sort Code]=(TRIM(E$5)))*(GJ[Account Code]=(TRIM($B69))),GJ[Credit]))))</f>
        <v>0</v>
      </c>
      <c r="E69" s="467">
        <f t="shared" si="2"/>
        <v>0</v>
      </c>
    </row>
    <row r="70" spans="1:5">
      <c r="A70" s="476" t="s">
        <v>211</v>
      </c>
      <c r="B70" s="339" t="s">
        <v>178</v>
      </c>
      <c r="C70" s="466">
        <f t="array" ref="C70">((SUM(IF((CkDJ[Sort Code]=(TRIM(E$5)))*(CkDJ[Account Code]=(TRIM($B70)))*(CkDJ[Date]&lt;=$C$8),CkDJ[Debit])))+(SUM(IF((CsDJ[Sort Code]=(TRIM(E$5)))*(CsDJ[Account Code]=(TRIM($B70)))*(CsDJ[Date]&lt;=$C$8),CsDJ[Debit])))+(SUM(IF((CRDJ[Sort Code]=(TRIM(E$5)))*(CRDJ[Account Code]=(TRIM($B70)))*(CRDJ[Date]&lt;=$C$8),CRDJ[Debit])))+(SUM(IF((GJ[Sort Code]=(TRIM(E$5)))*(GJ[Account Code]=(TRIM($B70)))*(GJ[Date]&lt;=$C$8),GJ[Debit]))))-((SUM(IF((CkDJ[Sort Code]=(TRIM(E$5)))*(CkDJ[Account Code]=(TRIM($B70)))*(CkDJ[Date]&lt;=$C$8),CkDJ[Credit])))+(SUM(IF((CsDJ[Sort Code]=(TRIM(E$5)))*(CsDJ[Account Code]=(TRIM($B70)))*(CsDJ[Date]&lt;=$C$8),CsDJ[Credit])))+(SUM(IF((CRDJ[Sort Code]=(TRIM(E$5)))*(CRDJ[Account Code]=(TRIM($B70)))*(CRDJ[Date]&lt;=$C$8),CRDJ[Credit])))+(SUM(IF((GJ[Sort Code]=(TRIM(E$5)))*(GJ[Account Code]=(TRIM($B70)))*(GJ[Date]&lt;=$C$8),GJ[Credit]))))</f>
        <v>0</v>
      </c>
      <c r="D70" s="466">
        <f t="array" ref="D70">((SUM(IF((CkDJ[Date]=$A$4)*(CkDJ[Sort Code]=(TRIM(E$5)))*(CkDJ[Account Code]=(TRIM($B70))),CkDJ[Debit])))+(SUM(IF((CsDJ[Date]=$A$4)*(CsDJ[Sort Code]=(TRIM(E$5)))*(CsDJ[Account Code]=(TRIM($B70))),CsDJ[Debit])))+(SUM(IF((CRDJ[Date]=$A$4)*(CRDJ[Sort Code]=(TRIM(E$5)))*(CRDJ[Account Code]=(TRIM($B70))),CRDJ[Debit])))+(SUM(IF((GJ[Date]=$A$4)*(GJ[Sort Code]=(TRIM(E$5)))*(GJ[Account Code]=(TRIM($B70))),GJ[Debit]))))-((SUM(IF((CkDJ[Date]=$A$4)*(CkDJ[Sort Code]=(TRIM(E$5)))*(CkDJ[Account Code]=(TRIM($B70))),CkDJ[Credit])))+(SUM(IF((CsDJ[Date]=$A$4)*(CsDJ[Sort Code]=(TRIM(E$5)))*(CsDJ[Account Code]=(TRIM($B70))),CsDJ[Credit])))+(SUM(IF((CRDJ[Date]=$A$4)*(CRDJ[Sort Code]=(TRIM(E$5)))*(CRDJ[Account Code]=(TRIM($B70))),CRDJ[Credit])))+(SUM(IF((GJ[Date]=$A$4)*(GJ[Sort Code]=(TRIM(E$5)))*(GJ[Account Code]=(TRIM($B70))),GJ[Credit]))))</f>
        <v>0</v>
      </c>
      <c r="E70" s="467">
        <f t="shared" si="2"/>
        <v>0</v>
      </c>
    </row>
    <row r="71" spans="1:5">
      <c r="A71" s="476" t="s">
        <v>1167</v>
      </c>
      <c r="B71" s="339" t="s">
        <v>212</v>
      </c>
      <c r="C71" s="466">
        <f t="array" ref="C71">((SUM(IF((CkDJ[Sort Code]=(TRIM(E$5)))*(CkDJ[Account Code]=(TRIM($B71)))*(CkDJ[Date]&lt;=$C$8),CkDJ[Debit])))+(SUM(IF((CsDJ[Sort Code]=(TRIM(E$5)))*(CsDJ[Account Code]=(TRIM($B71)))*(CsDJ[Date]&lt;=$C$8),CsDJ[Debit])))+(SUM(IF((CRDJ[Sort Code]=(TRIM(E$5)))*(CRDJ[Account Code]=(TRIM($B71)))*(CRDJ[Date]&lt;=$C$8),CRDJ[Debit])))+(SUM(IF((GJ[Sort Code]=(TRIM(E$5)))*(GJ[Account Code]=(TRIM($B71)))*(GJ[Date]&lt;=$C$8),GJ[Debit]))))-((SUM(IF((CkDJ[Sort Code]=(TRIM(E$5)))*(CkDJ[Account Code]=(TRIM($B71)))*(CkDJ[Date]&lt;=$C$8),CkDJ[Credit])))+(SUM(IF((CsDJ[Sort Code]=(TRIM(E$5)))*(CsDJ[Account Code]=(TRIM($B71)))*(CsDJ[Date]&lt;=$C$8),CsDJ[Credit])))+(SUM(IF((CRDJ[Sort Code]=(TRIM(E$5)))*(CRDJ[Account Code]=(TRIM($B71)))*(CRDJ[Date]&lt;=$C$8),CRDJ[Credit])))+(SUM(IF((GJ[Sort Code]=(TRIM(E$5)))*(GJ[Account Code]=(TRIM($B71)))*(GJ[Date]&lt;=$C$8),GJ[Credit]))))</f>
        <v>0</v>
      </c>
      <c r="D71" s="466">
        <f t="array" ref="D71">((SUM(IF((CkDJ[Date]=$A$4)*(CkDJ[Sort Code]=(TRIM(E$5)))*(CkDJ[Account Code]=(TRIM($B71))),CkDJ[Debit])))+(SUM(IF((CsDJ[Date]=$A$4)*(CsDJ[Sort Code]=(TRIM(E$5)))*(CsDJ[Account Code]=(TRIM($B71))),CsDJ[Debit])))+(SUM(IF((CRDJ[Date]=$A$4)*(CRDJ[Sort Code]=(TRIM(E$5)))*(CRDJ[Account Code]=(TRIM($B71))),CRDJ[Debit])))+(SUM(IF((GJ[Date]=$A$4)*(GJ[Sort Code]=(TRIM(E$5)))*(GJ[Account Code]=(TRIM($B71))),GJ[Debit]))))-((SUM(IF((CkDJ[Date]=$A$4)*(CkDJ[Sort Code]=(TRIM(E$5)))*(CkDJ[Account Code]=(TRIM($B71))),CkDJ[Credit])))+(SUM(IF((CsDJ[Date]=$A$4)*(CsDJ[Sort Code]=(TRIM(E$5)))*(CsDJ[Account Code]=(TRIM($B71))),CsDJ[Credit])))+(SUM(IF((CRDJ[Date]=$A$4)*(CRDJ[Sort Code]=(TRIM(E$5)))*(CRDJ[Account Code]=(TRIM($B71))),CRDJ[Credit])))+(SUM(IF((GJ[Date]=$A$4)*(GJ[Sort Code]=(TRIM(E$5)))*(GJ[Account Code]=(TRIM($B71))),GJ[Credit]))))</f>
        <v>0</v>
      </c>
      <c r="E71" s="467">
        <f>C71+D71</f>
        <v>0</v>
      </c>
    </row>
    <row r="72" spans="1:5">
      <c r="A72" s="481" t="s">
        <v>218</v>
      </c>
      <c r="B72" s="482" t="s">
        <v>213</v>
      </c>
      <c r="C72" s="483">
        <f t="array" ref="C72">((SUM(IF((CkDJ[Sort Code]=(TRIM(E$5)))*(CkDJ[Account Code]=(TRIM($B72)))*(CkDJ[Date]&lt;=$C$8),CkDJ[Debit])))+(SUM(IF((CsDJ[Sort Code]=(TRIM(E$5)))*(CsDJ[Account Code]=(TRIM($B72)))*(CsDJ[Date]&lt;=$C$8),CsDJ[Debit])))+(SUM(IF((CRDJ[Sort Code]=(TRIM(E$5)))*(CRDJ[Account Code]=(TRIM($B72)))*(CRDJ[Date]&lt;=$C$8),CRDJ[Debit])))+(SUM(IF((GJ[Sort Code]=(TRIM(E$5)))*(GJ[Account Code]=(TRIM($B72)))*(GJ[Date]&lt;=$C$8),GJ[Debit]))))-((SUM(IF((CkDJ[Sort Code]=(TRIM(E$5)))*(CkDJ[Account Code]=(TRIM($B72)))*(CkDJ[Date]&lt;=$C$8),CkDJ[Credit])))+(SUM(IF((CsDJ[Sort Code]=(TRIM(E$5)))*(CsDJ[Account Code]=(TRIM($B72)))*(CsDJ[Date]&lt;=$C$8),CsDJ[Credit])))+(SUM(IF((CRDJ[Sort Code]=(TRIM(E$5)))*(CRDJ[Account Code]=(TRIM($B72)))*(CRDJ[Date]&lt;=$C$8),CRDJ[Credit])))+(SUM(IF((GJ[Sort Code]=(TRIM(E$5)))*(GJ[Account Code]=(TRIM($B72)))*(GJ[Date]&lt;=$C$8),GJ[Credit]))))</f>
        <v>0</v>
      </c>
      <c r="D72" s="483">
        <f t="array" ref="D72">((SUM(IF((CkDJ[Date]=$A$4)*(CkDJ[Sort Code]=(TRIM(E$5)))*(CkDJ[Account Code]=(TRIM($B72))),CkDJ[Debit])))+(SUM(IF((CsDJ[Date]=$A$4)*(CsDJ[Sort Code]=(TRIM(E$5)))*(CsDJ[Account Code]=(TRIM($B72))),CsDJ[Debit])))+(SUM(IF((CRDJ[Date]=$A$4)*(CRDJ[Sort Code]=(TRIM(E$5)))*(CRDJ[Account Code]=(TRIM($B72))),CRDJ[Debit])))+(SUM(IF((GJ[Date]=$A$4)*(GJ[Sort Code]=(TRIM(E$5)))*(GJ[Account Code]=(TRIM($B72))),GJ[Debit]))))-((SUM(IF((CkDJ[Date]=$A$4)*(CkDJ[Sort Code]=(TRIM(E$5)))*(CkDJ[Account Code]=(TRIM($B72))),CkDJ[Credit])))+(SUM(IF((CsDJ[Date]=$A$4)*(CsDJ[Sort Code]=(TRIM(E$5)))*(CsDJ[Account Code]=(TRIM($B72))),CsDJ[Credit])))+(SUM(IF((CRDJ[Date]=$A$4)*(CRDJ[Sort Code]=(TRIM(E$5)))*(CRDJ[Account Code]=(TRIM($B72))),CRDJ[Credit])))+(SUM(IF((GJ[Date]=$A$4)*(GJ[Sort Code]=(TRIM(E$5)))*(GJ[Account Code]=(TRIM($B72))),GJ[Credit]))))</f>
        <v>0</v>
      </c>
      <c r="E72" s="484">
        <f t="shared" si="2"/>
        <v>0</v>
      </c>
    </row>
    <row r="73" spans="1:5">
      <c r="A73" s="476"/>
      <c r="B73" s="339"/>
      <c r="C73" s="466"/>
      <c r="D73" s="466"/>
      <c r="E73" s="467"/>
    </row>
    <row r="74" spans="1:5">
      <c r="A74" s="471" t="s">
        <v>810</v>
      </c>
      <c r="B74" s="339"/>
      <c r="C74" s="480">
        <f>SUM(C75:C137)</f>
        <v>0</v>
      </c>
      <c r="D74" s="480">
        <f>SUM(D75:D137)</f>
        <v>0</v>
      </c>
      <c r="E74" s="480">
        <f>SUM(E75:E137)</f>
        <v>0</v>
      </c>
    </row>
    <row r="75" spans="1:5">
      <c r="A75" s="476" t="s">
        <v>284</v>
      </c>
      <c r="B75" s="339" t="s">
        <v>223</v>
      </c>
      <c r="C75" s="466">
        <f t="array" ref="C75">((SUM(IF((CkDJ[Sort Code]=(TRIM(E$5)))*(CkDJ[Account Code]=(TRIM($B75)))*(CkDJ[Date]&lt;=$C$8),CkDJ[Debit])))+(SUM(IF((CsDJ[Sort Code]=(TRIM(E$5)))*(CsDJ[Account Code]=(TRIM($B75)))*(CsDJ[Date]&lt;=$C$8),CsDJ[Debit])))+(SUM(IF((CRDJ[Sort Code]=(TRIM(E$5)))*(CRDJ[Account Code]=(TRIM($B75)))*(CRDJ[Date]&lt;=$C$8),CRDJ[Debit])))+(SUM(IF((GJ[Sort Code]=(TRIM(E$5)))*(GJ[Account Code]=(TRIM($B75)))*(GJ[Date]&lt;=$C$8),GJ[Debit]))))-((SUM(IF((CkDJ[Sort Code]=(TRIM(E$5)))*(CkDJ[Account Code]=(TRIM($B75)))*(CkDJ[Date]&lt;=$C$8),CkDJ[Credit])))+(SUM(IF((CsDJ[Sort Code]=(TRIM(E$5)))*(CsDJ[Account Code]=(TRIM($B75)))*(CsDJ[Date]&lt;=$C$8),CsDJ[Credit])))+(SUM(IF((CRDJ[Sort Code]=(TRIM(E$5)))*(CRDJ[Account Code]=(TRIM($B75)))*(CRDJ[Date]&lt;=$C$8),CRDJ[Credit])))+(SUM(IF((GJ[Sort Code]=(TRIM(E$5)))*(GJ[Account Code]=(TRIM($B75)))*(GJ[Date]&lt;=$C$8),GJ[Credit]))))</f>
        <v>0</v>
      </c>
      <c r="D75" s="466">
        <f t="array" ref="D75">((SUM(IF((CkDJ[Date]=$A$4)*(CkDJ[Sort Code]=(TRIM(E$5)))*(CkDJ[Account Code]=(TRIM($B75))),CkDJ[Debit])))+(SUM(IF((CsDJ[Date]=$A$4)*(CsDJ[Sort Code]=(TRIM(E$5)))*(CsDJ[Account Code]=(TRIM($B75))),CsDJ[Debit])))+(SUM(IF((CRDJ[Date]=$A$4)*(CRDJ[Sort Code]=(TRIM(E$5)))*(CRDJ[Account Code]=(TRIM($B75))),CRDJ[Debit])))+(SUM(IF((GJ[Date]=$A$4)*(GJ[Sort Code]=(TRIM(E$5)))*(GJ[Account Code]=(TRIM($B75))),GJ[Debit]))))-((SUM(IF((CkDJ[Date]=$A$4)*(CkDJ[Sort Code]=(TRIM(E$5)))*(CkDJ[Account Code]=(TRIM($B75))),CkDJ[Credit])))+(SUM(IF((CsDJ[Date]=$A$4)*(CsDJ[Sort Code]=(TRIM(E$5)))*(CsDJ[Account Code]=(TRIM($B75))),CsDJ[Credit])))+(SUM(IF((CRDJ[Date]=$A$4)*(CRDJ[Sort Code]=(TRIM(E$5)))*(CRDJ[Account Code]=(TRIM($B75))),CRDJ[Credit])))+(SUM(IF((GJ[Date]=$A$4)*(GJ[Sort Code]=(TRIM(E$5)))*(GJ[Account Code]=(TRIM($B75))),GJ[Credit]))))</f>
        <v>0</v>
      </c>
      <c r="E75" s="467">
        <f t="shared" ref="E75:E117" si="3">C75+D75</f>
        <v>0</v>
      </c>
    </row>
    <row r="76" spans="1:5">
      <c r="A76" s="476" t="s">
        <v>1477</v>
      </c>
      <c r="B76" s="339" t="s">
        <v>1233</v>
      </c>
      <c r="C76" s="466">
        <f t="array" ref="C76">((SUM(IF((CkDJ[Sort Code]=(TRIM(E$5)))*(CkDJ[Account Code]=(TRIM($B76)))*(CkDJ[Date]&lt;=$C$8),CkDJ[Debit])))+(SUM(IF((CsDJ[Sort Code]=(TRIM(E$5)))*(CsDJ[Account Code]=(TRIM($B76)))*(CsDJ[Date]&lt;=$C$8),CsDJ[Debit])))+(SUM(IF((CRDJ[Sort Code]=(TRIM(E$5)))*(CRDJ[Account Code]=(TRIM($B76)))*(CRDJ[Date]&lt;=$C$8),CRDJ[Debit])))+(SUM(IF((GJ[Sort Code]=(TRIM(E$5)))*(GJ[Account Code]=(TRIM($B76)))*(GJ[Date]&lt;=$C$8),GJ[Debit]))))-((SUM(IF((CkDJ[Sort Code]=(TRIM(E$5)))*(CkDJ[Account Code]=(TRIM($B76)))*(CkDJ[Date]&lt;=$C$8),CkDJ[Credit])))+(SUM(IF((CsDJ[Sort Code]=(TRIM(E$5)))*(CsDJ[Account Code]=(TRIM($B76)))*(CsDJ[Date]&lt;=$C$8),CsDJ[Credit])))+(SUM(IF((CRDJ[Sort Code]=(TRIM(E$5)))*(CRDJ[Account Code]=(TRIM($B76)))*(CRDJ[Date]&lt;=$C$8),CRDJ[Credit])))+(SUM(IF((GJ[Sort Code]=(TRIM(E$5)))*(GJ[Account Code]=(TRIM($B76)))*(GJ[Date]&lt;=$C$8),GJ[Credit]))))</f>
        <v>0</v>
      </c>
      <c r="D76" s="466">
        <f t="array" ref="D76">((SUM(IF((CkDJ[Date]=$A$4)*(CkDJ[Sort Code]=(TRIM(E$5)))*(CkDJ[Account Code]=(TRIM($B76))),CkDJ[Debit])))+(SUM(IF((CsDJ[Date]=$A$4)*(CsDJ[Sort Code]=(TRIM(E$5)))*(CsDJ[Account Code]=(TRIM($B76))),CsDJ[Debit])))+(SUM(IF((CRDJ[Date]=$A$4)*(CRDJ[Sort Code]=(TRIM(E$5)))*(CRDJ[Account Code]=(TRIM($B76))),CRDJ[Debit])))+(SUM(IF((GJ[Date]=$A$4)*(GJ[Sort Code]=(TRIM(E$5)))*(GJ[Account Code]=(TRIM($B76))),GJ[Debit]))))-((SUM(IF((CkDJ[Date]=$A$4)*(CkDJ[Sort Code]=(TRIM(E$5)))*(CkDJ[Account Code]=(TRIM($B76))),CkDJ[Credit])))+(SUM(IF((CsDJ[Date]=$A$4)*(CsDJ[Sort Code]=(TRIM(E$5)))*(CsDJ[Account Code]=(TRIM($B76))),CsDJ[Credit])))+(SUM(IF((CRDJ[Date]=$A$4)*(CRDJ[Sort Code]=(TRIM(E$5)))*(CRDJ[Account Code]=(TRIM($B76))),CRDJ[Credit])))+(SUM(IF((GJ[Date]=$A$4)*(GJ[Sort Code]=(TRIM(E$5)))*(GJ[Account Code]=(TRIM($B76))),GJ[Credit]))))</f>
        <v>0</v>
      </c>
      <c r="E76" s="467">
        <f>C76+D76</f>
        <v>0</v>
      </c>
    </row>
    <row r="77" spans="1:5">
      <c r="A77" s="476" t="s">
        <v>285</v>
      </c>
      <c r="B77" s="339" t="s">
        <v>224</v>
      </c>
      <c r="C77" s="466">
        <f t="array" ref="C77">((SUM(IF((CkDJ[Sort Code]=(TRIM(E$5)))*(CkDJ[Account Code]=(TRIM($B77)))*(CkDJ[Date]&lt;=$C$8),CkDJ[Debit])))+(SUM(IF((CsDJ[Sort Code]=(TRIM(E$5)))*(CsDJ[Account Code]=(TRIM($B77)))*(CsDJ[Date]&lt;=$C$8),CsDJ[Debit])))+(SUM(IF((CRDJ[Sort Code]=(TRIM(E$5)))*(CRDJ[Account Code]=(TRIM($B77)))*(CRDJ[Date]&lt;=$C$8),CRDJ[Debit])))+(SUM(IF((GJ[Sort Code]=(TRIM(E$5)))*(GJ[Account Code]=(TRIM($B77)))*(GJ[Date]&lt;=$C$8),GJ[Debit]))))-((SUM(IF((CkDJ[Sort Code]=(TRIM(E$5)))*(CkDJ[Account Code]=(TRIM($B77)))*(CkDJ[Date]&lt;=$C$8),CkDJ[Credit])))+(SUM(IF((CsDJ[Sort Code]=(TRIM(E$5)))*(CsDJ[Account Code]=(TRIM($B77)))*(CsDJ[Date]&lt;=$C$8),CsDJ[Credit])))+(SUM(IF((CRDJ[Sort Code]=(TRIM(E$5)))*(CRDJ[Account Code]=(TRIM($B77)))*(CRDJ[Date]&lt;=$C$8),CRDJ[Credit])))+(SUM(IF((GJ[Sort Code]=(TRIM(E$5)))*(GJ[Account Code]=(TRIM($B77)))*(GJ[Date]&lt;=$C$8),GJ[Credit]))))</f>
        <v>0</v>
      </c>
      <c r="D77" s="466">
        <f t="array" ref="D77">((SUM(IF((CkDJ[Date]=$A$4)*(CkDJ[Sort Code]=(TRIM(E$5)))*(CkDJ[Account Code]=(TRIM($B77))),CkDJ[Debit])))+(SUM(IF((CsDJ[Date]=$A$4)*(CsDJ[Sort Code]=(TRIM(E$5)))*(CsDJ[Account Code]=(TRIM($B77))),CsDJ[Debit])))+(SUM(IF((CRDJ[Date]=$A$4)*(CRDJ[Sort Code]=(TRIM(E$5)))*(CRDJ[Account Code]=(TRIM($B77))),CRDJ[Debit])))+(SUM(IF((GJ[Date]=$A$4)*(GJ[Sort Code]=(TRIM(E$5)))*(GJ[Account Code]=(TRIM($B77))),GJ[Debit]))))-((SUM(IF((CkDJ[Date]=$A$4)*(CkDJ[Sort Code]=(TRIM(E$5)))*(CkDJ[Account Code]=(TRIM($B77))),CkDJ[Credit])))+(SUM(IF((CsDJ[Date]=$A$4)*(CsDJ[Sort Code]=(TRIM(E$5)))*(CsDJ[Account Code]=(TRIM($B77))),CsDJ[Credit])))+(SUM(IF((CRDJ[Date]=$A$4)*(CRDJ[Sort Code]=(TRIM(E$5)))*(CRDJ[Account Code]=(TRIM($B77))),CRDJ[Credit])))+(SUM(IF((GJ[Date]=$A$4)*(GJ[Sort Code]=(TRIM(E$5)))*(GJ[Account Code]=(TRIM($B77))),GJ[Credit]))))</f>
        <v>0</v>
      </c>
      <c r="E77" s="467">
        <f t="shared" si="3"/>
        <v>0</v>
      </c>
    </row>
    <row r="78" spans="1:5">
      <c r="A78" s="476" t="s">
        <v>286</v>
      </c>
      <c r="B78" s="339" t="s">
        <v>225</v>
      </c>
      <c r="C78" s="466">
        <f t="array" ref="C78">((SUM(IF((CkDJ[Sort Code]=(TRIM(E$5)))*(CkDJ[Account Code]=(TRIM($B78)))*(CkDJ[Date]&lt;=$C$8),CkDJ[Debit])))+(SUM(IF((CsDJ[Sort Code]=(TRIM(E$5)))*(CsDJ[Account Code]=(TRIM($B78)))*(CsDJ[Date]&lt;=$C$8),CsDJ[Debit])))+(SUM(IF((CRDJ[Sort Code]=(TRIM(E$5)))*(CRDJ[Account Code]=(TRIM($B78)))*(CRDJ[Date]&lt;=$C$8),CRDJ[Debit])))+(SUM(IF((GJ[Sort Code]=(TRIM(E$5)))*(GJ[Account Code]=(TRIM($B78)))*(GJ[Date]&lt;=$C$8),GJ[Debit]))))-((SUM(IF((CkDJ[Sort Code]=(TRIM(E$5)))*(CkDJ[Account Code]=(TRIM($B78)))*(CkDJ[Date]&lt;=$C$8),CkDJ[Credit])))+(SUM(IF((CsDJ[Sort Code]=(TRIM(E$5)))*(CsDJ[Account Code]=(TRIM($B78)))*(CsDJ[Date]&lt;=$C$8),CsDJ[Credit])))+(SUM(IF((CRDJ[Sort Code]=(TRIM(E$5)))*(CRDJ[Account Code]=(TRIM($B78)))*(CRDJ[Date]&lt;=$C$8),CRDJ[Credit])))+(SUM(IF((GJ[Sort Code]=(TRIM(E$5)))*(GJ[Account Code]=(TRIM($B78)))*(GJ[Date]&lt;=$C$8),GJ[Credit]))))</f>
        <v>0</v>
      </c>
      <c r="D78" s="466">
        <f t="array" ref="D78">((SUM(IF((CkDJ[Date]=$A$4)*(CkDJ[Sort Code]=(TRIM(E$5)))*(CkDJ[Account Code]=(TRIM($B78))),CkDJ[Debit])))+(SUM(IF((CsDJ[Date]=$A$4)*(CsDJ[Sort Code]=(TRIM(E$5)))*(CsDJ[Account Code]=(TRIM($B78))),CsDJ[Debit])))+(SUM(IF((CRDJ[Date]=$A$4)*(CRDJ[Sort Code]=(TRIM(E$5)))*(CRDJ[Account Code]=(TRIM($B78))),CRDJ[Debit])))+(SUM(IF((GJ[Date]=$A$4)*(GJ[Sort Code]=(TRIM(E$5)))*(GJ[Account Code]=(TRIM($B78))),GJ[Debit]))))-((SUM(IF((CkDJ[Date]=$A$4)*(CkDJ[Sort Code]=(TRIM(E$5)))*(CkDJ[Account Code]=(TRIM($B78))),CkDJ[Credit])))+(SUM(IF((CsDJ[Date]=$A$4)*(CsDJ[Sort Code]=(TRIM(E$5)))*(CsDJ[Account Code]=(TRIM($B78))),CsDJ[Credit])))+(SUM(IF((CRDJ[Date]=$A$4)*(CRDJ[Sort Code]=(TRIM(E$5)))*(CRDJ[Account Code]=(TRIM($B78))),CRDJ[Credit])))+(SUM(IF((GJ[Date]=$A$4)*(GJ[Sort Code]=(TRIM(E$5)))*(GJ[Account Code]=(TRIM($B78))),GJ[Credit]))))</f>
        <v>0</v>
      </c>
      <c r="E78" s="467">
        <f t="shared" si="3"/>
        <v>0</v>
      </c>
    </row>
    <row r="79" spans="1:5">
      <c r="A79" s="476" t="s">
        <v>287</v>
      </c>
      <c r="B79" s="339" t="s">
        <v>226</v>
      </c>
      <c r="C79" s="466">
        <f t="array" ref="C79">((SUM(IF((CkDJ[Sort Code]=(TRIM(E$5)))*(CkDJ[Account Code]=(TRIM($B79)))*(CkDJ[Date]&lt;=$C$8),CkDJ[Debit])))+(SUM(IF((CsDJ[Sort Code]=(TRIM(E$5)))*(CsDJ[Account Code]=(TRIM($B79)))*(CsDJ[Date]&lt;=$C$8),CsDJ[Debit])))+(SUM(IF((CRDJ[Sort Code]=(TRIM(E$5)))*(CRDJ[Account Code]=(TRIM($B79)))*(CRDJ[Date]&lt;=$C$8),CRDJ[Debit])))+(SUM(IF((GJ[Sort Code]=(TRIM(E$5)))*(GJ[Account Code]=(TRIM($B79)))*(GJ[Date]&lt;=$C$8),GJ[Debit]))))-((SUM(IF((CkDJ[Sort Code]=(TRIM(E$5)))*(CkDJ[Account Code]=(TRIM($B79)))*(CkDJ[Date]&lt;=$C$8),CkDJ[Credit])))+(SUM(IF((CsDJ[Sort Code]=(TRIM(E$5)))*(CsDJ[Account Code]=(TRIM($B79)))*(CsDJ[Date]&lt;=$C$8),CsDJ[Credit])))+(SUM(IF((CRDJ[Sort Code]=(TRIM(E$5)))*(CRDJ[Account Code]=(TRIM($B79)))*(CRDJ[Date]&lt;=$C$8),CRDJ[Credit])))+(SUM(IF((GJ[Sort Code]=(TRIM(E$5)))*(GJ[Account Code]=(TRIM($B79)))*(GJ[Date]&lt;=$C$8),GJ[Credit]))))</f>
        <v>0</v>
      </c>
      <c r="D79" s="466">
        <f t="array" ref="D79">((SUM(IF((CkDJ[Date]=$A$4)*(CkDJ[Sort Code]=(TRIM(E$5)))*(CkDJ[Account Code]=(TRIM($B79))),CkDJ[Debit])))+(SUM(IF((CsDJ[Date]=$A$4)*(CsDJ[Sort Code]=(TRIM(E$5)))*(CsDJ[Account Code]=(TRIM($B79))),CsDJ[Debit])))+(SUM(IF((CRDJ[Date]=$A$4)*(CRDJ[Sort Code]=(TRIM(E$5)))*(CRDJ[Account Code]=(TRIM($B79))),CRDJ[Debit])))+(SUM(IF((GJ[Date]=$A$4)*(GJ[Sort Code]=(TRIM(E$5)))*(GJ[Account Code]=(TRIM($B79))),GJ[Debit]))))-((SUM(IF((CkDJ[Date]=$A$4)*(CkDJ[Sort Code]=(TRIM(E$5)))*(CkDJ[Account Code]=(TRIM($B79))),CkDJ[Credit])))+(SUM(IF((CsDJ[Date]=$A$4)*(CsDJ[Sort Code]=(TRIM(E$5)))*(CsDJ[Account Code]=(TRIM($B79))),CsDJ[Credit])))+(SUM(IF((CRDJ[Date]=$A$4)*(CRDJ[Sort Code]=(TRIM(E$5)))*(CRDJ[Account Code]=(TRIM($B79))),CRDJ[Credit])))+(SUM(IF((GJ[Date]=$A$4)*(GJ[Sort Code]=(TRIM(E$5)))*(GJ[Account Code]=(TRIM($B79))),GJ[Credit]))))</f>
        <v>0</v>
      </c>
      <c r="E79" s="467">
        <f t="shared" si="3"/>
        <v>0</v>
      </c>
    </row>
    <row r="80" spans="1:5">
      <c r="A80" s="476" t="s">
        <v>1017</v>
      </c>
      <c r="B80" s="339" t="s">
        <v>227</v>
      </c>
      <c r="C80" s="466">
        <f t="array" ref="C80">((SUM(IF((CkDJ[Sort Code]=(TRIM(E$5)))*(CkDJ[Account Code]=(TRIM($B80)))*(CkDJ[Date]&lt;=$C$8),CkDJ[Debit])))+(SUM(IF((CsDJ[Sort Code]=(TRIM(E$5)))*(CsDJ[Account Code]=(TRIM($B80)))*(CsDJ[Date]&lt;=$C$8),CsDJ[Debit])))+(SUM(IF((CRDJ[Sort Code]=(TRIM(E$5)))*(CRDJ[Account Code]=(TRIM($B80)))*(CRDJ[Date]&lt;=$C$8),CRDJ[Debit])))+(SUM(IF((GJ[Sort Code]=(TRIM(E$5)))*(GJ[Account Code]=(TRIM($B80)))*(GJ[Date]&lt;=$C$8),GJ[Debit]))))-((SUM(IF((CkDJ[Sort Code]=(TRIM(E$5)))*(CkDJ[Account Code]=(TRIM($B80)))*(CkDJ[Date]&lt;=$C$8),CkDJ[Credit])))+(SUM(IF((CsDJ[Sort Code]=(TRIM(E$5)))*(CsDJ[Account Code]=(TRIM($B80)))*(CsDJ[Date]&lt;=$C$8),CsDJ[Credit])))+(SUM(IF((CRDJ[Sort Code]=(TRIM(E$5)))*(CRDJ[Account Code]=(TRIM($B80)))*(CRDJ[Date]&lt;=$C$8),CRDJ[Credit])))+(SUM(IF((GJ[Sort Code]=(TRIM(E$5)))*(GJ[Account Code]=(TRIM($B80)))*(GJ[Date]&lt;=$C$8),GJ[Credit]))))</f>
        <v>0</v>
      </c>
      <c r="D80" s="466">
        <f t="array" ref="D80">((SUM(IF((CkDJ[Date]=$A$4)*(CkDJ[Sort Code]=(TRIM(E$5)))*(CkDJ[Account Code]=(TRIM($B80))),CkDJ[Debit])))+(SUM(IF((CsDJ[Date]=$A$4)*(CsDJ[Sort Code]=(TRIM(E$5)))*(CsDJ[Account Code]=(TRIM($B80))),CsDJ[Debit])))+(SUM(IF((CRDJ[Date]=$A$4)*(CRDJ[Sort Code]=(TRIM(E$5)))*(CRDJ[Account Code]=(TRIM($B80))),CRDJ[Debit])))+(SUM(IF((GJ[Date]=$A$4)*(GJ[Sort Code]=(TRIM(E$5)))*(GJ[Account Code]=(TRIM($B80))),GJ[Debit]))))-((SUM(IF((CkDJ[Date]=$A$4)*(CkDJ[Sort Code]=(TRIM(E$5)))*(CkDJ[Account Code]=(TRIM($B80))),CkDJ[Credit])))+(SUM(IF((CsDJ[Date]=$A$4)*(CsDJ[Sort Code]=(TRIM(E$5)))*(CsDJ[Account Code]=(TRIM($B80))),CsDJ[Credit])))+(SUM(IF((CRDJ[Date]=$A$4)*(CRDJ[Sort Code]=(TRIM(E$5)))*(CRDJ[Account Code]=(TRIM($B80))),CRDJ[Credit])))+(SUM(IF((GJ[Date]=$A$4)*(GJ[Sort Code]=(TRIM(E$5)))*(GJ[Account Code]=(TRIM($B80))),GJ[Credit]))))</f>
        <v>0</v>
      </c>
      <c r="E80" s="467">
        <f t="shared" si="3"/>
        <v>0</v>
      </c>
    </row>
    <row r="81" spans="1:5">
      <c r="A81" s="476" t="s">
        <v>1018</v>
      </c>
      <c r="B81" s="339" t="s">
        <v>228</v>
      </c>
      <c r="C81" s="466">
        <f t="array" ref="C81">((SUM(IF((CkDJ[Sort Code]=(TRIM(E$5)))*(CkDJ[Account Code]=(TRIM($B81)))*(CkDJ[Date]&lt;=$C$8),CkDJ[Debit])))+(SUM(IF((CsDJ[Sort Code]=(TRIM(E$5)))*(CsDJ[Account Code]=(TRIM($B81)))*(CsDJ[Date]&lt;=$C$8),CsDJ[Debit])))+(SUM(IF((CRDJ[Sort Code]=(TRIM(E$5)))*(CRDJ[Account Code]=(TRIM($B81)))*(CRDJ[Date]&lt;=$C$8),CRDJ[Debit])))+(SUM(IF((GJ[Sort Code]=(TRIM(E$5)))*(GJ[Account Code]=(TRIM($B81)))*(GJ[Date]&lt;=$C$8),GJ[Debit]))))-((SUM(IF((CkDJ[Sort Code]=(TRIM(E$5)))*(CkDJ[Account Code]=(TRIM($B81)))*(CkDJ[Date]&lt;=$C$8),CkDJ[Credit])))+(SUM(IF((CsDJ[Sort Code]=(TRIM(E$5)))*(CsDJ[Account Code]=(TRIM($B81)))*(CsDJ[Date]&lt;=$C$8),CsDJ[Credit])))+(SUM(IF((CRDJ[Sort Code]=(TRIM(E$5)))*(CRDJ[Account Code]=(TRIM($B81)))*(CRDJ[Date]&lt;=$C$8),CRDJ[Credit])))+(SUM(IF((GJ[Sort Code]=(TRIM(E$5)))*(GJ[Account Code]=(TRIM($B81)))*(GJ[Date]&lt;=$C$8),GJ[Credit]))))</f>
        <v>0</v>
      </c>
      <c r="D81" s="466">
        <f t="array" ref="D81">((SUM(IF((CkDJ[Date]=$A$4)*(CkDJ[Sort Code]=(TRIM(E$5)))*(CkDJ[Account Code]=(TRIM($B81))),CkDJ[Debit])))+(SUM(IF((CsDJ[Date]=$A$4)*(CsDJ[Sort Code]=(TRIM(E$5)))*(CsDJ[Account Code]=(TRIM($B81))),CsDJ[Debit])))+(SUM(IF((CRDJ[Date]=$A$4)*(CRDJ[Sort Code]=(TRIM(E$5)))*(CRDJ[Account Code]=(TRIM($B81))),CRDJ[Debit])))+(SUM(IF((GJ[Date]=$A$4)*(GJ[Sort Code]=(TRIM(E$5)))*(GJ[Account Code]=(TRIM($B81))),GJ[Debit]))))-((SUM(IF((CkDJ[Date]=$A$4)*(CkDJ[Sort Code]=(TRIM(E$5)))*(CkDJ[Account Code]=(TRIM($B81))),CkDJ[Credit])))+(SUM(IF((CsDJ[Date]=$A$4)*(CsDJ[Sort Code]=(TRIM(E$5)))*(CsDJ[Account Code]=(TRIM($B81))),CsDJ[Credit])))+(SUM(IF((CRDJ[Date]=$A$4)*(CRDJ[Sort Code]=(TRIM(E$5)))*(CRDJ[Account Code]=(TRIM($B81))),CRDJ[Credit])))+(SUM(IF((GJ[Date]=$A$4)*(GJ[Sort Code]=(TRIM(E$5)))*(GJ[Account Code]=(TRIM($B81))),GJ[Credit]))))</f>
        <v>0</v>
      </c>
      <c r="E81" s="467">
        <f t="shared" si="3"/>
        <v>0</v>
      </c>
    </row>
    <row r="82" spans="1:5">
      <c r="A82" s="476" t="s">
        <v>289</v>
      </c>
      <c r="B82" s="339" t="s">
        <v>229</v>
      </c>
      <c r="C82" s="466">
        <f t="array" ref="C82">((SUM(IF((CkDJ[Sort Code]=(TRIM(E$5)))*(CkDJ[Account Code]=(TRIM($B82)))*(CkDJ[Date]&lt;=$C$8),CkDJ[Debit])))+(SUM(IF((CsDJ[Sort Code]=(TRIM(E$5)))*(CsDJ[Account Code]=(TRIM($B82)))*(CsDJ[Date]&lt;=$C$8),CsDJ[Debit])))+(SUM(IF((CRDJ[Sort Code]=(TRIM(E$5)))*(CRDJ[Account Code]=(TRIM($B82)))*(CRDJ[Date]&lt;=$C$8),CRDJ[Debit])))+(SUM(IF((GJ[Sort Code]=(TRIM(E$5)))*(GJ[Account Code]=(TRIM($B82)))*(GJ[Date]&lt;=$C$8),GJ[Debit]))))-((SUM(IF((CkDJ[Sort Code]=(TRIM(E$5)))*(CkDJ[Account Code]=(TRIM($B82)))*(CkDJ[Date]&lt;=$C$8),CkDJ[Credit])))+(SUM(IF((CsDJ[Sort Code]=(TRIM(E$5)))*(CsDJ[Account Code]=(TRIM($B82)))*(CsDJ[Date]&lt;=$C$8),CsDJ[Credit])))+(SUM(IF((CRDJ[Sort Code]=(TRIM(E$5)))*(CRDJ[Account Code]=(TRIM($B82)))*(CRDJ[Date]&lt;=$C$8),CRDJ[Credit])))+(SUM(IF((GJ[Sort Code]=(TRIM(E$5)))*(GJ[Account Code]=(TRIM($B82)))*(GJ[Date]&lt;=$C$8),GJ[Credit]))))</f>
        <v>0</v>
      </c>
      <c r="D82" s="466">
        <f t="array" ref="D82">((SUM(IF((CkDJ[Date]=$A$4)*(CkDJ[Sort Code]=(TRIM(E$5)))*(CkDJ[Account Code]=(TRIM($B82))),CkDJ[Debit])))+(SUM(IF((CsDJ[Date]=$A$4)*(CsDJ[Sort Code]=(TRIM(E$5)))*(CsDJ[Account Code]=(TRIM($B82))),CsDJ[Debit])))+(SUM(IF((CRDJ[Date]=$A$4)*(CRDJ[Sort Code]=(TRIM(E$5)))*(CRDJ[Account Code]=(TRIM($B82))),CRDJ[Debit])))+(SUM(IF((GJ[Date]=$A$4)*(GJ[Sort Code]=(TRIM(E$5)))*(GJ[Account Code]=(TRIM($B82))),GJ[Debit]))))-((SUM(IF((CkDJ[Date]=$A$4)*(CkDJ[Sort Code]=(TRIM(E$5)))*(CkDJ[Account Code]=(TRIM($B82))),CkDJ[Credit])))+(SUM(IF((CsDJ[Date]=$A$4)*(CsDJ[Sort Code]=(TRIM(E$5)))*(CsDJ[Account Code]=(TRIM($B82))),CsDJ[Credit])))+(SUM(IF((CRDJ[Date]=$A$4)*(CRDJ[Sort Code]=(TRIM(E$5)))*(CRDJ[Account Code]=(TRIM($B82))),CRDJ[Credit])))+(SUM(IF((GJ[Date]=$A$4)*(GJ[Sort Code]=(TRIM(E$5)))*(GJ[Account Code]=(TRIM($B82))),GJ[Credit]))))</f>
        <v>0</v>
      </c>
      <c r="E82" s="467">
        <f t="shared" si="3"/>
        <v>0</v>
      </c>
    </row>
    <row r="83" spans="1:5">
      <c r="A83" s="476" t="s">
        <v>290</v>
      </c>
      <c r="B83" s="339" t="s">
        <v>230</v>
      </c>
      <c r="C83" s="466">
        <f t="array" ref="C83">((SUM(IF((CkDJ[Sort Code]=(TRIM(E$5)))*(CkDJ[Account Code]=(TRIM($B83)))*(CkDJ[Date]&lt;=$C$8),CkDJ[Debit])))+(SUM(IF((CsDJ[Sort Code]=(TRIM(E$5)))*(CsDJ[Account Code]=(TRIM($B83)))*(CsDJ[Date]&lt;=$C$8),CsDJ[Debit])))+(SUM(IF((CRDJ[Sort Code]=(TRIM(E$5)))*(CRDJ[Account Code]=(TRIM($B83)))*(CRDJ[Date]&lt;=$C$8),CRDJ[Debit])))+(SUM(IF((GJ[Sort Code]=(TRIM(E$5)))*(GJ[Account Code]=(TRIM($B83)))*(GJ[Date]&lt;=$C$8),GJ[Debit]))))-((SUM(IF((CkDJ[Sort Code]=(TRIM(E$5)))*(CkDJ[Account Code]=(TRIM($B83)))*(CkDJ[Date]&lt;=$C$8),CkDJ[Credit])))+(SUM(IF((CsDJ[Sort Code]=(TRIM(E$5)))*(CsDJ[Account Code]=(TRIM($B83)))*(CsDJ[Date]&lt;=$C$8),CsDJ[Credit])))+(SUM(IF((CRDJ[Sort Code]=(TRIM(E$5)))*(CRDJ[Account Code]=(TRIM($B83)))*(CRDJ[Date]&lt;=$C$8),CRDJ[Credit])))+(SUM(IF((GJ[Sort Code]=(TRIM(E$5)))*(GJ[Account Code]=(TRIM($B83)))*(GJ[Date]&lt;=$C$8),GJ[Credit]))))</f>
        <v>0</v>
      </c>
      <c r="D83" s="466">
        <f t="array" ref="D83">((SUM(IF((CkDJ[Date]=$A$4)*(CkDJ[Sort Code]=(TRIM(E$5)))*(CkDJ[Account Code]=(TRIM($B83))),CkDJ[Debit])))+(SUM(IF((CsDJ[Date]=$A$4)*(CsDJ[Sort Code]=(TRIM(E$5)))*(CsDJ[Account Code]=(TRIM($B83))),CsDJ[Debit])))+(SUM(IF((CRDJ[Date]=$A$4)*(CRDJ[Sort Code]=(TRIM(E$5)))*(CRDJ[Account Code]=(TRIM($B83))),CRDJ[Debit])))+(SUM(IF((GJ[Date]=$A$4)*(GJ[Sort Code]=(TRIM(E$5)))*(GJ[Account Code]=(TRIM($B83))),GJ[Debit]))))-((SUM(IF((CkDJ[Date]=$A$4)*(CkDJ[Sort Code]=(TRIM(E$5)))*(CkDJ[Account Code]=(TRIM($B83))),CkDJ[Credit])))+(SUM(IF((CsDJ[Date]=$A$4)*(CsDJ[Sort Code]=(TRIM(E$5)))*(CsDJ[Account Code]=(TRIM($B83))),CsDJ[Credit])))+(SUM(IF((CRDJ[Date]=$A$4)*(CRDJ[Sort Code]=(TRIM(E$5)))*(CRDJ[Account Code]=(TRIM($B83))),CRDJ[Credit])))+(SUM(IF((GJ[Date]=$A$4)*(GJ[Sort Code]=(TRIM(E$5)))*(GJ[Account Code]=(TRIM($B83))),GJ[Credit]))))</f>
        <v>0</v>
      </c>
      <c r="E83" s="467">
        <f t="shared" si="3"/>
        <v>0</v>
      </c>
    </row>
    <row r="84" spans="1:5">
      <c r="A84" s="476" t="s">
        <v>291</v>
      </c>
      <c r="B84" s="339" t="s">
        <v>231</v>
      </c>
      <c r="C84" s="466">
        <f t="array" ref="C84">((SUM(IF((CkDJ[Sort Code]=(TRIM(E$5)))*(CkDJ[Account Code]=(TRIM($B84)))*(CkDJ[Date]&lt;=$C$8),CkDJ[Debit])))+(SUM(IF((CsDJ[Sort Code]=(TRIM(E$5)))*(CsDJ[Account Code]=(TRIM($B84)))*(CsDJ[Date]&lt;=$C$8),CsDJ[Debit])))+(SUM(IF((CRDJ[Sort Code]=(TRIM(E$5)))*(CRDJ[Account Code]=(TRIM($B84)))*(CRDJ[Date]&lt;=$C$8),CRDJ[Debit])))+(SUM(IF((GJ[Sort Code]=(TRIM(E$5)))*(GJ[Account Code]=(TRIM($B84)))*(GJ[Date]&lt;=$C$8),GJ[Debit]))))-((SUM(IF((CkDJ[Sort Code]=(TRIM(E$5)))*(CkDJ[Account Code]=(TRIM($B84)))*(CkDJ[Date]&lt;=$C$8),CkDJ[Credit])))+(SUM(IF((CsDJ[Sort Code]=(TRIM(E$5)))*(CsDJ[Account Code]=(TRIM($B84)))*(CsDJ[Date]&lt;=$C$8),CsDJ[Credit])))+(SUM(IF((CRDJ[Sort Code]=(TRIM(E$5)))*(CRDJ[Account Code]=(TRIM($B84)))*(CRDJ[Date]&lt;=$C$8),CRDJ[Credit])))+(SUM(IF((GJ[Sort Code]=(TRIM(E$5)))*(GJ[Account Code]=(TRIM($B84)))*(GJ[Date]&lt;=$C$8),GJ[Credit]))))</f>
        <v>0</v>
      </c>
      <c r="D84" s="466">
        <f t="array" ref="D84">((SUM(IF((CkDJ[Date]=$A$4)*(CkDJ[Sort Code]=(TRIM(E$5)))*(CkDJ[Account Code]=(TRIM($B84))),CkDJ[Debit])))+(SUM(IF((CsDJ[Date]=$A$4)*(CsDJ[Sort Code]=(TRIM(E$5)))*(CsDJ[Account Code]=(TRIM($B84))),CsDJ[Debit])))+(SUM(IF((CRDJ[Date]=$A$4)*(CRDJ[Sort Code]=(TRIM(E$5)))*(CRDJ[Account Code]=(TRIM($B84))),CRDJ[Debit])))+(SUM(IF((GJ[Date]=$A$4)*(GJ[Sort Code]=(TRIM(E$5)))*(GJ[Account Code]=(TRIM($B84))),GJ[Debit]))))-((SUM(IF((CkDJ[Date]=$A$4)*(CkDJ[Sort Code]=(TRIM(E$5)))*(CkDJ[Account Code]=(TRIM($B84))),CkDJ[Credit])))+(SUM(IF((CsDJ[Date]=$A$4)*(CsDJ[Sort Code]=(TRIM(E$5)))*(CsDJ[Account Code]=(TRIM($B84))),CsDJ[Credit])))+(SUM(IF((CRDJ[Date]=$A$4)*(CRDJ[Sort Code]=(TRIM(E$5)))*(CRDJ[Account Code]=(TRIM($B84))),CRDJ[Credit])))+(SUM(IF((GJ[Date]=$A$4)*(GJ[Sort Code]=(TRIM(E$5)))*(GJ[Account Code]=(TRIM($B84))),GJ[Credit]))))</f>
        <v>0</v>
      </c>
      <c r="E84" s="467">
        <f t="shared" si="3"/>
        <v>0</v>
      </c>
    </row>
    <row r="85" spans="1:5">
      <c r="A85" s="476" t="s">
        <v>292</v>
      </c>
      <c r="B85" s="339" t="s">
        <v>232</v>
      </c>
      <c r="C85" s="466">
        <f t="array" ref="C85">((SUM(IF((CkDJ[Sort Code]=(TRIM(E$5)))*(CkDJ[Account Code]=(TRIM($B85)))*(CkDJ[Date]&lt;=$C$8),CkDJ[Debit])))+(SUM(IF((CsDJ[Sort Code]=(TRIM(E$5)))*(CsDJ[Account Code]=(TRIM($B85)))*(CsDJ[Date]&lt;=$C$8),CsDJ[Debit])))+(SUM(IF((CRDJ[Sort Code]=(TRIM(E$5)))*(CRDJ[Account Code]=(TRIM($B85)))*(CRDJ[Date]&lt;=$C$8),CRDJ[Debit])))+(SUM(IF((GJ[Sort Code]=(TRIM(E$5)))*(GJ[Account Code]=(TRIM($B85)))*(GJ[Date]&lt;=$C$8),GJ[Debit]))))-((SUM(IF((CkDJ[Sort Code]=(TRIM(E$5)))*(CkDJ[Account Code]=(TRIM($B85)))*(CkDJ[Date]&lt;=$C$8),CkDJ[Credit])))+(SUM(IF((CsDJ[Sort Code]=(TRIM(E$5)))*(CsDJ[Account Code]=(TRIM($B85)))*(CsDJ[Date]&lt;=$C$8),CsDJ[Credit])))+(SUM(IF((CRDJ[Sort Code]=(TRIM(E$5)))*(CRDJ[Account Code]=(TRIM($B85)))*(CRDJ[Date]&lt;=$C$8),CRDJ[Credit])))+(SUM(IF((GJ[Sort Code]=(TRIM(E$5)))*(GJ[Account Code]=(TRIM($B85)))*(GJ[Date]&lt;=$C$8),GJ[Credit]))))</f>
        <v>0</v>
      </c>
      <c r="D85" s="466">
        <f t="array" ref="D85">((SUM(IF((CkDJ[Date]=$A$4)*(CkDJ[Sort Code]=(TRIM(E$5)))*(CkDJ[Account Code]=(TRIM($B85))),CkDJ[Debit])))+(SUM(IF((CsDJ[Date]=$A$4)*(CsDJ[Sort Code]=(TRIM(E$5)))*(CsDJ[Account Code]=(TRIM($B85))),CsDJ[Debit])))+(SUM(IF((CRDJ[Date]=$A$4)*(CRDJ[Sort Code]=(TRIM(E$5)))*(CRDJ[Account Code]=(TRIM($B85))),CRDJ[Debit])))+(SUM(IF((GJ[Date]=$A$4)*(GJ[Sort Code]=(TRIM(E$5)))*(GJ[Account Code]=(TRIM($B85))),GJ[Debit]))))-((SUM(IF((CkDJ[Date]=$A$4)*(CkDJ[Sort Code]=(TRIM(E$5)))*(CkDJ[Account Code]=(TRIM($B85))),CkDJ[Credit])))+(SUM(IF((CsDJ[Date]=$A$4)*(CsDJ[Sort Code]=(TRIM(E$5)))*(CsDJ[Account Code]=(TRIM($B85))),CsDJ[Credit])))+(SUM(IF((CRDJ[Date]=$A$4)*(CRDJ[Sort Code]=(TRIM(E$5)))*(CRDJ[Account Code]=(TRIM($B85))),CRDJ[Credit])))+(SUM(IF((GJ[Date]=$A$4)*(GJ[Sort Code]=(TRIM(E$5)))*(GJ[Account Code]=(TRIM($B85))),GJ[Credit]))))</f>
        <v>0</v>
      </c>
      <c r="E85" s="467">
        <f t="shared" si="3"/>
        <v>0</v>
      </c>
    </row>
    <row r="86" spans="1:5">
      <c r="A86" s="476" t="s">
        <v>293</v>
      </c>
      <c r="B86" s="339" t="s">
        <v>233</v>
      </c>
      <c r="C86" s="466">
        <f t="array" ref="C86">((SUM(IF((CkDJ[Sort Code]=(TRIM(E$5)))*(CkDJ[Account Code]=(TRIM($B86)))*(CkDJ[Date]&lt;=$C$8),CkDJ[Debit])))+(SUM(IF((CsDJ[Sort Code]=(TRIM(E$5)))*(CsDJ[Account Code]=(TRIM($B86)))*(CsDJ[Date]&lt;=$C$8),CsDJ[Debit])))+(SUM(IF((CRDJ[Sort Code]=(TRIM(E$5)))*(CRDJ[Account Code]=(TRIM($B86)))*(CRDJ[Date]&lt;=$C$8),CRDJ[Debit])))+(SUM(IF((GJ[Sort Code]=(TRIM(E$5)))*(GJ[Account Code]=(TRIM($B86)))*(GJ[Date]&lt;=$C$8),GJ[Debit]))))-((SUM(IF((CkDJ[Sort Code]=(TRIM(E$5)))*(CkDJ[Account Code]=(TRIM($B86)))*(CkDJ[Date]&lt;=$C$8),CkDJ[Credit])))+(SUM(IF((CsDJ[Sort Code]=(TRIM(E$5)))*(CsDJ[Account Code]=(TRIM($B86)))*(CsDJ[Date]&lt;=$C$8),CsDJ[Credit])))+(SUM(IF((CRDJ[Sort Code]=(TRIM(E$5)))*(CRDJ[Account Code]=(TRIM($B86)))*(CRDJ[Date]&lt;=$C$8),CRDJ[Credit])))+(SUM(IF((GJ[Sort Code]=(TRIM(E$5)))*(GJ[Account Code]=(TRIM($B86)))*(GJ[Date]&lt;=$C$8),GJ[Credit]))))</f>
        <v>0</v>
      </c>
      <c r="D86" s="466">
        <f t="array" ref="D86">((SUM(IF((CkDJ[Date]=$A$4)*(CkDJ[Sort Code]=(TRIM(E$5)))*(CkDJ[Account Code]=(TRIM($B86))),CkDJ[Debit])))+(SUM(IF((CsDJ[Date]=$A$4)*(CsDJ[Sort Code]=(TRIM(E$5)))*(CsDJ[Account Code]=(TRIM($B86))),CsDJ[Debit])))+(SUM(IF((CRDJ[Date]=$A$4)*(CRDJ[Sort Code]=(TRIM(E$5)))*(CRDJ[Account Code]=(TRIM($B86))),CRDJ[Debit])))+(SUM(IF((GJ[Date]=$A$4)*(GJ[Sort Code]=(TRIM(E$5)))*(GJ[Account Code]=(TRIM($B86))),GJ[Debit]))))-((SUM(IF((CkDJ[Date]=$A$4)*(CkDJ[Sort Code]=(TRIM(E$5)))*(CkDJ[Account Code]=(TRIM($B86))),CkDJ[Credit])))+(SUM(IF((CsDJ[Date]=$A$4)*(CsDJ[Sort Code]=(TRIM(E$5)))*(CsDJ[Account Code]=(TRIM($B86))),CsDJ[Credit])))+(SUM(IF((CRDJ[Date]=$A$4)*(CRDJ[Sort Code]=(TRIM(E$5)))*(CRDJ[Account Code]=(TRIM($B86))),CRDJ[Credit])))+(SUM(IF((GJ[Date]=$A$4)*(GJ[Sort Code]=(TRIM(E$5)))*(GJ[Account Code]=(TRIM($B86))),GJ[Credit]))))</f>
        <v>0</v>
      </c>
      <c r="E86" s="467">
        <f t="shared" si="3"/>
        <v>0</v>
      </c>
    </row>
    <row r="87" spans="1:5">
      <c r="A87" s="476" t="s">
        <v>1475</v>
      </c>
      <c r="B87" s="339" t="s">
        <v>1265</v>
      </c>
      <c r="C87" s="466">
        <f t="array" ref="C87">((SUM(IF((CkDJ[Sort Code]=(TRIM(E$5)))*(CkDJ[Account Code]=(TRIM($B87)))*(CkDJ[Date]&lt;=$C$8),CkDJ[Debit])))+(SUM(IF((CsDJ[Sort Code]=(TRIM(E$5)))*(CsDJ[Account Code]=(TRIM($B87)))*(CsDJ[Date]&lt;=$C$8),CsDJ[Debit])))+(SUM(IF((CRDJ[Sort Code]=(TRIM(E$5)))*(CRDJ[Account Code]=(TRIM($B87)))*(CRDJ[Date]&lt;=$C$8),CRDJ[Debit])))+(SUM(IF((GJ[Sort Code]=(TRIM(E$5)))*(GJ[Account Code]=(TRIM($B87)))*(GJ[Date]&lt;=$C$8),GJ[Debit]))))-((SUM(IF((CkDJ[Sort Code]=(TRIM(E$5)))*(CkDJ[Account Code]=(TRIM($B87)))*(CkDJ[Date]&lt;=$C$8),CkDJ[Credit])))+(SUM(IF((CsDJ[Sort Code]=(TRIM(E$5)))*(CsDJ[Account Code]=(TRIM($B87)))*(CsDJ[Date]&lt;=$C$8),CsDJ[Credit])))+(SUM(IF((CRDJ[Sort Code]=(TRIM(E$5)))*(CRDJ[Account Code]=(TRIM($B87)))*(CRDJ[Date]&lt;=$C$8),CRDJ[Credit])))+(SUM(IF((GJ[Sort Code]=(TRIM(E$5)))*(GJ[Account Code]=(TRIM($B87)))*(GJ[Date]&lt;=$C$8),GJ[Credit]))))</f>
        <v>0</v>
      </c>
      <c r="D87" s="466">
        <f t="array" ref="D87">((SUM(IF((CkDJ[Date]=$A$4)*(CkDJ[Sort Code]=(TRIM(E$5)))*(CkDJ[Account Code]=(TRIM($B87))),CkDJ[Debit])))+(SUM(IF((CsDJ[Date]=$A$4)*(CsDJ[Sort Code]=(TRIM(E$5)))*(CsDJ[Account Code]=(TRIM($B87))),CsDJ[Debit])))+(SUM(IF((CRDJ[Date]=$A$4)*(CRDJ[Sort Code]=(TRIM(E$5)))*(CRDJ[Account Code]=(TRIM($B87))),CRDJ[Debit])))+(SUM(IF((GJ[Date]=$A$4)*(GJ[Sort Code]=(TRIM(E$5)))*(GJ[Account Code]=(TRIM($B87))),GJ[Debit]))))-((SUM(IF((CkDJ[Date]=$A$4)*(CkDJ[Sort Code]=(TRIM(E$5)))*(CkDJ[Account Code]=(TRIM($B87))),CkDJ[Credit])))+(SUM(IF((CsDJ[Date]=$A$4)*(CsDJ[Sort Code]=(TRIM(E$5)))*(CsDJ[Account Code]=(TRIM($B87))),CsDJ[Credit])))+(SUM(IF((CRDJ[Date]=$A$4)*(CRDJ[Sort Code]=(TRIM(E$5)))*(CRDJ[Account Code]=(TRIM($B87))),CRDJ[Credit])))+(SUM(IF((GJ[Date]=$A$4)*(GJ[Sort Code]=(TRIM(E$5)))*(GJ[Account Code]=(TRIM($B87))),GJ[Credit]))))</f>
        <v>0</v>
      </c>
      <c r="E87" s="467">
        <f>C87+D87</f>
        <v>0</v>
      </c>
    </row>
    <row r="88" spans="1:5">
      <c r="A88" s="476" t="s">
        <v>1475</v>
      </c>
      <c r="B88" s="339" t="s">
        <v>1266</v>
      </c>
      <c r="C88" s="466">
        <f t="array" ref="C88">((SUM(IF((CkDJ[Sort Code]=(TRIM(E$5)))*(CkDJ[Account Code]=(TRIM($B88)))*(CkDJ[Date]&lt;=$C$8),CkDJ[Debit])))+(SUM(IF((CsDJ[Sort Code]=(TRIM(E$5)))*(CsDJ[Account Code]=(TRIM($B88)))*(CsDJ[Date]&lt;=$C$8),CsDJ[Debit])))+(SUM(IF((CRDJ[Sort Code]=(TRIM(E$5)))*(CRDJ[Account Code]=(TRIM($B88)))*(CRDJ[Date]&lt;=$C$8),CRDJ[Debit])))+(SUM(IF((GJ[Sort Code]=(TRIM(E$5)))*(GJ[Account Code]=(TRIM($B88)))*(GJ[Date]&lt;=$C$8),GJ[Debit]))))-((SUM(IF((CkDJ[Sort Code]=(TRIM(E$5)))*(CkDJ[Account Code]=(TRIM($B88)))*(CkDJ[Date]&lt;=$C$8),CkDJ[Credit])))+(SUM(IF((CsDJ[Sort Code]=(TRIM(E$5)))*(CsDJ[Account Code]=(TRIM($B88)))*(CsDJ[Date]&lt;=$C$8),CsDJ[Credit])))+(SUM(IF((CRDJ[Sort Code]=(TRIM(E$5)))*(CRDJ[Account Code]=(TRIM($B88)))*(CRDJ[Date]&lt;=$C$8),CRDJ[Credit])))+(SUM(IF((GJ[Sort Code]=(TRIM(E$5)))*(GJ[Account Code]=(TRIM($B88)))*(GJ[Date]&lt;=$C$8),GJ[Credit]))))</f>
        <v>0</v>
      </c>
      <c r="D88" s="466">
        <f t="array" ref="D88">((SUM(IF((CkDJ[Date]=$A$4)*(CkDJ[Sort Code]=(TRIM(E$5)))*(CkDJ[Account Code]=(TRIM($B88))),CkDJ[Debit])))+(SUM(IF((CsDJ[Date]=$A$4)*(CsDJ[Sort Code]=(TRIM(E$5)))*(CsDJ[Account Code]=(TRIM($B88))),CsDJ[Debit])))+(SUM(IF((CRDJ[Date]=$A$4)*(CRDJ[Sort Code]=(TRIM(E$5)))*(CRDJ[Account Code]=(TRIM($B88))),CRDJ[Debit])))+(SUM(IF((GJ[Date]=$A$4)*(GJ[Sort Code]=(TRIM(E$5)))*(GJ[Account Code]=(TRIM($B88))),GJ[Debit]))))-((SUM(IF((CkDJ[Date]=$A$4)*(CkDJ[Sort Code]=(TRIM(E$5)))*(CkDJ[Account Code]=(TRIM($B88))),CkDJ[Credit])))+(SUM(IF((CsDJ[Date]=$A$4)*(CsDJ[Sort Code]=(TRIM(E$5)))*(CsDJ[Account Code]=(TRIM($B88))),CsDJ[Credit])))+(SUM(IF((CRDJ[Date]=$A$4)*(CRDJ[Sort Code]=(TRIM(E$5)))*(CRDJ[Account Code]=(TRIM($B88))),CRDJ[Credit])))+(SUM(IF((GJ[Date]=$A$4)*(GJ[Sort Code]=(TRIM(E$5)))*(GJ[Account Code]=(TRIM($B88))),GJ[Credit]))))</f>
        <v>0</v>
      </c>
      <c r="E88" s="467">
        <f>C88+D88</f>
        <v>0</v>
      </c>
    </row>
    <row r="89" spans="1:5">
      <c r="A89" s="476" t="s">
        <v>294</v>
      </c>
      <c r="B89" s="339" t="s">
        <v>234</v>
      </c>
      <c r="C89" s="466">
        <f t="array" ref="C89">((SUM(IF((CkDJ[Sort Code]=(TRIM(E$5)))*(CkDJ[Account Code]=(TRIM($B89)))*(CkDJ[Date]&lt;=$C$8),CkDJ[Debit])))+(SUM(IF((CsDJ[Sort Code]=(TRIM(E$5)))*(CsDJ[Account Code]=(TRIM($B89)))*(CsDJ[Date]&lt;=$C$8),CsDJ[Debit])))+(SUM(IF((CRDJ[Sort Code]=(TRIM(E$5)))*(CRDJ[Account Code]=(TRIM($B89)))*(CRDJ[Date]&lt;=$C$8),CRDJ[Debit])))+(SUM(IF((GJ[Sort Code]=(TRIM(E$5)))*(GJ[Account Code]=(TRIM($B89)))*(GJ[Date]&lt;=$C$8),GJ[Debit]))))-((SUM(IF((CkDJ[Sort Code]=(TRIM(E$5)))*(CkDJ[Account Code]=(TRIM($B89)))*(CkDJ[Date]&lt;=$C$8),CkDJ[Credit])))+(SUM(IF((CsDJ[Sort Code]=(TRIM(E$5)))*(CsDJ[Account Code]=(TRIM($B89)))*(CsDJ[Date]&lt;=$C$8),CsDJ[Credit])))+(SUM(IF((CRDJ[Sort Code]=(TRIM(E$5)))*(CRDJ[Account Code]=(TRIM($B89)))*(CRDJ[Date]&lt;=$C$8),CRDJ[Credit])))+(SUM(IF((GJ[Sort Code]=(TRIM(E$5)))*(GJ[Account Code]=(TRIM($B89)))*(GJ[Date]&lt;=$C$8),GJ[Credit]))))</f>
        <v>0</v>
      </c>
      <c r="D89" s="466">
        <f t="array" ref="D89">((SUM(IF((CkDJ[Date]=$A$4)*(CkDJ[Sort Code]=(TRIM(E$5)))*(CkDJ[Account Code]=(TRIM($B89))),CkDJ[Debit])))+(SUM(IF((CsDJ[Date]=$A$4)*(CsDJ[Sort Code]=(TRIM(E$5)))*(CsDJ[Account Code]=(TRIM($B89))),CsDJ[Debit])))+(SUM(IF((CRDJ[Date]=$A$4)*(CRDJ[Sort Code]=(TRIM(E$5)))*(CRDJ[Account Code]=(TRIM($B89))),CRDJ[Debit])))+(SUM(IF((GJ[Date]=$A$4)*(GJ[Sort Code]=(TRIM(E$5)))*(GJ[Account Code]=(TRIM($B89))),GJ[Debit]))))-((SUM(IF((CkDJ[Date]=$A$4)*(CkDJ[Sort Code]=(TRIM(E$5)))*(CkDJ[Account Code]=(TRIM($B89))),CkDJ[Credit])))+(SUM(IF((CsDJ[Date]=$A$4)*(CsDJ[Sort Code]=(TRIM(E$5)))*(CsDJ[Account Code]=(TRIM($B89))),CsDJ[Credit])))+(SUM(IF((CRDJ[Date]=$A$4)*(CRDJ[Sort Code]=(TRIM(E$5)))*(CRDJ[Account Code]=(TRIM($B89))),CRDJ[Credit])))+(SUM(IF((GJ[Date]=$A$4)*(GJ[Sort Code]=(TRIM(E$5)))*(GJ[Account Code]=(TRIM($B89))),GJ[Credit]))))</f>
        <v>0</v>
      </c>
      <c r="E89" s="467">
        <f t="shared" si="3"/>
        <v>0</v>
      </c>
    </row>
    <row r="90" spans="1:5">
      <c r="A90" s="476" t="s">
        <v>295</v>
      </c>
      <c r="B90" s="339" t="s">
        <v>235</v>
      </c>
      <c r="C90" s="466">
        <f t="array" ref="C90">((SUM(IF((CkDJ[Sort Code]=(TRIM(E$5)))*(CkDJ[Account Code]=(TRIM($B90)))*(CkDJ[Date]&lt;=$C$8),CkDJ[Debit])))+(SUM(IF((CsDJ[Sort Code]=(TRIM(E$5)))*(CsDJ[Account Code]=(TRIM($B90)))*(CsDJ[Date]&lt;=$C$8),CsDJ[Debit])))+(SUM(IF((CRDJ[Sort Code]=(TRIM(E$5)))*(CRDJ[Account Code]=(TRIM($B90)))*(CRDJ[Date]&lt;=$C$8),CRDJ[Debit])))+(SUM(IF((GJ[Sort Code]=(TRIM(E$5)))*(GJ[Account Code]=(TRIM($B90)))*(GJ[Date]&lt;=$C$8),GJ[Debit]))))-((SUM(IF((CkDJ[Sort Code]=(TRIM(E$5)))*(CkDJ[Account Code]=(TRIM($B90)))*(CkDJ[Date]&lt;=$C$8),CkDJ[Credit])))+(SUM(IF((CsDJ[Sort Code]=(TRIM(E$5)))*(CsDJ[Account Code]=(TRIM($B90)))*(CsDJ[Date]&lt;=$C$8),CsDJ[Credit])))+(SUM(IF((CRDJ[Sort Code]=(TRIM(E$5)))*(CRDJ[Account Code]=(TRIM($B90)))*(CRDJ[Date]&lt;=$C$8),CRDJ[Credit])))+(SUM(IF((GJ[Sort Code]=(TRIM(E$5)))*(GJ[Account Code]=(TRIM($B90)))*(GJ[Date]&lt;=$C$8),GJ[Credit]))))</f>
        <v>0</v>
      </c>
      <c r="D90" s="466">
        <f t="array" ref="D90">((SUM(IF((CkDJ[Date]=$A$4)*(CkDJ[Sort Code]=(TRIM(E$5)))*(CkDJ[Account Code]=(TRIM($B90))),CkDJ[Debit])))+(SUM(IF((CsDJ[Date]=$A$4)*(CsDJ[Sort Code]=(TRIM(E$5)))*(CsDJ[Account Code]=(TRIM($B90))),CsDJ[Debit])))+(SUM(IF((CRDJ[Date]=$A$4)*(CRDJ[Sort Code]=(TRIM(E$5)))*(CRDJ[Account Code]=(TRIM($B90))),CRDJ[Debit])))+(SUM(IF((GJ[Date]=$A$4)*(GJ[Sort Code]=(TRIM(E$5)))*(GJ[Account Code]=(TRIM($B90))),GJ[Debit]))))-((SUM(IF((CkDJ[Date]=$A$4)*(CkDJ[Sort Code]=(TRIM(E$5)))*(CkDJ[Account Code]=(TRIM($B90))),CkDJ[Credit])))+(SUM(IF((CsDJ[Date]=$A$4)*(CsDJ[Sort Code]=(TRIM(E$5)))*(CsDJ[Account Code]=(TRIM($B90))),CsDJ[Credit])))+(SUM(IF((CRDJ[Date]=$A$4)*(CRDJ[Sort Code]=(TRIM(E$5)))*(CRDJ[Account Code]=(TRIM($B90))),CRDJ[Credit])))+(SUM(IF((GJ[Date]=$A$4)*(GJ[Sort Code]=(TRIM(E$5)))*(GJ[Account Code]=(TRIM($B90))),GJ[Credit]))))</f>
        <v>0</v>
      </c>
      <c r="E90" s="467">
        <f t="shared" si="3"/>
        <v>0</v>
      </c>
    </row>
    <row r="91" spans="1:5">
      <c r="A91" s="476" t="s">
        <v>296</v>
      </c>
      <c r="B91" s="339" t="s">
        <v>236</v>
      </c>
      <c r="C91" s="466">
        <f t="array" ref="C91">((SUM(IF((CkDJ[Sort Code]=(TRIM(E$5)))*(CkDJ[Account Code]=(TRIM($B91)))*(CkDJ[Date]&lt;=$C$8),CkDJ[Debit])))+(SUM(IF((CsDJ[Sort Code]=(TRIM(E$5)))*(CsDJ[Account Code]=(TRIM($B91)))*(CsDJ[Date]&lt;=$C$8),CsDJ[Debit])))+(SUM(IF((CRDJ[Sort Code]=(TRIM(E$5)))*(CRDJ[Account Code]=(TRIM($B91)))*(CRDJ[Date]&lt;=$C$8),CRDJ[Debit])))+(SUM(IF((GJ[Sort Code]=(TRIM(E$5)))*(GJ[Account Code]=(TRIM($B91)))*(GJ[Date]&lt;=$C$8),GJ[Debit]))))-((SUM(IF((CkDJ[Sort Code]=(TRIM(E$5)))*(CkDJ[Account Code]=(TRIM($B91)))*(CkDJ[Date]&lt;=$C$8),CkDJ[Credit])))+(SUM(IF((CsDJ[Sort Code]=(TRIM(E$5)))*(CsDJ[Account Code]=(TRIM($B91)))*(CsDJ[Date]&lt;=$C$8),CsDJ[Credit])))+(SUM(IF((CRDJ[Sort Code]=(TRIM(E$5)))*(CRDJ[Account Code]=(TRIM($B91)))*(CRDJ[Date]&lt;=$C$8),CRDJ[Credit])))+(SUM(IF((GJ[Sort Code]=(TRIM(E$5)))*(GJ[Account Code]=(TRIM($B91)))*(GJ[Date]&lt;=$C$8),GJ[Credit]))))</f>
        <v>0</v>
      </c>
      <c r="D91" s="466">
        <f t="array" ref="D91">((SUM(IF((CkDJ[Date]=$A$4)*(CkDJ[Sort Code]=(TRIM(E$5)))*(CkDJ[Account Code]=(TRIM($B91))),CkDJ[Debit])))+(SUM(IF((CsDJ[Date]=$A$4)*(CsDJ[Sort Code]=(TRIM(E$5)))*(CsDJ[Account Code]=(TRIM($B91))),CsDJ[Debit])))+(SUM(IF((CRDJ[Date]=$A$4)*(CRDJ[Sort Code]=(TRIM(E$5)))*(CRDJ[Account Code]=(TRIM($B91))),CRDJ[Debit])))+(SUM(IF((GJ[Date]=$A$4)*(GJ[Sort Code]=(TRIM(E$5)))*(GJ[Account Code]=(TRIM($B91))),GJ[Debit]))))-((SUM(IF((CkDJ[Date]=$A$4)*(CkDJ[Sort Code]=(TRIM(E$5)))*(CkDJ[Account Code]=(TRIM($B91))),CkDJ[Credit])))+(SUM(IF((CsDJ[Date]=$A$4)*(CsDJ[Sort Code]=(TRIM(E$5)))*(CsDJ[Account Code]=(TRIM($B91))),CsDJ[Credit])))+(SUM(IF((CRDJ[Date]=$A$4)*(CRDJ[Sort Code]=(TRIM(E$5)))*(CRDJ[Account Code]=(TRIM($B91))),CRDJ[Credit])))+(SUM(IF((GJ[Date]=$A$4)*(GJ[Sort Code]=(TRIM(E$5)))*(GJ[Account Code]=(TRIM($B91))),GJ[Credit]))))</f>
        <v>0</v>
      </c>
      <c r="E91" s="467">
        <f t="shared" si="3"/>
        <v>0</v>
      </c>
    </row>
    <row r="92" spans="1:5">
      <c r="A92" s="476" t="s">
        <v>297</v>
      </c>
      <c r="B92" s="339" t="s">
        <v>237</v>
      </c>
      <c r="C92" s="466">
        <f t="array" ref="C92">((SUM(IF((CkDJ[Sort Code]=(TRIM(E$5)))*(CkDJ[Account Code]=(TRIM($B92)))*(CkDJ[Date]&lt;=$C$8),CkDJ[Debit])))+(SUM(IF((CsDJ[Sort Code]=(TRIM(E$5)))*(CsDJ[Account Code]=(TRIM($B92)))*(CsDJ[Date]&lt;=$C$8),CsDJ[Debit])))+(SUM(IF((CRDJ[Sort Code]=(TRIM(E$5)))*(CRDJ[Account Code]=(TRIM($B92)))*(CRDJ[Date]&lt;=$C$8),CRDJ[Debit])))+(SUM(IF((GJ[Sort Code]=(TRIM(E$5)))*(GJ[Account Code]=(TRIM($B92)))*(GJ[Date]&lt;=$C$8),GJ[Debit]))))-((SUM(IF((CkDJ[Sort Code]=(TRIM(E$5)))*(CkDJ[Account Code]=(TRIM($B92)))*(CkDJ[Date]&lt;=$C$8),CkDJ[Credit])))+(SUM(IF((CsDJ[Sort Code]=(TRIM(E$5)))*(CsDJ[Account Code]=(TRIM($B92)))*(CsDJ[Date]&lt;=$C$8),CsDJ[Credit])))+(SUM(IF((CRDJ[Sort Code]=(TRIM(E$5)))*(CRDJ[Account Code]=(TRIM($B92)))*(CRDJ[Date]&lt;=$C$8),CRDJ[Credit])))+(SUM(IF((GJ[Sort Code]=(TRIM(E$5)))*(GJ[Account Code]=(TRIM($B92)))*(GJ[Date]&lt;=$C$8),GJ[Credit]))))</f>
        <v>0</v>
      </c>
      <c r="D92" s="466">
        <f t="array" ref="D92">((SUM(IF((CkDJ[Date]=$A$4)*(CkDJ[Sort Code]=(TRIM(E$5)))*(CkDJ[Account Code]=(TRIM($B92))),CkDJ[Debit])))+(SUM(IF((CsDJ[Date]=$A$4)*(CsDJ[Sort Code]=(TRIM(E$5)))*(CsDJ[Account Code]=(TRIM($B92))),CsDJ[Debit])))+(SUM(IF((CRDJ[Date]=$A$4)*(CRDJ[Sort Code]=(TRIM(E$5)))*(CRDJ[Account Code]=(TRIM($B92))),CRDJ[Debit])))+(SUM(IF((GJ[Date]=$A$4)*(GJ[Sort Code]=(TRIM(E$5)))*(GJ[Account Code]=(TRIM($B92))),GJ[Debit]))))-((SUM(IF((CkDJ[Date]=$A$4)*(CkDJ[Sort Code]=(TRIM(E$5)))*(CkDJ[Account Code]=(TRIM($B92))),CkDJ[Credit])))+(SUM(IF((CsDJ[Date]=$A$4)*(CsDJ[Sort Code]=(TRIM(E$5)))*(CsDJ[Account Code]=(TRIM($B92))),CsDJ[Credit])))+(SUM(IF((CRDJ[Date]=$A$4)*(CRDJ[Sort Code]=(TRIM(E$5)))*(CRDJ[Account Code]=(TRIM($B92))),CRDJ[Credit])))+(SUM(IF((GJ[Date]=$A$4)*(GJ[Sort Code]=(TRIM(E$5)))*(GJ[Account Code]=(TRIM($B92))),GJ[Credit]))))</f>
        <v>0</v>
      </c>
      <c r="E92" s="467">
        <f t="shared" si="3"/>
        <v>0</v>
      </c>
    </row>
    <row r="93" spans="1:5">
      <c r="A93" s="476" t="s">
        <v>298</v>
      </c>
      <c r="B93" s="339" t="s">
        <v>238</v>
      </c>
      <c r="C93" s="466">
        <f t="array" ref="C93">((SUM(IF((CkDJ[Sort Code]=(TRIM(E$5)))*(CkDJ[Account Code]=(TRIM($B93)))*(CkDJ[Date]&lt;=$C$8),CkDJ[Debit])))+(SUM(IF((CsDJ[Sort Code]=(TRIM(E$5)))*(CsDJ[Account Code]=(TRIM($B93)))*(CsDJ[Date]&lt;=$C$8),CsDJ[Debit])))+(SUM(IF((CRDJ[Sort Code]=(TRIM(E$5)))*(CRDJ[Account Code]=(TRIM($B93)))*(CRDJ[Date]&lt;=$C$8),CRDJ[Debit])))+(SUM(IF((GJ[Sort Code]=(TRIM(E$5)))*(GJ[Account Code]=(TRIM($B93)))*(GJ[Date]&lt;=$C$8),GJ[Debit]))))-((SUM(IF((CkDJ[Sort Code]=(TRIM(E$5)))*(CkDJ[Account Code]=(TRIM($B93)))*(CkDJ[Date]&lt;=$C$8),CkDJ[Credit])))+(SUM(IF((CsDJ[Sort Code]=(TRIM(E$5)))*(CsDJ[Account Code]=(TRIM($B93)))*(CsDJ[Date]&lt;=$C$8),CsDJ[Credit])))+(SUM(IF((CRDJ[Sort Code]=(TRIM(E$5)))*(CRDJ[Account Code]=(TRIM($B93)))*(CRDJ[Date]&lt;=$C$8),CRDJ[Credit])))+(SUM(IF((GJ[Sort Code]=(TRIM(E$5)))*(GJ[Account Code]=(TRIM($B93)))*(GJ[Date]&lt;=$C$8),GJ[Credit]))))</f>
        <v>0</v>
      </c>
      <c r="D93" s="466">
        <f t="array" ref="D93">((SUM(IF((CkDJ[Date]=$A$4)*(CkDJ[Sort Code]=(TRIM(E$5)))*(CkDJ[Account Code]=(TRIM($B93))),CkDJ[Debit])))+(SUM(IF((CsDJ[Date]=$A$4)*(CsDJ[Sort Code]=(TRIM(E$5)))*(CsDJ[Account Code]=(TRIM($B93))),CsDJ[Debit])))+(SUM(IF((CRDJ[Date]=$A$4)*(CRDJ[Sort Code]=(TRIM(E$5)))*(CRDJ[Account Code]=(TRIM($B93))),CRDJ[Debit])))+(SUM(IF((GJ[Date]=$A$4)*(GJ[Sort Code]=(TRIM(E$5)))*(GJ[Account Code]=(TRIM($B93))),GJ[Debit]))))-((SUM(IF((CkDJ[Date]=$A$4)*(CkDJ[Sort Code]=(TRIM(E$5)))*(CkDJ[Account Code]=(TRIM($B93))),CkDJ[Credit])))+(SUM(IF((CsDJ[Date]=$A$4)*(CsDJ[Sort Code]=(TRIM(E$5)))*(CsDJ[Account Code]=(TRIM($B93))),CsDJ[Credit])))+(SUM(IF((CRDJ[Date]=$A$4)*(CRDJ[Sort Code]=(TRIM(E$5)))*(CRDJ[Account Code]=(TRIM($B93))),CRDJ[Credit])))+(SUM(IF((GJ[Date]=$A$4)*(GJ[Sort Code]=(TRIM(E$5)))*(GJ[Account Code]=(TRIM($B93))),GJ[Credit]))))</f>
        <v>0</v>
      </c>
      <c r="E93" s="467">
        <f t="shared" si="3"/>
        <v>0</v>
      </c>
    </row>
    <row r="94" spans="1:5">
      <c r="A94" s="476" t="s">
        <v>1019</v>
      </c>
      <c r="B94" s="339" t="s">
        <v>239</v>
      </c>
      <c r="C94" s="466">
        <f t="array" ref="C94">((SUM(IF((CkDJ[Sort Code]=(TRIM(E$5)))*(CkDJ[Account Code]=(TRIM($B94)))*(CkDJ[Date]&lt;=$C$8),CkDJ[Debit])))+(SUM(IF((CsDJ[Sort Code]=(TRIM(E$5)))*(CsDJ[Account Code]=(TRIM($B94)))*(CsDJ[Date]&lt;=$C$8),CsDJ[Debit])))+(SUM(IF((CRDJ[Sort Code]=(TRIM(E$5)))*(CRDJ[Account Code]=(TRIM($B94)))*(CRDJ[Date]&lt;=$C$8),CRDJ[Debit])))+(SUM(IF((GJ[Sort Code]=(TRIM(E$5)))*(GJ[Account Code]=(TRIM($B94)))*(GJ[Date]&lt;=$C$8),GJ[Debit]))))-((SUM(IF((CkDJ[Sort Code]=(TRIM(E$5)))*(CkDJ[Account Code]=(TRIM($B94)))*(CkDJ[Date]&lt;=$C$8),CkDJ[Credit])))+(SUM(IF((CsDJ[Sort Code]=(TRIM(E$5)))*(CsDJ[Account Code]=(TRIM($B94)))*(CsDJ[Date]&lt;=$C$8),CsDJ[Credit])))+(SUM(IF((CRDJ[Sort Code]=(TRIM(E$5)))*(CRDJ[Account Code]=(TRIM($B94)))*(CRDJ[Date]&lt;=$C$8),CRDJ[Credit])))+(SUM(IF((GJ[Sort Code]=(TRIM(E$5)))*(GJ[Account Code]=(TRIM($B94)))*(GJ[Date]&lt;=$C$8),GJ[Credit]))))</f>
        <v>0</v>
      </c>
      <c r="D94" s="466">
        <f t="array" ref="D94">((SUM(IF((CkDJ[Date]=$A$4)*(CkDJ[Sort Code]=(TRIM(E$5)))*(CkDJ[Account Code]=(TRIM($B94))),CkDJ[Debit])))+(SUM(IF((CsDJ[Date]=$A$4)*(CsDJ[Sort Code]=(TRIM(E$5)))*(CsDJ[Account Code]=(TRIM($B94))),CsDJ[Debit])))+(SUM(IF((CRDJ[Date]=$A$4)*(CRDJ[Sort Code]=(TRIM(E$5)))*(CRDJ[Account Code]=(TRIM($B94))),CRDJ[Debit])))+(SUM(IF((GJ[Date]=$A$4)*(GJ[Sort Code]=(TRIM(E$5)))*(GJ[Account Code]=(TRIM($B94))),GJ[Debit]))))-((SUM(IF((CkDJ[Date]=$A$4)*(CkDJ[Sort Code]=(TRIM(E$5)))*(CkDJ[Account Code]=(TRIM($B94))),CkDJ[Credit])))+(SUM(IF((CsDJ[Date]=$A$4)*(CsDJ[Sort Code]=(TRIM(E$5)))*(CsDJ[Account Code]=(TRIM($B94))),CsDJ[Credit])))+(SUM(IF((CRDJ[Date]=$A$4)*(CRDJ[Sort Code]=(TRIM(E$5)))*(CRDJ[Account Code]=(TRIM($B94))),CRDJ[Credit])))+(SUM(IF((GJ[Date]=$A$4)*(GJ[Sort Code]=(TRIM(E$5)))*(GJ[Account Code]=(TRIM($B94))),GJ[Credit]))))</f>
        <v>0</v>
      </c>
      <c r="E94" s="467">
        <f t="shared" si="3"/>
        <v>0</v>
      </c>
    </row>
    <row r="95" spans="1:5">
      <c r="A95" s="476" t="s">
        <v>1020</v>
      </c>
      <c r="B95" s="339" t="s">
        <v>240</v>
      </c>
      <c r="C95" s="466">
        <f t="array" ref="C95">((SUM(IF((CkDJ[Sort Code]=(TRIM(E$5)))*(CkDJ[Account Code]=(TRIM($B95)))*(CkDJ[Date]&lt;=$C$8),CkDJ[Debit])))+(SUM(IF((CsDJ[Sort Code]=(TRIM(E$5)))*(CsDJ[Account Code]=(TRIM($B95)))*(CsDJ[Date]&lt;=$C$8),CsDJ[Debit])))+(SUM(IF((CRDJ[Sort Code]=(TRIM(E$5)))*(CRDJ[Account Code]=(TRIM($B95)))*(CRDJ[Date]&lt;=$C$8),CRDJ[Debit])))+(SUM(IF((GJ[Sort Code]=(TRIM(E$5)))*(GJ[Account Code]=(TRIM($B95)))*(GJ[Date]&lt;=$C$8),GJ[Debit]))))-((SUM(IF((CkDJ[Sort Code]=(TRIM(E$5)))*(CkDJ[Account Code]=(TRIM($B95)))*(CkDJ[Date]&lt;=$C$8),CkDJ[Credit])))+(SUM(IF((CsDJ[Sort Code]=(TRIM(E$5)))*(CsDJ[Account Code]=(TRIM($B95)))*(CsDJ[Date]&lt;=$C$8),CsDJ[Credit])))+(SUM(IF((CRDJ[Sort Code]=(TRIM(E$5)))*(CRDJ[Account Code]=(TRIM($B95)))*(CRDJ[Date]&lt;=$C$8),CRDJ[Credit])))+(SUM(IF((GJ[Sort Code]=(TRIM(E$5)))*(GJ[Account Code]=(TRIM($B95)))*(GJ[Date]&lt;=$C$8),GJ[Credit]))))</f>
        <v>0</v>
      </c>
      <c r="D95" s="466">
        <f t="array" ref="D95">((SUM(IF((CkDJ[Date]=$A$4)*(CkDJ[Sort Code]=(TRIM(E$5)))*(CkDJ[Account Code]=(TRIM($B95))),CkDJ[Debit])))+(SUM(IF((CsDJ[Date]=$A$4)*(CsDJ[Sort Code]=(TRIM(E$5)))*(CsDJ[Account Code]=(TRIM($B95))),CsDJ[Debit])))+(SUM(IF((CRDJ[Date]=$A$4)*(CRDJ[Sort Code]=(TRIM(E$5)))*(CRDJ[Account Code]=(TRIM($B95))),CRDJ[Debit])))+(SUM(IF((GJ[Date]=$A$4)*(GJ[Sort Code]=(TRIM(E$5)))*(GJ[Account Code]=(TRIM($B95))),GJ[Debit]))))-((SUM(IF((CkDJ[Date]=$A$4)*(CkDJ[Sort Code]=(TRIM(E$5)))*(CkDJ[Account Code]=(TRIM($B95))),CkDJ[Credit])))+(SUM(IF((CsDJ[Date]=$A$4)*(CsDJ[Sort Code]=(TRIM(E$5)))*(CsDJ[Account Code]=(TRIM($B95))),CsDJ[Credit])))+(SUM(IF((CRDJ[Date]=$A$4)*(CRDJ[Sort Code]=(TRIM(E$5)))*(CRDJ[Account Code]=(TRIM($B95))),CRDJ[Credit])))+(SUM(IF((GJ[Date]=$A$4)*(GJ[Sort Code]=(TRIM(E$5)))*(GJ[Account Code]=(TRIM($B95))),GJ[Credit]))))</f>
        <v>0</v>
      </c>
      <c r="E95" s="467">
        <f t="shared" si="3"/>
        <v>0</v>
      </c>
    </row>
    <row r="96" spans="1:5">
      <c r="A96" s="476" t="s">
        <v>299</v>
      </c>
      <c r="B96" s="339" t="s">
        <v>241</v>
      </c>
      <c r="C96" s="466">
        <f t="array" ref="C96">((SUM(IF((CkDJ[Sort Code]=(TRIM(E$5)))*(CkDJ[Account Code]=(TRIM($B96)))*(CkDJ[Date]&lt;=$C$8),CkDJ[Debit])))+(SUM(IF((CsDJ[Sort Code]=(TRIM(E$5)))*(CsDJ[Account Code]=(TRIM($B96)))*(CsDJ[Date]&lt;=$C$8),CsDJ[Debit])))+(SUM(IF((CRDJ[Sort Code]=(TRIM(E$5)))*(CRDJ[Account Code]=(TRIM($B96)))*(CRDJ[Date]&lt;=$C$8),CRDJ[Debit])))+(SUM(IF((GJ[Sort Code]=(TRIM(E$5)))*(GJ[Account Code]=(TRIM($B96)))*(GJ[Date]&lt;=$C$8),GJ[Debit]))))-((SUM(IF((CkDJ[Sort Code]=(TRIM(E$5)))*(CkDJ[Account Code]=(TRIM($B96)))*(CkDJ[Date]&lt;=$C$8),CkDJ[Credit])))+(SUM(IF((CsDJ[Sort Code]=(TRIM(E$5)))*(CsDJ[Account Code]=(TRIM($B96)))*(CsDJ[Date]&lt;=$C$8),CsDJ[Credit])))+(SUM(IF((CRDJ[Sort Code]=(TRIM(E$5)))*(CRDJ[Account Code]=(TRIM($B96)))*(CRDJ[Date]&lt;=$C$8),CRDJ[Credit])))+(SUM(IF((GJ[Sort Code]=(TRIM(E$5)))*(GJ[Account Code]=(TRIM($B96)))*(GJ[Date]&lt;=$C$8),GJ[Credit]))))</f>
        <v>0</v>
      </c>
      <c r="D96" s="466">
        <f t="array" ref="D96">((SUM(IF((CkDJ[Date]=$A$4)*(CkDJ[Sort Code]=(TRIM(E$5)))*(CkDJ[Account Code]=(TRIM($B96))),CkDJ[Debit])))+(SUM(IF((CsDJ[Date]=$A$4)*(CsDJ[Sort Code]=(TRIM(E$5)))*(CsDJ[Account Code]=(TRIM($B96))),CsDJ[Debit])))+(SUM(IF((CRDJ[Date]=$A$4)*(CRDJ[Sort Code]=(TRIM(E$5)))*(CRDJ[Account Code]=(TRIM($B96))),CRDJ[Debit])))+(SUM(IF((GJ[Date]=$A$4)*(GJ[Sort Code]=(TRIM(E$5)))*(GJ[Account Code]=(TRIM($B96))),GJ[Debit]))))-((SUM(IF((CkDJ[Date]=$A$4)*(CkDJ[Sort Code]=(TRIM(E$5)))*(CkDJ[Account Code]=(TRIM($B96))),CkDJ[Credit])))+(SUM(IF((CsDJ[Date]=$A$4)*(CsDJ[Sort Code]=(TRIM(E$5)))*(CsDJ[Account Code]=(TRIM($B96))),CsDJ[Credit])))+(SUM(IF((CRDJ[Date]=$A$4)*(CRDJ[Sort Code]=(TRIM(E$5)))*(CRDJ[Account Code]=(TRIM($B96))),CRDJ[Credit])))+(SUM(IF((GJ[Date]=$A$4)*(GJ[Sort Code]=(TRIM(E$5)))*(GJ[Account Code]=(TRIM($B96))),GJ[Credit]))))</f>
        <v>0</v>
      </c>
      <c r="E96" s="467">
        <f t="shared" si="3"/>
        <v>0</v>
      </c>
    </row>
    <row r="97" spans="1:5">
      <c r="A97" s="476" t="s">
        <v>300</v>
      </c>
      <c r="B97" s="339" t="s">
        <v>242</v>
      </c>
      <c r="C97" s="466">
        <f t="array" ref="C97">((SUM(IF((CkDJ[Sort Code]=(TRIM(E$5)))*(CkDJ[Account Code]=(TRIM($B97)))*(CkDJ[Date]&lt;=$C$8),CkDJ[Debit])))+(SUM(IF((CsDJ[Sort Code]=(TRIM(E$5)))*(CsDJ[Account Code]=(TRIM($B97)))*(CsDJ[Date]&lt;=$C$8),CsDJ[Debit])))+(SUM(IF((CRDJ[Sort Code]=(TRIM(E$5)))*(CRDJ[Account Code]=(TRIM($B97)))*(CRDJ[Date]&lt;=$C$8),CRDJ[Debit])))+(SUM(IF((GJ[Sort Code]=(TRIM(E$5)))*(GJ[Account Code]=(TRIM($B97)))*(GJ[Date]&lt;=$C$8),GJ[Debit]))))-((SUM(IF((CkDJ[Sort Code]=(TRIM(E$5)))*(CkDJ[Account Code]=(TRIM($B97)))*(CkDJ[Date]&lt;=$C$8),CkDJ[Credit])))+(SUM(IF((CsDJ[Sort Code]=(TRIM(E$5)))*(CsDJ[Account Code]=(TRIM($B97)))*(CsDJ[Date]&lt;=$C$8),CsDJ[Credit])))+(SUM(IF((CRDJ[Sort Code]=(TRIM(E$5)))*(CRDJ[Account Code]=(TRIM($B97)))*(CRDJ[Date]&lt;=$C$8),CRDJ[Credit])))+(SUM(IF((GJ[Sort Code]=(TRIM(E$5)))*(GJ[Account Code]=(TRIM($B97)))*(GJ[Date]&lt;=$C$8),GJ[Credit]))))</f>
        <v>0</v>
      </c>
      <c r="D97" s="466">
        <f t="array" ref="D97">((SUM(IF((CkDJ[Date]=$A$4)*(CkDJ[Sort Code]=(TRIM(E$5)))*(CkDJ[Account Code]=(TRIM($B97))),CkDJ[Debit])))+(SUM(IF((CsDJ[Date]=$A$4)*(CsDJ[Sort Code]=(TRIM(E$5)))*(CsDJ[Account Code]=(TRIM($B97))),CsDJ[Debit])))+(SUM(IF((CRDJ[Date]=$A$4)*(CRDJ[Sort Code]=(TRIM(E$5)))*(CRDJ[Account Code]=(TRIM($B97))),CRDJ[Debit])))+(SUM(IF((GJ[Date]=$A$4)*(GJ[Sort Code]=(TRIM(E$5)))*(GJ[Account Code]=(TRIM($B97))),GJ[Debit]))))-((SUM(IF((CkDJ[Date]=$A$4)*(CkDJ[Sort Code]=(TRIM(E$5)))*(CkDJ[Account Code]=(TRIM($B97))),CkDJ[Credit])))+(SUM(IF((CsDJ[Date]=$A$4)*(CsDJ[Sort Code]=(TRIM(E$5)))*(CsDJ[Account Code]=(TRIM($B97))),CsDJ[Credit])))+(SUM(IF((CRDJ[Date]=$A$4)*(CRDJ[Sort Code]=(TRIM(E$5)))*(CRDJ[Account Code]=(TRIM($B97))),CRDJ[Credit])))+(SUM(IF((GJ[Date]=$A$4)*(GJ[Sort Code]=(TRIM(E$5)))*(GJ[Account Code]=(TRIM($B97))),GJ[Credit]))))</f>
        <v>0</v>
      </c>
      <c r="E97" s="467">
        <f t="shared" si="3"/>
        <v>0</v>
      </c>
    </row>
    <row r="98" spans="1:5">
      <c r="A98" s="476" t="s">
        <v>301</v>
      </c>
      <c r="B98" s="339" t="s">
        <v>243</v>
      </c>
      <c r="C98" s="466">
        <f t="array" ref="C98">((SUM(IF((CkDJ[Sort Code]=(TRIM(E$5)))*(CkDJ[Account Code]=(TRIM($B98)))*(CkDJ[Date]&lt;=$C$8),CkDJ[Debit])))+(SUM(IF((CsDJ[Sort Code]=(TRIM(E$5)))*(CsDJ[Account Code]=(TRIM($B98)))*(CsDJ[Date]&lt;=$C$8),CsDJ[Debit])))+(SUM(IF((CRDJ[Sort Code]=(TRIM(E$5)))*(CRDJ[Account Code]=(TRIM($B98)))*(CRDJ[Date]&lt;=$C$8),CRDJ[Debit])))+(SUM(IF((GJ[Sort Code]=(TRIM(E$5)))*(GJ[Account Code]=(TRIM($B98)))*(GJ[Date]&lt;=$C$8),GJ[Debit]))))-((SUM(IF((CkDJ[Sort Code]=(TRIM(E$5)))*(CkDJ[Account Code]=(TRIM($B98)))*(CkDJ[Date]&lt;=$C$8),CkDJ[Credit])))+(SUM(IF((CsDJ[Sort Code]=(TRIM(E$5)))*(CsDJ[Account Code]=(TRIM($B98)))*(CsDJ[Date]&lt;=$C$8),CsDJ[Credit])))+(SUM(IF((CRDJ[Sort Code]=(TRIM(E$5)))*(CRDJ[Account Code]=(TRIM($B98)))*(CRDJ[Date]&lt;=$C$8),CRDJ[Credit])))+(SUM(IF((GJ[Sort Code]=(TRIM(E$5)))*(GJ[Account Code]=(TRIM($B98)))*(GJ[Date]&lt;=$C$8),GJ[Credit]))))</f>
        <v>0</v>
      </c>
      <c r="D98" s="466">
        <f t="array" ref="D98">((SUM(IF((CkDJ[Date]=$A$4)*(CkDJ[Sort Code]=(TRIM(E$5)))*(CkDJ[Account Code]=(TRIM($B98))),CkDJ[Debit])))+(SUM(IF((CsDJ[Date]=$A$4)*(CsDJ[Sort Code]=(TRIM(E$5)))*(CsDJ[Account Code]=(TRIM($B98))),CsDJ[Debit])))+(SUM(IF((CRDJ[Date]=$A$4)*(CRDJ[Sort Code]=(TRIM(E$5)))*(CRDJ[Account Code]=(TRIM($B98))),CRDJ[Debit])))+(SUM(IF((GJ[Date]=$A$4)*(GJ[Sort Code]=(TRIM(E$5)))*(GJ[Account Code]=(TRIM($B98))),GJ[Debit]))))-((SUM(IF((CkDJ[Date]=$A$4)*(CkDJ[Sort Code]=(TRIM(E$5)))*(CkDJ[Account Code]=(TRIM($B98))),CkDJ[Credit])))+(SUM(IF((CsDJ[Date]=$A$4)*(CsDJ[Sort Code]=(TRIM(E$5)))*(CsDJ[Account Code]=(TRIM($B98))),CsDJ[Credit])))+(SUM(IF((CRDJ[Date]=$A$4)*(CRDJ[Sort Code]=(TRIM(E$5)))*(CRDJ[Account Code]=(TRIM($B98))),CRDJ[Credit])))+(SUM(IF((GJ[Date]=$A$4)*(GJ[Sort Code]=(TRIM(E$5)))*(GJ[Account Code]=(TRIM($B98))),GJ[Credit]))))</f>
        <v>0</v>
      </c>
      <c r="E98" s="467">
        <f t="shared" si="3"/>
        <v>0</v>
      </c>
    </row>
    <row r="99" spans="1:5">
      <c r="A99" s="476" t="s">
        <v>302</v>
      </c>
      <c r="B99" s="339" t="s">
        <v>244</v>
      </c>
      <c r="C99" s="466">
        <f t="array" ref="C99">((SUM(IF((CkDJ[Sort Code]=(TRIM(E$5)))*(CkDJ[Account Code]=(TRIM($B99)))*(CkDJ[Date]&lt;=$C$8),CkDJ[Debit])))+(SUM(IF((CsDJ[Sort Code]=(TRIM(E$5)))*(CsDJ[Account Code]=(TRIM($B99)))*(CsDJ[Date]&lt;=$C$8),CsDJ[Debit])))+(SUM(IF((CRDJ[Sort Code]=(TRIM(E$5)))*(CRDJ[Account Code]=(TRIM($B99)))*(CRDJ[Date]&lt;=$C$8),CRDJ[Debit])))+(SUM(IF((GJ[Sort Code]=(TRIM(E$5)))*(GJ[Account Code]=(TRIM($B99)))*(GJ[Date]&lt;=$C$8),GJ[Debit]))))-((SUM(IF((CkDJ[Sort Code]=(TRIM(E$5)))*(CkDJ[Account Code]=(TRIM($B99)))*(CkDJ[Date]&lt;=$C$8),CkDJ[Credit])))+(SUM(IF((CsDJ[Sort Code]=(TRIM(E$5)))*(CsDJ[Account Code]=(TRIM($B99)))*(CsDJ[Date]&lt;=$C$8),CsDJ[Credit])))+(SUM(IF((CRDJ[Sort Code]=(TRIM(E$5)))*(CRDJ[Account Code]=(TRIM($B99)))*(CRDJ[Date]&lt;=$C$8),CRDJ[Credit])))+(SUM(IF((GJ[Sort Code]=(TRIM(E$5)))*(GJ[Account Code]=(TRIM($B99)))*(GJ[Date]&lt;=$C$8),GJ[Credit]))))</f>
        <v>0</v>
      </c>
      <c r="D99" s="466">
        <f t="array" ref="D99">((SUM(IF((CkDJ[Date]=$A$4)*(CkDJ[Sort Code]=(TRIM(E$5)))*(CkDJ[Account Code]=(TRIM($B99))),CkDJ[Debit])))+(SUM(IF((CsDJ[Date]=$A$4)*(CsDJ[Sort Code]=(TRIM(E$5)))*(CsDJ[Account Code]=(TRIM($B99))),CsDJ[Debit])))+(SUM(IF((CRDJ[Date]=$A$4)*(CRDJ[Sort Code]=(TRIM(E$5)))*(CRDJ[Account Code]=(TRIM($B99))),CRDJ[Debit])))+(SUM(IF((GJ[Date]=$A$4)*(GJ[Sort Code]=(TRIM(E$5)))*(GJ[Account Code]=(TRIM($B99))),GJ[Debit]))))-((SUM(IF((CkDJ[Date]=$A$4)*(CkDJ[Sort Code]=(TRIM(E$5)))*(CkDJ[Account Code]=(TRIM($B99))),CkDJ[Credit])))+(SUM(IF((CsDJ[Date]=$A$4)*(CsDJ[Sort Code]=(TRIM(E$5)))*(CsDJ[Account Code]=(TRIM($B99))),CsDJ[Credit])))+(SUM(IF((CRDJ[Date]=$A$4)*(CRDJ[Sort Code]=(TRIM(E$5)))*(CRDJ[Account Code]=(TRIM($B99))),CRDJ[Credit])))+(SUM(IF((GJ[Date]=$A$4)*(GJ[Sort Code]=(TRIM(E$5)))*(GJ[Account Code]=(TRIM($B99))),GJ[Credit]))))</f>
        <v>0</v>
      </c>
      <c r="E99" s="467">
        <f t="shared" si="3"/>
        <v>0</v>
      </c>
    </row>
    <row r="100" spans="1:5">
      <c r="A100" s="476" t="s">
        <v>347</v>
      </c>
      <c r="B100" s="339" t="s">
        <v>338</v>
      </c>
      <c r="C100" s="466">
        <f t="array" ref="C100">((SUM(IF((CkDJ[Sort Code]=(TRIM(E$5)))*(CkDJ[Account Code]=(TRIM($B100)))*(CkDJ[Date]&lt;=$C$8),CkDJ[Debit])))+(SUM(IF((CsDJ[Sort Code]=(TRIM(E$5)))*(CsDJ[Account Code]=(TRIM($B100)))*(CsDJ[Date]&lt;=$C$8),CsDJ[Debit])))+(SUM(IF((CRDJ[Sort Code]=(TRIM(E$5)))*(CRDJ[Account Code]=(TRIM($B100)))*(CRDJ[Date]&lt;=$C$8),CRDJ[Debit])))+(SUM(IF((GJ[Sort Code]=(TRIM(E$5)))*(GJ[Account Code]=(TRIM($B100)))*(GJ[Date]&lt;=$C$8),GJ[Debit]))))-((SUM(IF((CkDJ[Sort Code]=(TRIM(E$5)))*(CkDJ[Account Code]=(TRIM($B100)))*(CkDJ[Date]&lt;=$C$8),CkDJ[Credit])))+(SUM(IF((CsDJ[Sort Code]=(TRIM(E$5)))*(CsDJ[Account Code]=(TRIM($B100)))*(CsDJ[Date]&lt;=$C$8),CsDJ[Credit])))+(SUM(IF((CRDJ[Sort Code]=(TRIM(E$5)))*(CRDJ[Account Code]=(TRIM($B100)))*(CRDJ[Date]&lt;=$C$8),CRDJ[Credit])))+(SUM(IF((GJ[Sort Code]=(TRIM(E$5)))*(GJ[Account Code]=(TRIM($B100)))*(GJ[Date]&lt;=$C$8),GJ[Credit]))))</f>
        <v>0</v>
      </c>
      <c r="D100" s="466">
        <f t="array" ref="D100">((SUM(IF((CkDJ[Date]=$A$4)*(CkDJ[Sort Code]=(TRIM(E$5)))*(CkDJ[Account Code]=(TRIM($B100))),CkDJ[Debit])))+(SUM(IF((CsDJ[Date]=$A$4)*(CsDJ[Sort Code]=(TRIM(E$5)))*(CsDJ[Account Code]=(TRIM($B100))),CsDJ[Debit])))+(SUM(IF((CRDJ[Date]=$A$4)*(CRDJ[Sort Code]=(TRIM(E$5)))*(CRDJ[Account Code]=(TRIM($B100))),CRDJ[Debit])))+(SUM(IF((GJ[Date]=$A$4)*(GJ[Sort Code]=(TRIM(E$5)))*(GJ[Account Code]=(TRIM($B100))),GJ[Debit]))))-((SUM(IF((CkDJ[Date]=$A$4)*(CkDJ[Sort Code]=(TRIM(E$5)))*(CkDJ[Account Code]=(TRIM($B100))),CkDJ[Credit])))+(SUM(IF((CsDJ[Date]=$A$4)*(CsDJ[Sort Code]=(TRIM(E$5)))*(CsDJ[Account Code]=(TRIM($B100))),CsDJ[Credit])))+(SUM(IF((CRDJ[Date]=$A$4)*(CRDJ[Sort Code]=(TRIM(E$5)))*(CRDJ[Account Code]=(TRIM($B100))),CRDJ[Credit])))+(SUM(IF((GJ[Date]=$A$4)*(GJ[Sort Code]=(TRIM(E$5)))*(GJ[Account Code]=(TRIM($B100))),GJ[Credit]))))</f>
        <v>0</v>
      </c>
      <c r="E100" s="467">
        <f t="shared" si="3"/>
        <v>0</v>
      </c>
    </row>
    <row r="101" spans="1:5">
      <c r="A101" s="476" t="s">
        <v>348</v>
      </c>
      <c r="B101" s="339" t="s">
        <v>339</v>
      </c>
      <c r="C101" s="466">
        <f t="array" ref="C101">((SUM(IF((CkDJ[Sort Code]=(TRIM(E$5)))*(CkDJ[Account Code]=(TRIM($B101)))*(CkDJ[Date]&lt;=$C$8),CkDJ[Debit])))+(SUM(IF((CsDJ[Sort Code]=(TRIM(E$5)))*(CsDJ[Account Code]=(TRIM($B101)))*(CsDJ[Date]&lt;=$C$8),CsDJ[Debit])))+(SUM(IF((CRDJ[Sort Code]=(TRIM(E$5)))*(CRDJ[Account Code]=(TRIM($B101)))*(CRDJ[Date]&lt;=$C$8),CRDJ[Debit])))+(SUM(IF((GJ[Sort Code]=(TRIM(E$5)))*(GJ[Account Code]=(TRIM($B101)))*(GJ[Date]&lt;=$C$8),GJ[Debit]))))-((SUM(IF((CkDJ[Sort Code]=(TRIM(E$5)))*(CkDJ[Account Code]=(TRIM($B101)))*(CkDJ[Date]&lt;=$C$8),CkDJ[Credit])))+(SUM(IF((CsDJ[Sort Code]=(TRIM(E$5)))*(CsDJ[Account Code]=(TRIM($B101)))*(CsDJ[Date]&lt;=$C$8),CsDJ[Credit])))+(SUM(IF((CRDJ[Sort Code]=(TRIM(E$5)))*(CRDJ[Account Code]=(TRIM($B101)))*(CRDJ[Date]&lt;=$C$8),CRDJ[Credit])))+(SUM(IF((GJ[Sort Code]=(TRIM(E$5)))*(GJ[Account Code]=(TRIM($B101)))*(GJ[Date]&lt;=$C$8),GJ[Credit]))))</f>
        <v>0</v>
      </c>
      <c r="D101" s="466">
        <f t="array" ref="D101">((SUM(IF((CkDJ[Date]=$A$4)*(CkDJ[Sort Code]=(TRIM(E$5)))*(CkDJ[Account Code]=(TRIM($B101))),CkDJ[Debit])))+(SUM(IF((CsDJ[Date]=$A$4)*(CsDJ[Sort Code]=(TRIM(E$5)))*(CsDJ[Account Code]=(TRIM($B101))),CsDJ[Debit])))+(SUM(IF((CRDJ[Date]=$A$4)*(CRDJ[Sort Code]=(TRIM(E$5)))*(CRDJ[Account Code]=(TRIM($B101))),CRDJ[Debit])))+(SUM(IF((GJ[Date]=$A$4)*(GJ[Sort Code]=(TRIM(E$5)))*(GJ[Account Code]=(TRIM($B101))),GJ[Debit]))))-((SUM(IF((CkDJ[Date]=$A$4)*(CkDJ[Sort Code]=(TRIM(E$5)))*(CkDJ[Account Code]=(TRIM($B101))),CkDJ[Credit])))+(SUM(IF((CsDJ[Date]=$A$4)*(CsDJ[Sort Code]=(TRIM(E$5)))*(CsDJ[Account Code]=(TRIM($B101))),CsDJ[Credit])))+(SUM(IF((CRDJ[Date]=$A$4)*(CRDJ[Sort Code]=(TRIM(E$5)))*(CRDJ[Account Code]=(TRIM($B101))),CRDJ[Credit])))+(SUM(IF((GJ[Date]=$A$4)*(GJ[Sort Code]=(TRIM(E$5)))*(GJ[Account Code]=(TRIM($B101))),GJ[Credit]))))</f>
        <v>0</v>
      </c>
      <c r="E101" s="467">
        <f t="shared" si="3"/>
        <v>0</v>
      </c>
    </row>
    <row r="102" spans="1:5">
      <c r="A102" s="476" t="s">
        <v>1021</v>
      </c>
      <c r="B102" s="339" t="s">
        <v>245</v>
      </c>
      <c r="C102" s="466">
        <f t="array" ref="C102">((SUM(IF((CkDJ[Sort Code]=(TRIM(E$5)))*(CkDJ[Account Code]=(TRIM($B102)))*(CkDJ[Date]&lt;=$C$8),CkDJ[Debit])))+(SUM(IF((CsDJ[Sort Code]=(TRIM(E$5)))*(CsDJ[Account Code]=(TRIM($B102)))*(CsDJ[Date]&lt;=$C$8),CsDJ[Debit])))+(SUM(IF((CRDJ[Sort Code]=(TRIM(E$5)))*(CRDJ[Account Code]=(TRIM($B102)))*(CRDJ[Date]&lt;=$C$8),CRDJ[Debit])))+(SUM(IF((GJ[Sort Code]=(TRIM(E$5)))*(GJ[Account Code]=(TRIM($B102)))*(GJ[Date]&lt;=$C$8),GJ[Debit]))))-((SUM(IF((CkDJ[Sort Code]=(TRIM(E$5)))*(CkDJ[Account Code]=(TRIM($B102)))*(CkDJ[Date]&lt;=$C$8),CkDJ[Credit])))+(SUM(IF((CsDJ[Sort Code]=(TRIM(E$5)))*(CsDJ[Account Code]=(TRIM($B102)))*(CsDJ[Date]&lt;=$C$8),CsDJ[Credit])))+(SUM(IF((CRDJ[Sort Code]=(TRIM(E$5)))*(CRDJ[Account Code]=(TRIM($B102)))*(CRDJ[Date]&lt;=$C$8),CRDJ[Credit])))+(SUM(IF((GJ[Sort Code]=(TRIM(E$5)))*(GJ[Account Code]=(TRIM($B102)))*(GJ[Date]&lt;=$C$8),GJ[Credit]))))</f>
        <v>0</v>
      </c>
      <c r="D102" s="466">
        <f t="array" ref="D102">((SUM(IF((CkDJ[Date]=$A$4)*(CkDJ[Sort Code]=(TRIM(E$5)))*(CkDJ[Account Code]=(TRIM($B102))),CkDJ[Debit])))+(SUM(IF((CsDJ[Date]=$A$4)*(CsDJ[Sort Code]=(TRIM(E$5)))*(CsDJ[Account Code]=(TRIM($B102))),CsDJ[Debit])))+(SUM(IF((CRDJ[Date]=$A$4)*(CRDJ[Sort Code]=(TRIM(E$5)))*(CRDJ[Account Code]=(TRIM($B102))),CRDJ[Debit])))+(SUM(IF((GJ[Date]=$A$4)*(GJ[Sort Code]=(TRIM(E$5)))*(GJ[Account Code]=(TRIM($B102))),GJ[Debit]))))-((SUM(IF((CkDJ[Date]=$A$4)*(CkDJ[Sort Code]=(TRIM(E$5)))*(CkDJ[Account Code]=(TRIM($B102))),CkDJ[Credit])))+(SUM(IF((CsDJ[Date]=$A$4)*(CsDJ[Sort Code]=(TRIM(E$5)))*(CsDJ[Account Code]=(TRIM($B102))),CsDJ[Credit])))+(SUM(IF((CRDJ[Date]=$A$4)*(CRDJ[Sort Code]=(TRIM(E$5)))*(CRDJ[Account Code]=(TRIM($B102))),CRDJ[Credit])))+(SUM(IF((GJ[Date]=$A$4)*(GJ[Sort Code]=(TRIM(E$5)))*(GJ[Account Code]=(TRIM($B102))),GJ[Credit]))))</f>
        <v>0</v>
      </c>
      <c r="E102" s="467">
        <f t="shared" si="3"/>
        <v>0</v>
      </c>
    </row>
    <row r="103" spans="1:5">
      <c r="A103" s="476" t="s">
        <v>1022</v>
      </c>
      <c r="B103" s="339" t="s">
        <v>246</v>
      </c>
      <c r="C103" s="466">
        <f t="array" ref="C103">((SUM(IF((CkDJ[Sort Code]=(TRIM(E$5)))*(CkDJ[Account Code]=(TRIM($B103)))*(CkDJ[Date]&lt;=$C$8),CkDJ[Debit])))+(SUM(IF((CsDJ[Sort Code]=(TRIM(E$5)))*(CsDJ[Account Code]=(TRIM($B103)))*(CsDJ[Date]&lt;=$C$8),CsDJ[Debit])))+(SUM(IF((CRDJ[Sort Code]=(TRIM(E$5)))*(CRDJ[Account Code]=(TRIM($B103)))*(CRDJ[Date]&lt;=$C$8),CRDJ[Debit])))+(SUM(IF((GJ[Sort Code]=(TRIM(E$5)))*(GJ[Account Code]=(TRIM($B103)))*(GJ[Date]&lt;=$C$8),GJ[Debit]))))-((SUM(IF((CkDJ[Sort Code]=(TRIM(E$5)))*(CkDJ[Account Code]=(TRIM($B103)))*(CkDJ[Date]&lt;=$C$8),CkDJ[Credit])))+(SUM(IF((CsDJ[Sort Code]=(TRIM(E$5)))*(CsDJ[Account Code]=(TRIM($B103)))*(CsDJ[Date]&lt;=$C$8),CsDJ[Credit])))+(SUM(IF((CRDJ[Sort Code]=(TRIM(E$5)))*(CRDJ[Account Code]=(TRIM($B103)))*(CRDJ[Date]&lt;=$C$8),CRDJ[Credit])))+(SUM(IF((GJ[Sort Code]=(TRIM(E$5)))*(GJ[Account Code]=(TRIM($B103)))*(GJ[Date]&lt;=$C$8),GJ[Credit]))))</f>
        <v>0</v>
      </c>
      <c r="D103" s="466">
        <f t="array" ref="D103">((SUM(IF((CkDJ[Date]=$A$4)*(CkDJ[Sort Code]=(TRIM(E$5)))*(CkDJ[Account Code]=(TRIM($B103))),CkDJ[Debit])))+(SUM(IF((CsDJ[Date]=$A$4)*(CsDJ[Sort Code]=(TRIM(E$5)))*(CsDJ[Account Code]=(TRIM($B103))),CsDJ[Debit])))+(SUM(IF((CRDJ[Date]=$A$4)*(CRDJ[Sort Code]=(TRIM(E$5)))*(CRDJ[Account Code]=(TRIM($B103))),CRDJ[Debit])))+(SUM(IF((GJ[Date]=$A$4)*(GJ[Sort Code]=(TRIM(E$5)))*(GJ[Account Code]=(TRIM($B103))),GJ[Debit]))))-((SUM(IF((CkDJ[Date]=$A$4)*(CkDJ[Sort Code]=(TRIM(E$5)))*(CkDJ[Account Code]=(TRIM($B103))),CkDJ[Credit])))+(SUM(IF((CsDJ[Date]=$A$4)*(CsDJ[Sort Code]=(TRIM(E$5)))*(CsDJ[Account Code]=(TRIM($B103))),CsDJ[Credit])))+(SUM(IF((CRDJ[Date]=$A$4)*(CRDJ[Sort Code]=(TRIM(E$5)))*(CRDJ[Account Code]=(TRIM($B103))),CRDJ[Credit])))+(SUM(IF((GJ[Date]=$A$4)*(GJ[Sort Code]=(TRIM(E$5)))*(GJ[Account Code]=(TRIM($B103))),GJ[Credit]))))</f>
        <v>0</v>
      </c>
      <c r="E103" s="467">
        <f t="shared" si="3"/>
        <v>0</v>
      </c>
    </row>
    <row r="104" spans="1:5">
      <c r="A104" s="476" t="s">
        <v>304</v>
      </c>
      <c r="B104" s="339" t="s">
        <v>222</v>
      </c>
      <c r="C104" s="466">
        <f t="array" ref="C104">((SUM(IF((CkDJ[Sort Code]=(TRIM(E$5)))*(CkDJ[Account Code]=(TRIM($B104)))*(CkDJ[Date]&lt;=$C$8),CkDJ[Debit])))+(SUM(IF((CsDJ[Sort Code]=(TRIM(E$5)))*(CsDJ[Account Code]=(TRIM($B104)))*(CsDJ[Date]&lt;=$C$8),CsDJ[Debit])))+(SUM(IF((CRDJ[Sort Code]=(TRIM(E$5)))*(CRDJ[Account Code]=(TRIM($B104)))*(CRDJ[Date]&lt;=$C$8),CRDJ[Debit])))+(SUM(IF((GJ[Sort Code]=(TRIM(E$5)))*(GJ[Account Code]=(TRIM($B104)))*(GJ[Date]&lt;=$C$8),GJ[Debit]))))-((SUM(IF((CkDJ[Sort Code]=(TRIM(E$5)))*(CkDJ[Account Code]=(TRIM($B104)))*(CkDJ[Date]&lt;=$C$8),CkDJ[Credit])))+(SUM(IF((CsDJ[Sort Code]=(TRIM(E$5)))*(CsDJ[Account Code]=(TRIM($B104)))*(CsDJ[Date]&lt;=$C$8),CsDJ[Credit])))+(SUM(IF((CRDJ[Sort Code]=(TRIM(E$5)))*(CRDJ[Account Code]=(TRIM($B104)))*(CRDJ[Date]&lt;=$C$8),CRDJ[Credit])))+(SUM(IF((GJ[Sort Code]=(TRIM(E$5)))*(GJ[Account Code]=(TRIM($B104)))*(GJ[Date]&lt;=$C$8),GJ[Credit]))))</f>
        <v>0</v>
      </c>
      <c r="D104" s="466">
        <f t="array" ref="D104">((SUM(IF((CkDJ[Date]=$A$4)*(CkDJ[Sort Code]=(TRIM(E$5)))*(CkDJ[Account Code]=(TRIM($B104))),CkDJ[Debit])))+(SUM(IF((CsDJ[Date]=$A$4)*(CsDJ[Sort Code]=(TRIM(E$5)))*(CsDJ[Account Code]=(TRIM($B104))),CsDJ[Debit])))+(SUM(IF((CRDJ[Date]=$A$4)*(CRDJ[Sort Code]=(TRIM(E$5)))*(CRDJ[Account Code]=(TRIM($B104))),CRDJ[Debit])))+(SUM(IF((GJ[Date]=$A$4)*(GJ[Sort Code]=(TRIM(E$5)))*(GJ[Account Code]=(TRIM($B104))),GJ[Debit]))))-((SUM(IF((CkDJ[Date]=$A$4)*(CkDJ[Sort Code]=(TRIM(E$5)))*(CkDJ[Account Code]=(TRIM($B104))),CkDJ[Credit])))+(SUM(IF((CsDJ[Date]=$A$4)*(CsDJ[Sort Code]=(TRIM(E$5)))*(CsDJ[Account Code]=(TRIM($B104))),CsDJ[Credit])))+(SUM(IF((CRDJ[Date]=$A$4)*(CRDJ[Sort Code]=(TRIM(E$5)))*(CRDJ[Account Code]=(TRIM($B104))),CRDJ[Credit])))+(SUM(IF((GJ[Date]=$A$4)*(GJ[Sort Code]=(TRIM(E$5)))*(GJ[Account Code]=(TRIM($B104))),GJ[Credit]))))</f>
        <v>0</v>
      </c>
      <c r="E104" s="467">
        <f t="shared" si="3"/>
        <v>0</v>
      </c>
    </row>
    <row r="105" spans="1:5">
      <c r="A105" s="476" t="s">
        <v>1023</v>
      </c>
      <c r="B105" s="339" t="s">
        <v>247</v>
      </c>
      <c r="C105" s="466">
        <f t="array" ref="C105">((SUM(IF((CkDJ[Sort Code]=(TRIM(E$5)))*(CkDJ[Account Code]=(TRIM($B105)))*(CkDJ[Date]&lt;=$C$8),CkDJ[Debit])))+(SUM(IF((CsDJ[Sort Code]=(TRIM(E$5)))*(CsDJ[Account Code]=(TRIM($B105)))*(CsDJ[Date]&lt;=$C$8),CsDJ[Debit])))+(SUM(IF((CRDJ[Sort Code]=(TRIM(E$5)))*(CRDJ[Account Code]=(TRIM($B105)))*(CRDJ[Date]&lt;=$C$8),CRDJ[Debit])))+(SUM(IF((GJ[Sort Code]=(TRIM(E$5)))*(GJ[Account Code]=(TRIM($B105)))*(GJ[Date]&lt;=$C$8),GJ[Debit]))))-((SUM(IF((CkDJ[Sort Code]=(TRIM(E$5)))*(CkDJ[Account Code]=(TRIM($B105)))*(CkDJ[Date]&lt;=$C$8),CkDJ[Credit])))+(SUM(IF((CsDJ[Sort Code]=(TRIM(E$5)))*(CsDJ[Account Code]=(TRIM($B105)))*(CsDJ[Date]&lt;=$C$8),CsDJ[Credit])))+(SUM(IF((CRDJ[Sort Code]=(TRIM(E$5)))*(CRDJ[Account Code]=(TRIM($B105)))*(CRDJ[Date]&lt;=$C$8),CRDJ[Credit])))+(SUM(IF((GJ[Sort Code]=(TRIM(E$5)))*(GJ[Account Code]=(TRIM($B105)))*(GJ[Date]&lt;=$C$8),GJ[Credit]))))</f>
        <v>0</v>
      </c>
      <c r="D105" s="466">
        <f t="array" ref="D105">((SUM(IF((CkDJ[Date]=$A$4)*(CkDJ[Sort Code]=(TRIM(E$5)))*(CkDJ[Account Code]=(TRIM($B105))),CkDJ[Debit])))+(SUM(IF((CsDJ[Date]=$A$4)*(CsDJ[Sort Code]=(TRIM(E$5)))*(CsDJ[Account Code]=(TRIM($B105))),CsDJ[Debit])))+(SUM(IF((CRDJ[Date]=$A$4)*(CRDJ[Sort Code]=(TRIM(E$5)))*(CRDJ[Account Code]=(TRIM($B105))),CRDJ[Debit])))+(SUM(IF((GJ[Date]=$A$4)*(GJ[Sort Code]=(TRIM(E$5)))*(GJ[Account Code]=(TRIM($B105))),GJ[Debit]))))-((SUM(IF((CkDJ[Date]=$A$4)*(CkDJ[Sort Code]=(TRIM(E$5)))*(CkDJ[Account Code]=(TRIM($B105))),CkDJ[Credit])))+(SUM(IF((CsDJ[Date]=$A$4)*(CsDJ[Sort Code]=(TRIM(E$5)))*(CsDJ[Account Code]=(TRIM($B105))),CsDJ[Credit])))+(SUM(IF((CRDJ[Date]=$A$4)*(CRDJ[Sort Code]=(TRIM(E$5)))*(CRDJ[Account Code]=(TRIM($B105))),CRDJ[Credit])))+(SUM(IF((GJ[Date]=$A$4)*(GJ[Sort Code]=(TRIM(E$5)))*(GJ[Account Code]=(TRIM($B105))),GJ[Credit]))))</f>
        <v>0</v>
      </c>
      <c r="E105" s="467">
        <f t="shared" si="3"/>
        <v>0</v>
      </c>
    </row>
    <row r="106" spans="1:5">
      <c r="A106" s="476" t="s">
        <v>1024</v>
      </c>
      <c r="B106" s="339" t="s">
        <v>248</v>
      </c>
      <c r="C106" s="466">
        <f t="array" ref="C106">((SUM(IF((CkDJ[Sort Code]=(TRIM(E$5)))*(CkDJ[Account Code]=(TRIM($B106)))*(CkDJ[Date]&lt;=$C$8),CkDJ[Debit])))+(SUM(IF((CsDJ[Sort Code]=(TRIM(E$5)))*(CsDJ[Account Code]=(TRIM($B106)))*(CsDJ[Date]&lt;=$C$8),CsDJ[Debit])))+(SUM(IF((CRDJ[Sort Code]=(TRIM(E$5)))*(CRDJ[Account Code]=(TRIM($B106)))*(CRDJ[Date]&lt;=$C$8),CRDJ[Debit])))+(SUM(IF((GJ[Sort Code]=(TRIM(E$5)))*(GJ[Account Code]=(TRIM($B106)))*(GJ[Date]&lt;=$C$8),GJ[Debit]))))-((SUM(IF((CkDJ[Sort Code]=(TRIM(E$5)))*(CkDJ[Account Code]=(TRIM($B106)))*(CkDJ[Date]&lt;=$C$8),CkDJ[Credit])))+(SUM(IF((CsDJ[Sort Code]=(TRIM(E$5)))*(CsDJ[Account Code]=(TRIM($B106)))*(CsDJ[Date]&lt;=$C$8),CsDJ[Credit])))+(SUM(IF((CRDJ[Sort Code]=(TRIM(E$5)))*(CRDJ[Account Code]=(TRIM($B106)))*(CRDJ[Date]&lt;=$C$8),CRDJ[Credit])))+(SUM(IF((GJ[Sort Code]=(TRIM(E$5)))*(GJ[Account Code]=(TRIM($B106)))*(GJ[Date]&lt;=$C$8),GJ[Credit]))))</f>
        <v>0</v>
      </c>
      <c r="D106" s="466">
        <f t="array" ref="D106">((SUM(IF((CkDJ[Date]=$A$4)*(CkDJ[Sort Code]=(TRIM(E$5)))*(CkDJ[Account Code]=(TRIM($B106))),CkDJ[Debit])))+(SUM(IF((CsDJ[Date]=$A$4)*(CsDJ[Sort Code]=(TRIM(E$5)))*(CsDJ[Account Code]=(TRIM($B106))),CsDJ[Debit])))+(SUM(IF((CRDJ[Date]=$A$4)*(CRDJ[Sort Code]=(TRIM(E$5)))*(CRDJ[Account Code]=(TRIM($B106))),CRDJ[Debit])))+(SUM(IF((GJ[Date]=$A$4)*(GJ[Sort Code]=(TRIM(E$5)))*(GJ[Account Code]=(TRIM($B106))),GJ[Debit]))))-((SUM(IF((CkDJ[Date]=$A$4)*(CkDJ[Sort Code]=(TRIM(E$5)))*(CkDJ[Account Code]=(TRIM($B106))),CkDJ[Credit])))+(SUM(IF((CsDJ[Date]=$A$4)*(CsDJ[Sort Code]=(TRIM(E$5)))*(CsDJ[Account Code]=(TRIM($B106))),CsDJ[Credit])))+(SUM(IF((CRDJ[Date]=$A$4)*(CRDJ[Sort Code]=(TRIM(E$5)))*(CRDJ[Account Code]=(TRIM($B106))),CRDJ[Credit])))+(SUM(IF((GJ[Date]=$A$4)*(GJ[Sort Code]=(TRIM(E$5)))*(GJ[Account Code]=(TRIM($B106))),GJ[Credit]))))</f>
        <v>0</v>
      </c>
      <c r="E106" s="467">
        <f t="shared" si="3"/>
        <v>0</v>
      </c>
    </row>
    <row r="107" spans="1:5">
      <c r="A107" s="476" t="s">
        <v>1025</v>
      </c>
      <c r="B107" s="339" t="s">
        <v>249</v>
      </c>
      <c r="C107" s="466">
        <f t="array" ref="C107">((SUM(IF((CkDJ[Sort Code]=(TRIM(E$5)))*(CkDJ[Account Code]=(TRIM($B107)))*(CkDJ[Date]&lt;=$C$8),CkDJ[Debit])))+(SUM(IF((CsDJ[Sort Code]=(TRIM(E$5)))*(CsDJ[Account Code]=(TRIM($B107)))*(CsDJ[Date]&lt;=$C$8),CsDJ[Debit])))+(SUM(IF((CRDJ[Sort Code]=(TRIM(E$5)))*(CRDJ[Account Code]=(TRIM($B107)))*(CRDJ[Date]&lt;=$C$8),CRDJ[Debit])))+(SUM(IF((GJ[Sort Code]=(TRIM(E$5)))*(GJ[Account Code]=(TRIM($B107)))*(GJ[Date]&lt;=$C$8),GJ[Debit]))))-((SUM(IF((CkDJ[Sort Code]=(TRIM(E$5)))*(CkDJ[Account Code]=(TRIM($B107)))*(CkDJ[Date]&lt;=$C$8),CkDJ[Credit])))+(SUM(IF((CsDJ[Sort Code]=(TRIM(E$5)))*(CsDJ[Account Code]=(TRIM($B107)))*(CsDJ[Date]&lt;=$C$8),CsDJ[Credit])))+(SUM(IF((CRDJ[Sort Code]=(TRIM(E$5)))*(CRDJ[Account Code]=(TRIM($B107)))*(CRDJ[Date]&lt;=$C$8),CRDJ[Credit])))+(SUM(IF((GJ[Sort Code]=(TRIM(E$5)))*(GJ[Account Code]=(TRIM($B107)))*(GJ[Date]&lt;=$C$8),GJ[Credit]))))</f>
        <v>0</v>
      </c>
      <c r="D107" s="466">
        <f t="array" ref="D107">((SUM(IF((CkDJ[Date]=$A$4)*(CkDJ[Sort Code]=(TRIM(E$5)))*(CkDJ[Account Code]=(TRIM($B107))),CkDJ[Debit])))+(SUM(IF((CsDJ[Date]=$A$4)*(CsDJ[Sort Code]=(TRIM(E$5)))*(CsDJ[Account Code]=(TRIM($B107))),CsDJ[Debit])))+(SUM(IF((CRDJ[Date]=$A$4)*(CRDJ[Sort Code]=(TRIM(E$5)))*(CRDJ[Account Code]=(TRIM($B107))),CRDJ[Debit])))+(SUM(IF((GJ[Date]=$A$4)*(GJ[Sort Code]=(TRIM(E$5)))*(GJ[Account Code]=(TRIM($B107))),GJ[Debit]))))-((SUM(IF((CkDJ[Date]=$A$4)*(CkDJ[Sort Code]=(TRIM(E$5)))*(CkDJ[Account Code]=(TRIM($B107))),CkDJ[Credit])))+(SUM(IF((CsDJ[Date]=$A$4)*(CsDJ[Sort Code]=(TRIM(E$5)))*(CsDJ[Account Code]=(TRIM($B107))),CsDJ[Credit])))+(SUM(IF((CRDJ[Date]=$A$4)*(CRDJ[Sort Code]=(TRIM(E$5)))*(CRDJ[Account Code]=(TRIM($B107))),CRDJ[Credit])))+(SUM(IF((GJ[Date]=$A$4)*(GJ[Sort Code]=(TRIM(E$5)))*(GJ[Account Code]=(TRIM($B107))),GJ[Credit]))))</f>
        <v>0</v>
      </c>
      <c r="E107" s="467">
        <f t="shared" si="3"/>
        <v>0</v>
      </c>
    </row>
    <row r="108" spans="1:5">
      <c r="A108" s="476" t="s">
        <v>302</v>
      </c>
      <c r="B108" s="339" t="s">
        <v>250</v>
      </c>
      <c r="C108" s="466">
        <f t="array" ref="C108">((SUM(IF((CkDJ[Sort Code]=(TRIM(E$5)))*(CkDJ[Account Code]=(TRIM($B108)))*(CkDJ[Date]&lt;=$C$8),CkDJ[Debit])))+(SUM(IF((CsDJ[Sort Code]=(TRIM(E$5)))*(CsDJ[Account Code]=(TRIM($B108)))*(CsDJ[Date]&lt;=$C$8),CsDJ[Debit])))+(SUM(IF((CRDJ[Sort Code]=(TRIM(E$5)))*(CRDJ[Account Code]=(TRIM($B108)))*(CRDJ[Date]&lt;=$C$8),CRDJ[Debit])))+(SUM(IF((GJ[Sort Code]=(TRIM(E$5)))*(GJ[Account Code]=(TRIM($B108)))*(GJ[Date]&lt;=$C$8),GJ[Debit]))))-((SUM(IF((CkDJ[Sort Code]=(TRIM(E$5)))*(CkDJ[Account Code]=(TRIM($B108)))*(CkDJ[Date]&lt;=$C$8),CkDJ[Credit])))+(SUM(IF((CsDJ[Sort Code]=(TRIM(E$5)))*(CsDJ[Account Code]=(TRIM($B108)))*(CsDJ[Date]&lt;=$C$8),CsDJ[Credit])))+(SUM(IF((CRDJ[Sort Code]=(TRIM(E$5)))*(CRDJ[Account Code]=(TRIM($B108)))*(CRDJ[Date]&lt;=$C$8),CRDJ[Credit])))+(SUM(IF((GJ[Sort Code]=(TRIM(E$5)))*(GJ[Account Code]=(TRIM($B108)))*(GJ[Date]&lt;=$C$8),GJ[Credit]))))</f>
        <v>0</v>
      </c>
      <c r="D108" s="466">
        <f t="array" ref="D108">((SUM(IF((CkDJ[Date]=$A$4)*(CkDJ[Sort Code]=(TRIM(E$5)))*(CkDJ[Account Code]=(TRIM($B108))),CkDJ[Debit])))+(SUM(IF((CsDJ[Date]=$A$4)*(CsDJ[Sort Code]=(TRIM(E$5)))*(CsDJ[Account Code]=(TRIM($B108))),CsDJ[Debit])))+(SUM(IF((CRDJ[Date]=$A$4)*(CRDJ[Sort Code]=(TRIM(E$5)))*(CRDJ[Account Code]=(TRIM($B108))),CRDJ[Debit])))+(SUM(IF((GJ[Date]=$A$4)*(GJ[Sort Code]=(TRIM(E$5)))*(GJ[Account Code]=(TRIM($B108))),GJ[Debit]))))-((SUM(IF((CkDJ[Date]=$A$4)*(CkDJ[Sort Code]=(TRIM(E$5)))*(CkDJ[Account Code]=(TRIM($B108))),CkDJ[Credit])))+(SUM(IF((CsDJ[Date]=$A$4)*(CsDJ[Sort Code]=(TRIM(E$5)))*(CsDJ[Account Code]=(TRIM($B108))),CsDJ[Credit])))+(SUM(IF((CRDJ[Date]=$A$4)*(CRDJ[Sort Code]=(TRIM(E$5)))*(CRDJ[Account Code]=(TRIM($B108))),CRDJ[Credit])))+(SUM(IF((GJ[Date]=$A$4)*(GJ[Sort Code]=(TRIM(E$5)))*(GJ[Account Code]=(TRIM($B108))),GJ[Credit]))))</f>
        <v>0</v>
      </c>
      <c r="E108" s="467">
        <f t="shared" si="3"/>
        <v>0</v>
      </c>
    </row>
    <row r="109" spans="1:5">
      <c r="A109" s="476" t="s">
        <v>841</v>
      </c>
      <c r="B109" s="339" t="s">
        <v>251</v>
      </c>
      <c r="C109" s="466">
        <f t="array" ref="C109">((SUM(IF((CkDJ[Sort Code]=(TRIM(E$5)))*(CkDJ[Account Code]=(TRIM($B109)))*(CkDJ[Date]&lt;=$C$8),CkDJ[Debit])))+(SUM(IF((CsDJ[Sort Code]=(TRIM(E$5)))*(CsDJ[Account Code]=(TRIM($B109)))*(CsDJ[Date]&lt;=$C$8),CsDJ[Debit])))+(SUM(IF((CRDJ[Sort Code]=(TRIM(E$5)))*(CRDJ[Account Code]=(TRIM($B109)))*(CRDJ[Date]&lt;=$C$8),CRDJ[Debit])))+(SUM(IF((GJ[Sort Code]=(TRIM(E$5)))*(GJ[Account Code]=(TRIM($B109)))*(GJ[Date]&lt;=$C$8),GJ[Debit]))))-((SUM(IF((CkDJ[Sort Code]=(TRIM(E$5)))*(CkDJ[Account Code]=(TRIM($B109)))*(CkDJ[Date]&lt;=$C$8),CkDJ[Credit])))+(SUM(IF((CsDJ[Sort Code]=(TRIM(E$5)))*(CsDJ[Account Code]=(TRIM($B109)))*(CsDJ[Date]&lt;=$C$8),CsDJ[Credit])))+(SUM(IF((CRDJ[Sort Code]=(TRIM(E$5)))*(CRDJ[Account Code]=(TRIM($B109)))*(CRDJ[Date]&lt;=$C$8),CRDJ[Credit])))+(SUM(IF((GJ[Sort Code]=(TRIM(E$5)))*(GJ[Account Code]=(TRIM($B109)))*(GJ[Date]&lt;=$C$8),GJ[Credit]))))</f>
        <v>0</v>
      </c>
      <c r="D109" s="466">
        <f t="array" ref="D109">((SUM(IF((CkDJ[Date]=$A$4)*(CkDJ[Sort Code]=(TRIM(E$5)))*(CkDJ[Account Code]=(TRIM($B109))),CkDJ[Debit])))+(SUM(IF((CsDJ[Date]=$A$4)*(CsDJ[Sort Code]=(TRIM(E$5)))*(CsDJ[Account Code]=(TRIM($B109))),CsDJ[Debit])))+(SUM(IF((CRDJ[Date]=$A$4)*(CRDJ[Sort Code]=(TRIM(E$5)))*(CRDJ[Account Code]=(TRIM($B109))),CRDJ[Debit])))+(SUM(IF((GJ[Date]=$A$4)*(GJ[Sort Code]=(TRIM(E$5)))*(GJ[Account Code]=(TRIM($B109))),GJ[Debit]))))-((SUM(IF((CkDJ[Date]=$A$4)*(CkDJ[Sort Code]=(TRIM(E$5)))*(CkDJ[Account Code]=(TRIM($B109))),CkDJ[Credit])))+(SUM(IF((CsDJ[Date]=$A$4)*(CsDJ[Sort Code]=(TRIM(E$5)))*(CsDJ[Account Code]=(TRIM($B109))),CsDJ[Credit])))+(SUM(IF((CRDJ[Date]=$A$4)*(CRDJ[Sort Code]=(TRIM(E$5)))*(CRDJ[Account Code]=(TRIM($B109))),CRDJ[Credit])))+(SUM(IF((GJ[Date]=$A$4)*(GJ[Sort Code]=(TRIM(E$5)))*(GJ[Account Code]=(TRIM($B109))),GJ[Credit]))))</f>
        <v>0</v>
      </c>
      <c r="E109" s="467">
        <f t="shared" si="3"/>
        <v>0</v>
      </c>
    </row>
    <row r="110" spans="1:5">
      <c r="A110" s="476" t="s">
        <v>1026</v>
      </c>
      <c r="B110" s="339" t="s">
        <v>252</v>
      </c>
      <c r="C110" s="466">
        <f t="array" ref="C110">((SUM(IF((CkDJ[Sort Code]=(TRIM(E$5)))*(CkDJ[Account Code]=(TRIM($B110)))*(CkDJ[Date]&lt;=$C$8),CkDJ[Debit])))+(SUM(IF((CsDJ[Sort Code]=(TRIM(E$5)))*(CsDJ[Account Code]=(TRIM($B110)))*(CsDJ[Date]&lt;=$C$8),CsDJ[Debit])))+(SUM(IF((CRDJ[Sort Code]=(TRIM(E$5)))*(CRDJ[Account Code]=(TRIM($B110)))*(CRDJ[Date]&lt;=$C$8),CRDJ[Debit])))+(SUM(IF((GJ[Sort Code]=(TRIM(E$5)))*(GJ[Account Code]=(TRIM($B110)))*(GJ[Date]&lt;=$C$8),GJ[Debit]))))-((SUM(IF((CkDJ[Sort Code]=(TRIM(E$5)))*(CkDJ[Account Code]=(TRIM($B110)))*(CkDJ[Date]&lt;=$C$8),CkDJ[Credit])))+(SUM(IF((CsDJ[Sort Code]=(TRIM(E$5)))*(CsDJ[Account Code]=(TRIM($B110)))*(CsDJ[Date]&lt;=$C$8),CsDJ[Credit])))+(SUM(IF((CRDJ[Sort Code]=(TRIM(E$5)))*(CRDJ[Account Code]=(TRIM($B110)))*(CRDJ[Date]&lt;=$C$8),CRDJ[Credit])))+(SUM(IF((GJ[Sort Code]=(TRIM(E$5)))*(GJ[Account Code]=(TRIM($B110)))*(GJ[Date]&lt;=$C$8),GJ[Credit]))))</f>
        <v>0</v>
      </c>
      <c r="D110" s="466">
        <f t="array" ref="D110">((SUM(IF((CkDJ[Date]=$A$4)*(CkDJ[Sort Code]=(TRIM(E$5)))*(CkDJ[Account Code]=(TRIM($B110))),CkDJ[Debit])))+(SUM(IF((CsDJ[Date]=$A$4)*(CsDJ[Sort Code]=(TRIM(E$5)))*(CsDJ[Account Code]=(TRIM($B110))),CsDJ[Debit])))+(SUM(IF((CRDJ[Date]=$A$4)*(CRDJ[Sort Code]=(TRIM(E$5)))*(CRDJ[Account Code]=(TRIM($B110))),CRDJ[Debit])))+(SUM(IF((GJ[Date]=$A$4)*(GJ[Sort Code]=(TRIM(E$5)))*(GJ[Account Code]=(TRIM($B110))),GJ[Debit]))))-((SUM(IF((CkDJ[Date]=$A$4)*(CkDJ[Sort Code]=(TRIM(E$5)))*(CkDJ[Account Code]=(TRIM($B110))),CkDJ[Credit])))+(SUM(IF((CsDJ[Date]=$A$4)*(CsDJ[Sort Code]=(TRIM(E$5)))*(CsDJ[Account Code]=(TRIM($B110))),CsDJ[Credit])))+(SUM(IF((CRDJ[Date]=$A$4)*(CRDJ[Sort Code]=(TRIM(E$5)))*(CRDJ[Account Code]=(TRIM($B110))),CRDJ[Credit])))+(SUM(IF((GJ[Date]=$A$4)*(GJ[Sort Code]=(TRIM(E$5)))*(GJ[Account Code]=(TRIM($B110))),GJ[Credit]))))</f>
        <v>0</v>
      </c>
      <c r="E110" s="467">
        <f t="shared" si="3"/>
        <v>0</v>
      </c>
    </row>
    <row r="111" spans="1:5">
      <c r="A111" s="476" t="s">
        <v>307</v>
      </c>
      <c r="B111" s="339" t="s">
        <v>253</v>
      </c>
      <c r="C111" s="466">
        <f t="array" ref="C111">((SUM(IF((CkDJ[Sort Code]=(TRIM(E$5)))*(CkDJ[Account Code]=(TRIM($B111)))*(CkDJ[Date]&lt;=$C$8),CkDJ[Debit])))+(SUM(IF((CsDJ[Sort Code]=(TRIM(E$5)))*(CsDJ[Account Code]=(TRIM($B111)))*(CsDJ[Date]&lt;=$C$8),CsDJ[Debit])))+(SUM(IF((CRDJ[Sort Code]=(TRIM(E$5)))*(CRDJ[Account Code]=(TRIM($B111)))*(CRDJ[Date]&lt;=$C$8),CRDJ[Debit])))+(SUM(IF((GJ[Sort Code]=(TRIM(E$5)))*(GJ[Account Code]=(TRIM($B111)))*(GJ[Date]&lt;=$C$8),GJ[Debit]))))-((SUM(IF((CkDJ[Sort Code]=(TRIM(E$5)))*(CkDJ[Account Code]=(TRIM($B111)))*(CkDJ[Date]&lt;=$C$8),CkDJ[Credit])))+(SUM(IF((CsDJ[Sort Code]=(TRIM(E$5)))*(CsDJ[Account Code]=(TRIM($B111)))*(CsDJ[Date]&lt;=$C$8),CsDJ[Credit])))+(SUM(IF((CRDJ[Sort Code]=(TRIM(E$5)))*(CRDJ[Account Code]=(TRIM($B111)))*(CRDJ[Date]&lt;=$C$8),CRDJ[Credit])))+(SUM(IF((GJ[Sort Code]=(TRIM(E$5)))*(GJ[Account Code]=(TRIM($B111)))*(GJ[Date]&lt;=$C$8),GJ[Credit]))))</f>
        <v>0</v>
      </c>
      <c r="D111" s="466">
        <f t="array" ref="D111">((SUM(IF((CkDJ[Date]=$A$4)*(CkDJ[Sort Code]=(TRIM(E$5)))*(CkDJ[Account Code]=(TRIM($B111))),CkDJ[Debit])))+(SUM(IF((CsDJ[Date]=$A$4)*(CsDJ[Sort Code]=(TRIM(E$5)))*(CsDJ[Account Code]=(TRIM($B111))),CsDJ[Debit])))+(SUM(IF((CRDJ[Date]=$A$4)*(CRDJ[Sort Code]=(TRIM(E$5)))*(CRDJ[Account Code]=(TRIM($B111))),CRDJ[Debit])))+(SUM(IF((GJ[Date]=$A$4)*(GJ[Sort Code]=(TRIM(E$5)))*(GJ[Account Code]=(TRIM($B111))),GJ[Debit]))))-((SUM(IF((CkDJ[Date]=$A$4)*(CkDJ[Sort Code]=(TRIM(E$5)))*(CkDJ[Account Code]=(TRIM($B111))),CkDJ[Credit])))+(SUM(IF((CsDJ[Date]=$A$4)*(CsDJ[Sort Code]=(TRIM(E$5)))*(CsDJ[Account Code]=(TRIM($B111))),CsDJ[Credit])))+(SUM(IF((CRDJ[Date]=$A$4)*(CRDJ[Sort Code]=(TRIM(E$5)))*(CRDJ[Account Code]=(TRIM($B111))),CRDJ[Credit])))+(SUM(IF((GJ[Date]=$A$4)*(GJ[Sort Code]=(TRIM(E$5)))*(GJ[Account Code]=(TRIM($B111))),GJ[Credit]))))</f>
        <v>0</v>
      </c>
      <c r="E111" s="467">
        <f t="shared" si="3"/>
        <v>0</v>
      </c>
    </row>
    <row r="112" spans="1:5">
      <c r="A112" s="476" t="s">
        <v>308</v>
      </c>
      <c r="B112" s="339" t="s">
        <v>256</v>
      </c>
      <c r="C112" s="466">
        <f t="array" ref="C112">((SUM(IF((CkDJ[Sort Code]=(TRIM(E$5)))*(CkDJ[Account Code]=(TRIM($B112)))*(CkDJ[Date]&lt;=$C$8),CkDJ[Debit])))+(SUM(IF((CsDJ[Sort Code]=(TRIM(E$5)))*(CsDJ[Account Code]=(TRIM($B112)))*(CsDJ[Date]&lt;=$C$8),CsDJ[Debit])))+(SUM(IF((CRDJ[Sort Code]=(TRIM(E$5)))*(CRDJ[Account Code]=(TRIM($B112)))*(CRDJ[Date]&lt;=$C$8),CRDJ[Debit])))+(SUM(IF((GJ[Sort Code]=(TRIM(E$5)))*(GJ[Account Code]=(TRIM($B112)))*(GJ[Date]&lt;=$C$8),GJ[Debit]))))-((SUM(IF((CkDJ[Sort Code]=(TRIM(E$5)))*(CkDJ[Account Code]=(TRIM($B112)))*(CkDJ[Date]&lt;=$C$8),CkDJ[Credit])))+(SUM(IF((CsDJ[Sort Code]=(TRIM(E$5)))*(CsDJ[Account Code]=(TRIM($B112)))*(CsDJ[Date]&lt;=$C$8),CsDJ[Credit])))+(SUM(IF((CRDJ[Sort Code]=(TRIM(E$5)))*(CRDJ[Account Code]=(TRIM($B112)))*(CRDJ[Date]&lt;=$C$8),CRDJ[Credit])))+(SUM(IF((GJ[Sort Code]=(TRIM(E$5)))*(GJ[Account Code]=(TRIM($B112)))*(GJ[Date]&lt;=$C$8),GJ[Credit]))))</f>
        <v>0</v>
      </c>
      <c r="D112" s="466">
        <f t="array" ref="D112">((SUM(IF((CkDJ[Date]=$A$4)*(CkDJ[Sort Code]=(TRIM(E$5)))*(CkDJ[Account Code]=(TRIM($B112))),CkDJ[Debit])))+(SUM(IF((CsDJ[Date]=$A$4)*(CsDJ[Sort Code]=(TRIM(E$5)))*(CsDJ[Account Code]=(TRIM($B112))),CsDJ[Debit])))+(SUM(IF((CRDJ[Date]=$A$4)*(CRDJ[Sort Code]=(TRIM(E$5)))*(CRDJ[Account Code]=(TRIM($B112))),CRDJ[Debit])))+(SUM(IF((GJ[Date]=$A$4)*(GJ[Sort Code]=(TRIM(E$5)))*(GJ[Account Code]=(TRIM($B112))),GJ[Debit]))))-((SUM(IF((CkDJ[Date]=$A$4)*(CkDJ[Sort Code]=(TRIM(E$5)))*(CkDJ[Account Code]=(TRIM($B112))),CkDJ[Credit])))+(SUM(IF((CsDJ[Date]=$A$4)*(CsDJ[Sort Code]=(TRIM(E$5)))*(CsDJ[Account Code]=(TRIM($B112))),CsDJ[Credit])))+(SUM(IF((CRDJ[Date]=$A$4)*(CRDJ[Sort Code]=(TRIM(E$5)))*(CRDJ[Account Code]=(TRIM($B112))),CRDJ[Credit])))+(SUM(IF((GJ[Date]=$A$4)*(GJ[Sort Code]=(TRIM(E$5)))*(GJ[Account Code]=(TRIM($B112))),GJ[Credit]))))</f>
        <v>0</v>
      </c>
      <c r="E112" s="467">
        <f t="shared" si="3"/>
        <v>0</v>
      </c>
    </row>
    <row r="113" spans="1:5">
      <c r="A113" s="476" t="s">
        <v>309</v>
      </c>
      <c r="B113" s="339" t="s">
        <v>258</v>
      </c>
      <c r="C113" s="466">
        <f t="array" ref="C113">((SUM(IF((CkDJ[Sort Code]=(TRIM(E$5)))*(CkDJ[Account Code]=(TRIM($B113)))*(CkDJ[Date]&lt;=$C$8),CkDJ[Debit])))+(SUM(IF((CsDJ[Sort Code]=(TRIM(E$5)))*(CsDJ[Account Code]=(TRIM($B113)))*(CsDJ[Date]&lt;=$C$8),CsDJ[Debit])))+(SUM(IF((CRDJ[Sort Code]=(TRIM(E$5)))*(CRDJ[Account Code]=(TRIM($B113)))*(CRDJ[Date]&lt;=$C$8),CRDJ[Debit])))+(SUM(IF((GJ[Sort Code]=(TRIM(E$5)))*(GJ[Account Code]=(TRIM($B113)))*(GJ[Date]&lt;=$C$8),GJ[Debit]))))-((SUM(IF((CkDJ[Sort Code]=(TRIM(E$5)))*(CkDJ[Account Code]=(TRIM($B113)))*(CkDJ[Date]&lt;=$C$8),CkDJ[Credit])))+(SUM(IF((CsDJ[Sort Code]=(TRIM(E$5)))*(CsDJ[Account Code]=(TRIM($B113)))*(CsDJ[Date]&lt;=$C$8),CsDJ[Credit])))+(SUM(IF((CRDJ[Sort Code]=(TRIM(E$5)))*(CRDJ[Account Code]=(TRIM($B113)))*(CRDJ[Date]&lt;=$C$8),CRDJ[Credit])))+(SUM(IF((GJ[Sort Code]=(TRIM(E$5)))*(GJ[Account Code]=(TRIM($B113)))*(GJ[Date]&lt;=$C$8),GJ[Credit]))))</f>
        <v>0</v>
      </c>
      <c r="D113" s="466">
        <f t="array" ref="D113">((SUM(IF((CkDJ[Date]=$A$4)*(CkDJ[Sort Code]=(TRIM(E$5)))*(CkDJ[Account Code]=(TRIM($B113))),CkDJ[Debit])))+(SUM(IF((CsDJ[Date]=$A$4)*(CsDJ[Sort Code]=(TRIM(E$5)))*(CsDJ[Account Code]=(TRIM($B113))),CsDJ[Debit])))+(SUM(IF((CRDJ[Date]=$A$4)*(CRDJ[Sort Code]=(TRIM(E$5)))*(CRDJ[Account Code]=(TRIM($B113))),CRDJ[Debit])))+(SUM(IF((GJ[Date]=$A$4)*(GJ[Sort Code]=(TRIM(E$5)))*(GJ[Account Code]=(TRIM($B113))),GJ[Debit]))))-((SUM(IF((CkDJ[Date]=$A$4)*(CkDJ[Sort Code]=(TRIM(E$5)))*(CkDJ[Account Code]=(TRIM($B113))),CkDJ[Credit])))+(SUM(IF((CsDJ[Date]=$A$4)*(CsDJ[Sort Code]=(TRIM(E$5)))*(CsDJ[Account Code]=(TRIM($B113))),CsDJ[Credit])))+(SUM(IF((CRDJ[Date]=$A$4)*(CRDJ[Sort Code]=(TRIM(E$5)))*(CRDJ[Account Code]=(TRIM($B113))),CRDJ[Credit])))+(SUM(IF((GJ[Date]=$A$4)*(GJ[Sort Code]=(TRIM(E$5)))*(GJ[Account Code]=(TRIM($B113))),GJ[Credit]))))</f>
        <v>0</v>
      </c>
      <c r="E113" s="467">
        <f t="shared" si="3"/>
        <v>0</v>
      </c>
    </row>
    <row r="114" spans="1:5">
      <c r="A114" s="476" t="s">
        <v>310</v>
      </c>
      <c r="B114" s="339" t="s">
        <v>261</v>
      </c>
      <c r="C114" s="466">
        <f t="array" ref="C114">((SUM(IF((CkDJ[Sort Code]=(TRIM(E$5)))*(CkDJ[Account Code]=(TRIM($B114)))*(CkDJ[Date]&lt;=$C$8),CkDJ[Debit])))+(SUM(IF((CsDJ[Sort Code]=(TRIM(E$5)))*(CsDJ[Account Code]=(TRIM($B114)))*(CsDJ[Date]&lt;=$C$8),CsDJ[Debit])))+(SUM(IF((CRDJ[Sort Code]=(TRIM(E$5)))*(CRDJ[Account Code]=(TRIM($B114)))*(CRDJ[Date]&lt;=$C$8),CRDJ[Debit])))+(SUM(IF((GJ[Sort Code]=(TRIM(E$5)))*(GJ[Account Code]=(TRIM($B114)))*(GJ[Date]&lt;=$C$8),GJ[Debit]))))-((SUM(IF((CkDJ[Sort Code]=(TRIM(E$5)))*(CkDJ[Account Code]=(TRIM($B114)))*(CkDJ[Date]&lt;=$C$8),CkDJ[Credit])))+(SUM(IF((CsDJ[Sort Code]=(TRIM(E$5)))*(CsDJ[Account Code]=(TRIM($B114)))*(CsDJ[Date]&lt;=$C$8),CsDJ[Credit])))+(SUM(IF((CRDJ[Sort Code]=(TRIM(E$5)))*(CRDJ[Account Code]=(TRIM($B114)))*(CRDJ[Date]&lt;=$C$8),CRDJ[Credit])))+(SUM(IF((GJ[Sort Code]=(TRIM(E$5)))*(GJ[Account Code]=(TRIM($B114)))*(GJ[Date]&lt;=$C$8),GJ[Credit]))))</f>
        <v>0</v>
      </c>
      <c r="D114" s="466">
        <f t="array" ref="D114">((SUM(IF((CkDJ[Date]=$A$4)*(CkDJ[Sort Code]=(TRIM(E$5)))*(CkDJ[Account Code]=(TRIM($B114))),CkDJ[Debit])))+(SUM(IF((CsDJ[Date]=$A$4)*(CsDJ[Sort Code]=(TRIM(E$5)))*(CsDJ[Account Code]=(TRIM($B114))),CsDJ[Debit])))+(SUM(IF((CRDJ[Date]=$A$4)*(CRDJ[Sort Code]=(TRIM(E$5)))*(CRDJ[Account Code]=(TRIM($B114))),CRDJ[Debit])))+(SUM(IF((GJ[Date]=$A$4)*(GJ[Sort Code]=(TRIM(E$5)))*(GJ[Account Code]=(TRIM($B114))),GJ[Debit]))))-((SUM(IF((CkDJ[Date]=$A$4)*(CkDJ[Sort Code]=(TRIM(E$5)))*(CkDJ[Account Code]=(TRIM($B114))),CkDJ[Credit])))+(SUM(IF((CsDJ[Date]=$A$4)*(CsDJ[Sort Code]=(TRIM(E$5)))*(CsDJ[Account Code]=(TRIM($B114))),CsDJ[Credit])))+(SUM(IF((CRDJ[Date]=$A$4)*(CRDJ[Sort Code]=(TRIM(E$5)))*(CRDJ[Account Code]=(TRIM($B114))),CRDJ[Credit])))+(SUM(IF((GJ[Date]=$A$4)*(GJ[Sort Code]=(TRIM(E$5)))*(GJ[Account Code]=(TRIM($B114))),GJ[Credit]))))</f>
        <v>0</v>
      </c>
      <c r="E114" s="467">
        <f t="shared" si="3"/>
        <v>0</v>
      </c>
    </row>
    <row r="115" spans="1:5">
      <c r="A115" s="476" t="s">
        <v>311</v>
      </c>
      <c r="B115" s="339" t="s">
        <v>262</v>
      </c>
      <c r="C115" s="466">
        <f t="array" ref="C115">((SUM(IF((CkDJ[Sort Code]=(TRIM(E$5)))*(CkDJ[Account Code]=(TRIM($B115)))*(CkDJ[Date]&lt;=$C$8),CkDJ[Debit])))+(SUM(IF((CsDJ[Sort Code]=(TRIM(E$5)))*(CsDJ[Account Code]=(TRIM($B115)))*(CsDJ[Date]&lt;=$C$8),CsDJ[Debit])))+(SUM(IF((CRDJ[Sort Code]=(TRIM(E$5)))*(CRDJ[Account Code]=(TRIM($B115)))*(CRDJ[Date]&lt;=$C$8),CRDJ[Debit])))+(SUM(IF((GJ[Sort Code]=(TRIM(E$5)))*(GJ[Account Code]=(TRIM($B115)))*(GJ[Date]&lt;=$C$8),GJ[Debit]))))-((SUM(IF((CkDJ[Sort Code]=(TRIM(E$5)))*(CkDJ[Account Code]=(TRIM($B115)))*(CkDJ[Date]&lt;=$C$8),CkDJ[Credit])))+(SUM(IF((CsDJ[Sort Code]=(TRIM(E$5)))*(CsDJ[Account Code]=(TRIM($B115)))*(CsDJ[Date]&lt;=$C$8),CsDJ[Credit])))+(SUM(IF((CRDJ[Sort Code]=(TRIM(E$5)))*(CRDJ[Account Code]=(TRIM($B115)))*(CRDJ[Date]&lt;=$C$8),CRDJ[Credit])))+(SUM(IF((GJ[Sort Code]=(TRIM(E$5)))*(GJ[Account Code]=(TRIM($B115)))*(GJ[Date]&lt;=$C$8),GJ[Credit]))))</f>
        <v>0</v>
      </c>
      <c r="D115" s="466">
        <f t="array" ref="D115">((SUM(IF((CkDJ[Date]=$A$4)*(CkDJ[Sort Code]=(TRIM(E$5)))*(CkDJ[Account Code]=(TRIM($B115))),CkDJ[Debit])))+(SUM(IF((CsDJ[Date]=$A$4)*(CsDJ[Sort Code]=(TRIM(E$5)))*(CsDJ[Account Code]=(TRIM($B115))),CsDJ[Debit])))+(SUM(IF((CRDJ[Date]=$A$4)*(CRDJ[Sort Code]=(TRIM(E$5)))*(CRDJ[Account Code]=(TRIM($B115))),CRDJ[Debit])))+(SUM(IF((GJ[Date]=$A$4)*(GJ[Sort Code]=(TRIM(E$5)))*(GJ[Account Code]=(TRIM($B115))),GJ[Debit]))))-((SUM(IF((CkDJ[Date]=$A$4)*(CkDJ[Sort Code]=(TRIM(E$5)))*(CkDJ[Account Code]=(TRIM($B115))),CkDJ[Credit])))+(SUM(IF((CsDJ[Date]=$A$4)*(CsDJ[Sort Code]=(TRIM(E$5)))*(CsDJ[Account Code]=(TRIM($B115))),CsDJ[Credit])))+(SUM(IF((CRDJ[Date]=$A$4)*(CRDJ[Sort Code]=(TRIM(E$5)))*(CRDJ[Account Code]=(TRIM($B115))),CRDJ[Credit])))+(SUM(IF((GJ[Date]=$A$4)*(GJ[Sort Code]=(TRIM(E$5)))*(GJ[Account Code]=(TRIM($B115))),GJ[Credit]))))</f>
        <v>0</v>
      </c>
      <c r="E115" s="467">
        <f t="shared" si="3"/>
        <v>0</v>
      </c>
    </row>
    <row r="116" spans="1:5">
      <c r="A116" s="476" t="s">
        <v>312</v>
      </c>
      <c r="B116" s="339" t="s">
        <v>264</v>
      </c>
      <c r="C116" s="466">
        <f t="array" ref="C116">((SUM(IF((CkDJ[Sort Code]=(TRIM(E$5)))*(CkDJ[Account Code]=(TRIM($B116)))*(CkDJ[Date]&lt;=$C$8),CkDJ[Debit])))+(SUM(IF((CsDJ[Sort Code]=(TRIM(E$5)))*(CsDJ[Account Code]=(TRIM($B116)))*(CsDJ[Date]&lt;=$C$8),CsDJ[Debit])))+(SUM(IF((CRDJ[Sort Code]=(TRIM(E$5)))*(CRDJ[Account Code]=(TRIM($B116)))*(CRDJ[Date]&lt;=$C$8),CRDJ[Debit])))+(SUM(IF((GJ[Sort Code]=(TRIM(E$5)))*(GJ[Account Code]=(TRIM($B116)))*(GJ[Date]&lt;=$C$8),GJ[Debit]))))-((SUM(IF((CkDJ[Sort Code]=(TRIM(E$5)))*(CkDJ[Account Code]=(TRIM($B116)))*(CkDJ[Date]&lt;=$C$8),CkDJ[Credit])))+(SUM(IF((CsDJ[Sort Code]=(TRIM(E$5)))*(CsDJ[Account Code]=(TRIM($B116)))*(CsDJ[Date]&lt;=$C$8),CsDJ[Credit])))+(SUM(IF((CRDJ[Sort Code]=(TRIM(E$5)))*(CRDJ[Account Code]=(TRIM($B116)))*(CRDJ[Date]&lt;=$C$8),CRDJ[Credit])))+(SUM(IF((GJ[Sort Code]=(TRIM(E$5)))*(GJ[Account Code]=(TRIM($B116)))*(GJ[Date]&lt;=$C$8),GJ[Credit]))))</f>
        <v>0</v>
      </c>
      <c r="D116" s="466">
        <f t="array" ref="D116">((SUM(IF((CkDJ[Date]=$A$4)*(CkDJ[Sort Code]=(TRIM(E$5)))*(CkDJ[Account Code]=(TRIM($B116))),CkDJ[Debit])))+(SUM(IF((CsDJ[Date]=$A$4)*(CsDJ[Sort Code]=(TRIM(E$5)))*(CsDJ[Account Code]=(TRIM($B116))),CsDJ[Debit])))+(SUM(IF((CRDJ[Date]=$A$4)*(CRDJ[Sort Code]=(TRIM(E$5)))*(CRDJ[Account Code]=(TRIM($B116))),CRDJ[Debit])))+(SUM(IF((GJ[Date]=$A$4)*(GJ[Sort Code]=(TRIM(E$5)))*(GJ[Account Code]=(TRIM($B116))),GJ[Debit]))))-((SUM(IF((CkDJ[Date]=$A$4)*(CkDJ[Sort Code]=(TRIM(E$5)))*(CkDJ[Account Code]=(TRIM($B116))),CkDJ[Credit])))+(SUM(IF((CsDJ[Date]=$A$4)*(CsDJ[Sort Code]=(TRIM(E$5)))*(CsDJ[Account Code]=(TRIM($B116))),CsDJ[Credit])))+(SUM(IF((CRDJ[Date]=$A$4)*(CRDJ[Sort Code]=(TRIM(E$5)))*(CRDJ[Account Code]=(TRIM($B116))),CRDJ[Credit])))+(SUM(IF((GJ[Date]=$A$4)*(GJ[Sort Code]=(TRIM(E$5)))*(GJ[Account Code]=(TRIM($B116))),GJ[Credit]))))</f>
        <v>0</v>
      </c>
      <c r="E116" s="467">
        <f t="shared" si="3"/>
        <v>0</v>
      </c>
    </row>
    <row r="117" spans="1:5">
      <c r="A117" s="476" t="s">
        <v>313</v>
      </c>
      <c r="B117" s="339" t="s">
        <v>265</v>
      </c>
      <c r="C117" s="466">
        <f t="array" ref="C117">((SUM(IF((CkDJ[Sort Code]=(TRIM(E$5)))*(CkDJ[Account Code]=(TRIM($B117)))*(CkDJ[Date]&lt;=$C$8),CkDJ[Debit])))+(SUM(IF((CsDJ[Sort Code]=(TRIM(E$5)))*(CsDJ[Account Code]=(TRIM($B117)))*(CsDJ[Date]&lt;=$C$8),CsDJ[Debit])))+(SUM(IF((CRDJ[Sort Code]=(TRIM(E$5)))*(CRDJ[Account Code]=(TRIM($B117)))*(CRDJ[Date]&lt;=$C$8),CRDJ[Debit])))+(SUM(IF((GJ[Sort Code]=(TRIM(E$5)))*(GJ[Account Code]=(TRIM($B117)))*(GJ[Date]&lt;=$C$8),GJ[Debit]))))-((SUM(IF((CkDJ[Sort Code]=(TRIM(E$5)))*(CkDJ[Account Code]=(TRIM($B117)))*(CkDJ[Date]&lt;=$C$8),CkDJ[Credit])))+(SUM(IF((CsDJ[Sort Code]=(TRIM(E$5)))*(CsDJ[Account Code]=(TRIM($B117)))*(CsDJ[Date]&lt;=$C$8),CsDJ[Credit])))+(SUM(IF((CRDJ[Sort Code]=(TRIM(E$5)))*(CRDJ[Account Code]=(TRIM($B117)))*(CRDJ[Date]&lt;=$C$8),CRDJ[Credit])))+(SUM(IF((GJ[Sort Code]=(TRIM(E$5)))*(GJ[Account Code]=(TRIM($B117)))*(GJ[Date]&lt;=$C$8),GJ[Credit]))))</f>
        <v>0</v>
      </c>
      <c r="D117" s="466">
        <f t="array" ref="D117">((SUM(IF((CkDJ[Date]=$A$4)*(CkDJ[Sort Code]=(TRIM(E$5)))*(CkDJ[Account Code]=(TRIM($B117))),CkDJ[Debit])))+(SUM(IF((CsDJ[Date]=$A$4)*(CsDJ[Sort Code]=(TRIM(E$5)))*(CsDJ[Account Code]=(TRIM($B117))),CsDJ[Debit])))+(SUM(IF((CRDJ[Date]=$A$4)*(CRDJ[Sort Code]=(TRIM(E$5)))*(CRDJ[Account Code]=(TRIM($B117))),CRDJ[Debit])))+(SUM(IF((GJ[Date]=$A$4)*(GJ[Sort Code]=(TRIM(E$5)))*(GJ[Account Code]=(TRIM($B117))),GJ[Debit]))))-((SUM(IF((CkDJ[Date]=$A$4)*(CkDJ[Sort Code]=(TRIM(E$5)))*(CkDJ[Account Code]=(TRIM($B117))),CkDJ[Credit])))+(SUM(IF((CsDJ[Date]=$A$4)*(CsDJ[Sort Code]=(TRIM(E$5)))*(CsDJ[Account Code]=(TRIM($B117))),CsDJ[Credit])))+(SUM(IF((CRDJ[Date]=$A$4)*(CRDJ[Sort Code]=(TRIM(E$5)))*(CRDJ[Account Code]=(TRIM($B117))),CRDJ[Credit])))+(SUM(IF((GJ[Date]=$A$4)*(GJ[Sort Code]=(TRIM(E$5)))*(GJ[Account Code]=(TRIM($B117))),GJ[Credit]))))</f>
        <v>0</v>
      </c>
      <c r="E117" s="467">
        <f t="shared" si="3"/>
        <v>0</v>
      </c>
    </row>
    <row r="118" spans="1:5">
      <c r="A118" s="476" t="s">
        <v>790</v>
      </c>
      <c r="B118" s="339" t="s">
        <v>267</v>
      </c>
      <c r="C118" s="466">
        <f t="array" ref="C118">((SUM(IF((CkDJ[Sort Code]=(TRIM(E$5)))*(CkDJ[Account Code]=(TRIM($B118)))*(CkDJ[Date]&lt;=$C$8),CkDJ[Debit])))+(SUM(IF((CsDJ[Sort Code]=(TRIM(E$5)))*(CsDJ[Account Code]=(TRIM($B118)))*(CsDJ[Date]&lt;=$C$8),CsDJ[Debit])))+(SUM(IF((CRDJ[Sort Code]=(TRIM(E$5)))*(CRDJ[Account Code]=(TRIM($B118)))*(CRDJ[Date]&lt;=$C$8),CRDJ[Debit])))+(SUM(IF((GJ[Sort Code]=(TRIM(E$5)))*(GJ[Account Code]=(TRIM($B118)))*(GJ[Date]&lt;=$C$8),GJ[Debit]))))-((SUM(IF((CkDJ[Sort Code]=(TRIM(E$5)))*(CkDJ[Account Code]=(TRIM($B118)))*(CkDJ[Date]&lt;=$C$8),CkDJ[Credit])))+(SUM(IF((CsDJ[Sort Code]=(TRIM(E$5)))*(CsDJ[Account Code]=(TRIM($B118)))*(CsDJ[Date]&lt;=$C$8),CsDJ[Credit])))+(SUM(IF((CRDJ[Sort Code]=(TRIM(E$5)))*(CRDJ[Account Code]=(TRIM($B118)))*(CRDJ[Date]&lt;=$C$8),CRDJ[Credit])))+(SUM(IF((GJ[Sort Code]=(TRIM(E$5)))*(GJ[Account Code]=(TRIM($B118)))*(GJ[Date]&lt;=$C$8),GJ[Credit]))))</f>
        <v>0</v>
      </c>
      <c r="D118" s="466">
        <f t="array" ref="D118">((SUM(IF((CkDJ[Date]=$A$4)*(CkDJ[Sort Code]=(TRIM(E$5)))*(CkDJ[Account Code]=(TRIM($B118))),CkDJ[Debit])))+(SUM(IF((CsDJ[Date]=$A$4)*(CsDJ[Sort Code]=(TRIM(E$5)))*(CsDJ[Account Code]=(TRIM($B118))),CsDJ[Debit])))+(SUM(IF((CRDJ[Date]=$A$4)*(CRDJ[Sort Code]=(TRIM(E$5)))*(CRDJ[Account Code]=(TRIM($B118))),CRDJ[Debit])))+(SUM(IF((GJ[Date]=$A$4)*(GJ[Sort Code]=(TRIM(E$5)))*(GJ[Account Code]=(TRIM($B118))),GJ[Debit]))))-((SUM(IF((CkDJ[Date]=$A$4)*(CkDJ[Sort Code]=(TRIM(E$5)))*(CkDJ[Account Code]=(TRIM($B118))),CkDJ[Credit])))+(SUM(IF((CsDJ[Date]=$A$4)*(CsDJ[Sort Code]=(TRIM(E$5)))*(CsDJ[Account Code]=(TRIM($B118))),CsDJ[Credit])))+(SUM(IF((CRDJ[Date]=$A$4)*(CRDJ[Sort Code]=(TRIM(E$5)))*(CRDJ[Account Code]=(TRIM($B118))),CRDJ[Credit])))+(SUM(IF((GJ[Date]=$A$4)*(GJ[Sort Code]=(TRIM(E$5)))*(GJ[Account Code]=(TRIM($B118))),GJ[Credit]))))</f>
        <v>0</v>
      </c>
      <c r="E118" s="467">
        <f>C118+D118</f>
        <v>0</v>
      </c>
    </row>
    <row r="119" spans="1:5">
      <c r="A119" s="476" t="s">
        <v>1027</v>
      </c>
      <c r="B119" s="339" t="s">
        <v>269</v>
      </c>
      <c r="C119" s="466">
        <f t="array" ref="C119">((SUM(IF((CkDJ[Sort Code]=(TRIM(E$5)))*(CkDJ[Account Code]=(TRIM($B119)))*(CkDJ[Date]&lt;=$C$8),CkDJ[Debit])))+(SUM(IF((CsDJ[Sort Code]=(TRIM(E$5)))*(CsDJ[Account Code]=(TRIM($B119)))*(CsDJ[Date]&lt;=$C$8),CsDJ[Debit])))+(SUM(IF((CRDJ[Sort Code]=(TRIM(E$5)))*(CRDJ[Account Code]=(TRIM($B119)))*(CRDJ[Date]&lt;=$C$8),CRDJ[Debit])))+(SUM(IF((GJ[Sort Code]=(TRIM(E$5)))*(GJ[Account Code]=(TRIM($B119)))*(GJ[Date]&lt;=$C$8),GJ[Debit]))))-((SUM(IF((CkDJ[Sort Code]=(TRIM(E$5)))*(CkDJ[Account Code]=(TRIM($B119)))*(CkDJ[Date]&lt;=$C$8),CkDJ[Credit])))+(SUM(IF((CsDJ[Sort Code]=(TRIM(E$5)))*(CsDJ[Account Code]=(TRIM($B119)))*(CsDJ[Date]&lt;=$C$8),CsDJ[Credit])))+(SUM(IF((CRDJ[Sort Code]=(TRIM(E$5)))*(CRDJ[Account Code]=(TRIM($B119)))*(CRDJ[Date]&lt;=$C$8),CRDJ[Credit])))+(SUM(IF((GJ[Sort Code]=(TRIM(E$5)))*(GJ[Account Code]=(TRIM($B119)))*(GJ[Date]&lt;=$C$8),GJ[Credit]))))</f>
        <v>0</v>
      </c>
      <c r="D119" s="466">
        <f t="array" ref="D119">((SUM(IF((CkDJ[Date]=$A$4)*(CkDJ[Sort Code]=(TRIM(E$5)))*(CkDJ[Account Code]=(TRIM($B119))),CkDJ[Debit])))+(SUM(IF((CsDJ[Date]=$A$4)*(CsDJ[Sort Code]=(TRIM(E$5)))*(CsDJ[Account Code]=(TRIM($B119))),CsDJ[Debit])))+(SUM(IF((CRDJ[Date]=$A$4)*(CRDJ[Sort Code]=(TRIM(E$5)))*(CRDJ[Account Code]=(TRIM($B119))),CRDJ[Debit])))+(SUM(IF((GJ[Date]=$A$4)*(GJ[Sort Code]=(TRIM(E$5)))*(GJ[Account Code]=(TRIM($B119))),GJ[Debit]))))-((SUM(IF((CkDJ[Date]=$A$4)*(CkDJ[Sort Code]=(TRIM(E$5)))*(CkDJ[Account Code]=(TRIM($B119))),CkDJ[Credit])))+(SUM(IF((CsDJ[Date]=$A$4)*(CsDJ[Sort Code]=(TRIM(E$5)))*(CsDJ[Account Code]=(TRIM($B119))),CsDJ[Credit])))+(SUM(IF((CRDJ[Date]=$A$4)*(CRDJ[Sort Code]=(TRIM(E$5)))*(CRDJ[Account Code]=(TRIM($B119))),CRDJ[Credit])))+(SUM(IF((GJ[Date]=$A$4)*(GJ[Sort Code]=(TRIM(E$5)))*(GJ[Account Code]=(TRIM($B119))),GJ[Credit]))))</f>
        <v>0</v>
      </c>
      <c r="E119" s="467">
        <f t="shared" ref="E119:E136" si="4">C119+D119</f>
        <v>0</v>
      </c>
    </row>
    <row r="120" spans="1:5">
      <c r="A120" s="476" t="s">
        <v>409</v>
      </c>
      <c r="B120" s="339" t="s">
        <v>408</v>
      </c>
      <c r="C120" s="466">
        <f t="array" ref="C120">((SUM(IF((CkDJ[Sort Code]=(TRIM(E$5)))*(CkDJ[Account Code]=(TRIM($B120)))*(CkDJ[Date]&lt;=$C$8),CkDJ[Debit])))+(SUM(IF((CsDJ[Sort Code]=(TRIM(E$5)))*(CsDJ[Account Code]=(TRIM($B120)))*(CsDJ[Date]&lt;=$C$8),CsDJ[Debit])))+(SUM(IF((CRDJ[Sort Code]=(TRIM(E$5)))*(CRDJ[Account Code]=(TRIM($B120)))*(CRDJ[Date]&lt;=$C$8),CRDJ[Debit])))+(SUM(IF((GJ[Sort Code]=(TRIM(E$5)))*(GJ[Account Code]=(TRIM($B120)))*(GJ[Date]&lt;=$C$8),GJ[Debit]))))-((SUM(IF((CkDJ[Sort Code]=(TRIM(E$5)))*(CkDJ[Account Code]=(TRIM($B120)))*(CkDJ[Date]&lt;=$C$8),CkDJ[Credit])))+(SUM(IF((CsDJ[Sort Code]=(TRIM(E$5)))*(CsDJ[Account Code]=(TRIM($B120)))*(CsDJ[Date]&lt;=$C$8),CsDJ[Credit])))+(SUM(IF((CRDJ[Sort Code]=(TRIM(E$5)))*(CRDJ[Account Code]=(TRIM($B120)))*(CRDJ[Date]&lt;=$C$8),CRDJ[Credit])))+(SUM(IF((GJ[Sort Code]=(TRIM(E$5)))*(GJ[Account Code]=(TRIM($B120)))*(GJ[Date]&lt;=$C$8),GJ[Credit]))))</f>
        <v>0</v>
      </c>
      <c r="D120" s="466">
        <f t="array" ref="D120">((SUM(IF((CkDJ[Date]=$A$4)*(CkDJ[Sort Code]=(TRIM(E$5)))*(CkDJ[Account Code]=(TRIM($B120))),CkDJ[Debit])))+(SUM(IF((CsDJ[Date]=$A$4)*(CsDJ[Sort Code]=(TRIM(E$5)))*(CsDJ[Account Code]=(TRIM($B120))),CsDJ[Debit])))+(SUM(IF((CRDJ[Date]=$A$4)*(CRDJ[Sort Code]=(TRIM(E$5)))*(CRDJ[Account Code]=(TRIM($B120))),CRDJ[Debit])))+(SUM(IF((GJ[Date]=$A$4)*(GJ[Sort Code]=(TRIM(E$5)))*(GJ[Account Code]=(TRIM($B120))),GJ[Debit]))))-((SUM(IF((CkDJ[Date]=$A$4)*(CkDJ[Sort Code]=(TRIM(E$5)))*(CkDJ[Account Code]=(TRIM($B120))),CkDJ[Credit])))+(SUM(IF((CsDJ[Date]=$A$4)*(CsDJ[Sort Code]=(TRIM(E$5)))*(CsDJ[Account Code]=(TRIM($B120))),CsDJ[Credit])))+(SUM(IF((CRDJ[Date]=$A$4)*(CRDJ[Sort Code]=(TRIM(E$5)))*(CRDJ[Account Code]=(TRIM($B120))),CRDJ[Credit])))+(SUM(IF((GJ[Date]=$A$4)*(GJ[Sort Code]=(TRIM(E$5)))*(GJ[Account Code]=(TRIM($B120))),GJ[Credit]))))</f>
        <v>0</v>
      </c>
      <c r="E120" s="467">
        <f>C120+D120</f>
        <v>0</v>
      </c>
    </row>
    <row r="121" spans="1:5">
      <c r="A121" s="476" t="s">
        <v>315</v>
      </c>
      <c r="B121" s="339" t="s">
        <v>270</v>
      </c>
      <c r="C121" s="466">
        <f t="array" ref="C121">((SUM(IF((CkDJ[Sort Code]=(TRIM(E$5)))*(CkDJ[Account Code]=(TRIM($B121)))*(CkDJ[Date]&lt;=$C$8),CkDJ[Debit])))+(SUM(IF((CsDJ[Sort Code]=(TRIM(E$5)))*(CsDJ[Account Code]=(TRIM($B121)))*(CsDJ[Date]&lt;=$C$8),CsDJ[Debit])))+(SUM(IF((CRDJ[Sort Code]=(TRIM(E$5)))*(CRDJ[Account Code]=(TRIM($B121)))*(CRDJ[Date]&lt;=$C$8),CRDJ[Debit])))+(SUM(IF((GJ[Sort Code]=(TRIM(E$5)))*(GJ[Account Code]=(TRIM($B121)))*(GJ[Date]&lt;=$C$8),GJ[Debit]))))-((SUM(IF((CkDJ[Sort Code]=(TRIM(E$5)))*(CkDJ[Account Code]=(TRIM($B121)))*(CkDJ[Date]&lt;=$C$8),CkDJ[Credit])))+(SUM(IF((CsDJ[Sort Code]=(TRIM(E$5)))*(CsDJ[Account Code]=(TRIM($B121)))*(CsDJ[Date]&lt;=$C$8),CsDJ[Credit])))+(SUM(IF((CRDJ[Sort Code]=(TRIM(E$5)))*(CRDJ[Account Code]=(TRIM($B121)))*(CRDJ[Date]&lt;=$C$8),CRDJ[Credit])))+(SUM(IF((GJ[Sort Code]=(TRIM(E$5)))*(GJ[Account Code]=(TRIM($B121)))*(GJ[Date]&lt;=$C$8),GJ[Credit]))))</f>
        <v>0</v>
      </c>
      <c r="D121" s="466">
        <f t="array" ref="D121">((SUM(IF((CkDJ[Date]=$A$4)*(CkDJ[Sort Code]=(TRIM(E$5)))*(CkDJ[Account Code]=(TRIM($B121))),CkDJ[Debit])))+(SUM(IF((CsDJ[Date]=$A$4)*(CsDJ[Sort Code]=(TRIM(E$5)))*(CsDJ[Account Code]=(TRIM($B121))),CsDJ[Debit])))+(SUM(IF((CRDJ[Date]=$A$4)*(CRDJ[Sort Code]=(TRIM(E$5)))*(CRDJ[Account Code]=(TRIM($B121))),CRDJ[Debit])))+(SUM(IF((GJ[Date]=$A$4)*(GJ[Sort Code]=(TRIM(E$5)))*(GJ[Account Code]=(TRIM($B121))),GJ[Debit]))))-((SUM(IF((CkDJ[Date]=$A$4)*(CkDJ[Sort Code]=(TRIM(E$5)))*(CkDJ[Account Code]=(TRIM($B121))),CkDJ[Credit])))+(SUM(IF((CsDJ[Date]=$A$4)*(CsDJ[Sort Code]=(TRIM(E$5)))*(CsDJ[Account Code]=(TRIM($B121))),CsDJ[Credit])))+(SUM(IF((CRDJ[Date]=$A$4)*(CRDJ[Sort Code]=(TRIM(E$5)))*(CRDJ[Account Code]=(TRIM($B121))),CRDJ[Credit])))+(SUM(IF((GJ[Date]=$A$4)*(GJ[Sort Code]=(TRIM(E$5)))*(GJ[Account Code]=(TRIM($B121))),GJ[Credit]))))</f>
        <v>0</v>
      </c>
      <c r="E121" s="467">
        <f>C121+D121</f>
        <v>0</v>
      </c>
    </row>
    <row r="122" spans="1:5">
      <c r="A122" s="476" t="s">
        <v>368</v>
      </c>
      <c r="B122" s="339" t="s">
        <v>271</v>
      </c>
      <c r="C122" s="466">
        <f t="array" ref="C122">((SUM(IF((CkDJ[Sort Code]=(TRIM(E$5)))*(CkDJ[Account Code]=(TRIM($B122)))*(CkDJ[Date]&lt;=$C$8),CkDJ[Debit])))+(SUM(IF((CsDJ[Sort Code]=(TRIM(E$5)))*(CsDJ[Account Code]=(TRIM($B122)))*(CsDJ[Date]&lt;=$C$8),CsDJ[Debit])))+(SUM(IF((CRDJ[Sort Code]=(TRIM(E$5)))*(CRDJ[Account Code]=(TRIM($B122)))*(CRDJ[Date]&lt;=$C$8),CRDJ[Debit])))+(SUM(IF((GJ[Sort Code]=(TRIM(E$5)))*(GJ[Account Code]=(TRIM($B122)))*(GJ[Date]&lt;=$C$8),GJ[Debit]))))-((SUM(IF((CkDJ[Sort Code]=(TRIM(E$5)))*(CkDJ[Account Code]=(TRIM($B122)))*(CkDJ[Date]&lt;=$C$8),CkDJ[Credit])))+(SUM(IF((CsDJ[Sort Code]=(TRIM(E$5)))*(CsDJ[Account Code]=(TRIM($B122)))*(CsDJ[Date]&lt;=$C$8),CsDJ[Credit])))+(SUM(IF((CRDJ[Sort Code]=(TRIM(E$5)))*(CRDJ[Account Code]=(TRIM($B122)))*(CRDJ[Date]&lt;=$C$8),CRDJ[Credit])))+(SUM(IF((GJ[Sort Code]=(TRIM(E$5)))*(GJ[Account Code]=(TRIM($B122)))*(GJ[Date]&lt;=$C$8),GJ[Credit]))))</f>
        <v>0</v>
      </c>
      <c r="D122" s="466">
        <f t="array" ref="D122">((SUM(IF((CkDJ[Date]=$A$4)*(CkDJ[Sort Code]=(TRIM(E$5)))*(CkDJ[Account Code]=(TRIM($B122))),CkDJ[Debit])))+(SUM(IF((CsDJ[Date]=$A$4)*(CsDJ[Sort Code]=(TRIM(E$5)))*(CsDJ[Account Code]=(TRIM($B122))),CsDJ[Debit])))+(SUM(IF((CRDJ[Date]=$A$4)*(CRDJ[Sort Code]=(TRIM(E$5)))*(CRDJ[Account Code]=(TRIM($B122))),CRDJ[Debit])))+(SUM(IF((GJ[Date]=$A$4)*(GJ[Sort Code]=(TRIM(E$5)))*(GJ[Account Code]=(TRIM($B122))),GJ[Debit]))))-((SUM(IF((CkDJ[Date]=$A$4)*(CkDJ[Sort Code]=(TRIM(E$5)))*(CkDJ[Account Code]=(TRIM($B122))),CkDJ[Credit])))+(SUM(IF((CsDJ[Date]=$A$4)*(CsDJ[Sort Code]=(TRIM(E$5)))*(CsDJ[Account Code]=(TRIM($B122))),CsDJ[Credit])))+(SUM(IF((CRDJ[Date]=$A$4)*(CRDJ[Sort Code]=(TRIM(E$5)))*(CRDJ[Account Code]=(TRIM($B122))),CRDJ[Credit])))+(SUM(IF((GJ[Date]=$A$4)*(GJ[Sort Code]=(TRIM(E$5)))*(GJ[Account Code]=(TRIM($B122))),GJ[Credit]))))</f>
        <v>0</v>
      </c>
      <c r="E122" s="467">
        <f t="shared" si="4"/>
        <v>0</v>
      </c>
    </row>
    <row r="123" spans="1:5">
      <c r="A123" s="476" t="s">
        <v>316</v>
      </c>
      <c r="B123" s="339" t="s">
        <v>272</v>
      </c>
      <c r="C123" s="466">
        <f t="array" ref="C123">((SUM(IF((CkDJ[Sort Code]=(TRIM(E$5)))*(CkDJ[Account Code]=(TRIM($B123)))*(CkDJ[Date]&lt;=$C$8),CkDJ[Debit])))+(SUM(IF((CsDJ[Sort Code]=(TRIM(E$5)))*(CsDJ[Account Code]=(TRIM($B123)))*(CsDJ[Date]&lt;=$C$8),CsDJ[Debit])))+(SUM(IF((CRDJ[Sort Code]=(TRIM(E$5)))*(CRDJ[Account Code]=(TRIM($B123)))*(CRDJ[Date]&lt;=$C$8),CRDJ[Debit])))+(SUM(IF((GJ[Sort Code]=(TRIM(E$5)))*(GJ[Account Code]=(TRIM($B123)))*(GJ[Date]&lt;=$C$8),GJ[Debit]))))-((SUM(IF((CkDJ[Sort Code]=(TRIM(E$5)))*(CkDJ[Account Code]=(TRIM($B123)))*(CkDJ[Date]&lt;=$C$8),CkDJ[Credit])))+(SUM(IF((CsDJ[Sort Code]=(TRIM(E$5)))*(CsDJ[Account Code]=(TRIM($B123)))*(CsDJ[Date]&lt;=$C$8),CsDJ[Credit])))+(SUM(IF((CRDJ[Sort Code]=(TRIM(E$5)))*(CRDJ[Account Code]=(TRIM($B123)))*(CRDJ[Date]&lt;=$C$8),CRDJ[Credit])))+(SUM(IF((GJ[Sort Code]=(TRIM(E$5)))*(GJ[Account Code]=(TRIM($B123)))*(GJ[Date]&lt;=$C$8),GJ[Credit]))))</f>
        <v>0</v>
      </c>
      <c r="D123" s="466">
        <f t="array" ref="D123">((SUM(IF((CkDJ[Date]=$A$4)*(CkDJ[Sort Code]=(TRIM(E$5)))*(CkDJ[Account Code]=(TRIM($B123))),CkDJ[Debit])))+(SUM(IF((CsDJ[Date]=$A$4)*(CsDJ[Sort Code]=(TRIM(E$5)))*(CsDJ[Account Code]=(TRIM($B123))),CsDJ[Debit])))+(SUM(IF((CRDJ[Date]=$A$4)*(CRDJ[Sort Code]=(TRIM(E$5)))*(CRDJ[Account Code]=(TRIM($B123))),CRDJ[Debit])))+(SUM(IF((GJ[Date]=$A$4)*(GJ[Sort Code]=(TRIM(E$5)))*(GJ[Account Code]=(TRIM($B123))),GJ[Debit]))))-((SUM(IF((CkDJ[Date]=$A$4)*(CkDJ[Sort Code]=(TRIM(E$5)))*(CkDJ[Account Code]=(TRIM($B123))),CkDJ[Credit])))+(SUM(IF((CsDJ[Date]=$A$4)*(CsDJ[Sort Code]=(TRIM(E$5)))*(CsDJ[Account Code]=(TRIM($B123))),CsDJ[Credit])))+(SUM(IF((CRDJ[Date]=$A$4)*(CRDJ[Sort Code]=(TRIM(E$5)))*(CRDJ[Account Code]=(TRIM($B123))),CRDJ[Credit])))+(SUM(IF((GJ[Date]=$A$4)*(GJ[Sort Code]=(TRIM(E$5)))*(GJ[Account Code]=(TRIM($B123))),GJ[Credit]))))</f>
        <v>0</v>
      </c>
      <c r="E123" s="467">
        <f t="shared" si="4"/>
        <v>0</v>
      </c>
    </row>
    <row r="124" spans="1:5">
      <c r="A124" s="476" t="s">
        <v>317</v>
      </c>
      <c r="B124" s="339" t="s">
        <v>273</v>
      </c>
      <c r="C124" s="466">
        <f t="array" ref="C124">((SUM(IF((CkDJ[Sort Code]=(TRIM(E$5)))*(CkDJ[Account Code]=(TRIM($B124)))*(CkDJ[Date]&lt;=$C$8),CkDJ[Debit])))+(SUM(IF((CsDJ[Sort Code]=(TRIM(E$5)))*(CsDJ[Account Code]=(TRIM($B124)))*(CsDJ[Date]&lt;=$C$8),CsDJ[Debit])))+(SUM(IF((CRDJ[Sort Code]=(TRIM(E$5)))*(CRDJ[Account Code]=(TRIM($B124)))*(CRDJ[Date]&lt;=$C$8),CRDJ[Debit])))+(SUM(IF((GJ[Sort Code]=(TRIM(E$5)))*(GJ[Account Code]=(TRIM($B124)))*(GJ[Date]&lt;=$C$8),GJ[Debit]))))-((SUM(IF((CkDJ[Sort Code]=(TRIM(E$5)))*(CkDJ[Account Code]=(TRIM($B124)))*(CkDJ[Date]&lt;=$C$8),CkDJ[Credit])))+(SUM(IF((CsDJ[Sort Code]=(TRIM(E$5)))*(CsDJ[Account Code]=(TRIM($B124)))*(CsDJ[Date]&lt;=$C$8),CsDJ[Credit])))+(SUM(IF((CRDJ[Sort Code]=(TRIM(E$5)))*(CRDJ[Account Code]=(TRIM($B124)))*(CRDJ[Date]&lt;=$C$8),CRDJ[Credit])))+(SUM(IF((GJ[Sort Code]=(TRIM(E$5)))*(GJ[Account Code]=(TRIM($B124)))*(GJ[Date]&lt;=$C$8),GJ[Credit]))))</f>
        <v>0</v>
      </c>
      <c r="D124" s="466">
        <f t="array" ref="D124">((SUM(IF((CkDJ[Date]=$A$4)*(CkDJ[Sort Code]=(TRIM(E$5)))*(CkDJ[Account Code]=(TRIM($B124))),CkDJ[Debit])))+(SUM(IF((CsDJ[Date]=$A$4)*(CsDJ[Sort Code]=(TRIM(E$5)))*(CsDJ[Account Code]=(TRIM($B124))),CsDJ[Debit])))+(SUM(IF((CRDJ[Date]=$A$4)*(CRDJ[Sort Code]=(TRIM(E$5)))*(CRDJ[Account Code]=(TRIM($B124))),CRDJ[Debit])))+(SUM(IF((GJ[Date]=$A$4)*(GJ[Sort Code]=(TRIM(E$5)))*(GJ[Account Code]=(TRIM($B124))),GJ[Debit]))))-((SUM(IF((CkDJ[Date]=$A$4)*(CkDJ[Sort Code]=(TRIM(E$5)))*(CkDJ[Account Code]=(TRIM($B124))),CkDJ[Credit])))+(SUM(IF((CsDJ[Date]=$A$4)*(CsDJ[Sort Code]=(TRIM(E$5)))*(CsDJ[Account Code]=(TRIM($B124))),CsDJ[Credit])))+(SUM(IF((CRDJ[Date]=$A$4)*(CRDJ[Sort Code]=(TRIM(E$5)))*(CRDJ[Account Code]=(TRIM($B124))),CRDJ[Credit])))+(SUM(IF((GJ[Date]=$A$4)*(GJ[Sort Code]=(TRIM(E$5)))*(GJ[Account Code]=(TRIM($B124))),GJ[Credit]))))</f>
        <v>0</v>
      </c>
      <c r="E124" s="467">
        <f t="shared" si="4"/>
        <v>0</v>
      </c>
    </row>
    <row r="125" spans="1:5">
      <c r="A125" s="476" t="s">
        <v>318</v>
      </c>
      <c r="B125" s="339" t="s">
        <v>274</v>
      </c>
      <c r="C125" s="466">
        <f t="array" ref="C125">((SUM(IF((CkDJ[Sort Code]=(TRIM(E$5)))*(CkDJ[Account Code]=(TRIM($B125)))*(CkDJ[Date]&lt;=$C$8),CkDJ[Debit])))+(SUM(IF((CsDJ[Sort Code]=(TRIM(E$5)))*(CsDJ[Account Code]=(TRIM($B125)))*(CsDJ[Date]&lt;=$C$8),CsDJ[Debit])))+(SUM(IF((CRDJ[Sort Code]=(TRIM(E$5)))*(CRDJ[Account Code]=(TRIM($B125)))*(CRDJ[Date]&lt;=$C$8),CRDJ[Debit])))+(SUM(IF((GJ[Sort Code]=(TRIM(E$5)))*(GJ[Account Code]=(TRIM($B125)))*(GJ[Date]&lt;=$C$8),GJ[Debit]))))-((SUM(IF((CkDJ[Sort Code]=(TRIM(E$5)))*(CkDJ[Account Code]=(TRIM($B125)))*(CkDJ[Date]&lt;=$C$8),CkDJ[Credit])))+(SUM(IF((CsDJ[Sort Code]=(TRIM(E$5)))*(CsDJ[Account Code]=(TRIM($B125)))*(CsDJ[Date]&lt;=$C$8),CsDJ[Credit])))+(SUM(IF((CRDJ[Sort Code]=(TRIM(E$5)))*(CRDJ[Account Code]=(TRIM($B125)))*(CRDJ[Date]&lt;=$C$8),CRDJ[Credit])))+(SUM(IF((GJ[Sort Code]=(TRIM(E$5)))*(GJ[Account Code]=(TRIM($B125)))*(GJ[Date]&lt;=$C$8),GJ[Credit]))))</f>
        <v>0</v>
      </c>
      <c r="D125" s="466">
        <f t="array" ref="D125">((SUM(IF((CkDJ[Date]=$A$4)*(CkDJ[Sort Code]=(TRIM(E$5)))*(CkDJ[Account Code]=(TRIM($B125))),CkDJ[Debit])))+(SUM(IF((CsDJ[Date]=$A$4)*(CsDJ[Sort Code]=(TRIM(E$5)))*(CsDJ[Account Code]=(TRIM($B125))),CsDJ[Debit])))+(SUM(IF((CRDJ[Date]=$A$4)*(CRDJ[Sort Code]=(TRIM(E$5)))*(CRDJ[Account Code]=(TRIM($B125))),CRDJ[Debit])))+(SUM(IF((GJ[Date]=$A$4)*(GJ[Sort Code]=(TRIM(E$5)))*(GJ[Account Code]=(TRIM($B125))),GJ[Debit]))))-((SUM(IF((CkDJ[Date]=$A$4)*(CkDJ[Sort Code]=(TRIM(E$5)))*(CkDJ[Account Code]=(TRIM($B125))),CkDJ[Credit])))+(SUM(IF((CsDJ[Date]=$A$4)*(CsDJ[Sort Code]=(TRIM(E$5)))*(CsDJ[Account Code]=(TRIM($B125))),CsDJ[Credit])))+(SUM(IF((CRDJ[Date]=$A$4)*(CRDJ[Sort Code]=(TRIM(E$5)))*(CRDJ[Account Code]=(TRIM($B125))),CRDJ[Credit])))+(SUM(IF((GJ[Date]=$A$4)*(GJ[Sort Code]=(TRIM(E$5)))*(GJ[Account Code]=(TRIM($B125))),GJ[Credit]))))</f>
        <v>0</v>
      </c>
      <c r="E125" s="467">
        <f t="shared" si="4"/>
        <v>0</v>
      </c>
    </row>
    <row r="126" spans="1:5">
      <c r="A126" s="476" t="s">
        <v>796</v>
      </c>
      <c r="B126" s="339" t="s">
        <v>331</v>
      </c>
      <c r="C126" s="466">
        <f t="array" ref="C126">((SUM(IF((CkDJ[Sort Code]=(TRIM(E$5)))*(CkDJ[Account Code]=(TRIM($B126)))*(CkDJ[Date]&lt;=$C$8),CkDJ[Debit])))+(SUM(IF((CsDJ[Sort Code]=(TRIM(E$5)))*(CsDJ[Account Code]=(TRIM($B126)))*(CsDJ[Date]&lt;=$C$8),CsDJ[Debit])))+(SUM(IF((CRDJ[Sort Code]=(TRIM(E$5)))*(CRDJ[Account Code]=(TRIM($B126)))*(CRDJ[Date]&lt;=$C$8),CRDJ[Debit])))+(SUM(IF((GJ[Sort Code]=(TRIM(E$5)))*(GJ[Account Code]=(TRIM($B126)))*(GJ[Date]&lt;=$C$8),GJ[Debit]))))-((SUM(IF((CkDJ[Sort Code]=(TRIM(E$5)))*(CkDJ[Account Code]=(TRIM($B126)))*(CkDJ[Date]&lt;=$C$8),CkDJ[Credit])))+(SUM(IF((CsDJ[Sort Code]=(TRIM(E$5)))*(CsDJ[Account Code]=(TRIM($B126)))*(CsDJ[Date]&lt;=$C$8),CsDJ[Credit])))+(SUM(IF((CRDJ[Sort Code]=(TRIM(E$5)))*(CRDJ[Account Code]=(TRIM($B126)))*(CRDJ[Date]&lt;=$C$8),CRDJ[Credit])))+(SUM(IF((GJ[Sort Code]=(TRIM(E$5)))*(GJ[Account Code]=(TRIM($B126)))*(GJ[Date]&lt;=$C$8),GJ[Credit]))))</f>
        <v>0</v>
      </c>
      <c r="D126" s="466">
        <f t="array" ref="D126">((SUM(IF((CkDJ[Date]=$A$4)*(CkDJ[Sort Code]=(TRIM(E$5)))*(CkDJ[Account Code]=(TRIM($B126))),CkDJ[Debit])))+(SUM(IF((CsDJ[Date]=$A$4)*(CsDJ[Sort Code]=(TRIM(E$5)))*(CsDJ[Account Code]=(TRIM($B126))),CsDJ[Debit])))+(SUM(IF((CRDJ[Date]=$A$4)*(CRDJ[Sort Code]=(TRIM(E$5)))*(CRDJ[Account Code]=(TRIM($B126))),CRDJ[Debit])))+(SUM(IF((GJ[Date]=$A$4)*(GJ[Sort Code]=(TRIM(E$5)))*(GJ[Account Code]=(TRIM($B126))),GJ[Debit]))))-((SUM(IF((CkDJ[Date]=$A$4)*(CkDJ[Sort Code]=(TRIM(E$5)))*(CkDJ[Account Code]=(TRIM($B126))),CkDJ[Credit])))+(SUM(IF((CsDJ[Date]=$A$4)*(CsDJ[Sort Code]=(TRIM(E$5)))*(CsDJ[Account Code]=(TRIM($B126))),CsDJ[Credit])))+(SUM(IF((CRDJ[Date]=$A$4)*(CRDJ[Sort Code]=(TRIM(E$5)))*(CRDJ[Account Code]=(TRIM($B126))),CRDJ[Credit])))+(SUM(IF((GJ[Date]=$A$4)*(GJ[Sort Code]=(TRIM(E$5)))*(GJ[Account Code]=(TRIM($B126))),GJ[Credit]))))</f>
        <v>0</v>
      </c>
      <c r="E126" s="467">
        <f t="shared" si="4"/>
        <v>0</v>
      </c>
    </row>
    <row r="127" spans="1:5">
      <c r="A127" s="476" t="s">
        <v>1028</v>
      </c>
      <c r="B127" s="339" t="s">
        <v>332</v>
      </c>
      <c r="C127" s="466">
        <f t="array" ref="C127">((SUM(IF((CkDJ[Sort Code]=(TRIM(E$5)))*(CkDJ[Account Code]=(TRIM($B127)))*(CkDJ[Date]&lt;=$C$8),CkDJ[Debit])))+(SUM(IF((CsDJ[Sort Code]=(TRIM(E$5)))*(CsDJ[Account Code]=(TRIM($B127)))*(CsDJ[Date]&lt;=$C$8),CsDJ[Debit])))+(SUM(IF((CRDJ[Sort Code]=(TRIM(E$5)))*(CRDJ[Account Code]=(TRIM($B127)))*(CRDJ[Date]&lt;=$C$8),CRDJ[Debit])))+(SUM(IF((GJ[Sort Code]=(TRIM(E$5)))*(GJ[Account Code]=(TRIM($B127)))*(GJ[Date]&lt;=$C$8),GJ[Debit]))))-((SUM(IF((CkDJ[Sort Code]=(TRIM(E$5)))*(CkDJ[Account Code]=(TRIM($B127)))*(CkDJ[Date]&lt;=$C$8),CkDJ[Credit])))+(SUM(IF((CsDJ[Sort Code]=(TRIM(E$5)))*(CsDJ[Account Code]=(TRIM($B127)))*(CsDJ[Date]&lt;=$C$8),CsDJ[Credit])))+(SUM(IF((CRDJ[Sort Code]=(TRIM(E$5)))*(CRDJ[Account Code]=(TRIM($B127)))*(CRDJ[Date]&lt;=$C$8),CRDJ[Credit])))+(SUM(IF((GJ[Sort Code]=(TRIM(E$5)))*(GJ[Account Code]=(TRIM($B127)))*(GJ[Date]&lt;=$C$8),GJ[Credit]))))</f>
        <v>0</v>
      </c>
      <c r="D127" s="466">
        <f t="array" ref="D127">((SUM(IF((CkDJ[Date]=$A$4)*(CkDJ[Sort Code]=(TRIM(E$5)))*(CkDJ[Account Code]=(TRIM($B127))),CkDJ[Debit])))+(SUM(IF((CsDJ[Date]=$A$4)*(CsDJ[Sort Code]=(TRIM(E$5)))*(CsDJ[Account Code]=(TRIM($B127))),CsDJ[Debit])))+(SUM(IF((CRDJ[Date]=$A$4)*(CRDJ[Sort Code]=(TRIM(E$5)))*(CRDJ[Account Code]=(TRIM($B127))),CRDJ[Debit])))+(SUM(IF((GJ[Date]=$A$4)*(GJ[Sort Code]=(TRIM(E$5)))*(GJ[Account Code]=(TRIM($B127))),GJ[Debit]))))-((SUM(IF((CkDJ[Date]=$A$4)*(CkDJ[Sort Code]=(TRIM(E$5)))*(CkDJ[Account Code]=(TRIM($B127))),CkDJ[Credit])))+(SUM(IF((CsDJ[Date]=$A$4)*(CsDJ[Sort Code]=(TRIM(E$5)))*(CsDJ[Account Code]=(TRIM($B127))),CsDJ[Credit])))+(SUM(IF((CRDJ[Date]=$A$4)*(CRDJ[Sort Code]=(TRIM(E$5)))*(CRDJ[Account Code]=(TRIM($B127))),CRDJ[Credit])))+(SUM(IF((GJ[Date]=$A$4)*(GJ[Sort Code]=(TRIM(E$5)))*(GJ[Account Code]=(TRIM($B127))),GJ[Credit]))))</f>
        <v>0</v>
      </c>
      <c r="E127" s="467">
        <f t="shared" si="4"/>
        <v>0</v>
      </c>
    </row>
    <row r="128" spans="1:5">
      <c r="A128" s="476" t="s">
        <v>343</v>
      </c>
      <c r="B128" s="339" t="s">
        <v>334</v>
      </c>
      <c r="C128" s="466">
        <f t="array" ref="C128">((SUM(IF((CkDJ[Sort Code]=(TRIM(E$5)))*(CkDJ[Account Code]=(TRIM($B128)))*(CkDJ[Date]&lt;=$C$8),CkDJ[Debit])))+(SUM(IF((CsDJ[Sort Code]=(TRIM(E$5)))*(CsDJ[Account Code]=(TRIM($B128)))*(CsDJ[Date]&lt;=$C$8),CsDJ[Debit])))+(SUM(IF((CRDJ[Sort Code]=(TRIM(E$5)))*(CRDJ[Account Code]=(TRIM($B128)))*(CRDJ[Date]&lt;=$C$8),CRDJ[Debit])))+(SUM(IF((GJ[Sort Code]=(TRIM(E$5)))*(GJ[Account Code]=(TRIM($B128)))*(GJ[Date]&lt;=$C$8),GJ[Debit]))))-((SUM(IF((CkDJ[Sort Code]=(TRIM(E$5)))*(CkDJ[Account Code]=(TRIM($B128)))*(CkDJ[Date]&lt;=$C$8),CkDJ[Credit])))+(SUM(IF((CsDJ[Sort Code]=(TRIM(E$5)))*(CsDJ[Account Code]=(TRIM($B128)))*(CsDJ[Date]&lt;=$C$8),CsDJ[Credit])))+(SUM(IF((CRDJ[Sort Code]=(TRIM(E$5)))*(CRDJ[Account Code]=(TRIM($B128)))*(CRDJ[Date]&lt;=$C$8),CRDJ[Credit])))+(SUM(IF((GJ[Sort Code]=(TRIM(E$5)))*(GJ[Account Code]=(TRIM($B128)))*(GJ[Date]&lt;=$C$8),GJ[Credit]))))</f>
        <v>0</v>
      </c>
      <c r="D128" s="466">
        <f t="array" ref="D128">((SUM(IF((CkDJ[Date]=$A$4)*(CkDJ[Sort Code]=(TRIM(E$5)))*(CkDJ[Account Code]=(TRIM($B128))),CkDJ[Debit])))+(SUM(IF((CsDJ[Date]=$A$4)*(CsDJ[Sort Code]=(TRIM(E$5)))*(CsDJ[Account Code]=(TRIM($B128))),CsDJ[Debit])))+(SUM(IF((CRDJ[Date]=$A$4)*(CRDJ[Sort Code]=(TRIM(E$5)))*(CRDJ[Account Code]=(TRIM($B128))),CRDJ[Debit])))+(SUM(IF((GJ[Date]=$A$4)*(GJ[Sort Code]=(TRIM(E$5)))*(GJ[Account Code]=(TRIM($B128))),GJ[Debit]))))-((SUM(IF((CkDJ[Date]=$A$4)*(CkDJ[Sort Code]=(TRIM(E$5)))*(CkDJ[Account Code]=(TRIM($B128))),CkDJ[Credit])))+(SUM(IF((CsDJ[Date]=$A$4)*(CsDJ[Sort Code]=(TRIM(E$5)))*(CsDJ[Account Code]=(TRIM($B128))),CsDJ[Credit])))+(SUM(IF((CRDJ[Date]=$A$4)*(CRDJ[Sort Code]=(TRIM(E$5)))*(CRDJ[Account Code]=(TRIM($B128))),CRDJ[Credit])))+(SUM(IF((GJ[Date]=$A$4)*(GJ[Sort Code]=(TRIM(E$5)))*(GJ[Account Code]=(TRIM($B128))),GJ[Credit]))))</f>
        <v>0</v>
      </c>
      <c r="E128" s="467">
        <f t="shared" si="4"/>
        <v>0</v>
      </c>
    </row>
    <row r="129" spans="1:5">
      <c r="A129" s="476" t="s">
        <v>344</v>
      </c>
      <c r="B129" s="339" t="s">
        <v>335</v>
      </c>
      <c r="C129" s="466">
        <f t="array" ref="C129">((SUM(IF((CkDJ[Sort Code]=(TRIM(E$5)))*(CkDJ[Account Code]=(TRIM($B129)))*(CkDJ[Date]&lt;=$C$8),CkDJ[Debit])))+(SUM(IF((CsDJ[Sort Code]=(TRIM(E$5)))*(CsDJ[Account Code]=(TRIM($B129)))*(CsDJ[Date]&lt;=$C$8),CsDJ[Debit])))+(SUM(IF((CRDJ[Sort Code]=(TRIM(E$5)))*(CRDJ[Account Code]=(TRIM($B129)))*(CRDJ[Date]&lt;=$C$8),CRDJ[Debit])))+(SUM(IF((GJ[Sort Code]=(TRIM(E$5)))*(GJ[Account Code]=(TRIM($B129)))*(GJ[Date]&lt;=$C$8),GJ[Debit]))))-((SUM(IF((CkDJ[Sort Code]=(TRIM(E$5)))*(CkDJ[Account Code]=(TRIM($B129)))*(CkDJ[Date]&lt;=$C$8),CkDJ[Credit])))+(SUM(IF((CsDJ[Sort Code]=(TRIM(E$5)))*(CsDJ[Account Code]=(TRIM($B129)))*(CsDJ[Date]&lt;=$C$8),CsDJ[Credit])))+(SUM(IF((CRDJ[Sort Code]=(TRIM(E$5)))*(CRDJ[Account Code]=(TRIM($B129)))*(CRDJ[Date]&lt;=$C$8),CRDJ[Credit])))+(SUM(IF((GJ[Sort Code]=(TRIM(E$5)))*(GJ[Account Code]=(TRIM($B129)))*(GJ[Date]&lt;=$C$8),GJ[Credit]))))</f>
        <v>0</v>
      </c>
      <c r="D129" s="466">
        <f t="array" ref="D129">((SUM(IF((CkDJ[Date]=$A$4)*(CkDJ[Sort Code]=(TRIM(E$5)))*(CkDJ[Account Code]=(TRIM($B129))),CkDJ[Debit])))+(SUM(IF((CsDJ[Date]=$A$4)*(CsDJ[Sort Code]=(TRIM(E$5)))*(CsDJ[Account Code]=(TRIM($B129))),CsDJ[Debit])))+(SUM(IF((CRDJ[Date]=$A$4)*(CRDJ[Sort Code]=(TRIM(E$5)))*(CRDJ[Account Code]=(TRIM($B129))),CRDJ[Debit])))+(SUM(IF((GJ[Date]=$A$4)*(GJ[Sort Code]=(TRIM(E$5)))*(GJ[Account Code]=(TRIM($B129))),GJ[Debit]))))-((SUM(IF((CkDJ[Date]=$A$4)*(CkDJ[Sort Code]=(TRIM(E$5)))*(CkDJ[Account Code]=(TRIM($B129))),CkDJ[Credit])))+(SUM(IF((CsDJ[Date]=$A$4)*(CsDJ[Sort Code]=(TRIM(E$5)))*(CsDJ[Account Code]=(TRIM($B129))),CsDJ[Credit])))+(SUM(IF((CRDJ[Date]=$A$4)*(CRDJ[Sort Code]=(TRIM(E$5)))*(CRDJ[Account Code]=(TRIM($B129))),CRDJ[Credit])))+(SUM(IF((GJ[Date]=$A$4)*(GJ[Sort Code]=(TRIM(E$5)))*(GJ[Account Code]=(TRIM($B129))),GJ[Credit]))))</f>
        <v>0</v>
      </c>
      <c r="E129" s="467">
        <f t="shared" si="4"/>
        <v>0</v>
      </c>
    </row>
    <row r="130" spans="1:5">
      <c r="A130" s="476" t="s">
        <v>368</v>
      </c>
      <c r="B130" s="339" t="s">
        <v>405</v>
      </c>
      <c r="C130" s="466">
        <f t="array" ref="C130">((SUM(IF((CkDJ[Sort Code]=(TRIM(E$5)))*(CkDJ[Account Code]=(TRIM($B130)))*(CkDJ[Date]&lt;=$C$8),CkDJ[Debit])))+(SUM(IF((CsDJ[Sort Code]=(TRIM(E$5)))*(CsDJ[Account Code]=(TRIM($B130)))*(CsDJ[Date]&lt;=$C$8),CsDJ[Debit])))+(SUM(IF((CRDJ[Sort Code]=(TRIM(E$5)))*(CRDJ[Account Code]=(TRIM($B130)))*(CRDJ[Date]&lt;=$C$8),CRDJ[Debit])))+(SUM(IF((GJ[Sort Code]=(TRIM(E$5)))*(GJ[Account Code]=(TRIM($B130)))*(GJ[Date]&lt;=$C$8),GJ[Debit]))))-((SUM(IF((CkDJ[Sort Code]=(TRIM(E$5)))*(CkDJ[Account Code]=(TRIM($B130)))*(CkDJ[Date]&lt;=$C$8),CkDJ[Credit])))+(SUM(IF((CsDJ[Sort Code]=(TRIM(E$5)))*(CsDJ[Account Code]=(TRIM($B130)))*(CsDJ[Date]&lt;=$C$8),CsDJ[Credit])))+(SUM(IF((CRDJ[Sort Code]=(TRIM(E$5)))*(CRDJ[Account Code]=(TRIM($B130)))*(CRDJ[Date]&lt;=$C$8),CRDJ[Credit])))+(SUM(IF((GJ[Sort Code]=(TRIM(E$5)))*(GJ[Account Code]=(TRIM($B130)))*(GJ[Date]&lt;=$C$8),GJ[Credit]))))</f>
        <v>0</v>
      </c>
      <c r="D130" s="466">
        <f t="array" ref="D130">((SUM(IF((CkDJ[Date]=$A$4)*(CkDJ[Sort Code]=(TRIM(E$5)))*(CkDJ[Account Code]=(TRIM($B130))),CkDJ[Debit])))+(SUM(IF((CsDJ[Date]=$A$4)*(CsDJ[Sort Code]=(TRIM(E$5)))*(CsDJ[Account Code]=(TRIM($B130))),CsDJ[Debit])))+(SUM(IF((CRDJ[Date]=$A$4)*(CRDJ[Sort Code]=(TRIM(E$5)))*(CRDJ[Account Code]=(TRIM($B130))),CRDJ[Debit])))+(SUM(IF((GJ[Date]=$A$4)*(GJ[Sort Code]=(TRIM(E$5)))*(GJ[Account Code]=(TRIM($B130))),GJ[Debit]))))-((SUM(IF((CkDJ[Date]=$A$4)*(CkDJ[Sort Code]=(TRIM(E$5)))*(CkDJ[Account Code]=(TRIM($B130))),CkDJ[Credit])))+(SUM(IF((CsDJ[Date]=$A$4)*(CsDJ[Sort Code]=(TRIM(E$5)))*(CsDJ[Account Code]=(TRIM($B130))),CsDJ[Credit])))+(SUM(IF((CRDJ[Date]=$A$4)*(CRDJ[Sort Code]=(TRIM(E$5)))*(CRDJ[Account Code]=(TRIM($B130))),CRDJ[Credit])))+(SUM(IF((GJ[Date]=$A$4)*(GJ[Sort Code]=(TRIM(E$5)))*(GJ[Account Code]=(TRIM($B130))),GJ[Credit]))))</f>
        <v>0</v>
      </c>
      <c r="E130" s="467">
        <f t="shared" si="4"/>
        <v>0</v>
      </c>
    </row>
    <row r="131" spans="1:5">
      <c r="A131" s="476" t="s">
        <v>345</v>
      </c>
      <c r="B131" s="339" t="s">
        <v>336</v>
      </c>
      <c r="C131" s="466">
        <f t="array" ref="C131">((SUM(IF((CkDJ[Sort Code]=(TRIM(E$5)))*(CkDJ[Account Code]=(TRIM($B131)))*(CkDJ[Date]&lt;=$C$8),CkDJ[Debit])))+(SUM(IF((CsDJ[Sort Code]=(TRIM(E$5)))*(CsDJ[Account Code]=(TRIM($B131)))*(CsDJ[Date]&lt;=$C$8),CsDJ[Debit])))+(SUM(IF((CRDJ[Sort Code]=(TRIM(E$5)))*(CRDJ[Account Code]=(TRIM($B131)))*(CRDJ[Date]&lt;=$C$8),CRDJ[Debit])))+(SUM(IF((GJ[Sort Code]=(TRIM(E$5)))*(GJ[Account Code]=(TRIM($B131)))*(GJ[Date]&lt;=$C$8),GJ[Debit]))))-((SUM(IF((CkDJ[Sort Code]=(TRIM(E$5)))*(CkDJ[Account Code]=(TRIM($B131)))*(CkDJ[Date]&lt;=$C$8),CkDJ[Credit])))+(SUM(IF((CsDJ[Sort Code]=(TRIM(E$5)))*(CsDJ[Account Code]=(TRIM($B131)))*(CsDJ[Date]&lt;=$C$8),CsDJ[Credit])))+(SUM(IF((CRDJ[Sort Code]=(TRIM(E$5)))*(CRDJ[Account Code]=(TRIM($B131)))*(CRDJ[Date]&lt;=$C$8),CRDJ[Credit])))+(SUM(IF((GJ[Sort Code]=(TRIM(E$5)))*(GJ[Account Code]=(TRIM($B131)))*(GJ[Date]&lt;=$C$8),GJ[Credit]))))</f>
        <v>0</v>
      </c>
      <c r="D131" s="466">
        <f t="array" ref="D131">((SUM(IF((CkDJ[Date]=$A$4)*(CkDJ[Sort Code]=(TRIM(E$5)))*(CkDJ[Account Code]=(TRIM($B131))),CkDJ[Debit])))+(SUM(IF((CsDJ[Date]=$A$4)*(CsDJ[Sort Code]=(TRIM(E$5)))*(CsDJ[Account Code]=(TRIM($B131))),CsDJ[Debit])))+(SUM(IF((CRDJ[Date]=$A$4)*(CRDJ[Sort Code]=(TRIM(E$5)))*(CRDJ[Account Code]=(TRIM($B131))),CRDJ[Debit])))+(SUM(IF((GJ[Date]=$A$4)*(GJ[Sort Code]=(TRIM(E$5)))*(GJ[Account Code]=(TRIM($B131))),GJ[Debit]))))-((SUM(IF((CkDJ[Date]=$A$4)*(CkDJ[Sort Code]=(TRIM(E$5)))*(CkDJ[Account Code]=(TRIM($B131))),CkDJ[Credit])))+(SUM(IF((CsDJ[Date]=$A$4)*(CsDJ[Sort Code]=(TRIM(E$5)))*(CsDJ[Account Code]=(TRIM($B131))),CsDJ[Credit])))+(SUM(IF((CRDJ[Date]=$A$4)*(CRDJ[Sort Code]=(TRIM(E$5)))*(CRDJ[Account Code]=(TRIM($B131))),CRDJ[Credit])))+(SUM(IF((GJ[Date]=$A$4)*(GJ[Sort Code]=(TRIM(E$5)))*(GJ[Account Code]=(TRIM($B131))),GJ[Credit]))))</f>
        <v>0</v>
      </c>
      <c r="E131" s="467">
        <f t="shared" si="4"/>
        <v>0</v>
      </c>
    </row>
    <row r="132" spans="1:5">
      <c r="A132" s="476" t="s">
        <v>346</v>
      </c>
      <c r="B132" s="339" t="s">
        <v>337</v>
      </c>
      <c r="C132" s="466">
        <f t="array" ref="C132">((SUM(IF((CkDJ[Sort Code]=(TRIM(E$5)))*(CkDJ[Account Code]=(TRIM($B132)))*(CkDJ[Date]&lt;=$C$8),CkDJ[Debit])))+(SUM(IF((CsDJ[Sort Code]=(TRIM(E$5)))*(CsDJ[Account Code]=(TRIM($B132)))*(CsDJ[Date]&lt;=$C$8),CsDJ[Debit])))+(SUM(IF((CRDJ[Sort Code]=(TRIM(E$5)))*(CRDJ[Account Code]=(TRIM($B132)))*(CRDJ[Date]&lt;=$C$8),CRDJ[Debit])))+(SUM(IF((GJ[Sort Code]=(TRIM(E$5)))*(GJ[Account Code]=(TRIM($B132)))*(GJ[Date]&lt;=$C$8),GJ[Debit]))))-((SUM(IF((CkDJ[Sort Code]=(TRIM(E$5)))*(CkDJ[Account Code]=(TRIM($B132)))*(CkDJ[Date]&lt;=$C$8),CkDJ[Credit])))+(SUM(IF((CsDJ[Sort Code]=(TRIM(E$5)))*(CsDJ[Account Code]=(TRIM($B132)))*(CsDJ[Date]&lt;=$C$8),CsDJ[Credit])))+(SUM(IF((CRDJ[Sort Code]=(TRIM(E$5)))*(CRDJ[Account Code]=(TRIM($B132)))*(CRDJ[Date]&lt;=$C$8),CRDJ[Credit])))+(SUM(IF((GJ[Sort Code]=(TRIM(E$5)))*(GJ[Account Code]=(TRIM($B132)))*(GJ[Date]&lt;=$C$8),GJ[Credit]))))</f>
        <v>0</v>
      </c>
      <c r="D132" s="466">
        <f t="array" ref="D132">((SUM(IF((CkDJ[Date]=$A$4)*(CkDJ[Sort Code]=(TRIM(E$5)))*(CkDJ[Account Code]=(TRIM($B132))),CkDJ[Debit])))+(SUM(IF((CsDJ[Date]=$A$4)*(CsDJ[Sort Code]=(TRIM(E$5)))*(CsDJ[Account Code]=(TRIM($B132))),CsDJ[Debit])))+(SUM(IF((CRDJ[Date]=$A$4)*(CRDJ[Sort Code]=(TRIM(E$5)))*(CRDJ[Account Code]=(TRIM($B132))),CRDJ[Debit])))+(SUM(IF((GJ[Date]=$A$4)*(GJ[Sort Code]=(TRIM(E$5)))*(GJ[Account Code]=(TRIM($B132))),GJ[Debit]))))-((SUM(IF((CkDJ[Date]=$A$4)*(CkDJ[Sort Code]=(TRIM(E$5)))*(CkDJ[Account Code]=(TRIM($B132))),CkDJ[Credit])))+(SUM(IF((CsDJ[Date]=$A$4)*(CsDJ[Sort Code]=(TRIM(E$5)))*(CsDJ[Account Code]=(TRIM($B132))),CsDJ[Credit])))+(SUM(IF((CRDJ[Date]=$A$4)*(CRDJ[Sort Code]=(TRIM(E$5)))*(CRDJ[Account Code]=(TRIM($B132))),CRDJ[Credit])))+(SUM(IF((GJ[Date]=$A$4)*(GJ[Sort Code]=(TRIM(E$5)))*(GJ[Account Code]=(TRIM($B132))),GJ[Credit]))))</f>
        <v>0</v>
      </c>
      <c r="E132" s="467">
        <f t="shared" si="4"/>
        <v>0</v>
      </c>
    </row>
    <row r="133" spans="1:5">
      <c r="A133" s="476" t="s">
        <v>1030</v>
      </c>
      <c r="B133" s="339" t="s">
        <v>986</v>
      </c>
      <c r="C133" s="466">
        <f t="array" ref="C133">((SUM(IF((CkDJ[Sort Code]=(TRIM(E$5)))*(CkDJ[Account Code]=(TRIM($B133)))*(CkDJ[Date]&lt;=$C$8),CkDJ[Debit])))+(SUM(IF((CsDJ[Sort Code]=(TRIM(E$5)))*(CsDJ[Account Code]=(TRIM($B133)))*(CsDJ[Date]&lt;=$C$8),CsDJ[Debit])))+(SUM(IF((CRDJ[Sort Code]=(TRIM(E$5)))*(CRDJ[Account Code]=(TRIM($B133)))*(CRDJ[Date]&lt;=$C$8),CRDJ[Debit])))+(SUM(IF((GJ[Sort Code]=(TRIM(E$5)))*(GJ[Account Code]=(TRIM($B133)))*(GJ[Date]&lt;=$C$8),GJ[Debit]))))-((SUM(IF((CkDJ[Sort Code]=(TRIM(E$5)))*(CkDJ[Account Code]=(TRIM($B133)))*(CkDJ[Date]&lt;=$C$8),CkDJ[Credit])))+(SUM(IF((CsDJ[Sort Code]=(TRIM(E$5)))*(CsDJ[Account Code]=(TRIM($B133)))*(CsDJ[Date]&lt;=$C$8),CsDJ[Credit])))+(SUM(IF((CRDJ[Sort Code]=(TRIM(E$5)))*(CRDJ[Account Code]=(TRIM($B133)))*(CRDJ[Date]&lt;=$C$8),CRDJ[Credit])))+(SUM(IF((GJ[Sort Code]=(TRIM(E$5)))*(GJ[Account Code]=(TRIM($B133)))*(GJ[Date]&lt;=$C$8),GJ[Credit]))))</f>
        <v>0</v>
      </c>
      <c r="D133" s="466">
        <f t="array" ref="D133">((SUM(IF((CkDJ[Date]=$A$4)*(CkDJ[Sort Code]=(TRIM(E$5)))*(CkDJ[Account Code]=(TRIM($B133))),CkDJ[Debit])))+(SUM(IF((CsDJ[Date]=$A$4)*(CsDJ[Sort Code]=(TRIM(E$5)))*(CsDJ[Account Code]=(TRIM($B133))),CsDJ[Debit])))+(SUM(IF((CRDJ[Date]=$A$4)*(CRDJ[Sort Code]=(TRIM(E$5)))*(CRDJ[Account Code]=(TRIM($B133))),CRDJ[Debit])))+(SUM(IF((GJ[Date]=$A$4)*(GJ[Sort Code]=(TRIM(E$5)))*(GJ[Account Code]=(TRIM($B133))),GJ[Debit]))))-((SUM(IF((CkDJ[Date]=$A$4)*(CkDJ[Sort Code]=(TRIM(E$5)))*(CkDJ[Account Code]=(TRIM($B133))),CkDJ[Credit])))+(SUM(IF((CsDJ[Date]=$A$4)*(CsDJ[Sort Code]=(TRIM(E$5)))*(CsDJ[Account Code]=(TRIM($B133))),CsDJ[Credit])))+(SUM(IF((CRDJ[Date]=$A$4)*(CRDJ[Sort Code]=(TRIM(E$5)))*(CRDJ[Account Code]=(TRIM($B133))),CRDJ[Credit])))+(SUM(IF((GJ[Date]=$A$4)*(GJ[Sort Code]=(TRIM(E$5)))*(GJ[Account Code]=(TRIM($B133))),GJ[Credit]))))</f>
        <v>0</v>
      </c>
      <c r="E133" s="467">
        <f t="shared" si="4"/>
        <v>0</v>
      </c>
    </row>
    <row r="134" spans="1:5">
      <c r="A134" s="476" t="s">
        <v>1029</v>
      </c>
      <c r="B134" s="339" t="s">
        <v>987</v>
      </c>
      <c r="C134" s="466">
        <f t="array" ref="C134">((SUM(IF((CkDJ[Sort Code]=(TRIM(E$5)))*(CkDJ[Account Code]=(TRIM($B134)))*(CkDJ[Date]&lt;=$C$8),CkDJ[Debit])))+(SUM(IF((CsDJ[Sort Code]=(TRIM(E$5)))*(CsDJ[Account Code]=(TRIM($B134)))*(CsDJ[Date]&lt;=$C$8),CsDJ[Debit])))+(SUM(IF((CRDJ[Sort Code]=(TRIM(E$5)))*(CRDJ[Account Code]=(TRIM($B134)))*(CRDJ[Date]&lt;=$C$8),CRDJ[Debit])))+(SUM(IF((GJ[Sort Code]=(TRIM(E$5)))*(GJ[Account Code]=(TRIM($B134)))*(GJ[Date]&lt;=$C$8),GJ[Debit]))))-((SUM(IF((CkDJ[Sort Code]=(TRIM(E$5)))*(CkDJ[Account Code]=(TRIM($B134)))*(CkDJ[Date]&lt;=$C$8),CkDJ[Credit])))+(SUM(IF((CsDJ[Sort Code]=(TRIM(E$5)))*(CsDJ[Account Code]=(TRIM($B134)))*(CsDJ[Date]&lt;=$C$8),CsDJ[Credit])))+(SUM(IF((CRDJ[Sort Code]=(TRIM(E$5)))*(CRDJ[Account Code]=(TRIM($B134)))*(CRDJ[Date]&lt;=$C$8),CRDJ[Credit])))+(SUM(IF((GJ[Sort Code]=(TRIM(E$5)))*(GJ[Account Code]=(TRIM($B134)))*(GJ[Date]&lt;=$C$8),GJ[Credit]))))</f>
        <v>0</v>
      </c>
      <c r="D134" s="466">
        <f t="array" ref="D134">((SUM(IF((CkDJ[Date]=$A$4)*(CkDJ[Sort Code]=(TRIM(E$5)))*(CkDJ[Account Code]=(TRIM($B134))),CkDJ[Debit])))+(SUM(IF((CsDJ[Date]=$A$4)*(CsDJ[Sort Code]=(TRIM(E$5)))*(CsDJ[Account Code]=(TRIM($B134))),CsDJ[Debit])))+(SUM(IF((CRDJ[Date]=$A$4)*(CRDJ[Sort Code]=(TRIM(E$5)))*(CRDJ[Account Code]=(TRIM($B134))),CRDJ[Debit])))+(SUM(IF((GJ[Date]=$A$4)*(GJ[Sort Code]=(TRIM(E$5)))*(GJ[Account Code]=(TRIM($B134))),GJ[Debit]))))-((SUM(IF((CkDJ[Date]=$A$4)*(CkDJ[Sort Code]=(TRIM(E$5)))*(CkDJ[Account Code]=(TRIM($B134))),CkDJ[Credit])))+(SUM(IF((CsDJ[Date]=$A$4)*(CsDJ[Sort Code]=(TRIM(E$5)))*(CsDJ[Account Code]=(TRIM($B134))),CsDJ[Credit])))+(SUM(IF((CRDJ[Date]=$A$4)*(CRDJ[Sort Code]=(TRIM(E$5)))*(CRDJ[Account Code]=(TRIM($B134))),CRDJ[Credit])))+(SUM(IF((GJ[Date]=$A$4)*(GJ[Sort Code]=(TRIM(E$5)))*(GJ[Account Code]=(TRIM($B134))),GJ[Credit]))))</f>
        <v>0</v>
      </c>
      <c r="E134" s="467">
        <f t="shared" si="4"/>
        <v>0</v>
      </c>
    </row>
    <row r="135" spans="1:5">
      <c r="A135" s="476" t="s">
        <v>990</v>
      </c>
      <c r="B135" s="339" t="s">
        <v>988</v>
      </c>
      <c r="C135" s="466">
        <f t="array" ref="C135">((SUM(IF((CkDJ[Sort Code]=(TRIM(E$5)))*(CkDJ[Account Code]=(TRIM($B135)))*(CkDJ[Date]&lt;=$C$8),CkDJ[Debit])))+(SUM(IF((CsDJ[Sort Code]=(TRIM(E$5)))*(CsDJ[Account Code]=(TRIM($B135)))*(CsDJ[Date]&lt;=$C$8),CsDJ[Debit])))+(SUM(IF((CRDJ[Sort Code]=(TRIM(E$5)))*(CRDJ[Account Code]=(TRIM($B135)))*(CRDJ[Date]&lt;=$C$8),CRDJ[Debit])))+(SUM(IF((GJ[Sort Code]=(TRIM(E$5)))*(GJ[Account Code]=(TRIM($B135)))*(GJ[Date]&lt;=$C$8),GJ[Debit]))))-((SUM(IF((CkDJ[Sort Code]=(TRIM(E$5)))*(CkDJ[Account Code]=(TRIM($B135)))*(CkDJ[Date]&lt;=$C$8),CkDJ[Credit])))+(SUM(IF((CsDJ[Sort Code]=(TRIM(E$5)))*(CsDJ[Account Code]=(TRIM($B135)))*(CsDJ[Date]&lt;=$C$8),CsDJ[Credit])))+(SUM(IF((CRDJ[Sort Code]=(TRIM(E$5)))*(CRDJ[Account Code]=(TRIM($B135)))*(CRDJ[Date]&lt;=$C$8),CRDJ[Credit])))+(SUM(IF((GJ[Sort Code]=(TRIM(E$5)))*(GJ[Account Code]=(TRIM($B135)))*(GJ[Date]&lt;=$C$8),GJ[Credit]))))</f>
        <v>0</v>
      </c>
      <c r="D135" s="466">
        <f t="array" ref="D135">((SUM(IF((CkDJ[Date]=$A$4)*(CkDJ[Sort Code]=(TRIM(E$5)))*(CkDJ[Account Code]=(TRIM($B135))),CkDJ[Debit])))+(SUM(IF((CsDJ[Date]=$A$4)*(CsDJ[Sort Code]=(TRIM(E$5)))*(CsDJ[Account Code]=(TRIM($B135))),CsDJ[Debit])))+(SUM(IF((CRDJ[Date]=$A$4)*(CRDJ[Sort Code]=(TRIM(E$5)))*(CRDJ[Account Code]=(TRIM($B135))),CRDJ[Debit])))+(SUM(IF((GJ[Date]=$A$4)*(GJ[Sort Code]=(TRIM(E$5)))*(GJ[Account Code]=(TRIM($B135))),GJ[Debit]))))-((SUM(IF((CkDJ[Date]=$A$4)*(CkDJ[Sort Code]=(TRIM(E$5)))*(CkDJ[Account Code]=(TRIM($B135))),CkDJ[Credit])))+(SUM(IF((CsDJ[Date]=$A$4)*(CsDJ[Sort Code]=(TRIM(E$5)))*(CsDJ[Account Code]=(TRIM($B135))),CsDJ[Credit])))+(SUM(IF((CRDJ[Date]=$A$4)*(CRDJ[Sort Code]=(TRIM(E$5)))*(CRDJ[Account Code]=(TRIM($B135))),CRDJ[Credit])))+(SUM(IF((GJ[Date]=$A$4)*(GJ[Sort Code]=(TRIM(E$5)))*(GJ[Account Code]=(TRIM($B135))),GJ[Credit]))))</f>
        <v>0</v>
      </c>
      <c r="E135" s="467">
        <f t="shared" si="4"/>
        <v>0</v>
      </c>
    </row>
    <row r="136" spans="1:5">
      <c r="A136" s="476" t="s">
        <v>349</v>
      </c>
      <c r="B136" s="339" t="s">
        <v>340</v>
      </c>
      <c r="C136" s="466">
        <f t="array" ref="C136">((SUM(IF((CkDJ[Sort Code]=(TRIM(E$5)))*(CkDJ[Account Code]=(TRIM($B136)))*(CkDJ[Date]&lt;=$C$8),CkDJ[Debit])))+(SUM(IF((CsDJ[Sort Code]=(TRIM(E$5)))*(CsDJ[Account Code]=(TRIM($B136)))*(CsDJ[Date]&lt;=$C$8),CsDJ[Debit])))+(SUM(IF((CRDJ[Sort Code]=(TRIM(E$5)))*(CRDJ[Account Code]=(TRIM($B136)))*(CRDJ[Date]&lt;=$C$8),CRDJ[Debit])))+(SUM(IF((GJ[Sort Code]=(TRIM(E$5)))*(GJ[Account Code]=(TRIM($B136)))*(GJ[Date]&lt;=$C$8),GJ[Debit]))))-((SUM(IF((CkDJ[Sort Code]=(TRIM(E$5)))*(CkDJ[Account Code]=(TRIM($B136)))*(CkDJ[Date]&lt;=$C$8),CkDJ[Credit])))+(SUM(IF((CsDJ[Sort Code]=(TRIM(E$5)))*(CsDJ[Account Code]=(TRIM($B136)))*(CsDJ[Date]&lt;=$C$8),CsDJ[Credit])))+(SUM(IF((CRDJ[Sort Code]=(TRIM(E$5)))*(CRDJ[Account Code]=(TRIM($B136)))*(CRDJ[Date]&lt;=$C$8),CRDJ[Credit])))+(SUM(IF((GJ[Sort Code]=(TRIM(E$5)))*(GJ[Account Code]=(TRIM($B136)))*(GJ[Date]&lt;=$C$8),GJ[Credit]))))</f>
        <v>0</v>
      </c>
      <c r="D136" s="466">
        <f t="array" ref="D136">((SUM(IF((CkDJ[Date]=$A$4)*(CkDJ[Sort Code]=(TRIM(E$5)))*(CkDJ[Account Code]=(TRIM($B136))),CkDJ[Debit])))+(SUM(IF((CsDJ[Date]=$A$4)*(CsDJ[Sort Code]=(TRIM(E$5)))*(CsDJ[Account Code]=(TRIM($B136))),CsDJ[Debit])))+(SUM(IF((CRDJ[Date]=$A$4)*(CRDJ[Sort Code]=(TRIM(E$5)))*(CRDJ[Account Code]=(TRIM($B136))),CRDJ[Debit])))+(SUM(IF((GJ[Date]=$A$4)*(GJ[Sort Code]=(TRIM(E$5)))*(GJ[Account Code]=(TRIM($B136))),GJ[Debit]))))-((SUM(IF((CkDJ[Date]=$A$4)*(CkDJ[Sort Code]=(TRIM(E$5)))*(CkDJ[Account Code]=(TRIM($B136))),CkDJ[Credit])))+(SUM(IF((CsDJ[Date]=$A$4)*(CsDJ[Sort Code]=(TRIM(E$5)))*(CsDJ[Account Code]=(TRIM($B136))),CsDJ[Credit])))+(SUM(IF((CRDJ[Date]=$A$4)*(CRDJ[Sort Code]=(TRIM(E$5)))*(CRDJ[Account Code]=(TRIM($B136))),CRDJ[Credit])))+(SUM(IF((GJ[Date]=$A$4)*(GJ[Sort Code]=(TRIM(E$5)))*(GJ[Account Code]=(TRIM($B136))),GJ[Credit]))))</f>
        <v>0</v>
      </c>
      <c r="E136" s="467">
        <f t="shared" si="4"/>
        <v>0</v>
      </c>
    </row>
    <row r="137" spans="1:5">
      <c r="A137" s="476" t="s">
        <v>342</v>
      </c>
      <c r="B137" s="339" t="s">
        <v>333</v>
      </c>
      <c r="C137" s="466">
        <f t="array" ref="C137">((SUM(IF((CkDJ[Sort Code]=(TRIM(E$5)))*(CkDJ[Account Code]=(TRIM($B137)))*(CkDJ[Date]&lt;=$C$8),CkDJ[Debit])))+(SUM(IF((CsDJ[Sort Code]=(TRIM(E$5)))*(CsDJ[Account Code]=(TRIM($B137)))*(CsDJ[Date]&lt;=$C$8),CsDJ[Debit])))+(SUM(IF((CRDJ[Sort Code]=(TRIM(E$5)))*(CRDJ[Account Code]=(TRIM($B137)))*(CRDJ[Date]&lt;=$C$8),CRDJ[Debit])))+(SUM(IF((GJ[Sort Code]=(TRIM(E$5)))*(GJ[Account Code]=(TRIM($B137)))*(GJ[Date]&lt;=$C$8),GJ[Debit]))))-((SUM(IF((CkDJ[Sort Code]=(TRIM(E$5)))*(CkDJ[Account Code]=(TRIM($B137)))*(CkDJ[Date]&lt;=$C$8),CkDJ[Credit])))+(SUM(IF((CsDJ[Sort Code]=(TRIM(E$5)))*(CsDJ[Account Code]=(TRIM($B137)))*(CsDJ[Date]&lt;=$C$8),CsDJ[Credit])))+(SUM(IF((CRDJ[Sort Code]=(TRIM(E$5)))*(CRDJ[Account Code]=(TRIM($B137)))*(CRDJ[Date]&lt;=$C$8),CRDJ[Credit])))+(SUM(IF((GJ[Sort Code]=(TRIM(E$5)))*(GJ[Account Code]=(TRIM($B137)))*(GJ[Date]&lt;=$C$8),GJ[Credit]))))</f>
        <v>0</v>
      </c>
      <c r="D137" s="466">
        <f t="array" ref="D137">((SUM(IF((CkDJ[Date]=$A$4)*(CkDJ[Sort Code]=(TRIM(E$5)))*(CkDJ[Account Code]=(TRIM($B137))),CkDJ[Debit])))+(SUM(IF((CsDJ[Date]=$A$4)*(CsDJ[Sort Code]=(TRIM(E$5)))*(CsDJ[Account Code]=(TRIM($B137))),CsDJ[Debit])))+(SUM(IF((CRDJ[Date]=$A$4)*(CRDJ[Sort Code]=(TRIM(E$5)))*(CRDJ[Account Code]=(TRIM($B137))),CRDJ[Debit])))+(SUM(IF((GJ[Date]=$A$4)*(GJ[Sort Code]=(TRIM(E$5)))*(GJ[Account Code]=(TRIM($B137))),GJ[Debit]))))-((SUM(IF((CkDJ[Date]=$A$4)*(CkDJ[Sort Code]=(TRIM(E$5)))*(CkDJ[Account Code]=(TRIM($B137))),CkDJ[Credit])))+(SUM(IF((CsDJ[Date]=$A$4)*(CsDJ[Sort Code]=(TRIM(E$5)))*(CsDJ[Account Code]=(TRIM($B137))),CsDJ[Credit])))+(SUM(IF((CRDJ[Date]=$A$4)*(CRDJ[Sort Code]=(TRIM(E$5)))*(CRDJ[Account Code]=(TRIM($B137))),CRDJ[Credit])))+(SUM(IF((GJ[Date]=$A$4)*(GJ[Sort Code]=(TRIM(E$5)))*(GJ[Account Code]=(TRIM($B137))),GJ[Credit]))))</f>
        <v>0</v>
      </c>
      <c r="E137" s="467">
        <f>C137+D137</f>
        <v>0</v>
      </c>
    </row>
    <row r="138" spans="1:5">
      <c r="A138" s="468" t="s">
        <v>804</v>
      </c>
      <c r="B138" s="469"/>
      <c r="C138" s="470">
        <f>C47+C74</f>
        <v>0</v>
      </c>
      <c r="D138" s="470">
        <f>D47+D74</f>
        <v>0</v>
      </c>
      <c r="E138" s="470">
        <f>E47+E74</f>
        <v>0</v>
      </c>
    </row>
    <row r="139" spans="1:5">
      <c r="A139" s="468" t="s">
        <v>785</v>
      </c>
      <c r="B139" s="469"/>
      <c r="C139" s="470">
        <f>C45-C138</f>
        <v>0</v>
      </c>
      <c r="D139" s="470">
        <f>D45-D138</f>
        <v>0</v>
      </c>
      <c r="E139" s="470">
        <f>E45-E138</f>
        <v>0</v>
      </c>
    </row>
    <row r="140" spans="1:5">
      <c r="A140" s="468"/>
      <c r="B140" s="469"/>
      <c r="C140" s="470"/>
      <c r="D140" s="470"/>
      <c r="E140" s="470"/>
    </row>
    <row r="141" spans="1:5">
      <c r="A141" s="468" t="s">
        <v>1168</v>
      </c>
      <c r="B141" s="469"/>
      <c r="C141" s="470">
        <v>0</v>
      </c>
      <c r="D141" s="470">
        <v>0</v>
      </c>
      <c r="E141" s="470">
        <v>0</v>
      </c>
    </row>
    <row r="142" spans="1:5">
      <c r="A142" s="468"/>
      <c r="B142" s="469"/>
      <c r="C142" s="470"/>
      <c r="D142" s="470"/>
      <c r="E142" s="470"/>
    </row>
    <row r="143" spans="1:5">
      <c r="A143" s="468" t="s">
        <v>1169</v>
      </c>
      <c r="B143" s="469"/>
      <c r="C143" s="470">
        <f>C139-C141</f>
        <v>0</v>
      </c>
      <c r="D143" s="470">
        <f>D139-D141</f>
        <v>0</v>
      </c>
      <c r="E143" s="470">
        <f>E139-E141</f>
        <v>0</v>
      </c>
    </row>
  </sheetData>
  <mergeCells count="5">
    <mergeCell ref="A6:A8"/>
    <mergeCell ref="B6:B8"/>
    <mergeCell ref="C6:C7"/>
    <mergeCell ref="D6:D8"/>
    <mergeCell ref="E6:E8"/>
  </mergeCells>
  <printOptions horizontalCentered="1"/>
  <pageMargins left="0.25" right="0.25" top="0.75" bottom="1.5" header="0.3" footer="0.3"/>
  <pageSetup paperSize="5" scale="80" orientation="portrait" r:id="rId1"/>
  <rowBreaks count="1" manualBreakCount="1">
    <brk id="72"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E143"/>
  <sheetViews>
    <sheetView workbookViewId="0"/>
  </sheetViews>
  <sheetFormatPr defaultColWidth="9" defaultRowHeight="14.25"/>
  <cols>
    <col min="1" max="1" width="63.625" style="233" bestFit="1" customWidth="1"/>
    <col min="2" max="2" width="10" style="336" hidden="1" customWidth="1"/>
    <col min="3" max="3" width="17.5" style="236" hidden="1" customWidth="1"/>
    <col min="4" max="4" width="17.125" style="237" hidden="1" customWidth="1"/>
    <col min="5" max="5" width="18" style="236" customWidth="1"/>
    <col min="6" max="16384" width="9" style="233"/>
  </cols>
  <sheetData>
    <row r="1" spans="1:5">
      <c r="A1" s="232" t="s">
        <v>355</v>
      </c>
      <c r="B1" s="335"/>
      <c r="C1" s="232"/>
      <c r="D1" s="232"/>
      <c r="E1" s="232"/>
    </row>
    <row r="2" spans="1:5">
      <c r="A2" s="232" t="s">
        <v>400</v>
      </c>
      <c r="B2" s="335"/>
      <c r="C2" s="232"/>
      <c r="D2" s="232"/>
      <c r="E2" s="232"/>
    </row>
    <row r="3" spans="1:5">
      <c r="A3" s="232" t="s">
        <v>1162</v>
      </c>
      <c r="B3" s="335"/>
      <c r="C3" s="232"/>
      <c r="D3" s="232"/>
      <c r="E3" s="232"/>
    </row>
    <row r="4" spans="1:5">
      <c r="A4" s="234">
        <f>Account!G2</f>
        <v>45291</v>
      </c>
      <c r="B4" s="335"/>
      <c r="C4" s="232"/>
      <c r="D4" s="232"/>
      <c r="E4" s="232"/>
    </row>
    <row r="5" spans="1:5">
      <c r="A5" s="235" t="str">
        <f>IF(E5=0,,VLOOKUP((TRIM(E5)),SortCode,2,))</f>
        <v>La Union</v>
      </c>
      <c r="E5" s="331" t="s">
        <v>486</v>
      </c>
    </row>
    <row r="6" spans="1:5" ht="14.25" customHeight="1">
      <c r="A6" s="1457" t="s">
        <v>440</v>
      </c>
      <c r="B6" s="1460" t="s">
        <v>370</v>
      </c>
      <c r="C6" s="1461" t="s">
        <v>832</v>
      </c>
      <c r="D6" s="1463">
        <f>A4</f>
        <v>45291</v>
      </c>
      <c r="E6" s="1461" t="s">
        <v>831</v>
      </c>
    </row>
    <row r="7" spans="1:5">
      <c r="A7" s="1458"/>
      <c r="B7" s="1460"/>
      <c r="C7" s="1462"/>
      <c r="D7" s="1464"/>
      <c r="E7" s="1462"/>
    </row>
    <row r="8" spans="1:5">
      <c r="A8" s="1459"/>
      <c r="B8" s="1460"/>
      <c r="C8" s="465">
        <f>'REVGEN (1)'!E7</f>
        <v>43373</v>
      </c>
      <c r="D8" s="1465"/>
      <c r="E8" s="1466"/>
    </row>
    <row r="9" spans="1:5">
      <c r="A9" s="471" t="s">
        <v>1170</v>
      </c>
      <c r="B9" s="339"/>
      <c r="C9" s="485"/>
      <c r="D9" s="485"/>
      <c r="E9" s="485"/>
    </row>
    <row r="10" spans="1:5">
      <c r="A10" s="473" t="s">
        <v>829</v>
      </c>
      <c r="B10" s="339"/>
      <c r="C10" s="474">
        <f>C11+C12</f>
        <v>0</v>
      </c>
      <c r="D10" s="474">
        <f>D11+D12</f>
        <v>0</v>
      </c>
      <c r="E10" s="474">
        <f>E11+E12</f>
        <v>0</v>
      </c>
    </row>
    <row r="11" spans="1:5">
      <c r="A11" s="475" t="s">
        <v>821</v>
      </c>
      <c r="B11" s="339" t="s">
        <v>125</v>
      </c>
      <c r="C11" s="466">
        <f t="array" ref="C11">((SUM(IF((CkDJ[Sort Code]=(TRIM(E$5)))*(CkDJ[Account Code]=(TRIM($B11)))*(CkDJ[Date]&lt;=$C$8),CkDJ[Credit])))+(SUM(IF((CsDJ[Sort Code]=(TRIM(E$5)))*(CsDJ[Account Code]=(TRIM($B11)))*(CsDJ[Date]&lt;=$C$8),CsDJ[Credit])))+(SUM(IF((CRDJ[Sort Code]=(TRIM(E$5)))*(CRDJ[Account Code]=(TRIM($B11)))*(CRDJ[Date]&lt;=$C$8),CRDJ[Credit])))+(SUM(IF((GJ[Sort Code]=(TRIM(E$5)))*(GJ[Account Code]=(TRIM($B11)))*(GJ[Date]&lt;=$C$8),GJ[Credit]))))-((SUM(IF((CkDJ[Sort Code]=(TRIM(E$5)))*(CkDJ[Account Code]=(TRIM($B11)))*(CkDJ[Date]&lt;=$C$8),CkDJ[Debit])))+(SUM(IF((CsDJ[Sort Code]=(TRIM(E$5)))*(CsDJ[Account Code]=(TRIM($B11)))*(CsDJ[Date]&lt;=$C$8),CsDJ[Debit])))+(SUM(IF((CRDJ[Sort Code]=(TRIM(E$5)))*(CRDJ[Account Code]=(TRIM($B11)))*(CRDJ[Date]&lt;=$C$8),CRDJ[Debit])))+(SUM(IF((GJ[Sort Code]=(TRIM(E$5)))*(GJ[Account Code]=(TRIM($B11)))*(GJ[Date]&lt;=$C$8),GJ[Debit]))))</f>
        <v>0</v>
      </c>
      <c r="D11" s="466">
        <f t="array" ref="D11">((SUM(IF((CkDJ[Date]=$A$4)*(CkDJ[Sort Code]=(TRIM(E$5)))*(CkDJ[Account Code]=(TRIM($B11))),CkDJ[Credit])))+(SUM(IF((CsDJ[Date]=$A$4)*(CsDJ[Sort Code]=(TRIM(E$5)))*(CsDJ[Account Code]=(TRIM($B11))),CsDJ[Credit])))+(SUM(IF((CRDJ[Date]=$A$4)*(CRDJ[Sort Code]=(TRIM(E$5)))*(CRDJ[Account Code]=(TRIM($B11))),CRDJ[Credit])))+(SUM(IF((GJ[Date]=$A$4)*(GJ[Sort Code]=(TRIM(E$5)))*(GJ[Account Code]=(TRIM($B11))),GJ[Credit]))))-((SUM(IF((CkDJ[Date]=$A$4)*(CkDJ[Sort Code]=(TRIM(E$5)))*(CkDJ[Account Code]=(TRIM($B11))),CkDJ[Debit])))+(SUM(IF((CsDJ[Date]=$A$4)*(CsDJ[Sort Code]=(TRIM(E$5)))*(CsDJ[Account Code]=(TRIM($B11))),CsDJ[Debit])))+(SUM(IF((CRDJ[Date]=$A$4)*(CRDJ[Sort Code]=(TRIM(E$5)))*(CRDJ[Account Code]=(TRIM($B11))),CRDJ[Debit])))+(SUM(IF((GJ[Date]=$A$4)*(GJ[Sort Code]=(TRIM(E$5)))*(GJ[Account Code]=(TRIM($B11))),GJ[Debit]))))</f>
        <v>0</v>
      </c>
      <c r="E11" s="467">
        <f>C11+D11</f>
        <v>0</v>
      </c>
    </row>
    <row r="12" spans="1:5">
      <c r="A12" s="475" t="s">
        <v>820</v>
      </c>
      <c r="B12" s="339"/>
      <c r="C12" s="466">
        <f>SUM(C13:C15)</f>
        <v>0</v>
      </c>
      <c r="D12" s="466">
        <f>SUM(D13:D15)</f>
        <v>0</v>
      </c>
      <c r="E12" s="467">
        <f>SUM(E13:E15)</f>
        <v>0</v>
      </c>
    </row>
    <row r="13" spans="1:5">
      <c r="A13" s="476" t="s">
        <v>809</v>
      </c>
      <c r="B13" s="339" t="s">
        <v>126</v>
      </c>
      <c r="C13" s="466">
        <f t="array" ref="C13">((SUM(IF((CkDJ[Sort Code]=(TRIM(E$5)))*(CkDJ[Account Code]=(TRIM($B13)))*(CkDJ[Date]&lt;=$C$8),CkDJ[Credit])))+(SUM(IF((CsDJ[Sort Code]=(TRIM(E$5)))*(CsDJ[Account Code]=(TRIM($B13)))*(CsDJ[Date]&lt;=$C$8),CsDJ[Credit])))+(SUM(IF((CRDJ[Sort Code]=(TRIM(E$5)))*(CRDJ[Account Code]=(TRIM($B13)))*(CRDJ[Date]&lt;=$C$8),CRDJ[Credit])))+(SUM(IF((GJ[Sort Code]=(TRIM(E$5)))*(GJ[Account Code]=(TRIM($B13)))*(GJ[Date]&lt;=$C$8),GJ[Credit]))))-((SUM(IF((CkDJ[Sort Code]=(TRIM(E$5)))*(CkDJ[Account Code]=(TRIM($B13)))*(CkDJ[Date]&lt;=$C$8),CkDJ[Debit])))+(SUM(IF((CsDJ[Sort Code]=(TRIM(E$5)))*(CsDJ[Account Code]=(TRIM($B13)))*(CsDJ[Date]&lt;=$C$8),CsDJ[Debit])))+(SUM(IF((CRDJ[Sort Code]=(TRIM(E$5)))*(CRDJ[Account Code]=(TRIM($B13)))*(CRDJ[Date]&lt;=$C$8),CRDJ[Debit])))+(SUM(IF((GJ[Sort Code]=(TRIM(E$5)))*(GJ[Account Code]=(TRIM($B13)))*(GJ[Date]&lt;=$C$8),GJ[Debit]))))</f>
        <v>0</v>
      </c>
      <c r="D13" s="466">
        <f t="array" ref="D13">((SUM(IF((CkDJ[Date]=$A$4)*(CkDJ[Sort Code]=(TRIM(E$5)))*(CkDJ[Account Code]=(TRIM($B13))),CkDJ[Credit])))+(SUM(IF((CsDJ[Date]=$A$4)*(CsDJ[Sort Code]=(TRIM(E$5)))*(CsDJ[Account Code]=(TRIM($B13))),CsDJ[Credit])))+(SUM(IF((CRDJ[Date]=$A$4)*(CRDJ[Sort Code]=(TRIM(E$5)))*(CRDJ[Account Code]=(TRIM($B13))),CRDJ[Credit])))+(SUM(IF((GJ[Date]=$A$4)*(GJ[Sort Code]=(TRIM(E$5)))*(GJ[Account Code]=(TRIM($B13))),GJ[Credit]))))-((SUM(IF((CkDJ[Date]=$A$4)*(CkDJ[Sort Code]=(TRIM(E$5)))*(CkDJ[Account Code]=(TRIM($B13))),CkDJ[Debit])))+(SUM(IF((CsDJ[Date]=$A$4)*(CsDJ[Sort Code]=(TRIM(E$5)))*(CsDJ[Account Code]=(TRIM($B13))),CsDJ[Debit])))+(SUM(IF((CRDJ[Date]=$A$4)*(CRDJ[Sort Code]=(TRIM(E$5)))*(CRDJ[Account Code]=(TRIM($B13))),CRDJ[Debit])))+(SUM(IF((GJ[Date]=$A$4)*(GJ[Sort Code]=(TRIM(E$5)))*(GJ[Account Code]=(TRIM($B13))),GJ[Debit]))))</f>
        <v>0</v>
      </c>
      <c r="E13" s="467">
        <f>C13+D13</f>
        <v>0</v>
      </c>
    </row>
    <row r="14" spans="1:5">
      <c r="A14" s="476" t="s">
        <v>828</v>
      </c>
      <c r="B14" s="339" t="s">
        <v>721</v>
      </c>
      <c r="C14" s="466">
        <f t="array" ref="C14">((SUM(IF((CkDJ[Sort Code]=(TRIM(E$5)))*(CkDJ[Account Code]=(TRIM($B14)))*(CkDJ[Date]&lt;=$C$8),CkDJ[Credit])))+(SUM(IF((CsDJ[Sort Code]=(TRIM(E$5)))*(CsDJ[Account Code]=(TRIM($B14)))*(CsDJ[Date]&lt;=$C$8),CsDJ[Credit])))+(SUM(IF((CRDJ[Sort Code]=(TRIM(E$5)))*(CRDJ[Account Code]=(TRIM($B14)))*(CRDJ[Date]&lt;=$C$8),CRDJ[Credit])))+(SUM(IF((GJ[Sort Code]=(TRIM(E$5)))*(GJ[Account Code]=(TRIM($B14)))*(GJ[Date]&lt;=$C$8),GJ[Credit]))))-((SUM(IF((CkDJ[Sort Code]=(TRIM(E$5)))*(CkDJ[Account Code]=(TRIM($B14)))*(CkDJ[Date]&lt;=$C$8),CkDJ[Debit])))+(SUM(IF((CsDJ[Sort Code]=(TRIM(E$5)))*(CsDJ[Account Code]=(TRIM($B14)))*(CsDJ[Date]&lt;=$C$8),CsDJ[Debit])))+(SUM(IF((CRDJ[Sort Code]=(TRIM(E$5)))*(CRDJ[Account Code]=(TRIM($B14)))*(CRDJ[Date]&lt;=$C$8),CRDJ[Debit])))+(SUM(IF((GJ[Sort Code]=(TRIM(E$5)))*(GJ[Account Code]=(TRIM($B14)))*(GJ[Date]&lt;=$C$8),GJ[Debit]))))</f>
        <v>0</v>
      </c>
      <c r="D14" s="466">
        <f t="array" ref="D14">((SUM(IF((CkDJ[Date]=$A$4)*(CkDJ[Sort Code]=(TRIM(E$5)))*(CkDJ[Account Code]=(TRIM($B14))),CkDJ[Credit])))+(SUM(IF((CsDJ[Date]=$A$4)*(CsDJ[Sort Code]=(TRIM(E$5)))*(CsDJ[Account Code]=(TRIM($B14))),CsDJ[Credit])))+(SUM(IF((CRDJ[Date]=$A$4)*(CRDJ[Sort Code]=(TRIM(E$5)))*(CRDJ[Account Code]=(TRIM($B14))),CRDJ[Credit])))+(SUM(IF((GJ[Date]=$A$4)*(GJ[Sort Code]=(TRIM(E$5)))*(GJ[Account Code]=(TRIM($B14))),GJ[Credit]))))-((SUM(IF((CkDJ[Date]=$A$4)*(CkDJ[Sort Code]=(TRIM(E$5)))*(CkDJ[Account Code]=(TRIM($B14))),CkDJ[Debit])))+(SUM(IF((CsDJ[Date]=$A$4)*(CsDJ[Sort Code]=(TRIM(E$5)))*(CsDJ[Account Code]=(TRIM($B14))),CsDJ[Debit])))+(SUM(IF((CRDJ[Date]=$A$4)*(CRDJ[Sort Code]=(TRIM(E$5)))*(CRDJ[Account Code]=(TRIM($B14))),CRDJ[Debit])))+(SUM(IF((GJ[Date]=$A$4)*(GJ[Sort Code]=(TRIM(E$5)))*(GJ[Account Code]=(TRIM($B14))),GJ[Debit]))))</f>
        <v>0</v>
      </c>
      <c r="E14" s="467">
        <f>C14+D14</f>
        <v>0</v>
      </c>
    </row>
    <row r="15" spans="1:5">
      <c r="A15" s="476" t="s">
        <v>827</v>
      </c>
      <c r="B15" s="339" t="s">
        <v>143</v>
      </c>
      <c r="C15" s="466">
        <f t="array" ref="C15">((SUM(IF((CkDJ[Sort Code]=(TRIM(E$5)))*(CkDJ[Account Code]=(TRIM($B15)))*(CkDJ[Date]&lt;=$C$8),CkDJ[Credit])))+(SUM(IF((CsDJ[Sort Code]=(TRIM(E$5)))*(CsDJ[Account Code]=(TRIM($B15)))*(CsDJ[Date]&lt;=$C$8),CsDJ[Credit])))+(SUM(IF((CRDJ[Sort Code]=(TRIM(E$5)))*(CRDJ[Account Code]=(TRIM($B15)))*(CRDJ[Date]&lt;=$C$8),CRDJ[Credit])))+(SUM(IF((GJ[Sort Code]=(TRIM(E$5)))*(GJ[Account Code]=(TRIM($B15)))*(GJ[Date]&lt;=$C$8),GJ[Credit]))))-((SUM(IF((CkDJ[Sort Code]=(TRIM(E$5)))*(CkDJ[Account Code]=(TRIM($B15)))*(CkDJ[Date]&lt;=$C$8),CkDJ[Debit])))+(SUM(IF((CsDJ[Sort Code]=(TRIM(E$5)))*(CsDJ[Account Code]=(TRIM($B15)))*(CsDJ[Date]&lt;=$C$8),CsDJ[Debit])))+(SUM(IF((CRDJ[Sort Code]=(TRIM(E$5)))*(CRDJ[Account Code]=(TRIM($B15)))*(CRDJ[Date]&lt;=$C$8),CRDJ[Debit])))+(SUM(IF((GJ[Sort Code]=(TRIM(E$5)))*(GJ[Account Code]=(TRIM($B15)))*(GJ[Date]&lt;=$C$8),GJ[Debit]))))</f>
        <v>0</v>
      </c>
      <c r="D15" s="466">
        <f t="array" ref="D15">((SUM(IF((CkDJ[Date]=$A$4)*(CkDJ[Sort Code]=(TRIM(E$5)))*(CkDJ[Account Code]=(TRIM($B15))),CkDJ[Credit])))+(SUM(IF((CsDJ[Date]=$A$4)*(CsDJ[Sort Code]=(TRIM(E$5)))*(CsDJ[Account Code]=(TRIM($B15))),CsDJ[Credit])))+(SUM(IF((CRDJ[Date]=$A$4)*(CRDJ[Sort Code]=(TRIM(E$5)))*(CRDJ[Account Code]=(TRIM($B15))),CRDJ[Credit])))+(SUM(IF((GJ[Date]=$A$4)*(GJ[Sort Code]=(TRIM(E$5)))*(GJ[Account Code]=(TRIM($B15))),GJ[Credit]))))-((SUM(IF((CkDJ[Date]=$A$4)*(CkDJ[Sort Code]=(TRIM(E$5)))*(CkDJ[Account Code]=(TRIM($B15))),CkDJ[Debit])))+(SUM(IF((CsDJ[Date]=$A$4)*(CsDJ[Sort Code]=(TRIM(E$5)))*(CsDJ[Account Code]=(TRIM($B15))),CsDJ[Debit])))+(SUM(IF((CRDJ[Date]=$A$4)*(CRDJ[Sort Code]=(TRIM(E$5)))*(CRDJ[Account Code]=(TRIM($B15))),CRDJ[Debit])))+(SUM(IF((GJ[Date]=$A$4)*(GJ[Sort Code]=(TRIM(E$5)))*(GJ[Account Code]=(TRIM($B15))),GJ[Debit]))))</f>
        <v>0</v>
      </c>
      <c r="E15" s="467">
        <f>C15+D15</f>
        <v>0</v>
      </c>
    </row>
    <row r="16" spans="1:5">
      <c r="A16" s="473" t="s">
        <v>826</v>
      </c>
      <c r="B16" s="339"/>
      <c r="C16" s="477">
        <f>SUM(C17:C19)</f>
        <v>0</v>
      </c>
      <c r="D16" s="477">
        <f>SUM(D17:D19)</f>
        <v>0</v>
      </c>
      <c r="E16" s="477">
        <f>SUM(E17:E19)</f>
        <v>0</v>
      </c>
    </row>
    <row r="17" spans="1:5">
      <c r="A17" s="475" t="s">
        <v>182</v>
      </c>
      <c r="B17" s="339" t="s">
        <v>146</v>
      </c>
      <c r="C17" s="466">
        <f t="array" ref="C17">((SUM(IF((CkDJ[Sort Code]=(TRIM(E$5)))*(CkDJ[Account Code]=(TRIM($B17)))*(CkDJ[Date]&lt;=$C$8),CkDJ[Credit])))+(SUM(IF((CsDJ[Sort Code]=(TRIM(E$5)))*(CsDJ[Account Code]=(TRIM($B17)))*(CsDJ[Date]&lt;=$C$8),CsDJ[Credit])))+(SUM(IF((CRDJ[Sort Code]=(TRIM(E$5)))*(CRDJ[Account Code]=(TRIM($B17)))*(CRDJ[Date]&lt;=$C$8),CRDJ[Credit])))+(SUM(IF((GJ[Sort Code]=(TRIM(E$5)))*(GJ[Account Code]=(TRIM($B17)))*(GJ[Date]&lt;=$C$8),GJ[Credit]))))-((SUM(IF((CkDJ[Sort Code]=(TRIM(E$5)))*(CkDJ[Account Code]=(TRIM($B17)))*(CkDJ[Date]&lt;=$C$8),CkDJ[Debit])))+(SUM(IF((CsDJ[Sort Code]=(TRIM(E$5)))*(CsDJ[Account Code]=(TRIM($B17)))*(CsDJ[Date]&lt;=$C$8),CsDJ[Debit])))+(SUM(IF((CRDJ[Sort Code]=(TRIM(E$5)))*(CRDJ[Account Code]=(TRIM($B17)))*(CRDJ[Date]&lt;=$C$8),CRDJ[Debit])))+(SUM(IF((GJ[Sort Code]=(TRIM(E$5)))*(GJ[Account Code]=(TRIM($B17)))*(GJ[Date]&lt;=$C$8),GJ[Debit]))))</f>
        <v>0</v>
      </c>
      <c r="D17" s="466">
        <f t="array" ref="D17">((SUM(IF((CkDJ[Date]=$A$4)*(CkDJ[Sort Code]=(TRIM(E$5)))*(CkDJ[Account Code]=(TRIM($B17))),CkDJ[Credit])))+(SUM(IF((CsDJ[Date]=$A$4)*(CsDJ[Sort Code]=(TRIM(E$5)))*(CsDJ[Account Code]=(TRIM($B17))),CsDJ[Credit])))+(SUM(IF((CRDJ[Date]=$A$4)*(CRDJ[Sort Code]=(TRIM(E$5)))*(CRDJ[Account Code]=(TRIM($B17))),CRDJ[Credit])))+(SUM(IF((GJ[Date]=$A$4)*(GJ[Sort Code]=(TRIM(E$5)))*(GJ[Account Code]=(TRIM($B17))),GJ[Credit]))))-((SUM(IF((CkDJ[Date]=$A$4)*(CkDJ[Sort Code]=(TRIM(E$5)))*(CkDJ[Account Code]=(TRIM($B17))),CkDJ[Debit])))+(SUM(IF((CsDJ[Date]=$A$4)*(CsDJ[Sort Code]=(TRIM(E$5)))*(CsDJ[Account Code]=(TRIM($B17))),CsDJ[Debit])))+(SUM(IF((CRDJ[Date]=$A$4)*(CRDJ[Sort Code]=(TRIM(E$5)))*(CRDJ[Account Code]=(TRIM($B17))),CRDJ[Debit])))+(SUM(IF((GJ[Date]=$A$4)*(GJ[Sort Code]=(TRIM(E$5)))*(GJ[Account Code]=(TRIM($B17))),GJ[Debit]))))</f>
        <v>0</v>
      </c>
      <c r="E17" s="467">
        <f>C17+D17</f>
        <v>0</v>
      </c>
    </row>
    <row r="18" spans="1:5">
      <c r="A18" s="475" t="s">
        <v>183</v>
      </c>
      <c r="B18" s="339" t="s">
        <v>147</v>
      </c>
      <c r="C18" s="466">
        <f t="array" ref="C18">((SUM(IF((CkDJ[Sort Code]=(TRIM(E$5)))*(CkDJ[Account Code]=(TRIM($B18)))*(CkDJ[Date]&lt;=$C$8),CkDJ[Credit])))+(SUM(IF((CsDJ[Sort Code]=(TRIM(E$5)))*(CsDJ[Account Code]=(TRIM($B18)))*(CsDJ[Date]&lt;=$C$8),CsDJ[Credit])))+(SUM(IF((CRDJ[Sort Code]=(TRIM(E$5)))*(CRDJ[Account Code]=(TRIM($B18)))*(CRDJ[Date]&lt;=$C$8),CRDJ[Credit])))+(SUM(IF((GJ[Sort Code]=(TRIM(E$5)))*(GJ[Account Code]=(TRIM($B18)))*(GJ[Date]&lt;=$C$8),GJ[Credit]))))-((SUM(IF((CkDJ[Sort Code]=(TRIM(E$5)))*(CkDJ[Account Code]=(TRIM($B18)))*(CkDJ[Date]&lt;=$C$8),CkDJ[Debit])))+(SUM(IF((CsDJ[Sort Code]=(TRIM(E$5)))*(CsDJ[Account Code]=(TRIM($B18)))*(CsDJ[Date]&lt;=$C$8),CsDJ[Debit])))+(SUM(IF((CRDJ[Sort Code]=(TRIM(E$5)))*(CRDJ[Account Code]=(TRIM($B18)))*(CRDJ[Date]&lt;=$C$8),CRDJ[Debit])))+(SUM(IF((GJ[Sort Code]=(TRIM(E$5)))*(GJ[Account Code]=(TRIM($B18)))*(GJ[Date]&lt;=$C$8),GJ[Debit]))))</f>
        <v>0</v>
      </c>
      <c r="D18" s="466">
        <f t="array" ref="D18">((SUM(IF((CkDJ[Date]=$A$4)*(CkDJ[Sort Code]=(TRIM(E$5)))*(CkDJ[Account Code]=(TRIM($B18))),CkDJ[Credit])))+(SUM(IF((CsDJ[Date]=$A$4)*(CsDJ[Sort Code]=(TRIM(E$5)))*(CsDJ[Account Code]=(TRIM($B18))),CsDJ[Credit])))+(SUM(IF((CRDJ[Date]=$A$4)*(CRDJ[Sort Code]=(TRIM(E$5)))*(CRDJ[Account Code]=(TRIM($B18))),CRDJ[Credit])))+(SUM(IF((GJ[Date]=$A$4)*(GJ[Sort Code]=(TRIM(E$5)))*(GJ[Account Code]=(TRIM($B18))),GJ[Credit]))))-((SUM(IF((CkDJ[Date]=$A$4)*(CkDJ[Sort Code]=(TRIM(E$5)))*(CkDJ[Account Code]=(TRIM($B18))),CkDJ[Debit])))+(SUM(IF((CsDJ[Date]=$A$4)*(CsDJ[Sort Code]=(TRIM(E$5)))*(CsDJ[Account Code]=(TRIM($B18))),CsDJ[Debit])))+(SUM(IF((CRDJ[Date]=$A$4)*(CRDJ[Sort Code]=(TRIM(E$5)))*(CRDJ[Account Code]=(TRIM($B18))),CRDJ[Debit])))+(SUM(IF((GJ[Date]=$A$4)*(GJ[Sort Code]=(TRIM(E$5)))*(GJ[Account Code]=(TRIM($B18))),GJ[Debit]))))</f>
        <v>0</v>
      </c>
      <c r="E18" s="467">
        <f>C18+D18</f>
        <v>0</v>
      </c>
    </row>
    <row r="19" spans="1:5" hidden="1">
      <c r="A19" s="475" t="s">
        <v>184</v>
      </c>
      <c r="B19" s="339" t="s">
        <v>148</v>
      </c>
      <c r="C19" s="466">
        <f t="array" ref="C19">((SUM(IF((CkDJ[Sort Code]=(TRIM(E$5)))*(CkDJ[Account Code]=(TRIM($B19)))*(CkDJ[Date]&lt;=$C$8),CkDJ[Credit])))+(SUM(IF((CsDJ[Sort Code]=(TRIM(E$5)))*(CsDJ[Account Code]=(TRIM($B19)))*(CsDJ[Date]&lt;=$C$8),CsDJ[Credit])))+(SUM(IF((CRDJ[Sort Code]=(TRIM(E$5)))*(CRDJ[Account Code]=(TRIM($B19)))*(CRDJ[Date]&lt;=$C$8),CRDJ[Credit])))+(SUM(IF((GJ[Sort Code]=(TRIM(E$5)))*(GJ[Account Code]=(TRIM($B19)))*(GJ[Date]&lt;=$C$8),GJ[Credit]))))-((SUM(IF((CkDJ[Sort Code]=(TRIM(E$5)))*(CkDJ[Account Code]=(TRIM($B19)))*(CkDJ[Date]&lt;=$C$8),CkDJ[Debit])))+(SUM(IF((CsDJ[Sort Code]=(TRIM(E$5)))*(CsDJ[Account Code]=(TRIM($B19)))*(CsDJ[Date]&lt;=$C$8),CsDJ[Debit])))+(SUM(IF((CRDJ[Sort Code]=(TRIM(E$5)))*(CRDJ[Account Code]=(TRIM($B19)))*(CRDJ[Date]&lt;=$C$8),CRDJ[Debit])))+(SUM(IF((GJ[Sort Code]=(TRIM(E$5)))*(GJ[Account Code]=(TRIM($B19)))*(GJ[Date]&lt;=$C$8),GJ[Debit]))))</f>
        <v>0</v>
      </c>
      <c r="D19" s="466">
        <f t="array" ref="D19">((SUM(IF((CkDJ[Date]=$A$4)*(CkDJ[Sort Code]=(TRIM(E$5)))*(CkDJ[Account Code]=(TRIM($B19))),CkDJ[Credit])))+(SUM(IF((CsDJ[Date]=$A$4)*(CsDJ[Sort Code]=(TRIM(E$5)))*(CsDJ[Account Code]=(TRIM($B19))),CsDJ[Credit])))+(SUM(IF((CRDJ[Date]=$A$4)*(CRDJ[Sort Code]=(TRIM(E$5)))*(CRDJ[Account Code]=(TRIM($B19))),CRDJ[Credit])))+(SUM(IF((GJ[Date]=$A$4)*(GJ[Sort Code]=(TRIM(E$5)))*(GJ[Account Code]=(TRIM($B19))),GJ[Credit]))))-((SUM(IF((CkDJ[Date]=$A$4)*(CkDJ[Sort Code]=(TRIM(E$5)))*(CkDJ[Account Code]=(TRIM($B19))),CkDJ[Debit])))+(SUM(IF((CsDJ[Date]=$A$4)*(CsDJ[Sort Code]=(TRIM(E$5)))*(CsDJ[Account Code]=(TRIM($B19))),CsDJ[Debit])))+(SUM(IF((CRDJ[Date]=$A$4)*(CRDJ[Sort Code]=(TRIM(E$5)))*(CRDJ[Account Code]=(TRIM($B19))),CRDJ[Debit])))+(SUM(IF((GJ[Date]=$A$4)*(GJ[Sort Code]=(TRIM(E$5)))*(GJ[Account Code]=(TRIM($B19))),GJ[Debit]))))</f>
        <v>0</v>
      </c>
      <c r="E19" s="467">
        <f>C19+D19</f>
        <v>0</v>
      </c>
    </row>
    <row r="20" spans="1:5">
      <c r="A20" s="473" t="s">
        <v>825</v>
      </c>
      <c r="B20" s="339"/>
      <c r="C20" s="477">
        <f>SUM(C21:C22)</f>
        <v>0</v>
      </c>
      <c r="D20" s="477">
        <f>SUM(D21:D22)</f>
        <v>0</v>
      </c>
      <c r="E20" s="477">
        <f>SUM(E21:E22)</f>
        <v>0</v>
      </c>
    </row>
    <row r="21" spans="1:5" hidden="1">
      <c r="A21" s="475" t="s">
        <v>821</v>
      </c>
      <c r="B21" s="339" t="s">
        <v>131</v>
      </c>
      <c r="C21" s="466">
        <f t="array" ref="C21">((SUM(IF((CkDJ[Sort Code]=(TRIM(E$5)))*(CkDJ[Account Code]=(TRIM($B21)))*(CkDJ[Date]&lt;=$C$8),CkDJ[Credit])))+(SUM(IF((CsDJ[Sort Code]=(TRIM(E$5)))*(CsDJ[Account Code]=(TRIM($B21)))*(CsDJ[Date]&lt;=$C$8),CsDJ[Credit])))+(SUM(IF((CRDJ[Sort Code]=(TRIM(E$5)))*(CRDJ[Account Code]=(TRIM($B21)))*(CRDJ[Date]&lt;=$C$8),CRDJ[Credit])))+(SUM(IF((GJ[Sort Code]=(TRIM(E$5)))*(GJ[Account Code]=(TRIM($B21)))*(GJ[Date]&lt;=$C$8),GJ[Credit]))))-((SUM(IF((CkDJ[Sort Code]=(TRIM(E$5)))*(CkDJ[Account Code]=(TRIM($B21)))*(CkDJ[Date]&lt;=$C$8),CkDJ[Debit])))+(SUM(IF((CsDJ[Sort Code]=(TRIM(E$5)))*(CsDJ[Account Code]=(TRIM($B21)))*(CsDJ[Date]&lt;=$C$8),CsDJ[Debit])))+(SUM(IF((CRDJ[Sort Code]=(TRIM(E$5)))*(CRDJ[Account Code]=(TRIM($B21)))*(CRDJ[Date]&lt;=$C$8),CRDJ[Debit])))+(SUM(IF((GJ[Sort Code]=(TRIM(E$5)))*(GJ[Account Code]=(TRIM($B21)))*(GJ[Date]&lt;=$C$8),GJ[Debit]))))</f>
        <v>0</v>
      </c>
      <c r="D21" s="466">
        <f t="array" ref="D21">((SUM(IF((CkDJ[Date]=$A$4)*(CkDJ[Sort Code]=(TRIM(E$5)))*(CkDJ[Account Code]=(TRIM($B21))),CkDJ[Credit])))+(SUM(IF((CsDJ[Date]=$A$4)*(CsDJ[Sort Code]=(TRIM(E$5)))*(CsDJ[Account Code]=(TRIM($B21))),CsDJ[Credit])))+(SUM(IF((CRDJ[Date]=$A$4)*(CRDJ[Sort Code]=(TRIM(E$5)))*(CRDJ[Account Code]=(TRIM($B21))),CRDJ[Credit])))+(SUM(IF((GJ[Date]=$A$4)*(GJ[Sort Code]=(TRIM(E$5)))*(GJ[Account Code]=(TRIM($B21))),GJ[Credit]))))-((SUM(IF((CkDJ[Date]=$A$4)*(CkDJ[Sort Code]=(TRIM(E$5)))*(CkDJ[Account Code]=(TRIM($B21))),CkDJ[Debit])))+(SUM(IF((CsDJ[Date]=$A$4)*(CsDJ[Sort Code]=(TRIM(E$5)))*(CsDJ[Account Code]=(TRIM($B21))),CsDJ[Debit])))+(SUM(IF((CRDJ[Date]=$A$4)*(CRDJ[Sort Code]=(TRIM(E$5)))*(CRDJ[Account Code]=(TRIM($B21))),CRDJ[Debit])))+(SUM(IF((GJ[Date]=$A$4)*(GJ[Sort Code]=(TRIM(E$5)))*(GJ[Account Code]=(TRIM($B21))),GJ[Debit]))))</f>
        <v>0</v>
      </c>
      <c r="E21" s="467">
        <f>C21+D21</f>
        <v>0</v>
      </c>
    </row>
    <row r="22" spans="1:5" hidden="1">
      <c r="A22" s="475" t="s">
        <v>820</v>
      </c>
      <c r="B22" s="339"/>
      <c r="C22" s="466">
        <f>SUM(C23:C24)</f>
        <v>0</v>
      </c>
      <c r="D22" s="466">
        <f>SUM(D23:D24)</f>
        <v>0</v>
      </c>
      <c r="E22" s="466">
        <f>SUM(E23:E24)</f>
        <v>0</v>
      </c>
    </row>
    <row r="23" spans="1:5" hidden="1">
      <c r="A23" s="476" t="s">
        <v>819</v>
      </c>
      <c r="B23" s="339" t="s">
        <v>140</v>
      </c>
      <c r="C23" s="466">
        <f t="array" ref="C23">((SUM(IF((CkDJ[Sort Code]=(TRIM(E$5)))*(CkDJ[Account Code]=(TRIM($B23)))*(CkDJ[Date]&lt;=$C$8),CkDJ[Credit])))+(SUM(IF((CsDJ[Sort Code]=(TRIM(E$5)))*(CsDJ[Account Code]=(TRIM($B23)))*(CsDJ[Date]&lt;=$C$8),CsDJ[Credit])))+(SUM(IF((CRDJ[Sort Code]=(TRIM(E$5)))*(CRDJ[Account Code]=(TRIM($B23)))*(CRDJ[Date]&lt;=$C$8),CRDJ[Credit])))+(SUM(IF((GJ[Sort Code]=(TRIM(E$5)))*(GJ[Account Code]=(TRIM($B23)))*(GJ[Date]&lt;=$C$8),GJ[Credit]))))-((SUM(IF((CkDJ[Sort Code]=(TRIM(E$5)))*(CkDJ[Account Code]=(TRIM($B23)))*(CkDJ[Date]&lt;=$C$8),CkDJ[Debit])))+(SUM(IF((CsDJ[Sort Code]=(TRIM(E$5)))*(CsDJ[Account Code]=(TRIM($B23)))*(CsDJ[Date]&lt;=$C$8),CsDJ[Debit])))+(SUM(IF((CRDJ[Sort Code]=(TRIM(E$5)))*(CRDJ[Account Code]=(TRIM($B23)))*(CRDJ[Date]&lt;=$C$8),CRDJ[Debit])))+(SUM(IF((GJ[Sort Code]=(TRIM(E$5)))*(GJ[Account Code]=(TRIM($B23)))*(GJ[Date]&lt;=$C$8),GJ[Debit]))))</f>
        <v>0</v>
      </c>
      <c r="D23" s="466">
        <f t="array" ref="D23">((SUM(IF((CkDJ[Date]=$A$4)*(CkDJ[Sort Code]=(TRIM(E$5)))*(CkDJ[Account Code]=(TRIM($B23))),CkDJ[Credit])))+(SUM(IF((CsDJ[Date]=$A$4)*(CsDJ[Sort Code]=(TRIM(E$5)))*(CsDJ[Account Code]=(TRIM($B23))),CsDJ[Credit])))+(SUM(IF((CRDJ[Date]=$A$4)*(CRDJ[Sort Code]=(TRIM(E$5)))*(CRDJ[Account Code]=(TRIM($B23))),CRDJ[Credit])))+(SUM(IF((GJ[Date]=$A$4)*(GJ[Sort Code]=(TRIM(E$5)))*(GJ[Account Code]=(TRIM($B23))),GJ[Credit]))))-((SUM(IF((CkDJ[Date]=$A$4)*(CkDJ[Sort Code]=(TRIM(E$5)))*(CkDJ[Account Code]=(TRIM($B23))),CkDJ[Debit])))+(SUM(IF((CsDJ[Date]=$A$4)*(CsDJ[Sort Code]=(TRIM(E$5)))*(CsDJ[Account Code]=(TRIM($B23))),CsDJ[Debit])))+(SUM(IF((CRDJ[Date]=$A$4)*(CRDJ[Sort Code]=(TRIM(E$5)))*(CRDJ[Account Code]=(TRIM($B23))),CRDJ[Debit])))+(SUM(IF((GJ[Date]=$A$4)*(GJ[Sort Code]=(TRIM(E$5)))*(GJ[Account Code]=(TRIM($B23))),GJ[Debit]))))</f>
        <v>0</v>
      </c>
      <c r="E23" s="467">
        <f>C23+D23</f>
        <v>0</v>
      </c>
    </row>
    <row r="24" spans="1:5" hidden="1">
      <c r="A24" s="476" t="s">
        <v>818</v>
      </c>
      <c r="B24" s="339" t="s">
        <v>144</v>
      </c>
      <c r="C24" s="466">
        <f t="array" ref="C24">((SUM(IF((CkDJ[Sort Code]=(TRIM(E$5)))*(CkDJ[Account Code]=(TRIM($B24)))*(CkDJ[Date]&lt;=$C$8),CkDJ[Credit])))+(SUM(IF((CsDJ[Sort Code]=(TRIM(E$5)))*(CsDJ[Account Code]=(TRIM($B24)))*(CsDJ[Date]&lt;=$C$8),CsDJ[Credit])))+(SUM(IF((CRDJ[Sort Code]=(TRIM(E$5)))*(CRDJ[Account Code]=(TRIM($B24)))*(CRDJ[Date]&lt;=$C$8),CRDJ[Credit])))+(SUM(IF((GJ[Sort Code]=(TRIM(E$5)))*(GJ[Account Code]=(TRIM($B24)))*(GJ[Date]&lt;=$C$8),GJ[Credit]))))-((SUM(IF((CkDJ[Sort Code]=(TRIM(E$5)))*(CkDJ[Account Code]=(TRIM($B24)))*(CkDJ[Date]&lt;=$C$8),CkDJ[Debit])))+(SUM(IF((CsDJ[Sort Code]=(TRIM(E$5)))*(CsDJ[Account Code]=(TRIM($B24)))*(CsDJ[Date]&lt;=$C$8),CsDJ[Debit])))+(SUM(IF((CRDJ[Sort Code]=(TRIM(E$5)))*(CRDJ[Account Code]=(TRIM($B24)))*(CRDJ[Date]&lt;=$C$8),CRDJ[Debit])))+(SUM(IF((GJ[Sort Code]=(TRIM(E$5)))*(GJ[Account Code]=(TRIM($B24)))*(GJ[Date]&lt;=$C$8),GJ[Debit]))))</f>
        <v>0</v>
      </c>
      <c r="D24" s="466">
        <f t="array" ref="D24">((SUM(IF((CkDJ[Date]=$A$4)*(CkDJ[Sort Code]=(TRIM(E$5)))*(CkDJ[Account Code]=(TRIM($B24))),CkDJ[Credit])))+(SUM(IF((CsDJ[Date]=$A$4)*(CsDJ[Sort Code]=(TRIM(E$5)))*(CsDJ[Account Code]=(TRIM($B24))),CsDJ[Credit])))+(SUM(IF((CRDJ[Date]=$A$4)*(CRDJ[Sort Code]=(TRIM(E$5)))*(CRDJ[Account Code]=(TRIM($B24))),CRDJ[Credit])))+(SUM(IF((GJ[Date]=$A$4)*(GJ[Sort Code]=(TRIM(E$5)))*(GJ[Account Code]=(TRIM($B24))),GJ[Credit]))))-((SUM(IF((CkDJ[Date]=$A$4)*(CkDJ[Sort Code]=(TRIM(E$5)))*(CkDJ[Account Code]=(TRIM($B24))),CkDJ[Debit])))+(SUM(IF((CsDJ[Date]=$A$4)*(CsDJ[Sort Code]=(TRIM(E$5)))*(CsDJ[Account Code]=(TRIM($B24))),CsDJ[Debit])))+(SUM(IF((CRDJ[Date]=$A$4)*(CRDJ[Sort Code]=(TRIM(E$5)))*(CRDJ[Account Code]=(TRIM($B24))),CRDJ[Debit])))+(SUM(IF((GJ[Date]=$A$4)*(GJ[Sort Code]=(TRIM(E$5)))*(GJ[Account Code]=(TRIM($B24))),GJ[Debit]))))</f>
        <v>0</v>
      </c>
      <c r="E24" s="467">
        <f>C24+D24</f>
        <v>0</v>
      </c>
    </row>
    <row r="25" spans="1:5">
      <c r="A25" s="473" t="s">
        <v>1163</v>
      </c>
      <c r="B25" s="339" t="s">
        <v>352</v>
      </c>
      <c r="C25" s="466">
        <f t="array" ref="C25">((SUM(IF((CkDJ[Sort Code]=(TRIM(E$5)))*(CkDJ[Account Code]=(TRIM($B25)))*(CkDJ[Date]&lt;=$C$8),CkDJ[Credit])))+(SUM(IF((CsDJ[Sort Code]=(TRIM(E$5)))*(CsDJ[Account Code]=(TRIM($B25)))*(CsDJ[Date]&lt;=$C$8),CsDJ[Credit])))+(SUM(IF((CRDJ[Sort Code]=(TRIM(E$5)))*(CRDJ[Account Code]=(TRIM($B25)))*(CRDJ[Date]&lt;=$C$8),CRDJ[Credit])))+(SUM(IF((GJ[Sort Code]=(TRIM(E$5)))*(GJ[Account Code]=(TRIM($B25)))*(GJ[Date]&lt;=$C$8),GJ[Credit]))))-((SUM(IF((CkDJ[Sort Code]=(TRIM(E$5)))*(CkDJ[Account Code]=(TRIM($B25)))*(CkDJ[Date]&lt;=$C$8),CkDJ[Debit])))+(SUM(IF((CsDJ[Sort Code]=(TRIM(E$5)))*(CsDJ[Account Code]=(TRIM($B25)))*(CsDJ[Date]&lt;=$C$8),CsDJ[Debit])))+(SUM(IF((CRDJ[Sort Code]=(TRIM(E$5)))*(CRDJ[Account Code]=(TRIM($B25)))*(CRDJ[Date]&lt;=$C$8),CRDJ[Debit])))+(SUM(IF((GJ[Sort Code]=(TRIM(E$5)))*(GJ[Account Code]=(TRIM($B25)))*(GJ[Date]&lt;=$C$8),GJ[Debit]))))</f>
        <v>0</v>
      </c>
      <c r="D25" s="466">
        <f t="array" ref="D25">((SUM(IF((CkDJ[Date]=$A$4)*(CkDJ[Sort Code]=(TRIM(E$5)))*(CkDJ[Account Code]=(TRIM($B25))),CkDJ[Credit])))+(SUM(IF((CsDJ[Date]=$A$4)*(CsDJ[Sort Code]=(TRIM(E$5)))*(CsDJ[Account Code]=(TRIM($B25))),CsDJ[Credit])))+(SUM(IF((CRDJ[Date]=$A$4)*(CRDJ[Sort Code]=(TRIM(E$5)))*(CRDJ[Account Code]=(TRIM($B25))),CRDJ[Credit])))+(SUM(IF((GJ[Date]=$A$4)*(GJ[Sort Code]=(TRIM(E$5)))*(GJ[Account Code]=(TRIM($B25))),GJ[Credit]))))-((SUM(IF((CkDJ[Date]=$A$4)*(CkDJ[Sort Code]=(TRIM(E$5)))*(CkDJ[Account Code]=(TRIM($B25))),CkDJ[Debit])))+(SUM(IF((CsDJ[Date]=$A$4)*(CsDJ[Sort Code]=(TRIM(E$5)))*(CsDJ[Account Code]=(TRIM($B25))),CsDJ[Debit])))+(SUM(IF((CRDJ[Date]=$A$4)*(CRDJ[Sort Code]=(TRIM(E$5)))*(CRDJ[Account Code]=(TRIM($B25))),CRDJ[Debit])))+(SUM(IF((GJ[Date]=$A$4)*(GJ[Sort Code]=(TRIM(E$5)))*(GJ[Account Code]=(TRIM($B25))),GJ[Debit]))))</f>
        <v>0</v>
      </c>
      <c r="E25" s="467">
        <f>C25+D25</f>
        <v>0</v>
      </c>
    </row>
    <row r="26" spans="1:5">
      <c r="A26" s="473" t="s">
        <v>1164</v>
      </c>
      <c r="B26" s="339"/>
      <c r="C26" s="477">
        <f>SUM(C27:C28)</f>
        <v>0</v>
      </c>
      <c r="D26" s="477">
        <f>SUM(D27:D28)</f>
        <v>0</v>
      </c>
      <c r="E26" s="477">
        <f>SUM(E27:E28)</f>
        <v>0</v>
      </c>
    </row>
    <row r="27" spans="1:5">
      <c r="A27" s="475" t="s">
        <v>821</v>
      </c>
      <c r="B27" s="339" t="s">
        <v>128</v>
      </c>
      <c r="C27" s="466">
        <f t="array" ref="C27">((SUM(IF((CkDJ[Sort Code]=(TRIM(E$5)))*(CkDJ[Account Code]=(TRIM($B27)))*(CkDJ[Date]&lt;=$C$8),CkDJ[Credit])))+(SUM(IF((CsDJ[Sort Code]=(TRIM(E$5)))*(CsDJ[Account Code]=(TRIM($B27)))*(CsDJ[Date]&lt;=$C$8),CsDJ[Credit])))+(SUM(IF((CRDJ[Sort Code]=(TRIM(E$5)))*(CRDJ[Account Code]=(TRIM($B27)))*(CRDJ[Date]&lt;=$C$8),CRDJ[Credit])))+(SUM(IF((GJ[Sort Code]=(TRIM(E$5)))*(GJ[Account Code]=(TRIM($B27)))*(GJ[Date]&lt;=$C$8),GJ[Credit]))))-((SUM(IF((CkDJ[Sort Code]=(TRIM(E$5)))*(CkDJ[Account Code]=(TRIM($B27)))*(CkDJ[Date]&lt;=$C$8),CkDJ[Debit])))+(SUM(IF((CsDJ[Sort Code]=(TRIM(E$5)))*(CsDJ[Account Code]=(TRIM($B27)))*(CsDJ[Date]&lt;=$C$8),CsDJ[Debit])))+(SUM(IF((CRDJ[Sort Code]=(TRIM(E$5)))*(CRDJ[Account Code]=(TRIM($B27)))*(CRDJ[Date]&lt;=$C$8),CRDJ[Debit])))+(SUM(IF((GJ[Sort Code]=(TRIM(E$5)))*(GJ[Account Code]=(TRIM($B27)))*(GJ[Date]&lt;=$C$8),GJ[Debit]))))</f>
        <v>0</v>
      </c>
      <c r="D27" s="466">
        <f t="array" ref="D27">((SUM(IF((CkDJ[Date]=$A$4)*(CkDJ[Sort Code]=(TRIM(E$5)))*(CkDJ[Account Code]=(TRIM($B27))),CkDJ[Credit])))+(SUM(IF((CsDJ[Date]=$A$4)*(CsDJ[Sort Code]=(TRIM(E$5)))*(CsDJ[Account Code]=(TRIM($B27))),CsDJ[Credit])))+(SUM(IF((CRDJ[Date]=$A$4)*(CRDJ[Sort Code]=(TRIM(E$5)))*(CRDJ[Account Code]=(TRIM($B27))),CRDJ[Credit])))+(SUM(IF((GJ[Date]=$A$4)*(GJ[Sort Code]=(TRIM(E$5)))*(GJ[Account Code]=(TRIM($B27))),GJ[Credit]))))-((SUM(IF((CkDJ[Date]=$A$4)*(CkDJ[Sort Code]=(TRIM(E$5)))*(CkDJ[Account Code]=(TRIM($B27))),CkDJ[Debit])))+(SUM(IF((CsDJ[Date]=$A$4)*(CsDJ[Sort Code]=(TRIM(E$5)))*(CsDJ[Account Code]=(TRIM($B27))),CsDJ[Debit])))+(SUM(IF((CRDJ[Date]=$A$4)*(CRDJ[Sort Code]=(TRIM(E$5)))*(CRDJ[Account Code]=(TRIM($B27))),CRDJ[Debit])))+(SUM(IF((GJ[Date]=$A$4)*(GJ[Sort Code]=(TRIM(E$5)))*(GJ[Account Code]=(TRIM($B27))),GJ[Debit]))))</f>
        <v>0</v>
      </c>
      <c r="E27" s="467">
        <f>C27+D27</f>
        <v>0</v>
      </c>
    </row>
    <row r="28" spans="1:5">
      <c r="A28" s="475" t="s">
        <v>820</v>
      </c>
      <c r="B28" s="339"/>
      <c r="C28" s="466">
        <f>SUM(C29:C30)</f>
        <v>0</v>
      </c>
      <c r="D28" s="466">
        <f>SUM(D29:D30)</f>
        <v>0</v>
      </c>
      <c r="E28" s="466">
        <f>SUM(E29:E30)</f>
        <v>0</v>
      </c>
    </row>
    <row r="29" spans="1:5" hidden="1">
      <c r="A29" s="476" t="s">
        <v>819</v>
      </c>
      <c r="B29" s="339" t="s">
        <v>129</v>
      </c>
      <c r="C29" s="466">
        <f t="array" ref="C29">((SUM(IF((CkDJ[Sort Code]=(TRIM(E$5)))*(CkDJ[Account Code]=(TRIM($B29)))*(CkDJ[Date]&lt;=$C$8),CkDJ[Credit])))+(SUM(IF((CsDJ[Sort Code]=(TRIM(E$5)))*(CsDJ[Account Code]=(TRIM($B29)))*(CsDJ[Date]&lt;=$C$8),CsDJ[Credit])))+(SUM(IF((CRDJ[Sort Code]=(TRIM(E$5)))*(CRDJ[Account Code]=(TRIM($B29)))*(CRDJ[Date]&lt;=$C$8),CRDJ[Credit])))+(SUM(IF((GJ[Sort Code]=(TRIM(E$5)))*(GJ[Account Code]=(TRIM($B29)))*(GJ[Date]&lt;=$C$8),GJ[Credit]))))-((SUM(IF((CkDJ[Sort Code]=(TRIM(E$5)))*(CkDJ[Account Code]=(TRIM($B29)))*(CkDJ[Date]&lt;=$C$8),CkDJ[Debit])))+(SUM(IF((CsDJ[Sort Code]=(TRIM(E$5)))*(CsDJ[Account Code]=(TRIM($B29)))*(CsDJ[Date]&lt;=$C$8),CsDJ[Debit])))+(SUM(IF((CRDJ[Sort Code]=(TRIM(E$5)))*(CRDJ[Account Code]=(TRIM($B29)))*(CRDJ[Date]&lt;=$C$8),CRDJ[Debit])))+(SUM(IF((GJ[Sort Code]=(TRIM(E$5)))*(GJ[Account Code]=(TRIM($B29)))*(GJ[Date]&lt;=$C$8),GJ[Debit]))))</f>
        <v>0</v>
      </c>
      <c r="D29" s="466">
        <f t="array" ref="D29">((SUM(IF((CkDJ[Date]=$A$4)*(CkDJ[Sort Code]=(TRIM(E$5)))*(CkDJ[Account Code]=(TRIM($B29))),CkDJ[Credit])))+(SUM(IF((CsDJ[Date]=$A$4)*(CsDJ[Sort Code]=(TRIM(E$5)))*(CsDJ[Account Code]=(TRIM($B29))),CsDJ[Credit])))+(SUM(IF((CRDJ[Date]=$A$4)*(CRDJ[Sort Code]=(TRIM(E$5)))*(CRDJ[Account Code]=(TRIM($B29))),CRDJ[Credit])))+(SUM(IF((GJ[Date]=$A$4)*(GJ[Sort Code]=(TRIM(E$5)))*(GJ[Account Code]=(TRIM($B29))),GJ[Credit]))))-((SUM(IF((CkDJ[Date]=$A$4)*(CkDJ[Sort Code]=(TRIM(E$5)))*(CkDJ[Account Code]=(TRIM($B29))),CkDJ[Debit])))+(SUM(IF((CsDJ[Date]=$A$4)*(CsDJ[Sort Code]=(TRIM(E$5)))*(CsDJ[Account Code]=(TRIM($B29))),CsDJ[Debit])))+(SUM(IF((CRDJ[Date]=$A$4)*(CRDJ[Sort Code]=(TRIM(E$5)))*(CRDJ[Account Code]=(TRIM($B29))),CRDJ[Debit])))+(SUM(IF((GJ[Date]=$A$4)*(GJ[Sort Code]=(TRIM(E$5)))*(GJ[Account Code]=(TRIM($B29))),GJ[Debit]))))</f>
        <v>0</v>
      </c>
      <c r="E29" s="467">
        <f>C29+D29</f>
        <v>0</v>
      </c>
    </row>
    <row r="30" spans="1:5" hidden="1">
      <c r="A30" s="476" t="s">
        <v>818</v>
      </c>
      <c r="B30" s="339" t="s">
        <v>145</v>
      </c>
      <c r="C30" s="466">
        <f t="array" ref="C30">((SUM(IF((CkDJ[Sort Code]=(TRIM(E$5)))*(CkDJ[Account Code]=(TRIM($B30)))*(CkDJ[Date]&lt;=$C$8),CkDJ[Credit])))+(SUM(IF((CsDJ[Sort Code]=(TRIM(E$5)))*(CsDJ[Account Code]=(TRIM($B30)))*(CsDJ[Date]&lt;=$C$8),CsDJ[Credit])))+(SUM(IF((CRDJ[Sort Code]=(TRIM(E$5)))*(CRDJ[Account Code]=(TRIM($B30)))*(CRDJ[Date]&lt;=$C$8),CRDJ[Credit])))+(SUM(IF((GJ[Sort Code]=(TRIM(E$5)))*(GJ[Account Code]=(TRIM($B30)))*(GJ[Date]&lt;=$C$8),GJ[Credit]))))-((SUM(IF((CkDJ[Sort Code]=(TRIM(E$5)))*(CkDJ[Account Code]=(TRIM($B30)))*(CkDJ[Date]&lt;=$C$8),CkDJ[Debit])))+(SUM(IF((CsDJ[Sort Code]=(TRIM(E$5)))*(CsDJ[Account Code]=(TRIM($B30)))*(CsDJ[Date]&lt;=$C$8),CsDJ[Debit])))+(SUM(IF((CRDJ[Sort Code]=(TRIM(E$5)))*(CRDJ[Account Code]=(TRIM($B30)))*(CRDJ[Date]&lt;=$C$8),CRDJ[Debit])))+(SUM(IF((GJ[Sort Code]=(TRIM(E$5)))*(GJ[Account Code]=(TRIM($B30)))*(GJ[Date]&lt;=$C$8),GJ[Debit]))))</f>
        <v>0</v>
      </c>
      <c r="D30" s="466">
        <f t="array" ref="D30">((SUM(IF((CkDJ[Date]=$A$4)*(CkDJ[Sort Code]=(TRIM(E$5)))*(CkDJ[Account Code]=(TRIM($B30))),CkDJ[Credit])))+(SUM(IF((CsDJ[Date]=$A$4)*(CsDJ[Sort Code]=(TRIM(E$5)))*(CsDJ[Account Code]=(TRIM($B30))),CsDJ[Credit])))+(SUM(IF((CRDJ[Date]=$A$4)*(CRDJ[Sort Code]=(TRIM(E$5)))*(CRDJ[Account Code]=(TRIM($B30))),CRDJ[Credit])))+(SUM(IF((GJ[Date]=$A$4)*(GJ[Sort Code]=(TRIM(E$5)))*(GJ[Account Code]=(TRIM($B30))),GJ[Credit]))))-((SUM(IF((CkDJ[Date]=$A$4)*(CkDJ[Sort Code]=(TRIM(E$5)))*(CkDJ[Account Code]=(TRIM($B30))),CkDJ[Debit])))+(SUM(IF((CsDJ[Date]=$A$4)*(CsDJ[Sort Code]=(TRIM(E$5)))*(CsDJ[Account Code]=(TRIM($B30))),CsDJ[Debit])))+(SUM(IF((CRDJ[Date]=$A$4)*(CRDJ[Sort Code]=(TRIM(E$5)))*(CRDJ[Account Code]=(TRIM($B30))),CRDJ[Debit])))+(SUM(IF((GJ[Date]=$A$4)*(GJ[Sort Code]=(TRIM(E$5)))*(GJ[Account Code]=(TRIM($B30))),GJ[Debit]))))</f>
        <v>0</v>
      </c>
      <c r="E30" s="467">
        <f>C30+D30</f>
        <v>0</v>
      </c>
    </row>
    <row r="31" spans="1:5">
      <c r="A31" s="473" t="s">
        <v>1165</v>
      </c>
      <c r="B31" s="339"/>
      <c r="C31" s="477">
        <f>SUM(C32:C34)</f>
        <v>0</v>
      </c>
      <c r="D31" s="477">
        <f>SUM(D32:D34)</f>
        <v>0</v>
      </c>
      <c r="E31" s="477">
        <f>SUM(E32:E34)</f>
        <v>0</v>
      </c>
    </row>
    <row r="32" spans="1:5">
      <c r="A32" s="475" t="s">
        <v>139</v>
      </c>
      <c r="B32" s="339" t="s">
        <v>130</v>
      </c>
      <c r="C32" s="466">
        <f t="array" ref="C32">((SUM(IF((CkDJ[Sort Code]=(TRIM(E$5)))*(CkDJ[Account Code]=(TRIM($B32)))*(CkDJ[Date]&lt;=$C$8),CkDJ[Credit])))+(SUM(IF((CsDJ[Sort Code]=(TRIM(E$5)))*(CsDJ[Account Code]=(TRIM($B32)))*(CsDJ[Date]&lt;=$C$8),CsDJ[Credit])))+(SUM(IF((CRDJ[Sort Code]=(TRIM(E$5)))*(CRDJ[Account Code]=(TRIM($B32)))*(CRDJ[Date]&lt;=$C$8),CRDJ[Credit])))+(SUM(IF((GJ[Sort Code]=(TRIM(E$5)))*(GJ[Account Code]=(TRIM($B32)))*(GJ[Date]&lt;=$C$8),GJ[Credit]))))-((SUM(IF((CkDJ[Sort Code]=(TRIM(E$5)))*(CkDJ[Account Code]=(TRIM($B32)))*(CkDJ[Date]&lt;=$C$8),CkDJ[Debit])))+(SUM(IF((CsDJ[Sort Code]=(TRIM(E$5)))*(CsDJ[Account Code]=(TRIM($B32)))*(CsDJ[Date]&lt;=$C$8),CsDJ[Debit])))+(SUM(IF((CRDJ[Sort Code]=(TRIM(E$5)))*(CRDJ[Account Code]=(TRIM($B32)))*(CRDJ[Date]&lt;=$C$8),CRDJ[Debit])))+(SUM(IF((GJ[Sort Code]=(TRIM(E$5)))*(GJ[Account Code]=(TRIM($B32)))*(GJ[Date]&lt;=$C$8),GJ[Debit]))))</f>
        <v>0</v>
      </c>
      <c r="D32" s="466">
        <f t="array" ref="D32">((SUM(IF((CkDJ[Date]=$A$4)*(CkDJ[Sort Code]=(TRIM(E$5)))*(CkDJ[Account Code]=(TRIM($B32))),CkDJ[Credit])))+(SUM(IF((CsDJ[Date]=$A$4)*(CsDJ[Sort Code]=(TRIM(E$5)))*(CsDJ[Account Code]=(TRIM($B32))),CsDJ[Credit])))+(SUM(IF((CRDJ[Date]=$A$4)*(CRDJ[Sort Code]=(TRIM(E$5)))*(CRDJ[Account Code]=(TRIM($B32))),CRDJ[Credit])))+(SUM(IF((GJ[Date]=$A$4)*(GJ[Sort Code]=(TRIM(E$5)))*(GJ[Account Code]=(TRIM($B32))),GJ[Credit]))))-((SUM(IF((CkDJ[Date]=$A$4)*(CkDJ[Sort Code]=(TRIM(E$5)))*(CkDJ[Account Code]=(TRIM($B32))),CkDJ[Debit])))+(SUM(IF((CsDJ[Date]=$A$4)*(CsDJ[Sort Code]=(TRIM(E$5)))*(CsDJ[Account Code]=(TRIM($B32))),CsDJ[Debit])))+(SUM(IF((CRDJ[Date]=$A$4)*(CRDJ[Sort Code]=(TRIM(E$5)))*(CRDJ[Account Code]=(TRIM($B32))),CRDJ[Debit])))+(SUM(IF((GJ[Date]=$A$4)*(GJ[Sort Code]=(TRIM(E$5)))*(GJ[Account Code]=(TRIM($B32))),GJ[Debit]))))</f>
        <v>0</v>
      </c>
      <c r="E32" s="467">
        <f>C32+D32</f>
        <v>0</v>
      </c>
    </row>
    <row r="33" spans="1:5">
      <c r="A33" s="475" t="s">
        <v>180</v>
      </c>
      <c r="B33" s="339" t="s">
        <v>141</v>
      </c>
      <c r="C33" s="466">
        <f t="array" ref="C33">((SUM(IF((CkDJ[Sort Code]=(TRIM(E$5)))*(CkDJ[Account Code]=(TRIM($B33)))*(CkDJ[Date]&lt;=$C$8),CkDJ[Credit])))+(SUM(IF((CsDJ[Sort Code]=(TRIM(E$5)))*(CsDJ[Account Code]=(TRIM($B33)))*(CsDJ[Date]&lt;=$C$8),CsDJ[Credit])))+(SUM(IF((CRDJ[Sort Code]=(TRIM(E$5)))*(CRDJ[Account Code]=(TRIM($B33)))*(CRDJ[Date]&lt;=$C$8),CRDJ[Credit])))+(SUM(IF((GJ[Sort Code]=(TRIM(E$5)))*(GJ[Account Code]=(TRIM($B33)))*(GJ[Date]&lt;=$C$8),GJ[Credit]))))-((SUM(IF((CkDJ[Sort Code]=(TRIM(E$5)))*(CkDJ[Account Code]=(TRIM($B33)))*(CkDJ[Date]&lt;=$C$8),CkDJ[Debit])))+(SUM(IF((CsDJ[Sort Code]=(TRIM(E$5)))*(CsDJ[Account Code]=(TRIM($B33)))*(CsDJ[Date]&lt;=$C$8),CsDJ[Debit])))+(SUM(IF((CRDJ[Sort Code]=(TRIM(E$5)))*(CRDJ[Account Code]=(TRIM($B33)))*(CRDJ[Date]&lt;=$C$8),CRDJ[Debit])))+(SUM(IF((GJ[Sort Code]=(TRIM(E$5)))*(GJ[Account Code]=(TRIM($B33)))*(GJ[Date]&lt;=$C$8),GJ[Debit]))))</f>
        <v>0</v>
      </c>
      <c r="D33" s="466">
        <f t="array" ref="D33">((SUM(IF((CkDJ[Date]=$A$4)*(CkDJ[Sort Code]=(TRIM(E$5)))*(CkDJ[Account Code]=(TRIM($B33))),CkDJ[Credit])))+(SUM(IF((CsDJ[Date]=$A$4)*(CsDJ[Sort Code]=(TRIM(E$5)))*(CsDJ[Account Code]=(TRIM($B33))),CsDJ[Credit])))+(SUM(IF((CRDJ[Date]=$A$4)*(CRDJ[Sort Code]=(TRIM(E$5)))*(CRDJ[Account Code]=(TRIM($B33))),CRDJ[Credit])))+(SUM(IF((GJ[Date]=$A$4)*(GJ[Sort Code]=(TRIM(E$5)))*(GJ[Account Code]=(TRIM($B33))),GJ[Credit]))))-((SUM(IF((CkDJ[Date]=$A$4)*(CkDJ[Sort Code]=(TRIM(E$5)))*(CkDJ[Account Code]=(TRIM($B33))),CkDJ[Debit])))+(SUM(IF((CsDJ[Date]=$A$4)*(CsDJ[Sort Code]=(TRIM(E$5)))*(CsDJ[Account Code]=(TRIM($B33))),CsDJ[Debit])))+(SUM(IF((CRDJ[Date]=$A$4)*(CRDJ[Sort Code]=(TRIM(E$5)))*(CRDJ[Account Code]=(TRIM($B33))),CRDJ[Debit])))+(SUM(IF((GJ[Date]=$A$4)*(GJ[Sort Code]=(TRIM(E$5)))*(GJ[Account Code]=(TRIM($B33))),GJ[Debit]))))</f>
        <v>0</v>
      </c>
      <c r="E33" s="467">
        <f>C33+D33</f>
        <v>0</v>
      </c>
    </row>
    <row r="34" spans="1:5">
      <c r="A34" s="475" t="s">
        <v>181</v>
      </c>
      <c r="B34" s="339" t="s">
        <v>142</v>
      </c>
      <c r="C34" s="466">
        <f t="array" ref="C34">((SUM(IF((CkDJ[Sort Code]=(TRIM(E$5)))*(CkDJ[Account Code]=(TRIM($B34)))*(CkDJ[Date]&lt;=$C$8),CkDJ[Credit])))+(SUM(IF((CsDJ[Sort Code]=(TRIM(E$5)))*(CsDJ[Account Code]=(TRIM($B34)))*(CsDJ[Date]&lt;=$C$8),CsDJ[Credit])))+(SUM(IF((CRDJ[Sort Code]=(TRIM(E$5)))*(CRDJ[Account Code]=(TRIM($B34)))*(CRDJ[Date]&lt;=$C$8),CRDJ[Credit])))+(SUM(IF((GJ[Sort Code]=(TRIM(E$5)))*(GJ[Account Code]=(TRIM($B34)))*(GJ[Date]&lt;=$C$8),GJ[Credit]))))-((SUM(IF((CkDJ[Sort Code]=(TRIM(E$5)))*(CkDJ[Account Code]=(TRIM($B34)))*(CkDJ[Date]&lt;=$C$8),CkDJ[Debit])))+(SUM(IF((CsDJ[Sort Code]=(TRIM(E$5)))*(CsDJ[Account Code]=(TRIM($B34)))*(CsDJ[Date]&lt;=$C$8),CsDJ[Debit])))+(SUM(IF((CRDJ[Sort Code]=(TRIM(E$5)))*(CRDJ[Account Code]=(TRIM($B34)))*(CRDJ[Date]&lt;=$C$8),CRDJ[Debit])))+(SUM(IF((GJ[Sort Code]=(TRIM(E$5)))*(GJ[Account Code]=(TRIM($B34)))*(GJ[Date]&lt;=$C$8),GJ[Debit]))))</f>
        <v>0</v>
      </c>
      <c r="D34" s="466">
        <f t="array" ref="D34">((SUM(IF((CkDJ[Date]=$A$4)*(CkDJ[Sort Code]=(TRIM(E$5)))*(CkDJ[Account Code]=(TRIM($B34))),CkDJ[Credit])))+(SUM(IF((CsDJ[Date]=$A$4)*(CsDJ[Sort Code]=(TRIM(E$5)))*(CsDJ[Account Code]=(TRIM($B34))),CsDJ[Credit])))+(SUM(IF((CRDJ[Date]=$A$4)*(CRDJ[Sort Code]=(TRIM(E$5)))*(CRDJ[Account Code]=(TRIM($B34))),CRDJ[Credit])))+(SUM(IF((GJ[Date]=$A$4)*(GJ[Sort Code]=(TRIM(E$5)))*(GJ[Account Code]=(TRIM($B34))),GJ[Credit]))))-((SUM(IF((CkDJ[Date]=$A$4)*(CkDJ[Sort Code]=(TRIM(E$5)))*(CkDJ[Account Code]=(TRIM($B34))),CkDJ[Debit])))+(SUM(IF((CsDJ[Date]=$A$4)*(CsDJ[Sort Code]=(TRIM(E$5)))*(CsDJ[Account Code]=(TRIM($B34))),CsDJ[Debit])))+(SUM(IF((CRDJ[Date]=$A$4)*(CRDJ[Sort Code]=(TRIM(E$5)))*(CRDJ[Account Code]=(TRIM($B34))),CRDJ[Debit])))+(SUM(IF((GJ[Date]=$A$4)*(GJ[Sort Code]=(TRIM(E$5)))*(GJ[Account Code]=(TRIM($B34))),GJ[Debit]))))</f>
        <v>0</v>
      </c>
      <c r="E34" s="467">
        <f>C34+D34</f>
        <v>0</v>
      </c>
    </row>
    <row r="35" spans="1:5">
      <c r="A35" s="473" t="s">
        <v>1166</v>
      </c>
      <c r="B35" s="339"/>
      <c r="C35" s="477">
        <f>SUM(C36:C44)</f>
        <v>0</v>
      </c>
      <c r="D35" s="477">
        <f>SUM(D36:D44)</f>
        <v>0</v>
      </c>
      <c r="E35" s="477">
        <f>SUM(E36:E44)</f>
        <v>0</v>
      </c>
    </row>
    <row r="36" spans="1:5">
      <c r="A36" s="475" t="s">
        <v>186</v>
      </c>
      <c r="B36" s="339" t="s">
        <v>150</v>
      </c>
      <c r="C36" s="466">
        <f t="array" ref="C36">((SUM(IF((CkDJ[Sort Code]=(TRIM(E$5)))*(CkDJ[Account Code]=(TRIM($B36)))*(CkDJ[Date]&lt;=$C$8),CkDJ[Credit])))+(SUM(IF((CsDJ[Sort Code]=(TRIM(E$5)))*(CsDJ[Account Code]=(TRIM($B36)))*(CsDJ[Date]&lt;=$C$8),CsDJ[Credit])))+(SUM(IF((CRDJ[Sort Code]=(TRIM(E$5)))*(CRDJ[Account Code]=(TRIM($B36)))*(CRDJ[Date]&lt;=$C$8),CRDJ[Credit])))+(SUM(IF((GJ[Sort Code]=(TRIM(E$5)))*(GJ[Account Code]=(TRIM($B36)))*(GJ[Date]&lt;=$C$8),GJ[Credit]))))-((SUM(IF((CkDJ[Sort Code]=(TRIM(E$5)))*(CkDJ[Account Code]=(TRIM($B36)))*(CkDJ[Date]&lt;=$C$8),CkDJ[Debit])))+(SUM(IF((CsDJ[Sort Code]=(TRIM(E$5)))*(CsDJ[Account Code]=(TRIM($B36)))*(CsDJ[Date]&lt;=$C$8),CsDJ[Debit])))+(SUM(IF((CRDJ[Sort Code]=(TRIM(E$5)))*(CRDJ[Account Code]=(TRIM($B36)))*(CRDJ[Date]&lt;=$C$8),CRDJ[Debit])))+(SUM(IF((GJ[Sort Code]=(TRIM(E$5)))*(GJ[Account Code]=(TRIM($B36)))*(GJ[Date]&lt;=$C$8),GJ[Debit]))))</f>
        <v>0</v>
      </c>
      <c r="D36" s="466">
        <f t="array" ref="D36">((SUM(IF((CkDJ[Date]=$A$4)*(CkDJ[Sort Code]=(TRIM(E$5)))*(CkDJ[Account Code]=(TRIM($B36))),CkDJ[Credit])))+(SUM(IF((CsDJ[Date]=$A$4)*(CsDJ[Sort Code]=(TRIM(E$5)))*(CsDJ[Account Code]=(TRIM($B36))),CsDJ[Credit])))+(SUM(IF((CRDJ[Date]=$A$4)*(CRDJ[Sort Code]=(TRIM(E$5)))*(CRDJ[Account Code]=(TRIM($B36))),CRDJ[Credit])))+(SUM(IF((GJ[Date]=$A$4)*(GJ[Sort Code]=(TRIM(E$5)))*(GJ[Account Code]=(TRIM($B36))),GJ[Credit]))))-((SUM(IF((CkDJ[Date]=$A$4)*(CkDJ[Sort Code]=(TRIM(E$5)))*(CkDJ[Account Code]=(TRIM($B36))),CkDJ[Debit])))+(SUM(IF((CsDJ[Date]=$A$4)*(CsDJ[Sort Code]=(TRIM(E$5)))*(CsDJ[Account Code]=(TRIM($B36))),CsDJ[Debit])))+(SUM(IF((CRDJ[Date]=$A$4)*(CRDJ[Sort Code]=(TRIM(E$5)))*(CRDJ[Account Code]=(TRIM($B36))),CRDJ[Debit])))+(SUM(IF((GJ[Date]=$A$4)*(GJ[Sort Code]=(TRIM(E$5)))*(GJ[Account Code]=(TRIM($B36))),GJ[Debit]))))</f>
        <v>0</v>
      </c>
      <c r="E36" s="467">
        <f t="shared" ref="E36:E44" si="0">C36+D36</f>
        <v>0</v>
      </c>
    </row>
    <row r="37" spans="1:5">
      <c r="A37" s="475" t="s">
        <v>187</v>
      </c>
      <c r="B37" s="339" t="s">
        <v>153</v>
      </c>
      <c r="C37" s="466">
        <f t="array" ref="C37">((SUM(IF((CkDJ[Sort Code]=(TRIM(E$5)))*(CkDJ[Account Code]=(TRIM($B37)))*(CkDJ[Date]&lt;=$C$8),CkDJ[Credit])))+(SUM(IF((CsDJ[Sort Code]=(TRIM(E$5)))*(CsDJ[Account Code]=(TRIM($B37)))*(CsDJ[Date]&lt;=$C$8),CsDJ[Credit])))+(SUM(IF((CRDJ[Sort Code]=(TRIM(E$5)))*(CRDJ[Account Code]=(TRIM($B37)))*(CRDJ[Date]&lt;=$C$8),CRDJ[Credit])))+(SUM(IF((GJ[Sort Code]=(TRIM(E$5)))*(GJ[Account Code]=(TRIM($B37)))*(GJ[Date]&lt;=$C$8),GJ[Credit]))))-((SUM(IF((CkDJ[Sort Code]=(TRIM(E$5)))*(CkDJ[Account Code]=(TRIM($B37)))*(CkDJ[Date]&lt;=$C$8),CkDJ[Debit])))+(SUM(IF((CsDJ[Sort Code]=(TRIM(E$5)))*(CsDJ[Account Code]=(TRIM($B37)))*(CsDJ[Date]&lt;=$C$8),CsDJ[Debit])))+(SUM(IF((CRDJ[Sort Code]=(TRIM(E$5)))*(CRDJ[Account Code]=(TRIM($B37)))*(CRDJ[Date]&lt;=$C$8),CRDJ[Debit])))+(SUM(IF((GJ[Sort Code]=(TRIM(E$5)))*(GJ[Account Code]=(TRIM($B37)))*(GJ[Date]&lt;=$C$8),GJ[Debit]))))</f>
        <v>0</v>
      </c>
      <c r="D37" s="466">
        <f t="array" ref="D37">((SUM(IF((CkDJ[Date]=$A$4)*(CkDJ[Sort Code]=(TRIM(E$5)))*(CkDJ[Account Code]=(TRIM($B37))),CkDJ[Credit])))+(SUM(IF((CsDJ[Date]=$A$4)*(CsDJ[Sort Code]=(TRIM(E$5)))*(CsDJ[Account Code]=(TRIM($B37))),CsDJ[Credit])))+(SUM(IF((CRDJ[Date]=$A$4)*(CRDJ[Sort Code]=(TRIM(E$5)))*(CRDJ[Account Code]=(TRIM($B37))),CRDJ[Credit])))+(SUM(IF((GJ[Date]=$A$4)*(GJ[Sort Code]=(TRIM(E$5)))*(GJ[Account Code]=(TRIM($B37))),GJ[Credit]))))-((SUM(IF((CkDJ[Date]=$A$4)*(CkDJ[Sort Code]=(TRIM(E$5)))*(CkDJ[Account Code]=(TRIM($B37))),CkDJ[Debit])))+(SUM(IF((CsDJ[Date]=$A$4)*(CsDJ[Sort Code]=(TRIM(E$5)))*(CsDJ[Account Code]=(TRIM($B37))),CsDJ[Debit])))+(SUM(IF((CRDJ[Date]=$A$4)*(CRDJ[Sort Code]=(TRIM(E$5)))*(CRDJ[Account Code]=(TRIM($B37))),CRDJ[Debit])))+(SUM(IF((GJ[Date]=$A$4)*(GJ[Sort Code]=(TRIM(E$5)))*(GJ[Account Code]=(TRIM($B37))),GJ[Debit]))))</f>
        <v>0</v>
      </c>
      <c r="E37" s="467">
        <f t="shared" si="0"/>
        <v>0</v>
      </c>
    </row>
    <row r="38" spans="1:5">
      <c r="A38" s="475" t="s">
        <v>188</v>
      </c>
      <c r="B38" s="339" t="s">
        <v>154</v>
      </c>
      <c r="C38" s="466">
        <f t="array" ref="C38">((SUM(IF((CkDJ[Sort Code]=(TRIM(E$5)))*(CkDJ[Account Code]=(TRIM($B38)))*(CkDJ[Date]&lt;=$C$8),CkDJ[Credit])))+(SUM(IF((CsDJ[Sort Code]=(TRIM(E$5)))*(CsDJ[Account Code]=(TRIM($B38)))*(CsDJ[Date]&lt;=$C$8),CsDJ[Credit])))+(SUM(IF((CRDJ[Sort Code]=(TRIM(E$5)))*(CRDJ[Account Code]=(TRIM($B38)))*(CRDJ[Date]&lt;=$C$8),CRDJ[Credit])))+(SUM(IF((GJ[Sort Code]=(TRIM(E$5)))*(GJ[Account Code]=(TRIM($B38)))*(GJ[Date]&lt;=$C$8),GJ[Credit]))))-((SUM(IF((CkDJ[Sort Code]=(TRIM(E$5)))*(CkDJ[Account Code]=(TRIM($B38)))*(CkDJ[Date]&lt;=$C$8),CkDJ[Debit])))+(SUM(IF((CsDJ[Sort Code]=(TRIM(E$5)))*(CsDJ[Account Code]=(TRIM($B38)))*(CsDJ[Date]&lt;=$C$8),CsDJ[Debit])))+(SUM(IF((CRDJ[Sort Code]=(TRIM(E$5)))*(CRDJ[Account Code]=(TRIM($B38)))*(CRDJ[Date]&lt;=$C$8),CRDJ[Debit])))+(SUM(IF((GJ[Sort Code]=(TRIM(E$5)))*(GJ[Account Code]=(TRIM($B38)))*(GJ[Date]&lt;=$C$8),GJ[Debit]))))</f>
        <v>0</v>
      </c>
      <c r="D38" s="466">
        <f t="array" ref="D38">((SUM(IF((CkDJ[Date]=$A$4)*(CkDJ[Sort Code]=(TRIM(E$5)))*(CkDJ[Account Code]=(TRIM($B38))),CkDJ[Credit])))+(SUM(IF((CsDJ[Date]=$A$4)*(CsDJ[Sort Code]=(TRIM(E$5)))*(CsDJ[Account Code]=(TRIM($B38))),CsDJ[Credit])))+(SUM(IF((CRDJ[Date]=$A$4)*(CRDJ[Sort Code]=(TRIM(E$5)))*(CRDJ[Account Code]=(TRIM($B38))),CRDJ[Credit])))+(SUM(IF((GJ[Date]=$A$4)*(GJ[Sort Code]=(TRIM(E$5)))*(GJ[Account Code]=(TRIM($B38))),GJ[Credit]))))-((SUM(IF((CkDJ[Date]=$A$4)*(CkDJ[Sort Code]=(TRIM(E$5)))*(CkDJ[Account Code]=(TRIM($B38))),CkDJ[Debit])))+(SUM(IF((CsDJ[Date]=$A$4)*(CsDJ[Sort Code]=(TRIM(E$5)))*(CsDJ[Account Code]=(TRIM($B38))),CsDJ[Debit])))+(SUM(IF((CRDJ[Date]=$A$4)*(CRDJ[Sort Code]=(TRIM(E$5)))*(CRDJ[Account Code]=(TRIM($B38))),CRDJ[Debit])))+(SUM(IF((GJ[Date]=$A$4)*(GJ[Sort Code]=(TRIM(E$5)))*(GJ[Account Code]=(TRIM($B38))),GJ[Debit]))))</f>
        <v>0</v>
      </c>
      <c r="E38" s="467">
        <f t="shared" si="0"/>
        <v>0</v>
      </c>
    </row>
    <row r="39" spans="1:5">
      <c r="A39" s="475" t="s">
        <v>189</v>
      </c>
      <c r="B39" s="339" t="s">
        <v>155</v>
      </c>
      <c r="C39" s="466">
        <f t="array" ref="C39">((SUM(IF((CkDJ[Sort Code]=(TRIM(E$5)))*(CkDJ[Account Code]=(TRIM($B39)))*(CkDJ[Date]&lt;=$C$8),CkDJ[Credit])))+(SUM(IF((CsDJ[Sort Code]=(TRIM(E$5)))*(CsDJ[Account Code]=(TRIM($B39)))*(CsDJ[Date]&lt;=$C$8),CsDJ[Credit])))+(SUM(IF((CRDJ[Sort Code]=(TRIM(E$5)))*(CRDJ[Account Code]=(TRIM($B39)))*(CRDJ[Date]&lt;=$C$8),CRDJ[Credit])))+(SUM(IF((GJ[Sort Code]=(TRIM(E$5)))*(GJ[Account Code]=(TRIM($B39)))*(GJ[Date]&lt;=$C$8),GJ[Credit]))))-((SUM(IF((CkDJ[Sort Code]=(TRIM(E$5)))*(CkDJ[Account Code]=(TRIM($B39)))*(CkDJ[Date]&lt;=$C$8),CkDJ[Debit])))+(SUM(IF((CsDJ[Sort Code]=(TRIM(E$5)))*(CsDJ[Account Code]=(TRIM($B39)))*(CsDJ[Date]&lt;=$C$8),CsDJ[Debit])))+(SUM(IF((CRDJ[Sort Code]=(TRIM(E$5)))*(CRDJ[Account Code]=(TRIM($B39)))*(CRDJ[Date]&lt;=$C$8),CRDJ[Debit])))+(SUM(IF((GJ[Sort Code]=(TRIM(E$5)))*(GJ[Account Code]=(TRIM($B39)))*(GJ[Date]&lt;=$C$8),GJ[Debit]))))</f>
        <v>0</v>
      </c>
      <c r="D39" s="466">
        <f t="array" ref="D39">((SUM(IF((CkDJ[Date]=$A$4)*(CkDJ[Sort Code]=(TRIM(E$5)))*(CkDJ[Account Code]=(TRIM($B39))),CkDJ[Credit])))+(SUM(IF((CsDJ[Date]=$A$4)*(CsDJ[Sort Code]=(TRIM(E$5)))*(CsDJ[Account Code]=(TRIM($B39))),CsDJ[Credit])))+(SUM(IF((CRDJ[Date]=$A$4)*(CRDJ[Sort Code]=(TRIM(E$5)))*(CRDJ[Account Code]=(TRIM($B39))),CRDJ[Credit])))+(SUM(IF((GJ[Date]=$A$4)*(GJ[Sort Code]=(TRIM(E$5)))*(GJ[Account Code]=(TRIM($B39))),GJ[Credit]))))-((SUM(IF((CkDJ[Date]=$A$4)*(CkDJ[Sort Code]=(TRIM(E$5)))*(CkDJ[Account Code]=(TRIM($B39))),CkDJ[Debit])))+(SUM(IF((CsDJ[Date]=$A$4)*(CsDJ[Sort Code]=(TRIM(E$5)))*(CsDJ[Account Code]=(TRIM($B39))),CsDJ[Debit])))+(SUM(IF((CRDJ[Date]=$A$4)*(CRDJ[Sort Code]=(TRIM(E$5)))*(CRDJ[Account Code]=(TRIM($B39))),CRDJ[Debit])))+(SUM(IF((GJ[Date]=$A$4)*(GJ[Sort Code]=(TRIM(E$5)))*(GJ[Account Code]=(TRIM($B39))),GJ[Debit]))))</f>
        <v>0</v>
      </c>
      <c r="E39" s="467">
        <f t="shared" si="0"/>
        <v>0</v>
      </c>
    </row>
    <row r="40" spans="1:5">
      <c r="A40" s="475" t="s">
        <v>1271</v>
      </c>
      <c r="B40" s="339" t="s">
        <v>156</v>
      </c>
      <c r="C40" s="466">
        <f t="array" ref="C40">((SUM(IF((CkDJ[Sort Code]=(TRIM(E$5)))*(CkDJ[Account Code]=(TRIM($B40)))*(CkDJ[Date]&lt;=$C$8),CkDJ[Credit])))+(SUM(IF((CsDJ[Sort Code]=(TRIM(E$5)))*(CsDJ[Account Code]=(TRIM($B40)))*(CsDJ[Date]&lt;=$C$8),CsDJ[Credit])))+(SUM(IF((CRDJ[Sort Code]=(TRIM(E$5)))*(CRDJ[Account Code]=(TRIM($B40)))*(CRDJ[Date]&lt;=$C$8),CRDJ[Credit])))+(SUM(IF((GJ[Sort Code]=(TRIM(E$5)))*(GJ[Account Code]=(TRIM($B40)))*(GJ[Date]&lt;=$C$8),GJ[Credit]))))-((SUM(IF((CkDJ[Sort Code]=(TRIM(E$5)))*(CkDJ[Account Code]=(TRIM($B40)))*(CkDJ[Date]&lt;=$C$8),CkDJ[Debit])))+(SUM(IF((CsDJ[Sort Code]=(TRIM(E$5)))*(CsDJ[Account Code]=(TRIM($B40)))*(CsDJ[Date]&lt;=$C$8),CsDJ[Debit])))+(SUM(IF((CRDJ[Sort Code]=(TRIM(E$5)))*(CRDJ[Account Code]=(TRIM($B40)))*(CRDJ[Date]&lt;=$C$8),CRDJ[Debit])))+(SUM(IF((GJ[Sort Code]=(TRIM(E$5)))*(GJ[Account Code]=(TRIM($B40)))*(GJ[Date]&lt;=$C$8),GJ[Debit]))))</f>
        <v>0</v>
      </c>
      <c r="D40" s="466">
        <f t="array" ref="D40">((SUM(IF((CkDJ[Date]=$A$4)*(CkDJ[Sort Code]=(TRIM(E$5)))*(CkDJ[Account Code]=(TRIM($B40))),CkDJ[Credit])))+(SUM(IF((CsDJ[Date]=$A$4)*(CsDJ[Sort Code]=(TRIM(E$5)))*(CsDJ[Account Code]=(TRIM($B40))),CsDJ[Credit])))+(SUM(IF((CRDJ[Date]=$A$4)*(CRDJ[Sort Code]=(TRIM(E$5)))*(CRDJ[Account Code]=(TRIM($B40))),CRDJ[Credit])))+(SUM(IF((GJ[Date]=$A$4)*(GJ[Sort Code]=(TRIM(E$5)))*(GJ[Account Code]=(TRIM($B40))),GJ[Credit]))))-((SUM(IF((CkDJ[Date]=$A$4)*(CkDJ[Sort Code]=(TRIM(E$5)))*(CkDJ[Account Code]=(TRIM($B40))),CkDJ[Debit])))+(SUM(IF((CsDJ[Date]=$A$4)*(CsDJ[Sort Code]=(TRIM(E$5)))*(CsDJ[Account Code]=(TRIM($B40))),CsDJ[Debit])))+(SUM(IF((CRDJ[Date]=$A$4)*(CRDJ[Sort Code]=(TRIM(E$5)))*(CRDJ[Account Code]=(TRIM($B40))),CRDJ[Debit])))+(SUM(IF((GJ[Date]=$A$4)*(GJ[Sort Code]=(TRIM(E$5)))*(GJ[Account Code]=(TRIM($B40))),GJ[Debit]))))</f>
        <v>0</v>
      </c>
      <c r="E40" s="467">
        <f>C40+D40</f>
        <v>0</v>
      </c>
    </row>
    <row r="41" spans="1:5">
      <c r="A41" s="475" t="s">
        <v>190</v>
      </c>
      <c r="B41" s="339" t="s">
        <v>157</v>
      </c>
      <c r="C41" s="466">
        <f t="array" ref="C41">((SUM(IF((CkDJ[Sort Code]=(TRIM(E$5)))*(CkDJ[Account Code]=(TRIM($B41)))*(CkDJ[Date]&lt;=$C$8),CkDJ[Credit])))+(SUM(IF((CsDJ[Sort Code]=(TRIM(E$5)))*(CsDJ[Account Code]=(TRIM($B41)))*(CsDJ[Date]&lt;=$C$8),CsDJ[Credit])))+(SUM(IF((CRDJ[Sort Code]=(TRIM(E$5)))*(CRDJ[Account Code]=(TRIM($B41)))*(CRDJ[Date]&lt;=$C$8),CRDJ[Credit])))+(SUM(IF((GJ[Sort Code]=(TRIM(E$5)))*(GJ[Account Code]=(TRIM($B41)))*(GJ[Date]&lt;=$C$8),GJ[Credit]))))-((SUM(IF((CkDJ[Sort Code]=(TRIM(E$5)))*(CkDJ[Account Code]=(TRIM($B41)))*(CkDJ[Date]&lt;=$C$8),CkDJ[Debit])))+(SUM(IF((CsDJ[Sort Code]=(TRIM(E$5)))*(CsDJ[Account Code]=(TRIM($B41)))*(CsDJ[Date]&lt;=$C$8),CsDJ[Debit])))+(SUM(IF((CRDJ[Sort Code]=(TRIM(E$5)))*(CRDJ[Account Code]=(TRIM($B41)))*(CRDJ[Date]&lt;=$C$8),CRDJ[Debit])))+(SUM(IF((GJ[Sort Code]=(TRIM(E$5)))*(GJ[Account Code]=(TRIM($B41)))*(GJ[Date]&lt;=$C$8),GJ[Debit]))))</f>
        <v>0</v>
      </c>
      <c r="D41" s="466">
        <f t="array" ref="D41">((SUM(IF((CkDJ[Date]=$A$4)*(CkDJ[Sort Code]=(TRIM(E$5)))*(CkDJ[Account Code]=(TRIM($B41))),CkDJ[Credit])))+(SUM(IF((CsDJ[Date]=$A$4)*(CsDJ[Sort Code]=(TRIM(E$5)))*(CsDJ[Account Code]=(TRIM($B41))),CsDJ[Credit])))+(SUM(IF((CRDJ[Date]=$A$4)*(CRDJ[Sort Code]=(TRIM(E$5)))*(CRDJ[Account Code]=(TRIM($B41))),CRDJ[Credit])))+(SUM(IF((GJ[Date]=$A$4)*(GJ[Sort Code]=(TRIM(E$5)))*(GJ[Account Code]=(TRIM($B41))),GJ[Credit]))))-((SUM(IF((CkDJ[Date]=$A$4)*(CkDJ[Sort Code]=(TRIM(E$5)))*(CkDJ[Account Code]=(TRIM($B41))),CkDJ[Debit])))+(SUM(IF((CsDJ[Date]=$A$4)*(CsDJ[Sort Code]=(TRIM(E$5)))*(CsDJ[Account Code]=(TRIM($B41))),CsDJ[Debit])))+(SUM(IF((CRDJ[Date]=$A$4)*(CRDJ[Sort Code]=(TRIM(E$5)))*(CRDJ[Account Code]=(TRIM($B41))),CRDJ[Debit])))+(SUM(IF((GJ[Date]=$A$4)*(GJ[Sort Code]=(TRIM(E$5)))*(GJ[Account Code]=(TRIM($B41))),GJ[Debit]))))</f>
        <v>0</v>
      </c>
      <c r="E41" s="467">
        <f t="shared" si="0"/>
        <v>0</v>
      </c>
    </row>
    <row r="42" spans="1:5">
      <c r="A42" s="475" t="s">
        <v>192</v>
      </c>
      <c r="B42" s="339" t="s">
        <v>159</v>
      </c>
      <c r="C42" s="466">
        <f t="array" ref="C42">((SUM(IF((CkDJ[Sort Code]=(TRIM(E$5)))*(CkDJ[Account Code]=(TRIM($B42)))*(CkDJ[Date]&lt;=$C$8),CkDJ[Credit])))+(SUM(IF((CsDJ[Sort Code]=(TRIM(E$5)))*(CsDJ[Account Code]=(TRIM($B42)))*(CsDJ[Date]&lt;=$C$8),CsDJ[Credit])))+(SUM(IF((CRDJ[Sort Code]=(TRIM(E$5)))*(CRDJ[Account Code]=(TRIM($B42)))*(CRDJ[Date]&lt;=$C$8),CRDJ[Credit])))+(SUM(IF((GJ[Sort Code]=(TRIM(E$5)))*(GJ[Account Code]=(TRIM($B42)))*(GJ[Date]&lt;=$C$8),GJ[Credit]))))-((SUM(IF((CkDJ[Sort Code]=(TRIM(E$5)))*(CkDJ[Account Code]=(TRIM($B42)))*(CkDJ[Date]&lt;=$C$8),CkDJ[Debit])))+(SUM(IF((CsDJ[Sort Code]=(TRIM(E$5)))*(CsDJ[Account Code]=(TRIM($B42)))*(CsDJ[Date]&lt;=$C$8),CsDJ[Debit])))+(SUM(IF((CRDJ[Sort Code]=(TRIM(E$5)))*(CRDJ[Account Code]=(TRIM($B42)))*(CRDJ[Date]&lt;=$C$8),CRDJ[Debit])))+(SUM(IF((GJ[Sort Code]=(TRIM(E$5)))*(GJ[Account Code]=(TRIM($B42)))*(GJ[Date]&lt;=$C$8),GJ[Debit]))))</f>
        <v>0</v>
      </c>
      <c r="D42" s="466">
        <f t="array" ref="D42">((SUM(IF((CkDJ[Date]=$A$4)*(CkDJ[Sort Code]=(TRIM(E$5)))*(CkDJ[Account Code]=(TRIM($B42))),CkDJ[Credit])))+(SUM(IF((CsDJ[Date]=$A$4)*(CsDJ[Sort Code]=(TRIM(E$5)))*(CsDJ[Account Code]=(TRIM($B42))),CsDJ[Credit])))+(SUM(IF((CRDJ[Date]=$A$4)*(CRDJ[Sort Code]=(TRIM(E$5)))*(CRDJ[Account Code]=(TRIM($B42))),CRDJ[Credit])))+(SUM(IF((GJ[Date]=$A$4)*(GJ[Sort Code]=(TRIM(E$5)))*(GJ[Account Code]=(TRIM($B42))),GJ[Credit]))))-((SUM(IF((CkDJ[Date]=$A$4)*(CkDJ[Sort Code]=(TRIM(E$5)))*(CkDJ[Account Code]=(TRIM($B42))),CkDJ[Debit])))+(SUM(IF((CsDJ[Date]=$A$4)*(CsDJ[Sort Code]=(TRIM(E$5)))*(CsDJ[Account Code]=(TRIM($B42))),CsDJ[Debit])))+(SUM(IF((CRDJ[Date]=$A$4)*(CRDJ[Sort Code]=(TRIM(E$5)))*(CRDJ[Account Code]=(TRIM($B42))),CRDJ[Debit])))+(SUM(IF((GJ[Date]=$A$4)*(GJ[Sort Code]=(TRIM(E$5)))*(GJ[Account Code]=(TRIM($B42))),GJ[Debit]))))</f>
        <v>0</v>
      </c>
      <c r="E42" s="467">
        <f t="shared" si="0"/>
        <v>0</v>
      </c>
    </row>
    <row r="43" spans="1:5">
      <c r="A43" s="475" t="s">
        <v>193</v>
      </c>
      <c r="B43" s="339" t="s">
        <v>160</v>
      </c>
      <c r="C43" s="466">
        <f t="array" ref="C43">((SUM(IF((CkDJ[Sort Code]=(TRIM(E$5)))*(CkDJ[Account Code]=(TRIM($B43)))*(CkDJ[Date]&lt;=$C$8),CkDJ[Credit])))+(SUM(IF((CsDJ[Sort Code]=(TRIM(E$5)))*(CsDJ[Account Code]=(TRIM($B43)))*(CsDJ[Date]&lt;=$C$8),CsDJ[Credit])))+(SUM(IF((CRDJ[Sort Code]=(TRIM(E$5)))*(CRDJ[Account Code]=(TRIM($B43)))*(CRDJ[Date]&lt;=$C$8),CRDJ[Credit])))+(SUM(IF((GJ[Sort Code]=(TRIM(E$5)))*(GJ[Account Code]=(TRIM($B43)))*(GJ[Date]&lt;=$C$8),GJ[Credit]))))-((SUM(IF((CkDJ[Sort Code]=(TRIM(E$5)))*(CkDJ[Account Code]=(TRIM($B43)))*(CkDJ[Date]&lt;=$C$8),CkDJ[Debit])))+(SUM(IF((CsDJ[Sort Code]=(TRIM(E$5)))*(CsDJ[Account Code]=(TRIM($B43)))*(CsDJ[Date]&lt;=$C$8),CsDJ[Debit])))+(SUM(IF((CRDJ[Sort Code]=(TRIM(E$5)))*(CRDJ[Account Code]=(TRIM($B43)))*(CRDJ[Date]&lt;=$C$8),CRDJ[Debit])))+(SUM(IF((GJ[Sort Code]=(TRIM(E$5)))*(GJ[Account Code]=(TRIM($B43)))*(GJ[Date]&lt;=$C$8),GJ[Debit]))))</f>
        <v>0</v>
      </c>
      <c r="D43" s="466">
        <f t="array" ref="D43">((SUM(IF((CkDJ[Date]=$A$4)*(CkDJ[Sort Code]=(TRIM(E$5)))*(CkDJ[Account Code]=(TRIM($B43))),CkDJ[Credit])))+(SUM(IF((CsDJ[Date]=$A$4)*(CsDJ[Sort Code]=(TRIM(E$5)))*(CsDJ[Account Code]=(TRIM($B43))),CsDJ[Credit])))+(SUM(IF((CRDJ[Date]=$A$4)*(CRDJ[Sort Code]=(TRIM(E$5)))*(CRDJ[Account Code]=(TRIM($B43))),CRDJ[Credit])))+(SUM(IF((GJ[Date]=$A$4)*(GJ[Sort Code]=(TRIM(E$5)))*(GJ[Account Code]=(TRIM($B43))),GJ[Credit]))))-((SUM(IF((CkDJ[Date]=$A$4)*(CkDJ[Sort Code]=(TRIM(E$5)))*(CkDJ[Account Code]=(TRIM($B43))),CkDJ[Debit])))+(SUM(IF((CsDJ[Date]=$A$4)*(CsDJ[Sort Code]=(TRIM(E$5)))*(CsDJ[Account Code]=(TRIM($B43))),CsDJ[Debit])))+(SUM(IF((CRDJ[Date]=$A$4)*(CRDJ[Sort Code]=(TRIM(E$5)))*(CRDJ[Account Code]=(TRIM($B43))),CRDJ[Debit])))+(SUM(IF((GJ[Date]=$A$4)*(GJ[Sort Code]=(TRIM(E$5)))*(GJ[Account Code]=(TRIM($B43))),GJ[Debit]))))</f>
        <v>0</v>
      </c>
      <c r="E43" s="467">
        <f t="shared" si="0"/>
        <v>0</v>
      </c>
    </row>
    <row r="44" spans="1:5">
      <c r="A44" s="475" t="s">
        <v>191</v>
      </c>
      <c r="B44" s="339" t="s">
        <v>161</v>
      </c>
      <c r="C44" s="466">
        <f t="array" ref="C44">((SUM(IF((CkDJ[Sort Code]=(TRIM(E$5)))*(CkDJ[Account Code]=(TRIM($B44)))*(CkDJ[Date]&lt;=$C$8),CkDJ[Credit])))+(SUM(IF((CsDJ[Sort Code]=(TRIM(E$5)))*(CsDJ[Account Code]=(TRIM($B44)))*(CsDJ[Date]&lt;=$C$8),CsDJ[Credit])))+(SUM(IF((CRDJ[Sort Code]=(TRIM(E$5)))*(CRDJ[Account Code]=(TRIM($B44)))*(CRDJ[Date]&lt;=$C$8),CRDJ[Credit])))+(SUM(IF((GJ[Sort Code]=(TRIM(E$5)))*(GJ[Account Code]=(TRIM($B44)))*(GJ[Date]&lt;=$C$8),GJ[Credit]))))-((SUM(IF((CkDJ[Sort Code]=(TRIM(E$5)))*(CkDJ[Account Code]=(TRIM($B44)))*(CkDJ[Date]&lt;=$C$8),CkDJ[Debit])))+(SUM(IF((CsDJ[Sort Code]=(TRIM(E$5)))*(CsDJ[Account Code]=(TRIM($B44)))*(CsDJ[Date]&lt;=$C$8),CsDJ[Debit])))+(SUM(IF((CRDJ[Sort Code]=(TRIM(E$5)))*(CRDJ[Account Code]=(TRIM($B44)))*(CRDJ[Date]&lt;=$C$8),CRDJ[Debit])))+(SUM(IF((GJ[Sort Code]=(TRIM(E$5)))*(GJ[Account Code]=(TRIM($B44)))*(GJ[Date]&lt;=$C$8),GJ[Debit]))))</f>
        <v>0</v>
      </c>
      <c r="D44" s="466">
        <f t="array" ref="D44">((SUM(IF((CkDJ[Date]=$A$4)*(CkDJ[Sort Code]=(TRIM(E$5)))*(CkDJ[Account Code]=(TRIM($B44))),CkDJ[Credit])))+(SUM(IF((CsDJ[Date]=$A$4)*(CsDJ[Sort Code]=(TRIM(E$5)))*(CsDJ[Account Code]=(TRIM($B44))),CsDJ[Credit])))+(SUM(IF((CRDJ[Date]=$A$4)*(CRDJ[Sort Code]=(TRIM(E$5)))*(CRDJ[Account Code]=(TRIM($B44))),CRDJ[Credit])))+(SUM(IF((GJ[Date]=$A$4)*(GJ[Sort Code]=(TRIM(E$5)))*(GJ[Account Code]=(TRIM($B44))),GJ[Credit]))))-((SUM(IF((CkDJ[Date]=$A$4)*(CkDJ[Sort Code]=(TRIM(E$5)))*(CkDJ[Account Code]=(TRIM($B44))),CkDJ[Debit])))+(SUM(IF((CsDJ[Date]=$A$4)*(CsDJ[Sort Code]=(TRIM(E$5)))*(CsDJ[Account Code]=(TRIM($B44))),CsDJ[Debit])))+(SUM(IF((CRDJ[Date]=$A$4)*(CRDJ[Sort Code]=(TRIM(E$5)))*(CRDJ[Account Code]=(TRIM($B44))),CRDJ[Debit])))+(SUM(IF((GJ[Date]=$A$4)*(GJ[Sort Code]=(TRIM(E$5)))*(GJ[Account Code]=(TRIM($B44))),GJ[Debit]))))</f>
        <v>0</v>
      </c>
      <c r="E44" s="467">
        <f t="shared" si="0"/>
        <v>0</v>
      </c>
    </row>
    <row r="45" spans="1:5">
      <c r="A45" s="468" t="s">
        <v>1171</v>
      </c>
      <c r="B45" s="469"/>
      <c r="C45" s="470">
        <f>C10+C16+C20+C25+C26+C31+C35</f>
        <v>0</v>
      </c>
      <c r="D45" s="470">
        <f>D10+D16+D20+D25+D26+D31+D35</f>
        <v>0</v>
      </c>
      <c r="E45" s="470">
        <f>E10+E16+E20+E25+E26+E31+E35</f>
        <v>0</v>
      </c>
    </row>
    <row r="46" spans="1:5">
      <c r="A46" s="471" t="s">
        <v>812</v>
      </c>
      <c r="B46" s="339"/>
      <c r="C46" s="472"/>
      <c r="D46" s="472"/>
      <c r="E46" s="479"/>
    </row>
    <row r="47" spans="1:5">
      <c r="A47" s="471" t="s">
        <v>811</v>
      </c>
      <c r="B47" s="339"/>
      <c r="C47" s="474">
        <f>SUM(C48:C72)</f>
        <v>0</v>
      </c>
      <c r="D47" s="474">
        <f>SUM(D48:D72)</f>
        <v>0</v>
      </c>
      <c r="E47" s="474">
        <f>SUM(E48:E72)</f>
        <v>0</v>
      </c>
    </row>
    <row r="48" spans="1:5">
      <c r="A48" s="476" t="s">
        <v>194</v>
      </c>
      <c r="B48" s="339" t="s">
        <v>162</v>
      </c>
      <c r="C48" s="466">
        <f t="array" ref="C48">((SUM(IF((CkDJ[Sort Code]=(TRIM(E$5)))*(CkDJ[Account Code]=(TRIM($B48)))*(CkDJ[Date]&lt;=$C$8),CkDJ[Debit])))+(SUM(IF((CsDJ[Sort Code]=(TRIM(E$5)))*(CsDJ[Account Code]=(TRIM($B48)))*(CsDJ[Date]&lt;=$C$8),CsDJ[Debit])))+(SUM(IF((CRDJ[Sort Code]=(TRIM(E$5)))*(CRDJ[Account Code]=(TRIM($B48)))*(CRDJ[Date]&lt;=$C$8),CRDJ[Debit])))+(SUM(IF((GJ[Sort Code]=(TRIM(E$5)))*(GJ[Account Code]=(TRIM($B48)))*(GJ[Date]&lt;=$C$8),GJ[Debit]))))-((SUM(IF((CkDJ[Sort Code]=(TRIM(E$5)))*(CkDJ[Account Code]=(TRIM($B48)))*(CkDJ[Date]&lt;=$C$8),CkDJ[Credit])))+(SUM(IF((CsDJ[Sort Code]=(TRIM(E$5)))*(CsDJ[Account Code]=(TRIM($B48)))*(CsDJ[Date]&lt;=$C$8),CsDJ[Credit])))+(SUM(IF((CRDJ[Sort Code]=(TRIM(E$5)))*(CRDJ[Account Code]=(TRIM($B48)))*(CRDJ[Date]&lt;=$C$8),CRDJ[Credit])))+(SUM(IF((GJ[Sort Code]=(TRIM(E$5)))*(GJ[Account Code]=(TRIM($B48)))*(GJ[Date]&lt;=$C$8),GJ[Credit]))))</f>
        <v>0</v>
      </c>
      <c r="D48" s="466">
        <f t="array" ref="D48">((SUM(IF((CkDJ[Date]=$A$4)*(CkDJ[Sort Code]=(TRIM(E$5)))*(CkDJ[Account Code]=(TRIM($B48))),CkDJ[Debit])))+(SUM(IF((CsDJ[Date]=$A$4)*(CsDJ[Sort Code]=(TRIM(E$5)))*(CsDJ[Account Code]=(TRIM($B48))),CsDJ[Debit])))+(SUM(IF((CRDJ[Date]=$A$4)*(CRDJ[Sort Code]=(TRIM(E$5)))*(CRDJ[Account Code]=(TRIM($B48))),CRDJ[Debit])))+(SUM(IF((GJ[Date]=$A$4)*(GJ[Sort Code]=(TRIM(E$5)))*(GJ[Account Code]=(TRIM($B48))),GJ[Debit]))))-((SUM(IF((CkDJ[Date]=$A$4)*(CkDJ[Sort Code]=(TRIM(E$5)))*(CkDJ[Account Code]=(TRIM($B48))),CkDJ[Credit])))+(SUM(IF((CsDJ[Date]=$A$4)*(CsDJ[Sort Code]=(TRIM(E$5)))*(CsDJ[Account Code]=(TRIM($B48))),CsDJ[Credit])))+(SUM(IF((CRDJ[Date]=$A$4)*(CRDJ[Sort Code]=(TRIM(E$5)))*(CRDJ[Account Code]=(TRIM($B48))),CRDJ[Credit])))+(SUM(IF((GJ[Date]=$A$4)*(GJ[Sort Code]=(TRIM(E$5)))*(GJ[Account Code]=(TRIM($B48))),GJ[Credit]))))</f>
        <v>0</v>
      </c>
      <c r="E48" s="467">
        <f t="shared" ref="E48:E53" si="1">C48+D48</f>
        <v>0</v>
      </c>
    </row>
    <row r="49" spans="1:5">
      <c r="A49" s="476" t="s">
        <v>195</v>
      </c>
      <c r="B49" s="339" t="s">
        <v>163</v>
      </c>
      <c r="C49" s="466">
        <f t="array" ref="C49">((SUM(IF((CkDJ[Sort Code]=(TRIM(E$5)))*(CkDJ[Account Code]=(TRIM($B49)))*(CkDJ[Date]&lt;=$C$8),CkDJ[Debit])))+(SUM(IF((CsDJ[Sort Code]=(TRIM(E$5)))*(CsDJ[Account Code]=(TRIM($B49)))*(CsDJ[Date]&lt;=$C$8),CsDJ[Debit])))+(SUM(IF((CRDJ[Sort Code]=(TRIM(E$5)))*(CRDJ[Account Code]=(TRIM($B49)))*(CRDJ[Date]&lt;=$C$8),CRDJ[Debit])))+(SUM(IF((GJ[Sort Code]=(TRIM(E$5)))*(GJ[Account Code]=(TRIM($B49)))*(GJ[Date]&lt;=$C$8),GJ[Debit]))))-((SUM(IF((CkDJ[Sort Code]=(TRIM(E$5)))*(CkDJ[Account Code]=(TRIM($B49)))*(CkDJ[Date]&lt;=$C$8),CkDJ[Credit])))+(SUM(IF((CsDJ[Sort Code]=(TRIM(E$5)))*(CsDJ[Account Code]=(TRIM($B49)))*(CsDJ[Date]&lt;=$C$8),CsDJ[Credit])))+(SUM(IF((CRDJ[Sort Code]=(TRIM(E$5)))*(CRDJ[Account Code]=(TRIM($B49)))*(CRDJ[Date]&lt;=$C$8),CRDJ[Credit])))+(SUM(IF((GJ[Sort Code]=(TRIM(E$5)))*(GJ[Account Code]=(TRIM($B49)))*(GJ[Date]&lt;=$C$8),GJ[Credit]))))</f>
        <v>0</v>
      </c>
      <c r="D49" s="466">
        <f t="array" ref="D49">((SUM(IF((CkDJ[Date]=$A$4)*(CkDJ[Sort Code]=(TRIM(E$5)))*(CkDJ[Account Code]=(TRIM($B49))),CkDJ[Debit])))+(SUM(IF((CsDJ[Date]=$A$4)*(CsDJ[Sort Code]=(TRIM(E$5)))*(CsDJ[Account Code]=(TRIM($B49))),CsDJ[Debit])))+(SUM(IF((CRDJ[Date]=$A$4)*(CRDJ[Sort Code]=(TRIM(E$5)))*(CRDJ[Account Code]=(TRIM($B49))),CRDJ[Debit])))+(SUM(IF((GJ[Date]=$A$4)*(GJ[Sort Code]=(TRIM(E$5)))*(GJ[Account Code]=(TRIM($B49))),GJ[Debit]))))-((SUM(IF((CkDJ[Date]=$A$4)*(CkDJ[Sort Code]=(TRIM(E$5)))*(CkDJ[Account Code]=(TRIM($B49))),CkDJ[Credit])))+(SUM(IF((CsDJ[Date]=$A$4)*(CsDJ[Sort Code]=(TRIM(E$5)))*(CsDJ[Account Code]=(TRIM($B49))),CsDJ[Credit])))+(SUM(IF((CRDJ[Date]=$A$4)*(CRDJ[Sort Code]=(TRIM(E$5)))*(CRDJ[Account Code]=(TRIM($B49))),CRDJ[Credit])))+(SUM(IF((GJ[Date]=$A$4)*(GJ[Sort Code]=(TRIM(E$5)))*(GJ[Account Code]=(TRIM($B49))),GJ[Credit]))))</f>
        <v>0</v>
      </c>
      <c r="E49" s="467">
        <f t="shared" si="1"/>
        <v>0</v>
      </c>
    </row>
    <row r="50" spans="1:5">
      <c r="A50" s="476" t="s">
        <v>196</v>
      </c>
      <c r="B50" s="339" t="s">
        <v>1013</v>
      </c>
      <c r="C50" s="466">
        <f t="array" ref="C50">((SUM(IF((CkDJ[Sort Code]=(TRIM(E$5)))*(CkDJ[Account Code]=(TRIM($B50)))*(CkDJ[Date]&lt;=$C$8),CkDJ[Debit])))+(SUM(IF((CsDJ[Sort Code]=(TRIM(E$5)))*(CsDJ[Account Code]=(TRIM($B50)))*(CsDJ[Date]&lt;=$C$8),CsDJ[Debit])))+(SUM(IF((CRDJ[Sort Code]=(TRIM(E$5)))*(CRDJ[Account Code]=(TRIM($B50)))*(CRDJ[Date]&lt;=$C$8),CRDJ[Debit])))+(SUM(IF((GJ[Sort Code]=(TRIM(E$5)))*(GJ[Account Code]=(TRIM($B50)))*(GJ[Date]&lt;=$C$8),GJ[Debit]))))-((SUM(IF((CkDJ[Sort Code]=(TRIM(E$5)))*(CkDJ[Account Code]=(TRIM($B50)))*(CkDJ[Date]&lt;=$C$8),CkDJ[Credit])))+(SUM(IF((CsDJ[Sort Code]=(TRIM(E$5)))*(CsDJ[Account Code]=(TRIM($B50)))*(CsDJ[Date]&lt;=$C$8),CsDJ[Credit])))+(SUM(IF((CRDJ[Sort Code]=(TRIM(E$5)))*(CRDJ[Account Code]=(TRIM($B50)))*(CRDJ[Date]&lt;=$C$8),CRDJ[Credit])))+(SUM(IF((GJ[Sort Code]=(TRIM(E$5)))*(GJ[Account Code]=(TRIM($B50)))*(GJ[Date]&lt;=$C$8),GJ[Credit]))))</f>
        <v>0</v>
      </c>
      <c r="D50" s="466">
        <f t="array" ref="D50">((SUM(IF((CkDJ[Date]=$A$4)*(CkDJ[Sort Code]=(TRIM(E$5)))*(CkDJ[Account Code]=(TRIM($B50))),CkDJ[Debit])))+(SUM(IF((CsDJ[Date]=$A$4)*(CsDJ[Sort Code]=(TRIM(E$5)))*(CsDJ[Account Code]=(TRIM($B50))),CsDJ[Debit])))+(SUM(IF((CRDJ[Date]=$A$4)*(CRDJ[Sort Code]=(TRIM(E$5)))*(CRDJ[Account Code]=(TRIM($B50))),CRDJ[Debit])))+(SUM(IF((GJ[Date]=$A$4)*(GJ[Sort Code]=(TRIM(E$5)))*(GJ[Account Code]=(TRIM($B50))),GJ[Debit]))))-((SUM(IF((CkDJ[Date]=$A$4)*(CkDJ[Sort Code]=(TRIM(E$5)))*(CkDJ[Account Code]=(TRIM($B50))),CkDJ[Credit])))+(SUM(IF((CsDJ[Date]=$A$4)*(CsDJ[Sort Code]=(TRIM(E$5)))*(CsDJ[Account Code]=(TRIM($B50))),CsDJ[Credit])))+(SUM(IF((CRDJ[Date]=$A$4)*(CRDJ[Sort Code]=(TRIM(E$5)))*(CRDJ[Account Code]=(TRIM($B50))),CRDJ[Credit])))+(SUM(IF((GJ[Date]=$A$4)*(GJ[Sort Code]=(TRIM(E$5)))*(GJ[Account Code]=(TRIM($B50))),GJ[Credit]))))</f>
        <v>0</v>
      </c>
      <c r="E50" s="467">
        <f t="shared" si="1"/>
        <v>0</v>
      </c>
    </row>
    <row r="51" spans="1:5">
      <c r="A51" s="476" t="s">
        <v>197</v>
      </c>
      <c r="B51" s="339" t="s">
        <v>164</v>
      </c>
      <c r="C51" s="466">
        <f t="array" ref="C51">((SUM(IF((CkDJ[Sort Code]=(TRIM(E$5)))*(CkDJ[Account Code]=(TRIM($B51)))*(CkDJ[Date]&lt;=$C$8),CkDJ[Debit])))+(SUM(IF((CsDJ[Sort Code]=(TRIM(E$5)))*(CsDJ[Account Code]=(TRIM($B51)))*(CsDJ[Date]&lt;=$C$8),CsDJ[Debit])))+(SUM(IF((CRDJ[Sort Code]=(TRIM(E$5)))*(CRDJ[Account Code]=(TRIM($B51)))*(CRDJ[Date]&lt;=$C$8),CRDJ[Debit])))+(SUM(IF((GJ[Sort Code]=(TRIM(E$5)))*(GJ[Account Code]=(TRIM($B51)))*(GJ[Date]&lt;=$C$8),GJ[Debit]))))-((SUM(IF((CkDJ[Sort Code]=(TRIM(E$5)))*(CkDJ[Account Code]=(TRIM($B51)))*(CkDJ[Date]&lt;=$C$8),CkDJ[Credit])))+(SUM(IF((CsDJ[Sort Code]=(TRIM(E$5)))*(CsDJ[Account Code]=(TRIM($B51)))*(CsDJ[Date]&lt;=$C$8),CsDJ[Credit])))+(SUM(IF((CRDJ[Sort Code]=(TRIM(E$5)))*(CRDJ[Account Code]=(TRIM($B51)))*(CRDJ[Date]&lt;=$C$8),CRDJ[Credit])))+(SUM(IF((GJ[Sort Code]=(TRIM(E$5)))*(GJ[Account Code]=(TRIM($B51)))*(GJ[Date]&lt;=$C$8),GJ[Credit]))))</f>
        <v>0</v>
      </c>
      <c r="D51" s="466">
        <f t="array" ref="D51">((SUM(IF((CkDJ[Date]=$A$4)*(CkDJ[Sort Code]=(TRIM(E$5)))*(CkDJ[Account Code]=(TRIM($B51))),CkDJ[Debit])))+(SUM(IF((CsDJ[Date]=$A$4)*(CsDJ[Sort Code]=(TRIM(E$5)))*(CsDJ[Account Code]=(TRIM($B51))),CsDJ[Debit])))+(SUM(IF((CRDJ[Date]=$A$4)*(CRDJ[Sort Code]=(TRIM(E$5)))*(CRDJ[Account Code]=(TRIM($B51))),CRDJ[Debit])))+(SUM(IF((GJ[Date]=$A$4)*(GJ[Sort Code]=(TRIM(E$5)))*(GJ[Account Code]=(TRIM($B51))),GJ[Debit]))))-((SUM(IF((CkDJ[Date]=$A$4)*(CkDJ[Sort Code]=(TRIM(E$5)))*(CkDJ[Account Code]=(TRIM($B51))),CkDJ[Credit])))+(SUM(IF((CsDJ[Date]=$A$4)*(CsDJ[Sort Code]=(TRIM(E$5)))*(CsDJ[Account Code]=(TRIM($B51))),CsDJ[Credit])))+(SUM(IF((CRDJ[Date]=$A$4)*(CRDJ[Sort Code]=(TRIM(E$5)))*(CRDJ[Account Code]=(TRIM($B51))),CRDJ[Credit])))+(SUM(IF((GJ[Date]=$A$4)*(GJ[Sort Code]=(TRIM(E$5)))*(GJ[Account Code]=(TRIM($B51))),GJ[Credit]))))</f>
        <v>0</v>
      </c>
      <c r="E51" s="467">
        <f t="shared" si="1"/>
        <v>0</v>
      </c>
    </row>
    <row r="52" spans="1:5">
      <c r="A52" s="476" t="s">
        <v>198</v>
      </c>
      <c r="B52" s="339" t="s">
        <v>165</v>
      </c>
      <c r="C52" s="466">
        <f t="array" ref="C52">((SUM(IF((CkDJ[Sort Code]=(TRIM(E$5)))*(CkDJ[Account Code]=(TRIM($B52)))*(CkDJ[Date]&lt;=$C$8),CkDJ[Debit])))+(SUM(IF((CsDJ[Sort Code]=(TRIM(E$5)))*(CsDJ[Account Code]=(TRIM($B52)))*(CsDJ[Date]&lt;=$C$8),CsDJ[Debit])))+(SUM(IF((CRDJ[Sort Code]=(TRIM(E$5)))*(CRDJ[Account Code]=(TRIM($B52)))*(CRDJ[Date]&lt;=$C$8),CRDJ[Debit])))+(SUM(IF((GJ[Sort Code]=(TRIM(E$5)))*(GJ[Account Code]=(TRIM($B52)))*(GJ[Date]&lt;=$C$8),GJ[Debit]))))-((SUM(IF((CkDJ[Sort Code]=(TRIM(E$5)))*(CkDJ[Account Code]=(TRIM($B52)))*(CkDJ[Date]&lt;=$C$8),CkDJ[Credit])))+(SUM(IF((CsDJ[Sort Code]=(TRIM(E$5)))*(CsDJ[Account Code]=(TRIM($B52)))*(CsDJ[Date]&lt;=$C$8),CsDJ[Credit])))+(SUM(IF((CRDJ[Sort Code]=(TRIM(E$5)))*(CRDJ[Account Code]=(TRIM($B52)))*(CRDJ[Date]&lt;=$C$8),CRDJ[Credit])))+(SUM(IF((GJ[Sort Code]=(TRIM(E$5)))*(GJ[Account Code]=(TRIM($B52)))*(GJ[Date]&lt;=$C$8),GJ[Credit]))))</f>
        <v>0</v>
      </c>
      <c r="D52" s="466">
        <f t="array" ref="D52">((SUM(IF((CkDJ[Date]=$A$4)*(CkDJ[Sort Code]=(TRIM(E$5)))*(CkDJ[Account Code]=(TRIM($B52))),CkDJ[Debit])))+(SUM(IF((CsDJ[Date]=$A$4)*(CsDJ[Sort Code]=(TRIM(E$5)))*(CsDJ[Account Code]=(TRIM($B52))),CsDJ[Debit])))+(SUM(IF((CRDJ[Date]=$A$4)*(CRDJ[Sort Code]=(TRIM(E$5)))*(CRDJ[Account Code]=(TRIM($B52))),CRDJ[Debit])))+(SUM(IF((GJ[Date]=$A$4)*(GJ[Sort Code]=(TRIM(E$5)))*(GJ[Account Code]=(TRIM($B52))),GJ[Debit]))))-((SUM(IF((CkDJ[Date]=$A$4)*(CkDJ[Sort Code]=(TRIM(E$5)))*(CkDJ[Account Code]=(TRIM($B52))),CkDJ[Credit])))+(SUM(IF((CsDJ[Date]=$A$4)*(CsDJ[Sort Code]=(TRIM(E$5)))*(CsDJ[Account Code]=(TRIM($B52))),CsDJ[Credit])))+(SUM(IF((CRDJ[Date]=$A$4)*(CRDJ[Sort Code]=(TRIM(E$5)))*(CRDJ[Account Code]=(TRIM($B52))),CRDJ[Credit])))+(SUM(IF((GJ[Date]=$A$4)*(GJ[Sort Code]=(TRIM(E$5)))*(GJ[Account Code]=(TRIM($B52))),GJ[Credit]))))</f>
        <v>0</v>
      </c>
      <c r="E52" s="467">
        <f t="shared" si="1"/>
        <v>0</v>
      </c>
    </row>
    <row r="53" spans="1:5">
      <c r="A53" s="476" t="s">
        <v>199</v>
      </c>
      <c r="B53" s="339" t="s">
        <v>166</v>
      </c>
      <c r="C53" s="466">
        <f t="array" ref="C53">((SUM(IF((CkDJ[Sort Code]=(TRIM(E$5)))*(CkDJ[Account Code]=(TRIM($B53)))*(CkDJ[Date]&lt;=$C$8),CkDJ[Debit])))+(SUM(IF((CsDJ[Sort Code]=(TRIM(E$5)))*(CsDJ[Account Code]=(TRIM($B53)))*(CsDJ[Date]&lt;=$C$8),CsDJ[Debit])))+(SUM(IF((CRDJ[Sort Code]=(TRIM(E$5)))*(CRDJ[Account Code]=(TRIM($B53)))*(CRDJ[Date]&lt;=$C$8),CRDJ[Debit])))+(SUM(IF((GJ[Sort Code]=(TRIM(E$5)))*(GJ[Account Code]=(TRIM($B53)))*(GJ[Date]&lt;=$C$8),GJ[Debit]))))-((SUM(IF((CkDJ[Sort Code]=(TRIM(E$5)))*(CkDJ[Account Code]=(TRIM($B53)))*(CkDJ[Date]&lt;=$C$8),CkDJ[Credit])))+(SUM(IF((CsDJ[Sort Code]=(TRIM(E$5)))*(CsDJ[Account Code]=(TRIM($B53)))*(CsDJ[Date]&lt;=$C$8),CsDJ[Credit])))+(SUM(IF((CRDJ[Sort Code]=(TRIM(E$5)))*(CRDJ[Account Code]=(TRIM($B53)))*(CRDJ[Date]&lt;=$C$8),CRDJ[Credit])))+(SUM(IF((GJ[Sort Code]=(TRIM(E$5)))*(GJ[Account Code]=(TRIM($B53)))*(GJ[Date]&lt;=$C$8),GJ[Credit]))))</f>
        <v>0</v>
      </c>
      <c r="D53" s="466">
        <f t="array" ref="D53">((SUM(IF((CkDJ[Date]=$A$4)*(CkDJ[Sort Code]=(TRIM(E$5)))*(CkDJ[Account Code]=(TRIM($B53))),CkDJ[Debit])))+(SUM(IF((CsDJ[Date]=$A$4)*(CsDJ[Sort Code]=(TRIM(E$5)))*(CsDJ[Account Code]=(TRIM($B53))),CsDJ[Debit])))+(SUM(IF((CRDJ[Date]=$A$4)*(CRDJ[Sort Code]=(TRIM(E$5)))*(CRDJ[Account Code]=(TRIM($B53))),CRDJ[Debit])))+(SUM(IF((GJ[Date]=$A$4)*(GJ[Sort Code]=(TRIM(E$5)))*(GJ[Account Code]=(TRIM($B53))),GJ[Debit]))))-((SUM(IF((CkDJ[Date]=$A$4)*(CkDJ[Sort Code]=(TRIM(E$5)))*(CkDJ[Account Code]=(TRIM($B53))),CkDJ[Credit])))+(SUM(IF((CsDJ[Date]=$A$4)*(CsDJ[Sort Code]=(TRIM(E$5)))*(CsDJ[Account Code]=(TRIM($B53))),CsDJ[Credit])))+(SUM(IF((CRDJ[Date]=$A$4)*(CRDJ[Sort Code]=(TRIM(E$5)))*(CRDJ[Account Code]=(TRIM($B53))),CRDJ[Credit])))+(SUM(IF((GJ[Date]=$A$4)*(GJ[Sort Code]=(TRIM(E$5)))*(GJ[Account Code]=(TRIM($B53))),GJ[Credit]))))</f>
        <v>0</v>
      </c>
      <c r="E53" s="467">
        <f t="shared" si="1"/>
        <v>0</v>
      </c>
    </row>
    <row r="54" spans="1:5">
      <c r="A54" s="476" t="s">
        <v>200</v>
      </c>
      <c r="B54" s="339" t="s">
        <v>167</v>
      </c>
      <c r="C54" s="466">
        <f t="array" ref="C54">((SUM(IF((CkDJ[Sort Code]=(TRIM(E$5)))*(CkDJ[Account Code]=(TRIM($B54)))*(CkDJ[Date]&lt;=$C$8),CkDJ[Debit])))+(SUM(IF((CsDJ[Sort Code]=(TRIM(E$5)))*(CsDJ[Account Code]=(TRIM($B54)))*(CsDJ[Date]&lt;=$C$8),CsDJ[Debit])))+(SUM(IF((CRDJ[Sort Code]=(TRIM(E$5)))*(CRDJ[Account Code]=(TRIM($B54)))*(CRDJ[Date]&lt;=$C$8),CRDJ[Debit])))+(SUM(IF((GJ[Sort Code]=(TRIM(E$5)))*(GJ[Account Code]=(TRIM($B54)))*(GJ[Date]&lt;=$C$8),GJ[Debit]))))-((SUM(IF((CkDJ[Sort Code]=(TRIM(E$5)))*(CkDJ[Account Code]=(TRIM($B54)))*(CkDJ[Date]&lt;=$C$8),CkDJ[Credit])))+(SUM(IF((CsDJ[Sort Code]=(TRIM(E$5)))*(CsDJ[Account Code]=(TRIM($B54)))*(CsDJ[Date]&lt;=$C$8),CsDJ[Credit])))+(SUM(IF((CRDJ[Sort Code]=(TRIM(E$5)))*(CRDJ[Account Code]=(TRIM($B54)))*(CRDJ[Date]&lt;=$C$8),CRDJ[Credit])))+(SUM(IF((GJ[Sort Code]=(TRIM(E$5)))*(GJ[Account Code]=(TRIM($B54)))*(GJ[Date]&lt;=$C$8),GJ[Credit]))))</f>
        <v>0</v>
      </c>
      <c r="D54" s="466">
        <f t="array" ref="D54">((SUM(IF((CkDJ[Date]=$A$4)*(CkDJ[Sort Code]=(TRIM(E$5)))*(CkDJ[Account Code]=(TRIM($B54))),CkDJ[Debit])))+(SUM(IF((CsDJ[Date]=$A$4)*(CsDJ[Sort Code]=(TRIM(E$5)))*(CsDJ[Account Code]=(TRIM($B54))),CsDJ[Debit])))+(SUM(IF((CRDJ[Date]=$A$4)*(CRDJ[Sort Code]=(TRIM(E$5)))*(CRDJ[Account Code]=(TRIM($B54))),CRDJ[Debit])))+(SUM(IF((GJ[Date]=$A$4)*(GJ[Sort Code]=(TRIM(E$5)))*(GJ[Account Code]=(TRIM($B54))),GJ[Debit]))))-((SUM(IF((CkDJ[Date]=$A$4)*(CkDJ[Sort Code]=(TRIM(E$5)))*(CkDJ[Account Code]=(TRIM($B54))),CkDJ[Credit])))+(SUM(IF((CsDJ[Date]=$A$4)*(CsDJ[Sort Code]=(TRIM(E$5)))*(CsDJ[Account Code]=(TRIM($B54))),CsDJ[Credit])))+(SUM(IF((CRDJ[Date]=$A$4)*(CRDJ[Sort Code]=(TRIM(E$5)))*(CRDJ[Account Code]=(TRIM($B54))),CRDJ[Credit])))+(SUM(IF((GJ[Date]=$A$4)*(GJ[Sort Code]=(TRIM(E$5)))*(GJ[Account Code]=(TRIM($B54))),GJ[Credit]))))</f>
        <v>0</v>
      </c>
      <c r="E54" s="467">
        <f>C54+D54</f>
        <v>0</v>
      </c>
    </row>
    <row r="55" spans="1:5">
      <c r="A55" s="476" t="s">
        <v>1204</v>
      </c>
      <c r="B55" s="339" t="s">
        <v>1262</v>
      </c>
      <c r="C55" s="466">
        <f t="array" ref="C55">((SUM(IF((CkDJ[Sort Code]=(TRIM(E$5)))*(CkDJ[Account Code]=(TRIM($B55)))*(CkDJ[Date]&lt;=$C$8),CkDJ[Debit])))+(SUM(IF((CsDJ[Sort Code]=(TRIM(E$5)))*(CsDJ[Account Code]=(TRIM($B55)))*(CsDJ[Date]&lt;=$C$8),CsDJ[Debit])))+(SUM(IF((CRDJ[Sort Code]=(TRIM(E$5)))*(CRDJ[Account Code]=(TRIM($B55)))*(CRDJ[Date]&lt;=$C$8),CRDJ[Debit])))+(SUM(IF((GJ[Sort Code]=(TRIM(E$5)))*(GJ[Account Code]=(TRIM($B55)))*(GJ[Date]&lt;=$C$8),GJ[Debit]))))-((SUM(IF((CkDJ[Sort Code]=(TRIM(E$5)))*(CkDJ[Account Code]=(TRIM($B55)))*(CkDJ[Date]&lt;=$C$8),CkDJ[Credit])))+(SUM(IF((CsDJ[Sort Code]=(TRIM(E$5)))*(CsDJ[Account Code]=(TRIM($B55)))*(CsDJ[Date]&lt;=$C$8),CsDJ[Credit])))+(SUM(IF((CRDJ[Sort Code]=(TRIM(E$5)))*(CRDJ[Account Code]=(TRIM($B55)))*(CRDJ[Date]&lt;=$C$8),CRDJ[Credit])))+(SUM(IF((GJ[Sort Code]=(TRIM(E$5)))*(GJ[Account Code]=(TRIM($B55)))*(GJ[Date]&lt;=$C$8),GJ[Credit]))))</f>
        <v>0</v>
      </c>
      <c r="D55" s="466">
        <f t="array" ref="D55">((SUM(IF((CkDJ[Date]=$A$4)*(CkDJ[Sort Code]=(TRIM(E$5)))*(CkDJ[Account Code]=(TRIM($B55))),CkDJ[Debit])))+(SUM(IF((CsDJ[Date]=$A$4)*(CsDJ[Sort Code]=(TRIM(E$5)))*(CsDJ[Account Code]=(TRIM($B55))),CsDJ[Debit])))+(SUM(IF((CRDJ[Date]=$A$4)*(CRDJ[Sort Code]=(TRIM(E$5)))*(CRDJ[Account Code]=(TRIM($B55))),CRDJ[Debit])))+(SUM(IF((GJ[Date]=$A$4)*(GJ[Sort Code]=(TRIM(E$5)))*(GJ[Account Code]=(TRIM($B55))),GJ[Debit]))))-((SUM(IF((CkDJ[Date]=$A$4)*(CkDJ[Sort Code]=(TRIM(E$5)))*(CkDJ[Account Code]=(TRIM($B55))),CkDJ[Credit])))+(SUM(IF((CsDJ[Date]=$A$4)*(CsDJ[Sort Code]=(TRIM(E$5)))*(CsDJ[Account Code]=(TRIM($B55))),CsDJ[Credit])))+(SUM(IF((CRDJ[Date]=$A$4)*(CRDJ[Sort Code]=(TRIM(E$5)))*(CRDJ[Account Code]=(TRIM($B55))),CRDJ[Credit])))+(SUM(IF((GJ[Date]=$A$4)*(GJ[Sort Code]=(TRIM(E$5)))*(GJ[Account Code]=(TRIM($B55))),GJ[Credit]))))</f>
        <v>0</v>
      </c>
      <c r="E55" s="467">
        <f>C55+D55</f>
        <v>0</v>
      </c>
    </row>
    <row r="56" spans="1:5">
      <c r="A56" s="476" t="s">
        <v>204</v>
      </c>
      <c r="B56" s="339" t="s">
        <v>171</v>
      </c>
      <c r="C56" s="466">
        <f t="array" ref="C56">((SUM(IF((CkDJ[Sort Code]=(TRIM(E$5)))*(CkDJ[Account Code]=(TRIM($B56)))*(CkDJ[Date]&lt;=$C$8),CkDJ[Debit])))+(SUM(IF((CsDJ[Sort Code]=(TRIM(E$5)))*(CsDJ[Account Code]=(TRIM($B56)))*(CsDJ[Date]&lt;=$C$8),CsDJ[Debit])))+(SUM(IF((CRDJ[Sort Code]=(TRIM(E$5)))*(CRDJ[Account Code]=(TRIM($B56)))*(CRDJ[Date]&lt;=$C$8),CRDJ[Debit])))+(SUM(IF((GJ[Sort Code]=(TRIM(E$5)))*(GJ[Account Code]=(TRIM($B56)))*(GJ[Date]&lt;=$C$8),GJ[Debit]))))-((SUM(IF((CkDJ[Sort Code]=(TRIM(E$5)))*(CkDJ[Account Code]=(TRIM($B56)))*(CkDJ[Date]&lt;=$C$8),CkDJ[Credit])))+(SUM(IF((CsDJ[Sort Code]=(TRIM(E$5)))*(CsDJ[Account Code]=(TRIM($B56)))*(CsDJ[Date]&lt;=$C$8),CsDJ[Credit])))+(SUM(IF((CRDJ[Sort Code]=(TRIM(E$5)))*(CRDJ[Account Code]=(TRIM($B56)))*(CRDJ[Date]&lt;=$C$8),CRDJ[Credit])))+(SUM(IF((GJ[Sort Code]=(TRIM(E$5)))*(GJ[Account Code]=(TRIM($B56)))*(GJ[Date]&lt;=$C$8),GJ[Credit]))))</f>
        <v>0</v>
      </c>
      <c r="D56" s="466">
        <f t="array" ref="D56">((SUM(IF((CkDJ[Date]=$A$4)*(CkDJ[Sort Code]=(TRIM(E$5)))*(CkDJ[Account Code]=(TRIM($B56))),CkDJ[Debit])))+(SUM(IF((CsDJ[Date]=$A$4)*(CsDJ[Sort Code]=(TRIM(E$5)))*(CsDJ[Account Code]=(TRIM($B56))),CsDJ[Debit])))+(SUM(IF((CRDJ[Date]=$A$4)*(CRDJ[Sort Code]=(TRIM(E$5)))*(CRDJ[Account Code]=(TRIM($B56))),CRDJ[Debit])))+(SUM(IF((GJ[Date]=$A$4)*(GJ[Sort Code]=(TRIM(E$5)))*(GJ[Account Code]=(TRIM($B56))),GJ[Debit]))))-((SUM(IF((CkDJ[Date]=$A$4)*(CkDJ[Sort Code]=(TRIM(E$5)))*(CkDJ[Account Code]=(TRIM($B56))),CkDJ[Credit])))+(SUM(IF((CsDJ[Date]=$A$4)*(CsDJ[Sort Code]=(TRIM(E$5)))*(CsDJ[Account Code]=(TRIM($B56))),CsDJ[Credit])))+(SUM(IF((CRDJ[Date]=$A$4)*(CRDJ[Sort Code]=(TRIM(E$5)))*(CRDJ[Account Code]=(TRIM($B56))),CRDJ[Credit])))+(SUM(IF((GJ[Date]=$A$4)*(GJ[Sort Code]=(TRIM(E$5)))*(GJ[Account Code]=(TRIM($B56))),GJ[Credit]))))</f>
        <v>0</v>
      </c>
      <c r="E56" s="467">
        <f t="shared" ref="E56:E72" si="2">C56+D56</f>
        <v>0</v>
      </c>
    </row>
    <row r="57" spans="1:5">
      <c r="A57" s="476" t="s">
        <v>201</v>
      </c>
      <c r="B57" s="339" t="s">
        <v>5</v>
      </c>
      <c r="C57" s="466">
        <f t="array" ref="C57">((SUM(IF((CkDJ[Sort Code]=(TRIM(E$5)))*(CkDJ[Account Code]=(TRIM($B57)))*(CkDJ[Date]&lt;=$C$8),CkDJ[Debit])))+(SUM(IF((CsDJ[Sort Code]=(TRIM(E$5)))*(CsDJ[Account Code]=(TRIM($B57)))*(CsDJ[Date]&lt;=$C$8),CsDJ[Debit])))+(SUM(IF((CRDJ[Sort Code]=(TRIM(E$5)))*(CRDJ[Account Code]=(TRIM($B57)))*(CRDJ[Date]&lt;=$C$8),CRDJ[Debit])))+(SUM(IF((GJ[Sort Code]=(TRIM(E$5)))*(GJ[Account Code]=(TRIM($B57)))*(GJ[Date]&lt;=$C$8),GJ[Debit]))))-((SUM(IF((CkDJ[Sort Code]=(TRIM(E$5)))*(CkDJ[Account Code]=(TRIM($B57)))*(CkDJ[Date]&lt;=$C$8),CkDJ[Credit])))+(SUM(IF((CsDJ[Sort Code]=(TRIM(E$5)))*(CsDJ[Account Code]=(TRIM($B57)))*(CsDJ[Date]&lt;=$C$8),CsDJ[Credit])))+(SUM(IF((CRDJ[Sort Code]=(TRIM(E$5)))*(CRDJ[Account Code]=(TRIM($B57)))*(CRDJ[Date]&lt;=$C$8),CRDJ[Credit])))+(SUM(IF((GJ[Sort Code]=(TRIM(E$5)))*(GJ[Account Code]=(TRIM($B57)))*(GJ[Date]&lt;=$C$8),GJ[Credit]))))</f>
        <v>0</v>
      </c>
      <c r="D57" s="466">
        <f t="array" ref="D57">((SUM(IF((CkDJ[Date]=$A$4)*(CkDJ[Sort Code]=(TRIM(E$5)))*(CkDJ[Account Code]=(TRIM($B57))),CkDJ[Debit])))+(SUM(IF((CsDJ[Date]=$A$4)*(CsDJ[Sort Code]=(TRIM(E$5)))*(CsDJ[Account Code]=(TRIM($B57))),CsDJ[Debit])))+(SUM(IF((CRDJ[Date]=$A$4)*(CRDJ[Sort Code]=(TRIM(E$5)))*(CRDJ[Account Code]=(TRIM($B57))),CRDJ[Debit])))+(SUM(IF((GJ[Date]=$A$4)*(GJ[Sort Code]=(TRIM(E$5)))*(GJ[Account Code]=(TRIM($B57))),GJ[Debit]))))-((SUM(IF((CkDJ[Date]=$A$4)*(CkDJ[Sort Code]=(TRIM(E$5)))*(CkDJ[Account Code]=(TRIM($B57))),CkDJ[Credit])))+(SUM(IF((CsDJ[Date]=$A$4)*(CsDJ[Sort Code]=(TRIM(E$5)))*(CsDJ[Account Code]=(TRIM($B57))),CsDJ[Credit])))+(SUM(IF((CRDJ[Date]=$A$4)*(CRDJ[Sort Code]=(TRIM(E$5)))*(CRDJ[Account Code]=(TRIM($B57))),CRDJ[Credit])))+(SUM(IF((GJ[Date]=$A$4)*(GJ[Sort Code]=(TRIM(E$5)))*(GJ[Account Code]=(TRIM($B57))),GJ[Credit]))))</f>
        <v>0</v>
      </c>
      <c r="E57" s="467">
        <f t="shared" si="2"/>
        <v>0</v>
      </c>
    </row>
    <row r="58" spans="1:5">
      <c r="A58" s="476" t="s">
        <v>202</v>
      </c>
      <c r="B58" s="339" t="s">
        <v>6</v>
      </c>
      <c r="C58" s="466">
        <f t="array" ref="C58">((SUM(IF((CkDJ[Sort Code]=(TRIM(E$5)))*(CkDJ[Account Code]=(TRIM($B58)))*(CkDJ[Date]&lt;=$C$8),CkDJ[Debit])))+(SUM(IF((CsDJ[Sort Code]=(TRIM(E$5)))*(CsDJ[Account Code]=(TRIM($B58)))*(CsDJ[Date]&lt;=$C$8),CsDJ[Debit])))+(SUM(IF((CRDJ[Sort Code]=(TRIM(E$5)))*(CRDJ[Account Code]=(TRIM($B58)))*(CRDJ[Date]&lt;=$C$8),CRDJ[Debit])))+(SUM(IF((GJ[Sort Code]=(TRIM(E$5)))*(GJ[Account Code]=(TRIM($B58)))*(GJ[Date]&lt;=$C$8),GJ[Debit]))))-((SUM(IF((CkDJ[Sort Code]=(TRIM(E$5)))*(CkDJ[Account Code]=(TRIM($B58)))*(CkDJ[Date]&lt;=$C$8),CkDJ[Credit])))+(SUM(IF((CsDJ[Sort Code]=(TRIM(E$5)))*(CsDJ[Account Code]=(TRIM($B58)))*(CsDJ[Date]&lt;=$C$8),CsDJ[Credit])))+(SUM(IF((CRDJ[Sort Code]=(TRIM(E$5)))*(CRDJ[Account Code]=(TRIM($B58)))*(CRDJ[Date]&lt;=$C$8),CRDJ[Credit])))+(SUM(IF((GJ[Sort Code]=(TRIM(E$5)))*(GJ[Account Code]=(TRIM($B58)))*(GJ[Date]&lt;=$C$8),GJ[Credit]))))</f>
        <v>0</v>
      </c>
      <c r="D58" s="466">
        <f t="array" ref="D58">((SUM(IF((CkDJ[Date]=$A$4)*(CkDJ[Sort Code]=(TRIM(E$5)))*(CkDJ[Account Code]=(TRIM($B58))),CkDJ[Debit])))+(SUM(IF((CsDJ[Date]=$A$4)*(CsDJ[Sort Code]=(TRIM(E$5)))*(CsDJ[Account Code]=(TRIM($B58))),CsDJ[Debit])))+(SUM(IF((CRDJ[Date]=$A$4)*(CRDJ[Sort Code]=(TRIM(E$5)))*(CRDJ[Account Code]=(TRIM($B58))),CRDJ[Debit])))+(SUM(IF((GJ[Date]=$A$4)*(GJ[Sort Code]=(TRIM(E$5)))*(GJ[Account Code]=(TRIM($B58))),GJ[Debit]))))-((SUM(IF((CkDJ[Date]=$A$4)*(CkDJ[Sort Code]=(TRIM(E$5)))*(CkDJ[Account Code]=(TRIM($B58))),CkDJ[Credit])))+(SUM(IF((CsDJ[Date]=$A$4)*(CsDJ[Sort Code]=(TRIM(E$5)))*(CsDJ[Account Code]=(TRIM($B58))),CsDJ[Credit])))+(SUM(IF((CRDJ[Date]=$A$4)*(CRDJ[Sort Code]=(TRIM(E$5)))*(CRDJ[Account Code]=(TRIM($B58))),CRDJ[Credit])))+(SUM(IF((GJ[Date]=$A$4)*(GJ[Sort Code]=(TRIM(E$5)))*(GJ[Account Code]=(TRIM($B58))),GJ[Credit]))))</f>
        <v>0</v>
      </c>
      <c r="E58" s="467">
        <f t="shared" si="2"/>
        <v>0</v>
      </c>
    </row>
    <row r="59" spans="1:5">
      <c r="A59" s="476" t="s">
        <v>203</v>
      </c>
      <c r="B59" s="339" t="s">
        <v>7</v>
      </c>
      <c r="C59" s="466">
        <f t="array" ref="C59">((SUM(IF((CkDJ[Sort Code]=(TRIM(E$5)))*(CkDJ[Account Code]=(TRIM($B59)))*(CkDJ[Date]&lt;=$C$8),CkDJ[Debit])))+(SUM(IF((CsDJ[Sort Code]=(TRIM(E$5)))*(CsDJ[Account Code]=(TRIM($B59)))*(CsDJ[Date]&lt;=$C$8),CsDJ[Debit])))+(SUM(IF((CRDJ[Sort Code]=(TRIM(E$5)))*(CRDJ[Account Code]=(TRIM($B59)))*(CRDJ[Date]&lt;=$C$8),CRDJ[Debit])))+(SUM(IF((GJ[Sort Code]=(TRIM(E$5)))*(GJ[Account Code]=(TRIM($B59)))*(GJ[Date]&lt;=$C$8),GJ[Debit]))))-((SUM(IF((CkDJ[Sort Code]=(TRIM(E$5)))*(CkDJ[Account Code]=(TRIM($B59)))*(CkDJ[Date]&lt;=$C$8),CkDJ[Credit])))+(SUM(IF((CsDJ[Sort Code]=(TRIM(E$5)))*(CsDJ[Account Code]=(TRIM($B59)))*(CsDJ[Date]&lt;=$C$8),CsDJ[Credit])))+(SUM(IF((CRDJ[Sort Code]=(TRIM(E$5)))*(CRDJ[Account Code]=(TRIM($B59)))*(CRDJ[Date]&lt;=$C$8),CRDJ[Credit])))+(SUM(IF((GJ[Sort Code]=(TRIM(E$5)))*(GJ[Account Code]=(TRIM($B59)))*(GJ[Date]&lt;=$C$8),GJ[Credit]))))</f>
        <v>0</v>
      </c>
      <c r="D59" s="466">
        <f t="array" ref="D59">((SUM(IF((CkDJ[Date]=$A$4)*(CkDJ[Sort Code]=(TRIM(E$5)))*(CkDJ[Account Code]=(TRIM($B59))),CkDJ[Debit])))+(SUM(IF((CsDJ[Date]=$A$4)*(CsDJ[Sort Code]=(TRIM(E$5)))*(CsDJ[Account Code]=(TRIM($B59))),CsDJ[Debit])))+(SUM(IF((CRDJ[Date]=$A$4)*(CRDJ[Sort Code]=(TRIM(E$5)))*(CRDJ[Account Code]=(TRIM($B59))),CRDJ[Debit])))+(SUM(IF((GJ[Date]=$A$4)*(GJ[Sort Code]=(TRIM(E$5)))*(GJ[Account Code]=(TRIM($B59))),GJ[Debit]))))-((SUM(IF((CkDJ[Date]=$A$4)*(CkDJ[Sort Code]=(TRIM(E$5)))*(CkDJ[Account Code]=(TRIM($B59))),CkDJ[Credit])))+(SUM(IF((CsDJ[Date]=$A$4)*(CsDJ[Sort Code]=(TRIM(E$5)))*(CsDJ[Account Code]=(TRIM($B59))),CsDJ[Credit])))+(SUM(IF((CRDJ[Date]=$A$4)*(CRDJ[Sort Code]=(TRIM(E$5)))*(CRDJ[Account Code]=(TRIM($B59))),CRDJ[Credit])))+(SUM(IF((GJ[Date]=$A$4)*(GJ[Sort Code]=(TRIM(E$5)))*(GJ[Account Code]=(TRIM($B59))),GJ[Credit]))))</f>
        <v>0</v>
      </c>
      <c r="E59" s="467">
        <f t="shared" si="2"/>
        <v>0</v>
      </c>
    </row>
    <row r="60" spans="1:5">
      <c r="A60" s="476" t="s">
        <v>1378</v>
      </c>
      <c r="B60" s="339" t="s">
        <v>169</v>
      </c>
      <c r="C60" s="466">
        <f t="array" ref="C60">((SUM(IF((CkDJ[Sort Code]=(TRIM(E$5)))*(CkDJ[Account Code]=(TRIM($B60)))*(CkDJ[Date]&lt;=$C$8),CkDJ[Debit])))+(SUM(IF((CsDJ[Sort Code]=(TRIM(E$5)))*(CsDJ[Account Code]=(TRIM($B60)))*(CsDJ[Date]&lt;=$C$8),CsDJ[Debit])))+(SUM(IF((CRDJ[Sort Code]=(TRIM(E$5)))*(CRDJ[Account Code]=(TRIM($B60)))*(CRDJ[Date]&lt;=$C$8),CRDJ[Debit])))+(SUM(IF((GJ[Sort Code]=(TRIM(E$5)))*(GJ[Account Code]=(TRIM($B60)))*(GJ[Date]&lt;=$C$8),GJ[Debit]))))-((SUM(IF((CkDJ[Sort Code]=(TRIM(E$5)))*(CkDJ[Account Code]=(TRIM($B60)))*(CkDJ[Date]&lt;=$C$8),CkDJ[Credit])))+(SUM(IF((CsDJ[Sort Code]=(TRIM(E$5)))*(CsDJ[Account Code]=(TRIM($B60)))*(CsDJ[Date]&lt;=$C$8),CsDJ[Credit])))+(SUM(IF((CRDJ[Sort Code]=(TRIM(E$5)))*(CRDJ[Account Code]=(TRIM($B60)))*(CRDJ[Date]&lt;=$C$8),CRDJ[Credit])))+(SUM(IF((GJ[Sort Code]=(TRIM(E$5)))*(GJ[Account Code]=(TRIM($B60)))*(GJ[Date]&lt;=$C$8),GJ[Credit]))))</f>
        <v>0</v>
      </c>
      <c r="D60" s="466">
        <f t="array" ref="D60">((SUM(IF((CkDJ[Date]=$A$4)*(CkDJ[Sort Code]=(TRIM(E$5)))*(CkDJ[Account Code]=(TRIM($B60))),CkDJ[Debit])))+(SUM(IF((CsDJ[Date]=$A$4)*(CsDJ[Sort Code]=(TRIM(E$5)))*(CsDJ[Account Code]=(TRIM($B60))),CsDJ[Debit])))+(SUM(IF((CRDJ[Date]=$A$4)*(CRDJ[Sort Code]=(TRIM(E$5)))*(CRDJ[Account Code]=(TRIM($B60))),CRDJ[Debit])))+(SUM(IF((GJ[Date]=$A$4)*(GJ[Sort Code]=(TRIM(E$5)))*(GJ[Account Code]=(TRIM($B60))),GJ[Debit]))))-((SUM(IF((CkDJ[Date]=$A$4)*(CkDJ[Sort Code]=(TRIM(E$5)))*(CkDJ[Account Code]=(TRIM($B60))),CkDJ[Credit])))+(SUM(IF((CsDJ[Date]=$A$4)*(CsDJ[Sort Code]=(TRIM(E$5)))*(CsDJ[Account Code]=(TRIM($B60))),CsDJ[Credit])))+(SUM(IF((CRDJ[Date]=$A$4)*(CRDJ[Sort Code]=(TRIM(E$5)))*(CRDJ[Account Code]=(TRIM($B60))),CRDJ[Credit])))+(SUM(IF((GJ[Date]=$A$4)*(GJ[Sort Code]=(TRIM(E$5)))*(GJ[Account Code]=(TRIM($B60))),GJ[Credit]))))</f>
        <v>0</v>
      </c>
      <c r="E60" s="467">
        <f>C60+D60</f>
        <v>0</v>
      </c>
    </row>
    <row r="61" spans="1:5">
      <c r="A61" s="476" t="s">
        <v>1474</v>
      </c>
      <c r="B61" s="339" t="s">
        <v>170</v>
      </c>
      <c r="C61" s="466">
        <f t="array" ref="C61">((SUM(IF((CkDJ[Sort Code]=(TRIM(E$5)))*(CkDJ[Account Code]=(TRIM($B61)))*(CkDJ[Date]&lt;=$C$8),CkDJ[Debit])))+(SUM(IF((CsDJ[Sort Code]=(TRIM(E$5)))*(CsDJ[Account Code]=(TRIM($B61)))*(CsDJ[Date]&lt;=$C$8),CsDJ[Debit])))+(SUM(IF((CRDJ[Sort Code]=(TRIM(E$5)))*(CRDJ[Account Code]=(TRIM($B61)))*(CRDJ[Date]&lt;=$C$8),CRDJ[Debit])))+(SUM(IF((GJ[Sort Code]=(TRIM(E$5)))*(GJ[Account Code]=(TRIM($B61)))*(GJ[Date]&lt;=$C$8),GJ[Debit]))))-((SUM(IF((CkDJ[Sort Code]=(TRIM(E$5)))*(CkDJ[Account Code]=(TRIM($B61)))*(CkDJ[Date]&lt;=$C$8),CkDJ[Credit])))+(SUM(IF((CsDJ[Sort Code]=(TRIM(E$5)))*(CsDJ[Account Code]=(TRIM($B61)))*(CsDJ[Date]&lt;=$C$8),CsDJ[Credit])))+(SUM(IF((CRDJ[Sort Code]=(TRIM(E$5)))*(CRDJ[Account Code]=(TRIM($B61)))*(CRDJ[Date]&lt;=$C$8),CRDJ[Credit])))+(SUM(IF((GJ[Sort Code]=(TRIM(E$5)))*(GJ[Account Code]=(TRIM($B61)))*(GJ[Date]&lt;=$C$8),GJ[Credit]))))</f>
        <v>0</v>
      </c>
      <c r="D61" s="466">
        <f t="array" ref="D61">((SUM(IF((CkDJ[Date]=$A$4)*(CkDJ[Sort Code]=(TRIM(E$5)))*(CkDJ[Account Code]=(TRIM($B61))),CkDJ[Debit])))+(SUM(IF((CsDJ[Date]=$A$4)*(CsDJ[Sort Code]=(TRIM(E$5)))*(CsDJ[Account Code]=(TRIM($B61))),CsDJ[Debit])))+(SUM(IF((CRDJ[Date]=$A$4)*(CRDJ[Sort Code]=(TRIM(E$5)))*(CRDJ[Account Code]=(TRIM($B61))),CRDJ[Debit])))+(SUM(IF((GJ[Date]=$A$4)*(GJ[Sort Code]=(TRIM(E$5)))*(GJ[Account Code]=(TRIM($B61))),GJ[Debit]))))-((SUM(IF((CkDJ[Date]=$A$4)*(CkDJ[Sort Code]=(TRIM(E$5)))*(CkDJ[Account Code]=(TRIM($B61))),CkDJ[Credit])))+(SUM(IF((CsDJ[Date]=$A$4)*(CsDJ[Sort Code]=(TRIM(E$5)))*(CsDJ[Account Code]=(TRIM($B61))),CsDJ[Credit])))+(SUM(IF((CRDJ[Date]=$A$4)*(CRDJ[Sort Code]=(TRIM(E$5)))*(CRDJ[Account Code]=(TRIM($B61))),CRDJ[Credit])))+(SUM(IF((GJ[Date]=$A$4)*(GJ[Sort Code]=(TRIM(E$5)))*(GJ[Account Code]=(TRIM($B61))),GJ[Credit]))))</f>
        <v>0</v>
      </c>
      <c r="E61" s="467">
        <f>C61+D61</f>
        <v>0</v>
      </c>
    </row>
    <row r="62" spans="1:5">
      <c r="A62" s="476" t="s">
        <v>206</v>
      </c>
      <c r="B62" s="339" t="s">
        <v>173</v>
      </c>
      <c r="C62" s="466">
        <f t="array" ref="C62">((SUM(IF((CkDJ[Sort Code]=(TRIM(E$5)))*(CkDJ[Account Code]=(TRIM($B62)))*(CkDJ[Date]&lt;=$C$8),CkDJ[Debit])))+(SUM(IF((CsDJ[Sort Code]=(TRIM(E$5)))*(CsDJ[Account Code]=(TRIM($B62)))*(CsDJ[Date]&lt;=$C$8),CsDJ[Debit])))+(SUM(IF((CRDJ[Sort Code]=(TRIM(E$5)))*(CRDJ[Account Code]=(TRIM($B62)))*(CRDJ[Date]&lt;=$C$8),CRDJ[Debit])))+(SUM(IF((GJ[Sort Code]=(TRIM(E$5)))*(GJ[Account Code]=(TRIM($B62)))*(GJ[Date]&lt;=$C$8),GJ[Debit]))))-((SUM(IF((CkDJ[Sort Code]=(TRIM(E$5)))*(CkDJ[Account Code]=(TRIM($B62)))*(CkDJ[Date]&lt;=$C$8),CkDJ[Credit])))+(SUM(IF((CsDJ[Sort Code]=(TRIM(E$5)))*(CsDJ[Account Code]=(TRIM($B62)))*(CsDJ[Date]&lt;=$C$8),CsDJ[Credit])))+(SUM(IF((CRDJ[Sort Code]=(TRIM(E$5)))*(CRDJ[Account Code]=(TRIM($B62)))*(CRDJ[Date]&lt;=$C$8),CRDJ[Credit])))+(SUM(IF((GJ[Sort Code]=(TRIM(E$5)))*(GJ[Account Code]=(TRIM($B62)))*(GJ[Date]&lt;=$C$8),GJ[Credit]))))</f>
        <v>0</v>
      </c>
      <c r="D62" s="466">
        <f t="array" ref="D62">((SUM(IF((CkDJ[Date]=$A$4)*(CkDJ[Sort Code]=(TRIM(E$5)))*(CkDJ[Account Code]=(TRIM($B62))),CkDJ[Debit])))+(SUM(IF((CsDJ[Date]=$A$4)*(CsDJ[Sort Code]=(TRIM(E$5)))*(CsDJ[Account Code]=(TRIM($B62))),CsDJ[Debit])))+(SUM(IF((CRDJ[Date]=$A$4)*(CRDJ[Sort Code]=(TRIM(E$5)))*(CRDJ[Account Code]=(TRIM($B62))),CRDJ[Debit])))+(SUM(IF((GJ[Date]=$A$4)*(GJ[Sort Code]=(TRIM(E$5)))*(GJ[Account Code]=(TRIM($B62))),GJ[Debit]))))-((SUM(IF((CkDJ[Date]=$A$4)*(CkDJ[Sort Code]=(TRIM(E$5)))*(CkDJ[Account Code]=(TRIM($B62))),CkDJ[Credit])))+(SUM(IF((CsDJ[Date]=$A$4)*(CsDJ[Sort Code]=(TRIM(E$5)))*(CsDJ[Account Code]=(TRIM($B62))),CsDJ[Credit])))+(SUM(IF((CRDJ[Date]=$A$4)*(CRDJ[Sort Code]=(TRIM(E$5)))*(CRDJ[Account Code]=(TRIM($B62))),CRDJ[Credit])))+(SUM(IF((GJ[Date]=$A$4)*(GJ[Sort Code]=(TRIM(E$5)))*(GJ[Account Code]=(TRIM($B62))),GJ[Credit]))))</f>
        <v>0</v>
      </c>
      <c r="E62" s="467">
        <f t="shared" si="2"/>
        <v>0</v>
      </c>
    </row>
    <row r="63" spans="1:5">
      <c r="A63" s="476" t="s">
        <v>354</v>
      </c>
      <c r="B63" s="339" t="s">
        <v>216</v>
      </c>
      <c r="C63" s="466">
        <f t="array" ref="C63">((SUM(IF((CkDJ[Sort Code]=(TRIM(E$5)))*(CkDJ[Account Code]=(TRIM($B63)))*(CkDJ[Date]&lt;=$C$8),CkDJ[Debit])))+(SUM(IF((CsDJ[Sort Code]=(TRIM(E$5)))*(CsDJ[Account Code]=(TRIM($B63)))*(CsDJ[Date]&lt;=$C$8),CsDJ[Debit])))+(SUM(IF((CRDJ[Sort Code]=(TRIM(E$5)))*(CRDJ[Account Code]=(TRIM($B63)))*(CRDJ[Date]&lt;=$C$8),CRDJ[Debit])))+(SUM(IF((GJ[Sort Code]=(TRIM(E$5)))*(GJ[Account Code]=(TRIM($B63)))*(GJ[Date]&lt;=$C$8),GJ[Debit]))))-((SUM(IF((CkDJ[Sort Code]=(TRIM(E$5)))*(CkDJ[Account Code]=(TRIM($B63)))*(CkDJ[Date]&lt;=$C$8),CkDJ[Credit])))+(SUM(IF((CsDJ[Sort Code]=(TRIM(E$5)))*(CsDJ[Account Code]=(TRIM($B63)))*(CsDJ[Date]&lt;=$C$8),CsDJ[Credit])))+(SUM(IF((CRDJ[Sort Code]=(TRIM(E$5)))*(CRDJ[Account Code]=(TRIM($B63)))*(CRDJ[Date]&lt;=$C$8),CRDJ[Credit])))+(SUM(IF((GJ[Sort Code]=(TRIM(E$5)))*(GJ[Account Code]=(TRIM($B63)))*(GJ[Date]&lt;=$C$8),GJ[Credit]))))</f>
        <v>0</v>
      </c>
      <c r="D63" s="466">
        <f t="array" ref="D63">((SUM(IF((CkDJ[Date]=$A$4)*(CkDJ[Sort Code]=(TRIM(E$5)))*(CkDJ[Account Code]=(TRIM($B63))),CkDJ[Debit])))+(SUM(IF((CsDJ[Date]=$A$4)*(CsDJ[Sort Code]=(TRIM(E$5)))*(CsDJ[Account Code]=(TRIM($B63))),CsDJ[Debit])))+(SUM(IF((CRDJ[Date]=$A$4)*(CRDJ[Sort Code]=(TRIM(E$5)))*(CRDJ[Account Code]=(TRIM($B63))),CRDJ[Debit])))+(SUM(IF((GJ[Date]=$A$4)*(GJ[Sort Code]=(TRIM(E$5)))*(GJ[Account Code]=(TRIM($B63))),GJ[Debit]))))-((SUM(IF((CkDJ[Date]=$A$4)*(CkDJ[Sort Code]=(TRIM(E$5)))*(CkDJ[Account Code]=(TRIM($B63))),CkDJ[Credit])))+(SUM(IF((CsDJ[Date]=$A$4)*(CsDJ[Sort Code]=(TRIM(E$5)))*(CsDJ[Account Code]=(TRIM($B63))),CsDJ[Credit])))+(SUM(IF((CRDJ[Date]=$A$4)*(CRDJ[Sort Code]=(TRIM(E$5)))*(CRDJ[Account Code]=(TRIM($B63))),CRDJ[Credit])))+(SUM(IF((GJ[Date]=$A$4)*(GJ[Sort Code]=(TRIM(E$5)))*(GJ[Account Code]=(TRIM($B63))),GJ[Credit]))))</f>
        <v>0</v>
      </c>
      <c r="E63" s="467">
        <f t="shared" si="2"/>
        <v>0</v>
      </c>
    </row>
    <row r="64" spans="1:5">
      <c r="A64" s="476" t="s">
        <v>219</v>
      </c>
      <c r="B64" s="339" t="s">
        <v>214</v>
      </c>
      <c r="C64" s="466">
        <f t="array" ref="C64">((SUM(IF((CkDJ[Sort Code]=(TRIM(E$5)))*(CkDJ[Account Code]=(TRIM($B64)))*(CkDJ[Date]&lt;=$C$8),CkDJ[Debit])))+(SUM(IF((CsDJ[Sort Code]=(TRIM(E$5)))*(CsDJ[Account Code]=(TRIM($B64)))*(CsDJ[Date]&lt;=$C$8),CsDJ[Debit])))+(SUM(IF((CRDJ[Sort Code]=(TRIM(E$5)))*(CRDJ[Account Code]=(TRIM($B64)))*(CRDJ[Date]&lt;=$C$8),CRDJ[Debit])))+(SUM(IF((GJ[Sort Code]=(TRIM(E$5)))*(GJ[Account Code]=(TRIM($B64)))*(GJ[Date]&lt;=$C$8),GJ[Debit]))))-((SUM(IF((CkDJ[Sort Code]=(TRIM(E$5)))*(CkDJ[Account Code]=(TRIM($B64)))*(CkDJ[Date]&lt;=$C$8),CkDJ[Credit])))+(SUM(IF((CsDJ[Sort Code]=(TRIM(E$5)))*(CsDJ[Account Code]=(TRIM($B64)))*(CsDJ[Date]&lt;=$C$8),CsDJ[Credit])))+(SUM(IF((CRDJ[Sort Code]=(TRIM(E$5)))*(CRDJ[Account Code]=(TRIM($B64)))*(CRDJ[Date]&lt;=$C$8),CRDJ[Credit])))+(SUM(IF((GJ[Sort Code]=(TRIM(E$5)))*(GJ[Account Code]=(TRIM($B64)))*(GJ[Date]&lt;=$C$8),GJ[Credit]))))</f>
        <v>0</v>
      </c>
      <c r="D64" s="466">
        <f t="array" ref="D64">((SUM(IF((CkDJ[Date]=$A$4)*(CkDJ[Sort Code]=(TRIM(E$5)))*(CkDJ[Account Code]=(TRIM($B64))),CkDJ[Debit])))+(SUM(IF((CsDJ[Date]=$A$4)*(CsDJ[Sort Code]=(TRIM(E$5)))*(CsDJ[Account Code]=(TRIM($B64))),CsDJ[Debit])))+(SUM(IF((CRDJ[Date]=$A$4)*(CRDJ[Sort Code]=(TRIM(E$5)))*(CRDJ[Account Code]=(TRIM($B64))),CRDJ[Debit])))+(SUM(IF((GJ[Date]=$A$4)*(GJ[Sort Code]=(TRIM(E$5)))*(GJ[Account Code]=(TRIM($B64))),GJ[Debit]))))-((SUM(IF((CkDJ[Date]=$A$4)*(CkDJ[Sort Code]=(TRIM(E$5)))*(CkDJ[Account Code]=(TRIM($B64))),CkDJ[Credit])))+(SUM(IF((CsDJ[Date]=$A$4)*(CsDJ[Sort Code]=(TRIM(E$5)))*(CsDJ[Account Code]=(TRIM($B64))),CsDJ[Credit])))+(SUM(IF((CRDJ[Date]=$A$4)*(CRDJ[Sort Code]=(TRIM(E$5)))*(CRDJ[Account Code]=(TRIM($B64))),CRDJ[Credit])))+(SUM(IF((GJ[Date]=$A$4)*(GJ[Sort Code]=(TRIM(E$5)))*(GJ[Account Code]=(TRIM($B64))),GJ[Credit]))))</f>
        <v>0</v>
      </c>
      <c r="E64" s="467">
        <f t="shared" si="2"/>
        <v>0</v>
      </c>
    </row>
    <row r="65" spans="1:5">
      <c r="A65" s="476" t="s">
        <v>205</v>
      </c>
      <c r="B65" s="339" t="s">
        <v>172</v>
      </c>
      <c r="C65" s="466">
        <f t="array" ref="C65">((SUM(IF((CkDJ[Sort Code]=(TRIM(E$5)))*(CkDJ[Account Code]=(TRIM($B65)))*(CkDJ[Date]&lt;=$C$8),CkDJ[Debit])))+(SUM(IF((CsDJ[Sort Code]=(TRIM(E$5)))*(CsDJ[Account Code]=(TRIM($B65)))*(CsDJ[Date]&lt;=$C$8),CsDJ[Debit])))+(SUM(IF((CRDJ[Sort Code]=(TRIM(E$5)))*(CRDJ[Account Code]=(TRIM($B65)))*(CRDJ[Date]&lt;=$C$8),CRDJ[Debit])))+(SUM(IF((GJ[Sort Code]=(TRIM(E$5)))*(GJ[Account Code]=(TRIM($B65)))*(GJ[Date]&lt;=$C$8),GJ[Debit]))))-((SUM(IF((CkDJ[Sort Code]=(TRIM(E$5)))*(CkDJ[Account Code]=(TRIM($B65)))*(CkDJ[Date]&lt;=$C$8),CkDJ[Credit])))+(SUM(IF((CsDJ[Sort Code]=(TRIM(E$5)))*(CsDJ[Account Code]=(TRIM($B65)))*(CsDJ[Date]&lt;=$C$8),CsDJ[Credit])))+(SUM(IF((CRDJ[Sort Code]=(TRIM(E$5)))*(CRDJ[Account Code]=(TRIM($B65)))*(CRDJ[Date]&lt;=$C$8),CRDJ[Credit])))+(SUM(IF((GJ[Sort Code]=(TRIM(E$5)))*(GJ[Account Code]=(TRIM($B65)))*(GJ[Date]&lt;=$C$8),GJ[Credit]))))</f>
        <v>0</v>
      </c>
      <c r="D65" s="466">
        <f t="array" ref="D65">((SUM(IF((CkDJ[Date]=$A$4)*(CkDJ[Sort Code]=(TRIM(E$5)))*(CkDJ[Account Code]=(TRIM($B65))),CkDJ[Debit])))+(SUM(IF((CsDJ[Date]=$A$4)*(CsDJ[Sort Code]=(TRIM(E$5)))*(CsDJ[Account Code]=(TRIM($B65))),CsDJ[Debit])))+(SUM(IF((CRDJ[Date]=$A$4)*(CRDJ[Sort Code]=(TRIM(E$5)))*(CRDJ[Account Code]=(TRIM($B65))),CRDJ[Debit])))+(SUM(IF((GJ[Date]=$A$4)*(GJ[Sort Code]=(TRIM(E$5)))*(GJ[Account Code]=(TRIM($B65))),GJ[Debit]))))-((SUM(IF((CkDJ[Date]=$A$4)*(CkDJ[Sort Code]=(TRIM(E$5)))*(CkDJ[Account Code]=(TRIM($B65))),CkDJ[Credit])))+(SUM(IF((CsDJ[Date]=$A$4)*(CsDJ[Sort Code]=(TRIM(E$5)))*(CsDJ[Account Code]=(TRIM($B65))),CsDJ[Credit])))+(SUM(IF((CRDJ[Date]=$A$4)*(CRDJ[Sort Code]=(TRIM(E$5)))*(CRDJ[Account Code]=(TRIM($B65))),CRDJ[Credit])))+(SUM(IF((GJ[Date]=$A$4)*(GJ[Sort Code]=(TRIM(E$5)))*(GJ[Account Code]=(TRIM($B65))),GJ[Credit]))))</f>
        <v>0</v>
      </c>
      <c r="E65" s="467">
        <f t="shared" si="2"/>
        <v>0</v>
      </c>
    </row>
    <row r="66" spans="1:5">
      <c r="A66" s="476" t="s">
        <v>207</v>
      </c>
      <c r="B66" s="339" t="s">
        <v>174</v>
      </c>
      <c r="C66" s="466">
        <f t="array" ref="C66">((SUM(IF((CkDJ[Sort Code]=(TRIM(E$5)))*(CkDJ[Account Code]=(TRIM($B66)))*(CkDJ[Date]&lt;=$C$8),CkDJ[Debit])))+(SUM(IF((CsDJ[Sort Code]=(TRIM(E$5)))*(CsDJ[Account Code]=(TRIM($B66)))*(CsDJ[Date]&lt;=$C$8),CsDJ[Debit])))+(SUM(IF((CRDJ[Sort Code]=(TRIM(E$5)))*(CRDJ[Account Code]=(TRIM($B66)))*(CRDJ[Date]&lt;=$C$8),CRDJ[Debit])))+(SUM(IF((GJ[Sort Code]=(TRIM(E$5)))*(GJ[Account Code]=(TRIM($B66)))*(GJ[Date]&lt;=$C$8),GJ[Debit]))))-((SUM(IF((CkDJ[Sort Code]=(TRIM(E$5)))*(CkDJ[Account Code]=(TRIM($B66)))*(CkDJ[Date]&lt;=$C$8),CkDJ[Credit])))+(SUM(IF((CsDJ[Sort Code]=(TRIM(E$5)))*(CsDJ[Account Code]=(TRIM($B66)))*(CsDJ[Date]&lt;=$C$8),CsDJ[Credit])))+(SUM(IF((CRDJ[Sort Code]=(TRIM(E$5)))*(CRDJ[Account Code]=(TRIM($B66)))*(CRDJ[Date]&lt;=$C$8),CRDJ[Credit])))+(SUM(IF((GJ[Sort Code]=(TRIM(E$5)))*(GJ[Account Code]=(TRIM($B66)))*(GJ[Date]&lt;=$C$8),GJ[Credit]))))</f>
        <v>0</v>
      </c>
      <c r="D66" s="466">
        <f t="array" ref="D66">((SUM(IF((CkDJ[Date]=$A$4)*(CkDJ[Sort Code]=(TRIM(E$5)))*(CkDJ[Account Code]=(TRIM($B66))),CkDJ[Debit])))+(SUM(IF((CsDJ[Date]=$A$4)*(CsDJ[Sort Code]=(TRIM(E$5)))*(CsDJ[Account Code]=(TRIM($B66))),CsDJ[Debit])))+(SUM(IF((CRDJ[Date]=$A$4)*(CRDJ[Sort Code]=(TRIM(E$5)))*(CRDJ[Account Code]=(TRIM($B66))),CRDJ[Debit])))+(SUM(IF((GJ[Date]=$A$4)*(GJ[Sort Code]=(TRIM(E$5)))*(GJ[Account Code]=(TRIM($B66))),GJ[Debit]))))-((SUM(IF((CkDJ[Date]=$A$4)*(CkDJ[Sort Code]=(TRIM(E$5)))*(CkDJ[Account Code]=(TRIM($B66))),CkDJ[Credit])))+(SUM(IF((CsDJ[Date]=$A$4)*(CsDJ[Sort Code]=(TRIM(E$5)))*(CsDJ[Account Code]=(TRIM($B66))),CsDJ[Credit])))+(SUM(IF((CRDJ[Date]=$A$4)*(CRDJ[Sort Code]=(TRIM(E$5)))*(CRDJ[Account Code]=(TRIM($B66))),CRDJ[Credit])))+(SUM(IF((GJ[Date]=$A$4)*(GJ[Sort Code]=(TRIM(E$5)))*(GJ[Account Code]=(TRIM($B66))),GJ[Credit]))))</f>
        <v>0</v>
      </c>
      <c r="E66" s="467">
        <f t="shared" si="2"/>
        <v>0</v>
      </c>
    </row>
    <row r="67" spans="1:5">
      <c r="A67" s="476" t="s">
        <v>208</v>
      </c>
      <c r="B67" s="339" t="s">
        <v>175</v>
      </c>
      <c r="C67" s="466">
        <f t="array" ref="C67">((SUM(IF((CkDJ[Sort Code]=(TRIM(E$5)))*(CkDJ[Account Code]=(TRIM($B67)))*(CkDJ[Date]&lt;=$C$8),CkDJ[Debit])))+(SUM(IF((CsDJ[Sort Code]=(TRIM(E$5)))*(CsDJ[Account Code]=(TRIM($B67)))*(CsDJ[Date]&lt;=$C$8),CsDJ[Debit])))+(SUM(IF((CRDJ[Sort Code]=(TRIM(E$5)))*(CRDJ[Account Code]=(TRIM($B67)))*(CRDJ[Date]&lt;=$C$8),CRDJ[Debit])))+(SUM(IF((GJ[Sort Code]=(TRIM(E$5)))*(GJ[Account Code]=(TRIM($B67)))*(GJ[Date]&lt;=$C$8),GJ[Debit]))))-((SUM(IF((CkDJ[Sort Code]=(TRIM(E$5)))*(CkDJ[Account Code]=(TRIM($B67)))*(CkDJ[Date]&lt;=$C$8),CkDJ[Credit])))+(SUM(IF((CsDJ[Sort Code]=(TRIM(E$5)))*(CsDJ[Account Code]=(TRIM($B67)))*(CsDJ[Date]&lt;=$C$8),CsDJ[Credit])))+(SUM(IF((CRDJ[Sort Code]=(TRIM(E$5)))*(CRDJ[Account Code]=(TRIM($B67)))*(CRDJ[Date]&lt;=$C$8),CRDJ[Credit])))+(SUM(IF((GJ[Sort Code]=(TRIM(E$5)))*(GJ[Account Code]=(TRIM($B67)))*(GJ[Date]&lt;=$C$8),GJ[Credit]))))</f>
        <v>0</v>
      </c>
      <c r="D67" s="466">
        <f t="array" ref="D67">((SUM(IF((CkDJ[Date]=$A$4)*(CkDJ[Sort Code]=(TRIM(E$5)))*(CkDJ[Account Code]=(TRIM($B67))),CkDJ[Debit])))+(SUM(IF((CsDJ[Date]=$A$4)*(CsDJ[Sort Code]=(TRIM(E$5)))*(CsDJ[Account Code]=(TRIM($B67))),CsDJ[Debit])))+(SUM(IF((CRDJ[Date]=$A$4)*(CRDJ[Sort Code]=(TRIM(E$5)))*(CRDJ[Account Code]=(TRIM($B67))),CRDJ[Debit])))+(SUM(IF((GJ[Date]=$A$4)*(GJ[Sort Code]=(TRIM(E$5)))*(GJ[Account Code]=(TRIM($B67))),GJ[Debit]))))-((SUM(IF((CkDJ[Date]=$A$4)*(CkDJ[Sort Code]=(TRIM(E$5)))*(CkDJ[Account Code]=(TRIM($B67))),CkDJ[Credit])))+(SUM(IF((CsDJ[Date]=$A$4)*(CsDJ[Sort Code]=(TRIM(E$5)))*(CsDJ[Account Code]=(TRIM($B67))),CsDJ[Credit])))+(SUM(IF((CRDJ[Date]=$A$4)*(CRDJ[Sort Code]=(TRIM(E$5)))*(CRDJ[Account Code]=(TRIM($B67))),CRDJ[Credit])))+(SUM(IF((GJ[Date]=$A$4)*(GJ[Sort Code]=(TRIM(E$5)))*(GJ[Account Code]=(TRIM($B67))),GJ[Credit]))))</f>
        <v>0</v>
      </c>
      <c r="E67" s="467">
        <f t="shared" si="2"/>
        <v>0</v>
      </c>
    </row>
    <row r="68" spans="1:5">
      <c r="A68" s="476" t="s">
        <v>209</v>
      </c>
      <c r="B68" s="339" t="s">
        <v>176</v>
      </c>
      <c r="C68" s="466">
        <f t="array" ref="C68">((SUM(IF((CkDJ[Sort Code]=(TRIM(E$5)))*(CkDJ[Account Code]=(TRIM($B68)))*(CkDJ[Date]&lt;=$C$8),CkDJ[Debit])))+(SUM(IF((CsDJ[Sort Code]=(TRIM(E$5)))*(CsDJ[Account Code]=(TRIM($B68)))*(CsDJ[Date]&lt;=$C$8),CsDJ[Debit])))+(SUM(IF((CRDJ[Sort Code]=(TRIM(E$5)))*(CRDJ[Account Code]=(TRIM($B68)))*(CRDJ[Date]&lt;=$C$8),CRDJ[Debit])))+(SUM(IF((GJ[Sort Code]=(TRIM(E$5)))*(GJ[Account Code]=(TRIM($B68)))*(GJ[Date]&lt;=$C$8),GJ[Debit]))))-((SUM(IF((CkDJ[Sort Code]=(TRIM(E$5)))*(CkDJ[Account Code]=(TRIM($B68)))*(CkDJ[Date]&lt;=$C$8),CkDJ[Credit])))+(SUM(IF((CsDJ[Sort Code]=(TRIM(E$5)))*(CsDJ[Account Code]=(TRIM($B68)))*(CsDJ[Date]&lt;=$C$8),CsDJ[Credit])))+(SUM(IF((CRDJ[Sort Code]=(TRIM(E$5)))*(CRDJ[Account Code]=(TRIM($B68)))*(CRDJ[Date]&lt;=$C$8),CRDJ[Credit])))+(SUM(IF((GJ[Sort Code]=(TRIM(E$5)))*(GJ[Account Code]=(TRIM($B68)))*(GJ[Date]&lt;=$C$8),GJ[Credit]))))</f>
        <v>0</v>
      </c>
      <c r="D68" s="466">
        <f t="array" ref="D68">((SUM(IF((CkDJ[Date]=$A$4)*(CkDJ[Sort Code]=(TRIM(E$5)))*(CkDJ[Account Code]=(TRIM($B68))),CkDJ[Debit])))+(SUM(IF((CsDJ[Date]=$A$4)*(CsDJ[Sort Code]=(TRIM(E$5)))*(CsDJ[Account Code]=(TRIM($B68))),CsDJ[Debit])))+(SUM(IF((CRDJ[Date]=$A$4)*(CRDJ[Sort Code]=(TRIM(E$5)))*(CRDJ[Account Code]=(TRIM($B68))),CRDJ[Debit])))+(SUM(IF((GJ[Date]=$A$4)*(GJ[Sort Code]=(TRIM(E$5)))*(GJ[Account Code]=(TRIM($B68))),GJ[Debit]))))-((SUM(IF((CkDJ[Date]=$A$4)*(CkDJ[Sort Code]=(TRIM(E$5)))*(CkDJ[Account Code]=(TRIM($B68))),CkDJ[Credit])))+(SUM(IF((CsDJ[Date]=$A$4)*(CsDJ[Sort Code]=(TRIM(E$5)))*(CsDJ[Account Code]=(TRIM($B68))),CsDJ[Credit])))+(SUM(IF((CRDJ[Date]=$A$4)*(CRDJ[Sort Code]=(TRIM(E$5)))*(CRDJ[Account Code]=(TRIM($B68))),CRDJ[Credit])))+(SUM(IF((GJ[Date]=$A$4)*(GJ[Sort Code]=(TRIM(E$5)))*(GJ[Account Code]=(TRIM($B68))),GJ[Credit]))))</f>
        <v>0</v>
      </c>
      <c r="E68" s="467">
        <f t="shared" si="2"/>
        <v>0</v>
      </c>
    </row>
    <row r="69" spans="1:5">
      <c r="A69" s="476" t="s">
        <v>210</v>
      </c>
      <c r="B69" s="339" t="s">
        <v>177</v>
      </c>
      <c r="C69" s="466">
        <f t="array" ref="C69">((SUM(IF((CkDJ[Sort Code]=(TRIM(E$5)))*(CkDJ[Account Code]=(TRIM($B69)))*(CkDJ[Date]&lt;=$C$8),CkDJ[Debit])))+(SUM(IF((CsDJ[Sort Code]=(TRIM(E$5)))*(CsDJ[Account Code]=(TRIM($B69)))*(CsDJ[Date]&lt;=$C$8),CsDJ[Debit])))+(SUM(IF((CRDJ[Sort Code]=(TRIM(E$5)))*(CRDJ[Account Code]=(TRIM($B69)))*(CRDJ[Date]&lt;=$C$8),CRDJ[Debit])))+(SUM(IF((GJ[Sort Code]=(TRIM(E$5)))*(GJ[Account Code]=(TRIM($B69)))*(GJ[Date]&lt;=$C$8),GJ[Debit]))))-((SUM(IF((CkDJ[Sort Code]=(TRIM(E$5)))*(CkDJ[Account Code]=(TRIM($B69)))*(CkDJ[Date]&lt;=$C$8),CkDJ[Credit])))+(SUM(IF((CsDJ[Sort Code]=(TRIM(E$5)))*(CsDJ[Account Code]=(TRIM($B69)))*(CsDJ[Date]&lt;=$C$8),CsDJ[Credit])))+(SUM(IF((CRDJ[Sort Code]=(TRIM(E$5)))*(CRDJ[Account Code]=(TRIM($B69)))*(CRDJ[Date]&lt;=$C$8),CRDJ[Credit])))+(SUM(IF((GJ[Sort Code]=(TRIM(E$5)))*(GJ[Account Code]=(TRIM($B69)))*(GJ[Date]&lt;=$C$8),GJ[Credit]))))</f>
        <v>0</v>
      </c>
      <c r="D69" s="466">
        <f t="array" ref="D69">((SUM(IF((CkDJ[Date]=$A$4)*(CkDJ[Sort Code]=(TRIM(E$5)))*(CkDJ[Account Code]=(TRIM($B69))),CkDJ[Debit])))+(SUM(IF((CsDJ[Date]=$A$4)*(CsDJ[Sort Code]=(TRIM(E$5)))*(CsDJ[Account Code]=(TRIM($B69))),CsDJ[Debit])))+(SUM(IF((CRDJ[Date]=$A$4)*(CRDJ[Sort Code]=(TRIM(E$5)))*(CRDJ[Account Code]=(TRIM($B69))),CRDJ[Debit])))+(SUM(IF((GJ[Date]=$A$4)*(GJ[Sort Code]=(TRIM(E$5)))*(GJ[Account Code]=(TRIM($B69))),GJ[Debit]))))-((SUM(IF((CkDJ[Date]=$A$4)*(CkDJ[Sort Code]=(TRIM(E$5)))*(CkDJ[Account Code]=(TRIM($B69))),CkDJ[Credit])))+(SUM(IF((CsDJ[Date]=$A$4)*(CsDJ[Sort Code]=(TRIM(E$5)))*(CsDJ[Account Code]=(TRIM($B69))),CsDJ[Credit])))+(SUM(IF((CRDJ[Date]=$A$4)*(CRDJ[Sort Code]=(TRIM(E$5)))*(CRDJ[Account Code]=(TRIM($B69))),CRDJ[Credit])))+(SUM(IF((GJ[Date]=$A$4)*(GJ[Sort Code]=(TRIM(E$5)))*(GJ[Account Code]=(TRIM($B69))),GJ[Credit]))))</f>
        <v>0</v>
      </c>
      <c r="E69" s="467">
        <f t="shared" si="2"/>
        <v>0</v>
      </c>
    </row>
    <row r="70" spans="1:5">
      <c r="A70" s="476" t="s">
        <v>211</v>
      </c>
      <c r="B70" s="339" t="s">
        <v>178</v>
      </c>
      <c r="C70" s="466">
        <f t="array" ref="C70">((SUM(IF((CkDJ[Sort Code]=(TRIM(E$5)))*(CkDJ[Account Code]=(TRIM($B70)))*(CkDJ[Date]&lt;=$C$8),CkDJ[Debit])))+(SUM(IF((CsDJ[Sort Code]=(TRIM(E$5)))*(CsDJ[Account Code]=(TRIM($B70)))*(CsDJ[Date]&lt;=$C$8),CsDJ[Debit])))+(SUM(IF((CRDJ[Sort Code]=(TRIM(E$5)))*(CRDJ[Account Code]=(TRIM($B70)))*(CRDJ[Date]&lt;=$C$8),CRDJ[Debit])))+(SUM(IF((GJ[Sort Code]=(TRIM(E$5)))*(GJ[Account Code]=(TRIM($B70)))*(GJ[Date]&lt;=$C$8),GJ[Debit]))))-((SUM(IF((CkDJ[Sort Code]=(TRIM(E$5)))*(CkDJ[Account Code]=(TRIM($B70)))*(CkDJ[Date]&lt;=$C$8),CkDJ[Credit])))+(SUM(IF((CsDJ[Sort Code]=(TRIM(E$5)))*(CsDJ[Account Code]=(TRIM($B70)))*(CsDJ[Date]&lt;=$C$8),CsDJ[Credit])))+(SUM(IF((CRDJ[Sort Code]=(TRIM(E$5)))*(CRDJ[Account Code]=(TRIM($B70)))*(CRDJ[Date]&lt;=$C$8),CRDJ[Credit])))+(SUM(IF((GJ[Sort Code]=(TRIM(E$5)))*(GJ[Account Code]=(TRIM($B70)))*(GJ[Date]&lt;=$C$8),GJ[Credit]))))</f>
        <v>0</v>
      </c>
      <c r="D70" s="466">
        <f t="array" ref="D70">((SUM(IF((CkDJ[Date]=$A$4)*(CkDJ[Sort Code]=(TRIM(E$5)))*(CkDJ[Account Code]=(TRIM($B70))),CkDJ[Debit])))+(SUM(IF((CsDJ[Date]=$A$4)*(CsDJ[Sort Code]=(TRIM(E$5)))*(CsDJ[Account Code]=(TRIM($B70))),CsDJ[Debit])))+(SUM(IF((CRDJ[Date]=$A$4)*(CRDJ[Sort Code]=(TRIM(E$5)))*(CRDJ[Account Code]=(TRIM($B70))),CRDJ[Debit])))+(SUM(IF((GJ[Date]=$A$4)*(GJ[Sort Code]=(TRIM(E$5)))*(GJ[Account Code]=(TRIM($B70))),GJ[Debit]))))-((SUM(IF((CkDJ[Date]=$A$4)*(CkDJ[Sort Code]=(TRIM(E$5)))*(CkDJ[Account Code]=(TRIM($B70))),CkDJ[Credit])))+(SUM(IF((CsDJ[Date]=$A$4)*(CsDJ[Sort Code]=(TRIM(E$5)))*(CsDJ[Account Code]=(TRIM($B70))),CsDJ[Credit])))+(SUM(IF((CRDJ[Date]=$A$4)*(CRDJ[Sort Code]=(TRIM(E$5)))*(CRDJ[Account Code]=(TRIM($B70))),CRDJ[Credit])))+(SUM(IF((GJ[Date]=$A$4)*(GJ[Sort Code]=(TRIM(E$5)))*(GJ[Account Code]=(TRIM($B70))),GJ[Credit]))))</f>
        <v>0</v>
      </c>
      <c r="E70" s="467">
        <f t="shared" si="2"/>
        <v>0</v>
      </c>
    </row>
    <row r="71" spans="1:5">
      <c r="A71" s="476" t="s">
        <v>1167</v>
      </c>
      <c r="B71" s="339" t="s">
        <v>212</v>
      </c>
      <c r="C71" s="466">
        <f t="array" ref="C71">((SUM(IF((CkDJ[Sort Code]=(TRIM(E$5)))*(CkDJ[Account Code]=(TRIM($B71)))*(CkDJ[Date]&lt;=$C$8),CkDJ[Debit])))+(SUM(IF((CsDJ[Sort Code]=(TRIM(E$5)))*(CsDJ[Account Code]=(TRIM($B71)))*(CsDJ[Date]&lt;=$C$8),CsDJ[Debit])))+(SUM(IF((CRDJ[Sort Code]=(TRIM(E$5)))*(CRDJ[Account Code]=(TRIM($B71)))*(CRDJ[Date]&lt;=$C$8),CRDJ[Debit])))+(SUM(IF((GJ[Sort Code]=(TRIM(E$5)))*(GJ[Account Code]=(TRIM($B71)))*(GJ[Date]&lt;=$C$8),GJ[Debit]))))-((SUM(IF((CkDJ[Sort Code]=(TRIM(E$5)))*(CkDJ[Account Code]=(TRIM($B71)))*(CkDJ[Date]&lt;=$C$8),CkDJ[Credit])))+(SUM(IF((CsDJ[Sort Code]=(TRIM(E$5)))*(CsDJ[Account Code]=(TRIM($B71)))*(CsDJ[Date]&lt;=$C$8),CsDJ[Credit])))+(SUM(IF((CRDJ[Sort Code]=(TRIM(E$5)))*(CRDJ[Account Code]=(TRIM($B71)))*(CRDJ[Date]&lt;=$C$8),CRDJ[Credit])))+(SUM(IF((GJ[Sort Code]=(TRIM(E$5)))*(GJ[Account Code]=(TRIM($B71)))*(GJ[Date]&lt;=$C$8),GJ[Credit]))))</f>
        <v>0</v>
      </c>
      <c r="D71" s="466">
        <f t="array" ref="D71">((SUM(IF((CkDJ[Date]=$A$4)*(CkDJ[Sort Code]=(TRIM(E$5)))*(CkDJ[Account Code]=(TRIM($B71))),CkDJ[Debit])))+(SUM(IF((CsDJ[Date]=$A$4)*(CsDJ[Sort Code]=(TRIM(E$5)))*(CsDJ[Account Code]=(TRIM($B71))),CsDJ[Debit])))+(SUM(IF((CRDJ[Date]=$A$4)*(CRDJ[Sort Code]=(TRIM(E$5)))*(CRDJ[Account Code]=(TRIM($B71))),CRDJ[Debit])))+(SUM(IF((GJ[Date]=$A$4)*(GJ[Sort Code]=(TRIM(E$5)))*(GJ[Account Code]=(TRIM($B71))),GJ[Debit]))))-((SUM(IF((CkDJ[Date]=$A$4)*(CkDJ[Sort Code]=(TRIM(E$5)))*(CkDJ[Account Code]=(TRIM($B71))),CkDJ[Credit])))+(SUM(IF((CsDJ[Date]=$A$4)*(CsDJ[Sort Code]=(TRIM(E$5)))*(CsDJ[Account Code]=(TRIM($B71))),CsDJ[Credit])))+(SUM(IF((CRDJ[Date]=$A$4)*(CRDJ[Sort Code]=(TRIM(E$5)))*(CRDJ[Account Code]=(TRIM($B71))),CRDJ[Credit])))+(SUM(IF((GJ[Date]=$A$4)*(GJ[Sort Code]=(TRIM(E$5)))*(GJ[Account Code]=(TRIM($B71))),GJ[Credit]))))</f>
        <v>0</v>
      </c>
      <c r="E71" s="467">
        <f>C71+D71</f>
        <v>0</v>
      </c>
    </row>
    <row r="72" spans="1:5">
      <c r="A72" s="481" t="s">
        <v>218</v>
      </c>
      <c r="B72" s="482" t="s">
        <v>213</v>
      </c>
      <c r="C72" s="483">
        <f t="array" ref="C72">((SUM(IF((CkDJ[Sort Code]=(TRIM(E$5)))*(CkDJ[Account Code]=(TRIM($B72)))*(CkDJ[Date]&lt;=$C$8),CkDJ[Debit])))+(SUM(IF((CsDJ[Sort Code]=(TRIM(E$5)))*(CsDJ[Account Code]=(TRIM($B72)))*(CsDJ[Date]&lt;=$C$8),CsDJ[Debit])))+(SUM(IF((CRDJ[Sort Code]=(TRIM(E$5)))*(CRDJ[Account Code]=(TRIM($B72)))*(CRDJ[Date]&lt;=$C$8),CRDJ[Debit])))+(SUM(IF((GJ[Sort Code]=(TRIM(E$5)))*(GJ[Account Code]=(TRIM($B72)))*(GJ[Date]&lt;=$C$8),GJ[Debit]))))-((SUM(IF((CkDJ[Sort Code]=(TRIM(E$5)))*(CkDJ[Account Code]=(TRIM($B72)))*(CkDJ[Date]&lt;=$C$8),CkDJ[Credit])))+(SUM(IF((CsDJ[Sort Code]=(TRIM(E$5)))*(CsDJ[Account Code]=(TRIM($B72)))*(CsDJ[Date]&lt;=$C$8),CsDJ[Credit])))+(SUM(IF((CRDJ[Sort Code]=(TRIM(E$5)))*(CRDJ[Account Code]=(TRIM($B72)))*(CRDJ[Date]&lt;=$C$8),CRDJ[Credit])))+(SUM(IF((GJ[Sort Code]=(TRIM(E$5)))*(GJ[Account Code]=(TRIM($B72)))*(GJ[Date]&lt;=$C$8),GJ[Credit]))))</f>
        <v>0</v>
      </c>
      <c r="D72" s="483">
        <f t="array" ref="D72">((SUM(IF((CkDJ[Date]=$A$4)*(CkDJ[Sort Code]=(TRIM(E$5)))*(CkDJ[Account Code]=(TRIM($B72))),CkDJ[Debit])))+(SUM(IF((CsDJ[Date]=$A$4)*(CsDJ[Sort Code]=(TRIM(E$5)))*(CsDJ[Account Code]=(TRIM($B72))),CsDJ[Debit])))+(SUM(IF((CRDJ[Date]=$A$4)*(CRDJ[Sort Code]=(TRIM(E$5)))*(CRDJ[Account Code]=(TRIM($B72))),CRDJ[Debit])))+(SUM(IF((GJ[Date]=$A$4)*(GJ[Sort Code]=(TRIM(E$5)))*(GJ[Account Code]=(TRIM($B72))),GJ[Debit]))))-((SUM(IF((CkDJ[Date]=$A$4)*(CkDJ[Sort Code]=(TRIM(E$5)))*(CkDJ[Account Code]=(TRIM($B72))),CkDJ[Credit])))+(SUM(IF((CsDJ[Date]=$A$4)*(CsDJ[Sort Code]=(TRIM(E$5)))*(CsDJ[Account Code]=(TRIM($B72))),CsDJ[Credit])))+(SUM(IF((CRDJ[Date]=$A$4)*(CRDJ[Sort Code]=(TRIM(E$5)))*(CRDJ[Account Code]=(TRIM($B72))),CRDJ[Credit])))+(SUM(IF((GJ[Date]=$A$4)*(GJ[Sort Code]=(TRIM(E$5)))*(GJ[Account Code]=(TRIM($B72))),GJ[Credit]))))</f>
        <v>0</v>
      </c>
      <c r="E72" s="484">
        <f t="shared" si="2"/>
        <v>0</v>
      </c>
    </row>
    <row r="73" spans="1:5">
      <c r="A73" s="476"/>
      <c r="B73" s="339"/>
      <c r="C73" s="466"/>
      <c r="D73" s="466"/>
      <c r="E73" s="467"/>
    </row>
    <row r="74" spans="1:5">
      <c r="A74" s="471" t="s">
        <v>810</v>
      </c>
      <c r="B74" s="339"/>
      <c r="C74" s="480">
        <f>SUM(C75:C137)</f>
        <v>0</v>
      </c>
      <c r="D74" s="480">
        <f>SUM(D75:D137)</f>
        <v>0</v>
      </c>
      <c r="E74" s="480">
        <f>SUM(E75:E137)</f>
        <v>0</v>
      </c>
    </row>
    <row r="75" spans="1:5">
      <c r="A75" s="476" t="s">
        <v>284</v>
      </c>
      <c r="B75" s="339" t="s">
        <v>223</v>
      </c>
      <c r="C75" s="466">
        <f t="array" ref="C75">((SUM(IF((CkDJ[Sort Code]=(TRIM(E$5)))*(CkDJ[Account Code]=(TRIM($B75)))*(CkDJ[Date]&lt;=$C$8),CkDJ[Debit])))+(SUM(IF((CsDJ[Sort Code]=(TRIM(E$5)))*(CsDJ[Account Code]=(TRIM($B75)))*(CsDJ[Date]&lt;=$C$8),CsDJ[Debit])))+(SUM(IF((CRDJ[Sort Code]=(TRIM(E$5)))*(CRDJ[Account Code]=(TRIM($B75)))*(CRDJ[Date]&lt;=$C$8),CRDJ[Debit])))+(SUM(IF((GJ[Sort Code]=(TRIM(E$5)))*(GJ[Account Code]=(TRIM($B75)))*(GJ[Date]&lt;=$C$8),GJ[Debit]))))-((SUM(IF((CkDJ[Sort Code]=(TRIM(E$5)))*(CkDJ[Account Code]=(TRIM($B75)))*(CkDJ[Date]&lt;=$C$8),CkDJ[Credit])))+(SUM(IF((CsDJ[Sort Code]=(TRIM(E$5)))*(CsDJ[Account Code]=(TRIM($B75)))*(CsDJ[Date]&lt;=$C$8),CsDJ[Credit])))+(SUM(IF((CRDJ[Sort Code]=(TRIM(E$5)))*(CRDJ[Account Code]=(TRIM($B75)))*(CRDJ[Date]&lt;=$C$8),CRDJ[Credit])))+(SUM(IF((GJ[Sort Code]=(TRIM(E$5)))*(GJ[Account Code]=(TRIM($B75)))*(GJ[Date]&lt;=$C$8),GJ[Credit]))))</f>
        <v>0</v>
      </c>
      <c r="D75" s="466">
        <f t="array" ref="D75">((SUM(IF((CkDJ[Date]=$A$4)*(CkDJ[Sort Code]=(TRIM(E$5)))*(CkDJ[Account Code]=(TRIM($B75))),CkDJ[Debit])))+(SUM(IF((CsDJ[Date]=$A$4)*(CsDJ[Sort Code]=(TRIM(E$5)))*(CsDJ[Account Code]=(TRIM($B75))),CsDJ[Debit])))+(SUM(IF((CRDJ[Date]=$A$4)*(CRDJ[Sort Code]=(TRIM(E$5)))*(CRDJ[Account Code]=(TRIM($B75))),CRDJ[Debit])))+(SUM(IF((GJ[Date]=$A$4)*(GJ[Sort Code]=(TRIM(E$5)))*(GJ[Account Code]=(TRIM($B75))),GJ[Debit]))))-((SUM(IF((CkDJ[Date]=$A$4)*(CkDJ[Sort Code]=(TRIM(E$5)))*(CkDJ[Account Code]=(TRIM($B75))),CkDJ[Credit])))+(SUM(IF((CsDJ[Date]=$A$4)*(CsDJ[Sort Code]=(TRIM(E$5)))*(CsDJ[Account Code]=(TRIM($B75))),CsDJ[Credit])))+(SUM(IF((CRDJ[Date]=$A$4)*(CRDJ[Sort Code]=(TRIM(E$5)))*(CRDJ[Account Code]=(TRIM($B75))),CRDJ[Credit])))+(SUM(IF((GJ[Date]=$A$4)*(GJ[Sort Code]=(TRIM(E$5)))*(GJ[Account Code]=(TRIM($B75))),GJ[Credit]))))</f>
        <v>0</v>
      </c>
      <c r="E75" s="467">
        <f t="shared" ref="E75:E117" si="3">C75+D75</f>
        <v>0</v>
      </c>
    </row>
    <row r="76" spans="1:5">
      <c r="A76" s="476" t="s">
        <v>1477</v>
      </c>
      <c r="B76" s="339" t="s">
        <v>1233</v>
      </c>
      <c r="C76" s="466">
        <f t="array" ref="C76">((SUM(IF((CkDJ[Sort Code]=(TRIM(E$5)))*(CkDJ[Account Code]=(TRIM($B76)))*(CkDJ[Date]&lt;=$C$8),CkDJ[Debit])))+(SUM(IF((CsDJ[Sort Code]=(TRIM(E$5)))*(CsDJ[Account Code]=(TRIM($B76)))*(CsDJ[Date]&lt;=$C$8),CsDJ[Debit])))+(SUM(IF((CRDJ[Sort Code]=(TRIM(E$5)))*(CRDJ[Account Code]=(TRIM($B76)))*(CRDJ[Date]&lt;=$C$8),CRDJ[Debit])))+(SUM(IF((GJ[Sort Code]=(TRIM(E$5)))*(GJ[Account Code]=(TRIM($B76)))*(GJ[Date]&lt;=$C$8),GJ[Debit]))))-((SUM(IF((CkDJ[Sort Code]=(TRIM(E$5)))*(CkDJ[Account Code]=(TRIM($B76)))*(CkDJ[Date]&lt;=$C$8),CkDJ[Credit])))+(SUM(IF((CsDJ[Sort Code]=(TRIM(E$5)))*(CsDJ[Account Code]=(TRIM($B76)))*(CsDJ[Date]&lt;=$C$8),CsDJ[Credit])))+(SUM(IF((CRDJ[Sort Code]=(TRIM(E$5)))*(CRDJ[Account Code]=(TRIM($B76)))*(CRDJ[Date]&lt;=$C$8),CRDJ[Credit])))+(SUM(IF((GJ[Sort Code]=(TRIM(E$5)))*(GJ[Account Code]=(TRIM($B76)))*(GJ[Date]&lt;=$C$8),GJ[Credit]))))</f>
        <v>0</v>
      </c>
      <c r="D76" s="466">
        <f t="array" ref="D76">((SUM(IF((CkDJ[Date]=$A$4)*(CkDJ[Sort Code]=(TRIM(E$5)))*(CkDJ[Account Code]=(TRIM($B76))),CkDJ[Debit])))+(SUM(IF((CsDJ[Date]=$A$4)*(CsDJ[Sort Code]=(TRIM(E$5)))*(CsDJ[Account Code]=(TRIM($B76))),CsDJ[Debit])))+(SUM(IF((CRDJ[Date]=$A$4)*(CRDJ[Sort Code]=(TRIM(E$5)))*(CRDJ[Account Code]=(TRIM($B76))),CRDJ[Debit])))+(SUM(IF((GJ[Date]=$A$4)*(GJ[Sort Code]=(TRIM(E$5)))*(GJ[Account Code]=(TRIM($B76))),GJ[Debit]))))-((SUM(IF((CkDJ[Date]=$A$4)*(CkDJ[Sort Code]=(TRIM(E$5)))*(CkDJ[Account Code]=(TRIM($B76))),CkDJ[Credit])))+(SUM(IF((CsDJ[Date]=$A$4)*(CsDJ[Sort Code]=(TRIM(E$5)))*(CsDJ[Account Code]=(TRIM($B76))),CsDJ[Credit])))+(SUM(IF((CRDJ[Date]=$A$4)*(CRDJ[Sort Code]=(TRIM(E$5)))*(CRDJ[Account Code]=(TRIM($B76))),CRDJ[Credit])))+(SUM(IF((GJ[Date]=$A$4)*(GJ[Sort Code]=(TRIM(E$5)))*(GJ[Account Code]=(TRIM($B76))),GJ[Credit]))))</f>
        <v>0</v>
      </c>
      <c r="E76" s="467">
        <f>C76+D76</f>
        <v>0</v>
      </c>
    </row>
    <row r="77" spans="1:5">
      <c r="A77" s="476" t="s">
        <v>285</v>
      </c>
      <c r="B77" s="339" t="s">
        <v>224</v>
      </c>
      <c r="C77" s="466">
        <f t="array" ref="C77">((SUM(IF((CkDJ[Sort Code]=(TRIM(E$5)))*(CkDJ[Account Code]=(TRIM($B77)))*(CkDJ[Date]&lt;=$C$8),CkDJ[Debit])))+(SUM(IF((CsDJ[Sort Code]=(TRIM(E$5)))*(CsDJ[Account Code]=(TRIM($B77)))*(CsDJ[Date]&lt;=$C$8),CsDJ[Debit])))+(SUM(IF((CRDJ[Sort Code]=(TRIM(E$5)))*(CRDJ[Account Code]=(TRIM($B77)))*(CRDJ[Date]&lt;=$C$8),CRDJ[Debit])))+(SUM(IF((GJ[Sort Code]=(TRIM(E$5)))*(GJ[Account Code]=(TRIM($B77)))*(GJ[Date]&lt;=$C$8),GJ[Debit]))))-((SUM(IF((CkDJ[Sort Code]=(TRIM(E$5)))*(CkDJ[Account Code]=(TRIM($B77)))*(CkDJ[Date]&lt;=$C$8),CkDJ[Credit])))+(SUM(IF((CsDJ[Sort Code]=(TRIM(E$5)))*(CsDJ[Account Code]=(TRIM($B77)))*(CsDJ[Date]&lt;=$C$8),CsDJ[Credit])))+(SUM(IF((CRDJ[Sort Code]=(TRIM(E$5)))*(CRDJ[Account Code]=(TRIM($B77)))*(CRDJ[Date]&lt;=$C$8),CRDJ[Credit])))+(SUM(IF((GJ[Sort Code]=(TRIM(E$5)))*(GJ[Account Code]=(TRIM($B77)))*(GJ[Date]&lt;=$C$8),GJ[Credit]))))</f>
        <v>0</v>
      </c>
      <c r="D77" s="466">
        <f t="array" ref="D77">((SUM(IF((CkDJ[Date]=$A$4)*(CkDJ[Sort Code]=(TRIM(E$5)))*(CkDJ[Account Code]=(TRIM($B77))),CkDJ[Debit])))+(SUM(IF((CsDJ[Date]=$A$4)*(CsDJ[Sort Code]=(TRIM(E$5)))*(CsDJ[Account Code]=(TRIM($B77))),CsDJ[Debit])))+(SUM(IF((CRDJ[Date]=$A$4)*(CRDJ[Sort Code]=(TRIM(E$5)))*(CRDJ[Account Code]=(TRIM($B77))),CRDJ[Debit])))+(SUM(IF((GJ[Date]=$A$4)*(GJ[Sort Code]=(TRIM(E$5)))*(GJ[Account Code]=(TRIM($B77))),GJ[Debit]))))-((SUM(IF((CkDJ[Date]=$A$4)*(CkDJ[Sort Code]=(TRIM(E$5)))*(CkDJ[Account Code]=(TRIM($B77))),CkDJ[Credit])))+(SUM(IF((CsDJ[Date]=$A$4)*(CsDJ[Sort Code]=(TRIM(E$5)))*(CsDJ[Account Code]=(TRIM($B77))),CsDJ[Credit])))+(SUM(IF((CRDJ[Date]=$A$4)*(CRDJ[Sort Code]=(TRIM(E$5)))*(CRDJ[Account Code]=(TRIM($B77))),CRDJ[Credit])))+(SUM(IF((GJ[Date]=$A$4)*(GJ[Sort Code]=(TRIM(E$5)))*(GJ[Account Code]=(TRIM($B77))),GJ[Credit]))))</f>
        <v>0</v>
      </c>
      <c r="E77" s="467">
        <f t="shared" si="3"/>
        <v>0</v>
      </c>
    </row>
    <row r="78" spans="1:5">
      <c r="A78" s="476" t="s">
        <v>286</v>
      </c>
      <c r="B78" s="339" t="s">
        <v>225</v>
      </c>
      <c r="C78" s="466">
        <f t="array" ref="C78">((SUM(IF((CkDJ[Sort Code]=(TRIM(E$5)))*(CkDJ[Account Code]=(TRIM($B78)))*(CkDJ[Date]&lt;=$C$8),CkDJ[Debit])))+(SUM(IF((CsDJ[Sort Code]=(TRIM(E$5)))*(CsDJ[Account Code]=(TRIM($B78)))*(CsDJ[Date]&lt;=$C$8),CsDJ[Debit])))+(SUM(IF((CRDJ[Sort Code]=(TRIM(E$5)))*(CRDJ[Account Code]=(TRIM($B78)))*(CRDJ[Date]&lt;=$C$8),CRDJ[Debit])))+(SUM(IF((GJ[Sort Code]=(TRIM(E$5)))*(GJ[Account Code]=(TRIM($B78)))*(GJ[Date]&lt;=$C$8),GJ[Debit]))))-((SUM(IF((CkDJ[Sort Code]=(TRIM(E$5)))*(CkDJ[Account Code]=(TRIM($B78)))*(CkDJ[Date]&lt;=$C$8),CkDJ[Credit])))+(SUM(IF((CsDJ[Sort Code]=(TRIM(E$5)))*(CsDJ[Account Code]=(TRIM($B78)))*(CsDJ[Date]&lt;=$C$8),CsDJ[Credit])))+(SUM(IF((CRDJ[Sort Code]=(TRIM(E$5)))*(CRDJ[Account Code]=(TRIM($B78)))*(CRDJ[Date]&lt;=$C$8),CRDJ[Credit])))+(SUM(IF((GJ[Sort Code]=(TRIM(E$5)))*(GJ[Account Code]=(TRIM($B78)))*(GJ[Date]&lt;=$C$8),GJ[Credit]))))</f>
        <v>0</v>
      </c>
      <c r="D78" s="466">
        <f t="array" ref="D78">((SUM(IF((CkDJ[Date]=$A$4)*(CkDJ[Sort Code]=(TRIM(E$5)))*(CkDJ[Account Code]=(TRIM($B78))),CkDJ[Debit])))+(SUM(IF((CsDJ[Date]=$A$4)*(CsDJ[Sort Code]=(TRIM(E$5)))*(CsDJ[Account Code]=(TRIM($B78))),CsDJ[Debit])))+(SUM(IF((CRDJ[Date]=$A$4)*(CRDJ[Sort Code]=(TRIM(E$5)))*(CRDJ[Account Code]=(TRIM($B78))),CRDJ[Debit])))+(SUM(IF((GJ[Date]=$A$4)*(GJ[Sort Code]=(TRIM(E$5)))*(GJ[Account Code]=(TRIM($B78))),GJ[Debit]))))-((SUM(IF((CkDJ[Date]=$A$4)*(CkDJ[Sort Code]=(TRIM(E$5)))*(CkDJ[Account Code]=(TRIM($B78))),CkDJ[Credit])))+(SUM(IF((CsDJ[Date]=$A$4)*(CsDJ[Sort Code]=(TRIM(E$5)))*(CsDJ[Account Code]=(TRIM($B78))),CsDJ[Credit])))+(SUM(IF((CRDJ[Date]=$A$4)*(CRDJ[Sort Code]=(TRIM(E$5)))*(CRDJ[Account Code]=(TRIM($B78))),CRDJ[Credit])))+(SUM(IF((GJ[Date]=$A$4)*(GJ[Sort Code]=(TRIM(E$5)))*(GJ[Account Code]=(TRIM($B78))),GJ[Credit]))))</f>
        <v>0</v>
      </c>
      <c r="E78" s="467">
        <f t="shared" si="3"/>
        <v>0</v>
      </c>
    </row>
    <row r="79" spans="1:5">
      <c r="A79" s="476" t="s">
        <v>287</v>
      </c>
      <c r="B79" s="339" t="s">
        <v>226</v>
      </c>
      <c r="C79" s="466">
        <f t="array" ref="C79">((SUM(IF((CkDJ[Sort Code]=(TRIM(E$5)))*(CkDJ[Account Code]=(TRIM($B79)))*(CkDJ[Date]&lt;=$C$8),CkDJ[Debit])))+(SUM(IF((CsDJ[Sort Code]=(TRIM(E$5)))*(CsDJ[Account Code]=(TRIM($B79)))*(CsDJ[Date]&lt;=$C$8),CsDJ[Debit])))+(SUM(IF((CRDJ[Sort Code]=(TRIM(E$5)))*(CRDJ[Account Code]=(TRIM($B79)))*(CRDJ[Date]&lt;=$C$8),CRDJ[Debit])))+(SUM(IF((GJ[Sort Code]=(TRIM(E$5)))*(GJ[Account Code]=(TRIM($B79)))*(GJ[Date]&lt;=$C$8),GJ[Debit]))))-((SUM(IF((CkDJ[Sort Code]=(TRIM(E$5)))*(CkDJ[Account Code]=(TRIM($B79)))*(CkDJ[Date]&lt;=$C$8),CkDJ[Credit])))+(SUM(IF((CsDJ[Sort Code]=(TRIM(E$5)))*(CsDJ[Account Code]=(TRIM($B79)))*(CsDJ[Date]&lt;=$C$8),CsDJ[Credit])))+(SUM(IF((CRDJ[Sort Code]=(TRIM(E$5)))*(CRDJ[Account Code]=(TRIM($B79)))*(CRDJ[Date]&lt;=$C$8),CRDJ[Credit])))+(SUM(IF((GJ[Sort Code]=(TRIM(E$5)))*(GJ[Account Code]=(TRIM($B79)))*(GJ[Date]&lt;=$C$8),GJ[Credit]))))</f>
        <v>0</v>
      </c>
      <c r="D79" s="466">
        <f t="array" ref="D79">((SUM(IF((CkDJ[Date]=$A$4)*(CkDJ[Sort Code]=(TRIM(E$5)))*(CkDJ[Account Code]=(TRIM($B79))),CkDJ[Debit])))+(SUM(IF((CsDJ[Date]=$A$4)*(CsDJ[Sort Code]=(TRIM(E$5)))*(CsDJ[Account Code]=(TRIM($B79))),CsDJ[Debit])))+(SUM(IF((CRDJ[Date]=$A$4)*(CRDJ[Sort Code]=(TRIM(E$5)))*(CRDJ[Account Code]=(TRIM($B79))),CRDJ[Debit])))+(SUM(IF((GJ[Date]=$A$4)*(GJ[Sort Code]=(TRIM(E$5)))*(GJ[Account Code]=(TRIM($B79))),GJ[Debit]))))-((SUM(IF((CkDJ[Date]=$A$4)*(CkDJ[Sort Code]=(TRIM(E$5)))*(CkDJ[Account Code]=(TRIM($B79))),CkDJ[Credit])))+(SUM(IF((CsDJ[Date]=$A$4)*(CsDJ[Sort Code]=(TRIM(E$5)))*(CsDJ[Account Code]=(TRIM($B79))),CsDJ[Credit])))+(SUM(IF((CRDJ[Date]=$A$4)*(CRDJ[Sort Code]=(TRIM(E$5)))*(CRDJ[Account Code]=(TRIM($B79))),CRDJ[Credit])))+(SUM(IF((GJ[Date]=$A$4)*(GJ[Sort Code]=(TRIM(E$5)))*(GJ[Account Code]=(TRIM($B79))),GJ[Credit]))))</f>
        <v>0</v>
      </c>
      <c r="E79" s="467">
        <f t="shared" si="3"/>
        <v>0</v>
      </c>
    </row>
    <row r="80" spans="1:5">
      <c r="A80" s="476" t="s">
        <v>1017</v>
      </c>
      <c r="B80" s="339" t="s">
        <v>227</v>
      </c>
      <c r="C80" s="466">
        <f t="array" ref="C80">((SUM(IF((CkDJ[Sort Code]=(TRIM(E$5)))*(CkDJ[Account Code]=(TRIM($B80)))*(CkDJ[Date]&lt;=$C$8),CkDJ[Debit])))+(SUM(IF((CsDJ[Sort Code]=(TRIM(E$5)))*(CsDJ[Account Code]=(TRIM($B80)))*(CsDJ[Date]&lt;=$C$8),CsDJ[Debit])))+(SUM(IF((CRDJ[Sort Code]=(TRIM(E$5)))*(CRDJ[Account Code]=(TRIM($B80)))*(CRDJ[Date]&lt;=$C$8),CRDJ[Debit])))+(SUM(IF((GJ[Sort Code]=(TRIM(E$5)))*(GJ[Account Code]=(TRIM($B80)))*(GJ[Date]&lt;=$C$8),GJ[Debit]))))-((SUM(IF((CkDJ[Sort Code]=(TRIM(E$5)))*(CkDJ[Account Code]=(TRIM($B80)))*(CkDJ[Date]&lt;=$C$8),CkDJ[Credit])))+(SUM(IF((CsDJ[Sort Code]=(TRIM(E$5)))*(CsDJ[Account Code]=(TRIM($B80)))*(CsDJ[Date]&lt;=$C$8),CsDJ[Credit])))+(SUM(IF((CRDJ[Sort Code]=(TRIM(E$5)))*(CRDJ[Account Code]=(TRIM($B80)))*(CRDJ[Date]&lt;=$C$8),CRDJ[Credit])))+(SUM(IF((GJ[Sort Code]=(TRIM(E$5)))*(GJ[Account Code]=(TRIM($B80)))*(GJ[Date]&lt;=$C$8),GJ[Credit]))))</f>
        <v>0</v>
      </c>
      <c r="D80" s="466">
        <f t="array" ref="D80">((SUM(IF((CkDJ[Date]=$A$4)*(CkDJ[Sort Code]=(TRIM(E$5)))*(CkDJ[Account Code]=(TRIM($B80))),CkDJ[Debit])))+(SUM(IF((CsDJ[Date]=$A$4)*(CsDJ[Sort Code]=(TRIM(E$5)))*(CsDJ[Account Code]=(TRIM($B80))),CsDJ[Debit])))+(SUM(IF((CRDJ[Date]=$A$4)*(CRDJ[Sort Code]=(TRIM(E$5)))*(CRDJ[Account Code]=(TRIM($B80))),CRDJ[Debit])))+(SUM(IF((GJ[Date]=$A$4)*(GJ[Sort Code]=(TRIM(E$5)))*(GJ[Account Code]=(TRIM($B80))),GJ[Debit]))))-((SUM(IF((CkDJ[Date]=$A$4)*(CkDJ[Sort Code]=(TRIM(E$5)))*(CkDJ[Account Code]=(TRIM($B80))),CkDJ[Credit])))+(SUM(IF((CsDJ[Date]=$A$4)*(CsDJ[Sort Code]=(TRIM(E$5)))*(CsDJ[Account Code]=(TRIM($B80))),CsDJ[Credit])))+(SUM(IF((CRDJ[Date]=$A$4)*(CRDJ[Sort Code]=(TRIM(E$5)))*(CRDJ[Account Code]=(TRIM($B80))),CRDJ[Credit])))+(SUM(IF((GJ[Date]=$A$4)*(GJ[Sort Code]=(TRIM(E$5)))*(GJ[Account Code]=(TRIM($B80))),GJ[Credit]))))</f>
        <v>0</v>
      </c>
      <c r="E80" s="467">
        <f t="shared" si="3"/>
        <v>0</v>
      </c>
    </row>
    <row r="81" spans="1:5">
      <c r="A81" s="476" t="s">
        <v>1018</v>
      </c>
      <c r="B81" s="339" t="s">
        <v>228</v>
      </c>
      <c r="C81" s="466">
        <f t="array" ref="C81">((SUM(IF((CkDJ[Sort Code]=(TRIM(E$5)))*(CkDJ[Account Code]=(TRIM($B81)))*(CkDJ[Date]&lt;=$C$8),CkDJ[Debit])))+(SUM(IF((CsDJ[Sort Code]=(TRIM(E$5)))*(CsDJ[Account Code]=(TRIM($B81)))*(CsDJ[Date]&lt;=$C$8),CsDJ[Debit])))+(SUM(IF((CRDJ[Sort Code]=(TRIM(E$5)))*(CRDJ[Account Code]=(TRIM($B81)))*(CRDJ[Date]&lt;=$C$8),CRDJ[Debit])))+(SUM(IF((GJ[Sort Code]=(TRIM(E$5)))*(GJ[Account Code]=(TRIM($B81)))*(GJ[Date]&lt;=$C$8),GJ[Debit]))))-((SUM(IF((CkDJ[Sort Code]=(TRIM(E$5)))*(CkDJ[Account Code]=(TRIM($B81)))*(CkDJ[Date]&lt;=$C$8),CkDJ[Credit])))+(SUM(IF((CsDJ[Sort Code]=(TRIM(E$5)))*(CsDJ[Account Code]=(TRIM($B81)))*(CsDJ[Date]&lt;=$C$8),CsDJ[Credit])))+(SUM(IF((CRDJ[Sort Code]=(TRIM(E$5)))*(CRDJ[Account Code]=(TRIM($B81)))*(CRDJ[Date]&lt;=$C$8),CRDJ[Credit])))+(SUM(IF((GJ[Sort Code]=(TRIM(E$5)))*(GJ[Account Code]=(TRIM($B81)))*(GJ[Date]&lt;=$C$8),GJ[Credit]))))</f>
        <v>0</v>
      </c>
      <c r="D81" s="466">
        <f t="array" ref="D81">((SUM(IF((CkDJ[Date]=$A$4)*(CkDJ[Sort Code]=(TRIM(E$5)))*(CkDJ[Account Code]=(TRIM($B81))),CkDJ[Debit])))+(SUM(IF((CsDJ[Date]=$A$4)*(CsDJ[Sort Code]=(TRIM(E$5)))*(CsDJ[Account Code]=(TRIM($B81))),CsDJ[Debit])))+(SUM(IF((CRDJ[Date]=$A$4)*(CRDJ[Sort Code]=(TRIM(E$5)))*(CRDJ[Account Code]=(TRIM($B81))),CRDJ[Debit])))+(SUM(IF((GJ[Date]=$A$4)*(GJ[Sort Code]=(TRIM(E$5)))*(GJ[Account Code]=(TRIM($B81))),GJ[Debit]))))-((SUM(IF((CkDJ[Date]=$A$4)*(CkDJ[Sort Code]=(TRIM(E$5)))*(CkDJ[Account Code]=(TRIM($B81))),CkDJ[Credit])))+(SUM(IF((CsDJ[Date]=$A$4)*(CsDJ[Sort Code]=(TRIM(E$5)))*(CsDJ[Account Code]=(TRIM($B81))),CsDJ[Credit])))+(SUM(IF((CRDJ[Date]=$A$4)*(CRDJ[Sort Code]=(TRIM(E$5)))*(CRDJ[Account Code]=(TRIM($B81))),CRDJ[Credit])))+(SUM(IF((GJ[Date]=$A$4)*(GJ[Sort Code]=(TRIM(E$5)))*(GJ[Account Code]=(TRIM($B81))),GJ[Credit]))))</f>
        <v>0</v>
      </c>
      <c r="E81" s="467">
        <f t="shared" si="3"/>
        <v>0</v>
      </c>
    </row>
    <row r="82" spans="1:5">
      <c r="A82" s="476" t="s">
        <v>289</v>
      </c>
      <c r="B82" s="339" t="s">
        <v>229</v>
      </c>
      <c r="C82" s="466">
        <f t="array" ref="C82">((SUM(IF((CkDJ[Sort Code]=(TRIM(E$5)))*(CkDJ[Account Code]=(TRIM($B82)))*(CkDJ[Date]&lt;=$C$8),CkDJ[Debit])))+(SUM(IF((CsDJ[Sort Code]=(TRIM(E$5)))*(CsDJ[Account Code]=(TRIM($B82)))*(CsDJ[Date]&lt;=$C$8),CsDJ[Debit])))+(SUM(IF((CRDJ[Sort Code]=(TRIM(E$5)))*(CRDJ[Account Code]=(TRIM($B82)))*(CRDJ[Date]&lt;=$C$8),CRDJ[Debit])))+(SUM(IF((GJ[Sort Code]=(TRIM(E$5)))*(GJ[Account Code]=(TRIM($B82)))*(GJ[Date]&lt;=$C$8),GJ[Debit]))))-((SUM(IF((CkDJ[Sort Code]=(TRIM(E$5)))*(CkDJ[Account Code]=(TRIM($B82)))*(CkDJ[Date]&lt;=$C$8),CkDJ[Credit])))+(SUM(IF((CsDJ[Sort Code]=(TRIM(E$5)))*(CsDJ[Account Code]=(TRIM($B82)))*(CsDJ[Date]&lt;=$C$8),CsDJ[Credit])))+(SUM(IF((CRDJ[Sort Code]=(TRIM(E$5)))*(CRDJ[Account Code]=(TRIM($B82)))*(CRDJ[Date]&lt;=$C$8),CRDJ[Credit])))+(SUM(IF((GJ[Sort Code]=(TRIM(E$5)))*(GJ[Account Code]=(TRIM($B82)))*(GJ[Date]&lt;=$C$8),GJ[Credit]))))</f>
        <v>0</v>
      </c>
      <c r="D82" s="466">
        <f t="array" ref="D82">((SUM(IF((CkDJ[Date]=$A$4)*(CkDJ[Sort Code]=(TRIM(E$5)))*(CkDJ[Account Code]=(TRIM($B82))),CkDJ[Debit])))+(SUM(IF((CsDJ[Date]=$A$4)*(CsDJ[Sort Code]=(TRIM(E$5)))*(CsDJ[Account Code]=(TRIM($B82))),CsDJ[Debit])))+(SUM(IF((CRDJ[Date]=$A$4)*(CRDJ[Sort Code]=(TRIM(E$5)))*(CRDJ[Account Code]=(TRIM($B82))),CRDJ[Debit])))+(SUM(IF((GJ[Date]=$A$4)*(GJ[Sort Code]=(TRIM(E$5)))*(GJ[Account Code]=(TRIM($B82))),GJ[Debit]))))-((SUM(IF((CkDJ[Date]=$A$4)*(CkDJ[Sort Code]=(TRIM(E$5)))*(CkDJ[Account Code]=(TRIM($B82))),CkDJ[Credit])))+(SUM(IF((CsDJ[Date]=$A$4)*(CsDJ[Sort Code]=(TRIM(E$5)))*(CsDJ[Account Code]=(TRIM($B82))),CsDJ[Credit])))+(SUM(IF((CRDJ[Date]=$A$4)*(CRDJ[Sort Code]=(TRIM(E$5)))*(CRDJ[Account Code]=(TRIM($B82))),CRDJ[Credit])))+(SUM(IF((GJ[Date]=$A$4)*(GJ[Sort Code]=(TRIM(E$5)))*(GJ[Account Code]=(TRIM($B82))),GJ[Credit]))))</f>
        <v>0</v>
      </c>
      <c r="E82" s="467">
        <f t="shared" si="3"/>
        <v>0</v>
      </c>
    </row>
    <row r="83" spans="1:5">
      <c r="A83" s="476" t="s">
        <v>290</v>
      </c>
      <c r="B83" s="339" t="s">
        <v>230</v>
      </c>
      <c r="C83" s="466">
        <f t="array" ref="C83">((SUM(IF((CkDJ[Sort Code]=(TRIM(E$5)))*(CkDJ[Account Code]=(TRIM($B83)))*(CkDJ[Date]&lt;=$C$8),CkDJ[Debit])))+(SUM(IF((CsDJ[Sort Code]=(TRIM(E$5)))*(CsDJ[Account Code]=(TRIM($B83)))*(CsDJ[Date]&lt;=$C$8),CsDJ[Debit])))+(SUM(IF((CRDJ[Sort Code]=(TRIM(E$5)))*(CRDJ[Account Code]=(TRIM($B83)))*(CRDJ[Date]&lt;=$C$8),CRDJ[Debit])))+(SUM(IF((GJ[Sort Code]=(TRIM(E$5)))*(GJ[Account Code]=(TRIM($B83)))*(GJ[Date]&lt;=$C$8),GJ[Debit]))))-((SUM(IF((CkDJ[Sort Code]=(TRIM(E$5)))*(CkDJ[Account Code]=(TRIM($B83)))*(CkDJ[Date]&lt;=$C$8),CkDJ[Credit])))+(SUM(IF((CsDJ[Sort Code]=(TRIM(E$5)))*(CsDJ[Account Code]=(TRIM($B83)))*(CsDJ[Date]&lt;=$C$8),CsDJ[Credit])))+(SUM(IF((CRDJ[Sort Code]=(TRIM(E$5)))*(CRDJ[Account Code]=(TRIM($B83)))*(CRDJ[Date]&lt;=$C$8),CRDJ[Credit])))+(SUM(IF((GJ[Sort Code]=(TRIM(E$5)))*(GJ[Account Code]=(TRIM($B83)))*(GJ[Date]&lt;=$C$8),GJ[Credit]))))</f>
        <v>0</v>
      </c>
      <c r="D83" s="466">
        <f t="array" ref="D83">((SUM(IF((CkDJ[Date]=$A$4)*(CkDJ[Sort Code]=(TRIM(E$5)))*(CkDJ[Account Code]=(TRIM($B83))),CkDJ[Debit])))+(SUM(IF((CsDJ[Date]=$A$4)*(CsDJ[Sort Code]=(TRIM(E$5)))*(CsDJ[Account Code]=(TRIM($B83))),CsDJ[Debit])))+(SUM(IF((CRDJ[Date]=$A$4)*(CRDJ[Sort Code]=(TRIM(E$5)))*(CRDJ[Account Code]=(TRIM($B83))),CRDJ[Debit])))+(SUM(IF((GJ[Date]=$A$4)*(GJ[Sort Code]=(TRIM(E$5)))*(GJ[Account Code]=(TRIM($B83))),GJ[Debit]))))-((SUM(IF((CkDJ[Date]=$A$4)*(CkDJ[Sort Code]=(TRIM(E$5)))*(CkDJ[Account Code]=(TRIM($B83))),CkDJ[Credit])))+(SUM(IF((CsDJ[Date]=$A$4)*(CsDJ[Sort Code]=(TRIM(E$5)))*(CsDJ[Account Code]=(TRIM($B83))),CsDJ[Credit])))+(SUM(IF((CRDJ[Date]=$A$4)*(CRDJ[Sort Code]=(TRIM(E$5)))*(CRDJ[Account Code]=(TRIM($B83))),CRDJ[Credit])))+(SUM(IF((GJ[Date]=$A$4)*(GJ[Sort Code]=(TRIM(E$5)))*(GJ[Account Code]=(TRIM($B83))),GJ[Credit]))))</f>
        <v>0</v>
      </c>
      <c r="E83" s="467">
        <f t="shared" si="3"/>
        <v>0</v>
      </c>
    </row>
    <row r="84" spans="1:5">
      <c r="A84" s="476" t="s">
        <v>291</v>
      </c>
      <c r="B84" s="339" t="s">
        <v>231</v>
      </c>
      <c r="C84" s="466">
        <f t="array" ref="C84">((SUM(IF((CkDJ[Sort Code]=(TRIM(E$5)))*(CkDJ[Account Code]=(TRIM($B84)))*(CkDJ[Date]&lt;=$C$8),CkDJ[Debit])))+(SUM(IF((CsDJ[Sort Code]=(TRIM(E$5)))*(CsDJ[Account Code]=(TRIM($B84)))*(CsDJ[Date]&lt;=$C$8),CsDJ[Debit])))+(SUM(IF((CRDJ[Sort Code]=(TRIM(E$5)))*(CRDJ[Account Code]=(TRIM($B84)))*(CRDJ[Date]&lt;=$C$8),CRDJ[Debit])))+(SUM(IF((GJ[Sort Code]=(TRIM(E$5)))*(GJ[Account Code]=(TRIM($B84)))*(GJ[Date]&lt;=$C$8),GJ[Debit]))))-((SUM(IF((CkDJ[Sort Code]=(TRIM(E$5)))*(CkDJ[Account Code]=(TRIM($B84)))*(CkDJ[Date]&lt;=$C$8),CkDJ[Credit])))+(SUM(IF((CsDJ[Sort Code]=(TRIM(E$5)))*(CsDJ[Account Code]=(TRIM($B84)))*(CsDJ[Date]&lt;=$C$8),CsDJ[Credit])))+(SUM(IF((CRDJ[Sort Code]=(TRIM(E$5)))*(CRDJ[Account Code]=(TRIM($B84)))*(CRDJ[Date]&lt;=$C$8),CRDJ[Credit])))+(SUM(IF((GJ[Sort Code]=(TRIM(E$5)))*(GJ[Account Code]=(TRIM($B84)))*(GJ[Date]&lt;=$C$8),GJ[Credit]))))</f>
        <v>0</v>
      </c>
      <c r="D84" s="466">
        <f t="array" ref="D84">((SUM(IF((CkDJ[Date]=$A$4)*(CkDJ[Sort Code]=(TRIM(E$5)))*(CkDJ[Account Code]=(TRIM($B84))),CkDJ[Debit])))+(SUM(IF((CsDJ[Date]=$A$4)*(CsDJ[Sort Code]=(TRIM(E$5)))*(CsDJ[Account Code]=(TRIM($B84))),CsDJ[Debit])))+(SUM(IF((CRDJ[Date]=$A$4)*(CRDJ[Sort Code]=(TRIM(E$5)))*(CRDJ[Account Code]=(TRIM($B84))),CRDJ[Debit])))+(SUM(IF((GJ[Date]=$A$4)*(GJ[Sort Code]=(TRIM(E$5)))*(GJ[Account Code]=(TRIM($B84))),GJ[Debit]))))-((SUM(IF((CkDJ[Date]=$A$4)*(CkDJ[Sort Code]=(TRIM(E$5)))*(CkDJ[Account Code]=(TRIM($B84))),CkDJ[Credit])))+(SUM(IF((CsDJ[Date]=$A$4)*(CsDJ[Sort Code]=(TRIM(E$5)))*(CsDJ[Account Code]=(TRIM($B84))),CsDJ[Credit])))+(SUM(IF((CRDJ[Date]=$A$4)*(CRDJ[Sort Code]=(TRIM(E$5)))*(CRDJ[Account Code]=(TRIM($B84))),CRDJ[Credit])))+(SUM(IF((GJ[Date]=$A$4)*(GJ[Sort Code]=(TRIM(E$5)))*(GJ[Account Code]=(TRIM($B84))),GJ[Credit]))))</f>
        <v>0</v>
      </c>
      <c r="E84" s="467">
        <f t="shared" si="3"/>
        <v>0</v>
      </c>
    </row>
    <row r="85" spans="1:5">
      <c r="A85" s="476" t="s">
        <v>292</v>
      </c>
      <c r="B85" s="339" t="s">
        <v>232</v>
      </c>
      <c r="C85" s="466">
        <f t="array" ref="C85">((SUM(IF((CkDJ[Sort Code]=(TRIM(E$5)))*(CkDJ[Account Code]=(TRIM($B85)))*(CkDJ[Date]&lt;=$C$8),CkDJ[Debit])))+(SUM(IF((CsDJ[Sort Code]=(TRIM(E$5)))*(CsDJ[Account Code]=(TRIM($B85)))*(CsDJ[Date]&lt;=$C$8),CsDJ[Debit])))+(SUM(IF((CRDJ[Sort Code]=(TRIM(E$5)))*(CRDJ[Account Code]=(TRIM($B85)))*(CRDJ[Date]&lt;=$C$8),CRDJ[Debit])))+(SUM(IF((GJ[Sort Code]=(TRIM(E$5)))*(GJ[Account Code]=(TRIM($B85)))*(GJ[Date]&lt;=$C$8),GJ[Debit]))))-((SUM(IF((CkDJ[Sort Code]=(TRIM(E$5)))*(CkDJ[Account Code]=(TRIM($B85)))*(CkDJ[Date]&lt;=$C$8),CkDJ[Credit])))+(SUM(IF((CsDJ[Sort Code]=(TRIM(E$5)))*(CsDJ[Account Code]=(TRIM($B85)))*(CsDJ[Date]&lt;=$C$8),CsDJ[Credit])))+(SUM(IF((CRDJ[Sort Code]=(TRIM(E$5)))*(CRDJ[Account Code]=(TRIM($B85)))*(CRDJ[Date]&lt;=$C$8),CRDJ[Credit])))+(SUM(IF((GJ[Sort Code]=(TRIM(E$5)))*(GJ[Account Code]=(TRIM($B85)))*(GJ[Date]&lt;=$C$8),GJ[Credit]))))</f>
        <v>0</v>
      </c>
      <c r="D85" s="466">
        <f t="array" ref="D85">((SUM(IF((CkDJ[Date]=$A$4)*(CkDJ[Sort Code]=(TRIM(E$5)))*(CkDJ[Account Code]=(TRIM($B85))),CkDJ[Debit])))+(SUM(IF((CsDJ[Date]=$A$4)*(CsDJ[Sort Code]=(TRIM(E$5)))*(CsDJ[Account Code]=(TRIM($B85))),CsDJ[Debit])))+(SUM(IF((CRDJ[Date]=$A$4)*(CRDJ[Sort Code]=(TRIM(E$5)))*(CRDJ[Account Code]=(TRIM($B85))),CRDJ[Debit])))+(SUM(IF((GJ[Date]=$A$4)*(GJ[Sort Code]=(TRIM(E$5)))*(GJ[Account Code]=(TRIM($B85))),GJ[Debit]))))-((SUM(IF((CkDJ[Date]=$A$4)*(CkDJ[Sort Code]=(TRIM(E$5)))*(CkDJ[Account Code]=(TRIM($B85))),CkDJ[Credit])))+(SUM(IF((CsDJ[Date]=$A$4)*(CsDJ[Sort Code]=(TRIM(E$5)))*(CsDJ[Account Code]=(TRIM($B85))),CsDJ[Credit])))+(SUM(IF((CRDJ[Date]=$A$4)*(CRDJ[Sort Code]=(TRIM(E$5)))*(CRDJ[Account Code]=(TRIM($B85))),CRDJ[Credit])))+(SUM(IF((GJ[Date]=$A$4)*(GJ[Sort Code]=(TRIM(E$5)))*(GJ[Account Code]=(TRIM($B85))),GJ[Credit]))))</f>
        <v>0</v>
      </c>
      <c r="E85" s="467">
        <f t="shared" si="3"/>
        <v>0</v>
      </c>
    </row>
    <row r="86" spans="1:5">
      <c r="A86" s="476" t="s">
        <v>293</v>
      </c>
      <c r="B86" s="339" t="s">
        <v>233</v>
      </c>
      <c r="C86" s="466">
        <f t="array" ref="C86">((SUM(IF((CkDJ[Sort Code]=(TRIM(E$5)))*(CkDJ[Account Code]=(TRIM($B86)))*(CkDJ[Date]&lt;=$C$8),CkDJ[Debit])))+(SUM(IF((CsDJ[Sort Code]=(TRIM(E$5)))*(CsDJ[Account Code]=(TRIM($B86)))*(CsDJ[Date]&lt;=$C$8),CsDJ[Debit])))+(SUM(IF((CRDJ[Sort Code]=(TRIM(E$5)))*(CRDJ[Account Code]=(TRIM($B86)))*(CRDJ[Date]&lt;=$C$8),CRDJ[Debit])))+(SUM(IF((GJ[Sort Code]=(TRIM(E$5)))*(GJ[Account Code]=(TRIM($B86)))*(GJ[Date]&lt;=$C$8),GJ[Debit]))))-((SUM(IF((CkDJ[Sort Code]=(TRIM(E$5)))*(CkDJ[Account Code]=(TRIM($B86)))*(CkDJ[Date]&lt;=$C$8),CkDJ[Credit])))+(SUM(IF((CsDJ[Sort Code]=(TRIM(E$5)))*(CsDJ[Account Code]=(TRIM($B86)))*(CsDJ[Date]&lt;=$C$8),CsDJ[Credit])))+(SUM(IF((CRDJ[Sort Code]=(TRIM(E$5)))*(CRDJ[Account Code]=(TRIM($B86)))*(CRDJ[Date]&lt;=$C$8),CRDJ[Credit])))+(SUM(IF((GJ[Sort Code]=(TRIM(E$5)))*(GJ[Account Code]=(TRIM($B86)))*(GJ[Date]&lt;=$C$8),GJ[Credit]))))</f>
        <v>0</v>
      </c>
      <c r="D86" s="466">
        <f t="array" ref="D86">((SUM(IF((CkDJ[Date]=$A$4)*(CkDJ[Sort Code]=(TRIM(E$5)))*(CkDJ[Account Code]=(TRIM($B86))),CkDJ[Debit])))+(SUM(IF((CsDJ[Date]=$A$4)*(CsDJ[Sort Code]=(TRIM(E$5)))*(CsDJ[Account Code]=(TRIM($B86))),CsDJ[Debit])))+(SUM(IF((CRDJ[Date]=$A$4)*(CRDJ[Sort Code]=(TRIM(E$5)))*(CRDJ[Account Code]=(TRIM($B86))),CRDJ[Debit])))+(SUM(IF((GJ[Date]=$A$4)*(GJ[Sort Code]=(TRIM(E$5)))*(GJ[Account Code]=(TRIM($B86))),GJ[Debit]))))-((SUM(IF((CkDJ[Date]=$A$4)*(CkDJ[Sort Code]=(TRIM(E$5)))*(CkDJ[Account Code]=(TRIM($B86))),CkDJ[Credit])))+(SUM(IF((CsDJ[Date]=$A$4)*(CsDJ[Sort Code]=(TRIM(E$5)))*(CsDJ[Account Code]=(TRIM($B86))),CsDJ[Credit])))+(SUM(IF((CRDJ[Date]=$A$4)*(CRDJ[Sort Code]=(TRIM(E$5)))*(CRDJ[Account Code]=(TRIM($B86))),CRDJ[Credit])))+(SUM(IF((GJ[Date]=$A$4)*(GJ[Sort Code]=(TRIM(E$5)))*(GJ[Account Code]=(TRIM($B86))),GJ[Credit]))))</f>
        <v>0</v>
      </c>
      <c r="E86" s="467">
        <f t="shared" si="3"/>
        <v>0</v>
      </c>
    </row>
    <row r="87" spans="1:5">
      <c r="A87" s="476" t="s">
        <v>1475</v>
      </c>
      <c r="B87" s="339" t="s">
        <v>1265</v>
      </c>
      <c r="C87" s="466">
        <f t="array" ref="C87">((SUM(IF((CkDJ[Sort Code]=(TRIM(E$5)))*(CkDJ[Account Code]=(TRIM($B87)))*(CkDJ[Date]&lt;=$C$8),CkDJ[Debit])))+(SUM(IF((CsDJ[Sort Code]=(TRIM(E$5)))*(CsDJ[Account Code]=(TRIM($B87)))*(CsDJ[Date]&lt;=$C$8),CsDJ[Debit])))+(SUM(IF((CRDJ[Sort Code]=(TRIM(E$5)))*(CRDJ[Account Code]=(TRIM($B87)))*(CRDJ[Date]&lt;=$C$8),CRDJ[Debit])))+(SUM(IF((GJ[Sort Code]=(TRIM(E$5)))*(GJ[Account Code]=(TRIM($B87)))*(GJ[Date]&lt;=$C$8),GJ[Debit]))))-((SUM(IF((CkDJ[Sort Code]=(TRIM(E$5)))*(CkDJ[Account Code]=(TRIM($B87)))*(CkDJ[Date]&lt;=$C$8),CkDJ[Credit])))+(SUM(IF((CsDJ[Sort Code]=(TRIM(E$5)))*(CsDJ[Account Code]=(TRIM($B87)))*(CsDJ[Date]&lt;=$C$8),CsDJ[Credit])))+(SUM(IF((CRDJ[Sort Code]=(TRIM(E$5)))*(CRDJ[Account Code]=(TRIM($B87)))*(CRDJ[Date]&lt;=$C$8),CRDJ[Credit])))+(SUM(IF((GJ[Sort Code]=(TRIM(E$5)))*(GJ[Account Code]=(TRIM($B87)))*(GJ[Date]&lt;=$C$8),GJ[Credit]))))</f>
        <v>0</v>
      </c>
      <c r="D87" s="466">
        <f t="array" ref="D87">((SUM(IF((CkDJ[Date]=$A$4)*(CkDJ[Sort Code]=(TRIM(E$5)))*(CkDJ[Account Code]=(TRIM($B87))),CkDJ[Debit])))+(SUM(IF((CsDJ[Date]=$A$4)*(CsDJ[Sort Code]=(TRIM(E$5)))*(CsDJ[Account Code]=(TRIM($B87))),CsDJ[Debit])))+(SUM(IF((CRDJ[Date]=$A$4)*(CRDJ[Sort Code]=(TRIM(E$5)))*(CRDJ[Account Code]=(TRIM($B87))),CRDJ[Debit])))+(SUM(IF((GJ[Date]=$A$4)*(GJ[Sort Code]=(TRIM(E$5)))*(GJ[Account Code]=(TRIM($B87))),GJ[Debit]))))-((SUM(IF((CkDJ[Date]=$A$4)*(CkDJ[Sort Code]=(TRIM(E$5)))*(CkDJ[Account Code]=(TRIM($B87))),CkDJ[Credit])))+(SUM(IF((CsDJ[Date]=$A$4)*(CsDJ[Sort Code]=(TRIM(E$5)))*(CsDJ[Account Code]=(TRIM($B87))),CsDJ[Credit])))+(SUM(IF((CRDJ[Date]=$A$4)*(CRDJ[Sort Code]=(TRIM(E$5)))*(CRDJ[Account Code]=(TRIM($B87))),CRDJ[Credit])))+(SUM(IF((GJ[Date]=$A$4)*(GJ[Sort Code]=(TRIM(E$5)))*(GJ[Account Code]=(TRIM($B87))),GJ[Credit]))))</f>
        <v>0</v>
      </c>
      <c r="E87" s="467">
        <f>C87+D87</f>
        <v>0</v>
      </c>
    </row>
    <row r="88" spans="1:5">
      <c r="A88" s="476" t="s">
        <v>1475</v>
      </c>
      <c r="B88" s="339" t="s">
        <v>1266</v>
      </c>
      <c r="C88" s="466">
        <f t="array" ref="C88">((SUM(IF((CkDJ[Sort Code]=(TRIM(E$5)))*(CkDJ[Account Code]=(TRIM($B88)))*(CkDJ[Date]&lt;=$C$8),CkDJ[Debit])))+(SUM(IF((CsDJ[Sort Code]=(TRIM(E$5)))*(CsDJ[Account Code]=(TRIM($B88)))*(CsDJ[Date]&lt;=$C$8),CsDJ[Debit])))+(SUM(IF((CRDJ[Sort Code]=(TRIM(E$5)))*(CRDJ[Account Code]=(TRIM($B88)))*(CRDJ[Date]&lt;=$C$8),CRDJ[Debit])))+(SUM(IF((GJ[Sort Code]=(TRIM(E$5)))*(GJ[Account Code]=(TRIM($B88)))*(GJ[Date]&lt;=$C$8),GJ[Debit]))))-((SUM(IF((CkDJ[Sort Code]=(TRIM(E$5)))*(CkDJ[Account Code]=(TRIM($B88)))*(CkDJ[Date]&lt;=$C$8),CkDJ[Credit])))+(SUM(IF((CsDJ[Sort Code]=(TRIM(E$5)))*(CsDJ[Account Code]=(TRIM($B88)))*(CsDJ[Date]&lt;=$C$8),CsDJ[Credit])))+(SUM(IF((CRDJ[Sort Code]=(TRIM(E$5)))*(CRDJ[Account Code]=(TRIM($B88)))*(CRDJ[Date]&lt;=$C$8),CRDJ[Credit])))+(SUM(IF((GJ[Sort Code]=(TRIM(E$5)))*(GJ[Account Code]=(TRIM($B88)))*(GJ[Date]&lt;=$C$8),GJ[Credit]))))</f>
        <v>0</v>
      </c>
      <c r="D88" s="466">
        <f t="array" ref="D88">((SUM(IF((CkDJ[Date]=$A$4)*(CkDJ[Sort Code]=(TRIM(E$5)))*(CkDJ[Account Code]=(TRIM($B88))),CkDJ[Debit])))+(SUM(IF((CsDJ[Date]=$A$4)*(CsDJ[Sort Code]=(TRIM(E$5)))*(CsDJ[Account Code]=(TRIM($B88))),CsDJ[Debit])))+(SUM(IF((CRDJ[Date]=$A$4)*(CRDJ[Sort Code]=(TRIM(E$5)))*(CRDJ[Account Code]=(TRIM($B88))),CRDJ[Debit])))+(SUM(IF((GJ[Date]=$A$4)*(GJ[Sort Code]=(TRIM(E$5)))*(GJ[Account Code]=(TRIM($B88))),GJ[Debit]))))-((SUM(IF((CkDJ[Date]=$A$4)*(CkDJ[Sort Code]=(TRIM(E$5)))*(CkDJ[Account Code]=(TRIM($B88))),CkDJ[Credit])))+(SUM(IF((CsDJ[Date]=$A$4)*(CsDJ[Sort Code]=(TRIM(E$5)))*(CsDJ[Account Code]=(TRIM($B88))),CsDJ[Credit])))+(SUM(IF((CRDJ[Date]=$A$4)*(CRDJ[Sort Code]=(TRIM(E$5)))*(CRDJ[Account Code]=(TRIM($B88))),CRDJ[Credit])))+(SUM(IF((GJ[Date]=$A$4)*(GJ[Sort Code]=(TRIM(E$5)))*(GJ[Account Code]=(TRIM($B88))),GJ[Credit]))))</f>
        <v>0</v>
      </c>
      <c r="E88" s="467">
        <f>C88+D88</f>
        <v>0</v>
      </c>
    </row>
    <row r="89" spans="1:5">
      <c r="A89" s="476" t="s">
        <v>294</v>
      </c>
      <c r="B89" s="339" t="s">
        <v>234</v>
      </c>
      <c r="C89" s="466">
        <f t="array" ref="C89">((SUM(IF((CkDJ[Sort Code]=(TRIM(E$5)))*(CkDJ[Account Code]=(TRIM($B89)))*(CkDJ[Date]&lt;=$C$8),CkDJ[Debit])))+(SUM(IF((CsDJ[Sort Code]=(TRIM(E$5)))*(CsDJ[Account Code]=(TRIM($B89)))*(CsDJ[Date]&lt;=$C$8),CsDJ[Debit])))+(SUM(IF((CRDJ[Sort Code]=(TRIM(E$5)))*(CRDJ[Account Code]=(TRIM($B89)))*(CRDJ[Date]&lt;=$C$8),CRDJ[Debit])))+(SUM(IF((GJ[Sort Code]=(TRIM(E$5)))*(GJ[Account Code]=(TRIM($B89)))*(GJ[Date]&lt;=$C$8),GJ[Debit]))))-((SUM(IF((CkDJ[Sort Code]=(TRIM(E$5)))*(CkDJ[Account Code]=(TRIM($B89)))*(CkDJ[Date]&lt;=$C$8),CkDJ[Credit])))+(SUM(IF((CsDJ[Sort Code]=(TRIM(E$5)))*(CsDJ[Account Code]=(TRIM($B89)))*(CsDJ[Date]&lt;=$C$8),CsDJ[Credit])))+(SUM(IF((CRDJ[Sort Code]=(TRIM(E$5)))*(CRDJ[Account Code]=(TRIM($B89)))*(CRDJ[Date]&lt;=$C$8),CRDJ[Credit])))+(SUM(IF((GJ[Sort Code]=(TRIM(E$5)))*(GJ[Account Code]=(TRIM($B89)))*(GJ[Date]&lt;=$C$8),GJ[Credit]))))</f>
        <v>0</v>
      </c>
      <c r="D89" s="466">
        <f t="array" ref="D89">((SUM(IF((CkDJ[Date]=$A$4)*(CkDJ[Sort Code]=(TRIM(E$5)))*(CkDJ[Account Code]=(TRIM($B89))),CkDJ[Debit])))+(SUM(IF((CsDJ[Date]=$A$4)*(CsDJ[Sort Code]=(TRIM(E$5)))*(CsDJ[Account Code]=(TRIM($B89))),CsDJ[Debit])))+(SUM(IF((CRDJ[Date]=$A$4)*(CRDJ[Sort Code]=(TRIM(E$5)))*(CRDJ[Account Code]=(TRIM($B89))),CRDJ[Debit])))+(SUM(IF((GJ[Date]=$A$4)*(GJ[Sort Code]=(TRIM(E$5)))*(GJ[Account Code]=(TRIM($B89))),GJ[Debit]))))-((SUM(IF((CkDJ[Date]=$A$4)*(CkDJ[Sort Code]=(TRIM(E$5)))*(CkDJ[Account Code]=(TRIM($B89))),CkDJ[Credit])))+(SUM(IF((CsDJ[Date]=$A$4)*(CsDJ[Sort Code]=(TRIM(E$5)))*(CsDJ[Account Code]=(TRIM($B89))),CsDJ[Credit])))+(SUM(IF((CRDJ[Date]=$A$4)*(CRDJ[Sort Code]=(TRIM(E$5)))*(CRDJ[Account Code]=(TRIM($B89))),CRDJ[Credit])))+(SUM(IF((GJ[Date]=$A$4)*(GJ[Sort Code]=(TRIM(E$5)))*(GJ[Account Code]=(TRIM($B89))),GJ[Credit]))))</f>
        <v>0</v>
      </c>
      <c r="E89" s="467">
        <f t="shared" si="3"/>
        <v>0</v>
      </c>
    </row>
    <row r="90" spans="1:5">
      <c r="A90" s="476" t="s">
        <v>295</v>
      </c>
      <c r="B90" s="339" t="s">
        <v>235</v>
      </c>
      <c r="C90" s="466">
        <f t="array" ref="C90">((SUM(IF((CkDJ[Sort Code]=(TRIM(E$5)))*(CkDJ[Account Code]=(TRIM($B90)))*(CkDJ[Date]&lt;=$C$8),CkDJ[Debit])))+(SUM(IF((CsDJ[Sort Code]=(TRIM(E$5)))*(CsDJ[Account Code]=(TRIM($B90)))*(CsDJ[Date]&lt;=$C$8),CsDJ[Debit])))+(SUM(IF((CRDJ[Sort Code]=(TRIM(E$5)))*(CRDJ[Account Code]=(TRIM($B90)))*(CRDJ[Date]&lt;=$C$8),CRDJ[Debit])))+(SUM(IF((GJ[Sort Code]=(TRIM(E$5)))*(GJ[Account Code]=(TRIM($B90)))*(GJ[Date]&lt;=$C$8),GJ[Debit]))))-((SUM(IF((CkDJ[Sort Code]=(TRIM(E$5)))*(CkDJ[Account Code]=(TRIM($B90)))*(CkDJ[Date]&lt;=$C$8),CkDJ[Credit])))+(SUM(IF((CsDJ[Sort Code]=(TRIM(E$5)))*(CsDJ[Account Code]=(TRIM($B90)))*(CsDJ[Date]&lt;=$C$8),CsDJ[Credit])))+(SUM(IF((CRDJ[Sort Code]=(TRIM(E$5)))*(CRDJ[Account Code]=(TRIM($B90)))*(CRDJ[Date]&lt;=$C$8),CRDJ[Credit])))+(SUM(IF((GJ[Sort Code]=(TRIM(E$5)))*(GJ[Account Code]=(TRIM($B90)))*(GJ[Date]&lt;=$C$8),GJ[Credit]))))</f>
        <v>0</v>
      </c>
      <c r="D90" s="466">
        <f t="array" ref="D90">((SUM(IF((CkDJ[Date]=$A$4)*(CkDJ[Sort Code]=(TRIM(E$5)))*(CkDJ[Account Code]=(TRIM($B90))),CkDJ[Debit])))+(SUM(IF((CsDJ[Date]=$A$4)*(CsDJ[Sort Code]=(TRIM(E$5)))*(CsDJ[Account Code]=(TRIM($B90))),CsDJ[Debit])))+(SUM(IF((CRDJ[Date]=$A$4)*(CRDJ[Sort Code]=(TRIM(E$5)))*(CRDJ[Account Code]=(TRIM($B90))),CRDJ[Debit])))+(SUM(IF((GJ[Date]=$A$4)*(GJ[Sort Code]=(TRIM(E$5)))*(GJ[Account Code]=(TRIM($B90))),GJ[Debit]))))-((SUM(IF((CkDJ[Date]=$A$4)*(CkDJ[Sort Code]=(TRIM(E$5)))*(CkDJ[Account Code]=(TRIM($B90))),CkDJ[Credit])))+(SUM(IF((CsDJ[Date]=$A$4)*(CsDJ[Sort Code]=(TRIM(E$5)))*(CsDJ[Account Code]=(TRIM($B90))),CsDJ[Credit])))+(SUM(IF((CRDJ[Date]=$A$4)*(CRDJ[Sort Code]=(TRIM(E$5)))*(CRDJ[Account Code]=(TRIM($B90))),CRDJ[Credit])))+(SUM(IF((GJ[Date]=$A$4)*(GJ[Sort Code]=(TRIM(E$5)))*(GJ[Account Code]=(TRIM($B90))),GJ[Credit]))))</f>
        <v>0</v>
      </c>
      <c r="E90" s="467">
        <f t="shared" si="3"/>
        <v>0</v>
      </c>
    </row>
    <row r="91" spans="1:5">
      <c r="A91" s="476" t="s">
        <v>296</v>
      </c>
      <c r="B91" s="339" t="s">
        <v>236</v>
      </c>
      <c r="C91" s="466">
        <f t="array" ref="C91">((SUM(IF((CkDJ[Sort Code]=(TRIM(E$5)))*(CkDJ[Account Code]=(TRIM($B91)))*(CkDJ[Date]&lt;=$C$8),CkDJ[Debit])))+(SUM(IF((CsDJ[Sort Code]=(TRIM(E$5)))*(CsDJ[Account Code]=(TRIM($B91)))*(CsDJ[Date]&lt;=$C$8),CsDJ[Debit])))+(SUM(IF((CRDJ[Sort Code]=(TRIM(E$5)))*(CRDJ[Account Code]=(TRIM($B91)))*(CRDJ[Date]&lt;=$C$8),CRDJ[Debit])))+(SUM(IF((GJ[Sort Code]=(TRIM(E$5)))*(GJ[Account Code]=(TRIM($B91)))*(GJ[Date]&lt;=$C$8),GJ[Debit]))))-((SUM(IF((CkDJ[Sort Code]=(TRIM(E$5)))*(CkDJ[Account Code]=(TRIM($B91)))*(CkDJ[Date]&lt;=$C$8),CkDJ[Credit])))+(SUM(IF((CsDJ[Sort Code]=(TRIM(E$5)))*(CsDJ[Account Code]=(TRIM($B91)))*(CsDJ[Date]&lt;=$C$8),CsDJ[Credit])))+(SUM(IF((CRDJ[Sort Code]=(TRIM(E$5)))*(CRDJ[Account Code]=(TRIM($B91)))*(CRDJ[Date]&lt;=$C$8),CRDJ[Credit])))+(SUM(IF((GJ[Sort Code]=(TRIM(E$5)))*(GJ[Account Code]=(TRIM($B91)))*(GJ[Date]&lt;=$C$8),GJ[Credit]))))</f>
        <v>0</v>
      </c>
      <c r="D91" s="466">
        <f t="array" ref="D91">((SUM(IF((CkDJ[Date]=$A$4)*(CkDJ[Sort Code]=(TRIM(E$5)))*(CkDJ[Account Code]=(TRIM($B91))),CkDJ[Debit])))+(SUM(IF((CsDJ[Date]=$A$4)*(CsDJ[Sort Code]=(TRIM(E$5)))*(CsDJ[Account Code]=(TRIM($B91))),CsDJ[Debit])))+(SUM(IF((CRDJ[Date]=$A$4)*(CRDJ[Sort Code]=(TRIM(E$5)))*(CRDJ[Account Code]=(TRIM($B91))),CRDJ[Debit])))+(SUM(IF((GJ[Date]=$A$4)*(GJ[Sort Code]=(TRIM(E$5)))*(GJ[Account Code]=(TRIM($B91))),GJ[Debit]))))-((SUM(IF((CkDJ[Date]=$A$4)*(CkDJ[Sort Code]=(TRIM(E$5)))*(CkDJ[Account Code]=(TRIM($B91))),CkDJ[Credit])))+(SUM(IF((CsDJ[Date]=$A$4)*(CsDJ[Sort Code]=(TRIM(E$5)))*(CsDJ[Account Code]=(TRIM($B91))),CsDJ[Credit])))+(SUM(IF((CRDJ[Date]=$A$4)*(CRDJ[Sort Code]=(TRIM(E$5)))*(CRDJ[Account Code]=(TRIM($B91))),CRDJ[Credit])))+(SUM(IF((GJ[Date]=$A$4)*(GJ[Sort Code]=(TRIM(E$5)))*(GJ[Account Code]=(TRIM($B91))),GJ[Credit]))))</f>
        <v>0</v>
      </c>
      <c r="E91" s="467">
        <f t="shared" si="3"/>
        <v>0</v>
      </c>
    </row>
    <row r="92" spans="1:5">
      <c r="A92" s="476" t="s">
        <v>297</v>
      </c>
      <c r="B92" s="339" t="s">
        <v>237</v>
      </c>
      <c r="C92" s="466">
        <f t="array" ref="C92">((SUM(IF((CkDJ[Sort Code]=(TRIM(E$5)))*(CkDJ[Account Code]=(TRIM($B92)))*(CkDJ[Date]&lt;=$C$8),CkDJ[Debit])))+(SUM(IF((CsDJ[Sort Code]=(TRIM(E$5)))*(CsDJ[Account Code]=(TRIM($B92)))*(CsDJ[Date]&lt;=$C$8),CsDJ[Debit])))+(SUM(IF((CRDJ[Sort Code]=(TRIM(E$5)))*(CRDJ[Account Code]=(TRIM($B92)))*(CRDJ[Date]&lt;=$C$8),CRDJ[Debit])))+(SUM(IF((GJ[Sort Code]=(TRIM(E$5)))*(GJ[Account Code]=(TRIM($B92)))*(GJ[Date]&lt;=$C$8),GJ[Debit]))))-((SUM(IF((CkDJ[Sort Code]=(TRIM(E$5)))*(CkDJ[Account Code]=(TRIM($B92)))*(CkDJ[Date]&lt;=$C$8),CkDJ[Credit])))+(SUM(IF((CsDJ[Sort Code]=(TRIM(E$5)))*(CsDJ[Account Code]=(TRIM($B92)))*(CsDJ[Date]&lt;=$C$8),CsDJ[Credit])))+(SUM(IF((CRDJ[Sort Code]=(TRIM(E$5)))*(CRDJ[Account Code]=(TRIM($B92)))*(CRDJ[Date]&lt;=$C$8),CRDJ[Credit])))+(SUM(IF((GJ[Sort Code]=(TRIM(E$5)))*(GJ[Account Code]=(TRIM($B92)))*(GJ[Date]&lt;=$C$8),GJ[Credit]))))</f>
        <v>0</v>
      </c>
      <c r="D92" s="466">
        <f t="array" ref="D92">((SUM(IF((CkDJ[Date]=$A$4)*(CkDJ[Sort Code]=(TRIM(E$5)))*(CkDJ[Account Code]=(TRIM($B92))),CkDJ[Debit])))+(SUM(IF((CsDJ[Date]=$A$4)*(CsDJ[Sort Code]=(TRIM(E$5)))*(CsDJ[Account Code]=(TRIM($B92))),CsDJ[Debit])))+(SUM(IF((CRDJ[Date]=$A$4)*(CRDJ[Sort Code]=(TRIM(E$5)))*(CRDJ[Account Code]=(TRIM($B92))),CRDJ[Debit])))+(SUM(IF((GJ[Date]=$A$4)*(GJ[Sort Code]=(TRIM(E$5)))*(GJ[Account Code]=(TRIM($B92))),GJ[Debit]))))-((SUM(IF((CkDJ[Date]=$A$4)*(CkDJ[Sort Code]=(TRIM(E$5)))*(CkDJ[Account Code]=(TRIM($B92))),CkDJ[Credit])))+(SUM(IF((CsDJ[Date]=$A$4)*(CsDJ[Sort Code]=(TRIM(E$5)))*(CsDJ[Account Code]=(TRIM($B92))),CsDJ[Credit])))+(SUM(IF((CRDJ[Date]=$A$4)*(CRDJ[Sort Code]=(TRIM(E$5)))*(CRDJ[Account Code]=(TRIM($B92))),CRDJ[Credit])))+(SUM(IF((GJ[Date]=$A$4)*(GJ[Sort Code]=(TRIM(E$5)))*(GJ[Account Code]=(TRIM($B92))),GJ[Credit]))))</f>
        <v>0</v>
      </c>
      <c r="E92" s="467">
        <f t="shared" si="3"/>
        <v>0</v>
      </c>
    </row>
    <row r="93" spans="1:5">
      <c r="A93" s="476" t="s">
        <v>298</v>
      </c>
      <c r="B93" s="339" t="s">
        <v>238</v>
      </c>
      <c r="C93" s="466">
        <f t="array" ref="C93">((SUM(IF((CkDJ[Sort Code]=(TRIM(E$5)))*(CkDJ[Account Code]=(TRIM($B93)))*(CkDJ[Date]&lt;=$C$8),CkDJ[Debit])))+(SUM(IF((CsDJ[Sort Code]=(TRIM(E$5)))*(CsDJ[Account Code]=(TRIM($B93)))*(CsDJ[Date]&lt;=$C$8),CsDJ[Debit])))+(SUM(IF((CRDJ[Sort Code]=(TRIM(E$5)))*(CRDJ[Account Code]=(TRIM($B93)))*(CRDJ[Date]&lt;=$C$8),CRDJ[Debit])))+(SUM(IF((GJ[Sort Code]=(TRIM(E$5)))*(GJ[Account Code]=(TRIM($B93)))*(GJ[Date]&lt;=$C$8),GJ[Debit]))))-((SUM(IF((CkDJ[Sort Code]=(TRIM(E$5)))*(CkDJ[Account Code]=(TRIM($B93)))*(CkDJ[Date]&lt;=$C$8),CkDJ[Credit])))+(SUM(IF((CsDJ[Sort Code]=(TRIM(E$5)))*(CsDJ[Account Code]=(TRIM($B93)))*(CsDJ[Date]&lt;=$C$8),CsDJ[Credit])))+(SUM(IF((CRDJ[Sort Code]=(TRIM(E$5)))*(CRDJ[Account Code]=(TRIM($B93)))*(CRDJ[Date]&lt;=$C$8),CRDJ[Credit])))+(SUM(IF((GJ[Sort Code]=(TRIM(E$5)))*(GJ[Account Code]=(TRIM($B93)))*(GJ[Date]&lt;=$C$8),GJ[Credit]))))</f>
        <v>0</v>
      </c>
      <c r="D93" s="466">
        <f t="array" ref="D93">((SUM(IF((CkDJ[Date]=$A$4)*(CkDJ[Sort Code]=(TRIM(E$5)))*(CkDJ[Account Code]=(TRIM($B93))),CkDJ[Debit])))+(SUM(IF((CsDJ[Date]=$A$4)*(CsDJ[Sort Code]=(TRIM(E$5)))*(CsDJ[Account Code]=(TRIM($B93))),CsDJ[Debit])))+(SUM(IF((CRDJ[Date]=$A$4)*(CRDJ[Sort Code]=(TRIM(E$5)))*(CRDJ[Account Code]=(TRIM($B93))),CRDJ[Debit])))+(SUM(IF((GJ[Date]=$A$4)*(GJ[Sort Code]=(TRIM(E$5)))*(GJ[Account Code]=(TRIM($B93))),GJ[Debit]))))-((SUM(IF((CkDJ[Date]=$A$4)*(CkDJ[Sort Code]=(TRIM(E$5)))*(CkDJ[Account Code]=(TRIM($B93))),CkDJ[Credit])))+(SUM(IF((CsDJ[Date]=$A$4)*(CsDJ[Sort Code]=(TRIM(E$5)))*(CsDJ[Account Code]=(TRIM($B93))),CsDJ[Credit])))+(SUM(IF((CRDJ[Date]=$A$4)*(CRDJ[Sort Code]=(TRIM(E$5)))*(CRDJ[Account Code]=(TRIM($B93))),CRDJ[Credit])))+(SUM(IF((GJ[Date]=$A$4)*(GJ[Sort Code]=(TRIM(E$5)))*(GJ[Account Code]=(TRIM($B93))),GJ[Credit]))))</f>
        <v>0</v>
      </c>
      <c r="E93" s="467">
        <f t="shared" si="3"/>
        <v>0</v>
      </c>
    </row>
    <row r="94" spans="1:5">
      <c r="A94" s="476" t="s">
        <v>1019</v>
      </c>
      <c r="B94" s="339" t="s">
        <v>239</v>
      </c>
      <c r="C94" s="466">
        <f t="array" ref="C94">((SUM(IF((CkDJ[Sort Code]=(TRIM(E$5)))*(CkDJ[Account Code]=(TRIM($B94)))*(CkDJ[Date]&lt;=$C$8),CkDJ[Debit])))+(SUM(IF((CsDJ[Sort Code]=(TRIM(E$5)))*(CsDJ[Account Code]=(TRIM($B94)))*(CsDJ[Date]&lt;=$C$8),CsDJ[Debit])))+(SUM(IF((CRDJ[Sort Code]=(TRIM(E$5)))*(CRDJ[Account Code]=(TRIM($B94)))*(CRDJ[Date]&lt;=$C$8),CRDJ[Debit])))+(SUM(IF((GJ[Sort Code]=(TRIM(E$5)))*(GJ[Account Code]=(TRIM($B94)))*(GJ[Date]&lt;=$C$8),GJ[Debit]))))-((SUM(IF((CkDJ[Sort Code]=(TRIM(E$5)))*(CkDJ[Account Code]=(TRIM($B94)))*(CkDJ[Date]&lt;=$C$8),CkDJ[Credit])))+(SUM(IF((CsDJ[Sort Code]=(TRIM(E$5)))*(CsDJ[Account Code]=(TRIM($B94)))*(CsDJ[Date]&lt;=$C$8),CsDJ[Credit])))+(SUM(IF((CRDJ[Sort Code]=(TRIM(E$5)))*(CRDJ[Account Code]=(TRIM($B94)))*(CRDJ[Date]&lt;=$C$8),CRDJ[Credit])))+(SUM(IF((GJ[Sort Code]=(TRIM(E$5)))*(GJ[Account Code]=(TRIM($B94)))*(GJ[Date]&lt;=$C$8),GJ[Credit]))))</f>
        <v>0</v>
      </c>
      <c r="D94" s="466">
        <f t="array" ref="D94">((SUM(IF((CkDJ[Date]=$A$4)*(CkDJ[Sort Code]=(TRIM(E$5)))*(CkDJ[Account Code]=(TRIM($B94))),CkDJ[Debit])))+(SUM(IF((CsDJ[Date]=$A$4)*(CsDJ[Sort Code]=(TRIM(E$5)))*(CsDJ[Account Code]=(TRIM($B94))),CsDJ[Debit])))+(SUM(IF((CRDJ[Date]=$A$4)*(CRDJ[Sort Code]=(TRIM(E$5)))*(CRDJ[Account Code]=(TRIM($B94))),CRDJ[Debit])))+(SUM(IF((GJ[Date]=$A$4)*(GJ[Sort Code]=(TRIM(E$5)))*(GJ[Account Code]=(TRIM($B94))),GJ[Debit]))))-((SUM(IF((CkDJ[Date]=$A$4)*(CkDJ[Sort Code]=(TRIM(E$5)))*(CkDJ[Account Code]=(TRIM($B94))),CkDJ[Credit])))+(SUM(IF((CsDJ[Date]=$A$4)*(CsDJ[Sort Code]=(TRIM(E$5)))*(CsDJ[Account Code]=(TRIM($B94))),CsDJ[Credit])))+(SUM(IF((CRDJ[Date]=$A$4)*(CRDJ[Sort Code]=(TRIM(E$5)))*(CRDJ[Account Code]=(TRIM($B94))),CRDJ[Credit])))+(SUM(IF((GJ[Date]=$A$4)*(GJ[Sort Code]=(TRIM(E$5)))*(GJ[Account Code]=(TRIM($B94))),GJ[Credit]))))</f>
        <v>0</v>
      </c>
      <c r="E94" s="467">
        <f t="shared" si="3"/>
        <v>0</v>
      </c>
    </row>
    <row r="95" spans="1:5">
      <c r="A95" s="476" t="s">
        <v>1020</v>
      </c>
      <c r="B95" s="339" t="s">
        <v>240</v>
      </c>
      <c r="C95" s="466">
        <f t="array" ref="C95">((SUM(IF((CkDJ[Sort Code]=(TRIM(E$5)))*(CkDJ[Account Code]=(TRIM($B95)))*(CkDJ[Date]&lt;=$C$8),CkDJ[Debit])))+(SUM(IF((CsDJ[Sort Code]=(TRIM(E$5)))*(CsDJ[Account Code]=(TRIM($B95)))*(CsDJ[Date]&lt;=$C$8),CsDJ[Debit])))+(SUM(IF((CRDJ[Sort Code]=(TRIM(E$5)))*(CRDJ[Account Code]=(TRIM($B95)))*(CRDJ[Date]&lt;=$C$8),CRDJ[Debit])))+(SUM(IF((GJ[Sort Code]=(TRIM(E$5)))*(GJ[Account Code]=(TRIM($B95)))*(GJ[Date]&lt;=$C$8),GJ[Debit]))))-((SUM(IF((CkDJ[Sort Code]=(TRIM(E$5)))*(CkDJ[Account Code]=(TRIM($B95)))*(CkDJ[Date]&lt;=$C$8),CkDJ[Credit])))+(SUM(IF((CsDJ[Sort Code]=(TRIM(E$5)))*(CsDJ[Account Code]=(TRIM($B95)))*(CsDJ[Date]&lt;=$C$8),CsDJ[Credit])))+(SUM(IF((CRDJ[Sort Code]=(TRIM(E$5)))*(CRDJ[Account Code]=(TRIM($B95)))*(CRDJ[Date]&lt;=$C$8),CRDJ[Credit])))+(SUM(IF((GJ[Sort Code]=(TRIM(E$5)))*(GJ[Account Code]=(TRIM($B95)))*(GJ[Date]&lt;=$C$8),GJ[Credit]))))</f>
        <v>0</v>
      </c>
      <c r="D95" s="466">
        <f t="array" ref="D95">((SUM(IF((CkDJ[Date]=$A$4)*(CkDJ[Sort Code]=(TRIM(E$5)))*(CkDJ[Account Code]=(TRIM($B95))),CkDJ[Debit])))+(SUM(IF((CsDJ[Date]=$A$4)*(CsDJ[Sort Code]=(TRIM(E$5)))*(CsDJ[Account Code]=(TRIM($B95))),CsDJ[Debit])))+(SUM(IF((CRDJ[Date]=$A$4)*(CRDJ[Sort Code]=(TRIM(E$5)))*(CRDJ[Account Code]=(TRIM($B95))),CRDJ[Debit])))+(SUM(IF((GJ[Date]=$A$4)*(GJ[Sort Code]=(TRIM(E$5)))*(GJ[Account Code]=(TRIM($B95))),GJ[Debit]))))-((SUM(IF((CkDJ[Date]=$A$4)*(CkDJ[Sort Code]=(TRIM(E$5)))*(CkDJ[Account Code]=(TRIM($B95))),CkDJ[Credit])))+(SUM(IF((CsDJ[Date]=$A$4)*(CsDJ[Sort Code]=(TRIM(E$5)))*(CsDJ[Account Code]=(TRIM($B95))),CsDJ[Credit])))+(SUM(IF((CRDJ[Date]=$A$4)*(CRDJ[Sort Code]=(TRIM(E$5)))*(CRDJ[Account Code]=(TRIM($B95))),CRDJ[Credit])))+(SUM(IF((GJ[Date]=$A$4)*(GJ[Sort Code]=(TRIM(E$5)))*(GJ[Account Code]=(TRIM($B95))),GJ[Credit]))))</f>
        <v>0</v>
      </c>
      <c r="E95" s="467">
        <f t="shared" si="3"/>
        <v>0</v>
      </c>
    </row>
    <row r="96" spans="1:5">
      <c r="A96" s="476" t="s">
        <v>299</v>
      </c>
      <c r="B96" s="339" t="s">
        <v>241</v>
      </c>
      <c r="C96" s="466">
        <f t="array" ref="C96">((SUM(IF((CkDJ[Sort Code]=(TRIM(E$5)))*(CkDJ[Account Code]=(TRIM($B96)))*(CkDJ[Date]&lt;=$C$8),CkDJ[Debit])))+(SUM(IF((CsDJ[Sort Code]=(TRIM(E$5)))*(CsDJ[Account Code]=(TRIM($B96)))*(CsDJ[Date]&lt;=$C$8),CsDJ[Debit])))+(SUM(IF((CRDJ[Sort Code]=(TRIM(E$5)))*(CRDJ[Account Code]=(TRIM($B96)))*(CRDJ[Date]&lt;=$C$8),CRDJ[Debit])))+(SUM(IF((GJ[Sort Code]=(TRIM(E$5)))*(GJ[Account Code]=(TRIM($B96)))*(GJ[Date]&lt;=$C$8),GJ[Debit]))))-((SUM(IF((CkDJ[Sort Code]=(TRIM(E$5)))*(CkDJ[Account Code]=(TRIM($B96)))*(CkDJ[Date]&lt;=$C$8),CkDJ[Credit])))+(SUM(IF((CsDJ[Sort Code]=(TRIM(E$5)))*(CsDJ[Account Code]=(TRIM($B96)))*(CsDJ[Date]&lt;=$C$8),CsDJ[Credit])))+(SUM(IF((CRDJ[Sort Code]=(TRIM(E$5)))*(CRDJ[Account Code]=(TRIM($B96)))*(CRDJ[Date]&lt;=$C$8),CRDJ[Credit])))+(SUM(IF((GJ[Sort Code]=(TRIM(E$5)))*(GJ[Account Code]=(TRIM($B96)))*(GJ[Date]&lt;=$C$8),GJ[Credit]))))</f>
        <v>0</v>
      </c>
      <c r="D96" s="466">
        <f t="array" ref="D96">((SUM(IF((CkDJ[Date]=$A$4)*(CkDJ[Sort Code]=(TRIM(E$5)))*(CkDJ[Account Code]=(TRIM($B96))),CkDJ[Debit])))+(SUM(IF((CsDJ[Date]=$A$4)*(CsDJ[Sort Code]=(TRIM(E$5)))*(CsDJ[Account Code]=(TRIM($B96))),CsDJ[Debit])))+(SUM(IF((CRDJ[Date]=$A$4)*(CRDJ[Sort Code]=(TRIM(E$5)))*(CRDJ[Account Code]=(TRIM($B96))),CRDJ[Debit])))+(SUM(IF((GJ[Date]=$A$4)*(GJ[Sort Code]=(TRIM(E$5)))*(GJ[Account Code]=(TRIM($B96))),GJ[Debit]))))-((SUM(IF((CkDJ[Date]=$A$4)*(CkDJ[Sort Code]=(TRIM(E$5)))*(CkDJ[Account Code]=(TRIM($B96))),CkDJ[Credit])))+(SUM(IF((CsDJ[Date]=$A$4)*(CsDJ[Sort Code]=(TRIM(E$5)))*(CsDJ[Account Code]=(TRIM($B96))),CsDJ[Credit])))+(SUM(IF((CRDJ[Date]=$A$4)*(CRDJ[Sort Code]=(TRIM(E$5)))*(CRDJ[Account Code]=(TRIM($B96))),CRDJ[Credit])))+(SUM(IF((GJ[Date]=$A$4)*(GJ[Sort Code]=(TRIM(E$5)))*(GJ[Account Code]=(TRIM($B96))),GJ[Credit]))))</f>
        <v>0</v>
      </c>
      <c r="E96" s="467">
        <f t="shared" si="3"/>
        <v>0</v>
      </c>
    </row>
    <row r="97" spans="1:5">
      <c r="A97" s="476" t="s">
        <v>300</v>
      </c>
      <c r="B97" s="339" t="s">
        <v>242</v>
      </c>
      <c r="C97" s="466">
        <f t="array" ref="C97">((SUM(IF((CkDJ[Sort Code]=(TRIM(E$5)))*(CkDJ[Account Code]=(TRIM($B97)))*(CkDJ[Date]&lt;=$C$8),CkDJ[Debit])))+(SUM(IF((CsDJ[Sort Code]=(TRIM(E$5)))*(CsDJ[Account Code]=(TRIM($B97)))*(CsDJ[Date]&lt;=$C$8),CsDJ[Debit])))+(SUM(IF((CRDJ[Sort Code]=(TRIM(E$5)))*(CRDJ[Account Code]=(TRIM($B97)))*(CRDJ[Date]&lt;=$C$8),CRDJ[Debit])))+(SUM(IF((GJ[Sort Code]=(TRIM(E$5)))*(GJ[Account Code]=(TRIM($B97)))*(GJ[Date]&lt;=$C$8),GJ[Debit]))))-((SUM(IF((CkDJ[Sort Code]=(TRIM(E$5)))*(CkDJ[Account Code]=(TRIM($B97)))*(CkDJ[Date]&lt;=$C$8),CkDJ[Credit])))+(SUM(IF((CsDJ[Sort Code]=(TRIM(E$5)))*(CsDJ[Account Code]=(TRIM($B97)))*(CsDJ[Date]&lt;=$C$8),CsDJ[Credit])))+(SUM(IF((CRDJ[Sort Code]=(TRIM(E$5)))*(CRDJ[Account Code]=(TRIM($B97)))*(CRDJ[Date]&lt;=$C$8),CRDJ[Credit])))+(SUM(IF((GJ[Sort Code]=(TRIM(E$5)))*(GJ[Account Code]=(TRIM($B97)))*(GJ[Date]&lt;=$C$8),GJ[Credit]))))</f>
        <v>0</v>
      </c>
      <c r="D97" s="466">
        <f t="array" ref="D97">((SUM(IF((CkDJ[Date]=$A$4)*(CkDJ[Sort Code]=(TRIM(E$5)))*(CkDJ[Account Code]=(TRIM($B97))),CkDJ[Debit])))+(SUM(IF((CsDJ[Date]=$A$4)*(CsDJ[Sort Code]=(TRIM(E$5)))*(CsDJ[Account Code]=(TRIM($B97))),CsDJ[Debit])))+(SUM(IF((CRDJ[Date]=$A$4)*(CRDJ[Sort Code]=(TRIM(E$5)))*(CRDJ[Account Code]=(TRIM($B97))),CRDJ[Debit])))+(SUM(IF((GJ[Date]=$A$4)*(GJ[Sort Code]=(TRIM(E$5)))*(GJ[Account Code]=(TRIM($B97))),GJ[Debit]))))-((SUM(IF((CkDJ[Date]=$A$4)*(CkDJ[Sort Code]=(TRIM(E$5)))*(CkDJ[Account Code]=(TRIM($B97))),CkDJ[Credit])))+(SUM(IF((CsDJ[Date]=$A$4)*(CsDJ[Sort Code]=(TRIM(E$5)))*(CsDJ[Account Code]=(TRIM($B97))),CsDJ[Credit])))+(SUM(IF((CRDJ[Date]=$A$4)*(CRDJ[Sort Code]=(TRIM(E$5)))*(CRDJ[Account Code]=(TRIM($B97))),CRDJ[Credit])))+(SUM(IF((GJ[Date]=$A$4)*(GJ[Sort Code]=(TRIM(E$5)))*(GJ[Account Code]=(TRIM($B97))),GJ[Credit]))))</f>
        <v>0</v>
      </c>
      <c r="E97" s="467">
        <f t="shared" si="3"/>
        <v>0</v>
      </c>
    </row>
    <row r="98" spans="1:5">
      <c r="A98" s="476" t="s">
        <v>301</v>
      </c>
      <c r="B98" s="339" t="s">
        <v>243</v>
      </c>
      <c r="C98" s="466">
        <f t="array" ref="C98">((SUM(IF((CkDJ[Sort Code]=(TRIM(E$5)))*(CkDJ[Account Code]=(TRIM($B98)))*(CkDJ[Date]&lt;=$C$8),CkDJ[Debit])))+(SUM(IF((CsDJ[Sort Code]=(TRIM(E$5)))*(CsDJ[Account Code]=(TRIM($B98)))*(CsDJ[Date]&lt;=$C$8),CsDJ[Debit])))+(SUM(IF((CRDJ[Sort Code]=(TRIM(E$5)))*(CRDJ[Account Code]=(TRIM($B98)))*(CRDJ[Date]&lt;=$C$8),CRDJ[Debit])))+(SUM(IF((GJ[Sort Code]=(TRIM(E$5)))*(GJ[Account Code]=(TRIM($B98)))*(GJ[Date]&lt;=$C$8),GJ[Debit]))))-((SUM(IF((CkDJ[Sort Code]=(TRIM(E$5)))*(CkDJ[Account Code]=(TRIM($B98)))*(CkDJ[Date]&lt;=$C$8),CkDJ[Credit])))+(SUM(IF((CsDJ[Sort Code]=(TRIM(E$5)))*(CsDJ[Account Code]=(TRIM($B98)))*(CsDJ[Date]&lt;=$C$8),CsDJ[Credit])))+(SUM(IF((CRDJ[Sort Code]=(TRIM(E$5)))*(CRDJ[Account Code]=(TRIM($B98)))*(CRDJ[Date]&lt;=$C$8),CRDJ[Credit])))+(SUM(IF((GJ[Sort Code]=(TRIM(E$5)))*(GJ[Account Code]=(TRIM($B98)))*(GJ[Date]&lt;=$C$8),GJ[Credit]))))</f>
        <v>0</v>
      </c>
      <c r="D98" s="466">
        <f t="array" ref="D98">((SUM(IF((CkDJ[Date]=$A$4)*(CkDJ[Sort Code]=(TRIM(E$5)))*(CkDJ[Account Code]=(TRIM($B98))),CkDJ[Debit])))+(SUM(IF((CsDJ[Date]=$A$4)*(CsDJ[Sort Code]=(TRIM(E$5)))*(CsDJ[Account Code]=(TRIM($B98))),CsDJ[Debit])))+(SUM(IF((CRDJ[Date]=$A$4)*(CRDJ[Sort Code]=(TRIM(E$5)))*(CRDJ[Account Code]=(TRIM($B98))),CRDJ[Debit])))+(SUM(IF((GJ[Date]=$A$4)*(GJ[Sort Code]=(TRIM(E$5)))*(GJ[Account Code]=(TRIM($B98))),GJ[Debit]))))-((SUM(IF((CkDJ[Date]=$A$4)*(CkDJ[Sort Code]=(TRIM(E$5)))*(CkDJ[Account Code]=(TRIM($B98))),CkDJ[Credit])))+(SUM(IF((CsDJ[Date]=$A$4)*(CsDJ[Sort Code]=(TRIM(E$5)))*(CsDJ[Account Code]=(TRIM($B98))),CsDJ[Credit])))+(SUM(IF((CRDJ[Date]=$A$4)*(CRDJ[Sort Code]=(TRIM(E$5)))*(CRDJ[Account Code]=(TRIM($B98))),CRDJ[Credit])))+(SUM(IF((GJ[Date]=$A$4)*(GJ[Sort Code]=(TRIM(E$5)))*(GJ[Account Code]=(TRIM($B98))),GJ[Credit]))))</f>
        <v>0</v>
      </c>
      <c r="E98" s="467">
        <f t="shared" si="3"/>
        <v>0</v>
      </c>
    </row>
    <row r="99" spans="1:5">
      <c r="A99" s="476" t="s">
        <v>302</v>
      </c>
      <c r="B99" s="339" t="s">
        <v>244</v>
      </c>
      <c r="C99" s="466">
        <f t="array" ref="C99">((SUM(IF((CkDJ[Sort Code]=(TRIM(E$5)))*(CkDJ[Account Code]=(TRIM($B99)))*(CkDJ[Date]&lt;=$C$8),CkDJ[Debit])))+(SUM(IF((CsDJ[Sort Code]=(TRIM(E$5)))*(CsDJ[Account Code]=(TRIM($B99)))*(CsDJ[Date]&lt;=$C$8),CsDJ[Debit])))+(SUM(IF((CRDJ[Sort Code]=(TRIM(E$5)))*(CRDJ[Account Code]=(TRIM($B99)))*(CRDJ[Date]&lt;=$C$8),CRDJ[Debit])))+(SUM(IF((GJ[Sort Code]=(TRIM(E$5)))*(GJ[Account Code]=(TRIM($B99)))*(GJ[Date]&lt;=$C$8),GJ[Debit]))))-((SUM(IF((CkDJ[Sort Code]=(TRIM(E$5)))*(CkDJ[Account Code]=(TRIM($B99)))*(CkDJ[Date]&lt;=$C$8),CkDJ[Credit])))+(SUM(IF((CsDJ[Sort Code]=(TRIM(E$5)))*(CsDJ[Account Code]=(TRIM($B99)))*(CsDJ[Date]&lt;=$C$8),CsDJ[Credit])))+(SUM(IF((CRDJ[Sort Code]=(TRIM(E$5)))*(CRDJ[Account Code]=(TRIM($B99)))*(CRDJ[Date]&lt;=$C$8),CRDJ[Credit])))+(SUM(IF((GJ[Sort Code]=(TRIM(E$5)))*(GJ[Account Code]=(TRIM($B99)))*(GJ[Date]&lt;=$C$8),GJ[Credit]))))</f>
        <v>0</v>
      </c>
      <c r="D99" s="466">
        <f t="array" ref="D99">((SUM(IF((CkDJ[Date]=$A$4)*(CkDJ[Sort Code]=(TRIM(E$5)))*(CkDJ[Account Code]=(TRIM($B99))),CkDJ[Debit])))+(SUM(IF((CsDJ[Date]=$A$4)*(CsDJ[Sort Code]=(TRIM(E$5)))*(CsDJ[Account Code]=(TRIM($B99))),CsDJ[Debit])))+(SUM(IF((CRDJ[Date]=$A$4)*(CRDJ[Sort Code]=(TRIM(E$5)))*(CRDJ[Account Code]=(TRIM($B99))),CRDJ[Debit])))+(SUM(IF((GJ[Date]=$A$4)*(GJ[Sort Code]=(TRIM(E$5)))*(GJ[Account Code]=(TRIM($B99))),GJ[Debit]))))-((SUM(IF((CkDJ[Date]=$A$4)*(CkDJ[Sort Code]=(TRIM(E$5)))*(CkDJ[Account Code]=(TRIM($B99))),CkDJ[Credit])))+(SUM(IF((CsDJ[Date]=$A$4)*(CsDJ[Sort Code]=(TRIM(E$5)))*(CsDJ[Account Code]=(TRIM($B99))),CsDJ[Credit])))+(SUM(IF((CRDJ[Date]=$A$4)*(CRDJ[Sort Code]=(TRIM(E$5)))*(CRDJ[Account Code]=(TRIM($B99))),CRDJ[Credit])))+(SUM(IF((GJ[Date]=$A$4)*(GJ[Sort Code]=(TRIM(E$5)))*(GJ[Account Code]=(TRIM($B99))),GJ[Credit]))))</f>
        <v>0</v>
      </c>
      <c r="E99" s="467">
        <f t="shared" si="3"/>
        <v>0</v>
      </c>
    </row>
    <row r="100" spans="1:5">
      <c r="A100" s="476" t="s">
        <v>347</v>
      </c>
      <c r="B100" s="339" t="s">
        <v>338</v>
      </c>
      <c r="C100" s="466">
        <f t="array" ref="C100">((SUM(IF((CkDJ[Sort Code]=(TRIM(E$5)))*(CkDJ[Account Code]=(TRIM($B100)))*(CkDJ[Date]&lt;=$C$8),CkDJ[Debit])))+(SUM(IF((CsDJ[Sort Code]=(TRIM(E$5)))*(CsDJ[Account Code]=(TRIM($B100)))*(CsDJ[Date]&lt;=$C$8),CsDJ[Debit])))+(SUM(IF((CRDJ[Sort Code]=(TRIM(E$5)))*(CRDJ[Account Code]=(TRIM($B100)))*(CRDJ[Date]&lt;=$C$8),CRDJ[Debit])))+(SUM(IF((GJ[Sort Code]=(TRIM(E$5)))*(GJ[Account Code]=(TRIM($B100)))*(GJ[Date]&lt;=$C$8),GJ[Debit]))))-((SUM(IF((CkDJ[Sort Code]=(TRIM(E$5)))*(CkDJ[Account Code]=(TRIM($B100)))*(CkDJ[Date]&lt;=$C$8),CkDJ[Credit])))+(SUM(IF((CsDJ[Sort Code]=(TRIM(E$5)))*(CsDJ[Account Code]=(TRIM($B100)))*(CsDJ[Date]&lt;=$C$8),CsDJ[Credit])))+(SUM(IF((CRDJ[Sort Code]=(TRIM(E$5)))*(CRDJ[Account Code]=(TRIM($B100)))*(CRDJ[Date]&lt;=$C$8),CRDJ[Credit])))+(SUM(IF((GJ[Sort Code]=(TRIM(E$5)))*(GJ[Account Code]=(TRIM($B100)))*(GJ[Date]&lt;=$C$8),GJ[Credit]))))</f>
        <v>0</v>
      </c>
      <c r="D100" s="466">
        <f t="array" ref="D100">((SUM(IF((CkDJ[Date]=$A$4)*(CkDJ[Sort Code]=(TRIM(E$5)))*(CkDJ[Account Code]=(TRIM($B100))),CkDJ[Debit])))+(SUM(IF((CsDJ[Date]=$A$4)*(CsDJ[Sort Code]=(TRIM(E$5)))*(CsDJ[Account Code]=(TRIM($B100))),CsDJ[Debit])))+(SUM(IF((CRDJ[Date]=$A$4)*(CRDJ[Sort Code]=(TRIM(E$5)))*(CRDJ[Account Code]=(TRIM($B100))),CRDJ[Debit])))+(SUM(IF((GJ[Date]=$A$4)*(GJ[Sort Code]=(TRIM(E$5)))*(GJ[Account Code]=(TRIM($B100))),GJ[Debit]))))-((SUM(IF((CkDJ[Date]=$A$4)*(CkDJ[Sort Code]=(TRIM(E$5)))*(CkDJ[Account Code]=(TRIM($B100))),CkDJ[Credit])))+(SUM(IF((CsDJ[Date]=$A$4)*(CsDJ[Sort Code]=(TRIM(E$5)))*(CsDJ[Account Code]=(TRIM($B100))),CsDJ[Credit])))+(SUM(IF((CRDJ[Date]=$A$4)*(CRDJ[Sort Code]=(TRIM(E$5)))*(CRDJ[Account Code]=(TRIM($B100))),CRDJ[Credit])))+(SUM(IF((GJ[Date]=$A$4)*(GJ[Sort Code]=(TRIM(E$5)))*(GJ[Account Code]=(TRIM($B100))),GJ[Credit]))))</f>
        <v>0</v>
      </c>
      <c r="E100" s="467">
        <f t="shared" si="3"/>
        <v>0</v>
      </c>
    </row>
    <row r="101" spans="1:5">
      <c r="A101" s="476" t="s">
        <v>348</v>
      </c>
      <c r="B101" s="339" t="s">
        <v>339</v>
      </c>
      <c r="C101" s="466">
        <f t="array" ref="C101">((SUM(IF((CkDJ[Sort Code]=(TRIM(E$5)))*(CkDJ[Account Code]=(TRIM($B101)))*(CkDJ[Date]&lt;=$C$8),CkDJ[Debit])))+(SUM(IF((CsDJ[Sort Code]=(TRIM(E$5)))*(CsDJ[Account Code]=(TRIM($B101)))*(CsDJ[Date]&lt;=$C$8),CsDJ[Debit])))+(SUM(IF((CRDJ[Sort Code]=(TRIM(E$5)))*(CRDJ[Account Code]=(TRIM($B101)))*(CRDJ[Date]&lt;=$C$8),CRDJ[Debit])))+(SUM(IF((GJ[Sort Code]=(TRIM(E$5)))*(GJ[Account Code]=(TRIM($B101)))*(GJ[Date]&lt;=$C$8),GJ[Debit]))))-((SUM(IF((CkDJ[Sort Code]=(TRIM(E$5)))*(CkDJ[Account Code]=(TRIM($B101)))*(CkDJ[Date]&lt;=$C$8),CkDJ[Credit])))+(SUM(IF((CsDJ[Sort Code]=(TRIM(E$5)))*(CsDJ[Account Code]=(TRIM($B101)))*(CsDJ[Date]&lt;=$C$8),CsDJ[Credit])))+(SUM(IF((CRDJ[Sort Code]=(TRIM(E$5)))*(CRDJ[Account Code]=(TRIM($B101)))*(CRDJ[Date]&lt;=$C$8),CRDJ[Credit])))+(SUM(IF((GJ[Sort Code]=(TRIM(E$5)))*(GJ[Account Code]=(TRIM($B101)))*(GJ[Date]&lt;=$C$8),GJ[Credit]))))</f>
        <v>0</v>
      </c>
      <c r="D101" s="466">
        <f t="array" ref="D101">((SUM(IF((CkDJ[Date]=$A$4)*(CkDJ[Sort Code]=(TRIM(E$5)))*(CkDJ[Account Code]=(TRIM($B101))),CkDJ[Debit])))+(SUM(IF((CsDJ[Date]=$A$4)*(CsDJ[Sort Code]=(TRIM(E$5)))*(CsDJ[Account Code]=(TRIM($B101))),CsDJ[Debit])))+(SUM(IF((CRDJ[Date]=$A$4)*(CRDJ[Sort Code]=(TRIM(E$5)))*(CRDJ[Account Code]=(TRIM($B101))),CRDJ[Debit])))+(SUM(IF((GJ[Date]=$A$4)*(GJ[Sort Code]=(TRIM(E$5)))*(GJ[Account Code]=(TRIM($B101))),GJ[Debit]))))-((SUM(IF((CkDJ[Date]=$A$4)*(CkDJ[Sort Code]=(TRIM(E$5)))*(CkDJ[Account Code]=(TRIM($B101))),CkDJ[Credit])))+(SUM(IF((CsDJ[Date]=$A$4)*(CsDJ[Sort Code]=(TRIM(E$5)))*(CsDJ[Account Code]=(TRIM($B101))),CsDJ[Credit])))+(SUM(IF((CRDJ[Date]=$A$4)*(CRDJ[Sort Code]=(TRIM(E$5)))*(CRDJ[Account Code]=(TRIM($B101))),CRDJ[Credit])))+(SUM(IF((GJ[Date]=$A$4)*(GJ[Sort Code]=(TRIM(E$5)))*(GJ[Account Code]=(TRIM($B101))),GJ[Credit]))))</f>
        <v>0</v>
      </c>
      <c r="E101" s="467">
        <f t="shared" si="3"/>
        <v>0</v>
      </c>
    </row>
    <row r="102" spans="1:5">
      <c r="A102" s="476" t="s">
        <v>1021</v>
      </c>
      <c r="B102" s="339" t="s">
        <v>245</v>
      </c>
      <c r="C102" s="466">
        <f t="array" ref="C102">((SUM(IF((CkDJ[Sort Code]=(TRIM(E$5)))*(CkDJ[Account Code]=(TRIM($B102)))*(CkDJ[Date]&lt;=$C$8),CkDJ[Debit])))+(SUM(IF((CsDJ[Sort Code]=(TRIM(E$5)))*(CsDJ[Account Code]=(TRIM($B102)))*(CsDJ[Date]&lt;=$C$8),CsDJ[Debit])))+(SUM(IF((CRDJ[Sort Code]=(TRIM(E$5)))*(CRDJ[Account Code]=(TRIM($B102)))*(CRDJ[Date]&lt;=$C$8),CRDJ[Debit])))+(SUM(IF((GJ[Sort Code]=(TRIM(E$5)))*(GJ[Account Code]=(TRIM($B102)))*(GJ[Date]&lt;=$C$8),GJ[Debit]))))-((SUM(IF((CkDJ[Sort Code]=(TRIM(E$5)))*(CkDJ[Account Code]=(TRIM($B102)))*(CkDJ[Date]&lt;=$C$8),CkDJ[Credit])))+(SUM(IF((CsDJ[Sort Code]=(TRIM(E$5)))*(CsDJ[Account Code]=(TRIM($B102)))*(CsDJ[Date]&lt;=$C$8),CsDJ[Credit])))+(SUM(IF((CRDJ[Sort Code]=(TRIM(E$5)))*(CRDJ[Account Code]=(TRIM($B102)))*(CRDJ[Date]&lt;=$C$8),CRDJ[Credit])))+(SUM(IF((GJ[Sort Code]=(TRIM(E$5)))*(GJ[Account Code]=(TRIM($B102)))*(GJ[Date]&lt;=$C$8),GJ[Credit]))))</f>
        <v>0</v>
      </c>
      <c r="D102" s="466">
        <f t="array" ref="D102">((SUM(IF((CkDJ[Date]=$A$4)*(CkDJ[Sort Code]=(TRIM(E$5)))*(CkDJ[Account Code]=(TRIM($B102))),CkDJ[Debit])))+(SUM(IF((CsDJ[Date]=$A$4)*(CsDJ[Sort Code]=(TRIM(E$5)))*(CsDJ[Account Code]=(TRIM($B102))),CsDJ[Debit])))+(SUM(IF((CRDJ[Date]=$A$4)*(CRDJ[Sort Code]=(TRIM(E$5)))*(CRDJ[Account Code]=(TRIM($B102))),CRDJ[Debit])))+(SUM(IF((GJ[Date]=$A$4)*(GJ[Sort Code]=(TRIM(E$5)))*(GJ[Account Code]=(TRIM($B102))),GJ[Debit]))))-((SUM(IF((CkDJ[Date]=$A$4)*(CkDJ[Sort Code]=(TRIM(E$5)))*(CkDJ[Account Code]=(TRIM($B102))),CkDJ[Credit])))+(SUM(IF((CsDJ[Date]=$A$4)*(CsDJ[Sort Code]=(TRIM(E$5)))*(CsDJ[Account Code]=(TRIM($B102))),CsDJ[Credit])))+(SUM(IF((CRDJ[Date]=$A$4)*(CRDJ[Sort Code]=(TRIM(E$5)))*(CRDJ[Account Code]=(TRIM($B102))),CRDJ[Credit])))+(SUM(IF((GJ[Date]=$A$4)*(GJ[Sort Code]=(TRIM(E$5)))*(GJ[Account Code]=(TRIM($B102))),GJ[Credit]))))</f>
        <v>0</v>
      </c>
      <c r="E102" s="467">
        <f t="shared" si="3"/>
        <v>0</v>
      </c>
    </row>
    <row r="103" spans="1:5">
      <c r="A103" s="476" t="s">
        <v>1022</v>
      </c>
      <c r="B103" s="339" t="s">
        <v>246</v>
      </c>
      <c r="C103" s="466">
        <f t="array" ref="C103">((SUM(IF((CkDJ[Sort Code]=(TRIM(E$5)))*(CkDJ[Account Code]=(TRIM($B103)))*(CkDJ[Date]&lt;=$C$8),CkDJ[Debit])))+(SUM(IF((CsDJ[Sort Code]=(TRIM(E$5)))*(CsDJ[Account Code]=(TRIM($B103)))*(CsDJ[Date]&lt;=$C$8),CsDJ[Debit])))+(SUM(IF((CRDJ[Sort Code]=(TRIM(E$5)))*(CRDJ[Account Code]=(TRIM($B103)))*(CRDJ[Date]&lt;=$C$8),CRDJ[Debit])))+(SUM(IF((GJ[Sort Code]=(TRIM(E$5)))*(GJ[Account Code]=(TRIM($B103)))*(GJ[Date]&lt;=$C$8),GJ[Debit]))))-((SUM(IF((CkDJ[Sort Code]=(TRIM(E$5)))*(CkDJ[Account Code]=(TRIM($B103)))*(CkDJ[Date]&lt;=$C$8),CkDJ[Credit])))+(SUM(IF((CsDJ[Sort Code]=(TRIM(E$5)))*(CsDJ[Account Code]=(TRIM($B103)))*(CsDJ[Date]&lt;=$C$8),CsDJ[Credit])))+(SUM(IF((CRDJ[Sort Code]=(TRIM(E$5)))*(CRDJ[Account Code]=(TRIM($B103)))*(CRDJ[Date]&lt;=$C$8),CRDJ[Credit])))+(SUM(IF((GJ[Sort Code]=(TRIM(E$5)))*(GJ[Account Code]=(TRIM($B103)))*(GJ[Date]&lt;=$C$8),GJ[Credit]))))</f>
        <v>0</v>
      </c>
      <c r="D103" s="466">
        <f t="array" ref="D103">((SUM(IF((CkDJ[Date]=$A$4)*(CkDJ[Sort Code]=(TRIM(E$5)))*(CkDJ[Account Code]=(TRIM($B103))),CkDJ[Debit])))+(SUM(IF((CsDJ[Date]=$A$4)*(CsDJ[Sort Code]=(TRIM(E$5)))*(CsDJ[Account Code]=(TRIM($B103))),CsDJ[Debit])))+(SUM(IF((CRDJ[Date]=$A$4)*(CRDJ[Sort Code]=(TRIM(E$5)))*(CRDJ[Account Code]=(TRIM($B103))),CRDJ[Debit])))+(SUM(IF((GJ[Date]=$A$4)*(GJ[Sort Code]=(TRIM(E$5)))*(GJ[Account Code]=(TRIM($B103))),GJ[Debit]))))-((SUM(IF((CkDJ[Date]=$A$4)*(CkDJ[Sort Code]=(TRIM(E$5)))*(CkDJ[Account Code]=(TRIM($B103))),CkDJ[Credit])))+(SUM(IF((CsDJ[Date]=$A$4)*(CsDJ[Sort Code]=(TRIM(E$5)))*(CsDJ[Account Code]=(TRIM($B103))),CsDJ[Credit])))+(SUM(IF((CRDJ[Date]=$A$4)*(CRDJ[Sort Code]=(TRIM(E$5)))*(CRDJ[Account Code]=(TRIM($B103))),CRDJ[Credit])))+(SUM(IF((GJ[Date]=$A$4)*(GJ[Sort Code]=(TRIM(E$5)))*(GJ[Account Code]=(TRIM($B103))),GJ[Credit]))))</f>
        <v>0</v>
      </c>
      <c r="E103" s="467">
        <f t="shared" si="3"/>
        <v>0</v>
      </c>
    </row>
    <row r="104" spans="1:5">
      <c r="A104" s="476" t="s">
        <v>304</v>
      </c>
      <c r="B104" s="339" t="s">
        <v>222</v>
      </c>
      <c r="C104" s="466">
        <f t="array" ref="C104">((SUM(IF((CkDJ[Sort Code]=(TRIM(E$5)))*(CkDJ[Account Code]=(TRIM($B104)))*(CkDJ[Date]&lt;=$C$8),CkDJ[Debit])))+(SUM(IF((CsDJ[Sort Code]=(TRIM(E$5)))*(CsDJ[Account Code]=(TRIM($B104)))*(CsDJ[Date]&lt;=$C$8),CsDJ[Debit])))+(SUM(IF((CRDJ[Sort Code]=(TRIM(E$5)))*(CRDJ[Account Code]=(TRIM($B104)))*(CRDJ[Date]&lt;=$C$8),CRDJ[Debit])))+(SUM(IF((GJ[Sort Code]=(TRIM(E$5)))*(GJ[Account Code]=(TRIM($B104)))*(GJ[Date]&lt;=$C$8),GJ[Debit]))))-((SUM(IF((CkDJ[Sort Code]=(TRIM(E$5)))*(CkDJ[Account Code]=(TRIM($B104)))*(CkDJ[Date]&lt;=$C$8),CkDJ[Credit])))+(SUM(IF((CsDJ[Sort Code]=(TRIM(E$5)))*(CsDJ[Account Code]=(TRIM($B104)))*(CsDJ[Date]&lt;=$C$8),CsDJ[Credit])))+(SUM(IF((CRDJ[Sort Code]=(TRIM(E$5)))*(CRDJ[Account Code]=(TRIM($B104)))*(CRDJ[Date]&lt;=$C$8),CRDJ[Credit])))+(SUM(IF((GJ[Sort Code]=(TRIM(E$5)))*(GJ[Account Code]=(TRIM($B104)))*(GJ[Date]&lt;=$C$8),GJ[Credit]))))</f>
        <v>0</v>
      </c>
      <c r="D104" s="466">
        <f t="array" ref="D104">((SUM(IF((CkDJ[Date]=$A$4)*(CkDJ[Sort Code]=(TRIM(E$5)))*(CkDJ[Account Code]=(TRIM($B104))),CkDJ[Debit])))+(SUM(IF((CsDJ[Date]=$A$4)*(CsDJ[Sort Code]=(TRIM(E$5)))*(CsDJ[Account Code]=(TRIM($B104))),CsDJ[Debit])))+(SUM(IF((CRDJ[Date]=$A$4)*(CRDJ[Sort Code]=(TRIM(E$5)))*(CRDJ[Account Code]=(TRIM($B104))),CRDJ[Debit])))+(SUM(IF((GJ[Date]=$A$4)*(GJ[Sort Code]=(TRIM(E$5)))*(GJ[Account Code]=(TRIM($B104))),GJ[Debit]))))-((SUM(IF((CkDJ[Date]=$A$4)*(CkDJ[Sort Code]=(TRIM(E$5)))*(CkDJ[Account Code]=(TRIM($B104))),CkDJ[Credit])))+(SUM(IF((CsDJ[Date]=$A$4)*(CsDJ[Sort Code]=(TRIM(E$5)))*(CsDJ[Account Code]=(TRIM($B104))),CsDJ[Credit])))+(SUM(IF((CRDJ[Date]=$A$4)*(CRDJ[Sort Code]=(TRIM(E$5)))*(CRDJ[Account Code]=(TRIM($B104))),CRDJ[Credit])))+(SUM(IF((GJ[Date]=$A$4)*(GJ[Sort Code]=(TRIM(E$5)))*(GJ[Account Code]=(TRIM($B104))),GJ[Credit]))))</f>
        <v>0</v>
      </c>
      <c r="E104" s="467">
        <f t="shared" si="3"/>
        <v>0</v>
      </c>
    </row>
    <row r="105" spans="1:5">
      <c r="A105" s="476" t="s">
        <v>1023</v>
      </c>
      <c r="B105" s="339" t="s">
        <v>247</v>
      </c>
      <c r="C105" s="466">
        <f t="array" ref="C105">((SUM(IF((CkDJ[Sort Code]=(TRIM(E$5)))*(CkDJ[Account Code]=(TRIM($B105)))*(CkDJ[Date]&lt;=$C$8),CkDJ[Debit])))+(SUM(IF((CsDJ[Sort Code]=(TRIM(E$5)))*(CsDJ[Account Code]=(TRIM($B105)))*(CsDJ[Date]&lt;=$C$8),CsDJ[Debit])))+(SUM(IF((CRDJ[Sort Code]=(TRIM(E$5)))*(CRDJ[Account Code]=(TRIM($B105)))*(CRDJ[Date]&lt;=$C$8),CRDJ[Debit])))+(SUM(IF((GJ[Sort Code]=(TRIM(E$5)))*(GJ[Account Code]=(TRIM($B105)))*(GJ[Date]&lt;=$C$8),GJ[Debit]))))-((SUM(IF((CkDJ[Sort Code]=(TRIM(E$5)))*(CkDJ[Account Code]=(TRIM($B105)))*(CkDJ[Date]&lt;=$C$8),CkDJ[Credit])))+(SUM(IF((CsDJ[Sort Code]=(TRIM(E$5)))*(CsDJ[Account Code]=(TRIM($B105)))*(CsDJ[Date]&lt;=$C$8),CsDJ[Credit])))+(SUM(IF((CRDJ[Sort Code]=(TRIM(E$5)))*(CRDJ[Account Code]=(TRIM($B105)))*(CRDJ[Date]&lt;=$C$8),CRDJ[Credit])))+(SUM(IF((GJ[Sort Code]=(TRIM(E$5)))*(GJ[Account Code]=(TRIM($B105)))*(GJ[Date]&lt;=$C$8),GJ[Credit]))))</f>
        <v>0</v>
      </c>
      <c r="D105" s="466">
        <f t="array" ref="D105">((SUM(IF((CkDJ[Date]=$A$4)*(CkDJ[Sort Code]=(TRIM(E$5)))*(CkDJ[Account Code]=(TRIM($B105))),CkDJ[Debit])))+(SUM(IF((CsDJ[Date]=$A$4)*(CsDJ[Sort Code]=(TRIM(E$5)))*(CsDJ[Account Code]=(TRIM($B105))),CsDJ[Debit])))+(SUM(IF((CRDJ[Date]=$A$4)*(CRDJ[Sort Code]=(TRIM(E$5)))*(CRDJ[Account Code]=(TRIM($B105))),CRDJ[Debit])))+(SUM(IF((GJ[Date]=$A$4)*(GJ[Sort Code]=(TRIM(E$5)))*(GJ[Account Code]=(TRIM($B105))),GJ[Debit]))))-((SUM(IF((CkDJ[Date]=$A$4)*(CkDJ[Sort Code]=(TRIM(E$5)))*(CkDJ[Account Code]=(TRIM($B105))),CkDJ[Credit])))+(SUM(IF((CsDJ[Date]=$A$4)*(CsDJ[Sort Code]=(TRIM(E$5)))*(CsDJ[Account Code]=(TRIM($B105))),CsDJ[Credit])))+(SUM(IF((CRDJ[Date]=$A$4)*(CRDJ[Sort Code]=(TRIM(E$5)))*(CRDJ[Account Code]=(TRIM($B105))),CRDJ[Credit])))+(SUM(IF((GJ[Date]=$A$4)*(GJ[Sort Code]=(TRIM(E$5)))*(GJ[Account Code]=(TRIM($B105))),GJ[Credit]))))</f>
        <v>0</v>
      </c>
      <c r="E105" s="467">
        <f t="shared" si="3"/>
        <v>0</v>
      </c>
    </row>
    <row r="106" spans="1:5">
      <c r="A106" s="476" t="s">
        <v>1024</v>
      </c>
      <c r="B106" s="339" t="s">
        <v>248</v>
      </c>
      <c r="C106" s="466">
        <f t="array" ref="C106">((SUM(IF((CkDJ[Sort Code]=(TRIM(E$5)))*(CkDJ[Account Code]=(TRIM($B106)))*(CkDJ[Date]&lt;=$C$8),CkDJ[Debit])))+(SUM(IF((CsDJ[Sort Code]=(TRIM(E$5)))*(CsDJ[Account Code]=(TRIM($B106)))*(CsDJ[Date]&lt;=$C$8),CsDJ[Debit])))+(SUM(IF((CRDJ[Sort Code]=(TRIM(E$5)))*(CRDJ[Account Code]=(TRIM($B106)))*(CRDJ[Date]&lt;=$C$8),CRDJ[Debit])))+(SUM(IF((GJ[Sort Code]=(TRIM(E$5)))*(GJ[Account Code]=(TRIM($B106)))*(GJ[Date]&lt;=$C$8),GJ[Debit]))))-((SUM(IF((CkDJ[Sort Code]=(TRIM(E$5)))*(CkDJ[Account Code]=(TRIM($B106)))*(CkDJ[Date]&lt;=$C$8),CkDJ[Credit])))+(SUM(IF((CsDJ[Sort Code]=(TRIM(E$5)))*(CsDJ[Account Code]=(TRIM($B106)))*(CsDJ[Date]&lt;=$C$8),CsDJ[Credit])))+(SUM(IF((CRDJ[Sort Code]=(TRIM(E$5)))*(CRDJ[Account Code]=(TRIM($B106)))*(CRDJ[Date]&lt;=$C$8),CRDJ[Credit])))+(SUM(IF((GJ[Sort Code]=(TRIM(E$5)))*(GJ[Account Code]=(TRIM($B106)))*(GJ[Date]&lt;=$C$8),GJ[Credit]))))</f>
        <v>0</v>
      </c>
      <c r="D106" s="466">
        <f t="array" ref="D106">((SUM(IF((CkDJ[Date]=$A$4)*(CkDJ[Sort Code]=(TRIM(E$5)))*(CkDJ[Account Code]=(TRIM($B106))),CkDJ[Debit])))+(SUM(IF((CsDJ[Date]=$A$4)*(CsDJ[Sort Code]=(TRIM(E$5)))*(CsDJ[Account Code]=(TRIM($B106))),CsDJ[Debit])))+(SUM(IF((CRDJ[Date]=$A$4)*(CRDJ[Sort Code]=(TRIM(E$5)))*(CRDJ[Account Code]=(TRIM($B106))),CRDJ[Debit])))+(SUM(IF((GJ[Date]=$A$4)*(GJ[Sort Code]=(TRIM(E$5)))*(GJ[Account Code]=(TRIM($B106))),GJ[Debit]))))-((SUM(IF((CkDJ[Date]=$A$4)*(CkDJ[Sort Code]=(TRIM(E$5)))*(CkDJ[Account Code]=(TRIM($B106))),CkDJ[Credit])))+(SUM(IF((CsDJ[Date]=$A$4)*(CsDJ[Sort Code]=(TRIM(E$5)))*(CsDJ[Account Code]=(TRIM($B106))),CsDJ[Credit])))+(SUM(IF((CRDJ[Date]=$A$4)*(CRDJ[Sort Code]=(TRIM(E$5)))*(CRDJ[Account Code]=(TRIM($B106))),CRDJ[Credit])))+(SUM(IF((GJ[Date]=$A$4)*(GJ[Sort Code]=(TRIM(E$5)))*(GJ[Account Code]=(TRIM($B106))),GJ[Credit]))))</f>
        <v>0</v>
      </c>
      <c r="E106" s="467">
        <f t="shared" si="3"/>
        <v>0</v>
      </c>
    </row>
    <row r="107" spans="1:5">
      <c r="A107" s="476" t="s">
        <v>1025</v>
      </c>
      <c r="B107" s="339" t="s">
        <v>249</v>
      </c>
      <c r="C107" s="466">
        <f t="array" ref="C107">((SUM(IF((CkDJ[Sort Code]=(TRIM(E$5)))*(CkDJ[Account Code]=(TRIM($B107)))*(CkDJ[Date]&lt;=$C$8),CkDJ[Debit])))+(SUM(IF((CsDJ[Sort Code]=(TRIM(E$5)))*(CsDJ[Account Code]=(TRIM($B107)))*(CsDJ[Date]&lt;=$C$8),CsDJ[Debit])))+(SUM(IF((CRDJ[Sort Code]=(TRIM(E$5)))*(CRDJ[Account Code]=(TRIM($B107)))*(CRDJ[Date]&lt;=$C$8),CRDJ[Debit])))+(SUM(IF((GJ[Sort Code]=(TRIM(E$5)))*(GJ[Account Code]=(TRIM($B107)))*(GJ[Date]&lt;=$C$8),GJ[Debit]))))-((SUM(IF((CkDJ[Sort Code]=(TRIM(E$5)))*(CkDJ[Account Code]=(TRIM($B107)))*(CkDJ[Date]&lt;=$C$8),CkDJ[Credit])))+(SUM(IF((CsDJ[Sort Code]=(TRIM(E$5)))*(CsDJ[Account Code]=(TRIM($B107)))*(CsDJ[Date]&lt;=$C$8),CsDJ[Credit])))+(SUM(IF((CRDJ[Sort Code]=(TRIM(E$5)))*(CRDJ[Account Code]=(TRIM($B107)))*(CRDJ[Date]&lt;=$C$8),CRDJ[Credit])))+(SUM(IF((GJ[Sort Code]=(TRIM(E$5)))*(GJ[Account Code]=(TRIM($B107)))*(GJ[Date]&lt;=$C$8),GJ[Credit]))))</f>
        <v>0</v>
      </c>
      <c r="D107" s="466">
        <f t="array" ref="D107">((SUM(IF((CkDJ[Date]=$A$4)*(CkDJ[Sort Code]=(TRIM(E$5)))*(CkDJ[Account Code]=(TRIM($B107))),CkDJ[Debit])))+(SUM(IF((CsDJ[Date]=$A$4)*(CsDJ[Sort Code]=(TRIM(E$5)))*(CsDJ[Account Code]=(TRIM($B107))),CsDJ[Debit])))+(SUM(IF((CRDJ[Date]=$A$4)*(CRDJ[Sort Code]=(TRIM(E$5)))*(CRDJ[Account Code]=(TRIM($B107))),CRDJ[Debit])))+(SUM(IF((GJ[Date]=$A$4)*(GJ[Sort Code]=(TRIM(E$5)))*(GJ[Account Code]=(TRIM($B107))),GJ[Debit]))))-((SUM(IF((CkDJ[Date]=$A$4)*(CkDJ[Sort Code]=(TRIM(E$5)))*(CkDJ[Account Code]=(TRIM($B107))),CkDJ[Credit])))+(SUM(IF((CsDJ[Date]=$A$4)*(CsDJ[Sort Code]=(TRIM(E$5)))*(CsDJ[Account Code]=(TRIM($B107))),CsDJ[Credit])))+(SUM(IF((CRDJ[Date]=$A$4)*(CRDJ[Sort Code]=(TRIM(E$5)))*(CRDJ[Account Code]=(TRIM($B107))),CRDJ[Credit])))+(SUM(IF((GJ[Date]=$A$4)*(GJ[Sort Code]=(TRIM(E$5)))*(GJ[Account Code]=(TRIM($B107))),GJ[Credit]))))</f>
        <v>0</v>
      </c>
      <c r="E107" s="467">
        <f t="shared" si="3"/>
        <v>0</v>
      </c>
    </row>
    <row r="108" spans="1:5">
      <c r="A108" s="476" t="s">
        <v>302</v>
      </c>
      <c r="B108" s="339" t="s">
        <v>250</v>
      </c>
      <c r="C108" s="466">
        <f t="array" ref="C108">((SUM(IF((CkDJ[Sort Code]=(TRIM(E$5)))*(CkDJ[Account Code]=(TRIM($B108)))*(CkDJ[Date]&lt;=$C$8),CkDJ[Debit])))+(SUM(IF((CsDJ[Sort Code]=(TRIM(E$5)))*(CsDJ[Account Code]=(TRIM($B108)))*(CsDJ[Date]&lt;=$C$8),CsDJ[Debit])))+(SUM(IF((CRDJ[Sort Code]=(TRIM(E$5)))*(CRDJ[Account Code]=(TRIM($B108)))*(CRDJ[Date]&lt;=$C$8),CRDJ[Debit])))+(SUM(IF((GJ[Sort Code]=(TRIM(E$5)))*(GJ[Account Code]=(TRIM($B108)))*(GJ[Date]&lt;=$C$8),GJ[Debit]))))-((SUM(IF((CkDJ[Sort Code]=(TRIM(E$5)))*(CkDJ[Account Code]=(TRIM($B108)))*(CkDJ[Date]&lt;=$C$8),CkDJ[Credit])))+(SUM(IF((CsDJ[Sort Code]=(TRIM(E$5)))*(CsDJ[Account Code]=(TRIM($B108)))*(CsDJ[Date]&lt;=$C$8),CsDJ[Credit])))+(SUM(IF((CRDJ[Sort Code]=(TRIM(E$5)))*(CRDJ[Account Code]=(TRIM($B108)))*(CRDJ[Date]&lt;=$C$8),CRDJ[Credit])))+(SUM(IF((GJ[Sort Code]=(TRIM(E$5)))*(GJ[Account Code]=(TRIM($B108)))*(GJ[Date]&lt;=$C$8),GJ[Credit]))))</f>
        <v>0</v>
      </c>
      <c r="D108" s="466">
        <f t="array" ref="D108">((SUM(IF((CkDJ[Date]=$A$4)*(CkDJ[Sort Code]=(TRIM(E$5)))*(CkDJ[Account Code]=(TRIM($B108))),CkDJ[Debit])))+(SUM(IF((CsDJ[Date]=$A$4)*(CsDJ[Sort Code]=(TRIM(E$5)))*(CsDJ[Account Code]=(TRIM($B108))),CsDJ[Debit])))+(SUM(IF((CRDJ[Date]=$A$4)*(CRDJ[Sort Code]=(TRIM(E$5)))*(CRDJ[Account Code]=(TRIM($B108))),CRDJ[Debit])))+(SUM(IF((GJ[Date]=$A$4)*(GJ[Sort Code]=(TRIM(E$5)))*(GJ[Account Code]=(TRIM($B108))),GJ[Debit]))))-((SUM(IF((CkDJ[Date]=$A$4)*(CkDJ[Sort Code]=(TRIM(E$5)))*(CkDJ[Account Code]=(TRIM($B108))),CkDJ[Credit])))+(SUM(IF((CsDJ[Date]=$A$4)*(CsDJ[Sort Code]=(TRIM(E$5)))*(CsDJ[Account Code]=(TRIM($B108))),CsDJ[Credit])))+(SUM(IF((CRDJ[Date]=$A$4)*(CRDJ[Sort Code]=(TRIM(E$5)))*(CRDJ[Account Code]=(TRIM($B108))),CRDJ[Credit])))+(SUM(IF((GJ[Date]=$A$4)*(GJ[Sort Code]=(TRIM(E$5)))*(GJ[Account Code]=(TRIM($B108))),GJ[Credit]))))</f>
        <v>0</v>
      </c>
      <c r="E108" s="467">
        <f t="shared" si="3"/>
        <v>0</v>
      </c>
    </row>
    <row r="109" spans="1:5">
      <c r="A109" s="476" t="s">
        <v>841</v>
      </c>
      <c r="B109" s="339" t="s">
        <v>251</v>
      </c>
      <c r="C109" s="466">
        <f t="array" ref="C109">((SUM(IF((CkDJ[Sort Code]=(TRIM(E$5)))*(CkDJ[Account Code]=(TRIM($B109)))*(CkDJ[Date]&lt;=$C$8),CkDJ[Debit])))+(SUM(IF((CsDJ[Sort Code]=(TRIM(E$5)))*(CsDJ[Account Code]=(TRIM($B109)))*(CsDJ[Date]&lt;=$C$8),CsDJ[Debit])))+(SUM(IF((CRDJ[Sort Code]=(TRIM(E$5)))*(CRDJ[Account Code]=(TRIM($B109)))*(CRDJ[Date]&lt;=$C$8),CRDJ[Debit])))+(SUM(IF((GJ[Sort Code]=(TRIM(E$5)))*(GJ[Account Code]=(TRIM($B109)))*(GJ[Date]&lt;=$C$8),GJ[Debit]))))-((SUM(IF((CkDJ[Sort Code]=(TRIM(E$5)))*(CkDJ[Account Code]=(TRIM($B109)))*(CkDJ[Date]&lt;=$C$8),CkDJ[Credit])))+(SUM(IF((CsDJ[Sort Code]=(TRIM(E$5)))*(CsDJ[Account Code]=(TRIM($B109)))*(CsDJ[Date]&lt;=$C$8),CsDJ[Credit])))+(SUM(IF((CRDJ[Sort Code]=(TRIM(E$5)))*(CRDJ[Account Code]=(TRIM($B109)))*(CRDJ[Date]&lt;=$C$8),CRDJ[Credit])))+(SUM(IF((GJ[Sort Code]=(TRIM(E$5)))*(GJ[Account Code]=(TRIM($B109)))*(GJ[Date]&lt;=$C$8),GJ[Credit]))))</f>
        <v>0</v>
      </c>
      <c r="D109" s="466">
        <f t="array" ref="D109">((SUM(IF((CkDJ[Date]=$A$4)*(CkDJ[Sort Code]=(TRIM(E$5)))*(CkDJ[Account Code]=(TRIM($B109))),CkDJ[Debit])))+(SUM(IF((CsDJ[Date]=$A$4)*(CsDJ[Sort Code]=(TRIM(E$5)))*(CsDJ[Account Code]=(TRIM($B109))),CsDJ[Debit])))+(SUM(IF((CRDJ[Date]=$A$4)*(CRDJ[Sort Code]=(TRIM(E$5)))*(CRDJ[Account Code]=(TRIM($B109))),CRDJ[Debit])))+(SUM(IF((GJ[Date]=$A$4)*(GJ[Sort Code]=(TRIM(E$5)))*(GJ[Account Code]=(TRIM($B109))),GJ[Debit]))))-((SUM(IF((CkDJ[Date]=$A$4)*(CkDJ[Sort Code]=(TRIM(E$5)))*(CkDJ[Account Code]=(TRIM($B109))),CkDJ[Credit])))+(SUM(IF((CsDJ[Date]=$A$4)*(CsDJ[Sort Code]=(TRIM(E$5)))*(CsDJ[Account Code]=(TRIM($B109))),CsDJ[Credit])))+(SUM(IF((CRDJ[Date]=$A$4)*(CRDJ[Sort Code]=(TRIM(E$5)))*(CRDJ[Account Code]=(TRIM($B109))),CRDJ[Credit])))+(SUM(IF((GJ[Date]=$A$4)*(GJ[Sort Code]=(TRIM(E$5)))*(GJ[Account Code]=(TRIM($B109))),GJ[Credit]))))</f>
        <v>0</v>
      </c>
      <c r="E109" s="467">
        <f t="shared" si="3"/>
        <v>0</v>
      </c>
    </row>
    <row r="110" spans="1:5">
      <c r="A110" s="476" t="s">
        <v>1026</v>
      </c>
      <c r="B110" s="339" t="s">
        <v>252</v>
      </c>
      <c r="C110" s="466">
        <f t="array" ref="C110">((SUM(IF((CkDJ[Sort Code]=(TRIM(E$5)))*(CkDJ[Account Code]=(TRIM($B110)))*(CkDJ[Date]&lt;=$C$8),CkDJ[Debit])))+(SUM(IF((CsDJ[Sort Code]=(TRIM(E$5)))*(CsDJ[Account Code]=(TRIM($B110)))*(CsDJ[Date]&lt;=$C$8),CsDJ[Debit])))+(SUM(IF((CRDJ[Sort Code]=(TRIM(E$5)))*(CRDJ[Account Code]=(TRIM($B110)))*(CRDJ[Date]&lt;=$C$8),CRDJ[Debit])))+(SUM(IF((GJ[Sort Code]=(TRIM(E$5)))*(GJ[Account Code]=(TRIM($B110)))*(GJ[Date]&lt;=$C$8),GJ[Debit]))))-((SUM(IF((CkDJ[Sort Code]=(TRIM(E$5)))*(CkDJ[Account Code]=(TRIM($B110)))*(CkDJ[Date]&lt;=$C$8),CkDJ[Credit])))+(SUM(IF((CsDJ[Sort Code]=(TRIM(E$5)))*(CsDJ[Account Code]=(TRIM($B110)))*(CsDJ[Date]&lt;=$C$8),CsDJ[Credit])))+(SUM(IF((CRDJ[Sort Code]=(TRIM(E$5)))*(CRDJ[Account Code]=(TRIM($B110)))*(CRDJ[Date]&lt;=$C$8),CRDJ[Credit])))+(SUM(IF((GJ[Sort Code]=(TRIM(E$5)))*(GJ[Account Code]=(TRIM($B110)))*(GJ[Date]&lt;=$C$8),GJ[Credit]))))</f>
        <v>0</v>
      </c>
      <c r="D110" s="466">
        <f t="array" ref="D110">((SUM(IF((CkDJ[Date]=$A$4)*(CkDJ[Sort Code]=(TRIM(E$5)))*(CkDJ[Account Code]=(TRIM($B110))),CkDJ[Debit])))+(SUM(IF((CsDJ[Date]=$A$4)*(CsDJ[Sort Code]=(TRIM(E$5)))*(CsDJ[Account Code]=(TRIM($B110))),CsDJ[Debit])))+(SUM(IF((CRDJ[Date]=$A$4)*(CRDJ[Sort Code]=(TRIM(E$5)))*(CRDJ[Account Code]=(TRIM($B110))),CRDJ[Debit])))+(SUM(IF((GJ[Date]=$A$4)*(GJ[Sort Code]=(TRIM(E$5)))*(GJ[Account Code]=(TRIM($B110))),GJ[Debit]))))-((SUM(IF((CkDJ[Date]=$A$4)*(CkDJ[Sort Code]=(TRIM(E$5)))*(CkDJ[Account Code]=(TRIM($B110))),CkDJ[Credit])))+(SUM(IF((CsDJ[Date]=$A$4)*(CsDJ[Sort Code]=(TRIM(E$5)))*(CsDJ[Account Code]=(TRIM($B110))),CsDJ[Credit])))+(SUM(IF((CRDJ[Date]=$A$4)*(CRDJ[Sort Code]=(TRIM(E$5)))*(CRDJ[Account Code]=(TRIM($B110))),CRDJ[Credit])))+(SUM(IF((GJ[Date]=$A$4)*(GJ[Sort Code]=(TRIM(E$5)))*(GJ[Account Code]=(TRIM($B110))),GJ[Credit]))))</f>
        <v>0</v>
      </c>
      <c r="E110" s="467">
        <f t="shared" si="3"/>
        <v>0</v>
      </c>
    </row>
    <row r="111" spans="1:5">
      <c r="A111" s="476" t="s">
        <v>307</v>
      </c>
      <c r="B111" s="339" t="s">
        <v>253</v>
      </c>
      <c r="C111" s="466">
        <f t="array" ref="C111">((SUM(IF((CkDJ[Sort Code]=(TRIM(E$5)))*(CkDJ[Account Code]=(TRIM($B111)))*(CkDJ[Date]&lt;=$C$8),CkDJ[Debit])))+(SUM(IF((CsDJ[Sort Code]=(TRIM(E$5)))*(CsDJ[Account Code]=(TRIM($B111)))*(CsDJ[Date]&lt;=$C$8),CsDJ[Debit])))+(SUM(IF((CRDJ[Sort Code]=(TRIM(E$5)))*(CRDJ[Account Code]=(TRIM($B111)))*(CRDJ[Date]&lt;=$C$8),CRDJ[Debit])))+(SUM(IF((GJ[Sort Code]=(TRIM(E$5)))*(GJ[Account Code]=(TRIM($B111)))*(GJ[Date]&lt;=$C$8),GJ[Debit]))))-((SUM(IF((CkDJ[Sort Code]=(TRIM(E$5)))*(CkDJ[Account Code]=(TRIM($B111)))*(CkDJ[Date]&lt;=$C$8),CkDJ[Credit])))+(SUM(IF((CsDJ[Sort Code]=(TRIM(E$5)))*(CsDJ[Account Code]=(TRIM($B111)))*(CsDJ[Date]&lt;=$C$8),CsDJ[Credit])))+(SUM(IF((CRDJ[Sort Code]=(TRIM(E$5)))*(CRDJ[Account Code]=(TRIM($B111)))*(CRDJ[Date]&lt;=$C$8),CRDJ[Credit])))+(SUM(IF((GJ[Sort Code]=(TRIM(E$5)))*(GJ[Account Code]=(TRIM($B111)))*(GJ[Date]&lt;=$C$8),GJ[Credit]))))</f>
        <v>0</v>
      </c>
      <c r="D111" s="466">
        <f t="array" ref="D111">((SUM(IF((CkDJ[Date]=$A$4)*(CkDJ[Sort Code]=(TRIM(E$5)))*(CkDJ[Account Code]=(TRIM($B111))),CkDJ[Debit])))+(SUM(IF((CsDJ[Date]=$A$4)*(CsDJ[Sort Code]=(TRIM(E$5)))*(CsDJ[Account Code]=(TRIM($B111))),CsDJ[Debit])))+(SUM(IF((CRDJ[Date]=$A$4)*(CRDJ[Sort Code]=(TRIM(E$5)))*(CRDJ[Account Code]=(TRIM($B111))),CRDJ[Debit])))+(SUM(IF((GJ[Date]=$A$4)*(GJ[Sort Code]=(TRIM(E$5)))*(GJ[Account Code]=(TRIM($B111))),GJ[Debit]))))-((SUM(IF((CkDJ[Date]=$A$4)*(CkDJ[Sort Code]=(TRIM(E$5)))*(CkDJ[Account Code]=(TRIM($B111))),CkDJ[Credit])))+(SUM(IF((CsDJ[Date]=$A$4)*(CsDJ[Sort Code]=(TRIM(E$5)))*(CsDJ[Account Code]=(TRIM($B111))),CsDJ[Credit])))+(SUM(IF((CRDJ[Date]=$A$4)*(CRDJ[Sort Code]=(TRIM(E$5)))*(CRDJ[Account Code]=(TRIM($B111))),CRDJ[Credit])))+(SUM(IF((GJ[Date]=$A$4)*(GJ[Sort Code]=(TRIM(E$5)))*(GJ[Account Code]=(TRIM($B111))),GJ[Credit]))))</f>
        <v>0</v>
      </c>
      <c r="E111" s="467">
        <f t="shared" si="3"/>
        <v>0</v>
      </c>
    </row>
    <row r="112" spans="1:5">
      <c r="A112" s="476" t="s">
        <v>308</v>
      </c>
      <c r="B112" s="339" t="s">
        <v>256</v>
      </c>
      <c r="C112" s="466">
        <f t="array" ref="C112">((SUM(IF((CkDJ[Sort Code]=(TRIM(E$5)))*(CkDJ[Account Code]=(TRIM($B112)))*(CkDJ[Date]&lt;=$C$8),CkDJ[Debit])))+(SUM(IF((CsDJ[Sort Code]=(TRIM(E$5)))*(CsDJ[Account Code]=(TRIM($B112)))*(CsDJ[Date]&lt;=$C$8),CsDJ[Debit])))+(SUM(IF((CRDJ[Sort Code]=(TRIM(E$5)))*(CRDJ[Account Code]=(TRIM($B112)))*(CRDJ[Date]&lt;=$C$8),CRDJ[Debit])))+(SUM(IF((GJ[Sort Code]=(TRIM(E$5)))*(GJ[Account Code]=(TRIM($B112)))*(GJ[Date]&lt;=$C$8),GJ[Debit]))))-((SUM(IF((CkDJ[Sort Code]=(TRIM(E$5)))*(CkDJ[Account Code]=(TRIM($B112)))*(CkDJ[Date]&lt;=$C$8),CkDJ[Credit])))+(SUM(IF((CsDJ[Sort Code]=(TRIM(E$5)))*(CsDJ[Account Code]=(TRIM($B112)))*(CsDJ[Date]&lt;=$C$8),CsDJ[Credit])))+(SUM(IF((CRDJ[Sort Code]=(TRIM(E$5)))*(CRDJ[Account Code]=(TRIM($B112)))*(CRDJ[Date]&lt;=$C$8),CRDJ[Credit])))+(SUM(IF((GJ[Sort Code]=(TRIM(E$5)))*(GJ[Account Code]=(TRIM($B112)))*(GJ[Date]&lt;=$C$8),GJ[Credit]))))</f>
        <v>0</v>
      </c>
      <c r="D112" s="466">
        <f t="array" ref="D112">((SUM(IF((CkDJ[Date]=$A$4)*(CkDJ[Sort Code]=(TRIM(E$5)))*(CkDJ[Account Code]=(TRIM($B112))),CkDJ[Debit])))+(SUM(IF((CsDJ[Date]=$A$4)*(CsDJ[Sort Code]=(TRIM(E$5)))*(CsDJ[Account Code]=(TRIM($B112))),CsDJ[Debit])))+(SUM(IF((CRDJ[Date]=$A$4)*(CRDJ[Sort Code]=(TRIM(E$5)))*(CRDJ[Account Code]=(TRIM($B112))),CRDJ[Debit])))+(SUM(IF((GJ[Date]=$A$4)*(GJ[Sort Code]=(TRIM(E$5)))*(GJ[Account Code]=(TRIM($B112))),GJ[Debit]))))-((SUM(IF((CkDJ[Date]=$A$4)*(CkDJ[Sort Code]=(TRIM(E$5)))*(CkDJ[Account Code]=(TRIM($B112))),CkDJ[Credit])))+(SUM(IF((CsDJ[Date]=$A$4)*(CsDJ[Sort Code]=(TRIM(E$5)))*(CsDJ[Account Code]=(TRIM($B112))),CsDJ[Credit])))+(SUM(IF((CRDJ[Date]=$A$4)*(CRDJ[Sort Code]=(TRIM(E$5)))*(CRDJ[Account Code]=(TRIM($B112))),CRDJ[Credit])))+(SUM(IF((GJ[Date]=$A$4)*(GJ[Sort Code]=(TRIM(E$5)))*(GJ[Account Code]=(TRIM($B112))),GJ[Credit]))))</f>
        <v>0</v>
      </c>
      <c r="E112" s="467">
        <f t="shared" si="3"/>
        <v>0</v>
      </c>
    </row>
    <row r="113" spans="1:5">
      <c r="A113" s="476" t="s">
        <v>309</v>
      </c>
      <c r="B113" s="339" t="s">
        <v>258</v>
      </c>
      <c r="C113" s="466">
        <f t="array" ref="C113">((SUM(IF((CkDJ[Sort Code]=(TRIM(E$5)))*(CkDJ[Account Code]=(TRIM($B113)))*(CkDJ[Date]&lt;=$C$8),CkDJ[Debit])))+(SUM(IF((CsDJ[Sort Code]=(TRIM(E$5)))*(CsDJ[Account Code]=(TRIM($B113)))*(CsDJ[Date]&lt;=$C$8),CsDJ[Debit])))+(SUM(IF((CRDJ[Sort Code]=(TRIM(E$5)))*(CRDJ[Account Code]=(TRIM($B113)))*(CRDJ[Date]&lt;=$C$8),CRDJ[Debit])))+(SUM(IF((GJ[Sort Code]=(TRIM(E$5)))*(GJ[Account Code]=(TRIM($B113)))*(GJ[Date]&lt;=$C$8),GJ[Debit]))))-((SUM(IF((CkDJ[Sort Code]=(TRIM(E$5)))*(CkDJ[Account Code]=(TRIM($B113)))*(CkDJ[Date]&lt;=$C$8),CkDJ[Credit])))+(SUM(IF((CsDJ[Sort Code]=(TRIM(E$5)))*(CsDJ[Account Code]=(TRIM($B113)))*(CsDJ[Date]&lt;=$C$8),CsDJ[Credit])))+(SUM(IF((CRDJ[Sort Code]=(TRIM(E$5)))*(CRDJ[Account Code]=(TRIM($B113)))*(CRDJ[Date]&lt;=$C$8),CRDJ[Credit])))+(SUM(IF((GJ[Sort Code]=(TRIM(E$5)))*(GJ[Account Code]=(TRIM($B113)))*(GJ[Date]&lt;=$C$8),GJ[Credit]))))</f>
        <v>0</v>
      </c>
      <c r="D113" s="466">
        <f t="array" ref="D113">((SUM(IF((CkDJ[Date]=$A$4)*(CkDJ[Sort Code]=(TRIM(E$5)))*(CkDJ[Account Code]=(TRIM($B113))),CkDJ[Debit])))+(SUM(IF((CsDJ[Date]=$A$4)*(CsDJ[Sort Code]=(TRIM(E$5)))*(CsDJ[Account Code]=(TRIM($B113))),CsDJ[Debit])))+(SUM(IF((CRDJ[Date]=$A$4)*(CRDJ[Sort Code]=(TRIM(E$5)))*(CRDJ[Account Code]=(TRIM($B113))),CRDJ[Debit])))+(SUM(IF((GJ[Date]=$A$4)*(GJ[Sort Code]=(TRIM(E$5)))*(GJ[Account Code]=(TRIM($B113))),GJ[Debit]))))-((SUM(IF((CkDJ[Date]=$A$4)*(CkDJ[Sort Code]=(TRIM(E$5)))*(CkDJ[Account Code]=(TRIM($B113))),CkDJ[Credit])))+(SUM(IF((CsDJ[Date]=$A$4)*(CsDJ[Sort Code]=(TRIM(E$5)))*(CsDJ[Account Code]=(TRIM($B113))),CsDJ[Credit])))+(SUM(IF((CRDJ[Date]=$A$4)*(CRDJ[Sort Code]=(TRIM(E$5)))*(CRDJ[Account Code]=(TRIM($B113))),CRDJ[Credit])))+(SUM(IF((GJ[Date]=$A$4)*(GJ[Sort Code]=(TRIM(E$5)))*(GJ[Account Code]=(TRIM($B113))),GJ[Credit]))))</f>
        <v>0</v>
      </c>
      <c r="E113" s="467">
        <f t="shared" si="3"/>
        <v>0</v>
      </c>
    </row>
    <row r="114" spans="1:5">
      <c r="A114" s="476" t="s">
        <v>310</v>
      </c>
      <c r="B114" s="339" t="s">
        <v>261</v>
      </c>
      <c r="C114" s="466">
        <f t="array" ref="C114">((SUM(IF((CkDJ[Sort Code]=(TRIM(E$5)))*(CkDJ[Account Code]=(TRIM($B114)))*(CkDJ[Date]&lt;=$C$8),CkDJ[Debit])))+(SUM(IF((CsDJ[Sort Code]=(TRIM(E$5)))*(CsDJ[Account Code]=(TRIM($B114)))*(CsDJ[Date]&lt;=$C$8),CsDJ[Debit])))+(SUM(IF((CRDJ[Sort Code]=(TRIM(E$5)))*(CRDJ[Account Code]=(TRIM($B114)))*(CRDJ[Date]&lt;=$C$8),CRDJ[Debit])))+(SUM(IF((GJ[Sort Code]=(TRIM(E$5)))*(GJ[Account Code]=(TRIM($B114)))*(GJ[Date]&lt;=$C$8),GJ[Debit]))))-((SUM(IF((CkDJ[Sort Code]=(TRIM(E$5)))*(CkDJ[Account Code]=(TRIM($B114)))*(CkDJ[Date]&lt;=$C$8),CkDJ[Credit])))+(SUM(IF((CsDJ[Sort Code]=(TRIM(E$5)))*(CsDJ[Account Code]=(TRIM($B114)))*(CsDJ[Date]&lt;=$C$8),CsDJ[Credit])))+(SUM(IF((CRDJ[Sort Code]=(TRIM(E$5)))*(CRDJ[Account Code]=(TRIM($B114)))*(CRDJ[Date]&lt;=$C$8),CRDJ[Credit])))+(SUM(IF((GJ[Sort Code]=(TRIM(E$5)))*(GJ[Account Code]=(TRIM($B114)))*(GJ[Date]&lt;=$C$8),GJ[Credit]))))</f>
        <v>0</v>
      </c>
      <c r="D114" s="466">
        <f t="array" ref="D114">((SUM(IF((CkDJ[Date]=$A$4)*(CkDJ[Sort Code]=(TRIM(E$5)))*(CkDJ[Account Code]=(TRIM($B114))),CkDJ[Debit])))+(SUM(IF((CsDJ[Date]=$A$4)*(CsDJ[Sort Code]=(TRIM(E$5)))*(CsDJ[Account Code]=(TRIM($B114))),CsDJ[Debit])))+(SUM(IF((CRDJ[Date]=$A$4)*(CRDJ[Sort Code]=(TRIM(E$5)))*(CRDJ[Account Code]=(TRIM($B114))),CRDJ[Debit])))+(SUM(IF((GJ[Date]=$A$4)*(GJ[Sort Code]=(TRIM(E$5)))*(GJ[Account Code]=(TRIM($B114))),GJ[Debit]))))-((SUM(IF((CkDJ[Date]=$A$4)*(CkDJ[Sort Code]=(TRIM(E$5)))*(CkDJ[Account Code]=(TRIM($B114))),CkDJ[Credit])))+(SUM(IF((CsDJ[Date]=$A$4)*(CsDJ[Sort Code]=(TRIM(E$5)))*(CsDJ[Account Code]=(TRIM($B114))),CsDJ[Credit])))+(SUM(IF((CRDJ[Date]=$A$4)*(CRDJ[Sort Code]=(TRIM(E$5)))*(CRDJ[Account Code]=(TRIM($B114))),CRDJ[Credit])))+(SUM(IF((GJ[Date]=$A$4)*(GJ[Sort Code]=(TRIM(E$5)))*(GJ[Account Code]=(TRIM($B114))),GJ[Credit]))))</f>
        <v>0</v>
      </c>
      <c r="E114" s="467">
        <f t="shared" si="3"/>
        <v>0</v>
      </c>
    </row>
    <row r="115" spans="1:5">
      <c r="A115" s="476" t="s">
        <v>311</v>
      </c>
      <c r="B115" s="339" t="s">
        <v>262</v>
      </c>
      <c r="C115" s="466">
        <f t="array" ref="C115">((SUM(IF((CkDJ[Sort Code]=(TRIM(E$5)))*(CkDJ[Account Code]=(TRIM($B115)))*(CkDJ[Date]&lt;=$C$8),CkDJ[Debit])))+(SUM(IF((CsDJ[Sort Code]=(TRIM(E$5)))*(CsDJ[Account Code]=(TRIM($B115)))*(CsDJ[Date]&lt;=$C$8),CsDJ[Debit])))+(SUM(IF((CRDJ[Sort Code]=(TRIM(E$5)))*(CRDJ[Account Code]=(TRIM($B115)))*(CRDJ[Date]&lt;=$C$8),CRDJ[Debit])))+(SUM(IF((GJ[Sort Code]=(TRIM(E$5)))*(GJ[Account Code]=(TRIM($B115)))*(GJ[Date]&lt;=$C$8),GJ[Debit]))))-((SUM(IF((CkDJ[Sort Code]=(TRIM(E$5)))*(CkDJ[Account Code]=(TRIM($B115)))*(CkDJ[Date]&lt;=$C$8),CkDJ[Credit])))+(SUM(IF((CsDJ[Sort Code]=(TRIM(E$5)))*(CsDJ[Account Code]=(TRIM($B115)))*(CsDJ[Date]&lt;=$C$8),CsDJ[Credit])))+(SUM(IF((CRDJ[Sort Code]=(TRIM(E$5)))*(CRDJ[Account Code]=(TRIM($B115)))*(CRDJ[Date]&lt;=$C$8),CRDJ[Credit])))+(SUM(IF((GJ[Sort Code]=(TRIM(E$5)))*(GJ[Account Code]=(TRIM($B115)))*(GJ[Date]&lt;=$C$8),GJ[Credit]))))</f>
        <v>0</v>
      </c>
      <c r="D115" s="466">
        <f t="array" ref="D115">((SUM(IF((CkDJ[Date]=$A$4)*(CkDJ[Sort Code]=(TRIM(E$5)))*(CkDJ[Account Code]=(TRIM($B115))),CkDJ[Debit])))+(SUM(IF((CsDJ[Date]=$A$4)*(CsDJ[Sort Code]=(TRIM(E$5)))*(CsDJ[Account Code]=(TRIM($B115))),CsDJ[Debit])))+(SUM(IF((CRDJ[Date]=$A$4)*(CRDJ[Sort Code]=(TRIM(E$5)))*(CRDJ[Account Code]=(TRIM($B115))),CRDJ[Debit])))+(SUM(IF((GJ[Date]=$A$4)*(GJ[Sort Code]=(TRIM(E$5)))*(GJ[Account Code]=(TRIM($B115))),GJ[Debit]))))-((SUM(IF((CkDJ[Date]=$A$4)*(CkDJ[Sort Code]=(TRIM(E$5)))*(CkDJ[Account Code]=(TRIM($B115))),CkDJ[Credit])))+(SUM(IF((CsDJ[Date]=$A$4)*(CsDJ[Sort Code]=(TRIM(E$5)))*(CsDJ[Account Code]=(TRIM($B115))),CsDJ[Credit])))+(SUM(IF((CRDJ[Date]=$A$4)*(CRDJ[Sort Code]=(TRIM(E$5)))*(CRDJ[Account Code]=(TRIM($B115))),CRDJ[Credit])))+(SUM(IF((GJ[Date]=$A$4)*(GJ[Sort Code]=(TRIM(E$5)))*(GJ[Account Code]=(TRIM($B115))),GJ[Credit]))))</f>
        <v>0</v>
      </c>
      <c r="E115" s="467">
        <f t="shared" si="3"/>
        <v>0</v>
      </c>
    </row>
    <row r="116" spans="1:5">
      <c r="A116" s="476" t="s">
        <v>312</v>
      </c>
      <c r="B116" s="339" t="s">
        <v>264</v>
      </c>
      <c r="C116" s="466">
        <f t="array" ref="C116">((SUM(IF((CkDJ[Sort Code]=(TRIM(E$5)))*(CkDJ[Account Code]=(TRIM($B116)))*(CkDJ[Date]&lt;=$C$8),CkDJ[Debit])))+(SUM(IF((CsDJ[Sort Code]=(TRIM(E$5)))*(CsDJ[Account Code]=(TRIM($B116)))*(CsDJ[Date]&lt;=$C$8),CsDJ[Debit])))+(SUM(IF((CRDJ[Sort Code]=(TRIM(E$5)))*(CRDJ[Account Code]=(TRIM($B116)))*(CRDJ[Date]&lt;=$C$8),CRDJ[Debit])))+(SUM(IF((GJ[Sort Code]=(TRIM(E$5)))*(GJ[Account Code]=(TRIM($B116)))*(GJ[Date]&lt;=$C$8),GJ[Debit]))))-((SUM(IF((CkDJ[Sort Code]=(TRIM(E$5)))*(CkDJ[Account Code]=(TRIM($B116)))*(CkDJ[Date]&lt;=$C$8),CkDJ[Credit])))+(SUM(IF((CsDJ[Sort Code]=(TRIM(E$5)))*(CsDJ[Account Code]=(TRIM($B116)))*(CsDJ[Date]&lt;=$C$8),CsDJ[Credit])))+(SUM(IF((CRDJ[Sort Code]=(TRIM(E$5)))*(CRDJ[Account Code]=(TRIM($B116)))*(CRDJ[Date]&lt;=$C$8),CRDJ[Credit])))+(SUM(IF((GJ[Sort Code]=(TRIM(E$5)))*(GJ[Account Code]=(TRIM($B116)))*(GJ[Date]&lt;=$C$8),GJ[Credit]))))</f>
        <v>0</v>
      </c>
      <c r="D116" s="466">
        <f t="array" ref="D116">((SUM(IF((CkDJ[Date]=$A$4)*(CkDJ[Sort Code]=(TRIM(E$5)))*(CkDJ[Account Code]=(TRIM($B116))),CkDJ[Debit])))+(SUM(IF((CsDJ[Date]=$A$4)*(CsDJ[Sort Code]=(TRIM(E$5)))*(CsDJ[Account Code]=(TRIM($B116))),CsDJ[Debit])))+(SUM(IF((CRDJ[Date]=$A$4)*(CRDJ[Sort Code]=(TRIM(E$5)))*(CRDJ[Account Code]=(TRIM($B116))),CRDJ[Debit])))+(SUM(IF((GJ[Date]=$A$4)*(GJ[Sort Code]=(TRIM(E$5)))*(GJ[Account Code]=(TRIM($B116))),GJ[Debit]))))-((SUM(IF((CkDJ[Date]=$A$4)*(CkDJ[Sort Code]=(TRIM(E$5)))*(CkDJ[Account Code]=(TRIM($B116))),CkDJ[Credit])))+(SUM(IF((CsDJ[Date]=$A$4)*(CsDJ[Sort Code]=(TRIM(E$5)))*(CsDJ[Account Code]=(TRIM($B116))),CsDJ[Credit])))+(SUM(IF((CRDJ[Date]=$A$4)*(CRDJ[Sort Code]=(TRIM(E$5)))*(CRDJ[Account Code]=(TRIM($B116))),CRDJ[Credit])))+(SUM(IF((GJ[Date]=$A$4)*(GJ[Sort Code]=(TRIM(E$5)))*(GJ[Account Code]=(TRIM($B116))),GJ[Credit]))))</f>
        <v>0</v>
      </c>
      <c r="E116" s="467">
        <f t="shared" si="3"/>
        <v>0</v>
      </c>
    </row>
    <row r="117" spans="1:5">
      <c r="A117" s="476" t="s">
        <v>313</v>
      </c>
      <c r="B117" s="339" t="s">
        <v>265</v>
      </c>
      <c r="C117" s="466">
        <f t="array" ref="C117">((SUM(IF((CkDJ[Sort Code]=(TRIM(E$5)))*(CkDJ[Account Code]=(TRIM($B117)))*(CkDJ[Date]&lt;=$C$8),CkDJ[Debit])))+(SUM(IF((CsDJ[Sort Code]=(TRIM(E$5)))*(CsDJ[Account Code]=(TRIM($B117)))*(CsDJ[Date]&lt;=$C$8),CsDJ[Debit])))+(SUM(IF((CRDJ[Sort Code]=(TRIM(E$5)))*(CRDJ[Account Code]=(TRIM($B117)))*(CRDJ[Date]&lt;=$C$8),CRDJ[Debit])))+(SUM(IF((GJ[Sort Code]=(TRIM(E$5)))*(GJ[Account Code]=(TRIM($B117)))*(GJ[Date]&lt;=$C$8),GJ[Debit]))))-((SUM(IF((CkDJ[Sort Code]=(TRIM(E$5)))*(CkDJ[Account Code]=(TRIM($B117)))*(CkDJ[Date]&lt;=$C$8),CkDJ[Credit])))+(SUM(IF((CsDJ[Sort Code]=(TRIM(E$5)))*(CsDJ[Account Code]=(TRIM($B117)))*(CsDJ[Date]&lt;=$C$8),CsDJ[Credit])))+(SUM(IF((CRDJ[Sort Code]=(TRIM(E$5)))*(CRDJ[Account Code]=(TRIM($B117)))*(CRDJ[Date]&lt;=$C$8),CRDJ[Credit])))+(SUM(IF((GJ[Sort Code]=(TRIM(E$5)))*(GJ[Account Code]=(TRIM($B117)))*(GJ[Date]&lt;=$C$8),GJ[Credit]))))</f>
        <v>0</v>
      </c>
      <c r="D117" s="466">
        <f t="array" ref="D117">((SUM(IF((CkDJ[Date]=$A$4)*(CkDJ[Sort Code]=(TRIM(E$5)))*(CkDJ[Account Code]=(TRIM($B117))),CkDJ[Debit])))+(SUM(IF((CsDJ[Date]=$A$4)*(CsDJ[Sort Code]=(TRIM(E$5)))*(CsDJ[Account Code]=(TRIM($B117))),CsDJ[Debit])))+(SUM(IF((CRDJ[Date]=$A$4)*(CRDJ[Sort Code]=(TRIM(E$5)))*(CRDJ[Account Code]=(TRIM($B117))),CRDJ[Debit])))+(SUM(IF((GJ[Date]=$A$4)*(GJ[Sort Code]=(TRIM(E$5)))*(GJ[Account Code]=(TRIM($B117))),GJ[Debit]))))-((SUM(IF((CkDJ[Date]=$A$4)*(CkDJ[Sort Code]=(TRIM(E$5)))*(CkDJ[Account Code]=(TRIM($B117))),CkDJ[Credit])))+(SUM(IF((CsDJ[Date]=$A$4)*(CsDJ[Sort Code]=(TRIM(E$5)))*(CsDJ[Account Code]=(TRIM($B117))),CsDJ[Credit])))+(SUM(IF((CRDJ[Date]=$A$4)*(CRDJ[Sort Code]=(TRIM(E$5)))*(CRDJ[Account Code]=(TRIM($B117))),CRDJ[Credit])))+(SUM(IF((GJ[Date]=$A$4)*(GJ[Sort Code]=(TRIM(E$5)))*(GJ[Account Code]=(TRIM($B117))),GJ[Credit]))))</f>
        <v>0</v>
      </c>
      <c r="E117" s="467">
        <f t="shared" si="3"/>
        <v>0</v>
      </c>
    </row>
    <row r="118" spans="1:5">
      <c r="A118" s="476" t="s">
        <v>790</v>
      </c>
      <c r="B118" s="339" t="s">
        <v>267</v>
      </c>
      <c r="C118" s="466">
        <f t="array" ref="C118">((SUM(IF((CkDJ[Sort Code]=(TRIM(E$5)))*(CkDJ[Account Code]=(TRIM($B118)))*(CkDJ[Date]&lt;=$C$8),CkDJ[Debit])))+(SUM(IF((CsDJ[Sort Code]=(TRIM(E$5)))*(CsDJ[Account Code]=(TRIM($B118)))*(CsDJ[Date]&lt;=$C$8),CsDJ[Debit])))+(SUM(IF((CRDJ[Sort Code]=(TRIM(E$5)))*(CRDJ[Account Code]=(TRIM($B118)))*(CRDJ[Date]&lt;=$C$8),CRDJ[Debit])))+(SUM(IF((GJ[Sort Code]=(TRIM(E$5)))*(GJ[Account Code]=(TRIM($B118)))*(GJ[Date]&lt;=$C$8),GJ[Debit]))))-((SUM(IF((CkDJ[Sort Code]=(TRIM(E$5)))*(CkDJ[Account Code]=(TRIM($B118)))*(CkDJ[Date]&lt;=$C$8),CkDJ[Credit])))+(SUM(IF((CsDJ[Sort Code]=(TRIM(E$5)))*(CsDJ[Account Code]=(TRIM($B118)))*(CsDJ[Date]&lt;=$C$8),CsDJ[Credit])))+(SUM(IF((CRDJ[Sort Code]=(TRIM(E$5)))*(CRDJ[Account Code]=(TRIM($B118)))*(CRDJ[Date]&lt;=$C$8),CRDJ[Credit])))+(SUM(IF((GJ[Sort Code]=(TRIM(E$5)))*(GJ[Account Code]=(TRIM($B118)))*(GJ[Date]&lt;=$C$8),GJ[Credit]))))</f>
        <v>0</v>
      </c>
      <c r="D118" s="466">
        <f t="array" ref="D118">((SUM(IF((CkDJ[Date]=$A$4)*(CkDJ[Sort Code]=(TRIM(E$5)))*(CkDJ[Account Code]=(TRIM($B118))),CkDJ[Debit])))+(SUM(IF((CsDJ[Date]=$A$4)*(CsDJ[Sort Code]=(TRIM(E$5)))*(CsDJ[Account Code]=(TRIM($B118))),CsDJ[Debit])))+(SUM(IF((CRDJ[Date]=$A$4)*(CRDJ[Sort Code]=(TRIM(E$5)))*(CRDJ[Account Code]=(TRIM($B118))),CRDJ[Debit])))+(SUM(IF((GJ[Date]=$A$4)*(GJ[Sort Code]=(TRIM(E$5)))*(GJ[Account Code]=(TRIM($B118))),GJ[Debit]))))-((SUM(IF((CkDJ[Date]=$A$4)*(CkDJ[Sort Code]=(TRIM(E$5)))*(CkDJ[Account Code]=(TRIM($B118))),CkDJ[Credit])))+(SUM(IF((CsDJ[Date]=$A$4)*(CsDJ[Sort Code]=(TRIM(E$5)))*(CsDJ[Account Code]=(TRIM($B118))),CsDJ[Credit])))+(SUM(IF((CRDJ[Date]=$A$4)*(CRDJ[Sort Code]=(TRIM(E$5)))*(CRDJ[Account Code]=(TRIM($B118))),CRDJ[Credit])))+(SUM(IF((GJ[Date]=$A$4)*(GJ[Sort Code]=(TRIM(E$5)))*(GJ[Account Code]=(TRIM($B118))),GJ[Credit]))))</f>
        <v>0</v>
      </c>
      <c r="E118" s="467">
        <f>C118+D118</f>
        <v>0</v>
      </c>
    </row>
    <row r="119" spans="1:5">
      <c r="A119" s="476" t="s">
        <v>1027</v>
      </c>
      <c r="B119" s="339" t="s">
        <v>269</v>
      </c>
      <c r="C119" s="466">
        <f t="array" ref="C119">((SUM(IF((CkDJ[Sort Code]=(TRIM(E$5)))*(CkDJ[Account Code]=(TRIM($B119)))*(CkDJ[Date]&lt;=$C$8),CkDJ[Debit])))+(SUM(IF((CsDJ[Sort Code]=(TRIM(E$5)))*(CsDJ[Account Code]=(TRIM($B119)))*(CsDJ[Date]&lt;=$C$8),CsDJ[Debit])))+(SUM(IF((CRDJ[Sort Code]=(TRIM(E$5)))*(CRDJ[Account Code]=(TRIM($B119)))*(CRDJ[Date]&lt;=$C$8),CRDJ[Debit])))+(SUM(IF((GJ[Sort Code]=(TRIM(E$5)))*(GJ[Account Code]=(TRIM($B119)))*(GJ[Date]&lt;=$C$8),GJ[Debit]))))-((SUM(IF((CkDJ[Sort Code]=(TRIM(E$5)))*(CkDJ[Account Code]=(TRIM($B119)))*(CkDJ[Date]&lt;=$C$8),CkDJ[Credit])))+(SUM(IF((CsDJ[Sort Code]=(TRIM(E$5)))*(CsDJ[Account Code]=(TRIM($B119)))*(CsDJ[Date]&lt;=$C$8),CsDJ[Credit])))+(SUM(IF((CRDJ[Sort Code]=(TRIM(E$5)))*(CRDJ[Account Code]=(TRIM($B119)))*(CRDJ[Date]&lt;=$C$8),CRDJ[Credit])))+(SUM(IF((GJ[Sort Code]=(TRIM(E$5)))*(GJ[Account Code]=(TRIM($B119)))*(GJ[Date]&lt;=$C$8),GJ[Credit]))))</f>
        <v>0</v>
      </c>
      <c r="D119" s="466">
        <f t="array" ref="D119">((SUM(IF((CkDJ[Date]=$A$4)*(CkDJ[Sort Code]=(TRIM(E$5)))*(CkDJ[Account Code]=(TRIM($B119))),CkDJ[Debit])))+(SUM(IF((CsDJ[Date]=$A$4)*(CsDJ[Sort Code]=(TRIM(E$5)))*(CsDJ[Account Code]=(TRIM($B119))),CsDJ[Debit])))+(SUM(IF((CRDJ[Date]=$A$4)*(CRDJ[Sort Code]=(TRIM(E$5)))*(CRDJ[Account Code]=(TRIM($B119))),CRDJ[Debit])))+(SUM(IF((GJ[Date]=$A$4)*(GJ[Sort Code]=(TRIM(E$5)))*(GJ[Account Code]=(TRIM($B119))),GJ[Debit]))))-((SUM(IF((CkDJ[Date]=$A$4)*(CkDJ[Sort Code]=(TRIM(E$5)))*(CkDJ[Account Code]=(TRIM($B119))),CkDJ[Credit])))+(SUM(IF((CsDJ[Date]=$A$4)*(CsDJ[Sort Code]=(TRIM(E$5)))*(CsDJ[Account Code]=(TRIM($B119))),CsDJ[Credit])))+(SUM(IF((CRDJ[Date]=$A$4)*(CRDJ[Sort Code]=(TRIM(E$5)))*(CRDJ[Account Code]=(TRIM($B119))),CRDJ[Credit])))+(SUM(IF((GJ[Date]=$A$4)*(GJ[Sort Code]=(TRIM(E$5)))*(GJ[Account Code]=(TRIM($B119))),GJ[Credit]))))</f>
        <v>0</v>
      </c>
      <c r="E119" s="467">
        <f t="shared" ref="E119:E136" si="4">C119+D119</f>
        <v>0</v>
      </c>
    </row>
    <row r="120" spans="1:5">
      <c r="A120" s="476" t="s">
        <v>409</v>
      </c>
      <c r="B120" s="339" t="s">
        <v>408</v>
      </c>
      <c r="C120" s="466">
        <f t="array" ref="C120">((SUM(IF((CkDJ[Sort Code]=(TRIM(E$5)))*(CkDJ[Account Code]=(TRIM($B120)))*(CkDJ[Date]&lt;=$C$8),CkDJ[Debit])))+(SUM(IF((CsDJ[Sort Code]=(TRIM(E$5)))*(CsDJ[Account Code]=(TRIM($B120)))*(CsDJ[Date]&lt;=$C$8),CsDJ[Debit])))+(SUM(IF((CRDJ[Sort Code]=(TRIM(E$5)))*(CRDJ[Account Code]=(TRIM($B120)))*(CRDJ[Date]&lt;=$C$8),CRDJ[Debit])))+(SUM(IF((GJ[Sort Code]=(TRIM(E$5)))*(GJ[Account Code]=(TRIM($B120)))*(GJ[Date]&lt;=$C$8),GJ[Debit]))))-((SUM(IF((CkDJ[Sort Code]=(TRIM(E$5)))*(CkDJ[Account Code]=(TRIM($B120)))*(CkDJ[Date]&lt;=$C$8),CkDJ[Credit])))+(SUM(IF((CsDJ[Sort Code]=(TRIM(E$5)))*(CsDJ[Account Code]=(TRIM($B120)))*(CsDJ[Date]&lt;=$C$8),CsDJ[Credit])))+(SUM(IF((CRDJ[Sort Code]=(TRIM(E$5)))*(CRDJ[Account Code]=(TRIM($B120)))*(CRDJ[Date]&lt;=$C$8),CRDJ[Credit])))+(SUM(IF((GJ[Sort Code]=(TRIM(E$5)))*(GJ[Account Code]=(TRIM($B120)))*(GJ[Date]&lt;=$C$8),GJ[Credit]))))</f>
        <v>0</v>
      </c>
      <c r="D120" s="466">
        <f t="array" ref="D120">((SUM(IF((CkDJ[Date]=$A$4)*(CkDJ[Sort Code]=(TRIM(E$5)))*(CkDJ[Account Code]=(TRIM($B120))),CkDJ[Debit])))+(SUM(IF((CsDJ[Date]=$A$4)*(CsDJ[Sort Code]=(TRIM(E$5)))*(CsDJ[Account Code]=(TRIM($B120))),CsDJ[Debit])))+(SUM(IF((CRDJ[Date]=$A$4)*(CRDJ[Sort Code]=(TRIM(E$5)))*(CRDJ[Account Code]=(TRIM($B120))),CRDJ[Debit])))+(SUM(IF((GJ[Date]=$A$4)*(GJ[Sort Code]=(TRIM(E$5)))*(GJ[Account Code]=(TRIM($B120))),GJ[Debit]))))-((SUM(IF((CkDJ[Date]=$A$4)*(CkDJ[Sort Code]=(TRIM(E$5)))*(CkDJ[Account Code]=(TRIM($B120))),CkDJ[Credit])))+(SUM(IF((CsDJ[Date]=$A$4)*(CsDJ[Sort Code]=(TRIM(E$5)))*(CsDJ[Account Code]=(TRIM($B120))),CsDJ[Credit])))+(SUM(IF((CRDJ[Date]=$A$4)*(CRDJ[Sort Code]=(TRIM(E$5)))*(CRDJ[Account Code]=(TRIM($B120))),CRDJ[Credit])))+(SUM(IF((GJ[Date]=$A$4)*(GJ[Sort Code]=(TRIM(E$5)))*(GJ[Account Code]=(TRIM($B120))),GJ[Credit]))))</f>
        <v>0</v>
      </c>
      <c r="E120" s="467">
        <f>C120+D120</f>
        <v>0</v>
      </c>
    </row>
    <row r="121" spans="1:5">
      <c r="A121" s="476" t="s">
        <v>315</v>
      </c>
      <c r="B121" s="339" t="s">
        <v>270</v>
      </c>
      <c r="C121" s="466">
        <f t="array" ref="C121">((SUM(IF((CkDJ[Sort Code]=(TRIM(E$5)))*(CkDJ[Account Code]=(TRIM($B121)))*(CkDJ[Date]&lt;=$C$8),CkDJ[Debit])))+(SUM(IF((CsDJ[Sort Code]=(TRIM(E$5)))*(CsDJ[Account Code]=(TRIM($B121)))*(CsDJ[Date]&lt;=$C$8),CsDJ[Debit])))+(SUM(IF((CRDJ[Sort Code]=(TRIM(E$5)))*(CRDJ[Account Code]=(TRIM($B121)))*(CRDJ[Date]&lt;=$C$8),CRDJ[Debit])))+(SUM(IF((GJ[Sort Code]=(TRIM(E$5)))*(GJ[Account Code]=(TRIM($B121)))*(GJ[Date]&lt;=$C$8),GJ[Debit]))))-((SUM(IF((CkDJ[Sort Code]=(TRIM(E$5)))*(CkDJ[Account Code]=(TRIM($B121)))*(CkDJ[Date]&lt;=$C$8),CkDJ[Credit])))+(SUM(IF((CsDJ[Sort Code]=(TRIM(E$5)))*(CsDJ[Account Code]=(TRIM($B121)))*(CsDJ[Date]&lt;=$C$8),CsDJ[Credit])))+(SUM(IF((CRDJ[Sort Code]=(TRIM(E$5)))*(CRDJ[Account Code]=(TRIM($B121)))*(CRDJ[Date]&lt;=$C$8),CRDJ[Credit])))+(SUM(IF((GJ[Sort Code]=(TRIM(E$5)))*(GJ[Account Code]=(TRIM($B121)))*(GJ[Date]&lt;=$C$8),GJ[Credit]))))</f>
        <v>0</v>
      </c>
      <c r="D121" s="466">
        <f t="array" ref="D121">((SUM(IF((CkDJ[Date]=$A$4)*(CkDJ[Sort Code]=(TRIM(E$5)))*(CkDJ[Account Code]=(TRIM($B121))),CkDJ[Debit])))+(SUM(IF((CsDJ[Date]=$A$4)*(CsDJ[Sort Code]=(TRIM(E$5)))*(CsDJ[Account Code]=(TRIM($B121))),CsDJ[Debit])))+(SUM(IF((CRDJ[Date]=$A$4)*(CRDJ[Sort Code]=(TRIM(E$5)))*(CRDJ[Account Code]=(TRIM($B121))),CRDJ[Debit])))+(SUM(IF((GJ[Date]=$A$4)*(GJ[Sort Code]=(TRIM(E$5)))*(GJ[Account Code]=(TRIM($B121))),GJ[Debit]))))-((SUM(IF((CkDJ[Date]=$A$4)*(CkDJ[Sort Code]=(TRIM(E$5)))*(CkDJ[Account Code]=(TRIM($B121))),CkDJ[Credit])))+(SUM(IF((CsDJ[Date]=$A$4)*(CsDJ[Sort Code]=(TRIM(E$5)))*(CsDJ[Account Code]=(TRIM($B121))),CsDJ[Credit])))+(SUM(IF((CRDJ[Date]=$A$4)*(CRDJ[Sort Code]=(TRIM(E$5)))*(CRDJ[Account Code]=(TRIM($B121))),CRDJ[Credit])))+(SUM(IF((GJ[Date]=$A$4)*(GJ[Sort Code]=(TRIM(E$5)))*(GJ[Account Code]=(TRIM($B121))),GJ[Credit]))))</f>
        <v>0</v>
      </c>
      <c r="E121" s="467">
        <f>C121+D121</f>
        <v>0</v>
      </c>
    </row>
    <row r="122" spans="1:5">
      <c r="A122" s="476" t="s">
        <v>368</v>
      </c>
      <c r="B122" s="339" t="s">
        <v>271</v>
      </c>
      <c r="C122" s="466">
        <f t="array" ref="C122">((SUM(IF((CkDJ[Sort Code]=(TRIM(E$5)))*(CkDJ[Account Code]=(TRIM($B122)))*(CkDJ[Date]&lt;=$C$8),CkDJ[Debit])))+(SUM(IF((CsDJ[Sort Code]=(TRIM(E$5)))*(CsDJ[Account Code]=(TRIM($B122)))*(CsDJ[Date]&lt;=$C$8),CsDJ[Debit])))+(SUM(IF((CRDJ[Sort Code]=(TRIM(E$5)))*(CRDJ[Account Code]=(TRIM($B122)))*(CRDJ[Date]&lt;=$C$8),CRDJ[Debit])))+(SUM(IF((GJ[Sort Code]=(TRIM(E$5)))*(GJ[Account Code]=(TRIM($B122)))*(GJ[Date]&lt;=$C$8),GJ[Debit]))))-((SUM(IF((CkDJ[Sort Code]=(TRIM(E$5)))*(CkDJ[Account Code]=(TRIM($B122)))*(CkDJ[Date]&lt;=$C$8),CkDJ[Credit])))+(SUM(IF((CsDJ[Sort Code]=(TRIM(E$5)))*(CsDJ[Account Code]=(TRIM($B122)))*(CsDJ[Date]&lt;=$C$8),CsDJ[Credit])))+(SUM(IF((CRDJ[Sort Code]=(TRIM(E$5)))*(CRDJ[Account Code]=(TRIM($B122)))*(CRDJ[Date]&lt;=$C$8),CRDJ[Credit])))+(SUM(IF((GJ[Sort Code]=(TRIM(E$5)))*(GJ[Account Code]=(TRIM($B122)))*(GJ[Date]&lt;=$C$8),GJ[Credit]))))</f>
        <v>0</v>
      </c>
      <c r="D122" s="466">
        <f t="array" ref="D122">((SUM(IF((CkDJ[Date]=$A$4)*(CkDJ[Sort Code]=(TRIM(E$5)))*(CkDJ[Account Code]=(TRIM($B122))),CkDJ[Debit])))+(SUM(IF((CsDJ[Date]=$A$4)*(CsDJ[Sort Code]=(TRIM(E$5)))*(CsDJ[Account Code]=(TRIM($B122))),CsDJ[Debit])))+(SUM(IF((CRDJ[Date]=$A$4)*(CRDJ[Sort Code]=(TRIM(E$5)))*(CRDJ[Account Code]=(TRIM($B122))),CRDJ[Debit])))+(SUM(IF((GJ[Date]=$A$4)*(GJ[Sort Code]=(TRIM(E$5)))*(GJ[Account Code]=(TRIM($B122))),GJ[Debit]))))-((SUM(IF((CkDJ[Date]=$A$4)*(CkDJ[Sort Code]=(TRIM(E$5)))*(CkDJ[Account Code]=(TRIM($B122))),CkDJ[Credit])))+(SUM(IF((CsDJ[Date]=$A$4)*(CsDJ[Sort Code]=(TRIM(E$5)))*(CsDJ[Account Code]=(TRIM($B122))),CsDJ[Credit])))+(SUM(IF((CRDJ[Date]=$A$4)*(CRDJ[Sort Code]=(TRIM(E$5)))*(CRDJ[Account Code]=(TRIM($B122))),CRDJ[Credit])))+(SUM(IF((GJ[Date]=$A$4)*(GJ[Sort Code]=(TRIM(E$5)))*(GJ[Account Code]=(TRIM($B122))),GJ[Credit]))))</f>
        <v>0</v>
      </c>
      <c r="E122" s="467">
        <f t="shared" si="4"/>
        <v>0</v>
      </c>
    </row>
    <row r="123" spans="1:5">
      <c r="A123" s="476" t="s">
        <v>316</v>
      </c>
      <c r="B123" s="339" t="s">
        <v>272</v>
      </c>
      <c r="C123" s="466">
        <f t="array" ref="C123">((SUM(IF((CkDJ[Sort Code]=(TRIM(E$5)))*(CkDJ[Account Code]=(TRIM($B123)))*(CkDJ[Date]&lt;=$C$8),CkDJ[Debit])))+(SUM(IF((CsDJ[Sort Code]=(TRIM(E$5)))*(CsDJ[Account Code]=(TRIM($B123)))*(CsDJ[Date]&lt;=$C$8),CsDJ[Debit])))+(SUM(IF((CRDJ[Sort Code]=(TRIM(E$5)))*(CRDJ[Account Code]=(TRIM($B123)))*(CRDJ[Date]&lt;=$C$8),CRDJ[Debit])))+(SUM(IF((GJ[Sort Code]=(TRIM(E$5)))*(GJ[Account Code]=(TRIM($B123)))*(GJ[Date]&lt;=$C$8),GJ[Debit]))))-((SUM(IF((CkDJ[Sort Code]=(TRIM(E$5)))*(CkDJ[Account Code]=(TRIM($B123)))*(CkDJ[Date]&lt;=$C$8),CkDJ[Credit])))+(SUM(IF((CsDJ[Sort Code]=(TRIM(E$5)))*(CsDJ[Account Code]=(TRIM($B123)))*(CsDJ[Date]&lt;=$C$8),CsDJ[Credit])))+(SUM(IF((CRDJ[Sort Code]=(TRIM(E$5)))*(CRDJ[Account Code]=(TRIM($B123)))*(CRDJ[Date]&lt;=$C$8),CRDJ[Credit])))+(SUM(IF((GJ[Sort Code]=(TRIM(E$5)))*(GJ[Account Code]=(TRIM($B123)))*(GJ[Date]&lt;=$C$8),GJ[Credit]))))</f>
        <v>0</v>
      </c>
      <c r="D123" s="466">
        <f t="array" ref="D123">((SUM(IF((CkDJ[Date]=$A$4)*(CkDJ[Sort Code]=(TRIM(E$5)))*(CkDJ[Account Code]=(TRIM($B123))),CkDJ[Debit])))+(SUM(IF((CsDJ[Date]=$A$4)*(CsDJ[Sort Code]=(TRIM(E$5)))*(CsDJ[Account Code]=(TRIM($B123))),CsDJ[Debit])))+(SUM(IF((CRDJ[Date]=$A$4)*(CRDJ[Sort Code]=(TRIM(E$5)))*(CRDJ[Account Code]=(TRIM($B123))),CRDJ[Debit])))+(SUM(IF((GJ[Date]=$A$4)*(GJ[Sort Code]=(TRIM(E$5)))*(GJ[Account Code]=(TRIM($B123))),GJ[Debit]))))-((SUM(IF((CkDJ[Date]=$A$4)*(CkDJ[Sort Code]=(TRIM(E$5)))*(CkDJ[Account Code]=(TRIM($B123))),CkDJ[Credit])))+(SUM(IF((CsDJ[Date]=$A$4)*(CsDJ[Sort Code]=(TRIM(E$5)))*(CsDJ[Account Code]=(TRIM($B123))),CsDJ[Credit])))+(SUM(IF((CRDJ[Date]=$A$4)*(CRDJ[Sort Code]=(TRIM(E$5)))*(CRDJ[Account Code]=(TRIM($B123))),CRDJ[Credit])))+(SUM(IF((GJ[Date]=$A$4)*(GJ[Sort Code]=(TRIM(E$5)))*(GJ[Account Code]=(TRIM($B123))),GJ[Credit]))))</f>
        <v>0</v>
      </c>
      <c r="E123" s="467">
        <f t="shared" si="4"/>
        <v>0</v>
      </c>
    </row>
    <row r="124" spans="1:5">
      <c r="A124" s="476" t="s">
        <v>317</v>
      </c>
      <c r="B124" s="339" t="s">
        <v>273</v>
      </c>
      <c r="C124" s="466">
        <f t="array" ref="C124">((SUM(IF((CkDJ[Sort Code]=(TRIM(E$5)))*(CkDJ[Account Code]=(TRIM($B124)))*(CkDJ[Date]&lt;=$C$8),CkDJ[Debit])))+(SUM(IF((CsDJ[Sort Code]=(TRIM(E$5)))*(CsDJ[Account Code]=(TRIM($B124)))*(CsDJ[Date]&lt;=$C$8),CsDJ[Debit])))+(SUM(IF((CRDJ[Sort Code]=(TRIM(E$5)))*(CRDJ[Account Code]=(TRIM($B124)))*(CRDJ[Date]&lt;=$C$8),CRDJ[Debit])))+(SUM(IF((GJ[Sort Code]=(TRIM(E$5)))*(GJ[Account Code]=(TRIM($B124)))*(GJ[Date]&lt;=$C$8),GJ[Debit]))))-((SUM(IF((CkDJ[Sort Code]=(TRIM(E$5)))*(CkDJ[Account Code]=(TRIM($B124)))*(CkDJ[Date]&lt;=$C$8),CkDJ[Credit])))+(SUM(IF((CsDJ[Sort Code]=(TRIM(E$5)))*(CsDJ[Account Code]=(TRIM($B124)))*(CsDJ[Date]&lt;=$C$8),CsDJ[Credit])))+(SUM(IF((CRDJ[Sort Code]=(TRIM(E$5)))*(CRDJ[Account Code]=(TRIM($B124)))*(CRDJ[Date]&lt;=$C$8),CRDJ[Credit])))+(SUM(IF((GJ[Sort Code]=(TRIM(E$5)))*(GJ[Account Code]=(TRIM($B124)))*(GJ[Date]&lt;=$C$8),GJ[Credit]))))</f>
        <v>0</v>
      </c>
      <c r="D124" s="466">
        <f t="array" ref="D124">((SUM(IF((CkDJ[Date]=$A$4)*(CkDJ[Sort Code]=(TRIM(E$5)))*(CkDJ[Account Code]=(TRIM($B124))),CkDJ[Debit])))+(SUM(IF((CsDJ[Date]=$A$4)*(CsDJ[Sort Code]=(TRIM(E$5)))*(CsDJ[Account Code]=(TRIM($B124))),CsDJ[Debit])))+(SUM(IF((CRDJ[Date]=$A$4)*(CRDJ[Sort Code]=(TRIM(E$5)))*(CRDJ[Account Code]=(TRIM($B124))),CRDJ[Debit])))+(SUM(IF((GJ[Date]=$A$4)*(GJ[Sort Code]=(TRIM(E$5)))*(GJ[Account Code]=(TRIM($B124))),GJ[Debit]))))-((SUM(IF((CkDJ[Date]=$A$4)*(CkDJ[Sort Code]=(TRIM(E$5)))*(CkDJ[Account Code]=(TRIM($B124))),CkDJ[Credit])))+(SUM(IF((CsDJ[Date]=$A$4)*(CsDJ[Sort Code]=(TRIM(E$5)))*(CsDJ[Account Code]=(TRIM($B124))),CsDJ[Credit])))+(SUM(IF((CRDJ[Date]=$A$4)*(CRDJ[Sort Code]=(TRIM(E$5)))*(CRDJ[Account Code]=(TRIM($B124))),CRDJ[Credit])))+(SUM(IF((GJ[Date]=$A$4)*(GJ[Sort Code]=(TRIM(E$5)))*(GJ[Account Code]=(TRIM($B124))),GJ[Credit]))))</f>
        <v>0</v>
      </c>
      <c r="E124" s="467">
        <f t="shared" si="4"/>
        <v>0</v>
      </c>
    </row>
    <row r="125" spans="1:5">
      <c r="A125" s="476" t="s">
        <v>318</v>
      </c>
      <c r="B125" s="339" t="s">
        <v>274</v>
      </c>
      <c r="C125" s="466">
        <f t="array" ref="C125">((SUM(IF((CkDJ[Sort Code]=(TRIM(E$5)))*(CkDJ[Account Code]=(TRIM($B125)))*(CkDJ[Date]&lt;=$C$8),CkDJ[Debit])))+(SUM(IF((CsDJ[Sort Code]=(TRIM(E$5)))*(CsDJ[Account Code]=(TRIM($B125)))*(CsDJ[Date]&lt;=$C$8),CsDJ[Debit])))+(SUM(IF((CRDJ[Sort Code]=(TRIM(E$5)))*(CRDJ[Account Code]=(TRIM($B125)))*(CRDJ[Date]&lt;=$C$8),CRDJ[Debit])))+(SUM(IF((GJ[Sort Code]=(TRIM(E$5)))*(GJ[Account Code]=(TRIM($B125)))*(GJ[Date]&lt;=$C$8),GJ[Debit]))))-((SUM(IF((CkDJ[Sort Code]=(TRIM(E$5)))*(CkDJ[Account Code]=(TRIM($B125)))*(CkDJ[Date]&lt;=$C$8),CkDJ[Credit])))+(SUM(IF((CsDJ[Sort Code]=(TRIM(E$5)))*(CsDJ[Account Code]=(TRIM($B125)))*(CsDJ[Date]&lt;=$C$8),CsDJ[Credit])))+(SUM(IF((CRDJ[Sort Code]=(TRIM(E$5)))*(CRDJ[Account Code]=(TRIM($B125)))*(CRDJ[Date]&lt;=$C$8),CRDJ[Credit])))+(SUM(IF((GJ[Sort Code]=(TRIM(E$5)))*(GJ[Account Code]=(TRIM($B125)))*(GJ[Date]&lt;=$C$8),GJ[Credit]))))</f>
        <v>0</v>
      </c>
      <c r="D125" s="466">
        <f t="array" ref="D125">((SUM(IF((CkDJ[Date]=$A$4)*(CkDJ[Sort Code]=(TRIM(E$5)))*(CkDJ[Account Code]=(TRIM($B125))),CkDJ[Debit])))+(SUM(IF((CsDJ[Date]=$A$4)*(CsDJ[Sort Code]=(TRIM(E$5)))*(CsDJ[Account Code]=(TRIM($B125))),CsDJ[Debit])))+(SUM(IF((CRDJ[Date]=$A$4)*(CRDJ[Sort Code]=(TRIM(E$5)))*(CRDJ[Account Code]=(TRIM($B125))),CRDJ[Debit])))+(SUM(IF((GJ[Date]=$A$4)*(GJ[Sort Code]=(TRIM(E$5)))*(GJ[Account Code]=(TRIM($B125))),GJ[Debit]))))-((SUM(IF((CkDJ[Date]=$A$4)*(CkDJ[Sort Code]=(TRIM(E$5)))*(CkDJ[Account Code]=(TRIM($B125))),CkDJ[Credit])))+(SUM(IF((CsDJ[Date]=$A$4)*(CsDJ[Sort Code]=(TRIM(E$5)))*(CsDJ[Account Code]=(TRIM($B125))),CsDJ[Credit])))+(SUM(IF((CRDJ[Date]=$A$4)*(CRDJ[Sort Code]=(TRIM(E$5)))*(CRDJ[Account Code]=(TRIM($B125))),CRDJ[Credit])))+(SUM(IF((GJ[Date]=$A$4)*(GJ[Sort Code]=(TRIM(E$5)))*(GJ[Account Code]=(TRIM($B125))),GJ[Credit]))))</f>
        <v>0</v>
      </c>
      <c r="E125" s="467">
        <f t="shared" si="4"/>
        <v>0</v>
      </c>
    </row>
    <row r="126" spans="1:5">
      <c r="A126" s="476" t="s">
        <v>796</v>
      </c>
      <c r="B126" s="339" t="s">
        <v>331</v>
      </c>
      <c r="C126" s="466">
        <f t="array" ref="C126">((SUM(IF((CkDJ[Sort Code]=(TRIM(E$5)))*(CkDJ[Account Code]=(TRIM($B126)))*(CkDJ[Date]&lt;=$C$8),CkDJ[Debit])))+(SUM(IF((CsDJ[Sort Code]=(TRIM(E$5)))*(CsDJ[Account Code]=(TRIM($B126)))*(CsDJ[Date]&lt;=$C$8),CsDJ[Debit])))+(SUM(IF((CRDJ[Sort Code]=(TRIM(E$5)))*(CRDJ[Account Code]=(TRIM($B126)))*(CRDJ[Date]&lt;=$C$8),CRDJ[Debit])))+(SUM(IF((GJ[Sort Code]=(TRIM(E$5)))*(GJ[Account Code]=(TRIM($B126)))*(GJ[Date]&lt;=$C$8),GJ[Debit]))))-((SUM(IF((CkDJ[Sort Code]=(TRIM(E$5)))*(CkDJ[Account Code]=(TRIM($B126)))*(CkDJ[Date]&lt;=$C$8),CkDJ[Credit])))+(SUM(IF((CsDJ[Sort Code]=(TRIM(E$5)))*(CsDJ[Account Code]=(TRIM($B126)))*(CsDJ[Date]&lt;=$C$8),CsDJ[Credit])))+(SUM(IF((CRDJ[Sort Code]=(TRIM(E$5)))*(CRDJ[Account Code]=(TRIM($B126)))*(CRDJ[Date]&lt;=$C$8),CRDJ[Credit])))+(SUM(IF((GJ[Sort Code]=(TRIM(E$5)))*(GJ[Account Code]=(TRIM($B126)))*(GJ[Date]&lt;=$C$8),GJ[Credit]))))</f>
        <v>0</v>
      </c>
      <c r="D126" s="466">
        <f t="array" ref="D126">((SUM(IF((CkDJ[Date]=$A$4)*(CkDJ[Sort Code]=(TRIM(E$5)))*(CkDJ[Account Code]=(TRIM($B126))),CkDJ[Debit])))+(SUM(IF((CsDJ[Date]=$A$4)*(CsDJ[Sort Code]=(TRIM(E$5)))*(CsDJ[Account Code]=(TRIM($B126))),CsDJ[Debit])))+(SUM(IF((CRDJ[Date]=$A$4)*(CRDJ[Sort Code]=(TRIM(E$5)))*(CRDJ[Account Code]=(TRIM($B126))),CRDJ[Debit])))+(SUM(IF((GJ[Date]=$A$4)*(GJ[Sort Code]=(TRIM(E$5)))*(GJ[Account Code]=(TRIM($B126))),GJ[Debit]))))-((SUM(IF((CkDJ[Date]=$A$4)*(CkDJ[Sort Code]=(TRIM(E$5)))*(CkDJ[Account Code]=(TRIM($B126))),CkDJ[Credit])))+(SUM(IF((CsDJ[Date]=$A$4)*(CsDJ[Sort Code]=(TRIM(E$5)))*(CsDJ[Account Code]=(TRIM($B126))),CsDJ[Credit])))+(SUM(IF((CRDJ[Date]=$A$4)*(CRDJ[Sort Code]=(TRIM(E$5)))*(CRDJ[Account Code]=(TRIM($B126))),CRDJ[Credit])))+(SUM(IF((GJ[Date]=$A$4)*(GJ[Sort Code]=(TRIM(E$5)))*(GJ[Account Code]=(TRIM($B126))),GJ[Credit]))))</f>
        <v>0</v>
      </c>
      <c r="E126" s="467">
        <f t="shared" si="4"/>
        <v>0</v>
      </c>
    </row>
    <row r="127" spans="1:5">
      <c r="A127" s="476" t="s">
        <v>1028</v>
      </c>
      <c r="B127" s="339" t="s">
        <v>332</v>
      </c>
      <c r="C127" s="466">
        <f t="array" ref="C127">((SUM(IF((CkDJ[Sort Code]=(TRIM(E$5)))*(CkDJ[Account Code]=(TRIM($B127)))*(CkDJ[Date]&lt;=$C$8),CkDJ[Debit])))+(SUM(IF((CsDJ[Sort Code]=(TRIM(E$5)))*(CsDJ[Account Code]=(TRIM($B127)))*(CsDJ[Date]&lt;=$C$8),CsDJ[Debit])))+(SUM(IF((CRDJ[Sort Code]=(TRIM(E$5)))*(CRDJ[Account Code]=(TRIM($B127)))*(CRDJ[Date]&lt;=$C$8),CRDJ[Debit])))+(SUM(IF((GJ[Sort Code]=(TRIM(E$5)))*(GJ[Account Code]=(TRIM($B127)))*(GJ[Date]&lt;=$C$8),GJ[Debit]))))-((SUM(IF((CkDJ[Sort Code]=(TRIM(E$5)))*(CkDJ[Account Code]=(TRIM($B127)))*(CkDJ[Date]&lt;=$C$8),CkDJ[Credit])))+(SUM(IF((CsDJ[Sort Code]=(TRIM(E$5)))*(CsDJ[Account Code]=(TRIM($B127)))*(CsDJ[Date]&lt;=$C$8),CsDJ[Credit])))+(SUM(IF((CRDJ[Sort Code]=(TRIM(E$5)))*(CRDJ[Account Code]=(TRIM($B127)))*(CRDJ[Date]&lt;=$C$8),CRDJ[Credit])))+(SUM(IF((GJ[Sort Code]=(TRIM(E$5)))*(GJ[Account Code]=(TRIM($B127)))*(GJ[Date]&lt;=$C$8),GJ[Credit]))))</f>
        <v>0</v>
      </c>
      <c r="D127" s="466">
        <f t="array" ref="D127">((SUM(IF((CkDJ[Date]=$A$4)*(CkDJ[Sort Code]=(TRIM(E$5)))*(CkDJ[Account Code]=(TRIM($B127))),CkDJ[Debit])))+(SUM(IF((CsDJ[Date]=$A$4)*(CsDJ[Sort Code]=(TRIM(E$5)))*(CsDJ[Account Code]=(TRIM($B127))),CsDJ[Debit])))+(SUM(IF((CRDJ[Date]=$A$4)*(CRDJ[Sort Code]=(TRIM(E$5)))*(CRDJ[Account Code]=(TRIM($B127))),CRDJ[Debit])))+(SUM(IF((GJ[Date]=$A$4)*(GJ[Sort Code]=(TRIM(E$5)))*(GJ[Account Code]=(TRIM($B127))),GJ[Debit]))))-((SUM(IF((CkDJ[Date]=$A$4)*(CkDJ[Sort Code]=(TRIM(E$5)))*(CkDJ[Account Code]=(TRIM($B127))),CkDJ[Credit])))+(SUM(IF((CsDJ[Date]=$A$4)*(CsDJ[Sort Code]=(TRIM(E$5)))*(CsDJ[Account Code]=(TRIM($B127))),CsDJ[Credit])))+(SUM(IF((CRDJ[Date]=$A$4)*(CRDJ[Sort Code]=(TRIM(E$5)))*(CRDJ[Account Code]=(TRIM($B127))),CRDJ[Credit])))+(SUM(IF((GJ[Date]=$A$4)*(GJ[Sort Code]=(TRIM(E$5)))*(GJ[Account Code]=(TRIM($B127))),GJ[Credit]))))</f>
        <v>0</v>
      </c>
      <c r="E127" s="467">
        <f t="shared" si="4"/>
        <v>0</v>
      </c>
    </row>
    <row r="128" spans="1:5">
      <c r="A128" s="476" t="s">
        <v>343</v>
      </c>
      <c r="B128" s="339" t="s">
        <v>334</v>
      </c>
      <c r="C128" s="466">
        <f t="array" ref="C128">((SUM(IF((CkDJ[Sort Code]=(TRIM(E$5)))*(CkDJ[Account Code]=(TRIM($B128)))*(CkDJ[Date]&lt;=$C$8),CkDJ[Debit])))+(SUM(IF((CsDJ[Sort Code]=(TRIM(E$5)))*(CsDJ[Account Code]=(TRIM($B128)))*(CsDJ[Date]&lt;=$C$8),CsDJ[Debit])))+(SUM(IF((CRDJ[Sort Code]=(TRIM(E$5)))*(CRDJ[Account Code]=(TRIM($B128)))*(CRDJ[Date]&lt;=$C$8),CRDJ[Debit])))+(SUM(IF((GJ[Sort Code]=(TRIM(E$5)))*(GJ[Account Code]=(TRIM($B128)))*(GJ[Date]&lt;=$C$8),GJ[Debit]))))-((SUM(IF((CkDJ[Sort Code]=(TRIM(E$5)))*(CkDJ[Account Code]=(TRIM($B128)))*(CkDJ[Date]&lt;=$C$8),CkDJ[Credit])))+(SUM(IF((CsDJ[Sort Code]=(TRIM(E$5)))*(CsDJ[Account Code]=(TRIM($B128)))*(CsDJ[Date]&lt;=$C$8),CsDJ[Credit])))+(SUM(IF((CRDJ[Sort Code]=(TRIM(E$5)))*(CRDJ[Account Code]=(TRIM($B128)))*(CRDJ[Date]&lt;=$C$8),CRDJ[Credit])))+(SUM(IF((GJ[Sort Code]=(TRIM(E$5)))*(GJ[Account Code]=(TRIM($B128)))*(GJ[Date]&lt;=$C$8),GJ[Credit]))))</f>
        <v>0</v>
      </c>
      <c r="D128" s="466">
        <f t="array" ref="D128">((SUM(IF((CkDJ[Date]=$A$4)*(CkDJ[Sort Code]=(TRIM(E$5)))*(CkDJ[Account Code]=(TRIM($B128))),CkDJ[Debit])))+(SUM(IF((CsDJ[Date]=$A$4)*(CsDJ[Sort Code]=(TRIM(E$5)))*(CsDJ[Account Code]=(TRIM($B128))),CsDJ[Debit])))+(SUM(IF((CRDJ[Date]=$A$4)*(CRDJ[Sort Code]=(TRIM(E$5)))*(CRDJ[Account Code]=(TRIM($B128))),CRDJ[Debit])))+(SUM(IF((GJ[Date]=$A$4)*(GJ[Sort Code]=(TRIM(E$5)))*(GJ[Account Code]=(TRIM($B128))),GJ[Debit]))))-((SUM(IF((CkDJ[Date]=$A$4)*(CkDJ[Sort Code]=(TRIM(E$5)))*(CkDJ[Account Code]=(TRIM($B128))),CkDJ[Credit])))+(SUM(IF((CsDJ[Date]=$A$4)*(CsDJ[Sort Code]=(TRIM(E$5)))*(CsDJ[Account Code]=(TRIM($B128))),CsDJ[Credit])))+(SUM(IF((CRDJ[Date]=$A$4)*(CRDJ[Sort Code]=(TRIM(E$5)))*(CRDJ[Account Code]=(TRIM($B128))),CRDJ[Credit])))+(SUM(IF((GJ[Date]=$A$4)*(GJ[Sort Code]=(TRIM(E$5)))*(GJ[Account Code]=(TRIM($B128))),GJ[Credit]))))</f>
        <v>0</v>
      </c>
      <c r="E128" s="467">
        <f t="shared" si="4"/>
        <v>0</v>
      </c>
    </row>
    <row r="129" spans="1:5">
      <c r="A129" s="476" t="s">
        <v>344</v>
      </c>
      <c r="B129" s="339" t="s">
        <v>335</v>
      </c>
      <c r="C129" s="466">
        <f t="array" ref="C129">((SUM(IF((CkDJ[Sort Code]=(TRIM(E$5)))*(CkDJ[Account Code]=(TRIM($B129)))*(CkDJ[Date]&lt;=$C$8),CkDJ[Debit])))+(SUM(IF((CsDJ[Sort Code]=(TRIM(E$5)))*(CsDJ[Account Code]=(TRIM($B129)))*(CsDJ[Date]&lt;=$C$8),CsDJ[Debit])))+(SUM(IF((CRDJ[Sort Code]=(TRIM(E$5)))*(CRDJ[Account Code]=(TRIM($B129)))*(CRDJ[Date]&lt;=$C$8),CRDJ[Debit])))+(SUM(IF((GJ[Sort Code]=(TRIM(E$5)))*(GJ[Account Code]=(TRIM($B129)))*(GJ[Date]&lt;=$C$8),GJ[Debit]))))-((SUM(IF((CkDJ[Sort Code]=(TRIM(E$5)))*(CkDJ[Account Code]=(TRIM($B129)))*(CkDJ[Date]&lt;=$C$8),CkDJ[Credit])))+(SUM(IF((CsDJ[Sort Code]=(TRIM(E$5)))*(CsDJ[Account Code]=(TRIM($B129)))*(CsDJ[Date]&lt;=$C$8),CsDJ[Credit])))+(SUM(IF((CRDJ[Sort Code]=(TRIM(E$5)))*(CRDJ[Account Code]=(TRIM($B129)))*(CRDJ[Date]&lt;=$C$8),CRDJ[Credit])))+(SUM(IF((GJ[Sort Code]=(TRIM(E$5)))*(GJ[Account Code]=(TRIM($B129)))*(GJ[Date]&lt;=$C$8),GJ[Credit]))))</f>
        <v>0</v>
      </c>
      <c r="D129" s="466">
        <f t="array" ref="D129">((SUM(IF((CkDJ[Date]=$A$4)*(CkDJ[Sort Code]=(TRIM(E$5)))*(CkDJ[Account Code]=(TRIM($B129))),CkDJ[Debit])))+(SUM(IF((CsDJ[Date]=$A$4)*(CsDJ[Sort Code]=(TRIM(E$5)))*(CsDJ[Account Code]=(TRIM($B129))),CsDJ[Debit])))+(SUM(IF((CRDJ[Date]=$A$4)*(CRDJ[Sort Code]=(TRIM(E$5)))*(CRDJ[Account Code]=(TRIM($B129))),CRDJ[Debit])))+(SUM(IF((GJ[Date]=$A$4)*(GJ[Sort Code]=(TRIM(E$5)))*(GJ[Account Code]=(TRIM($B129))),GJ[Debit]))))-((SUM(IF((CkDJ[Date]=$A$4)*(CkDJ[Sort Code]=(TRIM(E$5)))*(CkDJ[Account Code]=(TRIM($B129))),CkDJ[Credit])))+(SUM(IF((CsDJ[Date]=$A$4)*(CsDJ[Sort Code]=(TRIM(E$5)))*(CsDJ[Account Code]=(TRIM($B129))),CsDJ[Credit])))+(SUM(IF((CRDJ[Date]=$A$4)*(CRDJ[Sort Code]=(TRIM(E$5)))*(CRDJ[Account Code]=(TRIM($B129))),CRDJ[Credit])))+(SUM(IF((GJ[Date]=$A$4)*(GJ[Sort Code]=(TRIM(E$5)))*(GJ[Account Code]=(TRIM($B129))),GJ[Credit]))))</f>
        <v>0</v>
      </c>
      <c r="E129" s="467">
        <f t="shared" si="4"/>
        <v>0</v>
      </c>
    </row>
    <row r="130" spans="1:5">
      <c r="A130" s="476" t="s">
        <v>368</v>
      </c>
      <c r="B130" s="339" t="s">
        <v>405</v>
      </c>
      <c r="C130" s="466">
        <f t="array" ref="C130">((SUM(IF((CkDJ[Sort Code]=(TRIM(E$5)))*(CkDJ[Account Code]=(TRIM($B130)))*(CkDJ[Date]&lt;=$C$8),CkDJ[Debit])))+(SUM(IF((CsDJ[Sort Code]=(TRIM(E$5)))*(CsDJ[Account Code]=(TRIM($B130)))*(CsDJ[Date]&lt;=$C$8),CsDJ[Debit])))+(SUM(IF((CRDJ[Sort Code]=(TRIM(E$5)))*(CRDJ[Account Code]=(TRIM($B130)))*(CRDJ[Date]&lt;=$C$8),CRDJ[Debit])))+(SUM(IF((GJ[Sort Code]=(TRIM(E$5)))*(GJ[Account Code]=(TRIM($B130)))*(GJ[Date]&lt;=$C$8),GJ[Debit]))))-((SUM(IF((CkDJ[Sort Code]=(TRIM(E$5)))*(CkDJ[Account Code]=(TRIM($B130)))*(CkDJ[Date]&lt;=$C$8),CkDJ[Credit])))+(SUM(IF((CsDJ[Sort Code]=(TRIM(E$5)))*(CsDJ[Account Code]=(TRIM($B130)))*(CsDJ[Date]&lt;=$C$8),CsDJ[Credit])))+(SUM(IF((CRDJ[Sort Code]=(TRIM(E$5)))*(CRDJ[Account Code]=(TRIM($B130)))*(CRDJ[Date]&lt;=$C$8),CRDJ[Credit])))+(SUM(IF((GJ[Sort Code]=(TRIM(E$5)))*(GJ[Account Code]=(TRIM($B130)))*(GJ[Date]&lt;=$C$8),GJ[Credit]))))</f>
        <v>0</v>
      </c>
      <c r="D130" s="466">
        <f t="array" ref="D130">((SUM(IF((CkDJ[Date]=$A$4)*(CkDJ[Sort Code]=(TRIM(E$5)))*(CkDJ[Account Code]=(TRIM($B130))),CkDJ[Debit])))+(SUM(IF((CsDJ[Date]=$A$4)*(CsDJ[Sort Code]=(TRIM(E$5)))*(CsDJ[Account Code]=(TRIM($B130))),CsDJ[Debit])))+(SUM(IF((CRDJ[Date]=$A$4)*(CRDJ[Sort Code]=(TRIM(E$5)))*(CRDJ[Account Code]=(TRIM($B130))),CRDJ[Debit])))+(SUM(IF((GJ[Date]=$A$4)*(GJ[Sort Code]=(TRIM(E$5)))*(GJ[Account Code]=(TRIM($B130))),GJ[Debit]))))-((SUM(IF((CkDJ[Date]=$A$4)*(CkDJ[Sort Code]=(TRIM(E$5)))*(CkDJ[Account Code]=(TRIM($B130))),CkDJ[Credit])))+(SUM(IF((CsDJ[Date]=$A$4)*(CsDJ[Sort Code]=(TRIM(E$5)))*(CsDJ[Account Code]=(TRIM($B130))),CsDJ[Credit])))+(SUM(IF((CRDJ[Date]=$A$4)*(CRDJ[Sort Code]=(TRIM(E$5)))*(CRDJ[Account Code]=(TRIM($B130))),CRDJ[Credit])))+(SUM(IF((GJ[Date]=$A$4)*(GJ[Sort Code]=(TRIM(E$5)))*(GJ[Account Code]=(TRIM($B130))),GJ[Credit]))))</f>
        <v>0</v>
      </c>
      <c r="E130" s="467">
        <f t="shared" si="4"/>
        <v>0</v>
      </c>
    </row>
    <row r="131" spans="1:5">
      <c r="A131" s="476" t="s">
        <v>345</v>
      </c>
      <c r="B131" s="339" t="s">
        <v>336</v>
      </c>
      <c r="C131" s="466">
        <f t="array" ref="C131">((SUM(IF((CkDJ[Sort Code]=(TRIM(E$5)))*(CkDJ[Account Code]=(TRIM($B131)))*(CkDJ[Date]&lt;=$C$8),CkDJ[Debit])))+(SUM(IF((CsDJ[Sort Code]=(TRIM(E$5)))*(CsDJ[Account Code]=(TRIM($B131)))*(CsDJ[Date]&lt;=$C$8),CsDJ[Debit])))+(SUM(IF((CRDJ[Sort Code]=(TRIM(E$5)))*(CRDJ[Account Code]=(TRIM($B131)))*(CRDJ[Date]&lt;=$C$8),CRDJ[Debit])))+(SUM(IF((GJ[Sort Code]=(TRIM(E$5)))*(GJ[Account Code]=(TRIM($B131)))*(GJ[Date]&lt;=$C$8),GJ[Debit]))))-((SUM(IF((CkDJ[Sort Code]=(TRIM(E$5)))*(CkDJ[Account Code]=(TRIM($B131)))*(CkDJ[Date]&lt;=$C$8),CkDJ[Credit])))+(SUM(IF((CsDJ[Sort Code]=(TRIM(E$5)))*(CsDJ[Account Code]=(TRIM($B131)))*(CsDJ[Date]&lt;=$C$8),CsDJ[Credit])))+(SUM(IF((CRDJ[Sort Code]=(TRIM(E$5)))*(CRDJ[Account Code]=(TRIM($B131)))*(CRDJ[Date]&lt;=$C$8),CRDJ[Credit])))+(SUM(IF((GJ[Sort Code]=(TRIM(E$5)))*(GJ[Account Code]=(TRIM($B131)))*(GJ[Date]&lt;=$C$8),GJ[Credit]))))</f>
        <v>0</v>
      </c>
      <c r="D131" s="466">
        <f t="array" ref="D131">((SUM(IF((CkDJ[Date]=$A$4)*(CkDJ[Sort Code]=(TRIM(E$5)))*(CkDJ[Account Code]=(TRIM($B131))),CkDJ[Debit])))+(SUM(IF((CsDJ[Date]=$A$4)*(CsDJ[Sort Code]=(TRIM(E$5)))*(CsDJ[Account Code]=(TRIM($B131))),CsDJ[Debit])))+(SUM(IF((CRDJ[Date]=$A$4)*(CRDJ[Sort Code]=(TRIM(E$5)))*(CRDJ[Account Code]=(TRIM($B131))),CRDJ[Debit])))+(SUM(IF((GJ[Date]=$A$4)*(GJ[Sort Code]=(TRIM(E$5)))*(GJ[Account Code]=(TRIM($B131))),GJ[Debit]))))-((SUM(IF((CkDJ[Date]=$A$4)*(CkDJ[Sort Code]=(TRIM(E$5)))*(CkDJ[Account Code]=(TRIM($B131))),CkDJ[Credit])))+(SUM(IF((CsDJ[Date]=$A$4)*(CsDJ[Sort Code]=(TRIM(E$5)))*(CsDJ[Account Code]=(TRIM($B131))),CsDJ[Credit])))+(SUM(IF((CRDJ[Date]=$A$4)*(CRDJ[Sort Code]=(TRIM(E$5)))*(CRDJ[Account Code]=(TRIM($B131))),CRDJ[Credit])))+(SUM(IF((GJ[Date]=$A$4)*(GJ[Sort Code]=(TRIM(E$5)))*(GJ[Account Code]=(TRIM($B131))),GJ[Credit]))))</f>
        <v>0</v>
      </c>
      <c r="E131" s="467">
        <f t="shared" si="4"/>
        <v>0</v>
      </c>
    </row>
    <row r="132" spans="1:5">
      <c r="A132" s="476" t="s">
        <v>346</v>
      </c>
      <c r="B132" s="339" t="s">
        <v>337</v>
      </c>
      <c r="C132" s="466">
        <f t="array" ref="C132">((SUM(IF((CkDJ[Sort Code]=(TRIM(E$5)))*(CkDJ[Account Code]=(TRIM($B132)))*(CkDJ[Date]&lt;=$C$8),CkDJ[Debit])))+(SUM(IF((CsDJ[Sort Code]=(TRIM(E$5)))*(CsDJ[Account Code]=(TRIM($B132)))*(CsDJ[Date]&lt;=$C$8),CsDJ[Debit])))+(SUM(IF((CRDJ[Sort Code]=(TRIM(E$5)))*(CRDJ[Account Code]=(TRIM($B132)))*(CRDJ[Date]&lt;=$C$8),CRDJ[Debit])))+(SUM(IF((GJ[Sort Code]=(TRIM(E$5)))*(GJ[Account Code]=(TRIM($B132)))*(GJ[Date]&lt;=$C$8),GJ[Debit]))))-((SUM(IF((CkDJ[Sort Code]=(TRIM(E$5)))*(CkDJ[Account Code]=(TRIM($B132)))*(CkDJ[Date]&lt;=$C$8),CkDJ[Credit])))+(SUM(IF((CsDJ[Sort Code]=(TRIM(E$5)))*(CsDJ[Account Code]=(TRIM($B132)))*(CsDJ[Date]&lt;=$C$8),CsDJ[Credit])))+(SUM(IF((CRDJ[Sort Code]=(TRIM(E$5)))*(CRDJ[Account Code]=(TRIM($B132)))*(CRDJ[Date]&lt;=$C$8),CRDJ[Credit])))+(SUM(IF((GJ[Sort Code]=(TRIM(E$5)))*(GJ[Account Code]=(TRIM($B132)))*(GJ[Date]&lt;=$C$8),GJ[Credit]))))</f>
        <v>0</v>
      </c>
      <c r="D132" s="466">
        <f t="array" ref="D132">((SUM(IF((CkDJ[Date]=$A$4)*(CkDJ[Sort Code]=(TRIM(E$5)))*(CkDJ[Account Code]=(TRIM($B132))),CkDJ[Debit])))+(SUM(IF((CsDJ[Date]=$A$4)*(CsDJ[Sort Code]=(TRIM(E$5)))*(CsDJ[Account Code]=(TRIM($B132))),CsDJ[Debit])))+(SUM(IF((CRDJ[Date]=$A$4)*(CRDJ[Sort Code]=(TRIM(E$5)))*(CRDJ[Account Code]=(TRIM($B132))),CRDJ[Debit])))+(SUM(IF((GJ[Date]=$A$4)*(GJ[Sort Code]=(TRIM(E$5)))*(GJ[Account Code]=(TRIM($B132))),GJ[Debit]))))-((SUM(IF((CkDJ[Date]=$A$4)*(CkDJ[Sort Code]=(TRIM(E$5)))*(CkDJ[Account Code]=(TRIM($B132))),CkDJ[Credit])))+(SUM(IF((CsDJ[Date]=$A$4)*(CsDJ[Sort Code]=(TRIM(E$5)))*(CsDJ[Account Code]=(TRIM($B132))),CsDJ[Credit])))+(SUM(IF((CRDJ[Date]=$A$4)*(CRDJ[Sort Code]=(TRIM(E$5)))*(CRDJ[Account Code]=(TRIM($B132))),CRDJ[Credit])))+(SUM(IF((GJ[Date]=$A$4)*(GJ[Sort Code]=(TRIM(E$5)))*(GJ[Account Code]=(TRIM($B132))),GJ[Credit]))))</f>
        <v>0</v>
      </c>
      <c r="E132" s="467">
        <f t="shared" si="4"/>
        <v>0</v>
      </c>
    </row>
    <row r="133" spans="1:5">
      <c r="A133" s="476" t="s">
        <v>1030</v>
      </c>
      <c r="B133" s="339" t="s">
        <v>986</v>
      </c>
      <c r="C133" s="466">
        <f t="array" ref="C133">((SUM(IF((CkDJ[Sort Code]=(TRIM(E$5)))*(CkDJ[Account Code]=(TRIM($B133)))*(CkDJ[Date]&lt;=$C$8),CkDJ[Debit])))+(SUM(IF((CsDJ[Sort Code]=(TRIM(E$5)))*(CsDJ[Account Code]=(TRIM($B133)))*(CsDJ[Date]&lt;=$C$8),CsDJ[Debit])))+(SUM(IF((CRDJ[Sort Code]=(TRIM(E$5)))*(CRDJ[Account Code]=(TRIM($B133)))*(CRDJ[Date]&lt;=$C$8),CRDJ[Debit])))+(SUM(IF((GJ[Sort Code]=(TRIM(E$5)))*(GJ[Account Code]=(TRIM($B133)))*(GJ[Date]&lt;=$C$8),GJ[Debit]))))-((SUM(IF((CkDJ[Sort Code]=(TRIM(E$5)))*(CkDJ[Account Code]=(TRIM($B133)))*(CkDJ[Date]&lt;=$C$8),CkDJ[Credit])))+(SUM(IF((CsDJ[Sort Code]=(TRIM(E$5)))*(CsDJ[Account Code]=(TRIM($B133)))*(CsDJ[Date]&lt;=$C$8),CsDJ[Credit])))+(SUM(IF((CRDJ[Sort Code]=(TRIM(E$5)))*(CRDJ[Account Code]=(TRIM($B133)))*(CRDJ[Date]&lt;=$C$8),CRDJ[Credit])))+(SUM(IF((GJ[Sort Code]=(TRIM(E$5)))*(GJ[Account Code]=(TRIM($B133)))*(GJ[Date]&lt;=$C$8),GJ[Credit]))))</f>
        <v>0</v>
      </c>
      <c r="D133" s="466">
        <f t="array" ref="D133">((SUM(IF((CkDJ[Date]=$A$4)*(CkDJ[Sort Code]=(TRIM(E$5)))*(CkDJ[Account Code]=(TRIM($B133))),CkDJ[Debit])))+(SUM(IF((CsDJ[Date]=$A$4)*(CsDJ[Sort Code]=(TRIM(E$5)))*(CsDJ[Account Code]=(TRIM($B133))),CsDJ[Debit])))+(SUM(IF((CRDJ[Date]=$A$4)*(CRDJ[Sort Code]=(TRIM(E$5)))*(CRDJ[Account Code]=(TRIM($B133))),CRDJ[Debit])))+(SUM(IF((GJ[Date]=$A$4)*(GJ[Sort Code]=(TRIM(E$5)))*(GJ[Account Code]=(TRIM($B133))),GJ[Debit]))))-((SUM(IF((CkDJ[Date]=$A$4)*(CkDJ[Sort Code]=(TRIM(E$5)))*(CkDJ[Account Code]=(TRIM($B133))),CkDJ[Credit])))+(SUM(IF((CsDJ[Date]=$A$4)*(CsDJ[Sort Code]=(TRIM(E$5)))*(CsDJ[Account Code]=(TRIM($B133))),CsDJ[Credit])))+(SUM(IF((CRDJ[Date]=$A$4)*(CRDJ[Sort Code]=(TRIM(E$5)))*(CRDJ[Account Code]=(TRIM($B133))),CRDJ[Credit])))+(SUM(IF((GJ[Date]=$A$4)*(GJ[Sort Code]=(TRIM(E$5)))*(GJ[Account Code]=(TRIM($B133))),GJ[Credit]))))</f>
        <v>0</v>
      </c>
      <c r="E133" s="467">
        <f t="shared" si="4"/>
        <v>0</v>
      </c>
    </row>
    <row r="134" spans="1:5">
      <c r="A134" s="476" t="s">
        <v>1029</v>
      </c>
      <c r="B134" s="339" t="s">
        <v>987</v>
      </c>
      <c r="C134" s="466">
        <f t="array" ref="C134">((SUM(IF((CkDJ[Sort Code]=(TRIM(E$5)))*(CkDJ[Account Code]=(TRIM($B134)))*(CkDJ[Date]&lt;=$C$8),CkDJ[Debit])))+(SUM(IF((CsDJ[Sort Code]=(TRIM(E$5)))*(CsDJ[Account Code]=(TRIM($B134)))*(CsDJ[Date]&lt;=$C$8),CsDJ[Debit])))+(SUM(IF((CRDJ[Sort Code]=(TRIM(E$5)))*(CRDJ[Account Code]=(TRIM($B134)))*(CRDJ[Date]&lt;=$C$8),CRDJ[Debit])))+(SUM(IF((GJ[Sort Code]=(TRIM(E$5)))*(GJ[Account Code]=(TRIM($B134)))*(GJ[Date]&lt;=$C$8),GJ[Debit]))))-((SUM(IF((CkDJ[Sort Code]=(TRIM(E$5)))*(CkDJ[Account Code]=(TRIM($B134)))*(CkDJ[Date]&lt;=$C$8),CkDJ[Credit])))+(SUM(IF((CsDJ[Sort Code]=(TRIM(E$5)))*(CsDJ[Account Code]=(TRIM($B134)))*(CsDJ[Date]&lt;=$C$8),CsDJ[Credit])))+(SUM(IF((CRDJ[Sort Code]=(TRIM(E$5)))*(CRDJ[Account Code]=(TRIM($B134)))*(CRDJ[Date]&lt;=$C$8),CRDJ[Credit])))+(SUM(IF((GJ[Sort Code]=(TRIM(E$5)))*(GJ[Account Code]=(TRIM($B134)))*(GJ[Date]&lt;=$C$8),GJ[Credit]))))</f>
        <v>0</v>
      </c>
      <c r="D134" s="466">
        <f t="array" ref="D134">((SUM(IF((CkDJ[Date]=$A$4)*(CkDJ[Sort Code]=(TRIM(E$5)))*(CkDJ[Account Code]=(TRIM($B134))),CkDJ[Debit])))+(SUM(IF((CsDJ[Date]=$A$4)*(CsDJ[Sort Code]=(TRIM(E$5)))*(CsDJ[Account Code]=(TRIM($B134))),CsDJ[Debit])))+(SUM(IF((CRDJ[Date]=$A$4)*(CRDJ[Sort Code]=(TRIM(E$5)))*(CRDJ[Account Code]=(TRIM($B134))),CRDJ[Debit])))+(SUM(IF((GJ[Date]=$A$4)*(GJ[Sort Code]=(TRIM(E$5)))*(GJ[Account Code]=(TRIM($B134))),GJ[Debit]))))-((SUM(IF((CkDJ[Date]=$A$4)*(CkDJ[Sort Code]=(TRIM(E$5)))*(CkDJ[Account Code]=(TRIM($B134))),CkDJ[Credit])))+(SUM(IF((CsDJ[Date]=$A$4)*(CsDJ[Sort Code]=(TRIM(E$5)))*(CsDJ[Account Code]=(TRIM($B134))),CsDJ[Credit])))+(SUM(IF((CRDJ[Date]=$A$4)*(CRDJ[Sort Code]=(TRIM(E$5)))*(CRDJ[Account Code]=(TRIM($B134))),CRDJ[Credit])))+(SUM(IF((GJ[Date]=$A$4)*(GJ[Sort Code]=(TRIM(E$5)))*(GJ[Account Code]=(TRIM($B134))),GJ[Credit]))))</f>
        <v>0</v>
      </c>
      <c r="E134" s="467">
        <f t="shared" si="4"/>
        <v>0</v>
      </c>
    </row>
    <row r="135" spans="1:5">
      <c r="A135" s="476" t="s">
        <v>990</v>
      </c>
      <c r="B135" s="339" t="s">
        <v>988</v>
      </c>
      <c r="C135" s="466">
        <f t="array" ref="C135">((SUM(IF((CkDJ[Sort Code]=(TRIM(E$5)))*(CkDJ[Account Code]=(TRIM($B135)))*(CkDJ[Date]&lt;=$C$8),CkDJ[Debit])))+(SUM(IF((CsDJ[Sort Code]=(TRIM(E$5)))*(CsDJ[Account Code]=(TRIM($B135)))*(CsDJ[Date]&lt;=$C$8),CsDJ[Debit])))+(SUM(IF((CRDJ[Sort Code]=(TRIM(E$5)))*(CRDJ[Account Code]=(TRIM($B135)))*(CRDJ[Date]&lt;=$C$8),CRDJ[Debit])))+(SUM(IF((GJ[Sort Code]=(TRIM(E$5)))*(GJ[Account Code]=(TRIM($B135)))*(GJ[Date]&lt;=$C$8),GJ[Debit]))))-((SUM(IF((CkDJ[Sort Code]=(TRIM(E$5)))*(CkDJ[Account Code]=(TRIM($B135)))*(CkDJ[Date]&lt;=$C$8),CkDJ[Credit])))+(SUM(IF((CsDJ[Sort Code]=(TRIM(E$5)))*(CsDJ[Account Code]=(TRIM($B135)))*(CsDJ[Date]&lt;=$C$8),CsDJ[Credit])))+(SUM(IF((CRDJ[Sort Code]=(TRIM(E$5)))*(CRDJ[Account Code]=(TRIM($B135)))*(CRDJ[Date]&lt;=$C$8),CRDJ[Credit])))+(SUM(IF((GJ[Sort Code]=(TRIM(E$5)))*(GJ[Account Code]=(TRIM($B135)))*(GJ[Date]&lt;=$C$8),GJ[Credit]))))</f>
        <v>0</v>
      </c>
      <c r="D135" s="466">
        <f t="array" ref="D135">((SUM(IF((CkDJ[Date]=$A$4)*(CkDJ[Sort Code]=(TRIM(E$5)))*(CkDJ[Account Code]=(TRIM($B135))),CkDJ[Debit])))+(SUM(IF((CsDJ[Date]=$A$4)*(CsDJ[Sort Code]=(TRIM(E$5)))*(CsDJ[Account Code]=(TRIM($B135))),CsDJ[Debit])))+(SUM(IF((CRDJ[Date]=$A$4)*(CRDJ[Sort Code]=(TRIM(E$5)))*(CRDJ[Account Code]=(TRIM($B135))),CRDJ[Debit])))+(SUM(IF((GJ[Date]=$A$4)*(GJ[Sort Code]=(TRIM(E$5)))*(GJ[Account Code]=(TRIM($B135))),GJ[Debit]))))-((SUM(IF((CkDJ[Date]=$A$4)*(CkDJ[Sort Code]=(TRIM(E$5)))*(CkDJ[Account Code]=(TRIM($B135))),CkDJ[Credit])))+(SUM(IF((CsDJ[Date]=$A$4)*(CsDJ[Sort Code]=(TRIM(E$5)))*(CsDJ[Account Code]=(TRIM($B135))),CsDJ[Credit])))+(SUM(IF((CRDJ[Date]=$A$4)*(CRDJ[Sort Code]=(TRIM(E$5)))*(CRDJ[Account Code]=(TRIM($B135))),CRDJ[Credit])))+(SUM(IF((GJ[Date]=$A$4)*(GJ[Sort Code]=(TRIM(E$5)))*(GJ[Account Code]=(TRIM($B135))),GJ[Credit]))))</f>
        <v>0</v>
      </c>
      <c r="E135" s="467">
        <f t="shared" si="4"/>
        <v>0</v>
      </c>
    </row>
    <row r="136" spans="1:5">
      <c r="A136" s="476" t="s">
        <v>349</v>
      </c>
      <c r="B136" s="339" t="s">
        <v>340</v>
      </c>
      <c r="C136" s="466">
        <f t="array" ref="C136">((SUM(IF((CkDJ[Sort Code]=(TRIM(E$5)))*(CkDJ[Account Code]=(TRIM($B136)))*(CkDJ[Date]&lt;=$C$8),CkDJ[Debit])))+(SUM(IF((CsDJ[Sort Code]=(TRIM(E$5)))*(CsDJ[Account Code]=(TRIM($B136)))*(CsDJ[Date]&lt;=$C$8),CsDJ[Debit])))+(SUM(IF((CRDJ[Sort Code]=(TRIM(E$5)))*(CRDJ[Account Code]=(TRIM($B136)))*(CRDJ[Date]&lt;=$C$8),CRDJ[Debit])))+(SUM(IF((GJ[Sort Code]=(TRIM(E$5)))*(GJ[Account Code]=(TRIM($B136)))*(GJ[Date]&lt;=$C$8),GJ[Debit]))))-((SUM(IF((CkDJ[Sort Code]=(TRIM(E$5)))*(CkDJ[Account Code]=(TRIM($B136)))*(CkDJ[Date]&lt;=$C$8),CkDJ[Credit])))+(SUM(IF((CsDJ[Sort Code]=(TRIM(E$5)))*(CsDJ[Account Code]=(TRIM($B136)))*(CsDJ[Date]&lt;=$C$8),CsDJ[Credit])))+(SUM(IF((CRDJ[Sort Code]=(TRIM(E$5)))*(CRDJ[Account Code]=(TRIM($B136)))*(CRDJ[Date]&lt;=$C$8),CRDJ[Credit])))+(SUM(IF((GJ[Sort Code]=(TRIM(E$5)))*(GJ[Account Code]=(TRIM($B136)))*(GJ[Date]&lt;=$C$8),GJ[Credit]))))</f>
        <v>0</v>
      </c>
      <c r="D136" s="466">
        <f t="array" ref="D136">((SUM(IF((CkDJ[Date]=$A$4)*(CkDJ[Sort Code]=(TRIM(E$5)))*(CkDJ[Account Code]=(TRIM($B136))),CkDJ[Debit])))+(SUM(IF((CsDJ[Date]=$A$4)*(CsDJ[Sort Code]=(TRIM(E$5)))*(CsDJ[Account Code]=(TRIM($B136))),CsDJ[Debit])))+(SUM(IF((CRDJ[Date]=$A$4)*(CRDJ[Sort Code]=(TRIM(E$5)))*(CRDJ[Account Code]=(TRIM($B136))),CRDJ[Debit])))+(SUM(IF((GJ[Date]=$A$4)*(GJ[Sort Code]=(TRIM(E$5)))*(GJ[Account Code]=(TRIM($B136))),GJ[Debit]))))-((SUM(IF((CkDJ[Date]=$A$4)*(CkDJ[Sort Code]=(TRIM(E$5)))*(CkDJ[Account Code]=(TRIM($B136))),CkDJ[Credit])))+(SUM(IF((CsDJ[Date]=$A$4)*(CsDJ[Sort Code]=(TRIM(E$5)))*(CsDJ[Account Code]=(TRIM($B136))),CsDJ[Credit])))+(SUM(IF((CRDJ[Date]=$A$4)*(CRDJ[Sort Code]=(TRIM(E$5)))*(CRDJ[Account Code]=(TRIM($B136))),CRDJ[Credit])))+(SUM(IF((GJ[Date]=$A$4)*(GJ[Sort Code]=(TRIM(E$5)))*(GJ[Account Code]=(TRIM($B136))),GJ[Credit]))))</f>
        <v>0</v>
      </c>
      <c r="E136" s="467">
        <f t="shared" si="4"/>
        <v>0</v>
      </c>
    </row>
    <row r="137" spans="1:5">
      <c r="A137" s="476" t="s">
        <v>342</v>
      </c>
      <c r="B137" s="339" t="s">
        <v>333</v>
      </c>
      <c r="C137" s="466">
        <f t="array" ref="C137">((SUM(IF((CkDJ[Sort Code]=(TRIM(E$5)))*(CkDJ[Account Code]=(TRIM($B137)))*(CkDJ[Date]&lt;=$C$8),CkDJ[Debit])))+(SUM(IF((CsDJ[Sort Code]=(TRIM(E$5)))*(CsDJ[Account Code]=(TRIM($B137)))*(CsDJ[Date]&lt;=$C$8),CsDJ[Debit])))+(SUM(IF((CRDJ[Sort Code]=(TRIM(E$5)))*(CRDJ[Account Code]=(TRIM($B137)))*(CRDJ[Date]&lt;=$C$8),CRDJ[Debit])))+(SUM(IF((GJ[Sort Code]=(TRIM(E$5)))*(GJ[Account Code]=(TRIM($B137)))*(GJ[Date]&lt;=$C$8),GJ[Debit]))))-((SUM(IF((CkDJ[Sort Code]=(TRIM(E$5)))*(CkDJ[Account Code]=(TRIM($B137)))*(CkDJ[Date]&lt;=$C$8),CkDJ[Credit])))+(SUM(IF((CsDJ[Sort Code]=(TRIM(E$5)))*(CsDJ[Account Code]=(TRIM($B137)))*(CsDJ[Date]&lt;=$C$8),CsDJ[Credit])))+(SUM(IF((CRDJ[Sort Code]=(TRIM(E$5)))*(CRDJ[Account Code]=(TRIM($B137)))*(CRDJ[Date]&lt;=$C$8),CRDJ[Credit])))+(SUM(IF((GJ[Sort Code]=(TRIM(E$5)))*(GJ[Account Code]=(TRIM($B137)))*(GJ[Date]&lt;=$C$8),GJ[Credit]))))</f>
        <v>0</v>
      </c>
      <c r="D137" s="466">
        <f t="array" ref="D137">((SUM(IF((CkDJ[Date]=$A$4)*(CkDJ[Sort Code]=(TRIM(E$5)))*(CkDJ[Account Code]=(TRIM($B137))),CkDJ[Debit])))+(SUM(IF((CsDJ[Date]=$A$4)*(CsDJ[Sort Code]=(TRIM(E$5)))*(CsDJ[Account Code]=(TRIM($B137))),CsDJ[Debit])))+(SUM(IF((CRDJ[Date]=$A$4)*(CRDJ[Sort Code]=(TRIM(E$5)))*(CRDJ[Account Code]=(TRIM($B137))),CRDJ[Debit])))+(SUM(IF((GJ[Date]=$A$4)*(GJ[Sort Code]=(TRIM(E$5)))*(GJ[Account Code]=(TRIM($B137))),GJ[Debit]))))-((SUM(IF((CkDJ[Date]=$A$4)*(CkDJ[Sort Code]=(TRIM(E$5)))*(CkDJ[Account Code]=(TRIM($B137))),CkDJ[Credit])))+(SUM(IF((CsDJ[Date]=$A$4)*(CsDJ[Sort Code]=(TRIM(E$5)))*(CsDJ[Account Code]=(TRIM($B137))),CsDJ[Credit])))+(SUM(IF((CRDJ[Date]=$A$4)*(CRDJ[Sort Code]=(TRIM(E$5)))*(CRDJ[Account Code]=(TRIM($B137))),CRDJ[Credit])))+(SUM(IF((GJ[Date]=$A$4)*(GJ[Sort Code]=(TRIM(E$5)))*(GJ[Account Code]=(TRIM($B137))),GJ[Credit]))))</f>
        <v>0</v>
      </c>
      <c r="E137" s="467">
        <f>C137+D137</f>
        <v>0</v>
      </c>
    </row>
    <row r="138" spans="1:5">
      <c r="A138" s="468" t="s">
        <v>804</v>
      </c>
      <c r="B138" s="469"/>
      <c r="C138" s="470">
        <f>C47+C74</f>
        <v>0</v>
      </c>
      <c r="D138" s="470">
        <f>D47+D74</f>
        <v>0</v>
      </c>
      <c r="E138" s="470">
        <f>E47+E74</f>
        <v>0</v>
      </c>
    </row>
    <row r="139" spans="1:5">
      <c r="A139" s="468" t="s">
        <v>785</v>
      </c>
      <c r="B139" s="469"/>
      <c r="C139" s="470">
        <f>C45-C138</f>
        <v>0</v>
      </c>
      <c r="D139" s="470">
        <f>D45-D138</f>
        <v>0</v>
      </c>
      <c r="E139" s="470">
        <f>E45-E138</f>
        <v>0</v>
      </c>
    </row>
    <row r="140" spans="1:5">
      <c r="A140" s="468"/>
      <c r="B140" s="469"/>
      <c r="C140" s="470"/>
      <c r="D140" s="470"/>
      <c r="E140" s="470"/>
    </row>
    <row r="141" spans="1:5">
      <c r="A141" s="468" t="s">
        <v>1168</v>
      </c>
      <c r="B141" s="469"/>
      <c r="C141" s="470">
        <v>0</v>
      </c>
      <c r="D141" s="470">
        <v>0</v>
      </c>
      <c r="E141" s="470">
        <v>0</v>
      </c>
    </row>
    <row r="142" spans="1:5">
      <c r="A142" s="468"/>
      <c r="B142" s="469"/>
      <c r="C142" s="470"/>
      <c r="D142" s="470"/>
      <c r="E142" s="470"/>
    </row>
    <row r="143" spans="1:5">
      <c r="A143" s="468" t="s">
        <v>1169</v>
      </c>
      <c r="B143" s="469"/>
      <c r="C143" s="470">
        <f>C139-C141</f>
        <v>0</v>
      </c>
      <c r="D143" s="470">
        <f>D139-D141</f>
        <v>0</v>
      </c>
      <c r="E143" s="470">
        <f>E139-E141</f>
        <v>0</v>
      </c>
    </row>
  </sheetData>
  <mergeCells count="5">
    <mergeCell ref="A6:A8"/>
    <mergeCell ref="B6:B8"/>
    <mergeCell ref="C6:C7"/>
    <mergeCell ref="D6:D8"/>
    <mergeCell ref="E6:E8"/>
  </mergeCells>
  <printOptions horizontalCentered="1"/>
  <pageMargins left="0.25" right="0.25" top="0.75" bottom="1.5" header="0.3" footer="0.3"/>
  <pageSetup paperSize="5" scale="80" orientation="portrait" r:id="rId1"/>
  <rowBreaks count="1" manualBreakCount="1">
    <brk id="72"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3300"/>
  </sheetPr>
  <dimension ref="A1:E143"/>
  <sheetViews>
    <sheetView workbookViewId="0"/>
  </sheetViews>
  <sheetFormatPr defaultColWidth="9" defaultRowHeight="14.25"/>
  <cols>
    <col min="1" max="1" width="63.625" style="233" bestFit="1" customWidth="1"/>
    <col min="2" max="2" width="10" style="336" hidden="1" customWidth="1"/>
    <col min="3" max="3" width="17.5" style="236" hidden="1" customWidth="1"/>
    <col min="4" max="4" width="17.125" style="237" hidden="1" customWidth="1"/>
    <col min="5" max="5" width="18" style="236" customWidth="1"/>
    <col min="6" max="16384" width="9" style="233"/>
  </cols>
  <sheetData>
    <row r="1" spans="1:5">
      <c r="A1" s="232" t="s">
        <v>355</v>
      </c>
      <c r="B1" s="335"/>
      <c r="C1" s="232"/>
      <c r="D1" s="232"/>
      <c r="E1" s="232"/>
    </row>
    <row r="2" spans="1:5">
      <c r="A2" s="232" t="s">
        <v>400</v>
      </c>
      <c r="B2" s="335"/>
      <c r="C2" s="232"/>
      <c r="D2" s="232"/>
      <c r="E2" s="232"/>
    </row>
    <row r="3" spans="1:5">
      <c r="A3" s="232" t="s">
        <v>1162</v>
      </c>
      <c r="B3" s="335"/>
      <c r="C3" s="232"/>
      <c r="D3" s="232"/>
      <c r="E3" s="232"/>
    </row>
    <row r="4" spans="1:5">
      <c r="A4" s="234">
        <f>Account!G2</f>
        <v>45291</v>
      </c>
      <c r="B4" s="335"/>
      <c r="C4" s="232"/>
      <c r="D4" s="232"/>
      <c r="E4" s="232"/>
    </row>
    <row r="5" spans="1:5">
      <c r="A5" s="235" t="s">
        <v>1172</v>
      </c>
      <c r="E5" s="331"/>
    </row>
    <row r="6" spans="1:5" ht="14.25" customHeight="1">
      <c r="A6" s="1457" t="s">
        <v>440</v>
      </c>
      <c r="B6" s="1460" t="s">
        <v>370</v>
      </c>
      <c r="C6" s="1461" t="s">
        <v>832</v>
      </c>
      <c r="D6" s="1463">
        <f>A4</f>
        <v>45291</v>
      </c>
      <c r="E6" s="1461" t="s">
        <v>831</v>
      </c>
    </row>
    <row r="7" spans="1:5">
      <c r="A7" s="1458"/>
      <c r="B7" s="1460"/>
      <c r="C7" s="1462"/>
      <c r="D7" s="1464"/>
      <c r="E7" s="1462"/>
    </row>
    <row r="8" spans="1:5">
      <c r="A8" s="1459"/>
      <c r="B8" s="1460"/>
      <c r="C8" s="465">
        <f>'REVGEN (1)'!E7</f>
        <v>43373</v>
      </c>
      <c r="D8" s="1465"/>
      <c r="E8" s="1466"/>
    </row>
    <row r="9" spans="1:5">
      <c r="A9" s="471" t="s">
        <v>1170</v>
      </c>
      <c r="B9" s="339"/>
      <c r="C9" s="472"/>
      <c r="D9" s="472"/>
      <c r="E9" s="472"/>
    </row>
    <row r="10" spans="1:5">
      <c r="A10" s="473" t="s">
        <v>829</v>
      </c>
      <c r="B10" s="339"/>
      <c r="C10" s="474">
        <f>C11+C12</f>
        <v>0</v>
      </c>
      <c r="D10" s="474">
        <f>D11+D12</f>
        <v>0</v>
      </c>
      <c r="E10" s="474">
        <f>E11+E12</f>
        <v>0</v>
      </c>
    </row>
    <row r="11" spans="1:5">
      <c r="A11" s="475" t="s">
        <v>821</v>
      </c>
      <c r="B11" s="339" t="s">
        <v>125</v>
      </c>
      <c r="C11" s="466">
        <f t="array" ref="C11">((SUM(IF((CkDJ[Account Code]=(TRIM($B11)))*(CkDJ[Date]&lt;=$C$8),CkDJ[Credit])))+(SUM(IF((CsDJ[Account Code]=(TRIM($B11)))*(CsDJ[Date]&lt;=$C$8),CsDJ[Credit])))+(SUM(IF((CRDJ[Account Code]=(TRIM($B11)))*(CRDJ[Date]&lt;=$C$8),CRDJ[Credit])))+(SUM(IF((GJ[Account Code]=(TRIM($B11)))*(GJ[Date]&lt;=$C$8),GJ[Credit]))))-((SUM(IF((CkDJ[Account Code]=(TRIM($B11)))*(CkDJ[Date]&lt;=$C$8),CkDJ[Debit])))+(SUM(IF((CsDJ[Account Code]=(TRIM($B11)))*(CsDJ[Date]&lt;=$C$8),CsDJ[Debit])))+(SUM(IF((CRDJ[Account Code]=(TRIM($B11)))*(CRDJ[Date]&lt;=$C$8),CRDJ[Debit])))+(SUM(IF((GJ[Account Code]=(TRIM($B11)))*(GJ[Date]&lt;=$C$8),GJ[Debit]))))</f>
        <v>0</v>
      </c>
      <c r="D11" s="466">
        <f t="array" ref="D11">((SUM(IF((CkDJ[Date]=$A$4)*(CkDJ[Account Code]=(TRIM($B11))),CkDJ[Credit])))+(SUM(IF((CsDJ[Date]=$A$4)*(CsDJ[Account Code]=(TRIM($B11))),CsDJ[Credit])))+(SUM(IF((CRDJ[Date]=$A$4)*(CRDJ[Account Code]=(TRIM($B11))),CRDJ[Credit])))+(SUM(IF((GJ[Date]=$A$4)*(GJ[Account Code]=(TRIM($B11))),GJ[Credit]))))-((SUM(IF((CkDJ[Date]=$A$4)*(CkDJ[Account Code]=(TRIM($B11))),CkDJ[Debit])))+(SUM(IF((CsDJ[Date]=$A$4)*(CsDJ[Account Code]=(TRIM($B11))),CsDJ[Debit])))+(SUM(IF((CRDJ[Date]=$A$4)*(CRDJ[Account Code]=(TRIM($B11))),CRDJ[Debit])))+(SUM(IF((GJ[Date]=$A$4)*(GJ[Account Code]=(TRIM($B11))),GJ[Debit]))))</f>
        <v>0</v>
      </c>
      <c r="E11" s="467">
        <f>C11+D11</f>
        <v>0</v>
      </c>
    </row>
    <row r="12" spans="1:5">
      <c r="A12" s="475" t="s">
        <v>820</v>
      </c>
      <c r="B12" s="339"/>
      <c r="C12" s="466">
        <f>SUM(C13:C15)</f>
        <v>0</v>
      </c>
      <c r="D12" s="466">
        <f>SUM(D13:D15)</f>
        <v>0</v>
      </c>
      <c r="E12" s="467">
        <f>SUM(E13:E15)</f>
        <v>0</v>
      </c>
    </row>
    <row r="13" spans="1:5">
      <c r="A13" s="476" t="s">
        <v>809</v>
      </c>
      <c r="B13" s="339" t="s">
        <v>126</v>
      </c>
      <c r="C13" s="466">
        <f t="array" ref="C13">((SUM(IF((CkDJ[Account Code]=(TRIM($B13)))*(CkDJ[Date]&lt;=$C$8),CkDJ[Credit])))+(SUM(IF((CsDJ[Account Code]=(TRIM($B13)))*(CsDJ[Date]&lt;=$C$8),CsDJ[Credit])))+(SUM(IF((CRDJ[Account Code]=(TRIM($B13)))*(CRDJ[Date]&lt;=$C$8),CRDJ[Credit])))+(SUM(IF((GJ[Account Code]=(TRIM($B13)))*(GJ[Date]&lt;=$C$8),GJ[Credit]))))-((SUM(IF((CkDJ[Account Code]=(TRIM($B13)))*(CkDJ[Date]&lt;=$C$8),CkDJ[Debit])))+(SUM(IF((CsDJ[Account Code]=(TRIM($B13)))*(CsDJ[Date]&lt;=$C$8),CsDJ[Debit])))+(SUM(IF((CRDJ[Account Code]=(TRIM($B13)))*(CRDJ[Date]&lt;=$C$8),CRDJ[Debit])))+(SUM(IF((GJ[Account Code]=(TRIM($B13)))*(GJ[Date]&lt;=$C$8),GJ[Debit]))))</f>
        <v>0</v>
      </c>
      <c r="D13" s="466">
        <f t="array" ref="D13">((SUM(IF((CkDJ[Date]=$A$4)*(CkDJ[Account Code]=(TRIM($B13))),CkDJ[Credit])))+(SUM(IF((CsDJ[Date]=$A$4)*(CsDJ[Account Code]=(TRIM($B13))),CsDJ[Credit])))+(SUM(IF((CRDJ[Date]=$A$4)*(CRDJ[Account Code]=(TRIM($B13))),CRDJ[Credit])))+(SUM(IF((GJ[Date]=$A$4)*(GJ[Account Code]=(TRIM($B13))),GJ[Credit]))))-((SUM(IF((CkDJ[Date]=$A$4)*(CkDJ[Account Code]=(TRIM($B13))),CkDJ[Debit])))+(SUM(IF((CsDJ[Date]=$A$4)*(CsDJ[Account Code]=(TRIM($B13))),CsDJ[Debit])))+(SUM(IF((CRDJ[Date]=$A$4)*(CRDJ[Account Code]=(TRIM($B13))),CRDJ[Debit])))+(SUM(IF((GJ[Date]=$A$4)*(GJ[Account Code]=(TRIM($B13))),GJ[Debit]))))</f>
        <v>0</v>
      </c>
      <c r="E13" s="467">
        <f>C13+D13</f>
        <v>0</v>
      </c>
    </row>
    <row r="14" spans="1:5">
      <c r="A14" s="476" t="s">
        <v>828</v>
      </c>
      <c r="B14" s="339" t="s">
        <v>721</v>
      </c>
      <c r="C14" s="466">
        <f t="array" ref="C14">((SUM(IF((CkDJ[Account Code]=(TRIM($B14)))*(CkDJ[Date]&lt;=$C$8),CkDJ[Credit])))+(SUM(IF((CsDJ[Account Code]=(TRIM($B14)))*(CsDJ[Date]&lt;=$C$8),CsDJ[Credit])))+(SUM(IF((CRDJ[Account Code]=(TRIM($B14)))*(CRDJ[Date]&lt;=$C$8),CRDJ[Credit])))+(SUM(IF((GJ[Account Code]=(TRIM($B14)))*(GJ[Date]&lt;=$C$8),GJ[Credit]))))-((SUM(IF((CkDJ[Account Code]=(TRIM($B14)))*(CkDJ[Date]&lt;=$C$8),CkDJ[Debit])))+(SUM(IF((CsDJ[Account Code]=(TRIM($B14)))*(CsDJ[Date]&lt;=$C$8),CsDJ[Debit])))+(SUM(IF((CRDJ[Account Code]=(TRIM($B14)))*(CRDJ[Date]&lt;=$C$8),CRDJ[Debit])))+(SUM(IF((GJ[Account Code]=(TRIM($B14)))*(GJ[Date]&lt;=$C$8),GJ[Debit]))))</f>
        <v>0</v>
      </c>
      <c r="D14" s="466">
        <f t="array" ref="D14">((SUM(IF((CkDJ[Date]=$A$4)*(CkDJ[Account Code]=(TRIM($B14))),CkDJ[Credit])))+(SUM(IF((CsDJ[Date]=$A$4)*(CsDJ[Account Code]=(TRIM($B14))),CsDJ[Credit])))+(SUM(IF((CRDJ[Date]=$A$4)*(CRDJ[Account Code]=(TRIM($B14))),CRDJ[Credit])))+(SUM(IF((GJ[Date]=$A$4)*(GJ[Account Code]=(TRIM($B14))),GJ[Credit]))))-((SUM(IF((CkDJ[Date]=$A$4)*(CkDJ[Account Code]=(TRIM($B14))),CkDJ[Debit])))+(SUM(IF((CsDJ[Date]=$A$4)*(CsDJ[Account Code]=(TRIM($B14))),CsDJ[Debit])))+(SUM(IF((CRDJ[Date]=$A$4)*(CRDJ[Account Code]=(TRIM($B14))),CRDJ[Debit])))+(SUM(IF((GJ[Date]=$A$4)*(GJ[Account Code]=(TRIM($B14))),GJ[Debit]))))</f>
        <v>0</v>
      </c>
      <c r="E14" s="467">
        <f>C14+D14</f>
        <v>0</v>
      </c>
    </row>
    <row r="15" spans="1:5">
      <c r="A15" s="476" t="s">
        <v>827</v>
      </c>
      <c r="B15" s="339" t="s">
        <v>143</v>
      </c>
      <c r="C15" s="466">
        <f t="array" ref="C15">((SUM(IF((CkDJ[Account Code]=(TRIM($B15)))*(CkDJ[Date]&lt;=$C$8),CkDJ[Credit])))+(SUM(IF((CsDJ[Account Code]=(TRIM($B15)))*(CsDJ[Date]&lt;=$C$8),CsDJ[Credit])))+(SUM(IF((CRDJ[Account Code]=(TRIM($B15)))*(CRDJ[Date]&lt;=$C$8),CRDJ[Credit])))+(SUM(IF((GJ[Account Code]=(TRIM($B15)))*(GJ[Date]&lt;=$C$8),GJ[Credit]))))-((SUM(IF((CkDJ[Account Code]=(TRIM($B15)))*(CkDJ[Date]&lt;=$C$8),CkDJ[Debit])))+(SUM(IF((CsDJ[Account Code]=(TRIM($B15)))*(CsDJ[Date]&lt;=$C$8),CsDJ[Debit])))+(SUM(IF((CRDJ[Account Code]=(TRIM($B15)))*(CRDJ[Date]&lt;=$C$8),CRDJ[Debit])))+(SUM(IF((GJ[Account Code]=(TRIM($B15)))*(GJ[Date]&lt;=$C$8),GJ[Debit]))))</f>
        <v>0</v>
      </c>
      <c r="D15" s="466">
        <f t="array" ref="D15">((SUM(IF((CkDJ[Date]=$A$4)*(CkDJ[Account Code]=(TRIM($B15))),CkDJ[Credit])))+(SUM(IF((CsDJ[Date]=$A$4)*(CsDJ[Account Code]=(TRIM($B15))),CsDJ[Credit])))+(SUM(IF((CRDJ[Date]=$A$4)*(CRDJ[Account Code]=(TRIM($B15))),CRDJ[Credit])))+(SUM(IF((GJ[Date]=$A$4)*(GJ[Account Code]=(TRIM($B15))),GJ[Credit]))))-((SUM(IF((CkDJ[Date]=$A$4)*(CkDJ[Account Code]=(TRIM($B15))),CkDJ[Debit])))+(SUM(IF((CsDJ[Date]=$A$4)*(CsDJ[Account Code]=(TRIM($B15))),CsDJ[Debit])))+(SUM(IF((CRDJ[Date]=$A$4)*(CRDJ[Account Code]=(TRIM($B15))),CRDJ[Debit])))+(SUM(IF((GJ[Date]=$A$4)*(GJ[Account Code]=(TRIM($B15))),GJ[Debit]))))</f>
        <v>0</v>
      </c>
      <c r="E15" s="467">
        <f>C15+D15</f>
        <v>0</v>
      </c>
    </row>
    <row r="16" spans="1:5">
      <c r="A16" s="473" t="s">
        <v>826</v>
      </c>
      <c r="B16" s="339"/>
      <c r="C16" s="477">
        <f>SUM(C17:C19)</f>
        <v>0</v>
      </c>
      <c r="D16" s="477">
        <f>SUM(D17:D19)</f>
        <v>0</v>
      </c>
      <c r="E16" s="477">
        <f>SUM(E17:E19)</f>
        <v>0</v>
      </c>
    </row>
    <row r="17" spans="1:5">
      <c r="A17" s="475" t="s">
        <v>182</v>
      </c>
      <c r="B17" s="339" t="s">
        <v>146</v>
      </c>
      <c r="C17" s="466">
        <f t="array" ref="C17">((SUM(IF((CkDJ[Account Code]=(TRIM($B17)))*(CkDJ[Date]&lt;=$C$8),CkDJ[Credit])))+(SUM(IF((CsDJ[Account Code]=(TRIM($B17)))*(CsDJ[Date]&lt;=$C$8),CsDJ[Credit])))+(SUM(IF((CRDJ[Account Code]=(TRIM($B17)))*(CRDJ[Date]&lt;=$C$8),CRDJ[Credit])))+(SUM(IF((GJ[Account Code]=(TRIM($B17)))*(GJ[Date]&lt;=$C$8),GJ[Credit]))))-((SUM(IF((CkDJ[Account Code]=(TRIM($B17)))*(CkDJ[Date]&lt;=$C$8),CkDJ[Debit])))+(SUM(IF((CsDJ[Account Code]=(TRIM($B17)))*(CsDJ[Date]&lt;=$C$8),CsDJ[Debit])))+(SUM(IF((CRDJ[Account Code]=(TRIM($B17)))*(CRDJ[Date]&lt;=$C$8),CRDJ[Debit])))+(SUM(IF((GJ[Account Code]=(TRIM($B17)))*(GJ[Date]&lt;=$C$8),GJ[Debit]))))</f>
        <v>0</v>
      </c>
      <c r="D17" s="466">
        <f t="array" ref="D17">((SUM(IF((CkDJ[Date]=$A$4)*(CkDJ[Account Code]=(TRIM($B17))),CkDJ[Credit])))+(SUM(IF((CsDJ[Date]=$A$4)*(CsDJ[Account Code]=(TRIM($B17))),CsDJ[Credit])))+(SUM(IF((CRDJ[Date]=$A$4)*(CRDJ[Account Code]=(TRIM($B17))),CRDJ[Credit])))+(SUM(IF((GJ[Date]=$A$4)*(GJ[Account Code]=(TRIM($B17))),GJ[Credit]))))-((SUM(IF((CkDJ[Date]=$A$4)*(CkDJ[Account Code]=(TRIM($B17))),CkDJ[Debit])))+(SUM(IF((CsDJ[Date]=$A$4)*(CsDJ[Account Code]=(TRIM($B17))),CsDJ[Debit])))+(SUM(IF((CRDJ[Date]=$A$4)*(CRDJ[Account Code]=(TRIM($B17))),CRDJ[Debit])))+(SUM(IF((GJ[Date]=$A$4)*(GJ[Account Code]=(TRIM($B17))),GJ[Debit]))))</f>
        <v>0</v>
      </c>
      <c r="E17" s="467">
        <f>C17+D17</f>
        <v>0</v>
      </c>
    </row>
    <row r="18" spans="1:5">
      <c r="A18" s="475" t="s">
        <v>183</v>
      </c>
      <c r="B18" s="339" t="s">
        <v>147</v>
      </c>
      <c r="C18" s="466">
        <f t="array" ref="C18">((SUM(IF((CkDJ[Account Code]=(TRIM($B18)))*(CkDJ[Date]&lt;=$C$8),CkDJ[Credit])))+(SUM(IF((CsDJ[Account Code]=(TRIM($B18)))*(CsDJ[Date]&lt;=$C$8),CsDJ[Credit])))+(SUM(IF((CRDJ[Account Code]=(TRIM($B18)))*(CRDJ[Date]&lt;=$C$8),CRDJ[Credit])))+(SUM(IF((GJ[Account Code]=(TRIM($B18)))*(GJ[Date]&lt;=$C$8),GJ[Credit]))))-((SUM(IF((CkDJ[Account Code]=(TRIM($B18)))*(CkDJ[Date]&lt;=$C$8),CkDJ[Debit])))+(SUM(IF((CsDJ[Account Code]=(TRIM($B18)))*(CsDJ[Date]&lt;=$C$8),CsDJ[Debit])))+(SUM(IF((CRDJ[Account Code]=(TRIM($B18)))*(CRDJ[Date]&lt;=$C$8),CRDJ[Debit])))+(SUM(IF((GJ[Account Code]=(TRIM($B18)))*(GJ[Date]&lt;=$C$8),GJ[Debit]))))</f>
        <v>0</v>
      </c>
      <c r="D18" s="466">
        <f t="array" ref="D18">((SUM(IF((CkDJ[Date]=$A$4)*(CkDJ[Account Code]=(TRIM($B18))),CkDJ[Credit])))+(SUM(IF((CsDJ[Date]=$A$4)*(CsDJ[Account Code]=(TRIM($B18))),CsDJ[Credit])))+(SUM(IF((CRDJ[Date]=$A$4)*(CRDJ[Account Code]=(TRIM($B18))),CRDJ[Credit])))+(SUM(IF((GJ[Date]=$A$4)*(GJ[Account Code]=(TRIM($B18))),GJ[Credit]))))-((SUM(IF((CkDJ[Date]=$A$4)*(CkDJ[Account Code]=(TRIM($B18))),CkDJ[Debit])))+(SUM(IF((CsDJ[Date]=$A$4)*(CsDJ[Account Code]=(TRIM($B18))),CsDJ[Debit])))+(SUM(IF((CRDJ[Date]=$A$4)*(CRDJ[Account Code]=(TRIM($B18))),CRDJ[Debit])))+(SUM(IF((GJ[Date]=$A$4)*(GJ[Account Code]=(TRIM($B18))),GJ[Debit]))))</f>
        <v>0</v>
      </c>
      <c r="E18" s="467">
        <f>C18+D18</f>
        <v>0</v>
      </c>
    </row>
    <row r="19" spans="1:5" hidden="1">
      <c r="A19" s="475" t="s">
        <v>184</v>
      </c>
      <c r="B19" s="339" t="s">
        <v>148</v>
      </c>
      <c r="C19" s="466">
        <f t="array" ref="C19">((SUM(IF((CkDJ[Account Code]=(TRIM($B19)))*(CkDJ[Date]&lt;=$C$8),CkDJ[Credit])))+(SUM(IF((CsDJ[Account Code]=(TRIM($B19)))*(CsDJ[Date]&lt;=$C$8),CsDJ[Credit])))+(SUM(IF((CRDJ[Account Code]=(TRIM($B19)))*(CRDJ[Date]&lt;=$C$8),CRDJ[Credit])))+(SUM(IF((GJ[Account Code]=(TRIM($B19)))*(GJ[Date]&lt;=$C$8),GJ[Credit]))))-((SUM(IF((CkDJ[Account Code]=(TRIM($B19)))*(CkDJ[Date]&lt;=$C$8),CkDJ[Debit])))+(SUM(IF((CsDJ[Account Code]=(TRIM($B19)))*(CsDJ[Date]&lt;=$C$8),CsDJ[Debit])))+(SUM(IF((CRDJ[Account Code]=(TRIM($B19)))*(CRDJ[Date]&lt;=$C$8),CRDJ[Debit])))+(SUM(IF((GJ[Account Code]=(TRIM($B19)))*(GJ[Date]&lt;=$C$8),GJ[Debit]))))</f>
        <v>0</v>
      </c>
      <c r="D19" s="466">
        <f t="array" ref="D19">((SUM(IF((CkDJ[Date]=$A$4)*(CkDJ[Account Code]=(TRIM($B19))),CkDJ[Credit])))+(SUM(IF((CsDJ[Date]=$A$4)*(CsDJ[Account Code]=(TRIM($B19))),CsDJ[Credit])))+(SUM(IF((CRDJ[Date]=$A$4)*(CRDJ[Account Code]=(TRIM($B19))),CRDJ[Credit])))+(SUM(IF((GJ[Date]=$A$4)*(GJ[Account Code]=(TRIM($B19))),GJ[Credit]))))-((SUM(IF((CkDJ[Date]=$A$4)*(CkDJ[Account Code]=(TRIM($B19))),CkDJ[Debit])))+(SUM(IF((CsDJ[Date]=$A$4)*(CsDJ[Account Code]=(TRIM($B19))),CsDJ[Debit])))+(SUM(IF((CRDJ[Date]=$A$4)*(CRDJ[Account Code]=(TRIM($B19))),CRDJ[Debit])))+(SUM(IF((GJ[Date]=$A$4)*(GJ[Account Code]=(TRIM($B19))),GJ[Debit]))))</f>
        <v>0</v>
      </c>
      <c r="E19" s="467">
        <f>C19+D19</f>
        <v>0</v>
      </c>
    </row>
    <row r="20" spans="1:5">
      <c r="A20" s="473" t="s">
        <v>825</v>
      </c>
      <c r="B20" s="339"/>
      <c r="C20" s="477">
        <f>SUM(C21:C22)</f>
        <v>0</v>
      </c>
      <c r="D20" s="477">
        <f>SUM(D21:D22)</f>
        <v>0</v>
      </c>
      <c r="E20" s="477">
        <f>SUM(E21:E22)</f>
        <v>0</v>
      </c>
    </row>
    <row r="21" spans="1:5" hidden="1">
      <c r="A21" s="475" t="s">
        <v>821</v>
      </c>
      <c r="B21" s="339" t="s">
        <v>131</v>
      </c>
      <c r="C21" s="466">
        <f t="array" ref="C21">((SUM(IF((CkDJ[Account Code]=(TRIM($B21)))*(CkDJ[Date]&lt;=$C$8),CkDJ[Credit])))+(SUM(IF((CsDJ[Account Code]=(TRIM($B21)))*(CsDJ[Date]&lt;=$C$8),CsDJ[Credit])))+(SUM(IF((CRDJ[Account Code]=(TRIM($B21)))*(CRDJ[Date]&lt;=$C$8),CRDJ[Credit])))+(SUM(IF((GJ[Account Code]=(TRIM($B21)))*(GJ[Date]&lt;=$C$8),GJ[Credit]))))-((SUM(IF((CkDJ[Account Code]=(TRIM($B21)))*(CkDJ[Date]&lt;=$C$8),CkDJ[Debit])))+(SUM(IF((CsDJ[Account Code]=(TRIM($B21)))*(CsDJ[Date]&lt;=$C$8),CsDJ[Debit])))+(SUM(IF((CRDJ[Account Code]=(TRIM($B21)))*(CRDJ[Date]&lt;=$C$8),CRDJ[Debit])))+(SUM(IF((GJ[Account Code]=(TRIM($B21)))*(GJ[Date]&lt;=$C$8),GJ[Debit]))))</f>
        <v>0</v>
      </c>
      <c r="D21" s="466">
        <f t="array" ref="D21">((SUM(IF((CkDJ[Date]=$A$4)*(CkDJ[Account Code]=(TRIM($B21))),CkDJ[Credit])))+(SUM(IF((CsDJ[Date]=$A$4)*(CsDJ[Account Code]=(TRIM($B21))),CsDJ[Credit])))+(SUM(IF((CRDJ[Date]=$A$4)*(CRDJ[Account Code]=(TRIM($B21))),CRDJ[Credit])))+(SUM(IF((GJ[Date]=$A$4)*(GJ[Account Code]=(TRIM($B21))),GJ[Credit]))))-((SUM(IF((CkDJ[Date]=$A$4)*(CkDJ[Account Code]=(TRIM($B21))),CkDJ[Debit])))+(SUM(IF((CsDJ[Date]=$A$4)*(CsDJ[Account Code]=(TRIM($B21))),CsDJ[Debit])))+(SUM(IF((CRDJ[Date]=$A$4)*(CRDJ[Account Code]=(TRIM($B21))),CRDJ[Debit])))+(SUM(IF((GJ[Date]=$A$4)*(GJ[Account Code]=(TRIM($B21))),GJ[Debit]))))</f>
        <v>0</v>
      </c>
      <c r="E21" s="467">
        <f>C21+D21</f>
        <v>0</v>
      </c>
    </row>
    <row r="22" spans="1:5" hidden="1">
      <c r="A22" s="475" t="s">
        <v>820</v>
      </c>
      <c r="B22" s="339"/>
      <c r="C22" s="466">
        <f>SUM(C23:C24)</f>
        <v>0</v>
      </c>
      <c r="D22" s="466">
        <f>SUM(D23:D24)</f>
        <v>0</v>
      </c>
      <c r="E22" s="466">
        <f>SUM(E23:E24)</f>
        <v>0</v>
      </c>
    </row>
    <row r="23" spans="1:5" hidden="1">
      <c r="A23" s="476" t="s">
        <v>819</v>
      </c>
      <c r="B23" s="339" t="s">
        <v>140</v>
      </c>
      <c r="C23" s="466">
        <f t="array" ref="C23">((SUM(IF((CkDJ[Account Code]=(TRIM($B23)))*(CkDJ[Date]&lt;=$C$8),CkDJ[Credit])))+(SUM(IF((CsDJ[Account Code]=(TRIM($B23)))*(CsDJ[Date]&lt;=$C$8),CsDJ[Credit])))+(SUM(IF((CRDJ[Account Code]=(TRIM($B23)))*(CRDJ[Date]&lt;=$C$8),CRDJ[Credit])))+(SUM(IF((GJ[Account Code]=(TRIM($B23)))*(GJ[Date]&lt;=$C$8),GJ[Credit]))))-((SUM(IF((CkDJ[Account Code]=(TRIM($B23)))*(CkDJ[Date]&lt;=$C$8),CkDJ[Debit])))+(SUM(IF((CsDJ[Account Code]=(TRIM($B23)))*(CsDJ[Date]&lt;=$C$8),CsDJ[Debit])))+(SUM(IF((CRDJ[Account Code]=(TRIM($B23)))*(CRDJ[Date]&lt;=$C$8),CRDJ[Debit])))+(SUM(IF((GJ[Account Code]=(TRIM($B23)))*(GJ[Date]&lt;=$C$8),GJ[Debit]))))</f>
        <v>0</v>
      </c>
      <c r="D23" s="466">
        <f t="array" ref="D23">((SUM(IF((CkDJ[Date]=$A$4)*(CkDJ[Account Code]=(TRIM($B23))),CkDJ[Credit])))+(SUM(IF((CsDJ[Date]=$A$4)*(CsDJ[Account Code]=(TRIM($B23))),CsDJ[Credit])))+(SUM(IF((CRDJ[Date]=$A$4)*(CRDJ[Account Code]=(TRIM($B23))),CRDJ[Credit])))+(SUM(IF((GJ[Date]=$A$4)*(GJ[Account Code]=(TRIM($B23))),GJ[Credit]))))-((SUM(IF((CkDJ[Date]=$A$4)*(CkDJ[Account Code]=(TRIM($B23))),CkDJ[Debit])))+(SUM(IF((CsDJ[Date]=$A$4)*(CsDJ[Account Code]=(TRIM($B23))),CsDJ[Debit])))+(SUM(IF((CRDJ[Date]=$A$4)*(CRDJ[Account Code]=(TRIM($B23))),CRDJ[Debit])))+(SUM(IF((GJ[Date]=$A$4)*(GJ[Account Code]=(TRIM($B23))),GJ[Debit]))))</f>
        <v>0</v>
      </c>
      <c r="E23" s="467">
        <f>C23+D23</f>
        <v>0</v>
      </c>
    </row>
    <row r="24" spans="1:5" hidden="1">
      <c r="A24" s="476" t="s">
        <v>818</v>
      </c>
      <c r="B24" s="339" t="s">
        <v>144</v>
      </c>
      <c r="C24" s="466">
        <f t="array" ref="C24">((SUM(IF((CkDJ[Account Code]=(TRIM($B24)))*(CkDJ[Date]&lt;=$C$8),CkDJ[Credit])))+(SUM(IF((CsDJ[Account Code]=(TRIM($B24)))*(CsDJ[Date]&lt;=$C$8),CsDJ[Credit])))+(SUM(IF((CRDJ[Account Code]=(TRIM($B24)))*(CRDJ[Date]&lt;=$C$8),CRDJ[Credit])))+(SUM(IF((GJ[Account Code]=(TRIM($B24)))*(GJ[Date]&lt;=$C$8),GJ[Credit]))))-((SUM(IF((CkDJ[Account Code]=(TRIM($B24)))*(CkDJ[Date]&lt;=$C$8),CkDJ[Debit])))+(SUM(IF((CsDJ[Account Code]=(TRIM($B24)))*(CsDJ[Date]&lt;=$C$8),CsDJ[Debit])))+(SUM(IF((CRDJ[Account Code]=(TRIM($B24)))*(CRDJ[Date]&lt;=$C$8),CRDJ[Debit])))+(SUM(IF((GJ[Account Code]=(TRIM($B24)))*(GJ[Date]&lt;=$C$8),GJ[Debit]))))</f>
        <v>0</v>
      </c>
      <c r="D24" s="466">
        <f t="array" ref="D24">((SUM(IF((CkDJ[Date]=$A$4)*(CkDJ[Account Code]=(TRIM($B24))),CkDJ[Credit])))+(SUM(IF((CsDJ[Date]=$A$4)*(CsDJ[Account Code]=(TRIM($B24))),CsDJ[Credit])))+(SUM(IF((CRDJ[Date]=$A$4)*(CRDJ[Account Code]=(TRIM($B24))),CRDJ[Credit])))+(SUM(IF((GJ[Date]=$A$4)*(GJ[Account Code]=(TRIM($B24))),GJ[Credit]))))-((SUM(IF((CkDJ[Date]=$A$4)*(CkDJ[Account Code]=(TRIM($B24))),CkDJ[Debit])))+(SUM(IF((CsDJ[Date]=$A$4)*(CsDJ[Account Code]=(TRIM($B24))),CsDJ[Debit])))+(SUM(IF((CRDJ[Date]=$A$4)*(CRDJ[Account Code]=(TRIM($B24))),CRDJ[Debit])))+(SUM(IF((GJ[Date]=$A$4)*(GJ[Account Code]=(TRIM($B24))),GJ[Debit]))))</f>
        <v>0</v>
      </c>
      <c r="E24" s="467">
        <f>C24+D24</f>
        <v>0</v>
      </c>
    </row>
    <row r="25" spans="1:5">
      <c r="A25" s="473" t="s">
        <v>1163</v>
      </c>
      <c r="B25" s="339" t="s">
        <v>352</v>
      </c>
      <c r="C25" s="477">
        <f t="array" ref="C25">((SUM(IF((CkDJ[Account Code]=(TRIM($B25)))*(CkDJ[Date]&lt;=$C$8),CkDJ[Credit])))+(SUM(IF((CsDJ[Account Code]=(TRIM($B25)))*(CsDJ[Date]&lt;=$C$8),CsDJ[Credit])))+(SUM(IF((CRDJ[Account Code]=(TRIM($B25)))*(CRDJ[Date]&lt;=$C$8),CRDJ[Credit])))+(SUM(IF((GJ[Account Code]=(TRIM($B25)))*(GJ[Date]&lt;=$C$8),GJ[Credit]))))-((SUM(IF((CkDJ[Account Code]=(TRIM($B25)))*(CkDJ[Date]&lt;=$C$8),CkDJ[Debit])))+(SUM(IF((CsDJ[Account Code]=(TRIM($B25)))*(CsDJ[Date]&lt;=$C$8),CsDJ[Debit])))+(SUM(IF((CRDJ[Account Code]=(TRIM($B25)))*(CRDJ[Date]&lt;=$C$8),CRDJ[Debit])))+(SUM(IF((GJ[Account Code]=(TRIM($B25)))*(GJ[Date]&lt;=$C$8),GJ[Debit]))))</f>
        <v>0</v>
      </c>
      <c r="D25" s="477">
        <f t="array" ref="D25">((SUM(IF((CkDJ[Date]=$A$4)*(CkDJ[Account Code]=(TRIM($B25))),CkDJ[Credit])))+(SUM(IF((CsDJ[Date]=$A$4)*(CsDJ[Account Code]=(TRIM($B25))),CsDJ[Credit])))+(SUM(IF((CRDJ[Date]=$A$4)*(CRDJ[Account Code]=(TRIM($B25))),CRDJ[Credit])))+(SUM(IF((GJ[Date]=$A$4)*(GJ[Account Code]=(TRIM($B25))),GJ[Credit]))))-((SUM(IF((CkDJ[Date]=$A$4)*(CkDJ[Account Code]=(TRIM($B25))),CkDJ[Debit])))+(SUM(IF((CsDJ[Date]=$A$4)*(CsDJ[Account Code]=(TRIM($B25))),CsDJ[Debit])))+(SUM(IF((CRDJ[Date]=$A$4)*(CRDJ[Account Code]=(TRIM($B25))),CRDJ[Debit])))+(SUM(IF((GJ[Date]=$A$4)*(GJ[Account Code]=(TRIM($B25))),GJ[Debit]))))</f>
        <v>0</v>
      </c>
      <c r="E25" s="478">
        <f>C25+D25</f>
        <v>0</v>
      </c>
    </row>
    <row r="26" spans="1:5">
      <c r="A26" s="473" t="s">
        <v>1164</v>
      </c>
      <c r="B26" s="339"/>
      <c r="C26" s="477">
        <f>SUM(C27:C28)</f>
        <v>0</v>
      </c>
      <c r="D26" s="477">
        <f>SUM(D27:D28)</f>
        <v>0</v>
      </c>
      <c r="E26" s="477">
        <f>SUM(E27:E28)</f>
        <v>0</v>
      </c>
    </row>
    <row r="27" spans="1:5">
      <c r="A27" s="475" t="s">
        <v>821</v>
      </c>
      <c r="B27" s="339" t="s">
        <v>128</v>
      </c>
      <c r="C27" s="466">
        <f t="array" ref="C27">((SUM(IF((CkDJ[Account Code]=(TRIM($B27)))*(CkDJ[Date]&lt;=$C$8),CkDJ[Credit])))+(SUM(IF((CsDJ[Account Code]=(TRIM($B27)))*(CsDJ[Date]&lt;=$C$8),CsDJ[Credit])))+(SUM(IF((CRDJ[Account Code]=(TRIM($B27)))*(CRDJ[Date]&lt;=$C$8),CRDJ[Credit])))+(SUM(IF((GJ[Account Code]=(TRIM($B27)))*(GJ[Date]&lt;=$C$8),GJ[Credit]))))-((SUM(IF((CkDJ[Account Code]=(TRIM($B27)))*(CkDJ[Date]&lt;=$C$8),CkDJ[Debit])))+(SUM(IF((CsDJ[Account Code]=(TRIM($B27)))*(CsDJ[Date]&lt;=$C$8),CsDJ[Debit])))+(SUM(IF((CRDJ[Account Code]=(TRIM($B27)))*(CRDJ[Date]&lt;=$C$8),CRDJ[Debit])))+(SUM(IF((GJ[Account Code]=(TRIM($B27)))*(GJ[Date]&lt;=$C$8),GJ[Debit]))))</f>
        <v>0</v>
      </c>
      <c r="D27" s="466">
        <f t="array" ref="D27">((SUM(IF((CkDJ[Date]=$A$4)*(CkDJ[Account Code]=(TRIM($B27))),CkDJ[Credit])))+(SUM(IF((CsDJ[Date]=$A$4)*(CsDJ[Account Code]=(TRIM($B27))),CsDJ[Credit])))+(SUM(IF((CRDJ[Date]=$A$4)*(CRDJ[Account Code]=(TRIM($B27))),CRDJ[Credit])))+(SUM(IF((GJ[Date]=$A$4)*(GJ[Account Code]=(TRIM($B27))),GJ[Credit]))))-((SUM(IF((CkDJ[Date]=$A$4)*(CkDJ[Account Code]=(TRIM($B27))),CkDJ[Debit])))+(SUM(IF((CsDJ[Date]=$A$4)*(CsDJ[Account Code]=(TRIM($B27))),CsDJ[Debit])))+(SUM(IF((CRDJ[Date]=$A$4)*(CRDJ[Account Code]=(TRIM($B27))),CRDJ[Debit])))+(SUM(IF((GJ[Date]=$A$4)*(GJ[Account Code]=(TRIM($B27))),GJ[Debit]))))</f>
        <v>0</v>
      </c>
      <c r="E27" s="467">
        <f>C27+D27</f>
        <v>0</v>
      </c>
    </row>
    <row r="28" spans="1:5">
      <c r="A28" s="475" t="s">
        <v>820</v>
      </c>
      <c r="B28" s="339"/>
      <c r="C28" s="466">
        <f>SUM(C29:C30)</f>
        <v>0</v>
      </c>
      <c r="D28" s="466">
        <f>SUM(D29:D30)</f>
        <v>0</v>
      </c>
      <c r="E28" s="466">
        <f>SUM(E29:E30)</f>
        <v>0</v>
      </c>
    </row>
    <row r="29" spans="1:5" hidden="1">
      <c r="A29" s="476" t="s">
        <v>819</v>
      </c>
      <c r="B29" s="339" t="s">
        <v>129</v>
      </c>
      <c r="C29" s="466">
        <f t="array" ref="C29">((SUM(IF((CkDJ[Account Code]=(TRIM($B29)))*(CkDJ[Date]&lt;=$C$8),CkDJ[Credit])))+(SUM(IF((CsDJ[Account Code]=(TRIM($B29)))*(CsDJ[Date]&lt;=$C$8),CsDJ[Credit])))+(SUM(IF((CRDJ[Account Code]=(TRIM($B29)))*(CRDJ[Date]&lt;=$C$8),CRDJ[Credit])))+(SUM(IF((GJ[Account Code]=(TRIM($B29)))*(GJ[Date]&lt;=$C$8),GJ[Credit]))))-((SUM(IF((CkDJ[Account Code]=(TRIM($B29)))*(CkDJ[Date]&lt;=$C$8),CkDJ[Debit])))+(SUM(IF((CsDJ[Account Code]=(TRIM($B29)))*(CsDJ[Date]&lt;=$C$8),CsDJ[Debit])))+(SUM(IF((CRDJ[Account Code]=(TRIM($B29)))*(CRDJ[Date]&lt;=$C$8),CRDJ[Debit])))+(SUM(IF((GJ[Account Code]=(TRIM($B29)))*(GJ[Date]&lt;=$C$8),GJ[Debit]))))</f>
        <v>0</v>
      </c>
      <c r="D29" s="466">
        <f t="array" ref="D29">((SUM(IF((CkDJ[Date]=$A$4)*(CkDJ[Account Code]=(TRIM($B29))),CkDJ[Credit])))+(SUM(IF((CsDJ[Date]=$A$4)*(CsDJ[Account Code]=(TRIM($B29))),CsDJ[Credit])))+(SUM(IF((CRDJ[Date]=$A$4)*(CRDJ[Account Code]=(TRIM($B29))),CRDJ[Credit])))+(SUM(IF((GJ[Date]=$A$4)*(GJ[Account Code]=(TRIM($B29))),GJ[Credit]))))-((SUM(IF((CkDJ[Date]=$A$4)*(CkDJ[Account Code]=(TRIM($B29))),CkDJ[Debit])))+(SUM(IF((CsDJ[Date]=$A$4)*(CsDJ[Account Code]=(TRIM($B29))),CsDJ[Debit])))+(SUM(IF((CRDJ[Date]=$A$4)*(CRDJ[Account Code]=(TRIM($B29))),CRDJ[Debit])))+(SUM(IF((GJ[Date]=$A$4)*(GJ[Account Code]=(TRIM($B29))),GJ[Debit]))))</f>
        <v>0</v>
      </c>
      <c r="E29" s="467">
        <f>C29+D29</f>
        <v>0</v>
      </c>
    </row>
    <row r="30" spans="1:5" hidden="1">
      <c r="A30" s="476" t="s">
        <v>818</v>
      </c>
      <c r="B30" s="339" t="s">
        <v>145</v>
      </c>
      <c r="C30" s="466">
        <f t="array" ref="C30">((SUM(IF((CkDJ[Account Code]=(TRIM($B30)))*(CkDJ[Date]&lt;=$C$8),CkDJ[Credit])))+(SUM(IF((CsDJ[Account Code]=(TRIM($B30)))*(CsDJ[Date]&lt;=$C$8),CsDJ[Credit])))+(SUM(IF((CRDJ[Account Code]=(TRIM($B30)))*(CRDJ[Date]&lt;=$C$8),CRDJ[Credit])))+(SUM(IF((GJ[Account Code]=(TRIM($B30)))*(GJ[Date]&lt;=$C$8),GJ[Credit]))))-((SUM(IF((CkDJ[Account Code]=(TRIM($B30)))*(CkDJ[Date]&lt;=$C$8),CkDJ[Debit])))+(SUM(IF((CsDJ[Account Code]=(TRIM($B30)))*(CsDJ[Date]&lt;=$C$8),CsDJ[Debit])))+(SUM(IF((CRDJ[Account Code]=(TRIM($B30)))*(CRDJ[Date]&lt;=$C$8),CRDJ[Debit])))+(SUM(IF((GJ[Account Code]=(TRIM($B30)))*(GJ[Date]&lt;=$C$8),GJ[Debit]))))</f>
        <v>0</v>
      </c>
      <c r="D30" s="466">
        <f t="array" ref="D30">((SUM(IF((CkDJ[Date]=$A$4)*(CkDJ[Account Code]=(TRIM($B30))),CkDJ[Credit])))+(SUM(IF((CsDJ[Date]=$A$4)*(CsDJ[Account Code]=(TRIM($B30))),CsDJ[Credit])))+(SUM(IF((CRDJ[Date]=$A$4)*(CRDJ[Account Code]=(TRIM($B30))),CRDJ[Credit])))+(SUM(IF((GJ[Date]=$A$4)*(GJ[Account Code]=(TRIM($B30))),GJ[Credit]))))-((SUM(IF((CkDJ[Date]=$A$4)*(CkDJ[Account Code]=(TRIM($B30))),CkDJ[Debit])))+(SUM(IF((CsDJ[Date]=$A$4)*(CsDJ[Account Code]=(TRIM($B30))),CsDJ[Debit])))+(SUM(IF((CRDJ[Date]=$A$4)*(CRDJ[Account Code]=(TRIM($B30))),CRDJ[Debit])))+(SUM(IF((GJ[Date]=$A$4)*(GJ[Account Code]=(TRIM($B30))),GJ[Debit]))))</f>
        <v>0</v>
      </c>
      <c r="E30" s="467">
        <f>C30+D30</f>
        <v>0</v>
      </c>
    </row>
    <row r="31" spans="1:5">
      <c r="A31" s="473" t="s">
        <v>1165</v>
      </c>
      <c r="B31" s="339"/>
      <c r="C31" s="477">
        <f>SUM(C32:C34)</f>
        <v>0</v>
      </c>
      <c r="D31" s="477">
        <f>SUM(D32:D34)</f>
        <v>0</v>
      </c>
      <c r="E31" s="477">
        <f>SUM(E32:E34)</f>
        <v>0</v>
      </c>
    </row>
    <row r="32" spans="1:5">
      <c r="A32" s="475" t="s">
        <v>139</v>
      </c>
      <c r="B32" s="339" t="s">
        <v>130</v>
      </c>
      <c r="C32" s="466">
        <f t="array" ref="C32">((SUM(IF((CkDJ[Account Code]=(TRIM($B32)))*(CkDJ[Date]&lt;=$C$8),CkDJ[Credit])))+(SUM(IF((CsDJ[Account Code]=(TRIM($B32)))*(CsDJ[Date]&lt;=$C$8),CsDJ[Credit])))+(SUM(IF((CRDJ[Account Code]=(TRIM($B32)))*(CRDJ[Date]&lt;=$C$8),CRDJ[Credit])))+(SUM(IF((GJ[Account Code]=(TRIM($B32)))*(GJ[Date]&lt;=$C$8),GJ[Credit]))))-((SUM(IF((CkDJ[Account Code]=(TRIM($B32)))*(CkDJ[Date]&lt;=$C$8),CkDJ[Debit])))+(SUM(IF((CsDJ[Account Code]=(TRIM($B32)))*(CsDJ[Date]&lt;=$C$8),CsDJ[Debit])))+(SUM(IF((CRDJ[Account Code]=(TRIM($B32)))*(CRDJ[Date]&lt;=$C$8),CRDJ[Debit])))+(SUM(IF((GJ[Account Code]=(TRIM($B32)))*(GJ[Date]&lt;=$C$8),GJ[Debit]))))</f>
        <v>0</v>
      </c>
      <c r="D32" s="466">
        <f t="array" ref="D32">((SUM(IF((CkDJ[Date]=$A$4)*(CkDJ[Account Code]=(TRIM($B32))),CkDJ[Credit])))+(SUM(IF((CsDJ[Date]=$A$4)*(CsDJ[Account Code]=(TRIM($B32))),CsDJ[Credit])))+(SUM(IF((CRDJ[Date]=$A$4)*(CRDJ[Account Code]=(TRIM($B32))),CRDJ[Credit])))+(SUM(IF((GJ[Date]=$A$4)*(GJ[Account Code]=(TRIM($B32))),GJ[Credit]))))-((SUM(IF((CkDJ[Date]=$A$4)*(CkDJ[Account Code]=(TRIM($B32))),CkDJ[Debit])))+(SUM(IF((CsDJ[Date]=$A$4)*(CsDJ[Account Code]=(TRIM($B32))),CsDJ[Debit])))+(SUM(IF((CRDJ[Date]=$A$4)*(CRDJ[Account Code]=(TRIM($B32))),CRDJ[Debit])))+(SUM(IF((GJ[Date]=$A$4)*(GJ[Account Code]=(TRIM($B32))),GJ[Debit]))))</f>
        <v>0</v>
      </c>
      <c r="E32" s="467">
        <f>C32+D32</f>
        <v>0</v>
      </c>
    </row>
    <row r="33" spans="1:5">
      <c r="A33" s="475" t="s">
        <v>180</v>
      </c>
      <c r="B33" s="339" t="s">
        <v>141</v>
      </c>
      <c r="C33" s="466">
        <f t="array" ref="C33">((SUM(IF((CkDJ[Account Code]=(TRIM($B33)))*(CkDJ[Date]&lt;=$C$8),CkDJ[Credit])))+(SUM(IF((CsDJ[Account Code]=(TRIM($B33)))*(CsDJ[Date]&lt;=$C$8),CsDJ[Credit])))+(SUM(IF((CRDJ[Account Code]=(TRIM($B33)))*(CRDJ[Date]&lt;=$C$8),CRDJ[Credit])))+(SUM(IF((GJ[Account Code]=(TRIM($B33)))*(GJ[Date]&lt;=$C$8),GJ[Credit]))))-((SUM(IF((CkDJ[Account Code]=(TRIM($B33)))*(CkDJ[Date]&lt;=$C$8),CkDJ[Debit])))+(SUM(IF((CsDJ[Account Code]=(TRIM($B33)))*(CsDJ[Date]&lt;=$C$8),CsDJ[Debit])))+(SUM(IF((CRDJ[Account Code]=(TRIM($B33)))*(CRDJ[Date]&lt;=$C$8),CRDJ[Debit])))+(SUM(IF((GJ[Account Code]=(TRIM($B33)))*(GJ[Date]&lt;=$C$8),GJ[Debit]))))</f>
        <v>0</v>
      </c>
      <c r="D33" s="466">
        <f t="array" ref="D33">((SUM(IF((CkDJ[Date]=$A$4)*(CkDJ[Account Code]=(TRIM($B33))),CkDJ[Credit])))+(SUM(IF((CsDJ[Date]=$A$4)*(CsDJ[Account Code]=(TRIM($B33))),CsDJ[Credit])))+(SUM(IF((CRDJ[Date]=$A$4)*(CRDJ[Account Code]=(TRIM($B33))),CRDJ[Credit])))+(SUM(IF((GJ[Date]=$A$4)*(GJ[Account Code]=(TRIM($B33))),GJ[Credit]))))-((SUM(IF((CkDJ[Date]=$A$4)*(CkDJ[Account Code]=(TRIM($B33))),CkDJ[Debit])))+(SUM(IF((CsDJ[Date]=$A$4)*(CsDJ[Account Code]=(TRIM($B33))),CsDJ[Debit])))+(SUM(IF((CRDJ[Date]=$A$4)*(CRDJ[Account Code]=(TRIM($B33))),CRDJ[Debit])))+(SUM(IF((GJ[Date]=$A$4)*(GJ[Account Code]=(TRIM($B33))),GJ[Debit]))))</f>
        <v>0</v>
      </c>
      <c r="E33" s="467">
        <f>C33+D33</f>
        <v>0</v>
      </c>
    </row>
    <row r="34" spans="1:5">
      <c r="A34" s="475" t="s">
        <v>181</v>
      </c>
      <c r="B34" s="339" t="s">
        <v>142</v>
      </c>
      <c r="C34" s="466">
        <f t="array" ref="C34">((SUM(IF((CkDJ[Account Code]=(TRIM($B34)))*(CkDJ[Date]&lt;=$C$8),CkDJ[Credit])))+(SUM(IF((CsDJ[Account Code]=(TRIM($B34)))*(CsDJ[Date]&lt;=$C$8),CsDJ[Credit])))+(SUM(IF((CRDJ[Account Code]=(TRIM($B34)))*(CRDJ[Date]&lt;=$C$8),CRDJ[Credit])))+(SUM(IF((GJ[Account Code]=(TRIM($B34)))*(GJ[Date]&lt;=$C$8),GJ[Credit]))))-((SUM(IF((CkDJ[Account Code]=(TRIM($B34)))*(CkDJ[Date]&lt;=$C$8),CkDJ[Debit])))+(SUM(IF((CsDJ[Account Code]=(TRIM($B34)))*(CsDJ[Date]&lt;=$C$8),CsDJ[Debit])))+(SUM(IF((CRDJ[Account Code]=(TRIM($B34)))*(CRDJ[Date]&lt;=$C$8),CRDJ[Debit])))+(SUM(IF((GJ[Account Code]=(TRIM($B34)))*(GJ[Date]&lt;=$C$8),GJ[Debit]))))</f>
        <v>0</v>
      </c>
      <c r="D34" s="466">
        <f t="array" ref="D34">((SUM(IF((CkDJ[Date]=$A$4)*(CkDJ[Account Code]=(TRIM($B34))),CkDJ[Credit])))+(SUM(IF((CsDJ[Date]=$A$4)*(CsDJ[Account Code]=(TRIM($B34))),CsDJ[Credit])))+(SUM(IF((CRDJ[Date]=$A$4)*(CRDJ[Account Code]=(TRIM($B34))),CRDJ[Credit])))+(SUM(IF((GJ[Date]=$A$4)*(GJ[Account Code]=(TRIM($B34))),GJ[Credit]))))-((SUM(IF((CkDJ[Date]=$A$4)*(CkDJ[Account Code]=(TRIM($B34))),CkDJ[Debit])))+(SUM(IF((CsDJ[Date]=$A$4)*(CsDJ[Account Code]=(TRIM($B34))),CsDJ[Debit])))+(SUM(IF((CRDJ[Date]=$A$4)*(CRDJ[Account Code]=(TRIM($B34))),CRDJ[Debit])))+(SUM(IF((GJ[Date]=$A$4)*(GJ[Account Code]=(TRIM($B34))),GJ[Debit]))))</f>
        <v>0</v>
      </c>
      <c r="E34" s="467">
        <f>C34+D34</f>
        <v>0</v>
      </c>
    </row>
    <row r="35" spans="1:5">
      <c r="A35" s="473" t="s">
        <v>1166</v>
      </c>
      <c r="B35" s="339"/>
      <c r="C35" s="477">
        <f>SUM(C36:C44)</f>
        <v>0</v>
      </c>
      <c r="D35" s="477">
        <f>SUM(D36:D44)</f>
        <v>0</v>
      </c>
      <c r="E35" s="477">
        <f>SUM(E36:E44)</f>
        <v>0</v>
      </c>
    </row>
    <row r="36" spans="1:5">
      <c r="A36" s="475" t="s">
        <v>186</v>
      </c>
      <c r="B36" s="339" t="s">
        <v>150</v>
      </c>
      <c r="C36" s="466">
        <f t="array" ref="C36">((SUM(IF((CkDJ[Account Code]=(TRIM($B36)))*(CkDJ[Date]&lt;=$C$8),CkDJ[Credit])))+(SUM(IF((CsDJ[Account Code]=(TRIM($B36)))*(CsDJ[Date]&lt;=$C$8),CsDJ[Credit])))+(SUM(IF((CRDJ[Account Code]=(TRIM($B36)))*(CRDJ[Date]&lt;=$C$8),CRDJ[Credit])))+(SUM(IF((GJ[Account Code]=(TRIM($B36)))*(GJ[Date]&lt;=$C$8),GJ[Credit]))))-((SUM(IF((CkDJ[Account Code]=(TRIM($B36)))*(CkDJ[Date]&lt;=$C$8),CkDJ[Debit])))+(SUM(IF((CsDJ[Account Code]=(TRIM($B36)))*(CsDJ[Date]&lt;=$C$8),CsDJ[Debit])))+(SUM(IF((CRDJ[Account Code]=(TRIM($B36)))*(CRDJ[Date]&lt;=$C$8),CRDJ[Debit])))+(SUM(IF((GJ[Account Code]=(TRIM($B36)))*(GJ[Date]&lt;=$C$8),GJ[Debit]))))</f>
        <v>0</v>
      </c>
      <c r="D36" s="466">
        <f t="array" ref="D36">((SUM(IF((CkDJ[Date]=$A$4)*(CkDJ[Account Code]=(TRIM($B36))),CkDJ[Credit])))+(SUM(IF((CsDJ[Date]=$A$4)*(CsDJ[Account Code]=(TRIM($B36))),CsDJ[Credit])))+(SUM(IF((CRDJ[Date]=$A$4)*(CRDJ[Account Code]=(TRIM($B36))),CRDJ[Credit])))+(SUM(IF((GJ[Date]=$A$4)*(GJ[Account Code]=(TRIM($B36))),GJ[Credit]))))-((SUM(IF((CkDJ[Date]=$A$4)*(CkDJ[Account Code]=(TRIM($B36))),CkDJ[Debit])))+(SUM(IF((CsDJ[Date]=$A$4)*(CsDJ[Account Code]=(TRIM($B36))),CsDJ[Debit])))+(SUM(IF((CRDJ[Date]=$A$4)*(CRDJ[Account Code]=(TRIM($B36))),CRDJ[Debit])))+(SUM(IF((GJ[Date]=$A$4)*(GJ[Account Code]=(TRIM($B36))),GJ[Debit]))))</f>
        <v>0</v>
      </c>
      <c r="E36" s="467">
        <f t="shared" ref="E36:E44" si="0">C36+D36</f>
        <v>0</v>
      </c>
    </row>
    <row r="37" spans="1:5">
      <c r="A37" s="475" t="s">
        <v>187</v>
      </c>
      <c r="B37" s="339" t="s">
        <v>153</v>
      </c>
      <c r="C37" s="466">
        <f t="array" ref="C37">((SUM(IF((CkDJ[Account Code]=(TRIM($B37)))*(CkDJ[Date]&lt;=$C$8),CkDJ[Credit])))+(SUM(IF((CsDJ[Account Code]=(TRIM($B37)))*(CsDJ[Date]&lt;=$C$8),CsDJ[Credit])))+(SUM(IF((CRDJ[Account Code]=(TRIM($B37)))*(CRDJ[Date]&lt;=$C$8),CRDJ[Credit])))+(SUM(IF((GJ[Account Code]=(TRIM($B37)))*(GJ[Date]&lt;=$C$8),GJ[Credit]))))-((SUM(IF((CkDJ[Account Code]=(TRIM($B37)))*(CkDJ[Date]&lt;=$C$8),CkDJ[Debit])))+(SUM(IF((CsDJ[Account Code]=(TRIM($B37)))*(CsDJ[Date]&lt;=$C$8),CsDJ[Debit])))+(SUM(IF((CRDJ[Account Code]=(TRIM($B37)))*(CRDJ[Date]&lt;=$C$8),CRDJ[Debit])))+(SUM(IF((GJ[Account Code]=(TRIM($B37)))*(GJ[Date]&lt;=$C$8),GJ[Debit]))))</f>
        <v>0</v>
      </c>
      <c r="D37" s="466">
        <f t="array" ref="D37">((SUM(IF((CkDJ[Date]=$A$4)*(CkDJ[Account Code]=(TRIM($B37))),CkDJ[Credit])))+(SUM(IF((CsDJ[Date]=$A$4)*(CsDJ[Account Code]=(TRIM($B37))),CsDJ[Credit])))+(SUM(IF((CRDJ[Date]=$A$4)*(CRDJ[Account Code]=(TRIM($B37))),CRDJ[Credit])))+(SUM(IF((GJ[Date]=$A$4)*(GJ[Account Code]=(TRIM($B37))),GJ[Credit]))))-((SUM(IF((CkDJ[Date]=$A$4)*(CkDJ[Account Code]=(TRIM($B37))),CkDJ[Debit])))+(SUM(IF((CsDJ[Date]=$A$4)*(CsDJ[Account Code]=(TRIM($B37))),CsDJ[Debit])))+(SUM(IF((CRDJ[Date]=$A$4)*(CRDJ[Account Code]=(TRIM($B37))),CRDJ[Debit])))+(SUM(IF((GJ[Date]=$A$4)*(GJ[Account Code]=(TRIM($B37))),GJ[Debit]))))</f>
        <v>0</v>
      </c>
      <c r="E37" s="467">
        <f t="shared" si="0"/>
        <v>0</v>
      </c>
    </row>
    <row r="38" spans="1:5">
      <c r="A38" s="475" t="s">
        <v>188</v>
      </c>
      <c r="B38" s="339" t="s">
        <v>154</v>
      </c>
      <c r="C38" s="466">
        <f t="array" ref="C38">((SUM(IF((CkDJ[Account Code]=(TRIM($B38)))*(CkDJ[Date]&lt;=$C$8),CkDJ[Credit])))+(SUM(IF((CsDJ[Account Code]=(TRIM($B38)))*(CsDJ[Date]&lt;=$C$8),CsDJ[Credit])))+(SUM(IF((CRDJ[Account Code]=(TRIM($B38)))*(CRDJ[Date]&lt;=$C$8),CRDJ[Credit])))+(SUM(IF((GJ[Account Code]=(TRIM($B38)))*(GJ[Date]&lt;=$C$8),GJ[Credit]))))-((SUM(IF((CkDJ[Account Code]=(TRIM($B38)))*(CkDJ[Date]&lt;=$C$8),CkDJ[Debit])))+(SUM(IF((CsDJ[Account Code]=(TRIM($B38)))*(CsDJ[Date]&lt;=$C$8),CsDJ[Debit])))+(SUM(IF((CRDJ[Account Code]=(TRIM($B38)))*(CRDJ[Date]&lt;=$C$8),CRDJ[Debit])))+(SUM(IF((GJ[Account Code]=(TRIM($B38)))*(GJ[Date]&lt;=$C$8),GJ[Debit]))))</f>
        <v>0</v>
      </c>
      <c r="D38" s="466">
        <f t="array" ref="D38">((SUM(IF((CkDJ[Date]=$A$4)*(CkDJ[Account Code]=(TRIM($B38))),CkDJ[Credit])))+(SUM(IF((CsDJ[Date]=$A$4)*(CsDJ[Account Code]=(TRIM($B38))),CsDJ[Credit])))+(SUM(IF((CRDJ[Date]=$A$4)*(CRDJ[Account Code]=(TRIM($B38))),CRDJ[Credit])))+(SUM(IF((GJ[Date]=$A$4)*(GJ[Account Code]=(TRIM($B38))),GJ[Credit]))))-((SUM(IF((CkDJ[Date]=$A$4)*(CkDJ[Account Code]=(TRIM($B38))),CkDJ[Debit])))+(SUM(IF((CsDJ[Date]=$A$4)*(CsDJ[Account Code]=(TRIM($B38))),CsDJ[Debit])))+(SUM(IF((CRDJ[Date]=$A$4)*(CRDJ[Account Code]=(TRIM($B38))),CRDJ[Debit])))+(SUM(IF((GJ[Date]=$A$4)*(GJ[Account Code]=(TRIM($B38))),GJ[Debit]))))</f>
        <v>0</v>
      </c>
      <c r="E38" s="467">
        <f t="shared" si="0"/>
        <v>0</v>
      </c>
    </row>
    <row r="39" spans="1:5">
      <c r="A39" s="475" t="s">
        <v>189</v>
      </c>
      <c r="B39" s="339" t="s">
        <v>155</v>
      </c>
      <c r="C39" s="466">
        <f t="array" ref="C39">((SUM(IF((CkDJ[Account Code]=(TRIM($B39)))*(CkDJ[Date]&lt;=$C$8),CkDJ[Credit])))+(SUM(IF((CsDJ[Account Code]=(TRIM($B39)))*(CsDJ[Date]&lt;=$C$8),CsDJ[Credit])))+(SUM(IF((CRDJ[Account Code]=(TRIM($B39)))*(CRDJ[Date]&lt;=$C$8),CRDJ[Credit])))+(SUM(IF((GJ[Account Code]=(TRIM($B39)))*(GJ[Date]&lt;=$C$8),GJ[Credit]))))-((SUM(IF((CkDJ[Account Code]=(TRIM($B39)))*(CkDJ[Date]&lt;=$C$8),CkDJ[Debit])))+(SUM(IF((CsDJ[Account Code]=(TRIM($B39)))*(CsDJ[Date]&lt;=$C$8),CsDJ[Debit])))+(SUM(IF((CRDJ[Account Code]=(TRIM($B39)))*(CRDJ[Date]&lt;=$C$8),CRDJ[Debit])))+(SUM(IF((GJ[Account Code]=(TRIM($B39)))*(GJ[Date]&lt;=$C$8),GJ[Debit]))))</f>
        <v>0</v>
      </c>
      <c r="D39" s="466">
        <f t="array" ref="D39">((SUM(IF((CkDJ[Date]=$A$4)*(CkDJ[Account Code]=(TRIM($B39))),CkDJ[Credit])))+(SUM(IF((CsDJ[Date]=$A$4)*(CsDJ[Account Code]=(TRIM($B39))),CsDJ[Credit])))+(SUM(IF((CRDJ[Date]=$A$4)*(CRDJ[Account Code]=(TRIM($B39))),CRDJ[Credit])))+(SUM(IF((GJ[Date]=$A$4)*(GJ[Account Code]=(TRIM($B39))),GJ[Credit]))))-((SUM(IF((CkDJ[Date]=$A$4)*(CkDJ[Account Code]=(TRIM($B39))),CkDJ[Debit])))+(SUM(IF((CsDJ[Date]=$A$4)*(CsDJ[Account Code]=(TRIM($B39))),CsDJ[Debit])))+(SUM(IF((CRDJ[Date]=$A$4)*(CRDJ[Account Code]=(TRIM($B39))),CRDJ[Debit])))+(SUM(IF((GJ[Date]=$A$4)*(GJ[Account Code]=(TRIM($B39))),GJ[Debit]))))</f>
        <v>0</v>
      </c>
      <c r="E39" s="467">
        <f t="shared" si="0"/>
        <v>0</v>
      </c>
    </row>
    <row r="40" spans="1:5">
      <c r="A40" s="475" t="s">
        <v>1271</v>
      </c>
      <c r="B40" s="339" t="s">
        <v>156</v>
      </c>
      <c r="C40" s="466">
        <f t="array" ref="C40">((SUM(IF((CkDJ[Account Code]=(TRIM($B40)))*(CkDJ[Date]&lt;=$C$8),CkDJ[Credit])))+(SUM(IF((CsDJ[Account Code]=(TRIM($B40)))*(CsDJ[Date]&lt;=$C$8),CsDJ[Credit])))+(SUM(IF((CRDJ[Account Code]=(TRIM($B40)))*(CRDJ[Date]&lt;=$C$8),CRDJ[Credit])))+(SUM(IF((GJ[Account Code]=(TRIM($B40)))*(GJ[Date]&lt;=$C$8),GJ[Credit]))))-((SUM(IF((CkDJ[Account Code]=(TRIM($B40)))*(CkDJ[Date]&lt;=$C$8),CkDJ[Debit])))+(SUM(IF((CsDJ[Account Code]=(TRIM($B40)))*(CsDJ[Date]&lt;=$C$8),CsDJ[Debit])))+(SUM(IF((CRDJ[Account Code]=(TRIM($B40)))*(CRDJ[Date]&lt;=$C$8),CRDJ[Debit])))+(SUM(IF((GJ[Account Code]=(TRIM($B40)))*(GJ[Date]&lt;=$C$8),GJ[Debit]))))</f>
        <v>0</v>
      </c>
      <c r="D40" s="466">
        <f t="array" ref="D40">((SUM(IF((CkDJ[Date]=$A$4)*(CkDJ[Account Code]=(TRIM($B40))),CkDJ[Credit])))+(SUM(IF((CsDJ[Date]=$A$4)*(CsDJ[Account Code]=(TRIM($B40))),CsDJ[Credit])))+(SUM(IF((CRDJ[Date]=$A$4)*(CRDJ[Account Code]=(TRIM($B40))),CRDJ[Credit])))+(SUM(IF((GJ[Date]=$A$4)*(GJ[Account Code]=(TRIM($B40))),GJ[Credit]))))-((SUM(IF((CkDJ[Date]=$A$4)*(CkDJ[Account Code]=(TRIM($B40))),CkDJ[Debit])))+(SUM(IF((CsDJ[Date]=$A$4)*(CsDJ[Account Code]=(TRIM($B40))),CsDJ[Debit])))+(SUM(IF((CRDJ[Date]=$A$4)*(CRDJ[Account Code]=(TRIM($B40))),CRDJ[Debit])))+(SUM(IF((GJ[Date]=$A$4)*(GJ[Account Code]=(TRIM($B40))),GJ[Debit]))))</f>
        <v>0</v>
      </c>
      <c r="E40" s="467">
        <f>C40+D40</f>
        <v>0</v>
      </c>
    </row>
    <row r="41" spans="1:5">
      <c r="A41" s="475" t="s">
        <v>190</v>
      </c>
      <c r="B41" s="339" t="s">
        <v>157</v>
      </c>
      <c r="C41" s="466">
        <f t="array" ref="C41">((SUM(IF((CkDJ[Account Code]=(TRIM($B41)))*(CkDJ[Date]&lt;=$C$8),CkDJ[Credit])))+(SUM(IF((CsDJ[Account Code]=(TRIM($B41)))*(CsDJ[Date]&lt;=$C$8),CsDJ[Credit])))+(SUM(IF((CRDJ[Account Code]=(TRIM($B41)))*(CRDJ[Date]&lt;=$C$8),CRDJ[Credit])))+(SUM(IF((GJ[Account Code]=(TRIM($B41)))*(GJ[Date]&lt;=$C$8),GJ[Credit]))))-((SUM(IF((CkDJ[Account Code]=(TRIM($B41)))*(CkDJ[Date]&lt;=$C$8),CkDJ[Debit])))+(SUM(IF((CsDJ[Account Code]=(TRIM($B41)))*(CsDJ[Date]&lt;=$C$8),CsDJ[Debit])))+(SUM(IF((CRDJ[Account Code]=(TRIM($B41)))*(CRDJ[Date]&lt;=$C$8),CRDJ[Debit])))+(SUM(IF((GJ[Account Code]=(TRIM($B41)))*(GJ[Date]&lt;=$C$8),GJ[Debit]))))</f>
        <v>0</v>
      </c>
      <c r="D41" s="466">
        <f t="array" ref="D41">((SUM(IF((CkDJ[Date]=$A$4)*(CkDJ[Account Code]=(TRIM($B41))),CkDJ[Credit])))+(SUM(IF((CsDJ[Date]=$A$4)*(CsDJ[Account Code]=(TRIM($B41))),CsDJ[Credit])))+(SUM(IF((CRDJ[Date]=$A$4)*(CRDJ[Account Code]=(TRIM($B41))),CRDJ[Credit])))+(SUM(IF((GJ[Date]=$A$4)*(GJ[Account Code]=(TRIM($B41))),GJ[Credit]))))-((SUM(IF((CkDJ[Date]=$A$4)*(CkDJ[Account Code]=(TRIM($B41))),CkDJ[Debit])))+(SUM(IF((CsDJ[Date]=$A$4)*(CsDJ[Account Code]=(TRIM($B41))),CsDJ[Debit])))+(SUM(IF((CRDJ[Date]=$A$4)*(CRDJ[Account Code]=(TRIM($B41))),CRDJ[Debit])))+(SUM(IF((GJ[Date]=$A$4)*(GJ[Account Code]=(TRIM($B41))),GJ[Debit]))))</f>
        <v>0</v>
      </c>
      <c r="E41" s="467">
        <f t="shared" si="0"/>
        <v>0</v>
      </c>
    </row>
    <row r="42" spans="1:5">
      <c r="A42" s="475" t="s">
        <v>192</v>
      </c>
      <c r="B42" s="339" t="s">
        <v>159</v>
      </c>
      <c r="C42" s="466">
        <f t="array" ref="C42">((SUM(IF((CkDJ[Account Code]=(TRIM($B42)))*(CkDJ[Date]&lt;=$C$8),CkDJ[Credit])))+(SUM(IF((CsDJ[Account Code]=(TRIM($B42)))*(CsDJ[Date]&lt;=$C$8),CsDJ[Credit])))+(SUM(IF((CRDJ[Account Code]=(TRIM($B42)))*(CRDJ[Date]&lt;=$C$8),CRDJ[Credit])))+(SUM(IF((GJ[Account Code]=(TRIM($B42)))*(GJ[Date]&lt;=$C$8),GJ[Credit]))))-((SUM(IF((CkDJ[Account Code]=(TRIM($B42)))*(CkDJ[Date]&lt;=$C$8),CkDJ[Debit])))+(SUM(IF((CsDJ[Account Code]=(TRIM($B42)))*(CsDJ[Date]&lt;=$C$8),CsDJ[Debit])))+(SUM(IF((CRDJ[Account Code]=(TRIM($B42)))*(CRDJ[Date]&lt;=$C$8),CRDJ[Debit])))+(SUM(IF((GJ[Account Code]=(TRIM($B42)))*(GJ[Date]&lt;=$C$8),GJ[Debit]))))</f>
        <v>0</v>
      </c>
      <c r="D42" s="466">
        <f t="array" ref="D42">((SUM(IF((CkDJ[Date]=$A$4)*(CkDJ[Account Code]=(TRIM($B42))),CkDJ[Credit])))+(SUM(IF((CsDJ[Date]=$A$4)*(CsDJ[Account Code]=(TRIM($B42))),CsDJ[Credit])))+(SUM(IF((CRDJ[Date]=$A$4)*(CRDJ[Account Code]=(TRIM($B42))),CRDJ[Credit])))+(SUM(IF((GJ[Date]=$A$4)*(GJ[Account Code]=(TRIM($B42))),GJ[Credit]))))-((SUM(IF((CkDJ[Date]=$A$4)*(CkDJ[Account Code]=(TRIM($B42))),CkDJ[Debit])))+(SUM(IF((CsDJ[Date]=$A$4)*(CsDJ[Account Code]=(TRIM($B42))),CsDJ[Debit])))+(SUM(IF((CRDJ[Date]=$A$4)*(CRDJ[Account Code]=(TRIM($B42))),CRDJ[Debit])))+(SUM(IF((GJ[Date]=$A$4)*(GJ[Account Code]=(TRIM($B42))),GJ[Debit]))))</f>
        <v>0</v>
      </c>
      <c r="E42" s="467">
        <f t="shared" si="0"/>
        <v>0</v>
      </c>
    </row>
    <row r="43" spans="1:5">
      <c r="A43" s="475" t="s">
        <v>193</v>
      </c>
      <c r="B43" s="339" t="s">
        <v>160</v>
      </c>
      <c r="C43" s="466">
        <f t="array" ref="C43">((SUM(IF((CkDJ[Account Code]=(TRIM($B43)))*(CkDJ[Date]&lt;=$C$8),CkDJ[Credit])))+(SUM(IF((CsDJ[Account Code]=(TRIM($B43)))*(CsDJ[Date]&lt;=$C$8),CsDJ[Credit])))+(SUM(IF((CRDJ[Account Code]=(TRIM($B43)))*(CRDJ[Date]&lt;=$C$8),CRDJ[Credit])))+(SUM(IF((GJ[Account Code]=(TRIM($B43)))*(GJ[Date]&lt;=$C$8),GJ[Credit]))))-((SUM(IF((CkDJ[Account Code]=(TRIM($B43)))*(CkDJ[Date]&lt;=$C$8),CkDJ[Debit])))+(SUM(IF((CsDJ[Account Code]=(TRIM($B43)))*(CsDJ[Date]&lt;=$C$8),CsDJ[Debit])))+(SUM(IF((CRDJ[Account Code]=(TRIM($B43)))*(CRDJ[Date]&lt;=$C$8),CRDJ[Debit])))+(SUM(IF((GJ[Account Code]=(TRIM($B43)))*(GJ[Date]&lt;=$C$8),GJ[Debit]))))</f>
        <v>0</v>
      </c>
      <c r="D43" s="466">
        <f t="array" ref="D43">((SUM(IF((CkDJ[Date]=$A$4)*(CkDJ[Account Code]=(TRIM($B43))),CkDJ[Credit])))+(SUM(IF((CsDJ[Date]=$A$4)*(CsDJ[Account Code]=(TRIM($B43))),CsDJ[Credit])))+(SUM(IF((CRDJ[Date]=$A$4)*(CRDJ[Account Code]=(TRIM($B43))),CRDJ[Credit])))+(SUM(IF((GJ[Date]=$A$4)*(GJ[Account Code]=(TRIM($B43))),GJ[Credit]))))-((SUM(IF((CkDJ[Date]=$A$4)*(CkDJ[Account Code]=(TRIM($B43))),CkDJ[Debit])))+(SUM(IF((CsDJ[Date]=$A$4)*(CsDJ[Account Code]=(TRIM($B43))),CsDJ[Debit])))+(SUM(IF((CRDJ[Date]=$A$4)*(CRDJ[Account Code]=(TRIM($B43))),CRDJ[Debit])))+(SUM(IF((GJ[Date]=$A$4)*(GJ[Account Code]=(TRIM($B43))),GJ[Debit]))))</f>
        <v>0</v>
      </c>
      <c r="E43" s="467">
        <f t="shared" si="0"/>
        <v>0</v>
      </c>
    </row>
    <row r="44" spans="1:5">
      <c r="A44" s="475" t="s">
        <v>191</v>
      </c>
      <c r="B44" s="339" t="s">
        <v>161</v>
      </c>
      <c r="C44" s="466">
        <f t="array" ref="C44">((SUM(IF((CkDJ[Account Code]=(TRIM($B44)))*(CkDJ[Date]&lt;=$C$8),CkDJ[Credit])))+(SUM(IF((CsDJ[Account Code]=(TRIM($B44)))*(CsDJ[Date]&lt;=$C$8),CsDJ[Credit])))+(SUM(IF((CRDJ[Account Code]=(TRIM($B44)))*(CRDJ[Date]&lt;=$C$8),CRDJ[Credit])))+(SUM(IF((GJ[Account Code]=(TRIM($B44)))*(GJ[Date]&lt;=$C$8),GJ[Credit]))))-((SUM(IF((CkDJ[Account Code]=(TRIM($B44)))*(CkDJ[Date]&lt;=$C$8),CkDJ[Debit])))+(SUM(IF((CsDJ[Account Code]=(TRIM($B44)))*(CsDJ[Date]&lt;=$C$8),CsDJ[Debit])))+(SUM(IF((CRDJ[Account Code]=(TRIM($B44)))*(CRDJ[Date]&lt;=$C$8),CRDJ[Debit])))+(SUM(IF((GJ[Account Code]=(TRIM($B44)))*(GJ[Date]&lt;=$C$8),GJ[Debit]))))</f>
        <v>0</v>
      </c>
      <c r="D44" s="466">
        <f t="array" ref="D44">((SUM(IF((CkDJ[Date]=$A$4)*(CkDJ[Account Code]=(TRIM($B44))),CkDJ[Credit])))+(SUM(IF((CsDJ[Date]=$A$4)*(CsDJ[Account Code]=(TRIM($B44))),CsDJ[Credit])))+(SUM(IF((CRDJ[Date]=$A$4)*(CRDJ[Account Code]=(TRIM($B44))),CRDJ[Credit])))+(SUM(IF((GJ[Date]=$A$4)*(GJ[Account Code]=(TRIM($B44))),GJ[Credit]))))-((SUM(IF((CkDJ[Date]=$A$4)*(CkDJ[Account Code]=(TRIM($B44))),CkDJ[Debit])))+(SUM(IF((CsDJ[Date]=$A$4)*(CsDJ[Account Code]=(TRIM($B44))),CsDJ[Debit])))+(SUM(IF((CRDJ[Date]=$A$4)*(CRDJ[Account Code]=(TRIM($B44))),CRDJ[Debit])))+(SUM(IF((GJ[Date]=$A$4)*(GJ[Account Code]=(TRIM($B44))),GJ[Debit]))))</f>
        <v>0</v>
      </c>
      <c r="E44" s="467">
        <f t="shared" si="0"/>
        <v>0</v>
      </c>
    </row>
    <row r="45" spans="1:5">
      <c r="A45" s="468" t="s">
        <v>1171</v>
      </c>
      <c r="B45" s="469"/>
      <c r="C45" s="470">
        <f>C10+C16+C20+C25+C26+C31+C35</f>
        <v>0</v>
      </c>
      <c r="D45" s="470">
        <f>D10+D16+D20+D25+D26+D31+D35</f>
        <v>0</v>
      </c>
      <c r="E45" s="470">
        <f>E10+E16+E20+E25+E26+E31+E35</f>
        <v>0</v>
      </c>
    </row>
    <row r="46" spans="1:5">
      <c r="A46" s="471" t="s">
        <v>812</v>
      </c>
      <c r="B46" s="339"/>
      <c r="C46" s="472"/>
      <c r="D46" s="472"/>
      <c r="E46" s="479"/>
    </row>
    <row r="47" spans="1:5">
      <c r="A47" s="471" t="s">
        <v>811</v>
      </c>
      <c r="B47" s="339"/>
      <c r="C47" s="474">
        <f>SUM(C48:C72)</f>
        <v>0</v>
      </c>
      <c r="D47" s="474">
        <f>SUM(D48:D72)</f>
        <v>0</v>
      </c>
      <c r="E47" s="474">
        <f>SUM(E48:E72)</f>
        <v>0</v>
      </c>
    </row>
    <row r="48" spans="1:5">
      <c r="A48" s="476" t="s">
        <v>194</v>
      </c>
      <c r="B48" s="339" t="s">
        <v>162</v>
      </c>
      <c r="C48" s="466">
        <f t="array" ref="C48">((SUM(IF((CkDJ[Account Code]=(TRIM($B48)))*(CkDJ[Date]&lt;=$C$8),CkDJ[Debit])))+(SUM(IF((CsDJ[Account Code]=(TRIM($B48)))*(CsDJ[Date]&lt;=$C$8),CsDJ[Debit])))+(SUM(IF((CRDJ[Account Code]=(TRIM($B48)))*(CRDJ[Date]&lt;=$C$8),CRDJ[Debit])))+(SUM(IF((GJ[Account Code]=(TRIM($B48)))*(GJ[Date]&lt;=$C$8),GJ[Debit]))))-((SUM(IF((CkDJ[Account Code]=(TRIM($B48)))*(CkDJ[Date]&lt;=$C$8),CkDJ[Credit])))+(SUM(IF((CsDJ[Account Code]=(TRIM($B48)))*(CsDJ[Date]&lt;=$C$8),CsDJ[Credit])))+(SUM(IF((CRDJ[Account Code]=(TRIM($B48)))*(CRDJ[Date]&lt;=$C$8),CRDJ[Credit])))+(SUM(IF((GJ[Account Code]=(TRIM($B48)))*(GJ[Date]&lt;=$C$8),GJ[Credit]))))</f>
        <v>0</v>
      </c>
      <c r="D48" s="466">
        <f t="array" ref="D48">((SUM(IF((CkDJ[Date]=$A$4)*(CkDJ[Account Code]=(TRIM($B48))),CkDJ[Debit])))+(SUM(IF((CsDJ[Date]=$A$4)*(CsDJ[Account Code]=(TRIM($B48))),CsDJ[Debit])))+(SUM(IF((CRDJ[Date]=$A$4)*(CRDJ[Account Code]=(TRIM($B48))),CRDJ[Debit])))+(SUM(IF((GJ[Date]=$A$4)*(GJ[Account Code]=(TRIM($B48))),GJ[Debit]))))-((SUM(IF((CkDJ[Date]=$A$4)*(CkDJ[Account Code]=(TRIM($B48))),CkDJ[Credit])))+(SUM(IF((CsDJ[Date]=$A$4)*(CsDJ[Account Code]=(TRIM($B48))),CsDJ[Credit])))+(SUM(IF((CRDJ[Date]=$A$4)*(CRDJ[Account Code]=(TRIM($B48))),CRDJ[Credit])))+(SUM(IF((GJ[Date]=$A$4)*(GJ[Account Code]=(TRIM($B48))),GJ[Credit]))))</f>
        <v>0</v>
      </c>
      <c r="E48" s="467">
        <f t="shared" ref="E48:E69" si="1">C48+D48</f>
        <v>0</v>
      </c>
    </row>
    <row r="49" spans="1:5">
      <c r="A49" s="476" t="s">
        <v>195</v>
      </c>
      <c r="B49" s="339" t="s">
        <v>163</v>
      </c>
      <c r="C49" s="466">
        <f t="array" ref="C49">((SUM(IF((CkDJ[Account Code]=(TRIM($B49)))*(CkDJ[Date]&lt;=$C$8),CkDJ[Debit])))+(SUM(IF((CsDJ[Account Code]=(TRIM($B49)))*(CsDJ[Date]&lt;=$C$8),CsDJ[Debit])))+(SUM(IF((CRDJ[Account Code]=(TRIM($B49)))*(CRDJ[Date]&lt;=$C$8),CRDJ[Debit])))+(SUM(IF((GJ[Account Code]=(TRIM($B49)))*(GJ[Date]&lt;=$C$8),GJ[Debit]))))-((SUM(IF((CkDJ[Account Code]=(TRIM($B49)))*(CkDJ[Date]&lt;=$C$8),CkDJ[Credit])))+(SUM(IF((CsDJ[Account Code]=(TRIM($B49)))*(CsDJ[Date]&lt;=$C$8),CsDJ[Credit])))+(SUM(IF((CRDJ[Account Code]=(TRIM($B49)))*(CRDJ[Date]&lt;=$C$8),CRDJ[Credit])))+(SUM(IF((GJ[Account Code]=(TRIM($B49)))*(GJ[Date]&lt;=$C$8),GJ[Credit]))))</f>
        <v>0</v>
      </c>
      <c r="D49" s="466">
        <f t="array" ref="D49">((SUM(IF((CkDJ[Date]=$A$4)*(CkDJ[Account Code]=(TRIM($B49))),CkDJ[Debit])))+(SUM(IF((CsDJ[Date]=$A$4)*(CsDJ[Account Code]=(TRIM($B49))),CsDJ[Debit])))+(SUM(IF((CRDJ[Date]=$A$4)*(CRDJ[Account Code]=(TRIM($B49))),CRDJ[Debit])))+(SUM(IF((GJ[Date]=$A$4)*(GJ[Account Code]=(TRIM($B49))),GJ[Debit]))))-((SUM(IF((CkDJ[Date]=$A$4)*(CkDJ[Account Code]=(TRIM($B49))),CkDJ[Credit])))+(SUM(IF((CsDJ[Date]=$A$4)*(CsDJ[Account Code]=(TRIM($B49))),CsDJ[Credit])))+(SUM(IF((CRDJ[Date]=$A$4)*(CRDJ[Account Code]=(TRIM($B49))),CRDJ[Credit])))+(SUM(IF((GJ[Date]=$A$4)*(GJ[Account Code]=(TRIM($B49))),GJ[Credit]))))</f>
        <v>0</v>
      </c>
      <c r="E49" s="467">
        <f t="shared" si="1"/>
        <v>0</v>
      </c>
    </row>
    <row r="50" spans="1:5">
      <c r="A50" s="476" t="s">
        <v>196</v>
      </c>
      <c r="B50" s="339" t="s">
        <v>1013</v>
      </c>
      <c r="C50" s="466">
        <f t="array" ref="C50">((SUM(IF((CkDJ[Account Code]=(TRIM($B50)))*(CkDJ[Date]&lt;=$C$8),CkDJ[Debit])))+(SUM(IF((CsDJ[Account Code]=(TRIM($B50)))*(CsDJ[Date]&lt;=$C$8),CsDJ[Debit])))+(SUM(IF((CRDJ[Account Code]=(TRIM($B50)))*(CRDJ[Date]&lt;=$C$8),CRDJ[Debit])))+(SUM(IF((GJ[Account Code]=(TRIM($B50)))*(GJ[Date]&lt;=$C$8),GJ[Debit]))))-((SUM(IF((CkDJ[Account Code]=(TRIM($B50)))*(CkDJ[Date]&lt;=$C$8),CkDJ[Credit])))+(SUM(IF((CsDJ[Account Code]=(TRIM($B50)))*(CsDJ[Date]&lt;=$C$8),CsDJ[Credit])))+(SUM(IF((CRDJ[Account Code]=(TRIM($B50)))*(CRDJ[Date]&lt;=$C$8),CRDJ[Credit])))+(SUM(IF((GJ[Account Code]=(TRIM($B50)))*(GJ[Date]&lt;=$C$8),GJ[Credit]))))</f>
        <v>0</v>
      </c>
      <c r="D50" s="466">
        <f t="array" ref="D50">((SUM(IF((CkDJ[Date]=$A$4)*(CkDJ[Account Code]=(TRIM($B50))),CkDJ[Debit])))+(SUM(IF((CsDJ[Date]=$A$4)*(CsDJ[Account Code]=(TRIM($B50))),CsDJ[Debit])))+(SUM(IF((CRDJ[Date]=$A$4)*(CRDJ[Account Code]=(TRIM($B50))),CRDJ[Debit])))+(SUM(IF((GJ[Date]=$A$4)*(GJ[Account Code]=(TRIM($B50))),GJ[Debit]))))-((SUM(IF((CkDJ[Date]=$A$4)*(CkDJ[Account Code]=(TRIM($B50))),CkDJ[Credit])))+(SUM(IF((CsDJ[Date]=$A$4)*(CsDJ[Account Code]=(TRIM($B50))),CsDJ[Credit])))+(SUM(IF((CRDJ[Date]=$A$4)*(CRDJ[Account Code]=(TRIM($B50))),CRDJ[Credit])))+(SUM(IF((GJ[Date]=$A$4)*(GJ[Account Code]=(TRIM($B50))),GJ[Credit]))))</f>
        <v>0</v>
      </c>
      <c r="E50" s="467">
        <f t="shared" si="1"/>
        <v>0</v>
      </c>
    </row>
    <row r="51" spans="1:5">
      <c r="A51" s="476" t="s">
        <v>197</v>
      </c>
      <c r="B51" s="339" t="s">
        <v>164</v>
      </c>
      <c r="C51" s="466">
        <f t="array" ref="C51">((SUM(IF((CkDJ[Account Code]=(TRIM($B51)))*(CkDJ[Date]&lt;=$C$8),CkDJ[Debit])))+(SUM(IF((CsDJ[Account Code]=(TRIM($B51)))*(CsDJ[Date]&lt;=$C$8),CsDJ[Debit])))+(SUM(IF((CRDJ[Account Code]=(TRIM($B51)))*(CRDJ[Date]&lt;=$C$8),CRDJ[Debit])))+(SUM(IF((GJ[Account Code]=(TRIM($B51)))*(GJ[Date]&lt;=$C$8),GJ[Debit]))))-((SUM(IF((CkDJ[Account Code]=(TRIM($B51)))*(CkDJ[Date]&lt;=$C$8),CkDJ[Credit])))+(SUM(IF((CsDJ[Account Code]=(TRIM($B51)))*(CsDJ[Date]&lt;=$C$8),CsDJ[Credit])))+(SUM(IF((CRDJ[Account Code]=(TRIM($B51)))*(CRDJ[Date]&lt;=$C$8),CRDJ[Credit])))+(SUM(IF((GJ[Account Code]=(TRIM($B51)))*(GJ[Date]&lt;=$C$8),GJ[Credit]))))</f>
        <v>0</v>
      </c>
      <c r="D51" s="466">
        <f t="array" ref="D51">((SUM(IF((CkDJ[Date]=$A$4)*(CkDJ[Account Code]=(TRIM($B51))),CkDJ[Debit])))+(SUM(IF((CsDJ[Date]=$A$4)*(CsDJ[Account Code]=(TRIM($B51))),CsDJ[Debit])))+(SUM(IF((CRDJ[Date]=$A$4)*(CRDJ[Account Code]=(TRIM($B51))),CRDJ[Debit])))+(SUM(IF((GJ[Date]=$A$4)*(GJ[Account Code]=(TRIM($B51))),GJ[Debit]))))-((SUM(IF((CkDJ[Date]=$A$4)*(CkDJ[Account Code]=(TRIM($B51))),CkDJ[Credit])))+(SUM(IF((CsDJ[Date]=$A$4)*(CsDJ[Account Code]=(TRIM($B51))),CsDJ[Credit])))+(SUM(IF((CRDJ[Date]=$A$4)*(CRDJ[Account Code]=(TRIM($B51))),CRDJ[Credit])))+(SUM(IF((GJ[Date]=$A$4)*(GJ[Account Code]=(TRIM($B51))),GJ[Credit]))))</f>
        <v>0</v>
      </c>
      <c r="E51" s="467">
        <f t="shared" si="1"/>
        <v>0</v>
      </c>
    </row>
    <row r="52" spans="1:5">
      <c r="A52" s="476" t="s">
        <v>198</v>
      </c>
      <c r="B52" s="339" t="s">
        <v>165</v>
      </c>
      <c r="C52" s="466">
        <f t="array" ref="C52">((SUM(IF((CkDJ[Account Code]=(TRIM($B52)))*(CkDJ[Date]&lt;=$C$8),CkDJ[Debit])))+(SUM(IF((CsDJ[Account Code]=(TRIM($B52)))*(CsDJ[Date]&lt;=$C$8),CsDJ[Debit])))+(SUM(IF((CRDJ[Account Code]=(TRIM($B52)))*(CRDJ[Date]&lt;=$C$8),CRDJ[Debit])))+(SUM(IF((GJ[Account Code]=(TRIM($B52)))*(GJ[Date]&lt;=$C$8),GJ[Debit]))))-((SUM(IF((CkDJ[Account Code]=(TRIM($B52)))*(CkDJ[Date]&lt;=$C$8),CkDJ[Credit])))+(SUM(IF((CsDJ[Account Code]=(TRIM($B52)))*(CsDJ[Date]&lt;=$C$8),CsDJ[Credit])))+(SUM(IF((CRDJ[Account Code]=(TRIM($B52)))*(CRDJ[Date]&lt;=$C$8),CRDJ[Credit])))+(SUM(IF((GJ[Account Code]=(TRIM($B52)))*(GJ[Date]&lt;=$C$8),GJ[Credit]))))</f>
        <v>0</v>
      </c>
      <c r="D52" s="466">
        <f t="array" ref="D52">((SUM(IF((CkDJ[Date]=$A$4)*(CkDJ[Account Code]=(TRIM($B52))),CkDJ[Debit])))+(SUM(IF((CsDJ[Date]=$A$4)*(CsDJ[Account Code]=(TRIM($B52))),CsDJ[Debit])))+(SUM(IF((CRDJ[Date]=$A$4)*(CRDJ[Account Code]=(TRIM($B52))),CRDJ[Debit])))+(SUM(IF((GJ[Date]=$A$4)*(GJ[Account Code]=(TRIM($B52))),GJ[Debit]))))-((SUM(IF((CkDJ[Date]=$A$4)*(CkDJ[Account Code]=(TRIM($B52))),CkDJ[Credit])))+(SUM(IF((CsDJ[Date]=$A$4)*(CsDJ[Account Code]=(TRIM($B52))),CsDJ[Credit])))+(SUM(IF((CRDJ[Date]=$A$4)*(CRDJ[Account Code]=(TRIM($B52))),CRDJ[Credit])))+(SUM(IF((GJ[Date]=$A$4)*(GJ[Account Code]=(TRIM($B52))),GJ[Credit]))))</f>
        <v>0</v>
      </c>
      <c r="E52" s="467">
        <f t="shared" si="1"/>
        <v>0</v>
      </c>
    </row>
    <row r="53" spans="1:5">
      <c r="A53" s="476" t="s">
        <v>199</v>
      </c>
      <c r="B53" s="339" t="s">
        <v>166</v>
      </c>
      <c r="C53" s="466">
        <f t="array" ref="C53">((SUM(IF((CkDJ[Account Code]=(TRIM($B53)))*(CkDJ[Date]&lt;=$C$8),CkDJ[Debit])))+(SUM(IF((CsDJ[Account Code]=(TRIM($B53)))*(CsDJ[Date]&lt;=$C$8),CsDJ[Debit])))+(SUM(IF((CRDJ[Account Code]=(TRIM($B53)))*(CRDJ[Date]&lt;=$C$8),CRDJ[Debit])))+(SUM(IF((GJ[Account Code]=(TRIM($B53)))*(GJ[Date]&lt;=$C$8),GJ[Debit]))))-((SUM(IF((CkDJ[Account Code]=(TRIM($B53)))*(CkDJ[Date]&lt;=$C$8),CkDJ[Credit])))+(SUM(IF((CsDJ[Account Code]=(TRIM($B53)))*(CsDJ[Date]&lt;=$C$8),CsDJ[Credit])))+(SUM(IF((CRDJ[Account Code]=(TRIM($B53)))*(CRDJ[Date]&lt;=$C$8),CRDJ[Credit])))+(SUM(IF((GJ[Account Code]=(TRIM($B53)))*(GJ[Date]&lt;=$C$8),GJ[Credit]))))</f>
        <v>0</v>
      </c>
      <c r="D53" s="466">
        <f t="array" ref="D53">((SUM(IF((CkDJ[Date]=$A$4)*(CkDJ[Account Code]=(TRIM($B53))),CkDJ[Debit])))+(SUM(IF((CsDJ[Date]=$A$4)*(CsDJ[Account Code]=(TRIM($B53))),CsDJ[Debit])))+(SUM(IF((CRDJ[Date]=$A$4)*(CRDJ[Account Code]=(TRIM($B53))),CRDJ[Debit])))+(SUM(IF((GJ[Date]=$A$4)*(GJ[Account Code]=(TRIM($B53))),GJ[Debit]))))-((SUM(IF((CkDJ[Date]=$A$4)*(CkDJ[Account Code]=(TRIM($B53))),CkDJ[Credit])))+(SUM(IF((CsDJ[Date]=$A$4)*(CsDJ[Account Code]=(TRIM($B53))),CsDJ[Credit])))+(SUM(IF((CRDJ[Date]=$A$4)*(CRDJ[Account Code]=(TRIM($B53))),CRDJ[Credit])))+(SUM(IF((GJ[Date]=$A$4)*(GJ[Account Code]=(TRIM($B53))),GJ[Credit]))))</f>
        <v>0</v>
      </c>
      <c r="E53" s="467">
        <f t="shared" si="1"/>
        <v>0</v>
      </c>
    </row>
    <row r="54" spans="1:5">
      <c r="A54" s="476" t="s">
        <v>200</v>
      </c>
      <c r="B54" s="339" t="s">
        <v>167</v>
      </c>
      <c r="C54" s="466">
        <f t="array" ref="C54">((SUM(IF((CkDJ[Account Code]=(TRIM($B54)))*(CkDJ[Date]&lt;=$C$8),CkDJ[Debit])))+(SUM(IF((CsDJ[Account Code]=(TRIM($B54)))*(CsDJ[Date]&lt;=$C$8),CsDJ[Debit])))+(SUM(IF((CRDJ[Account Code]=(TRIM($B54)))*(CRDJ[Date]&lt;=$C$8),CRDJ[Debit])))+(SUM(IF((GJ[Account Code]=(TRIM($B54)))*(GJ[Date]&lt;=$C$8),GJ[Debit]))))-((SUM(IF((CkDJ[Account Code]=(TRIM($B54)))*(CkDJ[Date]&lt;=$C$8),CkDJ[Credit])))+(SUM(IF((CsDJ[Account Code]=(TRIM($B54)))*(CsDJ[Date]&lt;=$C$8),CsDJ[Credit])))+(SUM(IF((CRDJ[Account Code]=(TRIM($B54)))*(CRDJ[Date]&lt;=$C$8),CRDJ[Credit])))+(SUM(IF((GJ[Account Code]=(TRIM($B54)))*(GJ[Date]&lt;=$C$8),GJ[Credit]))))</f>
        <v>0</v>
      </c>
      <c r="D54" s="466">
        <f t="array" ref="D54">((SUM(IF((CkDJ[Date]=$A$4)*(CkDJ[Account Code]=(TRIM($B54))),CkDJ[Debit])))+(SUM(IF((CsDJ[Date]=$A$4)*(CsDJ[Account Code]=(TRIM($B54))),CsDJ[Debit])))+(SUM(IF((CRDJ[Date]=$A$4)*(CRDJ[Account Code]=(TRIM($B54))),CRDJ[Debit])))+(SUM(IF((GJ[Date]=$A$4)*(GJ[Account Code]=(TRIM($B54))),GJ[Debit]))))-((SUM(IF((CkDJ[Date]=$A$4)*(CkDJ[Account Code]=(TRIM($B54))),CkDJ[Credit])))+(SUM(IF((CsDJ[Date]=$A$4)*(CsDJ[Account Code]=(TRIM($B54))),CsDJ[Credit])))+(SUM(IF((CRDJ[Date]=$A$4)*(CRDJ[Account Code]=(TRIM($B54))),CRDJ[Credit])))+(SUM(IF((GJ[Date]=$A$4)*(GJ[Account Code]=(TRIM($B54))),GJ[Credit]))))</f>
        <v>0</v>
      </c>
      <c r="E54" s="467">
        <f t="shared" si="1"/>
        <v>0</v>
      </c>
    </row>
    <row r="55" spans="1:5">
      <c r="A55" s="476" t="s">
        <v>1204</v>
      </c>
      <c r="B55" s="339" t="s">
        <v>1262</v>
      </c>
      <c r="C55" s="466">
        <f t="array" ref="C55">((SUM(IF((CkDJ[Account Code]=(TRIM($B55)))*(CkDJ[Date]&lt;=$C$8),CkDJ[Debit])))+(SUM(IF((CsDJ[Account Code]=(TRIM($B55)))*(CsDJ[Date]&lt;=$C$8),CsDJ[Debit])))+(SUM(IF((CRDJ[Account Code]=(TRIM($B55)))*(CRDJ[Date]&lt;=$C$8),CRDJ[Debit])))+(SUM(IF((GJ[Account Code]=(TRIM($B55)))*(GJ[Date]&lt;=$C$8),GJ[Debit]))))-((SUM(IF((CkDJ[Account Code]=(TRIM($B55)))*(CkDJ[Date]&lt;=$C$8),CkDJ[Credit])))+(SUM(IF((CsDJ[Account Code]=(TRIM($B55)))*(CsDJ[Date]&lt;=$C$8),CsDJ[Credit])))+(SUM(IF((CRDJ[Account Code]=(TRIM($B55)))*(CRDJ[Date]&lt;=$C$8),CRDJ[Credit])))+(SUM(IF((GJ[Account Code]=(TRIM($B55)))*(GJ[Date]&lt;=$C$8),GJ[Credit]))))</f>
        <v>0</v>
      </c>
      <c r="D55" s="466">
        <f t="array" ref="D55">((SUM(IF((CkDJ[Date]=$A$4)*(CkDJ[Account Code]=(TRIM($B55))),CkDJ[Debit])))+(SUM(IF((CsDJ[Date]=$A$4)*(CsDJ[Account Code]=(TRIM($B55))),CsDJ[Debit])))+(SUM(IF((CRDJ[Date]=$A$4)*(CRDJ[Account Code]=(TRIM($B55))),CRDJ[Debit])))+(SUM(IF((GJ[Date]=$A$4)*(GJ[Account Code]=(TRIM($B55))),GJ[Debit]))))-((SUM(IF((CkDJ[Date]=$A$4)*(CkDJ[Account Code]=(TRIM($B55))),CkDJ[Credit])))+(SUM(IF((CsDJ[Date]=$A$4)*(CsDJ[Account Code]=(TRIM($B55))),CsDJ[Credit])))+(SUM(IF((CRDJ[Date]=$A$4)*(CRDJ[Account Code]=(TRIM($B55))),CRDJ[Credit])))+(SUM(IF((GJ[Date]=$A$4)*(GJ[Account Code]=(TRIM($B55))),GJ[Credit]))))</f>
        <v>0</v>
      </c>
      <c r="E55" s="467">
        <f>C55+D55</f>
        <v>0</v>
      </c>
    </row>
    <row r="56" spans="1:5">
      <c r="A56" s="476" t="s">
        <v>204</v>
      </c>
      <c r="B56" s="339" t="s">
        <v>171</v>
      </c>
      <c r="C56" s="466">
        <f t="array" ref="C56">((SUM(IF((CkDJ[Account Code]=(TRIM($B56)))*(CkDJ[Date]&lt;=$C$8),CkDJ[Debit])))+(SUM(IF((CsDJ[Account Code]=(TRIM($B56)))*(CsDJ[Date]&lt;=$C$8),CsDJ[Debit])))+(SUM(IF((CRDJ[Account Code]=(TRIM($B56)))*(CRDJ[Date]&lt;=$C$8),CRDJ[Debit])))+(SUM(IF((GJ[Account Code]=(TRIM($B56)))*(GJ[Date]&lt;=$C$8),GJ[Debit]))))-((SUM(IF((CkDJ[Account Code]=(TRIM($B56)))*(CkDJ[Date]&lt;=$C$8),CkDJ[Credit])))+(SUM(IF((CsDJ[Account Code]=(TRIM($B56)))*(CsDJ[Date]&lt;=$C$8),CsDJ[Credit])))+(SUM(IF((CRDJ[Account Code]=(TRIM($B56)))*(CRDJ[Date]&lt;=$C$8),CRDJ[Credit])))+(SUM(IF((GJ[Account Code]=(TRIM($B56)))*(GJ[Date]&lt;=$C$8),GJ[Credit]))))</f>
        <v>0</v>
      </c>
      <c r="D56" s="466">
        <f t="array" ref="D56">((SUM(IF((CkDJ[Date]=$A$4)*(CkDJ[Account Code]=(TRIM($B56))),CkDJ[Debit])))+(SUM(IF((CsDJ[Date]=$A$4)*(CsDJ[Account Code]=(TRIM($B56))),CsDJ[Debit])))+(SUM(IF((CRDJ[Date]=$A$4)*(CRDJ[Account Code]=(TRIM($B56))),CRDJ[Debit])))+(SUM(IF((GJ[Date]=$A$4)*(GJ[Account Code]=(TRIM($B56))),GJ[Debit]))))-((SUM(IF((CkDJ[Date]=$A$4)*(CkDJ[Account Code]=(TRIM($B56))),CkDJ[Credit])))+(SUM(IF((CsDJ[Date]=$A$4)*(CsDJ[Account Code]=(TRIM($B56))),CsDJ[Credit])))+(SUM(IF((CRDJ[Date]=$A$4)*(CRDJ[Account Code]=(TRIM($B56))),CRDJ[Credit])))+(SUM(IF((GJ[Date]=$A$4)*(GJ[Account Code]=(TRIM($B56))),GJ[Credit]))))</f>
        <v>0</v>
      </c>
      <c r="E56" s="467">
        <f t="shared" si="1"/>
        <v>0</v>
      </c>
    </row>
    <row r="57" spans="1:5">
      <c r="A57" s="476" t="s">
        <v>201</v>
      </c>
      <c r="B57" s="339" t="s">
        <v>5</v>
      </c>
      <c r="C57" s="466">
        <f t="array" ref="C57">((SUM(IF((CkDJ[Account Code]=(TRIM($B57)))*(CkDJ[Date]&lt;=$C$8),CkDJ[Debit])))+(SUM(IF((CsDJ[Account Code]=(TRIM($B57)))*(CsDJ[Date]&lt;=$C$8),CsDJ[Debit])))+(SUM(IF((CRDJ[Account Code]=(TRIM($B57)))*(CRDJ[Date]&lt;=$C$8),CRDJ[Debit])))+(SUM(IF((GJ[Account Code]=(TRIM($B57)))*(GJ[Date]&lt;=$C$8),GJ[Debit]))))-((SUM(IF((CkDJ[Account Code]=(TRIM($B57)))*(CkDJ[Date]&lt;=$C$8),CkDJ[Credit])))+(SUM(IF((CsDJ[Account Code]=(TRIM($B57)))*(CsDJ[Date]&lt;=$C$8),CsDJ[Credit])))+(SUM(IF((CRDJ[Account Code]=(TRIM($B57)))*(CRDJ[Date]&lt;=$C$8),CRDJ[Credit])))+(SUM(IF((GJ[Account Code]=(TRIM($B57)))*(GJ[Date]&lt;=$C$8),GJ[Credit]))))</f>
        <v>0</v>
      </c>
      <c r="D57" s="466">
        <f t="array" ref="D57">((SUM(IF((CkDJ[Date]=$A$4)*(CkDJ[Account Code]=(TRIM($B57))),CkDJ[Debit])))+(SUM(IF((CsDJ[Date]=$A$4)*(CsDJ[Account Code]=(TRIM($B57))),CsDJ[Debit])))+(SUM(IF((CRDJ[Date]=$A$4)*(CRDJ[Account Code]=(TRIM($B57))),CRDJ[Debit])))+(SUM(IF((GJ[Date]=$A$4)*(GJ[Account Code]=(TRIM($B57))),GJ[Debit]))))-((SUM(IF((CkDJ[Date]=$A$4)*(CkDJ[Account Code]=(TRIM($B57))),CkDJ[Credit])))+(SUM(IF((CsDJ[Date]=$A$4)*(CsDJ[Account Code]=(TRIM($B57))),CsDJ[Credit])))+(SUM(IF((CRDJ[Date]=$A$4)*(CRDJ[Account Code]=(TRIM($B57))),CRDJ[Credit])))+(SUM(IF((GJ[Date]=$A$4)*(GJ[Account Code]=(TRIM($B57))),GJ[Credit]))))</f>
        <v>0</v>
      </c>
      <c r="E57" s="467">
        <f t="shared" si="1"/>
        <v>0</v>
      </c>
    </row>
    <row r="58" spans="1:5">
      <c r="A58" s="476" t="s">
        <v>202</v>
      </c>
      <c r="B58" s="339" t="s">
        <v>6</v>
      </c>
      <c r="C58" s="466">
        <f t="array" ref="C58">((SUM(IF((CkDJ[Account Code]=(TRIM($B58)))*(CkDJ[Date]&lt;=$C$8),CkDJ[Debit])))+(SUM(IF((CsDJ[Account Code]=(TRIM($B58)))*(CsDJ[Date]&lt;=$C$8),CsDJ[Debit])))+(SUM(IF((CRDJ[Account Code]=(TRIM($B58)))*(CRDJ[Date]&lt;=$C$8),CRDJ[Debit])))+(SUM(IF((GJ[Account Code]=(TRIM($B58)))*(GJ[Date]&lt;=$C$8),GJ[Debit]))))-((SUM(IF((CkDJ[Account Code]=(TRIM($B58)))*(CkDJ[Date]&lt;=$C$8),CkDJ[Credit])))+(SUM(IF((CsDJ[Account Code]=(TRIM($B58)))*(CsDJ[Date]&lt;=$C$8),CsDJ[Credit])))+(SUM(IF((CRDJ[Account Code]=(TRIM($B58)))*(CRDJ[Date]&lt;=$C$8),CRDJ[Credit])))+(SUM(IF((GJ[Account Code]=(TRIM($B58)))*(GJ[Date]&lt;=$C$8),GJ[Credit]))))</f>
        <v>0</v>
      </c>
      <c r="D58" s="466">
        <f t="array" ref="D58">((SUM(IF((CkDJ[Date]=$A$4)*(CkDJ[Account Code]=(TRIM($B58))),CkDJ[Debit])))+(SUM(IF((CsDJ[Date]=$A$4)*(CsDJ[Account Code]=(TRIM($B58))),CsDJ[Debit])))+(SUM(IF((CRDJ[Date]=$A$4)*(CRDJ[Account Code]=(TRIM($B58))),CRDJ[Debit])))+(SUM(IF((GJ[Date]=$A$4)*(GJ[Account Code]=(TRIM($B58))),GJ[Debit]))))-((SUM(IF((CkDJ[Date]=$A$4)*(CkDJ[Account Code]=(TRIM($B58))),CkDJ[Credit])))+(SUM(IF((CsDJ[Date]=$A$4)*(CsDJ[Account Code]=(TRIM($B58))),CsDJ[Credit])))+(SUM(IF((CRDJ[Date]=$A$4)*(CRDJ[Account Code]=(TRIM($B58))),CRDJ[Credit])))+(SUM(IF((GJ[Date]=$A$4)*(GJ[Account Code]=(TRIM($B58))),GJ[Credit]))))</f>
        <v>0</v>
      </c>
      <c r="E58" s="467">
        <f t="shared" si="1"/>
        <v>0</v>
      </c>
    </row>
    <row r="59" spans="1:5">
      <c r="A59" s="476" t="s">
        <v>203</v>
      </c>
      <c r="B59" s="339" t="s">
        <v>7</v>
      </c>
      <c r="C59" s="466">
        <f t="array" ref="C59">((SUM(IF((CkDJ[Account Code]=(TRIM($B59)))*(CkDJ[Date]&lt;=$C$8),CkDJ[Debit])))+(SUM(IF((CsDJ[Account Code]=(TRIM($B59)))*(CsDJ[Date]&lt;=$C$8),CsDJ[Debit])))+(SUM(IF((CRDJ[Account Code]=(TRIM($B59)))*(CRDJ[Date]&lt;=$C$8),CRDJ[Debit])))+(SUM(IF((GJ[Account Code]=(TRIM($B59)))*(GJ[Date]&lt;=$C$8),GJ[Debit]))))-((SUM(IF((CkDJ[Account Code]=(TRIM($B59)))*(CkDJ[Date]&lt;=$C$8),CkDJ[Credit])))+(SUM(IF((CsDJ[Account Code]=(TRIM($B59)))*(CsDJ[Date]&lt;=$C$8),CsDJ[Credit])))+(SUM(IF((CRDJ[Account Code]=(TRIM($B59)))*(CRDJ[Date]&lt;=$C$8),CRDJ[Credit])))+(SUM(IF((GJ[Account Code]=(TRIM($B59)))*(GJ[Date]&lt;=$C$8),GJ[Credit]))))</f>
        <v>0</v>
      </c>
      <c r="D59" s="466">
        <f t="array" ref="D59">((SUM(IF((CkDJ[Date]=$A$4)*(CkDJ[Account Code]=(TRIM($B59))),CkDJ[Debit])))+(SUM(IF((CsDJ[Date]=$A$4)*(CsDJ[Account Code]=(TRIM($B59))),CsDJ[Debit])))+(SUM(IF((CRDJ[Date]=$A$4)*(CRDJ[Account Code]=(TRIM($B59))),CRDJ[Debit])))+(SUM(IF((GJ[Date]=$A$4)*(GJ[Account Code]=(TRIM($B59))),GJ[Debit]))))-((SUM(IF((CkDJ[Date]=$A$4)*(CkDJ[Account Code]=(TRIM($B59))),CkDJ[Credit])))+(SUM(IF((CsDJ[Date]=$A$4)*(CsDJ[Account Code]=(TRIM($B59))),CsDJ[Credit])))+(SUM(IF((CRDJ[Date]=$A$4)*(CRDJ[Account Code]=(TRIM($B59))),CRDJ[Credit])))+(SUM(IF((GJ[Date]=$A$4)*(GJ[Account Code]=(TRIM($B59))),GJ[Credit]))))</f>
        <v>0</v>
      </c>
      <c r="E59" s="467">
        <f t="shared" si="1"/>
        <v>0</v>
      </c>
    </row>
    <row r="60" spans="1:5">
      <c r="A60" s="476" t="s">
        <v>1378</v>
      </c>
      <c r="B60" s="339" t="s">
        <v>169</v>
      </c>
      <c r="C60" s="466">
        <f t="array" ref="C60">((SUM(IF((CkDJ[Account Code]=(TRIM($B60)))*(CkDJ[Date]&lt;=$C$8),CkDJ[Debit])))+(SUM(IF((CsDJ[Account Code]=(TRIM($B60)))*(CsDJ[Date]&lt;=$C$8),CsDJ[Debit])))+(SUM(IF((CRDJ[Account Code]=(TRIM($B60)))*(CRDJ[Date]&lt;=$C$8),CRDJ[Debit])))+(SUM(IF((GJ[Account Code]=(TRIM($B60)))*(GJ[Date]&lt;=$C$8),GJ[Debit]))))-((SUM(IF((CkDJ[Account Code]=(TRIM($B60)))*(CkDJ[Date]&lt;=$C$8),CkDJ[Credit])))+(SUM(IF((CsDJ[Account Code]=(TRIM($B60)))*(CsDJ[Date]&lt;=$C$8),CsDJ[Credit])))+(SUM(IF((CRDJ[Account Code]=(TRIM($B60)))*(CRDJ[Date]&lt;=$C$8),CRDJ[Credit])))+(SUM(IF((GJ[Account Code]=(TRIM($B60)))*(GJ[Date]&lt;=$C$8),GJ[Credit]))))</f>
        <v>0</v>
      </c>
      <c r="D60" s="466">
        <f t="array" ref="D60">((SUM(IF((CkDJ[Date]=$A$4)*(CkDJ[Account Code]=(TRIM($B60))),CkDJ[Debit])))+(SUM(IF((CsDJ[Date]=$A$4)*(CsDJ[Account Code]=(TRIM($B60))),CsDJ[Debit])))+(SUM(IF((CRDJ[Date]=$A$4)*(CRDJ[Account Code]=(TRIM($B60))),CRDJ[Debit])))+(SUM(IF((GJ[Date]=$A$4)*(GJ[Account Code]=(TRIM($B60))),GJ[Debit]))))-((SUM(IF((CkDJ[Date]=$A$4)*(CkDJ[Account Code]=(TRIM($B60))),CkDJ[Credit])))+(SUM(IF((CsDJ[Date]=$A$4)*(CsDJ[Account Code]=(TRIM($B60))),CsDJ[Credit])))+(SUM(IF((CRDJ[Date]=$A$4)*(CRDJ[Account Code]=(TRIM($B60))),CRDJ[Credit])))+(SUM(IF((GJ[Date]=$A$4)*(GJ[Account Code]=(TRIM($B60))),GJ[Credit]))))</f>
        <v>0</v>
      </c>
      <c r="E60" s="467">
        <f t="shared" si="1"/>
        <v>0</v>
      </c>
    </row>
    <row r="61" spans="1:5">
      <c r="A61" s="476" t="s">
        <v>1474</v>
      </c>
      <c r="B61" s="339" t="s">
        <v>170</v>
      </c>
      <c r="C61" s="466">
        <f t="array" ref="C61">((SUM(IF((CkDJ[Account Code]=(TRIM($B61)))*(CkDJ[Date]&lt;=$C$8),CkDJ[Debit])))+(SUM(IF((CsDJ[Account Code]=(TRIM($B61)))*(CsDJ[Date]&lt;=$C$8),CsDJ[Debit])))+(SUM(IF((CRDJ[Account Code]=(TRIM($B61)))*(CRDJ[Date]&lt;=$C$8),CRDJ[Debit])))+(SUM(IF((GJ[Account Code]=(TRIM($B61)))*(GJ[Date]&lt;=$C$8),GJ[Debit]))))-((SUM(IF((CkDJ[Account Code]=(TRIM($B61)))*(CkDJ[Date]&lt;=$C$8),CkDJ[Credit])))+(SUM(IF((CsDJ[Account Code]=(TRIM($B61)))*(CsDJ[Date]&lt;=$C$8),CsDJ[Credit])))+(SUM(IF((CRDJ[Account Code]=(TRIM($B61)))*(CRDJ[Date]&lt;=$C$8),CRDJ[Credit])))+(SUM(IF((GJ[Account Code]=(TRIM($B61)))*(GJ[Date]&lt;=$C$8),GJ[Credit]))))</f>
        <v>0</v>
      </c>
      <c r="D61" s="466">
        <f t="array" ref="D61">((SUM(IF((CkDJ[Date]=$A$4)*(CkDJ[Account Code]=(TRIM($B61))),CkDJ[Debit])))+(SUM(IF((CsDJ[Date]=$A$4)*(CsDJ[Account Code]=(TRIM($B61))),CsDJ[Debit])))+(SUM(IF((CRDJ[Date]=$A$4)*(CRDJ[Account Code]=(TRIM($B61))),CRDJ[Debit])))+(SUM(IF((GJ[Date]=$A$4)*(GJ[Account Code]=(TRIM($B61))),GJ[Debit]))))-((SUM(IF((CkDJ[Date]=$A$4)*(CkDJ[Account Code]=(TRIM($B61))),CkDJ[Credit])))+(SUM(IF((CsDJ[Date]=$A$4)*(CsDJ[Account Code]=(TRIM($B61))),CsDJ[Credit])))+(SUM(IF((CRDJ[Date]=$A$4)*(CRDJ[Account Code]=(TRIM($B61))),CRDJ[Credit])))+(SUM(IF((GJ[Date]=$A$4)*(GJ[Account Code]=(TRIM($B61))),GJ[Credit]))))</f>
        <v>0</v>
      </c>
      <c r="E61" s="467">
        <f>C61+D61</f>
        <v>0</v>
      </c>
    </row>
    <row r="62" spans="1:5">
      <c r="A62" s="476" t="s">
        <v>206</v>
      </c>
      <c r="B62" s="339" t="s">
        <v>173</v>
      </c>
      <c r="C62" s="466">
        <f t="array" ref="C62">((SUM(IF((CkDJ[Account Code]=(TRIM($B62)))*(CkDJ[Date]&lt;=$C$8),CkDJ[Debit])))+(SUM(IF((CsDJ[Account Code]=(TRIM($B62)))*(CsDJ[Date]&lt;=$C$8),CsDJ[Debit])))+(SUM(IF((CRDJ[Account Code]=(TRIM($B62)))*(CRDJ[Date]&lt;=$C$8),CRDJ[Debit])))+(SUM(IF((GJ[Account Code]=(TRIM($B62)))*(GJ[Date]&lt;=$C$8),GJ[Debit]))))-((SUM(IF((CkDJ[Account Code]=(TRIM($B62)))*(CkDJ[Date]&lt;=$C$8),CkDJ[Credit])))+(SUM(IF((CsDJ[Account Code]=(TRIM($B62)))*(CsDJ[Date]&lt;=$C$8),CsDJ[Credit])))+(SUM(IF((CRDJ[Account Code]=(TRIM($B62)))*(CRDJ[Date]&lt;=$C$8),CRDJ[Credit])))+(SUM(IF((GJ[Account Code]=(TRIM($B62)))*(GJ[Date]&lt;=$C$8),GJ[Credit]))))</f>
        <v>0</v>
      </c>
      <c r="D62" s="466">
        <f t="array" ref="D62">((SUM(IF((CkDJ[Date]=$A$4)*(CkDJ[Account Code]=(TRIM($B62))),CkDJ[Debit])))+(SUM(IF((CsDJ[Date]=$A$4)*(CsDJ[Account Code]=(TRIM($B62))),CsDJ[Debit])))+(SUM(IF((CRDJ[Date]=$A$4)*(CRDJ[Account Code]=(TRIM($B62))),CRDJ[Debit])))+(SUM(IF((GJ[Date]=$A$4)*(GJ[Account Code]=(TRIM($B62))),GJ[Debit]))))-((SUM(IF((CkDJ[Date]=$A$4)*(CkDJ[Account Code]=(TRIM($B62))),CkDJ[Credit])))+(SUM(IF((CsDJ[Date]=$A$4)*(CsDJ[Account Code]=(TRIM($B62))),CsDJ[Credit])))+(SUM(IF((CRDJ[Date]=$A$4)*(CRDJ[Account Code]=(TRIM($B62))),CRDJ[Credit])))+(SUM(IF((GJ[Date]=$A$4)*(GJ[Account Code]=(TRIM($B62))),GJ[Credit]))))</f>
        <v>0</v>
      </c>
      <c r="E62" s="467">
        <f t="shared" si="1"/>
        <v>0</v>
      </c>
    </row>
    <row r="63" spans="1:5">
      <c r="A63" s="476" t="s">
        <v>354</v>
      </c>
      <c r="B63" s="339" t="s">
        <v>216</v>
      </c>
      <c r="C63" s="466">
        <f t="array" ref="C63">((SUM(IF((CkDJ[Account Code]=(TRIM($B63)))*(CkDJ[Date]&lt;=$C$8),CkDJ[Debit])))+(SUM(IF((CsDJ[Account Code]=(TRIM($B63)))*(CsDJ[Date]&lt;=$C$8),CsDJ[Debit])))+(SUM(IF((CRDJ[Account Code]=(TRIM($B63)))*(CRDJ[Date]&lt;=$C$8),CRDJ[Debit])))+(SUM(IF((GJ[Account Code]=(TRIM($B63)))*(GJ[Date]&lt;=$C$8),GJ[Debit]))))-((SUM(IF((CkDJ[Account Code]=(TRIM($B63)))*(CkDJ[Date]&lt;=$C$8),CkDJ[Credit])))+(SUM(IF((CsDJ[Account Code]=(TRIM($B63)))*(CsDJ[Date]&lt;=$C$8),CsDJ[Credit])))+(SUM(IF((CRDJ[Account Code]=(TRIM($B63)))*(CRDJ[Date]&lt;=$C$8),CRDJ[Credit])))+(SUM(IF((GJ[Account Code]=(TRIM($B63)))*(GJ[Date]&lt;=$C$8),GJ[Credit]))))</f>
        <v>0</v>
      </c>
      <c r="D63" s="466">
        <f t="array" ref="D63">((SUM(IF((CkDJ[Date]=$A$4)*(CkDJ[Account Code]=(TRIM($B63))),CkDJ[Debit])))+(SUM(IF((CsDJ[Date]=$A$4)*(CsDJ[Account Code]=(TRIM($B63))),CsDJ[Debit])))+(SUM(IF((CRDJ[Date]=$A$4)*(CRDJ[Account Code]=(TRIM($B63))),CRDJ[Debit])))+(SUM(IF((GJ[Date]=$A$4)*(GJ[Account Code]=(TRIM($B63))),GJ[Debit]))))-((SUM(IF((CkDJ[Date]=$A$4)*(CkDJ[Account Code]=(TRIM($B63))),CkDJ[Credit])))+(SUM(IF((CsDJ[Date]=$A$4)*(CsDJ[Account Code]=(TRIM($B63))),CsDJ[Credit])))+(SUM(IF((CRDJ[Date]=$A$4)*(CRDJ[Account Code]=(TRIM($B63))),CRDJ[Credit])))+(SUM(IF((GJ[Date]=$A$4)*(GJ[Account Code]=(TRIM($B63))),GJ[Credit]))))</f>
        <v>0</v>
      </c>
      <c r="E63" s="467">
        <f>C63+D63</f>
        <v>0</v>
      </c>
    </row>
    <row r="64" spans="1:5">
      <c r="A64" s="476" t="s">
        <v>219</v>
      </c>
      <c r="B64" s="339" t="s">
        <v>214</v>
      </c>
      <c r="C64" s="466">
        <f t="array" ref="C64">((SUM(IF((CkDJ[Account Code]=(TRIM($B64)))*(CkDJ[Date]&lt;=$C$8),CkDJ[Debit])))+(SUM(IF((CsDJ[Account Code]=(TRIM($B64)))*(CsDJ[Date]&lt;=$C$8),CsDJ[Debit])))+(SUM(IF((CRDJ[Account Code]=(TRIM($B64)))*(CRDJ[Date]&lt;=$C$8),CRDJ[Debit])))+(SUM(IF((GJ[Account Code]=(TRIM($B64)))*(GJ[Date]&lt;=$C$8),GJ[Debit]))))-((SUM(IF((CkDJ[Account Code]=(TRIM($B64)))*(CkDJ[Date]&lt;=$C$8),CkDJ[Credit])))+(SUM(IF((CsDJ[Account Code]=(TRIM($B64)))*(CsDJ[Date]&lt;=$C$8),CsDJ[Credit])))+(SUM(IF((CRDJ[Account Code]=(TRIM($B64)))*(CRDJ[Date]&lt;=$C$8),CRDJ[Credit])))+(SUM(IF((GJ[Account Code]=(TRIM($B64)))*(GJ[Date]&lt;=$C$8),GJ[Credit]))))</f>
        <v>0</v>
      </c>
      <c r="D64" s="466">
        <f t="array" ref="D64">((SUM(IF((CkDJ[Date]=$A$4)*(CkDJ[Account Code]=(TRIM($B64))),CkDJ[Debit])))+(SUM(IF((CsDJ[Date]=$A$4)*(CsDJ[Account Code]=(TRIM($B64))),CsDJ[Debit])))+(SUM(IF((CRDJ[Date]=$A$4)*(CRDJ[Account Code]=(TRIM($B64))),CRDJ[Debit])))+(SUM(IF((GJ[Date]=$A$4)*(GJ[Account Code]=(TRIM($B64))),GJ[Debit]))))-((SUM(IF((CkDJ[Date]=$A$4)*(CkDJ[Account Code]=(TRIM($B64))),CkDJ[Credit])))+(SUM(IF((CsDJ[Date]=$A$4)*(CsDJ[Account Code]=(TRIM($B64))),CsDJ[Credit])))+(SUM(IF((CRDJ[Date]=$A$4)*(CRDJ[Account Code]=(TRIM($B64))),CRDJ[Credit])))+(SUM(IF((GJ[Date]=$A$4)*(GJ[Account Code]=(TRIM($B64))),GJ[Credit]))))</f>
        <v>0</v>
      </c>
      <c r="E64" s="467">
        <f t="shared" si="1"/>
        <v>0</v>
      </c>
    </row>
    <row r="65" spans="1:5">
      <c r="A65" s="476" t="s">
        <v>205</v>
      </c>
      <c r="B65" s="339" t="s">
        <v>172</v>
      </c>
      <c r="C65" s="466">
        <f t="array" ref="C65">((SUM(IF((CkDJ[Account Code]=(TRIM($B65)))*(CkDJ[Date]&lt;=$C$8),CkDJ[Debit])))+(SUM(IF((CsDJ[Account Code]=(TRIM($B65)))*(CsDJ[Date]&lt;=$C$8),CsDJ[Debit])))+(SUM(IF((CRDJ[Account Code]=(TRIM($B65)))*(CRDJ[Date]&lt;=$C$8),CRDJ[Debit])))+(SUM(IF((GJ[Account Code]=(TRIM($B65)))*(GJ[Date]&lt;=$C$8),GJ[Debit]))))-((SUM(IF((CkDJ[Account Code]=(TRIM($B65)))*(CkDJ[Date]&lt;=$C$8),CkDJ[Credit])))+(SUM(IF((CsDJ[Account Code]=(TRIM($B65)))*(CsDJ[Date]&lt;=$C$8),CsDJ[Credit])))+(SUM(IF((CRDJ[Account Code]=(TRIM($B65)))*(CRDJ[Date]&lt;=$C$8),CRDJ[Credit])))+(SUM(IF((GJ[Account Code]=(TRIM($B65)))*(GJ[Date]&lt;=$C$8),GJ[Credit]))))</f>
        <v>0</v>
      </c>
      <c r="D65" s="466">
        <f t="array" ref="D65">((SUM(IF((CkDJ[Date]=$A$4)*(CkDJ[Account Code]=(TRIM($B65))),CkDJ[Debit])))+(SUM(IF((CsDJ[Date]=$A$4)*(CsDJ[Account Code]=(TRIM($B65))),CsDJ[Debit])))+(SUM(IF((CRDJ[Date]=$A$4)*(CRDJ[Account Code]=(TRIM($B65))),CRDJ[Debit])))+(SUM(IF((GJ[Date]=$A$4)*(GJ[Account Code]=(TRIM($B65))),GJ[Debit]))))-((SUM(IF((CkDJ[Date]=$A$4)*(CkDJ[Account Code]=(TRIM($B65))),CkDJ[Credit])))+(SUM(IF((CsDJ[Date]=$A$4)*(CsDJ[Account Code]=(TRIM($B65))),CsDJ[Credit])))+(SUM(IF((CRDJ[Date]=$A$4)*(CRDJ[Account Code]=(TRIM($B65))),CRDJ[Credit])))+(SUM(IF((GJ[Date]=$A$4)*(GJ[Account Code]=(TRIM($B65))),GJ[Credit]))))</f>
        <v>0</v>
      </c>
      <c r="E65" s="467">
        <f t="shared" si="1"/>
        <v>0</v>
      </c>
    </row>
    <row r="66" spans="1:5">
      <c r="A66" s="476" t="s">
        <v>207</v>
      </c>
      <c r="B66" s="339" t="s">
        <v>174</v>
      </c>
      <c r="C66" s="466">
        <f t="array" ref="C66">((SUM(IF((CkDJ[Account Code]=(TRIM($B66)))*(CkDJ[Date]&lt;=$C$8),CkDJ[Debit])))+(SUM(IF((CsDJ[Account Code]=(TRIM($B66)))*(CsDJ[Date]&lt;=$C$8),CsDJ[Debit])))+(SUM(IF((CRDJ[Account Code]=(TRIM($B66)))*(CRDJ[Date]&lt;=$C$8),CRDJ[Debit])))+(SUM(IF((GJ[Account Code]=(TRIM($B66)))*(GJ[Date]&lt;=$C$8),GJ[Debit]))))-((SUM(IF((CkDJ[Account Code]=(TRIM($B66)))*(CkDJ[Date]&lt;=$C$8),CkDJ[Credit])))+(SUM(IF((CsDJ[Account Code]=(TRIM($B66)))*(CsDJ[Date]&lt;=$C$8),CsDJ[Credit])))+(SUM(IF((CRDJ[Account Code]=(TRIM($B66)))*(CRDJ[Date]&lt;=$C$8),CRDJ[Credit])))+(SUM(IF((GJ[Account Code]=(TRIM($B66)))*(GJ[Date]&lt;=$C$8),GJ[Credit]))))</f>
        <v>0</v>
      </c>
      <c r="D66" s="466">
        <f t="array" ref="D66">((SUM(IF((CkDJ[Date]=$A$4)*(CkDJ[Account Code]=(TRIM($B66))),CkDJ[Debit])))+(SUM(IF((CsDJ[Date]=$A$4)*(CsDJ[Account Code]=(TRIM($B66))),CsDJ[Debit])))+(SUM(IF((CRDJ[Date]=$A$4)*(CRDJ[Account Code]=(TRIM($B66))),CRDJ[Debit])))+(SUM(IF((GJ[Date]=$A$4)*(GJ[Account Code]=(TRIM($B66))),GJ[Debit]))))-((SUM(IF((CkDJ[Date]=$A$4)*(CkDJ[Account Code]=(TRIM($B66))),CkDJ[Credit])))+(SUM(IF((CsDJ[Date]=$A$4)*(CsDJ[Account Code]=(TRIM($B66))),CsDJ[Credit])))+(SUM(IF((CRDJ[Date]=$A$4)*(CRDJ[Account Code]=(TRIM($B66))),CRDJ[Credit])))+(SUM(IF((GJ[Date]=$A$4)*(GJ[Account Code]=(TRIM($B66))),GJ[Credit]))))</f>
        <v>0</v>
      </c>
      <c r="E66" s="467">
        <f t="shared" si="1"/>
        <v>0</v>
      </c>
    </row>
    <row r="67" spans="1:5">
      <c r="A67" s="476" t="s">
        <v>208</v>
      </c>
      <c r="B67" s="339" t="s">
        <v>175</v>
      </c>
      <c r="C67" s="466">
        <f t="array" ref="C67">((SUM(IF((CkDJ[Account Code]=(TRIM($B67)))*(CkDJ[Date]&lt;=$C$8),CkDJ[Debit])))+(SUM(IF((CsDJ[Account Code]=(TRIM($B67)))*(CsDJ[Date]&lt;=$C$8),CsDJ[Debit])))+(SUM(IF((CRDJ[Account Code]=(TRIM($B67)))*(CRDJ[Date]&lt;=$C$8),CRDJ[Debit])))+(SUM(IF((GJ[Account Code]=(TRIM($B67)))*(GJ[Date]&lt;=$C$8),GJ[Debit]))))-((SUM(IF((CkDJ[Account Code]=(TRIM($B67)))*(CkDJ[Date]&lt;=$C$8),CkDJ[Credit])))+(SUM(IF((CsDJ[Account Code]=(TRIM($B67)))*(CsDJ[Date]&lt;=$C$8),CsDJ[Credit])))+(SUM(IF((CRDJ[Account Code]=(TRIM($B67)))*(CRDJ[Date]&lt;=$C$8),CRDJ[Credit])))+(SUM(IF((GJ[Account Code]=(TRIM($B67)))*(GJ[Date]&lt;=$C$8),GJ[Credit]))))</f>
        <v>0</v>
      </c>
      <c r="D67" s="466">
        <f t="array" ref="D67">((SUM(IF((CkDJ[Date]=$A$4)*(CkDJ[Account Code]=(TRIM($B67))),CkDJ[Debit])))+(SUM(IF((CsDJ[Date]=$A$4)*(CsDJ[Account Code]=(TRIM($B67))),CsDJ[Debit])))+(SUM(IF((CRDJ[Date]=$A$4)*(CRDJ[Account Code]=(TRIM($B67))),CRDJ[Debit])))+(SUM(IF((GJ[Date]=$A$4)*(GJ[Account Code]=(TRIM($B67))),GJ[Debit]))))-((SUM(IF((CkDJ[Date]=$A$4)*(CkDJ[Account Code]=(TRIM($B67))),CkDJ[Credit])))+(SUM(IF((CsDJ[Date]=$A$4)*(CsDJ[Account Code]=(TRIM($B67))),CsDJ[Credit])))+(SUM(IF((CRDJ[Date]=$A$4)*(CRDJ[Account Code]=(TRIM($B67))),CRDJ[Credit])))+(SUM(IF((GJ[Date]=$A$4)*(GJ[Account Code]=(TRIM($B67))),GJ[Credit]))))</f>
        <v>0</v>
      </c>
      <c r="E67" s="467">
        <f t="shared" si="1"/>
        <v>0</v>
      </c>
    </row>
    <row r="68" spans="1:5">
      <c r="A68" s="476" t="s">
        <v>209</v>
      </c>
      <c r="B68" s="339" t="s">
        <v>176</v>
      </c>
      <c r="C68" s="466">
        <f t="array" ref="C68">((SUM(IF((CkDJ[Account Code]=(TRIM($B68)))*(CkDJ[Date]&lt;=$C$8),CkDJ[Debit])))+(SUM(IF((CsDJ[Account Code]=(TRIM($B68)))*(CsDJ[Date]&lt;=$C$8),CsDJ[Debit])))+(SUM(IF((CRDJ[Account Code]=(TRIM($B68)))*(CRDJ[Date]&lt;=$C$8),CRDJ[Debit])))+(SUM(IF((GJ[Account Code]=(TRIM($B68)))*(GJ[Date]&lt;=$C$8),GJ[Debit]))))-((SUM(IF((CkDJ[Account Code]=(TRIM($B68)))*(CkDJ[Date]&lt;=$C$8),CkDJ[Credit])))+(SUM(IF((CsDJ[Account Code]=(TRIM($B68)))*(CsDJ[Date]&lt;=$C$8),CsDJ[Credit])))+(SUM(IF((CRDJ[Account Code]=(TRIM($B68)))*(CRDJ[Date]&lt;=$C$8),CRDJ[Credit])))+(SUM(IF((GJ[Account Code]=(TRIM($B68)))*(GJ[Date]&lt;=$C$8),GJ[Credit]))))</f>
        <v>0</v>
      </c>
      <c r="D68" s="466">
        <f t="array" ref="D68">((SUM(IF((CkDJ[Date]=$A$4)*(CkDJ[Account Code]=(TRIM($B68))),CkDJ[Debit])))+(SUM(IF((CsDJ[Date]=$A$4)*(CsDJ[Account Code]=(TRIM($B68))),CsDJ[Debit])))+(SUM(IF((CRDJ[Date]=$A$4)*(CRDJ[Account Code]=(TRIM($B68))),CRDJ[Debit])))+(SUM(IF((GJ[Date]=$A$4)*(GJ[Account Code]=(TRIM($B68))),GJ[Debit]))))-((SUM(IF((CkDJ[Date]=$A$4)*(CkDJ[Account Code]=(TRIM($B68))),CkDJ[Credit])))+(SUM(IF((CsDJ[Date]=$A$4)*(CsDJ[Account Code]=(TRIM($B68))),CsDJ[Credit])))+(SUM(IF((CRDJ[Date]=$A$4)*(CRDJ[Account Code]=(TRIM($B68))),CRDJ[Credit])))+(SUM(IF((GJ[Date]=$A$4)*(GJ[Account Code]=(TRIM($B68))),GJ[Credit]))))</f>
        <v>0</v>
      </c>
      <c r="E68" s="467">
        <f t="shared" si="1"/>
        <v>0</v>
      </c>
    </row>
    <row r="69" spans="1:5">
      <c r="A69" s="476" t="s">
        <v>210</v>
      </c>
      <c r="B69" s="339" t="s">
        <v>177</v>
      </c>
      <c r="C69" s="466">
        <f t="array" ref="C69">((SUM(IF((CkDJ[Account Code]=(TRIM($B69)))*(CkDJ[Date]&lt;=$C$8),CkDJ[Debit])))+(SUM(IF((CsDJ[Account Code]=(TRIM($B69)))*(CsDJ[Date]&lt;=$C$8),CsDJ[Debit])))+(SUM(IF((CRDJ[Account Code]=(TRIM($B69)))*(CRDJ[Date]&lt;=$C$8),CRDJ[Debit])))+(SUM(IF((GJ[Account Code]=(TRIM($B69)))*(GJ[Date]&lt;=$C$8),GJ[Debit]))))-((SUM(IF((CkDJ[Account Code]=(TRIM($B69)))*(CkDJ[Date]&lt;=$C$8),CkDJ[Credit])))+(SUM(IF((CsDJ[Account Code]=(TRIM($B69)))*(CsDJ[Date]&lt;=$C$8),CsDJ[Credit])))+(SUM(IF((CRDJ[Account Code]=(TRIM($B69)))*(CRDJ[Date]&lt;=$C$8),CRDJ[Credit])))+(SUM(IF((GJ[Account Code]=(TRIM($B69)))*(GJ[Date]&lt;=$C$8),GJ[Credit]))))</f>
        <v>0</v>
      </c>
      <c r="D69" s="466">
        <f t="array" ref="D69">((SUM(IF((CkDJ[Date]=$A$4)*(CkDJ[Account Code]=(TRIM($B69))),CkDJ[Debit])))+(SUM(IF((CsDJ[Date]=$A$4)*(CsDJ[Account Code]=(TRIM($B69))),CsDJ[Debit])))+(SUM(IF((CRDJ[Date]=$A$4)*(CRDJ[Account Code]=(TRIM($B69))),CRDJ[Debit])))+(SUM(IF((GJ[Date]=$A$4)*(GJ[Account Code]=(TRIM($B69))),GJ[Debit]))))-((SUM(IF((CkDJ[Date]=$A$4)*(CkDJ[Account Code]=(TRIM($B69))),CkDJ[Credit])))+(SUM(IF((CsDJ[Date]=$A$4)*(CsDJ[Account Code]=(TRIM($B69))),CsDJ[Credit])))+(SUM(IF((CRDJ[Date]=$A$4)*(CRDJ[Account Code]=(TRIM($B69))),CRDJ[Credit])))+(SUM(IF((GJ[Date]=$A$4)*(GJ[Account Code]=(TRIM($B69))),GJ[Credit]))))</f>
        <v>0</v>
      </c>
      <c r="E69" s="467">
        <f t="shared" si="1"/>
        <v>0</v>
      </c>
    </row>
    <row r="70" spans="1:5">
      <c r="A70" s="476" t="s">
        <v>211</v>
      </c>
      <c r="B70" s="339" t="s">
        <v>178</v>
      </c>
      <c r="C70" s="466">
        <f t="array" ref="C70">((SUM(IF((CkDJ[Account Code]=(TRIM($B70)))*(CkDJ[Date]&lt;=$C$8),CkDJ[Debit])))+(SUM(IF((CsDJ[Account Code]=(TRIM($B70)))*(CsDJ[Date]&lt;=$C$8),CsDJ[Debit])))+(SUM(IF((CRDJ[Account Code]=(TRIM($B70)))*(CRDJ[Date]&lt;=$C$8),CRDJ[Debit])))+(SUM(IF((GJ[Account Code]=(TRIM($B70)))*(GJ[Date]&lt;=$C$8),GJ[Debit]))))-((SUM(IF((CkDJ[Account Code]=(TRIM($B70)))*(CkDJ[Date]&lt;=$C$8),CkDJ[Credit])))+(SUM(IF((CsDJ[Account Code]=(TRIM($B70)))*(CsDJ[Date]&lt;=$C$8),CsDJ[Credit])))+(SUM(IF((CRDJ[Account Code]=(TRIM($B70)))*(CRDJ[Date]&lt;=$C$8),CRDJ[Credit])))+(SUM(IF((GJ[Account Code]=(TRIM($B70)))*(GJ[Date]&lt;=$C$8),GJ[Credit]))))</f>
        <v>0</v>
      </c>
      <c r="D70" s="466">
        <f t="array" ref="D70">((SUM(IF((CkDJ[Date]=$A$4)*(CkDJ[Account Code]=(TRIM($B70))),CkDJ[Debit])))+(SUM(IF((CsDJ[Date]=$A$4)*(CsDJ[Account Code]=(TRIM($B70))),CsDJ[Debit])))+(SUM(IF((CRDJ[Date]=$A$4)*(CRDJ[Account Code]=(TRIM($B70))),CRDJ[Debit])))+(SUM(IF((GJ[Date]=$A$4)*(GJ[Account Code]=(TRIM($B70))),GJ[Debit]))))-((SUM(IF((CkDJ[Date]=$A$4)*(CkDJ[Account Code]=(TRIM($B70))),CkDJ[Credit])))+(SUM(IF((CsDJ[Date]=$A$4)*(CsDJ[Account Code]=(TRIM($B70))),CsDJ[Credit])))+(SUM(IF((CRDJ[Date]=$A$4)*(CRDJ[Account Code]=(TRIM($B70))),CRDJ[Credit])))+(SUM(IF((GJ[Date]=$A$4)*(GJ[Account Code]=(TRIM($B70))),GJ[Credit]))))</f>
        <v>0</v>
      </c>
      <c r="E70" s="467">
        <f>C70+D70</f>
        <v>0</v>
      </c>
    </row>
    <row r="71" spans="1:5">
      <c r="A71" s="476" t="s">
        <v>211</v>
      </c>
      <c r="B71" s="339" t="s">
        <v>212</v>
      </c>
      <c r="C71" s="466">
        <f t="array" ref="C71">((SUM(IF((CkDJ[Account Code]=(TRIM($B71)))*(CkDJ[Date]&lt;=$C$8),CkDJ[Debit])))+(SUM(IF((CsDJ[Account Code]=(TRIM($B71)))*(CsDJ[Date]&lt;=$C$8),CsDJ[Debit])))+(SUM(IF((CRDJ[Account Code]=(TRIM($B71)))*(CRDJ[Date]&lt;=$C$8),CRDJ[Debit])))+(SUM(IF((GJ[Account Code]=(TRIM($B71)))*(GJ[Date]&lt;=$C$8),GJ[Debit]))))-((SUM(IF((CkDJ[Account Code]=(TRIM($B71)))*(CkDJ[Date]&lt;=$C$8),CkDJ[Credit])))+(SUM(IF((CsDJ[Account Code]=(TRIM($B71)))*(CsDJ[Date]&lt;=$C$8),CsDJ[Credit])))+(SUM(IF((CRDJ[Account Code]=(TRIM($B71)))*(CRDJ[Date]&lt;=$C$8),CRDJ[Credit])))+(SUM(IF((GJ[Account Code]=(TRIM($B71)))*(GJ[Date]&lt;=$C$8),GJ[Credit]))))</f>
        <v>0</v>
      </c>
      <c r="D71" s="466">
        <f t="array" ref="D71">((SUM(IF((CkDJ[Date]=$A$4)*(CkDJ[Account Code]=(TRIM($B71))),CkDJ[Debit])))+(SUM(IF((CsDJ[Date]=$A$4)*(CsDJ[Account Code]=(TRIM($B71))),CsDJ[Debit])))+(SUM(IF((CRDJ[Date]=$A$4)*(CRDJ[Account Code]=(TRIM($B71))),CRDJ[Debit])))+(SUM(IF((GJ[Date]=$A$4)*(GJ[Account Code]=(TRIM($B71))),GJ[Debit]))))-((SUM(IF((CkDJ[Date]=$A$4)*(CkDJ[Account Code]=(TRIM($B71))),CkDJ[Credit])))+(SUM(IF((CsDJ[Date]=$A$4)*(CsDJ[Account Code]=(TRIM($B71))),CsDJ[Credit])))+(SUM(IF((CRDJ[Date]=$A$4)*(CRDJ[Account Code]=(TRIM($B71))),CRDJ[Credit])))+(SUM(IF((GJ[Date]=$A$4)*(GJ[Account Code]=(TRIM($B71))),GJ[Credit]))))</f>
        <v>0</v>
      </c>
      <c r="E71" s="467">
        <f>C71+D71</f>
        <v>0</v>
      </c>
    </row>
    <row r="72" spans="1:5">
      <c r="A72" s="481" t="s">
        <v>218</v>
      </c>
      <c r="B72" s="482" t="s">
        <v>213</v>
      </c>
      <c r="C72" s="483">
        <f t="array" ref="C72">((SUM(IF((CkDJ[Account Code]=(TRIM($B72)))*(CkDJ[Date]&lt;=$C$8),CkDJ[Debit])))+(SUM(IF((CsDJ[Account Code]=(TRIM($B72)))*(CsDJ[Date]&lt;=$C$8),CsDJ[Debit])))+(SUM(IF((CRDJ[Account Code]=(TRIM($B72)))*(CRDJ[Date]&lt;=$C$8),CRDJ[Debit])))+(SUM(IF((GJ[Account Code]=(TRIM($B72)))*(GJ[Date]&lt;=$C$8),GJ[Debit]))))-((SUM(IF((CkDJ[Account Code]=(TRIM($B72)))*(CkDJ[Date]&lt;=$C$8),CkDJ[Credit])))+(SUM(IF((CsDJ[Account Code]=(TRIM($B72)))*(CsDJ[Date]&lt;=$C$8),CsDJ[Credit])))+(SUM(IF((CRDJ[Account Code]=(TRIM($B72)))*(CRDJ[Date]&lt;=$C$8),CRDJ[Credit])))+(SUM(IF((GJ[Account Code]=(TRIM($B72)))*(GJ[Date]&lt;=$C$8),GJ[Credit]))))</f>
        <v>0</v>
      </c>
      <c r="D72" s="483">
        <f t="array" ref="D72">((SUM(IF((CkDJ[Date]=$A$4)*(CkDJ[Account Code]=(TRIM($B72))),CkDJ[Debit])))+(SUM(IF((CsDJ[Date]=$A$4)*(CsDJ[Account Code]=(TRIM($B72))),CsDJ[Debit])))+(SUM(IF((CRDJ[Date]=$A$4)*(CRDJ[Account Code]=(TRIM($B72))),CRDJ[Debit])))+(SUM(IF((GJ[Date]=$A$4)*(GJ[Account Code]=(TRIM($B72))),GJ[Debit]))))-((SUM(IF((CkDJ[Date]=$A$4)*(CkDJ[Account Code]=(TRIM($B72))),CkDJ[Credit])))+(SUM(IF((CsDJ[Date]=$A$4)*(CsDJ[Account Code]=(TRIM($B72))),CsDJ[Credit])))+(SUM(IF((CRDJ[Date]=$A$4)*(CRDJ[Account Code]=(TRIM($B72))),CRDJ[Credit])))+(SUM(IF((GJ[Date]=$A$4)*(GJ[Account Code]=(TRIM($B72))),GJ[Credit]))))</f>
        <v>0</v>
      </c>
      <c r="E72" s="484">
        <f>C72+D72</f>
        <v>0</v>
      </c>
    </row>
    <row r="73" spans="1:5">
      <c r="A73" s="476"/>
      <c r="B73" s="339"/>
      <c r="C73" s="466"/>
      <c r="D73" s="466"/>
      <c r="E73" s="467"/>
    </row>
    <row r="74" spans="1:5">
      <c r="A74" s="471" t="s">
        <v>810</v>
      </c>
      <c r="B74" s="339"/>
      <c r="C74" s="480">
        <f>SUM(C75:C137)</f>
        <v>0</v>
      </c>
      <c r="D74" s="480">
        <f>SUM(D75:D137)</f>
        <v>0</v>
      </c>
      <c r="E74" s="480">
        <f>SUM(E75:E137)</f>
        <v>0</v>
      </c>
    </row>
    <row r="75" spans="1:5">
      <c r="A75" s="476" t="s">
        <v>284</v>
      </c>
      <c r="B75" s="339" t="s">
        <v>223</v>
      </c>
      <c r="C75" s="466">
        <f t="array" ref="C75">((SUM(IF((CkDJ[Account Code]=(TRIM($B75)))*(CkDJ[Date]&lt;=$C$8),CkDJ[Debit])))+(SUM(IF((CsDJ[Account Code]=(TRIM($B75)))*(CsDJ[Date]&lt;=$C$8),CsDJ[Debit])))+(SUM(IF((CRDJ[Account Code]=(TRIM($B75)))*(CRDJ[Date]&lt;=$C$8),CRDJ[Debit])))+(SUM(IF((GJ[Account Code]=(TRIM($B75)))*(GJ[Date]&lt;=$C$8),GJ[Debit]))))-((SUM(IF((CkDJ[Account Code]=(TRIM($B75)))*(CkDJ[Date]&lt;=$C$8),CkDJ[Credit])))+(SUM(IF((CsDJ[Account Code]=(TRIM($B75)))*(CsDJ[Date]&lt;=$C$8),CsDJ[Credit])))+(SUM(IF((CRDJ[Account Code]=(TRIM($B75)))*(CRDJ[Date]&lt;=$C$8),CRDJ[Credit])))+(SUM(IF((GJ[Account Code]=(TRIM($B75)))*(GJ[Date]&lt;=$C$8),GJ[Credit]))))</f>
        <v>0</v>
      </c>
      <c r="D75" s="466">
        <f t="array" ref="D75">((SUM(IF((CkDJ[Date]=$A$4)*(CkDJ[Account Code]=(TRIM($B75))),CkDJ[Debit])))+(SUM(IF((CsDJ[Date]=$A$4)*(CsDJ[Account Code]=(TRIM($B75))),CsDJ[Debit])))+(SUM(IF((CRDJ[Date]=$A$4)*(CRDJ[Account Code]=(TRIM($B75))),CRDJ[Debit])))+(SUM(IF((GJ[Date]=$A$4)*(GJ[Account Code]=(TRIM($B75))),GJ[Debit]))))-((SUM(IF((CkDJ[Date]=$A$4)*(CkDJ[Account Code]=(TRIM($B75))),CkDJ[Credit])))+(SUM(IF((CsDJ[Date]=$A$4)*(CsDJ[Account Code]=(TRIM($B75))),CsDJ[Credit])))+(SUM(IF((CRDJ[Date]=$A$4)*(CRDJ[Account Code]=(TRIM($B75))),CRDJ[Credit])))+(SUM(IF((GJ[Date]=$A$4)*(GJ[Account Code]=(TRIM($B75))),GJ[Credit]))))</f>
        <v>0</v>
      </c>
      <c r="E75" s="467">
        <f t="shared" ref="E75:E136" si="2">C75+D75</f>
        <v>0</v>
      </c>
    </row>
    <row r="76" spans="1:5">
      <c r="A76" s="476" t="s">
        <v>1477</v>
      </c>
      <c r="B76" s="339" t="s">
        <v>1233</v>
      </c>
      <c r="C76" s="466">
        <f t="array" ref="C76">((SUM(IF((CkDJ[Account Code]=(TRIM($B76)))*(CkDJ[Date]&lt;=$C$8),CkDJ[Debit])))+(SUM(IF((CsDJ[Account Code]=(TRIM($B76)))*(CsDJ[Date]&lt;=$C$8),CsDJ[Debit])))+(SUM(IF((CRDJ[Account Code]=(TRIM($B76)))*(CRDJ[Date]&lt;=$C$8),CRDJ[Debit])))+(SUM(IF((GJ[Account Code]=(TRIM($B76)))*(GJ[Date]&lt;=$C$8),GJ[Debit]))))-((SUM(IF((CkDJ[Account Code]=(TRIM($B76)))*(CkDJ[Date]&lt;=$C$8),CkDJ[Credit])))+(SUM(IF((CsDJ[Account Code]=(TRIM($B76)))*(CsDJ[Date]&lt;=$C$8),CsDJ[Credit])))+(SUM(IF((CRDJ[Account Code]=(TRIM($B76)))*(CRDJ[Date]&lt;=$C$8),CRDJ[Credit])))+(SUM(IF((GJ[Account Code]=(TRIM($B76)))*(GJ[Date]&lt;=$C$8),GJ[Credit]))))</f>
        <v>0</v>
      </c>
      <c r="D76" s="466">
        <f t="array" ref="D76">((SUM(IF((CkDJ[Date]=$A$4)*(CkDJ[Account Code]=(TRIM($B76))),CkDJ[Debit])))+(SUM(IF((CsDJ[Date]=$A$4)*(CsDJ[Account Code]=(TRIM($B76))),CsDJ[Debit])))+(SUM(IF((CRDJ[Date]=$A$4)*(CRDJ[Account Code]=(TRIM($B76))),CRDJ[Debit])))+(SUM(IF((GJ[Date]=$A$4)*(GJ[Account Code]=(TRIM($B76))),GJ[Debit]))))-((SUM(IF((CkDJ[Date]=$A$4)*(CkDJ[Account Code]=(TRIM($B76))),CkDJ[Credit])))+(SUM(IF((CsDJ[Date]=$A$4)*(CsDJ[Account Code]=(TRIM($B76))),CsDJ[Credit])))+(SUM(IF((CRDJ[Date]=$A$4)*(CRDJ[Account Code]=(TRIM($B76))),CRDJ[Credit])))+(SUM(IF((GJ[Date]=$A$4)*(GJ[Account Code]=(TRIM($B76))),GJ[Credit]))))</f>
        <v>0</v>
      </c>
      <c r="E76" s="467">
        <f>C76+D76</f>
        <v>0</v>
      </c>
    </row>
    <row r="77" spans="1:5">
      <c r="A77" s="476" t="s">
        <v>285</v>
      </c>
      <c r="B77" s="339" t="s">
        <v>224</v>
      </c>
      <c r="C77" s="466">
        <f t="array" ref="C77">((SUM(IF((CkDJ[Account Code]=(TRIM($B77)))*(CkDJ[Date]&lt;=$C$8),CkDJ[Debit])))+(SUM(IF((CsDJ[Account Code]=(TRIM($B77)))*(CsDJ[Date]&lt;=$C$8),CsDJ[Debit])))+(SUM(IF((CRDJ[Account Code]=(TRIM($B77)))*(CRDJ[Date]&lt;=$C$8),CRDJ[Debit])))+(SUM(IF((GJ[Account Code]=(TRIM($B77)))*(GJ[Date]&lt;=$C$8),GJ[Debit]))))-((SUM(IF((CkDJ[Account Code]=(TRIM($B77)))*(CkDJ[Date]&lt;=$C$8),CkDJ[Credit])))+(SUM(IF((CsDJ[Account Code]=(TRIM($B77)))*(CsDJ[Date]&lt;=$C$8),CsDJ[Credit])))+(SUM(IF((CRDJ[Account Code]=(TRIM($B77)))*(CRDJ[Date]&lt;=$C$8),CRDJ[Credit])))+(SUM(IF((GJ[Account Code]=(TRIM($B77)))*(GJ[Date]&lt;=$C$8),GJ[Credit]))))</f>
        <v>0</v>
      </c>
      <c r="D77" s="466">
        <f t="array" ref="D77">((SUM(IF((CkDJ[Date]=$A$4)*(CkDJ[Account Code]=(TRIM($B77))),CkDJ[Debit])))+(SUM(IF((CsDJ[Date]=$A$4)*(CsDJ[Account Code]=(TRIM($B77))),CsDJ[Debit])))+(SUM(IF((CRDJ[Date]=$A$4)*(CRDJ[Account Code]=(TRIM($B77))),CRDJ[Debit])))+(SUM(IF((GJ[Date]=$A$4)*(GJ[Account Code]=(TRIM($B77))),GJ[Debit]))))-((SUM(IF((CkDJ[Date]=$A$4)*(CkDJ[Account Code]=(TRIM($B77))),CkDJ[Credit])))+(SUM(IF((CsDJ[Date]=$A$4)*(CsDJ[Account Code]=(TRIM($B77))),CsDJ[Credit])))+(SUM(IF((CRDJ[Date]=$A$4)*(CRDJ[Account Code]=(TRIM($B77))),CRDJ[Credit])))+(SUM(IF((GJ[Date]=$A$4)*(GJ[Account Code]=(TRIM($B77))),GJ[Credit]))))</f>
        <v>0</v>
      </c>
      <c r="E77" s="467">
        <f t="shared" si="2"/>
        <v>0</v>
      </c>
    </row>
    <row r="78" spans="1:5">
      <c r="A78" s="476" t="s">
        <v>286</v>
      </c>
      <c r="B78" s="339" t="s">
        <v>225</v>
      </c>
      <c r="C78" s="466">
        <f t="array" ref="C78">((SUM(IF((CkDJ[Account Code]=(TRIM($B78)))*(CkDJ[Date]&lt;=$C$8),CkDJ[Debit])))+(SUM(IF((CsDJ[Account Code]=(TRIM($B78)))*(CsDJ[Date]&lt;=$C$8),CsDJ[Debit])))+(SUM(IF((CRDJ[Account Code]=(TRIM($B78)))*(CRDJ[Date]&lt;=$C$8),CRDJ[Debit])))+(SUM(IF((GJ[Account Code]=(TRIM($B78)))*(GJ[Date]&lt;=$C$8),GJ[Debit]))))-((SUM(IF((CkDJ[Account Code]=(TRIM($B78)))*(CkDJ[Date]&lt;=$C$8),CkDJ[Credit])))+(SUM(IF((CsDJ[Account Code]=(TRIM($B78)))*(CsDJ[Date]&lt;=$C$8),CsDJ[Credit])))+(SUM(IF((CRDJ[Account Code]=(TRIM($B78)))*(CRDJ[Date]&lt;=$C$8),CRDJ[Credit])))+(SUM(IF((GJ[Account Code]=(TRIM($B78)))*(GJ[Date]&lt;=$C$8),GJ[Credit]))))</f>
        <v>0</v>
      </c>
      <c r="D78" s="466">
        <f t="array" ref="D78">((SUM(IF((CkDJ[Date]=$A$4)*(CkDJ[Account Code]=(TRIM($B78))),CkDJ[Debit])))+(SUM(IF((CsDJ[Date]=$A$4)*(CsDJ[Account Code]=(TRIM($B78))),CsDJ[Debit])))+(SUM(IF((CRDJ[Date]=$A$4)*(CRDJ[Account Code]=(TRIM($B78))),CRDJ[Debit])))+(SUM(IF((GJ[Date]=$A$4)*(GJ[Account Code]=(TRIM($B78))),GJ[Debit]))))-((SUM(IF((CkDJ[Date]=$A$4)*(CkDJ[Account Code]=(TRIM($B78))),CkDJ[Credit])))+(SUM(IF((CsDJ[Date]=$A$4)*(CsDJ[Account Code]=(TRIM($B78))),CsDJ[Credit])))+(SUM(IF((CRDJ[Date]=$A$4)*(CRDJ[Account Code]=(TRIM($B78))),CRDJ[Credit])))+(SUM(IF((GJ[Date]=$A$4)*(GJ[Account Code]=(TRIM($B78))),GJ[Credit]))))</f>
        <v>0</v>
      </c>
      <c r="E78" s="467">
        <f t="shared" si="2"/>
        <v>0</v>
      </c>
    </row>
    <row r="79" spans="1:5">
      <c r="A79" s="476" t="s">
        <v>287</v>
      </c>
      <c r="B79" s="339" t="s">
        <v>226</v>
      </c>
      <c r="C79" s="466">
        <f t="array" ref="C79">((SUM(IF((CkDJ[Account Code]=(TRIM($B79)))*(CkDJ[Date]&lt;=$C$8),CkDJ[Debit])))+(SUM(IF((CsDJ[Account Code]=(TRIM($B79)))*(CsDJ[Date]&lt;=$C$8),CsDJ[Debit])))+(SUM(IF((CRDJ[Account Code]=(TRIM($B79)))*(CRDJ[Date]&lt;=$C$8),CRDJ[Debit])))+(SUM(IF((GJ[Account Code]=(TRIM($B79)))*(GJ[Date]&lt;=$C$8),GJ[Debit]))))-((SUM(IF((CkDJ[Account Code]=(TRIM($B79)))*(CkDJ[Date]&lt;=$C$8),CkDJ[Credit])))+(SUM(IF((CsDJ[Account Code]=(TRIM($B79)))*(CsDJ[Date]&lt;=$C$8),CsDJ[Credit])))+(SUM(IF((CRDJ[Account Code]=(TRIM($B79)))*(CRDJ[Date]&lt;=$C$8),CRDJ[Credit])))+(SUM(IF((GJ[Account Code]=(TRIM($B79)))*(GJ[Date]&lt;=$C$8),GJ[Credit]))))</f>
        <v>0</v>
      </c>
      <c r="D79" s="466">
        <f t="array" ref="D79">((SUM(IF((CkDJ[Date]=$A$4)*(CkDJ[Account Code]=(TRIM($B79))),CkDJ[Debit])))+(SUM(IF((CsDJ[Date]=$A$4)*(CsDJ[Account Code]=(TRIM($B79))),CsDJ[Debit])))+(SUM(IF((CRDJ[Date]=$A$4)*(CRDJ[Account Code]=(TRIM($B79))),CRDJ[Debit])))+(SUM(IF((GJ[Date]=$A$4)*(GJ[Account Code]=(TRIM($B79))),GJ[Debit]))))-((SUM(IF((CkDJ[Date]=$A$4)*(CkDJ[Account Code]=(TRIM($B79))),CkDJ[Credit])))+(SUM(IF((CsDJ[Date]=$A$4)*(CsDJ[Account Code]=(TRIM($B79))),CsDJ[Credit])))+(SUM(IF((CRDJ[Date]=$A$4)*(CRDJ[Account Code]=(TRIM($B79))),CRDJ[Credit])))+(SUM(IF((GJ[Date]=$A$4)*(GJ[Account Code]=(TRIM($B79))),GJ[Credit]))))</f>
        <v>0</v>
      </c>
      <c r="E79" s="467">
        <f t="shared" si="2"/>
        <v>0</v>
      </c>
    </row>
    <row r="80" spans="1:5">
      <c r="A80" s="476" t="s">
        <v>1017</v>
      </c>
      <c r="B80" s="339" t="s">
        <v>227</v>
      </c>
      <c r="C80" s="466">
        <f t="array" ref="C80">((SUM(IF((CkDJ[Account Code]=(TRIM($B80)))*(CkDJ[Date]&lt;=$C$8),CkDJ[Debit])))+(SUM(IF((CsDJ[Account Code]=(TRIM($B80)))*(CsDJ[Date]&lt;=$C$8),CsDJ[Debit])))+(SUM(IF((CRDJ[Account Code]=(TRIM($B80)))*(CRDJ[Date]&lt;=$C$8),CRDJ[Debit])))+(SUM(IF((GJ[Account Code]=(TRIM($B80)))*(GJ[Date]&lt;=$C$8),GJ[Debit]))))-((SUM(IF((CkDJ[Account Code]=(TRIM($B80)))*(CkDJ[Date]&lt;=$C$8),CkDJ[Credit])))+(SUM(IF((CsDJ[Account Code]=(TRIM($B80)))*(CsDJ[Date]&lt;=$C$8),CsDJ[Credit])))+(SUM(IF((CRDJ[Account Code]=(TRIM($B80)))*(CRDJ[Date]&lt;=$C$8),CRDJ[Credit])))+(SUM(IF((GJ[Account Code]=(TRIM($B80)))*(GJ[Date]&lt;=$C$8),GJ[Credit]))))</f>
        <v>0</v>
      </c>
      <c r="D80" s="466">
        <f t="array" ref="D80">((SUM(IF((CkDJ[Date]=$A$4)*(CkDJ[Account Code]=(TRIM($B80))),CkDJ[Debit])))+(SUM(IF((CsDJ[Date]=$A$4)*(CsDJ[Account Code]=(TRIM($B80))),CsDJ[Debit])))+(SUM(IF((CRDJ[Date]=$A$4)*(CRDJ[Account Code]=(TRIM($B80))),CRDJ[Debit])))+(SUM(IF((GJ[Date]=$A$4)*(GJ[Account Code]=(TRIM($B80))),GJ[Debit]))))-((SUM(IF((CkDJ[Date]=$A$4)*(CkDJ[Account Code]=(TRIM($B80))),CkDJ[Credit])))+(SUM(IF((CsDJ[Date]=$A$4)*(CsDJ[Account Code]=(TRIM($B80))),CsDJ[Credit])))+(SUM(IF((CRDJ[Date]=$A$4)*(CRDJ[Account Code]=(TRIM($B80))),CRDJ[Credit])))+(SUM(IF((GJ[Date]=$A$4)*(GJ[Account Code]=(TRIM($B80))),GJ[Credit]))))</f>
        <v>0</v>
      </c>
      <c r="E80" s="467">
        <f t="shared" si="2"/>
        <v>0</v>
      </c>
    </row>
    <row r="81" spans="1:5">
      <c r="A81" s="476" t="s">
        <v>1018</v>
      </c>
      <c r="B81" s="339" t="s">
        <v>228</v>
      </c>
      <c r="C81" s="466">
        <f t="array" ref="C81">((SUM(IF((CkDJ[Account Code]=(TRIM($B81)))*(CkDJ[Date]&lt;=$C$8),CkDJ[Debit])))+(SUM(IF((CsDJ[Account Code]=(TRIM($B81)))*(CsDJ[Date]&lt;=$C$8),CsDJ[Debit])))+(SUM(IF((CRDJ[Account Code]=(TRIM($B81)))*(CRDJ[Date]&lt;=$C$8),CRDJ[Debit])))+(SUM(IF((GJ[Account Code]=(TRIM($B81)))*(GJ[Date]&lt;=$C$8),GJ[Debit]))))-((SUM(IF((CkDJ[Account Code]=(TRIM($B81)))*(CkDJ[Date]&lt;=$C$8),CkDJ[Credit])))+(SUM(IF((CsDJ[Account Code]=(TRIM($B81)))*(CsDJ[Date]&lt;=$C$8),CsDJ[Credit])))+(SUM(IF((CRDJ[Account Code]=(TRIM($B81)))*(CRDJ[Date]&lt;=$C$8),CRDJ[Credit])))+(SUM(IF((GJ[Account Code]=(TRIM($B81)))*(GJ[Date]&lt;=$C$8),GJ[Credit]))))</f>
        <v>0</v>
      </c>
      <c r="D81" s="466">
        <f t="array" ref="D81">((SUM(IF((CkDJ[Date]=$A$4)*(CkDJ[Account Code]=(TRIM($B81))),CkDJ[Debit])))+(SUM(IF((CsDJ[Date]=$A$4)*(CsDJ[Account Code]=(TRIM($B81))),CsDJ[Debit])))+(SUM(IF((CRDJ[Date]=$A$4)*(CRDJ[Account Code]=(TRIM($B81))),CRDJ[Debit])))+(SUM(IF((GJ[Date]=$A$4)*(GJ[Account Code]=(TRIM($B81))),GJ[Debit]))))-((SUM(IF((CkDJ[Date]=$A$4)*(CkDJ[Account Code]=(TRIM($B81))),CkDJ[Credit])))+(SUM(IF((CsDJ[Date]=$A$4)*(CsDJ[Account Code]=(TRIM($B81))),CsDJ[Credit])))+(SUM(IF((CRDJ[Date]=$A$4)*(CRDJ[Account Code]=(TRIM($B81))),CRDJ[Credit])))+(SUM(IF((GJ[Date]=$A$4)*(GJ[Account Code]=(TRIM($B81))),GJ[Credit]))))</f>
        <v>0</v>
      </c>
      <c r="E81" s="467">
        <f t="shared" si="2"/>
        <v>0</v>
      </c>
    </row>
    <row r="82" spans="1:5">
      <c r="A82" s="476" t="s">
        <v>289</v>
      </c>
      <c r="B82" s="339" t="s">
        <v>229</v>
      </c>
      <c r="C82" s="466">
        <f t="array" ref="C82">((SUM(IF((CkDJ[Account Code]=(TRIM($B82)))*(CkDJ[Date]&lt;=$C$8),CkDJ[Debit])))+(SUM(IF((CsDJ[Account Code]=(TRIM($B82)))*(CsDJ[Date]&lt;=$C$8),CsDJ[Debit])))+(SUM(IF((CRDJ[Account Code]=(TRIM($B82)))*(CRDJ[Date]&lt;=$C$8),CRDJ[Debit])))+(SUM(IF((GJ[Account Code]=(TRIM($B82)))*(GJ[Date]&lt;=$C$8),GJ[Debit]))))-((SUM(IF((CkDJ[Account Code]=(TRIM($B82)))*(CkDJ[Date]&lt;=$C$8),CkDJ[Credit])))+(SUM(IF((CsDJ[Account Code]=(TRIM($B82)))*(CsDJ[Date]&lt;=$C$8),CsDJ[Credit])))+(SUM(IF((CRDJ[Account Code]=(TRIM($B82)))*(CRDJ[Date]&lt;=$C$8),CRDJ[Credit])))+(SUM(IF((GJ[Account Code]=(TRIM($B82)))*(GJ[Date]&lt;=$C$8),GJ[Credit]))))</f>
        <v>0</v>
      </c>
      <c r="D82" s="466">
        <f t="array" ref="D82">((SUM(IF((CkDJ[Date]=$A$4)*(CkDJ[Account Code]=(TRIM($B82))),CkDJ[Debit])))+(SUM(IF((CsDJ[Date]=$A$4)*(CsDJ[Account Code]=(TRIM($B82))),CsDJ[Debit])))+(SUM(IF((CRDJ[Date]=$A$4)*(CRDJ[Account Code]=(TRIM($B82))),CRDJ[Debit])))+(SUM(IF((GJ[Date]=$A$4)*(GJ[Account Code]=(TRIM($B82))),GJ[Debit]))))-((SUM(IF((CkDJ[Date]=$A$4)*(CkDJ[Account Code]=(TRIM($B82))),CkDJ[Credit])))+(SUM(IF((CsDJ[Date]=$A$4)*(CsDJ[Account Code]=(TRIM($B82))),CsDJ[Credit])))+(SUM(IF((CRDJ[Date]=$A$4)*(CRDJ[Account Code]=(TRIM($B82))),CRDJ[Credit])))+(SUM(IF((GJ[Date]=$A$4)*(GJ[Account Code]=(TRIM($B82))),GJ[Credit]))))</f>
        <v>0</v>
      </c>
      <c r="E82" s="467">
        <f t="shared" si="2"/>
        <v>0</v>
      </c>
    </row>
    <row r="83" spans="1:5">
      <c r="A83" s="476" t="s">
        <v>290</v>
      </c>
      <c r="B83" s="339" t="s">
        <v>230</v>
      </c>
      <c r="C83" s="466">
        <f t="array" ref="C83">((SUM(IF((CkDJ[Account Code]=(TRIM($B83)))*(CkDJ[Date]&lt;=$C$8),CkDJ[Debit])))+(SUM(IF((CsDJ[Account Code]=(TRIM($B83)))*(CsDJ[Date]&lt;=$C$8),CsDJ[Debit])))+(SUM(IF((CRDJ[Account Code]=(TRIM($B83)))*(CRDJ[Date]&lt;=$C$8),CRDJ[Debit])))+(SUM(IF((GJ[Account Code]=(TRIM($B83)))*(GJ[Date]&lt;=$C$8),GJ[Debit]))))-((SUM(IF((CkDJ[Account Code]=(TRIM($B83)))*(CkDJ[Date]&lt;=$C$8),CkDJ[Credit])))+(SUM(IF((CsDJ[Account Code]=(TRIM($B83)))*(CsDJ[Date]&lt;=$C$8),CsDJ[Credit])))+(SUM(IF((CRDJ[Account Code]=(TRIM($B83)))*(CRDJ[Date]&lt;=$C$8),CRDJ[Credit])))+(SUM(IF((GJ[Account Code]=(TRIM($B83)))*(GJ[Date]&lt;=$C$8),GJ[Credit]))))</f>
        <v>0</v>
      </c>
      <c r="D83" s="466">
        <f t="array" ref="D83">((SUM(IF((CkDJ[Date]=$A$4)*(CkDJ[Account Code]=(TRIM($B83))),CkDJ[Debit])))+(SUM(IF((CsDJ[Date]=$A$4)*(CsDJ[Account Code]=(TRIM($B83))),CsDJ[Debit])))+(SUM(IF((CRDJ[Date]=$A$4)*(CRDJ[Account Code]=(TRIM($B83))),CRDJ[Debit])))+(SUM(IF((GJ[Date]=$A$4)*(GJ[Account Code]=(TRIM($B83))),GJ[Debit]))))-((SUM(IF((CkDJ[Date]=$A$4)*(CkDJ[Account Code]=(TRIM($B83))),CkDJ[Credit])))+(SUM(IF((CsDJ[Date]=$A$4)*(CsDJ[Account Code]=(TRIM($B83))),CsDJ[Credit])))+(SUM(IF((CRDJ[Date]=$A$4)*(CRDJ[Account Code]=(TRIM($B83))),CRDJ[Credit])))+(SUM(IF((GJ[Date]=$A$4)*(GJ[Account Code]=(TRIM($B83))),GJ[Credit]))))</f>
        <v>0</v>
      </c>
      <c r="E83" s="467">
        <f t="shared" si="2"/>
        <v>0</v>
      </c>
    </row>
    <row r="84" spans="1:5">
      <c r="A84" s="476" t="s">
        <v>291</v>
      </c>
      <c r="B84" s="339" t="s">
        <v>231</v>
      </c>
      <c r="C84" s="466">
        <f t="array" ref="C84">((SUM(IF((CkDJ[Account Code]=(TRIM($B84)))*(CkDJ[Date]&lt;=$C$8),CkDJ[Debit])))+(SUM(IF((CsDJ[Account Code]=(TRIM($B84)))*(CsDJ[Date]&lt;=$C$8),CsDJ[Debit])))+(SUM(IF((CRDJ[Account Code]=(TRIM($B84)))*(CRDJ[Date]&lt;=$C$8),CRDJ[Debit])))+(SUM(IF((GJ[Account Code]=(TRIM($B84)))*(GJ[Date]&lt;=$C$8),GJ[Debit]))))-((SUM(IF((CkDJ[Account Code]=(TRIM($B84)))*(CkDJ[Date]&lt;=$C$8),CkDJ[Credit])))+(SUM(IF((CsDJ[Account Code]=(TRIM($B84)))*(CsDJ[Date]&lt;=$C$8),CsDJ[Credit])))+(SUM(IF((CRDJ[Account Code]=(TRIM($B84)))*(CRDJ[Date]&lt;=$C$8),CRDJ[Credit])))+(SUM(IF((GJ[Account Code]=(TRIM($B84)))*(GJ[Date]&lt;=$C$8),GJ[Credit]))))</f>
        <v>0</v>
      </c>
      <c r="D84" s="466">
        <f t="array" ref="D84">((SUM(IF((CkDJ[Date]=$A$4)*(CkDJ[Account Code]=(TRIM($B84))),CkDJ[Debit])))+(SUM(IF((CsDJ[Date]=$A$4)*(CsDJ[Account Code]=(TRIM($B84))),CsDJ[Debit])))+(SUM(IF((CRDJ[Date]=$A$4)*(CRDJ[Account Code]=(TRIM($B84))),CRDJ[Debit])))+(SUM(IF((GJ[Date]=$A$4)*(GJ[Account Code]=(TRIM($B84))),GJ[Debit]))))-((SUM(IF((CkDJ[Date]=$A$4)*(CkDJ[Account Code]=(TRIM($B84))),CkDJ[Credit])))+(SUM(IF((CsDJ[Date]=$A$4)*(CsDJ[Account Code]=(TRIM($B84))),CsDJ[Credit])))+(SUM(IF((CRDJ[Date]=$A$4)*(CRDJ[Account Code]=(TRIM($B84))),CRDJ[Credit])))+(SUM(IF((GJ[Date]=$A$4)*(GJ[Account Code]=(TRIM($B84))),GJ[Credit]))))</f>
        <v>0</v>
      </c>
      <c r="E84" s="467">
        <f t="shared" si="2"/>
        <v>0</v>
      </c>
    </row>
    <row r="85" spans="1:5">
      <c r="A85" s="476" t="s">
        <v>292</v>
      </c>
      <c r="B85" s="339" t="s">
        <v>232</v>
      </c>
      <c r="C85" s="466">
        <f t="array" ref="C85">((SUM(IF((CkDJ[Account Code]=(TRIM($B85)))*(CkDJ[Date]&lt;=$C$8),CkDJ[Debit])))+(SUM(IF((CsDJ[Account Code]=(TRIM($B85)))*(CsDJ[Date]&lt;=$C$8),CsDJ[Debit])))+(SUM(IF((CRDJ[Account Code]=(TRIM($B85)))*(CRDJ[Date]&lt;=$C$8),CRDJ[Debit])))+(SUM(IF((GJ[Account Code]=(TRIM($B85)))*(GJ[Date]&lt;=$C$8),GJ[Debit]))))-((SUM(IF((CkDJ[Account Code]=(TRIM($B85)))*(CkDJ[Date]&lt;=$C$8),CkDJ[Credit])))+(SUM(IF((CsDJ[Account Code]=(TRIM($B85)))*(CsDJ[Date]&lt;=$C$8),CsDJ[Credit])))+(SUM(IF((CRDJ[Account Code]=(TRIM($B85)))*(CRDJ[Date]&lt;=$C$8),CRDJ[Credit])))+(SUM(IF((GJ[Account Code]=(TRIM($B85)))*(GJ[Date]&lt;=$C$8),GJ[Credit]))))</f>
        <v>0</v>
      </c>
      <c r="D85" s="466">
        <f t="array" ref="D85">((SUM(IF((CkDJ[Date]=$A$4)*(CkDJ[Account Code]=(TRIM($B85))),CkDJ[Debit])))+(SUM(IF((CsDJ[Date]=$A$4)*(CsDJ[Account Code]=(TRIM($B85))),CsDJ[Debit])))+(SUM(IF((CRDJ[Date]=$A$4)*(CRDJ[Account Code]=(TRIM($B85))),CRDJ[Debit])))+(SUM(IF((GJ[Date]=$A$4)*(GJ[Account Code]=(TRIM($B85))),GJ[Debit]))))-((SUM(IF((CkDJ[Date]=$A$4)*(CkDJ[Account Code]=(TRIM($B85))),CkDJ[Credit])))+(SUM(IF((CsDJ[Date]=$A$4)*(CsDJ[Account Code]=(TRIM($B85))),CsDJ[Credit])))+(SUM(IF((CRDJ[Date]=$A$4)*(CRDJ[Account Code]=(TRIM($B85))),CRDJ[Credit])))+(SUM(IF((GJ[Date]=$A$4)*(GJ[Account Code]=(TRIM($B85))),GJ[Credit]))))</f>
        <v>0</v>
      </c>
      <c r="E85" s="467">
        <f t="shared" si="2"/>
        <v>0</v>
      </c>
    </row>
    <row r="86" spans="1:5">
      <c r="A86" s="476" t="s">
        <v>293</v>
      </c>
      <c r="B86" s="339" t="s">
        <v>233</v>
      </c>
      <c r="C86" s="466">
        <f t="array" ref="C86">((SUM(IF((CkDJ[Account Code]=(TRIM($B86)))*(CkDJ[Date]&lt;=$C$8),CkDJ[Debit])))+(SUM(IF((CsDJ[Account Code]=(TRIM($B86)))*(CsDJ[Date]&lt;=$C$8),CsDJ[Debit])))+(SUM(IF((CRDJ[Account Code]=(TRIM($B86)))*(CRDJ[Date]&lt;=$C$8),CRDJ[Debit])))+(SUM(IF((GJ[Account Code]=(TRIM($B86)))*(GJ[Date]&lt;=$C$8),GJ[Debit]))))-((SUM(IF((CkDJ[Account Code]=(TRIM($B86)))*(CkDJ[Date]&lt;=$C$8),CkDJ[Credit])))+(SUM(IF((CsDJ[Account Code]=(TRIM($B86)))*(CsDJ[Date]&lt;=$C$8),CsDJ[Credit])))+(SUM(IF((CRDJ[Account Code]=(TRIM($B86)))*(CRDJ[Date]&lt;=$C$8),CRDJ[Credit])))+(SUM(IF((GJ[Account Code]=(TRIM($B86)))*(GJ[Date]&lt;=$C$8),GJ[Credit]))))</f>
        <v>0</v>
      </c>
      <c r="D86" s="466">
        <f t="array" ref="D86">((SUM(IF((CkDJ[Date]=$A$4)*(CkDJ[Account Code]=(TRIM($B86))),CkDJ[Debit])))+(SUM(IF((CsDJ[Date]=$A$4)*(CsDJ[Account Code]=(TRIM($B86))),CsDJ[Debit])))+(SUM(IF((CRDJ[Date]=$A$4)*(CRDJ[Account Code]=(TRIM($B86))),CRDJ[Debit])))+(SUM(IF((GJ[Date]=$A$4)*(GJ[Account Code]=(TRIM($B86))),GJ[Debit]))))-((SUM(IF((CkDJ[Date]=$A$4)*(CkDJ[Account Code]=(TRIM($B86))),CkDJ[Credit])))+(SUM(IF((CsDJ[Date]=$A$4)*(CsDJ[Account Code]=(TRIM($B86))),CsDJ[Credit])))+(SUM(IF((CRDJ[Date]=$A$4)*(CRDJ[Account Code]=(TRIM($B86))),CRDJ[Credit])))+(SUM(IF((GJ[Date]=$A$4)*(GJ[Account Code]=(TRIM($B86))),GJ[Credit]))))</f>
        <v>0</v>
      </c>
      <c r="E86" s="467">
        <f t="shared" si="2"/>
        <v>0</v>
      </c>
    </row>
    <row r="87" spans="1:5">
      <c r="A87" s="476" t="s">
        <v>1475</v>
      </c>
      <c r="B87" s="339" t="s">
        <v>1265</v>
      </c>
      <c r="C87" s="466">
        <f t="array" ref="C87">((SUM(IF((CkDJ[Account Code]=(TRIM($B87)))*(CkDJ[Date]&lt;=$C$8),CkDJ[Debit])))+(SUM(IF((CsDJ[Account Code]=(TRIM($B87)))*(CsDJ[Date]&lt;=$C$8),CsDJ[Debit])))+(SUM(IF((CRDJ[Account Code]=(TRIM($B87)))*(CRDJ[Date]&lt;=$C$8),CRDJ[Debit])))+(SUM(IF((GJ[Account Code]=(TRIM($B87)))*(GJ[Date]&lt;=$C$8),GJ[Debit]))))-((SUM(IF((CkDJ[Account Code]=(TRIM($B87)))*(CkDJ[Date]&lt;=$C$8),CkDJ[Credit])))+(SUM(IF((CsDJ[Account Code]=(TRIM($B87)))*(CsDJ[Date]&lt;=$C$8),CsDJ[Credit])))+(SUM(IF((CRDJ[Account Code]=(TRIM($B87)))*(CRDJ[Date]&lt;=$C$8),CRDJ[Credit])))+(SUM(IF((GJ[Account Code]=(TRIM($B87)))*(GJ[Date]&lt;=$C$8),GJ[Credit]))))</f>
        <v>0</v>
      </c>
      <c r="D87" s="466">
        <f t="array" ref="D87">((SUM(IF((CkDJ[Date]=$A$4)*(CkDJ[Account Code]=(TRIM($B87))),CkDJ[Debit])))+(SUM(IF((CsDJ[Date]=$A$4)*(CsDJ[Account Code]=(TRIM($B87))),CsDJ[Debit])))+(SUM(IF((CRDJ[Date]=$A$4)*(CRDJ[Account Code]=(TRIM($B87))),CRDJ[Debit])))+(SUM(IF((GJ[Date]=$A$4)*(GJ[Account Code]=(TRIM($B87))),GJ[Debit]))))-((SUM(IF((CkDJ[Date]=$A$4)*(CkDJ[Account Code]=(TRIM($B87))),CkDJ[Credit])))+(SUM(IF((CsDJ[Date]=$A$4)*(CsDJ[Account Code]=(TRIM($B87))),CsDJ[Credit])))+(SUM(IF((CRDJ[Date]=$A$4)*(CRDJ[Account Code]=(TRIM($B87))),CRDJ[Credit])))+(SUM(IF((GJ[Date]=$A$4)*(GJ[Account Code]=(TRIM($B87))),GJ[Credit]))))</f>
        <v>0</v>
      </c>
      <c r="E87" s="467">
        <f>C87+D87</f>
        <v>0</v>
      </c>
    </row>
    <row r="88" spans="1:5">
      <c r="A88" s="476" t="s">
        <v>1475</v>
      </c>
      <c r="B88" s="339" t="s">
        <v>1266</v>
      </c>
      <c r="C88" s="466">
        <f t="array" ref="C88">((SUM(IF((CkDJ[Account Code]=(TRIM($B88)))*(CkDJ[Date]&lt;=$C$8),CkDJ[Debit])))+(SUM(IF((CsDJ[Account Code]=(TRIM($B88)))*(CsDJ[Date]&lt;=$C$8),CsDJ[Debit])))+(SUM(IF((CRDJ[Account Code]=(TRIM($B88)))*(CRDJ[Date]&lt;=$C$8),CRDJ[Debit])))+(SUM(IF((GJ[Account Code]=(TRIM($B88)))*(GJ[Date]&lt;=$C$8),GJ[Debit]))))-((SUM(IF((CkDJ[Account Code]=(TRIM($B88)))*(CkDJ[Date]&lt;=$C$8),CkDJ[Credit])))+(SUM(IF((CsDJ[Account Code]=(TRIM($B88)))*(CsDJ[Date]&lt;=$C$8),CsDJ[Credit])))+(SUM(IF((CRDJ[Account Code]=(TRIM($B88)))*(CRDJ[Date]&lt;=$C$8),CRDJ[Credit])))+(SUM(IF((GJ[Account Code]=(TRIM($B88)))*(GJ[Date]&lt;=$C$8),GJ[Credit]))))</f>
        <v>0</v>
      </c>
      <c r="D88" s="466">
        <f t="array" ref="D88">((SUM(IF((CkDJ[Date]=$A$4)*(CkDJ[Account Code]=(TRIM($B88))),CkDJ[Debit])))+(SUM(IF((CsDJ[Date]=$A$4)*(CsDJ[Account Code]=(TRIM($B88))),CsDJ[Debit])))+(SUM(IF((CRDJ[Date]=$A$4)*(CRDJ[Account Code]=(TRIM($B88))),CRDJ[Debit])))+(SUM(IF((GJ[Date]=$A$4)*(GJ[Account Code]=(TRIM($B88))),GJ[Debit]))))-((SUM(IF((CkDJ[Date]=$A$4)*(CkDJ[Account Code]=(TRIM($B88))),CkDJ[Credit])))+(SUM(IF((CsDJ[Date]=$A$4)*(CsDJ[Account Code]=(TRIM($B88))),CsDJ[Credit])))+(SUM(IF((CRDJ[Date]=$A$4)*(CRDJ[Account Code]=(TRIM($B88))),CRDJ[Credit])))+(SUM(IF((GJ[Date]=$A$4)*(GJ[Account Code]=(TRIM($B88))),GJ[Credit]))))</f>
        <v>0</v>
      </c>
      <c r="E88" s="467">
        <f>C88+D88</f>
        <v>0</v>
      </c>
    </row>
    <row r="89" spans="1:5">
      <c r="A89" s="476" t="s">
        <v>294</v>
      </c>
      <c r="B89" s="339" t="s">
        <v>234</v>
      </c>
      <c r="C89" s="466">
        <f t="array" ref="C89">((SUM(IF((CkDJ[Account Code]=(TRIM($B89)))*(CkDJ[Date]&lt;=$C$8),CkDJ[Debit])))+(SUM(IF((CsDJ[Account Code]=(TRIM($B89)))*(CsDJ[Date]&lt;=$C$8),CsDJ[Debit])))+(SUM(IF((CRDJ[Account Code]=(TRIM($B89)))*(CRDJ[Date]&lt;=$C$8),CRDJ[Debit])))+(SUM(IF((GJ[Account Code]=(TRIM($B89)))*(GJ[Date]&lt;=$C$8),GJ[Debit]))))-((SUM(IF((CkDJ[Account Code]=(TRIM($B89)))*(CkDJ[Date]&lt;=$C$8),CkDJ[Credit])))+(SUM(IF((CsDJ[Account Code]=(TRIM($B89)))*(CsDJ[Date]&lt;=$C$8),CsDJ[Credit])))+(SUM(IF((CRDJ[Account Code]=(TRIM($B89)))*(CRDJ[Date]&lt;=$C$8),CRDJ[Credit])))+(SUM(IF((GJ[Account Code]=(TRIM($B89)))*(GJ[Date]&lt;=$C$8),GJ[Credit]))))</f>
        <v>0</v>
      </c>
      <c r="D89" s="466">
        <f t="array" ref="D89">((SUM(IF((CkDJ[Date]=$A$4)*(CkDJ[Account Code]=(TRIM($B89))),CkDJ[Debit])))+(SUM(IF((CsDJ[Date]=$A$4)*(CsDJ[Account Code]=(TRIM($B89))),CsDJ[Debit])))+(SUM(IF((CRDJ[Date]=$A$4)*(CRDJ[Account Code]=(TRIM($B89))),CRDJ[Debit])))+(SUM(IF((GJ[Date]=$A$4)*(GJ[Account Code]=(TRIM($B89))),GJ[Debit]))))-((SUM(IF((CkDJ[Date]=$A$4)*(CkDJ[Account Code]=(TRIM($B89))),CkDJ[Credit])))+(SUM(IF((CsDJ[Date]=$A$4)*(CsDJ[Account Code]=(TRIM($B89))),CsDJ[Credit])))+(SUM(IF((CRDJ[Date]=$A$4)*(CRDJ[Account Code]=(TRIM($B89))),CRDJ[Credit])))+(SUM(IF((GJ[Date]=$A$4)*(GJ[Account Code]=(TRIM($B89))),GJ[Credit]))))</f>
        <v>0</v>
      </c>
      <c r="E89" s="467">
        <f t="shared" si="2"/>
        <v>0</v>
      </c>
    </row>
    <row r="90" spans="1:5">
      <c r="A90" s="476" t="s">
        <v>295</v>
      </c>
      <c r="B90" s="339" t="s">
        <v>235</v>
      </c>
      <c r="C90" s="466">
        <f t="array" ref="C90">((SUM(IF((CkDJ[Account Code]=(TRIM($B90)))*(CkDJ[Date]&lt;=$C$8),CkDJ[Debit])))+(SUM(IF((CsDJ[Account Code]=(TRIM($B90)))*(CsDJ[Date]&lt;=$C$8),CsDJ[Debit])))+(SUM(IF((CRDJ[Account Code]=(TRIM($B90)))*(CRDJ[Date]&lt;=$C$8),CRDJ[Debit])))+(SUM(IF((GJ[Account Code]=(TRIM($B90)))*(GJ[Date]&lt;=$C$8),GJ[Debit]))))-((SUM(IF((CkDJ[Account Code]=(TRIM($B90)))*(CkDJ[Date]&lt;=$C$8),CkDJ[Credit])))+(SUM(IF((CsDJ[Account Code]=(TRIM($B90)))*(CsDJ[Date]&lt;=$C$8),CsDJ[Credit])))+(SUM(IF((CRDJ[Account Code]=(TRIM($B90)))*(CRDJ[Date]&lt;=$C$8),CRDJ[Credit])))+(SUM(IF((GJ[Account Code]=(TRIM($B90)))*(GJ[Date]&lt;=$C$8),GJ[Credit]))))</f>
        <v>0</v>
      </c>
      <c r="D90" s="466">
        <f t="array" ref="D90">((SUM(IF((CkDJ[Date]=$A$4)*(CkDJ[Account Code]=(TRIM($B90))),CkDJ[Debit])))+(SUM(IF((CsDJ[Date]=$A$4)*(CsDJ[Account Code]=(TRIM($B90))),CsDJ[Debit])))+(SUM(IF((CRDJ[Date]=$A$4)*(CRDJ[Account Code]=(TRIM($B90))),CRDJ[Debit])))+(SUM(IF((GJ[Date]=$A$4)*(GJ[Account Code]=(TRIM($B90))),GJ[Debit]))))-((SUM(IF((CkDJ[Date]=$A$4)*(CkDJ[Account Code]=(TRIM($B90))),CkDJ[Credit])))+(SUM(IF((CsDJ[Date]=$A$4)*(CsDJ[Account Code]=(TRIM($B90))),CsDJ[Credit])))+(SUM(IF((CRDJ[Date]=$A$4)*(CRDJ[Account Code]=(TRIM($B90))),CRDJ[Credit])))+(SUM(IF((GJ[Date]=$A$4)*(GJ[Account Code]=(TRIM($B90))),GJ[Credit]))))</f>
        <v>0</v>
      </c>
      <c r="E90" s="467">
        <f t="shared" si="2"/>
        <v>0</v>
      </c>
    </row>
    <row r="91" spans="1:5">
      <c r="A91" s="476" t="s">
        <v>296</v>
      </c>
      <c r="B91" s="339" t="s">
        <v>236</v>
      </c>
      <c r="C91" s="466">
        <f t="array" ref="C91">((SUM(IF((CkDJ[Account Code]=(TRIM($B91)))*(CkDJ[Date]&lt;=$C$8),CkDJ[Debit])))+(SUM(IF((CsDJ[Account Code]=(TRIM($B91)))*(CsDJ[Date]&lt;=$C$8),CsDJ[Debit])))+(SUM(IF((CRDJ[Account Code]=(TRIM($B91)))*(CRDJ[Date]&lt;=$C$8),CRDJ[Debit])))+(SUM(IF((GJ[Account Code]=(TRIM($B91)))*(GJ[Date]&lt;=$C$8),GJ[Debit]))))-((SUM(IF((CkDJ[Account Code]=(TRIM($B91)))*(CkDJ[Date]&lt;=$C$8),CkDJ[Credit])))+(SUM(IF((CsDJ[Account Code]=(TRIM($B91)))*(CsDJ[Date]&lt;=$C$8),CsDJ[Credit])))+(SUM(IF((CRDJ[Account Code]=(TRIM($B91)))*(CRDJ[Date]&lt;=$C$8),CRDJ[Credit])))+(SUM(IF((GJ[Account Code]=(TRIM($B91)))*(GJ[Date]&lt;=$C$8),GJ[Credit]))))</f>
        <v>0</v>
      </c>
      <c r="D91" s="466">
        <f t="array" ref="D91">((SUM(IF((CkDJ[Date]=$A$4)*(CkDJ[Account Code]=(TRIM($B91))),CkDJ[Debit])))+(SUM(IF((CsDJ[Date]=$A$4)*(CsDJ[Account Code]=(TRIM($B91))),CsDJ[Debit])))+(SUM(IF((CRDJ[Date]=$A$4)*(CRDJ[Account Code]=(TRIM($B91))),CRDJ[Debit])))+(SUM(IF((GJ[Date]=$A$4)*(GJ[Account Code]=(TRIM($B91))),GJ[Debit]))))-((SUM(IF((CkDJ[Date]=$A$4)*(CkDJ[Account Code]=(TRIM($B91))),CkDJ[Credit])))+(SUM(IF((CsDJ[Date]=$A$4)*(CsDJ[Account Code]=(TRIM($B91))),CsDJ[Credit])))+(SUM(IF((CRDJ[Date]=$A$4)*(CRDJ[Account Code]=(TRIM($B91))),CRDJ[Credit])))+(SUM(IF((GJ[Date]=$A$4)*(GJ[Account Code]=(TRIM($B91))),GJ[Credit]))))</f>
        <v>0</v>
      </c>
      <c r="E91" s="467">
        <f t="shared" si="2"/>
        <v>0</v>
      </c>
    </row>
    <row r="92" spans="1:5">
      <c r="A92" s="476" t="s">
        <v>297</v>
      </c>
      <c r="B92" s="339" t="s">
        <v>237</v>
      </c>
      <c r="C92" s="466">
        <f t="array" ref="C92">((SUM(IF((CkDJ[Account Code]=(TRIM($B92)))*(CkDJ[Date]&lt;=$C$8),CkDJ[Debit])))+(SUM(IF((CsDJ[Account Code]=(TRIM($B92)))*(CsDJ[Date]&lt;=$C$8),CsDJ[Debit])))+(SUM(IF((CRDJ[Account Code]=(TRIM($B92)))*(CRDJ[Date]&lt;=$C$8),CRDJ[Debit])))+(SUM(IF((GJ[Account Code]=(TRIM($B92)))*(GJ[Date]&lt;=$C$8),GJ[Debit]))))-((SUM(IF((CkDJ[Account Code]=(TRIM($B92)))*(CkDJ[Date]&lt;=$C$8),CkDJ[Credit])))+(SUM(IF((CsDJ[Account Code]=(TRIM($B92)))*(CsDJ[Date]&lt;=$C$8),CsDJ[Credit])))+(SUM(IF((CRDJ[Account Code]=(TRIM($B92)))*(CRDJ[Date]&lt;=$C$8),CRDJ[Credit])))+(SUM(IF((GJ[Account Code]=(TRIM($B92)))*(GJ[Date]&lt;=$C$8),GJ[Credit]))))</f>
        <v>0</v>
      </c>
      <c r="D92" s="466">
        <f t="array" ref="D92">((SUM(IF((CkDJ[Date]=$A$4)*(CkDJ[Account Code]=(TRIM($B92))),CkDJ[Debit])))+(SUM(IF((CsDJ[Date]=$A$4)*(CsDJ[Account Code]=(TRIM($B92))),CsDJ[Debit])))+(SUM(IF((CRDJ[Date]=$A$4)*(CRDJ[Account Code]=(TRIM($B92))),CRDJ[Debit])))+(SUM(IF((GJ[Date]=$A$4)*(GJ[Account Code]=(TRIM($B92))),GJ[Debit]))))-((SUM(IF((CkDJ[Date]=$A$4)*(CkDJ[Account Code]=(TRIM($B92))),CkDJ[Credit])))+(SUM(IF((CsDJ[Date]=$A$4)*(CsDJ[Account Code]=(TRIM($B92))),CsDJ[Credit])))+(SUM(IF((CRDJ[Date]=$A$4)*(CRDJ[Account Code]=(TRIM($B92))),CRDJ[Credit])))+(SUM(IF((GJ[Date]=$A$4)*(GJ[Account Code]=(TRIM($B92))),GJ[Credit]))))</f>
        <v>0</v>
      </c>
      <c r="E92" s="467">
        <f t="shared" si="2"/>
        <v>0</v>
      </c>
    </row>
    <row r="93" spans="1:5">
      <c r="A93" s="476" t="s">
        <v>298</v>
      </c>
      <c r="B93" s="339" t="s">
        <v>238</v>
      </c>
      <c r="C93" s="466">
        <f t="array" ref="C93">((SUM(IF((CkDJ[Account Code]=(TRIM($B93)))*(CkDJ[Date]&lt;=$C$8),CkDJ[Debit])))+(SUM(IF((CsDJ[Account Code]=(TRIM($B93)))*(CsDJ[Date]&lt;=$C$8),CsDJ[Debit])))+(SUM(IF((CRDJ[Account Code]=(TRIM($B93)))*(CRDJ[Date]&lt;=$C$8),CRDJ[Debit])))+(SUM(IF((GJ[Account Code]=(TRIM($B93)))*(GJ[Date]&lt;=$C$8),GJ[Debit]))))-((SUM(IF((CkDJ[Account Code]=(TRIM($B93)))*(CkDJ[Date]&lt;=$C$8),CkDJ[Credit])))+(SUM(IF((CsDJ[Account Code]=(TRIM($B93)))*(CsDJ[Date]&lt;=$C$8),CsDJ[Credit])))+(SUM(IF((CRDJ[Account Code]=(TRIM($B93)))*(CRDJ[Date]&lt;=$C$8),CRDJ[Credit])))+(SUM(IF((GJ[Account Code]=(TRIM($B93)))*(GJ[Date]&lt;=$C$8),GJ[Credit]))))</f>
        <v>0</v>
      </c>
      <c r="D93" s="466">
        <f t="array" ref="D93">((SUM(IF((CkDJ[Date]=$A$4)*(CkDJ[Account Code]=(TRIM($B93))),CkDJ[Debit])))+(SUM(IF((CsDJ[Date]=$A$4)*(CsDJ[Account Code]=(TRIM($B93))),CsDJ[Debit])))+(SUM(IF((CRDJ[Date]=$A$4)*(CRDJ[Account Code]=(TRIM($B93))),CRDJ[Debit])))+(SUM(IF((GJ[Date]=$A$4)*(GJ[Account Code]=(TRIM($B93))),GJ[Debit]))))-((SUM(IF((CkDJ[Date]=$A$4)*(CkDJ[Account Code]=(TRIM($B93))),CkDJ[Credit])))+(SUM(IF((CsDJ[Date]=$A$4)*(CsDJ[Account Code]=(TRIM($B93))),CsDJ[Credit])))+(SUM(IF((CRDJ[Date]=$A$4)*(CRDJ[Account Code]=(TRIM($B93))),CRDJ[Credit])))+(SUM(IF((GJ[Date]=$A$4)*(GJ[Account Code]=(TRIM($B93))),GJ[Credit]))))</f>
        <v>0</v>
      </c>
      <c r="E93" s="467">
        <f t="shared" si="2"/>
        <v>0</v>
      </c>
    </row>
    <row r="94" spans="1:5">
      <c r="A94" s="476" t="s">
        <v>1019</v>
      </c>
      <c r="B94" s="339" t="s">
        <v>239</v>
      </c>
      <c r="C94" s="466">
        <f t="array" ref="C94">((SUM(IF((CkDJ[Account Code]=(TRIM($B94)))*(CkDJ[Date]&lt;=$C$8),CkDJ[Debit])))+(SUM(IF((CsDJ[Account Code]=(TRIM($B94)))*(CsDJ[Date]&lt;=$C$8),CsDJ[Debit])))+(SUM(IF((CRDJ[Account Code]=(TRIM($B94)))*(CRDJ[Date]&lt;=$C$8),CRDJ[Debit])))+(SUM(IF((GJ[Account Code]=(TRIM($B94)))*(GJ[Date]&lt;=$C$8),GJ[Debit]))))-((SUM(IF((CkDJ[Account Code]=(TRIM($B94)))*(CkDJ[Date]&lt;=$C$8),CkDJ[Credit])))+(SUM(IF((CsDJ[Account Code]=(TRIM($B94)))*(CsDJ[Date]&lt;=$C$8),CsDJ[Credit])))+(SUM(IF((CRDJ[Account Code]=(TRIM($B94)))*(CRDJ[Date]&lt;=$C$8),CRDJ[Credit])))+(SUM(IF((GJ[Account Code]=(TRIM($B94)))*(GJ[Date]&lt;=$C$8),GJ[Credit]))))</f>
        <v>0</v>
      </c>
      <c r="D94" s="466">
        <f t="array" ref="D94">((SUM(IF((CkDJ[Date]=$A$4)*(CkDJ[Account Code]=(TRIM($B94))),CkDJ[Debit])))+(SUM(IF((CsDJ[Date]=$A$4)*(CsDJ[Account Code]=(TRIM($B94))),CsDJ[Debit])))+(SUM(IF((CRDJ[Date]=$A$4)*(CRDJ[Account Code]=(TRIM($B94))),CRDJ[Debit])))+(SUM(IF((GJ[Date]=$A$4)*(GJ[Account Code]=(TRIM($B94))),GJ[Debit]))))-((SUM(IF((CkDJ[Date]=$A$4)*(CkDJ[Account Code]=(TRIM($B94))),CkDJ[Credit])))+(SUM(IF((CsDJ[Date]=$A$4)*(CsDJ[Account Code]=(TRIM($B94))),CsDJ[Credit])))+(SUM(IF((CRDJ[Date]=$A$4)*(CRDJ[Account Code]=(TRIM($B94))),CRDJ[Credit])))+(SUM(IF((GJ[Date]=$A$4)*(GJ[Account Code]=(TRIM($B94))),GJ[Credit]))))</f>
        <v>0</v>
      </c>
      <c r="E94" s="467">
        <f t="shared" si="2"/>
        <v>0</v>
      </c>
    </row>
    <row r="95" spans="1:5">
      <c r="A95" s="476" t="s">
        <v>1020</v>
      </c>
      <c r="B95" s="339" t="s">
        <v>240</v>
      </c>
      <c r="C95" s="466">
        <f t="array" ref="C95">((SUM(IF((CkDJ[Account Code]=(TRIM($B95)))*(CkDJ[Date]&lt;=$C$8),CkDJ[Debit])))+(SUM(IF((CsDJ[Account Code]=(TRIM($B95)))*(CsDJ[Date]&lt;=$C$8),CsDJ[Debit])))+(SUM(IF((CRDJ[Account Code]=(TRIM($B95)))*(CRDJ[Date]&lt;=$C$8),CRDJ[Debit])))+(SUM(IF((GJ[Account Code]=(TRIM($B95)))*(GJ[Date]&lt;=$C$8),GJ[Debit]))))-((SUM(IF((CkDJ[Account Code]=(TRIM($B95)))*(CkDJ[Date]&lt;=$C$8),CkDJ[Credit])))+(SUM(IF((CsDJ[Account Code]=(TRIM($B95)))*(CsDJ[Date]&lt;=$C$8),CsDJ[Credit])))+(SUM(IF((CRDJ[Account Code]=(TRIM($B95)))*(CRDJ[Date]&lt;=$C$8),CRDJ[Credit])))+(SUM(IF((GJ[Account Code]=(TRIM($B95)))*(GJ[Date]&lt;=$C$8),GJ[Credit]))))</f>
        <v>0</v>
      </c>
      <c r="D95" s="466">
        <f t="array" ref="D95">((SUM(IF((CkDJ[Date]=$A$4)*(CkDJ[Account Code]=(TRIM($B95))),CkDJ[Debit])))+(SUM(IF((CsDJ[Date]=$A$4)*(CsDJ[Account Code]=(TRIM($B95))),CsDJ[Debit])))+(SUM(IF((CRDJ[Date]=$A$4)*(CRDJ[Account Code]=(TRIM($B95))),CRDJ[Debit])))+(SUM(IF((GJ[Date]=$A$4)*(GJ[Account Code]=(TRIM($B95))),GJ[Debit]))))-((SUM(IF((CkDJ[Date]=$A$4)*(CkDJ[Account Code]=(TRIM($B95))),CkDJ[Credit])))+(SUM(IF((CsDJ[Date]=$A$4)*(CsDJ[Account Code]=(TRIM($B95))),CsDJ[Credit])))+(SUM(IF((CRDJ[Date]=$A$4)*(CRDJ[Account Code]=(TRIM($B95))),CRDJ[Credit])))+(SUM(IF((GJ[Date]=$A$4)*(GJ[Account Code]=(TRIM($B95))),GJ[Credit]))))</f>
        <v>0</v>
      </c>
      <c r="E95" s="467">
        <f t="shared" si="2"/>
        <v>0</v>
      </c>
    </row>
    <row r="96" spans="1:5">
      <c r="A96" s="476" t="s">
        <v>299</v>
      </c>
      <c r="B96" s="339" t="s">
        <v>241</v>
      </c>
      <c r="C96" s="466">
        <f t="array" ref="C96">((SUM(IF((CkDJ[Account Code]=(TRIM($B96)))*(CkDJ[Date]&lt;=$C$8),CkDJ[Debit])))+(SUM(IF((CsDJ[Account Code]=(TRIM($B96)))*(CsDJ[Date]&lt;=$C$8),CsDJ[Debit])))+(SUM(IF((CRDJ[Account Code]=(TRIM($B96)))*(CRDJ[Date]&lt;=$C$8),CRDJ[Debit])))+(SUM(IF((GJ[Account Code]=(TRIM($B96)))*(GJ[Date]&lt;=$C$8),GJ[Debit]))))-((SUM(IF((CkDJ[Account Code]=(TRIM($B96)))*(CkDJ[Date]&lt;=$C$8),CkDJ[Credit])))+(SUM(IF((CsDJ[Account Code]=(TRIM($B96)))*(CsDJ[Date]&lt;=$C$8),CsDJ[Credit])))+(SUM(IF((CRDJ[Account Code]=(TRIM($B96)))*(CRDJ[Date]&lt;=$C$8),CRDJ[Credit])))+(SUM(IF((GJ[Account Code]=(TRIM($B96)))*(GJ[Date]&lt;=$C$8),GJ[Credit]))))</f>
        <v>0</v>
      </c>
      <c r="D96" s="466">
        <f t="array" ref="D96">((SUM(IF((CkDJ[Date]=$A$4)*(CkDJ[Account Code]=(TRIM($B96))),CkDJ[Debit])))+(SUM(IF((CsDJ[Date]=$A$4)*(CsDJ[Account Code]=(TRIM($B96))),CsDJ[Debit])))+(SUM(IF((CRDJ[Date]=$A$4)*(CRDJ[Account Code]=(TRIM($B96))),CRDJ[Debit])))+(SUM(IF((GJ[Date]=$A$4)*(GJ[Account Code]=(TRIM($B96))),GJ[Debit]))))-((SUM(IF((CkDJ[Date]=$A$4)*(CkDJ[Account Code]=(TRIM($B96))),CkDJ[Credit])))+(SUM(IF((CsDJ[Date]=$A$4)*(CsDJ[Account Code]=(TRIM($B96))),CsDJ[Credit])))+(SUM(IF((CRDJ[Date]=$A$4)*(CRDJ[Account Code]=(TRIM($B96))),CRDJ[Credit])))+(SUM(IF((GJ[Date]=$A$4)*(GJ[Account Code]=(TRIM($B96))),GJ[Credit]))))</f>
        <v>0</v>
      </c>
      <c r="E96" s="467">
        <f t="shared" si="2"/>
        <v>0</v>
      </c>
    </row>
    <row r="97" spans="1:5">
      <c r="A97" s="476" t="s">
        <v>300</v>
      </c>
      <c r="B97" s="339" t="s">
        <v>242</v>
      </c>
      <c r="C97" s="466">
        <f t="array" ref="C97">((SUM(IF((CkDJ[Account Code]=(TRIM($B97)))*(CkDJ[Date]&lt;=$C$8),CkDJ[Debit])))+(SUM(IF((CsDJ[Account Code]=(TRIM($B97)))*(CsDJ[Date]&lt;=$C$8),CsDJ[Debit])))+(SUM(IF((CRDJ[Account Code]=(TRIM($B97)))*(CRDJ[Date]&lt;=$C$8),CRDJ[Debit])))+(SUM(IF((GJ[Account Code]=(TRIM($B97)))*(GJ[Date]&lt;=$C$8),GJ[Debit]))))-((SUM(IF((CkDJ[Account Code]=(TRIM($B97)))*(CkDJ[Date]&lt;=$C$8),CkDJ[Credit])))+(SUM(IF((CsDJ[Account Code]=(TRIM($B97)))*(CsDJ[Date]&lt;=$C$8),CsDJ[Credit])))+(SUM(IF((CRDJ[Account Code]=(TRIM($B97)))*(CRDJ[Date]&lt;=$C$8),CRDJ[Credit])))+(SUM(IF((GJ[Account Code]=(TRIM($B97)))*(GJ[Date]&lt;=$C$8),GJ[Credit]))))</f>
        <v>0</v>
      </c>
      <c r="D97" s="466">
        <f t="array" ref="D97">((SUM(IF((CkDJ[Date]=$A$4)*(CkDJ[Account Code]=(TRIM($B97))),CkDJ[Debit])))+(SUM(IF((CsDJ[Date]=$A$4)*(CsDJ[Account Code]=(TRIM($B97))),CsDJ[Debit])))+(SUM(IF((CRDJ[Date]=$A$4)*(CRDJ[Account Code]=(TRIM($B97))),CRDJ[Debit])))+(SUM(IF((GJ[Date]=$A$4)*(GJ[Account Code]=(TRIM($B97))),GJ[Debit]))))-((SUM(IF((CkDJ[Date]=$A$4)*(CkDJ[Account Code]=(TRIM($B97))),CkDJ[Credit])))+(SUM(IF((CsDJ[Date]=$A$4)*(CsDJ[Account Code]=(TRIM($B97))),CsDJ[Credit])))+(SUM(IF((CRDJ[Date]=$A$4)*(CRDJ[Account Code]=(TRIM($B97))),CRDJ[Credit])))+(SUM(IF((GJ[Date]=$A$4)*(GJ[Account Code]=(TRIM($B97))),GJ[Credit]))))</f>
        <v>0</v>
      </c>
      <c r="E97" s="467">
        <f t="shared" si="2"/>
        <v>0</v>
      </c>
    </row>
    <row r="98" spans="1:5">
      <c r="A98" s="476" t="s">
        <v>301</v>
      </c>
      <c r="B98" s="339" t="s">
        <v>243</v>
      </c>
      <c r="C98" s="466">
        <f t="array" ref="C98">((SUM(IF((CkDJ[Account Code]=(TRIM($B98)))*(CkDJ[Date]&lt;=$C$8),CkDJ[Debit])))+(SUM(IF((CsDJ[Account Code]=(TRIM($B98)))*(CsDJ[Date]&lt;=$C$8),CsDJ[Debit])))+(SUM(IF((CRDJ[Account Code]=(TRIM($B98)))*(CRDJ[Date]&lt;=$C$8),CRDJ[Debit])))+(SUM(IF((GJ[Account Code]=(TRIM($B98)))*(GJ[Date]&lt;=$C$8),GJ[Debit]))))-((SUM(IF((CkDJ[Account Code]=(TRIM($B98)))*(CkDJ[Date]&lt;=$C$8),CkDJ[Credit])))+(SUM(IF((CsDJ[Account Code]=(TRIM($B98)))*(CsDJ[Date]&lt;=$C$8),CsDJ[Credit])))+(SUM(IF((CRDJ[Account Code]=(TRIM($B98)))*(CRDJ[Date]&lt;=$C$8),CRDJ[Credit])))+(SUM(IF((GJ[Account Code]=(TRIM($B98)))*(GJ[Date]&lt;=$C$8),GJ[Credit]))))</f>
        <v>0</v>
      </c>
      <c r="D98" s="466">
        <f t="array" ref="D98">((SUM(IF((CkDJ[Date]=$A$4)*(CkDJ[Account Code]=(TRIM($B98))),CkDJ[Debit])))+(SUM(IF((CsDJ[Date]=$A$4)*(CsDJ[Account Code]=(TRIM($B98))),CsDJ[Debit])))+(SUM(IF((CRDJ[Date]=$A$4)*(CRDJ[Account Code]=(TRIM($B98))),CRDJ[Debit])))+(SUM(IF((GJ[Date]=$A$4)*(GJ[Account Code]=(TRIM($B98))),GJ[Debit]))))-((SUM(IF((CkDJ[Date]=$A$4)*(CkDJ[Account Code]=(TRIM($B98))),CkDJ[Credit])))+(SUM(IF((CsDJ[Date]=$A$4)*(CsDJ[Account Code]=(TRIM($B98))),CsDJ[Credit])))+(SUM(IF((CRDJ[Date]=$A$4)*(CRDJ[Account Code]=(TRIM($B98))),CRDJ[Credit])))+(SUM(IF((GJ[Date]=$A$4)*(GJ[Account Code]=(TRIM($B98))),GJ[Credit]))))</f>
        <v>0</v>
      </c>
      <c r="E98" s="467">
        <f t="shared" si="2"/>
        <v>0</v>
      </c>
    </row>
    <row r="99" spans="1:5">
      <c r="A99" s="476" t="s">
        <v>302</v>
      </c>
      <c r="B99" s="339" t="s">
        <v>244</v>
      </c>
      <c r="C99" s="466">
        <f t="array" ref="C99">((SUM(IF((CkDJ[Account Code]=(TRIM($B99)))*(CkDJ[Date]&lt;=$C$8),CkDJ[Debit])))+(SUM(IF((CsDJ[Account Code]=(TRIM($B99)))*(CsDJ[Date]&lt;=$C$8),CsDJ[Debit])))+(SUM(IF((CRDJ[Account Code]=(TRIM($B99)))*(CRDJ[Date]&lt;=$C$8),CRDJ[Debit])))+(SUM(IF((GJ[Account Code]=(TRIM($B99)))*(GJ[Date]&lt;=$C$8),GJ[Debit]))))-((SUM(IF((CkDJ[Account Code]=(TRIM($B99)))*(CkDJ[Date]&lt;=$C$8),CkDJ[Credit])))+(SUM(IF((CsDJ[Account Code]=(TRIM($B99)))*(CsDJ[Date]&lt;=$C$8),CsDJ[Credit])))+(SUM(IF((CRDJ[Account Code]=(TRIM($B99)))*(CRDJ[Date]&lt;=$C$8),CRDJ[Credit])))+(SUM(IF((GJ[Account Code]=(TRIM($B99)))*(GJ[Date]&lt;=$C$8),GJ[Credit]))))</f>
        <v>0</v>
      </c>
      <c r="D99" s="466">
        <f t="array" ref="D99">((SUM(IF((CkDJ[Date]=$A$4)*(CkDJ[Account Code]=(TRIM($B99))),CkDJ[Debit])))+(SUM(IF((CsDJ[Date]=$A$4)*(CsDJ[Account Code]=(TRIM($B99))),CsDJ[Debit])))+(SUM(IF((CRDJ[Date]=$A$4)*(CRDJ[Account Code]=(TRIM($B99))),CRDJ[Debit])))+(SUM(IF((GJ[Date]=$A$4)*(GJ[Account Code]=(TRIM($B99))),GJ[Debit]))))-((SUM(IF((CkDJ[Date]=$A$4)*(CkDJ[Account Code]=(TRIM($B99))),CkDJ[Credit])))+(SUM(IF((CsDJ[Date]=$A$4)*(CsDJ[Account Code]=(TRIM($B99))),CsDJ[Credit])))+(SUM(IF((CRDJ[Date]=$A$4)*(CRDJ[Account Code]=(TRIM($B99))),CRDJ[Credit])))+(SUM(IF((GJ[Date]=$A$4)*(GJ[Account Code]=(TRIM($B99))),GJ[Credit]))))</f>
        <v>0</v>
      </c>
      <c r="E99" s="467">
        <f t="shared" si="2"/>
        <v>0</v>
      </c>
    </row>
    <row r="100" spans="1:5">
      <c r="A100" s="476" t="s">
        <v>347</v>
      </c>
      <c r="B100" s="339" t="s">
        <v>338</v>
      </c>
      <c r="C100" s="466">
        <f t="array" ref="C100">((SUM(IF((CkDJ[Account Code]=(TRIM($B100)))*(CkDJ[Date]&lt;=$C$8),CkDJ[Debit])))+(SUM(IF((CsDJ[Account Code]=(TRIM($B100)))*(CsDJ[Date]&lt;=$C$8),CsDJ[Debit])))+(SUM(IF((CRDJ[Account Code]=(TRIM($B100)))*(CRDJ[Date]&lt;=$C$8),CRDJ[Debit])))+(SUM(IF((GJ[Account Code]=(TRIM($B100)))*(GJ[Date]&lt;=$C$8),GJ[Debit]))))-((SUM(IF((CkDJ[Account Code]=(TRIM($B100)))*(CkDJ[Date]&lt;=$C$8),CkDJ[Credit])))+(SUM(IF((CsDJ[Account Code]=(TRIM($B100)))*(CsDJ[Date]&lt;=$C$8),CsDJ[Credit])))+(SUM(IF((CRDJ[Account Code]=(TRIM($B100)))*(CRDJ[Date]&lt;=$C$8),CRDJ[Credit])))+(SUM(IF((GJ[Account Code]=(TRIM($B100)))*(GJ[Date]&lt;=$C$8),GJ[Credit]))))</f>
        <v>0</v>
      </c>
      <c r="D100" s="466">
        <f t="array" ref="D100">((SUM(IF((CkDJ[Date]=$A$4)*(CkDJ[Account Code]=(TRIM($B100))),CkDJ[Debit])))+(SUM(IF((CsDJ[Date]=$A$4)*(CsDJ[Account Code]=(TRIM($B100))),CsDJ[Debit])))+(SUM(IF((CRDJ[Date]=$A$4)*(CRDJ[Account Code]=(TRIM($B100))),CRDJ[Debit])))+(SUM(IF((GJ[Date]=$A$4)*(GJ[Account Code]=(TRIM($B100))),GJ[Debit]))))-((SUM(IF((CkDJ[Date]=$A$4)*(CkDJ[Account Code]=(TRIM($B100))),CkDJ[Credit])))+(SUM(IF((CsDJ[Date]=$A$4)*(CsDJ[Account Code]=(TRIM($B100))),CsDJ[Credit])))+(SUM(IF((CRDJ[Date]=$A$4)*(CRDJ[Account Code]=(TRIM($B100))),CRDJ[Credit])))+(SUM(IF((GJ[Date]=$A$4)*(GJ[Account Code]=(TRIM($B100))),GJ[Credit]))))</f>
        <v>0</v>
      </c>
      <c r="E100" s="467">
        <f t="shared" si="2"/>
        <v>0</v>
      </c>
    </row>
    <row r="101" spans="1:5">
      <c r="A101" s="476" t="s">
        <v>348</v>
      </c>
      <c r="B101" s="339" t="s">
        <v>339</v>
      </c>
      <c r="C101" s="466">
        <f t="array" ref="C101">((SUM(IF((CkDJ[Account Code]=(TRIM($B101)))*(CkDJ[Date]&lt;=$C$8),CkDJ[Debit])))+(SUM(IF((CsDJ[Account Code]=(TRIM($B101)))*(CsDJ[Date]&lt;=$C$8),CsDJ[Debit])))+(SUM(IF((CRDJ[Account Code]=(TRIM($B101)))*(CRDJ[Date]&lt;=$C$8),CRDJ[Debit])))+(SUM(IF((GJ[Account Code]=(TRIM($B101)))*(GJ[Date]&lt;=$C$8),GJ[Debit]))))-((SUM(IF((CkDJ[Account Code]=(TRIM($B101)))*(CkDJ[Date]&lt;=$C$8),CkDJ[Credit])))+(SUM(IF((CsDJ[Account Code]=(TRIM($B101)))*(CsDJ[Date]&lt;=$C$8),CsDJ[Credit])))+(SUM(IF((CRDJ[Account Code]=(TRIM($B101)))*(CRDJ[Date]&lt;=$C$8),CRDJ[Credit])))+(SUM(IF((GJ[Account Code]=(TRIM($B101)))*(GJ[Date]&lt;=$C$8),GJ[Credit]))))</f>
        <v>0</v>
      </c>
      <c r="D101" s="466">
        <f t="array" ref="D101">((SUM(IF((CkDJ[Date]=$A$4)*(CkDJ[Account Code]=(TRIM($B101))),CkDJ[Debit])))+(SUM(IF((CsDJ[Date]=$A$4)*(CsDJ[Account Code]=(TRIM($B101))),CsDJ[Debit])))+(SUM(IF((CRDJ[Date]=$A$4)*(CRDJ[Account Code]=(TRIM($B101))),CRDJ[Debit])))+(SUM(IF((GJ[Date]=$A$4)*(GJ[Account Code]=(TRIM($B101))),GJ[Debit]))))-((SUM(IF((CkDJ[Date]=$A$4)*(CkDJ[Account Code]=(TRIM($B101))),CkDJ[Credit])))+(SUM(IF((CsDJ[Date]=$A$4)*(CsDJ[Account Code]=(TRIM($B101))),CsDJ[Credit])))+(SUM(IF((CRDJ[Date]=$A$4)*(CRDJ[Account Code]=(TRIM($B101))),CRDJ[Credit])))+(SUM(IF((GJ[Date]=$A$4)*(GJ[Account Code]=(TRIM($B101))),GJ[Credit]))))</f>
        <v>0</v>
      </c>
      <c r="E101" s="467">
        <f t="shared" si="2"/>
        <v>0</v>
      </c>
    </row>
    <row r="102" spans="1:5">
      <c r="A102" s="476" t="s">
        <v>1021</v>
      </c>
      <c r="B102" s="339" t="s">
        <v>245</v>
      </c>
      <c r="C102" s="466">
        <f t="array" ref="C102">((SUM(IF((CkDJ[Account Code]=(TRIM($B102)))*(CkDJ[Date]&lt;=$C$8),CkDJ[Debit])))+(SUM(IF((CsDJ[Account Code]=(TRIM($B102)))*(CsDJ[Date]&lt;=$C$8),CsDJ[Debit])))+(SUM(IF((CRDJ[Account Code]=(TRIM($B102)))*(CRDJ[Date]&lt;=$C$8),CRDJ[Debit])))+(SUM(IF((GJ[Account Code]=(TRIM($B102)))*(GJ[Date]&lt;=$C$8),GJ[Debit]))))-((SUM(IF((CkDJ[Account Code]=(TRIM($B102)))*(CkDJ[Date]&lt;=$C$8),CkDJ[Credit])))+(SUM(IF((CsDJ[Account Code]=(TRIM($B102)))*(CsDJ[Date]&lt;=$C$8),CsDJ[Credit])))+(SUM(IF((CRDJ[Account Code]=(TRIM($B102)))*(CRDJ[Date]&lt;=$C$8),CRDJ[Credit])))+(SUM(IF((GJ[Account Code]=(TRIM($B102)))*(GJ[Date]&lt;=$C$8),GJ[Credit]))))</f>
        <v>0</v>
      </c>
      <c r="D102" s="466">
        <f t="array" ref="D102">((SUM(IF((CkDJ[Date]=$A$4)*(CkDJ[Account Code]=(TRIM($B102))),CkDJ[Debit])))+(SUM(IF((CsDJ[Date]=$A$4)*(CsDJ[Account Code]=(TRIM($B102))),CsDJ[Debit])))+(SUM(IF((CRDJ[Date]=$A$4)*(CRDJ[Account Code]=(TRIM($B102))),CRDJ[Debit])))+(SUM(IF((GJ[Date]=$A$4)*(GJ[Account Code]=(TRIM($B102))),GJ[Debit]))))-((SUM(IF((CkDJ[Date]=$A$4)*(CkDJ[Account Code]=(TRIM($B102))),CkDJ[Credit])))+(SUM(IF((CsDJ[Date]=$A$4)*(CsDJ[Account Code]=(TRIM($B102))),CsDJ[Credit])))+(SUM(IF((CRDJ[Date]=$A$4)*(CRDJ[Account Code]=(TRIM($B102))),CRDJ[Credit])))+(SUM(IF((GJ[Date]=$A$4)*(GJ[Account Code]=(TRIM($B102))),GJ[Credit]))))</f>
        <v>0</v>
      </c>
      <c r="E102" s="467">
        <f t="shared" si="2"/>
        <v>0</v>
      </c>
    </row>
    <row r="103" spans="1:5">
      <c r="A103" s="476" t="s">
        <v>1022</v>
      </c>
      <c r="B103" s="339" t="s">
        <v>246</v>
      </c>
      <c r="C103" s="466">
        <f t="array" ref="C103">((SUM(IF((CkDJ[Account Code]=(TRIM($B103)))*(CkDJ[Date]&lt;=$C$8),CkDJ[Debit])))+(SUM(IF((CsDJ[Account Code]=(TRIM($B103)))*(CsDJ[Date]&lt;=$C$8),CsDJ[Debit])))+(SUM(IF((CRDJ[Account Code]=(TRIM($B103)))*(CRDJ[Date]&lt;=$C$8),CRDJ[Debit])))+(SUM(IF((GJ[Account Code]=(TRIM($B103)))*(GJ[Date]&lt;=$C$8),GJ[Debit]))))-((SUM(IF((CkDJ[Account Code]=(TRIM($B103)))*(CkDJ[Date]&lt;=$C$8),CkDJ[Credit])))+(SUM(IF((CsDJ[Account Code]=(TRIM($B103)))*(CsDJ[Date]&lt;=$C$8),CsDJ[Credit])))+(SUM(IF((CRDJ[Account Code]=(TRIM($B103)))*(CRDJ[Date]&lt;=$C$8),CRDJ[Credit])))+(SUM(IF((GJ[Account Code]=(TRIM($B103)))*(GJ[Date]&lt;=$C$8),GJ[Credit]))))</f>
        <v>0</v>
      </c>
      <c r="D103" s="466">
        <f t="array" ref="D103">((SUM(IF((CkDJ[Date]=$A$4)*(CkDJ[Account Code]=(TRIM($B103))),CkDJ[Debit])))+(SUM(IF((CsDJ[Date]=$A$4)*(CsDJ[Account Code]=(TRIM($B103))),CsDJ[Debit])))+(SUM(IF((CRDJ[Date]=$A$4)*(CRDJ[Account Code]=(TRIM($B103))),CRDJ[Debit])))+(SUM(IF((GJ[Date]=$A$4)*(GJ[Account Code]=(TRIM($B103))),GJ[Debit]))))-((SUM(IF((CkDJ[Date]=$A$4)*(CkDJ[Account Code]=(TRIM($B103))),CkDJ[Credit])))+(SUM(IF((CsDJ[Date]=$A$4)*(CsDJ[Account Code]=(TRIM($B103))),CsDJ[Credit])))+(SUM(IF((CRDJ[Date]=$A$4)*(CRDJ[Account Code]=(TRIM($B103))),CRDJ[Credit])))+(SUM(IF((GJ[Date]=$A$4)*(GJ[Account Code]=(TRIM($B103))),GJ[Credit]))))</f>
        <v>0</v>
      </c>
      <c r="E103" s="467">
        <f t="shared" si="2"/>
        <v>0</v>
      </c>
    </row>
    <row r="104" spans="1:5">
      <c r="A104" s="476" t="s">
        <v>304</v>
      </c>
      <c r="B104" s="339" t="s">
        <v>222</v>
      </c>
      <c r="C104" s="466">
        <f t="array" ref="C104">((SUM(IF((CkDJ[Account Code]=(TRIM($B104)))*(CkDJ[Date]&lt;=$C$8),CkDJ[Debit])))+(SUM(IF((CsDJ[Account Code]=(TRIM($B104)))*(CsDJ[Date]&lt;=$C$8),CsDJ[Debit])))+(SUM(IF((CRDJ[Account Code]=(TRIM($B104)))*(CRDJ[Date]&lt;=$C$8),CRDJ[Debit])))+(SUM(IF((GJ[Account Code]=(TRIM($B104)))*(GJ[Date]&lt;=$C$8),GJ[Debit]))))-((SUM(IF((CkDJ[Account Code]=(TRIM($B104)))*(CkDJ[Date]&lt;=$C$8),CkDJ[Credit])))+(SUM(IF((CsDJ[Account Code]=(TRIM($B104)))*(CsDJ[Date]&lt;=$C$8),CsDJ[Credit])))+(SUM(IF((CRDJ[Account Code]=(TRIM($B104)))*(CRDJ[Date]&lt;=$C$8),CRDJ[Credit])))+(SUM(IF((GJ[Account Code]=(TRIM($B104)))*(GJ[Date]&lt;=$C$8),GJ[Credit]))))</f>
        <v>0</v>
      </c>
      <c r="D104" s="466">
        <f t="array" ref="D104">((SUM(IF((CkDJ[Date]=$A$4)*(CkDJ[Account Code]=(TRIM($B104))),CkDJ[Debit])))+(SUM(IF((CsDJ[Date]=$A$4)*(CsDJ[Account Code]=(TRIM($B104))),CsDJ[Debit])))+(SUM(IF((CRDJ[Date]=$A$4)*(CRDJ[Account Code]=(TRIM($B104))),CRDJ[Debit])))+(SUM(IF((GJ[Date]=$A$4)*(GJ[Account Code]=(TRIM($B104))),GJ[Debit]))))-((SUM(IF((CkDJ[Date]=$A$4)*(CkDJ[Account Code]=(TRIM($B104))),CkDJ[Credit])))+(SUM(IF((CsDJ[Date]=$A$4)*(CsDJ[Account Code]=(TRIM($B104))),CsDJ[Credit])))+(SUM(IF((CRDJ[Date]=$A$4)*(CRDJ[Account Code]=(TRIM($B104))),CRDJ[Credit])))+(SUM(IF((GJ[Date]=$A$4)*(GJ[Account Code]=(TRIM($B104))),GJ[Credit]))))</f>
        <v>0</v>
      </c>
      <c r="E104" s="467">
        <f t="shared" si="2"/>
        <v>0</v>
      </c>
    </row>
    <row r="105" spans="1:5">
      <c r="A105" s="476" t="s">
        <v>1023</v>
      </c>
      <c r="B105" s="339" t="s">
        <v>247</v>
      </c>
      <c r="C105" s="466">
        <f t="array" ref="C105">((SUM(IF((CkDJ[Account Code]=(TRIM($B105)))*(CkDJ[Date]&lt;=$C$8),CkDJ[Debit])))+(SUM(IF((CsDJ[Account Code]=(TRIM($B105)))*(CsDJ[Date]&lt;=$C$8),CsDJ[Debit])))+(SUM(IF((CRDJ[Account Code]=(TRIM($B105)))*(CRDJ[Date]&lt;=$C$8),CRDJ[Debit])))+(SUM(IF((GJ[Account Code]=(TRIM($B105)))*(GJ[Date]&lt;=$C$8),GJ[Debit]))))-((SUM(IF((CkDJ[Account Code]=(TRIM($B105)))*(CkDJ[Date]&lt;=$C$8),CkDJ[Credit])))+(SUM(IF((CsDJ[Account Code]=(TRIM($B105)))*(CsDJ[Date]&lt;=$C$8),CsDJ[Credit])))+(SUM(IF((CRDJ[Account Code]=(TRIM($B105)))*(CRDJ[Date]&lt;=$C$8),CRDJ[Credit])))+(SUM(IF((GJ[Account Code]=(TRIM($B105)))*(GJ[Date]&lt;=$C$8),GJ[Credit]))))</f>
        <v>0</v>
      </c>
      <c r="D105" s="466">
        <f t="array" ref="D105">((SUM(IF((CkDJ[Date]=$A$4)*(CkDJ[Account Code]=(TRIM($B105))),CkDJ[Debit])))+(SUM(IF((CsDJ[Date]=$A$4)*(CsDJ[Account Code]=(TRIM($B105))),CsDJ[Debit])))+(SUM(IF((CRDJ[Date]=$A$4)*(CRDJ[Account Code]=(TRIM($B105))),CRDJ[Debit])))+(SUM(IF((GJ[Date]=$A$4)*(GJ[Account Code]=(TRIM($B105))),GJ[Debit]))))-((SUM(IF((CkDJ[Date]=$A$4)*(CkDJ[Account Code]=(TRIM($B105))),CkDJ[Credit])))+(SUM(IF((CsDJ[Date]=$A$4)*(CsDJ[Account Code]=(TRIM($B105))),CsDJ[Credit])))+(SUM(IF((CRDJ[Date]=$A$4)*(CRDJ[Account Code]=(TRIM($B105))),CRDJ[Credit])))+(SUM(IF((GJ[Date]=$A$4)*(GJ[Account Code]=(TRIM($B105))),GJ[Credit]))))</f>
        <v>0</v>
      </c>
      <c r="E105" s="467">
        <f t="shared" si="2"/>
        <v>0</v>
      </c>
    </row>
    <row r="106" spans="1:5">
      <c r="A106" s="476" t="s">
        <v>1024</v>
      </c>
      <c r="B106" s="339" t="s">
        <v>248</v>
      </c>
      <c r="C106" s="466">
        <f t="array" ref="C106">((SUM(IF((CkDJ[Account Code]=(TRIM($B106)))*(CkDJ[Date]&lt;=$C$8),CkDJ[Debit])))+(SUM(IF((CsDJ[Account Code]=(TRIM($B106)))*(CsDJ[Date]&lt;=$C$8),CsDJ[Debit])))+(SUM(IF((CRDJ[Account Code]=(TRIM($B106)))*(CRDJ[Date]&lt;=$C$8),CRDJ[Debit])))+(SUM(IF((GJ[Account Code]=(TRIM($B106)))*(GJ[Date]&lt;=$C$8),GJ[Debit]))))-((SUM(IF((CkDJ[Account Code]=(TRIM($B106)))*(CkDJ[Date]&lt;=$C$8),CkDJ[Credit])))+(SUM(IF((CsDJ[Account Code]=(TRIM($B106)))*(CsDJ[Date]&lt;=$C$8),CsDJ[Credit])))+(SUM(IF((CRDJ[Account Code]=(TRIM($B106)))*(CRDJ[Date]&lt;=$C$8),CRDJ[Credit])))+(SUM(IF((GJ[Account Code]=(TRIM($B106)))*(GJ[Date]&lt;=$C$8),GJ[Credit]))))</f>
        <v>0</v>
      </c>
      <c r="D106" s="466">
        <f t="array" ref="D106">((SUM(IF((CkDJ[Date]=$A$4)*(CkDJ[Account Code]=(TRIM($B106))),CkDJ[Debit])))+(SUM(IF((CsDJ[Date]=$A$4)*(CsDJ[Account Code]=(TRIM($B106))),CsDJ[Debit])))+(SUM(IF((CRDJ[Date]=$A$4)*(CRDJ[Account Code]=(TRIM($B106))),CRDJ[Debit])))+(SUM(IF((GJ[Date]=$A$4)*(GJ[Account Code]=(TRIM($B106))),GJ[Debit]))))-((SUM(IF((CkDJ[Date]=$A$4)*(CkDJ[Account Code]=(TRIM($B106))),CkDJ[Credit])))+(SUM(IF((CsDJ[Date]=$A$4)*(CsDJ[Account Code]=(TRIM($B106))),CsDJ[Credit])))+(SUM(IF((CRDJ[Date]=$A$4)*(CRDJ[Account Code]=(TRIM($B106))),CRDJ[Credit])))+(SUM(IF((GJ[Date]=$A$4)*(GJ[Account Code]=(TRIM($B106))),GJ[Credit]))))</f>
        <v>0</v>
      </c>
      <c r="E106" s="467">
        <f t="shared" si="2"/>
        <v>0</v>
      </c>
    </row>
    <row r="107" spans="1:5">
      <c r="A107" s="476" t="s">
        <v>1025</v>
      </c>
      <c r="B107" s="339" t="s">
        <v>249</v>
      </c>
      <c r="C107" s="466">
        <f t="array" ref="C107">((SUM(IF((CkDJ[Account Code]=(TRIM($B107)))*(CkDJ[Date]&lt;=$C$8),CkDJ[Debit])))+(SUM(IF((CsDJ[Account Code]=(TRIM($B107)))*(CsDJ[Date]&lt;=$C$8),CsDJ[Debit])))+(SUM(IF((CRDJ[Account Code]=(TRIM($B107)))*(CRDJ[Date]&lt;=$C$8),CRDJ[Debit])))+(SUM(IF((GJ[Account Code]=(TRIM($B107)))*(GJ[Date]&lt;=$C$8),GJ[Debit]))))-((SUM(IF((CkDJ[Account Code]=(TRIM($B107)))*(CkDJ[Date]&lt;=$C$8),CkDJ[Credit])))+(SUM(IF((CsDJ[Account Code]=(TRIM($B107)))*(CsDJ[Date]&lt;=$C$8),CsDJ[Credit])))+(SUM(IF((CRDJ[Account Code]=(TRIM($B107)))*(CRDJ[Date]&lt;=$C$8),CRDJ[Credit])))+(SUM(IF((GJ[Account Code]=(TRIM($B107)))*(GJ[Date]&lt;=$C$8),GJ[Credit]))))</f>
        <v>0</v>
      </c>
      <c r="D107" s="466">
        <f t="array" ref="D107">((SUM(IF((CkDJ[Date]=$A$4)*(CkDJ[Account Code]=(TRIM($B107))),CkDJ[Debit])))+(SUM(IF((CsDJ[Date]=$A$4)*(CsDJ[Account Code]=(TRIM($B107))),CsDJ[Debit])))+(SUM(IF((CRDJ[Date]=$A$4)*(CRDJ[Account Code]=(TRIM($B107))),CRDJ[Debit])))+(SUM(IF((GJ[Date]=$A$4)*(GJ[Account Code]=(TRIM($B107))),GJ[Debit]))))-((SUM(IF((CkDJ[Date]=$A$4)*(CkDJ[Account Code]=(TRIM($B107))),CkDJ[Credit])))+(SUM(IF((CsDJ[Date]=$A$4)*(CsDJ[Account Code]=(TRIM($B107))),CsDJ[Credit])))+(SUM(IF((CRDJ[Date]=$A$4)*(CRDJ[Account Code]=(TRIM($B107))),CRDJ[Credit])))+(SUM(IF((GJ[Date]=$A$4)*(GJ[Account Code]=(TRIM($B107))),GJ[Credit]))))</f>
        <v>0</v>
      </c>
      <c r="E107" s="467">
        <f t="shared" si="2"/>
        <v>0</v>
      </c>
    </row>
    <row r="108" spans="1:5">
      <c r="A108" s="476" t="s">
        <v>302</v>
      </c>
      <c r="B108" s="339" t="s">
        <v>250</v>
      </c>
      <c r="C108" s="466">
        <f t="array" ref="C108">((SUM(IF((CkDJ[Account Code]=(TRIM($B108)))*(CkDJ[Date]&lt;=$C$8),CkDJ[Debit])))+(SUM(IF((CsDJ[Account Code]=(TRIM($B108)))*(CsDJ[Date]&lt;=$C$8),CsDJ[Debit])))+(SUM(IF((CRDJ[Account Code]=(TRIM($B108)))*(CRDJ[Date]&lt;=$C$8),CRDJ[Debit])))+(SUM(IF((GJ[Account Code]=(TRIM($B108)))*(GJ[Date]&lt;=$C$8),GJ[Debit]))))-((SUM(IF((CkDJ[Account Code]=(TRIM($B108)))*(CkDJ[Date]&lt;=$C$8),CkDJ[Credit])))+(SUM(IF((CsDJ[Account Code]=(TRIM($B108)))*(CsDJ[Date]&lt;=$C$8),CsDJ[Credit])))+(SUM(IF((CRDJ[Account Code]=(TRIM($B108)))*(CRDJ[Date]&lt;=$C$8),CRDJ[Credit])))+(SUM(IF((GJ[Account Code]=(TRIM($B108)))*(GJ[Date]&lt;=$C$8),GJ[Credit]))))</f>
        <v>0</v>
      </c>
      <c r="D108" s="466">
        <f t="array" ref="D108">((SUM(IF((CkDJ[Date]=$A$4)*(CkDJ[Account Code]=(TRIM($B108))),CkDJ[Debit])))+(SUM(IF((CsDJ[Date]=$A$4)*(CsDJ[Account Code]=(TRIM($B108))),CsDJ[Debit])))+(SUM(IF((CRDJ[Date]=$A$4)*(CRDJ[Account Code]=(TRIM($B108))),CRDJ[Debit])))+(SUM(IF((GJ[Date]=$A$4)*(GJ[Account Code]=(TRIM($B108))),GJ[Debit]))))-((SUM(IF((CkDJ[Date]=$A$4)*(CkDJ[Account Code]=(TRIM($B108))),CkDJ[Credit])))+(SUM(IF((CsDJ[Date]=$A$4)*(CsDJ[Account Code]=(TRIM($B108))),CsDJ[Credit])))+(SUM(IF((CRDJ[Date]=$A$4)*(CRDJ[Account Code]=(TRIM($B108))),CRDJ[Credit])))+(SUM(IF((GJ[Date]=$A$4)*(GJ[Account Code]=(TRIM($B108))),GJ[Credit]))))</f>
        <v>0</v>
      </c>
      <c r="E108" s="467">
        <f t="shared" si="2"/>
        <v>0</v>
      </c>
    </row>
    <row r="109" spans="1:5">
      <c r="A109" s="476" t="s">
        <v>841</v>
      </c>
      <c r="B109" s="339" t="s">
        <v>251</v>
      </c>
      <c r="C109" s="466">
        <f t="array" ref="C109">((SUM(IF((CkDJ[Account Code]=(TRIM($B109)))*(CkDJ[Date]&lt;=$C$8),CkDJ[Debit])))+(SUM(IF((CsDJ[Account Code]=(TRIM($B109)))*(CsDJ[Date]&lt;=$C$8),CsDJ[Debit])))+(SUM(IF((CRDJ[Account Code]=(TRIM($B109)))*(CRDJ[Date]&lt;=$C$8),CRDJ[Debit])))+(SUM(IF((GJ[Account Code]=(TRIM($B109)))*(GJ[Date]&lt;=$C$8),GJ[Debit]))))-((SUM(IF((CkDJ[Account Code]=(TRIM($B109)))*(CkDJ[Date]&lt;=$C$8),CkDJ[Credit])))+(SUM(IF((CsDJ[Account Code]=(TRIM($B109)))*(CsDJ[Date]&lt;=$C$8),CsDJ[Credit])))+(SUM(IF((CRDJ[Account Code]=(TRIM($B109)))*(CRDJ[Date]&lt;=$C$8),CRDJ[Credit])))+(SUM(IF((GJ[Account Code]=(TRIM($B109)))*(GJ[Date]&lt;=$C$8),GJ[Credit]))))</f>
        <v>0</v>
      </c>
      <c r="D109" s="466">
        <f t="array" ref="D109">((SUM(IF((CkDJ[Date]=$A$4)*(CkDJ[Account Code]=(TRIM($B109))),CkDJ[Debit])))+(SUM(IF((CsDJ[Date]=$A$4)*(CsDJ[Account Code]=(TRIM($B109))),CsDJ[Debit])))+(SUM(IF((CRDJ[Date]=$A$4)*(CRDJ[Account Code]=(TRIM($B109))),CRDJ[Debit])))+(SUM(IF((GJ[Date]=$A$4)*(GJ[Account Code]=(TRIM($B109))),GJ[Debit]))))-((SUM(IF((CkDJ[Date]=$A$4)*(CkDJ[Account Code]=(TRIM($B109))),CkDJ[Credit])))+(SUM(IF((CsDJ[Date]=$A$4)*(CsDJ[Account Code]=(TRIM($B109))),CsDJ[Credit])))+(SUM(IF((CRDJ[Date]=$A$4)*(CRDJ[Account Code]=(TRIM($B109))),CRDJ[Credit])))+(SUM(IF((GJ[Date]=$A$4)*(GJ[Account Code]=(TRIM($B109))),GJ[Credit]))))</f>
        <v>0</v>
      </c>
      <c r="E109" s="467">
        <f t="shared" si="2"/>
        <v>0</v>
      </c>
    </row>
    <row r="110" spans="1:5">
      <c r="A110" s="476" t="s">
        <v>1026</v>
      </c>
      <c r="B110" s="339" t="s">
        <v>252</v>
      </c>
      <c r="C110" s="466">
        <f t="array" ref="C110">((SUM(IF((CkDJ[Account Code]=(TRIM($B110)))*(CkDJ[Date]&lt;=$C$8),CkDJ[Debit])))+(SUM(IF((CsDJ[Account Code]=(TRIM($B110)))*(CsDJ[Date]&lt;=$C$8),CsDJ[Debit])))+(SUM(IF((CRDJ[Account Code]=(TRIM($B110)))*(CRDJ[Date]&lt;=$C$8),CRDJ[Debit])))+(SUM(IF((GJ[Account Code]=(TRIM($B110)))*(GJ[Date]&lt;=$C$8),GJ[Debit]))))-((SUM(IF((CkDJ[Account Code]=(TRIM($B110)))*(CkDJ[Date]&lt;=$C$8),CkDJ[Credit])))+(SUM(IF((CsDJ[Account Code]=(TRIM($B110)))*(CsDJ[Date]&lt;=$C$8),CsDJ[Credit])))+(SUM(IF((CRDJ[Account Code]=(TRIM($B110)))*(CRDJ[Date]&lt;=$C$8),CRDJ[Credit])))+(SUM(IF((GJ[Account Code]=(TRIM($B110)))*(GJ[Date]&lt;=$C$8),GJ[Credit]))))</f>
        <v>0</v>
      </c>
      <c r="D110" s="466">
        <f t="array" ref="D110">((SUM(IF((CkDJ[Date]=$A$4)*(CkDJ[Account Code]=(TRIM($B110))),CkDJ[Debit])))+(SUM(IF((CsDJ[Date]=$A$4)*(CsDJ[Account Code]=(TRIM($B110))),CsDJ[Debit])))+(SUM(IF((CRDJ[Date]=$A$4)*(CRDJ[Account Code]=(TRIM($B110))),CRDJ[Debit])))+(SUM(IF((GJ[Date]=$A$4)*(GJ[Account Code]=(TRIM($B110))),GJ[Debit]))))-((SUM(IF((CkDJ[Date]=$A$4)*(CkDJ[Account Code]=(TRIM($B110))),CkDJ[Credit])))+(SUM(IF((CsDJ[Date]=$A$4)*(CsDJ[Account Code]=(TRIM($B110))),CsDJ[Credit])))+(SUM(IF((CRDJ[Date]=$A$4)*(CRDJ[Account Code]=(TRIM($B110))),CRDJ[Credit])))+(SUM(IF((GJ[Date]=$A$4)*(GJ[Account Code]=(TRIM($B110))),GJ[Credit]))))</f>
        <v>0</v>
      </c>
      <c r="E110" s="467">
        <f t="shared" si="2"/>
        <v>0</v>
      </c>
    </row>
    <row r="111" spans="1:5">
      <c r="A111" s="476" t="s">
        <v>307</v>
      </c>
      <c r="B111" s="339" t="s">
        <v>253</v>
      </c>
      <c r="C111" s="466">
        <f t="array" ref="C111">((SUM(IF((CkDJ[Account Code]=(TRIM($B111)))*(CkDJ[Date]&lt;=$C$8),CkDJ[Debit])))+(SUM(IF((CsDJ[Account Code]=(TRIM($B111)))*(CsDJ[Date]&lt;=$C$8),CsDJ[Debit])))+(SUM(IF((CRDJ[Account Code]=(TRIM($B111)))*(CRDJ[Date]&lt;=$C$8),CRDJ[Debit])))+(SUM(IF((GJ[Account Code]=(TRIM($B111)))*(GJ[Date]&lt;=$C$8),GJ[Debit]))))-((SUM(IF((CkDJ[Account Code]=(TRIM($B111)))*(CkDJ[Date]&lt;=$C$8),CkDJ[Credit])))+(SUM(IF((CsDJ[Account Code]=(TRIM($B111)))*(CsDJ[Date]&lt;=$C$8),CsDJ[Credit])))+(SUM(IF((CRDJ[Account Code]=(TRIM($B111)))*(CRDJ[Date]&lt;=$C$8),CRDJ[Credit])))+(SUM(IF((GJ[Account Code]=(TRIM($B111)))*(GJ[Date]&lt;=$C$8),GJ[Credit]))))</f>
        <v>0</v>
      </c>
      <c r="D111" s="466">
        <f t="array" ref="D111">((SUM(IF((CkDJ[Date]=$A$4)*(CkDJ[Account Code]=(TRIM($B111))),CkDJ[Debit])))+(SUM(IF((CsDJ[Date]=$A$4)*(CsDJ[Account Code]=(TRIM($B111))),CsDJ[Debit])))+(SUM(IF((CRDJ[Date]=$A$4)*(CRDJ[Account Code]=(TRIM($B111))),CRDJ[Debit])))+(SUM(IF((GJ[Date]=$A$4)*(GJ[Account Code]=(TRIM($B111))),GJ[Debit]))))-((SUM(IF((CkDJ[Date]=$A$4)*(CkDJ[Account Code]=(TRIM($B111))),CkDJ[Credit])))+(SUM(IF((CsDJ[Date]=$A$4)*(CsDJ[Account Code]=(TRIM($B111))),CsDJ[Credit])))+(SUM(IF((CRDJ[Date]=$A$4)*(CRDJ[Account Code]=(TRIM($B111))),CRDJ[Credit])))+(SUM(IF((GJ[Date]=$A$4)*(GJ[Account Code]=(TRIM($B111))),GJ[Credit]))))</f>
        <v>0</v>
      </c>
      <c r="E111" s="467">
        <f t="shared" si="2"/>
        <v>0</v>
      </c>
    </row>
    <row r="112" spans="1:5">
      <c r="A112" s="476" t="s">
        <v>308</v>
      </c>
      <c r="B112" s="339" t="s">
        <v>256</v>
      </c>
      <c r="C112" s="466">
        <f t="array" ref="C112">((SUM(IF((CkDJ[Account Code]=(TRIM($B112)))*(CkDJ[Date]&lt;=$C$8),CkDJ[Debit])))+(SUM(IF((CsDJ[Account Code]=(TRIM($B112)))*(CsDJ[Date]&lt;=$C$8),CsDJ[Debit])))+(SUM(IF((CRDJ[Account Code]=(TRIM($B112)))*(CRDJ[Date]&lt;=$C$8),CRDJ[Debit])))+(SUM(IF((GJ[Account Code]=(TRIM($B112)))*(GJ[Date]&lt;=$C$8),GJ[Debit]))))-((SUM(IF((CkDJ[Account Code]=(TRIM($B112)))*(CkDJ[Date]&lt;=$C$8),CkDJ[Credit])))+(SUM(IF((CsDJ[Account Code]=(TRIM($B112)))*(CsDJ[Date]&lt;=$C$8),CsDJ[Credit])))+(SUM(IF((CRDJ[Account Code]=(TRIM($B112)))*(CRDJ[Date]&lt;=$C$8),CRDJ[Credit])))+(SUM(IF((GJ[Account Code]=(TRIM($B112)))*(GJ[Date]&lt;=$C$8),GJ[Credit]))))</f>
        <v>0</v>
      </c>
      <c r="D112" s="466">
        <f t="array" ref="D112">((SUM(IF((CkDJ[Date]=$A$4)*(CkDJ[Account Code]=(TRIM($B112))),CkDJ[Debit])))+(SUM(IF((CsDJ[Date]=$A$4)*(CsDJ[Account Code]=(TRIM($B112))),CsDJ[Debit])))+(SUM(IF((CRDJ[Date]=$A$4)*(CRDJ[Account Code]=(TRIM($B112))),CRDJ[Debit])))+(SUM(IF((GJ[Date]=$A$4)*(GJ[Account Code]=(TRIM($B112))),GJ[Debit]))))-((SUM(IF((CkDJ[Date]=$A$4)*(CkDJ[Account Code]=(TRIM($B112))),CkDJ[Credit])))+(SUM(IF((CsDJ[Date]=$A$4)*(CsDJ[Account Code]=(TRIM($B112))),CsDJ[Credit])))+(SUM(IF((CRDJ[Date]=$A$4)*(CRDJ[Account Code]=(TRIM($B112))),CRDJ[Credit])))+(SUM(IF((GJ[Date]=$A$4)*(GJ[Account Code]=(TRIM($B112))),GJ[Credit]))))</f>
        <v>0</v>
      </c>
      <c r="E112" s="467">
        <f t="shared" si="2"/>
        <v>0</v>
      </c>
    </row>
    <row r="113" spans="1:5">
      <c r="A113" s="476" t="s">
        <v>309</v>
      </c>
      <c r="B113" s="339" t="s">
        <v>258</v>
      </c>
      <c r="C113" s="466">
        <f t="array" ref="C113">((SUM(IF((CkDJ[Account Code]=(TRIM($B113)))*(CkDJ[Date]&lt;=$C$8),CkDJ[Debit])))+(SUM(IF((CsDJ[Account Code]=(TRIM($B113)))*(CsDJ[Date]&lt;=$C$8),CsDJ[Debit])))+(SUM(IF((CRDJ[Account Code]=(TRIM($B113)))*(CRDJ[Date]&lt;=$C$8),CRDJ[Debit])))+(SUM(IF((GJ[Account Code]=(TRIM($B113)))*(GJ[Date]&lt;=$C$8),GJ[Debit]))))-((SUM(IF((CkDJ[Account Code]=(TRIM($B113)))*(CkDJ[Date]&lt;=$C$8),CkDJ[Credit])))+(SUM(IF((CsDJ[Account Code]=(TRIM($B113)))*(CsDJ[Date]&lt;=$C$8),CsDJ[Credit])))+(SUM(IF((CRDJ[Account Code]=(TRIM($B113)))*(CRDJ[Date]&lt;=$C$8),CRDJ[Credit])))+(SUM(IF((GJ[Account Code]=(TRIM($B113)))*(GJ[Date]&lt;=$C$8),GJ[Credit]))))</f>
        <v>0</v>
      </c>
      <c r="D113" s="466">
        <f t="array" ref="D113">((SUM(IF((CkDJ[Date]=$A$4)*(CkDJ[Account Code]=(TRIM($B113))),CkDJ[Debit])))+(SUM(IF((CsDJ[Date]=$A$4)*(CsDJ[Account Code]=(TRIM($B113))),CsDJ[Debit])))+(SUM(IF((CRDJ[Date]=$A$4)*(CRDJ[Account Code]=(TRIM($B113))),CRDJ[Debit])))+(SUM(IF((GJ[Date]=$A$4)*(GJ[Account Code]=(TRIM($B113))),GJ[Debit]))))-((SUM(IF((CkDJ[Date]=$A$4)*(CkDJ[Account Code]=(TRIM($B113))),CkDJ[Credit])))+(SUM(IF((CsDJ[Date]=$A$4)*(CsDJ[Account Code]=(TRIM($B113))),CsDJ[Credit])))+(SUM(IF((CRDJ[Date]=$A$4)*(CRDJ[Account Code]=(TRIM($B113))),CRDJ[Credit])))+(SUM(IF((GJ[Date]=$A$4)*(GJ[Account Code]=(TRIM($B113))),GJ[Credit]))))</f>
        <v>0</v>
      </c>
      <c r="E113" s="467">
        <f t="shared" si="2"/>
        <v>0</v>
      </c>
    </row>
    <row r="114" spans="1:5">
      <c r="A114" s="476" t="s">
        <v>310</v>
      </c>
      <c r="B114" s="339" t="s">
        <v>261</v>
      </c>
      <c r="C114" s="466">
        <f t="array" ref="C114">((SUM(IF((CkDJ[Account Code]=(TRIM($B114)))*(CkDJ[Date]&lt;=$C$8),CkDJ[Debit])))+(SUM(IF((CsDJ[Account Code]=(TRIM($B114)))*(CsDJ[Date]&lt;=$C$8),CsDJ[Debit])))+(SUM(IF((CRDJ[Account Code]=(TRIM($B114)))*(CRDJ[Date]&lt;=$C$8),CRDJ[Debit])))+(SUM(IF((GJ[Account Code]=(TRIM($B114)))*(GJ[Date]&lt;=$C$8),GJ[Debit]))))-((SUM(IF((CkDJ[Account Code]=(TRIM($B114)))*(CkDJ[Date]&lt;=$C$8),CkDJ[Credit])))+(SUM(IF((CsDJ[Account Code]=(TRIM($B114)))*(CsDJ[Date]&lt;=$C$8),CsDJ[Credit])))+(SUM(IF((CRDJ[Account Code]=(TRIM($B114)))*(CRDJ[Date]&lt;=$C$8),CRDJ[Credit])))+(SUM(IF((GJ[Account Code]=(TRIM($B114)))*(GJ[Date]&lt;=$C$8),GJ[Credit]))))</f>
        <v>0</v>
      </c>
      <c r="D114" s="466">
        <f t="array" ref="D114">((SUM(IF((CkDJ[Date]=$A$4)*(CkDJ[Account Code]=(TRIM($B114))),CkDJ[Debit])))+(SUM(IF((CsDJ[Date]=$A$4)*(CsDJ[Account Code]=(TRIM($B114))),CsDJ[Debit])))+(SUM(IF((CRDJ[Date]=$A$4)*(CRDJ[Account Code]=(TRIM($B114))),CRDJ[Debit])))+(SUM(IF((GJ[Date]=$A$4)*(GJ[Account Code]=(TRIM($B114))),GJ[Debit]))))-((SUM(IF((CkDJ[Date]=$A$4)*(CkDJ[Account Code]=(TRIM($B114))),CkDJ[Credit])))+(SUM(IF((CsDJ[Date]=$A$4)*(CsDJ[Account Code]=(TRIM($B114))),CsDJ[Credit])))+(SUM(IF((CRDJ[Date]=$A$4)*(CRDJ[Account Code]=(TRIM($B114))),CRDJ[Credit])))+(SUM(IF((GJ[Date]=$A$4)*(GJ[Account Code]=(TRIM($B114))),GJ[Credit]))))</f>
        <v>0</v>
      </c>
      <c r="E114" s="467">
        <f t="shared" si="2"/>
        <v>0</v>
      </c>
    </row>
    <row r="115" spans="1:5">
      <c r="A115" s="476" t="s">
        <v>311</v>
      </c>
      <c r="B115" s="339" t="s">
        <v>262</v>
      </c>
      <c r="C115" s="466">
        <f t="array" ref="C115">((SUM(IF((CkDJ[Account Code]=(TRIM($B115)))*(CkDJ[Date]&lt;=$C$8),CkDJ[Debit])))+(SUM(IF((CsDJ[Account Code]=(TRIM($B115)))*(CsDJ[Date]&lt;=$C$8),CsDJ[Debit])))+(SUM(IF((CRDJ[Account Code]=(TRIM($B115)))*(CRDJ[Date]&lt;=$C$8),CRDJ[Debit])))+(SUM(IF((GJ[Account Code]=(TRIM($B115)))*(GJ[Date]&lt;=$C$8),GJ[Debit]))))-((SUM(IF((CkDJ[Account Code]=(TRIM($B115)))*(CkDJ[Date]&lt;=$C$8),CkDJ[Credit])))+(SUM(IF((CsDJ[Account Code]=(TRIM($B115)))*(CsDJ[Date]&lt;=$C$8),CsDJ[Credit])))+(SUM(IF((CRDJ[Account Code]=(TRIM($B115)))*(CRDJ[Date]&lt;=$C$8),CRDJ[Credit])))+(SUM(IF((GJ[Account Code]=(TRIM($B115)))*(GJ[Date]&lt;=$C$8),GJ[Credit]))))</f>
        <v>0</v>
      </c>
      <c r="D115" s="466">
        <f t="array" ref="D115">((SUM(IF((CkDJ[Date]=$A$4)*(CkDJ[Account Code]=(TRIM($B115))),CkDJ[Debit])))+(SUM(IF((CsDJ[Date]=$A$4)*(CsDJ[Account Code]=(TRIM($B115))),CsDJ[Debit])))+(SUM(IF((CRDJ[Date]=$A$4)*(CRDJ[Account Code]=(TRIM($B115))),CRDJ[Debit])))+(SUM(IF((GJ[Date]=$A$4)*(GJ[Account Code]=(TRIM($B115))),GJ[Debit]))))-((SUM(IF((CkDJ[Date]=$A$4)*(CkDJ[Account Code]=(TRIM($B115))),CkDJ[Credit])))+(SUM(IF((CsDJ[Date]=$A$4)*(CsDJ[Account Code]=(TRIM($B115))),CsDJ[Credit])))+(SUM(IF((CRDJ[Date]=$A$4)*(CRDJ[Account Code]=(TRIM($B115))),CRDJ[Credit])))+(SUM(IF((GJ[Date]=$A$4)*(GJ[Account Code]=(TRIM($B115))),GJ[Credit]))))</f>
        <v>0</v>
      </c>
      <c r="E115" s="467">
        <f t="shared" si="2"/>
        <v>0</v>
      </c>
    </row>
    <row r="116" spans="1:5">
      <c r="A116" s="476" t="s">
        <v>312</v>
      </c>
      <c r="B116" s="339" t="s">
        <v>264</v>
      </c>
      <c r="C116" s="466">
        <f t="array" ref="C116">((SUM(IF((CkDJ[Account Code]=(TRIM($B116)))*(CkDJ[Date]&lt;=$C$8),CkDJ[Debit])))+(SUM(IF((CsDJ[Account Code]=(TRIM($B116)))*(CsDJ[Date]&lt;=$C$8),CsDJ[Debit])))+(SUM(IF((CRDJ[Account Code]=(TRIM($B116)))*(CRDJ[Date]&lt;=$C$8),CRDJ[Debit])))+(SUM(IF((GJ[Account Code]=(TRIM($B116)))*(GJ[Date]&lt;=$C$8),GJ[Debit]))))-((SUM(IF((CkDJ[Account Code]=(TRIM($B116)))*(CkDJ[Date]&lt;=$C$8),CkDJ[Credit])))+(SUM(IF((CsDJ[Account Code]=(TRIM($B116)))*(CsDJ[Date]&lt;=$C$8),CsDJ[Credit])))+(SUM(IF((CRDJ[Account Code]=(TRIM($B116)))*(CRDJ[Date]&lt;=$C$8),CRDJ[Credit])))+(SUM(IF((GJ[Account Code]=(TRIM($B116)))*(GJ[Date]&lt;=$C$8),GJ[Credit]))))</f>
        <v>0</v>
      </c>
      <c r="D116" s="466">
        <f t="array" ref="D116">((SUM(IF((CkDJ[Date]=$A$4)*(CkDJ[Account Code]=(TRIM($B116))),CkDJ[Debit])))+(SUM(IF((CsDJ[Date]=$A$4)*(CsDJ[Account Code]=(TRIM($B116))),CsDJ[Debit])))+(SUM(IF((CRDJ[Date]=$A$4)*(CRDJ[Account Code]=(TRIM($B116))),CRDJ[Debit])))+(SUM(IF((GJ[Date]=$A$4)*(GJ[Account Code]=(TRIM($B116))),GJ[Debit]))))-((SUM(IF((CkDJ[Date]=$A$4)*(CkDJ[Account Code]=(TRIM($B116))),CkDJ[Credit])))+(SUM(IF((CsDJ[Date]=$A$4)*(CsDJ[Account Code]=(TRIM($B116))),CsDJ[Credit])))+(SUM(IF((CRDJ[Date]=$A$4)*(CRDJ[Account Code]=(TRIM($B116))),CRDJ[Credit])))+(SUM(IF((GJ[Date]=$A$4)*(GJ[Account Code]=(TRIM($B116))),GJ[Credit]))))</f>
        <v>0</v>
      </c>
      <c r="E116" s="467">
        <f t="shared" si="2"/>
        <v>0</v>
      </c>
    </row>
    <row r="117" spans="1:5">
      <c r="A117" s="476" t="s">
        <v>313</v>
      </c>
      <c r="B117" s="339" t="s">
        <v>265</v>
      </c>
      <c r="C117" s="466">
        <f t="array" ref="C117">((SUM(IF((CkDJ[Account Code]=(TRIM($B117)))*(CkDJ[Date]&lt;=$C$8),CkDJ[Debit])))+(SUM(IF((CsDJ[Account Code]=(TRIM($B117)))*(CsDJ[Date]&lt;=$C$8),CsDJ[Debit])))+(SUM(IF((CRDJ[Account Code]=(TRIM($B117)))*(CRDJ[Date]&lt;=$C$8),CRDJ[Debit])))+(SUM(IF((GJ[Account Code]=(TRIM($B117)))*(GJ[Date]&lt;=$C$8),GJ[Debit]))))-((SUM(IF((CkDJ[Account Code]=(TRIM($B117)))*(CkDJ[Date]&lt;=$C$8),CkDJ[Credit])))+(SUM(IF((CsDJ[Account Code]=(TRIM($B117)))*(CsDJ[Date]&lt;=$C$8),CsDJ[Credit])))+(SUM(IF((CRDJ[Account Code]=(TRIM($B117)))*(CRDJ[Date]&lt;=$C$8),CRDJ[Credit])))+(SUM(IF((GJ[Account Code]=(TRIM($B117)))*(GJ[Date]&lt;=$C$8),GJ[Credit]))))</f>
        <v>0</v>
      </c>
      <c r="D117" s="466">
        <f t="array" ref="D117">((SUM(IF((CkDJ[Date]=$A$4)*(CkDJ[Account Code]=(TRIM($B117))),CkDJ[Debit])))+(SUM(IF((CsDJ[Date]=$A$4)*(CsDJ[Account Code]=(TRIM($B117))),CsDJ[Debit])))+(SUM(IF((CRDJ[Date]=$A$4)*(CRDJ[Account Code]=(TRIM($B117))),CRDJ[Debit])))+(SUM(IF((GJ[Date]=$A$4)*(GJ[Account Code]=(TRIM($B117))),GJ[Debit]))))-((SUM(IF((CkDJ[Date]=$A$4)*(CkDJ[Account Code]=(TRIM($B117))),CkDJ[Credit])))+(SUM(IF((CsDJ[Date]=$A$4)*(CsDJ[Account Code]=(TRIM($B117))),CsDJ[Credit])))+(SUM(IF((CRDJ[Date]=$A$4)*(CRDJ[Account Code]=(TRIM($B117))),CRDJ[Credit])))+(SUM(IF((GJ[Date]=$A$4)*(GJ[Account Code]=(TRIM($B117))),GJ[Credit]))))</f>
        <v>0</v>
      </c>
      <c r="E117" s="467">
        <f t="shared" si="2"/>
        <v>0</v>
      </c>
    </row>
    <row r="118" spans="1:5">
      <c r="A118" s="476" t="s">
        <v>790</v>
      </c>
      <c r="B118" s="339" t="s">
        <v>267</v>
      </c>
      <c r="C118" s="466">
        <f t="array" ref="C118">((SUM(IF((CkDJ[Account Code]=(TRIM($B118)))*(CkDJ[Date]&lt;=$C$8),CkDJ[Debit])))+(SUM(IF((CsDJ[Account Code]=(TRIM($B118)))*(CsDJ[Date]&lt;=$C$8),CsDJ[Debit])))+(SUM(IF((CRDJ[Account Code]=(TRIM($B118)))*(CRDJ[Date]&lt;=$C$8),CRDJ[Debit])))+(SUM(IF((GJ[Account Code]=(TRIM($B118)))*(GJ[Date]&lt;=$C$8),GJ[Debit]))))-((SUM(IF((CkDJ[Account Code]=(TRIM($B118)))*(CkDJ[Date]&lt;=$C$8),CkDJ[Credit])))+(SUM(IF((CsDJ[Account Code]=(TRIM($B118)))*(CsDJ[Date]&lt;=$C$8),CsDJ[Credit])))+(SUM(IF((CRDJ[Account Code]=(TRIM($B118)))*(CRDJ[Date]&lt;=$C$8),CRDJ[Credit])))+(SUM(IF((GJ[Account Code]=(TRIM($B118)))*(GJ[Date]&lt;=$C$8),GJ[Credit]))))</f>
        <v>0</v>
      </c>
      <c r="D118" s="466">
        <f t="array" ref="D118">((SUM(IF((CkDJ[Date]=$A$4)*(CkDJ[Account Code]=(TRIM($B118))),CkDJ[Debit])))+(SUM(IF((CsDJ[Date]=$A$4)*(CsDJ[Account Code]=(TRIM($B118))),CsDJ[Debit])))+(SUM(IF((CRDJ[Date]=$A$4)*(CRDJ[Account Code]=(TRIM($B118))),CRDJ[Debit])))+(SUM(IF((GJ[Date]=$A$4)*(GJ[Account Code]=(TRIM($B118))),GJ[Debit]))))-((SUM(IF((CkDJ[Date]=$A$4)*(CkDJ[Account Code]=(TRIM($B118))),CkDJ[Credit])))+(SUM(IF((CsDJ[Date]=$A$4)*(CsDJ[Account Code]=(TRIM($B118))),CsDJ[Credit])))+(SUM(IF((CRDJ[Date]=$A$4)*(CRDJ[Account Code]=(TRIM($B118))),CRDJ[Credit])))+(SUM(IF((GJ[Date]=$A$4)*(GJ[Account Code]=(TRIM($B118))),GJ[Credit]))))</f>
        <v>0</v>
      </c>
      <c r="E118" s="467">
        <f t="shared" si="2"/>
        <v>0</v>
      </c>
    </row>
    <row r="119" spans="1:5">
      <c r="A119" s="476" t="s">
        <v>1027</v>
      </c>
      <c r="B119" s="339" t="s">
        <v>269</v>
      </c>
      <c r="C119" s="466">
        <f t="array" ref="C119">((SUM(IF((CkDJ[Account Code]=(TRIM($B119)))*(CkDJ[Date]&lt;=$C$8),CkDJ[Debit])))+(SUM(IF((CsDJ[Account Code]=(TRIM($B119)))*(CsDJ[Date]&lt;=$C$8),CsDJ[Debit])))+(SUM(IF((CRDJ[Account Code]=(TRIM($B119)))*(CRDJ[Date]&lt;=$C$8),CRDJ[Debit])))+(SUM(IF((GJ[Account Code]=(TRIM($B119)))*(GJ[Date]&lt;=$C$8),GJ[Debit]))))-((SUM(IF((CkDJ[Account Code]=(TRIM($B119)))*(CkDJ[Date]&lt;=$C$8),CkDJ[Credit])))+(SUM(IF((CsDJ[Account Code]=(TRIM($B119)))*(CsDJ[Date]&lt;=$C$8),CsDJ[Credit])))+(SUM(IF((CRDJ[Account Code]=(TRIM($B119)))*(CRDJ[Date]&lt;=$C$8),CRDJ[Credit])))+(SUM(IF((GJ[Account Code]=(TRIM($B119)))*(GJ[Date]&lt;=$C$8),GJ[Credit]))))</f>
        <v>0</v>
      </c>
      <c r="D119" s="466">
        <f t="array" ref="D119">((SUM(IF((CkDJ[Date]=$A$4)*(CkDJ[Account Code]=(TRIM($B119))),CkDJ[Debit])))+(SUM(IF((CsDJ[Date]=$A$4)*(CsDJ[Account Code]=(TRIM($B119))),CsDJ[Debit])))+(SUM(IF((CRDJ[Date]=$A$4)*(CRDJ[Account Code]=(TRIM($B119))),CRDJ[Debit])))+(SUM(IF((GJ[Date]=$A$4)*(GJ[Account Code]=(TRIM($B119))),GJ[Debit]))))-((SUM(IF((CkDJ[Date]=$A$4)*(CkDJ[Account Code]=(TRIM($B119))),CkDJ[Credit])))+(SUM(IF((CsDJ[Date]=$A$4)*(CsDJ[Account Code]=(TRIM($B119))),CsDJ[Credit])))+(SUM(IF((CRDJ[Date]=$A$4)*(CRDJ[Account Code]=(TRIM($B119))),CRDJ[Credit])))+(SUM(IF((GJ[Date]=$A$4)*(GJ[Account Code]=(TRIM($B119))),GJ[Credit]))))</f>
        <v>0</v>
      </c>
      <c r="E119" s="467">
        <f t="shared" si="2"/>
        <v>0</v>
      </c>
    </row>
    <row r="120" spans="1:5">
      <c r="A120" s="476" t="s">
        <v>409</v>
      </c>
      <c r="B120" s="339" t="s">
        <v>408</v>
      </c>
      <c r="C120" s="466">
        <f t="array" ref="C120">((SUM(IF((CkDJ[Account Code]=(TRIM($B120)))*(CkDJ[Date]&lt;=$C$8),CkDJ[Debit])))+(SUM(IF((CsDJ[Account Code]=(TRIM($B120)))*(CsDJ[Date]&lt;=$C$8),CsDJ[Debit])))+(SUM(IF((CRDJ[Account Code]=(TRIM($B120)))*(CRDJ[Date]&lt;=$C$8),CRDJ[Debit])))+(SUM(IF((GJ[Account Code]=(TRIM($B120)))*(GJ[Date]&lt;=$C$8),GJ[Debit]))))-((SUM(IF((CkDJ[Account Code]=(TRIM($B120)))*(CkDJ[Date]&lt;=$C$8),CkDJ[Credit])))+(SUM(IF((CsDJ[Account Code]=(TRIM($B120)))*(CsDJ[Date]&lt;=$C$8),CsDJ[Credit])))+(SUM(IF((CRDJ[Account Code]=(TRIM($B120)))*(CRDJ[Date]&lt;=$C$8),CRDJ[Credit])))+(SUM(IF((GJ[Account Code]=(TRIM($B120)))*(GJ[Date]&lt;=$C$8),GJ[Credit]))))</f>
        <v>0</v>
      </c>
      <c r="D120" s="466">
        <f t="array" ref="D120">((SUM(IF((CkDJ[Date]=$A$4)*(CkDJ[Account Code]=(TRIM($B120))),CkDJ[Debit])))+(SUM(IF((CsDJ[Date]=$A$4)*(CsDJ[Account Code]=(TRIM($B120))),CsDJ[Debit])))+(SUM(IF((CRDJ[Date]=$A$4)*(CRDJ[Account Code]=(TRIM($B120))),CRDJ[Debit])))+(SUM(IF((GJ[Date]=$A$4)*(GJ[Account Code]=(TRIM($B120))),GJ[Debit]))))-((SUM(IF((CkDJ[Date]=$A$4)*(CkDJ[Account Code]=(TRIM($B120))),CkDJ[Credit])))+(SUM(IF((CsDJ[Date]=$A$4)*(CsDJ[Account Code]=(TRIM($B120))),CsDJ[Credit])))+(SUM(IF((CRDJ[Date]=$A$4)*(CRDJ[Account Code]=(TRIM($B120))),CRDJ[Credit])))+(SUM(IF((GJ[Date]=$A$4)*(GJ[Account Code]=(TRIM($B120))),GJ[Credit]))))</f>
        <v>0</v>
      </c>
      <c r="E120" s="467">
        <f>C120+D120</f>
        <v>0</v>
      </c>
    </row>
    <row r="121" spans="1:5">
      <c r="A121" s="476" t="s">
        <v>315</v>
      </c>
      <c r="B121" s="339" t="s">
        <v>270</v>
      </c>
      <c r="C121" s="466">
        <f t="array" ref="C121">((SUM(IF((CkDJ[Account Code]=(TRIM($B121)))*(CkDJ[Date]&lt;=$C$8),CkDJ[Debit])))+(SUM(IF((CsDJ[Account Code]=(TRIM($B121)))*(CsDJ[Date]&lt;=$C$8),CsDJ[Debit])))+(SUM(IF((CRDJ[Account Code]=(TRIM($B121)))*(CRDJ[Date]&lt;=$C$8),CRDJ[Debit])))+(SUM(IF((GJ[Account Code]=(TRIM($B121)))*(GJ[Date]&lt;=$C$8),GJ[Debit]))))-((SUM(IF((CkDJ[Account Code]=(TRIM($B121)))*(CkDJ[Date]&lt;=$C$8),CkDJ[Credit])))+(SUM(IF((CsDJ[Account Code]=(TRIM($B121)))*(CsDJ[Date]&lt;=$C$8),CsDJ[Credit])))+(SUM(IF((CRDJ[Account Code]=(TRIM($B121)))*(CRDJ[Date]&lt;=$C$8),CRDJ[Credit])))+(SUM(IF((GJ[Account Code]=(TRIM($B121)))*(GJ[Date]&lt;=$C$8),GJ[Credit]))))</f>
        <v>0</v>
      </c>
      <c r="D121" s="466">
        <f t="array" ref="D121">((SUM(IF((CkDJ[Date]=$A$4)*(CkDJ[Account Code]=(TRIM($B121))),CkDJ[Debit])))+(SUM(IF((CsDJ[Date]=$A$4)*(CsDJ[Account Code]=(TRIM($B121))),CsDJ[Debit])))+(SUM(IF((CRDJ[Date]=$A$4)*(CRDJ[Account Code]=(TRIM($B121))),CRDJ[Debit])))+(SUM(IF((GJ[Date]=$A$4)*(GJ[Account Code]=(TRIM($B121))),GJ[Debit]))))-((SUM(IF((CkDJ[Date]=$A$4)*(CkDJ[Account Code]=(TRIM($B121))),CkDJ[Credit])))+(SUM(IF((CsDJ[Date]=$A$4)*(CsDJ[Account Code]=(TRIM($B121))),CsDJ[Credit])))+(SUM(IF((CRDJ[Date]=$A$4)*(CRDJ[Account Code]=(TRIM($B121))),CRDJ[Credit])))+(SUM(IF((GJ[Date]=$A$4)*(GJ[Account Code]=(TRIM($B121))),GJ[Credit]))))</f>
        <v>0</v>
      </c>
      <c r="E121" s="467">
        <f>C121+D121</f>
        <v>0</v>
      </c>
    </row>
    <row r="122" spans="1:5">
      <c r="A122" s="476" t="s">
        <v>368</v>
      </c>
      <c r="B122" s="339" t="s">
        <v>271</v>
      </c>
      <c r="C122" s="466">
        <f t="array" ref="C122">((SUM(IF((CkDJ[Account Code]=(TRIM($B122)))*(CkDJ[Date]&lt;=$C$8),CkDJ[Debit])))+(SUM(IF((CsDJ[Account Code]=(TRIM($B122)))*(CsDJ[Date]&lt;=$C$8),CsDJ[Debit])))+(SUM(IF((CRDJ[Account Code]=(TRIM($B122)))*(CRDJ[Date]&lt;=$C$8),CRDJ[Debit])))+(SUM(IF((GJ[Account Code]=(TRIM($B122)))*(GJ[Date]&lt;=$C$8),GJ[Debit]))))-((SUM(IF((CkDJ[Account Code]=(TRIM($B122)))*(CkDJ[Date]&lt;=$C$8),CkDJ[Credit])))+(SUM(IF((CsDJ[Account Code]=(TRIM($B122)))*(CsDJ[Date]&lt;=$C$8),CsDJ[Credit])))+(SUM(IF((CRDJ[Account Code]=(TRIM($B122)))*(CRDJ[Date]&lt;=$C$8),CRDJ[Credit])))+(SUM(IF((GJ[Account Code]=(TRIM($B122)))*(GJ[Date]&lt;=$C$8),GJ[Credit]))))</f>
        <v>0</v>
      </c>
      <c r="D122" s="466">
        <f t="array" ref="D122">((SUM(IF((CkDJ[Date]=$A$4)*(CkDJ[Account Code]=(TRIM($B122))),CkDJ[Debit])))+(SUM(IF((CsDJ[Date]=$A$4)*(CsDJ[Account Code]=(TRIM($B122))),CsDJ[Debit])))+(SUM(IF((CRDJ[Date]=$A$4)*(CRDJ[Account Code]=(TRIM($B122))),CRDJ[Debit])))+(SUM(IF((GJ[Date]=$A$4)*(GJ[Account Code]=(TRIM($B122))),GJ[Debit]))))-((SUM(IF((CkDJ[Date]=$A$4)*(CkDJ[Account Code]=(TRIM($B122))),CkDJ[Credit])))+(SUM(IF((CsDJ[Date]=$A$4)*(CsDJ[Account Code]=(TRIM($B122))),CsDJ[Credit])))+(SUM(IF((CRDJ[Date]=$A$4)*(CRDJ[Account Code]=(TRIM($B122))),CRDJ[Credit])))+(SUM(IF((GJ[Date]=$A$4)*(GJ[Account Code]=(TRIM($B122))),GJ[Credit]))))</f>
        <v>0</v>
      </c>
      <c r="E122" s="467">
        <f t="shared" si="2"/>
        <v>0</v>
      </c>
    </row>
    <row r="123" spans="1:5">
      <c r="A123" s="476" t="s">
        <v>316</v>
      </c>
      <c r="B123" s="339" t="s">
        <v>272</v>
      </c>
      <c r="C123" s="466">
        <f t="array" ref="C123">((SUM(IF((CkDJ[Account Code]=(TRIM($B123)))*(CkDJ[Date]&lt;=$C$8),CkDJ[Debit])))+(SUM(IF((CsDJ[Account Code]=(TRIM($B123)))*(CsDJ[Date]&lt;=$C$8),CsDJ[Debit])))+(SUM(IF((CRDJ[Account Code]=(TRIM($B123)))*(CRDJ[Date]&lt;=$C$8),CRDJ[Debit])))+(SUM(IF((GJ[Account Code]=(TRIM($B123)))*(GJ[Date]&lt;=$C$8),GJ[Debit]))))-((SUM(IF((CkDJ[Account Code]=(TRIM($B123)))*(CkDJ[Date]&lt;=$C$8),CkDJ[Credit])))+(SUM(IF((CsDJ[Account Code]=(TRIM($B123)))*(CsDJ[Date]&lt;=$C$8),CsDJ[Credit])))+(SUM(IF((CRDJ[Account Code]=(TRIM($B123)))*(CRDJ[Date]&lt;=$C$8),CRDJ[Credit])))+(SUM(IF((GJ[Account Code]=(TRIM($B123)))*(GJ[Date]&lt;=$C$8),GJ[Credit]))))</f>
        <v>0</v>
      </c>
      <c r="D123" s="466">
        <f t="array" ref="D123">((SUM(IF((CkDJ[Date]=$A$4)*(CkDJ[Account Code]=(TRIM($B123))),CkDJ[Debit])))+(SUM(IF((CsDJ[Date]=$A$4)*(CsDJ[Account Code]=(TRIM($B123))),CsDJ[Debit])))+(SUM(IF((CRDJ[Date]=$A$4)*(CRDJ[Account Code]=(TRIM($B123))),CRDJ[Debit])))+(SUM(IF((GJ[Date]=$A$4)*(GJ[Account Code]=(TRIM($B123))),GJ[Debit]))))-((SUM(IF((CkDJ[Date]=$A$4)*(CkDJ[Account Code]=(TRIM($B123))),CkDJ[Credit])))+(SUM(IF((CsDJ[Date]=$A$4)*(CsDJ[Account Code]=(TRIM($B123))),CsDJ[Credit])))+(SUM(IF((CRDJ[Date]=$A$4)*(CRDJ[Account Code]=(TRIM($B123))),CRDJ[Credit])))+(SUM(IF((GJ[Date]=$A$4)*(GJ[Account Code]=(TRIM($B123))),GJ[Credit]))))</f>
        <v>0</v>
      </c>
      <c r="E123" s="467">
        <f t="shared" si="2"/>
        <v>0</v>
      </c>
    </row>
    <row r="124" spans="1:5">
      <c r="A124" s="476" t="s">
        <v>317</v>
      </c>
      <c r="B124" s="339" t="s">
        <v>273</v>
      </c>
      <c r="C124" s="466">
        <f t="array" ref="C124">((SUM(IF((CkDJ[Account Code]=(TRIM($B124)))*(CkDJ[Date]&lt;=$C$8),CkDJ[Debit])))+(SUM(IF((CsDJ[Account Code]=(TRIM($B124)))*(CsDJ[Date]&lt;=$C$8),CsDJ[Debit])))+(SUM(IF((CRDJ[Account Code]=(TRIM($B124)))*(CRDJ[Date]&lt;=$C$8),CRDJ[Debit])))+(SUM(IF((GJ[Account Code]=(TRIM($B124)))*(GJ[Date]&lt;=$C$8),GJ[Debit]))))-((SUM(IF((CkDJ[Account Code]=(TRIM($B124)))*(CkDJ[Date]&lt;=$C$8),CkDJ[Credit])))+(SUM(IF((CsDJ[Account Code]=(TRIM($B124)))*(CsDJ[Date]&lt;=$C$8),CsDJ[Credit])))+(SUM(IF((CRDJ[Account Code]=(TRIM($B124)))*(CRDJ[Date]&lt;=$C$8),CRDJ[Credit])))+(SUM(IF((GJ[Account Code]=(TRIM($B124)))*(GJ[Date]&lt;=$C$8),GJ[Credit]))))</f>
        <v>0</v>
      </c>
      <c r="D124" s="466">
        <f t="array" ref="D124">((SUM(IF((CkDJ[Date]=$A$4)*(CkDJ[Account Code]=(TRIM($B124))),CkDJ[Debit])))+(SUM(IF((CsDJ[Date]=$A$4)*(CsDJ[Account Code]=(TRIM($B124))),CsDJ[Debit])))+(SUM(IF((CRDJ[Date]=$A$4)*(CRDJ[Account Code]=(TRIM($B124))),CRDJ[Debit])))+(SUM(IF((GJ[Date]=$A$4)*(GJ[Account Code]=(TRIM($B124))),GJ[Debit]))))-((SUM(IF((CkDJ[Date]=$A$4)*(CkDJ[Account Code]=(TRIM($B124))),CkDJ[Credit])))+(SUM(IF((CsDJ[Date]=$A$4)*(CsDJ[Account Code]=(TRIM($B124))),CsDJ[Credit])))+(SUM(IF((CRDJ[Date]=$A$4)*(CRDJ[Account Code]=(TRIM($B124))),CRDJ[Credit])))+(SUM(IF((GJ[Date]=$A$4)*(GJ[Account Code]=(TRIM($B124))),GJ[Credit]))))</f>
        <v>0</v>
      </c>
      <c r="E124" s="467">
        <f t="shared" si="2"/>
        <v>0</v>
      </c>
    </row>
    <row r="125" spans="1:5">
      <c r="A125" s="476" t="s">
        <v>318</v>
      </c>
      <c r="B125" s="339" t="s">
        <v>274</v>
      </c>
      <c r="C125" s="466">
        <f t="array" ref="C125">((SUM(IF((CkDJ[Account Code]=(TRIM($B125)))*(CkDJ[Date]&lt;=$C$8),CkDJ[Debit])))+(SUM(IF((CsDJ[Account Code]=(TRIM($B125)))*(CsDJ[Date]&lt;=$C$8),CsDJ[Debit])))+(SUM(IF((CRDJ[Account Code]=(TRIM($B125)))*(CRDJ[Date]&lt;=$C$8),CRDJ[Debit])))+(SUM(IF((GJ[Account Code]=(TRIM($B125)))*(GJ[Date]&lt;=$C$8),GJ[Debit]))))-((SUM(IF((CkDJ[Account Code]=(TRIM($B125)))*(CkDJ[Date]&lt;=$C$8),CkDJ[Credit])))+(SUM(IF((CsDJ[Account Code]=(TRIM($B125)))*(CsDJ[Date]&lt;=$C$8),CsDJ[Credit])))+(SUM(IF((CRDJ[Account Code]=(TRIM($B125)))*(CRDJ[Date]&lt;=$C$8),CRDJ[Credit])))+(SUM(IF((GJ[Account Code]=(TRIM($B125)))*(GJ[Date]&lt;=$C$8),GJ[Credit]))))</f>
        <v>0</v>
      </c>
      <c r="D125" s="466">
        <f t="array" ref="D125">((SUM(IF((CkDJ[Date]=$A$4)*(CkDJ[Account Code]=(TRIM($B125))),CkDJ[Debit])))+(SUM(IF((CsDJ[Date]=$A$4)*(CsDJ[Account Code]=(TRIM($B125))),CsDJ[Debit])))+(SUM(IF((CRDJ[Date]=$A$4)*(CRDJ[Account Code]=(TRIM($B125))),CRDJ[Debit])))+(SUM(IF((GJ[Date]=$A$4)*(GJ[Account Code]=(TRIM($B125))),GJ[Debit]))))-((SUM(IF((CkDJ[Date]=$A$4)*(CkDJ[Account Code]=(TRIM($B125))),CkDJ[Credit])))+(SUM(IF((CsDJ[Date]=$A$4)*(CsDJ[Account Code]=(TRIM($B125))),CsDJ[Credit])))+(SUM(IF((CRDJ[Date]=$A$4)*(CRDJ[Account Code]=(TRIM($B125))),CRDJ[Credit])))+(SUM(IF((GJ[Date]=$A$4)*(GJ[Account Code]=(TRIM($B125))),GJ[Credit]))))</f>
        <v>0</v>
      </c>
      <c r="E125" s="467">
        <f t="shared" si="2"/>
        <v>0</v>
      </c>
    </row>
    <row r="126" spans="1:5">
      <c r="A126" s="476" t="s">
        <v>796</v>
      </c>
      <c r="B126" s="339" t="s">
        <v>331</v>
      </c>
      <c r="C126" s="466">
        <f t="array" ref="C126">((SUM(IF((CkDJ[Account Code]=(TRIM($B126)))*(CkDJ[Date]&lt;=$C$8),CkDJ[Debit])))+(SUM(IF((CsDJ[Account Code]=(TRIM($B126)))*(CsDJ[Date]&lt;=$C$8),CsDJ[Debit])))+(SUM(IF((CRDJ[Account Code]=(TRIM($B126)))*(CRDJ[Date]&lt;=$C$8),CRDJ[Debit])))+(SUM(IF((GJ[Account Code]=(TRIM($B126)))*(GJ[Date]&lt;=$C$8),GJ[Debit]))))-((SUM(IF((CkDJ[Account Code]=(TRIM($B126)))*(CkDJ[Date]&lt;=$C$8),CkDJ[Credit])))+(SUM(IF((CsDJ[Account Code]=(TRIM($B126)))*(CsDJ[Date]&lt;=$C$8),CsDJ[Credit])))+(SUM(IF((CRDJ[Account Code]=(TRIM($B126)))*(CRDJ[Date]&lt;=$C$8),CRDJ[Credit])))+(SUM(IF((GJ[Account Code]=(TRIM($B126)))*(GJ[Date]&lt;=$C$8),GJ[Credit]))))</f>
        <v>0</v>
      </c>
      <c r="D126" s="466">
        <f t="array" ref="D126">((SUM(IF((CkDJ[Date]=$A$4)*(CkDJ[Account Code]=(TRIM($B126))),CkDJ[Debit])))+(SUM(IF((CsDJ[Date]=$A$4)*(CsDJ[Account Code]=(TRIM($B126))),CsDJ[Debit])))+(SUM(IF((CRDJ[Date]=$A$4)*(CRDJ[Account Code]=(TRIM($B126))),CRDJ[Debit])))+(SUM(IF((GJ[Date]=$A$4)*(GJ[Account Code]=(TRIM($B126))),GJ[Debit]))))-((SUM(IF((CkDJ[Date]=$A$4)*(CkDJ[Account Code]=(TRIM($B126))),CkDJ[Credit])))+(SUM(IF((CsDJ[Date]=$A$4)*(CsDJ[Account Code]=(TRIM($B126))),CsDJ[Credit])))+(SUM(IF((CRDJ[Date]=$A$4)*(CRDJ[Account Code]=(TRIM($B126))),CRDJ[Credit])))+(SUM(IF((GJ[Date]=$A$4)*(GJ[Account Code]=(TRIM($B126))),GJ[Credit]))))</f>
        <v>0</v>
      </c>
      <c r="E126" s="467">
        <f t="shared" si="2"/>
        <v>0</v>
      </c>
    </row>
    <row r="127" spans="1:5">
      <c r="A127" s="476" t="s">
        <v>1028</v>
      </c>
      <c r="B127" s="339" t="s">
        <v>332</v>
      </c>
      <c r="C127" s="466">
        <f t="array" ref="C127">((SUM(IF((CkDJ[Account Code]=(TRIM($B127)))*(CkDJ[Date]&lt;=$C$8),CkDJ[Debit])))+(SUM(IF((CsDJ[Account Code]=(TRIM($B127)))*(CsDJ[Date]&lt;=$C$8),CsDJ[Debit])))+(SUM(IF((CRDJ[Account Code]=(TRIM($B127)))*(CRDJ[Date]&lt;=$C$8),CRDJ[Debit])))+(SUM(IF((GJ[Account Code]=(TRIM($B127)))*(GJ[Date]&lt;=$C$8),GJ[Debit]))))-((SUM(IF((CkDJ[Account Code]=(TRIM($B127)))*(CkDJ[Date]&lt;=$C$8),CkDJ[Credit])))+(SUM(IF((CsDJ[Account Code]=(TRIM($B127)))*(CsDJ[Date]&lt;=$C$8),CsDJ[Credit])))+(SUM(IF((CRDJ[Account Code]=(TRIM($B127)))*(CRDJ[Date]&lt;=$C$8),CRDJ[Credit])))+(SUM(IF((GJ[Account Code]=(TRIM($B127)))*(GJ[Date]&lt;=$C$8),GJ[Credit]))))</f>
        <v>0</v>
      </c>
      <c r="D127" s="466">
        <f t="array" ref="D127">((SUM(IF((CkDJ[Date]=$A$4)*(CkDJ[Account Code]=(TRIM($B127))),CkDJ[Debit])))+(SUM(IF((CsDJ[Date]=$A$4)*(CsDJ[Account Code]=(TRIM($B127))),CsDJ[Debit])))+(SUM(IF((CRDJ[Date]=$A$4)*(CRDJ[Account Code]=(TRIM($B127))),CRDJ[Debit])))+(SUM(IF((GJ[Date]=$A$4)*(GJ[Account Code]=(TRIM($B127))),GJ[Debit]))))-((SUM(IF((CkDJ[Date]=$A$4)*(CkDJ[Account Code]=(TRIM($B127))),CkDJ[Credit])))+(SUM(IF((CsDJ[Date]=$A$4)*(CsDJ[Account Code]=(TRIM($B127))),CsDJ[Credit])))+(SUM(IF((CRDJ[Date]=$A$4)*(CRDJ[Account Code]=(TRIM($B127))),CRDJ[Credit])))+(SUM(IF((GJ[Date]=$A$4)*(GJ[Account Code]=(TRIM($B127))),GJ[Credit]))))</f>
        <v>0</v>
      </c>
      <c r="E127" s="467">
        <f t="shared" si="2"/>
        <v>0</v>
      </c>
    </row>
    <row r="128" spans="1:5">
      <c r="A128" s="476" t="s">
        <v>343</v>
      </c>
      <c r="B128" s="339" t="s">
        <v>334</v>
      </c>
      <c r="C128" s="466">
        <f t="array" ref="C128">((SUM(IF((CkDJ[Account Code]=(TRIM($B128)))*(CkDJ[Date]&lt;=$C$8),CkDJ[Debit])))+(SUM(IF((CsDJ[Account Code]=(TRIM($B128)))*(CsDJ[Date]&lt;=$C$8),CsDJ[Debit])))+(SUM(IF((CRDJ[Account Code]=(TRIM($B128)))*(CRDJ[Date]&lt;=$C$8),CRDJ[Debit])))+(SUM(IF((GJ[Account Code]=(TRIM($B128)))*(GJ[Date]&lt;=$C$8),GJ[Debit]))))-((SUM(IF((CkDJ[Account Code]=(TRIM($B128)))*(CkDJ[Date]&lt;=$C$8),CkDJ[Credit])))+(SUM(IF((CsDJ[Account Code]=(TRIM($B128)))*(CsDJ[Date]&lt;=$C$8),CsDJ[Credit])))+(SUM(IF((CRDJ[Account Code]=(TRIM($B128)))*(CRDJ[Date]&lt;=$C$8),CRDJ[Credit])))+(SUM(IF((GJ[Account Code]=(TRIM($B128)))*(GJ[Date]&lt;=$C$8),GJ[Credit]))))</f>
        <v>0</v>
      </c>
      <c r="D128" s="466">
        <f t="array" ref="D128">((SUM(IF((CkDJ[Date]=$A$4)*(CkDJ[Account Code]=(TRIM($B128))),CkDJ[Debit])))+(SUM(IF((CsDJ[Date]=$A$4)*(CsDJ[Account Code]=(TRIM($B128))),CsDJ[Debit])))+(SUM(IF((CRDJ[Date]=$A$4)*(CRDJ[Account Code]=(TRIM($B128))),CRDJ[Debit])))+(SUM(IF((GJ[Date]=$A$4)*(GJ[Account Code]=(TRIM($B128))),GJ[Debit]))))-((SUM(IF((CkDJ[Date]=$A$4)*(CkDJ[Account Code]=(TRIM($B128))),CkDJ[Credit])))+(SUM(IF((CsDJ[Date]=$A$4)*(CsDJ[Account Code]=(TRIM($B128))),CsDJ[Credit])))+(SUM(IF((CRDJ[Date]=$A$4)*(CRDJ[Account Code]=(TRIM($B128))),CRDJ[Credit])))+(SUM(IF((GJ[Date]=$A$4)*(GJ[Account Code]=(TRIM($B128))),GJ[Credit]))))</f>
        <v>0</v>
      </c>
      <c r="E128" s="467">
        <f t="shared" si="2"/>
        <v>0</v>
      </c>
    </row>
    <row r="129" spans="1:5">
      <c r="A129" s="476" t="s">
        <v>344</v>
      </c>
      <c r="B129" s="339" t="s">
        <v>335</v>
      </c>
      <c r="C129" s="466">
        <f t="array" ref="C129">((SUM(IF((CkDJ[Account Code]=(TRIM($B129)))*(CkDJ[Date]&lt;=$C$8),CkDJ[Debit])))+(SUM(IF((CsDJ[Account Code]=(TRIM($B129)))*(CsDJ[Date]&lt;=$C$8),CsDJ[Debit])))+(SUM(IF((CRDJ[Account Code]=(TRIM($B129)))*(CRDJ[Date]&lt;=$C$8),CRDJ[Debit])))+(SUM(IF((GJ[Account Code]=(TRIM($B129)))*(GJ[Date]&lt;=$C$8),GJ[Debit]))))-((SUM(IF((CkDJ[Account Code]=(TRIM($B129)))*(CkDJ[Date]&lt;=$C$8),CkDJ[Credit])))+(SUM(IF((CsDJ[Account Code]=(TRIM($B129)))*(CsDJ[Date]&lt;=$C$8),CsDJ[Credit])))+(SUM(IF((CRDJ[Account Code]=(TRIM($B129)))*(CRDJ[Date]&lt;=$C$8),CRDJ[Credit])))+(SUM(IF((GJ[Account Code]=(TRIM($B129)))*(GJ[Date]&lt;=$C$8),GJ[Credit]))))</f>
        <v>0</v>
      </c>
      <c r="D129" s="466">
        <f t="array" ref="D129">((SUM(IF((CkDJ[Date]=$A$4)*(CkDJ[Account Code]=(TRIM($B129))),CkDJ[Debit])))+(SUM(IF((CsDJ[Date]=$A$4)*(CsDJ[Account Code]=(TRIM($B129))),CsDJ[Debit])))+(SUM(IF((CRDJ[Date]=$A$4)*(CRDJ[Account Code]=(TRIM($B129))),CRDJ[Debit])))+(SUM(IF((GJ[Date]=$A$4)*(GJ[Account Code]=(TRIM($B129))),GJ[Debit]))))-((SUM(IF((CkDJ[Date]=$A$4)*(CkDJ[Account Code]=(TRIM($B129))),CkDJ[Credit])))+(SUM(IF((CsDJ[Date]=$A$4)*(CsDJ[Account Code]=(TRIM($B129))),CsDJ[Credit])))+(SUM(IF((CRDJ[Date]=$A$4)*(CRDJ[Account Code]=(TRIM($B129))),CRDJ[Credit])))+(SUM(IF((GJ[Date]=$A$4)*(GJ[Account Code]=(TRIM($B129))),GJ[Credit]))))</f>
        <v>0</v>
      </c>
      <c r="E129" s="467">
        <f t="shared" si="2"/>
        <v>0</v>
      </c>
    </row>
    <row r="130" spans="1:5">
      <c r="A130" s="476" t="s">
        <v>368</v>
      </c>
      <c r="B130" s="339" t="s">
        <v>405</v>
      </c>
      <c r="C130" s="466">
        <f t="array" ref="C130">((SUM(IF((CkDJ[Account Code]=(TRIM($B130)))*(CkDJ[Date]&lt;=$C$8),CkDJ[Debit])))+(SUM(IF((CsDJ[Account Code]=(TRIM($B130)))*(CsDJ[Date]&lt;=$C$8),CsDJ[Debit])))+(SUM(IF((CRDJ[Account Code]=(TRIM($B130)))*(CRDJ[Date]&lt;=$C$8),CRDJ[Debit])))+(SUM(IF((GJ[Account Code]=(TRIM($B130)))*(GJ[Date]&lt;=$C$8),GJ[Debit]))))-((SUM(IF((CkDJ[Account Code]=(TRIM($B130)))*(CkDJ[Date]&lt;=$C$8),CkDJ[Credit])))+(SUM(IF((CsDJ[Account Code]=(TRIM($B130)))*(CsDJ[Date]&lt;=$C$8),CsDJ[Credit])))+(SUM(IF((CRDJ[Account Code]=(TRIM($B130)))*(CRDJ[Date]&lt;=$C$8),CRDJ[Credit])))+(SUM(IF((GJ[Account Code]=(TRIM($B130)))*(GJ[Date]&lt;=$C$8),GJ[Credit]))))</f>
        <v>0</v>
      </c>
      <c r="D130" s="466">
        <f t="array" ref="D130">((SUM(IF((CkDJ[Date]=$A$4)*(CkDJ[Account Code]=(TRIM($B130))),CkDJ[Debit])))+(SUM(IF((CsDJ[Date]=$A$4)*(CsDJ[Account Code]=(TRIM($B130))),CsDJ[Debit])))+(SUM(IF((CRDJ[Date]=$A$4)*(CRDJ[Account Code]=(TRIM($B130))),CRDJ[Debit])))+(SUM(IF((GJ[Date]=$A$4)*(GJ[Account Code]=(TRIM($B130))),GJ[Debit]))))-((SUM(IF((CkDJ[Date]=$A$4)*(CkDJ[Account Code]=(TRIM($B130))),CkDJ[Credit])))+(SUM(IF((CsDJ[Date]=$A$4)*(CsDJ[Account Code]=(TRIM($B130))),CsDJ[Credit])))+(SUM(IF((CRDJ[Date]=$A$4)*(CRDJ[Account Code]=(TRIM($B130))),CRDJ[Credit])))+(SUM(IF((GJ[Date]=$A$4)*(GJ[Account Code]=(TRIM($B130))),GJ[Credit]))))</f>
        <v>0</v>
      </c>
      <c r="E130" s="467">
        <f t="shared" si="2"/>
        <v>0</v>
      </c>
    </row>
    <row r="131" spans="1:5">
      <c r="A131" s="476" t="s">
        <v>345</v>
      </c>
      <c r="B131" s="339" t="s">
        <v>336</v>
      </c>
      <c r="C131" s="466">
        <f t="array" ref="C131">((SUM(IF((CkDJ[Account Code]=(TRIM($B131)))*(CkDJ[Date]&lt;=$C$8),CkDJ[Debit])))+(SUM(IF((CsDJ[Account Code]=(TRIM($B131)))*(CsDJ[Date]&lt;=$C$8),CsDJ[Debit])))+(SUM(IF((CRDJ[Account Code]=(TRIM($B131)))*(CRDJ[Date]&lt;=$C$8),CRDJ[Debit])))+(SUM(IF((GJ[Account Code]=(TRIM($B131)))*(GJ[Date]&lt;=$C$8),GJ[Debit]))))-((SUM(IF((CkDJ[Account Code]=(TRIM($B131)))*(CkDJ[Date]&lt;=$C$8),CkDJ[Credit])))+(SUM(IF((CsDJ[Account Code]=(TRIM($B131)))*(CsDJ[Date]&lt;=$C$8),CsDJ[Credit])))+(SUM(IF((CRDJ[Account Code]=(TRIM($B131)))*(CRDJ[Date]&lt;=$C$8),CRDJ[Credit])))+(SUM(IF((GJ[Account Code]=(TRIM($B131)))*(GJ[Date]&lt;=$C$8),GJ[Credit]))))</f>
        <v>0</v>
      </c>
      <c r="D131" s="466">
        <f t="array" ref="D131">((SUM(IF((CkDJ[Date]=$A$4)*(CkDJ[Account Code]=(TRIM($B131))),CkDJ[Debit])))+(SUM(IF((CsDJ[Date]=$A$4)*(CsDJ[Account Code]=(TRIM($B131))),CsDJ[Debit])))+(SUM(IF((CRDJ[Date]=$A$4)*(CRDJ[Account Code]=(TRIM($B131))),CRDJ[Debit])))+(SUM(IF((GJ[Date]=$A$4)*(GJ[Account Code]=(TRIM($B131))),GJ[Debit]))))-((SUM(IF((CkDJ[Date]=$A$4)*(CkDJ[Account Code]=(TRIM($B131))),CkDJ[Credit])))+(SUM(IF((CsDJ[Date]=$A$4)*(CsDJ[Account Code]=(TRIM($B131))),CsDJ[Credit])))+(SUM(IF((CRDJ[Date]=$A$4)*(CRDJ[Account Code]=(TRIM($B131))),CRDJ[Credit])))+(SUM(IF((GJ[Date]=$A$4)*(GJ[Account Code]=(TRIM($B131))),GJ[Credit]))))</f>
        <v>0</v>
      </c>
      <c r="E131" s="467">
        <f t="shared" si="2"/>
        <v>0</v>
      </c>
    </row>
    <row r="132" spans="1:5">
      <c r="A132" s="476" t="s">
        <v>346</v>
      </c>
      <c r="B132" s="339" t="s">
        <v>337</v>
      </c>
      <c r="C132" s="466">
        <f t="array" ref="C132">((SUM(IF((CkDJ[Account Code]=(TRIM($B132)))*(CkDJ[Date]&lt;=$C$8),CkDJ[Debit])))+(SUM(IF((CsDJ[Account Code]=(TRIM($B132)))*(CsDJ[Date]&lt;=$C$8),CsDJ[Debit])))+(SUM(IF((CRDJ[Account Code]=(TRIM($B132)))*(CRDJ[Date]&lt;=$C$8),CRDJ[Debit])))+(SUM(IF((GJ[Account Code]=(TRIM($B132)))*(GJ[Date]&lt;=$C$8),GJ[Debit]))))-((SUM(IF((CkDJ[Account Code]=(TRIM($B132)))*(CkDJ[Date]&lt;=$C$8),CkDJ[Credit])))+(SUM(IF((CsDJ[Account Code]=(TRIM($B132)))*(CsDJ[Date]&lt;=$C$8),CsDJ[Credit])))+(SUM(IF((CRDJ[Account Code]=(TRIM($B132)))*(CRDJ[Date]&lt;=$C$8),CRDJ[Credit])))+(SUM(IF((GJ[Account Code]=(TRIM($B132)))*(GJ[Date]&lt;=$C$8),GJ[Credit]))))</f>
        <v>0</v>
      </c>
      <c r="D132" s="466">
        <f t="array" ref="D132">((SUM(IF((CkDJ[Date]=$A$4)*(CkDJ[Account Code]=(TRIM($B132))),CkDJ[Debit])))+(SUM(IF((CsDJ[Date]=$A$4)*(CsDJ[Account Code]=(TRIM($B132))),CsDJ[Debit])))+(SUM(IF((CRDJ[Date]=$A$4)*(CRDJ[Account Code]=(TRIM($B132))),CRDJ[Debit])))+(SUM(IF((GJ[Date]=$A$4)*(GJ[Account Code]=(TRIM($B132))),GJ[Debit]))))-((SUM(IF((CkDJ[Date]=$A$4)*(CkDJ[Account Code]=(TRIM($B132))),CkDJ[Credit])))+(SUM(IF((CsDJ[Date]=$A$4)*(CsDJ[Account Code]=(TRIM($B132))),CsDJ[Credit])))+(SUM(IF((CRDJ[Date]=$A$4)*(CRDJ[Account Code]=(TRIM($B132))),CRDJ[Credit])))+(SUM(IF((GJ[Date]=$A$4)*(GJ[Account Code]=(TRIM($B132))),GJ[Credit]))))</f>
        <v>0</v>
      </c>
      <c r="E132" s="467">
        <f t="shared" si="2"/>
        <v>0</v>
      </c>
    </row>
    <row r="133" spans="1:5">
      <c r="A133" s="476" t="s">
        <v>1030</v>
      </c>
      <c r="B133" s="339" t="s">
        <v>986</v>
      </c>
      <c r="C133" s="466">
        <f t="array" ref="C133">((SUM(IF((CkDJ[Account Code]=(TRIM($B133)))*(CkDJ[Date]&lt;=$C$8),CkDJ[Debit])))+(SUM(IF((CsDJ[Account Code]=(TRIM($B133)))*(CsDJ[Date]&lt;=$C$8),CsDJ[Debit])))+(SUM(IF((CRDJ[Account Code]=(TRIM($B133)))*(CRDJ[Date]&lt;=$C$8),CRDJ[Debit])))+(SUM(IF((GJ[Account Code]=(TRIM($B133)))*(GJ[Date]&lt;=$C$8),GJ[Debit]))))-((SUM(IF((CkDJ[Account Code]=(TRIM($B133)))*(CkDJ[Date]&lt;=$C$8),CkDJ[Credit])))+(SUM(IF((CsDJ[Account Code]=(TRIM($B133)))*(CsDJ[Date]&lt;=$C$8),CsDJ[Credit])))+(SUM(IF((CRDJ[Account Code]=(TRIM($B133)))*(CRDJ[Date]&lt;=$C$8),CRDJ[Credit])))+(SUM(IF((GJ[Account Code]=(TRIM($B133)))*(GJ[Date]&lt;=$C$8),GJ[Credit]))))</f>
        <v>0</v>
      </c>
      <c r="D133" s="466">
        <f t="array" ref="D133">((SUM(IF((CkDJ[Date]=$A$4)*(CkDJ[Account Code]=(TRIM($B133))),CkDJ[Debit])))+(SUM(IF((CsDJ[Date]=$A$4)*(CsDJ[Account Code]=(TRIM($B133))),CsDJ[Debit])))+(SUM(IF((CRDJ[Date]=$A$4)*(CRDJ[Account Code]=(TRIM($B133))),CRDJ[Debit])))+(SUM(IF((GJ[Date]=$A$4)*(GJ[Account Code]=(TRIM($B133))),GJ[Debit]))))-((SUM(IF((CkDJ[Date]=$A$4)*(CkDJ[Account Code]=(TRIM($B133))),CkDJ[Credit])))+(SUM(IF((CsDJ[Date]=$A$4)*(CsDJ[Account Code]=(TRIM($B133))),CsDJ[Credit])))+(SUM(IF((CRDJ[Date]=$A$4)*(CRDJ[Account Code]=(TRIM($B133))),CRDJ[Credit])))+(SUM(IF((GJ[Date]=$A$4)*(GJ[Account Code]=(TRIM($B133))),GJ[Credit]))))</f>
        <v>0</v>
      </c>
      <c r="E133" s="467">
        <f t="shared" si="2"/>
        <v>0</v>
      </c>
    </row>
    <row r="134" spans="1:5">
      <c r="A134" s="476" t="s">
        <v>1029</v>
      </c>
      <c r="B134" s="339" t="s">
        <v>987</v>
      </c>
      <c r="C134" s="466">
        <f t="array" ref="C134">((SUM(IF((CkDJ[Account Code]=(TRIM($B134)))*(CkDJ[Date]&lt;=$C$8),CkDJ[Debit])))+(SUM(IF((CsDJ[Account Code]=(TRIM($B134)))*(CsDJ[Date]&lt;=$C$8),CsDJ[Debit])))+(SUM(IF((CRDJ[Account Code]=(TRIM($B134)))*(CRDJ[Date]&lt;=$C$8),CRDJ[Debit])))+(SUM(IF((GJ[Account Code]=(TRIM($B134)))*(GJ[Date]&lt;=$C$8),GJ[Debit]))))-((SUM(IF((CkDJ[Account Code]=(TRIM($B134)))*(CkDJ[Date]&lt;=$C$8),CkDJ[Credit])))+(SUM(IF((CsDJ[Account Code]=(TRIM($B134)))*(CsDJ[Date]&lt;=$C$8),CsDJ[Credit])))+(SUM(IF((CRDJ[Account Code]=(TRIM($B134)))*(CRDJ[Date]&lt;=$C$8),CRDJ[Credit])))+(SUM(IF((GJ[Account Code]=(TRIM($B134)))*(GJ[Date]&lt;=$C$8),GJ[Credit]))))</f>
        <v>0</v>
      </c>
      <c r="D134" s="466">
        <f t="array" ref="D134">((SUM(IF((CkDJ[Date]=$A$4)*(CkDJ[Account Code]=(TRIM($B134))),CkDJ[Debit])))+(SUM(IF((CsDJ[Date]=$A$4)*(CsDJ[Account Code]=(TRIM($B134))),CsDJ[Debit])))+(SUM(IF((CRDJ[Date]=$A$4)*(CRDJ[Account Code]=(TRIM($B134))),CRDJ[Debit])))+(SUM(IF((GJ[Date]=$A$4)*(GJ[Account Code]=(TRIM($B134))),GJ[Debit]))))-((SUM(IF((CkDJ[Date]=$A$4)*(CkDJ[Account Code]=(TRIM($B134))),CkDJ[Credit])))+(SUM(IF((CsDJ[Date]=$A$4)*(CsDJ[Account Code]=(TRIM($B134))),CsDJ[Credit])))+(SUM(IF((CRDJ[Date]=$A$4)*(CRDJ[Account Code]=(TRIM($B134))),CRDJ[Credit])))+(SUM(IF((GJ[Date]=$A$4)*(GJ[Account Code]=(TRIM($B134))),GJ[Credit]))))</f>
        <v>0</v>
      </c>
      <c r="E134" s="467">
        <f t="shared" si="2"/>
        <v>0</v>
      </c>
    </row>
    <row r="135" spans="1:5">
      <c r="A135" s="476" t="s">
        <v>990</v>
      </c>
      <c r="B135" s="339" t="s">
        <v>988</v>
      </c>
      <c r="C135" s="466">
        <f t="array" ref="C135">((SUM(IF((CkDJ[Account Code]=(TRIM($B135)))*(CkDJ[Date]&lt;=$C$8),CkDJ[Debit])))+(SUM(IF((CsDJ[Account Code]=(TRIM($B135)))*(CsDJ[Date]&lt;=$C$8),CsDJ[Debit])))+(SUM(IF((CRDJ[Account Code]=(TRIM($B135)))*(CRDJ[Date]&lt;=$C$8),CRDJ[Debit])))+(SUM(IF((GJ[Account Code]=(TRIM($B135)))*(GJ[Date]&lt;=$C$8),GJ[Debit]))))-((SUM(IF((CkDJ[Account Code]=(TRIM($B135)))*(CkDJ[Date]&lt;=$C$8),CkDJ[Credit])))+(SUM(IF((CsDJ[Account Code]=(TRIM($B135)))*(CsDJ[Date]&lt;=$C$8),CsDJ[Credit])))+(SUM(IF((CRDJ[Account Code]=(TRIM($B135)))*(CRDJ[Date]&lt;=$C$8),CRDJ[Credit])))+(SUM(IF((GJ[Account Code]=(TRIM($B135)))*(GJ[Date]&lt;=$C$8),GJ[Credit]))))</f>
        <v>0</v>
      </c>
      <c r="D135" s="466">
        <f t="array" ref="D135">((SUM(IF((CkDJ[Date]=$A$4)*(CkDJ[Account Code]=(TRIM($B135))),CkDJ[Debit])))+(SUM(IF((CsDJ[Date]=$A$4)*(CsDJ[Account Code]=(TRIM($B135))),CsDJ[Debit])))+(SUM(IF((CRDJ[Date]=$A$4)*(CRDJ[Account Code]=(TRIM($B135))),CRDJ[Debit])))+(SUM(IF((GJ[Date]=$A$4)*(GJ[Account Code]=(TRIM($B135))),GJ[Debit]))))-((SUM(IF((CkDJ[Date]=$A$4)*(CkDJ[Account Code]=(TRIM($B135))),CkDJ[Credit])))+(SUM(IF((CsDJ[Date]=$A$4)*(CsDJ[Account Code]=(TRIM($B135))),CsDJ[Credit])))+(SUM(IF((CRDJ[Date]=$A$4)*(CRDJ[Account Code]=(TRIM($B135))),CRDJ[Credit])))+(SUM(IF((GJ[Date]=$A$4)*(GJ[Account Code]=(TRIM($B135))),GJ[Credit]))))</f>
        <v>0</v>
      </c>
      <c r="E135" s="467">
        <f t="shared" si="2"/>
        <v>0</v>
      </c>
    </row>
    <row r="136" spans="1:5">
      <c r="A136" s="476" t="s">
        <v>349</v>
      </c>
      <c r="B136" s="339" t="s">
        <v>340</v>
      </c>
      <c r="C136" s="466">
        <f t="array" ref="C136">((SUM(IF((CkDJ[Account Code]=(TRIM($B136)))*(CkDJ[Date]&lt;=$C$8),CkDJ[Debit])))+(SUM(IF((CsDJ[Account Code]=(TRIM($B136)))*(CsDJ[Date]&lt;=$C$8),CsDJ[Debit])))+(SUM(IF((CRDJ[Account Code]=(TRIM($B136)))*(CRDJ[Date]&lt;=$C$8),CRDJ[Debit])))+(SUM(IF((GJ[Account Code]=(TRIM($B136)))*(GJ[Date]&lt;=$C$8),GJ[Debit]))))-((SUM(IF((CkDJ[Account Code]=(TRIM($B136)))*(CkDJ[Date]&lt;=$C$8),CkDJ[Credit])))+(SUM(IF((CsDJ[Account Code]=(TRIM($B136)))*(CsDJ[Date]&lt;=$C$8),CsDJ[Credit])))+(SUM(IF((CRDJ[Account Code]=(TRIM($B136)))*(CRDJ[Date]&lt;=$C$8),CRDJ[Credit])))+(SUM(IF((GJ[Account Code]=(TRIM($B136)))*(GJ[Date]&lt;=$C$8),GJ[Credit]))))</f>
        <v>0</v>
      </c>
      <c r="D136" s="466">
        <f t="array" ref="D136">((SUM(IF((CkDJ[Date]=$A$4)*(CkDJ[Account Code]=(TRIM($B136))),CkDJ[Debit])))+(SUM(IF((CsDJ[Date]=$A$4)*(CsDJ[Account Code]=(TRIM($B136))),CsDJ[Debit])))+(SUM(IF((CRDJ[Date]=$A$4)*(CRDJ[Account Code]=(TRIM($B136))),CRDJ[Debit])))+(SUM(IF((GJ[Date]=$A$4)*(GJ[Account Code]=(TRIM($B136))),GJ[Debit]))))-((SUM(IF((CkDJ[Date]=$A$4)*(CkDJ[Account Code]=(TRIM($B136))),CkDJ[Credit])))+(SUM(IF((CsDJ[Date]=$A$4)*(CsDJ[Account Code]=(TRIM($B136))),CsDJ[Credit])))+(SUM(IF((CRDJ[Date]=$A$4)*(CRDJ[Account Code]=(TRIM($B136))),CRDJ[Credit])))+(SUM(IF((GJ[Date]=$A$4)*(GJ[Account Code]=(TRIM($B136))),GJ[Credit]))))</f>
        <v>0</v>
      </c>
      <c r="E136" s="467">
        <f t="shared" si="2"/>
        <v>0</v>
      </c>
    </row>
    <row r="137" spans="1:5">
      <c r="A137" s="476" t="s">
        <v>342</v>
      </c>
      <c r="B137" s="339" t="s">
        <v>333</v>
      </c>
      <c r="C137" s="466">
        <f t="array" ref="C137">((SUM(IF((CkDJ[Account Code]=(TRIM($B137)))*(CkDJ[Date]&lt;=$C$8),CkDJ[Debit])))+(SUM(IF((CsDJ[Account Code]=(TRIM($B137)))*(CsDJ[Date]&lt;=$C$8),CsDJ[Debit])))+(SUM(IF((CRDJ[Account Code]=(TRIM($B137)))*(CRDJ[Date]&lt;=$C$8),CRDJ[Debit])))+(SUM(IF((GJ[Account Code]=(TRIM($B137)))*(GJ[Date]&lt;=$C$8),GJ[Debit]))))-((SUM(IF((CkDJ[Account Code]=(TRIM($B137)))*(CkDJ[Date]&lt;=$C$8),CkDJ[Credit])))+(SUM(IF((CsDJ[Account Code]=(TRIM($B137)))*(CsDJ[Date]&lt;=$C$8),CsDJ[Credit])))+(SUM(IF((CRDJ[Account Code]=(TRIM($B137)))*(CRDJ[Date]&lt;=$C$8),CRDJ[Credit])))+(SUM(IF((GJ[Account Code]=(TRIM($B137)))*(GJ[Date]&lt;=$C$8),GJ[Credit]))))</f>
        <v>0</v>
      </c>
      <c r="D137" s="466">
        <f t="array" ref="D137">((SUM(IF((CkDJ[Date]=$A$4)*(CkDJ[Account Code]=(TRIM($B137))),CkDJ[Debit])))+(SUM(IF((CsDJ[Date]=$A$4)*(CsDJ[Account Code]=(TRIM($B137))),CsDJ[Debit])))+(SUM(IF((CRDJ[Date]=$A$4)*(CRDJ[Account Code]=(TRIM($B137))),CRDJ[Debit])))+(SUM(IF((GJ[Date]=$A$4)*(GJ[Account Code]=(TRIM($B137))),GJ[Debit]))))-((SUM(IF((CkDJ[Date]=$A$4)*(CkDJ[Account Code]=(TRIM($B137))),CkDJ[Credit])))+(SUM(IF((CsDJ[Date]=$A$4)*(CsDJ[Account Code]=(TRIM($B137))),CsDJ[Credit])))+(SUM(IF((CRDJ[Date]=$A$4)*(CRDJ[Account Code]=(TRIM($B137))),CRDJ[Credit])))+(SUM(IF((GJ[Date]=$A$4)*(GJ[Account Code]=(TRIM($B137))),GJ[Credit]))))</f>
        <v>0</v>
      </c>
      <c r="E137" s="467">
        <f>C137+D137</f>
        <v>0</v>
      </c>
    </row>
    <row r="138" spans="1:5">
      <c r="A138" s="468" t="s">
        <v>804</v>
      </c>
      <c r="B138" s="469"/>
      <c r="C138" s="470">
        <f>C47+C74</f>
        <v>0</v>
      </c>
      <c r="D138" s="470">
        <f>D47+D74</f>
        <v>0</v>
      </c>
      <c r="E138" s="470">
        <f>E47+E74</f>
        <v>0</v>
      </c>
    </row>
    <row r="139" spans="1:5">
      <c r="A139" s="468" t="s">
        <v>785</v>
      </c>
      <c r="B139" s="469"/>
      <c r="C139" s="470">
        <f>C45-C138</f>
        <v>0</v>
      </c>
      <c r="D139" s="470">
        <f>D45-D138</f>
        <v>0</v>
      </c>
      <c r="E139" s="470">
        <f>E45-E138</f>
        <v>0</v>
      </c>
    </row>
    <row r="140" spans="1:5">
      <c r="A140" s="468"/>
      <c r="B140" s="469"/>
      <c r="C140" s="470"/>
      <c r="D140" s="470"/>
      <c r="E140" s="470"/>
    </row>
    <row r="141" spans="1:5">
      <c r="A141" s="468" t="s">
        <v>1168</v>
      </c>
      <c r="B141" s="469"/>
      <c r="C141" s="470">
        <v>0</v>
      </c>
      <c r="D141" s="470">
        <v>0</v>
      </c>
      <c r="E141" s="470">
        <v>0</v>
      </c>
    </row>
    <row r="142" spans="1:5">
      <c r="A142" s="468"/>
      <c r="B142" s="469"/>
      <c r="C142" s="470"/>
      <c r="D142" s="470"/>
      <c r="E142" s="470"/>
    </row>
    <row r="143" spans="1:5">
      <c r="A143" s="468" t="s">
        <v>1169</v>
      </c>
      <c r="B143" s="469"/>
      <c r="C143" s="470">
        <f>C139-C141</f>
        <v>0</v>
      </c>
      <c r="D143" s="470">
        <f>D139-D141</f>
        <v>0</v>
      </c>
      <c r="E143" s="470">
        <f>E139-E141</f>
        <v>0</v>
      </c>
    </row>
  </sheetData>
  <mergeCells count="5">
    <mergeCell ref="C6:C7"/>
    <mergeCell ref="D6:D8"/>
    <mergeCell ref="E6:E8"/>
    <mergeCell ref="A6:A8"/>
    <mergeCell ref="B6:B8"/>
  </mergeCells>
  <printOptions horizontalCentered="1"/>
  <pageMargins left="0.25" right="0.25" top="0.75" bottom="1.5" header="0.3" footer="0.3"/>
  <pageSetup paperSize="5" scale="80" orientation="portrait" r:id="rId1"/>
  <rowBreaks count="1" manualBreakCount="1">
    <brk id="72"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69"/>
  <sheetViews>
    <sheetView workbookViewId="0"/>
  </sheetViews>
  <sheetFormatPr defaultColWidth="9" defaultRowHeight="15.75"/>
  <cols>
    <col min="1" max="1" width="64.125" style="25" bestFit="1" customWidth="1"/>
    <col min="2" max="2" width="8" style="315" customWidth="1"/>
    <col min="3" max="16" width="16.125" style="25" customWidth="1"/>
    <col min="17" max="16384" width="9" style="25"/>
  </cols>
  <sheetData>
    <row r="1" spans="1:16" ht="22.5">
      <c r="A1" s="313" t="s">
        <v>355</v>
      </c>
    </row>
    <row r="2" spans="1:16">
      <c r="A2" s="167" t="s">
        <v>400</v>
      </c>
      <c r="C2" s="102"/>
      <c r="D2" s="102"/>
      <c r="E2" s="102"/>
      <c r="F2" s="52"/>
      <c r="G2" s="52"/>
      <c r="H2" s="52"/>
      <c r="I2" s="102"/>
      <c r="J2" s="102"/>
      <c r="K2" s="102"/>
      <c r="L2" s="102"/>
      <c r="M2" s="102"/>
      <c r="N2" s="102"/>
      <c r="O2" s="102"/>
      <c r="P2" s="102"/>
    </row>
    <row r="3" spans="1:16">
      <c r="A3" s="171" t="s">
        <v>995</v>
      </c>
    </row>
    <row r="4" spans="1:16">
      <c r="A4" s="171" t="s">
        <v>996</v>
      </c>
      <c r="C4" s="52"/>
      <c r="D4" s="52"/>
      <c r="E4" s="52"/>
      <c r="F4" s="52"/>
      <c r="G4" s="102"/>
      <c r="H4" s="52"/>
      <c r="I4" s="52"/>
      <c r="J4" s="52"/>
      <c r="K4" s="102"/>
      <c r="L4" s="102"/>
      <c r="M4" s="102"/>
      <c r="N4" s="102"/>
      <c r="O4" s="102"/>
      <c r="P4" s="102"/>
    </row>
    <row r="5" spans="1:16">
      <c r="A5" s="314" t="str">
        <f>IF(B6=0,,VLOOKUP((TRIM(B6)),SortCode,2,))</f>
        <v>Ilocos Norte PIO</v>
      </c>
      <c r="D5" s="329"/>
    </row>
    <row r="6" spans="1:16">
      <c r="A6" s="167"/>
      <c r="B6" s="315" t="s">
        <v>487</v>
      </c>
    </row>
    <row r="7" spans="1:16">
      <c r="A7" s="316" t="s">
        <v>855</v>
      </c>
      <c r="B7" s="317" t="s">
        <v>994</v>
      </c>
      <c r="C7" s="318">
        <v>2017</v>
      </c>
      <c r="D7" s="328">
        <f>Account!G12</f>
        <v>44957</v>
      </c>
      <c r="E7" s="328">
        <f>Account!G13</f>
        <v>44985</v>
      </c>
      <c r="F7" s="328">
        <f>Account!G14</f>
        <v>45016</v>
      </c>
      <c r="G7" s="328">
        <f>Account!G15</f>
        <v>45046</v>
      </c>
      <c r="H7" s="328">
        <f>Account!G16</f>
        <v>45077</v>
      </c>
      <c r="I7" s="328">
        <f>Account!G17</f>
        <v>45107</v>
      </c>
      <c r="J7" s="328">
        <f>Account!G18</f>
        <v>45138</v>
      </c>
      <c r="K7" s="328">
        <f>Account!G19</f>
        <v>45169</v>
      </c>
      <c r="L7" s="328">
        <f>Account!G20</f>
        <v>45199</v>
      </c>
      <c r="M7" s="328">
        <f>Account!G21</f>
        <v>45230</v>
      </c>
      <c r="N7" s="328">
        <f>Account!G22</f>
        <v>45260</v>
      </c>
      <c r="O7" s="328">
        <f>Account!G23</f>
        <v>45291</v>
      </c>
      <c r="P7" s="318" t="s">
        <v>831</v>
      </c>
    </row>
    <row r="8" spans="1:16">
      <c r="A8" s="14"/>
      <c r="B8" s="317"/>
      <c r="C8" s="319"/>
      <c r="D8" s="319"/>
      <c r="E8" s="319"/>
      <c r="F8" s="319"/>
      <c r="G8" s="319"/>
      <c r="H8" s="319"/>
      <c r="I8" s="319"/>
      <c r="J8" s="319"/>
      <c r="K8" s="319"/>
      <c r="L8" s="319"/>
      <c r="M8" s="319"/>
      <c r="N8" s="319"/>
      <c r="O8" s="319"/>
      <c r="P8" s="319"/>
    </row>
    <row r="9" spans="1:16">
      <c r="A9" s="320" t="s">
        <v>856</v>
      </c>
      <c r="B9" s="317"/>
      <c r="C9" s="319"/>
      <c r="D9" s="319"/>
      <c r="E9" s="319"/>
      <c r="F9" s="319"/>
      <c r="G9" s="319"/>
      <c r="H9" s="319"/>
      <c r="I9" s="319"/>
      <c r="J9" s="319"/>
      <c r="K9" s="319"/>
      <c r="L9" s="319"/>
      <c r="M9" s="319"/>
      <c r="N9" s="319"/>
      <c r="O9" s="319"/>
      <c r="P9" s="319"/>
    </row>
    <row r="10" spans="1:16">
      <c r="A10" s="320" t="s">
        <v>857</v>
      </c>
      <c r="B10" s="317"/>
      <c r="C10" s="319"/>
      <c r="D10" s="319"/>
      <c r="E10" s="319"/>
      <c r="F10" s="319"/>
      <c r="G10" s="319"/>
      <c r="H10" s="319"/>
      <c r="I10" s="319"/>
      <c r="J10" s="319"/>
      <c r="K10" s="319"/>
      <c r="L10" s="319"/>
      <c r="M10" s="319"/>
      <c r="N10" s="319"/>
      <c r="O10" s="319"/>
      <c r="P10" s="319"/>
    </row>
    <row r="11" spans="1:16" s="171" customFormat="1">
      <c r="A11" s="321" t="s">
        <v>1007</v>
      </c>
      <c r="B11" s="317"/>
      <c r="C11" s="322">
        <f t="shared" ref="C11:C44" si="0">SUM(D11:O11)</f>
        <v>0</v>
      </c>
      <c r="D11" s="322">
        <f>D12+D13</f>
        <v>0</v>
      </c>
      <c r="E11" s="322">
        <f t="shared" ref="E11:O11" si="1">E12+E13</f>
        <v>0</v>
      </c>
      <c r="F11" s="322">
        <f t="shared" si="1"/>
        <v>0</v>
      </c>
      <c r="G11" s="322">
        <f t="shared" si="1"/>
        <v>0</v>
      </c>
      <c r="H11" s="322">
        <f t="shared" si="1"/>
        <v>0</v>
      </c>
      <c r="I11" s="322">
        <f t="shared" si="1"/>
        <v>0</v>
      </c>
      <c r="J11" s="322">
        <f t="shared" si="1"/>
        <v>0</v>
      </c>
      <c r="K11" s="322">
        <f t="shared" si="1"/>
        <v>0</v>
      </c>
      <c r="L11" s="322">
        <f t="shared" si="1"/>
        <v>0</v>
      </c>
      <c r="M11" s="322">
        <f t="shared" si="1"/>
        <v>0</v>
      </c>
      <c r="N11" s="322">
        <f t="shared" si="1"/>
        <v>0</v>
      </c>
      <c r="O11" s="322">
        <f t="shared" si="1"/>
        <v>0</v>
      </c>
      <c r="P11" s="322">
        <f>C11</f>
        <v>0</v>
      </c>
    </row>
    <row r="12" spans="1:16">
      <c r="A12" s="323" t="s">
        <v>858</v>
      </c>
      <c r="B12" s="317" t="s">
        <v>125</v>
      </c>
      <c r="C12" s="319">
        <f t="shared" si="0"/>
        <v>0</v>
      </c>
      <c r="D12" s="319">
        <f t="array" ref="D12">SUM(IF((Budget[Ofc Code]=$B$6)*(Budget[Account Code]=$B12)*(Budget[Date]=D$7),Budget[Amount]))</f>
        <v>0</v>
      </c>
      <c r="E12" s="319">
        <f t="array" ref="E12">SUM(IF((Budget[Ofc Code]=$B$6)*(Budget[Account Code]=$B12)*(Budget[Date]=E$7),Budget[Amount]))</f>
        <v>0</v>
      </c>
      <c r="F12" s="319">
        <f t="array" ref="F12">SUM(IF((Budget[Ofc Code]=$B$6)*(Budget[Account Code]=$B12)*(Budget[Date]=F$7),Budget[Amount]))</f>
        <v>0</v>
      </c>
      <c r="G12" s="319">
        <f t="array" ref="G12">SUM(IF((Budget[Ofc Code]=$B$6)*(Budget[Account Code]=$B12)*(Budget[Date]=G$7),Budget[Amount]))</f>
        <v>0</v>
      </c>
      <c r="H12" s="319">
        <f t="array" ref="H12">SUM(IF((Budget[Ofc Code]=$B$6)*(Budget[Account Code]=$B12)*(Budget[Date]=H$7),Budget[Amount]))</f>
        <v>0</v>
      </c>
      <c r="I12" s="319">
        <f t="array" ref="I12">SUM(IF((Budget[Ofc Code]=$B$6)*(Budget[Account Code]=$B12)*(Budget[Date]=I$7),Budget[Amount]))</f>
        <v>0</v>
      </c>
      <c r="J12" s="319">
        <f t="array" ref="J12">SUM(IF((Budget[Ofc Code]=$B$6)*(Budget[Account Code]=$B12)*(Budget[Date]=J$7),Budget[Amount]))</f>
        <v>0</v>
      </c>
      <c r="K12" s="319">
        <f t="array" ref="K12">SUM(IF((Budget[Ofc Code]=$B$6)*(Budget[Account Code]=$B12)*(Budget[Date]=K$7),Budget[Amount]))</f>
        <v>0</v>
      </c>
      <c r="L12" s="319">
        <f t="array" ref="L12">SUM(IF((Budget[Ofc Code]=$B$6)*(Budget[Account Code]=$B12)*(Budget[Date]=L$7),Budget[Amount]))</f>
        <v>0</v>
      </c>
      <c r="M12" s="319">
        <f t="array" ref="M12">SUM(IF((Budget[Ofc Code]=$B$6)*(Budget[Account Code]=$B12)*(Budget[Date]=M$7),Budget[Amount]))</f>
        <v>0</v>
      </c>
      <c r="N12" s="319">
        <f t="array" ref="N12">SUM(IF((Budget[Ofc Code]=$B$6)*(Budget[Account Code]=$B12)*(Budget[Date]=N$7),Budget[Amount]))</f>
        <v>0</v>
      </c>
      <c r="O12" s="319">
        <f t="array" ref="O12">SUM(IF((Budget[Ofc Code]=$B$6)*(Budget[Account Code]=$B12)*(Budget[Date]=O$7),Budget[Amount]))</f>
        <v>0</v>
      </c>
      <c r="P12" s="319">
        <f t="shared" ref="P12:P75" si="2">C12</f>
        <v>0</v>
      </c>
    </row>
    <row r="13" spans="1:16">
      <c r="A13" s="323" t="s">
        <v>819</v>
      </c>
      <c r="B13" s="317"/>
      <c r="C13" s="319">
        <f t="shared" si="0"/>
        <v>0</v>
      </c>
      <c r="D13" s="319">
        <f>D14+D15+D16</f>
        <v>0</v>
      </c>
      <c r="E13" s="319">
        <f t="shared" ref="E13:O13" si="3">E14+E15+E16</f>
        <v>0</v>
      </c>
      <c r="F13" s="319">
        <f t="shared" si="3"/>
        <v>0</v>
      </c>
      <c r="G13" s="319">
        <f t="shared" si="3"/>
        <v>0</v>
      </c>
      <c r="H13" s="319">
        <f t="shared" si="3"/>
        <v>0</v>
      </c>
      <c r="I13" s="319">
        <f t="shared" si="3"/>
        <v>0</v>
      </c>
      <c r="J13" s="319">
        <f t="shared" si="3"/>
        <v>0</v>
      </c>
      <c r="K13" s="319">
        <f t="shared" si="3"/>
        <v>0</v>
      </c>
      <c r="L13" s="319">
        <f t="shared" si="3"/>
        <v>0</v>
      </c>
      <c r="M13" s="319">
        <f t="shared" si="3"/>
        <v>0</v>
      </c>
      <c r="N13" s="319">
        <f t="shared" si="3"/>
        <v>0</v>
      </c>
      <c r="O13" s="319">
        <f t="shared" si="3"/>
        <v>0</v>
      </c>
      <c r="P13" s="319">
        <f t="shared" si="2"/>
        <v>0</v>
      </c>
    </row>
    <row r="14" spans="1:16">
      <c r="A14" s="323" t="s">
        <v>859</v>
      </c>
      <c r="B14" s="317" t="s">
        <v>126</v>
      </c>
      <c r="C14" s="319">
        <f t="shared" si="0"/>
        <v>0</v>
      </c>
      <c r="D14" s="319">
        <f t="array" ref="D14">SUM(IF((Budget[Ofc Code]=$B$6)*(Budget[Account Code]=$B14)*(Budget[Date]=D$7),Budget[Amount]))</f>
        <v>0</v>
      </c>
      <c r="E14" s="319">
        <f t="array" ref="E14">SUM(IF((Budget[Ofc Code]=$B$6)*(Budget[Account Code]=$B14)*(Budget[Date]=E$7),Budget[Amount]))</f>
        <v>0</v>
      </c>
      <c r="F14" s="319">
        <f t="array" ref="F14">SUM(IF((Budget[Ofc Code]=$B$6)*(Budget[Account Code]=$B14)*(Budget[Date]=F$7),Budget[Amount]))</f>
        <v>0</v>
      </c>
      <c r="G14" s="319">
        <f t="array" ref="G14">SUM(IF((Budget[Ofc Code]=$B$6)*(Budget[Account Code]=$B14)*(Budget[Date]=G$7),Budget[Amount]))</f>
        <v>0</v>
      </c>
      <c r="H14" s="319">
        <f t="array" ref="H14">SUM(IF((Budget[Ofc Code]=$B$6)*(Budget[Account Code]=$B14)*(Budget[Date]=H$7),Budget[Amount]))</f>
        <v>0</v>
      </c>
      <c r="I14" s="319">
        <f t="array" ref="I14">SUM(IF((Budget[Ofc Code]=$B$6)*(Budget[Account Code]=$B14)*(Budget[Date]=I$7),Budget[Amount]))</f>
        <v>0</v>
      </c>
      <c r="J14" s="319">
        <f t="array" ref="J14">SUM(IF((Budget[Ofc Code]=$B$6)*(Budget[Account Code]=$B14)*(Budget[Date]=J$7),Budget[Amount]))</f>
        <v>0</v>
      </c>
      <c r="K14" s="319">
        <f t="array" ref="K14">SUM(IF((Budget[Ofc Code]=$B$6)*(Budget[Account Code]=$B14)*(Budget[Date]=K$7),Budget[Amount]))</f>
        <v>0</v>
      </c>
      <c r="L14" s="319">
        <f t="array" ref="L14">SUM(IF((Budget[Ofc Code]=$B$6)*(Budget[Account Code]=$B14)*(Budget[Date]=L$7),Budget[Amount]))</f>
        <v>0</v>
      </c>
      <c r="M14" s="319">
        <f t="array" ref="M14">SUM(IF((Budget[Ofc Code]=$B$6)*(Budget[Account Code]=$B14)*(Budget[Date]=M$7),Budget[Amount]))</f>
        <v>0</v>
      </c>
      <c r="N14" s="319">
        <f t="array" ref="N14">SUM(IF((Budget[Ofc Code]=$B$6)*(Budget[Account Code]=$B14)*(Budget[Date]=N$7),Budget[Amount]))</f>
        <v>0</v>
      </c>
      <c r="O14" s="319">
        <f t="array" ref="O14">SUM(IF((Budget[Ofc Code]=$B$6)*(Budget[Account Code]=$B14)*(Budget[Date]=O$7),Budget[Amount]))</f>
        <v>0</v>
      </c>
      <c r="P14" s="319">
        <f t="shared" si="2"/>
        <v>0</v>
      </c>
    </row>
    <row r="15" spans="1:16">
      <c r="A15" s="323" t="s">
        <v>860</v>
      </c>
      <c r="B15" s="317" t="s">
        <v>721</v>
      </c>
      <c r="C15" s="319">
        <f t="shared" si="0"/>
        <v>0</v>
      </c>
      <c r="D15" s="319">
        <f t="array" ref="D15">SUM(IF((Budget[Ofc Code]=$B$6)*(Budget[Account Code]=$B15)*(Budget[Date]=D$7),Budget[Amount]))</f>
        <v>0</v>
      </c>
      <c r="E15" s="319">
        <f t="array" ref="E15">SUM(IF((Budget[Ofc Code]=$B$6)*(Budget[Account Code]=$B15)*(Budget[Date]=E$7),Budget[Amount]))</f>
        <v>0</v>
      </c>
      <c r="F15" s="319">
        <f t="array" ref="F15">SUM(IF((Budget[Ofc Code]=$B$6)*(Budget[Account Code]=$B15)*(Budget[Date]=F$7),Budget[Amount]))</f>
        <v>0</v>
      </c>
      <c r="G15" s="319">
        <f t="array" ref="G15">SUM(IF((Budget[Ofc Code]=$B$6)*(Budget[Account Code]=$B15)*(Budget[Date]=G$7),Budget[Amount]))</f>
        <v>0</v>
      </c>
      <c r="H15" s="319">
        <f t="array" ref="H15">SUM(IF((Budget[Ofc Code]=$B$6)*(Budget[Account Code]=$B15)*(Budget[Date]=H$7),Budget[Amount]))</f>
        <v>0</v>
      </c>
      <c r="I15" s="319">
        <f t="array" ref="I15">SUM(IF((Budget[Ofc Code]=$B$6)*(Budget[Account Code]=$B15)*(Budget[Date]=I$7),Budget[Amount]))</f>
        <v>0</v>
      </c>
      <c r="J15" s="319">
        <f t="array" ref="J15">SUM(IF((Budget[Ofc Code]=$B$6)*(Budget[Account Code]=$B15)*(Budget[Date]=J$7),Budget[Amount]))</f>
        <v>0</v>
      </c>
      <c r="K15" s="319">
        <f t="array" ref="K15">SUM(IF((Budget[Ofc Code]=$B$6)*(Budget[Account Code]=$B15)*(Budget[Date]=K$7),Budget[Amount]))</f>
        <v>0</v>
      </c>
      <c r="L15" s="319">
        <f t="array" ref="L15">SUM(IF((Budget[Ofc Code]=$B$6)*(Budget[Account Code]=$B15)*(Budget[Date]=L$7),Budget[Amount]))</f>
        <v>0</v>
      </c>
      <c r="M15" s="319">
        <f t="array" ref="M15">SUM(IF((Budget[Ofc Code]=$B$6)*(Budget[Account Code]=$B15)*(Budget[Date]=M$7),Budget[Amount]))</f>
        <v>0</v>
      </c>
      <c r="N15" s="319">
        <f t="array" ref="N15">SUM(IF((Budget[Ofc Code]=$B$6)*(Budget[Account Code]=$B15)*(Budget[Date]=N$7),Budget[Amount]))</f>
        <v>0</v>
      </c>
      <c r="O15" s="319">
        <f t="array" ref="O15">SUM(IF((Budget[Ofc Code]=$B$6)*(Budget[Account Code]=$B15)*(Budget[Date]=O$7),Budget[Amount]))</f>
        <v>0</v>
      </c>
      <c r="P15" s="319">
        <f t="shared" si="2"/>
        <v>0</v>
      </c>
    </row>
    <row r="16" spans="1:16">
      <c r="A16" s="323" t="s">
        <v>861</v>
      </c>
      <c r="B16" s="317" t="s">
        <v>143</v>
      </c>
      <c r="C16" s="319">
        <f t="shared" si="0"/>
        <v>0</v>
      </c>
      <c r="D16" s="319">
        <f t="array" ref="D16">SUM(IF((Budget[Ofc Code]=$B$6)*(Budget[Account Code]=$B16)*(Budget[Date]=D$7),Budget[Amount]))</f>
        <v>0</v>
      </c>
      <c r="E16" s="319">
        <f t="array" ref="E16">SUM(IF((Budget[Ofc Code]=$B$6)*(Budget[Account Code]=$B16)*(Budget[Date]=E$7),Budget[Amount]))</f>
        <v>0</v>
      </c>
      <c r="F16" s="319">
        <f t="array" ref="F16">SUM(IF((Budget[Ofc Code]=$B$6)*(Budget[Account Code]=$B16)*(Budget[Date]=F$7),Budget[Amount]))</f>
        <v>0</v>
      </c>
      <c r="G16" s="319">
        <f t="array" ref="G16">SUM(IF((Budget[Ofc Code]=$B$6)*(Budget[Account Code]=$B16)*(Budget[Date]=G$7),Budget[Amount]))</f>
        <v>0</v>
      </c>
      <c r="H16" s="319">
        <f t="array" ref="H16">SUM(IF((Budget[Ofc Code]=$B$6)*(Budget[Account Code]=$B16)*(Budget[Date]=H$7),Budget[Amount]))</f>
        <v>0</v>
      </c>
      <c r="I16" s="319">
        <f t="array" ref="I16">SUM(IF((Budget[Ofc Code]=$B$6)*(Budget[Account Code]=$B16)*(Budget[Date]=I$7),Budget[Amount]))</f>
        <v>0</v>
      </c>
      <c r="J16" s="319">
        <f t="array" ref="J16">SUM(IF((Budget[Ofc Code]=$B$6)*(Budget[Account Code]=$B16)*(Budget[Date]=J$7),Budget[Amount]))</f>
        <v>0</v>
      </c>
      <c r="K16" s="319">
        <f t="array" ref="K16">SUM(IF((Budget[Ofc Code]=$B$6)*(Budget[Account Code]=$B16)*(Budget[Date]=K$7),Budget[Amount]))</f>
        <v>0</v>
      </c>
      <c r="L16" s="319">
        <f t="array" ref="L16">SUM(IF((Budget[Ofc Code]=$B$6)*(Budget[Account Code]=$B16)*(Budget[Date]=L$7),Budget[Amount]))</f>
        <v>0</v>
      </c>
      <c r="M16" s="319">
        <f t="array" ref="M16">SUM(IF((Budget[Ofc Code]=$B$6)*(Budget[Account Code]=$B16)*(Budget[Date]=M$7),Budget[Amount]))</f>
        <v>0</v>
      </c>
      <c r="N16" s="319">
        <f t="array" ref="N16">SUM(IF((Budget[Ofc Code]=$B$6)*(Budget[Account Code]=$B16)*(Budget[Date]=N$7),Budget[Amount]))</f>
        <v>0</v>
      </c>
      <c r="O16" s="319">
        <f t="array" ref="O16">SUM(IF((Budget[Ofc Code]=$B$6)*(Budget[Account Code]=$B16)*(Budget[Date]=O$7),Budget[Amount]))</f>
        <v>0</v>
      </c>
      <c r="P16" s="319">
        <f t="shared" si="2"/>
        <v>0</v>
      </c>
    </row>
    <row r="17" spans="1:16" s="171" customFormat="1">
      <c r="A17" s="321" t="s">
        <v>862</v>
      </c>
      <c r="B17" s="317"/>
      <c r="C17" s="322">
        <f t="shared" si="0"/>
        <v>0</v>
      </c>
      <c r="D17" s="322">
        <f>D18+D19</f>
        <v>0</v>
      </c>
      <c r="E17" s="322">
        <f t="shared" ref="E17:O17" si="4">E18+E19</f>
        <v>0</v>
      </c>
      <c r="F17" s="322">
        <f t="shared" si="4"/>
        <v>0</v>
      </c>
      <c r="G17" s="322">
        <f t="shared" si="4"/>
        <v>0</v>
      </c>
      <c r="H17" s="322">
        <f t="shared" si="4"/>
        <v>0</v>
      </c>
      <c r="I17" s="322">
        <f t="shared" si="4"/>
        <v>0</v>
      </c>
      <c r="J17" s="322">
        <f t="shared" si="4"/>
        <v>0</v>
      </c>
      <c r="K17" s="322">
        <f t="shared" si="4"/>
        <v>0</v>
      </c>
      <c r="L17" s="322">
        <f t="shared" si="4"/>
        <v>0</v>
      </c>
      <c r="M17" s="322">
        <f t="shared" si="4"/>
        <v>0</v>
      </c>
      <c r="N17" s="322">
        <f t="shared" si="4"/>
        <v>0</v>
      </c>
      <c r="O17" s="322">
        <f t="shared" si="4"/>
        <v>0</v>
      </c>
      <c r="P17" s="322">
        <f t="shared" si="2"/>
        <v>0</v>
      </c>
    </row>
    <row r="18" spans="1:16">
      <c r="A18" s="323" t="s">
        <v>863</v>
      </c>
      <c r="B18" s="317" t="s">
        <v>146</v>
      </c>
      <c r="C18" s="319">
        <f t="shared" si="0"/>
        <v>0</v>
      </c>
      <c r="D18" s="319">
        <f t="array" ref="D18">SUM(IF((Budget[Ofc Code]=$B$6)*(Budget[Account Code]=$B18)*(Budget[Date]=D$7),Budget[Amount]))</f>
        <v>0</v>
      </c>
      <c r="E18" s="319">
        <f t="array" ref="E18">SUM(IF((Budget[Ofc Code]=$B$6)*(Budget[Account Code]=$B18)*(Budget[Date]=E$7),Budget[Amount]))</f>
        <v>0</v>
      </c>
      <c r="F18" s="319">
        <f t="array" ref="F18">SUM(IF((Budget[Ofc Code]=$B$6)*(Budget[Account Code]=$B18)*(Budget[Date]=F$7),Budget[Amount]))</f>
        <v>0</v>
      </c>
      <c r="G18" s="319">
        <f t="array" ref="G18">SUM(IF((Budget[Ofc Code]=$B$6)*(Budget[Account Code]=$B18)*(Budget[Date]=G$7),Budget[Amount]))</f>
        <v>0</v>
      </c>
      <c r="H18" s="319">
        <f t="array" ref="H18">SUM(IF((Budget[Ofc Code]=$B$6)*(Budget[Account Code]=$B18)*(Budget[Date]=H$7),Budget[Amount]))</f>
        <v>0</v>
      </c>
      <c r="I18" s="319">
        <f t="array" ref="I18">SUM(IF((Budget[Ofc Code]=$B$6)*(Budget[Account Code]=$B18)*(Budget[Date]=I$7),Budget[Amount]))</f>
        <v>0</v>
      </c>
      <c r="J18" s="319">
        <f t="array" ref="J18">SUM(IF((Budget[Ofc Code]=$B$6)*(Budget[Account Code]=$B18)*(Budget[Date]=J$7),Budget[Amount]))</f>
        <v>0</v>
      </c>
      <c r="K18" s="319">
        <f t="array" ref="K18">SUM(IF((Budget[Ofc Code]=$B$6)*(Budget[Account Code]=$B18)*(Budget[Date]=K$7),Budget[Amount]))</f>
        <v>0</v>
      </c>
      <c r="L18" s="319">
        <f t="array" ref="L18">SUM(IF((Budget[Ofc Code]=$B$6)*(Budget[Account Code]=$B18)*(Budget[Date]=L$7),Budget[Amount]))</f>
        <v>0</v>
      </c>
      <c r="M18" s="319">
        <f t="array" ref="M18">SUM(IF((Budget[Ofc Code]=$B$6)*(Budget[Account Code]=$B18)*(Budget[Date]=M$7),Budget[Amount]))</f>
        <v>0</v>
      </c>
      <c r="N18" s="319">
        <f t="array" ref="N18">SUM(IF((Budget[Ofc Code]=$B$6)*(Budget[Account Code]=$B18)*(Budget[Date]=N$7),Budget[Amount]))</f>
        <v>0</v>
      </c>
      <c r="O18" s="319">
        <f t="array" ref="O18">SUM(IF((Budget[Ofc Code]=$B$6)*(Budget[Account Code]=$B18)*(Budget[Date]=O$7),Budget[Amount]))</f>
        <v>0</v>
      </c>
      <c r="P18" s="319">
        <f t="shared" si="2"/>
        <v>0</v>
      </c>
    </row>
    <row r="19" spans="1:16">
      <c r="A19" s="323" t="s">
        <v>864</v>
      </c>
      <c r="B19" s="317" t="s">
        <v>147</v>
      </c>
      <c r="C19" s="319">
        <f t="shared" si="0"/>
        <v>0</v>
      </c>
      <c r="D19" s="319">
        <f t="array" ref="D19">SUM(IF((Budget[Ofc Code]=$B$6)*(Budget[Account Code]=$B19)*(Budget[Date]=D$7),Budget[Amount]))</f>
        <v>0</v>
      </c>
      <c r="E19" s="319">
        <f t="array" ref="E19">SUM(IF((Budget[Ofc Code]=$B$6)*(Budget[Account Code]=$B19)*(Budget[Date]=E$7),Budget[Amount]))</f>
        <v>0</v>
      </c>
      <c r="F19" s="319">
        <f t="array" ref="F19">SUM(IF((Budget[Ofc Code]=$B$6)*(Budget[Account Code]=$B19)*(Budget[Date]=F$7),Budget[Amount]))</f>
        <v>0</v>
      </c>
      <c r="G19" s="319">
        <f t="array" ref="G19">SUM(IF((Budget[Ofc Code]=$B$6)*(Budget[Account Code]=$B19)*(Budget[Date]=G$7),Budget[Amount]))</f>
        <v>0</v>
      </c>
      <c r="H19" s="319">
        <f t="array" ref="H19">SUM(IF((Budget[Ofc Code]=$B$6)*(Budget[Account Code]=$B19)*(Budget[Date]=H$7),Budget[Amount]))</f>
        <v>0</v>
      </c>
      <c r="I19" s="319">
        <f t="array" ref="I19">SUM(IF((Budget[Ofc Code]=$B$6)*(Budget[Account Code]=$B19)*(Budget[Date]=I$7),Budget[Amount]))</f>
        <v>0</v>
      </c>
      <c r="J19" s="319">
        <f t="array" ref="J19">SUM(IF((Budget[Ofc Code]=$B$6)*(Budget[Account Code]=$B19)*(Budget[Date]=J$7),Budget[Amount]))</f>
        <v>0</v>
      </c>
      <c r="K19" s="319">
        <f t="array" ref="K19">SUM(IF((Budget[Ofc Code]=$B$6)*(Budget[Account Code]=$B19)*(Budget[Date]=K$7),Budget[Amount]))</f>
        <v>0</v>
      </c>
      <c r="L19" s="319">
        <f t="array" ref="L19">SUM(IF((Budget[Ofc Code]=$B$6)*(Budget[Account Code]=$B19)*(Budget[Date]=L$7),Budget[Amount]))</f>
        <v>0</v>
      </c>
      <c r="M19" s="319">
        <f t="array" ref="M19">SUM(IF((Budget[Ofc Code]=$B$6)*(Budget[Account Code]=$B19)*(Budget[Date]=M$7),Budget[Amount]))</f>
        <v>0</v>
      </c>
      <c r="N19" s="319">
        <f t="array" ref="N19">SUM(IF((Budget[Ofc Code]=$B$6)*(Budget[Account Code]=$B19)*(Budget[Date]=N$7),Budget[Amount]))</f>
        <v>0</v>
      </c>
      <c r="O19" s="319">
        <f t="array" ref="O19">SUM(IF((Budget[Ofc Code]=$B$6)*(Budget[Account Code]=$B19)*(Budget[Date]=O$7),Budget[Amount]))</f>
        <v>0</v>
      </c>
      <c r="P19" s="319">
        <f t="shared" si="2"/>
        <v>0</v>
      </c>
    </row>
    <row r="20" spans="1:16" s="171" customFormat="1">
      <c r="A20" s="321" t="s">
        <v>825</v>
      </c>
      <c r="B20" s="317"/>
      <c r="C20" s="322">
        <f t="shared" si="0"/>
        <v>0</v>
      </c>
      <c r="D20" s="322">
        <f>D21+D22</f>
        <v>0</v>
      </c>
      <c r="E20" s="322">
        <f t="shared" ref="E20:O20" si="5">E21+E22</f>
        <v>0</v>
      </c>
      <c r="F20" s="322">
        <f t="shared" si="5"/>
        <v>0</v>
      </c>
      <c r="G20" s="322">
        <f t="shared" si="5"/>
        <v>0</v>
      </c>
      <c r="H20" s="322">
        <f t="shared" si="5"/>
        <v>0</v>
      </c>
      <c r="I20" s="322">
        <f t="shared" si="5"/>
        <v>0</v>
      </c>
      <c r="J20" s="322">
        <f t="shared" si="5"/>
        <v>0</v>
      </c>
      <c r="K20" s="322">
        <f t="shared" si="5"/>
        <v>0</v>
      </c>
      <c r="L20" s="322">
        <f t="shared" si="5"/>
        <v>0</v>
      </c>
      <c r="M20" s="322">
        <f t="shared" si="5"/>
        <v>0</v>
      </c>
      <c r="N20" s="322">
        <f t="shared" si="5"/>
        <v>0</v>
      </c>
      <c r="O20" s="322">
        <f t="shared" si="5"/>
        <v>0</v>
      </c>
      <c r="P20" s="322">
        <f t="shared" si="2"/>
        <v>0</v>
      </c>
    </row>
    <row r="21" spans="1:16">
      <c r="A21" s="323" t="s">
        <v>858</v>
      </c>
      <c r="B21" s="317" t="s">
        <v>131</v>
      </c>
      <c r="C21" s="319">
        <f t="shared" si="0"/>
        <v>0</v>
      </c>
      <c r="D21" s="319">
        <f t="array" ref="D21">SUM(IF((Budget[Ofc Code]=$B$6)*(Budget[Account Code]=$B21)*(Budget[Date]=D$7),Budget[Amount]))</f>
        <v>0</v>
      </c>
      <c r="E21" s="319">
        <f t="array" ref="E21">SUM(IF((Budget[Ofc Code]=$B$6)*(Budget[Account Code]=$B21)*(Budget[Date]=E$7),Budget[Amount]))</f>
        <v>0</v>
      </c>
      <c r="F21" s="319">
        <f t="array" ref="F21">SUM(IF((Budget[Ofc Code]=$B$6)*(Budget[Account Code]=$B21)*(Budget[Date]=F$7),Budget[Amount]))</f>
        <v>0</v>
      </c>
      <c r="G21" s="319">
        <f t="array" ref="G21">SUM(IF((Budget[Ofc Code]=$B$6)*(Budget[Account Code]=$B21)*(Budget[Date]=G$7),Budget[Amount]))</f>
        <v>0</v>
      </c>
      <c r="H21" s="319">
        <f t="array" ref="H21">SUM(IF((Budget[Ofc Code]=$B$6)*(Budget[Account Code]=$B21)*(Budget[Date]=H$7),Budget[Amount]))</f>
        <v>0</v>
      </c>
      <c r="I21" s="319">
        <f t="array" ref="I21">SUM(IF((Budget[Ofc Code]=$B$6)*(Budget[Account Code]=$B21)*(Budget[Date]=I$7),Budget[Amount]))</f>
        <v>0</v>
      </c>
      <c r="J21" s="319">
        <f t="array" ref="J21">SUM(IF((Budget[Ofc Code]=$B$6)*(Budget[Account Code]=$B21)*(Budget[Date]=J$7),Budget[Amount]))</f>
        <v>0</v>
      </c>
      <c r="K21" s="319">
        <f t="array" ref="K21">SUM(IF((Budget[Ofc Code]=$B$6)*(Budget[Account Code]=$B21)*(Budget[Date]=K$7),Budget[Amount]))</f>
        <v>0</v>
      </c>
      <c r="L21" s="319">
        <f t="array" ref="L21">SUM(IF((Budget[Ofc Code]=$B$6)*(Budget[Account Code]=$B21)*(Budget[Date]=L$7),Budget[Amount]))</f>
        <v>0</v>
      </c>
      <c r="M21" s="319">
        <f t="array" ref="M21">SUM(IF((Budget[Ofc Code]=$B$6)*(Budget[Account Code]=$B21)*(Budget[Date]=M$7),Budget[Amount]))</f>
        <v>0</v>
      </c>
      <c r="N21" s="319">
        <f t="array" ref="N21">SUM(IF((Budget[Ofc Code]=$B$6)*(Budget[Account Code]=$B21)*(Budget[Date]=N$7),Budget[Amount]))</f>
        <v>0</v>
      </c>
      <c r="O21" s="319">
        <f t="array" ref="O21">SUM(IF((Budget[Ofc Code]=$B$6)*(Budget[Account Code]=$B21)*(Budget[Date]=O$7),Budget[Amount]))</f>
        <v>0</v>
      </c>
      <c r="P21" s="319">
        <f t="shared" si="2"/>
        <v>0</v>
      </c>
    </row>
    <row r="22" spans="1:16">
      <c r="A22" s="323" t="s">
        <v>819</v>
      </c>
      <c r="B22" s="317"/>
      <c r="C22" s="319">
        <f t="shared" si="0"/>
        <v>0</v>
      </c>
      <c r="D22" s="319">
        <f t="array" ref="D22">SUM(IF((Budget[Ofc Code]=$B$6)*(Budget[Account Code]=$B22)*(Budget[Date]=D$7),Budget[Amount]))</f>
        <v>0</v>
      </c>
      <c r="E22" s="319">
        <f t="array" ref="E22">SUM(IF((Budget[Ofc Code]=$B$6)*(Budget[Account Code]=$B22)*(Budget[Date]=E$7),Budget[Amount]))</f>
        <v>0</v>
      </c>
      <c r="F22" s="319">
        <f t="array" ref="F22">SUM(IF((Budget[Ofc Code]=$B$6)*(Budget[Account Code]=$B22)*(Budget[Date]=F$7),Budget[Amount]))</f>
        <v>0</v>
      </c>
      <c r="G22" s="319">
        <f t="array" ref="G22">SUM(IF((Budget[Ofc Code]=$B$6)*(Budget[Account Code]=$B22)*(Budget[Date]=G$7),Budget[Amount]))</f>
        <v>0</v>
      </c>
      <c r="H22" s="319">
        <f t="array" ref="H22">SUM(IF((Budget[Ofc Code]=$B$6)*(Budget[Account Code]=$B22)*(Budget[Date]=H$7),Budget[Amount]))</f>
        <v>0</v>
      </c>
      <c r="I22" s="319">
        <f t="array" ref="I22">SUM(IF((Budget[Ofc Code]=$B$6)*(Budget[Account Code]=$B22)*(Budget[Date]=I$7),Budget[Amount]))</f>
        <v>0</v>
      </c>
      <c r="J22" s="319">
        <f t="array" ref="J22">SUM(IF((Budget[Ofc Code]=$B$6)*(Budget[Account Code]=$B22)*(Budget[Date]=J$7),Budget[Amount]))</f>
        <v>0</v>
      </c>
      <c r="K22" s="319">
        <f t="array" ref="K22">SUM(IF((Budget[Ofc Code]=$B$6)*(Budget[Account Code]=$B22)*(Budget[Date]=K$7),Budget[Amount]))</f>
        <v>0</v>
      </c>
      <c r="L22" s="319">
        <f t="array" ref="L22">SUM(IF((Budget[Ofc Code]=$B$6)*(Budget[Account Code]=$B22)*(Budget[Date]=L$7),Budget[Amount]))</f>
        <v>0</v>
      </c>
      <c r="M22" s="319">
        <f t="array" ref="M22">SUM(IF((Budget[Ofc Code]=$B$6)*(Budget[Account Code]=$B22)*(Budget[Date]=M$7),Budget[Amount]))</f>
        <v>0</v>
      </c>
      <c r="N22" s="319">
        <f t="array" ref="N22">SUM(IF((Budget[Ofc Code]=$B$6)*(Budget[Account Code]=$B22)*(Budget[Date]=N$7),Budget[Amount]))</f>
        <v>0</v>
      </c>
      <c r="O22" s="319">
        <f t="array" ref="O22">SUM(IF((Budget[Ofc Code]=$B$6)*(Budget[Account Code]=$B22)*(Budget[Date]=O$7),Budget[Amount]))</f>
        <v>0</v>
      </c>
      <c r="P22" s="319">
        <f t="shared" si="2"/>
        <v>0</v>
      </c>
    </row>
    <row r="23" spans="1:16">
      <c r="A23" s="319" t="s">
        <v>831</v>
      </c>
      <c r="B23" s="324"/>
      <c r="C23" s="319">
        <f t="shared" si="0"/>
        <v>0</v>
      </c>
      <c r="D23" s="319">
        <f t="shared" ref="D23:O23" si="6">D11+D17+D20</f>
        <v>0</v>
      </c>
      <c r="E23" s="319">
        <f t="shared" si="6"/>
        <v>0</v>
      </c>
      <c r="F23" s="319">
        <f t="shared" si="6"/>
        <v>0</v>
      </c>
      <c r="G23" s="319">
        <f t="shared" si="6"/>
        <v>0</v>
      </c>
      <c r="H23" s="319">
        <f t="shared" si="6"/>
        <v>0</v>
      </c>
      <c r="I23" s="319">
        <f t="shared" si="6"/>
        <v>0</v>
      </c>
      <c r="J23" s="319">
        <f t="shared" si="6"/>
        <v>0</v>
      </c>
      <c r="K23" s="319">
        <f t="shared" si="6"/>
        <v>0</v>
      </c>
      <c r="L23" s="319">
        <f t="shared" si="6"/>
        <v>0</v>
      </c>
      <c r="M23" s="319">
        <f t="shared" si="6"/>
        <v>0</v>
      </c>
      <c r="N23" s="319">
        <f t="shared" si="6"/>
        <v>0</v>
      </c>
      <c r="O23" s="319">
        <f t="shared" si="6"/>
        <v>0</v>
      </c>
      <c r="P23" s="319">
        <f t="shared" si="2"/>
        <v>0</v>
      </c>
    </row>
    <row r="24" spans="1:16">
      <c r="A24" s="320" t="s">
        <v>865</v>
      </c>
      <c r="B24" s="317"/>
      <c r="C24" s="319"/>
      <c r="D24" s="319"/>
      <c r="E24" s="319"/>
      <c r="F24" s="319"/>
      <c r="G24" s="319"/>
      <c r="H24" s="319"/>
      <c r="I24" s="319"/>
      <c r="J24" s="319"/>
      <c r="K24" s="319"/>
      <c r="L24" s="319"/>
      <c r="M24" s="319"/>
      <c r="N24" s="319"/>
      <c r="O24" s="319"/>
      <c r="P24" s="319">
        <f t="shared" si="2"/>
        <v>0</v>
      </c>
    </row>
    <row r="25" spans="1:16" s="171" customFormat="1">
      <c r="A25" s="321" t="s">
        <v>866</v>
      </c>
      <c r="B25" s="317"/>
      <c r="C25" s="322">
        <f t="shared" si="0"/>
        <v>0</v>
      </c>
      <c r="D25" s="322">
        <v>0</v>
      </c>
      <c r="E25" s="322">
        <v>0</v>
      </c>
      <c r="F25" s="322">
        <v>0</v>
      </c>
      <c r="G25" s="322">
        <v>0</v>
      </c>
      <c r="H25" s="322">
        <v>0</v>
      </c>
      <c r="I25" s="322">
        <v>0</v>
      </c>
      <c r="J25" s="322">
        <v>0</v>
      </c>
      <c r="K25" s="322">
        <v>0</v>
      </c>
      <c r="L25" s="322">
        <v>0</v>
      </c>
      <c r="M25" s="322">
        <v>0</v>
      </c>
      <c r="N25" s="322">
        <v>0</v>
      </c>
      <c r="O25" s="322">
        <v>0</v>
      </c>
      <c r="P25" s="322">
        <f t="shared" si="2"/>
        <v>0</v>
      </c>
    </row>
    <row r="26" spans="1:16" s="171" customFormat="1">
      <c r="A26" s="321" t="s">
        <v>867</v>
      </c>
      <c r="B26" s="317"/>
      <c r="C26" s="322">
        <f t="shared" si="0"/>
        <v>0</v>
      </c>
      <c r="D26" s="322">
        <v>0</v>
      </c>
      <c r="E26" s="322">
        <v>0</v>
      </c>
      <c r="F26" s="322">
        <v>0</v>
      </c>
      <c r="G26" s="322">
        <v>0</v>
      </c>
      <c r="H26" s="322">
        <v>0</v>
      </c>
      <c r="I26" s="322">
        <v>0</v>
      </c>
      <c r="J26" s="322">
        <v>0</v>
      </c>
      <c r="K26" s="322">
        <v>0</v>
      </c>
      <c r="L26" s="322">
        <v>0</v>
      </c>
      <c r="M26" s="322">
        <v>0</v>
      </c>
      <c r="N26" s="322">
        <v>0</v>
      </c>
      <c r="O26" s="322">
        <v>0</v>
      </c>
      <c r="P26" s="322">
        <f t="shared" si="2"/>
        <v>0</v>
      </c>
    </row>
    <row r="27" spans="1:16" s="171" customFormat="1">
      <c r="A27" s="321" t="s">
        <v>997</v>
      </c>
      <c r="B27" s="317"/>
      <c r="C27" s="322">
        <f t="shared" si="0"/>
        <v>0</v>
      </c>
      <c r="D27" s="322">
        <v>0</v>
      </c>
      <c r="E27" s="322">
        <v>0</v>
      </c>
      <c r="F27" s="322">
        <v>0</v>
      </c>
      <c r="G27" s="322">
        <v>0</v>
      </c>
      <c r="H27" s="322">
        <v>0</v>
      </c>
      <c r="I27" s="322">
        <v>0</v>
      </c>
      <c r="J27" s="322">
        <v>0</v>
      </c>
      <c r="K27" s="322">
        <v>0</v>
      </c>
      <c r="L27" s="322">
        <v>0</v>
      </c>
      <c r="M27" s="322">
        <v>0</v>
      </c>
      <c r="N27" s="322">
        <v>0</v>
      </c>
      <c r="O27" s="322">
        <v>0</v>
      </c>
      <c r="P27" s="322">
        <f t="shared" si="2"/>
        <v>0</v>
      </c>
    </row>
    <row r="28" spans="1:16" s="171" customFormat="1">
      <c r="A28" s="321" t="s">
        <v>998</v>
      </c>
      <c r="B28" s="317"/>
      <c r="C28" s="322">
        <f t="shared" si="0"/>
        <v>0</v>
      </c>
      <c r="D28" s="322">
        <v>0</v>
      </c>
      <c r="E28" s="322">
        <v>0</v>
      </c>
      <c r="F28" s="322">
        <v>0</v>
      </c>
      <c r="G28" s="322">
        <v>0</v>
      </c>
      <c r="H28" s="322">
        <v>0</v>
      </c>
      <c r="I28" s="322">
        <v>0</v>
      </c>
      <c r="J28" s="322">
        <v>0</v>
      </c>
      <c r="K28" s="322">
        <v>0</v>
      </c>
      <c r="L28" s="322">
        <v>0</v>
      </c>
      <c r="M28" s="322">
        <v>0</v>
      </c>
      <c r="N28" s="322">
        <v>0</v>
      </c>
      <c r="O28" s="322">
        <v>0</v>
      </c>
      <c r="P28" s="322">
        <f t="shared" si="2"/>
        <v>0</v>
      </c>
    </row>
    <row r="29" spans="1:16" s="171" customFormat="1">
      <c r="A29" s="321" t="s">
        <v>868</v>
      </c>
      <c r="B29" s="317"/>
      <c r="C29" s="322">
        <f t="shared" si="0"/>
        <v>0</v>
      </c>
      <c r="D29" s="322">
        <v>0</v>
      </c>
      <c r="E29" s="322">
        <v>0</v>
      </c>
      <c r="F29" s="322">
        <v>0</v>
      </c>
      <c r="G29" s="322">
        <v>0</v>
      </c>
      <c r="H29" s="322">
        <v>0</v>
      </c>
      <c r="I29" s="322">
        <v>0</v>
      </c>
      <c r="J29" s="322">
        <v>0</v>
      </c>
      <c r="K29" s="322">
        <v>0</v>
      </c>
      <c r="L29" s="322">
        <v>0</v>
      </c>
      <c r="M29" s="322">
        <v>0</v>
      </c>
      <c r="N29" s="322">
        <v>0</v>
      </c>
      <c r="O29" s="322">
        <v>0</v>
      </c>
      <c r="P29" s="322">
        <f t="shared" si="2"/>
        <v>0</v>
      </c>
    </row>
    <row r="30" spans="1:16" s="171" customFormat="1">
      <c r="A30" s="321" t="s">
        <v>999</v>
      </c>
      <c r="B30" s="317"/>
      <c r="C30" s="322">
        <f t="shared" si="0"/>
        <v>0</v>
      </c>
      <c r="D30" s="322">
        <f>D31+D32</f>
        <v>0</v>
      </c>
      <c r="E30" s="322">
        <f t="shared" ref="E30:O30" si="7">E31+E32</f>
        <v>0</v>
      </c>
      <c r="F30" s="322">
        <f t="shared" si="7"/>
        <v>0</v>
      </c>
      <c r="G30" s="322">
        <f t="shared" si="7"/>
        <v>0</v>
      </c>
      <c r="H30" s="322">
        <f t="shared" si="7"/>
        <v>0</v>
      </c>
      <c r="I30" s="322">
        <f t="shared" si="7"/>
        <v>0</v>
      </c>
      <c r="J30" s="322">
        <f t="shared" si="7"/>
        <v>0</v>
      </c>
      <c r="K30" s="322">
        <f t="shared" si="7"/>
        <v>0</v>
      </c>
      <c r="L30" s="322">
        <f t="shared" si="7"/>
        <v>0</v>
      </c>
      <c r="M30" s="322">
        <f t="shared" si="7"/>
        <v>0</v>
      </c>
      <c r="N30" s="322">
        <f t="shared" si="7"/>
        <v>0</v>
      </c>
      <c r="O30" s="322">
        <f t="shared" si="7"/>
        <v>0</v>
      </c>
      <c r="P30" s="322">
        <f t="shared" si="2"/>
        <v>0</v>
      </c>
    </row>
    <row r="31" spans="1:16">
      <c r="A31" s="323" t="s">
        <v>858</v>
      </c>
      <c r="B31" s="317" t="s">
        <v>128</v>
      </c>
      <c r="C31" s="319">
        <f t="shared" si="0"/>
        <v>0</v>
      </c>
      <c r="D31" s="319">
        <f t="array" ref="D31">SUM(IF((Budget[Ofc Code]=$B$6)*(Budget[Account Code]=$B31)*(Budget[Date]=D$7),Budget[Amount]))</f>
        <v>0</v>
      </c>
      <c r="E31" s="319">
        <f t="array" ref="E31">SUM(IF((Budget[Ofc Code]=$B$6)*(Budget[Account Code]=$B31)*(Budget[Date]=E$7),Budget[Amount]))</f>
        <v>0</v>
      </c>
      <c r="F31" s="319">
        <f t="array" ref="F31">SUM(IF((Budget[Ofc Code]=$B$6)*(Budget[Account Code]=$B31)*(Budget[Date]=F$7),Budget[Amount]))</f>
        <v>0</v>
      </c>
      <c r="G31" s="319">
        <f t="array" ref="G31">SUM(IF((Budget[Ofc Code]=$B$6)*(Budget[Account Code]=$B31)*(Budget[Date]=G$7),Budget[Amount]))</f>
        <v>0</v>
      </c>
      <c r="H31" s="319">
        <f t="array" ref="H31">SUM(IF((Budget[Ofc Code]=$B$6)*(Budget[Account Code]=$B31)*(Budget[Date]=H$7),Budget[Amount]))</f>
        <v>0</v>
      </c>
      <c r="I31" s="319">
        <f t="array" ref="I31">SUM(IF((Budget[Ofc Code]=$B$6)*(Budget[Account Code]=$B31)*(Budget[Date]=I$7),Budget[Amount]))</f>
        <v>0</v>
      </c>
      <c r="J31" s="319">
        <f t="array" ref="J31">SUM(IF((Budget[Ofc Code]=$B$6)*(Budget[Account Code]=$B31)*(Budget[Date]=J$7),Budget[Amount]))</f>
        <v>0</v>
      </c>
      <c r="K31" s="319">
        <f t="array" ref="K31">SUM(IF((Budget[Ofc Code]=$B$6)*(Budget[Account Code]=$B31)*(Budget[Date]=K$7),Budget[Amount]))</f>
        <v>0</v>
      </c>
      <c r="L31" s="319">
        <f t="array" ref="L31">SUM(IF((Budget[Ofc Code]=$B$6)*(Budget[Account Code]=$B31)*(Budget[Date]=L$7),Budget[Amount]))</f>
        <v>0</v>
      </c>
      <c r="M31" s="319">
        <f t="array" ref="M31">SUM(IF((Budget[Ofc Code]=$B$6)*(Budget[Account Code]=$B31)*(Budget[Date]=M$7),Budget[Amount]))</f>
        <v>0</v>
      </c>
      <c r="N31" s="319">
        <f t="array" ref="N31">SUM(IF((Budget[Ofc Code]=$B$6)*(Budget[Account Code]=$B31)*(Budget[Date]=N$7),Budget[Amount]))</f>
        <v>0</v>
      </c>
      <c r="O31" s="319">
        <f t="array" ref="O31">SUM(IF((Budget[Ofc Code]=$B$6)*(Budget[Account Code]=$B31)*(Budget[Date]=O$7),Budget[Amount]))</f>
        <v>0</v>
      </c>
      <c r="P31" s="319">
        <f t="shared" si="2"/>
        <v>0</v>
      </c>
    </row>
    <row r="32" spans="1:16">
      <c r="A32" s="323" t="s">
        <v>819</v>
      </c>
      <c r="B32" s="317"/>
      <c r="C32" s="319">
        <f t="shared" si="0"/>
        <v>0</v>
      </c>
      <c r="D32" s="319">
        <f t="array" ref="D32">SUM(IF((Budget[Ofc Code]=$B$6)*(Budget[Account Code]=$B32)*(Budget[Date]=D$7),Budget[Amount]))</f>
        <v>0</v>
      </c>
      <c r="E32" s="319">
        <f t="array" ref="E32">SUM(IF((Budget[Ofc Code]=$B$6)*(Budget[Account Code]=$B32)*(Budget[Date]=E$7),Budget[Amount]))</f>
        <v>0</v>
      </c>
      <c r="F32" s="319">
        <f t="array" ref="F32">SUM(IF((Budget[Ofc Code]=$B$6)*(Budget[Account Code]=$B32)*(Budget[Date]=F$7),Budget[Amount]))</f>
        <v>0</v>
      </c>
      <c r="G32" s="319">
        <f t="array" ref="G32">SUM(IF((Budget[Ofc Code]=$B$6)*(Budget[Account Code]=$B32)*(Budget[Date]=G$7),Budget[Amount]))</f>
        <v>0</v>
      </c>
      <c r="H32" s="319">
        <f t="array" ref="H32">SUM(IF((Budget[Ofc Code]=$B$6)*(Budget[Account Code]=$B32)*(Budget[Date]=H$7),Budget[Amount]))</f>
        <v>0</v>
      </c>
      <c r="I32" s="319">
        <f t="array" ref="I32">SUM(IF((Budget[Ofc Code]=$B$6)*(Budget[Account Code]=$B32)*(Budget[Date]=I$7),Budget[Amount]))</f>
        <v>0</v>
      </c>
      <c r="J32" s="319">
        <f t="array" ref="J32">SUM(IF((Budget[Ofc Code]=$B$6)*(Budget[Account Code]=$B32)*(Budget[Date]=J$7),Budget[Amount]))</f>
        <v>0</v>
      </c>
      <c r="K32" s="319">
        <f t="array" ref="K32">SUM(IF((Budget[Ofc Code]=$B$6)*(Budget[Account Code]=$B32)*(Budget[Date]=K$7),Budget[Amount]))</f>
        <v>0</v>
      </c>
      <c r="L32" s="319">
        <f t="array" ref="L32">SUM(IF((Budget[Ofc Code]=$B$6)*(Budget[Account Code]=$B32)*(Budget[Date]=L$7),Budget[Amount]))</f>
        <v>0</v>
      </c>
      <c r="M32" s="319">
        <f t="array" ref="M32">SUM(IF((Budget[Ofc Code]=$B$6)*(Budget[Account Code]=$B32)*(Budget[Date]=M$7),Budget[Amount]))</f>
        <v>0</v>
      </c>
      <c r="N32" s="319">
        <f t="array" ref="N32">SUM(IF((Budget[Ofc Code]=$B$6)*(Budget[Account Code]=$B32)*(Budget[Date]=N$7),Budget[Amount]))</f>
        <v>0</v>
      </c>
      <c r="O32" s="319">
        <f t="array" ref="O32">SUM(IF((Budget[Ofc Code]=$B$6)*(Budget[Account Code]=$B32)*(Budget[Date]=O$7),Budget[Amount]))</f>
        <v>0</v>
      </c>
      <c r="P32" s="319">
        <f t="shared" si="2"/>
        <v>0</v>
      </c>
    </row>
    <row r="33" spans="1:16" s="171" customFormat="1">
      <c r="A33" s="321" t="s">
        <v>1000</v>
      </c>
      <c r="B33" s="317" t="s">
        <v>130</v>
      </c>
      <c r="C33" s="322">
        <f t="shared" si="0"/>
        <v>0</v>
      </c>
      <c r="D33" s="319">
        <f t="array" ref="D33">SUM(IF((Budget[Ofc Code]=$B$6)*(Budget[Account Code]=$B33)*(Budget[Date]=D$7),Budget[Amount]))</f>
        <v>0</v>
      </c>
      <c r="E33" s="319">
        <f t="array" ref="E33">SUM(IF((Budget[Ofc Code]=$B$6)*(Budget[Account Code]=$B33)*(Budget[Date]=E$7),Budget[Amount]))</f>
        <v>0</v>
      </c>
      <c r="F33" s="319">
        <f t="array" ref="F33">SUM(IF((Budget[Ofc Code]=$B$6)*(Budget[Account Code]=$B33)*(Budget[Date]=F$7),Budget[Amount]))</f>
        <v>0</v>
      </c>
      <c r="G33" s="319">
        <f t="array" ref="G33">SUM(IF((Budget[Ofc Code]=$B$6)*(Budget[Account Code]=$B33)*(Budget[Date]=G$7),Budget[Amount]))</f>
        <v>0</v>
      </c>
      <c r="H33" s="319">
        <f t="array" ref="H33">SUM(IF((Budget[Ofc Code]=$B$6)*(Budget[Account Code]=$B33)*(Budget[Date]=H$7),Budget[Amount]))</f>
        <v>0</v>
      </c>
      <c r="I33" s="319">
        <f t="array" ref="I33">SUM(IF((Budget[Ofc Code]=$B$6)*(Budget[Account Code]=$B33)*(Budget[Date]=I$7),Budget[Amount]))</f>
        <v>0</v>
      </c>
      <c r="J33" s="319">
        <f t="array" ref="J33">SUM(IF((Budget[Ofc Code]=$B$6)*(Budget[Account Code]=$B33)*(Budget[Date]=J$7),Budget[Amount]))</f>
        <v>0</v>
      </c>
      <c r="K33" s="319">
        <f t="array" ref="K33">SUM(IF((Budget[Ofc Code]=$B$6)*(Budget[Account Code]=$B33)*(Budget[Date]=K$7),Budget[Amount]))</f>
        <v>0</v>
      </c>
      <c r="L33" s="319">
        <f t="array" ref="L33">SUM(IF((Budget[Ofc Code]=$B$6)*(Budget[Account Code]=$B33)*(Budget[Date]=L$7),Budget[Amount]))</f>
        <v>0</v>
      </c>
      <c r="M33" s="319">
        <f t="array" ref="M33">SUM(IF((Budget[Ofc Code]=$B$6)*(Budget[Account Code]=$B33)*(Budget[Date]=M$7),Budget[Amount]))</f>
        <v>0</v>
      </c>
      <c r="N33" s="319">
        <f t="array" ref="N33">SUM(IF((Budget[Ofc Code]=$B$6)*(Budget[Account Code]=$B33)*(Budget[Date]=N$7),Budget[Amount]))</f>
        <v>0</v>
      </c>
      <c r="O33" s="319">
        <f t="array" ref="O33">SUM(IF((Budget[Ofc Code]=$B$6)*(Budget[Account Code]=$B33)*(Budget[Date]=O$7),Budget[Amount]))</f>
        <v>0</v>
      </c>
      <c r="P33" s="322">
        <f t="shared" si="2"/>
        <v>0</v>
      </c>
    </row>
    <row r="34" spans="1:16" s="171" customFormat="1">
      <c r="A34" s="321" t="s">
        <v>1001</v>
      </c>
      <c r="B34" s="317"/>
      <c r="C34" s="322">
        <f t="shared" si="0"/>
        <v>0</v>
      </c>
      <c r="D34" s="322">
        <f>SUM(D35:D40)</f>
        <v>0</v>
      </c>
      <c r="E34" s="322">
        <f t="shared" ref="E34:O34" si="8">SUM(E35:E40)</f>
        <v>0</v>
      </c>
      <c r="F34" s="322">
        <f t="shared" si="8"/>
        <v>0</v>
      </c>
      <c r="G34" s="322">
        <f t="shared" si="8"/>
        <v>0</v>
      </c>
      <c r="H34" s="322">
        <f t="shared" si="8"/>
        <v>0</v>
      </c>
      <c r="I34" s="322">
        <f t="shared" si="8"/>
        <v>0</v>
      </c>
      <c r="J34" s="322">
        <f t="shared" si="8"/>
        <v>0</v>
      </c>
      <c r="K34" s="322">
        <f t="shared" si="8"/>
        <v>0</v>
      </c>
      <c r="L34" s="322">
        <f t="shared" si="8"/>
        <v>0</v>
      </c>
      <c r="M34" s="322">
        <f t="shared" si="8"/>
        <v>0</v>
      </c>
      <c r="N34" s="322">
        <f t="shared" si="8"/>
        <v>0</v>
      </c>
      <c r="O34" s="322">
        <f t="shared" si="8"/>
        <v>0</v>
      </c>
      <c r="P34" s="322">
        <f t="shared" si="2"/>
        <v>0</v>
      </c>
    </row>
    <row r="35" spans="1:16" s="171" customFormat="1">
      <c r="A35" s="323" t="s">
        <v>186</v>
      </c>
      <c r="B35" s="317" t="s">
        <v>150</v>
      </c>
      <c r="C35" s="322">
        <f t="shared" ref="C35:C40" si="9">SUM(D35:O35)</f>
        <v>0</v>
      </c>
      <c r="D35" s="319">
        <f t="array" ref="D35">SUM(IF((Budget[Ofc Code]=$B$6)*(Budget[Account Code]=$B35)*(Budget[Date]=D$7),Budget[Amount]))</f>
        <v>0</v>
      </c>
      <c r="E35" s="319">
        <f t="array" ref="E35">SUM(IF((Budget[Ofc Code]=$B$6)*(Budget[Account Code]=$B35)*(Budget[Date]=E$7),Budget[Amount]))</f>
        <v>0</v>
      </c>
      <c r="F35" s="319">
        <f t="array" ref="F35">SUM(IF((Budget[Ofc Code]=$B$6)*(Budget[Account Code]=$B35)*(Budget[Date]=F$7),Budget[Amount]))</f>
        <v>0</v>
      </c>
      <c r="G35" s="319">
        <f t="array" ref="G35">SUM(IF((Budget[Ofc Code]=$B$6)*(Budget[Account Code]=$B35)*(Budget[Date]=G$7),Budget[Amount]))</f>
        <v>0</v>
      </c>
      <c r="H35" s="319">
        <f t="array" ref="H35">SUM(IF((Budget[Ofc Code]=$B$6)*(Budget[Account Code]=$B35)*(Budget[Date]=H$7),Budget[Amount]))</f>
        <v>0</v>
      </c>
      <c r="I35" s="319">
        <f t="array" ref="I35">SUM(IF((Budget[Ofc Code]=$B$6)*(Budget[Account Code]=$B35)*(Budget[Date]=I$7),Budget[Amount]))</f>
        <v>0</v>
      </c>
      <c r="J35" s="319">
        <f t="array" ref="J35">SUM(IF((Budget[Ofc Code]=$B$6)*(Budget[Account Code]=$B35)*(Budget[Date]=J$7),Budget[Amount]))</f>
        <v>0</v>
      </c>
      <c r="K35" s="319">
        <f t="array" ref="K35">SUM(IF((Budget[Ofc Code]=$B$6)*(Budget[Account Code]=$B35)*(Budget[Date]=K$7),Budget[Amount]))</f>
        <v>0</v>
      </c>
      <c r="L35" s="319">
        <f t="array" ref="L35">SUM(IF((Budget[Ofc Code]=$B$6)*(Budget[Account Code]=$B35)*(Budget[Date]=L$7),Budget[Amount]))</f>
        <v>0</v>
      </c>
      <c r="M35" s="319">
        <f t="array" ref="M35">SUM(IF((Budget[Ofc Code]=$B$6)*(Budget[Account Code]=$B35)*(Budget[Date]=M$7),Budget[Amount]))</f>
        <v>0</v>
      </c>
      <c r="N35" s="319">
        <f t="array" ref="N35">SUM(IF((Budget[Ofc Code]=$B$6)*(Budget[Account Code]=$B35)*(Budget[Date]=N$7),Budget[Amount]))</f>
        <v>0</v>
      </c>
      <c r="O35" s="319">
        <f t="array" ref="O35">SUM(IF((Budget[Ofc Code]=$B$6)*(Budget[Account Code]=$B35)*(Budget[Date]=O$7),Budget[Amount]))</f>
        <v>0</v>
      </c>
      <c r="P35" s="322">
        <f t="shared" si="2"/>
        <v>0</v>
      </c>
    </row>
    <row r="36" spans="1:16" s="171" customFormat="1">
      <c r="A36" s="323" t="s">
        <v>1003</v>
      </c>
      <c r="B36" s="317" t="s">
        <v>155</v>
      </c>
      <c r="C36" s="322">
        <f>SUM(D36:O36)</f>
        <v>0</v>
      </c>
      <c r="D36" s="319">
        <f t="array" ref="D36">SUM(IF((Budget[Ofc Code]=$B$6)*(Budget[Account Code]=$B36)*(Budget[Date]=D$7),Budget[Amount]))</f>
        <v>0</v>
      </c>
      <c r="E36" s="319">
        <f t="array" ref="E36">SUM(IF((Budget[Ofc Code]=$B$6)*(Budget[Account Code]=$B36)*(Budget[Date]=E$7),Budget[Amount]))</f>
        <v>0</v>
      </c>
      <c r="F36" s="319">
        <f t="array" ref="F36">SUM(IF((Budget[Ofc Code]=$B$6)*(Budget[Account Code]=$B36)*(Budget[Date]=F$7),Budget[Amount]))</f>
        <v>0</v>
      </c>
      <c r="G36" s="319">
        <f t="array" ref="G36">SUM(IF((Budget[Ofc Code]=$B$6)*(Budget[Account Code]=$B36)*(Budget[Date]=G$7),Budget[Amount]))</f>
        <v>0</v>
      </c>
      <c r="H36" s="319">
        <f t="array" ref="H36">SUM(IF((Budget[Ofc Code]=$B$6)*(Budget[Account Code]=$B36)*(Budget[Date]=H$7),Budget[Amount]))</f>
        <v>0</v>
      </c>
      <c r="I36" s="319">
        <f t="array" ref="I36">SUM(IF((Budget[Ofc Code]=$B$6)*(Budget[Account Code]=$B36)*(Budget[Date]=I$7),Budget[Amount]))</f>
        <v>0</v>
      </c>
      <c r="J36" s="319">
        <f t="array" ref="J36">SUM(IF((Budget[Ofc Code]=$B$6)*(Budget[Account Code]=$B36)*(Budget[Date]=J$7),Budget[Amount]))</f>
        <v>0</v>
      </c>
      <c r="K36" s="319">
        <f t="array" ref="K36">SUM(IF((Budget[Ofc Code]=$B$6)*(Budget[Account Code]=$B36)*(Budget[Date]=K$7),Budget[Amount]))</f>
        <v>0</v>
      </c>
      <c r="L36" s="319">
        <f t="array" ref="L36">SUM(IF((Budget[Ofc Code]=$B$6)*(Budget[Account Code]=$B36)*(Budget[Date]=L$7),Budget[Amount]))</f>
        <v>0</v>
      </c>
      <c r="M36" s="319">
        <f t="array" ref="M36">SUM(IF((Budget[Ofc Code]=$B$6)*(Budget[Account Code]=$B36)*(Budget[Date]=M$7),Budget[Amount]))</f>
        <v>0</v>
      </c>
      <c r="N36" s="319">
        <f t="array" ref="N36">SUM(IF((Budget[Ofc Code]=$B$6)*(Budget[Account Code]=$B36)*(Budget[Date]=N$7),Budget[Amount]))</f>
        <v>0</v>
      </c>
      <c r="O36" s="319">
        <f t="array" ref="O36">SUM(IF((Budget[Ofc Code]=$B$6)*(Budget[Account Code]=$B36)*(Budget[Date]=O$7),Budget[Amount]))</f>
        <v>0</v>
      </c>
      <c r="P36" s="322">
        <f t="shared" si="2"/>
        <v>0</v>
      </c>
    </row>
    <row r="37" spans="1:16" s="171" customFormat="1">
      <c r="A37" s="323" t="s">
        <v>1004</v>
      </c>
      <c r="B37" s="317" t="s">
        <v>159</v>
      </c>
      <c r="C37" s="322">
        <f t="shared" si="9"/>
        <v>0</v>
      </c>
      <c r="D37" s="319">
        <f t="array" ref="D37">SUM(IF((Budget[Ofc Code]=$B$6)*(Budget[Account Code]=$B37)*(Budget[Date]=D$7),Budget[Amount]))</f>
        <v>0</v>
      </c>
      <c r="E37" s="319">
        <f t="array" ref="E37">SUM(IF((Budget[Ofc Code]=$B$6)*(Budget[Account Code]=$B37)*(Budget[Date]=E$7),Budget[Amount]))</f>
        <v>0</v>
      </c>
      <c r="F37" s="319">
        <f t="array" ref="F37">SUM(IF((Budget[Ofc Code]=$B$6)*(Budget[Account Code]=$B37)*(Budget[Date]=F$7),Budget[Amount]))</f>
        <v>0</v>
      </c>
      <c r="G37" s="319">
        <f t="array" ref="G37">SUM(IF((Budget[Ofc Code]=$B$6)*(Budget[Account Code]=$B37)*(Budget[Date]=G$7),Budget[Amount]))</f>
        <v>0</v>
      </c>
      <c r="H37" s="319">
        <f t="array" ref="H37">SUM(IF((Budget[Ofc Code]=$B$6)*(Budget[Account Code]=$B37)*(Budget[Date]=H$7),Budget[Amount]))</f>
        <v>0</v>
      </c>
      <c r="I37" s="319">
        <f t="array" ref="I37">SUM(IF((Budget[Ofc Code]=$B$6)*(Budget[Account Code]=$B37)*(Budget[Date]=I$7),Budget[Amount]))</f>
        <v>0</v>
      </c>
      <c r="J37" s="319">
        <f t="array" ref="J37">SUM(IF((Budget[Ofc Code]=$B$6)*(Budget[Account Code]=$B37)*(Budget[Date]=J$7),Budget[Amount]))</f>
        <v>0</v>
      </c>
      <c r="K37" s="319">
        <f t="array" ref="K37">SUM(IF((Budget[Ofc Code]=$B$6)*(Budget[Account Code]=$B37)*(Budget[Date]=K$7),Budget[Amount]))</f>
        <v>0</v>
      </c>
      <c r="L37" s="319">
        <f t="array" ref="L37">SUM(IF((Budget[Ofc Code]=$B$6)*(Budget[Account Code]=$B37)*(Budget[Date]=L$7),Budget[Amount]))</f>
        <v>0</v>
      </c>
      <c r="M37" s="319">
        <f t="array" ref="M37">SUM(IF((Budget[Ofc Code]=$B$6)*(Budget[Account Code]=$B37)*(Budget[Date]=M$7),Budget[Amount]))</f>
        <v>0</v>
      </c>
      <c r="N37" s="319">
        <f t="array" ref="N37">SUM(IF((Budget[Ofc Code]=$B$6)*(Budget[Account Code]=$B37)*(Budget[Date]=N$7),Budget[Amount]))</f>
        <v>0</v>
      </c>
      <c r="O37" s="319">
        <f t="array" ref="O37">SUM(IF((Budget[Ofc Code]=$B$6)*(Budget[Account Code]=$B37)*(Budget[Date]=O$7),Budget[Amount]))</f>
        <v>0</v>
      </c>
      <c r="P37" s="322">
        <f t="shared" si="2"/>
        <v>0</v>
      </c>
    </row>
    <row r="38" spans="1:16" s="171" customFormat="1">
      <c r="A38" s="323" t="s">
        <v>449</v>
      </c>
      <c r="B38" s="317" t="s">
        <v>160</v>
      </c>
      <c r="C38" s="322">
        <f t="shared" si="9"/>
        <v>0</v>
      </c>
      <c r="D38" s="319">
        <f t="array" ref="D38">SUM(IF((Budget[Ofc Code]=$B$6)*(Budget[Account Code]=$B38)*(Budget[Date]=D$7),Budget[Amount]))</f>
        <v>0</v>
      </c>
      <c r="E38" s="319">
        <f t="array" ref="E38">SUM(IF((Budget[Ofc Code]=$B$6)*(Budget[Account Code]=$B38)*(Budget[Date]=E$7),Budget[Amount]))</f>
        <v>0</v>
      </c>
      <c r="F38" s="319">
        <f t="array" ref="F38">SUM(IF((Budget[Ofc Code]=$B$6)*(Budget[Account Code]=$B38)*(Budget[Date]=F$7),Budget[Amount]))</f>
        <v>0</v>
      </c>
      <c r="G38" s="319">
        <f t="array" ref="G38">SUM(IF((Budget[Ofc Code]=$B$6)*(Budget[Account Code]=$B38)*(Budget[Date]=G$7),Budget[Amount]))</f>
        <v>0</v>
      </c>
      <c r="H38" s="319">
        <f t="array" ref="H38">SUM(IF((Budget[Ofc Code]=$B$6)*(Budget[Account Code]=$B38)*(Budget[Date]=H$7),Budget[Amount]))</f>
        <v>0</v>
      </c>
      <c r="I38" s="319">
        <f t="array" ref="I38">SUM(IF((Budget[Ofc Code]=$B$6)*(Budget[Account Code]=$B38)*(Budget[Date]=I$7),Budget[Amount]))</f>
        <v>0</v>
      </c>
      <c r="J38" s="319">
        <f t="array" ref="J38">SUM(IF((Budget[Ofc Code]=$B$6)*(Budget[Account Code]=$B38)*(Budget[Date]=J$7),Budget[Amount]))</f>
        <v>0</v>
      </c>
      <c r="K38" s="319">
        <f t="array" ref="K38">SUM(IF((Budget[Ofc Code]=$B$6)*(Budget[Account Code]=$B38)*(Budget[Date]=K$7),Budget[Amount]))</f>
        <v>0</v>
      </c>
      <c r="L38" s="319">
        <f t="array" ref="L38">SUM(IF((Budget[Ofc Code]=$B$6)*(Budget[Account Code]=$B38)*(Budget[Date]=L$7),Budget[Amount]))</f>
        <v>0</v>
      </c>
      <c r="M38" s="319">
        <f t="array" ref="M38">SUM(IF((Budget[Ofc Code]=$B$6)*(Budget[Account Code]=$B38)*(Budget[Date]=M$7),Budget[Amount]))</f>
        <v>0</v>
      </c>
      <c r="N38" s="319">
        <f t="array" ref="N38">SUM(IF((Budget[Ofc Code]=$B$6)*(Budget[Account Code]=$B38)*(Budget[Date]=N$7),Budget[Amount]))</f>
        <v>0</v>
      </c>
      <c r="O38" s="319">
        <f t="array" ref="O38">SUM(IF((Budget[Ofc Code]=$B$6)*(Budget[Account Code]=$B38)*(Budget[Date]=O$7),Budget[Amount]))</f>
        <v>0</v>
      </c>
      <c r="P38" s="322">
        <f t="shared" si="2"/>
        <v>0</v>
      </c>
    </row>
    <row r="39" spans="1:16" s="171" customFormat="1">
      <c r="A39" s="323" t="s">
        <v>1005</v>
      </c>
      <c r="B39" s="317" t="s">
        <v>352</v>
      </c>
      <c r="C39" s="322">
        <f t="shared" si="9"/>
        <v>0</v>
      </c>
      <c r="D39" s="319">
        <f t="array" ref="D39">SUM(IF((Budget[Ofc Code]=$B$6)*(Budget[Account Code]=$B39)*(Budget[Date]=D$7),Budget[Amount]))</f>
        <v>0</v>
      </c>
      <c r="E39" s="319">
        <f t="array" ref="E39">SUM(IF((Budget[Ofc Code]=$B$6)*(Budget[Account Code]=$B39)*(Budget[Date]=E$7),Budget[Amount]))</f>
        <v>0</v>
      </c>
      <c r="F39" s="319">
        <f t="array" ref="F39">SUM(IF((Budget[Ofc Code]=$B$6)*(Budget[Account Code]=$B39)*(Budget[Date]=F$7),Budget[Amount]))</f>
        <v>0</v>
      </c>
      <c r="G39" s="319">
        <f t="array" ref="G39">SUM(IF((Budget[Ofc Code]=$B$6)*(Budget[Account Code]=$B39)*(Budget[Date]=G$7),Budget[Amount]))</f>
        <v>0</v>
      </c>
      <c r="H39" s="319">
        <f t="array" ref="H39">SUM(IF((Budget[Ofc Code]=$B$6)*(Budget[Account Code]=$B39)*(Budget[Date]=H$7),Budget[Amount]))</f>
        <v>0</v>
      </c>
      <c r="I39" s="319">
        <f t="array" ref="I39">SUM(IF((Budget[Ofc Code]=$B$6)*(Budget[Account Code]=$B39)*(Budget[Date]=I$7),Budget[Amount]))</f>
        <v>0</v>
      </c>
      <c r="J39" s="319">
        <f t="array" ref="J39">SUM(IF((Budget[Ofc Code]=$B$6)*(Budget[Account Code]=$B39)*(Budget[Date]=J$7),Budget[Amount]))</f>
        <v>0</v>
      </c>
      <c r="K39" s="319">
        <f t="array" ref="K39">SUM(IF((Budget[Ofc Code]=$B$6)*(Budget[Account Code]=$B39)*(Budget[Date]=K$7),Budget[Amount]))</f>
        <v>0</v>
      </c>
      <c r="L39" s="319">
        <f t="array" ref="L39">SUM(IF((Budget[Ofc Code]=$B$6)*(Budget[Account Code]=$B39)*(Budget[Date]=L$7),Budget[Amount]))</f>
        <v>0</v>
      </c>
      <c r="M39" s="319">
        <f t="array" ref="M39">SUM(IF((Budget[Ofc Code]=$B$6)*(Budget[Account Code]=$B39)*(Budget[Date]=M$7),Budget[Amount]))</f>
        <v>0</v>
      </c>
      <c r="N39" s="319">
        <f t="array" ref="N39">SUM(IF((Budget[Ofc Code]=$B$6)*(Budget[Account Code]=$B39)*(Budget[Date]=N$7),Budget[Amount]))</f>
        <v>0</v>
      </c>
      <c r="O39" s="319">
        <f t="array" ref="O39">SUM(IF((Budget[Ofc Code]=$B$6)*(Budget[Account Code]=$B39)*(Budget[Date]=O$7),Budget[Amount]))</f>
        <v>0</v>
      </c>
      <c r="P39" s="322">
        <f t="shared" si="2"/>
        <v>0</v>
      </c>
    </row>
    <row r="40" spans="1:16" s="171" customFormat="1">
      <c r="A40" s="323" t="s">
        <v>1006</v>
      </c>
      <c r="B40" s="317" t="s">
        <v>158</v>
      </c>
      <c r="C40" s="322">
        <f t="shared" si="9"/>
        <v>0</v>
      </c>
      <c r="D40" s="319">
        <f t="array" ref="D40">SUM(IF((Budget[Ofc Code]=$B$6)*(Budget[Account Code]=$B40)*(Budget[Date]=D$7),Budget[Amount]))</f>
        <v>0</v>
      </c>
      <c r="E40" s="319">
        <f t="array" ref="E40">SUM(IF((Budget[Ofc Code]=$B$6)*(Budget[Account Code]=$B40)*(Budget[Date]=E$7),Budget[Amount]))</f>
        <v>0</v>
      </c>
      <c r="F40" s="319">
        <f t="array" ref="F40">SUM(IF((Budget[Ofc Code]=$B$6)*(Budget[Account Code]=$B40)*(Budget[Date]=F$7),Budget[Amount]))</f>
        <v>0</v>
      </c>
      <c r="G40" s="319">
        <f t="array" ref="G40">SUM(IF((Budget[Ofc Code]=$B$6)*(Budget[Account Code]=$B40)*(Budget[Date]=G$7),Budget[Amount]))</f>
        <v>0</v>
      </c>
      <c r="H40" s="319">
        <f t="array" ref="H40">SUM(IF((Budget[Ofc Code]=$B$6)*(Budget[Account Code]=$B40)*(Budget[Date]=H$7),Budget[Amount]))</f>
        <v>0</v>
      </c>
      <c r="I40" s="319">
        <f t="array" ref="I40">SUM(IF((Budget[Ofc Code]=$B$6)*(Budget[Account Code]=$B40)*(Budget[Date]=I$7),Budget[Amount]))</f>
        <v>0</v>
      </c>
      <c r="J40" s="319">
        <f t="array" ref="J40">SUM(IF((Budget[Ofc Code]=$B$6)*(Budget[Account Code]=$B40)*(Budget[Date]=J$7),Budget[Amount]))</f>
        <v>0</v>
      </c>
      <c r="K40" s="319">
        <f t="array" ref="K40">SUM(IF((Budget[Ofc Code]=$B$6)*(Budget[Account Code]=$B40)*(Budget[Date]=K$7),Budget[Amount]))</f>
        <v>0</v>
      </c>
      <c r="L40" s="319">
        <f t="array" ref="L40">SUM(IF((Budget[Ofc Code]=$B$6)*(Budget[Account Code]=$B40)*(Budget[Date]=L$7),Budget[Amount]))</f>
        <v>0</v>
      </c>
      <c r="M40" s="319">
        <f t="array" ref="M40">SUM(IF((Budget[Ofc Code]=$B$6)*(Budget[Account Code]=$B40)*(Budget[Date]=M$7),Budget[Amount]))</f>
        <v>0</v>
      </c>
      <c r="N40" s="319">
        <f t="array" ref="N40">SUM(IF((Budget[Ofc Code]=$B$6)*(Budget[Account Code]=$B40)*(Budget[Date]=N$7),Budget[Amount]))</f>
        <v>0</v>
      </c>
      <c r="O40" s="319">
        <f t="array" ref="O40">SUM(IF((Budget[Ofc Code]=$B$6)*(Budget[Account Code]=$B40)*(Budget[Date]=O$7),Budget[Amount]))</f>
        <v>0</v>
      </c>
      <c r="P40" s="322">
        <f t="shared" si="2"/>
        <v>0</v>
      </c>
    </row>
    <row r="41" spans="1:16" s="171" customFormat="1">
      <c r="A41" s="321" t="s">
        <v>1002</v>
      </c>
      <c r="B41" s="317"/>
      <c r="C41" s="322">
        <f t="shared" si="0"/>
        <v>0</v>
      </c>
      <c r="D41" s="319">
        <f t="array" ref="D41">SUM(IF((Budget[Ofc Code]=$B$6)*(Budget[Account Code]=$B41)*(Budget[Date]=D$7),Budget[Amount]))</f>
        <v>0</v>
      </c>
      <c r="E41" s="319">
        <f t="array" ref="E41">SUM(IF((Budget[Ofc Code]=$B$6)*(Budget[Account Code]=$B41)*(Budget[Date]=E$7),Budget[Amount]))</f>
        <v>0</v>
      </c>
      <c r="F41" s="319">
        <f t="array" ref="F41">SUM(IF((Budget[Ofc Code]=$B$6)*(Budget[Account Code]=$B41)*(Budget[Date]=F$7),Budget[Amount]))</f>
        <v>0</v>
      </c>
      <c r="G41" s="319">
        <f t="array" ref="G41">SUM(IF((Budget[Ofc Code]=$B$6)*(Budget[Account Code]=$B41)*(Budget[Date]=G$7),Budget[Amount]))</f>
        <v>0</v>
      </c>
      <c r="H41" s="319">
        <f t="array" ref="H41">SUM(IF((Budget[Ofc Code]=$B$6)*(Budget[Account Code]=$B41)*(Budget[Date]=H$7),Budget[Amount]))</f>
        <v>0</v>
      </c>
      <c r="I41" s="319">
        <f t="array" ref="I41">SUM(IF((Budget[Ofc Code]=$B$6)*(Budget[Account Code]=$B41)*(Budget[Date]=I$7),Budget[Amount]))</f>
        <v>0</v>
      </c>
      <c r="J41" s="319">
        <f t="array" ref="J41">SUM(IF((Budget[Ofc Code]=$B$6)*(Budget[Account Code]=$B41)*(Budget[Date]=J$7),Budget[Amount]))</f>
        <v>0</v>
      </c>
      <c r="K41" s="319">
        <f t="array" ref="K41">SUM(IF((Budget[Ofc Code]=$B$6)*(Budget[Account Code]=$B41)*(Budget[Date]=K$7),Budget[Amount]))</f>
        <v>0</v>
      </c>
      <c r="L41" s="319">
        <f t="array" ref="L41">SUM(IF((Budget[Ofc Code]=$B$6)*(Budget[Account Code]=$B41)*(Budget[Date]=L$7),Budget[Amount]))</f>
        <v>0</v>
      </c>
      <c r="M41" s="319">
        <f t="array" ref="M41">SUM(IF((Budget[Ofc Code]=$B$6)*(Budget[Account Code]=$B41)*(Budget[Date]=M$7),Budget[Amount]))</f>
        <v>0</v>
      </c>
      <c r="N41" s="319">
        <f t="array" ref="N41">SUM(IF((Budget[Ofc Code]=$B$6)*(Budget[Account Code]=$B41)*(Budget[Date]=N$7),Budget[Amount]))</f>
        <v>0</v>
      </c>
      <c r="O41" s="319">
        <f t="array" ref="O41">SUM(IF((Budget[Ofc Code]=$B$6)*(Budget[Account Code]=$B41)*(Budget[Date]=O$7),Budget[Amount]))</f>
        <v>0</v>
      </c>
      <c r="P41" s="322">
        <f t="shared" si="2"/>
        <v>0</v>
      </c>
    </row>
    <row r="42" spans="1:16">
      <c r="A42" s="323" t="s">
        <v>869</v>
      </c>
      <c r="B42" s="317"/>
      <c r="C42" s="319">
        <f t="shared" si="0"/>
        <v>0</v>
      </c>
      <c r="D42" s="319">
        <f t="array" ref="D42">SUM(IF((Budget[Ofc Code]=$B$6)*(Budget[Account Code]=$B42)*(Budget[Date]=D$7),Budget[Amount]))</f>
        <v>0</v>
      </c>
      <c r="E42" s="319">
        <f t="array" ref="E42">SUM(IF((Budget[Ofc Code]=$B$6)*(Budget[Account Code]=$B42)*(Budget[Date]=E$7),Budget[Amount]))</f>
        <v>0</v>
      </c>
      <c r="F42" s="319">
        <f t="array" ref="F42">SUM(IF((Budget[Ofc Code]=$B$6)*(Budget[Account Code]=$B42)*(Budget[Date]=F$7),Budget[Amount]))</f>
        <v>0</v>
      </c>
      <c r="G42" s="319">
        <f t="array" ref="G42">SUM(IF((Budget[Ofc Code]=$B$6)*(Budget[Account Code]=$B42)*(Budget[Date]=G$7),Budget[Amount]))</f>
        <v>0</v>
      </c>
      <c r="H42" s="319">
        <f t="array" ref="H42">SUM(IF((Budget[Ofc Code]=$B$6)*(Budget[Account Code]=$B42)*(Budget[Date]=H$7),Budget[Amount]))</f>
        <v>0</v>
      </c>
      <c r="I42" s="319">
        <f t="array" ref="I42">SUM(IF((Budget[Ofc Code]=$B$6)*(Budget[Account Code]=$B42)*(Budget[Date]=I$7),Budget[Amount]))</f>
        <v>0</v>
      </c>
      <c r="J42" s="319">
        <f t="array" ref="J42">SUM(IF((Budget[Ofc Code]=$B$6)*(Budget[Account Code]=$B42)*(Budget[Date]=J$7),Budget[Amount]))</f>
        <v>0</v>
      </c>
      <c r="K42" s="319">
        <f t="array" ref="K42">SUM(IF((Budget[Ofc Code]=$B$6)*(Budget[Account Code]=$B42)*(Budget[Date]=K$7),Budget[Amount]))</f>
        <v>0</v>
      </c>
      <c r="L42" s="319">
        <f t="array" ref="L42">SUM(IF((Budget[Ofc Code]=$B$6)*(Budget[Account Code]=$B42)*(Budget[Date]=L$7),Budget[Amount]))</f>
        <v>0</v>
      </c>
      <c r="M42" s="319">
        <f t="array" ref="M42">SUM(IF((Budget[Ofc Code]=$B$6)*(Budget[Account Code]=$B42)*(Budget[Date]=M$7),Budget[Amount]))</f>
        <v>0</v>
      </c>
      <c r="N42" s="319">
        <f t="array" ref="N42">SUM(IF((Budget[Ofc Code]=$B$6)*(Budget[Account Code]=$B42)*(Budget[Date]=N$7),Budget[Amount]))</f>
        <v>0</v>
      </c>
      <c r="O42" s="319">
        <f t="array" ref="O42">SUM(IF((Budget[Ofc Code]=$B$6)*(Budget[Account Code]=$B42)*(Budget[Date]=O$7),Budget[Amount]))</f>
        <v>0</v>
      </c>
      <c r="P42" s="319">
        <f t="shared" si="2"/>
        <v>0</v>
      </c>
    </row>
    <row r="43" spans="1:16">
      <c r="A43" s="320" t="s">
        <v>870</v>
      </c>
      <c r="B43" s="317"/>
      <c r="C43" s="319">
        <f t="shared" si="0"/>
        <v>0</v>
      </c>
      <c r="D43" s="319">
        <f t="shared" ref="D43:O43" si="10">D25+D26+D27+D28+D29+D30+D33+D34+D41</f>
        <v>0</v>
      </c>
      <c r="E43" s="319">
        <f t="shared" si="10"/>
        <v>0</v>
      </c>
      <c r="F43" s="319">
        <f t="shared" si="10"/>
        <v>0</v>
      </c>
      <c r="G43" s="319">
        <f t="shared" si="10"/>
        <v>0</v>
      </c>
      <c r="H43" s="319">
        <f t="shared" si="10"/>
        <v>0</v>
      </c>
      <c r="I43" s="319">
        <f t="shared" si="10"/>
        <v>0</v>
      </c>
      <c r="J43" s="319">
        <f t="shared" si="10"/>
        <v>0</v>
      </c>
      <c r="K43" s="319">
        <f t="shared" si="10"/>
        <v>0</v>
      </c>
      <c r="L43" s="319">
        <f t="shared" si="10"/>
        <v>0</v>
      </c>
      <c r="M43" s="319">
        <f t="shared" si="10"/>
        <v>0</v>
      </c>
      <c r="N43" s="319">
        <f t="shared" si="10"/>
        <v>0</v>
      </c>
      <c r="O43" s="319">
        <f t="shared" si="10"/>
        <v>0</v>
      </c>
      <c r="P43" s="319">
        <f t="shared" si="2"/>
        <v>0</v>
      </c>
    </row>
    <row r="44" spans="1:16">
      <c r="A44" s="322" t="s">
        <v>813</v>
      </c>
      <c r="B44" s="324"/>
      <c r="C44" s="322">
        <f t="shared" si="0"/>
        <v>0</v>
      </c>
      <c r="D44" s="322">
        <f t="shared" ref="D44:O44" si="11">D23+D43</f>
        <v>0</v>
      </c>
      <c r="E44" s="322">
        <f t="shared" si="11"/>
        <v>0</v>
      </c>
      <c r="F44" s="322">
        <f t="shared" si="11"/>
        <v>0</v>
      </c>
      <c r="G44" s="322">
        <f t="shared" si="11"/>
        <v>0</v>
      </c>
      <c r="H44" s="322">
        <f t="shared" si="11"/>
        <v>0</v>
      </c>
      <c r="I44" s="322">
        <f t="shared" si="11"/>
        <v>0</v>
      </c>
      <c r="J44" s="322">
        <f t="shared" si="11"/>
        <v>0</v>
      </c>
      <c r="K44" s="322">
        <f t="shared" si="11"/>
        <v>0</v>
      </c>
      <c r="L44" s="322">
        <f t="shared" si="11"/>
        <v>0</v>
      </c>
      <c r="M44" s="322">
        <f t="shared" si="11"/>
        <v>0</v>
      </c>
      <c r="N44" s="322">
        <f t="shared" si="11"/>
        <v>0</v>
      </c>
      <c r="O44" s="322">
        <f t="shared" si="11"/>
        <v>0</v>
      </c>
      <c r="P44" s="322">
        <f t="shared" si="2"/>
        <v>0</v>
      </c>
    </row>
    <row r="45" spans="1:16">
      <c r="A45" s="320" t="s">
        <v>871</v>
      </c>
      <c r="B45" s="317"/>
      <c r="C45" s="319"/>
      <c r="D45" s="319"/>
      <c r="E45" s="319"/>
      <c r="F45" s="319"/>
      <c r="G45" s="319"/>
      <c r="H45" s="319"/>
      <c r="I45" s="319"/>
      <c r="J45" s="319"/>
      <c r="K45" s="319"/>
      <c r="L45" s="319"/>
      <c r="M45" s="319"/>
      <c r="N45" s="319"/>
      <c r="O45" s="319"/>
      <c r="P45" s="319">
        <f t="shared" si="2"/>
        <v>0</v>
      </c>
    </row>
    <row r="46" spans="1:16">
      <c r="A46" s="320" t="s">
        <v>872</v>
      </c>
      <c r="B46" s="317"/>
      <c r="C46" s="319"/>
      <c r="D46" s="319"/>
      <c r="E46" s="319"/>
      <c r="F46" s="319"/>
      <c r="G46" s="319"/>
      <c r="H46" s="319"/>
      <c r="I46" s="319"/>
      <c r="J46" s="319"/>
      <c r="K46" s="319"/>
      <c r="L46" s="319"/>
      <c r="M46" s="319"/>
      <c r="N46" s="319"/>
      <c r="O46" s="319"/>
      <c r="P46" s="319">
        <f t="shared" si="2"/>
        <v>0</v>
      </c>
    </row>
    <row r="47" spans="1:16" s="171" customFormat="1">
      <c r="A47" s="320" t="s">
        <v>873</v>
      </c>
      <c r="B47" s="317"/>
      <c r="C47" s="322">
        <f t="shared" ref="C47:C123" si="12">SUM(D47:O47)</f>
        <v>0</v>
      </c>
      <c r="D47" s="322">
        <f t="shared" ref="D47:O47" si="13">D48+D49</f>
        <v>0</v>
      </c>
      <c r="E47" s="322">
        <f t="shared" si="13"/>
        <v>0</v>
      </c>
      <c r="F47" s="322">
        <f t="shared" si="13"/>
        <v>0</v>
      </c>
      <c r="G47" s="322">
        <f t="shared" si="13"/>
        <v>0</v>
      </c>
      <c r="H47" s="322">
        <f t="shared" si="13"/>
        <v>0</v>
      </c>
      <c r="I47" s="322">
        <f t="shared" si="13"/>
        <v>0</v>
      </c>
      <c r="J47" s="322">
        <f t="shared" si="13"/>
        <v>0</v>
      </c>
      <c r="K47" s="322">
        <f t="shared" si="13"/>
        <v>0</v>
      </c>
      <c r="L47" s="322">
        <f t="shared" si="13"/>
        <v>0</v>
      </c>
      <c r="M47" s="322">
        <f t="shared" si="13"/>
        <v>0</v>
      </c>
      <c r="N47" s="322">
        <f t="shared" si="13"/>
        <v>0</v>
      </c>
      <c r="O47" s="322">
        <f t="shared" si="13"/>
        <v>0</v>
      </c>
      <c r="P47" s="322">
        <f t="shared" si="2"/>
        <v>0</v>
      </c>
    </row>
    <row r="48" spans="1:16">
      <c r="A48" s="323" t="s">
        <v>874</v>
      </c>
      <c r="B48" s="317" t="s">
        <v>162</v>
      </c>
      <c r="C48" s="319">
        <f t="shared" si="12"/>
        <v>0</v>
      </c>
      <c r="D48" s="319">
        <f t="array" ref="D48">SUM(IF((Budget[Ofc Code]=$B$6)*(Budget[Account Code]=$B48)*(Budget[Date]=D$7),Budget[Amount]))</f>
        <v>0</v>
      </c>
      <c r="E48" s="319">
        <f t="array" ref="E48">SUM(IF((Budget[Ofc Code]=$B$6)*(Budget[Account Code]=$B48)*(Budget[Date]=E$7),Budget[Amount]))</f>
        <v>0</v>
      </c>
      <c r="F48" s="319">
        <f t="array" ref="F48">SUM(IF((Budget[Ofc Code]=$B$6)*(Budget[Account Code]=$B48)*(Budget[Date]=F$7),Budget[Amount]))</f>
        <v>0</v>
      </c>
      <c r="G48" s="319">
        <f t="array" ref="G48">SUM(IF((Budget[Ofc Code]=$B$6)*(Budget[Account Code]=$B48)*(Budget[Date]=G$7),Budget[Amount]))</f>
        <v>0</v>
      </c>
      <c r="H48" s="319">
        <f t="array" ref="H48">SUM(IF((Budget[Ofc Code]=$B$6)*(Budget[Account Code]=$B48)*(Budget[Date]=H$7),Budget[Amount]))</f>
        <v>0</v>
      </c>
      <c r="I48" s="319">
        <f t="array" ref="I48">SUM(IF((Budget[Ofc Code]=$B$6)*(Budget[Account Code]=$B48)*(Budget[Date]=I$7),Budget[Amount]))</f>
        <v>0</v>
      </c>
      <c r="J48" s="319">
        <f t="array" ref="J48">SUM(IF((Budget[Ofc Code]=$B$6)*(Budget[Account Code]=$B48)*(Budget[Date]=J$7),Budget[Amount]))</f>
        <v>0</v>
      </c>
      <c r="K48" s="319">
        <f t="array" ref="K48">SUM(IF((Budget[Ofc Code]=$B$6)*(Budget[Account Code]=$B48)*(Budget[Date]=K$7),Budget[Amount]))</f>
        <v>0</v>
      </c>
      <c r="L48" s="319">
        <f t="array" ref="L48">SUM(IF((Budget[Ofc Code]=$B$6)*(Budget[Account Code]=$B48)*(Budget[Date]=L$7),Budget[Amount]))</f>
        <v>0</v>
      </c>
      <c r="M48" s="319">
        <f t="array" ref="M48">SUM(IF((Budget[Ofc Code]=$B$6)*(Budget[Account Code]=$B48)*(Budget[Date]=M$7),Budget[Amount]))</f>
        <v>0</v>
      </c>
      <c r="N48" s="319">
        <f t="array" ref="N48">SUM(IF((Budget[Ofc Code]=$B$6)*(Budget[Account Code]=$B48)*(Budget[Date]=N$7),Budget[Amount]))</f>
        <v>0</v>
      </c>
      <c r="O48" s="319">
        <f t="array" ref="O48">SUM(IF((Budget[Ofc Code]=$B$6)*(Budget[Account Code]=$B48)*(Budget[Date]=O$7),Budget[Amount]))</f>
        <v>0</v>
      </c>
      <c r="P48" s="319">
        <f t="shared" si="2"/>
        <v>0</v>
      </c>
    </row>
    <row r="49" spans="1:16">
      <c r="A49" s="323" t="s">
        <v>875</v>
      </c>
      <c r="B49" s="317" t="s">
        <v>163</v>
      </c>
      <c r="C49" s="319">
        <f t="shared" si="12"/>
        <v>0</v>
      </c>
      <c r="D49" s="319">
        <f t="array" ref="D49">SUM(IF((Budget[Ofc Code]=$B$6)*(Budget[Account Code]=$B49)*(Budget[Date]=D$7),Budget[Amount]))</f>
        <v>0</v>
      </c>
      <c r="E49" s="319">
        <f t="array" ref="E49">SUM(IF((Budget[Ofc Code]=$B$6)*(Budget[Account Code]=$B49)*(Budget[Date]=E$7),Budget[Amount]))</f>
        <v>0</v>
      </c>
      <c r="F49" s="319">
        <f t="array" ref="F49">SUM(IF((Budget[Ofc Code]=$B$6)*(Budget[Account Code]=$B49)*(Budget[Date]=F$7),Budget[Amount]))</f>
        <v>0</v>
      </c>
      <c r="G49" s="319">
        <f t="array" ref="G49">SUM(IF((Budget[Ofc Code]=$B$6)*(Budget[Account Code]=$B49)*(Budget[Date]=G$7),Budget[Amount]))</f>
        <v>0</v>
      </c>
      <c r="H49" s="319">
        <f t="array" ref="H49">SUM(IF((Budget[Ofc Code]=$B$6)*(Budget[Account Code]=$B49)*(Budget[Date]=H$7),Budget[Amount]))</f>
        <v>0</v>
      </c>
      <c r="I49" s="319">
        <f t="array" ref="I49">SUM(IF((Budget[Ofc Code]=$B$6)*(Budget[Account Code]=$B49)*(Budget[Date]=I$7),Budget[Amount]))</f>
        <v>0</v>
      </c>
      <c r="J49" s="319">
        <f t="array" ref="J49">SUM(IF((Budget[Ofc Code]=$B$6)*(Budget[Account Code]=$B49)*(Budget[Date]=J$7),Budget[Amount]))</f>
        <v>0</v>
      </c>
      <c r="K49" s="319">
        <f t="array" ref="K49">SUM(IF((Budget[Ofc Code]=$B$6)*(Budget[Account Code]=$B49)*(Budget[Date]=K$7),Budget[Amount]))</f>
        <v>0</v>
      </c>
      <c r="L49" s="319">
        <f t="array" ref="L49">SUM(IF((Budget[Ofc Code]=$B$6)*(Budget[Account Code]=$B49)*(Budget[Date]=L$7),Budget[Amount]))</f>
        <v>0</v>
      </c>
      <c r="M49" s="319">
        <f t="array" ref="M49">SUM(IF((Budget[Ofc Code]=$B$6)*(Budget[Account Code]=$B49)*(Budget[Date]=M$7),Budget[Amount]))</f>
        <v>0</v>
      </c>
      <c r="N49" s="319">
        <f t="array" ref="N49">SUM(IF((Budget[Ofc Code]=$B$6)*(Budget[Account Code]=$B49)*(Budget[Date]=N$7),Budget[Amount]))</f>
        <v>0</v>
      </c>
      <c r="O49" s="319">
        <f t="array" ref="O49">SUM(IF((Budget[Ofc Code]=$B$6)*(Budget[Account Code]=$B49)*(Budget[Date]=O$7),Budget[Amount]))</f>
        <v>0</v>
      </c>
      <c r="P49" s="319">
        <f t="shared" si="2"/>
        <v>0</v>
      </c>
    </row>
    <row r="50" spans="1:16" s="171" customFormat="1">
      <c r="A50" s="320" t="s">
        <v>876</v>
      </c>
      <c r="B50" s="317"/>
      <c r="C50" s="322">
        <f t="shared" si="12"/>
        <v>0</v>
      </c>
      <c r="D50" s="322">
        <f>SUM(D51:D64)</f>
        <v>0</v>
      </c>
      <c r="E50" s="322">
        <f t="shared" ref="E50:O50" si="14">SUM(E51:E64)</f>
        <v>0</v>
      </c>
      <c r="F50" s="322">
        <f t="shared" si="14"/>
        <v>0</v>
      </c>
      <c r="G50" s="322">
        <f t="shared" si="14"/>
        <v>0</v>
      </c>
      <c r="H50" s="322">
        <f t="shared" si="14"/>
        <v>0</v>
      </c>
      <c r="I50" s="322">
        <f t="shared" si="14"/>
        <v>0</v>
      </c>
      <c r="J50" s="322">
        <f t="shared" si="14"/>
        <v>0</v>
      </c>
      <c r="K50" s="322">
        <f t="shared" si="14"/>
        <v>0</v>
      </c>
      <c r="L50" s="322">
        <f t="shared" si="14"/>
        <v>0</v>
      </c>
      <c r="M50" s="322">
        <f t="shared" si="14"/>
        <v>0</v>
      </c>
      <c r="N50" s="322">
        <f t="shared" si="14"/>
        <v>0</v>
      </c>
      <c r="O50" s="322">
        <f t="shared" si="14"/>
        <v>0</v>
      </c>
      <c r="P50" s="322">
        <f t="shared" si="2"/>
        <v>0</v>
      </c>
    </row>
    <row r="51" spans="1:16">
      <c r="A51" s="325" t="s">
        <v>877</v>
      </c>
      <c r="B51" s="317" t="s">
        <v>164</v>
      </c>
      <c r="C51" s="319">
        <f t="shared" si="12"/>
        <v>0</v>
      </c>
      <c r="D51" s="319">
        <f t="array" ref="D51">SUM(IF((Budget[Ofc Code]=$B$6)*(Budget[Account Code]=$B51)*(Budget[Date]=D$7),Budget[Amount]))</f>
        <v>0</v>
      </c>
      <c r="E51" s="319">
        <f t="array" ref="E51">SUM(IF((Budget[Ofc Code]=$B$6)*(Budget[Account Code]=$B51)*(Budget[Date]=E$7),Budget[Amount]))</f>
        <v>0</v>
      </c>
      <c r="F51" s="319">
        <f t="array" ref="F51">SUM(IF((Budget[Ofc Code]=$B$6)*(Budget[Account Code]=$B51)*(Budget[Date]=F$7),Budget[Amount]))</f>
        <v>0</v>
      </c>
      <c r="G51" s="319">
        <f t="array" ref="G51">SUM(IF((Budget[Ofc Code]=$B$6)*(Budget[Account Code]=$B51)*(Budget[Date]=G$7),Budget[Amount]))</f>
        <v>0</v>
      </c>
      <c r="H51" s="319">
        <f t="array" ref="H51">SUM(IF((Budget[Ofc Code]=$B$6)*(Budget[Account Code]=$B51)*(Budget[Date]=H$7),Budget[Amount]))</f>
        <v>0</v>
      </c>
      <c r="I51" s="319">
        <f t="array" ref="I51">SUM(IF((Budget[Ofc Code]=$B$6)*(Budget[Account Code]=$B51)*(Budget[Date]=I$7),Budget[Amount]))</f>
        <v>0</v>
      </c>
      <c r="J51" s="319">
        <f t="array" ref="J51">SUM(IF((Budget[Ofc Code]=$B$6)*(Budget[Account Code]=$B51)*(Budget[Date]=J$7),Budget[Amount]))</f>
        <v>0</v>
      </c>
      <c r="K51" s="319">
        <f t="array" ref="K51">SUM(IF((Budget[Ofc Code]=$B$6)*(Budget[Account Code]=$B51)*(Budget[Date]=K$7),Budget[Amount]))</f>
        <v>0</v>
      </c>
      <c r="L51" s="319">
        <f t="array" ref="L51">SUM(IF((Budget[Ofc Code]=$B$6)*(Budget[Account Code]=$B51)*(Budget[Date]=L$7),Budget[Amount]))</f>
        <v>0</v>
      </c>
      <c r="M51" s="319">
        <f t="array" ref="M51">SUM(IF((Budget[Ofc Code]=$B$6)*(Budget[Account Code]=$B51)*(Budget[Date]=M$7),Budget[Amount]))</f>
        <v>0</v>
      </c>
      <c r="N51" s="319">
        <f t="array" ref="N51">SUM(IF((Budget[Ofc Code]=$B$6)*(Budget[Account Code]=$B51)*(Budget[Date]=N$7),Budget[Amount]))</f>
        <v>0</v>
      </c>
      <c r="O51" s="319">
        <f t="array" ref="O51">SUM(IF((Budget[Ofc Code]=$B$6)*(Budget[Account Code]=$B51)*(Budget[Date]=O$7),Budget[Amount]))</f>
        <v>0</v>
      </c>
      <c r="P51" s="319">
        <f t="shared" si="2"/>
        <v>0</v>
      </c>
    </row>
    <row r="52" spans="1:16">
      <c r="A52" s="325" t="s">
        <v>878</v>
      </c>
      <c r="B52" s="317" t="s">
        <v>165</v>
      </c>
      <c r="C52" s="319">
        <f t="shared" si="12"/>
        <v>0</v>
      </c>
      <c r="D52" s="319">
        <f t="array" ref="D52">SUM(IF((Budget[Ofc Code]=$B$6)*(Budget[Account Code]=$B52)*(Budget[Date]=D$7),Budget[Amount]))</f>
        <v>0</v>
      </c>
      <c r="E52" s="319">
        <f t="array" ref="E52">SUM(IF((Budget[Ofc Code]=$B$6)*(Budget[Account Code]=$B52)*(Budget[Date]=E$7),Budget[Amount]))</f>
        <v>0</v>
      </c>
      <c r="F52" s="319">
        <f t="array" ref="F52">SUM(IF((Budget[Ofc Code]=$B$6)*(Budget[Account Code]=$B52)*(Budget[Date]=F$7),Budget[Amount]))</f>
        <v>0</v>
      </c>
      <c r="G52" s="319">
        <f t="array" ref="G52">SUM(IF((Budget[Ofc Code]=$B$6)*(Budget[Account Code]=$B52)*(Budget[Date]=G$7),Budget[Amount]))</f>
        <v>0</v>
      </c>
      <c r="H52" s="319">
        <f t="array" ref="H52">SUM(IF((Budget[Ofc Code]=$B$6)*(Budget[Account Code]=$B52)*(Budget[Date]=H$7),Budget[Amount]))</f>
        <v>0</v>
      </c>
      <c r="I52" s="319">
        <f t="array" ref="I52">SUM(IF((Budget[Ofc Code]=$B$6)*(Budget[Account Code]=$B52)*(Budget[Date]=I$7),Budget[Amount]))</f>
        <v>0</v>
      </c>
      <c r="J52" s="319">
        <f t="array" ref="J52">SUM(IF((Budget[Ofc Code]=$B$6)*(Budget[Account Code]=$B52)*(Budget[Date]=J$7),Budget[Amount]))</f>
        <v>0</v>
      </c>
      <c r="K52" s="319">
        <f t="array" ref="K52">SUM(IF((Budget[Ofc Code]=$B$6)*(Budget[Account Code]=$B52)*(Budget[Date]=K$7),Budget[Amount]))</f>
        <v>0</v>
      </c>
      <c r="L52" s="319">
        <f t="array" ref="L52">SUM(IF((Budget[Ofc Code]=$B$6)*(Budget[Account Code]=$B52)*(Budget[Date]=L$7),Budget[Amount]))</f>
        <v>0</v>
      </c>
      <c r="M52" s="319">
        <f t="array" ref="M52">SUM(IF((Budget[Ofc Code]=$B$6)*(Budget[Account Code]=$B52)*(Budget[Date]=M$7),Budget[Amount]))</f>
        <v>0</v>
      </c>
      <c r="N52" s="319">
        <f t="array" ref="N52">SUM(IF((Budget[Ofc Code]=$B$6)*(Budget[Account Code]=$B52)*(Budget[Date]=N$7),Budget[Amount]))</f>
        <v>0</v>
      </c>
      <c r="O52" s="319">
        <f t="array" ref="O52">SUM(IF((Budget[Ofc Code]=$B$6)*(Budget[Account Code]=$B52)*(Budget[Date]=O$7),Budget[Amount]))</f>
        <v>0</v>
      </c>
      <c r="P52" s="319">
        <f t="shared" si="2"/>
        <v>0</v>
      </c>
    </row>
    <row r="53" spans="1:16">
      <c r="A53" s="325" t="s">
        <v>879</v>
      </c>
      <c r="B53" s="317" t="s">
        <v>166</v>
      </c>
      <c r="C53" s="319">
        <f t="shared" si="12"/>
        <v>0</v>
      </c>
      <c r="D53" s="319">
        <f t="array" ref="D53">SUM(IF((Budget[Ofc Code]=$B$6)*(Budget[Account Code]=$B53)*(Budget[Date]=D$7),Budget[Amount]))</f>
        <v>0</v>
      </c>
      <c r="E53" s="319">
        <f t="array" ref="E53">SUM(IF((Budget[Ofc Code]=$B$6)*(Budget[Account Code]=$B53)*(Budget[Date]=E$7),Budget[Amount]))</f>
        <v>0</v>
      </c>
      <c r="F53" s="319">
        <f t="array" ref="F53">SUM(IF((Budget[Ofc Code]=$B$6)*(Budget[Account Code]=$B53)*(Budget[Date]=F$7),Budget[Amount]))</f>
        <v>0</v>
      </c>
      <c r="G53" s="319">
        <f t="array" ref="G53">SUM(IF((Budget[Ofc Code]=$B$6)*(Budget[Account Code]=$B53)*(Budget[Date]=G$7),Budget[Amount]))</f>
        <v>0</v>
      </c>
      <c r="H53" s="319">
        <f t="array" ref="H53">SUM(IF((Budget[Ofc Code]=$B$6)*(Budget[Account Code]=$B53)*(Budget[Date]=H$7),Budget[Amount]))</f>
        <v>0</v>
      </c>
      <c r="I53" s="319">
        <f t="array" ref="I53">SUM(IF((Budget[Ofc Code]=$B$6)*(Budget[Account Code]=$B53)*(Budget[Date]=I$7),Budget[Amount]))</f>
        <v>0</v>
      </c>
      <c r="J53" s="319">
        <f t="array" ref="J53">SUM(IF((Budget[Ofc Code]=$B$6)*(Budget[Account Code]=$B53)*(Budget[Date]=J$7),Budget[Amount]))</f>
        <v>0</v>
      </c>
      <c r="K53" s="319">
        <f t="array" ref="K53">SUM(IF((Budget[Ofc Code]=$B$6)*(Budget[Account Code]=$B53)*(Budget[Date]=K$7),Budget[Amount]))</f>
        <v>0</v>
      </c>
      <c r="L53" s="319">
        <f t="array" ref="L53">SUM(IF((Budget[Ofc Code]=$B$6)*(Budget[Account Code]=$B53)*(Budget[Date]=L$7),Budget[Amount]))</f>
        <v>0</v>
      </c>
      <c r="M53" s="319">
        <f t="array" ref="M53">SUM(IF((Budget[Ofc Code]=$B$6)*(Budget[Account Code]=$B53)*(Budget[Date]=M$7),Budget[Amount]))</f>
        <v>0</v>
      </c>
      <c r="N53" s="319">
        <f t="array" ref="N53">SUM(IF((Budget[Ofc Code]=$B$6)*(Budget[Account Code]=$B53)*(Budget[Date]=N$7),Budget[Amount]))</f>
        <v>0</v>
      </c>
      <c r="O53" s="319">
        <f t="array" ref="O53">SUM(IF((Budget[Ofc Code]=$B$6)*(Budget[Account Code]=$B53)*(Budget[Date]=O$7),Budget[Amount]))</f>
        <v>0</v>
      </c>
      <c r="P53" s="319">
        <f t="shared" si="2"/>
        <v>0</v>
      </c>
    </row>
    <row r="54" spans="1:16">
      <c r="A54" s="325" t="s">
        <v>880</v>
      </c>
      <c r="B54" s="317" t="s">
        <v>167</v>
      </c>
      <c r="C54" s="319">
        <f t="shared" si="12"/>
        <v>0</v>
      </c>
      <c r="D54" s="319">
        <f t="array" ref="D54">SUM(IF((Budget[Ofc Code]=$B$6)*(Budget[Account Code]=$B54)*(Budget[Date]=D$7),Budget[Amount]))</f>
        <v>0</v>
      </c>
      <c r="E54" s="319">
        <f t="array" ref="E54">SUM(IF((Budget[Ofc Code]=$B$6)*(Budget[Account Code]=$B54)*(Budget[Date]=E$7),Budget[Amount]))</f>
        <v>0</v>
      </c>
      <c r="F54" s="319">
        <f t="array" ref="F54">SUM(IF((Budget[Ofc Code]=$B$6)*(Budget[Account Code]=$B54)*(Budget[Date]=F$7),Budget[Amount]))</f>
        <v>0</v>
      </c>
      <c r="G54" s="319">
        <f t="array" ref="G54">SUM(IF((Budget[Ofc Code]=$B$6)*(Budget[Account Code]=$B54)*(Budget[Date]=G$7),Budget[Amount]))</f>
        <v>0</v>
      </c>
      <c r="H54" s="319">
        <f t="array" ref="H54">SUM(IF((Budget[Ofc Code]=$B$6)*(Budget[Account Code]=$B54)*(Budget[Date]=H$7),Budget[Amount]))</f>
        <v>0</v>
      </c>
      <c r="I54" s="319">
        <f t="array" ref="I54">SUM(IF((Budget[Ofc Code]=$B$6)*(Budget[Account Code]=$B54)*(Budget[Date]=I$7),Budget[Amount]))</f>
        <v>0</v>
      </c>
      <c r="J54" s="319">
        <f t="array" ref="J54">SUM(IF((Budget[Ofc Code]=$B$6)*(Budget[Account Code]=$B54)*(Budget[Date]=J$7),Budget[Amount]))</f>
        <v>0</v>
      </c>
      <c r="K54" s="319">
        <f t="array" ref="K54">SUM(IF((Budget[Ofc Code]=$B$6)*(Budget[Account Code]=$B54)*(Budget[Date]=K$7),Budget[Amount]))</f>
        <v>0</v>
      </c>
      <c r="L54" s="319">
        <f t="array" ref="L54">SUM(IF((Budget[Ofc Code]=$B$6)*(Budget[Account Code]=$B54)*(Budget[Date]=L$7),Budget[Amount]))</f>
        <v>0</v>
      </c>
      <c r="M54" s="319">
        <f t="array" ref="M54">SUM(IF((Budget[Ofc Code]=$B$6)*(Budget[Account Code]=$B54)*(Budget[Date]=M$7),Budget[Amount]))</f>
        <v>0</v>
      </c>
      <c r="N54" s="319">
        <f t="array" ref="N54">SUM(IF((Budget[Ofc Code]=$B$6)*(Budget[Account Code]=$B54)*(Budget[Date]=N$7),Budget[Amount]))</f>
        <v>0</v>
      </c>
      <c r="O54" s="319">
        <f t="array" ref="O54">SUM(IF((Budget[Ofc Code]=$B$6)*(Budget[Account Code]=$B54)*(Budget[Date]=O$7),Budget[Amount]))</f>
        <v>0</v>
      </c>
      <c r="P54" s="319">
        <f t="shared" si="2"/>
        <v>0</v>
      </c>
    </row>
    <row r="55" spans="1:16">
      <c r="A55" s="325" t="s">
        <v>881</v>
      </c>
      <c r="B55" s="317" t="s">
        <v>171</v>
      </c>
      <c r="C55" s="319">
        <f t="shared" si="12"/>
        <v>0</v>
      </c>
      <c r="D55" s="319">
        <f t="array" ref="D55">SUM(IF((Budget[Ofc Code]=$B$6)*(Budget[Account Code]=$B55)*(Budget[Date]=D$7),Budget[Amount]))</f>
        <v>0</v>
      </c>
      <c r="E55" s="319">
        <f t="array" ref="E55">SUM(IF((Budget[Ofc Code]=$B$6)*(Budget[Account Code]=$B55)*(Budget[Date]=E$7),Budget[Amount]))</f>
        <v>0</v>
      </c>
      <c r="F55" s="319">
        <f t="array" ref="F55">SUM(IF((Budget[Ofc Code]=$B$6)*(Budget[Account Code]=$B55)*(Budget[Date]=F$7),Budget[Amount]))</f>
        <v>0</v>
      </c>
      <c r="G55" s="319">
        <f t="array" ref="G55">SUM(IF((Budget[Ofc Code]=$B$6)*(Budget[Account Code]=$B55)*(Budget[Date]=G$7),Budget[Amount]))</f>
        <v>0</v>
      </c>
      <c r="H55" s="319">
        <f t="array" ref="H55">SUM(IF((Budget[Ofc Code]=$B$6)*(Budget[Account Code]=$B55)*(Budget[Date]=H$7),Budget[Amount]))</f>
        <v>0</v>
      </c>
      <c r="I55" s="319">
        <f t="array" ref="I55">SUM(IF((Budget[Ofc Code]=$B$6)*(Budget[Account Code]=$B55)*(Budget[Date]=I$7),Budget[Amount]))</f>
        <v>0</v>
      </c>
      <c r="J55" s="319">
        <f t="array" ref="J55">SUM(IF((Budget[Ofc Code]=$B$6)*(Budget[Account Code]=$B55)*(Budget[Date]=J$7),Budget[Amount]))</f>
        <v>0</v>
      </c>
      <c r="K55" s="319">
        <f t="array" ref="K55">SUM(IF((Budget[Ofc Code]=$B$6)*(Budget[Account Code]=$B55)*(Budget[Date]=K$7),Budget[Amount]))</f>
        <v>0</v>
      </c>
      <c r="L55" s="319">
        <f t="array" ref="L55">SUM(IF((Budget[Ofc Code]=$B$6)*(Budget[Account Code]=$B55)*(Budget[Date]=L$7),Budget[Amount]))</f>
        <v>0</v>
      </c>
      <c r="M55" s="319">
        <f t="array" ref="M55">SUM(IF((Budget[Ofc Code]=$B$6)*(Budget[Account Code]=$B55)*(Budget[Date]=M$7),Budget[Amount]))</f>
        <v>0</v>
      </c>
      <c r="N55" s="319">
        <f t="array" ref="N55">SUM(IF((Budget[Ofc Code]=$B$6)*(Budget[Account Code]=$B55)*(Budget[Date]=N$7),Budget[Amount]))</f>
        <v>0</v>
      </c>
      <c r="O55" s="319">
        <f t="array" ref="O55">SUM(IF((Budget[Ofc Code]=$B$6)*(Budget[Account Code]=$B55)*(Budget[Date]=O$7),Budget[Amount]))</f>
        <v>0</v>
      </c>
      <c r="P55" s="319">
        <f t="shared" si="2"/>
        <v>0</v>
      </c>
    </row>
    <row r="56" spans="1:16">
      <c r="A56" s="325" t="s">
        <v>882</v>
      </c>
      <c r="B56" s="317" t="s">
        <v>173</v>
      </c>
      <c r="C56" s="319">
        <f t="shared" si="12"/>
        <v>0</v>
      </c>
      <c r="D56" s="319">
        <f t="array" ref="D56">SUM(IF((Budget[Ofc Code]=$B$6)*(Budget[Account Code]=$B56)*(Budget[Date]=D$7),Budget[Amount]))</f>
        <v>0</v>
      </c>
      <c r="E56" s="319">
        <f t="array" ref="E56">SUM(IF((Budget[Ofc Code]=$B$6)*(Budget[Account Code]=$B56)*(Budget[Date]=E$7),Budget[Amount]))</f>
        <v>0</v>
      </c>
      <c r="F56" s="319">
        <f t="array" ref="F56">SUM(IF((Budget[Ofc Code]=$B$6)*(Budget[Account Code]=$B56)*(Budget[Date]=F$7),Budget[Amount]))</f>
        <v>0</v>
      </c>
      <c r="G56" s="319">
        <f t="array" ref="G56">SUM(IF((Budget[Ofc Code]=$B$6)*(Budget[Account Code]=$B56)*(Budget[Date]=G$7),Budget[Amount]))</f>
        <v>0</v>
      </c>
      <c r="H56" s="319">
        <f t="array" ref="H56">SUM(IF((Budget[Ofc Code]=$B$6)*(Budget[Account Code]=$B56)*(Budget[Date]=H$7),Budget[Amount]))</f>
        <v>0</v>
      </c>
      <c r="I56" s="319">
        <f t="array" ref="I56">SUM(IF((Budget[Ofc Code]=$B$6)*(Budget[Account Code]=$B56)*(Budget[Date]=I$7),Budget[Amount]))</f>
        <v>0</v>
      </c>
      <c r="J56" s="319">
        <f t="array" ref="J56">SUM(IF((Budget[Ofc Code]=$B$6)*(Budget[Account Code]=$B56)*(Budget[Date]=J$7),Budget[Amount]))</f>
        <v>0</v>
      </c>
      <c r="K56" s="319">
        <f t="array" ref="K56">SUM(IF((Budget[Ofc Code]=$B$6)*(Budget[Account Code]=$B56)*(Budget[Date]=K$7),Budget[Amount]))</f>
        <v>0</v>
      </c>
      <c r="L56" s="319">
        <f t="array" ref="L56">SUM(IF((Budget[Ofc Code]=$B$6)*(Budget[Account Code]=$B56)*(Budget[Date]=L$7),Budget[Amount]))</f>
        <v>0</v>
      </c>
      <c r="M56" s="319">
        <f t="array" ref="M56">SUM(IF((Budget[Ofc Code]=$B$6)*(Budget[Account Code]=$B56)*(Budget[Date]=M$7),Budget[Amount]))</f>
        <v>0</v>
      </c>
      <c r="N56" s="319">
        <f t="array" ref="N56">SUM(IF((Budget[Ofc Code]=$B$6)*(Budget[Account Code]=$B56)*(Budget[Date]=N$7),Budget[Amount]))</f>
        <v>0</v>
      </c>
      <c r="O56" s="319">
        <f t="array" ref="O56">SUM(IF((Budget[Ofc Code]=$B$6)*(Budget[Account Code]=$B56)*(Budget[Date]=O$7),Budget[Amount]))</f>
        <v>0</v>
      </c>
      <c r="P56" s="319">
        <f t="shared" si="2"/>
        <v>0</v>
      </c>
    </row>
    <row r="57" spans="1:16">
      <c r="A57" s="325" t="s">
        <v>883</v>
      </c>
      <c r="B57" s="317" t="s">
        <v>7</v>
      </c>
      <c r="C57" s="319">
        <f t="shared" si="12"/>
        <v>0</v>
      </c>
      <c r="D57" s="319">
        <f t="array" ref="D57">SUM(IF((Budget[Ofc Code]=$B$6)*(Budget[Account Code]=$B57)*(Budget[Date]=D$7),Budget[Amount]))</f>
        <v>0</v>
      </c>
      <c r="E57" s="319">
        <f t="array" ref="E57">SUM(IF((Budget[Ofc Code]=$B$6)*(Budget[Account Code]=$B57)*(Budget[Date]=E$7),Budget[Amount]))</f>
        <v>0</v>
      </c>
      <c r="F57" s="319">
        <f t="array" ref="F57">SUM(IF((Budget[Ofc Code]=$B$6)*(Budget[Account Code]=$B57)*(Budget[Date]=F$7),Budget[Amount]))</f>
        <v>0</v>
      </c>
      <c r="G57" s="319">
        <f t="array" ref="G57">SUM(IF((Budget[Ofc Code]=$B$6)*(Budget[Account Code]=$B57)*(Budget[Date]=G$7),Budget[Amount]))</f>
        <v>0</v>
      </c>
      <c r="H57" s="319">
        <f t="array" ref="H57">SUM(IF((Budget[Ofc Code]=$B$6)*(Budget[Account Code]=$B57)*(Budget[Date]=H$7),Budget[Amount]))</f>
        <v>0</v>
      </c>
      <c r="I57" s="319">
        <f t="array" ref="I57">SUM(IF((Budget[Ofc Code]=$B$6)*(Budget[Account Code]=$B57)*(Budget[Date]=I$7),Budget[Amount]))</f>
        <v>0</v>
      </c>
      <c r="J57" s="319">
        <f t="array" ref="J57">SUM(IF((Budget[Ofc Code]=$B$6)*(Budget[Account Code]=$B57)*(Budget[Date]=J$7),Budget[Amount]))</f>
        <v>0</v>
      </c>
      <c r="K57" s="319">
        <f t="array" ref="K57">SUM(IF((Budget[Ofc Code]=$B$6)*(Budget[Account Code]=$B57)*(Budget[Date]=K$7),Budget[Amount]))</f>
        <v>0</v>
      </c>
      <c r="L57" s="319">
        <f t="array" ref="L57">SUM(IF((Budget[Ofc Code]=$B$6)*(Budget[Account Code]=$B57)*(Budget[Date]=L$7),Budget[Amount]))</f>
        <v>0</v>
      </c>
      <c r="M57" s="319">
        <f t="array" ref="M57">SUM(IF((Budget[Ofc Code]=$B$6)*(Budget[Account Code]=$B57)*(Budget[Date]=M$7),Budget[Amount]))</f>
        <v>0</v>
      </c>
      <c r="N57" s="319">
        <f t="array" ref="N57">SUM(IF((Budget[Ofc Code]=$B$6)*(Budget[Account Code]=$B57)*(Budget[Date]=N$7),Budget[Amount]))</f>
        <v>0</v>
      </c>
      <c r="O57" s="319">
        <f t="array" ref="O57">SUM(IF((Budget[Ofc Code]=$B$6)*(Budget[Account Code]=$B57)*(Budget[Date]=O$7),Budget[Amount]))</f>
        <v>0</v>
      </c>
      <c r="P57" s="319">
        <f t="shared" si="2"/>
        <v>0</v>
      </c>
    </row>
    <row r="58" spans="1:16">
      <c r="A58" s="325" t="s">
        <v>884</v>
      </c>
      <c r="B58" s="317" t="s">
        <v>5</v>
      </c>
      <c r="C58" s="319">
        <f t="shared" si="12"/>
        <v>0</v>
      </c>
      <c r="D58" s="319">
        <f t="array" ref="D58">SUM(IF((Budget[Ofc Code]=$B$6)*(Budget[Account Code]=$B58)*(Budget[Date]=D$7),Budget[Amount]))</f>
        <v>0</v>
      </c>
      <c r="E58" s="319">
        <f t="array" ref="E58">SUM(IF((Budget[Ofc Code]=$B$6)*(Budget[Account Code]=$B58)*(Budget[Date]=E$7),Budget[Amount]))</f>
        <v>0</v>
      </c>
      <c r="F58" s="319">
        <f t="array" ref="F58">SUM(IF((Budget[Ofc Code]=$B$6)*(Budget[Account Code]=$B58)*(Budget[Date]=F$7),Budget[Amount]))</f>
        <v>0</v>
      </c>
      <c r="G58" s="319">
        <f t="array" ref="G58">SUM(IF((Budget[Ofc Code]=$B$6)*(Budget[Account Code]=$B58)*(Budget[Date]=G$7),Budget[Amount]))</f>
        <v>0</v>
      </c>
      <c r="H58" s="319">
        <f t="array" ref="H58">SUM(IF((Budget[Ofc Code]=$B$6)*(Budget[Account Code]=$B58)*(Budget[Date]=H$7),Budget[Amount]))</f>
        <v>0</v>
      </c>
      <c r="I58" s="319">
        <f t="array" ref="I58">SUM(IF((Budget[Ofc Code]=$B$6)*(Budget[Account Code]=$B58)*(Budget[Date]=I$7),Budget[Amount]))</f>
        <v>0</v>
      </c>
      <c r="J58" s="319">
        <f t="array" ref="J58">SUM(IF((Budget[Ofc Code]=$B$6)*(Budget[Account Code]=$B58)*(Budget[Date]=J$7),Budget[Amount]))</f>
        <v>0</v>
      </c>
      <c r="K58" s="319">
        <f t="array" ref="K58">SUM(IF((Budget[Ofc Code]=$B$6)*(Budget[Account Code]=$B58)*(Budget[Date]=K$7),Budget[Amount]))</f>
        <v>0</v>
      </c>
      <c r="L58" s="319">
        <f t="array" ref="L58">SUM(IF((Budget[Ofc Code]=$B$6)*(Budget[Account Code]=$B58)*(Budget[Date]=L$7),Budget[Amount]))</f>
        <v>0</v>
      </c>
      <c r="M58" s="319">
        <f t="array" ref="M58">SUM(IF((Budget[Ofc Code]=$B$6)*(Budget[Account Code]=$B58)*(Budget[Date]=M$7),Budget[Amount]))</f>
        <v>0</v>
      </c>
      <c r="N58" s="319">
        <f t="array" ref="N58">SUM(IF((Budget[Ofc Code]=$B$6)*(Budget[Account Code]=$B58)*(Budget[Date]=N$7),Budget[Amount]))</f>
        <v>0</v>
      </c>
      <c r="O58" s="319">
        <f t="array" ref="O58">SUM(IF((Budget[Ofc Code]=$B$6)*(Budget[Account Code]=$B58)*(Budget[Date]=O$7),Budget[Amount]))</f>
        <v>0</v>
      </c>
      <c r="P58" s="319">
        <f t="shared" si="2"/>
        <v>0</v>
      </c>
    </row>
    <row r="59" spans="1:16">
      <c r="A59" s="325" t="s">
        <v>885</v>
      </c>
      <c r="B59" s="317" t="s">
        <v>6</v>
      </c>
      <c r="C59" s="319">
        <f t="shared" si="12"/>
        <v>0</v>
      </c>
      <c r="D59" s="319">
        <f t="array" ref="D59">SUM(IF((Budget[Ofc Code]=$B$6)*(Budget[Account Code]=$B59)*(Budget[Date]=D$7),Budget[Amount]))</f>
        <v>0</v>
      </c>
      <c r="E59" s="319">
        <f t="array" ref="E59">SUM(IF((Budget[Ofc Code]=$B$6)*(Budget[Account Code]=$B59)*(Budget[Date]=E$7),Budget[Amount]))</f>
        <v>0</v>
      </c>
      <c r="F59" s="319">
        <f t="array" ref="F59">SUM(IF((Budget[Ofc Code]=$B$6)*(Budget[Account Code]=$B59)*(Budget[Date]=F$7),Budget[Amount]))</f>
        <v>0</v>
      </c>
      <c r="G59" s="319">
        <f t="array" ref="G59">SUM(IF((Budget[Ofc Code]=$B$6)*(Budget[Account Code]=$B59)*(Budget[Date]=G$7),Budget[Amount]))</f>
        <v>0</v>
      </c>
      <c r="H59" s="319">
        <f t="array" ref="H59">SUM(IF((Budget[Ofc Code]=$B$6)*(Budget[Account Code]=$B59)*(Budget[Date]=H$7),Budget[Amount]))</f>
        <v>0</v>
      </c>
      <c r="I59" s="319">
        <f t="array" ref="I59">SUM(IF((Budget[Ofc Code]=$B$6)*(Budget[Account Code]=$B59)*(Budget[Date]=I$7),Budget[Amount]))</f>
        <v>0</v>
      </c>
      <c r="J59" s="319">
        <f t="array" ref="J59">SUM(IF((Budget[Ofc Code]=$B$6)*(Budget[Account Code]=$B59)*(Budget[Date]=J$7),Budget[Amount]))</f>
        <v>0</v>
      </c>
      <c r="K59" s="319">
        <f t="array" ref="K59">SUM(IF((Budget[Ofc Code]=$B$6)*(Budget[Account Code]=$B59)*(Budget[Date]=K$7),Budget[Amount]))</f>
        <v>0</v>
      </c>
      <c r="L59" s="319">
        <f t="array" ref="L59">SUM(IF((Budget[Ofc Code]=$B$6)*(Budget[Account Code]=$B59)*(Budget[Date]=L$7),Budget[Amount]))</f>
        <v>0</v>
      </c>
      <c r="M59" s="319">
        <f t="array" ref="M59">SUM(IF((Budget[Ofc Code]=$B$6)*(Budget[Account Code]=$B59)*(Budget[Date]=M$7),Budget[Amount]))</f>
        <v>0</v>
      </c>
      <c r="N59" s="319">
        <f t="array" ref="N59">SUM(IF((Budget[Ofc Code]=$B$6)*(Budget[Account Code]=$B59)*(Budget[Date]=N$7),Budget[Amount]))</f>
        <v>0</v>
      </c>
      <c r="O59" s="319">
        <f t="array" ref="O59">SUM(IF((Budget[Ofc Code]=$B$6)*(Budget[Account Code]=$B59)*(Budget[Date]=O$7),Budget[Amount]))</f>
        <v>0</v>
      </c>
      <c r="P59" s="319">
        <f t="shared" si="2"/>
        <v>0</v>
      </c>
    </row>
    <row r="60" spans="1:16">
      <c r="A60" s="325" t="s">
        <v>886</v>
      </c>
      <c r="B60" s="317" t="s">
        <v>172</v>
      </c>
      <c r="C60" s="319">
        <f t="shared" si="12"/>
        <v>0</v>
      </c>
      <c r="D60" s="319">
        <f t="array" ref="D60">SUM(IF((Budget[Ofc Code]=$B$6)*(Budget[Account Code]=$B60)*(Budget[Date]=D$7),Budget[Amount]))</f>
        <v>0</v>
      </c>
      <c r="E60" s="319">
        <f t="array" ref="E60">SUM(IF((Budget[Ofc Code]=$B$6)*(Budget[Account Code]=$B60)*(Budget[Date]=E$7),Budget[Amount]))</f>
        <v>0</v>
      </c>
      <c r="F60" s="319">
        <f t="array" ref="F60">SUM(IF((Budget[Ofc Code]=$B$6)*(Budget[Account Code]=$B60)*(Budget[Date]=F$7),Budget[Amount]))</f>
        <v>0</v>
      </c>
      <c r="G60" s="319">
        <f t="array" ref="G60">SUM(IF((Budget[Ofc Code]=$B$6)*(Budget[Account Code]=$B60)*(Budget[Date]=G$7),Budget[Amount]))</f>
        <v>0</v>
      </c>
      <c r="H60" s="319">
        <f t="array" ref="H60">SUM(IF((Budget[Ofc Code]=$B$6)*(Budget[Account Code]=$B60)*(Budget[Date]=H$7),Budget[Amount]))</f>
        <v>0</v>
      </c>
      <c r="I60" s="319">
        <f t="array" ref="I60">SUM(IF((Budget[Ofc Code]=$B$6)*(Budget[Account Code]=$B60)*(Budget[Date]=I$7),Budget[Amount]))</f>
        <v>0</v>
      </c>
      <c r="J60" s="319">
        <f t="array" ref="J60">SUM(IF((Budget[Ofc Code]=$B$6)*(Budget[Account Code]=$B60)*(Budget[Date]=J$7),Budget[Amount]))</f>
        <v>0</v>
      </c>
      <c r="K60" s="319">
        <f t="array" ref="K60">SUM(IF((Budget[Ofc Code]=$B$6)*(Budget[Account Code]=$B60)*(Budget[Date]=K$7),Budget[Amount]))</f>
        <v>0</v>
      </c>
      <c r="L60" s="319">
        <f t="array" ref="L60">SUM(IF((Budget[Ofc Code]=$B$6)*(Budget[Account Code]=$B60)*(Budget[Date]=L$7),Budget[Amount]))</f>
        <v>0</v>
      </c>
      <c r="M60" s="319">
        <f t="array" ref="M60">SUM(IF((Budget[Ofc Code]=$B$6)*(Budget[Account Code]=$B60)*(Budget[Date]=M$7),Budget[Amount]))</f>
        <v>0</v>
      </c>
      <c r="N60" s="319">
        <f t="array" ref="N60">SUM(IF((Budget[Ofc Code]=$B$6)*(Budget[Account Code]=$B60)*(Budget[Date]=N$7),Budget[Amount]))</f>
        <v>0</v>
      </c>
      <c r="O60" s="319">
        <f t="array" ref="O60">SUM(IF((Budget[Ofc Code]=$B$6)*(Budget[Account Code]=$B60)*(Budget[Date]=O$7),Budget[Amount]))</f>
        <v>0</v>
      </c>
      <c r="P60" s="319">
        <f t="shared" si="2"/>
        <v>0</v>
      </c>
    </row>
    <row r="61" spans="1:16">
      <c r="A61" s="325" t="s">
        <v>887</v>
      </c>
      <c r="B61" s="317" t="s">
        <v>170</v>
      </c>
      <c r="C61" s="319">
        <f t="shared" si="12"/>
        <v>0</v>
      </c>
      <c r="D61" s="319">
        <f t="array" ref="D61">SUM(IF((Budget[Ofc Code]=$B$6)*(Budget[Account Code]=$B61)*(Budget[Date]=D$7),Budget[Amount]))</f>
        <v>0</v>
      </c>
      <c r="E61" s="319">
        <f t="array" ref="E61">SUM(IF((Budget[Ofc Code]=$B$6)*(Budget[Account Code]=$B61)*(Budget[Date]=E$7),Budget[Amount]))</f>
        <v>0</v>
      </c>
      <c r="F61" s="319">
        <f t="array" ref="F61">SUM(IF((Budget[Ofc Code]=$B$6)*(Budget[Account Code]=$B61)*(Budget[Date]=F$7),Budget[Amount]))</f>
        <v>0</v>
      </c>
      <c r="G61" s="319">
        <f t="array" ref="G61">SUM(IF((Budget[Ofc Code]=$B$6)*(Budget[Account Code]=$B61)*(Budget[Date]=G$7),Budget[Amount]))</f>
        <v>0</v>
      </c>
      <c r="H61" s="319">
        <f t="array" ref="H61">SUM(IF((Budget[Ofc Code]=$B$6)*(Budget[Account Code]=$B61)*(Budget[Date]=H$7),Budget[Amount]))</f>
        <v>0</v>
      </c>
      <c r="I61" s="319">
        <f t="array" ref="I61">SUM(IF((Budget[Ofc Code]=$B$6)*(Budget[Account Code]=$B61)*(Budget[Date]=I$7),Budget[Amount]))</f>
        <v>0</v>
      </c>
      <c r="J61" s="319">
        <f t="array" ref="J61">SUM(IF((Budget[Ofc Code]=$B$6)*(Budget[Account Code]=$B61)*(Budget[Date]=J$7),Budget[Amount]))</f>
        <v>0</v>
      </c>
      <c r="K61" s="319">
        <f t="array" ref="K61">SUM(IF((Budget[Ofc Code]=$B$6)*(Budget[Account Code]=$B61)*(Budget[Date]=K$7),Budget[Amount]))</f>
        <v>0</v>
      </c>
      <c r="L61" s="319">
        <f t="array" ref="L61">SUM(IF((Budget[Ofc Code]=$B$6)*(Budget[Account Code]=$B61)*(Budget[Date]=L$7),Budget[Amount]))</f>
        <v>0</v>
      </c>
      <c r="M61" s="319">
        <f t="array" ref="M61">SUM(IF((Budget[Ofc Code]=$B$6)*(Budget[Account Code]=$B61)*(Budget[Date]=M$7),Budget[Amount]))</f>
        <v>0</v>
      </c>
      <c r="N61" s="319">
        <f t="array" ref="N61">SUM(IF((Budget[Ofc Code]=$B$6)*(Budget[Account Code]=$B61)*(Budget[Date]=N$7),Budget[Amount]))</f>
        <v>0</v>
      </c>
      <c r="O61" s="319">
        <f t="array" ref="O61">SUM(IF((Budget[Ofc Code]=$B$6)*(Budget[Account Code]=$B61)*(Budget[Date]=O$7),Budget[Amount]))</f>
        <v>0</v>
      </c>
      <c r="P61" s="319">
        <f t="shared" si="2"/>
        <v>0</v>
      </c>
    </row>
    <row r="62" spans="1:16">
      <c r="A62" s="325" t="s">
        <v>888</v>
      </c>
      <c r="B62" s="317" t="s">
        <v>168</v>
      </c>
      <c r="C62" s="319">
        <f t="shared" si="12"/>
        <v>0</v>
      </c>
      <c r="D62" s="319">
        <f t="array" ref="D62">SUM(IF((Budget[Ofc Code]=$B$6)*(Budget[Account Code]=$B62)*(Budget[Date]=D$7),Budget[Amount]))</f>
        <v>0</v>
      </c>
      <c r="E62" s="319">
        <f t="array" ref="E62">SUM(IF((Budget[Ofc Code]=$B$6)*(Budget[Account Code]=$B62)*(Budget[Date]=E$7),Budget[Amount]))</f>
        <v>0</v>
      </c>
      <c r="F62" s="319">
        <f t="array" ref="F62">SUM(IF((Budget[Ofc Code]=$B$6)*(Budget[Account Code]=$B62)*(Budget[Date]=F$7),Budget[Amount]))</f>
        <v>0</v>
      </c>
      <c r="G62" s="319">
        <f t="array" ref="G62">SUM(IF((Budget[Ofc Code]=$B$6)*(Budget[Account Code]=$B62)*(Budget[Date]=G$7),Budget[Amount]))</f>
        <v>0</v>
      </c>
      <c r="H62" s="319">
        <f t="array" ref="H62">SUM(IF((Budget[Ofc Code]=$B$6)*(Budget[Account Code]=$B62)*(Budget[Date]=H$7),Budget[Amount]))</f>
        <v>0</v>
      </c>
      <c r="I62" s="319">
        <f t="array" ref="I62">SUM(IF((Budget[Ofc Code]=$B$6)*(Budget[Account Code]=$B62)*(Budget[Date]=I$7),Budget[Amount]))</f>
        <v>0</v>
      </c>
      <c r="J62" s="319">
        <f t="array" ref="J62">SUM(IF((Budget[Ofc Code]=$B$6)*(Budget[Account Code]=$B62)*(Budget[Date]=J$7),Budget[Amount]))</f>
        <v>0</v>
      </c>
      <c r="K62" s="319">
        <f t="array" ref="K62">SUM(IF((Budget[Ofc Code]=$B$6)*(Budget[Account Code]=$B62)*(Budget[Date]=K$7),Budget[Amount]))</f>
        <v>0</v>
      </c>
      <c r="L62" s="319">
        <f t="array" ref="L62">SUM(IF((Budget[Ofc Code]=$B$6)*(Budget[Account Code]=$B62)*(Budget[Date]=L$7),Budget[Amount]))</f>
        <v>0</v>
      </c>
      <c r="M62" s="319">
        <f t="array" ref="M62">SUM(IF((Budget[Ofc Code]=$B$6)*(Budget[Account Code]=$B62)*(Budget[Date]=M$7),Budget[Amount]))</f>
        <v>0</v>
      </c>
      <c r="N62" s="319">
        <f t="array" ref="N62">SUM(IF((Budget[Ofc Code]=$B$6)*(Budget[Account Code]=$B62)*(Budget[Date]=N$7),Budget[Amount]))</f>
        <v>0</v>
      </c>
      <c r="O62" s="319">
        <f t="array" ref="O62">SUM(IF((Budget[Ofc Code]=$B$6)*(Budget[Account Code]=$B62)*(Budget[Date]=O$7),Budget[Amount]))</f>
        <v>0</v>
      </c>
      <c r="P62" s="319">
        <f t="shared" si="2"/>
        <v>0</v>
      </c>
    </row>
    <row r="63" spans="1:16">
      <c r="A63" s="325" t="s">
        <v>889</v>
      </c>
      <c r="B63" s="317" t="s">
        <v>174</v>
      </c>
      <c r="C63" s="319">
        <f t="shared" si="12"/>
        <v>0</v>
      </c>
      <c r="D63" s="319">
        <f t="array" ref="D63">SUM(IF((Budget[Ofc Code]=$B$6)*(Budget[Account Code]=$B63)*(Budget[Date]=D$7),Budget[Amount]))</f>
        <v>0</v>
      </c>
      <c r="E63" s="319">
        <f t="array" ref="E63">SUM(IF((Budget[Ofc Code]=$B$6)*(Budget[Account Code]=$B63)*(Budget[Date]=E$7),Budget[Amount]))</f>
        <v>0</v>
      </c>
      <c r="F63" s="319">
        <f t="array" ref="F63">SUM(IF((Budget[Ofc Code]=$B$6)*(Budget[Account Code]=$B63)*(Budget[Date]=F$7),Budget[Amount]))</f>
        <v>0</v>
      </c>
      <c r="G63" s="319">
        <f t="array" ref="G63">SUM(IF((Budget[Ofc Code]=$B$6)*(Budget[Account Code]=$B63)*(Budget[Date]=G$7),Budget[Amount]))</f>
        <v>0</v>
      </c>
      <c r="H63" s="319">
        <f t="array" ref="H63">SUM(IF((Budget[Ofc Code]=$B$6)*(Budget[Account Code]=$B63)*(Budget[Date]=H$7),Budget[Amount]))</f>
        <v>0</v>
      </c>
      <c r="I63" s="319">
        <f t="array" ref="I63">SUM(IF((Budget[Ofc Code]=$B$6)*(Budget[Account Code]=$B63)*(Budget[Date]=I$7),Budget[Amount]))</f>
        <v>0</v>
      </c>
      <c r="J63" s="319">
        <f t="array" ref="J63">SUM(IF((Budget[Ofc Code]=$B$6)*(Budget[Account Code]=$B63)*(Budget[Date]=J$7),Budget[Amount]))</f>
        <v>0</v>
      </c>
      <c r="K63" s="319">
        <f t="array" ref="K63">SUM(IF((Budget[Ofc Code]=$B$6)*(Budget[Account Code]=$B63)*(Budget[Date]=K$7),Budget[Amount]))</f>
        <v>0</v>
      </c>
      <c r="L63" s="319">
        <f t="array" ref="L63">SUM(IF((Budget[Ofc Code]=$B$6)*(Budget[Account Code]=$B63)*(Budget[Date]=L$7),Budget[Amount]))</f>
        <v>0</v>
      </c>
      <c r="M63" s="319">
        <f t="array" ref="M63">SUM(IF((Budget[Ofc Code]=$B$6)*(Budget[Account Code]=$B63)*(Budget[Date]=M$7),Budget[Amount]))</f>
        <v>0</v>
      </c>
      <c r="N63" s="319">
        <f t="array" ref="N63">SUM(IF((Budget[Ofc Code]=$B$6)*(Budget[Account Code]=$B63)*(Budget[Date]=N$7),Budget[Amount]))</f>
        <v>0</v>
      </c>
      <c r="O63" s="319">
        <f t="array" ref="O63">SUM(IF((Budget[Ofc Code]=$B$6)*(Budget[Account Code]=$B63)*(Budget[Date]=O$7),Budget[Amount]))</f>
        <v>0</v>
      </c>
      <c r="P63" s="319">
        <f t="shared" si="2"/>
        <v>0</v>
      </c>
    </row>
    <row r="64" spans="1:16">
      <c r="A64" s="325" t="s">
        <v>890</v>
      </c>
      <c r="B64" s="317" t="s">
        <v>214</v>
      </c>
      <c r="C64" s="319">
        <f t="shared" si="12"/>
        <v>0</v>
      </c>
      <c r="D64" s="319">
        <f t="array" ref="D64">SUM(IF((Budget[Ofc Code]=$B$6)*(Budget[Account Code]=$B64)*(Budget[Date]=D$7),Budget[Amount]))</f>
        <v>0</v>
      </c>
      <c r="E64" s="319">
        <f t="array" ref="E64">SUM(IF((Budget[Ofc Code]=$B$6)*(Budget[Account Code]=$B64)*(Budget[Date]=E$7),Budget[Amount]))</f>
        <v>0</v>
      </c>
      <c r="F64" s="319">
        <f t="array" ref="F64">SUM(IF((Budget[Ofc Code]=$B$6)*(Budget[Account Code]=$B64)*(Budget[Date]=F$7),Budget[Amount]))</f>
        <v>0</v>
      </c>
      <c r="G64" s="319">
        <f t="array" ref="G64">SUM(IF((Budget[Ofc Code]=$B$6)*(Budget[Account Code]=$B64)*(Budget[Date]=G$7),Budget[Amount]))</f>
        <v>0</v>
      </c>
      <c r="H64" s="319">
        <f t="array" ref="H64">SUM(IF((Budget[Ofc Code]=$B$6)*(Budget[Account Code]=$B64)*(Budget[Date]=H$7),Budget[Amount]))</f>
        <v>0</v>
      </c>
      <c r="I64" s="319">
        <f t="array" ref="I64">SUM(IF((Budget[Ofc Code]=$B$6)*(Budget[Account Code]=$B64)*(Budget[Date]=I$7),Budget[Amount]))</f>
        <v>0</v>
      </c>
      <c r="J64" s="319">
        <f t="array" ref="J64">SUM(IF((Budget[Ofc Code]=$B$6)*(Budget[Account Code]=$B64)*(Budget[Date]=J$7),Budget[Amount]))</f>
        <v>0</v>
      </c>
      <c r="K64" s="319">
        <f t="array" ref="K64">SUM(IF((Budget[Ofc Code]=$B$6)*(Budget[Account Code]=$B64)*(Budget[Date]=K$7),Budget[Amount]))</f>
        <v>0</v>
      </c>
      <c r="L64" s="319">
        <f t="array" ref="L64">SUM(IF((Budget[Ofc Code]=$B$6)*(Budget[Account Code]=$B64)*(Budget[Date]=L$7),Budget[Amount]))</f>
        <v>0</v>
      </c>
      <c r="M64" s="319">
        <f t="array" ref="M64">SUM(IF((Budget[Ofc Code]=$B$6)*(Budget[Account Code]=$B64)*(Budget[Date]=M$7),Budget[Amount]))</f>
        <v>0</v>
      </c>
      <c r="N64" s="319">
        <f t="array" ref="N64">SUM(IF((Budget[Ofc Code]=$B$6)*(Budget[Account Code]=$B64)*(Budget[Date]=N$7),Budget[Amount]))</f>
        <v>0</v>
      </c>
      <c r="O64" s="319">
        <f t="array" ref="O64">SUM(IF((Budget[Ofc Code]=$B$6)*(Budget[Account Code]=$B64)*(Budget[Date]=O$7),Budget[Amount]))</f>
        <v>0</v>
      </c>
      <c r="P64" s="319">
        <f t="shared" si="2"/>
        <v>0</v>
      </c>
    </row>
    <row r="65" spans="1:16" s="171" customFormat="1">
      <c r="A65" s="320" t="s">
        <v>891</v>
      </c>
      <c r="B65" s="317"/>
      <c r="C65" s="322">
        <f t="shared" si="12"/>
        <v>0</v>
      </c>
      <c r="D65" s="322">
        <f>SUM(D66:D69)</f>
        <v>0</v>
      </c>
      <c r="E65" s="322">
        <f t="shared" ref="E65:O65" si="15">SUM(E66:E69)</f>
        <v>0</v>
      </c>
      <c r="F65" s="322">
        <f t="shared" si="15"/>
        <v>0</v>
      </c>
      <c r="G65" s="322">
        <f t="shared" si="15"/>
        <v>0</v>
      </c>
      <c r="H65" s="322">
        <f t="shared" si="15"/>
        <v>0</v>
      </c>
      <c r="I65" s="322">
        <f t="shared" si="15"/>
        <v>0</v>
      </c>
      <c r="J65" s="322">
        <f t="shared" si="15"/>
        <v>0</v>
      </c>
      <c r="K65" s="322">
        <f t="shared" si="15"/>
        <v>0</v>
      </c>
      <c r="L65" s="322">
        <f t="shared" si="15"/>
        <v>0</v>
      </c>
      <c r="M65" s="322">
        <f t="shared" si="15"/>
        <v>0</v>
      </c>
      <c r="N65" s="322">
        <f t="shared" si="15"/>
        <v>0</v>
      </c>
      <c r="O65" s="322">
        <f t="shared" si="15"/>
        <v>0</v>
      </c>
      <c r="P65" s="322">
        <f t="shared" si="2"/>
        <v>0</v>
      </c>
    </row>
    <row r="66" spans="1:16">
      <c r="A66" s="325" t="s">
        <v>892</v>
      </c>
      <c r="B66" s="317" t="s">
        <v>175</v>
      </c>
      <c r="C66" s="319">
        <f t="shared" si="12"/>
        <v>0</v>
      </c>
      <c r="D66" s="319">
        <f t="array" ref="D66">SUM(IF((Budget[Ofc Code]=$B$6)*(Budget[Account Code]=$B66)*(Budget[Date]=D$7),Budget[Amount]))</f>
        <v>0</v>
      </c>
      <c r="E66" s="319">
        <f t="array" ref="E66">SUM(IF((Budget[Ofc Code]=$B$6)*(Budget[Account Code]=$B66)*(Budget[Date]=E$7),Budget[Amount]))</f>
        <v>0</v>
      </c>
      <c r="F66" s="319">
        <f t="array" ref="F66">SUM(IF((Budget[Ofc Code]=$B$6)*(Budget[Account Code]=$B66)*(Budget[Date]=F$7),Budget[Amount]))</f>
        <v>0</v>
      </c>
      <c r="G66" s="319">
        <f t="array" ref="G66">SUM(IF((Budget[Ofc Code]=$B$6)*(Budget[Account Code]=$B66)*(Budget[Date]=G$7),Budget[Amount]))</f>
        <v>0</v>
      </c>
      <c r="H66" s="319">
        <f t="array" ref="H66">SUM(IF((Budget[Ofc Code]=$B$6)*(Budget[Account Code]=$B66)*(Budget[Date]=H$7),Budget[Amount]))</f>
        <v>0</v>
      </c>
      <c r="I66" s="319">
        <f t="array" ref="I66">SUM(IF((Budget[Ofc Code]=$B$6)*(Budget[Account Code]=$B66)*(Budget[Date]=I$7),Budget[Amount]))</f>
        <v>0</v>
      </c>
      <c r="J66" s="319">
        <f t="array" ref="J66">SUM(IF((Budget[Ofc Code]=$B$6)*(Budget[Account Code]=$B66)*(Budget[Date]=J$7),Budget[Amount]))</f>
        <v>0</v>
      </c>
      <c r="K66" s="319">
        <f t="array" ref="K66">SUM(IF((Budget[Ofc Code]=$B$6)*(Budget[Account Code]=$B66)*(Budget[Date]=K$7),Budget[Amount]))</f>
        <v>0</v>
      </c>
      <c r="L66" s="319">
        <f t="array" ref="L66">SUM(IF((Budget[Ofc Code]=$B$6)*(Budget[Account Code]=$B66)*(Budget[Date]=L$7),Budget[Amount]))</f>
        <v>0</v>
      </c>
      <c r="M66" s="319">
        <f t="array" ref="M66">SUM(IF((Budget[Ofc Code]=$B$6)*(Budget[Account Code]=$B66)*(Budget[Date]=M$7),Budget[Amount]))</f>
        <v>0</v>
      </c>
      <c r="N66" s="319">
        <f t="array" ref="N66">SUM(IF((Budget[Ofc Code]=$B$6)*(Budget[Account Code]=$B66)*(Budget[Date]=N$7),Budget[Amount]))</f>
        <v>0</v>
      </c>
      <c r="O66" s="319">
        <f t="array" ref="O66">SUM(IF((Budget[Ofc Code]=$B$6)*(Budget[Account Code]=$B66)*(Budget[Date]=O$7),Budget[Amount]))</f>
        <v>0</v>
      </c>
      <c r="P66" s="319">
        <f t="shared" si="2"/>
        <v>0</v>
      </c>
    </row>
    <row r="67" spans="1:16">
      <c r="A67" s="325" t="s">
        <v>893</v>
      </c>
      <c r="B67" s="317" t="s">
        <v>176</v>
      </c>
      <c r="C67" s="319">
        <f t="shared" si="12"/>
        <v>0</v>
      </c>
      <c r="D67" s="319">
        <f t="array" ref="D67">SUM(IF((Budget[Ofc Code]=$B$6)*(Budget[Account Code]=$B67)*(Budget[Date]=D$7),Budget[Amount]))</f>
        <v>0</v>
      </c>
      <c r="E67" s="319">
        <f t="array" ref="E67">SUM(IF((Budget[Ofc Code]=$B$6)*(Budget[Account Code]=$B67)*(Budget[Date]=E$7),Budget[Amount]))</f>
        <v>0</v>
      </c>
      <c r="F67" s="319">
        <f t="array" ref="F67">SUM(IF((Budget[Ofc Code]=$B$6)*(Budget[Account Code]=$B67)*(Budget[Date]=F$7),Budget[Amount]))</f>
        <v>0</v>
      </c>
      <c r="G67" s="319">
        <f t="array" ref="G67">SUM(IF((Budget[Ofc Code]=$B$6)*(Budget[Account Code]=$B67)*(Budget[Date]=G$7),Budget[Amount]))</f>
        <v>0</v>
      </c>
      <c r="H67" s="319">
        <f t="array" ref="H67">SUM(IF((Budget[Ofc Code]=$B$6)*(Budget[Account Code]=$B67)*(Budget[Date]=H$7),Budget[Amount]))</f>
        <v>0</v>
      </c>
      <c r="I67" s="319">
        <f t="array" ref="I67">SUM(IF((Budget[Ofc Code]=$B$6)*(Budget[Account Code]=$B67)*(Budget[Date]=I$7),Budget[Amount]))</f>
        <v>0</v>
      </c>
      <c r="J67" s="319">
        <f t="array" ref="J67">SUM(IF((Budget[Ofc Code]=$B$6)*(Budget[Account Code]=$B67)*(Budget[Date]=J$7),Budget[Amount]))</f>
        <v>0</v>
      </c>
      <c r="K67" s="319">
        <f t="array" ref="K67">SUM(IF((Budget[Ofc Code]=$B$6)*(Budget[Account Code]=$B67)*(Budget[Date]=K$7),Budget[Amount]))</f>
        <v>0</v>
      </c>
      <c r="L67" s="319">
        <f t="array" ref="L67">SUM(IF((Budget[Ofc Code]=$B$6)*(Budget[Account Code]=$B67)*(Budget[Date]=L$7),Budget[Amount]))</f>
        <v>0</v>
      </c>
      <c r="M67" s="319">
        <f t="array" ref="M67">SUM(IF((Budget[Ofc Code]=$B$6)*(Budget[Account Code]=$B67)*(Budget[Date]=M$7),Budget[Amount]))</f>
        <v>0</v>
      </c>
      <c r="N67" s="319">
        <f t="array" ref="N67">SUM(IF((Budget[Ofc Code]=$B$6)*(Budget[Account Code]=$B67)*(Budget[Date]=N$7),Budget[Amount]))</f>
        <v>0</v>
      </c>
      <c r="O67" s="319">
        <f t="array" ref="O67">SUM(IF((Budget[Ofc Code]=$B$6)*(Budget[Account Code]=$B67)*(Budget[Date]=O$7),Budget[Amount]))</f>
        <v>0</v>
      </c>
      <c r="P67" s="319">
        <f t="shared" si="2"/>
        <v>0</v>
      </c>
    </row>
    <row r="68" spans="1:16">
      <c r="A68" s="325" t="s">
        <v>894</v>
      </c>
      <c r="B68" s="317" t="s">
        <v>177</v>
      </c>
      <c r="C68" s="319">
        <f t="shared" si="12"/>
        <v>0</v>
      </c>
      <c r="D68" s="319">
        <f t="array" ref="D68">SUM(IF((Budget[Ofc Code]=$B$6)*(Budget[Account Code]=$B68)*(Budget[Date]=D$7),Budget[Amount]))</f>
        <v>0</v>
      </c>
      <c r="E68" s="319">
        <f t="array" ref="E68">SUM(IF((Budget[Ofc Code]=$B$6)*(Budget[Account Code]=$B68)*(Budget[Date]=E$7),Budget[Amount]))</f>
        <v>0</v>
      </c>
      <c r="F68" s="319">
        <f t="array" ref="F68">SUM(IF((Budget[Ofc Code]=$B$6)*(Budget[Account Code]=$B68)*(Budget[Date]=F$7),Budget[Amount]))</f>
        <v>0</v>
      </c>
      <c r="G68" s="319">
        <f t="array" ref="G68">SUM(IF((Budget[Ofc Code]=$B$6)*(Budget[Account Code]=$B68)*(Budget[Date]=G$7),Budget[Amount]))</f>
        <v>0</v>
      </c>
      <c r="H68" s="319">
        <f t="array" ref="H68">SUM(IF((Budget[Ofc Code]=$B$6)*(Budget[Account Code]=$B68)*(Budget[Date]=H$7),Budget[Amount]))</f>
        <v>0</v>
      </c>
      <c r="I68" s="319">
        <f t="array" ref="I68">SUM(IF((Budget[Ofc Code]=$B$6)*(Budget[Account Code]=$B68)*(Budget[Date]=I$7),Budget[Amount]))</f>
        <v>0</v>
      </c>
      <c r="J68" s="319">
        <f t="array" ref="J68">SUM(IF((Budget[Ofc Code]=$B$6)*(Budget[Account Code]=$B68)*(Budget[Date]=J$7),Budget[Amount]))</f>
        <v>0</v>
      </c>
      <c r="K68" s="319">
        <f t="array" ref="K68">SUM(IF((Budget[Ofc Code]=$B$6)*(Budget[Account Code]=$B68)*(Budget[Date]=K$7),Budget[Amount]))</f>
        <v>0</v>
      </c>
      <c r="L68" s="319">
        <f t="array" ref="L68">SUM(IF((Budget[Ofc Code]=$B$6)*(Budget[Account Code]=$B68)*(Budget[Date]=L$7),Budget[Amount]))</f>
        <v>0</v>
      </c>
      <c r="M68" s="319">
        <f t="array" ref="M68">SUM(IF((Budget[Ofc Code]=$B$6)*(Budget[Account Code]=$B68)*(Budget[Date]=M$7),Budget[Amount]))</f>
        <v>0</v>
      </c>
      <c r="N68" s="319">
        <f t="array" ref="N68">SUM(IF((Budget[Ofc Code]=$B$6)*(Budget[Account Code]=$B68)*(Budget[Date]=N$7),Budget[Amount]))</f>
        <v>0</v>
      </c>
      <c r="O68" s="319">
        <f t="array" ref="O68">SUM(IF((Budget[Ofc Code]=$B$6)*(Budget[Account Code]=$B68)*(Budget[Date]=O$7),Budget[Amount]))</f>
        <v>0</v>
      </c>
      <c r="P68" s="319">
        <f t="shared" si="2"/>
        <v>0</v>
      </c>
    </row>
    <row r="69" spans="1:16">
      <c r="A69" s="325" t="s">
        <v>895</v>
      </c>
      <c r="B69" s="317" t="s">
        <v>178</v>
      </c>
      <c r="C69" s="319">
        <f t="shared" si="12"/>
        <v>0</v>
      </c>
      <c r="D69" s="319">
        <f t="array" ref="D69">SUM(IF((Budget[Ofc Code]=$B$6)*(Budget[Account Code]=$B69)*(Budget[Date]=D$7),Budget[Amount]))</f>
        <v>0</v>
      </c>
      <c r="E69" s="319">
        <f t="array" ref="E69">SUM(IF((Budget[Ofc Code]=$B$6)*(Budget[Account Code]=$B69)*(Budget[Date]=E$7),Budget[Amount]))</f>
        <v>0</v>
      </c>
      <c r="F69" s="319">
        <f t="array" ref="F69">SUM(IF((Budget[Ofc Code]=$B$6)*(Budget[Account Code]=$B69)*(Budget[Date]=F$7),Budget[Amount]))</f>
        <v>0</v>
      </c>
      <c r="G69" s="319">
        <f t="array" ref="G69">SUM(IF((Budget[Ofc Code]=$B$6)*(Budget[Account Code]=$B69)*(Budget[Date]=G$7),Budget[Amount]))</f>
        <v>0</v>
      </c>
      <c r="H69" s="319">
        <f t="array" ref="H69">SUM(IF((Budget[Ofc Code]=$B$6)*(Budget[Account Code]=$B69)*(Budget[Date]=H$7),Budget[Amount]))</f>
        <v>0</v>
      </c>
      <c r="I69" s="319">
        <f t="array" ref="I69">SUM(IF((Budget[Ofc Code]=$B$6)*(Budget[Account Code]=$B69)*(Budget[Date]=I$7),Budget[Amount]))</f>
        <v>0</v>
      </c>
      <c r="J69" s="319">
        <f t="array" ref="J69">SUM(IF((Budget[Ofc Code]=$B$6)*(Budget[Account Code]=$B69)*(Budget[Date]=J$7),Budget[Amount]))</f>
        <v>0</v>
      </c>
      <c r="K69" s="319">
        <f t="array" ref="K69">SUM(IF((Budget[Ofc Code]=$B$6)*(Budget[Account Code]=$B69)*(Budget[Date]=K$7),Budget[Amount]))</f>
        <v>0</v>
      </c>
      <c r="L69" s="319">
        <f t="array" ref="L69">SUM(IF((Budget[Ofc Code]=$B$6)*(Budget[Account Code]=$B69)*(Budget[Date]=L$7),Budget[Amount]))</f>
        <v>0</v>
      </c>
      <c r="M69" s="319">
        <f t="array" ref="M69">SUM(IF((Budget[Ofc Code]=$B$6)*(Budget[Account Code]=$B69)*(Budget[Date]=M$7),Budget[Amount]))</f>
        <v>0</v>
      </c>
      <c r="N69" s="319">
        <f t="array" ref="N69">SUM(IF((Budget[Ofc Code]=$B$6)*(Budget[Account Code]=$B69)*(Budget[Date]=N$7),Budget[Amount]))</f>
        <v>0</v>
      </c>
      <c r="O69" s="319">
        <f t="array" ref="O69">SUM(IF((Budget[Ofc Code]=$B$6)*(Budget[Account Code]=$B69)*(Budget[Date]=O$7),Budget[Amount]))</f>
        <v>0</v>
      </c>
      <c r="P69" s="319">
        <f t="shared" si="2"/>
        <v>0</v>
      </c>
    </row>
    <row r="70" spans="1:16">
      <c r="A70" s="320" t="s">
        <v>896</v>
      </c>
      <c r="B70" s="317"/>
      <c r="C70" s="319">
        <f t="shared" si="12"/>
        <v>0</v>
      </c>
      <c r="D70" s="319">
        <v>0</v>
      </c>
      <c r="E70" s="319">
        <v>0</v>
      </c>
      <c r="F70" s="319">
        <v>0</v>
      </c>
      <c r="G70" s="319">
        <v>0</v>
      </c>
      <c r="H70" s="319">
        <v>0</v>
      </c>
      <c r="I70" s="319">
        <v>0</v>
      </c>
      <c r="J70" s="319">
        <v>0</v>
      </c>
      <c r="K70" s="319">
        <v>0</v>
      </c>
      <c r="L70" s="319">
        <v>0</v>
      </c>
      <c r="M70" s="319">
        <v>0</v>
      </c>
      <c r="N70" s="319">
        <v>0</v>
      </c>
      <c r="O70" s="319">
        <v>0</v>
      </c>
      <c r="P70" s="319">
        <f t="shared" si="2"/>
        <v>0</v>
      </c>
    </row>
    <row r="71" spans="1:16">
      <c r="A71" s="325" t="s">
        <v>897</v>
      </c>
      <c r="B71" s="317" t="s">
        <v>216</v>
      </c>
      <c r="C71" s="319">
        <f t="shared" si="12"/>
        <v>0</v>
      </c>
      <c r="D71" s="319">
        <f t="array" ref="D71">SUM(IF((Budget[Ofc Code]=$B$6)*(Budget[Account Code]=$B71)*(Budget[Date]=D$7),Budget[Amount]))</f>
        <v>0</v>
      </c>
      <c r="E71" s="319">
        <f t="array" ref="E71">SUM(IF((Budget[Ofc Code]=$B$6)*(Budget[Account Code]=$B71)*(Budget[Date]=E$7),Budget[Amount]))</f>
        <v>0</v>
      </c>
      <c r="F71" s="319">
        <f t="array" ref="F71">SUM(IF((Budget[Ofc Code]=$B$6)*(Budget[Account Code]=$B71)*(Budget[Date]=F$7),Budget[Amount]))</f>
        <v>0</v>
      </c>
      <c r="G71" s="319">
        <f t="array" ref="G71">SUM(IF((Budget[Ofc Code]=$B$6)*(Budget[Account Code]=$B71)*(Budget[Date]=G$7),Budget[Amount]))</f>
        <v>0</v>
      </c>
      <c r="H71" s="319">
        <f t="array" ref="H71">SUM(IF((Budget[Ofc Code]=$B$6)*(Budget[Account Code]=$B71)*(Budget[Date]=H$7),Budget[Amount]))</f>
        <v>0</v>
      </c>
      <c r="I71" s="319">
        <f t="array" ref="I71">SUM(IF((Budget[Ofc Code]=$B$6)*(Budget[Account Code]=$B71)*(Budget[Date]=I$7),Budget[Amount]))</f>
        <v>0</v>
      </c>
      <c r="J71" s="319">
        <f t="array" ref="J71">SUM(IF((Budget[Ofc Code]=$B$6)*(Budget[Account Code]=$B71)*(Budget[Date]=J$7),Budget[Amount]))</f>
        <v>0</v>
      </c>
      <c r="K71" s="319">
        <f t="array" ref="K71">SUM(IF((Budget[Ofc Code]=$B$6)*(Budget[Account Code]=$B71)*(Budget[Date]=K$7),Budget[Amount]))</f>
        <v>0</v>
      </c>
      <c r="L71" s="319">
        <f t="array" ref="L71">SUM(IF((Budget[Ofc Code]=$B$6)*(Budget[Account Code]=$B71)*(Budget[Date]=L$7),Budget[Amount]))</f>
        <v>0</v>
      </c>
      <c r="M71" s="319">
        <f t="array" ref="M71">SUM(IF((Budget[Ofc Code]=$B$6)*(Budget[Account Code]=$B71)*(Budget[Date]=M$7),Budget[Amount]))</f>
        <v>0</v>
      </c>
      <c r="N71" s="319">
        <f t="array" ref="N71">SUM(IF((Budget[Ofc Code]=$B$6)*(Budget[Account Code]=$B71)*(Budget[Date]=N$7),Budget[Amount]))</f>
        <v>0</v>
      </c>
      <c r="O71" s="319">
        <f t="array" ref="O71">SUM(IF((Budget[Ofc Code]=$B$6)*(Budget[Account Code]=$B71)*(Budget[Date]=O$7),Budget[Amount]))</f>
        <v>0</v>
      </c>
      <c r="P71" s="319">
        <f t="shared" si="2"/>
        <v>0</v>
      </c>
    </row>
    <row r="72" spans="1:16">
      <c r="A72" s="325" t="s">
        <v>898</v>
      </c>
      <c r="B72" s="317"/>
      <c r="C72" s="319">
        <f t="shared" si="12"/>
        <v>0</v>
      </c>
      <c r="D72" s="319">
        <f t="array" ref="D72">SUM(IF((Budget[Ofc Code]=$B$6)*(Budget[Account Code]=$B72)*(Budget[Date]=D$7),Budget[Amount]))</f>
        <v>0</v>
      </c>
      <c r="E72" s="319">
        <f t="array" ref="E72">SUM(IF((Budget[Ofc Code]=$B$6)*(Budget[Account Code]=$B72)*(Budget[Date]=E$7),Budget[Amount]))</f>
        <v>0</v>
      </c>
      <c r="F72" s="319">
        <f t="array" ref="F72">SUM(IF((Budget[Ofc Code]=$B$6)*(Budget[Account Code]=$B72)*(Budget[Date]=F$7),Budget[Amount]))</f>
        <v>0</v>
      </c>
      <c r="G72" s="319">
        <f t="array" ref="G72">SUM(IF((Budget[Ofc Code]=$B$6)*(Budget[Account Code]=$B72)*(Budget[Date]=G$7),Budget[Amount]))</f>
        <v>0</v>
      </c>
      <c r="H72" s="319">
        <f t="array" ref="H72">SUM(IF((Budget[Ofc Code]=$B$6)*(Budget[Account Code]=$B72)*(Budget[Date]=H$7),Budget[Amount]))</f>
        <v>0</v>
      </c>
      <c r="I72" s="319">
        <f t="array" ref="I72">SUM(IF((Budget[Ofc Code]=$B$6)*(Budget[Account Code]=$B72)*(Budget[Date]=I$7),Budget[Amount]))</f>
        <v>0</v>
      </c>
      <c r="J72" s="319">
        <f t="array" ref="J72">SUM(IF((Budget[Ofc Code]=$B$6)*(Budget[Account Code]=$B72)*(Budget[Date]=J$7),Budget[Amount]))</f>
        <v>0</v>
      </c>
      <c r="K72" s="319">
        <f t="array" ref="K72">SUM(IF((Budget[Ofc Code]=$B$6)*(Budget[Account Code]=$B72)*(Budget[Date]=K$7),Budget[Amount]))</f>
        <v>0</v>
      </c>
      <c r="L72" s="319">
        <f t="array" ref="L72">SUM(IF((Budget[Ofc Code]=$B$6)*(Budget[Account Code]=$B72)*(Budget[Date]=L$7),Budget[Amount]))</f>
        <v>0</v>
      </c>
      <c r="M72" s="319">
        <f t="array" ref="M72">SUM(IF((Budget[Ofc Code]=$B$6)*(Budget[Account Code]=$B72)*(Budget[Date]=M$7),Budget[Amount]))</f>
        <v>0</v>
      </c>
      <c r="N72" s="319">
        <f t="array" ref="N72">SUM(IF((Budget[Ofc Code]=$B$6)*(Budget[Account Code]=$B72)*(Budget[Date]=N$7),Budget[Amount]))</f>
        <v>0</v>
      </c>
      <c r="O72" s="319">
        <f t="array" ref="O72">SUM(IF((Budget[Ofc Code]=$B$6)*(Budget[Account Code]=$B72)*(Budget[Date]=O$7),Budget[Amount]))</f>
        <v>0</v>
      </c>
      <c r="P72" s="319">
        <f t="shared" si="2"/>
        <v>0</v>
      </c>
    </row>
    <row r="73" spans="1:16">
      <c r="A73" s="325" t="s">
        <v>899</v>
      </c>
      <c r="B73" s="317"/>
      <c r="C73" s="319">
        <f t="shared" si="12"/>
        <v>0</v>
      </c>
      <c r="D73" s="319">
        <f t="array" ref="D73">SUM(IF((Budget[Ofc Code]=$B$6)*(Budget[Account Code]=$B73)*(Budget[Date]=D$7),Budget[Amount]))</f>
        <v>0</v>
      </c>
      <c r="E73" s="319">
        <f t="array" ref="E73">SUM(IF((Budget[Ofc Code]=$B$6)*(Budget[Account Code]=$B73)*(Budget[Date]=E$7),Budget[Amount]))</f>
        <v>0</v>
      </c>
      <c r="F73" s="319">
        <f t="array" ref="F73">SUM(IF((Budget[Ofc Code]=$B$6)*(Budget[Account Code]=$B73)*(Budget[Date]=F$7),Budget[Amount]))</f>
        <v>0</v>
      </c>
      <c r="G73" s="319">
        <f t="array" ref="G73">SUM(IF((Budget[Ofc Code]=$B$6)*(Budget[Account Code]=$B73)*(Budget[Date]=G$7),Budget[Amount]))</f>
        <v>0</v>
      </c>
      <c r="H73" s="319">
        <f t="array" ref="H73">SUM(IF((Budget[Ofc Code]=$B$6)*(Budget[Account Code]=$B73)*(Budget[Date]=H$7),Budget[Amount]))</f>
        <v>0</v>
      </c>
      <c r="I73" s="319">
        <f t="array" ref="I73">SUM(IF((Budget[Ofc Code]=$B$6)*(Budget[Account Code]=$B73)*(Budget[Date]=I$7),Budget[Amount]))</f>
        <v>0</v>
      </c>
      <c r="J73" s="319">
        <f t="array" ref="J73">SUM(IF((Budget[Ofc Code]=$B$6)*(Budget[Account Code]=$B73)*(Budget[Date]=J$7),Budget[Amount]))</f>
        <v>0</v>
      </c>
      <c r="K73" s="319">
        <f t="array" ref="K73">SUM(IF((Budget[Ofc Code]=$B$6)*(Budget[Account Code]=$B73)*(Budget[Date]=K$7),Budget[Amount]))</f>
        <v>0</v>
      </c>
      <c r="L73" s="319">
        <f t="array" ref="L73">SUM(IF((Budget[Ofc Code]=$B$6)*(Budget[Account Code]=$B73)*(Budget[Date]=L$7),Budget[Amount]))</f>
        <v>0</v>
      </c>
      <c r="M73" s="319">
        <f t="array" ref="M73">SUM(IF((Budget[Ofc Code]=$B$6)*(Budget[Account Code]=$B73)*(Budget[Date]=M$7),Budget[Amount]))</f>
        <v>0</v>
      </c>
      <c r="N73" s="319">
        <f t="array" ref="N73">SUM(IF((Budget[Ofc Code]=$B$6)*(Budget[Account Code]=$B73)*(Budget[Date]=N$7),Budget[Amount]))</f>
        <v>0</v>
      </c>
      <c r="O73" s="319">
        <f t="array" ref="O73">SUM(IF((Budget[Ofc Code]=$B$6)*(Budget[Account Code]=$B73)*(Budget[Date]=O$7),Budget[Amount]))</f>
        <v>0</v>
      </c>
      <c r="P73" s="319">
        <f t="shared" si="2"/>
        <v>0</v>
      </c>
    </row>
    <row r="74" spans="1:16">
      <c r="A74" s="325" t="s">
        <v>900</v>
      </c>
      <c r="B74" s="317"/>
      <c r="C74" s="319">
        <f t="shared" si="12"/>
        <v>0</v>
      </c>
      <c r="D74" s="319">
        <f t="array" ref="D74">SUM(IF((Budget[Ofc Code]=$B$6)*(Budget[Account Code]=$B74)*(Budget[Date]=D$7),Budget[Amount]))</f>
        <v>0</v>
      </c>
      <c r="E74" s="319">
        <f t="array" ref="E74">SUM(IF((Budget[Ofc Code]=$B$6)*(Budget[Account Code]=$B74)*(Budget[Date]=E$7),Budget[Amount]))</f>
        <v>0</v>
      </c>
      <c r="F74" s="319">
        <f t="array" ref="F74">SUM(IF((Budget[Ofc Code]=$B$6)*(Budget[Account Code]=$B74)*(Budget[Date]=F$7),Budget[Amount]))</f>
        <v>0</v>
      </c>
      <c r="G74" s="319">
        <f t="array" ref="G74">SUM(IF((Budget[Ofc Code]=$B$6)*(Budget[Account Code]=$B74)*(Budget[Date]=G$7),Budget[Amount]))</f>
        <v>0</v>
      </c>
      <c r="H74" s="319">
        <f t="array" ref="H74">SUM(IF((Budget[Ofc Code]=$B$6)*(Budget[Account Code]=$B74)*(Budget[Date]=H$7),Budget[Amount]))</f>
        <v>0</v>
      </c>
      <c r="I74" s="319">
        <f t="array" ref="I74">SUM(IF((Budget[Ofc Code]=$B$6)*(Budget[Account Code]=$B74)*(Budget[Date]=I$7),Budget[Amount]))</f>
        <v>0</v>
      </c>
      <c r="J74" s="319">
        <f t="array" ref="J74">SUM(IF((Budget[Ofc Code]=$B$6)*(Budget[Account Code]=$B74)*(Budget[Date]=J$7),Budget[Amount]))</f>
        <v>0</v>
      </c>
      <c r="K74" s="319">
        <f t="array" ref="K74">SUM(IF((Budget[Ofc Code]=$B$6)*(Budget[Account Code]=$B74)*(Budget[Date]=K$7),Budget[Amount]))</f>
        <v>0</v>
      </c>
      <c r="L74" s="319">
        <f t="array" ref="L74">SUM(IF((Budget[Ofc Code]=$B$6)*(Budget[Account Code]=$B74)*(Budget[Date]=L$7),Budget[Amount]))</f>
        <v>0</v>
      </c>
      <c r="M74" s="319">
        <f t="array" ref="M74">SUM(IF((Budget[Ofc Code]=$B$6)*(Budget[Account Code]=$B74)*(Budget[Date]=M$7),Budget[Amount]))</f>
        <v>0</v>
      </c>
      <c r="N74" s="319">
        <f t="array" ref="N74">SUM(IF((Budget[Ofc Code]=$B$6)*(Budget[Account Code]=$B74)*(Budget[Date]=N$7),Budget[Amount]))</f>
        <v>0</v>
      </c>
      <c r="O74" s="319">
        <f t="array" ref="O74">SUM(IF((Budget[Ofc Code]=$B$6)*(Budget[Account Code]=$B74)*(Budget[Date]=O$7),Budget[Amount]))</f>
        <v>0</v>
      </c>
      <c r="P74" s="319">
        <f t="shared" si="2"/>
        <v>0</v>
      </c>
    </row>
    <row r="75" spans="1:16" s="171" customFormat="1">
      <c r="A75" s="320" t="s">
        <v>901</v>
      </c>
      <c r="B75" s="317" t="s">
        <v>985</v>
      </c>
      <c r="C75" s="322">
        <f t="shared" si="12"/>
        <v>0</v>
      </c>
      <c r="D75" s="319">
        <f t="array" ref="D75">SUM(IF((Budget[Ofc Code]=$B$6)*(Budget[Account Code]=$B75)*(Budget[Date]=D$7),Budget[Amount]))</f>
        <v>0</v>
      </c>
      <c r="E75" s="319">
        <f t="array" ref="E75">SUM(IF((Budget[Ofc Code]=$B$6)*(Budget[Account Code]=$B75)*(Budget[Date]=E$7),Budget[Amount]))</f>
        <v>0</v>
      </c>
      <c r="F75" s="319">
        <f t="array" ref="F75">SUM(IF((Budget[Ofc Code]=$B$6)*(Budget[Account Code]=$B75)*(Budget[Date]=F$7),Budget[Amount]))</f>
        <v>0</v>
      </c>
      <c r="G75" s="319">
        <f t="array" ref="G75">SUM(IF((Budget[Ofc Code]=$B$6)*(Budget[Account Code]=$B75)*(Budget[Date]=G$7),Budget[Amount]))</f>
        <v>0</v>
      </c>
      <c r="H75" s="319">
        <f t="array" ref="H75">SUM(IF((Budget[Ofc Code]=$B$6)*(Budget[Account Code]=$B75)*(Budget[Date]=H$7),Budget[Amount]))</f>
        <v>0</v>
      </c>
      <c r="I75" s="319">
        <f t="array" ref="I75">SUM(IF((Budget[Ofc Code]=$B$6)*(Budget[Account Code]=$B75)*(Budget[Date]=I$7),Budget[Amount]))</f>
        <v>0</v>
      </c>
      <c r="J75" s="319">
        <f t="array" ref="J75">SUM(IF((Budget[Ofc Code]=$B$6)*(Budget[Account Code]=$B75)*(Budget[Date]=J$7),Budget[Amount]))</f>
        <v>0</v>
      </c>
      <c r="K75" s="319">
        <f t="array" ref="K75">SUM(IF((Budget[Ofc Code]=$B$6)*(Budget[Account Code]=$B75)*(Budget[Date]=K$7),Budget[Amount]))</f>
        <v>0</v>
      </c>
      <c r="L75" s="319">
        <f t="array" ref="L75">SUM(IF((Budget[Ofc Code]=$B$6)*(Budget[Account Code]=$B75)*(Budget[Date]=L$7),Budget[Amount]))</f>
        <v>0</v>
      </c>
      <c r="M75" s="319">
        <f t="array" ref="M75">SUM(IF((Budget[Ofc Code]=$B$6)*(Budget[Account Code]=$B75)*(Budget[Date]=M$7),Budget[Amount]))</f>
        <v>0</v>
      </c>
      <c r="N75" s="319">
        <f t="array" ref="N75">SUM(IF((Budget[Ofc Code]=$B$6)*(Budget[Account Code]=$B75)*(Budget[Date]=N$7),Budget[Amount]))</f>
        <v>0</v>
      </c>
      <c r="O75" s="319">
        <f t="array" ref="O75">SUM(IF((Budget[Ofc Code]=$B$6)*(Budget[Account Code]=$B75)*(Budget[Date]=O$7),Budget[Amount]))</f>
        <v>0</v>
      </c>
      <c r="P75" s="322">
        <f t="shared" si="2"/>
        <v>0</v>
      </c>
    </row>
    <row r="76" spans="1:16" s="171" customFormat="1">
      <c r="A76" s="321" t="s">
        <v>902</v>
      </c>
      <c r="B76" s="317"/>
      <c r="C76" s="322">
        <f>SUM(D76:O76)</f>
        <v>0</v>
      </c>
      <c r="D76" s="322">
        <f>D47+D50+D65+D70+D75</f>
        <v>0</v>
      </c>
      <c r="E76" s="322">
        <f t="shared" ref="E76:O76" si="16">E47+E50+E65+E70+E75</f>
        <v>0</v>
      </c>
      <c r="F76" s="322">
        <f t="shared" si="16"/>
        <v>0</v>
      </c>
      <c r="G76" s="322">
        <f t="shared" si="16"/>
        <v>0</v>
      </c>
      <c r="H76" s="322">
        <f t="shared" si="16"/>
        <v>0</v>
      </c>
      <c r="I76" s="322">
        <f t="shared" si="16"/>
        <v>0</v>
      </c>
      <c r="J76" s="322">
        <f t="shared" si="16"/>
        <v>0</v>
      </c>
      <c r="K76" s="322">
        <f t="shared" si="16"/>
        <v>0</v>
      </c>
      <c r="L76" s="322">
        <f t="shared" si="16"/>
        <v>0</v>
      </c>
      <c r="M76" s="322">
        <f t="shared" si="16"/>
        <v>0</v>
      </c>
      <c r="N76" s="322">
        <f t="shared" si="16"/>
        <v>0</v>
      </c>
      <c r="O76" s="322">
        <f t="shared" si="16"/>
        <v>0</v>
      </c>
      <c r="P76" s="322">
        <f t="shared" ref="P76:P139" si="17">C76</f>
        <v>0</v>
      </c>
    </row>
    <row r="77" spans="1:16" s="171" customFormat="1">
      <c r="A77" s="320" t="s">
        <v>903</v>
      </c>
      <c r="B77" s="317"/>
      <c r="C77" s="322">
        <f t="shared" si="12"/>
        <v>0</v>
      </c>
      <c r="D77" s="322">
        <f>D78+D79</f>
        <v>0</v>
      </c>
      <c r="E77" s="322">
        <f t="shared" ref="E77:O77" si="18">E78+E79</f>
        <v>0</v>
      </c>
      <c r="F77" s="322">
        <f t="shared" si="18"/>
        <v>0</v>
      </c>
      <c r="G77" s="322">
        <f t="shared" si="18"/>
        <v>0</v>
      </c>
      <c r="H77" s="322">
        <f t="shared" si="18"/>
        <v>0</v>
      </c>
      <c r="I77" s="322">
        <f t="shared" si="18"/>
        <v>0</v>
      </c>
      <c r="J77" s="322">
        <f t="shared" si="18"/>
        <v>0</v>
      </c>
      <c r="K77" s="322">
        <f t="shared" si="18"/>
        <v>0</v>
      </c>
      <c r="L77" s="322">
        <f t="shared" si="18"/>
        <v>0</v>
      </c>
      <c r="M77" s="322">
        <f t="shared" si="18"/>
        <v>0</v>
      </c>
      <c r="N77" s="322">
        <f t="shared" si="18"/>
        <v>0</v>
      </c>
      <c r="O77" s="322">
        <f t="shared" si="18"/>
        <v>0</v>
      </c>
      <c r="P77" s="322">
        <f t="shared" si="17"/>
        <v>0</v>
      </c>
    </row>
    <row r="78" spans="1:16">
      <c r="A78" s="325" t="s">
        <v>904</v>
      </c>
      <c r="B78" s="317"/>
      <c r="C78" s="319">
        <f t="shared" si="12"/>
        <v>0</v>
      </c>
      <c r="D78" s="319">
        <f t="array" ref="D78">SUM(IF((Budget[Ofc Code]=$B$6)*(Budget[Account Code]=$B78)*(Budget[Date]=D$7),Budget[Amount]))</f>
        <v>0</v>
      </c>
      <c r="E78" s="319">
        <f t="array" ref="E78">SUM(IF((Budget[Ofc Code]=$B$6)*(Budget[Account Code]=$B78)*(Budget[Date]=E$7),Budget[Amount]))</f>
        <v>0</v>
      </c>
      <c r="F78" s="319">
        <f t="array" ref="F78">SUM(IF((Budget[Ofc Code]=$B$6)*(Budget[Account Code]=$B78)*(Budget[Date]=F$7),Budget[Amount]))</f>
        <v>0</v>
      </c>
      <c r="G78" s="319">
        <f t="array" ref="G78">SUM(IF((Budget[Ofc Code]=$B$6)*(Budget[Account Code]=$B78)*(Budget[Date]=G$7),Budget[Amount]))</f>
        <v>0</v>
      </c>
      <c r="H78" s="319">
        <f t="array" ref="H78">SUM(IF((Budget[Ofc Code]=$B$6)*(Budget[Account Code]=$B78)*(Budget[Date]=H$7),Budget[Amount]))</f>
        <v>0</v>
      </c>
      <c r="I78" s="319">
        <f t="array" ref="I78">SUM(IF((Budget[Ofc Code]=$B$6)*(Budget[Account Code]=$B78)*(Budget[Date]=I$7),Budget[Amount]))</f>
        <v>0</v>
      </c>
      <c r="J78" s="319">
        <f t="array" ref="J78">SUM(IF((Budget[Ofc Code]=$B$6)*(Budget[Account Code]=$B78)*(Budget[Date]=J$7),Budget[Amount]))</f>
        <v>0</v>
      </c>
      <c r="K78" s="319">
        <f t="array" ref="K78">SUM(IF((Budget[Ofc Code]=$B$6)*(Budget[Account Code]=$B78)*(Budget[Date]=K$7),Budget[Amount]))</f>
        <v>0</v>
      </c>
      <c r="L78" s="319">
        <f t="array" ref="L78">SUM(IF((Budget[Ofc Code]=$B$6)*(Budget[Account Code]=$B78)*(Budget[Date]=L$7),Budget[Amount]))</f>
        <v>0</v>
      </c>
      <c r="M78" s="319">
        <f t="array" ref="M78">SUM(IF((Budget[Ofc Code]=$B$6)*(Budget[Account Code]=$B78)*(Budget[Date]=M$7),Budget[Amount]))</f>
        <v>0</v>
      </c>
      <c r="N78" s="319">
        <f t="array" ref="N78">SUM(IF((Budget[Ofc Code]=$B$6)*(Budget[Account Code]=$B78)*(Budget[Date]=N$7),Budget[Amount]))</f>
        <v>0</v>
      </c>
      <c r="O78" s="319">
        <f t="array" ref="O78">SUM(IF((Budget[Ofc Code]=$B$6)*(Budget[Account Code]=$B78)*(Budget[Date]=O$7),Budget[Amount]))</f>
        <v>0</v>
      </c>
      <c r="P78" s="319">
        <f t="shared" si="17"/>
        <v>0</v>
      </c>
    </row>
    <row r="79" spans="1:16">
      <c r="A79" s="325" t="s">
        <v>905</v>
      </c>
      <c r="B79" s="317" t="s">
        <v>212</v>
      </c>
      <c r="C79" s="319">
        <f t="shared" si="12"/>
        <v>0</v>
      </c>
      <c r="D79" s="319">
        <f t="array" ref="D79">SUM(IF((Budget[Ofc Code]=$B$6)*(Budget[Account Code]=$B79)*(Budget[Date]=D$7),Budget[Amount]))</f>
        <v>0</v>
      </c>
      <c r="E79" s="319">
        <f t="array" ref="E79">SUM(IF((Budget[Ofc Code]=$B$6)*(Budget[Account Code]=$B79)*(Budget[Date]=E$7),Budget[Amount]))</f>
        <v>0</v>
      </c>
      <c r="F79" s="319">
        <f t="array" ref="F79">SUM(IF((Budget[Ofc Code]=$B$6)*(Budget[Account Code]=$B79)*(Budget[Date]=F$7),Budget[Amount]))</f>
        <v>0</v>
      </c>
      <c r="G79" s="319">
        <f t="array" ref="G79">SUM(IF((Budget[Ofc Code]=$B$6)*(Budget[Account Code]=$B79)*(Budget[Date]=G$7),Budget[Amount]))</f>
        <v>0</v>
      </c>
      <c r="H79" s="319">
        <f t="array" ref="H79">SUM(IF((Budget[Ofc Code]=$B$6)*(Budget[Account Code]=$B79)*(Budget[Date]=H$7),Budget[Amount]))</f>
        <v>0</v>
      </c>
      <c r="I79" s="319">
        <f t="array" ref="I79">SUM(IF((Budget[Ofc Code]=$B$6)*(Budget[Account Code]=$B79)*(Budget[Date]=I$7),Budget[Amount]))</f>
        <v>0</v>
      </c>
      <c r="J79" s="319">
        <f t="array" ref="J79">SUM(IF((Budget[Ofc Code]=$B$6)*(Budget[Account Code]=$B79)*(Budget[Date]=J$7),Budget[Amount]))</f>
        <v>0</v>
      </c>
      <c r="K79" s="319">
        <f t="array" ref="K79">SUM(IF((Budget[Ofc Code]=$B$6)*(Budget[Account Code]=$B79)*(Budget[Date]=K$7),Budget[Amount]))</f>
        <v>0</v>
      </c>
      <c r="L79" s="319">
        <f t="array" ref="L79">SUM(IF((Budget[Ofc Code]=$B$6)*(Budget[Account Code]=$B79)*(Budget[Date]=L$7),Budget[Amount]))</f>
        <v>0</v>
      </c>
      <c r="M79" s="319">
        <f t="array" ref="M79">SUM(IF((Budget[Ofc Code]=$B$6)*(Budget[Account Code]=$B79)*(Budget[Date]=M$7),Budget[Amount]))</f>
        <v>0</v>
      </c>
      <c r="N79" s="319">
        <f t="array" ref="N79">SUM(IF((Budget[Ofc Code]=$B$6)*(Budget[Account Code]=$B79)*(Budget[Date]=N$7),Budget[Amount]))</f>
        <v>0</v>
      </c>
      <c r="O79" s="319">
        <f t="array" ref="O79">SUM(IF((Budget[Ofc Code]=$B$6)*(Budget[Account Code]=$B79)*(Budget[Date]=O$7),Budget[Amount]))</f>
        <v>0</v>
      </c>
      <c r="P79" s="319">
        <f t="shared" si="17"/>
        <v>0</v>
      </c>
    </row>
    <row r="80" spans="1:16" s="171" customFormat="1">
      <c r="A80" s="320" t="s">
        <v>906</v>
      </c>
      <c r="B80" s="317"/>
      <c r="C80" s="322">
        <f t="shared" si="12"/>
        <v>0</v>
      </c>
      <c r="D80" s="322">
        <f>D76+D77</f>
        <v>0</v>
      </c>
      <c r="E80" s="322">
        <f t="shared" ref="E80:O80" si="19">E76+E77</f>
        <v>0</v>
      </c>
      <c r="F80" s="322">
        <f t="shared" si="19"/>
        <v>0</v>
      </c>
      <c r="G80" s="322">
        <f t="shared" si="19"/>
        <v>0</v>
      </c>
      <c r="H80" s="322">
        <f t="shared" si="19"/>
        <v>0</v>
      </c>
      <c r="I80" s="322">
        <f t="shared" si="19"/>
        <v>0</v>
      </c>
      <c r="J80" s="322">
        <f t="shared" si="19"/>
        <v>0</v>
      </c>
      <c r="K80" s="322">
        <f t="shared" si="19"/>
        <v>0</v>
      </c>
      <c r="L80" s="322">
        <f t="shared" si="19"/>
        <v>0</v>
      </c>
      <c r="M80" s="322">
        <f t="shared" si="19"/>
        <v>0</v>
      </c>
      <c r="N80" s="322">
        <f t="shared" si="19"/>
        <v>0</v>
      </c>
      <c r="O80" s="322">
        <f t="shared" si="19"/>
        <v>0</v>
      </c>
      <c r="P80" s="322">
        <f t="shared" si="17"/>
        <v>0</v>
      </c>
    </row>
    <row r="81" spans="1:16" s="171" customFormat="1">
      <c r="A81" s="320"/>
      <c r="B81" s="317"/>
      <c r="C81" s="322"/>
      <c r="D81" s="322"/>
      <c r="E81" s="322"/>
      <c r="F81" s="322"/>
      <c r="G81" s="322"/>
      <c r="H81" s="322"/>
      <c r="I81" s="322"/>
      <c r="J81" s="322"/>
      <c r="K81" s="322"/>
      <c r="L81" s="322"/>
      <c r="M81" s="322"/>
      <c r="N81" s="322"/>
      <c r="O81" s="322"/>
      <c r="P81" s="322">
        <f t="shared" si="17"/>
        <v>0</v>
      </c>
    </row>
    <row r="82" spans="1:16" s="171" customFormat="1" hidden="1">
      <c r="A82" s="320" t="s">
        <v>907</v>
      </c>
      <c r="B82" s="317"/>
      <c r="C82" s="322">
        <f>C80-C61-C62-C71-C72-C74-C78-C79</f>
        <v>0</v>
      </c>
      <c r="D82" s="322"/>
      <c r="E82" s="322"/>
      <c r="F82" s="322"/>
      <c r="G82" s="322"/>
      <c r="H82" s="322"/>
      <c r="I82" s="322"/>
      <c r="J82" s="322"/>
      <c r="K82" s="322"/>
      <c r="L82" s="322"/>
      <c r="M82" s="322"/>
      <c r="N82" s="322"/>
      <c r="O82" s="322"/>
      <c r="P82" s="322">
        <f t="shared" si="17"/>
        <v>0</v>
      </c>
    </row>
    <row r="83" spans="1:16" s="171" customFormat="1" hidden="1">
      <c r="A83" s="320"/>
      <c r="B83" s="317"/>
      <c r="C83" s="322"/>
      <c r="D83" s="322"/>
      <c r="E83" s="322"/>
      <c r="F83" s="322"/>
      <c r="G83" s="322"/>
      <c r="H83" s="322"/>
      <c r="I83" s="322"/>
      <c r="J83" s="322"/>
      <c r="K83" s="322"/>
      <c r="L83" s="322"/>
      <c r="M83" s="322"/>
      <c r="N83" s="322"/>
      <c r="O83" s="322"/>
      <c r="P83" s="322">
        <f t="shared" si="17"/>
        <v>0</v>
      </c>
    </row>
    <row r="84" spans="1:16" s="171" customFormat="1" hidden="1">
      <c r="A84" s="320"/>
      <c r="B84" s="317"/>
      <c r="C84" s="322"/>
      <c r="D84" s="322"/>
      <c r="E84" s="322"/>
      <c r="F84" s="322"/>
      <c r="G84" s="322"/>
      <c r="H84" s="322"/>
      <c r="I84" s="322"/>
      <c r="J84" s="322"/>
      <c r="K84" s="322"/>
      <c r="L84" s="322"/>
      <c r="M84" s="322"/>
      <c r="N84" s="322"/>
      <c r="O84" s="322"/>
      <c r="P84" s="322">
        <f t="shared" si="17"/>
        <v>0</v>
      </c>
    </row>
    <row r="85" spans="1:16" s="171" customFormat="1" hidden="1">
      <c r="A85" s="320"/>
      <c r="B85" s="317"/>
      <c r="C85" s="322"/>
      <c r="D85" s="322"/>
      <c r="E85" s="322"/>
      <c r="F85" s="322"/>
      <c r="G85" s="322"/>
      <c r="H85" s="322"/>
      <c r="I85" s="322"/>
      <c r="J85" s="322"/>
      <c r="K85" s="322"/>
      <c r="L85" s="322"/>
      <c r="M85" s="322"/>
      <c r="N85" s="322"/>
      <c r="O85" s="322"/>
      <c r="P85" s="322">
        <f t="shared" si="17"/>
        <v>0</v>
      </c>
    </row>
    <row r="86" spans="1:16">
      <c r="A86" s="320" t="s">
        <v>908</v>
      </c>
      <c r="B86" s="317"/>
      <c r="C86" s="319"/>
      <c r="D86" s="319"/>
      <c r="E86" s="319"/>
      <c r="F86" s="319"/>
      <c r="G86" s="319"/>
      <c r="H86" s="319"/>
      <c r="I86" s="319"/>
      <c r="J86" s="319"/>
      <c r="K86" s="319"/>
      <c r="L86" s="319"/>
      <c r="M86" s="319"/>
      <c r="N86" s="319"/>
      <c r="O86" s="319"/>
      <c r="P86" s="319">
        <f t="shared" si="17"/>
        <v>0</v>
      </c>
    </row>
    <row r="87" spans="1:16" s="171" customFormat="1">
      <c r="A87" s="321" t="s">
        <v>909</v>
      </c>
      <c r="B87" s="317" t="s">
        <v>223</v>
      </c>
      <c r="C87" s="322">
        <f t="shared" si="12"/>
        <v>0</v>
      </c>
      <c r="D87" s="319">
        <f t="array" ref="D87">SUM(IF((Budget[Ofc Code]=$B$6)*(Budget[Account Code]=$B87)*(Budget[Date]=D$7),Budget[Amount]))</f>
        <v>0</v>
      </c>
      <c r="E87" s="319">
        <f t="array" ref="E87">SUM(IF((Budget[Ofc Code]=$B$6)*(Budget[Account Code]=$B87)*(Budget[Date]=E$7),Budget[Amount]))</f>
        <v>0</v>
      </c>
      <c r="F87" s="319">
        <f t="array" ref="F87">SUM(IF((Budget[Ofc Code]=$B$6)*(Budget[Account Code]=$B87)*(Budget[Date]=F$7),Budget[Amount]))</f>
        <v>0</v>
      </c>
      <c r="G87" s="319">
        <f t="array" ref="G87">SUM(IF((Budget[Ofc Code]=$B$6)*(Budget[Account Code]=$B87)*(Budget[Date]=G$7),Budget[Amount]))</f>
        <v>0</v>
      </c>
      <c r="H87" s="319">
        <f t="array" ref="H87">SUM(IF((Budget[Ofc Code]=$B$6)*(Budget[Account Code]=$B87)*(Budget[Date]=H$7),Budget[Amount]))</f>
        <v>0</v>
      </c>
      <c r="I87" s="319">
        <f t="array" ref="I87">SUM(IF((Budget[Ofc Code]=$B$6)*(Budget[Account Code]=$B87)*(Budget[Date]=I$7),Budget[Amount]))</f>
        <v>0</v>
      </c>
      <c r="J87" s="319">
        <f t="array" ref="J87">SUM(IF((Budget[Ofc Code]=$B$6)*(Budget[Account Code]=$B87)*(Budget[Date]=J$7),Budget[Amount]))</f>
        <v>0</v>
      </c>
      <c r="K87" s="319">
        <f t="array" ref="K87">SUM(IF((Budget[Ofc Code]=$B$6)*(Budget[Account Code]=$B87)*(Budget[Date]=K$7),Budget[Amount]))</f>
        <v>0</v>
      </c>
      <c r="L87" s="319">
        <f t="array" ref="L87">SUM(IF((Budget[Ofc Code]=$B$6)*(Budget[Account Code]=$B87)*(Budget[Date]=L$7),Budget[Amount]))</f>
        <v>0</v>
      </c>
      <c r="M87" s="319">
        <f t="array" ref="M87">SUM(IF((Budget[Ofc Code]=$B$6)*(Budget[Account Code]=$B87)*(Budget[Date]=M$7),Budget[Amount]))</f>
        <v>0</v>
      </c>
      <c r="N87" s="319">
        <f t="array" ref="N87">SUM(IF((Budget[Ofc Code]=$B$6)*(Budget[Account Code]=$B87)*(Budget[Date]=N$7),Budget[Amount]))</f>
        <v>0</v>
      </c>
      <c r="O87" s="319">
        <f t="array" ref="O87">SUM(IF((Budget[Ofc Code]=$B$6)*(Budget[Account Code]=$B87)*(Budget[Date]=O$7),Budget[Amount]))</f>
        <v>0</v>
      </c>
      <c r="P87" s="322">
        <f t="shared" si="17"/>
        <v>0</v>
      </c>
    </row>
    <row r="88" spans="1:16" s="171" customFormat="1">
      <c r="A88" s="321" t="s">
        <v>910</v>
      </c>
      <c r="B88" s="317" t="s">
        <v>224</v>
      </c>
      <c r="C88" s="322">
        <f t="shared" si="12"/>
        <v>0</v>
      </c>
      <c r="D88" s="319">
        <f t="array" ref="D88">SUM(IF((Budget[Ofc Code]=$B$6)*(Budget[Account Code]=$B88)*(Budget[Date]=D$7),Budget[Amount]))</f>
        <v>0</v>
      </c>
      <c r="E88" s="319">
        <f t="array" ref="E88">SUM(IF((Budget[Ofc Code]=$B$6)*(Budget[Account Code]=$B88)*(Budget[Date]=E$7),Budget[Amount]))</f>
        <v>0</v>
      </c>
      <c r="F88" s="319">
        <f t="array" ref="F88">SUM(IF((Budget[Ofc Code]=$B$6)*(Budget[Account Code]=$B88)*(Budget[Date]=F$7),Budget[Amount]))</f>
        <v>0</v>
      </c>
      <c r="G88" s="319">
        <f t="array" ref="G88">SUM(IF((Budget[Ofc Code]=$B$6)*(Budget[Account Code]=$B88)*(Budget[Date]=G$7),Budget[Amount]))</f>
        <v>0</v>
      </c>
      <c r="H88" s="319">
        <f t="array" ref="H88">SUM(IF((Budget[Ofc Code]=$B$6)*(Budget[Account Code]=$B88)*(Budget[Date]=H$7),Budget[Amount]))</f>
        <v>0</v>
      </c>
      <c r="I88" s="319">
        <f t="array" ref="I88">SUM(IF((Budget[Ofc Code]=$B$6)*(Budget[Account Code]=$B88)*(Budget[Date]=I$7),Budget[Amount]))</f>
        <v>0</v>
      </c>
      <c r="J88" s="319">
        <f t="array" ref="J88">SUM(IF((Budget[Ofc Code]=$B$6)*(Budget[Account Code]=$B88)*(Budget[Date]=J$7),Budget[Amount]))</f>
        <v>0</v>
      </c>
      <c r="K88" s="319">
        <f t="array" ref="K88">SUM(IF((Budget[Ofc Code]=$B$6)*(Budget[Account Code]=$B88)*(Budget[Date]=K$7),Budget[Amount]))</f>
        <v>0</v>
      </c>
      <c r="L88" s="319">
        <f t="array" ref="L88">SUM(IF((Budget[Ofc Code]=$B$6)*(Budget[Account Code]=$B88)*(Budget[Date]=L$7),Budget[Amount]))</f>
        <v>0</v>
      </c>
      <c r="M88" s="319">
        <f t="array" ref="M88">SUM(IF((Budget[Ofc Code]=$B$6)*(Budget[Account Code]=$B88)*(Budget[Date]=M$7),Budget[Amount]))</f>
        <v>0</v>
      </c>
      <c r="N88" s="319">
        <f t="array" ref="N88">SUM(IF((Budget[Ofc Code]=$B$6)*(Budget[Account Code]=$B88)*(Budget[Date]=N$7),Budget[Amount]))</f>
        <v>0</v>
      </c>
      <c r="O88" s="319">
        <f t="array" ref="O88">SUM(IF((Budget[Ofc Code]=$B$6)*(Budget[Account Code]=$B88)*(Budget[Date]=O$7),Budget[Amount]))</f>
        <v>0</v>
      </c>
      <c r="P88" s="322">
        <f t="shared" si="17"/>
        <v>0</v>
      </c>
    </row>
    <row r="89" spans="1:16" s="171" customFormat="1">
      <c r="A89" s="321" t="s">
        <v>911</v>
      </c>
      <c r="B89" s="317"/>
      <c r="C89" s="322">
        <f t="shared" si="12"/>
        <v>0</v>
      </c>
      <c r="D89" s="322">
        <f>SUM(D90:D96)</f>
        <v>0</v>
      </c>
      <c r="E89" s="322">
        <f t="shared" ref="E89:O89" si="20">SUM(E90:E96)</f>
        <v>0</v>
      </c>
      <c r="F89" s="322">
        <f t="shared" si="20"/>
        <v>0</v>
      </c>
      <c r="G89" s="322">
        <f t="shared" si="20"/>
        <v>0</v>
      </c>
      <c r="H89" s="322">
        <f t="shared" si="20"/>
        <v>0</v>
      </c>
      <c r="I89" s="322">
        <f t="shared" si="20"/>
        <v>0</v>
      </c>
      <c r="J89" s="322">
        <f t="shared" si="20"/>
        <v>0</v>
      </c>
      <c r="K89" s="322">
        <f t="shared" si="20"/>
        <v>0</v>
      </c>
      <c r="L89" s="322">
        <f t="shared" si="20"/>
        <v>0</v>
      </c>
      <c r="M89" s="322">
        <f t="shared" si="20"/>
        <v>0</v>
      </c>
      <c r="N89" s="322">
        <f t="shared" si="20"/>
        <v>0</v>
      </c>
      <c r="O89" s="322">
        <f t="shared" si="20"/>
        <v>0</v>
      </c>
      <c r="P89" s="322">
        <f t="shared" si="17"/>
        <v>0</v>
      </c>
    </row>
    <row r="90" spans="1:16">
      <c r="A90" s="323" t="s">
        <v>912</v>
      </c>
      <c r="B90" s="317" t="s">
        <v>225</v>
      </c>
      <c r="C90" s="319">
        <f t="shared" si="12"/>
        <v>0</v>
      </c>
      <c r="D90" s="319">
        <f t="array" ref="D90">SUM(IF((Budget[Ofc Code]=$B$6)*(Budget[Account Code]=$B90)*(Budget[Date]=D$7),Budget[Amount]))</f>
        <v>0</v>
      </c>
      <c r="E90" s="319">
        <f t="array" ref="E90">SUM(IF((Budget[Ofc Code]=$B$6)*(Budget[Account Code]=$B90)*(Budget[Date]=E$7),Budget[Amount]))</f>
        <v>0</v>
      </c>
      <c r="F90" s="319">
        <f t="array" ref="F90">SUM(IF((Budget[Ofc Code]=$B$6)*(Budget[Account Code]=$B90)*(Budget[Date]=F$7),Budget[Amount]))</f>
        <v>0</v>
      </c>
      <c r="G90" s="319">
        <f t="array" ref="G90">SUM(IF((Budget[Ofc Code]=$B$6)*(Budget[Account Code]=$B90)*(Budget[Date]=G$7),Budget[Amount]))</f>
        <v>0</v>
      </c>
      <c r="H90" s="319">
        <f t="array" ref="H90">SUM(IF((Budget[Ofc Code]=$B$6)*(Budget[Account Code]=$B90)*(Budget[Date]=H$7),Budget[Amount]))</f>
        <v>0</v>
      </c>
      <c r="I90" s="319">
        <f t="array" ref="I90">SUM(IF((Budget[Ofc Code]=$B$6)*(Budget[Account Code]=$B90)*(Budget[Date]=I$7),Budget[Amount]))</f>
        <v>0</v>
      </c>
      <c r="J90" s="319">
        <f t="array" ref="J90">SUM(IF((Budget[Ofc Code]=$B$6)*(Budget[Account Code]=$B90)*(Budget[Date]=J$7),Budget[Amount]))</f>
        <v>0</v>
      </c>
      <c r="K90" s="319">
        <f t="array" ref="K90">SUM(IF((Budget[Ofc Code]=$B$6)*(Budget[Account Code]=$B90)*(Budget[Date]=K$7),Budget[Amount]))</f>
        <v>0</v>
      </c>
      <c r="L90" s="319">
        <f t="array" ref="L90">SUM(IF((Budget[Ofc Code]=$B$6)*(Budget[Account Code]=$B90)*(Budget[Date]=L$7),Budget[Amount]))</f>
        <v>0</v>
      </c>
      <c r="M90" s="319">
        <f t="array" ref="M90">SUM(IF((Budget[Ofc Code]=$B$6)*(Budget[Account Code]=$B90)*(Budget[Date]=M$7),Budget[Amount]))</f>
        <v>0</v>
      </c>
      <c r="N90" s="319">
        <f t="array" ref="N90">SUM(IF((Budget[Ofc Code]=$B$6)*(Budget[Account Code]=$B90)*(Budget[Date]=N$7),Budget[Amount]))</f>
        <v>0</v>
      </c>
      <c r="O90" s="319">
        <f t="array" ref="O90">SUM(IF((Budget[Ofc Code]=$B$6)*(Budget[Account Code]=$B90)*(Budget[Date]=O$7),Budget[Amount]))</f>
        <v>0</v>
      </c>
      <c r="P90" s="319">
        <f t="shared" si="17"/>
        <v>0</v>
      </c>
    </row>
    <row r="91" spans="1:16">
      <c r="A91" s="323" t="s">
        <v>913</v>
      </c>
      <c r="B91" s="317" t="s">
        <v>226</v>
      </c>
      <c r="C91" s="319">
        <f t="shared" si="12"/>
        <v>0</v>
      </c>
      <c r="D91" s="319">
        <f t="array" ref="D91">SUM(IF((Budget[Ofc Code]=$B$6)*(Budget[Account Code]=$B91)*(Budget[Date]=D$7),Budget[Amount]))</f>
        <v>0</v>
      </c>
      <c r="E91" s="319">
        <f t="array" ref="E91">SUM(IF((Budget[Ofc Code]=$B$6)*(Budget[Account Code]=$B91)*(Budget[Date]=E$7),Budget[Amount]))</f>
        <v>0</v>
      </c>
      <c r="F91" s="319">
        <f t="array" ref="F91">SUM(IF((Budget[Ofc Code]=$B$6)*(Budget[Account Code]=$B91)*(Budget[Date]=F$7),Budget[Amount]))</f>
        <v>0</v>
      </c>
      <c r="G91" s="319">
        <f t="array" ref="G91">SUM(IF((Budget[Ofc Code]=$B$6)*(Budget[Account Code]=$B91)*(Budget[Date]=G$7),Budget[Amount]))</f>
        <v>0</v>
      </c>
      <c r="H91" s="319">
        <f t="array" ref="H91">SUM(IF((Budget[Ofc Code]=$B$6)*(Budget[Account Code]=$B91)*(Budget[Date]=H$7),Budget[Amount]))</f>
        <v>0</v>
      </c>
      <c r="I91" s="319">
        <f t="array" ref="I91">SUM(IF((Budget[Ofc Code]=$B$6)*(Budget[Account Code]=$B91)*(Budget[Date]=I$7),Budget[Amount]))</f>
        <v>0</v>
      </c>
      <c r="J91" s="319">
        <f t="array" ref="J91">SUM(IF((Budget[Ofc Code]=$B$6)*(Budget[Account Code]=$B91)*(Budget[Date]=J$7),Budget[Amount]))</f>
        <v>0</v>
      </c>
      <c r="K91" s="319">
        <f t="array" ref="K91">SUM(IF((Budget[Ofc Code]=$B$6)*(Budget[Account Code]=$B91)*(Budget[Date]=K$7),Budget[Amount]))</f>
        <v>0</v>
      </c>
      <c r="L91" s="319">
        <f t="array" ref="L91">SUM(IF((Budget[Ofc Code]=$B$6)*(Budget[Account Code]=$B91)*(Budget[Date]=L$7),Budget[Amount]))</f>
        <v>0</v>
      </c>
      <c r="M91" s="319">
        <f t="array" ref="M91">SUM(IF((Budget[Ofc Code]=$B$6)*(Budget[Account Code]=$B91)*(Budget[Date]=M$7),Budget[Amount]))</f>
        <v>0</v>
      </c>
      <c r="N91" s="319">
        <f t="array" ref="N91">SUM(IF((Budget[Ofc Code]=$B$6)*(Budget[Account Code]=$B91)*(Budget[Date]=N$7),Budget[Amount]))</f>
        <v>0</v>
      </c>
      <c r="O91" s="319">
        <f t="array" ref="O91">SUM(IF((Budget[Ofc Code]=$B$6)*(Budget[Account Code]=$B91)*(Budget[Date]=O$7),Budget[Amount]))</f>
        <v>0</v>
      </c>
      <c r="P91" s="319">
        <f t="shared" si="17"/>
        <v>0</v>
      </c>
    </row>
    <row r="92" spans="1:16">
      <c r="A92" s="323" t="s">
        <v>914</v>
      </c>
      <c r="B92" s="317" t="s">
        <v>227</v>
      </c>
      <c r="C92" s="319">
        <f t="shared" si="12"/>
        <v>0</v>
      </c>
      <c r="D92" s="319">
        <f t="array" ref="D92">SUM(IF((Budget[Ofc Code]=$B$6)*(Budget[Account Code]=$B92)*(Budget[Date]=D$7),Budget[Amount]))</f>
        <v>0</v>
      </c>
      <c r="E92" s="319">
        <f t="array" ref="E92">SUM(IF((Budget[Ofc Code]=$B$6)*(Budget[Account Code]=$B92)*(Budget[Date]=E$7),Budget[Amount]))</f>
        <v>0</v>
      </c>
      <c r="F92" s="319">
        <f t="array" ref="F92">SUM(IF((Budget[Ofc Code]=$B$6)*(Budget[Account Code]=$B92)*(Budget[Date]=F$7),Budget[Amount]))</f>
        <v>0</v>
      </c>
      <c r="G92" s="319">
        <f t="array" ref="G92">SUM(IF((Budget[Ofc Code]=$B$6)*(Budget[Account Code]=$B92)*(Budget[Date]=G$7),Budget[Amount]))</f>
        <v>0</v>
      </c>
      <c r="H92" s="319">
        <f t="array" ref="H92">SUM(IF((Budget[Ofc Code]=$B$6)*(Budget[Account Code]=$B92)*(Budget[Date]=H$7),Budget[Amount]))</f>
        <v>0</v>
      </c>
      <c r="I92" s="319">
        <f t="array" ref="I92">SUM(IF((Budget[Ofc Code]=$B$6)*(Budget[Account Code]=$B92)*(Budget[Date]=I$7),Budget[Amount]))</f>
        <v>0</v>
      </c>
      <c r="J92" s="319">
        <f t="array" ref="J92">SUM(IF((Budget[Ofc Code]=$B$6)*(Budget[Account Code]=$B92)*(Budget[Date]=J$7),Budget[Amount]))</f>
        <v>0</v>
      </c>
      <c r="K92" s="319">
        <f t="array" ref="K92">SUM(IF((Budget[Ofc Code]=$B$6)*(Budget[Account Code]=$B92)*(Budget[Date]=K$7),Budget[Amount]))</f>
        <v>0</v>
      </c>
      <c r="L92" s="319">
        <f t="array" ref="L92">SUM(IF((Budget[Ofc Code]=$B$6)*(Budget[Account Code]=$B92)*(Budget[Date]=L$7),Budget[Amount]))</f>
        <v>0</v>
      </c>
      <c r="M92" s="319">
        <f t="array" ref="M92">SUM(IF((Budget[Ofc Code]=$B$6)*(Budget[Account Code]=$B92)*(Budget[Date]=M$7),Budget[Amount]))</f>
        <v>0</v>
      </c>
      <c r="N92" s="319">
        <f t="array" ref="N92">SUM(IF((Budget[Ofc Code]=$B$6)*(Budget[Account Code]=$B92)*(Budget[Date]=N$7),Budget[Amount]))</f>
        <v>0</v>
      </c>
      <c r="O92" s="319">
        <f t="array" ref="O92">SUM(IF((Budget[Ofc Code]=$B$6)*(Budget[Account Code]=$B92)*(Budget[Date]=O$7),Budget[Amount]))</f>
        <v>0</v>
      </c>
      <c r="P92" s="319">
        <f t="shared" si="17"/>
        <v>0</v>
      </c>
    </row>
    <row r="93" spans="1:16">
      <c r="A93" s="323" t="s">
        <v>915</v>
      </c>
      <c r="B93" s="317" t="s">
        <v>228</v>
      </c>
      <c r="C93" s="319">
        <f t="shared" si="12"/>
        <v>0</v>
      </c>
      <c r="D93" s="319">
        <f t="array" ref="D93">SUM(IF((Budget[Ofc Code]=$B$6)*(Budget[Account Code]=$B93)*(Budget[Date]=D$7),Budget[Amount]))</f>
        <v>0</v>
      </c>
      <c r="E93" s="319">
        <f t="array" ref="E93">SUM(IF((Budget[Ofc Code]=$B$6)*(Budget[Account Code]=$B93)*(Budget[Date]=E$7),Budget[Amount]))</f>
        <v>0</v>
      </c>
      <c r="F93" s="319">
        <f t="array" ref="F93">SUM(IF((Budget[Ofc Code]=$B$6)*(Budget[Account Code]=$B93)*(Budget[Date]=F$7),Budget[Amount]))</f>
        <v>0</v>
      </c>
      <c r="G93" s="319">
        <f t="array" ref="G93">SUM(IF((Budget[Ofc Code]=$B$6)*(Budget[Account Code]=$B93)*(Budget[Date]=G$7),Budget[Amount]))</f>
        <v>0</v>
      </c>
      <c r="H93" s="319">
        <f t="array" ref="H93">SUM(IF((Budget[Ofc Code]=$B$6)*(Budget[Account Code]=$B93)*(Budget[Date]=H$7),Budget[Amount]))</f>
        <v>0</v>
      </c>
      <c r="I93" s="319">
        <f t="array" ref="I93">SUM(IF((Budget[Ofc Code]=$B$6)*(Budget[Account Code]=$B93)*(Budget[Date]=I$7),Budget[Amount]))</f>
        <v>0</v>
      </c>
      <c r="J93" s="319">
        <f t="array" ref="J93">SUM(IF((Budget[Ofc Code]=$B$6)*(Budget[Account Code]=$B93)*(Budget[Date]=J$7),Budget[Amount]))</f>
        <v>0</v>
      </c>
      <c r="K93" s="319">
        <f t="array" ref="K93">SUM(IF((Budget[Ofc Code]=$B$6)*(Budget[Account Code]=$B93)*(Budget[Date]=K$7),Budget[Amount]))</f>
        <v>0</v>
      </c>
      <c r="L93" s="319">
        <f t="array" ref="L93">SUM(IF((Budget[Ofc Code]=$B$6)*(Budget[Account Code]=$B93)*(Budget[Date]=L$7),Budget[Amount]))</f>
        <v>0</v>
      </c>
      <c r="M93" s="319">
        <f t="array" ref="M93">SUM(IF((Budget[Ofc Code]=$B$6)*(Budget[Account Code]=$B93)*(Budget[Date]=M$7),Budget[Amount]))</f>
        <v>0</v>
      </c>
      <c r="N93" s="319">
        <f t="array" ref="N93">SUM(IF((Budget[Ofc Code]=$B$6)*(Budget[Account Code]=$B93)*(Budget[Date]=N$7),Budget[Amount]))</f>
        <v>0</v>
      </c>
      <c r="O93" s="319">
        <f t="array" ref="O93">SUM(IF((Budget[Ofc Code]=$B$6)*(Budget[Account Code]=$B93)*(Budget[Date]=O$7),Budget[Amount]))</f>
        <v>0</v>
      </c>
      <c r="P93" s="319">
        <f t="shared" si="17"/>
        <v>0</v>
      </c>
    </row>
    <row r="94" spans="1:16">
      <c r="A94" s="323" t="s">
        <v>916</v>
      </c>
      <c r="B94" s="317" t="s">
        <v>229</v>
      </c>
      <c r="C94" s="319">
        <f t="shared" si="12"/>
        <v>0</v>
      </c>
      <c r="D94" s="319">
        <f t="array" ref="D94">SUM(IF((Budget[Ofc Code]=$B$6)*(Budget[Account Code]=$B94)*(Budget[Date]=D$7),Budget[Amount]))</f>
        <v>0</v>
      </c>
      <c r="E94" s="319">
        <f t="array" ref="E94">SUM(IF((Budget[Ofc Code]=$B$6)*(Budget[Account Code]=$B94)*(Budget[Date]=E$7),Budget[Amount]))</f>
        <v>0</v>
      </c>
      <c r="F94" s="319">
        <f t="array" ref="F94">SUM(IF((Budget[Ofc Code]=$B$6)*(Budget[Account Code]=$B94)*(Budget[Date]=F$7),Budget[Amount]))</f>
        <v>0</v>
      </c>
      <c r="G94" s="319">
        <f t="array" ref="G94">SUM(IF((Budget[Ofc Code]=$B$6)*(Budget[Account Code]=$B94)*(Budget[Date]=G$7),Budget[Amount]))</f>
        <v>0</v>
      </c>
      <c r="H94" s="319">
        <f t="array" ref="H94">SUM(IF((Budget[Ofc Code]=$B$6)*(Budget[Account Code]=$B94)*(Budget[Date]=H$7),Budget[Amount]))</f>
        <v>0</v>
      </c>
      <c r="I94" s="319">
        <f t="array" ref="I94">SUM(IF((Budget[Ofc Code]=$B$6)*(Budget[Account Code]=$B94)*(Budget[Date]=I$7),Budget[Amount]))</f>
        <v>0</v>
      </c>
      <c r="J94" s="319">
        <f t="array" ref="J94">SUM(IF((Budget[Ofc Code]=$B$6)*(Budget[Account Code]=$B94)*(Budget[Date]=J$7),Budget[Amount]))</f>
        <v>0</v>
      </c>
      <c r="K94" s="319">
        <f t="array" ref="K94">SUM(IF((Budget[Ofc Code]=$B$6)*(Budget[Account Code]=$B94)*(Budget[Date]=K$7),Budget[Amount]))</f>
        <v>0</v>
      </c>
      <c r="L94" s="319">
        <f t="array" ref="L94">SUM(IF((Budget[Ofc Code]=$B$6)*(Budget[Account Code]=$B94)*(Budget[Date]=L$7),Budget[Amount]))</f>
        <v>0</v>
      </c>
      <c r="M94" s="319">
        <f t="array" ref="M94">SUM(IF((Budget[Ofc Code]=$B$6)*(Budget[Account Code]=$B94)*(Budget[Date]=M$7),Budget[Amount]))</f>
        <v>0</v>
      </c>
      <c r="N94" s="319">
        <f t="array" ref="N94">SUM(IF((Budget[Ofc Code]=$B$6)*(Budget[Account Code]=$B94)*(Budget[Date]=N$7),Budget[Amount]))</f>
        <v>0</v>
      </c>
      <c r="O94" s="319">
        <f t="array" ref="O94">SUM(IF((Budget[Ofc Code]=$B$6)*(Budget[Account Code]=$B94)*(Budget[Date]=O$7),Budget[Amount]))</f>
        <v>0</v>
      </c>
      <c r="P94" s="319">
        <f t="shared" si="17"/>
        <v>0</v>
      </c>
    </row>
    <row r="95" spans="1:16">
      <c r="A95" s="323" t="s">
        <v>917</v>
      </c>
      <c r="B95" s="317" t="s">
        <v>230</v>
      </c>
      <c r="C95" s="319">
        <f t="shared" si="12"/>
        <v>0</v>
      </c>
      <c r="D95" s="319">
        <f t="array" ref="D95">SUM(IF((Budget[Ofc Code]=$B$6)*(Budget[Account Code]=$B95)*(Budget[Date]=D$7),Budget[Amount]))</f>
        <v>0</v>
      </c>
      <c r="E95" s="319">
        <f t="array" ref="E95">SUM(IF((Budget[Ofc Code]=$B$6)*(Budget[Account Code]=$B95)*(Budget[Date]=E$7),Budget[Amount]))</f>
        <v>0</v>
      </c>
      <c r="F95" s="319">
        <f t="array" ref="F95">SUM(IF((Budget[Ofc Code]=$B$6)*(Budget[Account Code]=$B95)*(Budget[Date]=F$7),Budget[Amount]))</f>
        <v>0</v>
      </c>
      <c r="G95" s="319">
        <f t="array" ref="G95">SUM(IF((Budget[Ofc Code]=$B$6)*(Budget[Account Code]=$B95)*(Budget[Date]=G$7),Budget[Amount]))</f>
        <v>0</v>
      </c>
      <c r="H95" s="319">
        <f t="array" ref="H95">SUM(IF((Budget[Ofc Code]=$B$6)*(Budget[Account Code]=$B95)*(Budget[Date]=H$7),Budget[Amount]))</f>
        <v>0</v>
      </c>
      <c r="I95" s="319">
        <f t="array" ref="I95">SUM(IF((Budget[Ofc Code]=$B$6)*(Budget[Account Code]=$B95)*(Budget[Date]=I$7),Budget[Amount]))</f>
        <v>0</v>
      </c>
      <c r="J95" s="319">
        <f t="array" ref="J95">SUM(IF((Budget[Ofc Code]=$B$6)*(Budget[Account Code]=$B95)*(Budget[Date]=J$7),Budget[Amount]))</f>
        <v>0</v>
      </c>
      <c r="K95" s="319">
        <f t="array" ref="K95">SUM(IF((Budget[Ofc Code]=$B$6)*(Budget[Account Code]=$B95)*(Budget[Date]=K$7),Budget[Amount]))</f>
        <v>0</v>
      </c>
      <c r="L95" s="319">
        <f t="array" ref="L95">SUM(IF((Budget[Ofc Code]=$B$6)*(Budget[Account Code]=$B95)*(Budget[Date]=L$7),Budget[Amount]))</f>
        <v>0</v>
      </c>
      <c r="M95" s="319">
        <f t="array" ref="M95">SUM(IF((Budget[Ofc Code]=$B$6)*(Budget[Account Code]=$B95)*(Budget[Date]=M$7),Budget[Amount]))</f>
        <v>0</v>
      </c>
      <c r="N95" s="319">
        <f t="array" ref="N95">SUM(IF((Budget[Ofc Code]=$B$6)*(Budget[Account Code]=$B95)*(Budget[Date]=N$7),Budget[Amount]))</f>
        <v>0</v>
      </c>
      <c r="O95" s="319">
        <f t="array" ref="O95">SUM(IF((Budget[Ofc Code]=$B$6)*(Budget[Account Code]=$B95)*(Budget[Date]=O$7),Budget[Amount]))</f>
        <v>0</v>
      </c>
      <c r="P95" s="319">
        <f t="shared" si="17"/>
        <v>0</v>
      </c>
    </row>
    <row r="96" spans="1:16">
      <c r="A96" s="323" t="s">
        <v>918</v>
      </c>
      <c r="B96" s="317" t="s">
        <v>231</v>
      </c>
      <c r="C96" s="319">
        <f t="shared" si="12"/>
        <v>0</v>
      </c>
      <c r="D96" s="319">
        <f t="array" ref="D96">SUM(IF((Budget[Ofc Code]=$B$6)*(Budget[Account Code]=$B96)*(Budget[Date]=D$7),Budget[Amount]))</f>
        <v>0</v>
      </c>
      <c r="E96" s="319">
        <f t="array" ref="E96">SUM(IF((Budget[Ofc Code]=$B$6)*(Budget[Account Code]=$B96)*(Budget[Date]=E$7),Budget[Amount]))</f>
        <v>0</v>
      </c>
      <c r="F96" s="319">
        <f t="array" ref="F96">SUM(IF((Budget[Ofc Code]=$B$6)*(Budget[Account Code]=$B96)*(Budget[Date]=F$7),Budget[Amount]))</f>
        <v>0</v>
      </c>
      <c r="G96" s="319">
        <f t="array" ref="G96">SUM(IF((Budget[Ofc Code]=$B$6)*(Budget[Account Code]=$B96)*(Budget[Date]=G$7),Budget[Amount]))</f>
        <v>0</v>
      </c>
      <c r="H96" s="319">
        <f t="array" ref="H96">SUM(IF((Budget[Ofc Code]=$B$6)*(Budget[Account Code]=$B96)*(Budget[Date]=H$7),Budget[Amount]))</f>
        <v>0</v>
      </c>
      <c r="I96" s="319">
        <f t="array" ref="I96">SUM(IF((Budget[Ofc Code]=$B$6)*(Budget[Account Code]=$B96)*(Budget[Date]=I$7),Budget[Amount]))</f>
        <v>0</v>
      </c>
      <c r="J96" s="319">
        <f t="array" ref="J96">SUM(IF((Budget[Ofc Code]=$B$6)*(Budget[Account Code]=$B96)*(Budget[Date]=J$7),Budget[Amount]))</f>
        <v>0</v>
      </c>
      <c r="K96" s="319">
        <f t="array" ref="K96">SUM(IF((Budget[Ofc Code]=$B$6)*(Budget[Account Code]=$B96)*(Budget[Date]=K$7),Budget[Amount]))</f>
        <v>0</v>
      </c>
      <c r="L96" s="319">
        <f t="array" ref="L96">SUM(IF((Budget[Ofc Code]=$B$6)*(Budget[Account Code]=$B96)*(Budget[Date]=L$7),Budget[Amount]))</f>
        <v>0</v>
      </c>
      <c r="M96" s="319">
        <f t="array" ref="M96">SUM(IF((Budget[Ofc Code]=$B$6)*(Budget[Account Code]=$B96)*(Budget[Date]=M$7),Budget[Amount]))</f>
        <v>0</v>
      </c>
      <c r="N96" s="319">
        <f t="array" ref="N96">SUM(IF((Budget[Ofc Code]=$B$6)*(Budget[Account Code]=$B96)*(Budget[Date]=N$7),Budget[Amount]))</f>
        <v>0</v>
      </c>
      <c r="O96" s="319">
        <f t="array" ref="O96">SUM(IF((Budget[Ofc Code]=$B$6)*(Budget[Account Code]=$B96)*(Budget[Date]=O$7),Budget[Amount]))</f>
        <v>0</v>
      </c>
      <c r="P96" s="319">
        <f t="shared" si="17"/>
        <v>0</v>
      </c>
    </row>
    <row r="97" spans="1:16" s="171" customFormat="1">
      <c r="A97" s="321" t="s">
        <v>919</v>
      </c>
      <c r="B97" s="317"/>
      <c r="C97" s="322">
        <f t="shared" si="12"/>
        <v>0</v>
      </c>
      <c r="D97" s="322">
        <f>D98+D99</f>
        <v>0</v>
      </c>
      <c r="E97" s="322">
        <f t="shared" ref="E97:O97" si="21">E98+E99</f>
        <v>0</v>
      </c>
      <c r="F97" s="322">
        <f t="shared" si="21"/>
        <v>0</v>
      </c>
      <c r="G97" s="322">
        <f t="shared" si="21"/>
        <v>0</v>
      </c>
      <c r="H97" s="322">
        <f t="shared" si="21"/>
        <v>0</v>
      </c>
      <c r="I97" s="322">
        <f t="shared" si="21"/>
        <v>0</v>
      </c>
      <c r="J97" s="322">
        <f t="shared" si="21"/>
        <v>0</v>
      </c>
      <c r="K97" s="322">
        <f t="shared" si="21"/>
        <v>0</v>
      </c>
      <c r="L97" s="322">
        <f t="shared" si="21"/>
        <v>0</v>
      </c>
      <c r="M97" s="322">
        <f t="shared" si="21"/>
        <v>0</v>
      </c>
      <c r="N97" s="322">
        <f t="shared" si="21"/>
        <v>0</v>
      </c>
      <c r="O97" s="322">
        <f t="shared" si="21"/>
        <v>0</v>
      </c>
      <c r="P97" s="322">
        <f t="shared" si="17"/>
        <v>0</v>
      </c>
    </row>
    <row r="98" spans="1:16">
      <c r="A98" s="323" t="s">
        <v>920</v>
      </c>
      <c r="B98" s="317" t="s">
        <v>232</v>
      </c>
      <c r="C98" s="319">
        <f t="shared" si="12"/>
        <v>0</v>
      </c>
      <c r="D98" s="319">
        <f t="array" ref="D98">SUM(IF((Budget[Ofc Code]=$B$6)*(Budget[Account Code]=$B98)*(Budget[Date]=D$7),Budget[Amount]))</f>
        <v>0</v>
      </c>
      <c r="E98" s="319">
        <f t="array" ref="E98">SUM(IF((Budget[Ofc Code]=$B$6)*(Budget[Account Code]=$B98)*(Budget[Date]=E$7),Budget[Amount]))</f>
        <v>0</v>
      </c>
      <c r="F98" s="319">
        <f t="array" ref="F98">SUM(IF((Budget[Ofc Code]=$B$6)*(Budget[Account Code]=$B98)*(Budget[Date]=F$7),Budget[Amount]))</f>
        <v>0</v>
      </c>
      <c r="G98" s="319">
        <f t="array" ref="G98">SUM(IF((Budget[Ofc Code]=$B$6)*(Budget[Account Code]=$B98)*(Budget[Date]=G$7),Budget[Amount]))</f>
        <v>0</v>
      </c>
      <c r="H98" s="319">
        <f t="array" ref="H98">SUM(IF((Budget[Ofc Code]=$B$6)*(Budget[Account Code]=$B98)*(Budget[Date]=H$7),Budget[Amount]))</f>
        <v>0</v>
      </c>
      <c r="I98" s="319">
        <f t="array" ref="I98">SUM(IF((Budget[Ofc Code]=$B$6)*(Budget[Account Code]=$B98)*(Budget[Date]=I$7),Budget[Amount]))</f>
        <v>0</v>
      </c>
      <c r="J98" s="319">
        <f t="array" ref="J98">SUM(IF((Budget[Ofc Code]=$B$6)*(Budget[Account Code]=$B98)*(Budget[Date]=J$7),Budget[Amount]))</f>
        <v>0</v>
      </c>
      <c r="K98" s="319">
        <f t="array" ref="K98">SUM(IF((Budget[Ofc Code]=$B$6)*(Budget[Account Code]=$B98)*(Budget[Date]=K$7),Budget[Amount]))</f>
        <v>0</v>
      </c>
      <c r="L98" s="319">
        <f t="array" ref="L98">SUM(IF((Budget[Ofc Code]=$B$6)*(Budget[Account Code]=$B98)*(Budget[Date]=L$7),Budget[Amount]))</f>
        <v>0</v>
      </c>
      <c r="M98" s="319">
        <f t="array" ref="M98">SUM(IF((Budget[Ofc Code]=$B$6)*(Budget[Account Code]=$B98)*(Budget[Date]=M$7),Budget[Amount]))</f>
        <v>0</v>
      </c>
      <c r="N98" s="319">
        <f t="array" ref="N98">SUM(IF((Budget[Ofc Code]=$B$6)*(Budget[Account Code]=$B98)*(Budget[Date]=N$7),Budget[Amount]))</f>
        <v>0</v>
      </c>
      <c r="O98" s="319">
        <f t="array" ref="O98">SUM(IF((Budget[Ofc Code]=$B$6)*(Budget[Account Code]=$B98)*(Budget[Date]=O$7),Budget[Amount]))</f>
        <v>0</v>
      </c>
      <c r="P98" s="319">
        <f t="shared" si="17"/>
        <v>0</v>
      </c>
    </row>
    <row r="99" spans="1:16">
      <c r="A99" s="323" t="s">
        <v>921</v>
      </c>
      <c r="B99" s="317"/>
      <c r="C99" s="319">
        <f t="shared" si="12"/>
        <v>0</v>
      </c>
      <c r="D99" s="319">
        <f>SUM(D100:D101)</f>
        <v>0</v>
      </c>
      <c r="E99" s="319">
        <f t="shared" ref="E99:O99" si="22">SUM(E100:E101)</f>
        <v>0</v>
      </c>
      <c r="F99" s="319">
        <f t="shared" si="22"/>
        <v>0</v>
      </c>
      <c r="G99" s="319">
        <f t="shared" si="22"/>
        <v>0</v>
      </c>
      <c r="H99" s="319">
        <f t="shared" si="22"/>
        <v>0</v>
      </c>
      <c r="I99" s="319">
        <f t="shared" si="22"/>
        <v>0</v>
      </c>
      <c r="J99" s="319">
        <f t="shared" si="22"/>
        <v>0</v>
      </c>
      <c r="K99" s="319">
        <f t="shared" si="22"/>
        <v>0</v>
      </c>
      <c r="L99" s="319">
        <f t="shared" si="22"/>
        <v>0</v>
      </c>
      <c r="M99" s="319">
        <f t="shared" si="22"/>
        <v>0</v>
      </c>
      <c r="N99" s="319">
        <f t="shared" si="22"/>
        <v>0</v>
      </c>
      <c r="O99" s="319">
        <f t="shared" si="22"/>
        <v>0</v>
      </c>
      <c r="P99" s="319">
        <f t="shared" si="17"/>
        <v>0</v>
      </c>
    </row>
    <row r="100" spans="1:16">
      <c r="A100" s="323" t="s">
        <v>922</v>
      </c>
      <c r="B100" s="317" t="s">
        <v>233</v>
      </c>
      <c r="C100" s="319">
        <f t="shared" si="12"/>
        <v>0</v>
      </c>
      <c r="D100" s="319">
        <f t="array" ref="D100">SUM(IF((Budget[Ofc Code]=$B$6)*(Budget[Account Code]=$B100)*(Budget[Date]=D$7),Budget[Amount]))</f>
        <v>0</v>
      </c>
      <c r="E100" s="319">
        <f t="array" ref="E100">SUM(IF((Budget[Ofc Code]=$B$6)*(Budget[Account Code]=$B100)*(Budget[Date]=E$7),Budget[Amount]))</f>
        <v>0</v>
      </c>
      <c r="F100" s="319">
        <f t="array" ref="F100">SUM(IF((Budget[Ofc Code]=$B$6)*(Budget[Account Code]=$B100)*(Budget[Date]=F$7),Budget[Amount]))</f>
        <v>0</v>
      </c>
      <c r="G100" s="319">
        <f t="array" ref="G100">SUM(IF((Budget[Ofc Code]=$B$6)*(Budget[Account Code]=$B100)*(Budget[Date]=G$7),Budget[Amount]))</f>
        <v>0</v>
      </c>
      <c r="H100" s="319">
        <f t="array" ref="H100">SUM(IF((Budget[Ofc Code]=$B$6)*(Budget[Account Code]=$B100)*(Budget[Date]=H$7),Budget[Amount]))</f>
        <v>0</v>
      </c>
      <c r="I100" s="319">
        <f t="array" ref="I100">SUM(IF((Budget[Ofc Code]=$B$6)*(Budget[Account Code]=$B100)*(Budget[Date]=I$7),Budget[Amount]))</f>
        <v>0</v>
      </c>
      <c r="J100" s="319">
        <f t="array" ref="J100">SUM(IF((Budget[Ofc Code]=$B$6)*(Budget[Account Code]=$B100)*(Budget[Date]=J$7),Budget[Amount]))</f>
        <v>0</v>
      </c>
      <c r="K100" s="319">
        <f t="array" ref="K100">SUM(IF((Budget[Ofc Code]=$B$6)*(Budget[Account Code]=$B100)*(Budget[Date]=K$7),Budget[Amount]))</f>
        <v>0</v>
      </c>
      <c r="L100" s="319">
        <f t="array" ref="L100">SUM(IF((Budget[Ofc Code]=$B$6)*(Budget[Account Code]=$B100)*(Budget[Date]=L$7),Budget[Amount]))</f>
        <v>0</v>
      </c>
      <c r="M100" s="319">
        <f t="array" ref="M100">SUM(IF((Budget[Ofc Code]=$B$6)*(Budget[Account Code]=$B100)*(Budget[Date]=M$7),Budget[Amount]))</f>
        <v>0</v>
      </c>
      <c r="N100" s="319">
        <f t="array" ref="N100">SUM(IF((Budget[Ofc Code]=$B$6)*(Budget[Account Code]=$B100)*(Budget[Date]=N$7),Budget[Amount]))</f>
        <v>0</v>
      </c>
      <c r="O100" s="319">
        <f t="array" ref="O100">SUM(IF((Budget[Ofc Code]=$B$6)*(Budget[Account Code]=$B100)*(Budget[Date]=O$7),Budget[Amount]))</f>
        <v>0</v>
      </c>
      <c r="P100" s="319">
        <f t="shared" si="17"/>
        <v>0</v>
      </c>
    </row>
    <row r="101" spans="1:16">
      <c r="A101" s="323" t="s">
        <v>923</v>
      </c>
      <c r="B101" s="317"/>
      <c r="C101" s="319">
        <f t="shared" si="12"/>
        <v>0</v>
      </c>
      <c r="D101" s="319">
        <f t="array" ref="D101">SUM(IF((Budget[Ofc Code]=$B$6)*(Budget[Account Code]=$B101)*(Budget[Date]=D$7),Budget[Amount]))</f>
        <v>0</v>
      </c>
      <c r="E101" s="319">
        <f t="array" ref="E101">SUM(IF((Budget[Ofc Code]=$B$6)*(Budget[Account Code]=$B101)*(Budget[Date]=E$7),Budget[Amount]))</f>
        <v>0</v>
      </c>
      <c r="F101" s="319">
        <f t="array" ref="F101">SUM(IF((Budget[Ofc Code]=$B$6)*(Budget[Account Code]=$B101)*(Budget[Date]=F$7),Budget[Amount]))</f>
        <v>0</v>
      </c>
      <c r="G101" s="319">
        <f t="array" ref="G101">SUM(IF((Budget[Ofc Code]=$B$6)*(Budget[Account Code]=$B101)*(Budget[Date]=G$7),Budget[Amount]))</f>
        <v>0</v>
      </c>
      <c r="H101" s="319">
        <f t="array" ref="H101">SUM(IF((Budget[Ofc Code]=$B$6)*(Budget[Account Code]=$B101)*(Budget[Date]=H$7),Budget[Amount]))</f>
        <v>0</v>
      </c>
      <c r="I101" s="319">
        <f t="array" ref="I101">SUM(IF((Budget[Ofc Code]=$B$6)*(Budget[Account Code]=$B101)*(Budget[Date]=I$7),Budget[Amount]))</f>
        <v>0</v>
      </c>
      <c r="J101" s="319">
        <f t="array" ref="J101">SUM(IF((Budget[Ofc Code]=$B$6)*(Budget[Account Code]=$B101)*(Budget[Date]=J$7),Budget[Amount]))</f>
        <v>0</v>
      </c>
      <c r="K101" s="319">
        <f t="array" ref="K101">SUM(IF((Budget[Ofc Code]=$B$6)*(Budget[Account Code]=$B101)*(Budget[Date]=K$7),Budget[Amount]))</f>
        <v>0</v>
      </c>
      <c r="L101" s="319">
        <f t="array" ref="L101">SUM(IF((Budget[Ofc Code]=$B$6)*(Budget[Account Code]=$B101)*(Budget[Date]=L$7),Budget[Amount]))</f>
        <v>0</v>
      </c>
      <c r="M101" s="319">
        <f t="array" ref="M101">SUM(IF((Budget[Ofc Code]=$B$6)*(Budget[Account Code]=$B101)*(Budget[Date]=M$7),Budget[Amount]))</f>
        <v>0</v>
      </c>
      <c r="N101" s="319">
        <f t="array" ref="N101">SUM(IF((Budget[Ofc Code]=$B$6)*(Budget[Account Code]=$B101)*(Budget[Date]=N$7),Budget[Amount]))</f>
        <v>0</v>
      </c>
      <c r="O101" s="319">
        <f t="array" ref="O101">SUM(IF((Budget[Ofc Code]=$B$6)*(Budget[Account Code]=$B101)*(Budget[Date]=O$7),Budget[Amount]))</f>
        <v>0</v>
      </c>
      <c r="P101" s="319">
        <f t="shared" si="17"/>
        <v>0</v>
      </c>
    </row>
    <row r="102" spans="1:16" s="171" customFormat="1">
      <c r="A102" s="321" t="s">
        <v>924</v>
      </c>
      <c r="B102" s="317"/>
      <c r="C102" s="322">
        <f t="shared" si="12"/>
        <v>0</v>
      </c>
      <c r="D102" s="322">
        <f>SUM(D103:D107)</f>
        <v>0</v>
      </c>
      <c r="E102" s="322">
        <f t="shared" ref="E102:O102" si="23">SUM(E103:E107)</f>
        <v>0</v>
      </c>
      <c r="F102" s="322">
        <f t="shared" si="23"/>
        <v>0</v>
      </c>
      <c r="G102" s="322">
        <f t="shared" si="23"/>
        <v>0</v>
      </c>
      <c r="H102" s="322">
        <f t="shared" si="23"/>
        <v>0</v>
      </c>
      <c r="I102" s="322">
        <f t="shared" si="23"/>
        <v>0</v>
      </c>
      <c r="J102" s="322">
        <f t="shared" si="23"/>
        <v>0</v>
      </c>
      <c r="K102" s="322">
        <f t="shared" si="23"/>
        <v>0</v>
      </c>
      <c r="L102" s="322">
        <f t="shared" si="23"/>
        <v>0</v>
      </c>
      <c r="M102" s="322">
        <f t="shared" si="23"/>
        <v>0</v>
      </c>
      <c r="N102" s="322">
        <f t="shared" si="23"/>
        <v>0</v>
      </c>
      <c r="O102" s="322">
        <f t="shared" si="23"/>
        <v>0</v>
      </c>
      <c r="P102" s="322">
        <f t="shared" si="17"/>
        <v>0</v>
      </c>
    </row>
    <row r="103" spans="1:16">
      <c r="A103" s="323" t="s">
        <v>925</v>
      </c>
      <c r="B103" s="317" t="s">
        <v>234</v>
      </c>
      <c r="C103" s="319">
        <f t="shared" si="12"/>
        <v>0</v>
      </c>
      <c r="D103" s="319">
        <f t="array" ref="D103">SUM(IF((Budget[Ofc Code]=$B$6)*(Budget[Account Code]=$B103)*(Budget[Date]=D$7),Budget[Amount]))</f>
        <v>0</v>
      </c>
      <c r="E103" s="319">
        <f t="array" ref="E103">SUM(IF((Budget[Ofc Code]=$B$6)*(Budget[Account Code]=$B103)*(Budget[Date]=E$7),Budget[Amount]))</f>
        <v>0</v>
      </c>
      <c r="F103" s="319">
        <f t="array" ref="F103">SUM(IF((Budget[Ofc Code]=$B$6)*(Budget[Account Code]=$B103)*(Budget[Date]=F$7),Budget[Amount]))</f>
        <v>0</v>
      </c>
      <c r="G103" s="319">
        <f t="array" ref="G103">SUM(IF((Budget[Ofc Code]=$B$6)*(Budget[Account Code]=$B103)*(Budget[Date]=G$7),Budget[Amount]))</f>
        <v>0</v>
      </c>
      <c r="H103" s="319">
        <f t="array" ref="H103">SUM(IF((Budget[Ofc Code]=$B$6)*(Budget[Account Code]=$B103)*(Budget[Date]=H$7),Budget[Amount]))</f>
        <v>0</v>
      </c>
      <c r="I103" s="319">
        <f t="array" ref="I103">SUM(IF((Budget[Ofc Code]=$B$6)*(Budget[Account Code]=$B103)*(Budget[Date]=I$7),Budget[Amount]))</f>
        <v>0</v>
      </c>
      <c r="J103" s="319">
        <f t="array" ref="J103">SUM(IF((Budget[Ofc Code]=$B$6)*(Budget[Account Code]=$B103)*(Budget[Date]=J$7),Budget[Amount]))</f>
        <v>0</v>
      </c>
      <c r="K103" s="319">
        <f t="array" ref="K103">SUM(IF((Budget[Ofc Code]=$B$6)*(Budget[Account Code]=$B103)*(Budget[Date]=K$7),Budget[Amount]))</f>
        <v>0</v>
      </c>
      <c r="L103" s="319">
        <f t="array" ref="L103">SUM(IF((Budget[Ofc Code]=$B$6)*(Budget[Account Code]=$B103)*(Budget[Date]=L$7),Budget[Amount]))</f>
        <v>0</v>
      </c>
      <c r="M103" s="319">
        <f t="array" ref="M103">SUM(IF((Budget[Ofc Code]=$B$6)*(Budget[Account Code]=$B103)*(Budget[Date]=M$7),Budget[Amount]))</f>
        <v>0</v>
      </c>
      <c r="N103" s="319">
        <f t="array" ref="N103">SUM(IF((Budget[Ofc Code]=$B$6)*(Budget[Account Code]=$B103)*(Budget[Date]=N$7),Budget[Amount]))</f>
        <v>0</v>
      </c>
      <c r="O103" s="319">
        <f t="array" ref="O103">SUM(IF((Budget[Ofc Code]=$B$6)*(Budget[Account Code]=$B103)*(Budget[Date]=O$7),Budget[Amount]))</f>
        <v>0</v>
      </c>
      <c r="P103" s="319">
        <f t="shared" si="17"/>
        <v>0</v>
      </c>
    </row>
    <row r="104" spans="1:16">
      <c r="A104" s="323" t="s">
        <v>926</v>
      </c>
      <c r="B104" s="317" t="s">
        <v>235</v>
      </c>
      <c r="C104" s="319">
        <f t="shared" si="12"/>
        <v>0</v>
      </c>
      <c r="D104" s="319">
        <f t="array" ref="D104">SUM(IF((Budget[Ofc Code]=$B$6)*(Budget[Account Code]=$B104)*(Budget[Date]=D$7),Budget[Amount]))</f>
        <v>0</v>
      </c>
      <c r="E104" s="319">
        <f t="array" ref="E104">SUM(IF((Budget[Ofc Code]=$B$6)*(Budget[Account Code]=$B104)*(Budget[Date]=E$7),Budget[Amount]))</f>
        <v>0</v>
      </c>
      <c r="F104" s="319">
        <f t="array" ref="F104">SUM(IF((Budget[Ofc Code]=$B$6)*(Budget[Account Code]=$B104)*(Budget[Date]=F$7),Budget[Amount]))</f>
        <v>0</v>
      </c>
      <c r="G104" s="319">
        <f t="array" ref="G104">SUM(IF((Budget[Ofc Code]=$B$6)*(Budget[Account Code]=$B104)*(Budget[Date]=G$7),Budget[Amount]))</f>
        <v>0</v>
      </c>
      <c r="H104" s="319">
        <f t="array" ref="H104">SUM(IF((Budget[Ofc Code]=$B$6)*(Budget[Account Code]=$B104)*(Budget[Date]=H$7),Budget[Amount]))</f>
        <v>0</v>
      </c>
      <c r="I104" s="319">
        <f t="array" ref="I104">SUM(IF((Budget[Ofc Code]=$B$6)*(Budget[Account Code]=$B104)*(Budget[Date]=I$7),Budget[Amount]))</f>
        <v>0</v>
      </c>
      <c r="J104" s="319">
        <f t="array" ref="J104">SUM(IF((Budget[Ofc Code]=$B$6)*(Budget[Account Code]=$B104)*(Budget[Date]=J$7),Budget[Amount]))</f>
        <v>0</v>
      </c>
      <c r="K104" s="319">
        <f t="array" ref="K104">SUM(IF((Budget[Ofc Code]=$B$6)*(Budget[Account Code]=$B104)*(Budget[Date]=K$7),Budget[Amount]))</f>
        <v>0</v>
      </c>
      <c r="L104" s="319">
        <f t="array" ref="L104">SUM(IF((Budget[Ofc Code]=$B$6)*(Budget[Account Code]=$B104)*(Budget[Date]=L$7),Budget[Amount]))</f>
        <v>0</v>
      </c>
      <c r="M104" s="319">
        <f t="array" ref="M104">SUM(IF((Budget[Ofc Code]=$B$6)*(Budget[Account Code]=$B104)*(Budget[Date]=M$7),Budget[Amount]))</f>
        <v>0</v>
      </c>
      <c r="N104" s="319">
        <f t="array" ref="N104">SUM(IF((Budget[Ofc Code]=$B$6)*(Budget[Account Code]=$B104)*(Budget[Date]=N$7),Budget[Amount]))</f>
        <v>0</v>
      </c>
      <c r="O104" s="319">
        <f t="array" ref="O104">SUM(IF((Budget[Ofc Code]=$B$6)*(Budget[Account Code]=$B104)*(Budget[Date]=O$7),Budget[Amount]))</f>
        <v>0</v>
      </c>
      <c r="P104" s="319">
        <f t="shared" si="17"/>
        <v>0</v>
      </c>
    </row>
    <row r="105" spans="1:16">
      <c r="A105" s="323" t="s">
        <v>927</v>
      </c>
      <c r="B105" s="317" t="s">
        <v>236</v>
      </c>
      <c r="C105" s="319">
        <f t="shared" si="12"/>
        <v>0</v>
      </c>
      <c r="D105" s="319">
        <f t="array" ref="D105">SUM(IF((Budget[Ofc Code]=$B$6)*(Budget[Account Code]=$B105)*(Budget[Date]=D$7),Budget[Amount]))</f>
        <v>0</v>
      </c>
      <c r="E105" s="319">
        <f t="array" ref="E105">SUM(IF((Budget[Ofc Code]=$B$6)*(Budget[Account Code]=$B105)*(Budget[Date]=E$7),Budget[Amount]))</f>
        <v>0</v>
      </c>
      <c r="F105" s="319">
        <f t="array" ref="F105">SUM(IF((Budget[Ofc Code]=$B$6)*(Budget[Account Code]=$B105)*(Budget[Date]=F$7),Budget[Amount]))</f>
        <v>0</v>
      </c>
      <c r="G105" s="319">
        <f t="array" ref="G105">SUM(IF((Budget[Ofc Code]=$B$6)*(Budget[Account Code]=$B105)*(Budget[Date]=G$7),Budget[Amount]))</f>
        <v>0</v>
      </c>
      <c r="H105" s="319">
        <f t="array" ref="H105">SUM(IF((Budget[Ofc Code]=$B$6)*(Budget[Account Code]=$B105)*(Budget[Date]=H$7),Budget[Amount]))</f>
        <v>0</v>
      </c>
      <c r="I105" s="319">
        <f t="array" ref="I105">SUM(IF((Budget[Ofc Code]=$B$6)*(Budget[Account Code]=$B105)*(Budget[Date]=I$7),Budget[Amount]))</f>
        <v>0</v>
      </c>
      <c r="J105" s="319">
        <f t="array" ref="J105">SUM(IF((Budget[Ofc Code]=$B$6)*(Budget[Account Code]=$B105)*(Budget[Date]=J$7),Budget[Amount]))</f>
        <v>0</v>
      </c>
      <c r="K105" s="319">
        <f t="array" ref="K105">SUM(IF((Budget[Ofc Code]=$B$6)*(Budget[Account Code]=$B105)*(Budget[Date]=K$7),Budget[Amount]))</f>
        <v>0</v>
      </c>
      <c r="L105" s="319">
        <f t="array" ref="L105">SUM(IF((Budget[Ofc Code]=$B$6)*(Budget[Account Code]=$B105)*(Budget[Date]=L$7),Budget[Amount]))</f>
        <v>0</v>
      </c>
      <c r="M105" s="319">
        <f t="array" ref="M105">SUM(IF((Budget[Ofc Code]=$B$6)*(Budget[Account Code]=$B105)*(Budget[Date]=M$7),Budget[Amount]))</f>
        <v>0</v>
      </c>
      <c r="N105" s="319">
        <f t="array" ref="N105">SUM(IF((Budget[Ofc Code]=$B$6)*(Budget[Account Code]=$B105)*(Budget[Date]=N$7),Budget[Amount]))</f>
        <v>0</v>
      </c>
      <c r="O105" s="319">
        <f t="array" ref="O105">SUM(IF((Budget[Ofc Code]=$B$6)*(Budget[Account Code]=$B105)*(Budget[Date]=O$7),Budget[Amount]))</f>
        <v>0</v>
      </c>
      <c r="P105" s="319">
        <f t="shared" si="17"/>
        <v>0</v>
      </c>
    </row>
    <row r="106" spans="1:16">
      <c r="A106" s="323" t="s">
        <v>928</v>
      </c>
      <c r="B106" s="317" t="s">
        <v>237</v>
      </c>
      <c r="C106" s="319">
        <f t="shared" si="12"/>
        <v>0</v>
      </c>
      <c r="D106" s="319">
        <f t="array" ref="D106">SUM(IF((Budget[Ofc Code]=$B$6)*(Budget[Account Code]=$B106)*(Budget[Date]=D$7),Budget[Amount]))</f>
        <v>0</v>
      </c>
      <c r="E106" s="319">
        <f t="array" ref="E106">SUM(IF((Budget[Ofc Code]=$B$6)*(Budget[Account Code]=$B106)*(Budget[Date]=E$7),Budget[Amount]))</f>
        <v>0</v>
      </c>
      <c r="F106" s="319">
        <f t="array" ref="F106">SUM(IF((Budget[Ofc Code]=$B$6)*(Budget[Account Code]=$B106)*(Budget[Date]=F$7),Budget[Amount]))</f>
        <v>0</v>
      </c>
      <c r="G106" s="319">
        <f t="array" ref="G106">SUM(IF((Budget[Ofc Code]=$B$6)*(Budget[Account Code]=$B106)*(Budget[Date]=G$7),Budget[Amount]))</f>
        <v>0</v>
      </c>
      <c r="H106" s="319">
        <f t="array" ref="H106">SUM(IF((Budget[Ofc Code]=$B$6)*(Budget[Account Code]=$B106)*(Budget[Date]=H$7),Budget[Amount]))</f>
        <v>0</v>
      </c>
      <c r="I106" s="319">
        <f t="array" ref="I106">SUM(IF((Budget[Ofc Code]=$B$6)*(Budget[Account Code]=$B106)*(Budget[Date]=I$7),Budget[Amount]))</f>
        <v>0</v>
      </c>
      <c r="J106" s="319">
        <f t="array" ref="J106">SUM(IF((Budget[Ofc Code]=$B$6)*(Budget[Account Code]=$B106)*(Budget[Date]=J$7),Budget[Amount]))</f>
        <v>0</v>
      </c>
      <c r="K106" s="319">
        <f t="array" ref="K106">SUM(IF((Budget[Ofc Code]=$B$6)*(Budget[Account Code]=$B106)*(Budget[Date]=K$7),Budget[Amount]))</f>
        <v>0</v>
      </c>
      <c r="L106" s="319">
        <f t="array" ref="L106">SUM(IF((Budget[Ofc Code]=$B$6)*(Budget[Account Code]=$B106)*(Budget[Date]=L$7),Budget[Amount]))</f>
        <v>0</v>
      </c>
      <c r="M106" s="319">
        <f t="array" ref="M106">SUM(IF((Budget[Ofc Code]=$B$6)*(Budget[Account Code]=$B106)*(Budget[Date]=M$7),Budget[Amount]))</f>
        <v>0</v>
      </c>
      <c r="N106" s="319">
        <f t="array" ref="N106">SUM(IF((Budget[Ofc Code]=$B$6)*(Budget[Account Code]=$B106)*(Budget[Date]=N$7),Budget[Amount]))</f>
        <v>0</v>
      </c>
      <c r="O106" s="319">
        <f t="array" ref="O106">SUM(IF((Budget[Ofc Code]=$B$6)*(Budget[Account Code]=$B106)*(Budget[Date]=O$7),Budget[Amount]))</f>
        <v>0</v>
      </c>
      <c r="P106" s="319">
        <f t="shared" si="17"/>
        <v>0</v>
      </c>
    </row>
    <row r="107" spans="1:16">
      <c r="A107" s="323" t="s">
        <v>929</v>
      </c>
      <c r="B107" s="317" t="s">
        <v>238</v>
      </c>
      <c r="C107" s="319">
        <f t="shared" si="12"/>
        <v>0</v>
      </c>
      <c r="D107" s="319">
        <f t="array" ref="D107">SUM(IF((Budget[Ofc Code]=$B$6)*(Budget[Account Code]=$B107)*(Budget[Date]=D$7),Budget[Amount]))</f>
        <v>0</v>
      </c>
      <c r="E107" s="319">
        <f t="array" ref="E107">SUM(IF((Budget[Ofc Code]=$B$6)*(Budget[Account Code]=$B107)*(Budget[Date]=E$7),Budget[Amount]))</f>
        <v>0</v>
      </c>
      <c r="F107" s="319">
        <f t="array" ref="F107">SUM(IF((Budget[Ofc Code]=$B$6)*(Budget[Account Code]=$B107)*(Budget[Date]=F$7),Budget[Amount]))</f>
        <v>0</v>
      </c>
      <c r="G107" s="319">
        <f t="array" ref="G107">SUM(IF((Budget[Ofc Code]=$B$6)*(Budget[Account Code]=$B107)*(Budget[Date]=G$7),Budget[Amount]))</f>
        <v>0</v>
      </c>
      <c r="H107" s="319">
        <f t="array" ref="H107">SUM(IF((Budget[Ofc Code]=$B$6)*(Budget[Account Code]=$B107)*(Budget[Date]=H$7),Budget[Amount]))</f>
        <v>0</v>
      </c>
      <c r="I107" s="319">
        <f t="array" ref="I107">SUM(IF((Budget[Ofc Code]=$B$6)*(Budget[Account Code]=$B107)*(Budget[Date]=I$7),Budget[Amount]))</f>
        <v>0</v>
      </c>
      <c r="J107" s="319">
        <f t="array" ref="J107">SUM(IF((Budget[Ofc Code]=$B$6)*(Budget[Account Code]=$B107)*(Budget[Date]=J$7),Budget[Amount]))</f>
        <v>0</v>
      </c>
      <c r="K107" s="319">
        <f t="array" ref="K107">SUM(IF((Budget[Ofc Code]=$B$6)*(Budget[Account Code]=$B107)*(Budget[Date]=K$7),Budget[Amount]))</f>
        <v>0</v>
      </c>
      <c r="L107" s="319">
        <f t="array" ref="L107">SUM(IF((Budget[Ofc Code]=$B$6)*(Budget[Account Code]=$B107)*(Budget[Date]=L$7),Budget[Amount]))</f>
        <v>0</v>
      </c>
      <c r="M107" s="319">
        <f t="array" ref="M107">SUM(IF((Budget[Ofc Code]=$B$6)*(Budget[Account Code]=$B107)*(Budget[Date]=M$7),Budget[Amount]))</f>
        <v>0</v>
      </c>
      <c r="N107" s="319">
        <f t="array" ref="N107">SUM(IF((Budget[Ofc Code]=$B$6)*(Budget[Account Code]=$B107)*(Budget[Date]=N$7),Budget[Amount]))</f>
        <v>0</v>
      </c>
      <c r="O107" s="319">
        <f t="array" ref="O107">SUM(IF((Budget[Ofc Code]=$B$6)*(Budget[Account Code]=$B107)*(Budget[Date]=O$7),Budget[Amount]))</f>
        <v>0</v>
      </c>
      <c r="P107" s="319">
        <f t="shared" si="17"/>
        <v>0</v>
      </c>
    </row>
    <row r="108" spans="1:16" s="171" customFormat="1">
      <c r="A108" s="321" t="s">
        <v>930</v>
      </c>
      <c r="B108" s="317" t="s">
        <v>239</v>
      </c>
      <c r="C108" s="322">
        <f t="shared" si="12"/>
        <v>0</v>
      </c>
      <c r="D108" s="322">
        <v>0</v>
      </c>
      <c r="E108" s="322">
        <v>0</v>
      </c>
      <c r="F108" s="322">
        <v>0</v>
      </c>
      <c r="G108" s="322">
        <v>0</v>
      </c>
      <c r="H108" s="322">
        <v>0</v>
      </c>
      <c r="I108" s="322">
        <v>0</v>
      </c>
      <c r="J108" s="322">
        <v>0</v>
      </c>
      <c r="K108" s="322">
        <v>0</v>
      </c>
      <c r="L108" s="322">
        <v>0</v>
      </c>
      <c r="M108" s="322">
        <v>0</v>
      </c>
      <c r="N108" s="322">
        <v>0</v>
      </c>
      <c r="O108" s="322">
        <v>0</v>
      </c>
      <c r="P108" s="322">
        <f t="shared" si="17"/>
        <v>0</v>
      </c>
    </row>
    <row r="109" spans="1:16" s="171" customFormat="1">
      <c r="A109" s="321" t="s">
        <v>931</v>
      </c>
      <c r="B109" s="317" t="s">
        <v>240</v>
      </c>
      <c r="C109" s="322">
        <f t="shared" si="12"/>
        <v>0</v>
      </c>
      <c r="D109" s="319">
        <f t="array" ref="D109">SUM(IF((Budget[Ofc Code]=$B$6)*(Budget[Account Code]=$B109)*(Budget[Date]=D$7),Budget[Amount]))</f>
        <v>0</v>
      </c>
      <c r="E109" s="319">
        <f t="array" ref="E109">SUM(IF((Budget[Ofc Code]=$B$6)*(Budget[Account Code]=$B109)*(Budget[Date]=E$7),Budget[Amount]))</f>
        <v>0</v>
      </c>
      <c r="F109" s="319">
        <f t="array" ref="F109">SUM(IF((Budget[Ofc Code]=$B$6)*(Budget[Account Code]=$B109)*(Budget[Date]=F$7),Budget[Amount]))</f>
        <v>0</v>
      </c>
      <c r="G109" s="319">
        <f t="array" ref="G109">SUM(IF((Budget[Ofc Code]=$B$6)*(Budget[Account Code]=$B109)*(Budget[Date]=G$7),Budget[Amount]))</f>
        <v>0</v>
      </c>
      <c r="H109" s="319">
        <f t="array" ref="H109">SUM(IF((Budget[Ofc Code]=$B$6)*(Budget[Account Code]=$B109)*(Budget[Date]=H$7),Budget[Amount]))</f>
        <v>0</v>
      </c>
      <c r="I109" s="319">
        <f t="array" ref="I109">SUM(IF((Budget[Ofc Code]=$B$6)*(Budget[Account Code]=$B109)*(Budget[Date]=I$7),Budget[Amount]))</f>
        <v>0</v>
      </c>
      <c r="J109" s="319">
        <f t="array" ref="J109">SUM(IF((Budget[Ofc Code]=$B$6)*(Budget[Account Code]=$B109)*(Budget[Date]=J$7),Budget[Amount]))</f>
        <v>0</v>
      </c>
      <c r="K109" s="319">
        <f t="array" ref="K109">SUM(IF((Budget[Ofc Code]=$B$6)*(Budget[Account Code]=$B109)*(Budget[Date]=K$7),Budget[Amount]))</f>
        <v>0</v>
      </c>
      <c r="L109" s="319">
        <f t="array" ref="L109">SUM(IF((Budget[Ofc Code]=$B$6)*(Budget[Account Code]=$B109)*(Budget[Date]=L$7),Budget[Amount]))</f>
        <v>0</v>
      </c>
      <c r="M109" s="319">
        <f t="array" ref="M109">SUM(IF((Budget[Ofc Code]=$B$6)*(Budget[Account Code]=$B109)*(Budget[Date]=M$7),Budget[Amount]))</f>
        <v>0</v>
      </c>
      <c r="N109" s="319">
        <f t="array" ref="N109">SUM(IF((Budget[Ofc Code]=$B$6)*(Budget[Account Code]=$B109)*(Budget[Date]=N$7),Budget[Amount]))</f>
        <v>0</v>
      </c>
      <c r="O109" s="319">
        <f t="array" ref="O109">SUM(IF((Budget[Ofc Code]=$B$6)*(Budget[Account Code]=$B109)*(Budget[Date]=O$7),Budget[Amount]))</f>
        <v>0</v>
      </c>
      <c r="P109" s="322">
        <f t="shared" si="17"/>
        <v>0</v>
      </c>
    </row>
    <row r="110" spans="1:16" s="171" customFormat="1">
      <c r="A110" s="321" t="s">
        <v>932</v>
      </c>
      <c r="B110" s="317" t="s">
        <v>241</v>
      </c>
      <c r="C110" s="322">
        <f t="shared" si="12"/>
        <v>0</v>
      </c>
      <c r="D110" s="319">
        <f t="array" ref="D110">SUM(IF((Budget[Ofc Code]=$B$6)*(Budget[Account Code]=$B110)*(Budget[Date]=D$7),Budget[Amount]))</f>
        <v>0</v>
      </c>
      <c r="E110" s="319">
        <f t="array" ref="E110">SUM(IF((Budget[Ofc Code]=$B$6)*(Budget[Account Code]=$B110)*(Budget[Date]=E$7),Budget[Amount]))</f>
        <v>0</v>
      </c>
      <c r="F110" s="319">
        <f t="array" ref="F110">SUM(IF((Budget[Ofc Code]=$B$6)*(Budget[Account Code]=$B110)*(Budget[Date]=F$7),Budget[Amount]))</f>
        <v>0</v>
      </c>
      <c r="G110" s="319">
        <f t="array" ref="G110">SUM(IF((Budget[Ofc Code]=$B$6)*(Budget[Account Code]=$B110)*(Budget[Date]=G$7),Budget[Amount]))</f>
        <v>0</v>
      </c>
      <c r="H110" s="319">
        <f t="array" ref="H110">SUM(IF((Budget[Ofc Code]=$B$6)*(Budget[Account Code]=$B110)*(Budget[Date]=H$7),Budget[Amount]))</f>
        <v>0</v>
      </c>
      <c r="I110" s="319">
        <f t="array" ref="I110">SUM(IF((Budget[Ofc Code]=$B$6)*(Budget[Account Code]=$B110)*(Budget[Date]=I$7),Budget[Amount]))</f>
        <v>0</v>
      </c>
      <c r="J110" s="319">
        <f t="array" ref="J110">SUM(IF((Budget[Ofc Code]=$B$6)*(Budget[Account Code]=$B110)*(Budget[Date]=J$7),Budget[Amount]))</f>
        <v>0</v>
      </c>
      <c r="K110" s="319">
        <f t="array" ref="K110">SUM(IF((Budget[Ofc Code]=$B$6)*(Budget[Account Code]=$B110)*(Budget[Date]=K$7),Budget[Amount]))</f>
        <v>0</v>
      </c>
      <c r="L110" s="319">
        <f t="array" ref="L110">SUM(IF((Budget[Ofc Code]=$B$6)*(Budget[Account Code]=$B110)*(Budget[Date]=L$7),Budget[Amount]))</f>
        <v>0</v>
      </c>
      <c r="M110" s="319">
        <f t="array" ref="M110">SUM(IF((Budget[Ofc Code]=$B$6)*(Budget[Account Code]=$B110)*(Budget[Date]=M$7),Budget[Amount]))</f>
        <v>0</v>
      </c>
      <c r="N110" s="319">
        <f t="array" ref="N110">SUM(IF((Budget[Ofc Code]=$B$6)*(Budget[Account Code]=$B110)*(Budget[Date]=N$7),Budget[Amount]))</f>
        <v>0</v>
      </c>
      <c r="O110" s="319">
        <f t="array" ref="O110">SUM(IF((Budget[Ofc Code]=$B$6)*(Budget[Account Code]=$B110)*(Budget[Date]=O$7),Budget[Amount]))</f>
        <v>0</v>
      </c>
      <c r="P110" s="322">
        <f t="shared" si="17"/>
        <v>0</v>
      </c>
    </row>
    <row r="111" spans="1:16" s="171" customFormat="1">
      <c r="A111" s="321" t="s">
        <v>933</v>
      </c>
      <c r="B111" s="317" t="s">
        <v>242</v>
      </c>
      <c r="C111" s="322">
        <f t="shared" si="12"/>
        <v>0</v>
      </c>
      <c r="D111" s="319">
        <f t="array" ref="D111">SUM(IF((Budget[Ofc Code]=$B$6)*(Budget[Account Code]=$B111)*(Budget[Date]=D$7),Budget[Amount]))</f>
        <v>0</v>
      </c>
      <c r="E111" s="319">
        <f t="array" ref="E111">SUM(IF((Budget[Ofc Code]=$B$6)*(Budget[Account Code]=$B111)*(Budget[Date]=E$7),Budget[Amount]))</f>
        <v>0</v>
      </c>
      <c r="F111" s="319">
        <f t="array" ref="F111">SUM(IF((Budget[Ofc Code]=$B$6)*(Budget[Account Code]=$B111)*(Budget[Date]=F$7),Budget[Amount]))</f>
        <v>0</v>
      </c>
      <c r="G111" s="319">
        <f t="array" ref="G111">SUM(IF((Budget[Ofc Code]=$B$6)*(Budget[Account Code]=$B111)*(Budget[Date]=G$7),Budget[Amount]))</f>
        <v>0</v>
      </c>
      <c r="H111" s="319">
        <f t="array" ref="H111">SUM(IF((Budget[Ofc Code]=$B$6)*(Budget[Account Code]=$B111)*(Budget[Date]=H$7),Budget[Amount]))</f>
        <v>0</v>
      </c>
      <c r="I111" s="319">
        <f t="array" ref="I111">SUM(IF((Budget[Ofc Code]=$B$6)*(Budget[Account Code]=$B111)*(Budget[Date]=I$7),Budget[Amount]))</f>
        <v>0</v>
      </c>
      <c r="J111" s="319">
        <f t="array" ref="J111">SUM(IF((Budget[Ofc Code]=$B$6)*(Budget[Account Code]=$B111)*(Budget[Date]=J$7),Budget[Amount]))</f>
        <v>0</v>
      </c>
      <c r="K111" s="319">
        <f t="array" ref="K111">SUM(IF((Budget[Ofc Code]=$B$6)*(Budget[Account Code]=$B111)*(Budget[Date]=K$7),Budget[Amount]))</f>
        <v>0</v>
      </c>
      <c r="L111" s="319">
        <f t="array" ref="L111">SUM(IF((Budget[Ofc Code]=$B$6)*(Budget[Account Code]=$B111)*(Budget[Date]=L$7),Budget[Amount]))</f>
        <v>0</v>
      </c>
      <c r="M111" s="319">
        <f t="array" ref="M111">SUM(IF((Budget[Ofc Code]=$B$6)*(Budget[Account Code]=$B111)*(Budget[Date]=M$7),Budget[Amount]))</f>
        <v>0</v>
      </c>
      <c r="N111" s="319">
        <f t="array" ref="N111">SUM(IF((Budget[Ofc Code]=$B$6)*(Budget[Account Code]=$B111)*(Budget[Date]=N$7),Budget[Amount]))</f>
        <v>0</v>
      </c>
      <c r="O111" s="319">
        <f t="array" ref="O111">SUM(IF((Budget[Ofc Code]=$B$6)*(Budget[Account Code]=$B111)*(Budget[Date]=O$7),Budget[Amount]))</f>
        <v>0</v>
      </c>
      <c r="P111" s="322">
        <f t="shared" si="17"/>
        <v>0</v>
      </c>
    </row>
    <row r="112" spans="1:16" s="171" customFormat="1">
      <c r="A112" s="321" t="s">
        <v>934</v>
      </c>
      <c r="B112" s="317" t="s">
        <v>243</v>
      </c>
      <c r="C112" s="322">
        <f t="shared" si="12"/>
        <v>0</v>
      </c>
      <c r="D112" s="319">
        <f t="array" ref="D112">SUM(IF((Budget[Ofc Code]=$B$6)*(Budget[Account Code]=$B112)*(Budget[Date]=D$7),Budget[Amount]))</f>
        <v>0</v>
      </c>
      <c r="E112" s="319">
        <f t="array" ref="E112">SUM(IF((Budget[Ofc Code]=$B$6)*(Budget[Account Code]=$B112)*(Budget[Date]=E$7),Budget[Amount]))</f>
        <v>0</v>
      </c>
      <c r="F112" s="319">
        <f t="array" ref="F112">SUM(IF((Budget[Ofc Code]=$B$6)*(Budget[Account Code]=$B112)*(Budget[Date]=F$7),Budget[Amount]))</f>
        <v>0</v>
      </c>
      <c r="G112" s="319">
        <f t="array" ref="G112">SUM(IF((Budget[Ofc Code]=$B$6)*(Budget[Account Code]=$B112)*(Budget[Date]=G$7),Budget[Amount]))</f>
        <v>0</v>
      </c>
      <c r="H112" s="319">
        <f t="array" ref="H112">SUM(IF((Budget[Ofc Code]=$B$6)*(Budget[Account Code]=$B112)*(Budget[Date]=H$7),Budget[Amount]))</f>
        <v>0</v>
      </c>
      <c r="I112" s="319">
        <f t="array" ref="I112">SUM(IF((Budget[Ofc Code]=$B$6)*(Budget[Account Code]=$B112)*(Budget[Date]=I$7),Budget[Amount]))</f>
        <v>0</v>
      </c>
      <c r="J112" s="319">
        <f t="array" ref="J112">SUM(IF((Budget[Ofc Code]=$B$6)*(Budget[Account Code]=$B112)*(Budget[Date]=J$7),Budget[Amount]))</f>
        <v>0</v>
      </c>
      <c r="K112" s="319">
        <f t="array" ref="K112">SUM(IF((Budget[Ofc Code]=$B$6)*(Budget[Account Code]=$B112)*(Budget[Date]=K$7),Budget[Amount]))</f>
        <v>0</v>
      </c>
      <c r="L112" s="319">
        <f t="array" ref="L112">SUM(IF((Budget[Ofc Code]=$B$6)*(Budget[Account Code]=$B112)*(Budget[Date]=L$7),Budget[Amount]))</f>
        <v>0</v>
      </c>
      <c r="M112" s="319">
        <f t="array" ref="M112">SUM(IF((Budget[Ofc Code]=$B$6)*(Budget[Account Code]=$B112)*(Budget[Date]=M$7),Budget[Amount]))</f>
        <v>0</v>
      </c>
      <c r="N112" s="319">
        <f t="array" ref="N112">SUM(IF((Budget[Ofc Code]=$B$6)*(Budget[Account Code]=$B112)*(Budget[Date]=N$7),Budget[Amount]))</f>
        <v>0</v>
      </c>
      <c r="O112" s="319">
        <f t="array" ref="O112">SUM(IF((Budget[Ofc Code]=$B$6)*(Budget[Account Code]=$B112)*(Budget[Date]=O$7),Budget[Amount]))</f>
        <v>0</v>
      </c>
      <c r="P112" s="322">
        <f t="shared" si="17"/>
        <v>0</v>
      </c>
    </row>
    <row r="113" spans="1:16" s="171" customFormat="1">
      <c r="A113" s="321" t="s">
        <v>935</v>
      </c>
      <c r="B113" s="317" t="s">
        <v>244</v>
      </c>
      <c r="C113" s="322">
        <f t="shared" si="12"/>
        <v>0</v>
      </c>
      <c r="D113" s="319">
        <f t="array" ref="D113">SUM(IF((Budget[Ofc Code]=$B$6)*(Budget[Account Code]=$B113)*(Budget[Date]=D$7),Budget[Amount]))</f>
        <v>0</v>
      </c>
      <c r="E113" s="319">
        <f t="array" ref="E113">SUM(IF((Budget[Ofc Code]=$B$6)*(Budget[Account Code]=$B113)*(Budget[Date]=E$7),Budget[Amount]))</f>
        <v>0</v>
      </c>
      <c r="F113" s="319">
        <f t="array" ref="F113">SUM(IF((Budget[Ofc Code]=$B$6)*(Budget[Account Code]=$B113)*(Budget[Date]=F$7),Budget[Amount]))</f>
        <v>0</v>
      </c>
      <c r="G113" s="319">
        <f t="array" ref="G113">SUM(IF((Budget[Ofc Code]=$B$6)*(Budget[Account Code]=$B113)*(Budget[Date]=G$7),Budget[Amount]))</f>
        <v>0</v>
      </c>
      <c r="H113" s="319">
        <f t="array" ref="H113">SUM(IF((Budget[Ofc Code]=$B$6)*(Budget[Account Code]=$B113)*(Budget[Date]=H$7),Budget[Amount]))</f>
        <v>0</v>
      </c>
      <c r="I113" s="319">
        <f t="array" ref="I113">SUM(IF((Budget[Ofc Code]=$B$6)*(Budget[Account Code]=$B113)*(Budget[Date]=I$7),Budget[Amount]))</f>
        <v>0</v>
      </c>
      <c r="J113" s="319">
        <f t="array" ref="J113">SUM(IF((Budget[Ofc Code]=$B$6)*(Budget[Account Code]=$B113)*(Budget[Date]=J$7),Budget[Amount]))</f>
        <v>0</v>
      </c>
      <c r="K113" s="319">
        <f t="array" ref="K113">SUM(IF((Budget[Ofc Code]=$B$6)*(Budget[Account Code]=$B113)*(Budget[Date]=K$7),Budget[Amount]))</f>
        <v>0</v>
      </c>
      <c r="L113" s="319">
        <f t="array" ref="L113">SUM(IF((Budget[Ofc Code]=$B$6)*(Budget[Account Code]=$B113)*(Budget[Date]=L$7),Budget[Amount]))</f>
        <v>0</v>
      </c>
      <c r="M113" s="319">
        <f t="array" ref="M113">SUM(IF((Budget[Ofc Code]=$B$6)*(Budget[Account Code]=$B113)*(Budget[Date]=M$7),Budget[Amount]))</f>
        <v>0</v>
      </c>
      <c r="N113" s="319">
        <f t="array" ref="N113">SUM(IF((Budget[Ofc Code]=$B$6)*(Budget[Account Code]=$B113)*(Budget[Date]=N$7),Budget[Amount]))</f>
        <v>0</v>
      </c>
      <c r="O113" s="319">
        <f t="array" ref="O113">SUM(IF((Budget[Ofc Code]=$B$6)*(Budget[Account Code]=$B113)*(Budget[Date]=O$7),Budget[Amount]))</f>
        <v>0</v>
      </c>
      <c r="P113" s="322">
        <f t="shared" si="17"/>
        <v>0</v>
      </c>
    </row>
    <row r="114" spans="1:16" s="171" customFormat="1">
      <c r="A114" s="321" t="s">
        <v>936</v>
      </c>
      <c r="B114" s="317" t="s">
        <v>338</v>
      </c>
      <c r="C114" s="322">
        <f t="shared" si="12"/>
        <v>0</v>
      </c>
      <c r="D114" s="319">
        <f t="array" ref="D114">SUM(IF((Budget[Ofc Code]=$B$6)*(Budget[Account Code]=$B114)*(Budget[Date]=D$7),Budget[Amount]))</f>
        <v>0</v>
      </c>
      <c r="E114" s="319">
        <f t="array" ref="E114">SUM(IF((Budget[Ofc Code]=$B$6)*(Budget[Account Code]=$B114)*(Budget[Date]=E$7),Budget[Amount]))</f>
        <v>0</v>
      </c>
      <c r="F114" s="319">
        <f t="array" ref="F114">SUM(IF((Budget[Ofc Code]=$B$6)*(Budget[Account Code]=$B114)*(Budget[Date]=F$7),Budget[Amount]))</f>
        <v>0</v>
      </c>
      <c r="G114" s="319">
        <f t="array" ref="G114">SUM(IF((Budget[Ofc Code]=$B$6)*(Budget[Account Code]=$B114)*(Budget[Date]=G$7),Budget[Amount]))</f>
        <v>0</v>
      </c>
      <c r="H114" s="319">
        <f t="array" ref="H114">SUM(IF((Budget[Ofc Code]=$B$6)*(Budget[Account Code]=$B114)*(Budget[Date]=H$7),Budget[Amount]))</f>
        <v>0</v>
      </c>
      <c r="I114" s="319">
        <f t="array" ref="I114">SUM(IF((Budget[Ofc Code]=$B$6)*(Budget[Account Code]=$B114)*(Budget[Date]=I$7),Budget[Amount]))</f>
        <v>0</v>
      </c>
      <c r="J114" s="319">
        <f t="array" ref="J114">SUM(IF((Budget[Ofc Code]=$B$6)*(Budget[Account Code]=$B114)*(Budget[Date]=J$7),Budget[Amount]))</f>
        <v>0</v>
      </c>
      <c r="K114" s="319">
        <f t="array" ref="K114">SUM(IF((Budget[Ofc Code]=$B$6)*(Budget[Account Code]=$B114)*(Budget[Date]=K$7),Budget[Amount]))</f>
        <v>0</v>
      </c>
      <c r="L114" s="319">
        <f t="array" ref="L114">SUM(IF((Budget[Ofc Code]=$B$6)*(Budget[Account Code]=$B114)*(Budget[Date]=L$7),Budget[Amount]))</f>
        <v>0</v>
      </c>
      <c r="M114" s="319">
        <f t="array" ref="M114">SUM(IF((Budget[Ofc Code]=$B$6)*(Budget[Account Code]=$B114)*(Budget[Date]=M$7),Budget[Amount]))</f>
        <v>0</v>
      </c>
      <c r="N114" s="319">
        <f t="array" ref="N114">SUM(IF((Budget[Ofc Code]=$B$6)*(Budget[Account Code]=$B114)*(Budget[Date]=N$7),Budget[Amount]))</f>
        <v>0</v>
      </c>
      <c r="O114" s="319">
        <f t="array" ref="O114">SUM(IF((Budget[Ofc Code]=$B$6)*(Budget[Account Code]=$B114)*(Budget[Date]=O$7),Budget[Amount]))</f>
        <v>0</v>
      </c>
      <c r="P114" s="322">
        <f t="shared" si="17"/>
        <v>0</v>
      </c>
    </row>
    <row r="115" spans="1:16" s="171" customFormat="1">
      <c r="A115" s="321" t="s">
        <v>937</v>
      </c>
      <c r="B115" s="317" t="s">
        <v>339</v>
      </c>
      <c r="C115" s="322">
        <f t="shared" si="12"/>
        <v>0</v>
      </c>
      <c r="D115" s="319">
        <f t="array" ref="D115">SUM(IF((Budget[Ofc Code]=$B$6)*(Budget[Account Code]=$B115)*(Budget[Date]=D$7),Budget[Amount]))</f>
        <v>0</v>
      </c>
      <c r="E115" s="319">
        <f t="array" ref="E115">SUM(IF((Budget[Ofc Code]=$B$6)*(Budget[Account Code]=$B115)*(Budget[Date]=E$7),Budget[Amount]))</f>
        <v>0</v>
      </c>
      <c r="F115" s="319">
        <f t="array" ref="F115">SUM(IF((Budget[Ofc Code]=$B$6)*(Budget[Account Code]=$B115)*(Budget[Date]=F$7),Budget[Amount]))</f>
        <v>0</v>
      </c>
      <c r="G115" s="319">
        <f t="array" ref="G115">SUM(IF((Budget[Ofc Code]=$B$6)*(Budget[Account Code]=$B115)*(Budget[Date]=G$7),Budget[Amount]))</f>
        <v>0</v>
      </c>
      <c r="H115" s="319">
        <f t="array" ref="H115">SUM(IF((Budget[Ofc Code]=$B$6)*(Budget[Account Code]=$B115)*(Budget[Date]=H$7),Budget[Amount]))</f>
        <v>0</v>
      </c>
      <c r="I115" s="319">
        <f t="array" ref="I115">SUM(IF((Budget[Ofc Code]=$B$6)*(Budget[Account Code]=$B115)*(Budget[Date]=I$7),Budget[Amount]))</f>
        <v>0</v>
      </c>
      <c r="J115" s="319">
        <f t="array" ref="J115">SUM(IF((Budget[Ofc Code]=$B$6)*(Budget[Account Code]=$B115)*(Budget[Date]=J$7),Budget[Amount]))</f>
        <v>0</v>
      </c>
      <c r="K115" s="319">
        <f t="array" ref="K115">SUM(IF((Budget[Ofc Code]=$B$6)*(Budget[Account Code]=$B115)*(Budget[Date]=K$7),Budget[Amount]))</f>
        <v>0</v>
      </c>
      <c r="L115" s="319">
        <f t="array" ref="L115">SUM(IF((Budget[Ofc Code]=$B$6)*(Budget[Account Code]=$B115)*(Budget[Date]=L$7),Budget[Amount]))</f>
        <v>0</v>
      </c>
      <c r="M115" s="319">
        <f t="array" ref="M115">SUM(IF((Budget[Ofc Code]=$B$6)*(Budget[Account Code]=$B115)*(Budget[Date]=M$7),Budget[Amount]))</f>
        <v>0</v>
      </c>
      <c r="N115" s="319">
        <f t="array" ref="N115">SUM(IF((Budget[Ofc Code]=$B$6)*(Budget[Account Code]=$B115)*(Budget[Date]=N$7),Budget[Amount]))</f>
        <v>0</v>
      </c>
      <c r="O115" s="319">
        <f t="array" ref="O115">SUM(IF((Budget[Ofc Code]=$B$6)*(Budget[Account Code]=$B115)*(Budget[Date]=O$7),Budget[Amount]))</f>
        <v>0</v>
      </c>
      <c r="P115" s="322">
        <f t="shared" si="17"/>
        <v>0</v>
      </c>
    </row>
    <row r="116" spans="1:16" s="171" customFormat="1">
      <c r="A116" s="321" t="s">
        <v>938</v>
      </c>
      <c r="B116" s="317" t="s">
        <v>245</v>
      </c>
      <c r="C116" s="322">
        <f t="shared" si="12"/>
        <v>0</v>
      </c>
      <c r="D116" s="319">
        <f t="array" ref="D116">SUM(IF((Budget[Ofc Code]=$B$6)*(Budget[Account Code]=$B116)*(Budget[Date]=D$7),Budget[Amount]))</f>
        <v>0</v>
      </c>
      <c r="E116" s="319">
        <f t="array" ref="E116">SUM(IF((Budget[Ofc Code]=$B$6)*(Budget[Account Code]=$B116)*(Budget[Date]=E$7),Budget[Amount]))</f>
        <v>0</v>
      </c>
      <c r="F116" s="319">
        <f t="array" ref="F116">SUM(IF((Budget[Ofc Code]=$B$6)*(Budget[Account Code]=$B116)*(Budget[Date]=F$7),Budget[Amount]))</f>
        <v>0</v>
      </c>
      <c r="G116" s="319">
        <f t="array" ref="G116">SUM(IF((Budget[Ofc Code]=$B$6)*(Budget[Account Code]=$B116)*(Budget[Date]=G$7),Budget[Amount]))</f>
        <v>0</v>
      </c>
      <c r="H116" s="319">
        <f t="array" ref="H116">SUM(IF((Budget[Ofc Code]=$B$6)*(Budget[Account Code]=$B116)*(Budget[Date]=H$7),Budget[Amount]))</f>
        <v>0</v>
      </c>
      <c r="I116" s="319">
        <f t="array" ref="I116">SUM(IF((Budget[Ofc Code]=$B$6)*(Budget[Account Code]=$B116)*(Budget[Date]=I$7),Budget[Amount]))</f>
        <v>0</v>
      </c>
      <c r="J116" s="319">
        <f t="array" ref="J116">SUM(IF((Budget[Ofc Code]=$B$6)*(Budget[Account Code]=$B116)*(Budget[Date]=J$7),Budget[Amount]))</f>
        <v>0</v>
      </c>
      <c r="K116" s="319">
        <f t="array" ref="K116">SUM(IF((Budget[Ofc Code]=$B$6)*(Budget[Account Code]=$B116)*(Budget[Date]=K$7),Budget[Amount]))</f>
        <v>0</v>
      </c>
      <c r="L116" s="319">
        <f t="array" ref="L116">SUM(IF((Budget[Ofc Code]=$B$6)*(Budget[Account Code]=$B116)*(Budget[Date]=L$7),Budget[Amount]))</f>
        <v>0</v>
      </c>
      <c r="M116" s="319">
        <f t="array" ref="M116">SUM(IF((Budget[Ofc Code]=$B$6)*(Budget[Account Code]=$B116)*(Budget[Date]=M$7),Budget[Amount]))</f>
        <v>0</v>
      </c>
      <c r="N116" s="319">
        <f t="array" ref="N116">SUM(IF((Budget[Ofc Code]=$B$6)*(Budget[Account Code]=$B116)*(Budget[Date]=N$7),Budget[Amount]))</f>
        <v>0</v>
      </c>
      <c r="O116" s="319">
        <f t="array" ref="O116">SUM(IF((Budget[Ofc Code]=$B$6)*(Budget[Account Code]=$B116)*(Budget[Date]=O$7),Budget[Amount]))</f>
        <v>0</v>
      </c>
      <c r="P116" s="322">
        <f t="shared" si="17"/>
        <v>0</v>
      </c>
    </row>
    <row r="117" spans="1:16" s="171" customFormat="1">
      <c r="A117" s="321" t="s">
        <v>939</v>
      </c>
      <c r="B117" s="317"/>
      <c r="C117" s="322">
        <f t="shared" si="12"/>
        <v>0</v>
      </c>
      <c r="D117" s="322">
        <f>SUM(D118:D125)</f>
        <v>0</v>
      </c>
      <c r="E117" s="322">
        <f t="shared" ref="E117:O117" si="24">SUM(E118:E125)</f>
        <v>0</v>
      </c>
      <c r="F117" s="322">
        <f t="shared" si="24"/>
        <v>0</v>
      </c>
      <c r="G117" s="322">
        <f t="shared" si="24"/>
        <v>0</v>
      </c>
      <c r="H117" s="322">
        <f t="shared" si="24"/>
        <v>0</v>
      </c>
      <c r="I117" s="322">
        <f t="shared" si="24"/>
        <v>0</v>
      </c>
      <c r="J117" s="322">
        <f t="shared" si="24"/>
        <v>0</v>
      </c>
      <c r="K117" s="322">
        <f t="shared" si="24"/>
        <v>0</v>
      </c>
      <c r="L117" s="322">
        <f t="shared" si="24"/>
        <v>0</v>
      </c>
      <c r="M117" s="322">
        <f t="shared" si="24"/>
        <v>0</v>
      </c>
      <c r="N117" s="322">
        <f t="shared" si="24"/>
        <v>0</v>
      </c>
      <c r="O117" s="322">
        <f t="shared" si="24"/>
        <v>0</v>
      </c>
      <c r="P117" s="322">
        <f t="shared" si="17"/>
        <v>0</v>
      </c>
    </row>
    <row r="118" spans="1:16">
      <c r="A118" s="323" t="s">
        <v>940</v>
      </c>
      <c r="B118" s="317" t="s">
        <v>246</v>
      </c>
      <c r="C118" s="319">
        <f t="shared" si="12"/>
        <v>0</v>
      </c>
      <c r="D118" s="319">
        <f t="array" ref="D118">SUM(IF((Budget[Ofc Code]=$B$6)*(Budget[Account Code]=$B118)*(Budget[Date]=D$7),Budget[Amount]))</f>
        <v>0</v>
      </c>
      <c r="E118" s="319">
        <f t="array" ref="E118">SUM(IF((Budget[Ofc Code]=$B$6)*(Budget[Account Code]=$B118)*(Budget[Date]=E$7),Budget[Amount]))</f>
        <v>0</v>
      </c>
      <c r="F118" s="319">
        <f t="array" ref="F118">SUM(IF((Budget[Ofc Code]=$B$6)*(Budget[Account Code]=$B118)*(Budget[Date]=F$7),Budget[Amount]))</f>
        <v>0</v>
      </c>
      <c r="G118" s="319">
        <f t="array" ref="G118">SUM(IF((Budget[Ofc Code]=$B$6)*(Budget[Account Code]=$B118)*(Budget[Date]=G$7),Budget[Amount]))</f>
        <v>0</v>
      </c>
      <c r="H118" s="319">
        <f t="array" ref="H118">SUM(IF((Budget[Ofc Code]=$B$6)*(Budget[Account Code]=$B118)*(Budget[Date]=H$7),Budget[Amount]))</f>
        <v>0</v>
      </c>
      <c r="I118" s="319">
        <f t="array" ref="I118">SUM(IF((Budget[Ofc Code]=$B$6)*(Budget[Account Code]=$B118)*(Budget[Date]=I$7),Budget[Amount]))</f>
        <v>0</v>
      </c>
      <c r="J118" s="319">
        <f t="array" ref="J118">SUM(IF((Budget[Ofc Code]=$B$6)*(Budget[Account Code]=$B118)*(Budget[Date]=J$7),Budget[Amount]))</f>
        <v>0</v>
      </c>
      <c r="K118" s="319">
        <f t="array" ref="K118">SUM(IF((Budget[Ofc Code]=$B$6)*(Budget[Account Code]=$B118)*(Budget[Date]=K$7),Budget[Amount]))</f>
        <v>0</v>
      </c>
      <c r="L118" s="319">
        <f t="array" ref="L118">SUM(IF((Budget[Ofc Code]=$B$6)*(Budget[Account Code]=$B118)*(Budget[Date]=L$7),Budget[Amount]))</f>
        <v>0</v>
      </c>
      <c r="M118" s="319">
        <f t="array" ref="M118">SUM(IF((Budget[Ofc Code]=$B$6)*(Budget[Account Code]=$B118)*(Budget[Date]=M$7),Budget[Amount]))</f>
        <v>0</v>
      </c>
      <c r="N118" s="319">
        <f t="array" ref="N118">SUM(IF((Budget[Ofc Code]=$B$6)*(Budget[Account Code]=$B118)*(Budget[Date]=N$7),Budget[Amount]))</f>
        <v>0</v>
      </c>
      <c r="O118" s="319">
        <f t="array" ref="O118">SUM(IF((Budget[Ofc Code]=$B$6)*(Budget[Account Code]=$B118)*(Budget[Date]=O$7),Budget[Amount]))</f>
        <v>0</v>
      </c>
      <c r="P118" s="319">
        <f t="shared" si="17"/>
        <v>0</v>
      </c>
    </row>
    <row r="119" spans="1:16">
      <c r="A119" s="323" t="s">
        <v>941</v>
      </c>
      <c r="B119" s="317" t="s">
        <v>222</v>
      </c>
      <c r="C119" s="319">
        <f t="shared" si="12"/>
        <v>0</v>
      </c>
      <c r="D119" s="319">
        <f t="array" ref="D119">SUM(IF((Budget[Ofc Code]=$B$6)*(Budget[Account Code]=$B119)*(Budget[Date]=D$7),Budget[Amount]))</f>
        <v>0</v>
      </c>
      <c r="E119" s="319">
        <f t="array" ref="E119">SUM(IF((Budget[Ofc Code]=$B$6)*(Budget[Account Code]=$B119)*(Budget[Date]=E$7),Budget[Amount]))</f>
        <v>0</v>
      </c>
      <c r="F119" s="319">
        <f t="array" ref="F119">SUM(IF((Budget[Ofc Code]=$B$6)*(Budget[Account Code]=$B119)*(Budget[Date]=F$7),Budget[Amount]))</f>
        <v>0</v>
      </c>
      <c r="G119" s="319">
        <f t="array" ref="G119">SUM(IF((Budget[Ofc Code]=$B$6)*(Budget[Account Code]=$B119)*(Budget[Date]=G$7),Budget[Amount]))</f>
        <v>0</v>
      </c>
      <c r="H119" s="319">
        <f t="array" ref="H119">SUM(IF((Budget[Ofc Code]=$B$6)*(Budget[Account Code]=$B119)*(Budget[Date]=H$7),Budget[Amount]))</f>
        <v>0</v>
      </c>
      <c r="I119" s="319">
        <f t="array" ref="I119">SUM(IF((Budget[Ofc Code]=$B$6)*(Budget[Account Code]=$B119)*(Budget[Date]=I$7),Budget[Amount]))</f>
        <v>0</v>
      </c>
      <c r="J119" s="319">
        <f t="array" ref="J119">SUM(IF((Budget[Ofc Code]=$B$6)*(Budget[Account Code]=$B119)*(Budget[Date]=J$7),Budget[Amount]))</f>
        <v>0</v>
      </c>
      <c r="K119" s="319">
        <f t="array" ref="K119">SUM(IF((Budget[Ofc Code]=$B$6)*(Budget[Account Code]=$B119)*(Budget[Date]=K$7),Budget[Amount]))</f>
        <v>0</v>
      </c>
      <c r="L119" s="319">
        <f t="array" ref="L119">SUM(IF((Budget[Ofc Code]=$B$6)*(Budget[Account Code]=$B119)*(Budget[Date]=L$7),Budget[Amount]))</f>
        <v>0</v>
      </c>
      <c r="M119" s="319">
        <f t="array" ref="M119">SUM(IF((Budget[Ofc Code]=$B$6)*(Budget[Account Code]=$B119)*(Budget[Date]=M$7),Budget[Amount]))</f>
        <v>0</v>
      </c>
      <c r="N119" s="319">
        <f t="array" ref="N119">SUM(IF((Budget[Ofc Code]=$B$6)*(Budget[Account Code]=$B119)*(Budget[Date]=N$7),Budget[Amount]))</f>
        <v>0</v>
      </c>
      <c r="O119" s="319">
        <f t="array" ref="O119">SUM(IF((Budget[Ofc Code]=$B$6)*(Budget[Account Code]=$B119)*(Budget[Date]=O$7),Budget[Amount]))</f>
        <v>0</v>
      </c>
      <c r="P119" s="319">
        <f t="shared" si="17"/>
        <v>0</v>
      </c>
    </row>
    <row r="120" spans="1:16">
      <c r="A120" s="323" t="s">
        <v>942</v>
      </c>
      <c r="B120" s="317" t="s">
        <v>247</v>
      </c>
      <c r="C120" s="319">
        <f t="shared" si="12"/>
        <v>0</v>
      </c>
      <c r="D120" s="319">
        <f t="array" ref="D120">SUM(IF((Budget[Ofc Code]=$B$6)*(Budget[Account Code]=$B120)*(Budget[Date]=D$7),Budget[Amount]))</f>
        <v>0</v>
      </c>
      <c r="E120" s="319">
        <f t="array" ref="E120">SUM(IF((Budget[Ofc Code]=$B$6)*(Budget[Account Code]=$B120)*(Budget[Date]=E$7),Budget[Amount]))</f>
        <v>0</v>
      </c>
      <c r="F120" s="319">
        <f t="array" ref="F120">SUM(IF((Budget[Ofc Code]=$B$6)*(Budget[Account Code]=$B120)*(Budget[Date]=F$7),Budget[Amount]))</f>
        <v>0</v>
      </c>
      <c r="G120" s="319">
        <f t="array" ref="G120">SUM(IF((Budget[Ofc Code]=$B$6)*(Budget[Account Code]=$B120)*(Budget[Date]=G$7),Budget[Amount]))</f>
        <v>0</v>
      </c>
      <c r="H120" s="319">
        <f t="array" ref="H120">SUM(IF((Budget[Ofc Code]=$B$6)*(Budget[Account Code]=$B120)*(Budget[Date]=H$7),Budget[Amount]))</f>
        <v>0</v>
      </c>
      <c r="I120" s="319">
        <f t="array" ref="I120">SUM(IF((Budget[Ofc Code]=$B$6)*(Budget[Account Code]=$B120)*(Budget[Date]=I$7),Budget[Amount]))</f>
        <v>0</v>
      </c>
      <c r="J120" s="319">
        <f t="array" ref="J120">SUM(IF((Budget[Ofc Code]=$B$6)*(Budget[Account Code]=$B120)*(Budget[Date]=J$7),Budget[Amount]))</f>
        <v>0</v>
      </c>
      <c r="K120" s="319">
        <f t="array" ref="K120">SUM(IF((Budget[Ofc Code]=$B$6)*(Budget[Account Code]=$B120)*(Budget[Date]=K$7),Budget[Amount]))</f>
        <v>0</v>
      </c>
      <c r="L120" s="319">
        <f t="array" ref="L120">SUM(IF((Budget[Ofc Code]=$B$6)*(Budget[Account Code]=$B120)*(Budget[Date]=L$7),Budget[Amount]))</f>
        <v>0</v>
      </c>
      <c r="M120" s="319">
        <f t="array" ref="M120">SUM(IF((Budget[Ofc Code]=$B$6)*(Budget[Account Code]=$B120)*(Budget[Date]=M$7),Budget[Amount]))</f>
        <v>0</v>
      </c>
      <c r="N120" s="319">
        <f t="array" ref="N120">SUM(IF((Budget[Ofc Code]=$B$6)*(Budget[Account Code]=$B120)*(Budget[Date]=N$7),Budget[Amount]))</f>
        <v>0</v>
      </c>
      <c r="O120" s="319">
        <f t="array" ref="O120">SUM(IF((Budget[Ofc Code]=$B$6)*(Budget[Account Code]=$B120)*(Budget[Date]=O$7),Budget[Amount]))</f>
        <v>0</v>
      </c>
      <c r="P120" s="319">
        <f t="shared" si="17"/>
        <v>0</v>
      </c>
    </row>
    <row r="121" spans="1:16">
      <c r="A121" s="323" t="s">
        <v>943</v>
      </c>
      <c r="B121" s="317"/>
      <c r="C121" s="319">
        <f t="shared" si="12"/>
        <v>0</v>
      </c>
      <c r="D121" s="319">
        <f t="array" ref="D121">SUM(IF((Budget[Ofc Code]=$B$6)*(Budget[Account Code]=$B121)*(Budget[Date]=D$7),Budget[Amount]))</f>
        <v>0</v>
      </c>
      <c r="E121" s="319">
        <f t="array" ref="E121">SUM(IF((Budget[Ofc Code]=$B$6)*(Budget[Account Code]=$B121)*(Budget[Date]=E$7),Budget[Amount]))</f>
        <v>0</v>
      </c>
      <c r="F121" s="319">
        <f t="array" ref="F121">SUM(IF((Budget[Ofc Code]=$B$6)*(Budget[Account Code]=$B121)*(Budget[Date]=F$7),Budget[Amount]))</f>
        <v>0</v>
      </c>
      <c r="G121" s="319">
        <f t="array" ref="G121">SUM(IF((Budget[Ofc Code]=$B$6)*(Budget[Account Code]=$B121)*(Budget[Date]=G$7),Budget[Amount]))</f>
        <v>0</v>
      </c>
      <c r="H121" s="319">
        <f t="array" ref="H121">SUM(IF((Budget[Ofc Code]=$B$6)*(Budget[Account Code]=$B121)*(Budget[Date]=H$7),Budget[Amount]))</f>
        <v>0</v>
      </c>
      <c r="I121" s="319">
        <f t="array" ref="I121">SUM(IF((Budget[Ofc Code]=$B$6)*(Budget[Account Code]=$B121)*(Budget[Date]=I$7),Budget[Amount]))</f>
        <v>0</v>
      </c>
      <c r="J121" s="319">
        <f t="array" ref="J121">SUM(IF((Budget[Ofc Code]=$B$6)*(Budget[Account Code]=$B121)*(Budget[Date]=J$7),Budget[Amount]))</f>
        <v>0</v>
      </c>
      <c r="K121" s="319">
        <f t="array" ref="K121">SUM(IF((Budget[Ofc Code]=$B$6)*(Budget[Account Code]=$B121)*(Budget[Date]=K$7),Budget[Amount]))</f>
        <v>0</v>
      </c>
      <c r="L121" s="319">
        <f t="array" ref="L121">SUM(IF((Budget[Ofc Code]=$B$6)*(Budget[Account Code]=$B121)*(Budget[Date]=L$7),Budget[Amount]))</f>
        <v>0</v>
      </c>
      <c r="M121" s="319">
        <f t="array" ref="M121">SUM(IF((Budget[Ofc Code]=$B$6)*(Budget[Account Code]=$B121)*(Budget[Date]=M$7),Budget[Amount]))</f>
        <v>0</v>
      </c>
      <c r="N121" s="319">
        <f t="array" ref="N121">SUM(IF((Budget[Ofc Code]=$B$6)*(Budget[Account Code]=$B121)*(Budget[Date]=N$7),Budget[Amount]))</f>
        <v>0</v>
      </c>
      <c r="O121" s="319">
        <f t="array" ref="O121">SUM(IF((Budget[Ofc Code]=$B$6)*(Budget[Account Code]=$B121)*(Budget[Date]=O$7),Budget[Amount]))</f>
        <v>0</v>
      </c>
      <c r="P121" s="319">
        <f t="shared" si="17"/>
        <v>0</v>
      </c>
    </row>
    <row r="122" spans="1:16">
      <c r="A122" s="323" t="s">
        <v>944</v>
      </c>
      <c r="B122" s="317" t="s">
        <v>248</v>
      </c>
      <c r="C122" s="319">
        <f t="shared" si="12"/>
        <v>0</v>
      </c>
      <c r="D122" s="319">
        <f t="array" ref="D122">SUM(IF((Budget[Ofc Code]=$B$6)*(Budget[Account Code]=$B122)*(Budget[Date]=D$7),Budget[Amount]))</f>
        <v>0</v>
      </c>
      <c r="E122" s="319">
        <f t="array" ref="E122">SUM(IF((Budget[Ofc Code]=$B$6)*(Budget[Account Code]=$B122)*(Budget[Date]=E$7),Budget[Amount]))</f>
        <v>0</v>
      </c>
      <c r="F122" s="319">
        <f t="array" ref="F122">SUM(IF((Budget[Ofc Code]=$B$6)*(Budget[Account Code]=$B122)*(Budget[Date]=F$7),Budget[Amount]))</f>
        <v>0</v>
      </c>
      <c r="G122" s="319">
        <f t="array" ref="G122">SUM(IF((Budget[Ofc Code]=$B$6)*(Budget[Account Code]=$B122)*(Budget[Date]=G$7),Budget[Amount]))</f>
        <v>0</v>
      </c>
      <c r="H122" s="319">
        <f t="array" ref="H122">SUM(IF((Budget[Ofc Code]=$B$6)*(Budget[Account Code]=$B122)*(Budget[Date]=H$7),Budget[Amount]))</f>
        <v>0</v>
      </c>
      <c r="I122" s="319">
        <f t="array" ref="I122">SUM(IF((Budget[Ofc Code]=$B$6)*(Budget[Account Code]=$B122)*(Budget[Date]=I$7),Budget[Amount]))</f>
        <v>0</v>
      </c>
      <c r="J122" s="319">
        <f t="array" ref="J122">SUM(IF((Budget[Ofc Code]=$B$6)*(Budget[Account Code]=$B122)*(Budget[Date]=J$7),Budget[Amount]))</f>
        <v>0</v>
      </c>
      <c r="K122" s="319">
        <f t="array" ref="K122">SUM(IF((Budget[Ofc Code]=$B$6)*(Budget[Account Code]=$B122)*(Budget[Date]=K$7),Budget[Amount]))</f>
        <v>0</v>
      </c>
      <c r="L122" s="319">
        <f t="array" ref="L122">SUM(IF((Budget[Ofc Code]=$B$6)*(Budget[Account Code]=$B122)*(Budget[Date]=L$7),Budget[Amount]))</f>
        <v>0</v>
      </c>
      <c r="M122" s="319">
        <f t="array" ref="M122">SUM(IF((Budget[Ofc Code]=$B$6)*(Budget[Account Code]=$B122)*(Budget[Date]=M$7),Budget[Amount]))</f>
        <v>0</v>
      </c>
      <c r="N122" s="319">
        <f t="array" ref="N122">SUM(IF((Budget[Ofc Code]=$B$6)*(Budget[Account Code]=$B122)*(Budget[Date]=N$7),Budget[Amount]))</f>
        <v>0</v>
      </c>
      <c r="O122" s="319">
        <f t="array" ref="O122">SUM(IF((Budget[Ofc Code]=$B$6)*(Budget[Account Code]=$B122)*(Budget[Date]=O$7),Budget[Amount]))</f>
        <v>0</v>
      </c>
      <c r="P122" s="319">
        <f t="shared" si="17"/>
        <v>0</v>
      </c>
    </row>
    <row r="123" spans="1:16">
      <c r="A123" s="323" t="s">
        <v>945</v>
      </c>
      <c r="B123" s="317" t="s">
        <v>249</v>
      </c>
      <c r="C123" s="319">
        <f t="shared" si="12"/>
        <v>0</v>
      </c>
      <c r="D123" s="319">
        <f t="array" ref="D123">SUM(IF((Budget[Ofc Code]=$B$6)*(Budget[Account Code]=$B123)*(Budget[Date]=D$7),Budget[Amount]))</f>
        <v>0</v>
      </c>
      <c r="E123" s="319">
        <f t="array" ref="E123">SUM(IF((Budget[Ofc Code]=$B$6)*(Budget[Account Code]=$B123)*(Budget[Date]=E$7),Budget[Amount]))</f>
        <v>0</v>
      </c>
      <c r="F123" s="319">
        <f t="array" ref="F123">SUM(IF((Budget[Ofc Code]=$B$6)*(Budget[Account Code]=$B123)*(Budget[Date]=F$7),Budget[Amount]))</f>
        <v>0</v>
      </c>
      <c r="G123" s="319">
        <f t="array" ref="G123">SUM(IF((Budget[Ofc Code]=$B$6)*(Budget[Account Code]=$B123)*(Budget[Date]=G$7),Budget[Amount]))</f>
        <v>0</v>
      </c>
      <c r="H123" s="319">
        <f t="array" ref="H123">SUM(IF((Budget[Ofc Code]=$B$6)*(Budget[Account Code]=$B123)*(Budget[Date]=H$7),Budget[Amount]))</f>
        <v>0</v>
      </c>
      <c r="I123" s="319">
        <f t="array" ref="I123">SUM(IF((Budget[Ofc Code]=$B$6)*(Budget[Account Code]=$B123)*(Budget[Date]=I$7),Budget[Amount]))</f>
        <v>0</v>
      </c>
      <c r="J123" s="319">
        <f t="array" ref="J123">SUM(IF((Budget[Ofc Code]=$B$6)*(Budget[Account Code]=$B123)*(Budget[Date]=J$7),Budget[Amount]))</f>
        <v>0</v>
      </c>
      <c r="K123" s="319">
        <f t="array" ref="K123">SUM(IF((Budget[Ofc Code]=$B$6)*(Budget[Account Code]=$B123)*(Budget[Date]=K$7),Budget[Amount]))</f>
        <v>0</v>
      </c>
      <c r="L123" s="319">
        <f t="array" ref="L123">SUM(IF((Budget[Ofc Code]=$B$6)*(Budget[Account Code]=$B123)*(Budget[Date]=L$7),Budget[Amount]))</f>
        <v>0</v>
      </c>
      <c r="M123" s="319">
        <f t="array" ref="M123">SUM(IF((Budget[Ofc Code]=$B$6)*(Budget[Account Code]=$B123)*(Budget[Date]=M$7),Budget[Amount]))</f>
        <v>0</v>
      </c>
      <c r="N123" s="319">
        <f t="array" ref="N123">SUM(IF((Budget[Ofc Code]=$B$6)*(Budget[Account Code]=$B123)*(Budget[Date]=N$7),Budget[Amount]))</f>
        <v>0</v>
      </c>
      <c r="O123" s="319">
        <f t="array" ref="O123">SUM(IF((Budget[Ofc Code]=$B$6)*(Budget[Account Code]=$B123)*(Budget[Date]=O$7),Budget[Amount]))</f>
        <v>0</v>
      </c>
      <c r="P123" s="319">
        <f t="shared" si="17"/>
        <v>0</v>
      </c>
    </row>
    <row r="124" spans="1:16">
      <c r="A124" s="323" t="s">
        <v>946</v>
      </c>
      <c r="B124" s="317"/>
      <c r="C124" s="319">
        <f t="shared" ref="C124:C151" si="25">SUM(D124:O124)</f>
        <v>0</v>
      </c>
      <c r="D124" s="319">
        <f t="array" ref="D124">SUM(IF((Budget[Ofc Code]=$B$6)*(Budget[Account Code]=$B124)*(Budget[Date]=D$7),Budget[Amount]))</f>
        <v>0</v>
      </c>
      <c r="E124" s="319">
        <f t="array" ref="E124">SUM(IF((Budget[Ofc Code]=$B$6)*(Budget[Account Code]=$B124)*(Budget[Date]=E$7),Budget[Amount]))</f>
        <v>0</v>
      </c>
      <c r="F124" s="319">
        <f t="array" ref="F124">SUM(IF((Budget[Ofc Code]=$B$6)*(Budget[Account Code]=$B124)*(Budget[Date]=F$7),Budget[Amount]))</f>
        <v>0</v>
      </c>
      <c r="G124" s="319">
        <f t="array" ref="G124">SUM(IF((Budget[Ofc Code]=$B$6)*(Budget[Account Code]=$B124)*(Budget[Date]=G$7),Budget[Amount]))</f>
        <v>0</v>
      </c>
      <c r="H124" s="319">
        <f t="array" ref="H124">SUM(IF((Budget[Ofc Code]=$B$6)*(Budget[Account Code]=$B124)*(Budget[Date]=H$7),Budget[Amount]))</f>
        <v>0</v>
      </c>
      <c r="I124" s="319">
        <f t="array" ref="I124">SUM(IF((Budget[Ofc Code]=$B$6)*(Budget[Account Code]=$B124)*(Budget[Date]=I$7),Budget[Amount]))</f>
        <v>0</v>
      </c>
      <c r="J124" s="319">
        <f t="array" ref="J124">SUM(IF((Budget[Ofc Code]=$B$6)*(Budget[Account Code]=$B124)*(Budget[Date]=J$7),Budget[Amount]))</f>
        <v>0</v>
      </c>
      <c r="K124" s="319">
        <f t="array" ref="K124">SUM(IF((Budget[Ofc Code]=$B$6)*(Budget[Account Code]=$B124)*(Budget[Date]=K$7),Budget[Amount]))</f>
        <v>0</v>
      </c>
      <c r="L124" s="319">
        <f t="array" ref="L124">SUM(IF((Budget[Ofc Code]=$B$6)*(Budget[Account Code]=$B124)*(Budget[Date]=L$7),Budget[Amount]))</f>
        <v>0</v>
      </c>
      <c r="M124" s="319">
        <f t="array" ref="M124">SUM(IF((Budget[Ofc Code]=$B$6)*(Budget[Account Code]=$B124)*(Budget[Date]=M$7),Budget[Amount]))</f>
        <v>0</v>
      </c>
      <c r="N124" s="319">
        <f t="array" ref="N124">SUM(IF((Budget[Ofc Code]=$B$6)*(Budget[Account Code]=$B124)*(Budget[Date]=N$7),Budget[Amount]))</f>
        <v>0</v>
      </c>
      <c r="O124" s="319">
        <f t="array" ref="O124">SUM(IF((Budget[Ofc Code]=$B$6)*(Budget[Account Code]=$B124)*(Budget[Date]=O$7),Budget[Amount]))</f>
        <v>0</v>
      </c>
      <c r="P124" s="319">
        <f t="shared" si="17"/>
        <v>0</v>
      </c>
    </row>
    <row r="125" spans="1:16">
      <c r="A125" s="323" t="s">
        <v>947</v>
      </c>
      <c r="B125" s="317" t="s">
        <v>250</v>
      </c>
      <c r="C125" s="319">
        <f t="shared" si="25"/>
        <v>0</v>
      </c>
      <c r="D125" s="319">
        <f t="array" ref="D125">SUM(IF((Budget[Ofc Code]=$B$6)*(Budget[Account Code]=$B125)*(Budget[Date]=D$7),Budget[Amount]))</f>
        <v>0</v>
      </c>
      <c r="E125" s="319">
        <f t="array" ref="E125">SUM(IF((Budget[Ofc Code]=$B$6)*(Budget[Account Code]=$B125)*(Budget[Date]=E$7),Budget[Amount]))</f>
        <v>0</v>
      </c>
      <c r="F125" s="319">
        <f t="array" ref="F125">SUM(IF((Budget[Ofc Code]=$B$6)*(Budget[Account Code]=$B125)*(Budget[Date]=F$7),Budget[Amount]))</f>
        <v>0</v>
      </c>
      <c r="G125" s="319">
        <f t="array" ref="G125">SUM(IF((Budget[Ofc Code]=$B$6)*(Budget[Account Code]=$B125)*(Budget[Date]=G$7),Budget[Amount]))</f>
        <v>0</v>
      </c>
      <c r="H125" s="319">
        <f t="array" ref="H125">SUM(IF((Budget[Ofc Code]=$B$6)*(Budget[Account Code]=$B125)*(Budget[Date]=H$7),Budget[Amount]))</f>
        <v>0</v>
      </c>
      <c r="I125" s="319">
        <f t="array" ref="I125">SUM(IF((Budget[Ofc Code]=$B$6)*(Budget[Account Code]=$B125)*(Budget[Date]=I$7),Budget[Amount]))</f>
        <v>0</v>
      </c>
      <c r="J125" s="319">
        <f t="array" ref="J125">SUM(IF((Budget[Ofc Code]=$B$6)*(Budget[Account Code]=$B125)*(Budget[Date]=J$7),Budget[Amount]))</f>
        <v>0</v>
      </c>
      <c r="K125" s="319">
        <f t="array" ref="K125">SUM(IF((Budget[Ofc Code]=$B$6)*(Budget[Account Code]=$B125)*(Budget[Date]=K$7),Budget[Amount]))</f>
        <v>0</v>
      </c>
      <c r="L125" s="319">
        <f t="array" ref="L125">SUM(IF((Budget[Ofc Code]=$B$6)*(Budget[Account Code]=$B125)*(Budget[Date]=L$7),Budget[Amount]))</f>
        <v>0</v>
      </c>
      <c r="M125" s="319">
        <f t="array" ref="M125">SUM(IF((Budget[Ofc Code]=$B$6)*(Budget[Account Code]=$B125)*(Budget[Date]=M$7),Budget[Amount]))</f>
        <v>0</v>
      </c>
      <c r="N125" s="319">
        <f t="array" ref="N125">SUM(IF((Budget[Ofc Code]=$B$6)*(Budget[Account Code]=$B125)*(Budget[Date]=N$7),Budget[Amount]))</f>
        <v>0</v>
      </c>
      <c r="O125" s="319">
        <f t="array" ref="O125">SUM(IF((Budget[Ofc Code]=$B$6)*(Budget[Account Code]=$B125)*(Budget[Date]=O$7),Budget[Amount]))</f>
        <v>0</v>
      </c>
      <c r="P125" s="319">
        <f t="shared" si="17"/>
        <v>0</v>
      </c>
    </row>
    <row r="126" spans="1:16" s="171" customFormat="1">
      <c r="A126" s="321" t="s">
        <v>948</v>
      </c>
      <c r="B126" s="317"/>
      <c r="C126" s="322">
        <f t="shared" si="25"/>
        <v>0</v>
      </c>
      <c r="D126" s="322">
        <f>SUM(D127:D132)</f>
        <v>0</v>
      </c>
      <c r="E126" s="322">
        <f t="shared" ref="E126:O126" si="26">SUM(E127:E132)</f>
        <v>0</v>
      </c>
      <c r="F126" s="322">
        <f t="shared" si="26"/>
        <v>0</v>
      </c>
      <c r="G126" s="322">
        <f t="shared" si="26"/>
        <v>0</v>
      </c>
      <c r="H126" s="322">
        <f t="shared" si="26"/>
        <v>0</v>
      </c>
      <c r="I126" s="322">
        <f t="shared" si="26"/>
        <v>0</v>
      </c>
      <c r="J126" s="322">
        <f t="shared" si="26"/>
        <v>0</v>
      </c>
      <c r="K126" s="322">
        <f t="shared" si="26"/>
        <v>0</v>
      </c>
      <c r="L126" s="322">
        <f t="shared" si="26"/>
        <v>0</v>
      </c>
      <c r="M126" s="322">
        <f t="shared" si="26"/>
        <v>0</v>
      </c>
      <c r="N126" s="322">
        <f t="shared" si="26"/>
        <v>0</v>
      </c>
      <c r="O126" s="322">
        <f t="shared" si="26"/>
        <v>0</v>
      </c>
      <c r="P126" s="322">
        <f t="shared" si="17"/>
        <v>0</v>
      </c>
    </row>
    <row r="127" spans="1:16">
      <c r="A127" s="323" t="s">
        <v>949</v>
      </c>
      <c r="B127" s="317" t="s">
        <v>253</v>
      </c>
      <c r="C127" s="319">
        <f t="shared" si="25"/>
        <v>0</v>
      </c>
      <c r="D127" s="319">
        <f t="array" ref="D127">SUM(IF((Budget[Ofc Code]=$B$6)*(Budget[Account Code]=$B127)*(Budget[Date]=D$7),Budget[Amount]))</f>
        <v>0</v>
      </c>
      <c r="E127" s="319">
        <f t="array" ref="E127">SUM(IF((Budget[Ofc Code]=$B$6)*(Budget[Account Code]=$B127)*(Budget[Date]=E$7),Budget[Amount]))</f>
        <v>0</v>
      </c>
      <c r="F127" s="319">
        <f t="array" ref="F127">SUM(IF((Budget[Ofc Code]=$B$6)*(Budget[Account Code]=$B127)*(Budget[Date]=F$7),Budget[Amount]))</f>
        <v>0</v>
      </c>
      <c r="G127" s="319">
        <f t="array" ref="G127">SUM(IF((Budget[Ofc Code]=$B$6)*(Budget[Account Code]=$B127)*(Budget[Date]=G$7),Budget[Amount]))</f>
        <v>0</v>
      </c>
      <c r="H127" s="319">
        <f t="array" ref="H127">SUM(IF((Budget[Ofc Code]=$B$6)*(Budget[Account Code]=$B127)*(Budget[Date]=H$7),Budget[Amount]))</f>
        <v>0</v>
      </c>
      <c r="I127" s="319">
        <f t="array" ref="I127">SUM(IF((Budget[Ofc Code]=$B$6)*(Budget[Account Code]=$B127)*(Budget[Date]=I$7),Budget[Amount]))</f>
        <v>0</v>
      </c>
      <c r="J127" s="319">
        <f t="array" ref="J127">SUM(IF((Budget[Ofc Code]=$B$6)*(Budget[Account Code]=$B127)*(Budget[Date]=J$7),Budget[Amount]))</f>
        <v>0</v>
      </c>
      <c r="K127" s="319">
        <f t="array" ref="K127">SUM(IF((Budget[Ofc Code]=$B$6)*(Budget[Account Code]=$B127)*(Budget[Date]=K$7),Budget[Amount]))</f>
        <v>0</v>
      </c>
      <c r="L127" s="319">
        <f t="array" ref="L127">SUM(IF((Budget[Ofc Code]=$B$6)*(Budget[Account Code]=$B127)*(Budget[Date]=L$7),Budget[Amount]))</f>
        <v>0</v>
      </c>
      <c r="M127" s="319">
        <f t="array" ref="M127">SUM(IF((Budget[Ofc Code]=$B$6)*(Budget[Account Code]=$B127)*(Budget[Date]=M$7),Budget[Amount]))</f>
        <v>0</v>
      </c>
      <c r="N127" s="319">
        <f t="array" ref="N127">SUM(IF((Budget[Ofc Code]=$B$6)*(Budget[Account Code]=$B127)*(Budget[Date]=N$7),Budget[Amount]))</f>
        <v>0</v>
      </c>
      <c r="O127" s="319">
        <f t="array" ref="O127">SUM(IF((Budget[Ofc Code]=$B$6)*(Budget[Account Code]=$B127)*(Budget[Date]=O$7),Budget[Amount]))</f>
        <v>0</v>
      </c>
      <c r="P127" s="319">
        <f t="shared" si="17"/>
        <v>0</v>
      </c>
    </row>
    <row r="128" spans="1:16">
      <c r="A128" s="323" t="s">
        <v>950</v>
      </c>
      <c r="B128" s="317" t="s">
        <v>256</v>
      </c>
      <c r="C128" s="319">
        <f t="shared" si="25"/>
        <v>0</v>
      </c>
      <c r="D128" s="319">
        <f t="array" ref="D128">SUM(IF((Budget[Ofc Code]=$B$6)*(Budget[Account Code]=$B128)*(Budget[Date]=D$7),Budget[Amount]))</f>
        <v>0</v>
      </c>
      <c r="E128" s="319">
        <f t="array" ref="E128">SUM(IF((Budget[Ofc Code]=$B$6)*(Budget[Account Code]=$B128)*(Budget[Date]=E$7),Budget[Amount]))</f>
        <v>0</v>
      </c>
      <c r="F128" s="319">
        <f t="array" ref="F128">SUM(IF((Budget[Ofc Code]=$B$6)*(Budget[Account Code]=$B128)*(Budget[Date]=F$7),Budget[Amount]))</f>
        <v>0</v>
      </c>
      <c r="G128" s="319">
        <f t="array" ref="G128">SUM(IF((Budget[Ofc Code]=$B$6)*(Budget[Account Code]=$B128)*(Budget[Date]=G$7),Budget[Amount]))</f>
        <v>0</v>
      </c>
      <c r="H128" s="319">
        <f t="array" ref="H128">SUM(IF((Budget[Ofc Code]=$B$6)*(Budget[Account Code]=$B128)*(Budget[Date]=H$7),Budget[Amount]))</f>
        <v>0</v>
      </c>
      <c r="I128" s="319">
        <f t="array" ref="I128">SUM(IF((Budget[Ofc Code]=$B$6)*(Budget[Account Code]=$B128)*(Budget[Date]=I$7),Budget[Amount]))</f>
        <v>0</v>
      </c>
      <c r="J128" s="319">
        <f t="array" ref="J128">SUM(IF((Budget[Ofc Code]=$B$6)*(Budget[Account Code]=$B128)*(Budget[Date]=J$7),Budget[Amount]))</f>
        <v>0</v>
      </c>
      <c r="K128" s="319">
        <f t="array" ref="K128">SUM(IF((Budget[Ofc Code]=$B$6)*(Budget[Account Code]=$B128)*(Budget[Date]=K$7),Budget[Amount]))</f>
        <v>0</v>
      </c>
      <c r="L128" s="319">
        <f t="array" ref="L128">SUM(IF((Budget[Ofc Code]=$B$6)*(Budget[Account Code]=$B128)*(Budget[Date]=L$7),Budget[Amount]))</f>
        <v>0</v>
      </c>
      <c r="M128" s="319">
        <f t="array" ref="M128">SUM(IF((Budget[Ofc Code]=$B$6)*(Budget[Account Code]=$B128)*(Budget[Date]=M$7),Budget[Amount]))</f>
        <v>0</v>
      </c>
      <c r="N128" s="319">
        <f t="array" ref="N128">SUM(IF((Budget[Ofc Code]=$B$6)*(Budget[Account Code]=$B128)*(Budget[Date]=N$7),Budget[Amount]))</f>
        <v>0</v>
      </c>
      <c r="O128" s="319">
        <f t="array" ref="O128">SUM(IF((Budget[Ofc Code]=$B$6)*(Budget[Account Code]=$B128)*(Budget[Date]=O$7),Budget[Amount]))</f>
        <v>0</v>
      </c>
      <c r="P128" s="319">
        <f t="shared" si="17"/>
        <v>0</v>
      </c>
    </row>
    <row r="129" spans="1:16">
      <c r="A129" s="323" t="s">
        <v>951</v>
      </c>
      <c r="B129" s="317" t="s">
        <v>262</v>
      </c>
      <c r="C129" s="319">
        <f t="shared" si="25"/>
        <v>0</v>
      </c>
      <c r="D129" s="319">
        <f t="array" ref="D129">SUM(IF((Budget[Ofc Code]=$B$6)*(Budget[Account Code]=$B129)*(Budget[Date]=D$7),Budget[Amount]))</f>
        <v>0</v>
      </c>
      <c r="E129" s="319">
        <f t="array" ref="E129">SUM(IF((Budget[Ofc Code]=$B$6)*(Budget[Account Code]=$B129)*(Budget[Date]=E$7),Budget[Amount]))</f>
        <v>0</v>
      </c>
      <c r="F129" s="319">
        <f t="array" ref="F129">SUM(IF((Budget[Ofc Code]=$B$6)*(Budget[Account Code]=$B129)*(Budget[Date]=F$7),Budget[Amount]))</f>
        <v>0</v>
      </c>
      <c r="G129" s="319">
        <f t="array" ref="G129">SUM(IF((Budget[Ofc Code]=$B$6)*(Budget[Account Code]=$B129)*(Budget[Date]=G$7),Budget[Amount]))</f>
        <v>0</v>
      </c>
      <c r="H129" s="319">
        <f t="array" ref="H129">SUM(IF((Budget[Ofc Code]=$B$6)*(Budget[Account Code]=$B129)*(Budget[Date]=H$7),Budget[Amount]))</f>
        <v>0</v>
      </c>
      <c r="I129" s="319">
        <f t="array" ref="I129">SUM(IF((Budget[Ofc Code]=$B$6)*(Budget[Account Code]=$B129)*(Budget[Date]=I$7),Budget[Amount]))</f>
        <v>0</v>
      </c>
      <c r="J129" s="319">
        <f t="array" ref="J129">SUM(IF((Budget[Ofc Code]=$B$6)*(Budget[Account Code]=$B129)*(Budget[Date]=J$7),Budget[Amount]))</f>
        <v>0</v>
      </c>
      <c r="K129" s="319">
        <f t="array" ref="K129">SUM(IF((Budget[Ofc Code]=$B$6)*(Budget[Account Code]=$B129)*(Budget[Date]=K$7),Budget[Amount]))</f>
        <v>0</v>
      </c>
      <c r="L129" s="319">
        <f t="array" ref="L129">SUM(IF((Budget[Ofc Code]=$B$6)*(Budget[Account Code]=$B129)*(Budget[Date]=L$7),Budget[Amount]))</f>
        <v>0</v>
      </c>
      <c r="M129" s="319">
        <f t="array" ref="M129">SUM(IF((Budget[Ofc Code]=$B$6)*(Budget[Account Code]=$B129)*(Budget[Date]=M$7),Budget[Amount]))</f>
        <v>0</v>
      </c>
      <c r="N129" s="319">
        <f t="array" ref="N129">SUM(IF((Budget[Ofc Code]=$B$6)*(Budget[Account Code]=$B129)*(Budget[Date]=N$7),Budget[Amount]))</f>
        <v>0</v>
      </c>
      <c r="O129" s="319">
        <f t="array" ref="O129">SUM(IF((Budget[Ofc Code]=$B$6)*(Budget[Account Code]=$B129)*(Budget[Date]=O$7),Budget[Amount]))</f>
        <v>0</v>
      </c>
      <c r="P129" s="319">
        <f t="shared" si="17"/>
        <v>0</v>
      </c>
    </row>
    <row r="130" spans="1:16">
      <c r="A130" s="323" t="s">
        <v>952</v>
      </c>
      <c r="B130" s="317" t="s">
        <v>251</v>
      </c>
      <c r="C130" s="319">
        <f t="shared" si="25"/>
        <v>0</v>
      </c>
      <c r="D130" s="319">
        <f t="array" ref="D130">SUM(IF((Budget[Ofc Code]=$B$6)*(Budget[Account Code]=$B130)*(Budget[Date]=D$7),Budget[Amount]))</f>
        <v>0</v>
      </c>
      <c r="E130" s="319">
        <f t="array" ref="E130">SUM(IF((Budget[Ofc Code]=$B$6)*(Budget[Account Code]=$B130)*(Budget[Date]=E$7),Budget[Amount]))</f>
        <v>0</v>
      </c>
      <c r="F130" s="319">
        <f t="array" ref="F130">SUM(IF((Budget[Ofc Code]=$B$6)*(Budget[Account Code]=$B130)*(Budget[Date]=F$7),Budget[Amount]))</f>
        <v>0</v>
      </c>
      <c r="G130" s="319">
        <f t="array" ref="G130">SUM(IF((Budget[Ofc Code]=$B$6)*(Budget[Account Code]=$B130)*(Budget[Date]=G$7),Budget[Amount]))</f>
        <v>0</v>
      </c>
      <c r="H130" s="319">
        <f t="array" ref="H130">SUM(IF((Budget[Ofc Code]=$B$6)*(Budget[Account Code]=$B130)*(Budget[Date]=H$7),Budget[Amount]))</f>
        <v>0</v>
      </c>
      <c r="I130" s="319">
        <f t="array" ref="I130">SUM(IF((Budget[Ofc Code]=$B$6)*(Budget[Account Code]=$B130)*(Budget[Date]=I$7),Budget[Amount]))</f>
        <v>0</v>
      </c>
      <c r="J130" s="319">
        <f t="array" ref="J130">SUM(IF((Budget[Ofc Code]=$B$6)*(Budget[Account Code]=$B130)*(Budget[Date]=J$7),Budget[Amount]))</f>
        <v>0</v>
      </c>
      <c r="K130" s="319">
        <f t="array" ref="K130">SUM(IF((Budget[Ofc Code]=$B$6)*(Budget[Account Code]=$B130)*(Budget[Date]=K$7),Budget[Amount]))</f>
        <v>0</v>
      </c>
      <c r="L130" s="319">
        <f t="array" ref="L130">SUM(IF((Budget[Ofc Code]=$B$6)*(Budget[Account Code]=$B130)*(Budget[Date]=L$7),Budget[Amount]))</f>
        <v>0</v>
      </c>
      <c r="M130" s="319">
        <f t="array" ref="M130">SUM(IF((Budget[Ofc Code]=$B$6)*(Budget[Account Code]=$B130)*(Budget[Date]=M$7),Budget[Amount]))</f>
        <v>0</v>
      </c>
      <c r="N130" s="319">
        <f t="array" ref="N130">SUM(IF((Budget[Ofc Code]=$B$6)*(Budget[Account Code]=$B130)*(Budget[Date]=N$7),Budget[Amount]))</f>
        <v>0</v>
      </c>
      <c r="O130" s="319">
        <f t="array" ref="O130">SUM(IF((Budget[Ofc Code]=$B$6)*(Budget[Account Code]=$B130)*(Budget[Date]=O$7),Budget[Amount]))</f>
        <v>0</v>
      </c>
      <c r="P130" s="319">
        <f t="shared" si="17"/>
        <v>0</v>
      </c>
    </row>
    <row r="131" spans="1:16">
      <c r="A131" s="323" t="s">
        <v>953</v>
      </c>
      <c r="B131" s="317" t="s">
        <v>252</v>
      </c>
      <c r="C131" s="319">
        <f t="shared" si="25"/>
        <v>0</v>
      </c>
      <c r="D131" s="319">
        <f t="array" ref="D131">SUM(IF((Budget[Ofc Code]=$B$6)*(Budget[Account Code]=$B131)*(Budget[Date]=D$7),Budget[Amount]))</f>
        <v>0</v>
      </c>
      <c r="E131" s="319">
        <f t="array" ref="E131">SUM(IF((Budget[Ofc Code]=$B$6)*(Budget[Account Code]=$B131)*(Budget[Date]=E$7),Budget[Amount]))</f>
        <v>0</v>
      </c>
      <c r="F131" s="319">
        <f t="array" ref="F131">SUM(IF((Budget[Ofc Code]=$B$6)*(Budget[Account Code]=$B131)*(Budget[Date]=F$7),Budget[Amount]))</f>
        <v>0</v>
      </c>
      <c r="G131" s="319">
        <f t="array" ref="G131">SUM(IF((Budget[Ofc Code]=$B$6)*(Budget[Account Code]=$B131)*(Budget[Date]=G$7),Budget[Amount]))</f>
        <v>0</v>
      </c>
      <c r="H131" s="319">
        <f t="array" ref="H131">SUM(IF((Budget[Ofc Code]=$B$6)*(Budget[Account Code]=$B131)*(Budget[Date]=H$7),Budget[Amount]))</f>
        <v>0</v>
      </c>
      <c r="I131" s="319">
        <f t="array" ref="I131">SUM(IF((Budget[Ofc Code]=$B$6)*(Budget[Account Code]=$B131)*(Budget[Date]=I$7),Budget[Amount]))</f>
        <v>0</v>
      </c>
      <c r="J131" s="319">
        <f t="array" ref="J131">SUM(IF((Budget[Ofc Code]=$B$6)*(Budget[Account Code]=$B131)*(Budget[Date]=J$7),Budget[Amount]))</f>
        <v>0</v>
      </c>
      <c r="K131" s="319">
        <f t="array" ref="K131">SUM(IF((Budget[Ofc Code]=$B$6)*(Budget[Account Code]=$B131)*(Budget[Date]=K$7),Budget[Amount]))</f>
        <v>0</v>
      </c>
      <c r="L131" s="319">
        <f t="array" ref="L131">SUM(IF((Budget[Ofc Code]=$B$6)*(Budget[Account Code]=$B131)*(Budget[Date]=L$7),Budget[Amount]))</f>
        <v>0</v>
      </c>
      <c r="M131" s="319">
        <f t="array" ref="M131">SUM(IF((Budget[Ofc Code]=$B$6)*(Budget[Account Code]=$B131)*(Budget[Date]=M$7),Budget[Amount]))</f>
        <v>0</v>
      </c>
      <c r="N131" s="319">
        <f t="array" ref="N131">SUM(IF((Budget[Ofc Code]=$B$6)*(Budget[Account Code]=$B131)*(Budget[Date]=N$7),Budget[Amount]))</f>
        <v>0</v>
      </c>
      <c r="O131" s="319">
        <f t="array" ref="O131">SUM(IF((Budget[Ofc Code]=$B$6)*(Budget[Account Code]=$B131)*(Budget[Date]=O$7),Budget[Amount]))</f>
        <v>0</v>
      </c>
      <c r="P131" s="319">
        <f t="shared" si="17"/>
        <v>0</v>
      </c>
    </row>
    <row r="132" spans="1:16">
      <c r="A132" s="323" t="s">
        <v>954</v>
      </c>
      <c r="B132" s="317" t="s">
        <v>265</v>
      </c>
      <c r="C132" s="319">
        <f t="shared" si="25"/>
        <v>0</v>
      </c>
      <c r="D132" s="319">
        <f t="array" ref="D132">SUM(IF((Budget[Ofc Code]=$B$6)*(Budget[Account Code]=$B132)*(Budget[Date]=D$7),Budget[Amount]))</f>
        <v>0</v>
      </c>
      <c r="E132" s="319">
        <f t="array" ref="E132">SUM(IF((Budget[Ofc Code]=$B$6)*(Budget[Account Code]=$B132)*(Budget[Date]=E$7),Budget[Amount]))</f>
        <v>0</v>
      </c>
      <c r="F132" s="319">
        <f t="array" ref="F132">SUM(IF((Budget[Ofc Code]=$B$6)*(Budget[Account Code]=$B132)*(Budget[Date]=F$7),Budget[Amount]))</f>
        <v>0</v>
      </c>
      <c r="G132" s="319">
        <f t="array" ref="G132">SUM(IF((Budget[Ofc Code]=$B$6)*(Budget[Account Code]=$B132)*(Budget[Date]=G$7),Budget[Amount]))</f>
        <v>0</v>
      </c>
      <c r="H132" s="319">
        <f t="array" ref="H132">SUM(IF((Budget[Ofc Code]=$B$6)*(Budget[Account Code]=$B132)*(Budget[Date]=H$7),Budget[Amount]))</f>
        <v>0</v>
      </c>
      <c r="I132" s="319">
        <f t="array" ref="I132">SUM(IF((Budget[Ofc Code]=$B$6)*(Budget[Account Code]=$B132)*(Budget[Date]=I$7),Budget[Amount]))</f>
        <v>0</v>
      </c>
      <c r="J132" s="319">
        <f t="array" ref="J132">SUM(IF((Budget[Ofc Code]=$B$6)*(Budget[Account Code]=$B132)*(Budget[Date]=J$7),Budget[Amount]))</f>
        <v>0</v>
      </c>
      <c r="K132" s="319">
        <f t="array" ref="K132">SUM(IF((Budget[Ofc Code]=$B$6)*(Budget[Account Code]=$B132)*(Budget[Date]=K$7),Budget[Amount]))</f>
        <v>0</v>
      </c>
      <c r="L132" s="319">
        <f t="array" ref="L132">SUM(IF((Budget[Ofc Code]=$B$6)*(Budget[Account Code]=$B132)*(Budget[Date]=L$7),Budget[Amount]))</f>
        <v>0</v>
      </c>
      <c r="M132" s="319">
        <f t="array" ref="M132">SUM(IF((Budget[Ofc Code]=$B$6)*(Budget[Account Code]=$B132)*(Budget[Date]=M$7),Budget[Amount]))</f>
        <v>0</v>
      </c>
      <c r="N132" s="319">
        <f t="array" ref="N132">SUM(IF((Budget[Ofc Code]=$B$6)*(Budget[Account Code]=$B132)*(Budget[Date]=N$7),Budget[Amount]))</f>
        <v>0</v>
      </c>
      <c r="O132" s="319">
        <f t="array" ref="O132">SUM(IF((Budget[Ofc Code]=$B$6)*(Budget[Account Code]=$B132)*(Budget[Date]=O$7),Budget[Amount]))</f>
        <v>0</v>
      </c>
      <c r="P132" s="319">
        <f t="shared" si="17"/>
        <v>0</v>
      </c>
    </row>
    <row r="133" spans="1:16" s="171" customFormat="1">
      <c r="A133" s="321" t="s">
        <v>955</v>
      </c>
      <c r="B133" s="317" t="s">
        <v>269</v>
      </c>
      <c r="C133" s="322">
        <f t="shared" si="25"/>
        <v>0</v>
      </c>
      <c r="D133" s="319">
        <f t="array" ref="D133">SUM(IF((Budget[Ofc Code]=$B$6)*(Budget[Account Code]=$B133)*(Budget[Date]=D$7),Budget[Amount]))</f>
        <v>0</v>
      </c>
      <c r="E133" s="319">
        <f t="array" ref="E133">SUM(IF((Budget[Ofc Code]=$B$6)*(Budget[Account Code]=$B133)*(Budget[Date]=E$7),Budget[Amount]))</f>
        <v>0</v>
      </c>
      <c r="F133" s="319">
        <f t="array" ref="F133">SUM(IF((Budget[Ofc Code]=$B$6)*(Budget[Account Code]=$B133)*(Budget[Date]=F$7),Budget[Amount]))</f>
        <v>0</v>
      </c>
      <c r="G133" s="319">
        <f t="array" ref="G133">SUM(IF((Budget[Ofc Code]=$B$6)*(Budget[Account Code]=$B133)*(Budget[Date]=G$7),Budget[Amount]))</f>
        <v>0</v>
      </c>
      <c r="H133" s="319">
        <f t="array" ref="H133">SUM(IF((Budget[Ofc Code]=$B$6)*(Budget[Account Code]=$B133)*(Budget[Date]=H$7),Budget[Amount]))</f>
        <v>0</v>
      </c>
      <c r="I133" s="319">
        <f t="array" ref="I133">SUM(IF((Budget[Ofc Code]=$B$6)*(Budget[Account Code]=$B133)*(Budget[Date]=I$7),Budget[Amount]))</f>
        <v>0</v>
      </c>
      <c r="J133" s="319">
        <f t="array" ref="J133">SUM(IF((Budget[Ofc Code]=$B$6)*(Budget[Account Code]=$B133)*(Budget[Date]=J$7),Budget[Amount]))</f>
        <v>0</v>
      </c>
      <c r="K133" s="319">
        <f t="array" ref="K133">SUM(IF((Budget[Ofc Code]=$B$6)*(Budget[Account Code]=$B133)*(Budget[Date]=K$7),Budget[Amount]))</f>
        <v>0</v>
      </c>
      <c r="L133" s="319">
        <f t="array" ref="L133">SUM(IF((Budget[Ofc Code]=$B$6)*(Budget[Account Code]=$B133)*(Budget[Date]=L$7),Budget[Amount]))</f>
        <v>0</v>
      </c>
      <c r="M133" s="319">
        <f t="array" ref="M133">SUM(IF((Budget[Ofc Code]=$B$6)*(Budget[Account Code]=$B133)*(Budget[Date]=M$7),Budget[Amount]))</f>
        <v>0</v>
      </c>
      <c r="N133" s="319">
        <f t="array" ref="N133">SUM(IF((Budget[Ofc Code]=$B$6)*(Budget[Account Code]=$B133)*(Budget[Date]=N$7),Budget[Amount]))</f>
        <v>0</v>
      </c>
      <c r="O133" s="319">
        <f t="array" ref="O133">SUM(IF((Budget[Ofc Code]=$B$6)*(Budget[Account Code]=$B133)*(Budget[Date]=O$7),Budget[Amount]))</f>
        <v>0</v>
      </c>
      <c r="P133" s="322">
        <f t="shared" si="17"/>
        <v>0</v>
      </c>
    </row>
    <row r="134" spans="1:16" s="171" customFormat="1">
      <c r="A134" s="321" t="s">
        <v>956</v>
      </c>
      <c r="B134" s="317"/>
      <c r="C134" s="322">
        <f t="shared" si="25"/>
        <v>0</v>
      </c>
      <c r="D134" s="322">
        <f>D135+D136</f>
        <v>0</v>
      </c>
      <c r="E134" s="322">
        <f t="shared" ref="E134:O134" si="27">E135+E136</f>
        <v>0</v>
      </c>
      <c r="F134" s="322">
        <f t="shared" si="27"/>
        <v>0</v>
      </c>
      <c r="G134" s="322">
        <f t="shared" si="27"/>
        <v>0</v>
      </c>
      <c r="H134" s="322">
        <f t="shared" si="27"/>
        <v>0</v>
      </c>
      <c r="I134" s="322">
        <f t="shared" si="27"/>
        <v>0</v>
      </c>
      <c r="J134" s="322">
        <f t="shared" si="27"/>
        <v>0</v>
      </c>
      <c r="K134" s="322">
        <f t="shared" si="27"/>
        <v>0</v>
      </c>
      <c r="L134" s="322">
        <f t="shared" si="27"/>
        <v>0</v>
      </c>
      <c r="M134" s="322">
        <f t="shared" si="27"/>
        <v>0</v>
      </c>
      <c r="N134" s="322">
        <f t="shared" si="27"/>
        <v>0</v>
      </c>
      <c r="O134" s="322">
        <f t="shared" si="27"/>
        <v>0</v>
      </c>
      <c r="P134" s="322">
        <f t="shared" si="17"/>
        <v>0</v>
      </c>
    </row>
    <row r="135" spans="1:16">
      <c r="A135" s="323" t="s">
        <v>957</v>
      </c>
      <c r="B135" s="317"/>
      <c r="C135" s="319">
        <f t="shared" si="25"/>
        <v>0</v>
      </c>
      <c r="D135" s="319">
        <f t="array" ref="D135">SUM(IF((Budget[Ofc Code]=$B$6)*(Budget[Account Code]=$B135)*(Budget[Date]=D$7),Budget[Amount]))</f>
        <v>0</v>
      </c>
      <c r="E135" s="319">
        <f t="array" ref="E135">SUM(IF((Budget[Ofc Code]=$B$6)*(Budget[Account Code]=$B135)*(Budget[Date]=E$7),Budget[Amount]))</f>
        <v>0</v>
      </c>
      <c r="F135" s="319">
        <f t="array" ref="F135">SUM(IF((Budget[Ofc Code]=$B$6)*(Budget[Account Code]=$B135)*(Budget[Date]=F$7),Budget[Amount]))</f>
        <v>0</v>
      </c>
      <c r="G135" s="319">
        <f t="array" ref="G135">SUM(IF((Budget[Ofc Code]=$B$6)*(Budget[Account Code]=$B135)*(Budget[Date]=G$7),Budget[Amount]))</f>
        <v>0</v>
      </c>
      <c r="H135" s="319">
        <f t="array" ref="H135">SUM(IF((Budget[Ofc Code]=$B$6)*(Budget[Account Code]=$B135)*(Budget[Date]=H$7),Budget[Amount]))</f>
        <v>0</v>
      </c>
      <c r="I135" s="319">
        <f t="array" ref="I135">SUM(IF((Budget[Ofc Code]=$B$6)*(Budget[Account Code]=$B135)*(Budget[Date]=I$7),Budget[Amount]))</f>
        <v>0</v>
      </c>
      <c r="J135" s="319">
        <f t="array" ref="J135">SUM(IF((Budget[Ofc Code]=$B$6)*(Budget[Account Code]=$B135)*(Budget[Date]=J$7),Budget[Amount]))</f>
        <v>0</v>
      </c>
      <c r="K135" s="319">
        <f t="array" ref="K135">SUM(IF((Budget[Ofc Code]=$B$6)*(Budget[Account Code]=$B135)*(Budget[Date]=K$7),Budget[Amount]))</f>
        <v>0</v>
      </c>
      <c r="L135" s="319">
        <f t="array" ref="L135">SUM(IF((Budget[Ofc Code]=$B$6)*(Budget[Account Code]=$B135)*(Budget[Date]=L$7),Budget[Amount]))</f>
        <v>0</v>
      </c>
      <c r="M135" s="319">
        <f t="array" ref="M135">SUM(IF((Budget[Ofc Code]=$B$6)*(Budget[Account Code]=$B135)*(Budget[Date]=M$7),Budget[Amount]))</f>
        <v>0</v>
      </c>
      <c r="N135" s="319">
        <f t="array" ref="N135">SUM(IF((Budget[Ofc Code]=$B$6)*(Budget[Account Code]=$B135)*(Budget[Date]=N$7),Budget[Amount]))</f>
        <v>0</v>
      </c>
      <c r="O135" s="319">
        <f t="array" ref="O135">SUM(IF((Budget[Ofc Code]=$B$6)*(Budget[Account Code]=$B135)*(Budget[Date]=O$7),Budget[Amount]))</f>
        <v>0</v>
      </c>
      <c r="P135" s="319">
        <f t="shared" si="17"/>
        <v>0</v>
      </c>
    </row>
    <row r="136" spans="1:16">
      <c r="A136" s="323" t="s">
        <v>958</v>
      </c>
      <c r="B136" s="317"/>
      <c r="C136" s="319">
        <f t="shared" si="25"/>
        <v>0</v>
      </c>
      <c r="D136" s="319">
        <f t="array" ref="D136">SUM(IF((Budget[Ofc Code]=$B$6)*(Budget[Account Code]=$B136)*(Budget[Date]=D$7),Budget[Amount]))</f>
        <v>0</v>
      </c>
      <c r="E136" s="319">
        <f t="array" ref="E136">SUM(IF((Budget[Ofc Code]=$B$6)*(Budget[Account Code]=$B136)*(Budget[Date]=E$7),Budget[Amount]))</f>
        <v>0</v>
      </c>
      <c r="F136" s="319">
        <f t="array" ref="F136">SUM(IF((Budget[Ofc Code]=$B$6)*(Budget[Account Code]=$B136)*(Budget[Date]=F$7),Budget[Amount]))</f>
        <v>0</v>
      </c>
      <c r="G136" s="319">
        <f t="array" ref="G136">SUM(IF((Budget[Ofc Code]=$B$6)*(Budget[Account Code]=$B136)*(Budget[Date]=G$7),Budget[Amount]))</f>
        <v>0</v>
      </c>
      <c r="H136" s="319">
        <f t="array" ref="H136">SUM(IF((Budget[Ofc Code]=$B$6)*(Budget[Account Code]=$B136)*(Budget[Date]=H$7),Budget[Amount]))</f>
        <v>0</v>
      </c>
      <c r="I136" s="319">
        <f t="array" ref="I136">SUM(IF((Budget[Ofc Code]=$B$6)*(Budget[Account Code]=$B136)*(Budget[Date]=I$7),Budget[Amount]))</f>
        <v>0</v>
      </c>
      <c r="J136" s="319">
        <f t="array" ref="J136">SUM(IF((Budget[Ofc Code]=$B$6)*(Budget[Account Code]=$B136)*(Budget[Date]=J$7),Budget[Amount]))</f>
        <v>0</v>
      </c>
      <c r="K136" s="319">
        <f t="array" ref="K136">SUM(IF((Budget[Ofc Code]=$B$6)*(Budget[Account Code]=$B136)*(Budget[Date]=K$7),Budget[Amount]))</f>
        <v>0</v>
      </c>
      <c r="L136" s="319">
        <f t="array" ref="L136">SUM(IF((Budget[Ofc Code]=$B$6)*(Budget[Account Code]=$B136)*(Budget[Date]=L$7),Budget[Amount]))</f>
        <v>0</v>
      </c>
      <c r="M136" s="319">
        <f t="array" ref="M136">SUM(IF((Budget[Ofc Code]=$B$6)*(Budget[Account Code]=$B136)*(Budget[Date]=M$7),Budget[Amount]))</f>
        <v>0</v>
      </c>
      <c r="N136" s="319">
        <f t="array" ref="N136">SUM(IF((Budget[Ofc Code]=$B$6)*(Budget[Account Code]=$B136)*(Budget[Date]=N$7),Budget[Amount]))</f>
        <v>0</v>
      </c>
      <c r="O136" s="319">
        <f t="array" ref="O136">SUM(IF((Budget[Ofc Code]=$B$6)*(Budget[Account Code]=$B136)*(Budget[Date]=O$7),Budget[Amount]))</f>
        <v>0</v>
      </c>
      <c r="P136" s="319">
        <f t="shared" si="17"/>
        <v>0</v>
      </c>
    </row>
    <row r="137" spans="1:16" s="171" customFormat="1">
      <c r="A137" s="321" t="s">
        <v>959</v>
      </c>
      <c r="B137" s="317"/>
      <c r="C137" s="322">
        <f t="shared" si="25"/>
        <v>0</v>
      </c>
      <c r="D137" s="322">
        <f>D138+D139+D140</f>
        <v>0</v>
      </c>
      <c r="E137" s="322">
        <f t="shared" ref="E137:O137" si="28">E138+E139+E140</f>
        <v>0</v>
      </c>
      <c r="F137" s="322">
        <f t="shared" si="28"/>
        <v>0</v>
      </c>
      <c r="G137" s="322">
        <f t="shared" si="28"/>
        <v>0</v>
      </c>
      <c r="H137" s="322">
        <f t="shared" si="28"/>
        <v>0</v>
      </c>
      <c r="I137" s="322">
        <f t="shared" si="28"/>
        <v>0</v>
      </c>
      <c r="J137" s="322">
        <f t="shared" si="28"/>
        <v>0</v>
      </c>
      <c r="K137" s="322">
        <f t="shared" si="28"/>
        <v>0</v>
      </c>
      <c r="L137" s="322">
        <f t="shared" si="28"/>
        <v>0</v>
      </c>
      <c r="M137" s="322">
        <f t="shared" si="28"/>
        <v>0</v>
      </c>
      <c r="N137" s="322">
        <f t="shared" si="28"/>
        <v>0</v>
      </c>
      <c r="O137" s="322">
        <f t="shared" si="28"/>
        <v>0</v>
      </c>
      <c r="P137" s="322">
        <f t="shared" si="17"/>
        <v>0</v>
      </c>
    </row>
    <row r="138" spans="1:16">
      <c r="A138" s="323" t="s">
        <v>960</v>
      </c>
      <c r="B138" s="317" t="s">
        <v>272</v>
      </c>
      <c r="C138" s="319">
        <f t="shared" si="25"/>
        <v>0</v>
      </c>
      <c r="D138" s="319">
        <f t="array" ref="D138">SUM(IF((Budget[Ofc Code]=$B$6)*(Budget[Account Code]=$B138)*(Budget[Date]=D$7),Budget[Amount]))</f>
        <v>0</v>
      </c>
      <c r="E138" s="319">
        <f t="array" ref="E138">SUM(IF((Budget[Ofc Code]=$B$6)*(Budget[Account Code]=$B138)*(Budget[Date]=E$7),Budget[Amount]))</f>
        <v>0</v>
      </c>
      <c r="F138" s="319">
        <f t="array" ref="F138">SUM(IF((Budget[Ofc Code]=$B$6)*(Budget[Account Code]=$B138)*(Budget[Date]=F$7),Budget[Amount]))</f>
        <v>0</v>
      </c>
      <c r="G138" s="319">
        <f t="array" ref="G138">SUM(IF((Budget[Ofc Code]=$B$6)*(Budget[Account Code]=$B138)*(Budget[Date]=G$7),Budget[Amount]))</f>
        <v>0</v>
      </c>
      <c r="H138" s="319">
        <f t="array" ref="H138">SUM(IF((Budget[Ofc Code]=$B$6)*(Budget[Account Code]=$B138)*(Budget[Date]=H$7),Budget[Amount]))</f>
        <v>0</v>
      </c>
      <c r="I138" s="319">
        <f t="array" ref="I138">SUM(IF((Budget[Ofc Code]=$B$6)*(Budget[Account Code]=$B138)*(Budget[Date]=I$7),Budget[Amount]))</f>
        <v>0</v>
      </c>
      <c r="J138" s="319">
        <f t="array" ref="J138">SUM(IF((Budget[Ofc Code]=$B$6)*(Budget[Account Code]=$B138)*(Budget[Date]=J$7),Budget[Amount]))</f>
        <v>0</v>
      </c>
      <c r="K138" s="319">
        <f t="array" ref="K138">SUM(IF((Budget[Ofc Code]=$B$6)*(Budget[Account Code]=$B138)*(Budget[Date]=K$7),Budget[Amount]))</f>
        <v>0</v>
      </c>
      <c r="L138" s="319">
        <f t="array" ref="L138">SUM(IF((Budget[Ofc Code]=$B$6)*(Budget[Account Code]=$B138)*(Budget[Date]=L$7),Budget[Amount]))</f>
        <v>0</v>
      </c>
      <c r="M138" s="319">
        <f t="array" ref="M138">SUM(IF((Budget[Ofc Code]=$B$6)*(Budget[Account Code]=$B138)*(Budget[Date]=M$7),Budget[Amount]))</f>
        <v>0</v>
      </c>
      <c r="N138" s="319">
        <f t="array" ref="N138">SUM(IF((Budget[Ofc Code]=$B$6)*(Budget[Account Code]=$B138)*(Budget[Date]=N$7),Budget[Amount]))</f>
        <v>0</v>
      </c>
      <c r="O138" s="319">
        <f t="array" ref="O138">SUM(IF((Budget[Ofc Code]=$B$6)*(Budget[Account Code]=$B138)*(Budget[Date]=O$7),Budget[Amount]))</f>
        <v>0</v>
      </c>
      <c r="P138" s="319">
        <f t="shared" si="17"/>
        <v>0</v>
      </c>
    </row>
    <row r="139" spans="1:16">
      <c r="A139" s="323" t="s">
        <v>961</v>
      </c>
      <c r="B139" s="317" t="s">
        <v>273</v>
      </c>
      <c r="C139" s="319">
        <f t="shared" si="25"/>
        <v>0</v>
      </c>
      <c r="D139" s="319">
        <f t="array" ref="D139">SUM(IF((Budget[Ofc Code]=$B$6)*(Budget[Account Code]=$B139)*(Budget[Date]=D$7),Budget[Amount]))</f>
        <v>0</v>
      </c>
      <c r="E139" s="319">
        <f t="array" ref="E139">SUM(IF((Budget[Ofc Code]=$B$6)*(Budget[Account Code]=$B139)*(Budget[Date]=E$7),Budget[Amount]))</f>
        <v>0</v>
      </c>
      <c r="F139" s="319">
        <f t="array" ref="F139">SUM(IF((Budget[Ofc Code]=$B$6)*(Budget[Account Code]=$B139)*(Budget[Date]=F$7),Budget[Amount]))</f>
        <v>0</v>
      </c>
      <c r="G139" s="319">
        <f t="array" ref="G139">SUM(IF((Budget[Ofc Code]=$B$6)*(Budget[Account Code]=$B139)*(Budget[Date]=G$7),Budget[Amount]))</f>
        <v>0</v>
      </c>
      <c r="H139" s="319">
        <f t="array" ref="H139">SUM(IF((Budget[Ofc Code]=$B$6)*(Budget[Account Code]=$B139)*(Budget[Date]=H$7),Budget[Amount]))</f>
        <v>0</v>
      </c>
      <c r="I139" s="319">
        <f t="array" ref="I139">SUM(IF((Budget[Ofc Code]=$B$6)*(Budget[Account Code]=$B139)*(Budget[Date]=I$7),Budget[Amount]))</f>
        <v>0</v>
      </c>
      <c r="J139" s="319">
        <f t="array" ref="J139">SUM(IF((Budget[Ofc Code]=$B$6)*(Budget[Account Code]=$B139)*(Budget[Date]=J$7),Budget[Amount]))</f>
        <v>0</v>
      </c>
      <c r="K139" s="319">
        <f t="array" ref="K139">SUM(IF((Budget[Ofc Code]=$B$6)*(Budget[Account Code]=$B139)*(Budget[Date]=K$7),Budget[Amount]))</f>
        <v>0</v>
      </c>
      <c r="L139" s="319">
        <f t="array" ref="L139">SUM(IF((Budget[Ofc Code]=$B$6)*(Budget[Account Code]=$B139)*(Budget[Date]=L$7),Budget[Amount]))</f>
        <v>0</v>
      </c>
      <c r="M139" s="319">
        <f t="array" ref="M139">SUM(IF((Budget[Ofc Code]=$B$6)*(Budget[Account Code]=$B139)*(Budget[Date]=M$7),Budget[Amount]))</f>
        <v>0</v>
      </c>
      <c r="N139" s="319">
        <f t="array" ref="N139">SUM(IF((Budget[Ofc Code]=$B$6)*(Budget[Account Code]=$B139)*(Budget[Date]=N$7),Budget[Amount]))</f>
        <v>0</v>
      </c>
      <c r="O139" s="319">
        <f t="array" ref="O139">SUM(IF((Budget[Ofc Code]=$B$6)*(Budget[Account Code]=$B139)*(Budget[Date]=O$7),Budget[Amount]))</f>
        <v>0</v>
      </c>
      <c r="P139" s="319">
        <f t="shared" si="17"/>
        <v>0</v>
      </c>
    </row>
    <row r="140" spans="1:16">
      <c r="A140" s="323" t="s">
        <v>962</v>
      </c>
      <c r="B140" s="317" t="s">
        <v>274</v>
      </c>
      <c r="C140" s="319">
        <f t="shared" si="25"/>
        <v>0</v>
      </c>
      <c r="D140" s="319">
        <f t="array" ref="D140">SUM(IF((Budget[Ofc Code]=$B$6)*(Budget[Account Code]=$B140)*(Budget[Date]=D$7),Budget[Amount]))</f>
        <v>0</v>
      </c>
      <c r="E140" s="319">
        <f t="array" ref="E140">SUM(IF((Budget[Ofc Code]=$B$6)*(Budget[Account Code]=$B140)*(Budget[Date]=E$7),Budget[Amount]))</f>
        <v>0</v>
      </c>
      <c r="F140" s="319">
        <f t="array" ref="F140">SUM(IF((Budget[Ofc Code]=$B$6)*(Budget[Account Code]=$B140)*(Budget[Date]=F$7),Budget[Amount]))</f>
        <v>0</v>
      </c>
      <c r="G140" s="319">
        <f t="array" ref="G140">SUM(IF((Budget[Ofc Code]=$B$6)*(Budget[Account Code]=$B140)*(Budget[Date]=G$7),Budget[Amount]))</f>
        <v>0</v>
      </c>
      <c r="H140" s="319">
        <f t="array" ref="H140">SUM(IF((Budget[Ofc Code]=$B$6)*(Budget[Account Code]=$B140)*(Budget[Date]=H$7),Budget[Amount]))</f>
        <v>0</v>
      </c>
      <c r="I140" s="319">
        <f t="array" ref="I140">SUM(IF((Budget[Ofc Code]=$B$6)*(Budget[Account Code]=$B140)*(Budget[Date]=I$7),Budget[Amount]))</f>
        <v>0</v>
      </c>
      <c r="J140" s="319">
        <f t="array" ref="J140">SUM(IF((Budget[Ofc Code]=$B$6)*(Budget[Account Code]=$B140)*(Budget[Date]=J$7),Budget[Amount]))</f>
        <v>0</v>
      </c>
      <c r="K140" s="319">
        <f t="array" ref="K140">SUM(IF((Budget[Ofc Code]=$B$6)*(Budget[Account Code]=$B140)*(Budget[Date]=K$7),Budget[Amount]))</f>
        <v>0</v>
      </c>
      <c r="L140" s="319">
        <f t="array" ref="L140">SUM(IF((Budget[Ofc Code]=$B$6)*(Budget[Account Code]=$B140)*(Budget[Date]=L$7),Budget[Amount]))</f>
        <v>0</v>
      </c>
      <c r="M140" s="319">
        <f t="array" ref="M140">SUM(IF((Budget[Ofc Code]=$B$6)*(Budget[Account Code]=$B140)*(Budget[Date]=M$7),Budget[Amount]))</f>
        <v>0</v>
      </c>
      <c r="N140" s="319">
        <f t="array" ref="N140">SUM(IF((Budget[Ofc Code]=$B$6)*(Budget[Account Code]=$B140)*(Budget[Date]=N$7),Budget[Amount]))</f>
        <v>0</v>
      </c>
      <c r="O140" s="319">
        <f t="array" ref="O140">SUM(IF((Budget[Ofc Code]=$B$6)*(Budget[Account Code]=$B140)*(Budget[Date]=O$7),Budget[Amount]))</f>
        <v>0</v>
      </c>
      <c r="P140" s="319">
        <f t="shared" ref="P140:P169" si="29">C140</f>
        <v>0</v>
      </c>
    </row>
    <row r="141" spans="1:16" s="171" customFormat="1">
      <c r="A141" s="321" t="s">
        <v>963</v>
      </c>
      <c r="B141" s="317"/>
      <c r="C141" s="322">
        <f t="shared" si="25"/>
        <v>0</v>
      </c>
      <c r="D141" s="322">
        <f>SUM(D142:D146)</f>
        <v>0</v>
      </c>
      <c r="E141" s="322">
        <f t="shared" ref="E141:O141" si="30">SUM(E142:E146)</f>
        <v>0</v>
      </c>
      <c r="F141" s="322">
        <f t="shared" si="30"/>
        <v>0</v>
      </c>
      <c r="G141" s="322">
        <f t="shared" si="30"/>
        <v>0</v>
      </c>
      <c r="H141" s="322">
        <f t="shared" si="30"/>
        <v>0</v>
      </c>
      <c r="I141" s="322">
        <f t="shared" si="30"/>
        <v>0</v>
      </c>
      <c r="J141" s="322">
        <f t="shared" si="30"/>
        <v>0</v>
      </c>
      <c r="K141" s="322">
        <f t="shared" si="30"/>
        <v>0</v>
      </c>
      <c r="L141" s="322">
        <f t="shared" si="30"/>
        <v>0</v>
      </c>
      <c r="M141" s="322">
        <f t="shared" si="30"/>
        <v>0</v>
      </c>
      <c r="N141" s="322">
        <f t="shared" si="30"/>
        <v>0</v>
      </c>
      <c r="O141" s="322">
        <f t="shared" si="30"/>
        <v>0</v>
      </c>
      <c r="P141" s="322">
        <f t="shared" si="29"/>
        <v>0</v>
      </c>
    </row>
    <row r="142" spans="1:16">
      <c r="A142" s="323" t="s">
        <v>964</v>
      </c>
      <c r="B142" s="317" t="s">
        <v>332</v>
      </c>
      <c r="C142" s="319">
        <f t="shared" si="25"/>
        <v>0</v>
      </c>
      <c r="D142" s="319">
        <f t="array" ref="D142">SUM(IF((Budget[Ofc Code]=$B$6)*(Budget[Account Code]=$B142)*(Budget[Date]=D$7),Budget[Amount]))</f>
        <v>0</v>
      </c>
      <c r="E142" s="319">
        <f t="array" ref="E142">SUM(IF((Budget[Ofc Code]=$B$6)*(Budget[Account Code]=$B142)*(Budget[Date]=E$7),Budget[Amount]))</f>
        <v>0</v>
      </c>
      <c r="F142" s="319">
        <f t="array" ref="F142">SUM(IF((Budget[Ofc Code]=$B$6)*(Budget[Account Code]=$B142)*(Budget[Date]=F$7),Budget[Amount]))</f>
        <v>0</v>
      </c>
      <c r="G142" s="319">
        <f t="array" ref="G142">SUM(IF((Budget[Ofc Code]=$B$6)*(Budget[Account Code]=$B142)*(Budget[Date]=G$7),Budget[Amount]))</f>
        <v>0</v>
      </c>
      <c r="H142" s="319">
        <f t="array" ref="H142">SUM(IF((Budget[Ofc Code]=$B$6)*(Budget[Account Code]=$B142)*(Budget[Date]=H$7),Budget[Amount]))</f>
        <v>0</v>
      </c>
      <c r="I142" s="319">
        <f t="array" ref="I142">SUM(IF((Budget[Ofc Code]=$B$6)*(Budget[Account Code]=$B142)*(Budget[Date]=I$7),Budget[Amount]))</f>
        <v>0</v>
      </c>
      <c r="J142" s="319">
        <f t="array" ref="J142">SUM(IF((Budget[Ofc Code]=$B$6)*(Budget[Account Code]=$B142)*(Budget[Date]=J$7),Budget[Amount]))</f>
        <v>0</v>
      </c>
      <c r="K142" s="319">
        <f t="array" ref="K142">SUM(IF((Budget[Ofc Code]=$B$6)*(Budget[Account Code]=$B142)*(Budget[Date]=K$7),Budget[Amount]))</f>
        <v>0</v>
      </c>
      <c r="L142" s="319">
        <f t="array" ref="L142">SUM(IF((Budget[Ofc Code]=$B$6)*(Budget[Account Code]=$B142)*(Budget[Date]=L$7),Budget[Amount]))</f>
        <v>0</v>
      </c>
      <c r="M142" s="319">
        <f t="array" ref="M142">SUM(IF((Budget[Ofc Code]=$B$6)*(Budget[Account Code]=$B142)*(Budget[Date]=M$7),Budget[Amount]))</f>
        <v>0</v>
      </c>
      <c r="N142" s="319">
        <f t="array" ref="N142">SUM(IF((Budget[Ofc Code]=$B$6)*(Budget[Account Code]=$B142)*(Budget[Date]=N$7),Budget[Amount]))</f>
        <v>0</v>
      </c>
      <c r="O142" s="319">
        <f t="array" ref="O142">SUM(IF((Budget[Ofc Code]=$B$6)*(Budget[Account Code]=$B142)*(Budget[Date]=O$7),Budget[Amount]))</f>
        <v>0</v>
      </c>
      <c r="P142" s="319">
        <f t="shared" si="29"/>
        <v>0</v>
      </c>
    </row>
    <row r="143" spans="1:16">
      <c r="A143" s="323" t="s">
        <v>965</v>
      </c>
      <c r="B143" s="317" t="s">
        <v>331</v>
      </c>
      <c r="C143" s="319">
        <f t="shared" si="25"/>
        <v>0</v>
      </c>
      <c r="D143" s="319">
        <f t="array" ref="D143">SUM(IF((Budget[Ofc Code]=$B$6)*(Budget[Account Code]=$B143)*(Budget[Date]=D$7),Budget[Amount]))</f>
        <v>0</v>
      </c>
      <c r="E143" s="319">
        <f t="array" ref="E143">SUM(IF((Budget[Ofc Code]=$B$6)*(Budget[Account Code]=$B143)*(Budget[Date]=E$7),Budget[Amount]))</f>
        <v>0</v>
      </c>
      <c r="F143" s="319">
        <f t="array" ref="F143">SUM(IF((Budget[Ofc Code]=$B$6)*(Budget[Account Code]=$B143)*(Budget[Date]=F$7),Budget[Amount]))</f>
        <v>0</v>
      </c>
      <c r="G143" s="319">
        <f t="array" ref="G143">SUM(IF((Budget[Ofc Code]=$B$6)*(Budget[Account Code]=$B143)*(Budget[Date]=G$7),Budget[Amount]))</f>
        <v>0</v>
      </c>
      <c r="H143" s="319">
        <f t="array" ref="H143">SUM(IF((Budget[Ofc Code]=$B$6)*(Budget[Account Code]=$B143)*(Budget[Date]=H$7),Budget[Amount]))</f>
        <v>0</v>
      </c>
      <c r="I143" s="319">
        <f t="array" ref="I143">SUM(IF((Budget[Ofc Code]=$B$6)*(Budget[Account Code]=$B143)*(Budget[Date]=I$7),Budget[Amount]))</f>
        <v>0</v>
      </c>
      <c r="J143" s="319">
        <f t="array" ref="J143">SUM(IF((Budget[Ofc Code]=$B$6)*(Budget[Account Code]=$B143)*(Budget[Date]=J$7),Budget[Amount]))</f>
        <v>0</v>
      </c>
      <c r="K143" s="319">
        <f t="array" ref="K143">SUM(IF((Budget[Ofc Code]=$B$6)*(Budget[Account Code]=$B143)*(Budget[Date]=K$7),Budget[Amount]))</f>
        <v>0</v>
      </c>
      <c r="L143" s="319">
        <f t="array" ref="L143">SUM(IF((Budget[Ofc Code]=$B$6)*(Budget[Account Code]=$B143)*(Budget[Date]=L$7),Budget[Amount]))</f>
        <v>0</v>
      </c>
      <c r="M143" s="319">
        <f t="array" ref="M143">SUM(IF((Budget[Ofc Code]=$B$6)*(Budget[Account Code]=$B143)*(Budget[Date]=M$7),Budget[Amount]))</f>
        <v>0</v>
      </c>
      <c r="N143" s="319">
        <f t="array" ref="N143">SUM(IF((Budget[Ofc Code]=$B$6)*(Budget[Account Code]=$B143)*(Budget[Date]=N$7),Budget[Amount]))</f>
        <v>0</v>
      </c>
      <c r="O143" s="319">
        <f t="array" ref="O143">SUM(IF((Budget[Ofc Code]=$B$6)*(Budget[Account Code]=$B143)*(Budget[Date]=O$7),Budget[Amount]))</f>
        <v>0</v>
      </c>
      <c r="P143" s="319">
        <f t="shared" si="29"/>
        <v>0</v>
      </c>
    </row>
    <row r="144" spans="1:16">
      <c r="A144" s="323" t="s">
        <v>966</v>
      </c>
      <c r="B144" s="317" t="s">
        <v>987</v>
      </c>
      <c r="C144" s="319">
        <f t="shared" si="25"/>
        <v>0</v>
      </c>
      <c r="D144" s="319">
        <f t="array" ref="D144">SUM(IF((Budget[Ofc Code]=$B$6)*(Budget[Account Code]=$B144)*(Budget[Date]=D$7),Budget[Amount]))</f>
        <v>0</v>
      </c>
      <c r="E144" s="319">
        <f t="array" ref="E144">SUM(IF((Budget[Ofc Code]=$B$6)*(Budget[Account Code]=$B144)*(Budget[Date]=E$7),Budget[Amount]))</f>
        <v>0</v>
      </c>
      <c r="F144" s="319">
        <f t="array" ref="F144">SUM(IF((Budget[Ofc Code]=$B$6)*(Budget[Account Code]=$B144)*(Budget[Date]=F$7),Budget[Amount]))</f>
        <v>0</v>
      </c>
      <c r="G144" s="319">
        <f t="array" ref="G144">SUM(IF((Budget[Ofc Code]=$B$6)*(Budget[Account Code]=$B144)*(Budget[Date]=G$7),Budget[Amount]))</f>
        <v>0</v>
      </c>
      <c r="H144" s="319">
        <f t="array" ref="H144">SUM(IF((Budget[Ofc Code]=$B$6)*(Budget[Account Code]=$B144)*(Budget[Date]=H$7),Budget[Amount]))</f>
        <v>0</v>
      </c>
      <c r="I144" s="319">
        <f t="array" ref="I144">SUM(IF((Budget[Ofc Code]=$B$6)*(Budget[Account Code]=$B144)*(Budget[Date]=I$7),Budget[Amount]))</f>
        <v>0</v>
      </c>
      <c r="J144" s="319">
        <f t="array" ref="J144">SUM(IF((Budget[Ofc Code]=$B$6)*(Budget[Account Code]=$B144)*(Budget[Date]=J$7),Budget[Amount]))</f>
        <v>0</v>
      </c>
      <c r="K144" s="319">
        <f t="array" ref="K144">SUM(IF((Budget[Ofc Code]=$B$6)*(Budget[Account Code]=$B144)*(Budget[Date]=K$7),Budget[Amount]))</f>
        <v>0</v>
      </c>
      <c r="L144" s="319">
        <f t="array" ref="L144">SUM(IF((Budget[Ofc Code]=$B$6)*(Budget[Account Code]=$B144)*(Budget[Date]=L$7),Budget[Amount]))</f>
        <v>0</v>
      </c>
      <c r="M144" s="319">
        <f t="array" ref="M144">SUM(IF((Budget[Ofc Code]=$B$6)*(Budget[Account Code]=$B144)*(Budget[Date]=M$7),Budget[Amount]))</f>
        <v>0</v>
      </c>
      <c r="N144" s="319">
        <f t="array" ref="N144">SUM(IF((Budget[Ofc Code]=$B$6)*(Budget[Account Code]=$B144)*(Budget[Date]=N$7),Budget[Amount]))</f>
        <v>0</v>
      </c>
      <c r="O144" s="319">
        <f t="array" ref="O144">SUM(IF((Budget[Ofc Code]=$B$6)*(Budget[Account Code]=$B144)*(Budget[Date]=O$7),Budget[Amount]))</f>
        <v>0</v>
      </c>
      <c r="P144" s="319">
        <f t="shared" si="29"/>
        <v>0</v>
      </c>
    </row>
    <row r="145" spans="1:16">
      <c r="A145" s="323" t="s">
        <v>967</v>
      </c>
      <c r="B145" s="317"/>
      <c r="C145" s="319">
        <f t="shared" si="25"/>
        <v>0</v>
      </c>
      <c r="D145" s="319">
        <f t="array" ref="D145">SUM(IF((Budget[Ofc Code]=$B$6)*(Budget[Account Code]=$B145)*(Budget[Date]=D$7),Budget[Amount]))</f>
        <v>0</v>
      </c>
      <c r="E145" s="319">
        <f t="array" ref="E145">SUM(IF((Budget[Ofc Code]=$B$6)*(Budget[Account Code]=$B145)*(Budget[Date]=E$7),Budget[Amount]))</f>
        <v>0</v>
      </c>
      <c r="F145" s="319">
        <f t="array" ref="F145">SUM(IF((Budget[Ofc Code]=$B$6)*(Budget[Account Code]=$B145)*(Budget[Date]=F$7),Budget[Amount]))</f>
        <v>0</v>
      </c>
      <c r="G145" s="319">
        <f t="array" ref="G145">SUM(IF((Budget[Ofc Code]=$B$6)*(Budget[Account Code]=$B145)*(Budget[Date]=G$7),Budget[Amount]))</f>
        <v>0</v>
      </c>
      <c r="H145" s="319">
        <f t="array" ref="H145">SUM(IF((Budget[Ofc Code]=$B$6)*(Budget[Account Code]=$B145)*(Budget[Date]=H$7),Budget[Amount]))</f>
        <v>0</v>
      </c>
      <c r="I145" s="319">
        <f t="array" ref="I145">SUM(IF((Budget[Ofc Code]=$B$6)*(Budget[Account Code]=$B145)*(Budget[Date]=I$7),Budget[Amount]))</f>
        <v>0</v>
      </c>
      <c r="J145" s="319">
        <f t="array" ref="J145">SUM(IF((Budget[Ofc Code]=$B$6)*(Budget[Account Code]=$B145)*(Budget[Date]=J$7),Budget[Amount]))</f>
        <v>0</v>
      </c>
      <c r="K145" s="319">
        <f t="array" ref="K145">SUM(IF((Budget[Ofc Code]=$B$6)*(Budget[Account Code]=$B145)*(Budget[Date]=K$7),Budget[Amount]))</f>
        <v>0</v>
      </c>
      <c r="L145" s="319">
        <f t="array" ref="L145">SUM(IF((Budget[Ofc Code]=$B$6)*(Budget[Account Code]=$B145)*(Budget[Date]=L$7),Budget[Amount]))</f>
        <v>0</v>
      </c>
      <c r="M145" s="319">
        <f t="array" ref="M145">SUM(IF((Budget[Ofc Code]=$B$6)*(Budget[Account Code]=$B145)*(Budget[Date]=M$7),Budget[Amount]))</f>
        <v>0</v>
      </c>
      <c r="N145" s="319">
        <f t="array" ref="N145">SUM(IF((Budget[Ofc Code]=$B$6)*(Budget[Account Code]=$B145)*(Budget[Date]=N$7),Budget[Amount]))</f>
        <v>0</v>
      </c>
      <c r="O145" s="319">
        <f t="array" ref="O145">SUM(IF((Budget[Ofc Code]=$B$6)*(Budget[Account Code]=$B145)*(Budget[Date]=O$7),Budget[Amount]))</f>
        <v>0</v>
      </c>
      <c r="P145" s="319">
        <f t="shared" si="29"/>
        <v>0</v>
      </c>
    </row>
    <row r="146" spans="1:16">
      <c r="A146" s="323" t="s">
        <v>968</v>
      </c>
      <c r="B146" s="317"/>
      <c r="C146" s="319">
        <f t="shared" si="25"/>
        <v>0</v>
      </c>
      <c r="D146" s="319">
        <f>SUM(D147:D148)</f>
        <v>0</v>
      </c>
      <c r="E146" s="319">
        <f t="shared" ref="E146:O146" si="31">SUM(E147:E148)</f>
        <v>0</v>
      </c>
      <c r="F146" s="319">
        <f t="shared" si="31"/>
        <v>0</v>
      </c>
      <c r="G146" s="319">
        <f t="shared" si="31"/>
        <v>0</v>
      </c>
      <c r="H146" s="319">
        <f t="shared" si="31"/>
        <v>0</v>
      </c>
      <c r="I146" s="319">
        <f t="shared" si="31"/>
        <v>0</v>
      </c>
      <c r="J146" s="319">
        <f t="shared" si="31"/>
        <v>0</v>
      </c>
      <c r="K146" s="319">
        <f t="shared" si="31"/>
        <v>0</v>
      </c>
      <c r="L146" s="319">
        <f t="shared" si="31"/>
        <v>0</v>
      </c>
      <c r="M146" s="319">
        <f t="shared" si="31"/>
        <v>0</v>
      </c>
      <c r="N146" s="319">
        <f t="shared" si="31"/>
        <v>0</v>
      </c>
      <c r="O146" s="319">
        <f t="shared" si="31"/>
        <v>0</v>
      </c>
      <c r="P146" s="319">
        <f t="shared" si="29"/>
        <v>0</v>
      </c>
    </row>
    <row r="147" spans="1:16">
      <c r="A147" s="325" t="s">
        <v>1008</v>
      </c>
      <c r="B147" s="317" t="s">
        <v>986</v>
      </c>
      <c r="C147" s="319">
        <f t="shared" si="25"/>
        <v>0</v>
      </c>
      <c r="D147" s="319">
        <f t="array" ref="D147">SUM(IF((Budget[Ofc Code]=$B$6)*(Budget[Account Code]=$B147)*(Budget[Date]=D$7),Budget[Amount]))</f>
        <v>0</v>
      </c>
      <c r="E147" s="319">
        <f t="array" ref="E147">SUM(IF((Budget[Ofc Code]=$B$6)*(Budget[Account Code]=$B147)*(Budget[Date]=E$7),Budget[Amount]))</f>
        <v>0</v>
      </c>
      <c r="F147" s="319">
        <f t="array" ref="F147">SUM(IF((Budget[Ofc Code]=$B$6)*(Budget[Account Code]=$B147)*(Budget[Date]=F$7),Budget[Amount]))</f>
        <v>0</v>
      </c>
      <c r="G147" s="319">
        <f t="array" ref="G147">SUM(IF((Budget[Ofc Code]=$B$6)*(Budget[Account Code]=$B147)*(Budget[Date]=G$7),Budget[Amount]))</f>
        <v>0</v>
      </c>
      <c r="H147" s="319">
        <f t="array" ref="H147">SUM(IF((Budget[Ofc Code]=$B$6)*(Budget[Account Code]=$B147)*(Budget[Date]=H$7),Budget[Amount]))</f>
        <v>0</v>
      </c>
      <c r="I147" s="319">
        <f t="array" ref="I147">SUM(IF((Budget[Ofc Code]=$B$6)*(Budget[Account Code]=$B147)*(Budget[Date]=I$7),Budget[Amount]))</f>
        <v>0</v>
      </c>
      <c r="J147" s="319">
        <f t="array" ref="J147">SUM(IF((Budget[Ofc Code]=$B$6)*(Budget[Account Code]=$B147)*(Budget[Date]=J$7),Budget[Amount]))</f>
        <v>0</v>
      </c>
      <c r="K147" s="319">
        <f t="array" ref="K147">SUM(IF((Budget[Ofc Code]=$B$6)*(Budget[Account Code]=$B147)*(Budget[Date]=K$7),Budget[Amount]))</f>
        <v>0</v>
      </c>
      <c r="L147" s="319">
        <f t="array" ref="L147">SUM(IF((Budget[Ofc Code]=$B$6)*(Budget[Account Code]=$B147)*(Budget[Date]=L$7),Budget[Amount]))</f>
        <v>0</v>
      </c>
      <c r="M147" s="319">
        <f t="array" ref="M147">SUM(IF((Budget[Ofc Code]=$B$6)*(Budget[Account Code]=$B147)*(Budget[Date]=M$7),Budget[Amount]))</f>
        <v>0</v>
      </c>
      <c r="N147" s="319">
        <f t="array" ref="N147">SUM(IF((Budget[Ofc Code]=$B$6)*(Budget[Account Code]=$B147)*(Budget[Date]=N$7),Budget[Amount]))</f>
        <v>0</v>
      </c>
      <c r="O147" s="319">
        <f t="array" ref="O147">SUM(IF((Budget[Ofc Code]=$B$6)*(Budget[Account Code]=$B147)*(Budget[Date]=O$7),Budget[Amount]))</f>
        <v>0</v>
      </c>
      <c r="P147" s="319">
        <f t="shared" si="29"/>
        <v>0</v>
      </c>
    </row>
    <row r="148" spans="1:16">
      <c r="A148" s="325" t="s">
        <v>1009</v>
      </c>
      <c r="B148" s="317" t="s">
        <v>988</v>
      </c>
      <c r="C148" s="319">
        <f t="shared" si="25"/>
        <v>0</v>
      </c>
      <c r="D148" s="319">
        <f t="array" ref="D148">SUM(IF((Budget[Ofc Code]=$B$6)*(Budget[Account Code]=$B148)*(Budget[Date]=D$7),Budget[Amount]))</f>
        <v>0</v>
      </c>
      <c r="E148" s="319">
        <f t="array" ref="E148">SUM(IF((Budget[Ofc Code]=$B$6)*(Budget[Account Code]=$B148)*(Budget[Date]=E$7),Budget[Amount]))</f>
        <v>0</v>
      </c>
      <c r="F148" s="319">
        <f t="array" ref="F148">SUM(IF((Budget[Ofc Code]=$B$6)*(Budget[Account Code]=$B148)*(Budget[Date]=F$7),Budget[Amount]))</f>
        <v>0</v>
      </c>
      <c r="G148" s="319">
        <f t="array" ref="G148">SUM(IF((Budget[Ofc Code]=$B$6)*(Budget[Account Code]=$B148)*(Budget[Date]=G$7),Budget[Amount]))</f>
        <v>0</v>
      </c>
      <c r="H148" s="319">
        <f t="array" ref="H148">SUM(IF((Budget[Ofc Code]=$B$6)*(Budget[Account Code]=$B148)*(Budget[Date]=H$7),Budget[Amount]))</f>
        <v>0</v>
      </c>
      <c r="I148" s="319">
        <f t="array" ref="I148">SUM(IF((Budget[Ofc Code]=$B$6)*(Budget[Account Code]=$B148)*(Budget[Date]=I$7),Budget[Amount]))</f>
        <v>0</v>
      </c>
      <c r="J148" s="319">
        <f t="array" ref="J148">SUM(IF((Budget[Ofc Code]=$B$6)*(Budget[Account Code]=$B148)*(Budget[Date]=J$7),Budget[Amount]))</f>
        <v>0</v>
      </c>
      <c r="K148" s="319">
        <f t="array" ref="K148">SUM(IF((Budget[Ofc Code]=$B$6)*(Budget[Account Code]=$B148)*(Budget[Date]=K$7),Budget[Amount]))</f>
        <v>0</v>
      </c>
      <c r="L148" s="319">
        <f t="array" ref="L148">SUM(IF((Budget[Ofc Code]=$B$6)*(Budget[Account Code]=$B148)*(Budget[Date]=L$7),Budget[Amount]))</f>
        <v>0</v>
      </c>
      <c r="M148" s="319">
        <f t="array" ref="M148">SUM(IF((Budget[Ofc Code]=$B$6)*(Budget[Account Code]=$B148)*(Budget[Date]=M$7),Budget[Amount]))</f>
        <v>0</v>
      </c>
      <c r="N148" s="319">
        <f t="array" ref="N148">SUM(IF((Budget[Ofc Code]=$B$6)*(Budget[Account Code]=$B148)*(Budget[Date]=N$7),Budget[Amount]))</f>
        <v>0</v>
      </c>
      <c r="O148" s="319">
        <f t="array" ref="O148">SUM(IF((Budget[Ofc Code]=$B$6)*(Budget[Account Code]=$B148)*(Budget[Date]=O$7),Budget[Amount]))</f>
        <v>0</v>
      </c>
      <c r="P148" s="319">
        <f t="shared" si="29"/>
        <v>0</v>
      </c>
    </row>
    <row r="149" spans="1:16" s="171" customFormat="1">
      <c r="A149" s="321" t="s">
        <v>969</v>
      </c>
      <c r="B149" s="317" t="s">
        <v>334</v>
      </c>
      <c r="C149" s="322">
        <f t="shared" si="25"/>
        <v>0</v>
      </c>
      <c r="D149" s="319">
        <f t="array" ref="D149">SUM(IF((Budget[Ofc Code]=$B$6)*(Budget[Account Code]=$B149)*(Budget[Date]=D$7),Budget[Amount]))</f>
        <v>0</v>
      </c>
      <c r="E149" s="319">
        <f t="array" ref="E149">SUM(IF((Budget[Ofc Code]=$B$6)*(Budget[Account Code]=$B149)*(Budget[Date]=E$7),Budget[Amount]))</f>
        <v>0</v>
      </c>
      <c r="F149" s="319">
        <f t="array" ref="F149">SUM(IF((Budget[Ofc Code]=$B$6)*(Budget[Account Code]=$B149)*(Budget[Date]=F$7),Budget[Amount]))</f>
        <v>0</v>
      </c>
      <c r="G149" s="319">
        <f t="array" ref="G149">SUM(IF((Budget[Ofc Code]=$B$6)*(Budget[Account Code]=$B149)*(Budget[Date]=G$7),Budget[Amount]))</f>
        <v>0</v>
      </c>
      <c r="H149" s="319">
        <f t="array" ref="H149">SUM(IF((Budget[Ofc Code]=$B$6)*(Budget[Account Code]=$B149)*(Budget[Date]=H$7),Budget[Amount]))</f>
        <v>0</v>
      </c>
      <c r="I149" s="319">
        <f t="array" ref="I149">SUM(IF((Budget[Ofc Code]=$B$6)*(Budget[Account Code]=$B149)*(Budget[Date]=I$7),Budget[Amount]))</f>
        <v>0</v>
      </c>
      <c r="J149" s="319">
        <f t="array" ref="J149">SUM(IF((Budget[Ofc Code]=$B$6)*(Budget[Account Code]=$B149)*(Budget[Date]=J$7),Budget[Amount]))</f>
        <v>0</v>
      </c>
      <c r="K149" s="319">
        <f t="array" ref="K149">SUM(IF((Budget[Ofc Code]=$B$6)*(Budget[Account Code]=$B149)*(Budget[Date]=K$7),Budget[Amount]))</f>
        <v>0</v>
      </c>
      <c r="L149" s="319">
        <f t="array" ref="L149">SUM(IF((Budget[Ofc Code]=$B$6)*(Budget[Account Code]=$B149)*(Budget[Date]=L$7),Budget[Amount]))</f>
        <v>0</v>
      </c>
      <c r="M149" s="319">
        <f t="array" ref="M149">SUM(IF((Budget[Ofc Code]=$B$6)*(Budget[Account Code]=$B149)*(Budget[Date]=M$7),Budget[Amount]))</f>
        <v>0</v>
      </c>
      <c r="N149" s="319">
        <f t="array" ref="N149">SUM(IF((Budget[Ofc Code]=$B$6)*(Budget[Account Code]=$B149)*(Budget[Date]=N$7),Budget[Amount]))</f>
        <v>0</v>
      </c>
      <c r="O149" s="319">
        <f t="array" ref="O149">SUM(IF((Budget[Ofc Code]=$B$6)*(Budget[Account Code]=$B149)*(Budget[Date]=O$7),Budget[Amount]))</f>
        <v>0</v>
      </c>
      <c r="P149" s="322">
        <f t="shared" si="29"/>
        <v>0</v>
      </c>
    </row>
    <row r="150" spans="1:16" s="171" customFormat="1">
      <c r="A150" s="321" t="s">
        <v>970</v>
      </c>
      <c r="B150" s="317" t="s">
        <v>335</v>
      </c>
      <c r="C150" s="322">
        <f t="shared" si="25"/>
        <v>0</v>
      </c>
      <c r="D150" s="319">
        <f t="array" ref="D150">SUM(IF((Budget[Ofc Code]=$B$6)*(Budget[Account Code]=$B150)*(Budget[Date]=D$7),Budget[Amount]))</f>
        <v>0</v>
      </c>
      <c r="E150" s="319">
        <f t="array" ref="E150">SUM(IF((Budget[Ofc Code]=$B$6)*(Budget[Account Code]=$B150)*(Budget[Date]=E$7),Budget[Amount]))</f>
        <v>0</v>
      </c>
      <c r="F150" s="319">
        <f t="array" ref="F150">SUM(IF((Budget[Ofc Code]=$B$6)*(Budget[Account Code]=$B150)*(Budget[Date]=F$7),Budget[Amount]))</f>
        <v>0</v>
      </c>
      <c r="G150" s="319">
        <f t="array" ref="G150">SUM(IF((Budget[Ofc Code]=$B$6)*(Budget[Account Code]=$B150)*(Budget[Date]=G$7),Budget[Amount]))</f>
        <v>0</v>
      </c>
      <c r="H150" s="319">
        <f t="array" ref="H150">SUM(IF((Budget[Ofc Code]=$B$6)*(Budget[Account Code]=$B150)*(Budget[Date]=H$7),Budget[Amount]))</f>
        <v>0</v>
      </c>
      <c r="I150" s="319">
        <f t="array" ref="I150">SUM(IF((Budget[Ofc Code]=$B$6)*(Budget[Account Code]=$B150)*(Budget[Date]=I$7),Budget[Amount]))</f>
        <v>0</v>
      </c>
      <c r="J150" s="319">
        <f t="array" ref="J150">SUM(IF((Budget[Ofc Code]=$B$6)*(Budget[Account Code]=$B150)*(Budget[Date]=J$7),Budget[Amount]))</f>
        <v>0</v>
      </c>
      <c r="K150" s="319">
        <f t="array" ref="K150">SUM(IF((Budget[Ofc Code]=$B$6)*(Budget[Account Code]=$B150)*(Budget[Date]=K$7),Budget[Amount]))</f>
        <v>0</v>
      </c>
      <c r="L150" s="319">
        <f t="array" ref="L150">SUM(IF((Budget[Ofc Code]=$B$6)*(Budget[Account Code]=$B150)*(Budget[Date]=L$7),Budget[Amount]))</f>
        <v>0</v>
      </c>
      <c r="M150" s="319">
        <f t="array" ref="M150">SUM(IF((Budget[Ofc Code]=$B$6)*(Budget[Account Code]=$B150)*(Budget[Date]=M$7),Budget[Amount]))</f>
        <v>0</v>
      </c>
      <c r="N150" s="319">
        <f t="array" ref="N150">SUM(IF((Budget[Ofc Code]=$B$6)*(Budget[Account Code]=$B150)*(Budget[Date]=N$7),Budget[Amount]))</f>
        <v>0</v>
      </c>
      <c r="O150" s="319">
        <f t="array" ref="O150">SUM(IF((Budget[Ofc Code]=$B$6)*(Budget[Account Code]=$B150)*(Budget[Date]=O$7),Budget[Amount]))</f>
        <v>0</v>
      </c>
      <c r="P150" s="322">
        <f t="shared" si="29"/>
        <v>0</v>
      </c>
    </row>
    <row r="151" spans="1:16">
      <c r="A151" s="320" t="s">
        <v>971</v>
      </c>
      <c r="B151" s="317"/>
      <c r="C151" s="326">
        <f t="shared" si="25"/>
        <v>0</v>
      </c>
      <c r="D151" s="326">
        <f>D87+D88+D89+D97+D102+D108+D109+D110+D111+D112+D113+D114+D115+D116+D117+D126+D133+D134+D137+D141+D149+D150</f>
        <v>0</v>
      </c>
      <c r="E151" s="326">
        <f t="shared" ref="E151:O151" si="32">E87+E88+E89+E97+E102+E108+E109+E110+E111+E112+E113+E114+E115+E116+E117+E126+E133+E134+E137+E141+E149+E150</f>
        <v>0</v>
      </c>
      <c r="F151" s="326">
        <f t="shared" si="32"/>
        <v>0</v>
      </c>
      <c r="G151" s="326">
        <f t="shared" si="32"/>
        <v>0</v>
      </c>
      <c r="H151" s="326">
        <f t="shared" si="32"/>
        <v>0</v>
      </c>
      <c r="I151" s="326">
        <f t="shared" si="32"/>
        <v>0</v>
      </c>
      <c r="J151" s="326">
        <f t="shared" si="32"/>
        <v>0</v>
      </c>
      <c r="K151" s="326">
        <f t="shared" si="32"/>
        <v>0</v>
      </c>
      <c r="L151" s="326">
        <f t="shared" si="32"/>
        <v>0</v>
      </c>
      <c r="M151" s="326">
        <f t="shared" si="32"/>
        <v>0</v>
      </c>
      <c r="N151" s="326">
        <f t="shared" si="32"/>
        <v>0</v>
      </c>
      <c r="O151" s="326">
        <f t="shared" si="32"/>
        <v>0</v>
      </c>
      <c r="P151" s="326">
        <f t="shared" si="29"/>
        <v>0</v>
      </c>
    </row>
    <row r="152" spans="1:16" s="171" customFormat="1" hidden="1">
      <c r="A152" s="320" t="s">
        <v>972</v>
      </c>
      <c r="B152" s="317"/>
      <c r="C152" s="322">
        <f>C151-C119-C143</f>
        <v>0</v>
      </c>
      <c r="D152" s="322"/>
      <c r="E152" s="322"/>
      <c r="F152" s="322"/>
      <c r="G152" s="322"/>
      <c r="H152" s="322"/>
      <c r="I152" s="322"/>
      <c r="J152" s="322"/>
      <c r="K152" s="322"/>
      <c r="L152" s="322"/>
      <c r="M152" s="322"/>
      <c r="N152" s="322"/>
      <c r="O152" s="322"/>
      <c r="P152" s="322">
        <f t="shared" si="29"/>
        <v>0</v>
      </c>
    </row>
    <row r="153" spans="1:16">
      <c r="A153" s="320"/>
      <c r="B153" s="317"/>
      <c r="C153" s="326"/>
      <c r="D153" s="326"/>
      <c r="E153" s="326"/>
      <c r="F153" s="326"/>
      <c r="G153" s="326"/>
      <c r="H153" s="326"/>
      <c r="I153" s="326"/>
      <c r="J153" s="326"/>
      <c r="K153" s="326"/>
      <c r="L153" s="326"/>
      <c r="M153" s="326"/>
      <c r="N153" s="326"/>
      <c r="O153" s="326"/>
      <c r="P153" s="326">
        <f t="shared" si="29"/>
        <v>0</v>
      </c>
    </row>
    <row r="154" spans="1:16">
      <c r="A154" s="320" t="s">
        <v>973</v>
      </c>
      <c r="B154" s="317"/>
      <c r="C154" s="319"/>
      <c r="D154" s="319"/>
      <c r="E154" s="319"/>
      <c r="F154" s="319"/>
      <c r="G154" s="319"/>
      <c r="H154" s="319"/>
      <c r="I154" s="319"/>
      <c r="J154" s="319"/>
      <c r="K154" s="319"/>
      <c r="L154" s="319"/>
      <c r="M154" s="319"/>
      <c r="N154" s="319"/>
      <c r="O154" s="319"/>
      <c r="P154" s="319">
        <f t="shared" si="29"/>
        <v>0</v>
      </c>
    </row>
    <row r="155" spans="1:16" s="171" customFormat="1">
      <c r="A155" s="330" t="s">
        <v>974</v>
      </c>
      <c r="B155" s="317" t="s">
        <v>992</v>
      </c>
      <c r="C155" s="322">
        <f t="shared" ref="C155:C168" si="33">SUM(D155:O155)</f>
        <v>0</v>
      </c>
      <c r="D155" s="319">
        <f t="array" ref="D155">SUM(IF((Budget[Ofc Code]=$B$6)*(Budget[Account Code]=$B155)*(Budget[Date]=D$7),Budget[Amount]))</f>
        <v>0</v>
      </c>
      <c r="E155" s="319">
        <f t="array" ref="E155">SUM(IF((Budget[Ofc Code]=$B$6)*(Budget[Account Code]=$B155)*(Budget[Date]=E$7),Budget[Amount]))</f>
        <v>0</v>
      </c>
      <c r="F155" s="319">
        <f t="array" ref="F155">SUM(IF((Budget[Ofc Code]=$B$6)*(Budget[Account Code]=$B155)*(Budget[Date]=F$7),Budget[Amount]))</f>
        <v>0</v>
      </c>
      <c r="G155" s="319">
        <f t="array" ref="G155">SUM(IF((Budget[Ofc Code]=$B$6)*(Budget[Account Code]=$B155)*(Budget[Date]=G$7),Budget[Amount]))</f>
        <v>0</v>
      </c>
      <c r="H155" s="319">
        <f t="array" ref="H155">SUM(IF((Budget[Ofc Code]=$B$6)*(Budget[Account Code]=$B155)*(Budget[Date]=H$7),Budget[Amount]))</f>
        <v>0</v>
      </c>
      <c r="I155" s="319">
        <f t="array" ref="I155">SUM(IF((Budget[Ofc Code]=$B$6)*(Budget[Account Code]=$B155)*(Budget[Date]=I$7),Budget[Amount]))</f>
        <v>0</v>
      </c>
      <c r="J155" s="319">
        <f t="array" ref="J155">SUM(IF((Budget[Ofc Code]=$B$6)*(Budget[Account Code]=$B155)*(Budget[Date]=J$7),Budget[Amount]))</f>
        <v>0</v>
      </c>
      <c r="K155" s="319">
        <f t="array" ref="K155">SUM(IF((Budget[Ofc Code]=$B$6)*(Budget[Account Code]=$B155)*(Budget[Date]=K$7),Budget[Amount]))</f>
        <v>0</v>
      </c>
      <c r="L155" s="319">
        <f t="array" ref="L155">SUM(IF((Budget[Ofc Code]=$B$6)*(Budget[Account Code]=$B155)*(Budget[Date]=L$7),Budget[Amount]))</f>
        <v>0</v>
      </c>
      <c r="M155" s="319">
        <f t="array" ref="M155">SUM(IF((Budget[Ofc Code]=$B$6)*(Budget[Account Code]=$B155)*(Budget[Date]=M$7),Budget[Amount]))</f>
        <v>0</v>
      </c>
      <c r="N155" s="319">
        <f t="array" ref="N155">SUM(IF((Budget[Ofc Code]=$B$6)*(Budget[Account Code]=$B155)*(Budget[Date]=N$7),Budget[Amount]))</f>
        <v>0</v>
      </c>
      <c r="O155" s="319">
        <f t="array" ref="O155">SUM(IF((Budget[Ofc Code]=$B$6)*(Budget[Account Code]=$B155)*(Budget[Date]=O$7),Budget[Amount]))</f>
        <v>0</v>
      </c>
      <c r="P155" s="322">
        <f t="shared" si="29"/>
        <v>0</v>
      </c>
    </row>
    <row r="156" spans="1:16" s="171" customFormat="1">
      <c r="A156" s="330" t="s">
        <v>975</v>
      </c>
      <c r="B156" s="317" t="s">
        <v>333</v>
      </c>
      <c r="C156" s="322">
        <f t="shared" si="33"/>
        <v>0</v>
      </c>
      <c r="D156" s="319">
        <f t="array" ref="D156">SUM(IF((Budget[Ofc Code]=$B$6)*(Budget[Account Code]=$B156)*(Budget[Date]=D$7),Budget[Amount]))</f>
        <v>0</v>
      </c>
      <c r="E156" s="319">
        <f t="array" ref="E156">SUM(IF((Budget[Ofc Code]=$B$6)*(Budget[Account Code]=$B156)*(Budget[Date]=E$7),Budget[Amount]))</f>
        <v>0</v>
      </c>
      <c r="F156" s="319">
        <f t="array" ref="F156">SUM(IF((Budget[Ofc Code]=$B$6)*(Budget[Account Code]=$B156)*(Budget[Date]=F$7),Budget[Amount]))</f>
        <v>0</v>
      </c>
      <c r="G156" s="319">
        <f t="array" ref="G156">SUM(IF((Budget[Ofc Code]=$B$6)*(Budget[Account Code]=$B156)*(Budget[Date]=G$7),Budget[Amount]))</f>
        <v>0</v>
      </c>
      <c r="H156" s="319">
        <f t="array" ref="H156">SUM(IF((Budget[Ofc Code]=$B$6)*(Budget[Account Code]=$B156)*(Budget[Date]=H$7),Budget[Amount]))</f>
        <v>0</v>
      </c>
      <c r="I156" s="319">
        <f t="array" ref="I156">SUM(IF((Budget[Ofc Code]=$B$6)*(Budget[Account Code]=$B156)*(Budget[Date]=I$7),Budget[Amount]))</f>
        <v>0</v>
      </c>
      <c r="J156" s="319">
        <f t="array" ref="J156">SUM(IF((Budget[Ofc Code]=$B$6)*(Budget[Account Code]=$B156)*(Budget[Date]=J$7),Budget[Amount]))</f>
        <v>0</v>
      </c>
      <c r="K156" s="319">
        <f t="array" ref="K156">SUM(IF((Budget[Ofc Code]=$B$6)*(Budget[Account Code]=$B156)*(Budget[Date]=K$7),Budget[Amount]))</f>
        <v>0</v>
      </c>
      <c r="L156" s="319">
        <f t="array" ref="L156">SUM(IF((Budget[Ofc Code]=$B$6)*(Budget[Account Code]=$B156)*(Budget[Date]=L$7),Budget[Amount]))</f>
        <v>0</v>
      </c>
      <c r="M156" s="319">
        <f t="array" ref="M156">SUM(IF((Budget[Ofc Code]=$B$6)*(Budget[Account Code]=$B156)*(Budget[Date]=M$7),Budget[Amount]))</f>
        <v>0</v>
      </c>
      <c r="N156" s="319">
        <f t="array" ref="N156">SUM(IF((Budget[Ofc Code]=$B$6)*(Budget[Account Code]=$B156)*(Budget[Date]=N$7),Budget[Amount]))</f>
        <v>0</v>
      </c>
      <c r="O156" s="319">
        <f t="array" ref="O156">SUM(IF((Budget[Ofc Code]=$B$6)*(Budget[Account Code]=$B156)*(Budget[Date]=O$7),Budget[Amount]))</f>
        <v>0</v>
      </c>
      <c r="P156" s="322">
        <f t="shared" si="29"/>
        <v>0</v>
      </c>
    </row>
    <row r="157" spans="1:16" s="171" customFormat="1">
      <c r="A157" s="330" t="s">
        <v>976</v>
      </c>
      <c r="B157" s="317" t="s">
        <v>991</v>
      </c>
      <c r="C157" s="322">
        <f t="shared" si="33"/>
        <v>0</v>
      </c>
      <c r="D157" s="319">
        <f t="array" ref="D157">SUM(IF((Budget[Ofc Code]=$B$6)*(Budget[Account Code]=$B157)*(Budget[Date]=D$7),Budget[Amount]))</f>
        <v>0</v>
      </c>
      <c r="E157" s="319">
        <f t="array" ref="E157">SUM(IF((Budget[Ofc Code]=$B$6)*(Budget[Account Code]=$B157)*(Budget[Date]=E$7),Budget[Amount]))</f>
        <v>0</v>
      </c>
      <c r="F157" s="319">
        <f t="array" ref="F157">SUM(IF((Budget[Ofc Code]=$B$6)*(Budget[Account Code]=$B157)*(Budget[Date]=F$7),Budget[Amount]))</f>
        <v>0</v>
      </c>
      <c r="G157" s="319">
        <f t="array" ref="G157">SUM(IF((Budget[Ofc Code]=$B$6)*(Budget[Account Code]=$B157)*(Budget[Date]=G$7),Budget[Amount]))</f>
        <v>0</v>
      </c>
      <c r="H157" s="319">
        <f t="array" ref="H157">SUM(IF((Budget[Ofc Code]=$B$6)*(Budget[Account Code]=$B157)*(Budget[Date]=H$7),Budget[Amount]))</f>
        <v>0</v>
      </c>
      <c r="I157" s="319">
        <f t="array" ref="I157">SUM(IF((Budget[Ofc Code]=$B$6)*(Budget[Account Code]=$B157)*(Budget[Date]=I$7),Budget[Amount]))</f>
        <v>0</v>
      </c>
      <c r="J157" s="319">
        <f t="array" ref="J157">SUM(IF((Budget[Ofc Code]=$B$6)*(Budget[Account Code]=$B157)*(Budget[Date]=J$7),Budget[Amount]))</f>
        <v>0</v>
      </c>
      <c r="K157" s="319">
        <f t="array" ref="K157">SUM(IF((Budget[Ofc Code]=$B$6)*(Budget[Account Code]=$B157)*(Budget[Date]=K$7),Budget[Amount]))</f>
        <v>0</v>
      </c>
      <c r="L157" s="319">
        <f t="array" ref="L157">SUM(IF((Budget[Ofc Code]=$B$6)*(Budget[Account Code]=$B157)*(Budget[Date]=L$7),Budget[Amount]))</f>
        <v>0</v>
      </c>
      <c r="M157" s="319">
        <f t="array" ref="M157">SUM(IF((Budget[Ofc Code]=$B$6)*(Budget[Account Code]=$B157)*(Budget[Date]=M$7),Budget[Amount]))</f>
        <v>0</v>
      </c>
      <c r="N157" s="319">
        <f t="array" ref="N157">SUM(IF((Budget[Ofc Code]=$B$6)*(Budget[Account Code]=$B157)*(Budget[Date]=N$7),Budget[Amount]))</f>
        <v>0</v>
      </c>
      <c r="O157" s="319">
        <f t="array" ref="O157">SUM(IF((Budget[Ofc Code]=$B$6)*(Budget[Account Code]=$B157)*(Budget[Date]=O$7),Budget[Amount]))</f>
        <v>0</v>
      </c>
      <c r="P157" s="322">
        <f t="shared" si="29"/>
        <v>0</v>
      </c>
    </row>
    <row r="158" spans="1:16" s="171" customFormat="1">
      <c r="A158" s="330" t="s">
        <v>977</v>
      </c>
      <c r="B158" s="317"/>
      <c r="C158" s="322">
        <f t="shared" si="33"/>
        <v>0</v>
      </c>
      <c r="D158" s="319">
        <f t="array" ref="D158">SUM(IF((Budget[Ofc Code]=$B$6)*(Budget[Account Code]=$B158)*(Budget[Date]=D$7),Budget[Amount]))</f>
        <v>0</v>
      </c>
      <c r="E158" s="319">
        <f t="array" ref="E158">SUM(IF((Budget[Ofc Code]=$B$6)*(Budget[Account Code]=$B158)*(Budget[Date]=E$7),Budget[Amount]))</f>
        <v>0</v>
      </c>
      <c r="F158" s="319">
        <f t="array" ref="F158">SUM(IF((Budget[Ofc Code]=$B$6)*(Budget[Account Code]=$B158)*(Budget[Date]=F$7),Budget[Amount]))</f>
        <v>0</v>
      </c>
      <c r="G158" s="319">
        <f t="array" ref="G158">SUM(IF((Budget[Ofc Code]=$B$6)*(Budget[Account Code]=$B158)*(Budget[Date]=G$7),Budget[Amount]))</f>
        <v>0</v>
      </c>
      <c r="H158" s="319">
        <f t="array" ref="H158">SUM(IF((Budget[Ofc Code]=$B$6)*(Budget[Account Code]=$B158)*(Budget[Date]=H$7),Budget[Amount]))</f>
        <v>0</v>
      </c>
      <c r="I158" s="319">
        <f t="array" ref="I158">SUM(IF((Budget[Ofc Code]=$B$6)*(Budget[Account Code]=$B158)*(Budget[Date]=I$7),Budget[Amount]))</f>
        <v>0</v>
      </c>
      <c r="J158" s="319">
        <f t="array" ref="J158">SUM(IF((Budget[Ofc Code]=$B$6)*(Budget[Account Code]=$B158)*(Budget[Date]=J$7),Budget[Amount]))</f>
        <v>0</v>
      </c>
      <c r="K158" s="319">
        <f t="array" ref="K158">SUM(IF((Budget[Ofc Code]=$B$6)*(Budget[Account Code]=$B158)*(Budget[Date]=K$7),Budget[Amount]))</f>
        <v>0</v>
      </c>
      <c r="L158" s="319">
        <f t="array" ref="L158">SUM(IF((Budget[Ofc Code]=$B$6)*(Budget[Account Code]=$B158)*(Budget[Date]=L$7),Budget[Amount]))</f>
        <v>0</v>
      </c>
      <c r="M158" s="319">
        <f t="array" ref="M158">SUM(IF((Budget[Ofc Code]=$B$6)*(Budget[Account Code]=$B158)*(Budget[Date]=M$7),Budget[Amount]))</f>
        <v>0</v>
      </c>
      <c r="N158" s="319">
        <f t="array" ref="N158">SUM(IF((Budget[Ofc Code]=$B$6)*(Budget[Account Code]=$B158)*(Budget[Date]=N$7),Budget[Amount]))</f>
        <v>0</v>
      </c>
      <c r="O158" s="319">
        <f t="array" ref="O158">SUM(IF((Budget[Ofc Code]=$B$6)*(Budget[Account Code]=$B158)*(Budget[Date]=O$7),Budget[Amount]))</f>
        <v>0</v>
      </c>
      <c r="P158" s="322">
        <f t="shared" si="29"/>
        <v>0</v>
      </c>
    </row>
    <row r="159" spans="1:16" s="171" customFormat="1">
      <c r="A159" s="330" t="s">
        <v>1010</v>
      </c>
      <c r="B159" s="317" t="s">
        <v>267</v>
      </c>
      <c r="C159" s="322">
        <f t="shared" si="33"/>
        <v>0</v>
      </c>
      <c r="D159" s="319">
        <f t="array" ref="D159">SUM(IF((Budget[Ofc Code]=$B$6)*(Budget[Account Code]=$B159)*(Budget[Date]=D$7),Budget[Amount]))</f>
        <v>0</v>
      </c>
      <c r="E159" s="319">
        <f t="array" ref="E159">SUM(IF((Budget[Ofc Code]=$B$6)*(Budget[Account Code]=$B159)*(Budget[Date]=E$7),Budget[Amount]))</f>
        <v>0</v>
      </c>
      <c r="F159" s="319">
        <f t="array" ref="F159">SUM(IF((Budget[Ofc Code]=$B$6)*(Budget[Account Code]=$B159)*(Budget[Date]=F$7),Budget[Amount]))</f>
        <v>0</v>
      </c>
      <c r="G159" s="319">
        <f t="array" ref="G159">SUM(IF((Budget[Ofc Code]=$B$6)*(Budget[Account Code]=$B159)*(Budget[Date]=G$7),Budget[Amount]))</f>
        <v>0</v>
      </c>
      <c r="H159" s="319">
        <f t="array" ref="H159">SUM(IF((Budget[Ofc Code]=$B$6)*(Budget[Account Code]=$B159)*(Budget[Date]=H$7),Budget[Amount]))</f>
        <v>0</v>
      </c>
      <c r="I159" s="319">
        <f t="array" ref="I159">SUM(IF((Budget[Ofc Code]=$B$6)*(Budget[Account Code]=$B159)*(Budget[Date]=I$7),Budget[Amount]))</f>
        <v>0</v>
      </c>
      <c r="J159" s="319">
        <f t="array" ref="J159">SUM(IF((Budget[Ofc Code]=$B$6)*(Budget[Account Code]=$B159)*(Budget[Date]=J$7),Budget[Amount]))</f>
        <v>0</v>
      </c>
      <c r="K159" s="319">
        <f t="array" ref="K159">SUM(IF((Budget[Ofc Code]=$B$6)*(Budget[Account Code]=$B159)*(Budget[Date]=K$7),Budget[Amount]))</f>
        <v>0</v>
      </c>
      <c r="L159" s="319">
        <f t="array" ref="L159">SUM(IF((Budget[Ofc Code]=$B$6)*(Budget[Account Code]=$B159)*(Budget[Date]=L$7),Budget[Amount]))</f>
        <v>0</v>
      </c>
      <c r="M159" s="319">
        <f t="array" ref="M159">SUM(IF((Budget[Ofc Code]=$B$6)*(Budget[Account Code]=$B159)*(Budget[Date]=M$7),Budget[Amount]))</f>
        <v>0</v>
      </c>
      <c r="N159" s="319">
        <f t="array" ref="N159">SUM(IF((Budget[Ofc Code]=$B$6)*(Budget[Account Code]=$B159)*(Budget[Date]=N$7),Budget[Amount]))</f>
        <v>0</v>
      </c>
      <c r="O159" s="319">
        <f t="array" ref="O159">SUM(IF((Budget[Ofc Code]=$B$6)*(Budget[Account Code]=$B159)*(Budget[Date]=O$7),Budget[Amount]))</f>
        <v>0</v>
      </c>
      <c r="P159" s="322">
        <f t="shared" si="29"/>
        <v>0</v>
      </c>
    </row>
    <row r="160" spans="1:16" s="171" customFormat="1">
      <c r="A160" s="330" t="s">
        <v>1011</v>
      </c>
      <c r="B160" s="317" t="s">
        <v>993</v>
      </c>
      <c r="C160" s="322">
        <f t="shared" si="33"/>
        <v>0</v>
      </c>
      <c r="D160" s="319">
        <f t="array" ref="D160">SUM(IF((Budget[Ofc Code]=$B$6)*(Budget[Account Code]=$B160)*(Budget[Date]=D$7),Budget[Amount]))</f>
        <v>0</v>
      </c>
      <c r="E160" s="319">
        <f t="array" ref="E160">SUM(IF((Budget[Ofc Code]=$B$6)*(Budget[Account Code]=$B160)*(Budget[Date]=E$7),Budget[Amount]))</f>
        <v>0</v>
      </c>
      <c r="F160" s="319">
        <f t="array" ref="F160">SUM(IF((Budget[Ofc Code]=$B$6)*(Budget[Account Code]=$B160)*(Budget[Date]=F$7),Budget[Amount]))</f>
        <v>0</v>
      </c>
      <c r="G160" s="319">
        <f t="array" ref="G160">SUM(IF((Budget[Ofc Code]=$B$6)*(Budget[Account Code]=$B160)*(Budget[Date]=G$7),Budget[Amount]))</f>
        <v>0</v>
      </c>
      <c r="H160" s="319">
        <f t="array" ref="H160">SUM(IF((Budget[Ofc Code]=$B$6)*(Budget[Account Code]=$B160)*(Budget[Date]=H$7),Budget[Amount]))</f>
        <v>0</v>
      </c>
      <c r="I160" s="319">
        <f t="array" ref="I160">SUM(IF((Budget[Ofc Code]=$B$6)*(Budget[Account Code]=$B160)*(Budget[Date]=I$7),Budget[Amount]))</f>
        <v>0</v>
      </c>
      <c r="J160" s="319">
        <f t="array" ref="J160">SUM(IF((Budget[Ofc Code]=$B$6)*(Budget[Account Code]=$B160)*(Budget[Date]=J$7),Budget[Amount]))</f>
        <v>0</v>
      </c>
      <c r="K160" s="319">
        <f t="array" ref="K160">SUM(IF((Budget[Ofc Code]=$B$6)*(Budget[Account Code]=$B160)*(Budget[Date]=K$7),Budget[Amount]))</f>
        <v>0</v>
      </c>
      <c r="L160" s="319">
        <f t="array" ref="L160">SUM(IF((Budget[Ofc Code]=$B$6)*(Budget[Account Code]=$B160)*(Budget[Date]=L$7),Budget[Amount]))</f>
        <v>0</v>
      </c>
      <c r="M160" s="319">
        <f t="array" ref="M160">SUM(IF((Budget[Ofc Code]=$B$6)*(Budget[Account Code]=$B160)*(Budget[Date]=M$7),Budget[Amount]))</f>
        <v>0</v>
      </c>
      <c r="N160" s="319">
        <f t="array" ref="N160">SUM(IF((Budget[Ofc Code]=$B$6)*(Budget[Account Code]=$B160)*(Budget[Date]=N$7),Budget[Amount]))</f>
        <v>0</v>
      </c>
      <c r="O160" s="319">
        <f t="array" ref="O160">SUM(IF((Budget[Ofc Code]=$B$6)*(Budget[Account Code]=$B160)*(Budget[Date]=O$7),Budget[Amount]))</f>
        <v>0</v>
      </c>
      <c r="P160" s="322">
        <f t="shared" si="29"/>
        <v>0</v>
      </c>
    </row>
    <row r="161" spans="1:25">
      <c r="A161" s="320" t="s">
        <v>978</v>
      </c>
      <c r="B161" s="317"/>
      <c r="C161" s="319">
        <f t="shared" si="33"/>
        <v>0</v>
      </c>
      <c r="D161" s="319">
        <f>SUM(D155:D160)</f>
        <v>0</v>
      </c>
      <c r="E161" s="319">
        <f t="shared" ref="E161:O161" si="34">SUM(E155:E160)</f>
        <v>0</v>
      </c>
      <c r="F161" s="319">
        <f t="shared" si="34"/>
        <v>0</v>
      </c>
      <c r="G161" s="319">
        <f t="shared" si="34"/>
        <v>0</v>
      </c>
      <c r="H161" s="319">
        <f t="shared" si="34"/>
        <v>0</v>
      </c>
      <c r="I161" s="319">
        <f t="shared" si="34"/>
        <v>0</v>
      </c>
      <c r="J161" s="319">
        <f t="shared" si="34"/>
        <v>0</v>
      </c>
      <c r="K161" s="319">
        <f t="shared" si="34"/>
        <v>0</v>
      </c>
      <c r="L161" s="319">
        <f t="shared" si="34"/>
        <v>0</v>
      </c>
      <c r="M161" s="319">
        <f t="shared" si="34"/>
        <v>0</v>
      </c>
      <c r="N161" s="319">
        <f t="shared" si="34"/>
        <v>0</v>
      </c>
      <c r="O161" s="319">
        <f t="shared" si="34"/>
        <v>0</v>
      </c>
      <c r="P161" s="319">
        <f t="shared" si="29"/>
        <v>0</v>
      </c>
    </row>
    <row r="162" spans="1:25" s="171" customFormat="1" hidden="1">
      <c r="A162" s="320" t="s">
        <v>979</v>
      </c>
      <c r="B162" s="317"/>
      <c r="C162" s="322">
        <f>C161-C157-C160</f>
        <v>0</v>
      </c>
      <c r="D162" s="322"/>
      <c r="E162" s="322"/>
      <c r="F162" s="322"/>
      <c r="G162" s="322"/>
      <c r="H162" s="322"/>
      <c r="I162" s="322"/>
      <c r="J162" s="322"/>
      <c r="K162" s="322"/>
      <c r="L162" s="322"/>
      <c r="M162" s="322"/>
      <c r="N162" s="322"/>
      <c r="O162" s="322"/>
      <c r="P162" s="322">
        <f t="shared" si="29"/>
        <v>0</v>
      </c>
    </row>
    <row r="163" spans="1:25">
      <c r="A163" s="320"/>
      <c r="B163" s="317"/>
      <c r="C163" s="319"/>
      <c r="D163" s="319"/>
      <c r="E163" s="319"/>
      <c r="F163" s="319"/>
      <c r="G163" s="319"/>
      <c r="H163" s="319"/>
      <c r="I163" s="319"/>
      <c r="J163" s="319"/>
      <c r="K163" s="319"/>
      <c r="L163" s="319"/>
      <c r="M163" s="319"/>
      <c r="N163" s="319"/>
      <c r="O163" s="319"/>
      <c r="P163" s="319">
        <f t="shared" si="29"/>
        <v>0</v>
      </c>
    </row>
    <row r="164" spans="1:25">
      <c r="A164" s="320" t="s">
        <v>980</v>
      </c>
      <c r="B164" s="317"/>
      <c r="C164" s="322">
        <f t="shared" si="33"/>
        <v>0</v>
      </c>
      <c r="D164" s="322">
        <f t="shared" ref="D164:O164" si="35">D151+D161</f>
        <v>0</v>
      </c>
      <c r="E164" s="322">
        <f t="shared" si="35"/>
        <v>0</v>
      </c>
      <c r="F164" s="322">
        <f t="shared" si="35"/>
        <v>0</v>
      </c>
      <c r="G164" s="322">
        <f t="shared" si="35"/>
        <v>0</v>
      </c>
      <c r="H164" s="322">
        <f t="shared" si="35"/>
        <v>0</v>
      </c>
      <c r="I164" s="322">
        <f t="shared" si="35"/>
        <v>0</v>
      </c>
      <c r="J164" s="322">
        <f t="shared" si="35"/>
        <v>0</v>
      </c>
      <c r="K164" s="322">
        <f t="shared" si="35"/>
        <v>0</v>
      </c>
      <c r="L164" s="322">
        <f t="shared" si="35"/>
        <v>0</v>
      </c>
      <c r="M164" s="322">
        <f t="shared" si="35"/>
        <v>0</v>
      </c>
      <c r="N164" s="322">
        <f t="shared" si="35"/>
        <v>0</v>
      </c>
      <c r="O164" s="322">
        <f t="shared" si="35"/>
        <v>0</v>
      </c>
      <c r="P164" s="322">
        <f t="shared" si="29"/>
        <v>0</v>
      </c>
    </row>
    <row r="165" spans="1:25">
      <c r="A165" s="327" t="s">
        <v>981</v>
      </c>
      <c r="B165" s="317"/>
      <c r="C165" s="322">
        <f t="shared" si="33"/>
        <v>0</v>
      </c>
      <c r="D165" s="322">
        <f t="shared" ref="D165:O165" si="36">D80+D164</f>
        <v>0</v>
      </c>
      <c r="E165" s="322">
        <f t="shared" si="36"/>
        <v>0</v>
      </c>
      <c r="F165" s="322">
        <f t="shared" si="36"/>
        <v>0</v>
      </c>
      <c r="G165" s="322">
        <f t="shared" si="36"/>
        <v>0</v>
      </c>
      <c r="H165" s="322">
        <f t="shared" si="36"/>
        <v>0</v>
      </c>
      <c r="I165" s="322">
        <f t="shared" si="36"/>
        <v>0</v>
      </c>
      <c r="J165" s="322">
        <f t="shared" si="36"/>
        <v>0</v>
      </c>
      <c r="K165" s="322">
        <f t="shared" si="36"/>
        <v>0</v>
      </c>
      <c r="L165" s="322">
        <f t="shared" si="36"/>
        <v>0</v>
      </c>
      <c r="M165" s="322">
        <f t="shared" si="36"/>
        <v>0</v>
      </c>
      <c r="N165" s="322">
        <f t="shared" si="36"/>
        <v>0</v>
      </c>
      <c r="O165" s="322">
        <f t="shared" si="36"/>
        <v>0</v>
      </c>
      <c r="P165" s="322">
        <f t="shared" si="29"/>
        <v>0</v>
      </c>
    </row>
    <row r="166" spans="1:25">
      <c r="A166" s="327" t="s">
        <v>982</v>
      </c>
      <c r="B166" s="317" t="s">
        <v>1014</v>
      </c>
      <c r="C166" s="322">
        <f>SUM(D166:O166)</f>
        <v>0</v>
      </c>
      <c r="D166" s="319">
        <f t="array" ref="D166">SUM(IF((Budget[Ofc Code]=$B$6)*(Budget[Account Code]=$B166)*(Budget[Date]=D$7),Budget[Amount]))</f>
        <v>0</v>
      </c>
      <c r="E166" s="319">
        <f t="array" ref="E166">SUM(IF((Budget[Ofc Code]=$B$6)*(Budget[Account Code]=$B166)*(Budget[Date]=E$7),Budget[Amount]))</f>
        <v>0</v>
      </c>
      <c r="F166" s="319">
        <f t="array" ref="F166">SUM(IF((Budget[Ofc Code]=$B$6)*(Budget[Account Code]=$B166)*(Budget[Date]=F$7),Budget[Amount]))</f>
        <v>0</v>
      </c>
      <c r="G166" s="319">
        <f t="array" ref="G166">SUM(IF((Budget[Ofc Code]=$B$6)*(Budget[Account Code]=$B166)*(Budget[Date]=G$7),Budget[Amount]))</f>
        <v>0</v>
      </c>
      <c r="H166" s="319">
        <f t="array" ref="H166">SUM(IF((Budget[Ofc Code]=$B$6)*(Budget[Account Code]=$B166)*(Budget[Date]=H$7),Budget[Amount]))</f>
        <v>0</v>
      </c>
      <c r="I166" s="319">
        <f t="array" ref="I166">SUM(IF((Budget[Ofc Code]=$B$6)*(Budget[Account Code]=$B166)*(Budget[Date]=I$7),Budget[Amount]))</f>
        <v>0</v>
      </c>
      <c r="J166" s="319">
        <f t="array" ref="J166">SUM(IF((Budget[Ofc Code]=$B$6)*(Budget[Account Code]=$B166)*(Budget[Date]=J$7),Budget[Amount]))</f>
        <v>0</v>
      </c>
      <c r="K166" s="319">
        <f t="array" ref="K166">SUM(IF((Budget[Ofc Code]=$B$6)*(Budget[Account Code]=$B166)*(Budget[Date]=K$7),Budget[Amount]))</f>
        <v>0</v>
      </c>
      <c r="L166" s="319">
        <f t="array" ref="L166">SUM(IF((Budget[Ofc Code]=$B$6)*(Budget[Account Code]=$B166)*(Budget[Date]=L$7),Budget[Amount]))</f>
        <v>0</v>
      </c>
      <c r="M166" s="319">
        <f t="array" ref="M166">SUM(IF((Budget[Ofc Code]=$B$6)*(Budget[Account Code]=$B166)*(Budget[Date]=M$7),Budget[Amount]))</f>
        <v>0</v>
      </c>
      <c r="N166" s="319">
        <f t="array" ref="N166">SUM(IF((Budget[Ofc Code]=$B$6)*(Budget[Account Code]=$B166)*(Budget[Date]=N$7),Budget[Amount]))</f>
        <v>0</v>
      </c>
      <c r="O166" s="319">
        <f t="array" ref="O166">SUM(IF((Budget[Ofc Code]=$B$6)*(Budget[Account Code]=$B166)*(Budget[Date]=O$7),Budget[Amount]))</f>
        <v>0</v>
      </c>
      <c r="P166" s="322">
        <f>C166</f>
        <v>0</v>
      </c>
      <c r="Q166" s="171"/>
      <c r="R166" s="171"/>
      <c r="S166" s="171"/>
      <c r="T166" s="171"/>
      <c r="U166" s="171"/>
      <c r="V166" s="171"/>
      <c r="W166" s="171"/>
      <c r="X166" s="171"/>
      <c r="Y166" s="171"/>
    </row>
    <row r="167" spans="1:25">
      <c r="A167" s="320" t="s">
        <v>983</v>
      </c>
      <c r="B167" s="317"/>
      <c r="C167" s="322">
        <f t="shared" si="33"/>
        <v>0</v>
      </c>
      <c r="D167" s="322">
        <f>D165+D166</f>
        <v>0</v>
      </c>
      <c r="E167" s="322">
        <f t="shared" ref="E167:O167" si="37">E165+E166</f>
        <v>0</v>
      </c>
      <c r="F167" s="322">
        <f t="shared" si="37"/>
        <v>0</v>
      </c>
      <c r="G167" s="322">
        <f t="shared" si="37"/>
        <v>0</v>
      </c>
      <c r="H167" s="322">
        <f t="shared" si="37"/>
        <v>0</v>
      </c>
      <c r="I167" s="322">
        <f t="shared" si="37"/>
        <v>0</v>
      </c>
      <c r="J167" s="322">
        <f t="shared" si="37"/>
        <v>0</v>
      </c>
      <c r="K167" s="322">
        <f t="shared" si="37"/>
        <v>0</v>
      </c>
      <c r="L167" s="322">
        <f t="shared" si="37"/>
        <v>0</v>
      </c>
      <c r="M167" s="322">
        <f t="shared" si="37"/>
        <v>0</v>
      </c>
      <c r="N167" s="322">
        <f t="shared" si="37"/>
        <v>0</v>
      </c>
      <c r="O167" s="322">
        <f t="shared" si="37"/>
        <v>0</v>
      </c>
      <c r="P167" s="322">
        <f t="shared" si="29"/>
        <v>0</v>
      </c>
    </row>
    <row r="168" spans="1:25">
      <c r="A168" s="320" t="s">
        <v>984</v>
      </c>
      <c r="B168" s="317"/>
      <c r="C168" s="322">
        <f t="shared" si="33"/>
        <v>0</v>
      </c>
      <c r="D168" s="322">
        <f t="shared" ref="D168:O168" si="38">D44-D167</f>
        <v>0</v>
      </c>
      <c r="E168" s="322">
        <f t="shared" si="38"/>
        <v>0</v>
      </c>
      <c r="F168" s="322">
        <f t="shared" si="38"/>
        <v>0</v>
      </c>
      <c r="G168" s="322">
        <f t="shared" si="38"/>
        <v>0</v>
      </c>
      <c r="H168" s="322">
        <f t="shared" si="38"/>
        <v>0</v>
      </c>
      <c r="I168" s="322">
        <f t="shared" si="38"/>
        <v>0</v>
      </c>
      <c r="J168" s="322">
        <f t="shared" si="38"/>
        <v>0</v>
      </c>
      <c r="K168" s="322">
        <f t="shared" si="38"/>
        <v>0</v>
      </c>
      <c r="L168" s="322">
        <f t="shared" si="38"/>
        <v>0</v>
      </c>
      <c r="M168" s="322">
        <f t="shared" si="38"/>
        <v>0</v>
      </c>
      <c r="N168" s="322">
        <f t="shared" si="38"/>
        <v>0</v>
      </c>
      <c r="O168" s="322">
        <f t="shared" si="38"/>
        <v>0</v>
      </c>
      <c r="P168" s="322">
        <f t="shared" si="29"/>
        <v>0</v>
      </c>
    </row>
    <row r="169" spans="1:25">
      <c r="A169" s="320" t="s">
        <v>749</v>
      </c>
      <c r="B169" s="317"/>
      <c r="C169" s="322" t="e">
        <f>C44/C165</f>
        <v>#DIV/0!</v>
      </c>
      <c r="D169" s="322" t="e">
        <f t="shared" ref="D169:O169" si="39">D44/D165</f>
        <v>#DIV/0!</v>
      </c>
      <c r="E169" s="322" t="e">
        <f t="shared" si="39"/>
        <v>#DIV/0!</v>
      </c>
      <c r="F169" s="322" t="e">
        <f t="shared" si="39"/>
        <v>#DIV/0!</v>
      </c>
      <c r="G169" s="322" t="e">
        <f t="shared" si="39"/>
        <v>#DIV/0!</v>
      </c>
      <c r="H169" s="322" t="e">
        <f t="shared" si="39"/>
        <v>#DIV/0!</v>
      </c>
      <c r="I169" s="322" t="e">
        <f t="shared" si="39"/>
        <v>#DIV/0!</v>
      </c>
      <c r="J169" s="322" t="e">
        <f t="shared" si="39"/>
        <v>#DIV/0!</v>
      </c>
      <c r="K169" s="322" t="e">
        <f t="shared" si="39"/>
        <v>#DIV/0!</v>
      </c>
      <c r="L169" s="322" t="e">
        <f t="shared" si="39"/>
        <v>#DIV/0!</v>
      </c>
      <c r="M169" s="322" t="e">
        <f t="shared" si="39"/>
        <v>#DIV/0!</v>
      </c>
      <c r="N169" s="322" t="e">
        <f t="shared" si="39"/>
        <v>#DIV/0!</v>
      </c>
      <c r="O169" s="322" t="e">
        <f t="shared" si="39"/>
        <v>#DIV/0!</v>
      </c>
      <c r="P169" s="322" t="e">
        <f t="shared" si="29"/>
        <v>#DIV/0!</v>
      </c>
    </row>
  </sheetData>
  <printOptions horizontalCentered="1"/>
  <pageMargins left="0.25" right="1.35" top="0.75" bottom="0.25" header="0.3" footer="0.3"/>
  <pageSetup paperSize="5" scale="75"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69"/>
  <sheetViews>
    <sheetView workbookViewId="0"/>
  </sheetViews>
  <sheetFormatPr defaultColWidth="9" defaultRowHeight="15.75"/>
  <cols>
    <col min="1" max="1" width="64.125" style="25" bestFit="1" customWidth="1"/>
    <col min="2" max="2" width="8" style="315" customWidth="1"/>
    <col min="3" max="16" width="16.125" style="25" customWidth="1"/>
    <col min="17" max="16384" width="9" style="25"/>
  </cols>
  <sheetData>
    <row r="1" spans="1:16" ht="22.5">
      <c r="A1" s="313" t="s">
        <v>355</v>
      </c>
    </row>
    <row r="2" spans="1:16">
      <c r="A2" s="167" t="s">
        <v>400</v>
      </c>
      <c r="C2" s="102"/>
      <c r="D2" s="102"/>
      <c r="E2" s="102"/>
      <c r="F2" s="52"/>
      <c r="G2" s="52"/>
      <c r="H2" s="52"/>
      <c r="I2" s="102"/>
      <c r="J2" s="102"/>
      <c r="K2" s="102"/>
      <c r="L2" s="102"/>
      <c r="M2" s="102"/>
      <c r="N2" s="102"/>
      <c r="O2" s="102"/>
      <c r="P2" s="102"/>
    </row>
    <row r="3" spans="1:16">
      <c r="A3" s="171" t="s">
        <v>995</v>
      </c>
    </row>
    <row r="4" spans="1:16">
      <c r="A4" s="171" t="s">
        <v>996</v>
      </c>
      <c r="C4" s="52"/>
      <c r="D4" s="52"/>
      <c r="E4" s="52"/>
      <c r="F4" s="52"/>
      <c r="G4" s="102"/>
      <c r="H4" s="52"/>
      <c r="I4" s="52"/>
      <c r="J4" s="52"/>
      <c r="K4" s="102"/>
      <c r="L4" s="102"/>
      <c r="M4" s="102"/>
      <c r="N4" s="102"/>
      <c r="O4" s="102"/>
      <c r="P4" s="102"/>
    </row>
    <row r="5" spans="1:16">
      <c r="A5" s="314" t="str">
        <f>IF(B6=0,,VLOOKUP((TRIM(B6)),SortCode,2,))</f>
        <v>Ilocos Norte IMO</v>
      </c>
      <c r="D5" s="329"/>
    </row>
    <row r="6" spans="1:16">
      <c r="A6" s="167"/>
      <c r="B6" s="315" t="s">
        <v>484</v>
      </c>
    </row>
    <row r="7" spans="1:16">
      <c r="A7" s="316" t="s">
        <v>855</v>
      </c>
      <c r="B7" s="317" t="s">
        <v>994</v>
      </c>
      <c r="C7" s="318">
        <v>2017</v>
      </c>
      <c r="D7" s="328">
        <f>Account!G12</f>
        <v>44957</v>
      </c>
      <c r="E7" s="328">
        <f>Account!G13</f>
        <v>44985</v>
      </c>
      <c r="F7" s="328">
        <f>Account!G14</f>
        <v>45016</v>
      </c>
      <c r="G7" s="328">
        <f>Account!G15</f>
        <v>45046</v>
      </c>
      <c r="H7" s="328">
        <f>Account!G16</f>
        <v>45077</v>
      </c>
      <c r="I7" s="328">
        <f>Account!G17</f>
        <v>45107</v>
      </c>
      <c r="J7" s="328">
        <f>Account!G18</f>
        <v>45138</v>
      </c>
      <c r="K7" s="328">
        <f>Account!G19</f>
        <v>45169</v>
      </c>
      <c r="L7" s="328">
        <f>Account!G20</f>
        <v>45199</v>
      </c>
      <c r="M7" s="328">
        <f>Account!G21</f>
        <v>45230</v>
      </c>
      <c r="N7" s="328">
        <f>Account!G22</f>
        <v>45260</v>
      </c>
      <c r="O7" s="328">
        <f>Account!G23</f>
        <v>45291</v>
      </c>
      <c r="P7" s="318" t="s">
        <v>831</v>
      </c>
    </row>
    <row r="8" spans="1:16">
      <c r="A8" s="14"/>
      <c r="B8" s="317"/>
      <c r="C8" s="319"/>
      <c r="D8" s="319"/>
      <c r="E8" s="319"/>
      <c r="F8" s="319"/>
      <c r="G8" s="319"/>
      <c r="H8" s="319"/>
      <c r="I8" s="319"/>
      <c r="J8" s="319"/>
      <c r="K8" s="319"/>
      <c r="L8" s="319"/>
      <c r="M8" s="319"/>
      <c r="N8" s="319"/>
      <c r="O8" s="319"/>
      <c r="P8" s="319"/>
    </row>
    <row r="9" spans="1:16">
      <c r="A9" s="320" t="s">
        <v>856</v>
      </c>
      <c r="B9" s="317"/>
      <c r="C9" s="319"/>
      <c r="D9" s="319"/>
      <c r="E9" s="319"/>
      <c r="F9" s="319"/>
      <c r="G9" s="319"/>
      <c r="H9" s="319"/>
      <c r="I9" s="319"/>
      <c r="J9" s="319"/>
      <c r="K9" s="319"/>
      <c r="L9" s="319"/>
      <c r="M9" s="319"/>
      <c r="N9" s="319"/>
      <c r="O9" s="319"/>
      <c r="P9" s="319"/>
    </row>
    <row r="10" spans="1:16">
      <c r="A10" s="320" t="s">
        <v>857</v>
      </c>
      <c r="B10" s="317"/>
      <c r="C10" s="319"/>
      <c r="D10" s="319"/>
      <c r="E10" s="319"/>
      <c r="F10" s="319"/>
      <c r="G10" s="319"/>
      <c r="H10" s="319"/>
      <c r="I10" s="319"/>
      <c r="J10" s="319"/>
      <c r="K10" s="319"/>
      <c r="L10" s="319"/>
      <c r="M10" s="319"/>
      <c r="N10" s="319"/>
      <c r="O10" s="319"/>
      <c r="P10" s="319"/>
    </row>
    <row r="11" spans="1:16" s="171" customFormat="1">
      <c r="A11" s="321" t="s">
        <v>1007</v>
      </c>
      <c r="B11" s="317"/>
      <c r="C11" s="322">
        <f t="shared" ref="C11:C44" si="0">SUM(D11:O11)</f>
        <v>0</v>
      </c>
      <c r="D11" s="322">
        <f>D12+D13</f>
        <v>0</v>
      </c>
      <c r="E11" s="322">
        <f t="shared" ref="E11:O11" si="1">E12+E13</f>
        <v>0</v>
      </c>
      <c r="F11" s="322">
        <f t="shared" si="1"/>
        <v>0</v>
      </c>
      <c r="G11" s="322">
        <f t="shared" si="1"/>
        <v>0</v>
      </c>
      <c r="H11" s="322">
        <f t="shared" si="1"/>
        <v>0</v>
      </c>
      <c r="I11" s="322">
        <f t="shared" si="1"/>
        <v>0</v>
      </c>
      <c r="J11" s="322">
        <f t="shared" si="1"/>
        <v>0</v>
      </c>
      <c r="K11" s="322">
        <f t="shared" si="1"/>
        <v>0</v>
      </c>
      <c r="L11" s="322">
        <f t="shared" si="1"/>
        <v>0</v>
      </c>
      <c r="M11" s="322">
        <f t="shared" si="1"/>
        <v>0</v>
      </c>
      <c r="N11" s="322">
        <f t="shared" si="1"/>
        <v>0</v>
      </c>
      <c r="O11" s="322">
        <f t="shared" si="1"/>
        <v>0</v>
      </c>
      <c r="P11" s="322">
        <f>C11</f>
        <v>0</v>
      </c>
    </row>
    <row r="12" spans="1:16">
      <c r="A12" s="323" t="s">
        <v>858</v>
      </c>
      <c r="B12" s="317" t="s">
        <v>125</v>
      </c>
      <c r="C12" s="319">
        <f t="shared" si="0"/>
        <v>0</v>
      </c>
      <c r="D12" s="319">
        <f t="array" ref="D12">SUM(IF((Budget[Sort Code]=$B$6)*(Budget[Account Code]=$B12)*(Budget[Date]=D$7),Budget[Amount]))</f>
        <v>0</v>
      </c>
      <c r="E12" s="319">
        <f t="array" ref="E12">SUM(IF((Budget[Sort Code]=$B$6)*(Budget[Account Code]=$B12)*(Budget[Date]=E$7),Budget[Amount]))</f>
        <v>0</v>
      </c>
      <c r="F12" s="319">
        <f t="array" ref="F12">SUM(IF((Budget[Sort Code]=$B$6)*(Budget[Account Code]=$B12)*(Budget[Date]=F$7),Budget[Amount]))</f>
        <v>0</v>
      </c>
      <c r="G12" s="319">
        <f t="array" ref="G12">SUM(IF((Budget[Sort Code]=$B$6)*(Budget[Account Code]=$B12)*(Budget[Date]=G$7),Budget[Amount]))</f>
        <v>0</v>
      </c>
      <c r="H12" s="319">
        <f t="array" ref="H12">SUM(IF((Budget[Sort Code]=$B$6)*(Budget[Account Code]=$B12)*(Budget[Date]=H$7),Budget[Amount]))</f>
        <v>0</v>
      </c>
      <c r="I12" s="319">
        <f t="array" ref="I12">SUM(IF((Budget[Sort Code]=$B$6)*(Budget[Account Code]=$B12)*(Budget[Date]=I$7),Budget[Amount]))</f>
        <v>0</v>
      </c>
      <c r="J12" s="319">
        <f t="array" ref="J12">SUM(IF((Budget[Sort Code]=$B$6)*(Budget[Account Code]=$B12)*(Budget[Date]=J$7),Budget[Amount]))</f>
        <v>0</v>
      </c>
      <c r="K12" s="319">
        <f t="array" ref="K12">SUM(IF((Budget[Sort Code]=$B$6)*(Budget[Account Code]=$B12)*(Budget[Date]=K$7),Budget[Amount]))</f>
        <v>0</v>
      </c>
      <c r="L12" s="319">
        <f t="array" ref="L12">SUM(IF((Budget[Sort Code]=$B$6)*(Budget[Account Code]=$B12)*(Budget[Date]=L$7),Budget[Amount]))</f>
        <v>0</v>
      </c>
      <c r="M12" s="319">
        <f t="array" ref="M12">SUM(IF((Budget[Sort Code]=$B$6)*(Budget[Account Code]=$B12)*(Budget[Date]=M$7),Budget[Amount]))</f>
        <v>0</v>
      </c>
      <c r="N12" s="319">
        <f t="array" ref="N12">SUM(IF((Budget[Sort Code]=$B$6)*(Budget[Account Code]=$B12)*(Budget[Date]=N$7),Budget[Amount]))</f>
        <v>0</v>
      </c>
      <c r="O12" s="319">
        <f t="array" ref="O12">SUM(IF((Budget[Sort Code]=$B$6)*(Budget[Account Code]=$B12)*(Budget[Date]=O$7),Budget[Amount]))</f>
        <v>0</v>
      </c>
      <c r="P12" s="319">
        <f t="shared" ref="P12:P75" si="2">C12</f>
        <v>0</v>
      </c>
    </row>
    <row r="13" spans="1:16">
      <c r="A13" s="323" t="s">
        <v>819</v>
      </c>
      <c r="B13" s="317"/>
      <c r="C13" s="319">
        <f t="shared" si="0"/>
        <v>0</v>
      </c>
      <c r="D13" s="319">
        <f>D14+D15+D16</f>
        <v>0</v>
      </c>
      <c r="E13" s="319">
        <f t="shared" ref="E13:O13" si="3">E14+E15+E16</f>
        <v>0</v>
      </c>
      <c r="F13" s="319">
        <f t="shared" si="3"/>
        <v>0</v>
      </c>
      <c r="G13" s="319">
        <f t="shared" si="3"/>
        <v>0</v>
      </c>
      <c r="H13" s="319">
        <f t="shared" si="3"/>
        <v>0</v>
      </c>
      <c r="I13" s="319">
        <f t="shared" si="3"/>
        <v>0</v>
      </c>
      <c r="J13" s="319">
        <f t="shared" si="3"/>
        <v>0</v>
      </c>
      <c r="K13" s="319">
        <f t="shared" si="3"/>
        <v>0</v>
      </c>
      <c r="L13" s="319">
        <f t="shared" si="3"/>
        <v>0</v>
      </c>
      <c r="M13" s="319">
        <f t="shared" si="3"/>
        <v>0</v>
      </c>
      <c r="N13" s="319">
        <f t="shared" si="3"/>
        <v>0</v>
      </c>
      <c r="O13" s="319">
        <f t="shared" si="3"/>
        <v>0</v>
      </c>
      <c r="P13" s="319">
        <f t="shared" si="2"/>
        <v>0</v>
      </c>
    </row>
    <row r="14" spans="1:16">
      <c r="A14" s="323" t="s">
        <v>859</v>
      </c>
      <c r="B14" s="317" t="s">
        <v>126</v>
      </c>
      <c r="C14" s="319">
        <f t="shared" si="0"/>
        <v>0</v>
      </c>
      <c r="D14" s="319">
        <f t="array" ref="D14">SUM(IF((Budget[Sort Code]=$B$6)*(Budget[Account Code]=$B14)*(Budget[Date]=D$7),Budget[Amount]))</f>
        <v>0</v>
      </c>
      <c r="E14" s="319">
        <f t="array" ref="E14">SUM(IF((Budget[Sort Code]=$B$6)*(Budget[Account Code]=$B14)*(Budget[Date]=E$7),Budget[Amount]))</f>
        <v>0</v>
      </c>
      <c r="F14" s="319">
        <f t="array" ref="F14">SUM(IF((Budget[Sort Code]=$B$6)*(Budget[Account Code]=$B14)*(Budget[Date]=F$7),Budget[Amount]))</f>
        <v>0</v>
      </c>
      <c r="G14" s="319">
        <f t="array" ref="G14">SUM(IF((Budget[Sort Code]=$B$6)*(Budget[Account Code]=$B14)*(Budget[Date]=G$7),Budget[Amount]))</f>
        <v>0</v>
      </c>
      <c r="H14" s="319">
        <f t="array" ref="H14">SUM(IF((Budget[Sort Code]=$B$6)*(Budget[Account Code]=$B14)*(Budget[Date]=H$7),Budget[Amount]))</f>
        <v>0</v>
      </c>
      <c r="I14" s="319">
        <f t="array" ref="I14">SUM(IF((Budget[Sort Code]=$B$6)*(Budget[Account Code]=$B14)*(Budget[Date]=I$7),Budget[Amount]))</f>
        <v>0</v>
      </c>
      <c r="J14" s="319">
        <f t="array" ref="J14">SUM(IF((Budget[Sort Code]=$B$6)*(Budget[Account Code]=$B14)*(Budget[Date]=J$7),Budget[Amount]))</f>
        <v>0</v>
      </c>
      <c r="K14" s="319">
        <f t="array" ref="K14">SUM(IF((Budget[Sort Code]=$B$6)*(Budget[Account Code]=$B14)*(Budget[Date]=K$7),Budget[Amount]))</f>
        <v>0</v>
      </c>
      <c r="L14" s="319">
        <f t="array" ref="L14">SUM(IF((Budget[Sort Code]=$B$6)*(Budget[Account Code]=$B14)*(Budget[Date]=L$7),Budget[Amount]))</f>
        <v>0</v>
      </c>
      <c r="M14" s="319">
        <f t="array" ref="M14">SUM(IF((Budget[Sort Code]=$B$6)*(Budget[Account Code]=$B14)*(Budget[Date]=M$7),Budget[Amount]))</f>
        <v>0</v>
      </c>
      <c r="N14" s="319">
        <f t="array" ref="N14">SUM(IF((Budget[Sort Code]=$B$6)*(Budget[Account Code]=$B14)*(Budget[Date]=N$7),Budget[Amount]))</f>
        <v>0</v>
      </c>
      <c r="O14" s="319">
        <f t="array" ref="O14">SUM(IF((Budget[Sort Code]=$B$6)*(Budget[Account Code]=$B14)*(Budget[Date]=O$7),Budget[Amount]))</f>
        <v>0</v>
      </c>
      <c r="P14" s="319">
        <f t="shared" si="2"/>
        <v>0</v>
      </c>
    </row>
    <row r="15" spans="1:16">
      <c r="A15" s="323" t="s">
        <v>860</v>
      </c>
      <c r="B15" s="317" t="s">
        <v>721</v>
      </c>
      <c r="C15" s="319">
        <f t="shared" si="0"/>
        <v>0</v>
      </c>
      <c r="D15" s="319">
        <f t="array" ref="D15">SUM(IF((Budget[Sort Code]=$B$6)*(Budget[Account Code]=$B15)*(Budget[Date]=D$7),Budget[Amount]))</f>
        <v>0</v>
      </c>
      <c r="E15" s="319">
        <f t="array" ref="E15">SUM(IF((Budget[Sort Code]=$B$6)*(Budget[Account Code]=$B15)*(Budget[Date]=E$7),Budget[Amount]))</f>
        <v>0</v>
      </c>
      <c r="F15" s="319">
        <f t="array" ref="F15">SUM(IF((Budget[Sort Code]=$B$6)*(Budget[Account Code]=$B15)*(Budget[Date]=F$7),Budget[Amount]))</f>
        <v>0</v>
      </c>
      <c r="G15" s="319">
        <f t="array" ref="G15">SUM(IF((Budget[Sort Code]=$B$6)*(Budget[Account Code]=$B15)*(Budget[Date]=G$7),Budget[Amount]))</f>
        <v>0</v>
      </c>
      <c r="H15" s="319">
        <f t="array" ref="H15">SUM(IF((Budget[Sort Code]=$B$6)*(Budget[Account Code]=$B15)*(Budget[Date]=H$7),Budget[Amount]))</f>
        <v>0</v>
      </c>
      <c r="I15" s="319">
        <f t="array" ref="I15">SUM(IF((Budget[Sort Code]=$B$6)*(Budget[Account Code]=$B15)*(Budget[Date]=I$7),Budget[Amount]))</f>
        <v>0</v>
      </c>
      <c r="J15" s="319">
        <f t="array" ref="J15">SUM(IF((Budget[Sort Code]=$B$6)*(Budget[Account Code]=$B15)*(Budget[Date]=J$7),Budget[Amount]))</f>
        <v>0</v>
      </c>
      <c r="K15" s="319">
        <f t="array" ref="K15">SUM(IF((Budget[Sort Code]=$B$6)*(Budget[Account Code]=$B15)*(Budget[Date]=K$7),Budget[Amount]))</f>
        <v>0</v>
      </c>
      <c r="L15" s="319">
        <f t="array" ref="L15">SUM(IF((Budget[Sort Code]=$B$6)*(Budget[Account Code]=$B15)*(Budget[Date]=L$7),Budget[Amount]))</f>
        <v>0</v>
      </c>
      <c r="M15" s="319">
        <f t="array" ref="M15">SUM(IF((Budget[Sort Code]=$B$6)*(Budget[Account Code]=$B15)*(Budget[Date]=M$7),Budget[Amount]))</f>
        <v>0</v>
      </c>
      <c r="N15" s="319">
        <f t="array" ref="N15">SUM(IF((Budget[Sort Code]=$B$6)*(Budget[Account Code]=$B15)*(Budget[Date]=N$7),Budget[Amount]))</f>
        <v>0</v>
      </c>
      <c r="O15" s="319">
        <f t="array" ref="O15">SUM(IF((Budget[Sort Code]=$B$6)*(Budget[Account Code]=$B15)*(Budget[Date]=O$7),Budget[Amount]))</f>
        <v>0</v>
      </c>
      <c r="P15" s="319">
        <f t="shared" si="2"/>
        <v>0</v>
      </c>
    </row>
    <row r="16" spans="1:16">
      <c r="A16" s="323" t="s">
        <v>861</v>
      </c>
      <c r="B16" s="317" t="s">
        <v>143</v>
      </c>
      <c r="C16" s="319">
        <f t="shared" si="0"/>
        <v>0</v>
      </c>
      <c r="D16" s="319">
        <f t="array" ref="D16">SUM(IF((Budget[Sort Code]=$B$6)*(Budget[Account Code]=$B16)*(Budget[Date]=D$7),Budget[Amount]))</f>
        <v>0</v>
      </c>
      <c r="E16" s="319">
        <f t="array" ref="E16">SUM(IF((Budget[Sort Code]=$B$6)*(Budget[Account Code]=$B16)*(Budget[Date]=E$7),Budget[Amount]))</f>
        <v>0</v>
      </c>
      <c r="F16" s="319">
        <f t="array" ref="F16">SUM(IF((Budget[Sort Code]=$B$6)*(Budget[Account Code]=$B16)*(Budget[Date]=F$7),Budget[Amount]))</f>
        <v>0</v>
      </c>
      <c r="G16" s="319">
        <f t="array" ref="G16">SUM(IF((Budget[Sort Code]=$B$6)*(Budget[Account Code]=$B16)*(Budget[Date]=G$7),Budget[Amount]))</f>
        <v>0</v>
      </c>
      <c r="H16" s="319">
        <f t="array" ref="H16">SUM(IF((Budget[Sort Code]=$B$6)*(Budget[Account Code]=$B16)*(Budget[Date]=H$7),Budget[Amount]))</f>
        <v>0</v>
      </c>
      <c r="I16" s="319">
        <f t="array" ref="I16">SUM(IF((Budget[Sort Code]=$B$6)*(Budget[Account Code]=$B16)*(Budget[Date]=I$7),Budget[Amount]))</f>
        <v>0</v>
      </c>
      <c r="J16" s="319">
        <f t="array" ref="J16">SUM(IF((Budget[Sort Code]=$B$6)*(Budget[Account Code]=$B16)*(Budget[Date]=J$7),Budget[Amount]))</f>
        <v>0</v>
      </c>
      <c r="K16" s="319">
        <f t="array" ref="K16">SUM(IF((Budget[Sort Code]=$B$6)*(Budget[Account Code]=$B16)*(Budget[Date]=K$7),Budget[Amount]))</f>
        <v>0</v>
      </c>
      <c r="L16" s="319">
        <f t="array" ref="L16">SUM(IF((Budget[Sort Code]=$B$6)*(Budget[Account Code]=$B16)*(Budget[Date]=L$7),Budget[Amount]))</f>
        <v>0</v>
      </c>
      <c r="M16" s="319">
        <f t="array" ref="M16">SUM(IF((Budget[Sort Code]=$B$6)*(Budget[Account Code]=$B16)*(Budget[Date]=M$7),Budget[Amount]))</f>
        <v>0</v>
      </c>
      <c r="N16" s="319">
        <f t="array" ref="N16">SUM(IF((Budget[Sort Code]=$B$6)*(Budget[Account Code]=$B16)*(Budget[Date]=N$7),Budget[Amount]))</f>
        <v>0</v>
      </c>
      <c r="O16" s="319">
        <f t="array" ref="O16">SUM(IF((Budget[Sort Code]=$B$6)*(Budget[Account Code]=$B16)*(Budget[Date]=O$7),Budget[Amount]))</f>
        <v>0</v>
      </c>
      <c r="P16" s="319">
        <f t="shared" si="2"/>
        <v>0</v>
      </c>
    </row>
    <row r="17" spans="1:16" s="171" customFormat="1">
      <c r="A17" s="321" t="s">
        <v>862</v>
      </c>
      <c r="B17" s="317"/>
      <c r="C17" s="322">
        <f t="shared" si="0"/>
        <v>0</v>
      </c>
      <c r="D17" s="322">
        <f>D18+D19</f>
        <v>0</v>
      </c>
      <c r="E17" s="322">
        <f t="shared" ref="E17:O17" si="4">E18+E19</f>
        <v>0</v>
      </c>
      <c r="F17" s="322">
        <f t="shared" si="4"/>
        <v>0</v>
      </c>
      <c r="G17" s="322">
        <f t="shared" si="4"/>
        <v>0</v>
      </c>
      <c r="H17" s="322">
        <f t="shared" si="4"/>
        <v>0</v>
      </c>
      <c r="I17" s="322">
        <f t="shared" si="4"/>
        <v>0</v>
      </c>
      <c r="J17" s="322">
        <f t="shared" si="4"/>
        <v>0</v>
      </c>
      <c r="K17" s="322">
        <f t="shared" si="4"/>
        <v>0</v>
      </c>
      <c r="L17" s="322">
        <f t="shared" si="4"/>
        <v>0</v>
      </c>
      <c r="M17" s="322">
        <f t="shared" si="4"/>
        <v>0</v>
      </c>
      <c r="N17" s="322">
        <f t="shared" si="4"/>
        <v>0</v>
      </c>
      <c r="O17" s="322">
        <f t="shared" si="4"/>
        <v>0</v>
      </c>
      <c r="P17" s="322">
        <f t="shared" si="2"/>
        <v>0</v>
      </c>
    </row>
    <row r="18" spans="1:16">
      <c r="A18" s="323" t="s">
        <v>863</v>
      </c>
      <c r="B18" s="317" t="s">
        <v>146</v>
      </c>
      <c r="C18" s="319">
        <f t="shared" si="0"/>
        <v>0</v>
      </c>
      <c r="D18" s="319">
        <f t="array" ref="D18">SUM(IF((Budget[Sort Code]=$B$6)*(Budget[Account Code]=$B18)*(Budget[Date]=D$7),Budget[Amount]))</f>
        <v>0</v>
      </c>
      <c r="E18" s="319">
        <f t="array" ref="E18">SUM(IF((Budget[Sort Code]=$B$6)*(Budget[Account Code]=$B18)*(Budget[Date]=E$7),Budget[Amount]))</f>
        <v>0</v>
      </c>
      <c r="F18" s="319">
        <f t="array" ref="F18">SUM(IF((Budget[Sort Code]=$B$6)*(Budget[Account Code]=$B18)*(Budget[Date]=F$7),Budget[Amount]))</f>
        <v>0</v>
      </c>
      <c r="G18" s="319">
        <f t="array" ref="G18">SUM(IF((Budget[Sort Code]=$B$6)*(Budget[Account Code]=$B18)*(Budget[Date]=G$7),Budget[Amount]))</f>
        <v>0</v>
      </c>
      <c r="H18" s="319">
        <f t="array" ref="H18">SUM(IF((Budget[Sort Code]=$B$6)*(Budget[Account Code]=$B18)*(Budget[Date]=H$7),Budget[Amount]))</f>
        <v>0</v>
      </c>
      <c r="I18" s="319">
        <f t="array" ref="I18">SUM(IF((Budget[Sort Code]=$B$6)*(Budget[Account Code]=$B18)*(Budget[Date]=I$7),Budget[Amount]))</f>
        <v>0</v>
      </c>
      <c r="J18" s="319">
        <f t="array" ref="J18">SUM(IF((Budget[Sort Code]=$B$6)*(Budget[Account Code]=$B18)*(Budget[Date]=J$7),Budget[Amount]))</f>
        <v>0</v>
      </c>
      <c r="K18" s="319">
        <f t="array" ref="K18">SUM(IF((Budget[Sort Code]=$B$6)*(Budget[Account Code]=$B18)*(Budget[Date]=K$7),Budget[Amount]))</f>
        <v>0</v>
      </c>
      <c r="L18" s="319">
        <f t="array" ref="L18">SUM(IF((Budget[Sort Code]=$B$6)*(Budget[Account Code]=$B18)*(Budget[Date]=L$7),Budget[Amount]))</f>
        <v>0</v>
      </c>
      <c r="M18" s="319">
        <f t="array" ref="M18">SUM(IF((Budget[Sort Code]=$B$6)*(Budget[Account Code]=$B18)*(Budget[Date]=M$7),Budget[Amount]))</f>
        <v>0</v>
      </c>
      <c r="N18" s="319">
        <f t="array" ref="N18">SUM(IF((Budget[Sort Code]=$B$6)*(Budget[Account Code]=$B18)*(Budget[Date]=N$7),Budget[Amount]))</f>
        <v>0</v>
      </c>
      <c r="O18" s="319">
        <f t="array" ref="O18">SUM(IF((Budget[Sort Code]=$B$6)*(Budget[Account Code]=$B18)*(Budget[Date]=O$7),Budget[Amount]))</f>
        <v>0</v>
      </c>
      <c r="P18" s="319">
        <f t="shared" si="2"/>
        <v>0</v>
      </c>
    </row>
    <row r="19" spans="1:16">
      <c r="A19" s="323" t="s">
        <v>864</v>
      </c>
      <c r="B19" s="317" t="s">
        <v>147</v>
      </c>
      <c r="C19" s="319">
        <f t="shared" si="0"/>
        <v>0</v>
      </c>
      <c r="D19" s="319">
        <f t="array" ref="D19">SUM(IF((Budget[Sort Code]=$B$6)*(Budget[Account Code]=$B19)*(Budget[Date]=D$7),Budget[Amount]))</f>
        <v>0</v>
      </c>
      <c r="E19" s="319">
        <f t="array" ref="E19">SUM(IF((Budget[Sort Code]=$B$6)*(Budget[Account Code]=$B19)*(Budget[Date]=E$7),Budget[Amount]))</f>
        <v>0</v>
      </c>
      <c r="F19" s="319">
        <f t="array" ref="F19">SUM(IF((Budget[Sort Code]=$B$6)*(Budget[Account Code]=$B19)*(Budget[Date]=F$7),Budget[Amount]))</f>
        <v>0</v>
      </c>
      <c r="G19" s="319">
        <f t="array" ref="G19">SUM(IF((Budget[Sort Code]=$B$6)*(Budget[Account Code]=$B19)*(Budget[Date]=G$7),Budget[Amount]))</f>
        <v>0</v>
      </c>
      <c r="H19" s="319">
        <f t="array" ref="H19">SUM(IF((Budget[Sort Code]=$B$6)*(Budget[Account Code]=$B19)*(Budget[Date]=H$7),Budget[Amount]))</f>
        <v>0</v>
      </c>
      <c r="I19" s="319">
        <f t="array" ref="I19">SUM(IF((Budget[Sort Code]=$B$6)*(Budget[Account Code]=$B19)*(Budget[Date]=I$7),Budget[Amount]))</f>
        <v>0</v>
      </c>
      <c r="J19" s="319">
        <f t="array" ref="J19">SUM(IF((Budget[Sort Code]=$B$6)*(Budget[Account Code]=$B19)*(Budget[Date]=J$7),Budget[Amount]))</f>
        <v>0</v>
      </c>
      <c r="K19" s="319">
        <f t="array" ref="K19">SUM(IF((Budget[Sort Code]=$B$6)*(Budget[Account Code]=$B19)*(Budget[Date]=K$7),Budget[Amount]))</f>
        <v>0</v>
      </c>
      <c r="L19" s="319">
        <f t="array" ref="L19">SUM(IF((Budget[Sort Code]=$B$6)*(Budget[Account Code]=$B19)*(Budget[Date]=L$7),Budget[Amount]))</f>
        <v>0</v>
      </c>
      <c r="M19" s="319">
        <f t="array" ref="M19">SUM(IF((Budget[Sort Code]=$B$6)*(Budget[Account Code]=$B19)*(Budget[Date]=M$7),Budget[Amount]))</f>
        <v>0</v>
      </c>
      <c r="N19" s="319">
        <f t="array" ref="N19">SUM(IF((Budget[Sort Code]=$B$6)*(Budget[Account Code]=$B19)*(Budget[Date]=N$7),Budget[Amount]))</f>
        <v>0</v>
      </c>
      <c r="O19" s="319">
        <f t="array" ref="O19">SUM(IF((Budget[Sort Code]=$B$6)*(Budget[Account Code]=$B19)*(Budget[Date]=O$7),Budget[Amount]))</f>
        <v>0</v>
      </c>
      <c r="P19" s="319">
        <f t="shared" si="2"/>
        <v>0</v>
      </c>
    </row>
    <row r="20" spans="1:16" s="171" customFormat="1">
      <c r="A20" s="321" t="s">
        <v>825</v>
      </c>
      <c r="B20" s="317"/>
      <c r="C20" s="322">
        <f t="shared" si="0"/>
        <v>0</v>
      </c>
      <c r="D20" s="322">
        <f>D21+D22</f>
        <v>0</v>
      </c>
      <c r="E20" s="322">
        <f t="shared" ref="E20:O20" si="5">E21+E22</f>
        <v>0</v>
      </c>
      <c r="F20" s="322">
        <f t="shared" si="5"/>
        <v>0</v>
      </c>
      <c r="G20" s="322">
        <f t="shared" si="5"/>
        <v>0</v>
      </c>
      <c r="H20" s="322">
        <f t="shared" si="5"/>
        <v>0</v>
      </c>
      <c r="I20" s="322">
        <f t="shared" si="5"/>
        <v>0</v>
      </c>
      <c r="J20" s="322">
        <f t="shared" si="5"/>
        <v>0</v>
      </c>
      <c r="K20" s="322">
        <f t="shared" si="5"/>
        <v>0</v>
      </c>
      <c r="L20" s="322">
        <f t="shared" si="5"/>
        <v>0</v>
      </c>
      <c r="M20" s="322">
        <f t="shared" si="5"/>
        <v>0</v>
      </c>
      <c r="N20" s="322">
        <f t="shared" si="5"/>
        <v>0</v>
      </c>
      <c r="O20" s="322">
        <f t="shared" si="5"/>
        <v>0</v>
      </c>
      <c r="P20" s="322">
        <f t="shared" si="2"/>
        <v>0</v>
      </c>
    </row>
    <row r="21" spans="1:16">
      <c r="A21" s="323" t="s">
        <v>858</v>
      </c>
      <c r="B21" s="317" t="s">
        <v>131</v>
      </c>
      <c r="C21" s="319">
        <f t="shared" si="0"/>
        <v>0</v>
      </c>
      <c r="D21" s="319">
        <f t="array" ref="D21">SUM(IF((Budget[Sort Code]=$B$6)*(Budget[Account Code]=$B21)*(Budget[Date]=D$7),Budget[Amount]))</f>
        <v>0</v>
      </c>
      <c r="E21" s="319">
        <f t="array" ref="E21">SUM(IF((Budget[Sort Code]=$B$6)*(Budget[Account Code]=$B21)*(Budget[Date]=E$7),Budget[Amount]))</f>
        <v>0</v>
      </c>
      <c r="F21" s="319">
        <f t="array" ref="F21">SUM(IF((Budget[Sort Code]=$B$6)*(Budget[Account Code]=$B21)*(Budget[Date]=F$7),Budget[Amount]))</f>
        <v>0</v>
      </c>
      <c r="G21" s="319">
        <f t="array" ref="G21">SUM(IF((Budget[Sort Code]=$B$6)*(Budget[Account Code]=$B21)*(Budget[Date]=G$7),Budget[Amount]))</f>
        <v>0</v>
      </c>
      <c r="H21" s="319">
        <f t="array" ref="H21">SUM(IF((Budget[Sort Code]=$B$6)*(Budget[Account Code]=$B21)*(Budget[Date]=H$7),Budget[Amount]))</f>
        <v>0</v>
      </c>
      <c r="I21" s="319">
        <f t="array" ref="I21">SUM(IF((Budget[Sort Code]=$B$6)*(Budget[Account Code]=$B21)*(Budget[Date]=I$7),Budget[Amount]))</f>
        <v>0</v>
      </c>
      <c r="J21" s="319">
        <f t="array" ref="J21">SUM(IF((Budget[Sort Code]=$B$6)*(Budget[Account Code]=$B21)*(Budget[Date]=J$7),Budget[Amount]))</f>
        <v>0</v>
      </c>
      <c r="K21" s="319">
        <f t="array" ref="K21">SUM(IF((Budget[Sort Code]=$B$6)*(Budget[Account Code]=$B21)*(Budget[Date]=K$7),Budget[Amount]))</f>
        <v>0</v>
      </c>
      <c r="L21" s="319">
        <f t="array" ref="L21">SUM(IF((Budget[Sort Code]=$B$6)*(Budget[Account Code]=$B21)*(Budget[Date]=L$7),Budget[Amount]))</f>
        <v>0</v>
      </c>
      <c r="M21" s="319">
        <f t="array" ref="M21">SUM(IF((Budget[Sort Code]=$B$6)*(Budget[Account Code]=$B21)*(Budget[Date]=M$7),Budget[Amount]))</f>
        <v>0</v>
      </c>
      <c r="N21" s="319">
        <f t="array" ref="N21">SUM(IF((Budget[Sort Code]=$B$6)*(Budget[Account Code]=$B21)*(Budget[Date]=N$7),Budget[Amount]))</f>
        <v>0</v>
      </c>
      <c r="O21" s="319">
        <f t="array" ref="O21">SUM(IF((Budget[Sort Code]=$B$6)*(Budget[Account Code]=$B21)*(Budget[Date]=O$7),Budget[Amount]))</f>
        <v>0</v>
      </c>
      <c r="P21" s="319">
        <f t="shared" si="2"/>
        <v>0</v>
      </c>
    </row>
    <row r="22" spans="1:16">
      <c r="A22" s="323" t="s">
        <v>819</v>
      </c>
      <c r="B22" s="317"/>
      <c r="C22" s="319">
        <f t="shared" si="0"/>
        <v>0</v>
      </c>
      <c r="D22" s="319">
        <f t="array" ref="D22">SUM(IF((Budget[Sort Code]=$B$6)*(Budget[Account Code]=$B22)*(Budget[Date]=D$7),Budget[Amount]))</f>
        <v>0</v>
      </c>
      <c r="E22" s="319">
        <f t="array" ref="E22">SUM(IF((Budget[Sort Code]=$B$6)*(Budget[Account Code]=$B22)*(Budget[Date]=E$7),Budget[Amount]))</f>
        <v>0</v>
      </c>
      <c r="F22" s="319">
        <f t="array" ref="F22">SUM(IF((Budget[Sort Code]=$B$6)*(Budget[Account Code]=$B22)*(Budget[Date]=F$7),Budget[Amount]))</f>
        <v>0</v>
      </c>
      <c r="G22" s="319">
        <f t="array" ref="G22">SUM(IF((Budget[Sort Code]=$B$6)*(Budget[Account Code]=$B22)*(Budget[Date]=G$7),Budget[Amount]))</f>
        <v>0</v>
      </c>
      <c r="H22" s="319">
        <f t="array" ref="H22">SUM(IF((Budget[Sort Code]=$B$6)*(Budget[Account Code]=$B22)*(Budget[Date]=H$7),Budget[Amount]))</f>
        <v>0</v>
      </c>
      <c r="I22" s="319">
        <f t="array" ref="I22">SUM(IF((Budget[Sort Code]=$B$6)*(Budget[Account Code]=$B22)*(Budget[Date]=I$7),Budget[Amount]))</f>
        <v>0</v>
      </c>
      <c r="J22" s="319">
        <f t="array" ref="J22">SUM(IF((Budget[Sort Code]=$B$6)*(Budget[Account Code]=$B22)*(Budget[Date]=J$7),Budget[Amount]))</f>
        <v>0</v>
      </c>
      <c r="K22" s="319">
        <f t="array" ref="K22">SUM(IF((Budget[Sort Code]=$B$6)*(Budget[Account Code]=$B22)*(Budget[Date]=K$7),Budget[Amount]))</f>
        <v>0</v>
      </c>
      <c r="L22" s="319">
        <f t="array" ref="L22">SUM(IF((Budget[Sort Code]=$B$6)*(Budget[Account Code]=$B22)*(Budget[Date]=L$7),Budget[Amount]))</f>
        <v>0</v>
      </c>
      <c r="M22" s="319">
        <f t="array" ref="M22">SUM(IF((Budget[Sort Code]=$B$6)*(Budget[Account Code]=$B22)*(Budget[Date]=M$7),Budget[Amount]))</f>
        <v>0</v>
      </c>
      <c r="N22" s="319">
        <f t="array" ref="N22">SUM(IF((Budget[Sort Code]=$B$6)*(Budget[Account Code]=$B22)*(Budget[Date]=N$7),Budget[Amount]))</f>
        <v>0</v>
      </c>
      <c r="O22" s="319">
        <f t="array" ref="O22">SUM(IF((Budget[Sort Code]=$B$6)*(Budget[Account Code]=$B22)*(Budget[Date]=O$7),Budget[Amount]))</f>
        <v>0</v>
      </c>
      <c r="P22" s="319">
        <f t="shared" si="2"/>
        <v>0</v>
      </c>
    </row>
    <row r="23" spans="1:16">
      <c r="A23" s="319" t="s">
        <v>831</v>
      </c>
      <c r="B23" s="324"/>
      <c r="C23" s="319">
        <f t="shared" si="0"/>
        <v>0</v>
      </c>
      <c r="D23" s="319">
        <f t="shared" ref="D23:O23" si="6">D11+D17+D20</f>
        <v>0</v>
      </c>
      <c r="E23" s="319">
        <f t="shared" si="6"/>
        <v>0</v>
      </c>
      <c r="F23" s="319">
        <f t="shared" si="6"/>
        <v>0</v>
      </c>
      <c r="G23" s="319">
        <f t="shared" si="6"/>
        <v>0</v>
      </c>
      <c r="H23" s="319">
        <f t="shared" si="6"/>
        <v>0</v>
      </c>
      <c r="I23" s="319">
        <f t="shared" si="6"/>
        <v>0</v>
      </c>
      <c r="J23" s="319">
        <f t="shared" si="6"/>
        <v>0</v>
      </c>
      <c r="K23" s="319">
        <f t="shared" si="6"/>
        <v>0</v>
      </c>
      <c r="L23" s="319">
        <f t="shared" si="6"/>
        <v>0</v>
      </c>
      <c r="M23" s="319">
        <f t="shared" si="6"/>
        <v>0</v>
      </c>
      <c r="N23" s="319">
        <f t="shared" si="6"/>
        <v>0</v>
      </c>
      <c r="O23" s="319">
        <f t="shared" si="6"/>
        <v>0</v>
      </c>
      <c r="P23" s="319">
        <f t="shared" si="2"/>
        <v>0</v>
      </c>
    </row>
    <row r="24" spans="1:16">
      <c r="A24" s="320" t="s">
        <v>865</v>
      </c>
      <c r="B24" s="317"/>
      <c r="C24" s="319"/>
      <c r="D24" s="319"/>
      <c r="E24" s="319"/>
      <c r="F24" s="319"/>
      <c r="G24" s="319"/>
      <c r="H24" s="319"/>
      <c r="I24" s="319"/>
      <c r="J24" s="319"/>
      <c r="K24" s="319"/>
      <c r="L24" s="319"/>
      <c r="M24" s="319"/>
      <c r="N24" s="319"/>
      <c r="O24" s="319"/>
      <c r="P24" s="319">
        <f t="shared" si="2"/>
        <v>0</v>
      </c>
    </row>
    <row r="25" spans="1:16" s="171" customFormat="1">
      <c r="A25" s="321" t="s">
        <v>866</v>
      </c>
      <c r="B25" s="317"/>
      <c r="C25" s="322">
        <f t="shared" si="0"/>
        <v>0</v>
      </c>
      <c r="D25" s="322">
        <v>0</v>
      </c>
      <c r="E25" s="322">
        <v>0</v>
      </c>
      <c r="F25" s="322">
        <v>0</v>
      </c>
      <c r="G25" s="322">
        <v>0</v>
      </c>
      <c r="H25" s="322">
        <v>0</v>
      </c>
      <c r="I25" s="322">
        <v>0</v>
      </c>
      <c r="J25" s="322">
        <v>0</v>
      </c>
      <c r="K25" s="322">
        <v>0</v>
      </c>
      <c r="L25" s="322">
        <v>0</v>
      </c>
      <c r="M25" s="322">
        <v>0</v>
      </c>
      <c r="N25" s="322">
        <v>0</v>
      </c>
      <c r="O25" s="322">
        <v>0</v>
      </c>
      <c r="P25" s="322">
        <f t="shared" si="2"/>
        <v>0</v>
      </c>
    </row>
    <row r="26" spans="1:16" s="171" customFormat="1">
      <c r="A26" s="321" t="s">
        <v>867</v>
      </c>
      <c r="B26" s="317"/>
      <c r="C26" s="322">
        <f t="shared" si="0"/>
        <v>0</v>
      </c>
      <c r="D26" s="322">
        <v>0</v>
      </c>
      <c r="E26" s="322">
        <v>0</v>
      </c>
      <c r="F26" s="322">
        <v>0</v>
      </c>
      <c r="G26" s="322">
        <v>0</v>
      </c>
      <c r="H26" s="322">
        <v>0</v>
      </c>
      <c r="I26" s="322">
        <v>0</v>
      </c>
      <c r="J26" s="322">
        <v>0</v>
      </c>
      <c r="K26" s="322">
        <v>0</v>
      </c>
      <c r="L26" s="322">
        <v>0</v>
      </c>
      <c r="M26" s="322">
        <v>0</v>
      </c>
      <c r="N26" s="322">
        <v>0</v>
      </c>
      <c r="O26" s="322">
        <v>0</v>
      </c>
      <c r="P26" s="322">
        <f t="shared" si="2"/>
        <v>0</v>
      </c>
    </row>
    <row r="27" spans="1:16" s="171" customFormat="1">
      <c r="A27" s="321" t="s">
        <v>997</v>
      </c>
      <c r="B27" s="317"/>
      <c r="C27" s="322">
        <f t="shared" si="0"/>
        <v>0</v>
      </c>
      <c r="D27" s="322">
        <v>0</v>
      </c>
      <c r="E27" s="322">
        <v>0</v>
      </c>
      <c r="F27" s="322">
        <v>0</v>
      </c>
      <c r="G27" s="322">
        <v>0</v>
      </c>
      <c r="H27" s="322">
        <v>0</v>
      </c>
      <c r="I27" s="322">
        <v>0</v>
      </c>
      <c r="J27" s="322">
        <v>0</v>
      </c>
      <c r="K27" s="322">
        <v>0</v>
      </c>
      <c r="L27" s="322">
        <v>0</v>
      </c>
      <c r="M27" s="322">
        <v>0</v>
      </c>
      <c r="N27" s="322">
        <v>0</v>
      </c>
      <c r="O27" s="322">
        <v>0</v>
      </c>
      <c r="P27" s="322">
        <f t="shared" si="2"/>
        <v>0</v>
      </c>
    </row>
    <row r="28" spans="1:16" s="171" customFormat="1">
      <c r="A28" s="321" t="s">
        <v>998</v>
      </c>
      <c r="B28" s="317"/>
      <c r="C28" s="322">
        <f t="shared" si="0"/>
        <v>0</v>
      </c>
      <c r="D28" s="322">
        <v>0</v>
      </c>
      <c r="E28" s="322">
        <v>0</v>
      </c>
      <c r="F28" s="322">
        <v>0</v>
      </c>
      <c r="G28" s="322">
        <v>0</v>
      </c>
      <c r="H28" s="322">
        <v>0</v>
      </c>
      <c r="I28" s="322">
        <v>0</v>
      </c>
      <c r="J28" s="322">
        <v>0</v>
      </c>
      <c r="K28" s="322">
        <v>0</v>
      </c>
      <c r="L28" s="322">
        <v>0</v>
      </c>
      <c r="M28" s="322">
        <v>0</v>
      </c>
      <c r="N28" s="322">
        <v>0</v>
      </c>
      <c r="O28" s="322">
        <v>0</v>
      </c>
      <c r="P28" s="322">
        <f t="shared" si="2"/>
        <v>0</v>
      </c>
    </row>
    <row r="29" spans="1:16" s="171" customFormat="1">
      <c r="A29" s="321" t="s">
        <v>868</v>
      </c>
      <c r="B29" s="317"/>
      <c r="C29" s="322">
        <f t="shared" si="0"/>
        <v>0</v>
      </c>
      <c r="D29" s="322">
        <v>0</v>
      </c>
      <c r="E29" s="322">
        <v>0</v>
      </c>
      <c r="F29" s="322">
        <v>0</v>
      </c>
      <c r="G29" s="322">
        <v>0</v>
      </c>
      <c r="H29" s="322">
        <v>0</v>
      </c>
      <c r="I29" s="322">
        <v>0</v>
      </c>
      <c r="J29" s="322">
        <v>0</v>
      </c>
      <c r="K29" s="322">
        <v>0</v>
      </c>
      <c r="L29" s="322">
        <v>0</v>
      </c>
      <c r="M29" s="322">
        <v>0</v>
      </c>
      <c r="N29" s="322">
        <v>0</v>
      </c>
      <c r="O29" s="322">
        <v>0</v>
      </c>
      <c r="P29" s="322">
        <f t="shared" si="2"/>
        <v>0</v>
      </c>
    </row>
    <row r="30" spans="1:16" s="171" customFormat="1">
      <c r="A30" s="321" t="s">
        <v>999</v>
      </c>
      <c r="B30" s="317"/>
      <c r="C30" s="322">
        <f t="shared" si="0"/>
        <v>0</v>
      </c>
      <c r="D30" s="322">
        <f>D31+D32</f>
        <v>0</v>
      </c>
      <c r="E30" s="322">
        <f t="shared" ref="E30:O30" si="7">E31+E32</f>
        <v>0</v>
      </c>
      <c r="F30" s="322">
        <f t="shared" si="7"/>
        <v>0</v>
      </c>
      <c r="G30" s="322">
        <f t="shared" si="7"/>
        <v>0</v>
      </c>
      <c r="H30" s="322">
        <f t="shared" si="7"/>
        <v>0</v>
      </c>
      <c r="I30" s="322">
        <f t="shared" si="7"/>
        <v>0</v>
      </c>
      <c r="J30" s="322">
        <f t="shared" si="7"/>
        <v>0</v>
      </c>
      <c r="K30" s="322">
        <f t="shared" si="7"/>
        <v>0</v>
      </c>
      <c r="L30" s="322">
        <f t="shared" si="7"/>
        <v>0</v>
      </c>
      <c r="M30" s="322">
        <f t="shared" si="7"/>
        <v>0</v>
      </c>
      <c r="N30" s="322">
        <f t="shared" si="7"/>
        <v>0</v>
      </c>
      <c r="O30" s="322">
        <f t="shared" si="7"/>
        <v>0</v>
      </c>
      <c r="P30" s="322">
        <f t="shared" si="2"/>
        <v>0</v>
      </c>
    </row>
    <row r="31" spans="1:16">
      <c r="A31" s="323" t="s">
        <v>858</v>
      </c>
      <c r="B31" s="317" t="s">
        <v>128</v>
      </c>
      <c r="C31" s="319">
        <f t="shared" si="0"/>
        <v>0</v>
      </c>
      <c r="D31" s="319">
        <f t="array" ref="D31">SUM(IF((Budget[Sort Code]=$B$6)*(Budget[Account Code]=$B31)*(Budget[Date]=D$7),Budget[Amount]))</f>
        <v>0</v>
      </c>
      <c r="E31" s="319">
        <f t="array" ref="E31">SUM(IF((Budget[Sort Code]=$B$6)*(Budget[Account Code]=$B31)*(Budget[Date]=E$7),Budget[Amount]))</f>
        <v>0</v>
      </c>
      <c r="F31" s="319">
        <f t="array" ref="F31">SUM(IF((Budget[Sort Code]=$B$6)*(Budget[Account Code]=$B31)*(Budget[Date]=F$7),Budget[Amount]))</f>
        <v>0</v>
      </c>
      <c r="G31" s="319">
        <f t="array" ref="G31">SUM(IF((Budget[Sort Code]=$B$6)*(Budget[Account Code]=$B31)*(Budget[Date]=G$7),Budget[Amount]))</f>
        <v>0</v>
      </c>
      <c r="H31" s="319">
        <f t="array" ref="H31">SUM(IF((Budget[Sort Code]=$B$6)*(Budget[Account Code]=$B31)*(Budget[Date]=H$7),Budget[Amount]))</f>
        <v>0</v>
      </c>
      <c r="I31" s="319">
        <f t="array" ref="I31">SUM(IF((Budget[Sort Code]=$B$6)*(Budget[Account Code]=$B31)*(Budget[Date]=I$7),Budget[Amount]))</f>
        <v>0</v>
      </c>
      <c r="J31" s="319">
        <f t="array" ref="J31">SUM(IF((Budget[Sort Code]=$B$6)*(Budget[Account Code]=$B31)*(Budget[Date]=J$7),Budget[Amount]))</f>
        <v>0</v>
      </c>
      <c r="K31" s="319">
        <f t="array" ref="K31">SUM(IF((Budget[Sort Code]=$B$6)*(Budget[Account Code]=$B31)*(Budget[Date]=K$7),Budget[Amount]))</f>
        <v>0</v>
      </c>
      <c r="L31" s="319">
        <f t="array" ref="L31">SUM(IF((Budget[Sort Code]=$B$6)*(Budget[Account Code]=$B31)*(Budget[Date]=L$7),Budget[Amount]))</f>
        <v>0</v>
      </c>
      <c r="M31" s="319">
        <f t="array" ref="M31">SUM(IF((Budget[Sort Code]=$B$6)*(Budget[Account Code]=$B31)*(Budget[Date]=M$7),Budget[Amount]))</f>
        <v>0</v>
      </c>
      <c r="N31" s="319">
        <f t="array" ref="N31">SUM(IF((Budget[Sort Code]=$B$6)*(Budget[Account Code]=$B31)*(Budget[Date]=N$7),Budget[Amount]))</f>
        <v>0</v>
      </c>
      <c r="O31" s="319">
        <f t="array" ref="O31">SUM(IF((Budget[Sort Code]=$B$6)*(Budget[Account Code]=$B31)*(Budget[Date]=O$7),Budget[Amount]))</f>
        <v>0</v>
      </c>
      <c r="P31" s="319">
        <f t="shared" si="2"/>
        <v>0</v>
      </c>
    </row>
    <row r="32" spans="1:16">
      <c r="A32" s="323" t="s">
        <v>819</v>
      </c>
      <c r="B32" s="317" t="s">
        <v>129</v>
      </c>
      <c r="C32" s="319">
        <f t="shared" si="0"/>
        <v>0</v>
      </c>
      <c r="D32" s="319">
        <f t="array" ref="D32">SUM(IF((Budget[Sort Code]=$B$6)*(Budget[Account Code]=$B32)*(Budget[Date]=D$7),Budget[Amount]))</f>
        <v>0</v>
      </c>
      <c r="E32" s="319">
        <f t="array" ref="E32">SUM(IF((Budget[Sort Code]=$B$6)*(Budget[Account Code]=$B32)*(Budget[Date]=E$7),Budget[Amount]))</f>
        <v>0</v>
      </c>
      <c r="F32" s="319">
        <f t="array" ref="F32">SUM(IF((Budget[Sort Code]=$B$6)*(Budget[Account Code]=$B32)*(Budget[Date]=F$7),Budget[Amount]))</f>
        <v>0</v>
      </c>
      <c r="G32" s="319">
        <f t="array" ref="G32">SUM(IF((Budget[Sort Code]=$B$6)*(Budget[Account Code]=$B32)*(Budget[Date]=G$7),Budget[Amount]))</f>
        <v>0</v>
      </c>
      <c r="H32" s="319">
        <f t="array" ref="H32">SUM(IF((Budget[Sort Code]=$B$6)*(Budget[Account Code]=$B32)*(Budget[Date]=H$7),Budget[Amount]))</f>
        <v>0</v>
      </c>
      <c r="I32" s="319">
        <f t="array" ref="I32">SUM(IF((Budget[Sort Code]=$B$6)*(Budget[Account Code]=$B32)*(Budget[Date]=I$7),Budget[Amount]))</f>
        <v>0</v>
      </c>
      <c r="J32" s="319">
        <f t="array" ref="J32">SUM(IF((Budget[Sort Code]=$B$6)*(Budget[Account Code]=$B32)*(Budget[Date]=J$7),Budget[Amount]))</f>
        <v>0</v>
      </c>
      <c r="K32" s="319">
        <f t="array" ref="K32">SUM(IF((Budget[Sort Code]=$B$6)*(Budget[Account Code]=$B32)*(Budget[Date]=K$7),Budget[Amount]))</f>
        <v>0</v>
      </c>
      <c r="L32" s="319">
        <f t="array" ref="L32">SUM(IF((Budget[Sort Code]=$B$6)*(Budget[Account Code]=$B32)*(Budget[Date]=L$7),Budget[Amount]))</f>
        <v>0</v>
      </c>
      <c r="M32" s="319">
        <f t="array" ref="M32">SUM(IF((Budget[Sort Code]=$B$6)*(Budget[Account Code]=$B32)*(Budget[Date]=M$7),Budget[Amount]))</f>
        <v>0</v>
      </c>
      <c r="N32" s="319">
        <f t="array" ref="N32">SUM(IF((Budget[Sort Code]=$B$6)*(Budget[Account Code]=$B32)*(Budget[Date]=N$7),Budget[Amount]))</f>
        <v>0</v>
      </c>
      <c r="O32" s="319">
        <f t="array" ref="O32">SUM(IF((Budget[Sort Code]=$B$6)*(Budget[Account Code]=$B32)*(Budget[Date]=O$7),Budget[Amount]))</f>
        <v>0</v>
      </c>
      <c r="P32" s="319">
        <f t="shared" si="2"/>
        <v>0</v>
      </c>
    </row>
    <row r="33" spans="1:16" s="171" customFormat="1">
      <c r="A33" s="321" t="s">
        <v>1000</v>
      </c>
      <c r="B33" s="317" t="s">
        <v>130</v>
      </c>
      <c r="C33" s="322">
        <f t="shared" si="0"/>
        <v>0</v>
      </c>
      <c r="D33" s="319">
        <f t="array" ref="D33">SUM(IF((Budget[Sort Code]=$B$6)*(Budget[Account Code]=$B33)*(Budget[Date]=D$7),Budget[Amount]))</f>
        <v>0</v>
      </c>
      <c r="E33" s="319">
        <f t="array" ref="E33">SUM(IF((Budget[Sort Code]=$B$6)*(Budget[Account Code]=$B33)*(Budget[Date]=E$7),Budget[Amount]))</f>
        <v>0</v>
      </c>
      <c r="F33" s="319">
        <f t="array" ref="F33">SUM(IF((Budget[Sort Code]=$B$6)*(Budget[Account Code]=$B33)*(Budget[Date]=F$7),Budget[Amount]))</f>
        <v>0</v>
      </c>
      <c r="G33" s="319">
        <f t="array" ref="G33">SUM(IF((Budget[Sort Code]=$B$6)*(Budget[Account Code]=$B33)*(Budget[Date]=G$7),Budget[Amount]))</f>
        <v>0</v>
      </c>
      <c r="H33" s="319">
        <f t="array" ref="H33">SUM(IF((Budget[Sort Code]=$B$6)*(Budget[Account Code]=$B33)*(Budget[Date]=H$7),Budget[Amount]))</f>
        <v>0</v>
      </c>
      <c r="I33" s="319">
        <f t="array" ref="I33">SUM(IF((Budget[Sort Code]=$B$6)*(Budget[Account Code]=$B33)*(Budget[Date]=I$7),Budget[Amount]))</f>
        <v>0</v>
      </c>
      <c r="J33" s="319">
        <f t="array" ref="J33">SUM(IF((Budget[Sort Code]=$B$6)*(Budget[Account Code]=$B33)*(Budget[Date]=J$7),Budget[Amount]))</f>
        <v>0</v>
      </c>
      <c r="K33" s="319">
        <f t="array" ref="K33">SUM(IF((Budget[Sort Code]=$B$6)*(Budget[Account Code]=$B33)*(Budget[Date]=K$7),Budget[Amount]))</f>
        <v>0</v>
      </c>
      <c r="L33" s="319">
        <f t="array" ref="L33">SUM(IF((Budget[Sort Code]=$B$6)*(Budget[Account Code]=$B33)*(Budget[Date]=L$7),Budget[Amount]))</f>
        <v>0</v>
      </c>
      <c r="M33" s="319">
        <f t="array" ref="M33">SUM(IF((Budget[Sort Code]=$B$6)*(Budget[Account Code]=$B33)*(Budget[Date]=M$7),Budget[Amount]))</f>
        <v>0</v>
      </c>
      <c r="N33" s="319">
        <f t="array" ref="N33">SUM(IF((Budget[Sort Code]=$B$6)*(Budget[Account Code]=$B33)*(Budget[Date]=N$7),Budget[Amount]))</f>
        <v>0</v>
      </c>
      <c r="O33" s="319">
        <f t="array" ref="O33">SUM(IF((Budget[Sort Code]=$B$6)*(Budget[Account Code]=$B33)*(Budget[Date]=O$7),Budget[Amount]))</f>
        <v>0</v>
      </c>
      <c r="P33" s="322">
        <f t="shared" si="2"/>
        <v>0</v>
      </c>
    </row>
    <row r="34" spans="1:16" s="171" customFormat="1">
      <c r="A34" s="321" t="s">
        <v>1001</v>
      </c>
      <c r="B34" s="317"/>
      <c r="C34" s="322">
        <f t="shared" si="0"/>
        <v>0</v>
      </c>
      <c r="D34" s="322">
        <f>SUM(D35:D40)</f>
        <v>0</v>
      </c>
      <c r="E34" s="322">
        <f t="shared" ref="E34:O34" si="8">SUM(E35:E40)</f>
        <v>0</v>
      </c>
      <c r="F34" s="322">
        <f t="shared" si="8"/>
        <v>0</v>
      </c>
      <c r="G34" s="322">
        <f t="shared" si="8"/>
        <v>0</v>
      </c>
      <c r="H34" s="322">
        <f t="shared" si="8"/>
        <v>0</v>
      </c>
      <c r="I34" s="322">
        <f t="shared" si="8"/>
        <v>0</v>
      </c>
      <c r="J34" s="322">
        <f t="shared" si="8"/>
        <v>0</v>
      </c>
      <c r="K34" s="322">
        <f t="shared" si="8"/>
        <v>0</v>
      </c>
      <c r="L34" s="322">
        <f t="shared" si="8"/>
        <v>0</v>
      </c>
      <c r="M34" s="322">
        <f t="shared" si="8"/>
        <v>0</v>
      </c>
      <c r="N34" s="322">
        <f t="shared" si="8"/>
        <v>0</v>
      </c>
      <c r="O34" s="322">
        <f t="shared" si="8"/>
        <v>0</v>
      </c>
      <c r="P34" s="322">
        <f t="shared" si="2"/>
        <v>0</v>
      </c>
    </row>
    <row r="35" spans="1:16" s="171" customFormat="1">
      <c r="A35" s="323" t="s">
        <v>186</v>
      </c>
      <c r="B35" s="317" t="s">
        <v>150</v>
      </c>
      <c r="C35" s="322">
        <f t="shared" si="0"/>
        <v>0</v>
      </c>
      <c r="D35" s="319">
        <f t="array" ref="D35">SUM(IF((Budget[Sort Code]=$B$6)*(Budget[Account Code]=$B35)*(Budget[Date]=D$7),Budget[Amount]))</f>
        <v>0</v>
      </c>
      <c r="E35" s="319">
        <f t="array" ref="E35">SUM(IF((Budget[Sort Code]=$B$6)*(Budget[Account Code]=$B35)*(Budget[Date]=E$7),Budget[Amount]))</f>
        <v>0</v>
      </c>
      <c r="F35" s="319">
        <f t="array" ref="F35">SUM(IF((Budget[Sort Code]=$B$6)*(Budget[Account Code]=$B35)*(Budget[Date]=F$7),Budget[Amount]))</f>
        <v>0</v>
      </c>
      <c r="G35" s="319">
        <f t="array" ref="G35">SUM(IF((Budget[Sort Code]=$B$6)*(Budget[Account Code]=$B35)*(Budget[Date]=G$7),Budget[Amount]))</f>
        <v>0</v>
      </c>
      <c r="H35" s="319">
        <f t="array" ref="H35">SUM(IF((Budget[Sort Code]=$B$6)*(Budget[Account Code]=$B35)*(Budget[Date]=H$7),Budget[Amount]))</f>
        <v>0</v>
      </c>
      <c r="I35" s="319">
        <f t="array" ref="I35">SUM(IF((Budget[Sort Code]=$B$6)*(Budget[Account Code]=$B35)*(Budget[Date]=I$7),Budget[Amount]))</f>
        <v>0</v>
      </c>
      <c r="J35" s="319">
        <f t="array" ref="J35">SUM(IF((Budget[Sort Code]=$B$6)*(Budget[Account Code]=$B35)*(Budget[Date]=J$7),Budget[Amount]))</f>
        <v>0</v>
      </c>
      <c r="K35" s="319">
        <f t="array" ref="K35">SUM(IF((Budget[Sort Code]=$B$6)*(Budget[Account Code]=$B35)*(Budget[Date]=K$7),Budget[Amount]))</f>
        <v>0</v>
      </c>
      <c r="L35" s="319">
        <f t="array" ref="L35">SUM(IF((Budget[Sort Code]=$B$6)*(Budget[Account Code]=$B35)*(Budget[Date]=L$7),Budget[Amount]))</f>
        <v>0</v>
      </c>
      <c r="M35" s="319">
        <f t="array" ref="M35">SUM(IF((Budget[Sort Code]=$B$6)*(Budget[Account Code]=$B35)*(Budget[Date]=M$7),Budget[Amount]))</f>
        <v>0</v>
      </c>
      <c r="N35" s="319">
        <f t="array" ref="N35">SUM(IF((Budget[Sort Code]=$B$6)*(Budget[Account Code]=$B35)*(Budget[Date]=N$7),Budget[Amount]))</f>
        <v>0</v>
      </c>
      <c r="O35" s="319">
        <f t="array" ref="O35">SUM(IF((Budget[Sort Code]=$B$6)*(Budget[Account Code]=$B35)*(Budget[Date]=O$7),Budget[Amount]))</f>
        <v>0</v>
      </c>
      <c r="P35" s="322">
        <f t="shared" si="2"/>
        <v>0</v>
      </c>
    </row>
    <row r="36" spans="1:16" s="171" customFormat="1">
      <c r="A36" s="323" t="s">
        <v>1003</v>
      </c>
      <c r="B36" s="317" t="s">
        <v>155</v>
      </c>
      <c r="C36" s="322">
        <f t="shared" si="0"/>
        <v>0</v>
      </c>
      <c r="D36" s="319">
        <f t="array" ref="D36">SUM(IF((Budget[Sort Code]=$B$6)*(Budget[Account Code]=$B36)*(Budget[Date]=D$7),Budget[Amount]))</f>
        <v>0</v>
      </c>
      <c r="E36" s="319">
        <f t="array" ref="E36">SUM(IF((Budget[Sort Code]=$B$6)*(Budget[Account Code]=$B36)*(Budget[Date]=E$7),Budget[Amount]))</f>
        <v>0</v>
      </c>
      <c r="F36" s="319">
        <f t="array" ref="F36">SUM(IF((Budget[Sort Code]=$B$6)*(Budget[Account Code]=$B36)*(Budget[Date]=F$7),Budget[Amount]))</f>
        <v>0</v>
      </c>
      <c r="G36" s="319">
        <f t="array" ref="G36">SUM(IF((Budget[Sort Code]=$B$6)*(Budget[Account Code]=$B36)*(Budget[Date]=G$7),Budget[Amount]))</f>
        <v>0</v>
      </c>
      <c r="H36" s="319">
        <f t="array" ref="H36">SUM(IF((Budget[Sort Code]=$B$6)*(Budget[Account Code]=$B36)*(Budget[Date]=H$7),Budget[Amount]))</f>
        <v>0</v>
      </c>
      <c r="I36" s="319">
        <f t="array" ref="I36">SUM(IF((Budget[Sort Code]=$B$6)*(Budget[Account Code]=$B36)*(Budget[Date]=I$7),Budget[Amount]))</f>
        <v>0</v>
      </c>
      <c r="J36" s="319">
        <f t="array" ref="J36">SUM(IF((Budget[Sort Code]=$B$6)*(Budget[Account Code]=$B36)*(Budget[Date]=J$7),Budget[Amount]))</f>
        <v>0</v>
      </c>
      <c r="K36" s="319">
        <f t="array" ref="K36">SUM(IF((Budget[Sort Code]=$B$6)*(Budget[Account Code]=$B36)*(Budget[Date]=K$7),Budget[Amount]))</f>
        <v>0</v>
      </c>
      <c r="L36" s="319">
        <f t="array" ref="L36">SUM(IF((Budget[Sort Code]=$B$6)*(Budget[Account Code]=$B36)*(Budget[Date]=L$7),Budget[Amount]))</f>
        <v>0</v>
      </c>
      <c r="M36" s="319">
        <f t="array" ref="M36">SUM(IF((Budget[Sort Code]=$B$6)*(Budget[Account Code]=$B36)*(Budget[Date]=M$7),Budget[Amount]))</f>
        <v>0</v>
      </c>
      <c r="N36" s="319">
        <f t="array" ref="N36">SUM(IF((Budget[Sort Code]=$B$6)*(Budget[Account Code]=$B36)*(Budget[Date]=N$7),Budget[Amount]))</f>
        <v>0</v>
      </c>
      <c r="O36" s="319">
        <f t="array" ref="O36">SUM(IF((Budget[Sort Code]=$B$6)*(Budget[Account Code]=$B36)*(Budget[Date]=O$7),Budget[Amount]))</f>
        <v>0</v>
      </c>
      <c r="P36" s="322">
        <f t="shared" si="2"/>
        <v>0</v>
      </c>
    </row>
    <row r="37" spans="1:16" s="171" customFormat="1">
      <c r="A37" s="323" t="s">
        <v>1004</v>
      </c>
      <c r="B37" s="317" t="s">
        <v>159</v>
      </c>
      <c r="C37" s="322">
        <f t="shared" si="0"/>
        <v>0</v>
      </c>
      <c r="D37" s="319">
        <f t="array" ref="D37">SUM(IF((Budget[Sort Code]=$B$6)*(Budget[Account Code]=$B37)*(Budget[Date]=D$7),Budget[Amount]))</f>
        <v>0</v>
      </c>
      <c r="E37" s="319">
        <f t="array" ref="E37">SUM(IF((Budget[Sort Code]=$B$6)*(Budget[Account Code]=$B37)*(Budget[Date]=E$7),Budget[Amount]))</f>
        <v>0</v>
      </c>
      <c r="F37" s="319">
        <f t="array" ref="F37">SUM(IF((Budget[Sort Code]=$B$6)*(Budget[Account Code]=$B37)*(Budget[Date]=F$7),Budget[Amount]))</f>
        <v>0</v>
      </c>
      <c r="G37" s="319">
        <f t="array" ref="G37">SUM(IF((Budget[Sort Code]=$B$6)*(Budget[Account Code]=$B37)*(Budget[Date]=G$7),Budget[Amount]))</f>
        <v>0</v>
      </c>
      <c r="H37" s="319">
        <f t="array" ref="H37">SUM(IF((Budget[Sort Code]=$B$6)*(Budget[Account Code]=$B37)*(Budget[Date]=H$7),Budget[Amount]))</f>
        <v>0</v>
      </c>
      <c r="I37" s="319">
        <f t="array" ref="I37">SUM(IF((Budget[Sort Code]=$B$6)*(Budget[Account Code]=$B37)*(Budget[Date]=I$7),Budget[Amount]))</f>
        <v>0</v>
      </c>
      <c r="J37" s="319">
        <f t="array" ref="J37">SUM(IF((Budget[Sort Code]=$B$6)*(Budget[Account Code]=$B37)*(Budget[Date]=J$7),Budget[Amount]))</f>
        <v>0</v>
      </c>
      <c r="K37" s="319">
        <f t="array" ref="K37">SUM(IF((Budget[Sort Code]=$B$6)*(Budget[Account Code]=$B37)*(Budget[Date]=K$7),Budget[Amount]))</f>
        <v>0</v>
      </c>
      <c r="L37" s="319">
        <f t="array" ref="L37">SUM(IF((Budget[Sort Code]=$B$6)*(Budget[Account Code]=$B37)*(Budget[Date]=L$7),Budget[Amount]))</f>
        <v>0</v>
      </c>
      <c r="M37" s="319">
        <f t="array" ref="M37">SUM(IF((Budget[Sort Code]=$B$6)*(Budget[Account Code]=$B37)*(Budget[Date]=M$7),Budget[Amount]))</f>
        <v>0</v>
      </c>
      <c r="N37" s="319">
        <f t="array" ref="N37">SUM(IF((Budget[Sort Code]=$B$6)*(Budget[Account Code]=$B37)*(Budget[Date]=N$7),Budget[Amount]))</f>
        <v>0</v>
      </c>
      <c r="O37" s="319">
        <f t="array" ref="O37">SUM(IF((Budget[Sort Code]=$B$6)*(Budget[Account Code]=$B37)*(Budget[Date]=O$7),Budget[Amount]))</f>
        <v>0</v>
      </c>
      <c r="P37" s="322">
        <f t="shared" si="2"/>
        <v>0</v>
      </c>
    </row>
    <row r="38" spans="1:16" s="171" customFormat="1">
      <c r="A38" s="323" t="s">
        <v>449</v>
      </c>
      <c r="B38" s="317" t="s">
        <v>160</v>
      </c>
      <c r="C38" s="322">
        <f t="shared" si="0"/>
        <v>0</v>
      </c>
      <c r="D38" s="319">
        <f t="array" ref="D38">SUM(IF((Budget[Sort Code]=$B$6)*(Budget[Account Code]=$B38)*(Budget[Date]=D$7),Budget[Amount]))</f>
        <v>0</v>
      </c>
      <c r="E38" s="319">
        <f t="array" ref="E38">SUM(IF((Budget[Sort Code]=$B$6)*(Budget[Account Code]=$B38)*(Budget[Date]=E$7),Budget[Amount]))</f>
        <v>0</v>
      </c>
      <c r="F38" s="319">
        <f t="array" ref="F38">SUM(IF((Budget[Sort Code]=$B$6)*(Budget[Account Code]=$B38)*(Budget[Date]=F$7),Budget[Amount]))</f>
        <v>0</v>
      </c>
      <c r="G38" s="319">
        <f t="array" ref="G38">SUM(IF((Budget[Sort Code]=$B$6)*(Budget[Account Code]=$B38)*(Budget[Date]=G$7),Budget[Amount]))</f>
        <v>0</v>
      </c>
      <c r="H38" s="319">
        <f t="array" ref="H38">SUM(IF((Budget[Sort Code]=$B$6)*(Budget[Account Code]=$B38)*(Budget[Date]=H$7),Budget[Amount]))</f>
        <v>0</v>
      </c>
      <c r="I38" s="319">
        <f t="array" ref="I38">SUM(IF((Budget[Sort Code]=$B$6)*(Budget[Account Code]=$B38)*(Budget[Date]=I$7),Budget[Amount]))</f>
        <v>0</v>
      </c>
      <c r="J38" s="319">
        <f t="array" ref="J38">SUM(IF((Budget[Sort Code]=$B$6)*(Budget[Account Code]=$B38)*(Budget[Date]=J$7),Budget[Amount]))</f>
        <v>0</v>
      </c>
      <c r="K38" s="319">
        <f t="array" ref="K38">SUM(IF((Budget[Sort Code]=$B$6)*(Budget[Account Code]=$B38)*(Budget[Date]=K$7),Budget[Amount]))</f>
        <v>0</v>
      </c>
      <c r="L38" s="319">
        <f t="array" ref="L38">SUM(IF((Budget[Sort Code]=$B$6)*(Budget[Account Code]=$B38)*(Budget[Date]=L$7),Budget[Amount]))</f>
        <v>0</v>
      </c>
      <c r="M38" s="319">
        <f t="array" ref="M38">SUM(IF((Budget[Sort Code]=$B$6)*(Budget[Account Code]=$B38)*(Budget[Date]=M$7),Budget[Amount]))</f>
        <v>0</v>
      </c>
      <c r="N38" s="319">
        <f t="array" ref="N38">SUM(IF((Budget[Sort Code]=$B$6)*(Budget[Account Code]=$B38)*(Budget[Date]=N$7),Budget[Amount]))</f>
        <v>0</v>
      </c>
      <c r="O38" s="319">
        <f t="array" ref="O38">SUM(IF((Budget[Sort Code]=$B$6)*(Budget[Account Code]=$B38)*(Budget[Date]=O$7),Budget[Amount]))</f>
        <v>0</v>
      </c>
      <c r="P38" s="322">
        <f t="shared" si="2"/>
        <v>0</v>
      </c>
    </row>
    <row r="39" spans="1:16" s="171" customFormat="1">
      <c r="A39" s="323" t="s">
        <v>1005</v>
      </c>
      <c r="B39" s="317" t="s">
        <v>352</v>
      </c>
      <c r="C39" s="322">
        <f t="shared" si="0"/>
        <v>0</v>
      </c>
      <c r="D39" s="319">
        <f t="array" ref="D39">SUM(IF((Budget[Sort Code]=$B$6)*(Budget[Account Code]=$B39)*(Budget[Date]=D$7),Budget[Amount]))</f>
        <v>0</v>
      </c>
      <c r="E39" s="319">
        <f t="array" ref="E39">SUM(IF((Budget[Sort Code]=$B$6)*(Budget[Account Code]=$B39)*(Budget[Date]=E$7),Budget[Amount]))</f>
        <v>0</v>
      </c>
      <c r="F39" s="319">
        <f t="array" ref="F39">SUM(IF((Budget[Sort Code]=$B$6)*(Budget[Account Code]=$B39)*(Budget[Date]=F$7),Budget[Amount]))</f>
        <v>0</v>
      </c>
      <c r="G39" s="319">
        <f t="array" ref="G39">SUM(IF((Budget[Sort Code]=$B$6)*(Budget[Account Code]=$B39)*(Budget[Date]=G$7),Budget[Amount]))</f>
        <v>0</v>
      </c>
      <c r="H39" s="319">
        <f t="array" ref="H39">SUM(IF((Budget[Sort Code]=$B$6)*(Budget[Account Code]=$B39)*(Budget[Date]=H$7),Budget[Amount]))</f>
        <v>0</v>
      </c>
      <c r="I39" s="319">
        <f t="array" ref="I39">SUM(IF((Budget[Sort Code]=$B$6)*(Budget[Account Code]=$B39)*(Budget[Date]=I$7),Budget[Amount]))</f>
        <v>0</v>
      </c>
      <c r="J39" s="319">
        <f t="array" ref="J39">SUM(IF((Budget[Sort Code]=$B$6)*(Budget[Account Code]=$B39)*(Budget[Date]=J$7),Budget[Amount]))</f>
        <v>0</v>
      </c>
      <c r="K39" s="319">
        <f t="array" ref="K39">SUM(IF((Budget[Sort Code]=$B$6)*(Budget[Account Code]=$B39)*(Budget[Date]=K$7),Budget[Amount]))</f>
        <v>0</v>
      </c>
      <c r="L39" s="319">
        <f t="array" ref="L39">SUM(IF((Budget[Sort Code]=$B$6)*(Budget[Account Code]=$B39)*(Budget[Date]=L$7),Budget[Amount]))</f>
        <v>0</v>
      </c>
      <c r="M39" s="319">
        <f t="array" ref="M39">SUM(IF((Budget[Sort Code]=$B$6)*(Budget[Account Code]=$B39)*(Budget[Date]=M$7),Budget[Amount]))</f>
        <v>0</v>
      </c>
      <c r="N39" s="319">
        <f t="array" ref="N39">SUM(IF((Budget[Sort Code]=$B$6)*(Budget[Account Code]=$B39)*(Budget[Date]=N$7),Budget[Amount]))</f>
        <v>0</v>
      </c>
      <c r="O39" s="319">
        <f t="array" ref="O39">SUM(IF((Budget[Sort Code]=$B$6)*(Budget[Account Code]=$B39)*(Budget[Date]=O$7),Budget[Amount]))</f>
        <v>0</v>
      </c>
      <c r="P39" s="322">
        <f t="shared" si="2"/>
        <v>0</v>
      </c>
    </row>
    <row r="40" spans="1:16" s="171" customFormat="1">
      <c r="A40" s="323" t="s">
        <v>1006</v>
      </c>
      <c r="B40" s="317" t="s">
        <v>158</v>
      </c>
      <c r="C40" s="322">
        <f t="shared" si="0"/>
        <v>0</v>
      </c>
      <c r="D40" s="319">
        <f t="array" ref="D40">SUM(IF((Budget[Sort Code]=$B$6)*(Budget[Account Code]=$B40)*(Budget[Date]=D$7),Budget[Amount]))</f>
        <v>0</v>
      </c>
      <c r="E40" s="319">
        <f t="array" ref="E40">SUM(IF((Budget[Sort Code]=$B$6)*(Budget[Account Code]=$B40)*(Budget[Date]=E$7),Budget[Amount]))</f>
        <v>0</v>
      </c>
      <c r="F40" s="319">
        <f t="array" ref="F40">SUM(IF((Budget[Sort Code]=$B$6)*(Budget[Account Code]=$B40)*(Budget[Date]=F$7),Budget[Amount]))</f>
        <v>0</v>
      </c>
      <c r="G40" s="319">
        <f t="array" ref="G40">SUM(IF((Budget[Sort Code]=$B$6)*(Budget[Account Code]=$B40)*(Budget[Date]=G$7),Budget[Amount]))</f>
        <v>0</v>
      </c>
      <c r="H40" s="319">
        <f t="array" ref="H40">SUM(IF((Budget[Sort Code]=$B$6)*(Budget[Account Code]=$B40)*(Budget[Date]=H$7),Budget[Amount]))</f>
        <v>0</v>
      </c>
      <c r="I40" s="319">
        <f t="array" ref="I40">SUM(IF((Budget[Sort Code]=$B$6)*(Budget[Account Code]=$B40)*(Budget[Date]=I$7),Budget[Amount]))</f>
        <v>0</v>
      </c>
      <c r="J40" s="319">
        <f t="array" ref="J40">SUM(IF((Budget[Sort Code]=$B$6)*(Budget[Account Code]=$B40)*(Budget[Date]=J$7),Budget[Amount]))</f>
        <v>0</v>
      </c>
      <c r="K40" s="319">
        <f t="array" ref="K40">SUM(IF((Budget[Sort Code]=$B$6)*(Budget[Account Code]=$B40)*(Budget[Date]=K$7),Budget[Amount]))</f>
        <v>0</v>
      </c>
      <c r="L40" s="319">
        <f t="array" ref="L40">SUM(IF((Budget[Sort Code]=$B$6)*(Budget[Account Code]=$B40)*(Budget[Date]=L$7),Budget[Amount]))</f>
        <v>0</v>
      </c>
      <c r="M40" s="319">
        <f t="array" ref="M40">SUM(IF((Budget[Sort Code]=$B$6)*(Budget[Account Code]=$B40)*(Budget[Date]=M$7),Budget[Amount]))</f>
        <v>0</v>
      </c>
      <c r="N40" s="319">
        <f t="array" ref="N40">SUM(IF((Budget[Sort Code]=$B$6)*(Budget[Account Code]=$B40)*(Budget[Date]=N$7),Budget[Amount]))</f>
        <v>0</v>
      </c>
      <c r="O40" s="319">
        <f t="array" ref="O40">SUM(IF((Budget[Sort Code]=$B$6)*(Budget[Account Code]=$B40)*(Budget[Date]=O$7),Budget[Amount]))</f>
        <v>0</v>
      </c>
      <c r="P40" s="322">
        <f t="shared" si="2"/>
        <v>0</v>
      </c>
    </row>
    <row r="41" spans="1:16" s="171" customFormat="1">
      <c r="A41" s="321" t="s">
        <v>1002</v>
      </c>
      <c r="B41" s="317"/>
      <c r="C41" s="322">
        <f t="shared" si="0"/>
        <v>0</v>
      </c>
      <c r="D41" s="319">
        <f t="array" ref="D41">SUM(IF((Budget[Sort Code]=$B$6)*(Budget[Account Code]=$B41)*(Budget[Date]=D$7),Budget[Amount]))</f>
        <v>0</v>
      </c>
      <c r="E41" s="319">
        <f t="array" ref="E41">SUM(IF((Budget[Sort Code]=$B$6)*(Budget[Account Code]=$B41)*(Budget[Date]=E$7),Budget[Amount]))</f>
        <v>0</v>
      </c>
      <c r="F41" s="319">
        <f t="array" ref="F41">SUM(IF((Budget[Sort Code]=$B$6)*(Budget[Account Code]=$B41)*(Budget[Date]=F$7),Budget[Amount]))</f>
        <v>0</v>
      </c>
      <c r="G41" s="319">
        <f t="array" ref="G41">SUM(IF((Budget[Sort Code]=$B$6)*(Budget[Account Code]=$B41)*(Budget[Date]=G$7),Budget[Amount]))</f>
        <v>0</v>
      </c>
      <c r="H41" s="319">
        <f t="array" ref="H41">SUM(IF((Budget[Sort Code]=$B$6)*(Budget[Account Code]=$B41)*(Budget[Date]=H$7),Budget[Amount]))</f>
        <v>0</v>
      </c>
      <c r="I41" s="319">
        <f t="array" ref="I41">SUM(IF((Budget[Sort Code]=$B$6)*(Budget[Account Code]=$B41)*(Budget[Date]=I$7),Budget[Amount]))</f>
        <v>0</v>
      </c>
      <c r="J41" s="319">
        <f t="array" ref="J41">SUM(IF((Budget[Sort Code]=$B$6)*(Budget[Account Code]=$B41)*(Budget[Date]=J$7),Budget[Amount]))</f>
        <v>0</v>
      </c>
      <c r="K41" s="319">
        <f t="array" ref="K41">SUM(IF((Budget[Sort Code]=$B$6)*(Budget[Account Code]=$B41)*(Budget[Date]=K$7),Budget[Amount]))</f>
        <v>0</v>
      </c>
      <c r="L41" s="319">
        <f t="array" ref="L41">SUM(IF((Budget[Sort Code]=$B$6)*(Budget[Account Code]=$B41)*(Budget[Date]=L$7),Budget[Amount]))</f>
        <v>0</v>
      </c>
      <c r="M41" s="319">
        <f t="array" ref="M41">SUM(IF((Budget[Sort Code]=$B$6)*(Budget[Account Code]=$B41)*(Budget[Date]=M$7),Budget[Amount]))</f>
        <v>0</v>
      </c>
      <c r="N41" s="319">
        <f t="array" ref="N41">SUM(IF((Budget[Sort Code]=$B$6)*(Budget[Account Code]=$B41)*(Budget[Date]=N$7),Budget[Amount]))</f>
        <v>0</v>
      </c>
      <c r="O41" s="319">
        <f t="array" ref="O41">SUM(IF((Budget[Sort Code]=$B$6)*(Budget[Account Code]=$B41)*(Budget[Date]=O$7),Budget[Amount]))</f>
        <v>0</v>
      </c>
      <c r="P41" s="322">
        <f t="shared" si="2"/>
        <v>0</v>
      </c>
    </row>
    <row r="42" spans="1:16">
      <c r="A42" s="323" t="s">
        <v>869</v>
      </c>
      <c r="B42" s="317"/>
      <c r="C42" s="319">
        <f t="shared" si="0"/>
        <v>0</v>
      </c>
      <c r="D42" s="319">
        <f t="array" ref="D42">SUM(IF((Budget[Sort Code]=$B$6)*(Budget[Account Code]=$B42)*(Budget[Date]=D$7),Budget[Amount]))</f>
        <v>0</v>
      </c>
      <c r="E42" s="319">
        <f t="array" ref="E42">SUM(IF((Budget[Sort Code]=$B$6)*(Budget[Account Code]=$B42)*(Budget[Date]=E$7),Budget[Amount]))</f>
        <v>0</v>
      </c>
      <c r="F42" s="319">
        <f t="array" ref="F42">SUM(IF((Budget[Sort Code]=$B$6)*(Budget[Account Code]=$B42)*(Budget[Date]=F$7),Budget[Amount]))</f>
        <v>0</v>
      </c>
      <c r="G42" s="319">
        <f t="array" ref="G42">SUM(IF((Budget[Sort Code]=$B$6)*(Budget[Account Code]=$B42)*(Budget[Date]=G$7),Budget[Amount]))</f>
        <v>0</v>
      </c>
      <c r="H42" s="319">
        <f t="array" ref="H42">SUM(IF((Budget[Sort Code]=$B$6)*(Budget[Account Code]=$B42)*(Budget[Date]=H$7),Budget[Amount]))</f>
        <v>0</v>
      </c>
      <c r="I42" s="319">
        <f t="array" ref="I42">SUM(IF((Budget[Sort Code]=$B$6)*(Budget[Account Code]=$B42)*(Budget[Date]=I$7),Budget[Amount]))</f>
        <v>0</v>
      </c>
      <c r="J42" s="319">
        <f t="array" ref="J42">SUM(IF((Budget[Sort Code]=$B$6)*(Budget[Account Code]=$B42)*(Budget[Date]=J$7),Budget[Amount]))</f>
        <v>0</v>
      </c>
      <c r="K42" s="319">
        <f t="array" ref="K42">SUM(IF((Budget[Sort Code]=$B$6)*(Budget[Account Code]=$B42)*(Budget[Date]=K$7),Budget[Amount]))</f>
        <v>0</v>
      </c>
      <c r="L42" s="319">
        <f t="array" ref="L42">SUM(IF((Budget[Sort Code]=$B$6)*(Budget[Account Code]=$B42)*(Budget[Date]=L$7),Budget[Amount]))</f>
        <v>0</v>
      </c>
      <c r="M42" s="319">
        <f t="array" ref="M42">SUM(IF((Budget[Sort Code]=$B$6)*(Budget[Account Code]=$B42)*(Budget[Date]=M$7),Budget[Amount]))</f>
        <v>0</v>
      </c>
      <c r="N42" s="319">
        <f t="array" ref="N42">SUM(IF((Budget[Sort Code]=$B$6)*(Budget[Account Code]=$B42)*(Budget[Date]=N$7),Budget[Amount]))</f>
        <v>0</v>
      </c>
      <c r="O42" s="319">
        <f t="array" ref="O42">SUM(IF((Budget[Sort Code]=$B$6)*(Budget[Account Code]=$B42)*(Budget[Date]=O$7),Budget[Amount]))</f>
        <v>0</v>
      </c>
      <c r="P42" s="319">
        <f t="shared" si="2"/>
        <v>0</v>
      </c>
    </row>
    <row r="43" spans="1:16">
      <c r="A43" s="320" t="s">
        <v>870</v>
      </c>
      <c r="B43" s="317"/>
      <c r="C43" s="319">
        <f t="shared" si="0"/>
        <v>0</v>
      </c>
      <c r="D43" s="319">
        <f t="shared" ref="D43:O43" si="9">D25+D26+D27+D28+D29+D30+D33+D34+D41</f>
        <v>0</v>
      </c>
      <c r="E43" s="319">
        <f t="shared" si="9"/>
        <v>0</v>
      </c>
      <c r="F43" s="319">
        <f t="shared" si="9"/>
        <v>0</v>
      </c>
      <c r="G43" s="319">
        <f t="shared" si="9"/>
        <v>0</v>
      </c>
      <c r="H43" s="319">
        <f t="shared" si="9"/>
        <v>0</v>
      </c>
      <c r="I43" s="319">
        <f t="shared" si="9"/>
        <v>0</v>
      </c>
      <c r="J43" s="319">
        <f t="shared" si="9"/>
        <v>0</v>
      </c>
      <c r="K43" s="319">
        <f t="shared" si="9"/>
        <v>0</v>
      </c>
      <c r="L43" s="319">
        <f t="shared" si="9"/>
        <v>0</v>
      </c>
      <c r="M43" s="319">
        <f t="shared" si="9"/>
        <v>0</v>
      </c>
      <c r="N43" s="319">
        <f t="shared" si="9"/>
        <v>0</v>
      </c>
      <c r="O43" s="319">
        <f t="shared" si="9"/>
        <v>0</v>
      </c>
      <c r="P43" s="319">
        <f t="shared" si="2"/>
        <v>0</v>
      </c>
    </row>
    <row r="44" spans="1:16">
      <c r="A44" s="322" t="s">
        <v>813</v>
      </c>
      <c r="B44" s="324"/>
      <c r="C44" s="322">
        <f t="shared" si="0"/>
        <v>0</v>
      </c>
      <c r="D44" s="322">
        <f t="shared" ref="D44:O44" si="10">D23+D43</f>
        <v>0</v>
      </c>
      <c r="E44" s="322">
        <f t="shared" si="10"/>
        <v>0</v>
      </c>
      <c r="F44" s="322">
        <f t="shared" si="10"/>
        <v>0</v>
      </c>
      <c r="G44" s="322">
        <f t="shared" si="10"/>
        <v>0</v>
      </c>
      <c r="H44" s="322">
        <f t="shared" si="10"/>
        <v>0</v>
      </c>
      <c r="I44" s="322">
        <f t="shared" si="10"/>
        <v>0</v>
      </c>
      <c r="J44" s="322">
        <f t="shared" si="10"/>
        <v>0</v>
      </c>
      <c r="K44" s="322">
        <f t="shared" si="10"/>
        <v>0</v>
      </c>
      <c r="L44" s="322">
        <f t="shared" si="10"/>
        <v>0</v>
      </c>
      <c r="M44" s="322">
        <f t="shared" si="10"/>
        <v>0</v>
      </c>
      <c r="N44" s="322">
        <f t="shared" si="10"/>
        <v>0</v>
      </c>
      <c r="O44" s="322">
        <f t="shared" si="10"/>
        <v>0</v>
      </c>
      <c r="P44" s="322">
        <f t="shared" si="2"/>
        <v>0</v>
      </c>
    </row>
    <row r="45" spans="1:16">
      <c r="A45" s="320" t="s">
        <v>871</v>
      </c>
      <c r="B45" s="317"/>
      <c r="C45" s="319"/>
      <c r="D45" s="319"/>
      <c r="E45" s="319"/>
      <c r="F45" s="319"/>
      <c r="G45" s="319"/>
      <c r="H45" s="319"/>
      <c r="I45" s="319"/>
      <c r="J45" s="319"/>
      <c r="K45" s="319"/>
      <c r="L45" s="319"/>
      <c r="M45" s="319"/>
      <c r="N45" s="319"/>
      <c r="O45" s="319"/>
      <c r="P45" s="319">
        <f t="shared" si="2"/>
        <v>0</v>
      </c>
    </row>
    <row r="46" spans="1:16">
      <c r="A46" s="320" t="s">
        <v>872</v>
      </c>
      <c r="B46" s="317"/>
      <c r="C46" s="319"/>
      <c r="D46" s="319"/>
      <c r="E46" s="319"/>
      <c r="F46" s="319"/>
      <c r="G46" s="319"/>
      <c r="H46" s="319"/>
      <c r="I46" s="319"/>
      <c r="J46" s="319"/>
      <c r="K46" s="319"/>
      <c r="L46" s="319"/>
      <c r="M46" s="319"/>
      <c r="N46" s="319"/>
      <c r="O46" s="319"/>
      <c r="P46" s="319">
        <f t="shared" si="2"/>
        <v>0</v>
      </c>
    </row>
    <row r="47" spans="1:16" s="171" customFormat="1">
      <c r="A47" s="320" t="s">
        <v>873</v>
      </c>
      <c r="B47" s="317"/>
      <c r="C47" s="322">
        <f t="shared" ref="C47:C75" si="11">SUM(D47:O47)</f>
        <v>0</v>
      </c>
      <c r="D47" s="322">
        <f t="shared" ref="D47:O47" si="12">D48+D49</f>
        <v>0</v>
      </c>
      <c r="E47" s="322">
        <f t="shared" si="12"/>
        <v>0</v>
      </c>
      <c r="F47" s="322">
        <f t="shared" si="12"/>
        <v>0</v>
      </c>
      <c r="G47" s="322">
        <f t="shared" si="12"/>
        <v>0</v>
      </c>
      <c r="H47" s="322">
        <f t="shared" si="12"/>
        <v>0</v>
      </c>
      <c r="I47" s="322">
        <f t="shared" si="12"/>
        <v>0</v>
      </c>
      <c r="J47" s="322">
        <f t="shared" si="12"/>
        <v>0</v>
      </c>
      <c r="K47" s="322">
        <f t="shared" si="12"/>
        <v>0</v>
      </c>
      <c r="L47" s="322">
        <f t="shared" si="12"/>
        <v>0</v>
      </c>
      <c r="M47" s="322">
        <f t="shared" si="12"/>
        <v>0</v>
      </c>
      <c r="N47" s="322">
        <f t="shared" si="12"/>
        <v>0</v>
      </c>
      <c r="O47" s="322">
        <f t="shared" si="12"/>
        <v>0</v>
      </c>
      <c r="P47" s="322">
        <f t="shared" si="2"/>
        <v>0</v>
      </c>
    </row>
    <row r="48" spans="1:16">
      <c r="A48" s="323" t="s">
        <v>874</v>
      </c>
      <c r="B48" s="317" t="s">
        <v>162</v>
      </c>
      <c r="C48" s="319">
        <f t="shared" si="11"/>
        <v>0</v>
      </c>
      <c r="D48" s="319">
        <f t="array" ref="D48">SUM(IF((Budget[Sort Code]=$B$6)*(Budget[Account Code]=$B48)*(Budget[Date]=D$7),Budget[Amount]))</f>
        <v>0</v>
      </c>
      <c r="E48" s="319">
        <f t="array" ref="E48">SUM(IF((Budget[Sort Code]=$B$6)*(Budget[Account Code]=$B48)*(Budget[Date]=E$7),Budget[Amount]))</f>
        <v>0</v>
      </c>
      <c r="F48" s="319">
        <f t="array" ref="F48">SUM(IF((Budget[Sort Code]=$B$6)*(Budget[Account Code]=$B48)*(Budget[Date]=F$7),Budget[Amount]))</f>
        <v>0</v>
      </c>
      <c r="G48" s="319">
        <f t="array" ref="G48">SUM(IF((Budget[Sort Code]=$B$6)*(Budget[Account Code]=$B48)*(Budget[Date]=G$7),Budget[Amount]))</f>
        <v>0</v>
      </c>
      <c r="H48" s="319">
        <f t="array" ref="H48">SUM(IF((Budget[Sort Code]=$B$6)*(Budget[Account Code]=$B48)*(Budget[Date]=H$7),Budget[Amount]))</f>
        <v>0</v>
      </c>
      <c r="I48" s="319">
        <f t="array" ref="I48">SUM(IF((Budget[Sort Code]=$B$6)*(Budget[Account Code]=$B48)*(Budget[Date]=I$7),Budget[Amount]))</f>
        <v>0</v>
      </c>
      <c r="J48" s="319">
        <f t="array" ref="J48">SUM(IF((Budget[Sort Code]=$B$6)*(Budget[Account Code]=$B48)*(Budget[Date]=J$7),Budget[Amount]))</f>
        <v>0</v>
      </c>
      <c r="K48" s="319">
        <f t="array" ref="K48">SUM(IF((Budget[Sort Code]=$B$6)*(Budget[Account Code]=$B48)*(Budget[Date]=K$7),Budget[Amount]))</f>
        <v>0</v>
      </c>
      <c r="L48" s="319">
        <f t="array" ref="L48">SUM(IF((Budget[Sort Code]=$B$6)*(Budget[Account Code]=$B48)*(Budget[Date]=L$7),Budget[Amount]))</f>
        <v>0</v>
      </c>
      <c r="M48" s="319">
        <f t="array" ref="M48">SUM(IF((Budget[Sort Code]=$B$6)*(Budget[Account Code]=$B48)*(Budget[Date]=M$7),Budget[Amount]))</f>
        <v>0</v>
      </c>
      <c r="N48" s="319">
        <f t="array" ref="N48">SUM(IF((Budget[Sort Code]=$B$6)*(Budget[Account Code]=$B48)*(Budget[Date]=N$7),Budget[Amount]))</f>
        <v>0</v>
      </c>
      <c r="O48" s="319">
        <f t="array" ref="O48">SUM(IF((Budget[Sort Code]=$B$6)*(Budget[Account Code]=$B48)*(Budget[Date]=O$7),Budget[Amount]))</f>
        <v>0</v>
      </c>
      <c r="P48" s="319">
        <f t="shared" si="2"/>
        <v>0</v>
      </c>
    </row>
    <row r="49" spans="1:16">
      <c r="A49" s="323" t="s">
        <v>875</v>
      </c>
      <c r="B49" s="317" t="s">
        <v>163</v>
      </c>
      <c r="C49" s="319">
        <f t="shared" si="11"/>
        <v>0</v>
      </c>
      <c r="D49" s="319">
        <f t="array" ref="D49">SUM(IF((Budget[Sort Code]=$B$6)*(Budget[Account Code]=$B49)*(Budget[Date]=D$7),Budget[Amount]))</f>
        <v>0</v>
      </c>
      <c r="E49" s="319">
        <f t="array" ref="E49">SUM(IF((Budget[Sort Code]=$B$6)*(Budget[Account Code]=$B49)*(Budget[Date]=E$7),Budget[Amount]))</f>
        <v>0</v>
      </c>
      <c r="F49" s="319">
        <f t="array" ref="F49">SUM(IF((Budget[Sort Code]=$B$6)*(Budget[Account Code]=$B49)*(Budget[Date]=F$7),Budget[Amount]))</f>
        <v>0</v>
      </c>
      <c r="G49" s="319">
        <f t="array" ref="G49">SUM(IF((Budget[Sort Code]=$B$6)*(Budget[Account Code]=$B49)*(Budget[Date]=G$7),Budget[Amount]))</f>
        <v>0</v>
      </c>
      <c r="H49" s="319">
        <f t="array" ref="H49">SUM(IF((Budget[Sort Code]=$B$6)*(Budget[Account Code]=$B49)*(Budget[Date]=H$7),Budget[Amount]))</f>
        <v>0</v>
      </c>
      <c r="I49" s="319">
        <f t="array" ref="I49">SUM(IF((Budget[Sort Code]=$B$6)*(Budget[Account Code]=$B49)*(Budget[Date]=I$7),Budget[Amount]))</f>
        <v>0</v>
      </c>
      <c r="J49" s="319">
        <f t="array" ref="J49">SUM(IF((Budget[Sort Code]=$B$6)*(Budget[Account Code]=$B49)*(Budget[Date]=J$7),Budget[Amount]))</f>
        <v>0</v>
      </c>
      <c r="K49" s="319">
        <f t="array" ref="K49">SUM(IF((Budget[Sort Code]=$B$6)*(Budget[Account Code]=$B49)*(Budget[Date]=K$7),Budget[Amount]))</f>
        <v>0</v>
      </c>
      <c r="L49" s="319">
        <f t="array" ref="L49">SUM(IF((Budget[Sort Code]=$B$6)*(Budget[Account Code]=$B49)*(Budget[Date]=L$7),Budget[Amount]))</f>
        <v>0</v>
      </c>
      <c r="M49" s="319">
        <f t="array" ref="M49">SUM(IF((Budget[Sort Code]=$B$6)*(Budget[Account Code]=$B49)*(Budget[Date]=M$7),Budget[Amount]))</f>
        <v>0</v>
      </c>
      <c r="N49" s="319">
        <f t="array" ref="N49">SUM(IF((Budget[Sort Code]=$B$6)*(Budget[Account Code]=$B49)*(Budget[Date]=N$7),Budget[Amount]))</f>
        <v>0</v>
      </c>
      <c r="O49" s="319">
        <f t="array" ref="O49">SUM(IF((Budget[Sort Code]=$B$6)*(Budget[Account Code]=$B49)*(Budget[Date]=O$7),Budget[Amount]))</f>
        <v>0</v>
      </c>
      <c r="P49" s="319">
        <f t="shared" si="2"/>
        <v>0</v>
      </c>
    </row>
    <row r="50" spans="1:16" s="171" customFormat="1">
      <c r="A50" s="320" t="s">
        <v>876</v>
      </c>
      <c r="B50" s="317"/>
      <c r="C50" s="322">
        <f t="shared" si="11"/>
        <v>0</v>
      </c>
      <c r="D50" s="322">
        <f>SUM(D51:D64)</f>
        <v>0</v>
      </c>
      <c r="E50" s="322">
        <f t="shared" ref="E50:O50" si="13">SUM(E51:E64)</f>
        <v>0</v>
      </c>
      <c r="F50" s="322">
        <f t="shared" si="13"/>
        <v>0</v>
      </c>
      <c r="G50" s="322">
        <f t="shared" si="13"/>
        <v>0</v>
      </c>
      <c r="H50" s="322">
        <f t="shared" si="13"/>
        <v>0</v>
      </c>
      <c r="I50" s="322">
        <f t="shared" si="13"/>
        <v>0</v>
      </c>
      <c r="J50" s="322">
        <f t="shared" si="13"/>
        <v>0</v>
      </c>
      <c r="K50" s="322">
        <f t="shared" si="13"/>
        <v>0</v>
      </c>
      <c r="L50" s="322">
        <f t="shared" si="13"/>
        <v>0</v>
      </c>
      <c r="M50" s="322">
        <f t="shared" si="13"/>
        <v>0</v>
      </c>
      <c r="N50" s="322">
        <f t="shared" si="13"/>
        <v>0</v>
      </c>
      <c r="O50" s="322">
        <f t="shared" si="13"/>
        <v>0</v>
      </c>
      <c r="P50" s="322">
        <f t="shared" si="2"/>
        <v>0</v>
      </c>
    </row>
    <row r="51" spans="1:16">
      <c r="A51" s="325" t="s">
        <v>877</v>
      </c>
      <c r="B51" s="317" t="s">
        <v>164</v>
      </c>
      <c r="C51" s="319">
        <f t="shared" si="11"/>
        <v>0</v>
      </c>
      <c r="D51" s="319">
        <f t="array" ref="D51">SUM(IF((Budget[Sort Code]=$B$6)*(Budget[Account Code]=$B51)*(Budget[Date]=D$7),Budget[Amount]))</f>
        <v>0</v>
      </c>
      <c r="E51" s="319">
        <f t="array" ref="E51">SUM(IF((Budget[Sort Code]=$B$6)*(Budget[Account Code]=$B51)*(Budget[Date]=E$7),Budget[Amount]))</f>
        <v>0</v>
      </c>
      <c r="F51" s="319">
        <f t="array" ref="F51">SUM(IF((Budget[Sort Code]=$B$6)*(Budget[Account Code]=$B51)*(Budget[Date]=F$7),Budget[Amount]))</f>
        <v>0</v>
      </c>
      <c r="G51" s="319">
        <f t="array" ref="G51">SUM(IF((Budget[Sort Code]=$B$6)*(Budget[Account Code]=$B51)*(Budget[Date]=G$7),Budget[Amount]))</f>
        <v>0</v>
      </c>
      <c r="H51" s="319">
        <f t="array" ref="H51">SUM(IF((Budget[Sort Code]=$B$6)*(Budget[Account Code]=$B51)*(Budget[Date]=H$7),Budget[Amount]))</f>
        <v>0</v>
      </c>
      <c r="I51" s="319">
        <f t="array" ref="I51">SUM(IF((Budget[Sort Code]=$B$6)*(Budget[Account Code]=$B51)*(Budget[Date]=I$7),Budget[Amount]))</f>
        <v>0</v>
      </c>
      <c r="J51" s="319">
        <f t="array" ref="J51">SUM(IF((Budget[Sort Code]=$B$6)*(Budget[Account Code]=$B51)*(Budget[Date]=J$7),Budget[Amount]))</f>
        <v>0</v>
      </c>
      <c r="K51" s="319">
        <f t="array" ref="K51">SUM(IF((Budget[Sort Code]=$B$6)*(Budget[Account Code]=$B51)*(Budget[Date]=K$7),Budget[Amount]))</f>
        <v>0</v>
      </c>
      <c r="L51" s="319">
        <f t="array" ref="L51">SUM(IF((Budget[Sort Code]=$B$6)*(Budget[Account Code]=$B51)*(Budget[Date]=L$7),Budget[Amount]))</f>
        <v>0</v>
      </c>
      <c r="M51" s="319">
        <f t="array" ref="M51">SUM(IF((Budget[Sort Code]=$B$6)*(Budget[Account Code]=$B51)*(Budget[Date]=M$7),Budget[Amount]))</f>
        <v>0</v>
      </c>
      <c r="N51" s="319">
        <f t="array" ref="N51">SUM(IF((Budget[Sort Code]=$B$6)*(Budget[Account Code]=$B51)*(Budget[Date]=N$7),Budget[Amount]))</f>
        <v>0</v>
      </c>
      <c r="O51" s="319">
        <f t="array" ref="O51">SUM(IF((Budget[Sort Code]=$B$6)*(Budget[Account Code]=$B51)*(Budget[Date]=O$7),Budget[Amount]))</f>
        <v>0</v>
      </c>
      <c r="P51" s="319">
        <f t="shared" si="2"/>
        <v>0</v>
      </c>
    </row>
    <row r="52" spans="1:16">
      <c r="A52" s="325" t="s">
        <v>878</v>
      </c>
      <c r="B52" s="317" t="s">
        <v>165</v>
      </c>
      <c r="C52" s="319">
        <f t="shared" si="11"/>
        <v>0</v>
      </c>
      <c r="D52" s="319">
        <f t="array" ref="D52">SUM(IF((Budget[Sort Code]=$B$6)*(Budget[Account Code]=$B52)*(Budget[Date]=D$7),Budget[Amount]))</f>
        <v>0</v>
      </c>
      <c r="E52" s="319">
        <f t="array" ref="E52">SUM(IF((Budget[Sort Code]=$B$6)*(Budget[Account Code]=$B52)*(Budget[Date]=E$7),Budget[Amount]))</f>
        <v>0</v>
      </c>
      <c r="F52" s="319">
        <f t="array" ref="F52">SUM(IF((Budget[Sort Code]=$B$6)*(Budget[Account Code]=$B52)*(Budget[Date]=F$7),Budget[Amount]))</f>
        <v>0</v>
      </c>
      <c r="G52" s="319">
        <f t="array" ref="G52">SUM(IF((Budget[Sort Code]=$B$6)*(Budget[Account Code]=$B52)*(Budget[Date]=G$7),Budget[Amount]))</f>
        <v>0</v>
      </c>
      <c r="H52" s="319">
        <f t="array" ref="H52">SUM(IF((Budget[Sort Code]=$B$6)*(Budget[Account Code]=$B52)*(Budget[Date]=H$7),Budget[Amount]))</f>
        <v>0</v>
      </c>
      <c r="I52" s="319">
        <f t="array" ref="I52">SUM(IF((Budget[Sort Code]=$B$6)*(Budget[Account Code]=$B52)*(Budget[Date]=I$7),Budget[Amount]))</f>
        <v>0</v>
      </c>
      <c r="J52" s="319">
        <f t="array" ref="J52">SUM(IF((Budget[Sort Code]=$B$6)*(Budget[Account Code]=$B52)*(Budget[Date]=J$7),Budget[Amount]))</f>
        <v>0</v>
      </c>
      <c r="K52" s="319">
        <f t="array" ref="K52">SUM(IF((Budget[Sort Code]=$B$6)*(Budget[Account Code]=$B52)*(Budget[Date]=K$7),Budget[Amount]))</f>
        <v>0</v>
      </c>
      <c r="L52" s="319">
        <f t="array" ref="L52">SUM(IF((Budget[Sort Code]=$B$6)*(Budget[Account Code]=$B52)*(Budget[Date]=L$7),Budget[Amount]))</f>
        <v>0</v>
      </c>
      <c r="M52" s="319">
        <f t="array" ref="M52">SUM(IF((Budget[Sort Code]=$B$6)*(Budget[Account Code]=$B52)*(Budget[Date]=M$7),Budget[Amount]))</f>
        <v>0</v>
      </c>
      <c r="N52" s="319">
        <f t="array" ref="N52">SUM(IF((Budget[Sort Code]=$B$6)*(Budget[Account Code]=$B52)*(Budget[Date]=N$7),Budget[Amount]))</f>
        <v>0</v>
      </c>
      <c r="O52" s="319">
        <f t="array" ref="O52">SUM(IF((Budget[Sort Code]=$B$6)*(Budget[Account Code]=$B52)*(Budget[Date]=O$7),Budget[Amount]))</f>
        <v>0</v>
      </c>
      <c r="P52" s="319">
        <f t="shared" si="2"/>
        <v>0</v>
      </c>
    </row>
    <row r="53" spans="1:16">
      <c r="A53" s="325" t="s">
        <v>879</v>
      </c>
      <c r="B53" s="317" t="s">
        <v>166</v>
      </c>
      <c r="C53" s="319">
        <f t="shared" si="11"/>
        <v>0</v>
      </c>
      <c r="D53" s="319">
        <f t="array" ref="D53">SUM(IF((Budget[Sort Code]=$B$6)*(Budget[Account Code]=$B53)*(Budget[Date]=D$7),Budget[Amount]))</f>
        <v>0</v>
      </c>
      <c r="E53" s="319">
        <f t="array" ref="E53">SUM(IF((Budget[Sort Code]=$B$6)*(Budget[Account Code]=$B53)*(Budget[Date]=E$7),Budget[Amount]))</f>
        <v>0</v>
      </c>
      <c r="F53" s="319">
        <f t="array" ref="F53">SUM(IF((Budget[Sort Code]=$B$6)*(Budget[Account Code]=$B53)*(Budget[Date]=F$7),Budget[Amount]))</f>
        <v>0</v>
      </c>
      <c r="G53" s="319">
        <f t="array" ref="G53">SUM(IF((Budget[Sort Code]=$B$6)*(Budget[Account Code]=$B53)*(Budget[Date]=G$7),Budget[Amount]))</f>
        <v>0</v>
      </c>
      <c r="H53" s="319">
        <f t="array" ref="H53">SUM(IF((Budget[Sort Code]=$B$6)*(Budget[Account Code]=$B53)*(Budget[Date]=H$7),Budget[Amount]))</f>
        <v>0</v>
      </c>
      <c r="I53" s="319">
        <f t="array" ref="I53">SUM(IF((Budget[Sort Code]=$B$6)*(Budget[Account Code]=$B53)*(Budget[Date]=I$7),Budget[Amount]))</f>
        <v>0</v>
      </c>
      <c r="J53" s="319">
        <f t="array" ref="J53">SUM(IF((Budget[Sort Code]=$B$6)*(Budget[Account Code]=$B53)*(Budget[Date]=J$7),Budget[Amount]))</f>
        <v>0</v>
      </c>
      <c r="K53" s="319">
        <f t="array" ref="K53">SUM(IF((Budget[Sort Code]=$B$6)*(Budget[Account Code]=$B53)*(Budget[Date]=K$7),Budget[Amount]))</f>
        <v>0</v>
      </c>
      <c r="L53" s="319">
        <f t="array" ref="L53">SUM(IF((Budget[Sort Code]=$B$6)*(Budget[Account Code]=$B53)*(Budget[Date]=L$7),Budget[Amount]))</f>
        <v>0</v>
      </c>
      <c r="M53" s="319">
        <f t="array" ref="M53">SUM(IF((Budget[Sort Code]=$B$6)*(Budget[Account Code]=$B53)*(Budget[Date]=M$7),Budget[Amount]))</f>
        <v>0</v>
      </c>
      <c r="N53" s="319">
        <f t="array" ref="N53">SUM(IF((Budget[Sort Code]=$B$6)*(Budget[Account Code]=$B53)*(Budget[Date]=N$7),Budget[Amount]))</f>
        <v>0</v>
      </c>
      <c r="O53" s="319">
        <f t="array" ref="O53">SUM(IF((Budget[Sort Code]=$B$6)*(Budget[Account Code]=$B53)*(Budget[Date]=O$7),Budget[Amount]))</f>
        <v>0</v>
      </c>
      <c r="P53" s="319">
        <f t="shared" si="2"/>
        <v>0</v>
      </c>
    </row>
    <row r="54" spans="1:16">
      <c r="A54" s="325" t="s">
        <v>880</v>
      </c>
      <c r="B54" s="317" t="s">
        <v>167</v>
      </c>
      <c r="C54" s="319">
        <f t="shared" si="11"/>
        <v>0</v>
      </c>
      <c r="D54" s="319">
        <f t="array" ref="D54">SUM(IF((Budget[Sort Code]=$B$6)*(Budget[Account Code]=$B54)*(Budget[Date]=D$7),Budget[Amount]))</f>
        <v>0</v>
      </c>
      <c r="E54" s="319">
        <f t="array" ref="E54">SUM(IF((Budget[Sort Code]=$B$6)*(Budget[Account Code]=$B54)*(Budget[Date]=E$7),Budget[Amount]))</f>
        <v>0</v>
      </c>
      <c r="F54" s="319">
        <f t="array" ref="F54">SUM(IF((Budget[Sort Code]=$B$6)*(Budget[Account Code]=$B54)*(Budget[Date]=F$7),Budget[Amount]))</f>
        <v>0</v>
      </c>
      <c r="G54" s="319">
        <f t="array" ref="G54">SUM(IF((Budget[Sort Code]=$B$6)*(Budget[Account Code]=$B54)*(Budget[Date]=G$7),Budget[Amount]))</f>
        <v>0</v>
      </c>
      <c r="H54" s="319">
        <f t="array" ref="H54">SUM(IF((Budget[Sort Code]=$B$6)*(Budget[Account Code]=$B54)*(Budget[Date]=H$7),Budget[Amount]))</f>
        <v>0</v>
      </c>
      <c r="I54" s="319">
        <f t="array" ref="I54">SUM(IF((Budget[Sort Code]=$B$6)*(Budget[Account Code]=$B54)*(Budget[Date]=I$7),Budget[Amount]))</f>
        <v>0</v>
      </c>
      <c r="J54" s="319">
        <f t="array" ref="J54">SUM(IF((Budget[Sort Code]=$B$6)*(Budget[Account Code]=$B54)*(Budget[Date]=J$7),Budget[Amount]))</f>
        <v>0</v>
      </c>
      <c r="K54" s="319">
        <f t="array" ref="K54">SUM(IF((Budget[Sort Code]=$B$6)*(Budget[Account Code]=$B54)*(Budget[Date]=K$7),Budget[Amount]))</f>
        <v>0</v>
      </c>
      <c r="L54" s="319">
        <f t="array" ref="L54">SUM(IF((Budget[Sort Code]=$B$6)*(Budget[Account Code]=$B54)*(Budget[Date]=L$7),Budget[Amount]))</f>
        <v>0</v>
      </c>
      <c r="M54" s="319">
        <f t="array" ref="M54">SUM(IF((Budget[Sort Code]=$B$6)*(Budget[Account Code]=$B54)*(Budget[Date]=M$7),Budget[Amount]))</f>
        <v>0</v>
      </c>
      <c r="N54" s="319">
        <f t="array" ref="N54">SUM(IF((Budget[Sort Code]=$B$6)*(Budget[Account Code]=$B54)*(Budget[Date]=N$7),Budget[Amount]))</f>
        <v>0</v>
      </c>
      <c r="O54" s="319">
        <f t="array" ref="O54">SUM(IF((Budget[Sort Code]=$B$6)*(Budget[Account Code]=$B54)*(Budget[Date]=O$7),Budget[Amount]))</f>
        <v>0</v>
      </c>
      <c r="P54" s="319">
        <f t="shared" si="2"/>
        <v>0</v>
      </c>
    </row>
    <row r="55" spans="1:16">
      <c r="A55" s="325" t="s">
        <v>881</v>
      </c>
      <c r="B55" s="317" t="s">
        <v>171</v>
      </c>
      <c r="C55" s="319">
        <f t="shared" si="11"/>
        <v>0</v>
      </c>
      <c r="D55" s="319">
        <f t="array" ref="D55">SUM(IF((Budget[Sort Code]=$B$6)*(Budget[Account Code]=$B55)*(Budget[Date]=D$7),Budget[Amount]))</f>
        <v>0</v>
      </c>
      <c r="E55" s="319">
        <f t="array" ref="E55">SUM(IF((Budget[Sort Code]=$B$6)*(Budget[Account Code]=$B55)*(Budget[Date]=E$7),Budget[Amount]))</f>
        <v>0</v>
      </c>
      <c r="F55" s="319">
        <f t="array" ref="F55">SUM(IF((Budget[Sort Code]=$B$6)*(Budget[Account Code]=$B55)*(Budget[Date]=F$7),Budget[Amount]))</f>
        <v>0</v>
      </c>
      <c r="G55" s="319">
        <f t="array" ref="G55">SUM(IF((Budget[Sort Code]=$B$6)*(Budget[Account Code]=$B55)*(Budget[Date]=G$7),Budget[Amount]))</f>
        <v>0</v>
      </c>
      <c r="H55" s="319">
        <f t="array" ref="H55">SUM(IF((Budget[Sort Code]=$B$6)*(Budget[Account Code]=$B55)*(Budget[Date]=H$7),Budget[Amount]))</f>
        <v>0</v>
      </c>
      <c r="I55" s="319">
        <f t="array" ref="I55">SUM(IF((Budget[Sort Code]=$B$6)*(Budget[Account Code]=$B55)*(Budget[Date]=I$7),Budget[Amount]))</f>
        <v>0</v>
      </c>
      <c r="J55" s="319">
        <f t="array" ref="J55">SUM(IF((Budget[Sort Code]=$B$6)*(Budget[Account Code]=$B55)*(Budget[Date]=J$7),Budget[Amount]))</f>
        <v>0</v>
      </c>
      <c r="K55" s="319">
        <f t="array" ref="K55">SUM(IF((Budget[Sort Code]=$B$6)*(Budget[Account Code]=$B55)*(Budget[Date]=K$7),Budget[Amount]))</f>
        <v>0</v>
      </c>
      <c r="L55" s="319">
        <f t="array" ref="L55">SUM(IF((Budget[Sort Code]=$B$6)*(Budget[Account Code]=$B55)*(Budget[Date]=L$7),Budget[Amount]))</f>
        <v>0</v>
      </c>
      <c r="M55" s="319">
        <f t="array" ref="M55">SUM(IF((Budget[Sort Code]=$B$6)*(Budget[Account Code]=$B55)*(Budget[Date]=M$7),Budget[Amount]))</f>
        <v>0</v>
      </c>
      <c r="N55" s="319">
        <f t="array" ref="N55">SUM(IF((Budget[Sort Code]=$B$6)*(Budget[Account Code]=$B55)*(Budget[Date]=N$7),Budget[Amount]))</f>
        <v>0</v>
      </c>
      <c r="O55" s="319">
        <f t="array" ref="O55">SUM(IF((Budget[Sort Code]=$B$6)*(Budget[Account Code]=$B55)*(Budget[Date]=O$7),Budget[Amount]))</f>
        <v>0</v>
      </c>
      <c r="P55" s="319">
        <f t="shared" si="2"/>
        <v>0</v>
      </c>
    </row>
    <row r="56" spans="1:16">
      <c r="A56" s="325" t="s">
        <v>882</v>
      </c>
      <c r="B56" s="317" t="s">
        <v>173</v>
      </c>
      <c r="C56" s="319">
        <f t="shared" si="11"/>
        <v>0</v>
      </c>
      <c r="D56" s="319">
        <f t="array" ref="D56">SUM(IF((Budget[Sort Code]=$B$6)*(Budget[Account Code]=$B56)*(Budget[Date]=D$7),Budget[Amount]))</f>
        <v>0</v>
      </c>
      <c r="E56" s="319">
        <f t="array" ref="E56">SUM(IF((Budget[Sort Code]=$B$6)*(Budget[Account Code]=$B56)*(Budget[Date]=E$7),Budget[Amount]))</f>
        <v>0</v>
      </c>
      <c r="F56" s="319">
        <f t="array" ref="F56">SUM(IF((Budget[Sort Code]=$B$6)*(Budget[Account Code]=$B56)*(Budget[Date]=F$7),Budget[Amount]))</f>
        <v>0</v>
      </c>
      <c r="G56" s="319">
        <f t="array" ref="G56">SUM(IF((Budget[Sort Code]=$B$6)*(Budget[Account Code]=$B56)*(Budget[Date]=G$7),Budget[Amount]))</f>
        <v>0</v>
      </c>
      <c r="H56" s="319">
        <f t="array" ref="H56">SUM(IF((Budget[Sort Code]=$B$6)*(Budget[Account Code]=$B56)*(Budget[Date]=H$7),Budget[Amount]))</f>
        <v>0</v>
      </c>
      <c r="I56" s="319">
        <f t="array" ref="I56">SUM(IF((Budget[Sort Code]=$B$6)*(Budget[Account Code]=$B56)*(Budget[Date]=I$7),Budget[Amount]))</f>
        <v>0</v>
      </c>
      <c r="J56" s="319">
        <f t="array" ref="J56">SUM(IF((Budget[Sort Code]=$B$6)*(Budget[Account Code]=$B56)*(Budget[Date]=J$7),Budget[Amount]))</f>
        <v>0</v>
      </c>
      <c r="K56" s="319">
        <f t="array" ref="K56">SUM(IF((Budget[Sort Code]=$B$6)*(Budget[Account Code]=$B56)*(Budget[Date]=K$7),Budget[Amount]))</f>
        <v>0</v>
      </c>
      <c r="L56" s="319">
        <f t="array" ref="L56">SUM(IF((Budget[Sort Code]=$B$6)*(Budget[Account Code]=$B56)*(Budget[Date]=L$7),Budget[Amount]))</f>
        <v>0</v>
      </c>
      <c r="M56" s="319">
        <f t="array" ref="M56">SUM(IF((Budget[Sort Code]=$B$6)*(Budget[Account Code]=$B56)*(Budget[Date]=M$7),Budget[Amount]))</f>
        <v>0</v>
      </c>
      <c r="N56" s="319">
        <f t="array" ref="N56">SUM(IF((Budget[Sort Code]=$B$6)*(Budget[Account Code]=$B56)*(Budget[Date]=N$7),Budget[Amount]))</f>
        <v>0</v>
      </c>
      <c r="O56" s="319">
        <f t="array" ref="O56">SUM(IF((Budget[Sort Code]=$B$6)*(Budget[Account Code]=$B56)*(Budget[Date]=O$7),Budget[Amount]))</f>
        <v>0</v>
      </c>
      <c r="P56" s="319">
        <f t="shared" si="2"/>
        <v>0</v>
      </c>
    </row>
    <row r="57" spans="1:16">
      <c r="A57" s="325" t="s">
        <v>883</v>
      </c>
      <c r="B57" s="317" t="s">
        <v>7</v>
      </c>
      <c r="C57" s="319">
        <f t="shared" si="11"/>
        <v>0</v>
      </c>
      <c r="D57" s="319">
        <f t="array" ref="D57">SUM(IF((Budget[Sort Code]=$B$6)*(Budget[Account Code]=$B57)*(Budget[Date]=D$7),Budget[Amount]))</f>
        <v>0</v>
      </c>
      <c r="E57" s="319">
        <f t="array" ref="E57">SUM(IF((Budget[Sort Code]=$B$6)*(Budget[Account Code]=$B57)*(Budget[Date]=E$7),Budget[Amount]))</f>
        <v>0</v>
      </c>
      <c r="F57" s="319">
        <f t="array" ref="F57">SUM(IF((Budget[Sort Code]=$B$6)*(Budget[Account Code]=$B57)*(Budget[Date]=F$7),Budget[Amount]))</f>
        <v>0</v>
      </c>
      <c r="G57" s="319">
        <f t="array" ref="G57">SUM(IF((Budget[Sort Code]=$B$6)*(Budget[Account Code]=$B57)*(Budget[Date]=G$7),Budget[Amount]))</f>
        <v>0</v>
      </c>
      <c r="H57" s="319">
        <f t="array" ref="H57">SUM(IF((Budget[Sort Code]=$B$6)*(Budget[Account Code]=$B57)*(Budget[Date]=H$7),Budget[Amount]))</f>
        <v>0</v>
      </c>
      <c r="I57" s="319">
        <f t="array" ref="I57">SUM(IF((Budget[Sort Code]=$B$6)*(Budget[Account Code]=$B57)*(Budget[Date]=I$7),Budget[Amount]))</f>
        <v>0</v>
      </c>
      <c r="J57" s="319">
        <f t="array" ref="J57">SUM(IF((Budget[Sort Code]=$B$6)*(Budget[Account Code]=$B57)*(Budget[Date]=J$7),Budget[Amount]))</f>
        <v>0</v>
      </c>
      <c r="K57" s="319">
        <f t="array" ref="K57">SUM(IF((Budget[Sort Code]=$B$6)*(Budget[Account Code]=$B57)*(Budget[Date]=K$7),Budget[Amount]))</f>
        <v>0</v>
      </c>
      <c r="L57" s="319">
        <f t="array" ref="L57">SUM(IF((Budget[Sort Code]=$B$6)*(Budget[Account Code]=$B57)*(Budget[Date]=L$7),Budget[Amount]))</f>
        <v>0</v>
      </c>
      <c r="M57" s="319">
        <f t="array" ref="M57">SUM(IF((Budget[Sort Code]=$B$6)*(Budget[Account Code]=$B57)*(Budget[Date]=M$7),Budget[Amount]))</f>
        <v>0</v>
      </c>
      <c r="N57" s="319">
        <f t="array" ref="N57">SUM(IF((Budget[Sort Code]=$B$6)*(Budget[Account Code]=$B57)*(Budget[Date]=N$7),Budget[Amount]))</f>
        <v>0</v>
      </c>
      <c r="O57" s="319">
        <f t="array" ref="O57">SUM(IF((Budget[Sort Code]=$B$6)*(Budget[Account Code]=$B57)*(Budget[Date]=O$7),Budget[Amount]))</f>
        <v>0</v>
      </c>
      <c r="P57" s="319">
        <f t="shared" si="2"/>
        <v>0</v>
      </c>
    </row>
    <row r="58" spans="1:16">
      <c r="A58" s="325" t="s">
        <v>884</v>
      </c>
      <c r="B58" s="317" t="s">
        <v>5</v>
      </c>
      <c r="C58" s="319">
        <f t="shared" si="11"/>
        <v>0</v>
      </c>
      <c r="D58" s="319">
        <f t="array" ref="D58">SUM(IF((Budget[Sort Code]=$B$6)*(Budget[Account Code]=$B58)*(Budget[Date]=D$7),Budget[Amount]))</f>
        <v>0</v>
      </c>
      <c r="E58" s="319">
        <f t="array" ref="E58">SUM(IF((Budget[Sort Code]=$B$6)*(Budget[Account Code]=$B58)*(Budget[Date]=E$7),Budget[Amount]))</f>
        <v>0</v>
      </c>
      <c r="F58" s="319">
        <f t="array" ref="F58">SUM(IF((Budget[Sort Code]=$B$6)*(Budget[Account Code]=$B58)*(Budget[Date]=F$7),Budget[Amount]))</f>
        <v>0</v>
      </c>
      <c r="G58" s="319">
        <f t="array" ref="G58">SUM(IF((Budget[Sort Code]=$B$6)*(Budget[Account Code]=$B58)*(Budget[Date]=G$7),Budget[Amount]))</f>
        <v>0</v>
      </c>
      <c r="H58" s="319">
        <f t="array" ref="H58">SUM(IF((Budget[Sort Code]=$B$6)*(Budget[Account Code]=$B58)*(Budget[Date]=H$7),Budget[Amount]))</f>
        <v>0</v>
      </c>
      <c r="I58" s="319">
        <f t="array" ref="I58">SUM(IF((Budget[Sort Code]=$B$6)*(Budget[Account Code]=$B58)*(Budget[Date]=I$7),Budget[Amount]))</f>
        <v>0</v>
      </c>
      <c r="J58" s="319">
        <f t="array" ref="J58">SUM(IF((Budget[Sort Code]=$B$6)*(Budget[Account Code]=$B58)*(Budget[Date]=J$7),Budget[Amount]))</f>
        <v>0</v>
      </c>
      <c r="K58" s="319">
        <f t="array" ref="K58">SUM(IF((Budget[Sort Code]=$B$6)*(Budget[Account Code]=$B58)*(Budget[Date]=K$7),Budget[Amount]))</f>
        <v>0</v>
      </c>
      <c r="L58" s="319">
        <f t="array" ref="L58">SUM(IF((Budget[Sort Code]=$B$6)*(Budget[Account Code]=$B58)*(Budget[Date]=L$7),Budget[Amount]))</f>
        <v>0</v>
      </c>
      <c r="M58" s="319">
        <f t="array" ref="M58">SUM(IF((Budget[Sort Code]=$B$6)*(Budget[Account Code]=$B58)*(Budget[Date]=M$7),Budget[Amount]))</f>
        <v>0</v>
      </c>
      <c r="N58" s="319">
        <f t="array" ref="N58">SUM(IF((Budget[Sort Code]=$B$6)*(Budget[Account Code]=$B58)*(Budget[Date]=N$7),Budget[Amount]))</f>
        <v>0</v>
      </c>
      <c r="O58" s="319">
        <f t="array" ref="O58">SUM(IF((Budget[Sort Code]=$B$6)*(Budget[Account Code]=$B58)*(Budget[Date]=O$7),Budget[Amount]))</f>
        <v>0</v>
      </c>
      <c r="P58" s="319">
        <f t="shared" si="2"/>
        <v>0</v>
      </c>
    </row>
    <row r="59" spans="1:16">
      <c r="A59" s="325" t="s">
        <v>885</v>
      </c>
      <c r="B59" s="317" t="s">
        <v>6</v>
      </c>
      <c r="C59" s="319">
        <f t="shared" si="11"/>
        <v>0</v>
      </c>
      <c r="D59" s="319">
        <f t="array" ref="D59">SUM(IF((Budget[Sort Code]=$B$6)*(Budget[Account Code]=$B59)*(Budget[Date]=D$7),Budget[Amount]))</f>
        <v>0</v>
      </c>
      <c r="E59" s="319">
        <f t="array" ref="E59">SUM(IF((Budget[Sort Code]=$B$6)*(Budget[Account Code]=$B59)*(Budget[Date]=E$7),Budget[Amount]))</f>
        <v>0</v>
      </c>
      <c r="F59" s="319">
        <f t="array" ref="F59">SUM(IF((Budget[Sort Code]=$B$6)*(Budget[Account Code]=$B59)*(Budget[Date]=F$7),Budget[Amount]))</f>
        <v>0</v>
      </c>
      <c r="G59" s="319">
        <f t="array" ref="G59">SUM(IF((Budget[Sort Code]=$B$6)*(Budget[Account Code]=$B59)*(Budget[Date]=G$7),Budget[Amount]))</f>
        <v>0</v>
      </c>
      <c r="H59" s="319">
        <f t="array" ref="H59">SUM(IF((Budget[Sort Code]=$B$6)*(Budget[Account Code]=$B59)*(Budget[Date]=H$7),Budget[Amount]))</f>
        <v>0</v>
      </c>
      <c r="I59" s="319">
        <f t="array" ref="I59">SUM(IF((Budget[Sort Code]=$B$6)*(Budget[Account Code]=$B59)*(Budget[Date]=I$7),Budget[Amount]))</f>
        <v>0</v>
      </c>
      <c r="J59" s="319">
        <f t="array" ref="J59">SUM(IF((Budget[Sort Code]=$B$6)*(Budget[Account Code]=$B59)*(Budget[Date]=J$7),Budget[Amount]))</f>
        <v>0</v>
      </c>
      <c r="K59" s="319">
        <f t="array" ref="K59">SUM(IF((Budget[Sort Code]=$B$6)*(Budget[Account Code]=$B59)*(Budget[Date]=K$7),Budget[Amount]))</f>
        <v>0</v>
      </c>
      <c r="L59" s="319">
        <f t="array" ref="L59">SUM(IF((Budget[Sort Code]=$B$6)*(Budget[Account Code]=$B59)*(Budget[Date]=L$7),Budget[Amount]))</f>
        <v>0</v>
      </c>
      <c r="M59" s="319">
        <f t="array" ref="M59">SUM(IF((Budget[Sort Code]=$B$6)*(Budget[Account Code]=$B59)*(Budget[Date]=M$7),Budget[Amount]))</f>
        <v>0</v>
      </c>
      <c r="N59" s="319">
        <f t="array" ref="N59">SUM(IF((Budget[Sort Code]=$B$6)*(Budget[Account Code]=$B59)*(Budget[Date]=N$7),Budget[Amount]))</f>
        <v>0</v>
      </c>
      <c r="O59" s="319">
        <f t="array" ref="O59">SUM(IF((Budget[Sort Code]=$B$6)*(Budget[Account Code]=$B59)*(Budget[Date]=O$7),Budget[Amount]))</f>
        <v>0</v>
      </c>
      <c r="P59" s="319">
        <f t="shared" si="2"/>
        <v>0</v>
      </c>
    </row>
    <row r="60" spans="1:16">
      <c r="A60" s="325" t="s">
        <v>886</v>
      </c>
      <c r="B60" s="317" t="s">
        <v>172</v>
      </c>
      <c r="C60" s="319">
        <f t="shared" si="11"/>
        <v>0</v>
      </c>
      <c r="D60" s="319">
        <f t="array" ref="D60">SUM(IF((Budget[Sort Code]=$B$6)*(Budget[Account Code]=$B60)*(Budget[Date]=D$7),Budget[Amount]))</f>
        <v>0</v>
      </c>
      <c r="E60" s="319">
        <f t="array" ref="E60">SUM(IF((Budget[Sort Code]=$B$6)*(Budget[Account Code]=$B60)*(Budget[Date]=E$7),Budget[Amount]))</f>
        <v>0</v>
      </c>
      <c r="F60" s="319">
        <f t="array" ref="F60">SUM(IF((Budget[Sort Code]=$B$6)*(Budget[Account Code]=$B60)*(Budget[Date]=F$7),Budget[Amount]))</f>
        <v>0</v>
      </c>
      <c r="G60" s="319">
        <f t="array" ref="G60">SUM(IF((Budget[Sort Code]=$B$6)*(Budget[Account Code]=$B60)*(Budget[Date]=G$7),Budget[Amount]))</f>
        <v>0</v>
      </c>
      <c r="H60" s="319">
        <f t="array" ref="H60">SUM(IF((Budget[Sort Code]=$B$6)*(Budget[Account Code]=$B60)*(Budget[Date]=H$7),Budget[Amount]))</f>
        <v>0</v>
      </c>
      <c r="I60" s="319">
        <f t="array" ref="I60">SUM(IF((Budget[Sort Code]=$B$6)*(Budget[Account Code]=$B60)*(Budget[Date]=I$7),Budget[Amount]))</f>
        <v>0</v>
      </c>
      <c r="J60" s="319">
        <f t="array" ref="J60">SUM(IF((Budget[Sort Code]=$B$6)*(Budget[Account Code]=$B60)*(Budget[Date]=J$7),Budget[Amount]))</f>
        <v>0</v>
      </c>
      <c r="K60" s="319">
        <f t="array" ref="K60">SUM(IF((Budget[Sort Code]=$B$6)*(Budget[Account Code]=$B60)*(Budget[Date]=K$7),Budget[Amount]))</f>
        <v>0</v>
      </c>
      <c r="L60" s="319">
        <f t="array" ref="L60">SUM(IF((Budget[Sort Code]=$B$6)*(Budget[Account Code]=$B60)*(Budget[Date]=L$7),Budget[Amount]))</f>
        <v>0</v>
      </c>
      <c r="M60" s="319">
        <f t="array" ref="M60">SUM(IF((Budget[Sort Code]=$B$6)*(Budget[Account Code]=$B60)*(Budget[Date]=M$7),Budget[Amount]))</f>
        <v>0</v>
      </c>
      <c r="N60" s="319">
        <f t="array" ref="N60">SUM(IF((Budget[Sort Code]=$B$6)*(Budget[Account Code]=$B60)*(Budget[Date]=N$7),Budget[Amount]))</f>
        <v>0</v>
      </c>
      <c r="O60" s="319">
        <f t="array" ref="O60">SUM(IF((Budget[Sort Code]=$B$6)*(Budget[Account Code]=$B60)*(Budget[Date]=O$7),Budget[Amount]))</f>
        <v>0</v>
      </c>
      <c r="P60" s="319">
        <f t="shared" si="2"/>
        <v>0</v>
      </c>
    </row>
    <row r="61" spans="1:16">
      <c r="A61" s="325" t="s">
        <v>887</v>
      </c>
      <c r="B61" s="317" t="s">
        <v>170</v>
      </c>
      <c r="C61" s="319">
        <f t="shared" si="11"/>
        <v>0</v>
      </c>
      <c r="D61" s="319">
        <f t="array" ref="D61">SUM(IF((Budget[Sort Code]=$B$6)*(Budget[Account Code]=$B61)*(Budget[Date]=D$7),Budget[Amount]))</f>
        <v>0</v>
      </c>
      <c r="E61" s="319">
        <f t="array" ref="E61">SUM(IF((Budget[Sort Code]=$B$6)*(Budget[Account Code]=$B61)*(Budget[Date]=E$7),Budget[Amount]))</f>
        <v>0</v>
      </c>
      <c r="F61" s="319">
        <f t="array" ref="F61">SUM(IF((Budget[Sort Code]=$B$6)*(Budget[Account Code]=$B61)*(Budget[Date]=F$7),Budget[Amount]))</f>
        <v>0</v>
      </c>
      <c r="G61" s="319">
        <f t="array" ref="G61">SUM(IF((Budget[Sort Code]=$B$6)*(Budget[Account Code]=$B61)*(Budget[Date]=G$7),Budget[Amount]))</f>
        <v>0</v>
      </c>
      <c r="H61" s="319">
        <f t="array" ref="H61">SUM(IF((Budget[Sort Code]=$B$6)*(Budget[Account Code]=$B61)*(Budget[Date]=H$7),Budget[Amount]))</f>
        <v>0</v>
      </c>
      <c r="I61" s="319">
        <f t="array" ref="I61">SUM(IF((Budget[Sort Code]=$B$6)*(Budget[Account Code]=$B61)*(Budget[Date]=I$7),Budget[Amount]))</f>
        <v>0</v>
      </c>
      <c r="J61" s="319">
        <f t="array" ref="J61">SUM(IF((Budget[Sort Code]=$B$6)*(Budget[Account Code]=$B61)*(Budget[Date]=J$7),Budget[Amount]))</f>
        <v>0</v>
      </c>
      <c r="K61" s="319">
        <f t="array" ref="K61">SUM(IF((Budget[Sort Code]=$B$6)*(Budget[Account Code]=$B61)*(Budget[Date]=K$7),Budget[Amount]))</f>
        <v>0</v>
      </c>
      <c r="L61" s="319">
        <f t="array" ref="L61">SUM(IF((Budget[Sort Code]=$B$6)*(Budget[Account Code]=$B61)*(Budget[Date]=L$7),Budget[Amount]))</f>
        <v>0</v>
      </c>
      <c r="M61" s="319">
        <f t="array" ref="M61">SUM(IF((Budget[Sort Code]=$B$6)*(Budget[Account Code]=$B61)*(Budget[Date]=M$7),Budget[Amount]))</f>
        <v>0</v>
      </c>
      <c r="N61" s="319">
        <f t="array" ref="N61">SUM(IF((Budget[Sort Code]=$B$6)*(Budget[Account Code]=$B61)*(Budget[Date]=N$7),Budget[Amount]))</f>
        <v>0</v>
      </c>
      <c r="O61" s="319">
        <f t="array" ref="O61">SUM(IF((Budget[Sort Code]=$B$6)*(Budget[Account Code]=$B61)*(Budget[Date]=O$7),Budget[Amount]))</f>
        <v>0</v>
      </c>
      <c r="P61" s="319">
        <f t="shared" si="2"/>
        <v>0</v>
      </c>
    </row>
    <row r="62" spans="1:16">
      <c r="A62" s="325" t="s">
        <v>888</v>
      </c>
      <c r="B62" s="317" t="s">
        <v>168</v>
      </c>
      <c r="C62" s="319">
        <f t="shared" si="11"/>
        <v>0</v>
      </c>
      <c r="D62" s="319">
        <f t="array" ref="D62">SUM(IF((Budget[Sort Code]=$B$6)*(Budget[Account Code]=$B62)*(Budget[Date]=D$7),Budget[Amount]))</f>
        <v>0</v>
      </c>
      <c r="E62" s="319">
        <f t="array" ref="E62">SUM(IF((Budget[Sort Code]=$B$6)*(Budget[Account Code]=$B62)*(Budget[Date]=E$7),Budget[Amount]))</f>
        <v>0</v>
      </c>
      <c r="F62" s="319">
        <f t="array" ref="F62">SUM(IF((Budget[Sort Code]=$B$6)*(Budget[Account Code]=$B62)*(Budget[Date]=F$7),Budget[Amount]))</f>
        <v>0</v>
      </c>
      <c r="G62" s="319">
        <f t="array" ref="G62">SUM(IF((Budget[Sort Code]=$B$6)*(Budget[Account Code]=$B62)*(Budget[Date]=G$7),Budget[Amount]))</f>
        <v>0</v>
      </c>
      <c r="H62" s="319">
        <f t="array" ref="H62">SUM(IF((Budget[Sort Code]=$B$6)*(Budget[Account Code]=$B62)*(Budget[Date]=H$7),Budget[Amount]))</f>
        <v>0</v>
      </c>
      <c r="I62" s="319">
        <f t="array" ref="I62">SUM(IF((Budget[Sort Code]=$B$6)*(Budget[Account Code]=$B62)*(Budget[Date]=I$7),Budget[Amount]))</f>
        <v>0</v>
      </c>
      <c r="J62" s="319">
        <f t="array" ref="J62">SUM(IF((Budget[Sort Code]=$B$6)*(Budget[Account Code]=$B62)*(Budget[Date]=J$7),Budget[Amount]))</f>
        <v>0</v>
      </c>
      <c r="K62" s="319">
        <f t="array" ref="K62">SUM(IF((Budget[Sort Code]=$B$6)*(Budget[Account Code]=$B62)*(Budget[Date]=K$7),Budget[Amount]))</f>
        <v>0</v>
      </c>
      <c r="L62" s="319">
        <f t="array" ref="L62">SUM(IF((Budget[Sort Code]=$B$6)*(Budget[Account Code]=$B62)*(Budget[Date]=L$7),Budget[Amount]))</f>
        <v>0</v>
      </c>
      <c r="M62" s="319">
        <f t="array" ref="M62">SUM(IF((Budget[Sort Code]=$B$6)*(Budget[Account Code]=$B62)*(Budget[Date]=M$7),Budget[Amount]))</f>
        <v>0</v>
      </c>
      <c r="N62" s="319">
        <f t="array" ref="N62">SUM(IF((Budget[Sort Code]=$B$6)*(Budget[Account Code]=$B62)*(Budget[Date]=N$7),Budget[Amount]))</f>
        <v>0</v>
      </c>
      <c r="O62" s="319">
        <f t="array" ref="O62">SUM(IF((Budget[Sort Code]=$B$6)*(Budget[Account Code]=$B62)*(Budget[Date]=O$7),Budget[Amount]))</f>
        <v>0</v>
      </c>
      <c r="P62" s="319">
        <f t="shared" si="2"/>
        <v>0</v>
      </c>
    </row>
    <row r="63" spans="1:16">
      <c r="A63" s="325" t="s">
        <v>889</v>
      </c>
      <c r="B63" s="317" t="s">
        <v>174</v>
      </c>
      <c r="C63" s="319">
        <f t="shared" si="11"/>
        <v>0</v>
      </c>
      <c r="D63" s="319">
        <f t="array" ref="D63">SUM(IF((Budget[Sort Code]=$B$6)*(Budget[Account Code]=$B63)*(Budget[Date]=D$7),Budget[Amount]))</f>
        <v>0</v>
      </c>
      <c r="E63" s="319">
        <f t="array" ref="E63">SUM(IF((Budget[Sort Code]=$B$6)*(Budget[Account Code]=$B63)*(Budget[Date]=E$7),Budget[Amount]))</f>
        <v>0</v>
      </c>
      <c r="F63" s="319">
        <f t="array" ref="F63">SUM(IF((Budget[Sort Code]=$B$6)*(Budget[Account Code]=$B63)*(Budget[Date]=F$7),Budget[Amount]))</f>
        <v>0</v>
      </c>
      <c r="G63" s="319">
        <f t="array" ref="G63">SUM(IF((Budget[Sort Code]=$B$6)*(Budget[Account Code]=$B63)*(Budget[Date]=G$7),Budget[Amount]))</f>
        <v>0</v>
      </c>
      <c r="H63" s="319">
        <f t="array" ref="H63">SUM(IF((Budget[Sort Code]=$B$6)*(Budget[Account Code]=$B63)*(Budget[Date]=H$7),Budget[Amount]))</f>
        <v>0</v>
      </c>
      <c r="I63" s="319">
        <f t="array" ref="I63">SUM(IF((Budget[Sort Code]=$B$6)*(Budget[Account Code]=$B63)*(Budget[Date]=I$7),Budget[Amount]))</f>
        <v>0</v>
      </c>
      <c r="J63" s="319">
        <f t="array" ref="J63">SUM(IF((Budget[Sort Code]=$B$6)*(Budget[Account Code]=$B63)*(Budget[Date]=J$7),Budget[Amount]))</f>
        <v>0</v>
      </c>
      <c r="K63" s="319">
        <f t="array" ref="K63">SUM(IF((Budget[Sort Code]=$B$6)*(Budget[Account Code]=$B63)*(Budget[Date]=K$7),Budget[Amount]))</f>
        <v>0</v>
      </c>
      <c r="L63" s="319">
        <f t="array" ref="L63">SUM(IF((Budget[Sort Code]=$B$6)*(Budget[Account Code]=$B63)*(Budget[Date]=L$7),Budget[Amount]))</f>
        <v>0</v>
      </c>
      <c r="M63" s="319">
        <f t="array" ref="M63">SUM(IF((Budget[Sort Code]=$B$6)*(Budget[Account Code]=$B63)*(Budget[Date]=M$7),Budget[Amount]))</f>
        <v>0</v>
      </c>
      <c r="N63" s="319">
        <f t="array" ref="N63">SUM(IF((Budget[Sort Code]=$B$6)*(Budget[Account Code]=$B63)*(Budget[Date]=N$7),Budget[Amount]))</f>
        <v>0</v>
      </c>
      <c r="O63" s="319">
        <f t="array" ref="O63">SUM(IF((Budget[Sort Code]=$B$6)*(Budget[Account Code]=$B63)*(Budget[Date]=O$7),Budget[Amount]))</f>
        <v>0</v>
      </c>
      <c r="P63" s="319">
        <f t="shared" si="2"/>
        <v>0</v>
      </c>
    </row>
    <row r="64" spans="1:16">
      <c r="A64" s="325" t="s">
        <v>890</v>
      </c>
      <c r="B64" s="317" t="s">
        <v>214</v>
      </c>
      <c r="C64" s="319">
        <f t="shared" si="11"/>
        <v>0</v>
      </c>
      <c r="D64" s="319">
        <f t="array" ref="D64">SUM(IF((Budget[Sort Code]=$B$6)*(Budget[Account Code]=$B64)*(Budget[Date]=D$7),Budget[Amount]))</f>
        <v>0</v>
      </c>
      <c r="E64" s="319">
        <f t="array" ref="E64">SUM(IF((Budget[Sort Code]=$B$6)*(Budget[Account Code]=$B64)*(Budget[Date]=E$7),Budget[Amount]))</f>
        <v>0</v>
      </c>
      <c r="F64" s="319">
        <f t="array" ref="F64">SUM(IF((Budget[Sort Code]=$B$6)*(Budget[Account Code]=$B64)*(Budget[Date]=F$7),Budget[Amount]))</f>
        <v>0</v>
      </c>
      <c r="G64" s="319">
        <f t="array" ref="G64">SUM(IF((Budget[Sort Code]=$B$6)*(Budget[Account Code]=$B64)*(Budget[Date]=G$7),Budget[Amount]))</f>
        <v>0</v>
      </c>
      <c r="H64" s="319">
        <f t="array" ref="H64">SUM(IF((Budget[Sort Code]=$B$6)*(Budget[Account Code]=$B64)*(Budget[Date]=H$7),Budget[Amount]))</f>
        <v>0</v>
      </c>
      <c r="I64" s="319">
        <f t="array" ref="I64">SUM(IF((Budget[Sort Code]=$B$6)*(Budget[Account Code]=$B64)*(Budget[Date]=I$7),Budget[Amount]))</f>
        <v>0</v>
      </c>
      <c r="J64" s="319">
        <f t="array" ref="J64">SUM(IF((Budget[Sort Code]=$B$6)*(Budget[Account Code]=$B64)*(Budget[Date]=J$7),Budget[Amount]))</f>
        <v>0</v>
      </c>
      <c r="K64" s="319">
        <f t="array" ref="K64">SUM(IF((Budget[Sort Code]=$B$6)*(Budget[Account Code]=$B64)*(Budget[Date]=K$7),Budget[Amount]))</f>
        <v>0</v>
      </c>
      <c r="L64" s="319">
        <f t="array" ref="L64">SUM(IF((Budget[Sort Code]=$B$6)*(Budget[Account Code]=$B64)*(Budget[Date]=L$7),Budget[Amount]))</f>
        <v>0</v>
      </c>
      <c r="M64" s="319">
        <f t="array" ref="M64">SUM(IF((Budget[Sort Code]=$B$6)*(Budget[Account Code]=$B64)*(Budget[Date]=M$7),Budget[Amount]))</f>
        <v>0</v>
      </c>
      <c r="N64" s="319">
        <f t="array" ref="N64">SUM(IF((Budget[Sort Code]=$B$6)*(Budget[Account Code]=$B64)*(Budget[Date]=N$7),Budget[Amount]))</f>
        <v>0</v>
      </c>
      <c r="O64" s="319">
        <f t="array" ref="O64">SUM(IF((Budget[Sort Code]=$B$6)*(Budget[Account Code]=$B64)*(Budget[Date]=O$7),Budget[Amount]))</f>
        <v>0</v>
      </c>
      <c r="P64" s="319">
        <f t="shared" si="2"/>
        <v>0</v>
      </c>
    </row>
    <row r="65" spans="1:16" s="171" customFormat="1">
      <c r="A65" s="320" t="s">
        <v>891</v>
      </c>
      <c r="B65" s="317"/>
      <c r="C65" s="322">
        <f t="shared" si="11"/>
        <v>0</v>
      </c>
      <c r="D65" s="322">
        <f>SUM(D66:D69)</f>
        <v>0</v>
      </c>
      <c r="E65" s="322">
        <f t="shared" ref="E65:O65" si="14">SUM(E66:E69)</f>
        <v>0</v>
      </c>
      <c r="F65" s="322">
        <f t="shared" si="14"/>
        <v>0</v>
      </c>
      <c r="G65" s="322">
        <f t="shared" si="14"/>
        <v>0</v>
      </c>
      <c r="H65" s="322">
        <f t="shared" si="14"/>
        <v>0</v>
      </c>
      <c r="I65" s="322">
        <f t="shared" si="14"/>
        <v>0</v>
      </c>
      <c r="J65" s="322">
        <f t="shared" si="14"/>
        <v>0</v>
      </c>
      <c r="K65" s="322">
        <f t="shared" si="14"/>
        <v>0</v>
      </c>
      <c r="L65" s="322">
        <f t="shared" si="14"/>
        <v>0</v>
      </c>
      <c r="M65" s="322">
        <f t="shared" si="14"/>
        <v>0</v>
      </c>
      <c r="N65" s="322">
        <f t="shared" si="14"/>
        <v>0</v>
      </c>
      <c r="O65" s="322">
        <f t="shared" si="14"/>
        <v>0</v>
      </c>
      <c r="P65" s="322">
        <f t="shared" si="2"/>
        <v>0</v>
      </c>
    </row>
    <row r="66" spans="1:16">
      <c r="A66" s="325" t="s">
        <v>892</v>
      </c>
      <c r="B66" s="317" t="s">
        <v>175</v>
      </c>
      <c r="C66" s="319">
        <f t="shared" si="11"/>
        <v>0</v>
      </c>
      <c r="D66" s="319">
        <f t="array" ref="D66">SUM(IF((Budget[Sort Code]=$B$6)*(Budget[Account Code]=$B66)*(Budget[Date]=D$7),Budget[Amount]))</f>
        <v>0</v>
      </c>
      <c r="E66" s="319">
        <f t="array" ref="E66">SUM(IF((Budget[Sort Code]=$B$6)*(Budget[Account Code]=$B66)*(Budget[Date]=E$7),Budget[Amount]))</f>
        <v>0</v>
      </c>
      <c r="F66" s="319">
        <f t="array" ref="F66">SUM(IF((Budget[Sort Code]=$B$6)*(Budget[Account Code]=$B66)*(Budget[Date]=F$7),Budget[Amount]))</f>
        <v>0</v>
      </c>
      <c r="G66" s="319">
        <f t="array" ref="G66">SUM(IF((Budget[Sort Code]=$B$6)*(Budget[Account Code]=$B66)*(Budget[Date]=G$7),Budget[Amount]))</f>
        <v>0</v>
      </c>
      <c r="H66" s="319">
        <f t="array" ref="H66">SUM(IF((Budget[Sort Code]=$B$6)*(Budget[Account Code]=$B66)*(Budget[Date]=H$7),Budget[Amount]))</f>
        <v>0</v>
      </c>
      <c r="I66" s="319">
        <f t="array" ref="I66">SUM(IF((Budget[Sort Code]=$B$6)*(Budget[Account Code]=$B66)*(Budget[Date]=I$7),Budget[Amount]))</f>
        <v>0</v>
      </c>
      <c r="J66" s="319">
        <f t="array" ref="J66">SUM(IF((Budget[Sort Code]=$B$6)*(Budget[Account Code]=$B66)*(Budget[Date]=J$7),Budget[Amount]))</f>
        <v>0</v>
      </c>
      <c r="K66" s="319">
        <f t="array" ref="K66">SUM(IF((Budget[Sort Code]=$B$6)*(Budget[Account Code]=$B66)*(Budget[Date]=K$7),Budget[Amount]))</f>
        <v>0</v>
      </c>
      <c r="L66" s="319">
        <f t="array" ref="L66">SUM(IF((Budget[Sort Code]=$B$6)*(Budget[Account Code]=$B66)*(Budget[Date]=L$7),Budget[Amount]))</f>
        <v>0</v>
      </c>
      <c r="M66" s="319">
        <f t="array" ref="M66">SUM(IF((Budget[Sort Code]=$B$6)*(Budget[Account Code]=$B66)*(Budget[Date]=M$7),Budget[Amount]))</f>
        <v>0</v>
      </c>
      <c r="N66" s="319">
        <f t="array" ref="N66">SUM(IF((Budget[Sort Code]=$B$6)*(Budget[Account Code]=$B66)*(Budget[Date]=N$7),Budget[Amount]))</f>
        <v>0</v>
      </c>
      <c r="O66" s="319">
        <f t="array" ref="O66">SUM(IF((Budget[Sort Code]=$B$6)*(Budget[Account Code]=$B66)*(Budget[Date]=O$7),Budget[Amount]))</f>
        <v>0</v>
      </c>
      <c r="P66" s="319">
        <f t="shared" si="2"/>
        <v>0</v>
      </c>
    </row>
    <row r="67" spans="1:16">
      <c r="A67" s="325" t="s">
        <v>893</v>
      </c>
      <c r="B67" s="317" t="s">
        <v>176</v>
      </c>
      <c r="C67" s="319">
        <f t="shared" si="11"/>
        <v>0</v>
      </c>
      <c r="D67" s="319">
        <f t="array" ref="D67">SUM(IF((Budget[Sort Code]=$B$6)*(Budget[Account Code]=$B67)*(Budget[Date]=D$7),Budget[Amount]))</f>
        <v>0</v>
      </c>
      <c r="E67" s="319">
        <f t="array" ref="E67">SUM(IF((Budget[Sort Code]=$B$6)*(Budget[Account Code]=$B67)*(Budget[Date]=E$7),Budget[Amount]))</f>
        <v>0</v>
      </c>
      <c r="F67" s="319">
        <f t="array" ref="F67">SUM(IF((Budget[Sort Code]=$B$6)*(Budget[Account Code]=$B67)*(Budget[Date]=F$7),Budget[Amount]))</f>
        <v>0</v>
      </c>
      <c r="G67" s="319">
        <f t="array" ref="G67">SUM(IF((Budget[Sort Code]=$B$6)*(Budget[Account Code]=$B67)*(Budget[Date]=G$7),Budget[Amount]))</f>
        <v>0</v>
      </c>
      <c r="H67" s="319">
        <f t="array" ref="H67">SUM(IF((Budget[Sort Code]=$B$6)*(Budget[Account Code]=$B67)*(Budget[Date]=H$7),Budget[Amount]))</f>
        <v>0</v>
      </c>
      <c r="I67" s="319">
        <f t="array" ref="I67">SUM(IF((Budget[Sort Code]=$B$6)*(Budget[Account Code]=$B67)*(Budget[Date]=I$7),Budget[Amount]))</f>
        <v>0</v>
      </c>
      <c r="J67" s="319">
        <f t="array" ref="J67">SUM(IF((Budget[Sort Code]=$B$6)*(Budget[Account Code]=$B67)*(Budget[Date]=J$7),Budget[Amount]))</f>
        <v>0</v>
      </c>
      <c r="K67" s="319">
        <f t="array" ref="K67">SUM(IF((Budget[Sort Code]=$B$6)*(Budget[Account Code]=$B67)*(Budget[Date]=K$7),Budget[Amount]))</f>
        <v>0</v>
      </c>
      <c r="L67" s="319">
        <f t="array" ref="L67">SUM(IF((Budget[Sort Code]=$B$6)*(Budget[Account Code]=$B67)*(Budget[Date]=L$7),Budget[Amount]))</f>
        <v>0</v>
      </c>
      <c r="M67" s="319">
        <f t="array" ref="M67">SUM(IF((Budget[Sort Code]=$B$6)*(Budget[Account Code]=$B67)*(Budget[Date]=M$7),Budget[Amount]))</f>
        <v>0</v>
      </c>
      <c r="N67" s="319">
        <f t="array" ref="N67">SUM(IF((Budget[Sort Code]=$B$6)*(Budget[Account Code]=$B67)*(Budget[Date]=N$7),Budget[Amount]))</f>
        <v>0</v>
      </c>
      <c r="O67" s="319">
        <f t="array" ref="O67">SUM(IF((Budget[Sort Code]=$B$6)*(Budget[Account Code]=$B67)*(Budget[Date]=O$7),Budget[Amount]))</f>
        <v>0</v>
      </c>
      <c r="P67" s="319">
        <f t="shared" si="2"/>
        <v>0</v>
      </c>
    </row>
    <row r="68" spans="1:16">
      <c r="A68" s="325" t="s">
        <v>894</v>
      </c>
      <c r="B68" s="317" t="s">
        <v>177</v>
      </c>
      <c r="C68" s="319">
        <f t="shared" si="11"/>
        <v>0</v>
      </c>
      <c r="D68" s="319">
        <f t="array" ref="D68">SUM(IF((Budget[Sort Code]=$B$6)*(Budget[Account Code]=$B68)*(Budget[Date]=D$7),Budget[Amount]))</f>
        <v>0</v>
      </c>
      <c r="E68" s="319">
        <f t="array" ref="E68">SUM(IF((Budget[Sort Code]=$B$6)*(Budget[Account Code]=$B68)*(Budget[Date]=E$7),Budget[Amount]))</f>
        <v>0</v>
      </c>
      <c r="F68" s="319">
        <f t="array" ref="F68">SUM(IF((Budget[Sort Code]=$B$6)*(Budget[Account Code]=$B68)*(Budget[Date]=F$7),Budget[Amount]))</f>
        <v>0</v>
      </c>
      <c r="G68" s="319">
        <f t="array" ref="G68">SUM(IF((Budget[Sort Code]=$B$6)*(Budget[Account Code]=$B68)*(Budget[Date]=G$7),Budget[Amount]))</f>
        <v>0</v>
      </c>
      <c r="H68" s="319">
        <f t="array" ref="H68">SUM(IF((Budget[Sort Code]=$B$6)*(Budget[Account Code]=$B68)*(Budget[Date]=H$7),Budget[Amount]))</f>
        <v>0</v>
      </c>
      <c r="I68" s="319">
        <f t="array" ref="I68">SUM(IF((Budget[Sort Code]=$B$6)*(Budget[Account Code]=$B68)*(Budget[Date]=I$7),Budget[Amount]))</f>
        <v>0</v>
      </c>
      <c r="J68" s="319">
        <f t="array" ref="J68">SUM(IF((Budget[Sort Code]=$B$6)*(Budget[Account Code]=$B68)*(Budget[Date]=J$7),Budget[Amount]))</f>
        <v>0</v>
      </c>
      <c r="K68" s="319">
        <f t="array" ref="K68">SUM(IF((Budget[Sort Code]=$B$6)*(Budget[Account Code]=$B68)*(Budget[Date]=K$7),Budget[Amount]))</f>
        <v>0</v>
      </c>
      <c r="L68" s="319">
        <f t="array" ref="L68">SUM(IF((Budget[Sort Code]=$B$6)*(Budget[Account Code]=$B68)*(Budget[Date]=L$7),Budget[Amount]))</f>
        <v>0</v>
      </c>
      <c r="M68" s="319">
        <f t="array" ref="M68">SUM(IF((Budget[Sort Code]=$B$6)*(Budget[Account Code]=$B68)*(Budget[Date]=M$7),Budget[Amount]))</f>
        <v>0</v>
      </c>
      <c r="N68" s="319">
        <f t="array" ref="N68">SUM(IF((Budget[Sort Code]=$B$6)*(Budget[Account Code]=$B68)*(Budget[Date]=N$7),Budget[Amount]))</f>
        <v>0</v>
      </c>
      <c r="O68" s="319">
        <f t="array" ref="O68">SUM(IF((Budget[Sort Code]=$B$6)*(Budget[Account Code]=$B68)*(Budget[Date]=O$7),Budget[Amount]))</f>
        <v>0</v>
      </c>
      <c r="P68" s="319">
        <f t="shared" si="2"/>
        <v>0</v>
      </c>
    </row>
    <row r="69" spans="1:16">
      <c r="A69" s="325" t="s">
        <v>895</v>
      </c>
      <c r="B69" s="317" t="s">
        <v>178</v>
      </c>
      <c r="C69" s="319">
        <f t="shared" si="11"/>
        <v>0</v>
      </c>
      <c r="D69" s="319">
        <f t="array" ref="D69">SUM(IF((Budget[Sort Code]=$B$6)*(Budget[Account Code]=$B69)*(Budget[Date]=D$7),Budget[Amount]))</f>
        <v>0</v>
      </c>
      <c r="E69" s="319">
        <f t="array" ref="E69">SUM(IF((Budget[Sort Code]=$B$6)*(Budget[Account Code]=$B69)*(Budget[Date]=E$7),Budget[Amount]))</f>
        <v>0</v>
      </c>
      <c r="F69" s="319">
        <f t="array" ref="F69">SUM(IF((Budget[Sort Code]=$B$6)*(Budget[Account Code]=$B69)*(Budget[Date]=F$7),Budget[Amount]))</f>
        <v>0</v>
      </c>
      <c r="G69" s="319">
        <f t="array" ref="G69">SUM(IF((Budget[Sort Code]=$B$6)*(Budget[Account Code]=$B69)*(Budget[Date]=G$7),Budget[Amount]))</f>
        <v>0</v>
      </c>
      <c r="H69" s="319">
        <f t="array" ref="H69">SUM(IF((Budget[Sort Code]=$B$6)*(Budget[Account Code]=$B69)*(Budget[Date]=H$7),Budget[Amount]))</f>
        <v>0</v>
      </c>
      <c r="I69" s="319">
        <f t="array" ref="I69">SUM(IF((Budget[Sort Code]=$B$6)*(Budget[Account Code]=$B69)*(Budget[Date]=I$7),Budget[Amount]))</f>
        <v>0</v>
      </c>
      <c r="J69" s="319">
        <f t="array" ref="J69">SUM(IF((Budget[Sort Code]=$B$6)*(Budget[Account Code]=$B69)*(Budget[Date]=J$7),Budget[Amount]))</f>
        <v>0</v>
      </c>
      <c r="K69" s="319">
        <f t="array" ref="K69">SUM(IF((Budget[Sort Code]=$B$6)*(Budget[Account Code]=$B69)*(Budget[Date]=K$7),Budget[Amount]))</f>
        <v>0</v>
      </c>
      <c r="L69" s="319">
        <f t="array" ref="L69">SUM(IF((Budget[Sort Code]=$B$6)*(Budget[Account Code]=$B69)*(Budget[Date]=L$7),Budget[Amount]))</f>
        <v>0</v>
      </c>
      <c r="M69" s="319">
        <f t="array" ref="M69">SUM(IF((Budget[Sort Code]=$B$6)*(Budget[Account Code]=$B69)*(Budget[Date]=M$7),Budget[Amount]))</f>
        <v>0</v>
      </c>
      <c r="N69" s="319">
        <f t="array" ref="N69">SUM(IF((Budget[Sort Code]=$B$6)*(Budget[Account Code]=$B69)*(Budget[Date]=N$7),Budget[Amount]))</f>
        <v>0</v>
      </c>
      <c r="O69" s="319">
        <f t="array" ref="O69">SUM(IF((Budget[Sort Code]=$B$6)*(Budget[Account Code]=$B69)*(Budget[Date]=O$7),Budget[Amount]))</f>
        <v>0</v>
      </c>
      <c r="P69" s="319">
        <f t="shared" si="2"/>
        <v>0</v>
      </c>
    </row>
    <row r="70" spans="1:16">
      <c r="A70" s="320" t="s">
        <v>896</v>
      </c>
      <c r="B70" s="317"/>
      <c r="C70" s="319">
        <f t="shared" si="11"/>
        <v>0</v>
      </c>
      <c r="D70" s="319">
        <v>0</v>
      </c>
      <c r="E70" s="319">
        <v>0</v>
      </c>
      <c r="F70" s="319">
        <v>0</v>
      </c>
      <c r="G70" s="319">
        <v>0</v>
      </c>
      <c r="H70" s="319">
        <v>0</v>
      </c>
      <c r="I70" s="319">
        <v>0</v>
      </c>
      <c r="J70" s="319">
        <v>0</v>
      </c>
      <c r="K70" s="319">
        <v>0</v>
      </c>
      <c r="L70" s="319">
        <v>0</v>
      </c>
      <c r="M70" s="319">
        <v>0</v>
      </c>
      <c r="N70" s="319">
        <v>0</v>
      </c>
      <c r="O70" s="319">
        <v>0</v>
      </c>
      <c r="P70" s="319">
        <f t="shared" si="2"/>
        <v>0</v>
      </c>
    </row>
    <row r="71" spans="1:16">
      <c r="A71" s="325" t="s">
        <v>897</v>
      </c>
      <c r="B71" s="317" t="s">
        <v>216</v>
      </c>
      <c r="C71" s="319">
        <f t="shared" si="11"/>
        <v>0</v>
      </c>
      <c r="D71" s="319">
        <f t="array" ref="D71">SUM(IF((Budget[Sort Code]=$B$6)*(Budget[Account Code]=$B71)*(Budget[Date]=D$7),Budget[Amount]))</f>
        <v>0</v>
      </c>
      <c r="E71" s="319">
        <f t="array" ref="E71">SUM(IF((Budget[Sort Code]=$B$6)*(Budget[Account Code]=$B71)*(Budget[Date]=E$7),Budget[Amount]))</f>
        <v>0</v>
      </c>
      <c r="F71" s="319">
        <f t="array" ref="F71">SUM(IF((Budget[Sort Code]=$B$6)*(Budget[Account Code]=$B71)*(Budget[Date]=F$7),Budget[Amount]))</f>
        <v>0</v>
      </c>
      <c r="G71" s="319">
        <f t="array" ref="G71">SUM(IF((Budget[Sort Code]=$B$6)*(Budget[Account Code]=$B71)*(Budget[Date]=G$7),Budget[Amount]))</f>
        <v>0</v>
      </c>
      <c r="H71" s="319">
        <f t="array" ref="H71">SUM(IF((Budget[Sort Code]=$B$6)*(Budget[Account Code]=$B71)*(Budget[Date]=H$7),Budget[Amount]))</f>
        <v>0</v>
      </c>
      <c r="I71" s="319">
        <f t="array" ref="I71">SUM(IF((Budget[Sort Code]=$B$6)*(Budget[Account Code]=$B71)*(Budget[Date]=I$7),Budget[Amount]))</f>
        <v>0</v>
      </c>
      <c r="J71" s="319">
        <f t="array" ref="J71">SUM(IF((Budget[Sort Code]=$B$6)*(Budget[Account Code]=$B71)*(Budget[Date]=J$7),Budget[Amount]))</f>
        <v>0</v>
      </c>
      <c r="K71" s="319">
        <f t="array" ref="K71">SUM(IF((Budget[Sort Code]=$B$6)*(Budget[Account Code]=$B71)*(Budget[Date]=K$7),Budget[Amount]))</f>
        <v>0</v>
      </c>
      <c r="L71" s="319">
        <f t="array" ref="L71">SUM(IF((Budget[Sort Code]=$B$6)*(Budget[Account Code]=$B71)*(Budget[Date]=L$7),Budget[Amount]))</f>
        <v>0</v>
      </c>
      <c r="M71" s="319">
        <f t="array" ref="M71">SUM(IF((Budget[Sort Code]=$B$6)*(Budget[Account Code]=$B71)*(Budget[Date]=M$7),Budget[Amount]))</f>
        <v>0</v>
      </c>
      <c r="N71" s="319">
        <f t="array" ref="N71">SUM(IF((Budget[Sort Code]=$B$6)*(Budget[Account Code]=$B71)*(Budget[Date]=N$7),Budget[Amount]))</f>
        <v>0</v>
      </c>
      <c r="O71" s="319">
        <f t="array" ref="O71">SUM(IF((Budget[Sort Code]=$B$6)*(Budget[Account Code]=$B71)*(Budget[Date]=O$7),Budget[Amount]))</f>
        <v>0</v>
      </c>
      <c r="P71" s="319">
        <f t="shared" si="2"/>
        <v>0</v>
      </c>
    </row>
    <row r="72" spans="1:16">
      <c r="A72" s="325" t="s">
        <v>898</v>
      </c>
      <c r="B72" s="317"/>
      <c r="C72" s="319">
        <f t="shared" si="11"/>
        <v>0</v>
      </c>
      <c r="D72" s="319">
        <f t="array" ref="D72">SUM(IF((Budget[Sort Code]=$B$6)*(Budget[Account Code]=$B72)*(Budget[Date]=D$7),Budget[Amount]))</f>
        <v>0</v>
      </c>
      <c r="E72" s="319">
        <f t="array" ref="E72">SUM(IF((Budget[Sort Code]=$B$6)*(Budget[Account Code]=$B72)*(Budget[Date]=E$7),Budget[Amount]))</f>
        <v>0</v>
      </c>
      <c r="F72" s="319">
        <f t="array" ref="F72">SUM(IF((Budget[Sort Code]=$B$6)*(Budget[Account Code]=$B72)*(Budget[Date]=F$7),Budget[Amount]))</f>
        <v>0</v>
      </c>
      <c r="G72" s="319">
        <f t="array" ref="G72">SUM(IF((Budget[Sort Code]=$B$6)*(Budget[Account Code]=$B72)*(Budget[Date]=G$7),Budget[Amount]))</f>
        <v>0</v>
      </c>
      <c r="H72" s="319">
        <f t="array" ref="H72">SUM(IF((Budget[Sort Code]=$B$6)*(Budget[Account Code]=$B72)*(Budget[Date]=H$7),Budget[Amount]))</f>
        <v>0</v>
      </c>
      <c r="I72" s="319">
        <f t="array" ref="I72">SUM(IF((Budget[Sort Code]=$B$6)*(Budget[Account Code]=$B72)*(Budget[Date]=I$7),Budget[Amount]))</f>
        <v>0</v>
      </c>
      <c r="J72" s="319">
        <f t="array" ref="J72">SUM(IF((Budget[Sort Code]=$B$6)*(Budget[Account Code]=$B72)*(Budget[Date]=J$7),Budget[Amount]))</f>
        <v>0</v>
      </c>
      <c r="K72" s="319">
        <f t="array" ref="K72">SUM(IF((Budget[Sort Code]=$B$6)*(Budget[Account Code]=$B72)*(Budget[Date]=K$7),Budget[Amount]))</f>
        <v>0</v>
      </c>
      <c r="L72" s="319">
        <f t="array" ref="L72">SUM(IF((Budget[Sort Code]=$B$6)*(Budget[Account Code]=$B72)*(Budget[Date]=L$7),Budget[Amount]))</f>
        <v>0</v>
      </c>
      <c r="M72" s="319">
        <f t="array" ref="M72">SUM(IF((Budget[Sort Code]=$B$6)*(Budget[Account Code]=$B72)*(Budget[Date]=M$7),Budget[Amount]))</f>
        <v>0</v>
      </c>
      <c r="N72" s="319">
        <f t="array" ref="N72">SUM(IF((Budget[Sort Code]=$B$6)*(Budget[Account Code]=$B72)*(Budget[Date]=N$7),Budget[Amount]))</f>
        <v>0</v>
      </c>
      <c r="O72" s="319">
        <f t="array" ref="O72">SUM(IF((Budget[Sort Code]=$B$6)*(Budget[Account Code]=$B72)*(Budget[Date]=O$7),Budget[Amount]))</f>
        <v>0</v>
      </c>
      <c r="P72" s="319">
        <f t="shared" si="2"/>
        <v>0</v>
      </c>
    </row>
    <row r="73" spans="1:16">
      <c r="A73" s="325" t="s">
        <v>899</v>
      </c>
      <c r="B73" s="317"/>
      <c r="C73" s="319">
        <f t="shared" si="11"/>
        <v>0</v>
      </c>
      <c r="D73" s="319">
        <f t="array" ref="D73">SUM(IF((Budget[Sort Code]=$B$6)*(Budget[Account Code]=$B73)*(Budget[Date]=D$7),Budget[Amount]))</f>
        <v>0</v>
      </c>
      <c r="E73" s="319">
        <f t="array" ref="E73">SUM(IF((Budget[Sort Code]=$B$6)*(Budget[Account Code]=$B73)*(Budget[Date]=E$7),Budget[Amount]))</f>
        <v>0</v>
      </c>
      <c r="F73" s="319">
        <f t="array" ref="F73">SUM(IF((Budget[Sort Code]=$B$6)*(Budget[Account Code]=$B73)*(Budget[Date]=F$7),Budget[Amount]))</f>
        <v>0</v>
      </c>
      <c r="G73" s="319">
        <f t="array" ref="G73">SUM(IF((Budget[Sort Code]=$B$6)*(Budget[Account Code]=$B73)*(Budget[Date]=G$7),Budget[Amount]))</f>
        <v>0</v>
      </c>
      <c r="H73" s="319">
        <f t="array" ref="H73">SUM(IF((Budget[Sort Code]=$B$6)*(Budget[Account Code]=$B73)*(Budget[Date]=H$7),Budget[Amount]))</f>
        <v>0</v>
      </c>
      <c r="I73" s="319">
        <f t="array" ref="I73">SUM(IF((Budget[Sort Code]=$B$6)*(Budget[Account Code]=$B73)*(Budget[Date]=I$7),Budget[Amount]))</f>
        <v>0</v>
      </c>
      <c r="J73" s="319">
        <f t="array" ref="J73">SUM(IF((Budget[Sort Code]=$B$6)*(Budget[Account Code]=$B73)*(Budget[Date]=J$7),Budget[Amount]))</f>
        <v>0</v>
      </c>
      <c r="K73" s="319">
        <f t="array" ref="K73">SUM(IF((Budget[Sort Code]=$B$6)*(Budget[Account Code]=$B73)*(Budget[Date]=K$7),Budget[Amount]))</f>
        <v>0</v>
      </c>
      <c r="L73" s="319">
        <f t="array" ref="L73">SUM(IF((Budget[Sort Code]=$B$6)*(Budget[Account Code]=$B73)*(Budget[Date]=L$7),Budget[Amount]))</f>
        <v>0</v>
      </c>
      <c r="M73" s="319">
        <f t="array" ref="M73">SUM(IF((Budget[Sort Code]=$B$6)*(Budget[Account Code]=$B73)*(Budget[Date]=M$7),Budget[Amount]))</f>
        <v>0</v>
      </c>
      <c r="N73" s="319">
        <f t="array" ref="N73">SUM(IF((Budget[Sort Code]=$B$6)*(Budget[Account Code]=$B73)*(Budget[Date]=N$7),Budget[Amount]))</f>
        <v>0</v>
      </c>
      <c r="O73" s="319">
        <f t="array" ref="O73">SUM(IF((Budget[Sort Code]=$B$6)*(Budget[Account Code]=$B73)*(Budget[Date]=O$7),Budget[Amount]))</f>
        <v>0</v>
      </c>
      <c r="P73" s="319">
        <f t="shared" si="2"/>
        <v>0</v>
      </c>
    </row>
    <row r="74" spans="1:16">
      <c r="A74" s="325" t="s">
        <v>900</v>
      </c>
      <c r="B74" s="317"/>
      <c r="C74" s="319">
        <f t="shared" si="11"/>
        <v>0</v>
      </c>
      <c r="D74" s="319">
        <f t="array" ref="D74">SUM(IF((Budget[Sort Code]=$B$6)*(Budget[Account Code]=$B74)*(Budget[Date]=D$7),Budget[Amount]))</f>
        <v>0</v>
      </c>
      <c r="E74" s="319">
        <f t="array" ref="E74">SUM(IF((Budget[Sort Code]=$B$6)*(Budget[Account Code]=$B74)*(Budget[Date]=E$7),Budget[Amount]))</f>
        <v>0</v>
      </c>
      <c r="F74" s="319">
        <f t="array" ref="F74">SUM(IF((Budget[Sort Code]=$B$6)*(Budget[Account Code]=$B74)*(Budget[Date]=F$7),Budget[Amount]))</f>
        <v>0</v>
      </c>
      <c r="G74" s="319">
        <f t="array" ref="G74">SUM(IF((Budget[Sort Code]=$B$6)*(Budget[Account Code]=$B74)*(Budget[Date]=G$7),Budget[Amount]))</f>
        <v>0</v>
      </c>
      <c r="H74" s="319">
        <f t="array" ref="H74">SUM(IF((Budget[Sort Code]=$B$6)*(Budget[Account Code]=$B74)*(Budget[Date]=H$7),Budget[Amount]))</f>
        <v>0</v>
      </c>
      <c r="I74" s="319">
        <f t="array" ref="I74">SUM(IF((Budget[Sort Code]=$B$6)*(Budget[Account Code]=$B74)*(Budget[Date]=I$7),Budget[Amount]))</f>
        <v>0</v>
      </c>
      <c r="J74" s="319">
        <f t="array" ref="J74">SUM(IF((Budget[Sort Code]=$B$6)*(Budget[Account Code]=$B74)*(Budget[Date]=J$7),Budget[Amount]))</f>
        <v>0</v>
      </c>
      <c r="K74" s="319">
        <f t="array" ref="K74">SUM(IF((Budget[Sort Code]=$B$6)*(Budget[Account Code]=$B74)*(Budget[Date]=K$7),Budget[Amount]))</f>
        <v>0</v>
      </c>
      <c r="L74" s="319">
        <f t="array" ref="L74">SUM(IF((Budget[Sort Code]=$B$6)*(Budget[Account Code]=$B74)*(Budget[Date]=L$7),Budget[Amount]))</f>
        <v>0</v>
      </c>
      <c r="M74" s="319">
        <f t="array" ref="M74">SUM(IF((Budget[Sort Code]=$B$6)*(Budget[Account Code]=$B74)*(Budget[Date]=M$7),Budget[Amount]))</f>
        <v>0</v>
      </c>
      <c r="N74" s="319">
        <f t="array" ref="N74">SUM(IF((Budget[Sort Code]=$B$6)*(Budget[Account Code]=$B74)*(Budget[Date]=N$7),Budget[Amount]))</f>
        <v>0</v>
      </c>
      <c r="O74" s="319">
        <f t="array" ref="O74">SUM(IF((Budget[Sort Code]=$B$6)*(Budget[Account Code]=$B74)*(Budget[Date]=O$7),Budget[Amount]))</f>
        <v>0</v>
      </c>
      <c r="P74" s="319">
        <f t="shared" si="2"/>
        <v>0</v>
      </c>
    </row>
    <row r="75" spans="1:16" s="171" customFormat="1">
      <c r="A75" s="320" t="s">
        <v>901</v>
      </c>
      <c r="B75" s="317" t="s">
        <v>985</v>
      </c>
      <c r="C75" s="322">
        <f t="shared" si="11"/>
        <v>0</v>
      </c>
      <c r="D75" s="319">
        <f t="array" ref="D75">SUM(IF((Budget[Sort Code]=$B$6)*(Budget[Account Code]=$B75)*(Budget[Date]=D$7),Budget[Amount]))</f>
        <v>0</v>
      </c>
      <c r="E75" s="319">
        <f t="array" ref="E75">SUM(IF((Budget[Sort Code]=$B$6)*(Budget[Account Code]=$B75)*(Budget[Date]=E$7),Budget[Amount]))</f>
        <v>0</v>
      </c>
      <c r="F75" s="319">
        <f t="array" ref="F75">SUM(IF((Budget[Sort Code]=$B$6)*(Budget[Account Code]=$B75)*(Budget[Date]=F$7),Budget[Amount]))</f>
        <v>0</v>
      </c>
      <c r="G75" s="319">
        <f t="array" ref="G75">SUM(IF((Budget[Sort Code]=$B$6)*(Budget[Account Code]=$B75)*(Budget[Date]=G$7),Budget[Amount]))</f>
        <v>0</v>
      </c>
      <c r="H75" s="319">
        <f t="array" ref="H75">SUM(IF((Budget[Sort Code]=$B$6)*(Budget[Account Code]=$B75)*(Budget[Date]=H$7),Budget[Amount]))</f>
        <v>0</v>
      </c>
      <c r="I75" s="319">
        <f t="array" ref="I75">SUM(IF((Budget[Sort Code]=$B$6)*(Budget[Account Code]=$B75)*(Budget[Date]=I$7),Budget[Amount]))</f>
        <v>0</v>
      </c>
      <c r="J75" s="319">
        <f t="array" ref="J75">SUM(IF((Budget[Sort Code]=$B$6)*(Budget[Account Code]=$B75)*(Budget[Date]=J$7),Budget[Amount]))</f>
        <v>0</v>
      </c>
      <c r="K75" s="319">
        <f t="array" ref="K75">SUM(IF((Budget[Sort Code]=$B$6)*(Budget[Account Code]=$B75)*(Budget[Date]=K$7),Budget[Amount]))</f>
        <v>0</v>
      </c>
      <c r="L75" s="319">
        <f t="array" ref="L75">SUM(IF((Budget[Sort Code]=$B$6)*(Budget[Account Code]=$B75)*(Budget[Date]=L$7),Budget[Amount]))</f>
        <v>0</v>
      </c>
      <c r="M75" s="319">
        <f t="array" ref="M75">SUM(IF((Budget[Sort Code]=$B$6)*(Budget[Account Code]=$B75)*(Budget[Date]=M$7),Budget[Amount]))</f>
        <v>0</v>
      </c>
      <c r="N75" s="319">
        <f t="array" ref="N75">SUM(IF((Budget[Sort Code]=$B$6)*(Budget[Account Code]=$B75)*(Budget[Date]=N$7),Budget[Amount]))</f>
        <v>0</v>
      </c>
      <c r="O75" s="319">
        <f t="array" ref="O75">SUM(IF((Budget[Sort Code]=$B$6)*(Budget[Account Code]=$B75)*(Budget[Date]=O$7),Budget[Amount]))</f>
        <v>0</v>
      </c>
      <c r="P75" s="322">
        <f t="shared" si="2"/>
        <v>0</v>
      </c>
    </row>
    <row r="76" spans="1:16" s="171" customFormat="1">
      <c r="A76" s="321" t="s">
        <v>902</v>
      </c>
      <c r="B76" s="317"/>
      <c r="C76" s="322">
        <f>SUM(D76:O76)</f>
        <v>0</v>
      </c>
      <c r="D76" s="322">
        <f>D47+D50+D65+D70+D75</f>
        <v>0</v>
      </c>
      <c r="E76" s="322">
        <f t="shared" ref="E76:O76" si="15">E47+E50+E65+E70+E75</f>
        <v>0</v>
      </c>
      <c r="F76" s="322">
        <f t="shared" si="15"/>
        <v>0</v>
      </c>
      <c r="G76" s="322">
        <f t="shared" si="15"/>
        <v>0</v>
      </c>
      <c r="H76" s="322">
        <f t="shared" si="15"/>
        <v>0</v>
      </c>
      <c r="I76" s="322">
        <f t="shared" si="15"/>
        <v>0</v>
      </c>
      <c r="J76" s="322">
        <f t="shared" si="15"/>
        <v>0</v>
      </c>
      <c r="K76" s="322">
        <f t="shared" si="15"/>
        <v>0</v>
      </c>
      <c r="L76" s="322">
        <f t="shared" si="15"/>
        <v>0</v>
      </c>
      <c r="M76" s="322">
        <f t="shared" si="15"/>
        <v>0</v>
      </c>
      <c r="N76" s="322">
        <f t="shared" si="15"/>
        <v>0</v>
      </c>
      <c r="O76" s="322">
        <f t="shared" si="15"/>
        <v>0</v>
      </c>
      <c r="P76" s="322">
        <f t="shared" ref="P76:P139" si="16">C76</f>
        <v>0</v>
      </c>
    </row>
    <row r="77" spans="1:16" s="171" customFormat="1">
      <c r="A77" s="320" t="s">
        <v>903</v>
      </c>
      <c r="B77" s="317"/>
      <c r="C77" s="322">
        <f t="shared" ref="C77:C123" si="17">SUM(D77:O77)</f>
        <v>0</v>
      </c>
      <c r="D77" s="322">
        <f>D78+D79</f>
        <v>0</v>
      </c>
      <c r="E77" s="322">
        <f t="shared" ref="E77:O77" si="18">E78+E79</f>
        <v>0</v>
      </c>
      <c r="F77" s="322">
        <f t="shared" si="18"/>
        <v>0</v>
      </c>
      <c r="G77" s="322">
        <f t="shared" si="18"/>
        <v>0</v>
      </c>
      <c r="H77" s="322">
        <f t="shared" si="18"/>
        <v>0</v>
      </c>
      <c r="I77" s="322">
        <f t="shared" si="18"/>
        <v>0</v>
      </c>
      <c r="J77" s="322">
        <f t="shared" si="18"/>
        <v>0</v>
      </c>
      <c r="K77" s="322">
        <f t="shared" si="18"/>
        <v>0</v>
      </c>
      <c r="L77" s="322">
        <f t="shared" si="18"/>
        <v>0</v>
      </c>
      <c r="M77" s="322">
        <f t="shared" si="18"/>
        <v>0</v>
      </c>
      <c r="N77" s="322">
        <f t="shared" si="18"/>
        <v>0</v>
      </c>
      <c r="O77" s="322">
        <f t="shared" si="18"/>
        <v>0</v>
      </c>
      <c r="P77" s="322">
        <f t="shared" si="16"/>
        <v>0</v>
      </c>
    </row>
    <row r="78" spans="1:16">
      <c r="A78" s="325" t="s">
        <v>904</v>
      </c>
      <c r="B78" s="317"/>
      <c r="C78" s="319">
        <f t="shared" si="17"/>
        <v>0</v>
      </c>
      <c r="D78" s="319">
        <f t="array" ref="D78">SUM(IF((Budget[Sort Code]=$B$6)*(Budget[Account Code]=$B78)*(Budget[Date]=D$7),Budget[Amount]))</f>
        <v>0</v>
      </c>
      <c r="E78" s="319">
        <f t="array" ref="E78">SUM(IF((Budget[Sort Code]=$B$6)*(Budget[Account Code]=$B78)*(Budget[Date]=E$7),Budget[Amount]))</f>
        <v>0</v>
      </c>
      <c r="F78" s="319">
        <f t="array" ref="F78">SUM(IF((Budget[Sort Code]=$B$6)*(Budget[Account Code]=$B78)*(Budget[Date]=F$7),Budget[Amount]))</f>
        <v>0</v>
      </c>
      <c r="G78" s="319">
        <f t="array" ref="G78">SUM(IF((Budget[Sort Code]=$B$6)*(Budget[Account Code]=$B78)*(Budget[Date]=G$7),Budget[Amount]))</f>
        <v>0</v>
      </c>
      <c r="H78" s="319">
        <f t="array" ref="H78">SUM(IF((Budget[Sort Code]=$B$6)*(Budget[Account Code]=$B78)*(Budget[Date]=H$7),Budget[Amount]))</f>
        <v>0</v>
      </c>
      <c r="I78" s="319">
        <f t="array" ref="I78">SUM(IF((Budget[Sort Code]=$B$6)*(Budget[Account Code]=$B78)*(Budget[Date]=I$7),Budget[Amount]))</f>
        <v>0</v>
      </c>
      <c r="J78" s="319">
        <f t="array" ref="J78">SUM(IF((Budget[Sort Code]=$B$6)*(Budget[Account Code]=$B78)*(Budget[Date]=J$7),Budget[Amount]))</f>
        <v>0</v>
      </c>
      <c r="K78" s="319">
        <f t="array" ref="K78">SUM(IF((Budget[Sort Code]=$B$6)*(Budget[Account Code]=$B78)*(Budget[Date]=K$7),Budget[Amount]))</f>
        <v>0</v>
      </c>
      <c r="L78" s="319">
        <f t="array" ref="L78">SUM(IF((Budget[Sort Code]=$B$6)*(Budget[Account Code]=$B78)*(Budget[Date]=L$7),Budget[Amount]))</f>
        <v>0</v>
      </c>
      <c r="M78" s="319">
        <f t="array" ref="M78">SUM(IF((Budget[Sort Code]=$B$6)*(Budget[Account Code]=$B78)*(Budget[Date]=M$7),Budget[Amount]))</f>
        <v>0</v>
      </c>
      <c r="N78" s="319">
        <f t="array" ref="N78">SUM(IF((Budget[Sort Code]=$B$6)*(Budget[Account Code]=$B78)*(Budget[Date]=N$7),Budget[Amount]))</f>
        <v>0</v>
      </c>
      <c r="O78" s="319">
        <f t="array" ref="O78">SUM(IF((Budget[Sort Code]=$B$6)*(Budget[Account Code]=$B78)*(Budget[Date]=O$7),Budget[Amount]))</f>
        <v>0</v>
      </c>
      <c r="P78" s="319">
        <f t="shared" si="16"/>
        <v>0</v>
      </c>
    </row>
    <row r="79" spans="1:16">
      <c r="A79" s="325" t="s">
        <v>905</v>
      </c>
      <c r="B79" s="317" t="s">
        <v>212</v>
      </c>
      <c r="C79" s="319">
        <f t="shared" si="17"/>
        <v>0</v>
      </c>
      <c r="D79" s="319">
        <f t="array" ref="D79">SUM(IF((Budget[Sort Code]=$B$6)*(Budget[Account Code]=$B79)*(Budget[Date]=D$7),Budget[Amount]))</f>
        <v>0</v>
      </c>
      <c r="E79" s="319">
        <f t="array" ref="E79">SUM(IF((Budget[Sort Code]=$B$6)*(Budget[Account Code]=$B79)*(Budget[Date]=E$7),Budget[Amount]))</f>
        <v>0</v>
      </c>
      <c r="F79" s="319">
        <f t="array" ref="F79">SUM(IF((Budget[Sort Code]=$B$6)*(Budget[Account Code]=$B79)*(Budget[Date]=F$7),Budget[Amount]))</f>
        <v>0</v>
      </c>
      <c r="G79" s="319">
        <f t="array" ref="G79">SUM(IF((Budget[Sort Code]=$B$6)*(Budget[Account Code]=$B79)*(Budget[Date]=G$7),Budget[Amount]))</f>
        <v>0</v>
      </c>
      <c r="H79" s="319">
        <f t="array" ref="H79">SUM(IF((Budget[Sort Code]=$B$6)*(Budget[Account Code]=$B79)*(Budget[Date]=H$7),Budget[Amount]))</f>
        <v>0</v>
      </c>
      <c r="I79" s="319">
        <f t="array" ref="I79">SUM(IF((Budget[Sort Code]=$B$6)*(Budget[Account Code]=$B79)*(Budget[Date]=I$7),Budget[Amount]))</f>
        <v>0</v>
      </c>
      <c r="J79" s="319">
        <f t="array" ref="J79">SUM(IF((Budget[Sort Code]=$B$6)*(Budget[Account Code]=$B79)*(Budget[Date]=J$7),Budget[Amount]))</f>
        <v>0</v>
      </c>
      <c r="K79" s="319">
        <f t="array" ref="K79">SUM(IF((Budget[Sort Code]=$B$6)*(Budget[Account Code]=$B79)*(Budget[Date]=K$7),Budget[Amount]))</f>
        <v>0</v>
      </c>
      <c r="L79" s="319">
        <f t="array" ref="L79">SUM(IF((Budget[Sort Code]=$B$6)*(Budget[Account Code]=$B79)*(Budget[Date]=L$7),Budget[Amount]))</f>
        <v>0</v>
      </c>
      <c r="M79" s="319">
        <f t="array" ref="M79">SUM(IF((Budget[Sort Code]=$B$6)*(Budget[Account Code]=$B79)*(Budget[Date]=M$7),Budget[Amount]))</f>
        <v>0</v>
      </c>
      <c r="N79" s="319">
        <f t="array" ref="N79">SUM(IF((Budget[Sort Code]=$B$6)*(Budget[Account Code]=$B79)*(Budget[Date]=N$7),Budget[Amount]))</f>
        <v>0</v>
      </c>
      <c r="O79" s="319">
        <f t="array" ref="O79">SUM(IF((Budget[Sort Code]=$B$6)*(Budget[Account Code]=$B79)*(Budget[Date]=O$7),Budget[Amount]))</f>
        <v>0</v>
      </c>
      <c r="P79" s="319">
        <f t="shared" si="16"/>
        <v>0</v>
      </c>
    </row>
    <row r="80" spans="1:16" s="171" customFormat="1">
      <c r="A80" s="320" t="s">
        <v>906</v>
      </c>
      <c r="B80" s="317"/>
      <c r="C80" s="322">
        <f t="shared" si="17"/>
        <v>0</v>
      </c>
      <c r="D80" s="322">
        <f>D76+D77</f>
        <v>0</v>
      </c>
      <c r="E80" s="322">
        <f t="shared" ref="E80:O80" si="19">E76+E77</f>
        <v>0</v>
      </c>
      <c r="F80" s="322">
        <f t="shared" si="19"/>
        <v>0</v>
      </c>
      <c r="G80" s="322">
        <f t="shared" si="19"/>
        <v>0</v>
      </c>
      <c r="H80" s="322">
        <f t="shared" si="19"/>
        <v>0</v>
      </c>
      <c r="I80" s="322">
        <f t="shared" si="19"/>
        <v>0</v>
      </c>
      <c r="J80" s="322">
        <f t="shared" si="19"/>
        <v>0</v>
      </c>
      <c r="K80" s="322">
        <f t="shared" si="19"/>
        <v>0</v>
      </c>
      <c r="L80" s="322">
        <f t="shared" si="19"/>
        <v>0</v>
      </c>
      <c r="M80" s="322">
        <f t="shared" si="19"/>
        <v>0</v>
      </c>
      <c r="N80" s="322">
        <f t="shared" si="19"/>
        <v>0</v>
      </c>
      <c r="O80" s="322">
        <f t="shared" si="19"/>
        <v>0</v>
      </c>
      <c r="P80" s="322">
        <f t="shared" si="16"/>
        <v>0</v>
      </c>
    </row>
    <row r="81" spans="1:16" s="171" customFormat="1">
      <c r="A81" s="320"/>
      <c r="B81" s="317"/>
      <c r="C81" s="322"/>
      <c r="D81" s="322"/>
      <c r="E81" s="322"/>
      <c r="F81" s="322"/>
      <c r="G81" s="322"/>
      <c r="H81" s="322"/>
      <c r="I81" s="322"/>
      <c r="J81" s="322"/>
      <c r="K81" s="322"/>
      <c r="L81" s="322"/>
      <c r="M81" s="322"/>
      <c r="N81" s="322"/>
      <c r="O81" s="322"/>
      <c r="P81" s="322">
        <f t="shared" si="16"/>
        <v>0</v>
      </c>
    </row>
    <row r="82" spans="1:16" s="171" customFormat="1" hidden="1">
      <c r="A82" s="320" t="s">
        <v>907</v>
      </c>
      <c r="B82" s="317"/>
      <c r="C82" s="322">
        <f>C80-C61-C62-C71-C72-C74-C78-C79</f>
        <v>0</v>
      </c>
      <c r="D82" s="322"/>
      <c r="E82" s="322"/>
      <c r="F82" s="322"/>
      <c r="G82" s="322"/>
      <c r="H82" s="322"/>
      <c r="I82" s="322"/>
      <c r="J82" s="322"/>
      <c r="K82" s="322"/>
      <c r="L82" s="322"/>
      <c r="M82" s="322"/>
      <c r="N82" s="322"/>
      <c r="O82" s="322"/>
      <c r="P82" s="322">
        <f t="shared" si="16"/>
        <v>0</v>
      </c>
    </row>
    <row r="83" spans="1:16" s="171" customFormat="1" hidden="1">
      <c r="A83" s="320"/>
      <c r="B83" s="317"/>
      <c r="C83" s="322"/>
      <c r="D83" s="322"/>
      <c r="E83" s="322"/>
      <c r="F83" s="322"/>
      <c r="G83" s="322"/>
      <c r="H83" s="322"/>
      <c r="I83" s="322"/>
      <c r="J83" s="322"/>
      <c r="K83" s="322"/>
      <c r="L83" s="322"/>
      <c r="M83" s="322"/>
      <c r="N83" s="322"/>
      <c r="O83" s="322"/>
      <c r="P83" s="322">
        <f t="shared" si="16"/>
        <v>0</v>
      </c>
    </row>
    <row r="84" spans="1:16" s="171" customFormat="1" hidden="1">
      <c r="A84" s="320"/>
      <c r="B84" s="317"/>
      <c r="C84" s="322"/>
      <c r="D84" s="322"/>
      <c r="E84" s="322"/>
      <c r="F84" s="322"/>
      <c r="G84" s="322"/>
      <c r="H84" s="322"/>
      <c r="I84" s="322"/>
      <c r="J84" s="322"/>
      <c r="K84" s="322"/>
      <c r="L84" s="322"/>
      <c r="M84" s="322"/>
      <c r="N84" s="322"/>
      <c r="O84" s="322"/>
      <c r="P84" s="322">
        <f t="shared" si="16"/>
        <v>0</v>
      </c>
    </row>
    <row r="85" spans="1:16" s="171" customFormat="1" hidden="1">
      <c r="A85" s="320"/>
      <c r="B85" s="317"/>
      <c r="C85" s="322"/>
      <c r="D85" s="322"/>
      <c r="E85" s="322"/>
      <c r="F85" s="322"/>
      <c r="G85" s="322"/>
      <c r="H85" s="322"/>
      <c r="I85" s="322"/>
      <c r="J85" s="322"/>
      <c r="K85" s="322"/>
      <c r="L85" s="322"/>
      <c r="M85" s="322"/>
      <c r="N85" s="322"/>
      <c r="O85" s="322"/>
      <c r="P85" s="322">
        <f t="shared" si="16"/>
        <v>0</v>
      </c>
    </row>
    <row r="86" spans="1:16">
      <c r="A86" s="320" t="s">
        <v>908</v>
      </c>
      <c r="B86" s="317"/>
      <c r="C86" s="319"/>
      <c r="D86" s="319"/>
      <c r="E86" s="319"/>
      <c r="F86" s="319"/>
      <c r="G86" s="319"/>
      <c r="H86" s="319"/>
      <c r="I86" s="319"/>
      <c r="J86" s="319"/>
      <c r="K86" s="319"/>
      <c r="L86" s="319"/>
      <c r="M86" s="319"/>
      <c r="N86" s="319"/>
      <c r="O86" s="319"/>
      <c r="P86" s="319">
        <f t="shared" si="16"/>
        <v>0</v>
      </c>
    </row>
    <row r="87" spans="1:16" s="171" customFormat="1">
      <c r="A87" s="321" t="s">
        <v>909</v>
      </c>
      <c r="B87" s="317" t="s">
        <v>223</v>
      </c>
      <c r="C87" s="322">
        <f t="shared" si="17"/>
        <v>0</v>
      </c>
      <c r="D87" s="319">
        <f t="array" ref="D87">SUM(IF((Budget[Sort Code]=$B$6)*(Budget[Account Code]=$B87)*(Budget[Date]=D$7),Budget[Amount]))</f>
        <v>0</v>
      </c>
      <c r="E87" s="319">
        <f t="array" ref="E87">SUM(IF((Budget[Sort Code]=$B$6)*(Budget[Account Code]=$B87)*(Budget[Date]=E$7),Budget[Amount]))</f>
        <v>0</v>
      </c>
      <c r="F87" s="319">
        <f t="array" ref="F87">SUM(IF((Budget[Sort Code]=$B$6)*(Budget[Account Code]=$B87)*(Budget[Date]=F$7),Budget[Amount]))</f>
        <v>0</v>
      </c>
      <c r="G87" s="319">
        <f t="array" ref="G87">SUM(IF((Budget[Sort Code]=$B$6)*(Budget[Account Code]=$B87)*(Budget[Date]=G$7),Budget[Amount]))</f>
        <v>0</v>
      </c>
      <c r="H87" s="319">
        <f t="array" ref="H87">SUM(IF((Budget[Sort Code]=$B$6)*(Budget[Account Code]=$B87)*(Budget[Date]=H$7),Budget[Amount]))</f>
        <v>0</v>
      </c>
      <c r="I87" s="319">
        <f t="array" ref="I87">SUM(IF((Budget[Sort Code]=$B$6)*(Budget[Account Code]=$B87)*(Budget[Date]=I$7),Budget[Amount]))</f>
        <v>0</v>
      </c>
      <c r="J87" s="319">
        <f t="array" ref="J87">SUM(IF((Budget[Sort Code]=$B$6)*(Budget[Account Code]=$B87)*(Budget[Date]=J$7),Budget[Amount]))</f>
        <v>0</v>
      </c>
      <c r="K87" s="319">
        <f t="array" ref="K87">SUM(IF((Budget[Sort Code]=$B$6)*(Budget[Account Code]=$B87)*(Budget[Date]=K$7),Budget[Amount]))</f>
        <v>0</v>
      </c>
      <c r="L87" s="319">
        <f t="array" ref="L87">SUM(IF((Budget[Sort Code]=$B$6)*(Budget[Account Code]=$B87)*(Budget[Date]=L$7),Budget[Amount]))</f>
        <v>0</v>
      </c>
      <c r="M87" s="319">
        <f t="array" ref="M87">SUM(IF((Budget[Sort Code]=$B$6)*(Budget[Account Code]=$B87)*(Budget[Date]=M$7),Budget[Amount]))</f>
        <v>0</v>
      </c>
      <c r="N87" s="319">
        <f t="array" ref="N87">SUM(IF((Budget[Sort Code]=$B$6)*(Budget[Account Code]=$B87)*(Budget[Date]=N$7),Budget[Amount]))</f>
        <v>0</v>
      </c>
      <c r="O87" s="319">
        <f t="array" ref="O87">SUM(IF((Budget[Sort Code]=$B$6)*(Budget[Account Code]=$B87)*(Budget[Date]=O$7),Budget[Amount]))</f>
        <v>0</v>
      </c>
      <c r="P87" s="322">
        <f t="shared" si="16"/>
        <v>0</v>
      </c>
    </row>
    <row r="88" spans="1:16" s="171" customFormat="1">
      <c r="A88" s="321" t="s">
        <v>910</v>
      </c>
      <c r="B88" s="317" t="s">
        <v>224</v>
      </c>
      <c r="C88" s="322">
        <f t="shared" si="17"/>
        <v>0</v>
      </c>
      <c r="D88" s="319">
        <f t="array" ref="D88">SUM(IF((Budget[Sort Code]=$B$6)*(Budget[Account Code]=$B88)*(Budget[Date]=D$7),Budget[Amount]))</f>
        <v>0</v>
      </c>
      <c r="E88" s="319">
        <f t="array" ref="E88">SUM(IF((Budget[Sort Code]=$B$6)*(Budget[Account Code]=$B88)*(Budget[Date]=E$7),Budget[Amount]))</f>
        <v>0</v>
      </c>
      <c r="F88" s="319">
        <f t="array" ref="F88">SUM(IF((Budget[Sort Code]=$B$6)*(Budget[Account Code]=$B88)*(Budget[Date]=F$7),Budget[Amount]))</f>
        <v>0</v>
      </c>
      <c r="G88" s="319">
        <f t="array" ref="G88">SUM(IF((Budget[Sort Code]=$B$6)*(Budget[Account Code]=$B88)*(Budget[Date]=G$7),Budget[Amount]))</f>
        <v>0</v>
      </c>
      <c r="H88" s="319">
        <f t="array" ref="H88">SUM(IF((Budget[Sort Code]=$B$6)*(Budget[Account Code]=$B88)*(Budget[Date]=H$7),Budget[Amount]))</f>
        <v>0</v>
      </c>
      <c r="I88" s="319">
        <f t="array" ref="I88">SUM(IF((Budget[Sort Code]=$B$6)*(Budget[Account Code]=$B88)*(Budget[Date]=I$7),Budget[Amount]))</f>
        <v>0</v>
      </c>
      <c r="J88" s="319">
        <f t="array" ref="J88">SUM(IF((Budget[Sort Code]=$B$6)*(Budget[Account Code]=$B88)*(Budget[Date]=J$7),Budget[Amount]))</f>
        <v>0</v>
      </c>
      <c r="K88" s="319">
        <f t="array" ref="K88">SUM(IF((Budget[Sort Code]=$B$6)*(Budget[Account Code]=$B88)*(Budget[Date]=K$7),Budget[Amount]))</f>
        <v>0</v>
      </c>
      <c r="L88" s="319">
        <f t="array" ref="L88">SUM(IF((Budget[Sort Code]=$B$6)*(Budget[Account Code]=$B88)*(Budget[Date]=L$7),Budget[Amount]))</f>
        <v>0</v>
      </c>
      <c r="M88" s="319">
        <f t="array" ref="M88">SUM(IF((Budget[Sort Code]=$B$6)*(Budget[Account Code]=$B88)*(Budget[Date]=M$7),Budget[Amount]))</f>
        <v>0</v>
      </c>
      <c r="N88" s="319">
        <f t="array" ref="N88">SUM(IF((Budget[Sort Code]=$B$6)*(Budget[Account Code]=$B88)*(Budget[Date]=N$7),Budget[Amount]))</f>
        <v>0</v>
      </c>
      <c r="O88" s="319">
        <f t="array" ref="O88">SUM(IF((Budget[Sort Code]=$B$6)*(Budget[Account Code]=$B88)*(Budget[Date]=O$7),Budget[Amount]))</f>
        <v>0</v>
      </c>
      <c r="P88" s="322">
        <f t="shared" si="16"/>
        <v>0</v>
      </c>
    </row>
    <row r="89" spans="1:16" s="171" customFormat="1">
      <c r="A89" s="321" t="s">
        <v>911</v>
      </c>
      <c r="B89" s="317"/>
      <c r="C89" s="322">
        <f t="shared" si="17"/>
        <v>0</v>
      </c>
      <c r="D89" s="322">
        <f>SUM(D90:D96)</f>
        <v>0</v>
      </c>
      <c r="E89" s="322">
        <f t="shared" ref="E89:O89" si="20">SUM(E90:E96)</f>
        <v>0</v>
      </c>
      <c r="F89" s="322">
        <f t="shared" si="20"/>
        <v>0</v>
      </c>
      <c r="G89" s="322">
        <f t="shared" si="20"/>
        <v>0</v>
      </c>
      <c r="H89" s="322">
        <f t="shared" si="20"/>
        <v>0</v>
      </c>
      <c r="I89" s="322">
        <f t="shared" si="20"/>
        <v>0</v>
      </c>
      <c r="J89" s="322">
        <f t="shared" si="20"/>
        <v>0</v>
      </c>
      <c r="K89" s="322">
        <f t="shared" si="20"/>
        <v>0</v>
      </c>
      <c r="L89" s="322">
        <f t="shared" si="20"/>
        <v>0</v>
      </c>
      <c r="M89" s="322">
        <f t="shared" si="20"/>
        <v>0</v>
      </c>
      <c r="N89" s="322">
        <f t="shared" si="20"/>
        <v>0</v>
      </c>
      <c r="O89" s="322">
        <f t="shared" si="20"/>
        <v>0</v>
      </c>
      <c r="P89" s="322">
        <f t="shared" si="16"/>
        <v>0</v>
      </c>
    </row>
    <row r="90" spans="1:16">
      <c r="A90" s="323" t="s">
        <v>912</v>
      </c>
      <c r="B90" s="317" t="s">
        <v>225</v>
      </c>
      <c r="C90" s="319">
        <f t="shared" si="17"/>
        <v>0</v>
      </c>
      <c r="D90" s="319">
        <f t="array" ref="D90">SUM(IF((Budget[Sort Code]=$B$6)*(Budget[Account Code]=$B90)*(Budget[Date]=D$7),Budget[Amount]))</f>
        <v>0</v>
      </c>
      <c r="E90" s="319">
        <f t="array" ref="E90">SUM(IF((Budget[Sort Code]=$B$6)*(Budget[Account Code]=$B90)*(Budget[Date]=E$7),Budget[Amount]))</f>
        <v>0</v>
      </c>
      <c r="F90" s="319">
        <f t="array" ref="F90">SUM(IF((Budget[Sort Code]=$B$6)*(Budget[Account Code]=$B90)*(Budget[Date]=F$7),Budget[Amount]))</f>
        <v>0</v>
      </c>
      <c r="G90" s="319">
        <f t="array" ref="G90">SUM(IF((Budget[Sort Code]=$B$6)*(Budget[Account Code]=$B90)*(Budget[Date]=G$7),Budget[Amount]))</f>
        <v>0</v>
      </c>
      <c r="H90" s="319">
        <f t="array" ref="H90">SUM(IF((Budget[Sort Code]=$B$6)*(Budget[Account Code]=$B90)*(Budget[Date]=H$7),Budget[Amount]))</f>
        <v>0</v>
      </c>
      <c r="I90" s="319">
        <f t="array" ref="I90">SUM(IF((Budget[Sort Code]=$B$6)*(Budget[Account Code]=$B90)*(Budget[Date]=I$7),Budget[Amount]))</f>
        <v>0</v>
      </c>
      <c r="J90" s="319">
        <f t="array" ref="J90">SUM(IF((Budget[Sort Code]=$B$6)*(Budget[Account Code]=$B90)*(Budget[Date]=J$7),Budget[Amount]))</f>
        <v>0</v>
      </c>
      <c r="K90" s="319">
        <f t="array" ref="K90">SUM(IF((Budget[Sort Code]=$B$6)*(Budget[Account Code]=$B90)*(Budget[Date]=K$7),Budget[Amount]))</f>
        <v>0</v>
      </c>
      <c r="L90" s="319">
        <f t="array" ref="L90">SUM(IF((Budget[Sort Code]=$B$6)*(Budget[Account Code]=$B90)*(Budget[Date]=L$7),Budget[Amount]))</f>
        <v>0</v>
      </c>
      <c r="M90" s="319">
        <f t="array" ref="M90">SUM(IF((Budget[Sort Code]=$B$6)*(Budget[Account Code]=$B90)*(Budget[Date]=M$7),Budget[Amount]))</f>
        <v>0</v>
      </c>
      <c r="N90" s="319">
        <f t="array" ref="N90">SUM(IF((Budget[Sort Code]=$B$6)*(Budget[Account Code]=$B90)*(Budget[Date]=N$7),Budget[Amount]))</f>
        <v>0</v>
      </c>
      <c r="O90" s="319">
        <f t="array" ref="O90">SUM(IF((Budget[Sort Code]=$B$6)*(Budget[Account Code]=$B90)*(Budget[Date]=O$7),Budget[Amount]))</f>
        <v>0</v>
      </c>
      <c r="P90" s="319">
        <f t="shared" si="16"/>
        <v>0</v>
      </c>
    </row>
    <row r="91" spans="1:16">
      <c r="A91" s="323" t="s">
        <v>913</v>
      </c>
      <c r="B91" s="317" t="s">
        <v>226</v>
      </c>
      <c r="C91" s="319">
        <f t="shared" si="17"/>
        <v>0</v>
      </c>
      <c r="D91" s="319">
        <f t="array" ref="D91">SUM(IF((Budget[Sort Code]=$B$6)*(Budget[Account Code]=$B91)*(Budget[Date]=D$7),Budget[Amount]))</f>
        <v>0</v>
      </c>
      <c r="E91" s="319">
        <f t="array" ref="E91">SUM(IF((Budget[Sort Code]=$B$6)*(Budget[Account Code]=$B91)*(Budget[Date]=E$7),Budget[Amount]))</f>
        <v>0</v>
      </c>
      <c r="F91" s="319">
        <f t="array" ref="F91">SUM(IF((Budget[Sort Code]=$B$6)*(Budget[Account Code]=$B91)*(Budget[Date]=F$7),Budget[Amount]))</f>
        <v>0</v>
      </c>
      <c r="G91" s="319">
        <f t="array" ref="G91">SUM(IF((Budget[Sort Code]=$B$6)*(Budget[Account Code]=$B91)*(Budget[Date]=G$7),Budget[Amount]))</f>
        <v>0</v>
      </c>
      <c r="H91" s="319">
        <f t="array" ref="H91">SUM(IF((Budget[Sort Code]=$B$6)*(Budget[Account Code]=$B91)*(Budget[Date]=H$7),Budget[Amount]))</f>
        <v>0</v>
      </c>
      <c r="I91" s="319">
        <f t="array" ref="I91">SUM(IF((Budget[Sort Code]=$B$6)*(Budget[Account Code]=$B91)*(Budget[Date]=I$7),Budget[Amount]))</f>
        <v>0</v>
      </c>
      <c r="J91" s="319">
        <f t="array" ref="J91">SUM(IF((Budget[Sort Code]=$B$6)*(Budget[Account Code]=$B91)*(Budget[Date]=J$7),Budget[Amount]))</f>
        <v>0</v>
      </c>
      <c r="K91" s="319">
        <f t="array" ref="K91">SUM(IF((Budget[Sort Code]=$B$6)*(Budget[Account Code]=$B91)*(Budget[Date]=K$7),Budget[Amount]))</f>
        <v>0</v>
      </c>
      <c r="L91" s="319">
        <f t="array" ref="L91">SUM(IF((Budget[Sort Code]=$B$6)*(Budget[Account Code]=$B91)*(Budget[Date]=L$7),Budget[Amount]))</f>
        <v>0</v>
      </c>
      <c r="M91" s="319">
        <f t="array" ref="M91">SUM(IF((Budget[Sort Code]=$B$6)*(Budget[Account Code]=$B91)*(Budget[Date]=M$7),Budget[Amount]))</f>
        <v>0</v>
      </c>
      <c r="N91" s="319">
        <f t="array" ref="N91">SUM(IF((Budget[Sort Code]=$B$6)*(Budget[Account Code]=$B91)*(Budget[Date]=N$7),Budget[Amount]))</f>
        <v>0</v>
      </c>
      <c r="O91" s="319">
        <f t="array" ref="O91">SUM(IF((Budget[Sort Code]=$B$6)*(Budget[Account Code]=$B91)*(Budget[Date]=O$7),Budget[Amount]))</f>
        <v>0</v>
      </c>
      <c r="P91" s="319">
        <f t="shared" si="16"/>
        <v>0</v>
      </c>
    </row>
    <row r="92" spans="1:16">
      <c r="A92" s="323" t="s">
        <v>914</v>
      </c>
      <c r="B92" s="317" t="s">
        <v>227</v>
      </c>
      <c r="C92" s="319">
        <f t="shared" si="17"/>
        <v>0</v>
      </c>
      <c r="D92" s="319">
        <f t="array" ref="D92">SUM(IF((Budget[Sort Code]=$B$6)*(Budget[Account Code]=$B92)*(Budget[Date]=D$7),Budget[Amount]))</f>
        <v>0</v>
      </c>
      <c r="E92" s="319">
        <f t="array" ref="E92">SUM(IF((Budget[Sort Code]=$B$6)*(Budget[Account Code]=$B92)*(Budget[Date]=E$7),Budget[Amount]))</f>
        <v>0</v>
      </c>
      <c r="F92" s="319">
        <f t="array" ref="F92">SUM(IF((Budget[Sort Code]=$B$6)*(Budget[Account Code]=$B92)*(Budget[Date]=F$7),Budget[Amount]))</f>
        <v>0</v>
      </c>
      <c r="G92" s="319">
        <f t="array" ref="G92">SUM(IF((Budget[Sort Code]=$B$6)*(Budget[Account Code]=$B92)*(Budget[Date]=G$7),Budget[Amount]))</f>
        <v>0</v>
      </c>
      <c r="H92" s="319">
        <f t="array" ref="H92">SUM(IF((Budget[Sort Code]=$B$6)*(Budget[Account Code]=$B92)*(Budget[Date]=H$7),Budget[Amount]))</f>
        <v>0</v>
      </c>
      <c r="I92" s="319">
        <f t="array" ref="I92">SUM(IF((Budget[Sort Code]=$B$6)*(Budget[Account Code]=$B92)*(Budget[Date]=I$7),Budget[Amount]))</f>
        <v>0</v>
      </c>
      <c r="J92" s="319">
        <f t="array" ref="J92">SUM(IF((Budget[Sort Code]=$B$6)*(Budget[Account Code]=$B92)*(Budget[Date]=J$7),Budget[Amount]))</f>
        <v>0</v>
      </c>
      <c r="K92" s="319">
        <f t="array" ref="K92">SUM(IF((Budget[Sort Code]=$B$6)*(Budget[Account Code]=$B92)*(Budget[Date]=K$7),Budget[Amount]))</f>
        <v>0</v>
      </c>
      <c r="L92" s="319">
        <f t="array" ref="L92">SUM(IF((Budget[Sort Code]=$B$6)*(Budget[Account Code]=$B92)*(Budget[Date]=L$7),Budget[Amount]))</f>
        <v>0</v>
      </c>
      <c r="M92" s="319">
        <f t="array" ref="M92">SUM(IF((Budget[Sort Code]=$B$6)*(Budget[Account Code]=$B92)*(Budget[Date]=M$7),Budget[Amount]))</f>
        <v>0</v>
      </c>
      <c r="N92" s="319">
        <f t="array" ref="N92">SUM(IF((Budget[Sort Code]=$B$6)*(Budget[Account Code]=$B92)*(Budget[Date]=N$7),Budget[Amount]))</f>
        <v>0</v>
      </c>
      <c r="O92" s="319">
        <f t="array" ref="O92">SUM(IF((Budget[Sort Code]=$B$6)*(Budget[Account Code]=$B92)*(Budget[Date]=O$7),Budget[Amount]))</f>
        <v>0</v>
      </c>
      <c r="P92" s="319">
        <f t="shared" si="16"/>
        <v>0</v>
      </c>
    </row>
    <row r="93" spans="1:16">
      <c r="A93" s="323" t="s">
        <v>915</v>
      </c>
      <c r="B93" s="317" t="s">
        <v>228</v>
      </c>
      <c r="C93" s="319">
        <f t="shared" si="17"/>
        <v>0</v>
      </c>
      <c r="D93" s="319">
        <f t="array" ref="D93">SUM(IF((Budget[Sort Code]=$B$6)*(Budget[Account Code]=$B93)*(Budget[Date]=D$7),Budget[Amount]))</f>
        <v>0</v>
      </c>
      <c r="E93" s="319">
        <f t="array" ref="E93">SUM(IF((Budget[Sort Code]=$B$6)*(Budget[Account Code]=$B93)*(Budget[Date]=E$7),Budget[Amount]))</f>
        <v>0</v>
      </c>
      <c r="F93" s="319">
        <f t="array" ref="F93">SUM(IF((Budget[Sort Code]=$B$6)*(Budget[Account Code]=$B93)*(Budget[Date]=F$7),Budget[Amount]))</f>
        <v>0</v>
      </c>
      <c r="G93" s="319">
        <f t="array" ref="G93">SUM(IF((Budget[Sort Code]=$B$6)*(Budget[Account Code]=$B93)*(Budget[Date]=G$7),Budget[Amount]))</f>
        <v>0</v>
      </c>
      <c r="H93" s="319">
        <f t="array" ref="H93">SUM(IF((Budget[Sort Code]=$B$6)*(Budget[Account Code]=$B93)*(Budget[Date]=H$7),Budget[Amount]))</f>
        <v>0</v>
      </c>
      <c r="I93" s="319">
        <f t="array" ref="I93">SUM(IF((Budget[Sort Code]=$B$6)*(Budget[Account Code]=$B93)*(Budget[Date]=I$7),Budget[Amount]))</f>
        <v>0</v>
      </c>
      <c r="J93" s="319">
        <f t="array" ref="J93">SUM(IF((Budget[Sort Code]=$B$6)*(Budget[Account Code]=$B93)*(Budget[Date]=J$7),Budget[Amount]))</f>
        <v>0</v>
      </c>
      <c r="K93" s="319">
        <f t="array" ref="K93">SUM(IF((Budget[Sort Code]=$B$6)*(Budget[Account Code]=$B93)*(Budget[Date]=K$7),Budget[Amount]))</f>
        <v>0</v>
      </c>
      <c r="L93" s="319">
        <f t="array" ref="L93">SUM(IF((Budget[Sort Code]=$B$6)*(Budget[Account Code]=$B93)*(Budget[Date]=L$7),Budget[Amount]))</f>
        <v>0</v>
      </c>
      <c r="M93" s="319">
        <f t="array" ref="M93">SUM(IF((Budget[Sort Code]=$B$6)*(Budget[Account Code]=$B93)*(Budget[Date]=M$7),Budget[Amount]))</f>
        <v>0</v>
      </c>
      <c r="N93" s="319">
        <f t="array" ref="N93">SUM(IF((Budget[Sort Code]=$B$6)*(Budget[Account Code]=$B93)*(Budget[Date]=N$7),Budget[Amount]))</f>
        <v>0</v>
      </c>
      <c r="O93" s="319">
        <f t="array" ref="O93">SUM(IF((Budget[Sort Code]=$B$6)*(Budget[Account Code]=$B93)*(Budget[Date]=O$7),Budget[Amount]))</f>
        <v>0</v>
      </c>
      <c r="P93" s="319">
        <f t="shared" si="16"/>
        <v>0</v>
      </c>
    </row>
    <row r="94" spans="1:16">
      <c r="A94" s="323" t="s">
        <v>916</v>
      </c>
      <c r="B94" s="317" t="s">
        <v>229</v>
      </c>
      <c r="C94" s="319">
        <f t="shared" si="17"/>
        <v>0</v>
      </c>
      <c r="D94" s="319">
        <f t="array" ref="D94">SUM(IF((Budget[Sort Code]=$B$6)*(Budget[Account Code]=$B94)*(Budget[Date]=D$7),Budget[Amount]))</f>
        <v>0</v>
      </c>
      <c r="E94" s="319">
        <f t="array" ref="E94">SUM(IF((Budget[Sort Code]=$B$6)*(Budget[Account Code]=$B94)*(Budget[Date]=E$7),Budget[Amount]))</f>
        <v>0</v>
      </c>
      <c r="F94" s="319">
        <f t="array" ref="F94">SUM(IF((Budget[Sort Code]=$B$6)*(Budget[Account Code]=$B94)*(Budget[Date]=F$7),Budget[Amount]))</f>
        <v>0</v>
      </c>
      <c r="G94" s="319">
        <f t="array" ref="G94">SUM(IF((Budget[Sort Code]=$B$6)*(Budget[Account Code]=$B94)*(Budget[Date]=G$7),Budget[Amount]))</f>
        <v>0</v>
      </c>
      <c r="H94" s="319">
        <f t="array" ref="H94">SUM(IF((Budget[Sort Code]=$B$6)*(Budget[Account Code]=$B94)*(Budget[Date]=H$7),Budget[Amount]))</f>
        <v>0</v>
      </c>
      <c r="I94" s="319">
        <f t="array" ref="I94">SUM(IF((Budget[Sort Code]=$B$6)*(Budget[Account Code]=$B94)*(Budget[Date]=I$7),Budget[Amount]))</f>
        <v>0</v>
      </c>
      <c r="J94" s="319">
        <f t="array" ref="J94">SUM(IF((Budget[Sort Code]=$B$6)*(Budget[Account Code]=$B94)*(Budget[Date]=J$7),Budget[Amount]))</f>
        <v>0</v>
      </c>
      <c r="K94" s="319">
        <f t="array" ref="K94">SUM(IF((Budget[Sort Code]=$B$6)*(Budget[Account Code]=$B94)*(Budget[Date]=K$7),Budget[Amount]))</f>
        <v>0</v>
      </c>
      <c r="L94" s="319">
        <f t="array" ref="L94">SUM(IF((Budget[Sort Code]=$B$6)*(Budget[Account Code]=$B94)*(Budget[Date]=L$7),Budget[Amount]))</f>
        <v>0</v>
      </c>
      <c r="M94" s="319">
        <f t="array" ref="M94">SUM(IF((Budget[Sort Code]=$B$6)*(Budget[Account Code]=$B94)*(Budget[Date]=M$7),Budget[Amount]))</f>
        <v>0</v>
      </c>
      <c r="N94" s="319">
        <f t="array" ref="N94">SUM(IF((Budget[Sort Code]=$B$6)*(Budget[Account Code]=$B94)*(Budget[Date]=N$7),Budget[Amount]))</f>
        <v>0</v>
      </c>
      <c r="O94" s="319">
        <f t="array" ref="O94">SUM(IF((Budget[Sort Code]=$B$6)*(Budget[Account Code]=$B94)*(Budget[Date]=O$7),Budget[Amount]))</f>
        <v>0</v>
      </c>
      <c r="P94" s="319">
        <f t="shared" si="16"/>
        <v>0</v>
      </c>
    </row>
    <row r="95" spans="1:16">
      <c r="A95" s="323" t="s">
        <v>917</v>
      </c>
      <c r="B95" s="317" t="s">
        <v>230</v>
      </c>
      <c r="C95" s="319">
        <f t="shared" si="17"/>
        <v>0</v>
      </c>
      <c r="D95" s="319">
        <f t="array" ref="D95">SUM(IF((Budget[Sort Code]=$B$6)*(Budget[Account Code]=$B95)*(Budget[Date]=D$7),Budget[Amount]))</f>
        <v>0</v>
      </c>
      <c r="E95" s="319">
        <f t="array" ref="E95">SUM(IF((Budget[Sort Code]=$B$6)*(Budget[Account Code]=$B95)*(Budget[Date]=E$7),Budget[Amount]))</f>
        <v>0</v>
      </c>
      <c r="F95" s="319">
        <f t="array" ref="F95">SUM(IF((Budget[Sort Code]=$B$6)*(Budget[Account Code]=$B95)*(Budget[Date]=F$7),Budget[Amount]))</f>
        <v>0</v>
      </c>
      <c r="G95" s="319">
        <f t="array" ref="G95">SUM(IF((Budget[Sort Code]=$B$6)*(Budget[Account Code]=$B95)*(Budget[Date]=G$7),Budget[Amount]))</f>
        <v>0</v>
      </c>
      <c r="H95" s="319">
        <f t="array" ref="H95">SUM(IF((Budget[Sort Code]=$B$6)*(Budget[Account Code]=$B95)*(Budget[Date]=H$7),Budget[Amount]))</f>
        <v>0</v>
      </c>
      <c r="I95" s="319">
        <f t="array" ref="I95">SUM(IF((Budget[Sort Code]=$B$6)*(Budget[Account Code]=$B95)*(Budget[Date]=I$7),Budget[Amount]))</f>
        <v>0</v>
      </c>
      <c r="J95" s="319">
        <f t="array" ref="J95">SUM(IF((Budget[Sort Code]=$B$6)*(Budget[Account Code]=$B95)*(Budget[Date]=J$7),Budget[Amount]))</f>
        <v>0</v>
      </c>
      <c r="K95" s="319">
        <f t="array" ref="K95">SUM(IF((Budget[Sort Code]=$B$6)*(Budget[Account Code]=$B95)*(Budget[Date]=K$7),Budget[Amount]))</f>
        <v>0</v>
      </c>
      <c r="L95" s="319">
        <f t="array" ref="L95">SUM(IF((Budget[Sort Code]=$B$6)*(Budget[Account Code]=$B95)*(Budget[Date]=L$7),Budget[Amount]))</f>
        <v>0</v>
      </c>
      <c r="M95" s="319">
        <f t="array" ref="M95">SUM(IF((Budget[Sort Code]=$B$6)*(Budget[Account Code]=$B95)*(Budget[Date]=M$7),Budget[Amount]))</f>
        <v>0</v>
      </c>
      <c r="N95" s="319">
        <f t="array" ref="N95">SUM(IF((Budget[Sort Code]=$B$6)*(Budget[Account Code]=$B95)*(Budget[Date]=N$7),Budget[Amount]))</f>
        <v>0</v>
      </c>
      <c r="O95" s="319">
        <f t="array" ref="O95">SUM(IF((Budget[Sort Code]=$B$6)*(Budget[Account Code]=$B95)*(Budget[Date]=O$7),Budget[Amount]))</f>
        <v>0</v>
      </c>
      <c r="P95" s="319">
        <f t="shared" si="16"/>
        <v>0</v>
      </c>
    </row>
    <row r="96" spans="1:16">
      <c r="A96" s="323" t="s">
        <v>918</v>
      </c>
      <c r="B96" s="317" t="s">
        <v>231</v>
      </c>
      <c r="C96" s="319">
        <f t="shared" si="17"/>
        <v>0</v>
      </c>
      <c r="D96" s="319">
        <f t="array" ref="D96">SUM(IF((Budget[Sort Code]=$B$6)*(Budget[Account Code]=$B96)*(Budget[Date]=D$7),Budget[Amount]))</f>
        <v>0</v>
      </c>
      <c r="E96" s="319">
        <f t="array" ref="E96">SUM(IF((Budget[Sort Code]=$B$6)*(Budget[Account Code]=$B96)*(Budget[Date]=E$7),Budget[Amount]))</f>
        <v>0</v>
      </c>
      <c r="F96" s="319">
        <f t="array" ref="F96">SUM(IF((Budget[Sort Code]=$B$6)*(Budget[Account Code]=$B96)*(Budget[Date]=F$7),Budget[Amount]))</f>
        <v>0</v>
      </c>
      <c r="G96" s="319">
        <f t="array" ref="G96">SUM(IF((Budget[Sort Code]=$B$6)*(Budget[Account Code]=$B96)*(Budget[Date]=G$7),Budget[Amount]))</f>
        <v>0</v>
      </c>
      <c r="H96" s="319">
        <f t="array" ref="H96">SUM(IF((Budget[Sort Code]=$B$6)*(Budget[Account Code]=$B96)*(Budget[Date]=H$7),Budget[Amount]))</f>
        <v>0</v>
      </c>
      <c r="I96" s="319">
        <f t="array" ref="I96">SUM(IF((Budget[Sort Code]=$B$6)*(Budget[Account Code]=$B96)*(Budget[Date]=I$7),Budget[Amount]))</f>
        <v>0</v>
      </c>
      <c r="J96" s="319">
        <f t="array" ref="J96">SUM(IF((Budget[Sort Code]=$B$6)*(Budget[Account Code]=$B96)*(Budget[Date]=J$7),Budget[Amount]))</f>
        <v>0</v>
      </c>
      <c r="K96" s="319">
        <f t="array" ref="K96">SUM(IF((Budget[Sort Code]=$B$6)*(Budget[Account Code]=$B96)*(Budget[Date]=K$7),Budget[Amount]))</f>
        <v>0</v>
      </c>
      <c r="L96" s="319">
        <f t="array" ref="L96">SUM(IF((Budget[Sort Code]=$B$6)*(Budget[Account Code]=$B96)*(Budget[Date]=L$7),Budget[Amount]))</f>
        <v>0</v>
      </c>
      <c r="M96" s="319">
        <f t="array" ref="M96">SUM(IF((Budget[Sort Code]=$B$6)*(Budget[Account Code]=$B96)*(Budget[Date]=M$7),Budget[Amount]))</f>
        <v>0</v>
      </c>
      <c r="N96" s="319">
        <f t="array" ref="N96">SUM(IF((Budget[Sort Code]=$B$6)*(Budget[Account Code]=$B96)*(Budget[Date]=N$7),Budget[Amount]))</f>
        <v>0</v>
      </c>
      <c r="O96" s="319">
        <f t="array" ref="O96">SUM(IF((Budget[Sort Code]=$B$6)*(Budget[Account Code]=$B96)*(Budget[Date]=O$7),Budget[Amount]))</f>
        <v>0</v>
      </c>
      <c r="P96" s="319">
        <f t="shared" si="16"/>
        <v>0</v>
      </c>
    </row>
    <row r="97" spans="1:16" s="171" customFormat="1">
      <c r="A97" s="321" t="s">
        <v>919</v>
      </c>
      <c r="B97" s="317"/>
      <c r="C97" s="322">
        <f t="shared" si="17"/>
        <v>0</v>
      </c>
      <c r="D97" s="322">
        <f>D98+D99</f>
        <v>0</v>
      </c>
      <c r="E97" s="322">
        <f t="shared" ref="E97:O97" si="21">E98+E99</f>
        <v>0</v>
      </c>
      <c r="F97" s="322">
        <f t="shared" si="21"/>
        <v>0</v>
      </c>
      <c r="G97" s="322">
        <f t="shared" si="21"/>
        <v>0</v>
      </c>
      <c r="H97" s="322">
        <f t="shared" si="21"/>
        <v>0</v>
      </c>
      <c r="I97" s="322">
        <f t="shared" si="21"/>
        <v>0</v>
      </c>
      <c r="J97" s="322">
        <f t="shared" si="21"/>
        <v>0</v>
      </c>
      <c r="K97" s="322">
        <f t="shared" si="21"/>
        <v>0</v>
      </c>
      <c r="L97" s="322">
        <f t="shared" si="21"/>
        <v>0</v>
      </c>
      <c r="M97" s="322">
        <f t="shared" si="21"/>
        <v>0</v>
      </c>
      <c r="N97" s="322">
        <f t="shared" si="21"/>
        <v>0</v>
      </c>
      <c r="O97" s="322">
        <f t="shared" si="21"/>
        <v>0</v>
      </c>
      <c r="P97" s="322">
        <f t="shared" si="16"/>
        <v>0</v>
      </c>
    </row>
    <row r="98" spans="1:16">
      <c r="A98" s="323" t="s">
        <v>920</v>
      </c>
      <c r="B98" s="317" t="s">
        <v>232</v>
      </c>
      <c r="C98" s="319">
        <f t="shared" si="17"/>
        <v>0</v>
      </c>
      <c r="D98" s="319">
        <f t="array" ref="D98">SUM(IF((Budget[Sort Code]=$B$6)*(Budget[Account Code]=$B98)*(Budget[Date]=D$7),Budget[Amount]))</f>
        <v>0</v>
      </c>
      <c r="E98" s="319">
        <f t="array" ref="E98">SUM(IF((Budget[Sort Code]=$B$6)*(Budget[Account Code]=$B98)*(Budget[Date]=E$7),Budget[Amount]))</f>
        <v>0</v>
      </c>
      <c r="F98" s="319">
        <f t="array" ref="F98">SUM(IF((Budget[Sort Code]=$B$6)*(Budget[Account Code]=$B98)*(Budget[Date]=F$7),Budget[Amount]))</f>
        <v>0</v>
      </c>
      <c r="G98" s="319">
        <f t="array" ref="G98">SUM(IF((Budget[Sort Code]=$B$6)*(Budget[Account Code]=$B98)*(Budget[Date]=G$7),Budget[Amount]))</f>
        <v>0</v>
      </c>
      <c r="H98" s="319">
        <f t="array" ref="H98">SUM(IF((Budget[Sort Code]=$B$6)*(Budget[Account Code]=$B98)*(Budget[Date]=H$7),Budget[Amount]))</f>
        <v>0</v>
      </c>
      <c r="I98" s="319">
        <f t="array" ref="I98">SUM(IF((Budget[Sort Code]=$B$6)*(Budget[Account Code]=$B98)*(Budget[Date]=I$7),Budget[Amount]))</f>
        <v>0</v>
      </c>
      <c r="J98" s="319">
        <f t="array" ref="J98">SUM(IF((Budget[Sort Code]=$B$6)*(Budget[Account Code]=$B98)*(Budget[Date]=J$7),Budget[Amount]))</f>
        <v>0</v>
      </c>
      <c r="K98" s="319">
        <f t="array" ref="K98">SUM(IF((Budget[Sort Code]=$B$6)*(Budget[Account Code]=$B98)*(Budget[Date]=K$7),Budget[Amount]))</f>
        <v>0</v>
      </c>
      <c r="L98" s="319">
        <f t="array" ref="L98">SUM(IF((Budget[Sort Code]=$B$6)*(Budget[Account Code]=$B98)*(Budget[Date]=L$7),Budget[Amount]))</f>
        <v>0</v>
      </c>
      <c r="M98" s="319">
        <f t="array" ref="M98">SUM(IF((Budget[Sort Code]=$B$6)*(Budget[Account Code]=$B98)*(Budget[Date]=M$7),Budget[Amount]))</f>
        <v>0</v>
      </c>
      <c r="N98" s="319">
        <f t="array" ref="N98">SUM(IF((Budget[Sort Code]=$B$6)*(Budget[Account Code]=$B98)*(Budget[Date]=N$7),Budget[Amount]))</f>
        <v>0</v>
      </c>
      <c r="O98" s="319">
        <f t="array" ref="O98">SUM(IF((Budget[Sort Code]=$B$6)*(Budget[Account Code]=$B98)*(Budget[Date]=O$7),Budget[Amount]))</f>
        <v>0</v>
      </c>
      <c r="P98" s="319">
        <f t="shared" si="16"/>
        <v>0</v>
      </c>
    </row>
    <row r="99" spans="1:16">
      <c r="A99" s="323" t="s">
        <v>921</v>
      </c>
      <c r="B99" s="317"/>
      <c r="C99" s="319">
        <f t="shared" si="17"/>
        <v>0</v>
      </c>
      <c r="D99" s="319">
        <f>SUM(D100:D101)</f>
        <v>0</v>
      </c>
      <c r="E99" s="319">
        <f t="shared" ref="E99:O99" si="22">SUM(E100:E101)</f>
        <v>0</v>
      </c>
      <c r="F99" s="319">
        <f t="shared" si="22"/>
        <v>0</v>
      </c>
      <c r="G99" s="319">
        <f t="shared" si="22"/>
        <v>0</v>
      </c>
      <c r="H99" s="319">
        <f t="shared" si="22"/>
        <v>0</v>
      </c>
      <c r="I99" s="319">
        <f t="shared" si="22"/>
        <v>0</v>
      </c>
      <c r="J99" s="319">
        <f t="shared" si="22"/>
        <v>0</v>
      </c>
      <c r="K99" s="319">
        <f t="shared" si="22"/>
        <v>0</v>
      </c>
      <c r="L99" s="319">
        <f t="shared" si="22"/>
        <v>0</v>
      </c>
      <c r="M99" s="319">
        <f t="shared" si="22"/>
        <v>0</v>
      </c>
      <c r="N99" s="319">
        <f t="shared" si="22"/>
        <v>0</v>
      </c>
      <c r="O99" s="319">
        <f t="shared" si="22"/>
        <v>0</v>
      </c>
      <c r="P99" s="319">
        <f t="shared" si="16"/>
        <v>0</v>
      </c>
    </row>
    <row r="100" spans="1:16">
      <c r="A100" s="323" t="s">
        <v>922</v>
      </c>
      <c r="B100" s="317" t="s">
        <v>233</v>
      </c>
      <c r="C100" s="319">
        <f t="shared" si="17"/>
        <v>0</v>
      </c>
      <c r="D100" s="319">
        <f t="array" ref="D100">SUM(IF((Budget[Sort Code]=$B$6)*(Budget[Account Code]=$B100)*(Budget[Date]=D$7),Budget[Amount]))</f>
        <v>0</v>
      </c>
      <c r="E100" s="319">
        <f t="array" ref="E100">SUM(IF((Budget[Sort Code]=$B$6)*(Budget[Account Code]=$B100)*(Budget[Date]=E$7),Budget[Amount]))</f>
        <v>0</v>
      </c>
      <c r="F100" s="319">
        <f t="array" ref="F100">SUM(IF((Budget[Sort Code]=$B$6)*(Budget[Account Code]=$B100)*(Budget[Date]=F$7),Budget[Amount]))</f>
        <v>0</v>
      </c>
      <c r="G100" s="319">
        <f t="array" ref="G100">SUM(IF((Budget[Sort Code]=$B$6)*(Budget[Account Code]=$B100)*(Budget[Date]=G$7),Budget[Amount]))</f>
        <v>0</v>
      </c>
      <c r="H100" s="319">
        <f t="array" ref="H100">SUM(IF((Budget[Sort Code]=$B$6)*(Budget[Account Code]=$B100)*(Budget[Date]=H$7),Budget[Amount]))</f>
        <v>0</v>
      </c>
      <c r="I100" s="319">
        <f t="array" ref="I100">SUM(IF((Budget[Sort Code]=$B$6)*(Budget[Account Code]=$B100)*(Budget[Date]=I$7),Budget[Amount]))</f>
        <v>0</v>
      </c>
      <c r="J100" s="319">
        <f t="array" ref="J100">SUM(IF((Budget[Sort Code]=$B$6)*(Budget[Account Code]=$B100)*(Budget[Date]=J$7),Budget[Amount]))</f>
        <v>0</v>
      </c>
      <c r="K100" s="319">
        <f t="array" ref="K100">SUM(IF((Budget[Sort Code]=$B$6)*(Budget[Account Code]=$B100)*(Budget[Date]=K$7),Budget[Amount]))</f>
        <v>0</v>
      </c>
      <c r="L100" s="319">
        <f t="array" ref="L100">SUM(IF((Budget[Sort Code]=$B$6)*(Budget[Account Code]=$B100)*(Budget[Date]=L$7),Budget[Amount]))</f>
        <v>0</v>
      </c>
      <c r="M100" s="319">
        <f t="array" ref="M100">SUM(IF((Budget[Sort Code]=$B$6)*(Budget[Account Code]=$B100)*(Budget[Date]=M$7),Budget[Amount]))</f>
        <v>0</v>
      </c>
      <c r="N100" s="319">
        <f t="array" ref="N100">SUM(IF((Budget[Sort Code]=$B$6)*(Budget[Account Code]=$B100)*(Budget[Date]=N$7),Budget[Amount]))</f>
        <v>0</v>
      </c>
      <c r="O100" s="319">
        <f t="array" ref="O100">SUM(IF((Budget[Sort Code]=$B$6)*(Budget[Account Code]=$B100)*(Budget[Date]=O$7),Budget[Amount]))</f>
        <v>0</v>
      </c>
      <c r="P100" s="319">
        <f t="shared" si="16"/>
        <v>0</v>
      </c>
    </row>
    <row r="101" spans="1:16">
      <c r="A101" s="323" t="s">
        <v>923</v>
      </c>
      <c r="B101" s="317"/>
      <c r="C101" s="319">
        <f t="shared" si="17"/>
        <v>0</v>
      </c>
      <c r="D101" s="319">
        <f t="array" ref="D101">SUM(IF((Budget[Sort Code]=$B$6)*(Budget[Account Code]=$B101)*(Budget[Date]=D$7),Budget[Amount]))</f>
        <v>0</v>
      </c>
      <c r="E101" s="319">
        <f t="array" ref="E101">SUM(IF((Budget[Sort Code]=$B$6)*(Budget[Account Code]=$B101)*(Budget[Date]=E$7),Budget[Amount]))</f>
        <v>0</v>
      </c>
      <c r="F101" s="319">
        <f t="array" ref="F101">SUM(IF((Budget[Sort Code]=$B$6)*(Budget[Account Code]=$B101)*(Budget[Date]=F$7),Budget[Amount]))</f>
        <v>0</v>
      </c>
      <c r="G101" s="319">
        <f t="array" ref="G101">SUM(IF((Budget[Sort Code]=$B$6)*(Budget[Account Code]=$B101)*(Budget[Date]=G$7),Budget[Amount]))</f>
        <v>0</v>
      </c>
      <c r="H101" s="319">
        <f t="array" ref="H101">SUM(IF((Budget[Sort Code]=$B$6)*(Budget[Account Code]=$B101)*(Budget[Date]=H$7),Budget[Amount]))</f>
        <v>0</v>
      </c>
      <c r="I101" s="319">
        <f t="array" ref="I101">SUM(IF((Budget[Sort Code]=$B$6)*(Budget[Account Code]=$B101)*(Budget[Date]=I$7),Budget[Amount]))</f>
        <v>0</v>
      </c>
      <c r="J101" s="319">
        <f t="array" ref="J101">SUM(IF((Budget[Sort Code]=$B$6)*(Budget[Account Code]=$B101)*(Budget[Date]=J$7),Budget[Amount]))</f>
        <v>0</v>
      </c>
      <c r="K101" s="319">
        <f t="array" ref="K101">SUM(IF((Budget[Sort Code]=$B$6)*(Budget[Account Code]=$B101)*(Budget[Date]=K$7),Budget[Amount]))</f>
        <v>0</v>
      </c>
      <c r="L101" s="319">
        <f t="array" ref="L101">SUM(IF((Budget[Sort Code]=$B$6)*(Budget[Account Code]=$B101)*(Budget[Date]=L$7),Budget[Amount]))</f>
        <v>0</v>
      </c>
      <c r="M101" s="319">
        <f t="array" ref="M101">SUM(IF((Budget[Sort Code]=$B$6)*(Budget[Account Code]=$B101)*(Budget[Date]=M$7),Budget[Amount]))</f>
        <v>0</v>
      </c>
      <c r="N101" s="319">
        <f t="array" ref="N101">SUM(IF((Budget[Sort Code]=$B$6)*(Budget[Account Code]=$B101)*(Budget[Date]=N$7),Budget[Amount]))</f>
        <v>0</v>
      </c>
      <c r="O101" s="319">
        <f t="array" ref="O101">SUM(IF((Budget[Sort Code]=$B$6)*(Budget[Account Code]=$B101)*(Budget[Date]=O$7),Budget[Amount]))</f>
        <v>0</v>
      </c>
      <c r="P101" s="319">
        <f t="shared" si="16"/>
        <v>0</v>
      </c>
    </row>
    <row r="102" spans="1:16" s="171" customFormat="1">
      <c r="A102" s="321" t="s">
        <v>924</v>
      </c>
      <c r="B102" s="317"/>
      <c r="C102" s="322">
        <f t="shared" si="17"/>
        <v>0</v>
      </c>
      <c r="D102" s="322">
        <f>SUM(D103:D107)</f>
        <v>0</v>
      </c>
      <c r="E102" s="322">
        <f t="shared" ref="E102:O102" si="23">SUM(E103:E107)</f>
        <v>0</v>
      </c>
      <c r="F102" s="322">
        <f t="shared" si="23"/>
        <v>0</v>
      </c>
      <c r="G102" s="322">
        <f t="shared" si="23"/>
        <v>0</v>
      </c>
      <c r="H102" s="322">
        <f t="shared" si="23"/>
        <v>0</v>
      </c>
      <c r="I102" s="322">
        <f t="shared" si="23"/>
        <v>0</v>
      </c>
      <c r="J102" s="322">
        <f t="shared" si="23"/>
        <v>0</v>
      </c>
      <c r="K102" s="322">
        <f t="shared" si="23"/>
        <v>0</v>
      </c>
      <c r="L102" s="322">
        <f t="shared" si="23"/>
        <v>0</v>
      </c>
      <c r="M102" s="322">
        <f t="shared" si="23"/>
        <v>0</v>
      </c>
      <c r="N102" s="322">
        <f t="shared" si="23"/>
        <v>0</v>
      </c>
      <c r="O102" s="322">
        <f t="shared" si="23"/>
        <v>0</v>
      </c>
      <c r="P102" s="322">
        <f t="shared" si="16"/>
        <v>0</v>
      </c>
    </row>
    <row r="103" spans="1:16">
      <c r="A103" s="323" t="s">
        <v>925</v>
      </c>
      <c r="B103" s="317" t="s">
        <v>234</v>
      </c>
      <c r="C103" s="319">
        <f t="shared" si="17"/>
        <v>0</v>
      </c>
      <c r="D103" s="319">
        <f t="array" ref="D103">SUM(IF((Budget[Sort Code]=$B$6)*(Budget[Account Code]=$B103)*(Budget[Date]=D$7),Budget[Amount]))</f>
        <v>0</v>
      </c>
      <c r="E103" s="319">
        <f t="array" ref="E103">SUM(IF((Budget[Sort Code]=$B$6)*(Budget[Account Code]=$B103)*(Budget[Date]=E$7),Budget[Amount]))</f>
        <v>0</v>
      </c>
      <c r="F103" s="319">
        <f t="array" ref="F103">SUM(IF((Budget[Sort Code]=$B$6)*(Budget[Account Code]=$B103)*(Budget[Date]=F$7),Budget[Amount]))</f>
        <v>0</v>
      </c>
      <c r="G103" s="319">
        <f t="array" ref="G103">SUM(IF((Budget[Sort Code]=$B$6)*(Budget[Account Code]=$B103)*(Budget[Date]=G$7),Budget[Amount]))</f>
        <v>0</v>
      </c>
      <c r="H103" s="319">
        <f t="array" ref="H103">SUM(IF((Budget[Sort Code]=$B$6)*(Budget[Account Code]=$B103)*(Budget[Date]=H$7),Budget[Amount]))</f>
        <v>0</v>
      </c>
      <c r="I103" s="319">
        <f t="array" ref="I103">SUM(IF((Budget[Sort Code]=$B$6)*(Budget[Account Code]=$B103)*(Budget[Date]=I$7),Budget[Amount]))</f>
        <v>0</v>
      </c>
      <c r="J103" s="319">
        <f t="array" ref="J103">SUM(IF((Budget[Sort Code]=$B$6)*(Budget[Account Code]=$B103)*(Budget[Date]=J$7),Budget[Amount]))</f>
        <v>0</v>
      </c>
      <c r="K103" s="319">
        <f t="array" ref="K103">SUM(IF((Budget[Sort Code]=$B$6)*(Budget[Account Code]=$B103)*(Budget[Date]=K$7),Budget[Amount]))</f>
        <v>0</v>
      </c>
      <c r="L103" s="319">
        <f t="array" ref="L103">SUM(IF((Budget[Sort Code]=$B$6)*(Budget[Account Code]=$B103)*(Budget[Date]=L$7),Budget[Amount]))</f>
        <v>0</v>
      </c>
      <c r="M103" s="319">
        <f t="array" ref="M103">SUM(IF((Budget[Sort Code]=$B$6)*(Budget[Account Code]=$B103)*(Budget[Date]=M$7),Budget[Amount]))</f>
        <v>0</v>
      </c>
      <c r="N103" s="319">
        <f t="array" ref="N103">SUM(IF((Budget[Sort Code]=$B$6)*(Budget[Account Code]=$B103)*(Budget[Date]=N$7),Budget[Amount]))</f>
        <v>0</v>
      </c>
      <c r="O103" s="319">
        <f t="array" ref="O103">SUM(IF((Budget[Sort Code]=$B$6)*(Budget[Account Code]=$B103)*(Budget[Date]=O$7),Budget[Amount]))</f>
        <v>0</v>
      </c>
      <c r="P103" s="319">
        <f t="shared" si="16"/>
        <v>0</v>
      </c>
    </row>
    <row r="104" spans="1:16">
      <c r="A104" s="323" t="s">
        <v>926</v>
      </c>
      <c r="B104" s="317" t="s">
        <v>235</v>
      </c>
      <c r="C104" s="319">
        <f t="shared" si="17"/>
        <v>0</v>
      </c>
      <c r="D104" s="319">
        <f t="array" ref="D104">SUM(IF((Budget[Sort Code]=$B$6)*(Budget[Account Code]=$B104)*(Budget[Date]=D$7),Budget[Amount]))</f>
        <v>0</v>
      </c>
      <c r="E104" s="319">
        <f t="array" ref="E104">SUM(IF((Budget[Sort Code]=$B$6)*(Budget[Account Code]=$B104)*(Budget[Date]=E$7),Budget[Amount]))</f>
        <v>0</v>
      </c>
      <c r="F104" s="319">
        <f t="array" ref="F104">SUM(IF((Budget[Sort Code]=$B$6)*(Budget[Account Code]=$B104)*(Budget[Date]=F$7),Budget[Amount]))</f>
        <v>0</v>
      </c>
      <c r="G104" s="319">
        <f t="array" ref="G104">SUM(IF((Budget[Sort Code]=$B$6)*(Budget[Account Code]=$B104)*(Budget[Date]=G$7),Budget[Amount]))</f>
        <v>0</v>
      </c>
      <c r="H104" s="319">
        <f t="array" ref="H104">SUM(IF((Budget[Sort Code]=$B$6)*(Budget[Account Code]=$B104)*(Budget[Date]=H$7),Budget[Amount]))</f>
        <v>0</v>
      </c>
      <c r="I104" s="319">
        <f t="array" ref="I104">SUM(IF((Budget[Sort Code]=$B$6)*(Budget[Account Code]=$B104)*(Budget[Date]=I$7),Budget[Amount]))</f>
        <v>0</v>
      </c>
      <c r="J104" s="319">
        <f t="array" ref="J104">SUM(IF((Budget[Sort Code]=$B$6)*(Budget[Account Code]=$B104)*(Budget[Date]=J$7),Budget[Amount]))</f>
        <v>0</v>
      </c>
      <c r="K104" s="319">
        <f t="array" ref="K104">SUM(IF((Budget[Sort Code]=$B$6)*(Budget[Account Code]=$B104)*(Budget[Date]=K$7),Budget[Amount]))</f>
        <v>0</v>
      </c>
      <c r="L104" s="319">
        <f t="array" ref="L104">SUM(IF((Budget[Sort Code]=$B$6)*(Budget[Account Code]=$B104)*(Budget[Date]=L$7),Budget[Amount]))</f>
        <v>0</v>
      </c>
      <c r="M104" s="319">
        <f t="array" ref="M104">SUM(IF((Budget[Sort Code]=$B$6)*(Budget[Account Code]=$B104)*(Budget[Date]=M$7),Budget[Amount]))</f>
        <v>0</v>
      </c>
      <c r="N104" s="319">
        <f t="array" ref="N104">SUM(IF((Budget[Sort Code]=$B$6)*(Budget[Account Code]=$B104)*(Budget[Date]=N$7),Budget[Amount]))</f>
        <v>0</v>
      </c>
      <c r="O104" s="319">
        <f t="array" ref="O104">SUM(IF((Budget[Sort Code]=$B$6)*(Budget[Account Code]=$B104)*(Budget[Date]=O$7),Budget[Amount]))</f>
        <v>0</v>
      </c>
      <c r="P104" s="319">
        <f t="shared" si="16"/>
        <v>0</v>
      </c>
    </row>
    <row r="105" spans="1:16">
      <c r="A105" s="323" t="s">
        <v>927</v>
      </c>
      <c r="B105" s="317" t="s">
        <v>236</v>
      </c>
      <c r="C105" s="319">
        <f t="shared" si="17"/>
        <v>0</v>
      </c>
      <c r="D105" s="319">
        <f t="array" ref="D105">SUM(IF((Budget[Sort Code]=$B$6)*(Budget[Account Code]=$B105)*(Budget[Date]=D$7),Budget[Amount]))</f>
        <v>0</v>
      </c>
      <c r="E105" s="319">
        <f t="array" ref="E105">SUM(IF((Budget[Sort Code]=$B$6)*(Budget[Account Code]=$B105)*(Budget[Date]=E$7),Budget[Amount]))</f>
        <v>0</v>
      </c>
      <c r="F105" s="319">
        <f t="array" ref="F105">SUM(IF((Budget[Sort Code]=$B$6)*(Budget[Account Code]=$B105)*(Budget[Date]=F$7),Budget[Amount]))</f>
        <v>0</v>
      </c>
      <c r="G105" s="319">
        <f t="array" ref="G105">SUM(IF((Budget[Sort Code]=$B$6)*(Budget[Account Code]=$B105)*(Budget[Date]=G$7),Budget[Amount]))</f>
        <v>0</v>
      </c>
      <c r="H105" s="319">
        <f t="array" ref="H105">SUM(IF((Budget[Sort Code]=$B$6)*(Budget[Account Code]=$B105)*(Budget[Date]=H$7),Budget[Amount]))</f>
        <v>0</v>
      </c>
      <c r="I105" s="319">
        <f t="array" ref="I105">SUM(IF((Budget[Sort Code]=$B$6)*(Budget[Account Code]=$B105)*(Budget[Date]=I$7),Budget[Amount]))</f>
        <v>0</v>
      </c>
      <c r="J105" s="319">
        <f t="array" ref="J105">SUM(IF((Budget[Sort Code]=$B$6)*(Budget[Account Code]=$B105)*(Budget[Date]=J$7),Budget[Amount]))</f>
        <v>0</v>
      </c>
      <c r="K105" s="319">
        <f t="array" ref="K105">SUM(IF((Budget[Sort Code]=$B$6)*(Budget[Account Code]=$B105)*(Budget[Date]=K$7),Budget[Amount]))</f>
        <v>0</v>
      </c>
      <c r="L105" s="319">
        <f t="array" ref="L105">SUM(IF((Budget[Sort Code]=$B$6)*(Budget[Account Code]=$B105)*(Budget[Date]=L$7),Budget[Amount]))</f>
        <v>0</v>
      </c>
      <c r="M105" s="319">
        <f t="array" ref="M105">SUM(IF((Budget[Sort Code]=$B$6)*(Budget[Account Code]=$B105)*(Budget[Date]=M$7),Budget[Amount]))</f>
        <v>0</v>
      </c>
      <c r="N105" s="319">
        <f t="array" ref="N105">SUM(IF((Budget[Sort Code]=$B$6)*(Budget[Account Code]=$B105)*(Budget[Date]=N$7),Budget[Amount]))</f>
        <v>0</v>
      </c>
      <c r="O105" s="319">
        <f t="array" ref="O105">SUM(IF((Budget[Sort Code]=$B$6)*(Budget[Account Code]=$B105)*(Budget[Date]=O$7),Budget[Amount]))</f>
        <v>0</v>
      </c>
      <c r="P105" s="319">
        <f t="shared" si="16"/>
        <v>0</v>
      </c>
    </row>
    <row r="106" spans="1:16">
      <c r="A106" s="323" t="s">
        <v>928</v>
      </c>
      <c r="B106" s="317" t="s">
        <v>237</v>
      </c>
      <c r="C106" s="319">
        <f t="shared" si="17"/>
        <v>0</v>
      </c>
      <c r="D106" s="319">
        <f t="array" ref="D106">SUM(IF((Budget[Sort Code]=$B$6)*(Budget[Account Code]=$B106)*(Budget[Date]=D$7),Budget[Amount]))</f>
        <v>0</v>
      </c>
      <c r="E106" s="319">
        <f t="array" ref="E106">SUM(IF((Budget[Sort Code]=$B$6)*(Budget[Account Code]=$B106)*(Budget[Date]=E$7),Budget[Amount]))</f>
        <v>0</v>
      </c>
      <c r="F106" s="319">
        <f t="array" ref="F106">SUM(IF((Budget[Sort Code]=$B$6)*(Budget[Account Code]=$B106)*(Budget[Date]=F$7),Budget[Amount]))</f>
        <v>0</v>
      </c>
      <c r="G106" s="319">
        <f t="array" ref="G106">SUM(IF((Budget[Sort Code]=$B$6)*(Budget[Account Code]=$B106)*(Budget[Date]=G$7),Budget[Amount]))</f>
        <v>0</v>
      </c>
      <c r="H106" s="319">
        <f t="array" ref="H106">SUM(IF((Budget[Sort Code]=$B$6)*(Budget[Account Code]=$B106)*(Budget[Date]=H$7),Budget[Amount]))</f>
        <v>0</v>
      </c>
      <c r="I106" s="319">
        <f t="array" ref="I106">SUM(IF((Budget[Sort Code]=$B$6)*(Budget[Account Code]=$B106)*(Budget[Date]=I$7),Budget[Amount]))</f>
        <v>0</v>
      </c>
      <c r="J106" s="319">
        <f t="array" ref="J106">SUM(IF((Budget[Sort Code]=$B$6)*(Budget[Account Code]=$B106)*(Budget[Date]=J$7),Budget[Amount]))</f>
        <v>0</v>
      </c>
      <c r="K106" s="319">
        <f t="array" ref="K106">SUM(IF((Budget[Sort Code]=$B$6)*(Budget[Account Code]=$B106)*(Budget[Date]=K$7),Budget[Amount]))</f>
        <v>0</v>
      </c>
      <c r="L106" s="319">
        <f t="array" ref="L106">SUM(IF((Budget[Sort Code]=$B$6)*(Budget[Account Code]=$B106)*(Budget[Date]=L$7),Budget[Amount]))</f>
        <v>0</v>
      </c>
      <c r="M106" s="319">
        <f t="array" ref="M106">SUM(IF((Budget[Sort Code]=$B$6)*(Budget[Account Code]=$B106)*(Budget[Date]=M$7),Budget[Amount]))</f>
        <v>0</v>
      </c>
      <c r="N106" s="319">
        <f t="array" ref="N106">SUM(IF((Budget[Sort Code]=$B$6)*(Budget[Account Code]=$B106)*(Budget[Date]=N$7),Budget[Amount]))</f>
        <v>0</v>
      </c>
      <c r="O106" s="319">
        <f t="array" ref="O106">SUM(IF((Budget[Sort Code]=$B$6)*(Budget[Account Code]=$B106)*(Budget[Date]=O$7),Budget[Amount]))</f>
        <v>0</v>
      </c>
      <c r="P106" s="319">
        <f t="shared" si="16"/>
        <v>0</v>
      </c>
    </row>
    <row r="107" spans="1:16">
      <c r="A107" s="323" t="s">
        <v>929</v>
      </c>
      <c r="B107" s="317" t="s">
        <v>238</v>
      </c>
      <c r="C107" s="319">
        <f t="shared" si="17"/>
        <v>0</v>
      </c>
      <c r="D107" s="319">
        <f t="array" ref="D107">SUM(IF((Budget[Sort Code]=$B$6)*(Budget[Account Code]=$B107)*(Budget[Date]=D$7),Budget[Amount]))</f>
        <v>0</v>
      </c>
      <c r="E107" s="319">
        <f t="array" ref="E107">SUM(IF((Budget[Sort Code]=$B$6)*(Budget[Account Code]=$B107)*(Budget[Date]=E$7),Budget[Amount]))</f>
        <v>0</v>
      </c>
      <c r="F107" s="319">
        <f t="array" ref="F107">SUM(IF((Budget[Sort Code]=$B$6)*(Budget[Account Code]=$B107)*(Budget[Date]=F$7),Budget[Amount]))</f>
        <v>0</v>
      </c>
      <c r="G107" s="319">
        <f t="array" ref="G107">SUM(IF((Budget[Sort Code]=$B$6)*(Budget[Account Code]=$B107)*(Budget[Date]=G$7),Budget[Amount]))</f>
        <v>0</v>
      </c>
      <c r="H107" s="319">
        <f t="array" ref="H107">SUM(IF((Budget[Sort Code]=$B$6)*(Budget[Account Code]=$B107)*(Budget[Date]=H$7),Budget[Amount]))</f>
        <v>0</v>
      </c>
      <c r="I107" s="319">
        <f t="array" ref="I107">SUM(IF((Budget[Sort Code]=$B$6)*(Budget[Account Code]=$B107)*(Budget[Date]=I$7),Budget[Amount]))</f>
        <v>0</v>
      </c>
      <c r="J107" s="319">
        <f t="array" ref="J107">SUM(IF((Budget[Sort Code]=$B$6)*(Budget[Account Code]=$B107)*(Budget[Date]=J$7),Budget[Amount]))</f>
        <v>0</v>
      </c>
      <c r="K107" s="319">
        <f t="array" ref="K107">SUM(IF((Budget[Sort Code]=$B$6)*(Budget[Account Code]=$B107)*(Budget[Date]=K$7),Budget[Amount]))</f>
        <v>0</v>
      </c>
      <c r="L107" s="319">
        <f t="array" ref="L107">SUM(IF((Budget[Sort Code]=$B$6)*(Budget[Account Code]=$B107)*(Budget[Date]=L$7),Budget[Amount]))</f>
        <v>0</v>
      </c>
      <c r="M107" s="319">
        <f t="array" ref="M107">SUM(IF((Budget[Sort Code]=$B$6)*(Budget[Account Code]=$B107)*(Budget[Date]=M$7),Budget[Amount]))</f>
        <v>0</v>
      </c>
      <c r="N107" s="319">
        <f t="array" ref="N107">SUM(IF((Budget[Sort Code]=$B$6)*(Budget[Account Code]=$B107)*(Budget[Date]=N$7),Budget[Amount]))</f>
        <v>0</v>
      </c>
      <c r="O107" s="319">
        <f t="array" ref="O107">SUM(IF((Budget[Sort Code]=$B$6)*(Budget[Account Code]=$B107)*(Budget[Date]=O$7),Budget[Amount]))</f>
        <v>0</v>
      </c>
      <c r="P107" s="319">
        <f t="shared" si="16"/>
        <v>0</v>
      </c>
    </row>
    <row r="108" spans="1:16" s="171" customFormat="1">
      <c r="A108" s="321" t="s">
        <v>930</v>
      </c>
      <c r="B108" s="317" t="s">
        <v>239</v>
      </c>
      <c r="C108" s="322">
        <f t="shared" si="17"/>
        <v>0</v>
      </c>
      <c r="D108" s="322">
        <v>0</v>
      </c>
      <c r="E108" s="322">
        <v>0</v>
      </c>
      <c r="F108" s="322">
        <v>0</v>
      </c>
      <c r="G108" s="322">
        <v>0</v>
      </c>
      <c r="H108" s="322">
        <v>0</v>
      </c>
      <c r="I108" s="322">
        <v>0</v>
      </c>
      <c r="J108" s="322">
        <v>0</v>
      </c>
      <c r="K108" s="322">
        <v>0</v>
      </c>
      <c r="L108" s="322">
        <v>0</v>
      </c>
      <c r="M108" s="322">
        <v>0</v>
      </c>
      <c r="N108" s="322">
        <v>0</v>
      </c>
      <c r="O108" s="322">
        <v>0</v>
      </c>
      <c r="P108" s="322">
        <f t="shared" si="16"/>
        <v>0</v>
      </c>
    </row>
    <row r="109" spans="1:16" s="171" customFormat="1">
      <c r="A109" s="321" t="s">
        <v>931</v>
      </c>
      <c r="B109" s="317" t="s">
        <v>240</v>
      </c>
      <c r="C109" s="322">
        <f t="shared" si="17"/>
        <v>0</v>
      </c>
      <c r="D109" s="319">
        <f t="array" ref="D109">SUM(IF((Budget[Sort Code]=$B$6)*(Budget[Account Code]=$B109)*(Budget[Date]=D$7),Budget[Amount]))</f>
        <v>0</v>
      </c>
      <c r="E109" s="319">
        <f t="array" ref="E109">SUM(IF((Budget[Sort Code]=$B$6)*(Budget[Account Code]=$B109)*(Budget[Date]=E$7),Budget[Amount]))</f>
        <v>0</v>
      </c>
      <c r="F109" s="319">
        <f t="array" ref="F109">SUM(IF((Budget[Sort Code]=$B$6)*(Budget[Account Code]=$B109)*(Budget[Date]=F$7),Budget[Amount]))</f>
        <v>0</v>
      </c>
      <c r="G109" s="319">
        <f t="array" ref="G109">SUM(IF((Budget[Sort Code]=$B$6)*(Budget[Account Code]=$B109)*(Budget[Date]=G$7),Budget[Amount]))</f>
        <v>0</v>
      </c>
      <c r="H109" s="319">
        <f t="array" ref="H109">SUM(IF((Budget[Sort Code]=$B$6)*(Budget[Account Code]=$B109)*(Budget[Date]=H$7),Budget[Amount]))</f>
        <v>0</v>
      </c>
      <c r="I109" s="319">
        <f t="array" ref="I109">SUM(IF((Budget[Sort Code]=$B$6)*(Budget[Account Code]=$B109)*(Budget[Date]=I$7),Budget[Amount]))</f>
        <v>0</v>
      </c>
      <c r="J109" s="319">
        <f t="array" ref="J109">SUM(IF((Budget[Sort Code]=$B$6)*(Budget[Account Code]=$B109)*(Budget[Date]=J$7),Budget[Amount]))</f>
        <v>0</v>
      </c>
      <c r="K109" s="319">
        <f t="array" ref="K109">SUM(IF((Budget[Sort Code]=$B$6)*(Budget[Account Code]=$B109)*(Budget[Date]=K$7),Budget[Amount]))</f>
        <v>0</v>
      </c>
      <c r="L109" s="319">
        <f t="array" ref="L109">SUM(IF((Budget[Sort Code]=$B$6)*(Budget[Account Code]=$B109)*(Budget[Date]=L$7),Budget[Amount]))</f>
        <v>0</v>
      </c>
      <c r="M109" s="319">
        <f t="array" ref="M109">SUM(IF((Budget[Sort Code]=$B$6)*(Budget[Account Code]=$B109)*(Budget[Date]=M$7),Budget[Amount]))</f>
        <v>0</v>
      </c>
      <c r="N109" s="319">
        <f t="array" ref="N109">SUM(IF((Budget[Sort Code]=$B$6)*(Budget[Account Code]=$B109)*(Budget[Date]=N$7),Budget[Amount]))</f>
        <v>0</v>
      </c>
      <c r="O109" s="319">
        <f t="array" ref="O109">SUM(IF((Budget[Sort Code]=$B$6)*(Budget[Account Code]=$B109)*(Budget[Date]=O$7),Budget[Amount]))</f>
        <v>0</v>
      </c>
      <c r="P109" s="322">
        <f t="shared" si="16"/>
        <v>0</v>
      </c>
    </row>
    <row r="110" spans="1:16" s="171" customFormat="1">
      <c r="A110" s="321" t="s">
        <v>932</v>
      </c>
      <c r="B110" s="317" t="s">
        <v>241</v>
      </c>
      <c r="C110" s="322">
        <f t="shared" si="17"/>
        <v>0</v>
      </c>
      <c r="D110" s="319">
        <f t="array" ref="D110">SUM(IF((Budget[Sort Code]=$B$6)*(Budget[Account Code]=$B110)*(Budget[Date]=D$7),Budget[Amount]))</f>
        <v>0</v>
      </c>
      <c r="E110" s="319">
        <f t="array" ref="E110">SUM(IF((Budget[Sort Code]=$B$6)*(Budget[Account Code]=$B110)*(Budget[Date]=E$7),Budget[Amount]))</f>
        <v>0</v>
      </c>
      <c r="F110" s="319">
        <f t="array" ref="F110">SUM(IF((Budget[Sort Code]=$B$6)*(Budget[Account Code]=$B110)*(Budget[Date]=F$7),Budget[Amount]))</f>
        <v>0</v>
      </c>
      <c r="G110" s="319">
        <f t="array" ref="G110">SUM(IF((Budget[Sort Code]=$B$6)*(Budget[Account Code]=$B110)*(Budget[Date]=G$7),Budget[Amount]))</f>
        <v>0</v>
      </c>
      <c r="H110" s="319">
        <f t="array" ref="H110">SUM(IF((Budget[Sort Code]=$B$6)*(Budget[Account Code]=$B110)*(Budget[Date]=H$7),Budget[Amount]))</f>
        <v>0</v>
      </c>
      <c r="I110" s="319">
        <f t="array" ref="I110">SUM(IF((Budget[Sort Code]=$B$6)*(Budget[Account Code]=$B110)*(Budget[Date]=I$7),Budget[Amount]))</f>
        <v>0</v>
      </c>
      <c r="J110" s="319">
        <f t="array" ref="J110">SUM(IF((Budget[Sort Code]=$B$6)*(Budget[Account Code]=$B110)*(Budget[Date]=J$7),Budget[Amount]))</f>
        <v>0</v>
      </c>
      <c r="K110" s="319">
        <f t="array" ref="K110">SUM(IF((Budget[Sort Code]=$B$6)*(Budget[Account Code]=$B110)*(Budget[Date]=K$7),Budget[Amount]))</f>
        <v>0</v>
      </c>
      <c r="L110" s="319">
        <f t="array" ref="L110">SUM(IF((Budget[Sort Code]=$B$6)*(Budget[Account Code]=$B110)*(Budget[Date]=L$7),Budget[Amount]))</f>
        <v>0</v>
      </c>
      <c r="M110" s="319">
        <f t="array" ref="M110">SUM(IF((Budget[Sort Code]=$B$6)*(Budget[Account Code]=$B110)*(Budget[Date]=M$7),Budget[Amount]))</f>
        <v>0</v>
      </c>
      <c r="N110" s="319">
        <f t="array" ref="N110">SUM(IF((Budget[Sort Code]=$B$6)*(Budget[Account Code]=$B110)*(Budget[Date]=N$7),Budget[Amount]))</f>
        <v>0</v>
      </c>
      <c r="O110" s="319">
        <f t="array" ref="O110">SUM(IF((Budget[Sort Code]=$B$6)*(Budget[Account Code]=$B110)*(Budget[Date]=O$7),Budget[Amount]))</f>
        <v>0</v>
      </c>
      <c r="P110" s="322">
        <f t="shared" si="16"/>
        <v>0</v>
      </c>
    </row>
    <row r="111" spans="1:16" s="171" customFormat="1">
      <c r="A111" s="321" t="s">
        <v>933</v>
      </c>
      <c r="B111" s="317" t="s">
        <v>242</v>
      </c>
      <c r="C111" s="322">
        <f t="shared" si="17"/>
        <v>0</v>
      </c>
      <c r="D111" s="319">
        <f t="array" ref="D111">SUM(IF((Budget[Sort Code]=$B$6)*(Budget[Account Code]=$B111)*(Budget[Date]=D$7),Budget[Amount]))</f>
        <v>0</v>
      </c>
      <c r="E111" s="319">
        <f t="array" ref="E111">SUM(IF((Budget[Sort Code]=$B$6)*(Budget[Account Code]=$B111)*(Budget[Date]=E$7),Budget[Amount]))</f>
        <v>0</v>
      </c>
      <c r="F111" s="319">
        <f t="array" ref="F111">SUM(IF((Budget[Sort Code]=$B$6)*(Budget[Account Code]=$B111)*(Budget[Date]=F$7),Budget[Amount]))</f>
        <v>0</v>
      </c>
      <c r="G111" s="319">
        <f t="array" ref="G111">SUM(IF((Budget[Sort Code]=$B$6)*(Budget[Account Code]=$B111)*(Budget[Date]=G$7),Budget[Amount]))</f>
        <v>0</v>
      </c>
      <c r="H111" s="319">
        <f t="array" ref="H111">SUM(IF((Budget[Sort Code]=$B$6)*(Budget[Account Code]=$B111)*(Budget[Date]=H$7),Budget[Amount]))</f>
        <v>0</v>
      </c>
      <c r="I111" s="319">
        <f t="array" ref="I111">SUM(IF((Budget[Sort Code]=$B$6)*(Budget[Account Code]=$B111)*(Budget[Date]=I$7),Budget[Amount]))</f>
        <v>0</v>
      </c>
      <c r="J111" s="319">
        <f t="array" ref="J111">SUM(IF((Budget[Sort Code]=$B$6)*(Budget[Account Code]=$B111)*(Budget[Date]=J$7),Budget[Amount]))</f>
        <v>0</v>
      </c>
      <c r="K111" s="319">
        <f t="array" ref="K111">SUM(IF((Budget[Sort Code]=$B$6)*(Budget[Account Code]=$B111)*(Budget[Date]=K$7),Budget[Amount]))</f>
        <v>0</v>
      </c>
      <c r="L111" s="319">
        <f t="array" ref="L111">SUM(IF((Budget[Sort Code]=$B$6)*(Budget[Account Code]=$B111)*(Budget[Date]=L$7),Budget[Amount]))</f>
        <v>0</v>
      </c>
      <c r="M111" s="319">
        <f t="array" ref="M111">SUM(IF((Budget[Sort Code]=$B$6)*(Budget[Account Code]=$B111)*(Budget[Date]=M$7),Budget[Amount]))</f>
        <v>0</v>
      </c>
      <c r="N111" s="319">
        <f t="array" ref="N111">SUM(IF((Budget[Sort Code]=$B$6)*(Budget[Account Code]=$B111)*(Budget[Date]=N$7),Budget[Amount]))</f>
        <v>0</v>
      </c>
      <c r="O111" s="319">
        <f t="array" ref="O111">SUM(IF((Budget[Sort Code]=$B$6)*(Budget[Account Code]=$B111)*(Budget[Date]=O$7),Budget[Amount]))</f>
        <v>0</v>
      </c>
      <c r="P111" s="322">
        <f t="shared" si="16"/>
        <v>0</v>
      </c>
    </row>
    <row r="112" spans="1:16" s="171" customFormat="1">
      <c r="A112" s="321" t="s">
        <v>934</v>
      </c>
      <c r="B112" s="317" t="s">
        <v>243</v>
      </c>
      <c r="C112" s="322">
        <f t="shared" si="17"/>
        <v>0</v>
      </c>
      <c r="D112" s="319">
        <f t="array" ref="D112">SUM(IF((Budget[Sort Code]=$B$6)*(Budget[Account Code]=$B112)*(Budget[Date]=D$7),Budget[Amount]))</f>
        <v>0</v>
      </c>
      <c r="E112" s="319">
        <f t="array" ref="E112">SUM(IF((Budget[Sort Code]=$B$6)*(Budget[Account Code]=$B112)*(Budget[Date]=E$7),Budget[Amount]))</f>
        <v>0</v>
      </c>
      <c r="F112" s="319">
        <f t="array" ref="F112">SUM(IF((Budget[Sort Code]=$B$6)*(Budget[Account Code]=$B112)*(Budget[Date]=F$7),Budget[Amount]))</f>
        <v>0</v>
      </c>
      <c r="G112" s="319">
        <f t="array" ref="G112">SUM(IF((Budget[Sort Code]=$B$6)*(Budget[Account Code]=$B112)*(Budget[Date]=G$7),Budget[Amount]))</f>
        <v>0</v>
      </c>
      <c r="H112" s="319">
        <f t="array" ref="H112">SUM(IF((Budget[Sort Code]=$B$6)*(Budget[Account Code]=$B112)*(Budget[Date]=H$7),Budget[Amount]))</f>
        <v>0</v>
      </c>
      <c r="I112" s="319">
        <f t="array" ref="I112">SUM(IF((Budget[Sort Code]=$B$6)*(Budget[Account Code]=$B112)*(Budget[Date]=I$7),Budget[Amount]))</f>
        <v>0</v>
      </c>
      <c r="J112" s="319">
        <f t="array" ref="J112">SUM(IF((Budget[Sort Code]=$B$6)*(Budget[Account Code]=$B112)*(Budget[Date]=J$7),Budget[Amount]))</f>
        <v>0</v>
      </c>
      <c r="K112" s="319">
        <f t="array" ref="K112">SUM(IF((Budget[Sort Code]=$B$6)*(Budget[Account Code]=$B112)*(Budget[Date]=K$7),Budget[Amount]))</f>
        <v>0</v>
      </c>
      <c r="L112" s="319">
        <f t="array" ref="L112">SUM(IF((Budget[Sort Code]=$B$6)*(Budget[Account Code]=$B112)*(Budget[Date]=L$7),Budget[Amount]))</f>
        <v>0</v>
      </c>
      <c r="M112" s="319">
        <f t="array" ref="M112">SUM(IF((Budget[Sort Code]=$B$6)*(Budget[Account Code]=$B112)*(Budget[Date]=M$7),Budget[Amount]))</f>
        <v>0</v>
      </c>
      <c r="N112" s="319">
        <f t="array" ref="N112">SUM(IF((Budget[Sort Code]=$B$6)*(Budget[Account Code]=$B112)*(Budget[Date]=N$7),Budget[Amount]))</f>
        <v>0</v>
      </c>
      <c r="O112" s="319">
        <f t="array" ref="O112">SUM(IF((Budget[Sort Code]=$B$6)*(Budget[Account Code]=$B112)*(Budget[Date]=O$7),Budget[Amount]))</f>
        <v>0</v>
      </c>
      <c r="P112" s="322">
        <f t="shared" si="16"/>
        <v>0</v>
      </c>
    </row>
    <row r="113" spans="1:16" s="171" customFormat="1">
      <c r="A113" s="321" t="s">
        <v>935</v>
      </c>
      <c r="B113" s="317" t="s">
        <v>244</v>
      </c>
      <c r="C113" s="322">
        <f t="shared" si="17"/>
        <v>0</v>
      </c>
      <c r="D113" s="319">
        <f t="array" ref="D113">SUM(IF((Budget[Sort Code]=$B$6)*(Budget[Account Code]=$B113)*(Budget[Date]=D$7),Budget[Amount]))</f>
        <v>0</v>
      </c>
      <c r="E113" s="319">
        <f t="array" ref="E113">SUM(IF((Budget[Sort Code]=$B$6)*(Budget[Account Code]=$B113)*(Budget[Date]=E$7),Budget[Amount]))</f>
        <v>0</v>
      </c>
      <c r="F113" s="319">
        <f t="array" ref="F113">SUM(IF((Budget[Sort Code]=$B$6)*(Budget[Account Code]=$B113)*(Budget[Date]=F$7),Budget[Amount]))</f>
        <v>0</v>
      </c>
      <c r="G113" s="319">
        <f t="array" ref="G113">SUM(IF((Budget[Sort Code]=$B$6)*(Budget[Account Code]=$B113)*(Budget[Date]=G$7),Budget[Amount]))</f>
        <v>0</v>
      </c>
      <c r="H113" s="319">
        <f t="array" ref="H113">SUM(IF((Budget[Sort Code]=$B$6)*(Budget[Account Code]=$B113)*(Budget[Date]=H$7),Budget[Amount]))</f>
        <v>0</v>
      </c>
      <c r="I113" s="319">
        <f t="array" ref="I113">SUM(IF((Budget[Sort Code]=$B$6)*(Budget[Account Code]=$B113)*(Budget[Date]=I$7),Budget[Amount]))</f>
        <v>0</v>
      </c>
      <c r="J113" s="319">
        <f t="array" ref="J113">SUM(IF((Budget[Sort Code]=$B$6)*(Budget[Account Code]=$B113)*(Budget[Date]=J$7),Budget[Amount]))</f>
        <v>0</v>
      </c>
      <c r="K113" s="319">
        <f t="array" ref="K113">SUM(IF((Budget[Sort Code]=$B$6)*(Budget[Account Code]=$B113)*(Budget[Date]=K$7),Budget[Amount]))</f>
        <v>0</v>
      </c>
      <c r="L113" s="319">
        <f t="array" ref="L113">SUM(IF((Budget[Sort Code]=$B$6)*(Budget[Account Code]=$B113)*(Budget[Date]=L$7),Budget[Amount]))</f>
        <v>0</v>
      </c>
      <c r="M113" s="319">
        <f t="array" ref="M113">SUM(IF((Budget[Sort Code]=$B$6)*(Budget[Account Code]=$B113)*(Budget[Date]=M$7),Budget[Amount]))</f>
        <v>0</v>
      </c>
      <c r="N113" s="319">
        <f t="array" ref="N113">SUM(IF((Budget[Sort Code]=$B$6)*(Budget[Account Code]=$B113)*(Budget[Date]=N$7),Budget[Amount]))</f>
        <v>0</v>
      </c>
      <c r="O113" s="319">
        <f t="array" ref="O113">SUM(IF((Budget[Sort Code]=$B$6)*(Budget[Account Code]=$B113)*(Budget[Date]=O$7),Budget[Amount]))</f>
        <v>0</v>
      </c>
      <c r="P113" s="322">
        <f t="shared" si="16"/>
        <v>0</v>
      </c>
    </row>
    <row r="114" spans="1:16" s="171" customFormat="1">
      <c r="A114" s="321" t="s">
        <v>936</v>
      </c>
      <c r="B114" s="317" t="s">
        <v>338</v>
      </c>
      <c r="C114" s="322">
        <f t="shared" si="17"/>
        <v>0</v>
      </c>
      <c r="D114" s="319">
        <f t="array" ref="D114">SUM(IF((Budget[Sort Code]=$B$6)*(Budget[Account Code]=$B114)*(Budget[Date]=D$7),Budget[Amount]))</f>
        <v>0</v>
      </c>
      <c r="E114" s="319">
        <f t="array" ref="E114">SUM(IF((Budget[Sort Code]=$B$6)*(Budget[Account Code]=$B114)*(Budget[Date]=E$7),Budget[Amount]))</f>
        <v>0</v>
      </c>
      <c r="F114" s="319">
        <f t="array" ref="F114">SUM(IF((Budget[Sort Code]=$B$6)*(Budget[Account Code]=$B114)*(Budget[Date]=F$7),Budget[Amount]))</f>
        <v>0</v>
      </c>
      <c r="G114" s="319">
        <f t="array" ref="G114">SUM(IF((Budget[Sort Code]=$B$6)*(Budget[Account Code]=$B114)*(Budget[Date]=G$7),Budget[Amount]))</f>
        <v>0</v>
      </c>
      <c r="H114" s="319">
        <f t="array" ref="H114">SUM(IF((Budget[Sort Code]=$B$6)*(Budget[Account Code]=$B114)*(Budget[Date]=H$7),Budget[Amount]))</f>
        <v>0</v>
      </c>
      <c r="I114" s="319">
        <f t="array" ref="I114">SUM(IF((Budget[Sort Code]=$B$6)*(Budget[Account Code]=$B114)*(Budget[Date]=I$7),Budget[Amount]))</f>
        <v>0</v>
      </c>
      <c r="J114" s="319">
        <f t="array" ref="J114">SUM(IF((Budget[Sort Code]=$B$6)*(Budget[Account Code]=$B114)*(Budget[Date]=J$7),Budget[Amount]))</f>
        <v>0</v>
      </c>
      <c r="K114" s="319">
        <f t="array" ref="K114">SUM(IF((Budget[Sort Code]=$B$6)*(Budget[Account Code]=$B114)*(Budget[Date]=K$7),Budget[Amount]))</f>
        <v>0</v>
      </c>
      <c r="L114" s="319">
        <f t="array" ref="L114">SUM(IF((Budget[Sort Code]=$B$6)*(Budget[Account Code]=$B114)*(Budget[Date]=L$7),Budget[Amount]))</f>
        <v>0</v>
      </c>
      <c r="M114" s="319">
        <f t="array" ref="M114">SUM(IF((Budget[Sort Code]=$B$6)*(Budget[Account Code]=$B114)*(Budget[Date]=M$7),Budget[Amount]))</f>
        <v>0</v>
      </c>
      <c r="N114" s="319">
        <f t="array" ref="N114">SUM(IF((Budget[Sort Code]=$B$6)*(Budget[Account Code]=$B114)*(Budget[Date]=N$7),Budget[Amount]))</f>
        <v>0</v>
      </c>
      <c r="O114" s="319">
        <f t="array" ref="O114">SUM(IF((Budget[Sort Code]=$B$6)*(Budget[Account Code]=$B114)*(Budget[Date]=O$7),Budget[Amount]))</f>
        <v>0</v>
      </c>
      <c r="P114" s="322">
        <f t="shared" si="16"/>
        <v>0</v>
      </c>
    </row>
    <row r="115" spans="1:16" s="171" customFormat="1">
      <c r="A115" s="321" t="s">
        <v>937</v>
      </c>
      <c r="B115" s="317" t="s">
        <v>339</v>
      </c>
      <c r="C115" s="322">
        <f t="shared" si="17"/>
        <v>0</v>
      </c>
      <c r="D115" s="319">
        <f t="array" ref="D115">SUM(IF((Budget[Sort Code]=$B$6)*(Budget[Account Code]=$B115)*(Budget[Date]=D$7),Budget[Amount]))</f>
        <v>0</v>
      </c>
      <c r="E115" s="319">
        <f t="array" ref="E115">SUM(IF((Budget[Sort Code]=$B$6)*(Budget[Account Code]=$B115)*(Budget[Date]=E$7),Budget[Amount]))</f>
        <v>0</v>
      </c>
      <c r="F115" s="319">
        <f t="array" ref="F115">SUM(IF((Budget[Sort Code]=$B$6)*(Budget[Account Code]=$B115)*(Budget[Date]=F$7),Budget[Amount]))</f>
        <v>0</v>
      </c>
      <c r="G115" s="319">
        <f t="array" ref="G115">SUM(IF((Budget[Sort Code]=$B$6)*(Budget[Account Code]=$B115)*(Budget[Date]=G$7),Budget[Amount]))</f>
        <v>0</v>
      </c>
      <c r="H115" s="319">
        <f t="array" ref="H115">SUM(IF((Budget[Sort Code]=$B$6)*(Budget[Account Code]=$B115)*(Budget[Date]=H$7),Budget[Amount]))</f>
        <v>0</v>
      </c>
      <c r="I115" s="319">
        <f t="array" ref="I115">SUM(IF((Budget[Sort Code]=$B$6)*(Budget[Account Code]=$B115)*(Budget[Date]=I$7),Budget[Amount]))</f>
        <v>0</v>
      </c>
      <c r="J115" s="319">
        <f t="array" ref="J115">SUM(IF((Budget[Sort Code]=$B$6)*(Budget[Account Code]=$B115)*(Budget[Date]=J$7),Budget[Amount]))</f>
        <v>0</v>
      </c>
      <c r="K115" s="319">
        <f t="array" ref="K115">SUM(IF((Budget[Sort Code]=$B$6)*(Budget[Account Code]=$B115)*(Budget[Date]=K$7),Budget[Amount]))</f>
        <v>0</v>
      </c>
      <c r="L115" s="319">
        <f t="array" ref="L115">SUM(IF((Budget[Sort Code]=$B$6)*(Budget[Account Code]=$B115)*(Budget[Date]=L$7),Budget[Amount]))</f>
        <v>0</v>
      </c>
      <c r="M115" s="319">
        <f t="array" ref="M115">SUM(IF((Budget[Sort Code]=$B$6)*(Budget[Account Code]=$B115)*(Budget[Date]=M$7),Budget[Amount]))</f>
        <v>0</v>
      </c>
      <c r="N115" s="319">
        <f t="array" ref="N115">SUM(IF((Budget[Sort Code]=$B$6)*(Budget[Account Code]=$B115)*(Budget[Date]=N$7),Budget[Amount]))</f>
        <v>0</v>
      </c>
      <c r="O115" s="319">
        <f t="array" ref="O115">SUM(IF((Budget[Sort Code]=$B$6)*(Budget[Account Code]=$B115)*(Budget[Date]=O$7),Budget[Amount]))</f>
        <v>0</v>
      </c>
      <c r="P115" s="322">
        <f t="shared" si="16"/>
        <v>0</v>
      </c>
    </row>
    <row r="116" spans="1:16" s="171" customFormat="1">
      <c r="A116" s="321" t="s">
        <v>938</v>
      </c>
      <c r="B116" s="317" t="s">
        <v>245</v>
      </c>
      <c r="C116" s="322">
        <f t="shared" si="17"/>
        <v>0</v>
      </c>
      <c r="D116" s="319">
        <f t="array" ref="D116">SUM(IF((Budget[Sort Code]=$B$6)*(Budget[Account Code]=$B116)*(Budget[Date]=D$7),Budget[Amount]))</f>
        <v>0</v>
      </c>
      <c r="E116" s="319">
        <f t="array" ref="E116">SUM(IF((Budget[Sort Code]=$B$6)*(Budget[Account Code]=$B116)*(Budget[Date]=E$7),Budget[Amount]))</f>
        <v>0</v>
      </c>
      <c r="F116" s="319">
        <f t="array" ref="F116">SUM(IF((Budget[Sort Code]=$B$6)*(Budget[Account Code]=$B116)*(Budget[Date]=F$7),Budget[Amount]))</f>
        <v>0</v>
      </c>
      <c r="G116" s="319">
        <f t="array" ref="G116">SUM(IF((Budget[Sort Code]=$B$6)*(Budget[Account Code]=$B116)*(Budget[Date]=G$7),Budget[Amount]))</f>
        <v>0</v>
      </c>
      <c r="H116" s="319">
        <f t="array" ref="H116">SUM(IF((Budget[Sort Code]=$B$6)*(Budget[Account Code]=$B116)*(Budget[Date]=H$7),Budget[Amount]))</f>
        <v>0</v>
      </c>
      <c r="I116" s="319">
        <f t="array" ref="I116">SUM(IF((Budget[Sort Code]=$B$6)*(Budget[Account Code]=$B116)*(Budget[Date]=I$7),Budget[Amount]))</f>
        <v>0</v>
      </c>
      <c r="J116" s="319">
        <f t="array" ref="J116">SUM(IF((Budget[Sort Code]=$B$6)*(Budget[Account Code]=$B116)*(Budget[Date]=J$7),Budget[Amount]))</f>
        <v>0</v>
      </c>
      <c r="K116" s="319">
        <f t="array" ref="K116">SUM(IF((Budget[Sort Code]=$B$6)*(Budget[Account Code]=$B116)*(Budget[Date]=K$7),Budget[Amount]))</f>
        <v>0</v>
      </c>
      <c r="L116" s="319">
        <f t="array" ref="L116">SUM(IF((Budget[Sort Code]=$B$6)*(Budget[Account Code]=$B116)*(Budget[Date]=L$7),Budget[Amount]))</f>
        <v>0</v>
      </c>
      <c r="M116" s="319">
        <f t="array" ref="M116">SUM(IF((Budget[Sort Code]=$B$6)*(Budget[Account Code]=$B116)*(Budget[Date]=M$7),Budget[Amount]))</f>
        <v>0</v>
      </c>
      <c r="N116" s="319">
        <f t="array" ref="N116">SUM(IF((Budget[Sort Code]=$B$6)*(Budget[Account Code]=$B116)*(Budget[Date]=N$7),Budget[Amount]))</f>
        <v>0</v>
      </c>
      <c r="O116" s="319">
        <f t="array" ref="O116">SUM(IF((Budget[Sort Code]=$B$6)*(Budget[Account Code]=$B116)*(Budget[Date]=O$7),Budget[Amount]))</f>
        <v>0</v>
      </c>
      <c r="P116" s="322">
        <f t="shared" si="16"/>
        <v>0</v>
      </c>
    </row>
    <row r="117" spans="1:16" s="171" customFormat="1">
      <c r="A117" s="321" t="s">
        <v>939</v>
      </c>
      <c r="B117" s="317"/>
      <c r="C117" s="322">
        <f t="shared" si="17"/>
        <v>0</v>
      </c>
      <c r="D117" s="322">
        <f>SUM(D118:D125)</f>
        <v>0</v>
      </c>
      <c r="E117" s="322">
        <f t="shared" ref="E117:O117" si="24">SUM(E118:E125)</f>
        <v>0</v>
      </c>
      <c r="F117" s="322">
        <f t="shared" si="24"/>
        <v>0</v>
      </c>
      <c r="G117" s="322">
        <f t="shared" si="24"/>
        <v>0</v>
      </c>
      <c r="H117" s="322">
        <f t="shared" si="24"/>
        <v>0</v>
      </c>
      <c r="I117" s="322">
        <f t="shared" si="24"/>
        <v>0</v>
      </c>
      <c r="J117" s="322">
        <f t="shared" si="24"/>
        <v>0</v>
      </c>
      <c r="K117" s="322">
        <f t="shared" si="24"/>
        <v>0</v>
      </c>
      <c r="L117" s="322">
        <f t="shared" si="24"/>
        <v>0</v>
      </c>
      <c r="M117" s="322">
        <f t="shared" si="24"/>
        <v>0</v>
      </c>
      <c r="N117" s="322">
        <f t="shared" si="24"/>
        <v>0</v>
      </c>
      <c r="O117" s="322">
        <f t="shared" si="24"/>
        <v>0</v>
      </c>
      <c r="P117" s="322">
        <f t="shared" si="16"/>
        <v>0</v>
      </c>
    </row>
    <row r="118" spans="1:16">
      <c r="A118" s="323" t="s">
        <v>940</v>
      </c>
      <c r="B118" s="317" t="s">
        <v>246</v>
      </c>
      <c r="C118" s="319">
        <f t="shared" si="17"/>
        <v>0</v>
      </c>
      <c r="D118" s="319">
        <f t="array" ref="D118">SUM(IF((Budget[Sort Code]=$B$6)*(Budget[Account Code]=$B118)*(Budget[Date]=D$7),Budget[Amount]))</f>
        <v>0</v>
      </c>
      <c r="E118" s="319">
        <f t="array" ref="E118">SUM(IF((Budget[Sort Code]=$B$6)*(Budget[Account Code]=$B118)*(Budget[Date]=E$7),Budget[Amount]))</f>
        <v>0</v>
      </c>
      <c r="F118" s="319">
        <f t="array" ref="F118">SUM(IF((Budget[Sort Code]=$B$6)*(Budget[Account Code]=$B118)*(Budget[Date]=F$7),Budget[Amount]))</f>
        <v>0</v>
      </c>
      <c r="G118" s="319">
        <f t="array" ref="G118">SUM(IF((Budget[Sort Code]=$B$6)*(Budget[Account Code]=$B118)*(Budget[Date]=G$7),Budget[Amount]))</f>
        <v>0</v>
      </c>
      <c r="H118" s="319">
        <f t="array" ref="H118">SUM(IF((Budget[Sort Code]=$B$6)*(Budget[Account Code]=$B118)*(Budget[Date]=H$7),Budget[Amount]))</f>
        <v>0</v>
      </c>
      <c r="I118" s="319">
        <f t="array" ref="I118">SUM(IF((Budget[Sort Code]=$B$6)*(Budget[Account Code]=$B118)*(Budget[Date]=I$7),Budget[Amount]))</f>
        <v>0</v>
      </c>
      <c r="J118" s="319">
        <f t="array" ref="J118">SUM(IF((Budget[Sort Code]=$B$6)*(Budget[Account Code]=$B118)*(Budget[Date]=J$7),Budget[Amount]))</f>
        <v>0</v>
      </c>
      <c r="K118" s="319">
        <f t="array" ref="K118">SUM(IF((Budget[Sort Code]=$B$6)*(Budget[Account Code]=$B118)*(Budget[Date]=K$7),Budget[Amount]))</f>
        <v>0</v>
      </c>
      <c r="L118" s="319">
        <f t="array" ref="L118">SUM(IF((Budget[Sort Code]=$B$6)*(Budget[Account Code]=$B118)*(Budget[Date]=L$7),Budget[Amount]))</f>
        <v>0</v>
      </c>
      <c r="M118" s="319">
        <f t="array" ref="M118">SUM(IF((Budget[Sort Code]=$B$6)*(Budget[Account Code]=$B118)*(Budget[Date]=M$7),Budget[Amount]))</f>
        <v>0</v>
      </c>
      <c r="N118" s="319">
        <f t="array" ref="N118">SUM(IF((Budget[Sort Code]=$B$6)*(Budget[Account Code]=$B118)*(Budget[Date]=N$7),Budget[Amount]))</f>
        <v>0</v>
      </c>
      <c r="O118" s="319">
        <f t="array" ref="O118">SUM(IF((Budget[Sort Code]=$B$6)*(Budget[Account Code]=$B118)*(Budget[Date]=O$7),Budget[Amount]))</f>
        <v>0</v>
      </c>
      <c r="P118" s="319">
        <f t="shared" si="16"/>
        <v>0</v>
      </c>
    </row>
    <row r="119" spans="1:16">
      <c r="A119" s="323" t="s">
        <v>941</v>
      </c>
      <c r="B119" s="317" t="s">
        <v>222</v>
      </c>
      <c r="C119" s="319">
        <f t="shared" si="17"/>
        <v>0</v>
      </c>
      <c r="D119" s="319">
        <f t="array" ref="D119">SUM(IF((Budget[Sort Code]=$B$6)*(Budget[Account Code]=$B119)*(Budget[Date]=D$7),Budget[Amount]))</f>
        <v>0</v>
      </c>
      <c r="E119" s="319">
        <f t="array" ref="E119">SUM(IF((Budget[Sort Code]=$B$6)*(Budget[Account Code]=$B119)*(Budget[Date]=E$7),Budget[Amount]))</f>
        <v>0</v>
      </c>
      <c r="F119" s="319">
        <f t="array" ref="F119">SUM(IF((Budget[Sort Code]=$B$6)*(Budget[Account Code]=$B119)*(Budget[Date]=F$7),Budget[Amount]))</f>
        <v>0</v>
      </c>
      <c r="G119" s="319">
        <f t="array" ref="G119">SUM(IF((Budget[Sort Code]=$B$6)*(Budget[Account Code]=$B119)*(Budget[Date]=G$7),Budget[Amount]))</f>
        <v>0</v>
      </c>
      <c r="H119" s="319">
        <f t="array" ref="H119">SUM(IF((Budget[Sort Code]=$B$6)*(Budget[Account Code]=$B119)*(Budget[Date]=H$7),Budget[Amount]))</f>
        <v>0</v>
      </c>
      <c r="I119" s="319">
        <f t="array" ref="I119">SUM(IF((Budget[Sort Code]=$B$6)*(Budget[Account Code]=$B119)*(Budget[Date]=I$7),Budget[Amount]))</f>
        <v>0</v>
      </c>
      <c r="J119" s="319">
        <f t="array" ref="J119">SUM(IF((Budget[Sort Code]=$B$6)*(Budget[Account Code]=$B119)*(Budget[Date]=J$7),Budget[Amount]))</f>
        <v>0</v>
      </c>
      <c r="K119" s="319">
        <f t="array" ref="K119">SUM(IF((Budget[Sort Code]=$B$6)*(Budget[Account Code]=$B119)*(Budget[Date]=K$7),Budget[Amount]))</f>
        <v>0</v>
      </c>
      <c r="L119" s="319">
        <f t="array" ref="L119">SUM(IF((Budget[Sort Code]=$B$6)*(Budget[Account Code]=$B119)*(Budget[Date]=L$7),Budget[Amount]))</f>
        <v>0</v>
      </c>
      <c r="M119" s="319">
        <f t="array" ref="M119">SUM(IF((Budget[Sort Code]=$B$6)*(Budget[Account Code]=$B119)*(Budget[Date]=M$7),Budget[Amount]))</f>
        <v>0</v>
      </c>
      <c r="N119" s="319">
        <f t="array" ref="N119">SUM(IF((Budget[Sort Code]=$B$6)*(Budget[Account Code]=$B119)*(Budget[Date]=N$7),Budget[Amount]))</f>
        <v>0</v>
      </c>
      <c r="O119" s="319">
        <f t="array" ref="O119">SUM(IF((Budget[Sort Code]=$B$6)*(Budget[Account Code]=$B119)*(Budget[Date]=O$7),Budget[Amount]))</f>
        <v>0</v>
      </c>
      <c r="P119" s="319">
        <f t="shared" si="16"/>
        <v>0</v>
      </c>
    </row>
    <row r="120" spans="1:16">
      <c r="A120" s="323" t="s">
        <v>942</v>
      </c>
      <c r="B120" s="317" t="s">
        <v>247</v>
      </c>
      <c r="C120" s="319">
        <f t="shared" si="17"/>
        <v>0</v>
      </c>
      <c r="D120" s="319">
        <f t="array" ref="D120">SUM(IF((Budget[Sort Code]=$B$6)*(Budget[Account Code]=$B120)*(Budget[Date]=D$7),Budget[Amount]))</f>
        <v>0</v>
      </c>
      <c r="E120" s="319">
        <f t="array" ref="E120">SUM(IF((Budget[Sort Code]=$B$6)*(Budget[Account Code]=$B120)*(Budget[Date]=E$7),Budget[Amount]))</f>
        <v>0</v>
      </c>
      <c r="F120" s="319">
        <f t="array" ref="F120">SUM(IF((Budget[Sort Code]=$B$6)*(Budget[Account Code]=$B120)*(Budget[Date]=F$7),Budget[Amount]))</f>
        <v>0</v>
      </c>
      <c r="G120" s="319">
        <f t="array" ref="G120">SUM(IF((Budget[Sort Code]=$B$6)*(Budget[Account Code]=$B120)*(Budget[Date]=G$7),Budget[Amount]))</f>
        <v>0</v>
      </c>
      <c r="H120" s="319">
        <f t="array" ref="H120">SUM(IF((Budget[Sort Code]=$B$6)*(Budget[Account Code]=$B120)*(Budget[Date]=H$7),Budget[Amount]))</f>
        <v>0</v>
      </c>
      <c r="I120" s="319">
        <f t="array" ref="I120">SUM(IF((Budget[Sort Code]=$B$6)*(Budget[Account Code]=$B120)*(Budget[Date]=I$7),Budget[Amount]))</f>
        <v>0</v>
      </c>
      <c r="J120" s="319">
        <f t="array" ref="J120">SUM(IF((Budget[Sort Code]=$B$6)*(Budget[Account Code]=$B120)*(Budget[Date]=J$7),Budget[Amount]))</f>
        <v>0</v>
      </c>
      <c r="K120" s="319">
        <f t="array" ref="K120">SUM(IF((Budget[Sort Code]=$B$6)*(Budget[Account Code]=$B120)*(Budget[Date]=K$7),Budget[Amount]))</f>
        <v>0</v>
      </c>
      <c r="L120" s="319">
        <f t="array" ref="L120">SUM(IF((Budget[Sort Code]=$B$6)*(Budget[Account Code]=$B120)*(Budget[Date]=L$7),Budget[Amount]))</f>
        <v>0</v>
      </c>
      <c r="M120" s="319">
        <f t="array" ref="M120">SUM(IF((Budget[Sort Code]=$B$6)*(Budget[Account Code]=$B120)*(Budget[Date]=M$7),Budget[Amount]))</f>
        <v>0</v>
      </c>
      <c r="N120" s="319">
        <f t="array" ref="N120">SUM(IF((Budget[Sort Code]=$B$6)*(Budget[Account Code]=$B120)*(Budget[Date]=N$7),Budget[Amount]))</f>
        <v>0</v>
      </c>
      <c r="O120" s="319">
        <f t="array" ref="O120">SUM(IF((Budget[Sort Code]=$B$6)*(Budget[Account Code]=$B120)*(Budget[Date]=O$7),Budget[Amount]))</f>
        <v>0</v>
      </c>
      <c r="P120" s="319">
        <f t="shared" si="16"/>
        <v>0</v>
      </c>
    </row>
    <row r="121" spans="1:16">
      <c r="A121" s="323" t="s">
        <v>943</v>
      </c>
      <c r="B121" s="317"/>
      <c r="C121" s="319">
        <f t="shared" si="17"/>
        <v>0</v>
      </c>
      <c r="D121" s="319">
        <f t="array" ref="D121">SUM(IF((Budget[Sort Code]=$B$6)*(Budget[Account Code]=$B121)*(Budget[Date]=D$7),Budget[Amount]))</f>
        <v>0</v>
      </c>
      <c r="E121" s="319">
        <f t="array" ref="E121">SUM(IF((Budget[Sort Code]=$B$6)*(Budget[Account Code]=$B121)*(Budget[Date]=E$7),Budget[Amount]))</f>
        <v>0</v>
      </c>
      <c r="F121" s="319">
        <f t="array" ref="F121">SUM(IF((Budget[Sort Code]=$B$6)*(Budget[Account Code]=$B121)*(Budget[Date]=F$7),Budget[Amount]))</f>
        <v>0</v>
      </c>
      <c r="G121" s="319">
        <f t="array" ref="G121">SUM(IF((Budget[Sort Code]=$B$6)*(Budget[Account Code]=$B121)*(Budget[Date]=G$7),Budget[Amount]))</f>
        <v>0</v>
      </c>
      <c r="H121" s="319">
        <f t="array" ref="H121">SUM(IF((Budget[Sort Code]=$B$6)*(Budget[Account Code]=$B121)*(Budget[Date]=H$7),Budget[Amount]))</f>
        <v>0</v>
      </c>
      <c r="I121" s="319">
        <f t="array" ref="I121">SUM(IF((Budget[Sort Code]=$B$6)*(Budget[Account Code]=$B121)*(Budget[Date]=I$7),Budget[Amount]))</f>
        <v>0</v>
      </c>
      <c r="J121" s="319">
        <f t="array" ref="J121">SUM(IF((Budget[Sort Code]=$B$6)*(Budget[Account Code]=$B121)*(Budget[Date]=J$7),Budget[Amount]))</f>
        <v>0</v>
      </c>
      <c r="K121" s="319">
        <f t="array" ref="K121">SUM(IF((Budget[Sort Code]=$B$6)*(Budget[Account Code]=$B121)*(Budget[Date]=K$7),Budget[Amount]))</f>
        <v>0</v>
      </c>
      <c r="L121" s="319">
        <f t="array" ref="L121">SUM(IF((Budget[Sort Code]=$B$6)*(Budget[Account Code]=$B121)*(Budget[Date]=L$7),Budget[Amount]))</f>
        <v>0</v>
      </c>
      <c r="M121" s="319">
        <f t="array" ref="M121">SUM(IF((Budget[Sort Code]=$B$6)*(Budget[Account Code]=$B121)*(Budget[Date]=M$7),Budget[Amount]))</f>
        <v>0</v>
      </c>
      <c r="N121" s="319">
        <f t="array" ref="N121">SUM(IF((Budget[Sort Code]=$B$6)*(Budget[Account Code]=$B121)*(Budget[Date]=N$7),Budget[Amount]))</f>
        <v>0</v>
      </c>
      <c r="O121" s="319">
        <f t="array" ref="O121">SUM(IF((Budget[Sort Code]=$B$6)*(Budget[Account Code]=$B121)*(Budget[Date]=O$7),Budget[Amount]))</f>
        <v>0</v>
      </c>
      <c r="P121" s="319">
        <f t="shared" si="16"/>
        <v>0</v>
      </c>
    </row>
    <row r="122" spans="1:16">
      <c r="A122" s="323" t="s">
        <v>944</v>
      </c>
      <c r="B122" s="317" t="s">
        <v>248</v>
      </c>
      <c r="C122" s="319">
        <f t="shared" si="17"/>
        <v>0</v>
      </c>
      <c r="D122" s="319">
        <f t="array" ref="D122">SUM(IF((Budget[Sort Code]=$B$6)*(Budget[Account Code]=$B122)*(Budget[Date]=D$7),Budget[Amount]))</f>
        <v>0</v>
      </c>
      <c r="E122" s="319">
        <f t="array" ref="E122">SUM(IF((Budget[Sort Code]=$B$6)*(Budget[Account Code]=$B122)*(Budget[Date]=E$7),Budget[Amount]))</f>
        <v>0</v>
      </c>
      <c r="F122" s="319">
        <f t="array" ref="F122">SUM(IF((Budget[Sort Code]=$B$6)*(Budget[Account Code]=$B122)*(Budget[Date]=F$7),Budget[Amount]))</f>
        <v>0</v>
      </c>
      <c r="G122" s="319">
        <f t="array" ref="G122">SUM(IF((Budget[Sort Code]=$B$6)*(Budget[Account Code]=$B122)*(Budget[Date]=G$7),Budget[Amount]))</f>
        <v>0</v>
      </c>
      <c r="H122" s="319">
        <f t="array" ref="H122">SUM(IF((Budget[Sort Code]=$B$6)*(Budget[Account Code]=$B122)*(Budget[Date]=H$7),Budget[Amount]))</f>
        <v>0</v>
      </c>
      <c r="I122" s="319">
        <f t="array" ref="I122">SUM(IF((Budget[Sort Code]=$B$6)*(Budget[Account Code]=$B122)*(Budget[Date]=I$7),Budget[Amount]))</f>
        <v>0</v>
      </c>
      <c r="J122" s="319">
        <f t="array" ref="J122">SUM(IF((Budget[Sort Code]=$B$6)*(Budget[Account Code]=$B122)*(Budget[Date]=J$7),Budget[Amount]))</f>
        <v>0</v>
      </c>
      <c r="K122" s="319">
        <f t="array" ref="K122">SUM(IF((Budget[Sort Code]=$B$6)*(Budget[Account Code]=$B122)*(Budget[Date]=K$7),Budget[Amount]))</f>
        <v>0</v>
      </c>
      <c r="L122" s="319">
        <f t="array" ref="L122">SUM(IF((Budget[Sort Code]=$B$6)*(Budget[Account Code]=$B122)*(Budget[Date]=L$7),Budget[Amount]))</f>
        <v>0</v>
      </c>
      <c r="M122" s="319">
        <f t="array" ref="M122">SUM(IF((Budget[Sort Code]=$B$6)*(Budget[Account Code]=$B122)*(Budget[Date]=M$7),Budget[Amount]))</f>
        <v>0</v>
      </c>
      <c r="N122" s="319">
        <f t="array" ref="N122">SUM(IF((Budget[Sort Code]=$B$6)*(Budget[Account Code]=$B122)*(Budget[Date]=N$7),Budget[Amount]))</f>
        <v>0</v>
      </c>
      <c r="O122" s="319">
        <f t="array" ref="O122">SUM(IF((Budget[Sort Code]=$B$6)*(Budget[Account Code]=$B122)*(Budget[Date]=O$7),Budget[Amount]))</f>
        <v>0</v>
      </c>
      <c r="P122" s="319">
        <f t="shared" si="16"/>
        <v>0</v>
      </c>
    </row>
    <row r="123" spans="1:16">
      <c r="A123" s="323" t="s">
        <v>945</v>
      </c>
      <c r="B123" s="317" t="s">
        <v>249</v>
      </c>
      <c r="C123" s="319">
        <f t="shared" si="17"/>
        <v>0</v>
      </c>
      <c r="D123" s="319">
        <f t="array" ref="D123">SUM(IF((Budget[Sort Code]=$B$6)*(Budget[Account Code]=$B123)*(Budget[Date]=D$7),Budget[Amount]))</f>
        <v>0</v>
      </c>
      <c r="E123" s="319">
        <f t="array" ref="E123">SUM(IF((Budget[Sort Code]=$B$6)*(Budget[Account Code]=$B123)*(Budget[Date]=E$7),Budget[Amount]))</f>
        <v>0</v>
      </c>
      <c r="F123" s="319">
        <f t="array" ref="F123">SUM(IF((Budget[Sort Code]=$B$6)*(Budget[Account Code]=$B123)*(Budget[Date]=F$7),Budget[Amount]))</f>
        <v>0</v>
      </c>
      <c r="G123" s="319">
        <f t="array" ref="G123">SUM(IF((Budget[Sort Code]=$B$6)*(Budget[Account Code]=$B123)*(Budget[Date]=G$7),Budget[Amount]))</f>
        <v>0</v>
      </c>
      <c r="H123" s="319">
        <f t="array" ref="H123">SUM(IF((Budget[Sort Code]=$B$6)*(Budget[Account Code]=$B123)*(Budget[Date]=H$7),Budget[Amount]))</f>
        <v>0</v>
      </c>
      <c r="I123" s="319">
        <f t="array" ref="I123">SUM(IF((Budget[Sort Code]=$B$6)*(Budget[Account Code]=$B123)*(Budget[Date]=I$7),Budget[Amount]))</f>
        <v>0</v>
      </c>
      <c r="J123" s="319">
        <f t="array" ref="J123">SUM(IF((Budget[Sort Code]=$B$6)*(Budget[Account Code]=$B123)*(Budget[Date]=J$7),Budget[Amount]))</f>
        <v>0</v>
      </c>
      <c r="K123" s="319">
        <f t="array" ref="K123">SUM(IF((Budget[Sort Code]=$B$6)*(Budget[Account Code]=$B123)*(Budget[Date]=K$7),Budget[Amount]))</f>
        <v>0</v>
      </c>
      <c r="L123" s="319">
        <f t="array" ref="L123">SUM(IF((Budget[Sort Code]=$B$6)*(Budget[Account Code]=$B123)*(Budget[Date]=L$7),Budget[Amount]))</f>
        <v>0</v>
      </c>
      <c r="M123" s="319">
        <f t="array" ref="M123">SUM(IF((Budget[Sort Code]=$B$6)*(Budget[Account Code]=$B123)*(Budget[Date]=M$7),Budget[Amount]))</f>
        <v>0</v>
      </c>
      <c r="N123" s="319">
        <f t="array" ref="N123">SUM(IF((Budget[Sort Code]=$B$6)*(Budget[Account Code]=$B123)*(Budget[Date]=N$7),Budget[Amount]))</f>
        <v>0</v>
      </c>
      <c r="O123" s="319">
        <f t="array" ref="O123">SUM(IF((Budget[Sort Code]=$B$6)*(Budget[Account Code]=$B123)*(Budget[Date]=O$7),Budget[Amount]))</f>
        <v>0</v>
      </c>
      <c r="P123" s="319">
        <f t="shared" si="16"/>
        <v>0</v>
      </c>
    </row>
    <row r="124" spans="1:16">
      <c r="A124" s="323" t="s">
        <v>946</v>
      </c>
      <c r="B124" s="317"/>
      <c r="C124" s="319">
        <f t="shared" ref="C124:C151" si="25">SUM(D124:O124)</f>
        <v>0</v>
      </c>
      <c r="D124" s="319">
        <f t="array" ref="D124">SUM(IF((Budget[Sort Code]=$B$6)*(Budget[Account Code]=$B124)*(Budget[Date]=D$7),Budget[Amount]))</f>
        <v>0</v>
      </c>
      <c r="E124" s="319">
        <f t="array" ref="E124">SUM(IF((Budget[Sort Code]=$B$6)*(Budget[Account Code]=$B124)*(Budget[Date]=E$7),Budget[Amount]))</f>
        <v>0</v>
      </c>
      <c r="F124" s="319">
        <f t="array" ref="F124">SUM(IF((Budget[Sort Code]=$B$6)*(Budget[Account Code]=$B124)*(Budget[Date]=F$7),Budget[Amount]))</f>
        <v>0</v>
      </c>
      <c r="G124" s="319">
        <f t="array" ref="G124">SUM(IF((Budget[Sort Code]=$B$6)*(Budget[Account Code]=$B124)*(Budget[Date]=G$7),Budget[Amount]))</f>
        <v>0</v>
      </c>
      <c r="H124" s="319">
        <f t="array" ref="H124">SUM(IF((Budget[Sort Code]=$B$6)*(Budget[Account Code]=$B124)*(Budget[Date]=H$7),Budget[Amount]))</f>
        <v>0</v>
      </c>
      <c r="I124" s="319">
        <f t="array" ref="I124">SUM(IF((Budget[Sort Code]=$B$6)*(Budget[Account Code]=$B124)*(Budget[Date]=I$7),Budget[Amount]))</f>
        <v>0</v>
      </c>
      <c r="J124" s="319">
        <f t="array" ref="J124">SUM(IF((Budget[Sort Code]=$B$6)*(Budget[Account Code]=$B124)*(Budget[Date]=J$7),Budget[Amount]))</f>
        <v>0</v>
      </c>
      <c r="K124" s="319">
        <f t="array" ref="K124">SUM(IF((Budget[Sort Code]=$B$6)*(Budget[Account Code]=$B124)*(Budget[Date]=K$7),Budget[Amount]))</f>
        <v>0</v>
      </c>
      <c r="L124" s="319">
        <f t="array" ref="L124">SUM(IF((Budget[Sort Code]=$B$6)*(Budget[Account Code]=$B124)*(Budget[Date]=L$7),Budget[Amount]))</f>
        <v>0</v>
      </c>
      <c r="M124" s="319">
        <f t="array" ref="M124">SUM(IF((Budget[Sort Code]=$B$6)*(Budget[Account Code]=$B124)*(Budget[Date]=M$7),Budget[Amount]))</f>
        <v>0</v>
      </c>
      <c r="N124" s="319">
        <f t="array" ref="N124">SUM(IF((Budget[Sort Code]=$B$6)*(Budget[Account Code]=$B124)*(Budget[Date]=N$7),Budget[Amount]))</f>
        <v>0</v>
      </c>
      <c r="O124" s="319">
        <f t="array" ref="O124">SUM(IF((Budget[Sort Code]=$B$6)*(Budget[Account Code]=$B124)*(Budget[Date]=O$7),Budget[Amount]))</f>
        <v>0</v>
      </c>
      <c r="P124" s="319">
        <f t="shared" si="16"/>
        <v>0</v>
      </c>
    </row>
    <row r="125" spans="1:16">
      <c r="A125" s="323" t="s">
        <v>947</v>
      </c>
      <c r="B125" s="317" t="s">
        <v>250</v>
      </c>
      <c r="C125" s="319">
        <f t="shared" si="25"/>
        <v>0</v>
      </c>
      <c r="D125" s="319">
        <f t="array" ref="D125">SUM(IF((Budget[Sort Code]=$B$6)*(Budget[Account Code]=$B125)*(Budget[Date]=D$7),Budget[Amount]))</f>
        <v>0</v>
      </c>
      <c r="E125" s="319">
        <f t="array" ref="E125">SUM(IF((Budget[Sort Code]=$B$6)*(Budget[Account Code]=$B125)*(Budget[Date]=E$7),Budget[Amount]))</f>
        <v>0</v>
      </c>
      <c r="F125" s="319">
        <f t="array" ref="F125">SUM(IF((Budget[Sort Code]=$B$6)*(Budget[Account Code]=$B125)*(Budget[Date]=F$7),Budget[Amount]))</f>
        <v>0</v>
      </c>
      <c r="G125" s="319">
        <f t="array" ref="G125">SUM(IF((Budget[Sort Code]=$B$6)*(Budget[Account Code]=$B125)*(Budget[Date]=G$7),Budget[Amount]))</f>
        <v>0</v>
      </c>
      <c r="H125" s="319">
        <f t="array" ref="H125">SUM(IF((Budget[Sort Code]=$B$6)*(Budget[Account Code]=$B125)*(Budget[Date]=H$7),Budget[Amount]))</f>
        <v>0</v>
      </c>
      <c r="I125" s="319">
        <f t="array" ref="I125">SUM(IF((Budget[Sort Code]=$B$6)*(Budget[Account Code]=$B125)*(Budget[Date]=I$7),Budget[Amount]))</f>
        <v>0</v>
      </c>
      <c r="J125" s="319">
        <f t="array" ref="J125">SUM(IF((Budget[Sort Code]=$B$6)*(Budget[Account Code]=$B125)*(Budget[Date]=J$7),Budget[Amount]))</f>
        <v>0</v>
      </c>
      <c r="K125" s="319">
        <f t="array" ref="K125">SUM(IF((Budget[Sort Code]=$B$6)*(Budget[Account Code]=$B125)*(Budget[Date]=K$7),Budget[Amount]))</f>
        <v>0</v>
      </c>
      <c r="L125" s="319">
        <f t="array" ref="L125">SUM(IF((Budget[Sort Code]=$B$6)*(Budget[Account Code]=$B125)*(Budget[Date]=L$7),Budget[Amount]))</f>
        <v>0</v>
      </c>
      <c r="M125" s="319">
        <f t="array" ref="M125">SUM(IF((Budget[Sort Code]=$B$6)*(Budget[Account Code]=$B125)*(Budget[Date]=M$7),Budget[Amount]))</f>
        <v>0</v>
      </c>
      <c r="N125" s="319">
        <f t="array" ref="N125">SUM(IF((Budget[Sort Code]=$B$6)*(Budget[Account Code]=$B125)*(Budget[Date]=N$7),Budget[Amount]))</f>
        <v>0</v>
      </c>
      <c r="O125" s="319">
        <f t="array" ref="O125">SUM(IF((Budget[Sort Code]=$B$6)*(Budget[Account Code]=$B125)*(Budget[Date]=O$7),Budget[Amount]))</f>
        <v>0</v>
      </c>
      <c r="P125" s="319">
        <f t="shared" si="16"/>
        <v>0</v>
      </c>
    </row>
    <row r="126" spans="1:16" s="171" customFormat="1">
      <c r="A126" s="321" t="s">
        <v>948</v>
      </c>
      <c r="B126" s="317"/>
      <c r="C126" s="322">
        <f t="shared" si="25"/>
        <v>0</v>
      </c>
      <c r="D126" s="322">
        <f>SUM(D127:D132)</f>
        <v>0</v>
      </c>
      <c r="E126" s="322">
        <f t="shared" ref="E126:O126" si="26">SUM(E127:E132)</f>
        <v>0</v>
      </c>
      <c r="F126" s="322">
        <f t="shared" si="26"/>
        <v>0</v>
      </c>
      <c r="G126" s="322">
        <f t="shared" si="26"/>
        <v>0</v>
      </c>
      <c r="H126" s="322">
        <f t="shared" si="26"/>
        <v>0</v>
      </c>
      <c r="I126" s="322">
        <f t="shared" si="26"/>
        <v>0</v>
      </c>
      <c r="J126" s="322">
        <f t="shared" si="26"/>
        <v>0</v>
      </c>
      <c r="K126" s="322">
        <f t="shared" si="26"/>
        <v>0</v>
      </c>
      <c r="L126" s="322">
        <f t="shared" si="26"/>
        <v>0</v>
      </c>
      <c r="M126" s="322">
        <f t="shared" si="26"/>
        <v>0</v>
      </c>
      <c r="N126" s="322">
        <f t="shared" si="26"/>
        <v>0</v>
      </c>
      <c r="O126" s="322">
        <f t="shared" si="26"/>
        <v>0</v>
      </c>
      <c r="P126" s="322">
        <f t="shared" si="16"/>
        <v>0</v>
      </c>
    </row>
    <row r="127" spans="1:16">
      <c r="A127" s="323" t="s">
        <v>949</v>
      </c>
      <c r="B127" s="317" t="s">
        <v>253</v>
      </c>
      <c r="C127" s="319">
        <f t="shared" si="25"/>
        <v>0</v>
      </c>
      <c r="D127" s="319">
        <f t="array" ref="D127">SUM(IF((Budget[Sort Code]=$B$6)*(Budget[Account Code]=$B127)*(Budget[Date]=D$7),Budget[Amount]))</f>
        <v>0</v>
      </c>
      <c r="E127" s="319">
        <f t="array" ref="E127">SUM(IF((Budget[Sort Code]=$B$6)*(Budget[Account Code]=$B127)*(Budget[Date]=E$7),Budget[Amount]))</f>
        <v>0</v>
      </c>
      <c r="F127" s="319">
        <f t="array" ref="F127">SUM(IF((Budget[Sort Code]=$B$6)*(Budget[Account Code]=$B127)*(Budget[Date]=F$7),Budget[Amount]))</f>
        <v>0</v>
      </c>
      <c r="G127" s="319">
        <f t="array" ref="G127">SUM(IF((Budget[Sort Code]=$B$6)*(Budget[Account Code]=$B127)*(Budget[Date]=G$7),Budget[Amount]))</f>
        <v>0</v>
      </c>
      <c r="H127" s="319">
        <f t="array" ref="H127">SUM(IF((Budget[Sort Code]=$B$6)*(Budget[Account Code]=$B127)*(Budget[Date]=H$7),Budget[Amount]))</f>
        <v>0</v>
      </c>
      <c r="I127" s="319">
        <f t="array" ref="I127">SUM(IF((Budget[Sort Code]=$B$6)*(Budget[Account Code]=$B127)*(Budget[Date]=I$7),Budget[Amount]))</f>
        <v>0</v>
      </c>
      <c r="J127" s="319">
        <f t="array" ref="J127">SUM(IF((Budget[Sort Code]=$B$6)*(Budget[Account Code]=$B127)*(Budget[Date]=J$7),Budget[Amount]))</f>
        <v>0</v>
      </c>
      <c r="K127" s="319">
        <f t="array" ref="K127">SUM(IF((Budget[Sort Code]=$B$6)*(Budget[Account Code]=$B127)*(Budget[Date]=K$7),Budget[Amount]))</f>
        <v>0</v>
      </c>
      <c r="L127" s="319">
        <f t="array" ref="L127">SUM(IF((Budget[Sort Code]=$B$6)*(Budget[Account Code]=$B127)*(Budget[Date]=L$7),Budget[Amount]))</f>
        <v>0</v>
      </c>
      <c r="M127" s="319">
        <f t="array" ref="M127">SUM(IF((Budget[Sort Code]=$B$6)*(Budget[Account Code]=$B127)*(Budget[Date]=M$7),Budget[Amount]))</f>
        <v>0</v>
      </c>
      <c r="N127" s="319">
        <f t="array" ref="N127">SUM(IF((Budget[Sort Code]=$B$6)*(Budget[Account Code]=$B127)*(Budget[Date]=N$7),Budget[Amount]))</f>
        <v>0</v>
      </c>
      <c r="O127" s="319">
        <f t="array" ref="O127">SUM(IF((Budget[Sort Code]=$B$6)*(Budget[Account Code]=$B127)*(Budget[Date]=O$7),Budget[Amount]))</f>
        <v>0</v>
      </c>
      <c r="P127" s="319">
        <f t="shared" si="16"/>
        <v>0</v>
      </c>
    </row>
    <row r="128" spans="1:16">
      <c r="A128" s="323" t="s">
        <v>950</v>
      </c>
      <c r="B128" s="317" t="s">
        <v>256</v>
      </c>
      <c r="C128" s="319">
        <f t="shared" si="25"/>
        <v>0</v>
      </c>
      <c r="D128" s="319">
        <f t="array" ref="D128">SUM(IF((Budget[Sort Code]=$B$6)*(Budget[Account Code]=$B128)*(Budget[Date]=D$7),Budget[Amount]))</f>
        <v>0</v>
      </c>
      <c r="E128" s="319">
        <f t="array" ref="E128">SUM(IF((Budget[Sort Code]=$B$6)*(Budget[Account Code]=$B128)*(Budget[Date]=E$7),Budget[Amount]))</f>
        <v>0</v>
      </c>
      <c r="F128" s="319">
        <f t="array" ref="F128">SUM(IF((Budget[Sort Code]=$B$6)*(Budget[Account Code]=$B128)*(Budget[Date]=F$7),Budget[Amount]))</f>
        <v>0</v>
      </c>
      <c r="G128" s="319">
        <f t="array" ref="G128">SUM(IF((Budget[Sort Code]=$B$6)*(Budget[Account Code]=$B128)*(Budget[Date]=G$7),Budget[Amount]))</f>
        <v>0</v>
      </c>
      <c r="H128" s="319">
        <f t="array" ref="H128">SUM(IF((Budget[Sort Code]=$B$6)*(Budget[Account Code]=$B128)*(Budget[Date]=H$7),Budget[Amount]))</f>
        <v>0</v>
      </c>
      <c r="I128" s="319">
        <f t="array" ref="I128">SUM(IF((Budget[Sort Code]=$B$6)*(Budget[Account Code]=$B128)*(Budget[Date]=I$7),Budget[Amount]))</f>
        <v>0</v>
      </c>
      <c r="J128" s="319">
        <f t="array" ref="J128">SUM(IF((Budget[Sort Code]=$B$6)*(Budget[Account Code]=$B128)*(Budget[Date]=J$7),Budget[Amount]))</f>
        <v>0</v>
      </c>
      <c r="K128" s="319">
        <f t="array" ref="K128">SUM(IF((Budget[Sort Code]=$B$6)*(Budget[Account Code]=$B128)*(Budget[Date]=K$7),Budget[Amount]))</f>
        <v>0</v>
      </c>
      <c r="L128" s="319">
        <f t="array" ref="L128">SUM(IF((Budget[Sort Code]=$B$6)*(Budget[Account Code]=$B128)*(Budget[Date]=L$7),Budget[Amount]))</f>
        <v>0</v>
      </c>
      <c r="M128" s="319">
        <f t="array" ref="M128">SUM(IF((Budget[Sort Code]=$B$6)*(Budget[Account Code]=$B128)*(Budget[Date]=M$7),Budget[Amount]))</f>
        <v>0</v>
      </c>
      <c r="N128" s="319">
        <f t="array" ref="N128">SUM(IF((Budget[Sort Code]=$B$6)*(Budget[Account Code]=$B128)*(Budget[Date]=N$7),Budget[Amount]))</f>
        <v>0</v>
      </c>
      <c r="O128" s="319">
        <f t="array" ref="O128">SUM(IF((Budget[Sort Code]=$B$6)*(Budget[Account Code]=$B128)*(Budget[Date]=O$7),Budget[Amount]))</f>
        <v>0</v>
      </c>
      <c r="P128" s="319">
        <f t="shared" si="16"/>
        <v>0</v>
      </c>
    </row>
    <row r="129" spans="1:16">
      <c r="A129" s="323" t="s">
        <v>951</v>
      </c>
      <c r="B129" s="317" t="s">
        <v>262</v>
      </c>
      <c r="C129" s="319">
        <f t="shared" si="25"/>
        <v>0</v>
      </c>
      <c r="D129" s="319">
        <f t="array" ref="D129">SUM(IF((Budget[Sort Code]=$B$6)*(Budget[Account Code]=$B129)*(Budget[Date]=D$7),Budget[Amount]))</f>
        <v>0</v>
      </c>
      <c r="E129" s="319">
        <f t="array" ref="E129">SUM(IF((Budget[Sort Code]=$B$6)*(Budget[Account Code]=$B129)*(Budget[Date]=E$7),Budget[Amount]))</f>
        <v>0</v>
      </c>
      <c r="F129" s="319">
        <f t="array" ref="F129">SUM(IF((Budget[Sort Code]=$B$6)*(Budget[Account Code]=$B129)*(Budget[Date]=F$7),Budget[Amount]))</f>
        <v>0</v>
      </c>
      <c r="G129" s="319">
        <f t="array" ref="G129">SUM(IF((Budget[Sort Code]=$B$6)*(Budget[Account Code]=$B129)*(Budget[Date]=G$7),Budget[Amount]))</f>
        <v>0</v>
      </c>
      <c r="H129" s="319">
        <f t="array" ref="H129">SUM(IF((Budget[Sort Code]=$B$6)*(Budget[Account Code]=$B129)*(Budget[Date]=H$7),Budget[Amount]))</f>
        <v>0</v>
      </c>
      <c r="I129" s="319">
        <f t="array" ref="I129">SUM(IF((Budget[Sort Code]=$B$6)*(Budget[Account Code]=$B129)*(Budget[Date]=I$7),Budget[Amount]))</f>
        <v>0</v>
      </c>
      <c r="J129" s="319">
        <f t="array" ref="J129">SUM(IF((Budget[Sort Code]=$B$6)*(Budget[Account Code]=$B129)*(Budget[Date]=J$7),Budget[Amount]))</f>
        <v>0</v>
      </c>
      <c r="K129" s="319">
        <f t="array" ref="K129">SUM(IF((Budget[Sort Code]=$B$6)*(Budget[Account Code]=$B129)*(Budget[Date]=K$7),Budget[Amount]))</f>
        <v>0</v>
      </c>
      <c r="L129" s="319">
        <f t="array" ref="L129">SUM(IF((Budget[Sort Code]=$B$6)*(Budget[Account Code]=$B129)*(Budget[Date]=L$7),Budget[Amount]))</f>
        <v>0</v>
      </c>
      <c r="M129" s="319">
        <f t="array" ref="M129">SUM(IF((Budget[Sort Code]=$B$6)*(Budget[Account Code]=$B129)*(Budget[Date]=M$7),Budget[Amount]))</f>
        <v>0</v>
      </c>
      <c r="N129" s="319">
        <f t="array" ref="N129">SUM(IF((Budget[Sort Code]=$B$6)*(Budget[Account Code]=$B129)*(Budget[Date]=N$7),Budget[Amount]))</f>
        <v>0</v>
      </c>
      <c r="O129" s="319">
        <f t="array" ref="O129">SUM(IF((Budget[Sort Code]=$B$6)*(Budget[Account Code]=$B129)*(Budget[Date]=O$7),Budget[Amount]))</f>
        <v>0</v>
      </c>
      <c r="P129" s="319">
        <f t="shared" si="16"/>
        <v>0</v>
      </c>
    </row>
    <row r="130" spans="1:16">
      <c r="A130" s="323" t="s">
        <v>952</v>
      </c>
      <c r="B130" s="317" t="s">
        <v>251</v>
      </c>
      <c r="C130" s="319">
        <f t="shared" si="25"/>
        <v>0</v>
      </c>
      <c r="D130" s="319">
        <f t="array" ref="D130">SUM(IF((Budget[Sort Code]=$B$6)*(Budget[Account Code]=$B130)*(Budget[Date]=D$7),Budget[Amount]))</f>
        <v>0</v>
      </c>
      <c r="E130" s="319">
        <f t="array" ref="E130">SUM(IF((Budget[Sort Code]=$B$6)*(Budget[Account Code]=$B130)*(Budget[Date]=E$7),Budget[Amount]))</f>
        <v>0</v>
      </c>
      <c r="F130" s="319">
        <f t="array" ref="F130">SUM(IF((Budget[Sort Code]=$B$6)*(Budget[Account Code]=$B130)*(Budget[Date]=F$7),Budget[Amount]))</f>
        <v>0</v>
      </c>
      <c r="G130" s="319">
        <f t="array" ref="G130">SUM(IF((Budget[Sort Code]=$B$6)*(Budget[Account Code]=$B130)*(Budget[Date]=G$7),Budget[Amount]))</f>
        <v>0</v>
      </c>
      <c r="H130" s="319">
        <f t="array" ref="H130">SUM(IF((Budget[Sort Code]=$B$6)*(Budget[Account Code]=$B130)*(Budget[Date]=H$7),Budget[Amount]))</f>
        <v>0</v>
      </c>
      <c r="I130" s="319">
        <f t="array" ref="I130">SUM(IF((Budget[Sort Code]=$B$6)*(Budget[Account Code]=$B130)*(Budget[Date]=I$7),Budget[Amount]))</f>
        <v>0</v>
      </c>
      <c r="J130" s="319">
        <f t="array" ref="J130">SUM(IF((Budget[Sort Code]=$B$6)*(Budget[Account Code]=$B130)*(Budget[Date]=J$7),Budget[Amount]))</f>
        <v>0</v>
      </c>
      <c r="K130" s="319">
        <f t="array" ref="K130">SUM(IF((Budget[Sort Code]=$B$6)*(Budget[Account Code]=$B130)*(Budget[Date]=K$7),Budget[Amount]))</f>
        <v>0</v>
      </c>
      <c r="L130" s="319">
        <f t="array" ref="L130">SUM(IF((Budget[Sort Code]=$B$6)*(Budget[Account Code]=$B130)*(Budget[Date]=L$7),Budget[Amount]))</f>
        <v>0</v>
      </c>
      <c r="M130" s="319">
        <f t="array" ref="M130">SUM(IF((Budget[Sort Code]=$B$6)*(Budget[Account Code]=$B130)*(Budget[Date]=M$7),Budget[Amount]))</f>
        <v>0</v>
      </c>
      <c r="N130" s="319">
        <f t="array" ref="N130">SUM(IF((Budget[Sort Code]=$B$6)*(Budget[Account Code]=$B130)*(Budget[Date]=N$7),Budget[Amount]))</f>
        <v>0</v>
      </c>
      <c r="O130" s="319">
        <f t="array" ref="O130">SUM(IF((Budget[Sort Code]=$B$6)*(Budget[Account Code]=$B130)*(Budget[Date]=O$7),Budget[Amount]))</f>
        <v>0</v>
      </c>
      <c r="P130" s="319">
        <f t="shared" si="16"/>
        <v>0</v>
      </c>
    </row>
    <row r="131" spans="1:16">
      <c r="A131" s="323" t="s">
        <v>953</v>
      </c>
      <c r="B131" s="317" t="s">
        <v>252</v>
      </c>
      <c r="C131" s="319">
        <f t="shared" si="25"/>
        <v>0</v>
      </c>
      <c r="D131" s="319">
        <f t="array" ref="D131">SUM(IF((Budget[Sort Code]=$B$6)*(Budget[Account Code]=$B131)*(Budget[Date]=D$7),Budget[Amount]))</f>
        <v>0</v>
      </c>
      <c r="E131" s="319">
        <f t="array" ref="E131">SUM(IF((Budget[Sort Code]=$B$6)*(Budget[Account Code]=$B131)*(Budget[Date]=E$7),Budget[Amount]))</f>
        <v>0</v>
      </c>
      <c r="F131" s="319">
        <f t="array" ref="F131">SUM(IF((Budget[Sort Code]=$B$6)*(Budget[Account Code]=$B131)*(Budget[Date]=F$7),Budget[Amount]))</f>
        <v>0</v>
      </c>
      <c r="G131" s="319">
        <f t="array" ref="G131">SUM(IF((Budget[Sort Code]=$B$6)*(Budget[Account Code]=$B131)*(Budget[Date]=G$7),Budget[Amount]))</f>
        <v>0</v>
      </c>
      <c r="H131" s="319">
        <f t="array" ref="H131">SUM(IF((Budget[Sort Code]=$B$6)*(Budget[Account Code]=$B131)*(Budget[Date]=H$7),Budget[Amount]))</f>
        <v>0</v>
      </c>
      <c r="I131" s="319">
        <f t="array" ref="I131">SUM(IF((Budget[Sort Code]=$B$6)*(Budget[Account Code]=$B131)*(Budget[Date]=I$7),Budget[Amount]))</f>
        <v>0</v>
      </c>
      <c r="J131" s="319">
        <f t="array" ref="J131">SUM(IF((Budget[Sort Code]=$B$6)*(Budget[Account Code]=$B131)*(Budget[Date]=J$7),Budget[Amount]))</f>
        <v>0</v>
      </c>
      <c r="K131" s="319">
        <f t="array" ref="K131">SUM(IF((Budget[Sort Code]=$B$6)*(Budget[Account Code]=$B131)*(Budget[Date]=K$7),Budget[Amount]))</f>
        <v>0</v>
      </c>
      <c r="L131" s="319">
        <f t="array" ref="L131">SUM(IF((Budget[Sort Code]=$B$6)*(Budget[Account Code]=$B131)*(Budget[Date]=L$7),Budget[Amount]))</f>
        <v>0</v>
      </c>
      <c r="M131" s="319">
        <f t="array" ref="M131">SUM(IF((Budget[Sort Code]=$B$6)*(Budget[Account Code]=$B131)*(Budget[Date]=M$7),Budget[Amount]))</f>
        <v>0</v>
      </c>
      <c r="N131" s="319">
        <f t="array" ref="N131">SUM(IF((Budget[Sort Code]=$B$6)*(Budget[Account Code]=$B131)*(Budget[Date]=N$7),Budget[Amount]))</f>
        <v>0</v>
      </c>
      <c r="O131" s="319">
        <f t="array" ref="O131">SUM(IF((Budget[Sort Code]=$B$6)*(Budget[Account Code]=$B131)*(Budget[Date]=O$7),Budget[Amount]))</f>
        <v>0</v>
      </c>
      <c r="P131" s="319">
        <f t="shared" si="16"/>
        <v>0</v>
      </c>
    </row>
    <row r="132" spans="1:16">
      <c r="A132" s="323" t="s">
        <v>954</v>
      </c>
      <c r="B132" s="317" t="s">
        <v>265</v>
      </c>
      <c r="C132" s="319">
        <f t="shared" si="25"/>
        <v>0</v>
      </c>
      <c r="D132" s="319">
        <f t="array" ref="D132">SUM(IF((Budget[Sort Code]=$B$6)*(Budget[Account Code]=$B132)*(Budget[Date]=D$7),Budget[Amount]))</f>
        <v>0</v>
      </c>
      <c r="E132" s="319">
        <f t="array" ref="E132">SUM(IF((Budget[Sort Code]=$B$6)*(Budget[Account Code]=$B132)*(Budget[Date]=E$7),Budget[Amount]))</f>
        <v>0</v>
      </c>
      <c r="F132" s="319">
        <f t="array" ref="F132">SUM(IF((Budget[Sort Code]=$B$6)*(Budget[Account Code]=$B132)*(Budget[Date]=F$7),Budget[Amount]))</f>
        <v>0</v>
      </c>
      <c r="G132" s="319">
        <f t="array" ref="G132">SUM(IF((Budget[Sort Code]=$B$6)*(Budget[Account Code]=$B132)*(Budget[Date]=G$7),Budget[Amount]))</f>
        <v>0</v>
      </c>
      <c r="H132" s="319">
        <f t="array" ref="H132">SUM(IF((Budget[Sort Code]=$B$6)*(Budget[Account Code]=$B132)*(Budget[Date]=H$7),Budget[Amount]))</f>
        <v>0</v>
      </c>
      <c r="I132" s="319">
        <f t="array" ref="I132">SUM(IF((Budget[Sort Code]=$B$6)*(Budget[Account Code]=$B132)*(Budget[Date]=I$7),Budget[Amount]))</f>
        <v>0</v>
      </c>
      <c r="J132" s="319">
        <f t="array" ref="J132">SUM(IF((Budget[Sort Code]=$B$6)*(Budget[Account Code]=$B132)*(Budget[Date]=J$7),Budget[Amount]))</f>
        <v>0</v>
      </c>
      <c r="K132" s="319">
        <f t="array" ref="K132">SUM(IF((Budget[Sort Code]=$B$6)*(Budget[Account Code]=$B132)*(Budget[Date]=K$7),Budget[Amount]))</f>
        <v>0</v>
      </c>
      <c r="L132" s="319">
        <f t="array" ref="L132">SUM(IF((Budget[Sort Code]=$B$6)*(Budget[Account Code]=$B132)*(Budget[Date]=L$7),Budget[Amount]))</f>
        <v>0</v>
      </c>
      <c r="M132" s="319">
        <f t="array" ref="M132">SUM(IF((Budget[Sort Code]=$B$6)*(Budget[Account Code]=$B132)*(Budget[Date]=M$7),Budget[Amount]))</f>
        <v>0</v>
      </c>
      <c r="N132" s="319">
        <f t="array" ref="N132">SUM(IF((Budget[Sort Code]=$B$6)*(Budget[Account Code]=$B132)*(Budget[Date]=N$7),Budget[Amount]))</f>
        <v>0</v>
      </c>
      <c r="O132" s="319">
        <f t="array" ref="O132">SUM(IF((Budget[Sort Code]=$B$6)*(Budget[Account Code]=$B132)*(Budget[Date]=O$7),Budget[Amount]))</f>
        <v>0</v>
      </c>
      <c r="P132" s="319">
        <f t="shared" si="16"/>
        <v>0</v>
      </c>
    </row>
    <row r="133" spans="1:16" s="171" customFormat="1">
      <c r="A133" s="321" t="s">
        <v>955</v>
      </c>
      <c r="B133" s="317" t="s">
        <v>269</v>
      </c>
      <c r="C133" s="322">
        <f t="shared" si="25"/>
        <v>0</v>
      </c>
      <c r="D133" s="319">
        <f t="array" ref="D133">SUM(IF((Budget[Sort Code]=$B$6)*(Budget[Account Code]=$B133)*(Budget[Date]=D$7),Budget[Amount]))</f>
        <v>0</v>
      </c>
      <c r="E133" s="319">
        <f t="array" ref="E133">SUM(IF((Budget[Sort Code]=$B$6)*(Budget[Account Code]=$B133)*(Budget[Date]=E$7),Budget[Amount]))</f>
        <v>0</v>
      </c>
      <c r="F133" s="319">
        <f t="array" ref="F133">SUM(IF((Budget[Sort Code]=$B$6)*(Budget[Account Code]=$B133)*(Budget[Date]=F$7),Budget[Amount]))</f>
        <v>0</v>
      </c>
      <c r="G133" s="319">
        <f t="array" ref="G133">SUM(IF((Budget[Sort Code]=$B$6)*(Budget[Account Code]=$B133)*(Budget[Date]=G$7),Budget[Amount]))</f>
        <v>0</v>
      </c>
      <c r="H133" s="319">
        <f t="array" ref="H133">SUM(IF((Budget[Sort Code]=$B$6)*(Budget[Account Code]=$B133)*(Budget[Date]=H$7),Budget[Amount]))</f>
        <v>0</v>
      </c>
      <c r="I133" s="319">
        <f t="array" ref="I133">SUM(IF((Budget[Sort Code]=$B$6)*(Budget[Account Code]=$B133)*(Budget[Date]=I$7),Budget[Amount]))</f>
        <v>0</v>
      </c>
      <c r="J133" s="319">
        <f t="array" ref="J133">SUM(IF((Budget[Sort Code]=$B$6)*(Budget[Account Code]=$B133)*(Budget[Date]=J$7),Budget[Amount]))</f>
        <v>0</v>
      </c>
      <c r="K133" s="319">
        <f t="array" ref="K133">SUM(IF((Budget[Sort Code]=$B$6)*(Budget[Account Code]=$B133)*(Budget[Date]=K$7),Budget[Amount]))</f>
        <v>0</v>
      </c>
      <c r="L133" s="319">
        <f t="array" ref="L133">SUM(IF((Budget[Sort Code]=$B$6)*(Budget[Account Code]=$B133)*(Budget[Date]=L$7),Budget[Amount]))</f>
        <v>0</v>
      </c>
      <c r="M133" s="319">
        <f t="array" ref="M133">SUM(IF((Budget[Sort Code]=$B$6)*(Budget[Account Code]=$B133)*(Budget[Date]=M$7),Budget[Amount]))</f>
        <v>0</v>
      </c>
      <c r="N133" s="319">
        <f t="array" ref="N133">SUM(IF((Budget[Sort Code]=$B$6)*(Budget[Account Code]=$B133)*(Budget[Date]=N$7),Budget[Amount]))</f>
        <v>0</v>
      </c>
      <c r="O133" s="319">
        <f t="array" ref="O133">SUM(IF((Budget[Sort Code]=$B$6)*(Budget[Account Code]=$B133)*(Budget[Date]=O$7),Budget[Amount]))</f>
        <v>0</v>
      </c>
      <c r="P133" s="322">
        <f t="shared" si="16"/>
        <v>0</v>
      </c>
    </row>
    <row r="134" spans="1:16" s="171" customFormat="1">
      <c r="A134" s="321" t="s">
        <v>956</v>
      </c>
      <c r="B134" s="317"/>
      <c r="C134" s="322">
        <f t="shared" si="25"/>
        <v>0</v>
      </c>
      <c r="D134" s="322">
        <f>D135+D136</f>
        <v>0</v>
      </c>
      <c r="E134" s="322">
        <f t="shared" ref="E134:O134" si="27">E135+E136</f>
        <v>0</v>
      </c>
      <c r="F134" s="322">
        <f t="shared" si="27"/>
        <v>0</v>
      </c>
      <c r="G134" s="322">
        <f t="shared" si="27"/>
        <v>0</v>
      </c>
      <c r="H134" s="322">
        <f t="shared" si="27"/>
        <v>0</v>
      </c>
      <c r="I134" s="322">
        <f t="shared" si="27"/>
        <v>0</v>
      </c>
      <c r="J134" s="322">
        <f t="shared" si="27"/>
        <v>0</v>
      </c>
      <c r="K134" s="322">
        <f t="shared" si="27"/>
        <v>0</v>
      </c>
      <c r="L134" s="322">
        <f t="shared" si="27"/>
        <v>0</v>
      </c>
      <c r="M134" s="322">
        <f t="shared" si="27"/>
        <v>0</v>
      </c>
      <c r="N134" s="322">
        <f t="shared" si="27"/>
        <v>0</v>
      </c>
      <c r="O134" s="322">
        <f t="shared" si="27"/>
        <v>0</v>
      </c>
      <c r="P134" s="322">
        <f t="shared" si="16"/>
        <v>0</v>
      </c>
    </row>
    <row r="135" spans="1:16">
      <c r="A135" s="323" t="s">
        <v>957</v>
      </c>
      <c r="B135" s="317"/>
      <c r="C135" s="319">
        <f t="shared" si="25"/>
        <v>0</v>
      </c>
      <c r="D135" s="319">
        <f t="array" ref="D135">SUM(IF((Budget[Sort Code]=$B$6)*(Budget[Account Code]=$B135)*(Budget[Date]=D$7),Budget[Amount]))</f>
        <v>0</v>
      </c>
      <c r="E135" s="319">
        <f t="array" ref="E135">SUM(IF((Budget[Sort Code]=$B$6)*(Budget[Account Code]=$B135)*(Budget[Date]=E$7),Budget[Amount]))</f>
        <v>0</v>
      </c>
      <c r="F135" s="319">
        <f t="array" ref="F135">SUM(IF((Budget[Sort Code]=$B$6)*(Budget[Account Code]=$B135)*(Budget[Date]=F$7),Budget[Amount]))</f>
        <v>0</v>
      </c>
      <c r="G135" s="319">
        <f t="array" ref="G135">SUM(IF((Budget[Sort Code]=$B$6)*(Budget[Account Code]=$B135)*(Budget[Date]=G$7),Budget[Amount]))</f>
        <v>0</v>
      </c>
      <c r="H135" s="319">
        <f t="array" ref="H135">SUM(IF((Budget[Sort Code]=$B$6)*(Budget[Account Code]=$B135)*(Budget[Date]=H$7),Budget[Amount]))</f>
        <v>0</v>
      </c>
      <c r="I135" s="319">
        <f t="array" ref="I135">SUM(IF((Budget[Sort Code]=$B$6)*(Budget[Account Code]=$B135)*(Budget[Date]=I$7),Budget[Amount]))</f>
        <v>0</v>
      </c>
      <c r="J135" s="319">
        <f t="array" ref="J135">SUM(IF((Budget[Sort Code]=$B$6)*(Budget[Account Code]=$B135)*(Budget[Date]=J$7),Budget[Amount]))</f>
        <v>0</v>
      </c>
      <c r="K135" s="319">
        <f t="array" ref="K135">SUM(IF((Budget[Sort Code]=$B$6)*(Budget[Account Code]=$B135)*(Budget[Date]=K$7),Budget[Amount]))</f>
        <v>0</v>
      </c>
      <c r="L135" s="319">
        <f t="array" ref="L135">SUM(IF((Budget[Sort Code]=$B$6)*(Budget[Account Code]=$B135)*(Budget[Date]=L$7),Budget[Amount]))</f>
        <v>0</v>
      </c>
      <c r="M135" s="319">
        <f t="array" ref="M135">SUM(IF((Budget[Sort Code]=$B$6)*(Budget[Account Code]=$B135)*(Budget[Date]=M$7),Budget[Amount]))</f>
        <v>0</v>
      </c>
      <c r="N135" s="319">
        <f t="array" ref="N135">SUM(IF((Budget[Sort Code]=$B$6)*(Budget[Account Code]=$B135)*(Budget[Date]=N$7),Budget[Amount]))</f>
        <v>0</v>
      </c>
      <c r="O135" s="319">
        <f t="array" ref="O135">SUM(IF((Budget[Sort Code]=$B$6)*(Budget[Account Code]=$B135)*(Budget[Date]=O$7),Budget[Amount]))</f>
        <v>0</v>
      </c>
      <c r="P135" s="319">
        <f t="shared" si="16"/>
        <v>0</v>
      </c>
    </row>
    <row r="136" spans="1:16">
      <c r="A136" s="323" t="s">
        <v>958</v>
      </c>
      <c r="B136" s="317"/>
      <c r="C136" s="319">
        <f t="shared" si="25"/>
        <v>0</v>
      </c>
      <c r="D136" s="319">
        <f t="array" ref="D136">SUM(IF((Budget[Sort Code]=$B$6)*(Budget[Account Code]=$B136)*(Budget[Date]=D$7),Budget[Amount]))</f>
        <v>0</v>
      </c>
      <c r="E136" s="319">
        <f t="array" ref="E136">SUM(IF((Budget[Sort Code]=$B$6)*(Budget[Account Code]=$B136)*(Budget[Date]=E$7),Budget[Amount]))</f>
        <v>0</v>
      </c>
      <c r="F136" s="319">
        <f t="array" ref="F136">SUM(IF((Budget[Sort Code]=$B$6)*(Budget[Account Code]=$B136)*(Budget[Date]=F$7),Budget[Amount]))</f>
        <v>0</v>
      </c>
      <c r="G136" s="319">
        <f t="array" ref="G136">SUM(IF((Budget[Sort Code]=$B$6)*(Budget[Account Code]=$B136)*(Budget[Date]=G$7),Budget[Amount]))</f>
        <v>0</v>
      </c>
      <c r="H136" s="319">
        <f t="array" ref="H136">SUM(IF((Budget[Sort Code]=$B$6)*(Budget[Account Code]=$B136)*(Budget[Date]=H$7),Budget[Amount]))</f>
        <v>0</v>
      </c>
      <c r="I136" s="319">
        <f t="array" ref="I136">SUM(IF((Budget[Sort Code]=$B$6)*(Budget[Account Code]=$B136)*(Budget[Date]=I$7),Budget[Amount]))</f>
        <v>0</v>
      </c>
      <c r="J136" s="319">
        <f t="array" ref="J136">SUM(IF((Budget[Sort Code]=$B$6)*(Budget[Account Code]=$B136)*(Budget[Date]=J$7),Budget[Amount]))</f>
        <v>0</v>
      </c>
      <c r="K136" s="319">
        <f t="array" ref="K136">SUM(IF((Budget[Sort Code]=$B$6)*(Budget[Account Code]=$B136)*(Budget[Date]=K$7),Budget[Amount]))</f>
        <v>0</v>
      </c>
      <c r="L136" s="319">
        <f t="array" ref="L136">SUM(IF((Budget[Sort Code]=$B$6)*(Budget[Account Code]=$B136)*(Budget[Date]=L$7),Budget[Amount]))</f>
        <v>0</v>
      </c>
      <c r="M136" s="319">
        <f t="array" ref="M136">SUM(IF((Budget[Sort Code]=$B$6)*(Budget[Account Code]=$B136)*(Budget[Date]=M$7),Budget[Amount]))</f>
        <v>0</v>
      </c>
      <c r="N136" s="319">
        <f t="array" ref="N136">SUM(IF((Budget[Sort Code]=$B$6)*(Budget[Account Code]=$B136)*(Budget[Date]=N$7),Budget[Amount]))</f>
        <v>0</v>
      </c>
      <c r="O136" s="319">
        <f t="array" ref="O136">SUM(IF((Budget[Sort Code]=$B$6)*(Budget[Account Code]=$B136)*(Budget[Date]=O$7),Budget[Amount]))</f>
        <v>0</v>
      </c>
      <c r="P136" s="319">
        <f t="shared" si="16"/>
        <v>0</v>
      </c>
    </row>
    <row r="137" spans="1:16" s="171" customFormat="1">
      <c r="A137" s="321" t="s">
        <v>959</v>
      </c>
      <c r="B137" s="317"/>
      <c r="C137" s="322">
        <f t="shared" si="25"/>
        <v>0</v>
      </c>
      <c r="D137" s="322">
        <f>D138+D139+D140</f>
        <v>0</v>
      </c>
      <c r="E137" s="322">
        <f t="shared" ref="E137:O137" si="28">E138+E139+E140</f>
        <v>0</v>
      </c>
      <c r="F137" s="322">
        <f t="shared" si="28"/>
        <v>0</v>
      </c>
      <c r="G137" s="322">
        <f t="shared" si="28"/>
        <v>0</v>
      </c>
      <c r="H137" s="322">
        <f t="shared" si="28"/>
        <v>0</v>
      </c>
      <c r="I137" s="322">
        <f t="shared" si="28"/>
        <v>0</v>
      </c>
      <c r="J137" s="322">
        <f t="shared" si="28"/>
        <v>0</v>
      </c>
      <c r="K137" s="322">
        <f t="shared" si="28"/>
        <v>0</v>
      </c>
      <c r="L137" s="322">
        <f t="shared" si="28"/>
        <v>0</v>
      </c>
      <c r="M137" s="322">
        <f t="shared" si="28"/>
        <v>0</v>
      </c>
      <c r="N137" s="322">
        <f t="shared" si="28"/>
        <v>0</v>
      </c>
      <c r="O137" s="322">
        <f t="shared" si="28"/>
        <v>0</v>
      </c>
      <c r="P137" s="322">
        <f t="shared" si="16"/>
        <v>0</v>
      </c>
    </row>
    <row r="138" spans="1:16">
      <c r="A138" s="323" t="s">
        <v>960</v>
      </c>
      <c r="B138" s="317" t="s">
        <v>272</v>
      </c>
      <c r="C138" s="319">
        <f t="shared" si="25"/>
        <v>0</v>
      </c>
      <c r="D138" s="319">
        <f t="array" ref="D138">SUM(IF((Budget[Sort Code]=$B$6)*(Budget[Account Code]=$B138)*(Budget[Date]=D$7),Budget[Amount]))</f>
        <v>0</v>
      </c>
      <c r="E138" s="319">
        <f t="array" ref="E138">SUM(IF((Budget[Sort Code]=$B$6)*(Budget[Account Code]=$B138)*(Budget[Date]=E$7),Budget[Amount]))</f>
        <v>0</v>
      </c>
      <c r="F138" s="319">
        <f t="array" ref="F138">SUM(IF((Budget[Sort Code]=$B$6)*(Budget[Account Code]=$B138)*(Budget[Date]=F$7),Budget[Amount]))</f>
        <v>0</v>
      </c>
      <c r="G138" s="319">
        <f t="array" ref="G138">SUM(IF((Budget[Sort Code]=$B$6)*(Budget[Account Code]=$B138)*(Budget[Date]=G$7),Budget[Amount]))</f>
        <v>0</v>
      </c>
      <c r="H138" s="319">
        <f t="array" ref="H138">SUM(IF((Budget[Sort Code]=$B$6)*(Budget[Account Code]=$B138)*(Budget[Date]=H$7),Budget[Amount]))</f>
        <v>0</v>
      </c>
      <c r="I138" s="319">
        <f t="array" ref="I138">SUM(IF((Budget[Sort Code]=$B$6)*(Budget[Account Code]=$B138)*(Budget[Date]=I$7),Budget[Amount]))</f>
        <v>0</v>
      </c>
      <c r="J138" s="319">
        <f t="array" ref="J138">SUM(IF((Budget[Sort Code]=$B$6)*(Budget[Account Code]=$B138)*(Budget[Date]=J$7),Budget[Amount]))</f>
        <v>0</v>
      </c>
      <c r="K138" s="319">
        <f t="array" ref="K138">SUM(IF((Budget[Sort Code]=$B$6)*(Budget[Account Code]=$B138)*(Budget[Date]=K$7),Budget[Amount]))</f>
        <v>0</v>
      </c>
      <c r="L138" s="319">
        <f t="array" ref="L138">SUM(IF((Budget[Sort Code]=$B$6)*(Budget[Account Code]=$B138)*(Budget[Date]=L$7),Budget[Amount]))</f>
        <v>0</v>
      </c>
      <c r="M138" s="319">
        <f t="array" ref="M138">SUM(IF((Budget[Sort Code]=$B$6)*(Budget[Account Code]=$B138)*(Budget[Date]=M$7),Budget[Amount]))</f>
        <v>0</v>
      </c>
      <c r="N138" s="319">
        <f t="array" ref="N138">SUM(IF((Budget[Sort Code]=$B$6)*(Budget[Account Code]=$B138)*(Budget[Date]=N$7),Budget[Amount]))</f>
        <v>0</v>
      </c>
      <c r="O138" s="319">
        <f t="array" ref="O138">SUM(IF((Budget[Sort Code]=$B$6)*(Budget[Account Code]=$B138)*(Budget[Date]=O$7),Budget[Amount]))</f>
        <v>0</v>
      </c>
      <c r="P138" s="319">
        <f t="shared" si="16"/>
        <v>0</v>
      </c>
    </row>
    <row r="139" spans="1:16">
      <c r="A139" s="323" t="s">
        <v>961</v>
      </c>
      <c r="B139" s="317" t="s">
        <v>273</v>
      </c>
      <c r="C139" s="319">
        <f t="shared" si="25"/>
        <v>0</v>
      </c>
      <c r="D139" s="319">
        <f t="array" ref="D139">SUM(IF((Budget[Sort Code]=$B$6)*(Budget[Account Code]=$B139)*(Budget[Date]=D$7),Budget[Amount]))</f>
        <v>0</v>
      </c>
      <c r="E139" s="319">
        <f t="array" ref="E139">SUM(IF((Budget[Sort Code]=$B$6)*(Budget[Account Code]=$B139)*(Budget[Date]=E$7),Budget[Amount]))</f>
        <v>0</v>
      </c>
      <c r="F139" s="319">
        <f t="array" ref="F139">SUM(IF((Budget[Sort Code]=$B$6)*(Budget[Account Code]=$B139)*(Budget[Date]=F$7),Budget[Amount]))</f>
        <v>0</v>
      </c>
      <c r="G139" s="319">
        <f t="array" ref="G139">SUM(IF((Budget[Sort Code]=$B$6)*(Budget[Account Code]=$B139)*(Budget[Date]=G$7),Budget[Amount]))</f>
        <v>0</v>
      </c>
      <c r="H139" s="319">
        <f t="array" ref="H139">SUM(IF((Budget[Sort Code]=$B$6)*(Budget[Account Code]=$B139)*(Budget[Date]=H$7),Budget[Amount]))</f>
        <v>0</v>
      </c>
      <c r="I139" s="319">
        <f t="array" ref="I139">SUM(IF((Budget[Sort Code]=$B$6)*(Budget[Account Code]=$B139)*(Budget[Date]=I$7),Budget[Amount]))</f>
        <v>0</v>
      </c>
      <c r="J139" s="319">
        <f t="array" ref="J139">SUM(IF((Budget[Sort Code]=$B$6)*(Budget[Account Code]=$B139)*(Budget[Date]=J$7),Budget[Amount]))</f>
        <v>0</v>
      </c>
      <c r="K139" s="319">
        <f t="array" ref="K139">SUM(IF((Budget[Sort Code]=$B$6)*(Budget[Account Code]=$B139)*(Budget[Date]=K$7),Budget[Amount]))</f>
        <v>0</v>
      </c>
      <c r="L139" s="319">
        <f t="array" ref="L139">SUM(IF((Budget[Sort Code]=$B$6)*(Budget[Account Code]=$B139)*(Budget[Date]=L$7),Budget[Amount]))</f>
        <v>0</v>
      </c>
      <c r="M139" s="319">
        <f t="array" ref="M139">SUM(IF((Budget[Sort Code]=$B$6)*(Budget[Account Code]=$B139)*(Budget[Date]=M$7),Budget[Amount]))</f>
        <v>0</v>
      </c>
      <c r="N139" s="319">
        <f t="array" ref="N139">SUM(IF((Budget[Sort Code]=$B$6)*(Budget[Account Code]=$B139)*(Budget[Date]=N$7),Budget[Amount]))</f>
        <v>0</v>
      </c>
      <c r="O139" s="319">
        <f t="array" ref="O139">SUM(IF((Budget[Sort Code]=$B$6)*(Budget[Account Code]=$B139)*(Budget[Date]=O$7),Budget[Amount]))</f>
        <v>0</v>
      </c>
      <c r="P139" s="319">
        <f t="shared" si="16"/>
        <v>0</v>
      </c>
    </row>
    <row r="140" spans="1:16">
      <c r="A140" s="323" t="s">
        <v>962</v>
      </c>
      <c r="B140" s="317" t="s">
        <v>274</v>
      </c>
      <c r="C140" s="319">
        <f t="shared" si="25"/>
        <v>0</v>
      </c>
      <c r="D140" s="319">
        <f t="array" ref="D140">SUM(IF((Budget[Sort Code]=$B$6)*(Budget[Account Code]=$B140)*(Budget[Date]=D$7),Budget[Amount]))</f>
        <v>0</v>
      </c>
      <c r="E140" s="319">
        <f t="array" ref="E140">SUM(IF((Budget[Sort Code]=$B$6)*(Budget[Account Code]=$B140)*(Budget[Date]=E$7),Budget[Amount]))</f>
        <v>0</v>
      </c>
      <c r="F140" s="319">
        <f t="array" ref="F140">SUM(IF((Budget[Sort Code]=$B$6)*(Budget[Account Code]=$B140)*(Budget[Date]=F$7),Budget[Amount]))</f>
        <v>0</v>
      </c>
      <c r="G140" s="319">
        <f t="array" ref="G140">SUM(IF((Budget[Sort Code]=$B$6)*(Budget[Account Code]=$B140)*(Budget[Date]=G$7),Budget[Amount]))</f>
        <v>0</v>
      </c>
      <c r="H140" s="319">
        <f t="array" ref="H140">SUM(IF((Budget[Sort Code]=$B$6)*(Budget[Account Code]=$B140)*(Budget[Date]=H$7),Budget[Amount]))</f>
        <v>0</v>
      </c>
      <c r="I140" s="319">
        <f t="array" ref="I140">SUM(IF((Budget[Sort Code]=$B$6)*(Budget[Account Code]=$B140)*(Budget[Date]=I$7),Budget[Amount]))</f>
        <v>0</v>
      </c>
      <c r="J140" s="319">
        <f t="array" ref="J140">SUM(IF((Budget[Sort Code]=$B$6)*(Budget[Account Code]=$B140)*(Budget[Date]=J$7),Budget[Amount]))</f>
        <v>0</v>
      </c>
      <c r="K140" s="319">
        <f t="array" ref="K140">SUM(IF((Budget[Sort Code]=$B$6)*(Budget[Account Code]=$B140)*(Budget[Date]=K$7),Budget[Amount]))</f>
        <v>0</v>
      </c>
      <c r="L140" s="319">
        <f t="array" ref="L140">SUM(IF((Budget[Sort Code]=$B$6)*(Budget[Account Code]=$B140)*(Budget[Date]=L$7),Budget[Amount]))</f>
        <v>0</v>
      </c>
      <c r="M140" s="319">
        <f t="array" ref="M140">SUM(IF((Budget[Sort Code]=$B$6)*(Budget[Account Code]=$B140)*(Budget[Date]=M$7),Budget[Amount]))</f>
        <v>0</v>
      </c>
      <c r="N140" s="319">
        <f t="array" ref="N140">SUM(IF((Budget[Sort Code]=$B$6)*(Budget[Account Code]=$B140)*(Budget[Date]=N$7),Budget[Amount]))</f>
        <v>0</v>
      </c>
      <c r="O140" s="319">
        <f t="array" ref="O140">SUM(IF((Budget[Sort Code]=$B$6)*(Budget[Account Code]=$B140)*(Budget[Date]=O$7),Budget[Amount]))</f>
        <v>0</v>
      </c>
      <c r="P140" s="319">
        <f t="shared" ref="P140:P169" si="29">C140</f>
        <v>0</v>
      </c>
    </row>
    <row r="141" spans="1:16" s="171" customFormat="1">
      <c r="A141" s="321" t="s">
        <v>963</v>
      </c>
      <c r="B141" s="317"/>
      <c r="C141" s="322">
        <f t="shared" si="25"/>
        <v>0</v>
      </c>
      <c r="D141" s="322">
        <f>SUM(D142:D146)</f>
        <v>0</v>
      </c>
      <c r="E141" s="322">
        <f t="shared" ref="E141:O141" si="30">SUM(E142:E146)</f>
        <v>0</v>
      </c>
      <c r="F141" s="322">
        <f t="shared" si="30"/>
        <v>0</v>
      </c>
      <c r="G141" s="322">
        <f t="shared" si="30"/>
        <v>0</v>
      </c>
      <c r="H141" s="322">
        <f t="shared" si="30"/>
        <v>0</v>
      </c>
      <c r="I141" s="322">
        <f t="shared" si="30"/>
        <v>0</v>
      </c>
      <c r="J141" s="322">
        <f t="shared" si="30"/>
        <v>0</v>
      </c>
      <c r="K141" s="322">
        <f t="shared" si="30"/>
        <v>0</v>
      </c>
      <c r="L141" s="322">
        <f t="shared" si="30"/>
        <v>0</v>
      </c>
      <c r="M141" s="322">
        <f t="shared" si="30"/>
        <v>0</v>
      </c>
      <c r="N141" s="322">
        <f t="shared" si="30"/>
        <v>0</v>
      </c>
      <c r="O141" s="322">
        <f t="shared" si="30"/>
        <v>0</v>
      </c>
      <c r="P141" s="322">
        <f t="shared" si="29"/>
        <v>0</v>
      </c>
    </row>
    <row r="142" spans="1:16">
      <c r="A142" s="323" t="s">
        <v>964</v>
      </c>
      <c r="B142" s="317" t="s">
        <v>332</v>
      </c>
      <c r="C142" s="319">
        <f t="shared" si="25"/>
        <v>0</v>
      </c>
      <c r="D142" s="319">
        <f t="array" ref="D142">SUM(IF((Budget[Sort Code]=$B$6)*(Budget[Account Code]=$B142)*(Budget[Date]=D$7),Budget[Amount]))</f>
        <v>0</v>
      </c>
      <c r="E142" s="319">
        <f t="array" ref="E142">SUM(IF((Budget[Sort Code]=$B$6)*(Budget[Account Code]=$B142)*(Budget[Date]=E$7),Budget[Amount]))</f>
        <v>0</v>
      </c>
      <c r="F142" s="319">
        <f t="array" ref="F142">SUM(IF((Budget[Sort Code]=$B$6)*(Budget[Account Code]=$B142)*(Budget[Date]=F$7),Budget[Amount]))</f>
        <v>0</v>
      </c>
      <c r="G142" s="319">
        <f t="array" ref="G142">SUM(IF((Budget[Sort Code]=$B$6)*(Budget[Account Code]=$B142)*(Budget[Date]=G$7),Budget[Amount]))</f>
        <v>0</v>
      </c>
      <c r="H142" s="319">
        <f t="array" ref="H142">SUM(IF((Budget[Sort Code]=$B$6)*(Budget[Account Code]=$B142)*(Budget[Date]=H$7),Budget[Amount]))</f>
        <v>0</v>
      </c>
      <c r="I142" s="319">
        <f t="array" ref="I142">SUM(IF((Budget[Sort Code]=$B$6)*(Budget[Account Code]=$B142)*(Budget[Date]=I$7),Budget[Amount]))</f>
        <v>0</v>
      </c>
      <c r="J142" s="319">
        <f t="array" ref="J142">SUM(IF((Budget[Sort Code]=$B$6)*(Budget[Account Code]=$B142)*(Budget[Date]=J$7),Budget[Amount]))</f>
        <v>0</v>
      </c>
      <c r="K142" s="319">
        <f t="array" ref="K142">SUM(IF((Budget[Sort Code]=$B$6)*(Budget[Account Code]=$B142)*(Budget[Date]=K$7),Budget[Amount]))</f>
        <v>0</v>
      </c>
      <c r="L142" s="319">
        <f t="array" ref="L142">SUM(IF((Budget[Sort Code]=$B$6)*(Budget[Account Code]=$B142)*(Budget[Date]=L$7),Budget[Amount]))</f>
        <v>0</v>
      </c>
      <c r="M142" s="319">
        <f t="array" ref="M142">SUM(IF((Budget[Sort Code]=$B$6)*(Budget[Account Code]=$B142)*(Budget[Date]=M$7),Budget[Amount]))</f>
        <v>0</v>
      </c>
      <c r="N142" s="319">
        <f t="array" ref="N142">SUM(IF((Budget[Sort Code]=$B$6)*(Budget[Account Code]=$B142)*(Budget[Date]=N$7),Budget[Amount]))</f>
        <v>0</v>
      </c>
      <c r="O142" s="319">
        <f t="array" ref="O142">SUM(IF((Budget[Sort Code]=$B$6)*(Budget[Account Code]=$B142)*(Budget[Date]=O$7),Budget[Amount]))</f>
        <v>0</v>
      </c>
      <c r="P142" s="319">
        <f t="shared" si="29"/>
        <v>0</v>
      </c>
    </row>
    <row r="143" spans="1:16">
      <c r="A143" s="323" t="s">
        <v>965</v>
      </c>
      <c r="B143" s="317" t="s">
        <v>331</v>
      </c>
      <c r="C143" s="319">
        <f t="shared" si="25"/>
        <v>0</v>
      </c>
      <c r="D143" s="319">
        <f t="array" ref="D143">SUM(IF((Budget[Sort Code]=$B$6)*(Budget[Account Code]=$B143)*(Budget[Date]=D$7),Budget[Amount]))</f>
        <v>0</v>
      </c>
      <c r="E143" s="319">
        <f t="array" ref="E143">SUM(IF((Budget[Sort Code]=$B$6)*(Budget[Account Code]=$B143)*(Budget[Date]=E$7),Budget[Amount]))</f>
        <v>0</v>
      </c>
      <c r="F143" s="319">
        <f t="array" ref="F143">SUM(IF((Budget[Sort Code]=$B$6)*(Budget[Account Code]=$B143)*(Budget[Date]=F$7),Budget[Amount]))</f>
        <v>0</v>
      </c>
      <c r="G143" s="319">
        <f t="array" ref="G143">SUM(IF((Budget[Sort Code]=$B$6)*(Budget[Account Code]=$B143)*(Budget[Date]=G$7),Budget[Amount]))</f>
        <v>0</v>
      </c>
      <c r="H143" s="319">
        <f t="array" ref="H143">SUM(IF((Budget[Sort Code]=$B$6)*(Budget[Account Code]=$B143)*(Budget[Date]=H$7),Budget[Amount]))</f>
        <v>0</v>
      </c>
      <c r="I143" s="319">
        <f t="array" ref="I143">SUM(IF((Budget[Sort Code]=$B$6)*(Budget[Account Code]=$B143)*(Budget[Date]=I$7),Budget[Amount]))</f>
        <v>0</v>
      </c>
      <c r="J143" s="319">
        <f t="array" ref="J143">SUM(IF((Budget[Sort Code]=$B$6)*(Budget[Account Code]=$B143)*(Budget[Date]=J$7),Budget[Amount]))</f>
        <v>0</v>
      </c>
      <c r="K143" s="319">
        <f t="array" ref="K143">SUM(IF((Budget[Sort Code]=$B$6)*(Budget[Account Code]=$B143)*(Budget[Date]=K$7),Budget[Amount]))</f>
        <v>0</v>
      </c>
      <c r="L143" s="319">
        <f t="array" ref="L143">SUM(IF((Budget[Sort Code]=$B$6)*(Budget[Account Code]=$B143)*(Budget[Date]=L$7),Budget[Amount]))</f>
        <v>0</v>
      </c>
      <c r="M143" s="319">
        <f t="array" ref="M143">SUM(IF((Budget[Sort Code]=$B$6)*(Budget[Account Code]=$B143)*(Budget[Date]=M$7),Budget[Amount]))</f>
        <v>0</v>
      </c>
      <c r="N143" s="319">
        <f t="array" ref="N143">SUM(IF((Budget[Sort Code]=$B$6)*(Budget[Account Code]=$B143)*(Budget[Date]=N$7),Budget[Amount]))</f>
        <v>0</v>
      </c>
      <c r="O143" s="319">
        <f t="array" ref="O143">SUM(IF((Budget[Sort Code]=$B$6)*(Budget[Account Code]=$B143)*(Budget[Date]=O$7),Budget[Amount]))</f>
        <v>0</v>
      </c>
      <c r="P143" s="319">
        <f t="shared" si="29"/>
        <v>0</v>
      </c>
    </row>
    <row r="144" spans="1:16">
      <c r="A144" s="323" t="s">
        <v>966</v>
      </c>
      <c r="B144" s="317" t="s">
        <v>987</v>
      </c>
      <c r="C144" s="319">
        <f t="shared" si="25"/>
        <v>0</v>
      </c>
      <c r="D144" s="319">
        <f t="array" ref="D144">SUM(IF((Budget[Sort Code]=$B$6)*(Budget[Account Code]=$B144)*(Budget[Date]=D$7),Budget[Amount]))</f>
        <v>0</v>
      </c>
      <c r="E144" s="319">
        <f t="array" ref="E144">SUM(IF((Budget[Sort Code]=$B$6)*(Budget[Account Code]=$B144)*(Budget[Date]=E$7),Budget[Amount]))</f>
        <v>0</v>
      </c>
      <c r="F144" s="319">
        <f t="array" ref="F144">SUM(IF((Budget[Sort Code]=$B$6)*(Budget[Account Code]=$B144)*(Budget[Date]=F$7),Budget[Amount]))</f>
        <v>0</v>
      </c>
      <c r="G144" s="319">
        <f t="array" ref="G144">SUM(IF((Budget[Sort Code]=$B$6)*(Budget[Account Code]=$B144)*(Budget[Date]=G$7),Budget[Amount]))</f>
        <v>0</v>
      </c>
      <c r="H144" s="319">
        <f t="array" ref="H144">SUM(IF((Budget[Sort Code]=$B$6)*(Budget[Account Code]=$B144)*(Budget[Date]=H$7),Budget[Amount]))</f>
        <v>0</v>
      </c>
      <c r="I144" s="319">
        <f t="array" ref="I144">SUM(IF((Budget[Sort Code]=$B$6)*(Budget[Account Code]=$B144)*(Budget[Date]=I$7),Budget[Amount]))</f>
        <v>0</v>
      </c>
      <c r="J144" s="319">
        <f t="array" ref="J144">SUM(IF((Budget[Sort Code]=$B$6)*(Budget[Account Code]=$B144)*(Budget[Date]=J$7),Budget[Amount]))</f>
        <v>0</v>
      </c>
      <c r="K144" s="319">
        <f t="array" ref="K144">SUM(IF((Budget[Sort Code]=$B$6)*(Budget[Account Code]=$B144)*(Budget[Date]=K$7),Budget[Amount]))</f>
        <v>0</v>
      </c>
      <c r="L144" s="319">
        <f t="array" ref="L144">SUM(IF((Budget[Sort Code]=$B$6)*(Budget[Account Code]=$B144)*(Budget[Date]=L$7),Budget[Amount]))</f>
        <v>0</v>
      </c>
      <c r="M144" s="319">
        <f t="array" ref="M144">SUM(IF((Budget[Sort Code]=$B$6)*(Budget[Account Code]=$B144)*(Budget[Date]=M$7),Budget[Amount]))</f>
        <v>0</v>
      </c>
      <c r="N144" s="319">
        <f t="array" ref="N144">SUM(IF((Budget[Sort Code]=$B$6)*(Budget[Account Code]=$B144)*(Budget[Date]=N$7),Budget[Amount]))</f>
        <v>0</v>
      </c>
      <c r="O144" s="319">
        <f t="array" ref="O144">SUM(IF((Budget[Sort Code]=$B$6)*(Budget[Account Code]=$B144)*(Budget[Date]=O$7),Budget[Amount]))</f>
        <v>0</v>
      </c>
      <c r="P144" s="319">
        <f t="shared" si="29"/>
        <v>0</v>
      </c>
    </row>
    <row r="145" spans="1:16">
      <c r="A145" s="323" t="s">
        <v>967</v>
      </c>
      <c r="B145" s="317"/>
      <c r="C145" s="319">
        <f t="shared" si="25"/>
        <v>0</v>
      </c>
      <c r="D145" s="319">
        <f t="array" ref="D145">SUM(IF((Budget[Sort Code]=$B$6)*(Budget[Account Code]=$B145)*(Budget[Date]=D$7),Budget[Amount]))</f>
        <v>0</v>
      </c>
      <c r="E145" s="319">
        <f t="array" ref="E145">SUM(IF((Budget[Sort Code]=$B$6)*(Budget[Account Code]=$B145)*(Budget[Date]=E$7),Budget[Amount]))</f>
        <v>0</v>
      </c>
      <c r="F145" s="319">
        <f t="array" ref="F145">SUM(IF((Budget[Sort Code]=$B$6)*(Budget[Account Code]=$B145)*(Budget[Date]=F$7),Budget[Amount]))</f>
        <v>0</v>
      </c>
      <c r="G145" s="319">
        <f t="array" ref="G145">SUM(IF((Budget[Sort Code]=$B$6)*(Budget[Account Code]=$B145)*(Budget[Date]=G$7),Budget[Amount]))</f>
        <v>0</v>
      </c>
      <c r="H145" s="319">
        <f t="array" ref="H145">SUM(IF((Budget[Sort Code]=$B$6)*(Budget[Account Code]=$B145)*(Budget[Date]=H$7),Budget[Amount]))</f>
        <v>0</v>
      </c>
      <c r="I145" s="319">
        <f t="array" ref="I145">SUM(IF((Budget[Sort Code]=$B$6)*(Budget[Account Code]=$B145)*(Budget[Date]=I$7),Budget[Amount]))</f>
        <v>0</v>
      </c>
      <c r="J145" s="319">
        <f t="array" ref="J145">SUM(IF((Budget[Sort Code]=$B$6)*(Budget[Account Code]=$B145)*(Budget[Date]=J$7),Budget[Amount]))</f>
        <v>0</v>
      </c>
      <c r="K145" s="319">
        <f t="array" ref="K145">SUM(IF((Budget[Sort Code]=$B$6)*(Budget[Account Code]=$B145)*(Budget[Date]=K$7),Budget[Amount]))</f>
        <v>0</v>
      </c>
      <c r="L145" s="319">
        <f t="array" ref="L145">SUM(IF((Budget[Sort Code]=$B$6)*(Budget[Account Code]=$B145)*(Budget[Date]=L$7),Budget[Amount]))</f>
        <v>0</v>
      </c>
      <c r="M145" s="319">
        <f t="array" ref="M145">SUM(IF((Budget[Sort Code]=$B$6)*(Budget[Account Code]=$B145)*(Budget[Date]=M$7),Budget[Amount]))</f>
        <v>0</v>
      </c>
      <c r="N145" s="319">
        <f t="array" ref="N145">SUM(IF((Budget[Sort Code]=$B$6)*(Budget[Account Code]=$B145)*(Budget[Date]=N$7),Budget[Amount]))</f>
        <v>0</v>
      </c>
      <c r="O145" s="319">
        <f t="array" ref="O145">SUM(IF((Budget[Sort Code]=$B$6)*(Budget[Account Code]=$B145)*(Budget[Date]=O$7),Budget[Amount]))</f>
        <v>0</v>
      </c>
      <c r="P145" s="319">
        <f t="shared" si="29"/>
        <v>0</v>
      </c>
    </row>
    <row r="146" spans="1:16">
      <c r="A146" s="323" t="s">
        <v>968</v>
      </c>
      <c r="B146" s="317"/>
      <c r="C146" s="319">
        <f t="shared" si="25"/>
        <v>0</v>
      </c>
      <c r="D146" s="319">
        <f>SUM(D147:D148)</f>
        <v>0</v>
      </c>
      <c r="E146" s="319">
        <f t="shared" ref="E146:O146" si="31">SUM(E147:E148)</f>
        <v>0</v>
      </c>
      <c r="F146" s="319">
        <f t="shared" si="31"/>
        <v>0</v>
      </c>
      <c r="G146" s="319">
        <f t="shared" si="31"/>
        <v>0</v>
      </c>
      <c r="H146" s="319">
        <f t="shared" si="31"/>
        <v>0</v>
      </c>
      <c r="I146" s="319">
        <f t="shared" si="31"/>
        <v>0</v>
      </c>
      <c r="J146" s="319">
        <f t="shared" si="31"/>
        <v>0</v>
      </c>
      <c r="K146" s="319">
        <f t="shared" si="31"/>
        <v>0</v>
      </c>
      <c r="L146" s="319">
        <f t="shared" si="31"/>
        <v>0</v>
      </c>
      <c r="M146" s="319">
        <f t="shared" si="31"/>
        <v>0</v>
      </c>
      <c r="N146" s="319">
        <f t="shared" si="31"/>
        <v>0</v>
      </c>
      <c r="O146" s="319">
        <f t="shared" si="31"/>
        <v>0</v>
      </c>
      <c r="P146" s="319">
        <f t="shared" si="29"/>
        <v>0</v>
      </c>
    </row>
    <row r="147" spans="1:16">
      <c r="A147" s="325" t="s">
        <v>1008</v>
      </c>
      <c r="B147" s="317" t="s">
        <v>986</v>
      </c>
      <c r="C147" s="319">
        <f t="shared" si="25"/>
        <v>0</v>
      </c>
      <c r="D147" s="319">
        <f t="array" ref="D147">SUM(IF((Budget[Sort Code]=$B$6)*(Budget[Account Code]=$B147)*(Budget[Date]=D$7),Budget[Amount]))</f>
        <v>0</v>
      </c>
      <c r="E147" s="319">
        <f t="array" ref="E147">SUM(IF((Budget[Sort Code]=$B$6)*(Budget[Account Code]=$B147)*(Budget[Date]=E$7),Budget[Amount]))</f>
        <v>0</v>
      </c>
      <c r="F147" s="319">
        <f t="array" ref="F147">SUM(IF((Budget[Sort Code]=$B$6)*(Budget[Account Code]=$B147)*(Budget[Date]=F$7),Budget[Amount]))</f>
        <v>0</v>
      </c>
      <c r="G147" s="319">
        <f t="array" ref="G147">SUM(IF((Budget[Sort Code]=$B$6)*(Budget[Account Code]=$B147)*(Budget[Date]=G$7),Budget[Amount]))</f>
        <v>0</v>
      </c>
      <c r="H147" s="319">
        <f t="array" ref="H147">SUM(IF((Budget[Sort Code]=$B$6)*(Budget[Account Code]=$B147)*(Budget[Date]=H$7),Budget[Amount]))</f>
        <v>0</v>
      </c>
      <c r="I147" s="319">
        <f t="array" ref="I147">SUM(IF((Budget[Sort Code]=$B$6)*(Budget[Account Code]=$B147)*(Budget[Date]=I$7),Budget[Amount]))</f>
        <v>0</v>
      </c>
      <c r="J147" s="319">
        <f t="array" ref="J147">SUM(IF((Budget[Sort Code]=$B$6)*(Budget[Account Code]=$B147)*(Budget[Date]=J$7),Budget[Amount]))</f>
        <v>0</v>
      </c>
      <c r="K147" s="319">
        <f t="array" ref="K147">SUM(IF((Budget[Sort Code]=$B$6)*(Budget[Account Code]=$B147)*(Budget[Date]=K$7),Budget[Amount]))</f>
        <v>0</v>
      </c>
      <c r="L147" s="319">
        <f t="array" ref="L147">SUM(IF((Budget[Sort Code]=$B$6)*(Budget[Account Code]=$B147)*(Budget[Date]=L$7),Budget[Amount]))</f>
        <v>0</v>
      </c>
      <c r="M147" s="319">
        <f t="array" ref="M147">SUM(IF((Budget[Sort Code]=$B$6)*(Budget[Account Code]=$B147)*(Budget[Date]=M$7),Budget[Amount]))</f>
        <v>0</v>
      </c>
      <c r="N147" s="319">
        <f t="array" ref="N147">SUM(IF((Budget[Sort Code]=$B$6)*(Budget[Account Code]=$B147)*(Budget[Date]=N$7),Budget[Amount]))</f>
        <v>0</v>
      </c>
      <c r="O147" s="319">
        <f t="array" ref="O147">SUM(IF((Budget[Sort Code]=$B$6)*(Budget[Account Code]=$B147)*(Budget[Date]=O$7),Budget[Amount]))</f>
        <v>0</v>
      </c>
      <c r="P147" s="319">
        <f t="shared" si="29"/>
        <v>0</v>
      </c>
    </row>
    <row r="148" spans="1:16">
      <c r="A148" s="325" t="s">
        <v>1009</v>
      </c>
      <c r="B148" s="317" t="s">
        <v>988</v>
      </c>
      <c r="C148" s="319">
        <f t="shared" si="25"/>
        <v>0</v>
      </c>
      <c r="D148" s="319">
        <f t="array" ref="D148">SUM(IF((Budget[Sort Code]=$B$6)*(Budget[Account Code]=$B148)*(Budget[Date]=D$7),Budget[Amount]))</f>
        <v>0</v>
      </c>
      <c r="E148" s="319">
        <f t="array" ref="E148">SUM(IF((Budget[Sort Code]=$B$6)*(Budget[Account Code]=$B148)*(Budget[Date]=E$7),Budget[Amount]))</f>
        <v>0</v>
      </c>
      <c r="F148" s="319">
        <f t="array" ref="F148">SUM(IF((Budget[Sort Code]=$B$6)*(Budget[Account Code]=$B148)*(Budget[Date]=F$7),Budget[Amount]))</f>
        <v>0</v>
      </c>
      <c r="G148" s="319">
        <f t="array" ref="G148">SUM(IF((Budget[Sort Code]=$B$6)*(Budget[Account Code]=$B148)*(Budget[Date]=G$7),Budget[Amount]))</f>
        <v>0</v>
      </c>
      <c r="H148" s="319">
        <f t="array" ref="H148">SUM(IF((Budget[Sort Code]=$B$6)*(Budget[Account Code]=$B148)*(Budget[Date]=H$7),Budget[Amount]))</f>
        <v>0</v>
      </c>
      <c r="I148" s="319">
        <f t="array" ref="I148">SUM(IF((Budget[Sort Code]=$B$6)*(Budget[Account Code]=$B148)*(Budget[Date]=I$7),Budget[Amount]))</f>
        <v>0</v>
      </c>
      <c r="J148" s="319">
        <f t="array" ref="J148">SUM(IF((Budget[Sort Code]=$B$6)*(Budget[Account Code]=$B148)*(Budget[Date]=J$7),Budget[Amount]))</f>
        <v>0</v>
      </c>
      <c r="K148" s="319">
        <f t="array" ref="K148">SUM(IF((Budget[Sort Code]=$B$6)*(Budget[Account Code]=$B148)*(Budget[Date]=K$7),Budget[Amount]))</f>
        <v>0</v>
      </c>
      <c r="L148" s="319">
        <f t="array" ref="L148">SUM(IF((Budget[Sort Code]=$B$6)*(Budget[Account Code]=$B148)*(Budget[Date]=L$7),Budget[Amount]))</f>
        <v>0</v>
      </c>
      <c r="M148" s="319">
        <f t="array" ref="M148">SUM(IF((Budget[Sort Code]=$B$6)*(Budget[Account Code]=$B148)*(Budget[Date]=M$7),Budget[Amount]))</f>
        <v>0</v>
      </c>
      <c r="N148" s="319">
        <f t="array" ref="N148">SUM(IF((Budget[Sort Code]=$B$6)*(Budget[Account Code]=$B148)*(Budget[Date]=N$7),Budget[Amount]))</f>
        <v>0</v>
      </c>
      <c r="O148" s="319">
        <f t="array" ref="O148">SUM(IF((Budget[Sort Code]=$B$6)*(Budget[Account Code]=$B148)*(Budget[Date]=O$7),Budget[Amount]))</f>
        <v>0</v>
      </c>
      <c r="P148" s="319">
        <f t="shared" si="29"/>
        <v>0</v>
      </c>
    </row>
    <row r="149" spans="1:16" s="171" customFormat="1">
      <c r="A149" s="321" t="s">
        <v>969</v>
      </c>
      <c r="B149" s="317" t="s">
        <v>334</v>
      </c>
      <c r="C149" s="322">
        <f t="shared" si="25"/>
        <v>0</v>
      </c>
      <c r="D149" s="319">
        <f t="array" ref="D149">SUM(IF((Budget[Sort Code]=$B$6)*(Budget[Account Code]=$B149)*(Budget[Date]=D$7),Budget[Amount]))</f>
        <v>0</v>
      </c>
      <c r="E149" s="319">
        <f t="array" ref="E149">SUM(IF((Budget[Sort Code]=$B$6)*(Budget[Account Code]=$B149)*(Budget[Date]=E$7),Budget[Amount]))</f>
        <v>0</v>
      </c>
      <c r="F149" s="319">
        <f t="array" ref="F149">SUM(IF((Budget[Sort Code]=$B$6)*(Budget[Account Code]=$B149)*(Budget[Date]=F$7),Budget[Amount]))</f>
        <v>0</v>
      </c>
      <c r="G149" s="319">
        <f t="array" ref="G149">SUM(IF((Budget[Sort Code]=$B$6)*(Budget[Account Code]=$B149)*(Budget[Date]=G$7),Budget[Amount]))</f>
        <v>0</v>
      </c>
      <c r="H149" s="319">
        <f t="array" ref="H149">SUM(IF((Budget[Sort Code]=$B$6)*(Budget[Account Code]=$B149)*(Budget[Date]=H$7),Budget[Amount]))</f>
        <v>0</v>
      </c>
      <c r="I149" s="319">
        <f t="array" ref="I149">SUM(IF((Budget[Sort Code]=$B$6)*(Budget[Account Code]=$B149)*(Budget[Date]=I$7),Budget[Amount]))</f>
        <v>0</v>
      </c>
      <c r="J149" s="319">
        <f t="array" ref="J149">SUM(IF((Budget[Sort Code]=$B$6)*(Budget[Account Code]=$B149)*(Budget[Date]=J$7),Budget[Amount]))</f>
        <v>0</v>
      </c>
      <c r="K149" s="319">
        <f t="array" ref="K149">SUM(IF((Budget[Sort Code]=$B$6)*(Budget[Account Code]=$B149)*(Budget[Date]=K$7),Budget[Amount]))</f>
        <v>0</v>
      </c>
      <c r="L149" s="319">
        <f t="array" ref="L149">SUM(IF((Budget[Sort Code]=$B$6)*(Budget[Account Code]=$B149)*(Budget[Date]=L$7),Budget[Amount]))</f>
        <v>0</v>
      </c>
      <c r="M149" s="319">
        <f t="array" ref="M149">SUM(IF((Budget[Sort Code]=$B$6)*(Budget[Account Code]=$B149)*(Budget[Date]=M$7),Budget[Amount]))</f>
        <v>0</v>
      </c>
      <c r="N149" s="319">
        <f t="array" ref="N149">SUM(IF((Budget[Sort Code]=$B$6)*(Budget[Account Code]=$B149)*(Budget[Date]=N$7),Budget[Amount]))</f>
        <v>0</v>
      </c>
      <c r="O149" s="319">
        <f t="array" ref="O149">SUM(IF((Budget[Sort Code]=$B$6)*(Budget[Account Code]=$B149)*(Budget[Date]=O$7),Budget[Amount]))</f>
        <v>0</v>
      </c>
      <c r="P149" s="322">
        <f t="shared" si="29"/>
        <v>0</v>
      </c>
    </row>
    <row r="150" spans="1:16" s="171" customFormat="1">
      <c r="A150" s="321" t="s">
        <v>970</v>
      </c>
      <c r="B150" s="317" t="s">
        <v>335</v>
      </c>
      <c r="C150" s="322">
        <f t="shared" si="25"/>
        <v>0</v>
      </c>
      <c r="D150" s="319">
        <f t="array" ref="D150">SUM(IF((Budget[Sort Code]=$B$6)*(Budget[Account Code]=$B150)*(Budget[Date]=D$7),Budget[Amount]))</f>
        <v>0</v>
      </c>
      <c r="E150" s="319">
        <f t="array" ref="E150">SUM(IF((Budget[Sort Code]=$B$6)*(Budget[Account Code]=$B150)*(Budget[Date]=E$7),Budget[Amount]))</f>
        <v>0</v>
      </c>
      <c r="F150" s="319">
        <f t="array" ref="F150">SUM(IF((Budget[Sort Code]=$B$6)*(Budget[Account Code]=$B150)*(Budget[Date]=F$7),Budget[Amount]))</f>
        <v>0</v>
      </c>
      <c r="G150" s="319">
        <f t="array" ref="G150">SUM(IF((Budget[Sort Code]=$B$6)*(Budget[Account Code]=$B150)*(Budget[Date]=G$7),Budget[Amount]))</f>
        <v>0</v>
      </c>
      <c r="H150" s="319">
        <f t="array" ref="H150">SUM(IF((Budget[Sort Code]=$B$6)*(Budget[Account Code]=$B150)*(Budget[Date]=H$7),Budget[Amount]))</f>
        <v>0</v>
      </c>
      <c r="I150" s="319">
        <f t="array" ref="I150">SUM(IF((Budget[Sort Code]=$B$6)*(Budget[Account Code]=$B150)*(Budget[Date]=I$7),Budget[Amount]))</f>
        <v>0</v>
      </c>
      <c r="J150" s="319">
        <f t="array" ref="J150">SUM(IF((Budget[Sort Code]=$B$6)*(Budget[Account Code]=$B150)*(Budget[Date]=J$7),Budget[Amount]))</f>
        <v>0</v>
      </c>
      <c r="K150" s="319">
        <f t="array" ref="K150">SUM(IF((Budget[Sort Code]=$B$6)*(Budget[Account Code]=$B150)*(Budget[Date]=K$7),Budget[Amount]))</f>
        <v>0</v>
      </c>
      <c r="L150" s="319">
        <f t="array" ref="L150">SUM(IF((Budget[Sort Code]=$B$6)*(Budget[Account Code]=$B150)*(Budget[Date]=L$7),Budget[Amount]))</f>
        <v>0</v>
      </c>
      <c r="M150" s="319">
        <f t="array" ref="M150">SUM(IF((Budget[Sort Code]=$B$6)*(Budget[Account Code]=$B150)*(Budget[Date]=M$7),Budget[Amount]))</f>
        <v>0</v>
      </c>
      <c r="N150" s="319">
        <f t="array" ref="N150">SUM(IF((Budget[Sort Code]=$B$6)*(Budget[Account Code]=$B150)*(Budget[Date]=N$7),Budget[Amount]))</f>
        <v>0</v>
      </c>
      <c r="O150" s="319">
        <f t="array" ref="O150">SUM(IF((Budget[Sort Code]=$B$6)*(Budget[Account Code]=$B150)*(Budget[Date]=O$7),Budget[Amount]))</f>
        <v>0</v>
      </c>
      <c r="P150" s="322">
        <f t="shared" si="29"/>
        <v>0</v>
      </c>
    </row>
    <row r="151" spans="1:16">
      <c r="A151" s="320" t="s">
        <v>971</v>
      </c>
      <c r="B151" s="317"/>
      <c r="C151" s="326">
        <f t="shared" si="25"/>
        <v>0</v>
      </c>
      <c r="D151" s="326">
        <f>D87+D88+D89+D97+D102+D108+D109+D110+D111+D112+D113+D114+D115+D116+D117+D126+D133+D134+D137+D141+D149+D150</f>
        <v>0</v>
      </c>
      <c r="E151" s="326">
        <f t="shared" ref="E151:O151" si="32">E87+E88+E89+E97+E102+E108+E109+E110+E111+E112+E113+E114+E115+E116+E117+E126+E133+E134+E137+E141+E149+E150</f>
        <v>0</v>
      </c>
      <c r="F151" s="326">
        <f t="shared" si="32"/>
        <v>0</v>
      </c>
      <c r="G151" s="326">
        <f t="shared" si="32"/>
        <v>0</v>
      </c>
      <c r="H151" s="326">
        <f t="shared" si="32"/>
        <v>0</v>
      </c>
      <c r="I151" s="326">
        <f t="shared" si="32"/>
        <v>0</v>
      </c>
      <c r="J151" s="326">
        <f t="shared" si="32"/>
        <v>0</v>
      </c>
      <c r="K151" s="326">
        <f t="shared" si="32"/>
        <v>0</v>
      </c>
      <c r="L151" s="326">
        <f t="shared" si="32"/>
        <v>0</v>
      </c>
      <c r="M151" s="326">
        <f t="shared" si="32"/>
        <v>0</v>
      </c>
      <c r="N151" s="326">
        <f t="shared" si="32"/>
        <v>0</v>
      </c>
      <c r="O151" s="326">
        <f t="shared" si="32"/>
        <v>0</v>
      </c>
      <c r="P151" s="326">
        <f t="shared" si="29"/>
        <v>0</v>
      </c>
    </row>
    <row r="152" spans="1:16" s="171" customFormat="1" hidden="1">
      <c r="A152" s="320" t="s">
        <v>972</v>
      </c>
      <c r="B152" s="317"/>
      <c r="C152" s="322">
        <f>C151-C119-C143</f>
        <v>0</v>
      </c>
      <c r="D152" s="322"/>
      <c r="E152" s="322"/>
      <c r="F152" s="322"/>
      <c r="G152" s="322"/>
      <c r="H152" s="322"/>
      <c r="I152" s="322"/>
      <c r="J152" s="322"/>
      <c r="K152" s="322"/>
      <c r="L152" s="322"/>
      <c r="M152" s="322"/>
      <c r="N152" s="322"/>
      <c r="O152" s="322"/>
      <c r="P152" s="322">
        <f t="shared" si="29"/>
        <v>0</v>
      </c>
    </row>
    <row r="153" spans="1:16">
      <c r="A153" s="320"/>
      <c r="B153" s="317"/>
      <c r="C153" s="326"/>
      <c r="D153" s="326"/>
      <c r="E153" s="326"/>
      <c r="F153" s="326"/>
      <c r="G153" s="326"/>
      <c r="H153" s="326"/>
      <c r="I153" s="326"/>
      <c r="J153" s="326"/>
      <c r="K153" s="326"/>
      <c r="L153" s="326"/>
      <c r="M153" s="326"/>
      <c r="N153" s="326"/>
      <c r="O153" s="326"/>
      <c r="P153" s="326">
        <f t="shared" si="29"/>
        <v>0</v>
      </c>
    </row>
    <row r="154" spans="1:16">
      <c r="A154" s="320" t="s">
        <v>973</v>
      </c>
      <c r="B154" s="317"/>
      <c r="C154" s="319"/>
      <c r="D154" s="319"/>
      <c r="E154" s="319"/>
      <c r="F154" s="319"/>
      <c r="G154" s="319"/>
      <c r="H154" s="319"/>
      <c r="I154" s="319"/>
      <c r="J154" s="319"/>
      <c r="K154" s="319"/>
      <c r="L154" s="319"/>
      <c r="M154" s="319"/>
      <c r="N154" s="319"/>
      <c r="O154" s="319"/>
      <c r="P154" s="319">
        <f t="shared" si="29"/>
        <v>0</v>
      </c>
    </row>
    <row r="155" spans="1:16" s="171" customFormat="1">
      <c r="A155" s="330" t="s">
        <v>974</v>
      </c>
      <c r="B155" s="317" t="s">
        <v>992</v>
      </c>
      <c r="C155" s="322">
        <f t="shared" ref="C155:C168" si="33">SUM(D155:O155)</f>
        <v>0</v>
      </c>
      <c r="D155" s="319">
        <f t="array" ref="D155">SUM(IF((Budget[Sort Code]=$B$6)*(Budget[Account Code]=$B155)*(Budget[Date]=D$7),Budget[Amount]))</f>
        <v>0</v>
      </c>
      <c r="E155" s="319">
        <f t="array" ref="E155">SUM(IF((Budget[Sort Code]=$B$6)*(Budget[Account Code]=$B155)*(Budget[Date]=E$7),Budget[Amount]))</f>
        <v>0</v>
      </c>
      <c r="F155" s="319">
        <f t="array" ref="F155">SUM(IF((Budget[Sort Code]=$B$6)*(Budget[Account Code]=$B155)*(Budget[Date]=F$7),Budget[Amount]))</f>
        <v>0</v>
      </c>
      <c r="G155" s="319">
        <f t="array" ref="G155">SUM(IF((Budget[Sort Code]=$B$6)*(Budget[Account Code]=$B155)*(Budget[Date]=G$7),Budget[Amount]))</f>
        <v>0</v>
      </c>
      <c r="H155" s="319">
        <f t="array" ref="H155">SUM(IF((Budget[Sort Code]=$B$6)*(Budget[Account Code]=$B155)*(Budget[Date]=H$7),Budget[Amount]))</f>
        <v>0</v>
      </c>
      <c r="I155" s="319">
        <f t="array" ref="I155">SUM(IF((Budget[Sort Code]=$B$6)*(Budget[Account Code]=$B155)*(Budget[Date]=I$7),Budget[Amount]))</f>
        <v>0</v>
      </c>
      <c r="J155" s="319">
        <f t="array" ref="J155">SUM(IF((Budget[Sort Code]=$B$6)*(Budget[Account Code]=$B155)*(Budget[Date]=J$7),Budget[Amount]))</f>
        <v>0</v>
      </c>
      <c r="K155" s="319">
        <f t="array" ref="K155">SUM(IF((Budget[Sort Code]=$B$6)*(Budget[Account Code]=$B155)*(Budget[Date]=K$7),Budget[Amount]))</f>
        <v>0</v>
      </c>
      <c r="L155" s="319">
        <f t="array" ref="L155">SUM(IF((Budget[Sort Code]=$B$6)*(Budget[Account Code]=$B155)*(Budget[Date]=L$7),Budget[Amount]))</f>
        <v>0</v>
      </c>
      <c r="M155" s="319">
        <f t="array" ref="M155">SUM(IF((Budget[Sort Code]=$B$6)*(Budget[Account Code]=$B155)*(Budget[Date]=M$7),Budget[Amount]))</f>
        <v>0</v>
      </c>
      <c r="N155" s="319">
        <f t="array" ref="N155">SUM(IF((Budget[Sort Code]=$B$6)*(Budget[Account Code]=$B155)*(Budget[Date]=N$7),Budget[Amount]))</f>
        <v>0</v>
      </c>
      <c r="O155" s="319">
        <f t="array" ref="O155">SUM(IF((Budget[Sort Code]=$B$6)*(Budget[Account Code]=$B155)*(Budget[Date]=O$7),Budget[Amount]))</f>
        <v>0</v>
      </c>
      <c r="P155" s="322">
        <f t="shared" si="29"/>
        <v>0</v>
      </c>
    </row>
    <row r="156" spans="1:16" s="171" customFormat="1">
      <c r="A156" s="330" t="s">
        <v>975</v>
      </c>
      <c r="B156" s="317" t="s">
        <v>333</v>
      </c>
      <c r="C156" s="322">
        <f t="shared" si="33"/>
        <v>0</v>
      </c>
      <c r="D156" s="319">
        <f t="array" ref="D156">SUM(IF((Budget[Sort Code]=$B$6)*(Budget[Account Code]=$B156)*(Budget[Date]=D$7),Budget[Amount]))</f>
        <v>0</v>
      </c>
      <c r="E156" s="319">
        <f t="array" ref="E156">SUM(IF((Budget[Sort Code]=$B$6)*(Budget[Account Code]=$B156)*(Budget[Date]=E$7),Budget[Amount]))</f>
        <v>0</v>
      </c>
      <c r="F156" s="319">
        <f t="array" ref="F156">SUM(IF((Budget[Sort Code]=$B$6)*(Budget[Account Code]=$B156)*(Budget[Date]=F$7),Budget[Amount]))</f>
        <v>0</v>
      </c>
      <c r="G156" s="319">
        <f t="array" ref="G156">SUM(IF((Budget[Sort Code]=$B$6)*(Budget[Account Code]=$B156)*(Budget[Date]=G$7),Budget[Amount]))</f>
        <v>0</v>
      </c>
      <c r="H156" s="319">
        <f t="array" ref="H156">SUM(IF((Budget[Sort Code]=$B$6)*(Budget[Account Code]=$B156)*(Budget[Date]=H$7),Budget[Amount]))</f>
        <v>0</v>
      </c>
      <c r="I156" s="319">
        <f t="array" ref="I156">SUM(IF((Budget[Sort Code]=$B$6)*(Budget[Account Code]=$B156)*(Budget[Date]=I$7),Budget[Amount]))</f>
        <v>0</v>
      </c>
      <c r="J156" s="319">
        <f t="array" ref="J156">SUM(IF((Budget[Sort Code]=$B$6)*(Budget[Account Code]=$B156)*(Budget[Date]=J$7),Budget[Amount]))</f>
        <v>0</v>
      </c>
      <c r="K156" s="319">
        <f t="array" ref="K156">SUM(IF((Budget[Sort Code]=$B$6)*(Budget[Account Code]=$B156)*(Budget[Date]=K$7),Budget[Amount]))</f>
        <v>0</v>
      </c>
      <c r="L156" s="319">
        <f t="array" ref="L156">SUM(IF((Budget[Sort Code]=$B$6)*(Budget[Account Code]=$B156)*(Budget[Date]=L$7),Budget[Amount]))</f>
        <v>0</v>
      </c>
      <c r="M156" s="319">
        <f t="array" ref="M156">SUM(IF((Budget[Sort Code]=$B$6)*(Budget[Account Code]=$B156)*(Budget[Date]=M$7),Budget[Amount]))</f>
        <v>0</v>
      </c>
      <c r="N156" s="319">
        <f t="array" ref="N156">SUM(IF((Budget[Sort Code]=$B$6)*(Budget[Account Code]=$B156)*(Budget[Date]=N$7),Budget[Amount]))</f>
        <v>0</v>
      </c>
      <c r="O156" s="319">
        <f t="array" ref="O156">SUM(IF((Budget[Sort Code]=$B$6)*(Budget[Account Code]=$B156)*(Budget[Date]=O$7),Budget[Amount]))</f>
        <v>0</v>
      </c>
      <c r="P156" s="322">
        <f t="shared" si="29"/>
        <v>0</v>
      </c>
    </row>
    <row r="157" spans="1:16" s="171" customFormat="1">
      <c r="A157" s="330" t="s">
        <v>976</v>
      </c>
      <c r="B157" s="317" t="s">
        <v>991</v>
      </c>
      <c r="C157" s="322">
        <f t="shared" si="33"/>
        <v>0</v>
      </c>
      <c r="D157" s="319">
        <f t="array" ref="D157">SUM(IF((Budget[Sort Code]=$B$6)*(Budget[Account Code]=$B157)*(Budget[Date]=D$7),Budget[Amount]))</f>
        <v>0</v>
      </c>
      <c r="E157" s="319">
        <f t="array" ref="E157">SUM(IF((Budget[Sort Code]=$B$6)*(Budget[Account Code]=$B157)*(Budget[Date]=E$7),Budget[Amount]))</f>
        <v>0</v>
      </c>
      <c r="F157" s="319">
        <f t="array" ref="F157">SUM(IF((Budget[Sort Code]=$B$6)*(Budget[Account Code]=$B157)*(Budget[Date]=F$7),Budget[Amount]))</f>
        <v>0</v>
      </c>
      <c r="G157" s="319">
        <f t="array" ref="G157">SUM(IF((Budget[Sort Code]=$B$6)*(Budget[Account Code]=$B157)*(Budget[Date]=G$7),Budget[Amount]))</f>
        <v>0</v>
      </c>
      <c r="H157" s="319">
        <f t="array" ref="H157">SUM(IF((Budget[Sort Code]=$B$6)*(Budget[Account Code]=$B157)*(Budget[Date]=H$7),Budget[Amount]))</f>
        <v>0</v>
      </c>
      <c r="I157" s="319">
        <f t="array" ref="I157">SUM(IF((Budget[Sort Code]=$B$6)*(Budget[Account Code]=$B157)*(Budget[Date]=I$7),Budget[Amount]))</f>
        <v>0</v>
      </c>
      <c r="J157" s="319">
        <f t="array" ref="J157">SUM(IF((Budget[Sort Code]=$B$6)*(Budget[Account Code]=$B157)*(Budget[Date]=J$7),Budget[Amount]))</f>
        <v>0</v>
      </c>
      <c r="K157" s="319">
        <f t="array" ref="K157">SUM(IF((Budget[Sort Code]=$B$6)*(Budget[Account Code]=$B157)*(Budget[Date]=K$7),Budget[Amount]))</f>
        <v>0</v>
      </c>
      <c r="L157" s="319">
        <f t="array" ref="L157">SUM(IF((Budget[Sort Code]=$B$6)*(Budget[Account Code]=$B157)*(Budget[Date]=L$7),Budget[Amount]))</f>
        <v>0</v>
      </c>
      <c r="M157" s="319">
        <f t="array" ref="M157">SUM(IF((Budget[Sort Code]=$B$6)*(Budget[Account Code]=$B157)*(Budget[Date]=M$7),Budget[Amount]))</f>
        <v>0</v>
      </c>
      <c r="N157" s="319">
        <f t="array" ref="N157">SUM(IF((Budget[Sort Code]=$B$6)*(Budget[Account Code]=$B157)*(Budget[Date]=N$7),Budget[Amount]))</f>
        <v>0</v>
      </c>
      <c r="O157" s="319">
        <f t="array" ref="O157">SUM(IF((Budget[Sort Code]=$B$6)*(Budget[Account Code]=$B157)*(Budget[Date]=O$7),Budget[Amount]))</f>
        <v>0</v>
      </c>
      <c r="P157" s="322">
        <f t="shared" si="29"/>
        <v>0</v>
      </c>
    </row>
    <row r="158" spans="1:16" s="171" customFormat="1">
      <c r="A158" s="330" t="s">
        <v>977</v>
      </c>
      <c r="B158" s="317"/>
      <c r="C158" s="322">
        <f t="shared" si="33"/>
        <v>0</v>
      </c>
      <c r="D158" s="319">
        <f t="array" ref="D158">SUM(IF((Budget[Sort Code]=$B$6)*(Budget[Account Code]=$B158)*(Budget[Date]=D$7),Budget[Amount]))</f>
        <v>0</v>
      </c>
      <c r="E158" s="319">
        <f t="array" ref="E158">SUM(IF((Budget[Sort Code]=$B$6)*(Budget[Account Code]=$B158)*(Budget[Date]=E$7),Budget[Amount]))</f>
        <v>0</v>
      </c>
      <c r="F158" s="319">
        <f t="array" ref="F158">SUM(IF((Budget[Sort Code]=$B$6)*(Budget[Account Code]=$B158)*(Budget[Date]=F$7),Budget[Amount]))</f>
        <v>0</v>
      </c>
      <c r="G158" s="319">
        <f t="array" ref="G158">SUM(IF((Budget[Sort Code]=$B$6)*(Budget[Account Code]=$B158)*(Budget[Date]=G$7),Budget[Amount]))</f>
        <v>0</v>
      </c>
      <c r="H158" s="319">
        <f t="array" ref="H158">SUM(IF((Budget[Sort Code]=$B$6)*(Budget[Account Code]=$B158)*(Budget[Date]=H$7),Budget[Amount]))</f>
        <v>0</v>
      </c>
      <c r="I158" s="319">
        <f t="array" ref="I158">SUM(IF((Budget[Sort Code]=$B$6)*(Budget[Account Code]=$B158)*(Budget[Date]=I$7),Budget[Amount]))</f>
        <v>0</v>
      </c>
      <c r="J158" s="319">
        <f t="array" ref="J158">SUM(IF((Budget[Sort Code]=$B$6)*(Budget[Account Code]=$B158)*(Budget[Date]=J$7),Budget[Amount]))</f>
        <v>0</v>
      </c>
      <c r="K158" s="319">
        <f t="array" ref="K158">SUM(IF((Budget[Sort Code]=$B$6)*(Budget[Account Code]=$B158)*(Budget[Date]=K$7),Budget[Amount]))</f>
        <v>0</v>
      </c>
      <c r="L158" s="319">
        <f t="array" ref="L158">SUM(IF((Budget[Sort Code]=$B$6)*(Budget[Account Code]=$B158)*(Budget[Date]=L$7),Budget[Amount]))</f>
        <v>0</v>
      </c>
      <c r="M158" s="319">
        <f t="array" ref="M158">SUM(IF((Budget[Sort Code]=$B$6)*(Budget[Account Code]=$B158)*(Budget[Date]=M$7),Budget[Amount]))</f>
        <v>0</v>
      </c>
      <c r="N158" s="319">
        <f t="array" ref="N158">SUM(IF((Budget[Sort Code]=$B$6)*(Budget[Account Code]=$B158)*(Budget[Date]=N$7),Budget[Amount]))</f>
        <v>0</v>
      </c>
      <c r="O158" s="319">
        <f t="array" ref="O158">SUM(IF((Budget[Sort Code]=$B$6)*(Budget[Account Code]=$B158)*(Budget[Date]=O$7),Budget[Amount]))</f>
        <v>0</v>
      </c>
      <c r="P158" s="322">
        <f t="shared" si="29"/>
        <v>0</v>
      </c>
    </row>
    <row r="159" spans="1:16" s="171" customFormat="1">
      <c r="A159" s="330" t="s">
        <v>1010</v>
      </c>
      <c r="B159" s="317" t="s">
        <v>267</v>
      </c>
      <c r="C159" s="322">
        <f t="shared" si="33"/>
        <v>0</v>
      </c>
      <c r="D159" s="319">
        <f t="array" ref="D159">SUM(IF((Budget[Sort Code]=$B$6)*(Budget[Account Code]=$B159)*(Budget[Date]=D$7),Budget[Amount]))</f>
        <v>0</v>
      </c>
      <c r="E159" s="319">
        <f t="array" ref="E159">SUM(IF((Budget[Sort Code]=$B$6)*(Budget[Account Code]=$B159)*(Budget[Date]=E$7),Budget[Amount]))</f>
        <v>0</v>
      </c>
      <c r="F159" s="319">
        <f t="array" ref="F159">SUM(IF((Budget[Sort Code]=$B$6)*(Budget[Account Code]=$B159)*(Budget[Date]=F$7),Budget[Amount]))</f>
        <v>0</v>
      </c>
      <c r="G159" s="319">
        <f t="array" ref="G159">SUM(IF((Budget[Sort Code]=$B$6)*(Budget[Account Code]=$B159)*(Budget[Date]=G$7),Budget[Amount]))</f>
        <v>0</v>
      </c>
      <c r="H159" s="319">
        <f t="array" ref="H159">SUM(IF((Budget[Sort Code]=$B$6)*(Budget[Account Code]=$B159)*(Budget[Date]=H$7),Budget[Amount]))</f>
        <v>0</v>
      </c>
      <c r="I159" s="319">
        <f t="array" ref="I159">SUM(IF((Budget[Sort Code]=$B$6)*(Budget[Account Code]=$B159)*(Budget[Date]=I$7),Budget[Amount]))</f>
        <v>0</v>
      </c>
      <c r="J159" s="319">
        <f t="array" ref="J159">SUM(IF((Budget[Sort Code]=$B$6)*(Budget[Account Code]=$B159)*(Budget[Date]=J$7),Budget[Amount]))</f>
        <v>0</v>
      </c>
      <c r="K159" s="319">
        <f t="array" ref="K159">SUM(IF((Budget[Sort Code]=$B$6)*(Budget[Account Code]=$B159)*(Budget[Date]=K$7),Budget[Amount]))</f>
        <v>0</v>
      </c>
      <c r="L159" s="319">
        <f t="array" ref="L159">SUM(IF((Budget[Sort Code]=$B$6)*(Budget[Account Code]=$B159)*(Budget[Date]=L$7),Budget[Amount]))</f>
        <v>0</v>
      </c>
      <c r="M159" s="319">
        <f t="array" ref="M159">SUM(IF((Budget[Sort Code]=$B$6)*(Budget[Account Code]=$B159)*(Budget[Date]=M$7),Budget[Amount]))</f>
        <v>0</v>
      </c>
      <c r="N159" s="319">
        <f t="array" ref="N159">SUM(IF((Budget[Sort Code]=$B$6)*(Budget[Account Code]=$B159)*(Budget[Date]=N$7),Budget[Amount]))</f>
        <v>0</v>
      </c>
      <c r="O159" s="319">
        <f t="array" ref="O159">SUM(IF((Budget[Sort Code]=$B$6)*(Budget[Account Code]=$B159)*(Budget[Date]=O$7),Budget[Amount]))</f>
        <v>0</v>
      </c>
      <c r="P159" s="322">
        <f t="shared" si="29"/>
        <v>0</v>
      </c>
    </row>
    <row r="160" spans="1:16" s="171" customFormat="1">
      <c r="A160" s="330" t="s">
        <v>1011</v>
      </c>
      <c r="B160" s="317" t="s">
        <v>993</v>
      </c>
      <c r="C160" s="322">
        <f t="shared" si="33"/>
        <v>0</v>
      </c>
      <c r="D160" s="319">
        <f t="array" ref="D160">SUM(IF((Budget[Sort Code]=$B$6)*(Budget[Account Code]=$B160)*(Budget[Date]=D$7),Budget[Amount]))</f>
        <v>0</v>
      </c>
      <c r="E160" s="319">
        <f t="array" ref="E160">SUM(IF((Budget[Sort Code]=$B$6)*(Budget[Account Code]=$B160)*(Budget[Date]=E$7),Budget[Amount]))</f>
        <v>0</v>
      </c>
      <c r="F160" s="319">
        <f t="array" ref="F160">SUM(IF((Budget[Sort Code]=$B$6)*(Budget[Account Code]=$B160)*(Budget[Date]=F$7),Budget[Amount]))</f>
        <v>0</v>
      </c>
      <c r="G160" s="319">
        <f t="array" ref="G160">SUM(IF((Budget[Sort Code]=$B$6)*(Budget[Account Code]=$B160)*(Budget[Date]=G$7),Budget[Amount]))</f>
        <v>0</v>
      </c>
      <c r="H160" s="319">
        <f t="array" ref="H160">SUM(IF((Budget[Sort Code]=$B$6)*(Budget[Account Code]=$B160)*(Budget[Date]=H$7),Budget[Amount]))</f>
        <v>0</v>
      </c>
      <c r="I160" s="319">
        <f t="array" ref="I160">SUM(IF((Budget[Sort Code]=$B$6)*(Budget[Account Code]=$B160)*(Budget[Date]=I$7),Budget[Amount]))</f>
        <v>0</v>
      </c>
      <c r="J160" s="319">
        <f t="array" ref="J160">SUM(IF((Budget[Sort Code]=$B$6)*(Budget[Account Code]=$B160)*(Budget[Date]=J$7),Budget[Amount]))</f>
        <v>0</v>
      </c>
      <c r="K160" s="319">
        <f t="array" ref="K160">SUM(IF((Budget[Sort Code]=$B$6)*(Budget[Account Code]=$B160)*(Budget[Date]=K$7),Budget[Amount]))</f>
        <v>0</v>
      </c>
      <c r="L160" s="319">
        <f t="array" ref="L160">SUM(IF((Budget[Sort Code]=$B$6)*(Budget[Account Code]=$B160)*(Budget[Date]=L$7),Budget[Amount]))</f>
        <v>0</v>
      </c>
      <c r="M160" s="319">
        <f t="array" ref="M160">SUM(IF((Budget[Sort Code]=$B$6)*(Budget[Account Code]=$B160)*(Budget[Date]=M$7),Budget[Amount]))</f>
        <v>0</v>
      </c>
      <c r="N160" s="319">
        <f t="array" ref="N160">SUM(IF((Budget[Sort Code]=$B$6)*(Budget[Account Code]=$B160)*(Budget[Date]=N$7),Budget[Amount]))</f>
        <v>0</v>
      </c>
      <c r="O160" s="319">
        <f t="array" ref="O160">SUM(IF((Budget[Sort Code]=$B$6)*(Budget[Account Code]=$B160)*(Budget[Date]=O$7),Budget[Amount]))</f>
        <v>0</v>
      </c>
      <c r="P160" s="322">
        <f t="shared" si="29"/>
        <v>0</v>
      </c>
    </row>
    <row r="161" spans="1:25">
      <c r="A161" s="320" t="s">
        <v>978</v>
      </c>
      <c r="B161" s="317"/>
      <c r="C161" s="319">
        <f t="shared" si="33"/>
        <v>0</v>
      </c>
      <c r="D161" s="319">
        <f>SUM(D155:D160)</f>
        <v>0</v>
      </c>
      <c r="E161" s="319">
        <f t="shared" ref="E161:O161" si="34">SUM(E155:E160)</f>
        <v>0</v>
      </c>
      <c r="F161" s="319">
        <f t="shared" si="34"/>
        <v>0</v>
      </c>
      <c r="G161" s="319">
        <f t="shared" si="34"/>
        <v>0</v>
      </c>
      <c r="H161" s="319">
        <f t="shared" si="34"/>
        <v>0</v>
      </c>
      <c r="I161" s="319">
        <f t="shared" si="34"/>
        <v>0</v>
      </c>
      <c r="J161" s="319">
        <f t="shared" si="34"/>
        <v>0</v>
      </c>
      <c r="K161" s="319">
        <f t="shared" si="34"/>
        <v>0</v>
      </c>
      <c r="L161" s="319">
        <f t="shared" si="34"/>
        <v>0</v>
      </c>
      <c r="M161" s="319">
        <f t="shared" si="34"/>
        <v>0</v>
      </c>
      <c r="N161" s="319">
        <f t="shared" si="34"/>
        <v>0</v>
      </c>
      <c r="O161" s="319">
        <f t="shared" si="34"/>
        <v>0</v>
      </c>
      <c r="P161" s="319">
        <f t="shared" si="29"/>
        <v>0</v>
      </c>
    </row>
    <row r="162" spans="1:25" s="171" customFormat="1" hidden="1">
      <c r="A162" s="320" t="s">
        <v>979</v>
      </c>
      <c r="B162" s="317"/>
      <c r="C162" s="322">
        <f>C161-C157-C160</f>
        <v>0</v>
      </c>
      <c r="D162" s="322"/>
      <c r="E162" s="322"/>
      <c r="F162" s="322"/>
      <c r="G162" s="322"/>
      <c r="H162" s="322"/>
      <c r="I162" s="322"/>
      <c r="J162" s="322"/>
      <c r="K162" s="322"/>
      <c r="L162" s="322"/>
      <c r="M162" s="322"/>
      <c r="N162" s="322"/>
      <c r="O162" s="322"/>
      <c r="P162" s="322">
        <f t="shared" si="29"/>
        <v>0</v>
      </c>
    </row>
    <row r="163" spans="1:25">
      <c r="A163" s="320"/>
      <c r="B163" s="317"/>
      <c r="C163" s="319"/>
      <c r="D163" s="319"/>
      <c r="E163" s="319"/>
      <c r="F163" s="319"/>
      <c r="G163" s="319"/>
      <c r="H163" s="319"/>
      <c r="I163" s="319"/>
      <c r="J163" s="319"/>
      <c r="K163" s="319"/>
      <c r="L163" s="319"/>
      <c r="M163" s="319"/>
      <c r="N163" s="319"/>
      <c r="O163" s="319"/>
      <c r="P163" s="319">
        <f t="shared" si="29"/>
        <v>0</v>
      </c>
    </row>
    <row r="164" spans="1:25">
      <c r="A164" s="320" t="s">
        <v>980</v>
      </c>
      <c r="B164" s="317"/>
      <c r="C164" s="322">
        <f t="shared" si="33"/>
        <v>0</v>
      </c>
      <c r="D164" s="322">
        <f t="shared" ref="D164:O164" si="35">D151+D161</f>
        <v>0</v>
      </c>
      <c r="E164" s="322">
        <f t="shared" si="35"/>
        <v>0</v>
      </c>
      <c r="F164" s="322">
        <f t="shared" si="35"/>
        <v>0</v>
      </c>
      <c r="G164" s="322">
        <f t="shared" si="35"/>
        <v>0</v>
      </c>
      <c r="H164" s="322">
        <f t="shared" si="35"/>
        <v>0</v>
      </c>
      <c r="I164" s="322">
        <f t="shared" si="35"/>
        <v>0</v>
      </c>
      <c r="J164" s="322">
        <f t="shared" si="35"/>
        <v>0</v>
      </c>
      <c r="K164" s="322">
        <f t="shared" si="35"/>
        <v>0</v>
      </c>
      <c r="L164" s="322">
        <f t="shared" si="35"/>
        <v>0</v>
      </c>
      <c r="M164" s="322">
        <f t="shared" si="35"/>
        <v>0</v>
      </c>
      <c r="N164" s="322">
        <f t="shared" si="35"/>
        <v>0</v>
      </c>
      <c r="O164" s="322">
        <f t="shared" si="35"/>
        <v>0</v>
      </c>
      <c r="P164" s="322">
        <f t="shared" si="29"/>
        <v>0</v>
      </c>
    </row>
    <row r="165" spans="1:25">
      <c r="A165" s="327" t="s">
        <v>981</v>
      </c>
      <c r="B165" s="317"/>
      <c r="C165" s="322">
        <f t="shared" si="33"/>
        <v>0</v>
      </c>
      <c r="D165" s="322">
        <f t="shared" ref="D165:O165" si="36">D80+D164</f>
        <v>0</v>
      </c>
      <c r="E165" s="322">
        <f t="shared" si="36"/>
        <v>0</v>
      </c>
      <c r="F165" s="322">
        <f t="shared" si="36"/>
        <v>0</v>
      </c>
      <c r="G165" s="322">
        <f t="shared" si="36"/>
        <v>0</v>
      </c>
      <c r="H165" s="322">
        <f t="shared" si="36"/>
        <v>0</v>
      </c>
      <c r="I165" s="322">
        <f t="shared" si="36"/>
        <v>0</v>
      </c>
      <c r="J165" s="322">
        <f t="shared" si="36"/>
        <v>0</v>
      </c>
      <c r="K165" s="322">
        <f t="shared" si="36"/>
        <v>0</v>
      </c>
      <c r="L165" s="322">
        <f t="shared" si="36"/>
        <v>0</v>
      </c>
      <c r="M165" s="322">
        <f t="shared" si="36"/>
        <v>0</v>
      </c>
      <c r="N165" s="322">
        <f t="shared" si="36"/>
        <v>0</v>
      </c>
      <c r="O165" s="322">
        <f t="shared" si="36"/>
        <v>0</v>
      </c>
      <c r="P165" s="322">
        <f t="shared" si="29"/>
        <v>0</v>
      </c>
    </row>
    <row r="166" spans="1:25">
      <c r="A166" s="327" t="s">
        <v>982</v>
      </c>
      <c r="B166" s="317" t="s">
        <v>1014</v>
      </c>
      <c r="C166" s="322">
        <f>SUM(D166:O166)</f>
        <v>0</v>
      </c>
      <c r="D166" s="319">
        <f t="array" ref="D166">SUM(IF((Budget[Sort Code]=$B$6)*(Budget[Account Code]=$B166)*(Budget[Date]=D$7),Budget[Amount]))</f>
        <v>0</v>
      </c>
      <c r="E166" s="319">
        <f t="array" ref="E166">SUM(IF((Budget[Sort Code]=$B$6)*(Budget[Account Code]=$B166)*(Budget[Date]=E$7),Budget[Amount]))</f>
        <v>0</v>
      </c>
      <c r="F166" s="319">
        <f t="array" ref="F166">SUM(IF((Budget[Sort Code]=$B$6)*(Budget[Account Code]=$B166)*(Budget[Date]=F$7),Budget[Amount]))</f>
        <v>0</v>
      </c>
      <c r="G166" s="319">
        <f t="array" ref="G166">SUM(IF((Budget[Sort Code]=$B$6)*(Budget[Account Code]=$B166)*(Budget[Date]=G$7),Budget[Amount]))</f>
        <v>0</v>
      </c>
      <c r="H166" s="319">
        <f t="array" ref="H166">SUM(IF((Budget[Sort Code]=$B$6)*(Budget[Account Code]=$B166)*(Budget[Date]=H$7),Budget[Amount]))</f>
        <v>0</v>
      </c>
      <c r="I166" s="319">
        <f t="array" ref="I166">SUM(IF((Budget[Sort Code]=$B$6)*(Budget[Account Code]=$B166)*(Budget[Date]=I$7),Budget[Amount]))</f>
        <v>0</v>
      </c>
      <c r="J166" s="319">
        <f t="array" ref="J166">SUM(IF((Budget[Sort Code]=$B$6)*(Budget[Account Code]=$B166)*(Budget[Date]=J$7),Budget[Amount]))</f>
        <v>0</v>
      </c>
      <c r="K166" s="319">
        <f t="array" ref="K166">SUM(IF((Budget[Sort Code]=$B$6)*(Budget[Account Code]=$B166)*(Budget[Date]=K$7),Budget[Amount]))</f>
        <v>0</v>
      </c>
      <c r="L166" s="319">
        <f t="array" ref="L166">SUM(IF((Budget[Sort Code]=$B$6)*(Budget[Account Code]=$B166)*(Budget[Date]=L$7),Budget[Amount]))</f>
        <v>0</v>
      </c>
      <c r="M166" s="319">
        <f t="array" ref="M166">SUM(IF((Budget[Sort Code]=$B$6)*(Budget[Account Code]=$B166)*(Budget[Date]=M$7),Budget[Amount]))</f>
        <v>0</v>
      </c>
      <c r="N166" s="319">
        <f t="array" ref="N166">SUM(IF((Budget[Sort Code]=$B$6)*(Budget[Account Code]=$B166)*(Budget[Date]=N$7),Budget[Amount]))</f>
        <v>0</v>
      </c>
      <c r="O166" s="319">
        <f t="array" ref="O166">SUM(IF((Budget[Sort Code]=$B$6)*(Budget[Account Code]=$B166)*(Budget[Date]=O$7),Budget[Amount]))</f>
        <v>0</v>
      </c>
      <c r="P166" s="322">
        <f>C166</f>
        <v>0</v>
      </c>
      <c r="Q166" s="171"/>
      <c r="R166" s="171"/>
      <c r="S166" s="171"/>
      <c r="T166" s="171"/>
      <c r="U166" s="171"/>
      <c r="V166" s="171"/>
      <c r="W166" s="171"/>
      <c r="X166" s="171"/>
      <c r="Y166" s="171"/>
    </row>
    <row r="167" spans="1:25">
      <c r="A167" s="320" t="s">
        <v>983</v>
      </c>
      <c r="B167" s="317"/>
      <c r="C167" s="322">
        <f t="shared" si="33"/>
        <v>0</v>
      </c>
      <c r="D167" s="322">
        <f>D165+D166</f>
        <v>0</v>
      </c>
      <c r="E167" s="322">
        <f t="shared" ref="E167:O167" si="37">E165+E166</f>
        <v>0</v>
      </c>
      <c r="F167" s="322">
        <f t="shared" si="37"/>
        <v>0</v>
      </c>
      <c r="G167" s="322">
        <f t="shared" si="37"/>
        <v>0</v>
      </c>
      <c r="H167" s="322">
        <f t="shared" si="37"/>
        <v>0</v>
      </c>
      <c r="I167" s="322">
        <f t="shared" si="37"/>
        <v>0</v>
      </c>
      <c r="J167" s="322">
        <f t="shared" si="37"/>
        <v>0</v>
      </c>
      <c r="K167" s="322">
        <f t="shared" si="37"/>
        <v>0</v>
      </c>
      <c r="L167" s="322">
        <f t="shared" si="37"/>
        <v>0</v>
      </c>
      <c r="M167" s="322">
        <f t="shared" si="37"/>
        <v>0</v>
      </c>
      <c r="N167" s="322">
        <f t="shared" si="37"/>
        <v>0</v>
      </c>
      <c r="O167" s="322">
        <f t="shared" si="37"/>
        <v>0</v>
      </c>
      <c r="P167" s="322">
        <f t="shared" si="29"/>
        <v>0</v>
      </c>
    </row>
    <row r="168" spans="1:25">
      <c r="A168" s="320" t="s">
        <v>984</v>
      </c>
      <c r="B168" s="317"/>
      <c r="C168" s="322">
        <f t="shared" si="33"/>
        <v>0</v>
      </c>
      <c r="D168" s="322">
        <f t="shared" ref="D168:O168" si="38">D44-D167</f>
        <v>0</v>
      </c>
      <c r="E168" s="322">
        <f t="shared" si="38"/>
        <v>0</v>
      </c>
      <c r="F168" s="322">
        <f t="shared" si="38"/>
        <v>0</v>
      </c>
      <c r="G168" s="322">
        <f t="shared" si="38"/>
        <v>0</v>
      </c>
      <c r="H168" s="322">
        <f t="shared" si="38"/>
        <v>0</v>
      </c>
      <c r="I168" s="322">
        <f t="shared" si="38"/>
        <v>0</v>
      </c>
      <c r="J168" s="322">
        <f t="shared" si="38"/>
        <v>0</v>
      </c>
      <c r="K168" s="322">
        <f t="shared" si="38"/>
        <v>0</v>
      </c>
      <c r="L168" s="322">
        <f t="shared" si="38"/>
        <v>0</v>
      </c>
      <c r="M168" s="322">
        <f t="shared" si="38"/>
        <v>0</v>
      </c>
      <c r="N168" s="322">
        <f t="shared" si="38"/>
        <v>0</v>
      </c>
      <c r="O168" s="322">
        <f t="shared" si="38"/>
        <v>0</v>
      </c>
      <c r="P168" s="322">
        <f t="shared" si="29"/>
        <v>0</v>
      </c>
    </row>
    <row r="169" spans="1:25">
      <c r="A169" s="320" t="s">
        <v>749</v>
      </c>
      <c r="B169" s="317"/>
      <c r="C169" s="322" t="e">
        <f>C44/C165</f>
        <v>#DIV/0!</v>
      </c>
      <c r="D169" s="322" t="e">
        <f t="shared" ref="D169:O169" si="39">D44/D165</f>
        <v>#DIV/0!</v>
      </c>
      <c r="E169" s="322" t="e">
        <f t="shared" si="39"/>
        <v>#DIV/0!</v>
      </c>
      <c r="F169" s="322" t="e">
        <f t="shared" si="39"/>
        <v>#DIV/0!</v>
      </c>
      <c r="G169" s="322" t="e">
        <f t="shared" si="39"/>
        <v>#DIV/0!</v>
      </c>
      <c r="H169" s="322" t="e">
        <f t="shared" si="39"/>
        <v>#DIV/0!</v>
      </c>
      <c r="I169" s="322" t="e">
        <f t="shared" si="39"/>
        <v>#DIV/0!</v>
      </c>
      <c r="J169" s="322" t="e">
        <f t="shared" si="39"/>
        <v>#DIV/0!</v>
      </c>
      <c r="K169" s="322" t="e">
        <f t="shared" si="39"/>
        <v>#DIV/0!</v>
      </c>
      <c r="L169" s="322" t="e">
        <f t="shared" si="39"/>
        <v>#DIV/0!</v>
      </c>
      <c r="M169" s="322" t="e">
        <f t="shared" si="39"/>
        <v>#DIV/0!</v>
      </c>
      <c r="N169" s="322" t="e">
        <f t="shared" si="39"/>
        <v>#DIV/0!</v>
      </c>
      <c r="O169" s="322" t="e">
        <f t="shared" si="39"/>
        <v>#DIV/0!</v>
      </c>
      <c r="P169" s="322" t="e">
        <f t="shared" si="29"/>
        <v>#DIV/0!</v>
      </c>
    </row>
  </sheetData>
  <printOptions horizontalCentered="1"/>
  <pageMargins left="0.25" right="1.35" top="0.75" bottom="0.25" header="0.3" footer="0.3"/>
  <pageSetup paperSize="5" scale="75"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69"/>
  <sheetViews>
    <sheetView workbookViewId="0"/>
  </sheetViews>
  <sheetFormatPr defaultColWidth="9" defaultRowHeight="15.75"/>
  <cols>
    <col min="1" max="1" width="64.125" style="25" bestFit="1" customWidth="1"/>
    <col min="2" max="2" width="8" style="315" customWidth="1"/>
    <col min="3" max="16" width="16.125" style="25" customWidth="1"/>
    <col min="17" max="16384" width="9" style="25"/>
  </cols>
  <sheetData>
    <row r="1" spans="1:16" ht="22.5">
      <c r="A1" s="313" t="s">
        <v>355</v>
      </c>
    </row>
    <row r="2" spans="1:16">
      <c r="A2" s="167" t="s">
        <v>400</v>
      </c>
      <c r="C2" s="102"/>
      <c r="D2" s="102"/>
      <c r="E2" s="102"/>
      <c r="F2" s="52"/>
      <c r="G2" s="52"/>
      <c r="H2" s="52"/>
      <c r="I2" s="102"/>
      <c r="J2" s="102"/>
      <c r="K2" s="102"/>
      <c r="L2" s="102"/>
      <c r="M2" s="102"/>
      <c r="N2" s="102"/>
      <c r="O2" s="102"/>
      <c r="P2" s="102"/>
    </row>
    <row r="3" spans="1:16">
      <c r="A3" s="171" t="s">
        <v>995</v>
      </c>
    </row>
    <row r="4" spans="1:16">
      <c r="A4" s="171" t="s">
        <v>996</v>
      </c>
      <c r="C4" s="52"/>
      <c r="D4" s="52"/>
      <c r="E4" s="52"/>
      <c r="F4" s="52"/>
      <c r="G4" s="102"/>
      <c r="H4" s="52"/>
      <c r="I4" s="52"/>
      <c r="J4" s="52"/>
      <c r="K4" s="102"/>
      <c r="L4" s="102"/>
      <c r="M4" s="102"/>
      <c r="N4" s="102"/>
      <c r="O4" s="102"/>
      <c r="P4" s="102"/>
    </row>
    <row r="5" spans="1:16">
      <c r="A5" s="314">
        <f>IF(B6=0,,VLOOKUP((TRIM(B6)),SortCode,2,))</f>
        <v>0</v>
      </c>
      <c r="D5" s="329"/>
    </row>
    <row r="6" spans="1:16">
      <c r="A6" s="167"/>
    </row>
    <row r="7" spans="1:16">
      <c r="A7" s="316" t="s">
        <v>855</v>
      </c>
      <c r="B7" s="317" t="s">
        <v>994</v>
      </c>
      <c r="C7" s="318">
        <v>2017</v>
      </c>
      <c r="D7" s="328">
        <f>Account!G12</f>
        <v>44957</v>
      </c>
      <c r="E7" s="328">
        <f>Account!G13</f>
        <v>44985</v>
      </c>
      <c r="F7" s="328">
        <f>Account!G14</f>
        <v>45016</v>
      </c>
      <c r="G7" s="328">
        <f>Account!G15</f>
        <v>45046</v>
      </c>
      <c r="H7" s="328">
        <f>Account!G16</f>
        <v>45077</v>
      </c>
      <c r="I7" s="328">
        <f>Account!G17</f>
        <v>45107</v>
      </c>
      <c r="J7" s="328">
        <f>Account!G18</f>
        <v>45138</v>
      </c>
      <c r="K7" s="328">
        <f>Account!G19</f>
        <v>45169</v>
      </c>
      <c r="L7" s="328">
        <f>Account!G20</f>
        <v>45199</v>
      </c>
      <c r="M7" s="328">
        <f>Account!G21</f>
        <v>45230</v>
      </c>
      <c r="N7" s="328">
        <f>Account!G22</f>
        <v>45260</v>
      </c>
      <c r="O7" s="328">
        <f>Account!G23</f>
        <v>45291</v>
      </c>
      <c r="P7" s="318" t="s">
        <v>831</v>
      </c>
    </row>
    <row r="8" spans="1:16">
      <c r="A8" s="14"/>
      <c r="B8" s="317"/>
      <c r="C8" s="319"/>
      <c r="D8" s="319"/>
      <c r="E8" s="319"/>
      <c r="F8" s="319"/>
      <c r="G8" s="319"/>
      <c r="H8" s="319"/>
      <c r="I8" s="319"/>
      <c r="J8" s="319"/>
      <c r="K8" s="319"/>
      <c r="L8" s="319"/>
      <c r="M8" s="319"/>
      <c r="N8" s="319"/>
      <c r="O8" s="319"/>
      <c r="P8" s="319"/>
    </row>
    <row r="9" spans="1:16">
      <c r="A9" s="320" t="s">
        <v>856</v>
      </c>
      <c r="B9" s="317"/>
      <c r="C9" s="319"/>
      <c r="D9" s="319"/>
      <c r="E9" s="319"/>
      <c r="F9" s="319"/>
      <c r="G9" s="319"/>
      <c r="H9" s="319"/>
      <c r="I9" s="319"/>
      <c r="J9" s="319"/>
      <c r="K9" s="319"/>
      <c r="L9" s="319"/>
      <c r="M9" s="319"/>
      <c r="N9" s="319"/>
      <c r="O9" s="319"/>
      <c r="P9" s="319"/>
    </row>
    <row r="10" spans="1:16">
      <c r="A10" s="320" t="s">
        <v>857</v>
      </c>
      <c r="B10" s="317"/>
      <c r="C10" s="319"/>
      <c r="D10" s="319"/>
      <c r="E10" s="319"/>
      <c r="F10" s="319"/>
      <c r="G10" s="319"/>
      <c r="H10" s="319"/>
      <c r="I10" s="319"/>
      <c r="J10" s="319"/>
      <c r="K10" s="319"/>
      <c r="L10" s="319"/>
      <c r="M10" s="319"/>
      <c r="N10" s="319"/>
      <c r="O10" s="319"/>
      <c r="P10" s="319"/>
    </row>
    <row r="11" spans="1:16" s="171" customFormat="1">
      <c r="A11" s="321" t="s">
        <v>1007</v>
      </c>
      <c r="B11" s="317"/>
      <c r="C11" s="322">
        <f t="shared" ref="C11:C44" si="0">SUM(D11:O11)</f>
        <v>0</v>
      </c>
      <c r="D11" s="322">
        <f>D12+D13</f>
        <v>0</v>
      </c>
      <c r="E11" s="322">
        <f t="shared" ref="E11:O11" si="1">E12+E13</f>
        <v>0</v>
      </c>
      <c r="F11" s="322">
        <f t="shared" si="1"/>
        <v>0</v>
      </c>
      <c r="G11" s="322">
        <f t="shared" si="1"/>
        <v>0</v>
      </c>
      <c r="H11" s="322">
        <f t="shared" si="1"/>
        <v>0</v>
      </c>
      <c r="I11" s="322">
        <f t="shared" si="1"/>
        <v>0</v>
      </c>
      <c r="J11" s="322">
        <f t="shared" si="1"/>
        <v>0</v>
      </c>
      <c r="K11" s="322">
        <f t="shared" si="1"/>
        <v>0</v>
      </c>
      <c r="L11" s="322">
        <f t="shared" si="1"/>
        <v>0</v>
      </c>
      <c r="M11" s="322">
        <f t="shared" si="1"/>
        <v>0</v>
      </c>
      <c r="N11" s="322">
        <f t="shared" si="1"/>
        <v>0</v>
      </c>
      <c r="O11" s="322">
        <f t="shared" si="1"/>
        <v>0</v>
      </c>
      <c r="P11" s="322">
        <f>C11</f>
        <v>0</v>
      </c>
    </row>
    <row r="12" spans="1:16">
      <c r="A12" s="323" t="s">
        <v>858</v>
      </c>
      <c r="B12" s="317" t="s">
        <v>125</v>
      </c>
      <c r="C12" s="319">
        <f t="shared" si="0"/>
        <v>0</v>
      </c>
      <c r="D12" s="319">
        <f t="array" ref="D12">SUM(IF((Budget[Account Code]=$B12)*(Budget[Date]=D$7),Budget[Amount]))</f>
        <v>0</v>
      </c>
      <c r="E12" s="319">
        <f t="array" ref="E12">SUM(IF((Budget[Account Code]=$B12)*(Budget[Date]=E$7),Budget[Amount]))</f>
        <v>0</v>
      </c>
      <c r="F12" s="319">
        <f t="array" ref="F12">SUM(IF((Budget[Account Code]=$B12)*(Budget[Date]=F$7),Budget[Amount]))</f>
        <v>0</v>
      </c>
      <c r="G12" s="319">
        <f t="array" ref="G12">SUM(IF((Budget[Account Code]=$B12)*(Budget[Date]=G$7),Budget[Amount]))</f>
        <v>0</v>
      </c>
      <c r="H12" s="319">
        <f t="array" ref="H12">SUM(IF((Budget[Account Code]=$B12)*(Budget[Date]=H$7),Budget[Amount]))</f>
        <v>0</v>
      </c>
      <c r="I12" s="319">
        <f t="array" ref="I12">SUM(IF((Budget[Account Code]=$B12)*(Budget[Date]=I$7),Budget[Amount]))</f>
        <v>0</v>
      </c>
      <c r="J12" s="319">
        <f t="array" ref="J12">SUM(IF((Budget[Account Code]=$B12)*(Budget[Date]=J$7),Budget[Amount]))</f>
        <v>0</v>
      </c>
      <c r="K12" s="319">
        <f t="array" ref="K12">SUM(IF((Budget[Account Code]=$B12)*(Budget[Date]=K$7),Budget[Amount]))</f>
        <v>0</v>
      </c>
      <c r="L12" s="319">
        <f t="array" ref="L12">SUM(IF((Budget[Account Code]=$B12)*(Budget[Date]=L$7),Budget[Amount]))</f>
        <v>0</v>
      </c>
      <c r="M12" s="319">
        <f t="array" ref="M12">SUM(IF((Budget[Account Code]=$B12)*(Budget[Date]=M$7),Budget[Amount]))</f>
        <v>0</v>
      </c>
      <c r="N12" s="319">
        <f t="array" ref="N12">SUM(IF((Budget[Account Code]=$B12)*(Budget[Date]=N$7),Budget[Amount]))</f>
        <v>0</v>
      </c>
      <c r="O12" s="319">
        <f t="array" ref="O12">SUM(IF((Budget[Account Code]=$B12)*(Budget[Date]=O$7),Budget[Amount]))</f>
        <v>0</v>
      </c>
      <c r="P12" s="319">
        <f t="shared" ref="P12:P75" si="2">C12</f>
        <v>0</v>
      </c>
    </row>
    <row r="13" spans="1:16">
      <c r="A13" s="323" t="s">
        <v>819</v>
      </c>
      <c r="B13" s="317"/>
      <c r="C13" s="319">
        <f t="shared" si="0"/>
        <v>0</v>
      </c>
      <c r="D13" s="319">
        <f>D14+D15+D16</f>
        <v>0</v>
      </c>
      <c r="E13" s="319">
        <f t="shared" ref="E13:O13" si="3">E14+E15+E16</f>
        <v>0</v>
      </c>
      <c r="F13" s="319">
        <f t="shared" si="3"/>
        <v>0</v>
      </c>
      <c r="G13" s="319">
        <f t="shared" si="3"/>
        <v>0</v>
      </c>
      <c r="H13" s="319">
        <f t="shared" si="3"/>
        <v>0</v>
      </c>
      <c r="I13" s="319">
        <f t="shared" si="3"/>
        <v>0</v>
      </c>
      <c r="J13" s="319">
        <f t="shared" si="3"/>
        <v>0</v>
      </c>
      <c r="K13" s="319">
        <f t="shared" si="3"/>
        <v>0</v>
      </c>
      <c r="L13" s="319">
        <f t="shared" si="3"/>
        <v>0</v>
      </c>
      <c r="M13" s="319">
        <f t="shared" si="3"/>
        <v>0</v>
      </c>
      <c r="N13" s="319">
        <f t="shared" si="3"/>
        <v>0</v>
      </c>
      <c r="O13" s="319">
        <f t="shared" si="3"/>
        <v>0</v>
      </c>
      <c r="P13" s="319">
        <f t="shared" si="2"/>
        <v>0</v>
      </c>
    </row>
    <row r="14" spans="1:16">
      <c r="A14" s="323" t="s">
        <v>859</v>
      </c>
      <c r="B14" s="317" t="s">
        <v>126</v>
      </c>
      <c r="C14" s="319">
        <f t="shared" si="0"/>
        <v>0</v>
      </c>
      <c r="D14" s="319">
        <f t="array" ref="D14">SUM(IF((Budget[Account Code]=$B14)*(Budget[Date]=D$7),Budget[Amount]))</f>
        <v>0</v>
      </c>
      <c r="E14" s="319">
        <f t="array" ref="E14">SUM(IF((Budget[Account Code]=$B14)*(Budget[Date]=E$7),Budget[Amount]))</f>
        <v>0</v>
      </c>
      <c r="F14" s="319">
        <f t="array" ref="F14">SUM(IF((Budget[Account Code]=$B14)*(Budget[Date]=F$7),Budget[Amount]))</f>
        <v>0</v>
      </c>
      <c r="G14" s="319">
        <f t="array" ref="G14">SUM(IF((Budget[Account Code]=$B14)*(Budget[Date]=G$7),Budget[Amount]))</f>
        <v>0</v>
      </c>
      <c r="H14" s="319">
        <f t="array" ref="H14">SUM(IF((Budget[Account Code]=$B14)*(Budget[Date]=H$7),Budget[Amount]))</f>
        <v>0</v>
      </c>
      <c r="I14" s="319">
        <f t="array" ref="I14">SUM(IF((Budget[Account Code]=$B14)*(Budget[Date]=I$7),Budget[Amount]))</f>
        <v>0</v>
      </c>
      <c r="J14" s="319">
        <f t="array" ref="J14">SUM(IF((Budget[Account Code]=$B14)*(Budget[Date]=J$7),Budget[Amount]))</f>
        <v>0</v>
      </c>
      <c r="K14" s="319">
        <f t="array" ref="K14">SUM(IF((Budget[Account Code]=$B14)*(Budget[Date]=K$7),Budget[Amount]))</f>
        <v>0</v>
      </c>
      <c r="L14" s="319">
        <f t="array" ref="L14">SUM(IF((Budget[Account Code]=$B14)*(Budget[Date]=L$7),Budget[Amount]))</f>
        <v>0</v>
      </c>
      <c r="M14" s="319">
        <f t="array" ref="M14">SUM(IF((Budget[Account Code]=$B14)*(Budget[Date]=M$7),Budget[Amount]))</f>
        <v>0</v>
      </c>
      <c r="N14" s="319">
        <f t="array" ref="N14">SUM(IF((Budget[Account Code]=$B14)*(Budget[Date]=N$7),Budget[Amount]))</f>
        <v>0</v>
      </c>
      <c r="O14" s="319">
        <f t="array" ref="O14">SUM(IF((Budget[Account Code]=$B14)*(Budget[Date]=O$7),Budget[Amount]))</f>
        <v>0</v>
      </c>
      <c r="P14" s="319">
        <f t="shared" si="2"/>
        <v>0</v>
      </c>
    </row>
    <row r="15" spans="1:16">
      <c r="A15" s="323" t="s">
        <v>860</v>
      </c>
      <c r="B15" s="317" t="s">
        <v>721</v>
      </c>
      <c r="C15" s="319">
        <f t="shared" si="0"/>
        <v>0</v>
      </c>
      <c r="D15" s="319">
        <f t="array" ref="D15">SUM(IF((Budget[Account Code]=$B15)*(Budget[Date]=D$7),Budget[Amount]))</f>
        <v>0</v>
      </c>
      <c r="E15" s="319">
        <f t="array" ref="E15">SUM(IF((Budget[Account Code]=$B15)*(Budget[Date]=E$7),Budget[Amount]))</f>
        <v>0</v>
      </c>
      <c r="F15" s="319">
        <f t="array" ref="F15">SUM(IF((Budget[Account Code]=$B15)*(Budget[Date]=F$7),Budget[Amount]))</f>
        <v>0</v>
      </c>
      <c r="G15" s="319">
        <f t="array" ref="G15">SUM(IF((Budget[Account Code]=$B15)*(Budget[Date]=G$7),Budget[Amount]))</f>
        <v>0</v>
      </c>
      <c r="H15" s="319">
        <f t="array" ref="H15">SUM(IF((Budget[Account Code]=$B15)*(Budget[Date]=H$7),Budget[Amount]))</f>
        <v>0</v>
      </c>
      <c r="I15" s="319">
        <f t="array" ref="I15">SUM(IF((Budget[Account Code]=$B15)*(Budget[Date]=I$7),Budget[Amount]))</f>
        <v>0</v>
      </c>
      <c r="J15" s="319">
        <f t="array" ref="J15">SUM(IF((Budget[Account Code]=$B15)*(Budget[Date]=J$7),Budget[Amount]))</f>
        <v>0</v>
      </c>
      <c r="K15" s="319">
        <f t="array" ref="K15">SUM(IF((Budget[Account Code]=$B15)*(Budget[Date]=K$7),Budget[Amount]))</f>
        <v>0</v>
      </c>
      <c r="L15" s="319">
        <f t="array" ref="L15">SUM(IF((Budget[Account Code]=$B15)*(Budget[Date]=L$7),Budget[Amount]))</f>
        <v>0</v>
      </c>
      <c r="M15" s="319">
        <f t="array" ref="M15">SUM(IF((Budget[Account Code]=$B15)*(Budget[Date]=M$7),Budget[Amount]))</f>
        <v>0</v>
      </c>
      <c r="N15" s="319">
        <f t="array" ref="N15">SUM(IF((Budget[Account Code]=$B15)*(Budget[Date]=N$7),Budget[Amount]))</f>
        <v>0</v>
      </c>
      <c r="O15" s="319">
        <f t="array" ref="O15">SUM(IF((Budget[Account Code]=$B15)*(Budget[Date]=O$7),Budget[Amount]))</f>
        <v>0</v>
      </c>
      <c r="P15" s="319">
        <f t="shared" si="2"/>
        <v>0</v>
      </c>
    </row>
    <row r="16" spans="1:16">
      <c r="A16" s="323" t="s">
        <v>861</v>
      </c>
      <c r="B16" s="317" t="s">
        <v>143</v>
      </c>
      <c r="C16" s="319">
        <f t="shared" si="0"/>
        <v>0</v>
      </c>
      <c r="D16" s="319">
        <f t="array" ref="D16">SUM(IF((Budget[Account Code]=$B16)*(Budget[Date]=D$7),Budget[Amount]))</f>
        <v>0</v>
      </c>
      <c r="E16" s="319">
        <f t="array" ref="E16">SUM(IF((Budget[Account Code]=$B16)*(Budget[Date]=E$7),Budget[Amount]))</f>
        <v>0</v>
      </c>
      <c r="F16" s="319">
        <f t="array" ref="F16">SUM(IF((Budget[Account Code]=$B16)*(Budget[Date]=F$7),Budget[Amount]))</f>
        <v>0</v>
      </c>
      <c r="G16" s="319">
        <f t="array" ref="G16">SUM(IF((Budget[Account Code]=$B16)*(Budget[Date]=G$7),Budget[Amount]))</f>
        <v>0</v>
      </c>
      <c r="H16" s="319">
        <f t="array" ref="H16">SUM(IF((Budget[Account Code]=$B16)*(Budget[Date]=H$7),Budget[Amount]))</f>
        <v>0</v>
      </c>
      <c r="I16" s="319">
        <f t="array" ref="I16">SUM(IF((Budget[Account Code]=$B16)*(Budget[Date]=I$7),Budget[Amount]))</f>
        <v>0</v>
      </c>
      <c r="J16" s="319">
        <f t="array" ref="J16">SUM(IF((Budget[Account Code]=$B16)*(Budget[Date]=J$7),Budget[Amount]))</f>
        <v>0</v>
      </c>
      <c r="K16" s="319">
        <f t="array" ref="K16">SUM(IF((Budget[Account Code]=$B16)*(Budget[Date]=K$7),Budget[Amount]))</f>
        <v>0</v>
      </c>
      <c r="L16" s="319">
        <f t="array" ref="L16">SUM(IF((Budget[Account Code]=$B16)*(Budget[Date]=L$7),Budget[Amount]))</f>
        <v>0</v>
      </c>
      <c r="M16" s="319">
        <f t="array" ref="M16">SUM(IF((Budget[Account Code]=$B16)*(Budget[Date]=M$7),Budget[Amount]))</f>
        <v>0</v>
      </c>
      <c r="N16" s="319">
        <f t="array" ref="N16">SUM(IF((Budget[Account Code]=$B16)*(Budget[Date]=N$7),Budget[Amount]))</f>
        <v>0</v>
      </c>
      <c r="O16" s="319">
        <f t="array" ref="O16">SUM(IF((Budget[Account Code]=$B16)*(Budget[Date]=O$7),Budget[Amount]))</f>
        <v>0</v>
      </c>
      <c r="P16" s="319">
        <f t="shared" si="2"/>
        <v>0</v>
      </c>
    </row>
    <row r="17" spans="1:16" s="171" customFormat="1">
      <c r="A17" s="321" t="s">
        <v>862</v>
      </c>
      <c r="B17" s="317"/>
      <c r="C17" s="322">
        <f t="shared" si="0"/>
        <v>0</v>
      </c>
      <c r="D17" s="322">
        <f>D18+D19</f>
        <v>0</v>
      </c>
      <c r="E17" s="322">
        <f t="shared" ref="E17:O17" si="4">E18+E19</f>
        <v>0</v>
      </c>
      <c r="F17" s="322">
        <f t="shared" si="4"/>
        <v>0</v>
      </c>
      <c r="G17" s="322">
        <f t="shared" si="4"/>
        <v>0</v>
      </c>
      <c r="H17" s="322">
        <f t="shared" si="4"/>
        <v>0</v>
      </c>
      <c r="I17" s="322">
        <f t="shared" si="4"/>
        <v>0</v>
      </c>
      <c r="J17" s="322">
        <f t="shared" si="4"/>
        <v>0</v>
      </c>
      <c r="K17" s="322">
        <f t="shared" si="4"/>
        <v>0</v>
      </c>
      <c r="L17" s="322">
        <f t="shared" si="4"/>
        <v>0</v>
      </c>
      <c r="M17" s="322">
        <f t="shared" si="4"/>
        <v>0</v>
      </c>
      <c r="N17" s="322">
        <f t="shared" si="4"/>
        <v>0</v>
      </c>
      <c r="O17" s="322">
        <f t="shared" si="4"/>
        <v>0</v>
      </c>
      <c r="P17" s="322">
        <f t="shared" si="2"/>
        <v>0</v>
      </c>
    </row>
    <row r="18" spans="1:16">
      <c r="A18" s="323" t="s">
        <v>863</v>
      </c>
      <c r="B18" s="317" t="s">
        <v>146</v>
      </c>
      <c r="C18" s="319">
        <f t="shared" si="0"/>
        <v>0</v>
      </c>
      <c r="D18" s="319">
        <f t="array" ref="D18">SUM(IF((Budget[Account Code]=$B18)*(Budget[Date]=D$7),Budget[Amount]))</f>
        <v>0</v>
      </c>
      <c r="E18" s="319">
        <f t="array" ref="E18">SUM(IF((Budget[Account Code]=$B18)*(Budget[Date]=E$7),Budget[Amount]))</f>
        <v>0</v>
      </c>
      <c r="F18" s="319">
        <f t="array" ref="F18">SUM(IF((Budget[Account Code]=$B18)*(Budget[Date]=F$7),Budget[Amount]))</f>
        <v>0</v>
      </c>
      <c r="G18" s="319">
        <f t="array" ref="G18">SUM(IF((Budget[Account Code]=$B18)*(Budget[Date]=G$7),Budget[Amount]))</f>
        <v>0</v>
      </c>
      <c r="H18" s="319">
        <f t="array" ref="H18">SUM(IF((Budget[Account Code]=$B18)*(Budget[Date]=H$7),Budget[Amount]))</f>
        <v>0</v>
      </c>
      <c r="I18" s="319">
        <f t="array" ref="I18">SUM(IF((Budget[Account Code]=$B18)*(Budget[Date]=I$7),Budget[Amount]))</f>
        <v>0</v>
      </c>
      <c r="J18" s="319">
        <f t="array" ref="J18">SUM(IF((Budget[Account Code]=$B18)*(Budget[Date]=J$7),Budget[Amount]))</f>
        <v>0</v>
      </c>
      <c r="K18" s="319">
        <f t="array" ref="K18">SUM(IF((Budget[Account Code]=$B18)*(Budget[Date]=K$7),Budget[Amount]))</f>
        <v>0</v>
      </c>
      <c r="L18" s="319">
        <f t="array" ref="L18">SUM(IF((Budget[Account Code]=$B18)*(Budget[Date]=L$7),Budget[Amount]))</f>
        <v>0</v>
      </c>
      <c r="M18" s="319">
        <f t="array" ref="M18">SUM(IF((Budget[Account Code]=$B18)*(Budget[Date]=M$7),Budget[Amount]))</f>
        <v>0</v>
      </c>
      <c r="N18" s="319">
        <f t="array" ref="N18">SUM(IF((Budget[Account Code]=$B18)*(Budget[Date]=N$7),Budget[Amount]))</f>
        <v>0</v>
      </c>
      <c r="O18" s="319">
        <f t="array" ref="O18">SUM(IF((Budget[Account Code]=$B18)*(Budget[Date]=O$7),Budget[Amount]))</f>
        <v>0</v>
      </c>
      <c r="P18" s="319">
        <f t="shared" si="2"/>
        <v>0</v>
      </c>
    </row>
    <row r="19" spans="1:16">
      <c r="A19" s="323" t="s">
        <v>864</v>
      </c>
      <c r="B19" s="317" t="s">
        <v>147</v>
      </c>
      <c r="C19" s="319">
        <f t="shared" si="0"/>
        <v>0</v>
      </c>
      <c r="D19" s="319">
        <f t="array" ref="D19">SUM(IF((Budget[Account Code]=$B19)*(Budget[Date]=D$7),Budget[Amount]))</f>
        <v>0</v>
      </c>
      <c r="E19" s="319">
        <f t="array" ref="E19">SUM(IF((Budget[Account Code]=$B19)*(Budget[Date]=E$7),Budget[Amount]))</f>
        <v>0</v>
      </c>
      <c r="F19" s="319">
        <f t="array" ref="F19">SUM(IF((Budget[Account Code]=$B19)*(Budget[Date]=F$7),Budget[Amount]))</f>
        <v>0</v>
      </c>
      <c r="G19" s="319">
        <f t="array" ref="G19">SUM(IF((Budget[Account Code]=$B19)*(Budget[Date]=G$7),Budget[Amount]))</f>
        <v>0</v>
      </c>
      <c r="H19" s="319">
        <f t="array" ref="H19">SUM(IF((Budget[Account Code]=$B19)*(Budget[Date]=H$7),Budget[Amount]))</f>
        <v>0</v>
      </c>
      <c r="I19" s="319">
        <f t="array" ref="I19">SUM(IF((Budget[Account Code]=$B19)*(Budget[Date]=I$7),Budget[Amount]))</f>
        <v>0</v>
      </c>
      <c r="J19" s="319">
        <f t="array" ref="J19">SUM(IF((Budget[Account Code]=$B19)*(Budget[Date]=J$7),Budget[Amount]))</f>
        <v>0</v>
      </c>
      <c r="K19" s="319">
        <f t="array" ref="K19">SUM(IF((Budget[Account Code]=$B19)*(Budget[Date]=K$7),Budget[Amount]))</f>
        <v>0</v>
      </c>
      <c r="L19" s="319">
        <f t="array" ref="L19">SUM(IF((Budget[Account Code]=$B19)*(Budget[Date]=L$7),Budget[Amount]))</f>
        <v>0</v>
      </c>
      <c r="M19" s="319">
        <f t="array" ref="M19">SUM(IF((Budget[Account Code]=$B19)*(Budget[Date]=M$7),Budget[Amount]))</f>
        <v>0</v>
      </c>
      <c r="N19" s="319">
        <f t="array" ref="N19">SUM(IF((Budget[Account Code]=$B19)*(Budget[Date]=N$7),Budget[Amount]))</f>
        <v>0</v>
      </c>
      <c r="O19" s="319">
        <f t="array" ref="O19">SUM(IF((Budget[Account Code]=$B19)*(Budget[Date]=O$7),Budget[Amount]))</f>
        <v>0</v>
      </c>
      <c r="P19" s="319">
        <f t="shared" si="2"/>
        <v>0</v>
      </c>
    </row>
    <row r="20" spans="1:16" s="171" customFormat="1">
      <c r="A20" s="321" t="s">
        <v>825</v>
      </c>
      <c r="B20" s="317"/>
      <c r="C20" s="322">
        <f t="shared" si="0"/>
        <v>0</v>
      </c>
      <c r="D20" s="322">
        <f>D21+D22</f>
        <v>0</v>
      </c>
      <c r="E20" s="322">
        <f t="shared" ref="E20:O20" si="5">E21+E22</f>
        <v>0</v>
      </c>
      <c r="F20" s="322">
        <f t="shared" si="5"/>
        <v>0</v>
      </c>
      <c r="G20" s="322">
        <f t="shared" si="5"/>
        <v>0</v>
      </c>
      <c r="H20" s="322">
        <f t="shared" si="5"/>
        <v>0</v>
      </c>
      <c r="I20" s="322">
        <f t="shared" si="5"/>
        <v>0</v>
      </c>
      <c r="J20" s="322">
        <f t="shared" si="5"/>
        <v>0</v>
      </c>
      <c r="K20" s="322">
        <f t="shared" si="5"/>
        <v>0</v>
      </c>
      <c r="L20" s="322">
        <f t="shared" si="5"/>
        <v>0</v>
      </c>
      <c r="M20" s="322">
        <f t="shared" si="5"/>
        <v>0</v>
      </c>
      <c r="N20" s="322">
        <f t="shared" si="5"/>
        <v>0</v>
      </c>
      <c r="O20" s="322">
        <f t="shared" si="5"/>
        <v>0</v>
      </c>
      <c r="P20" s="322">
        <f t="shared" si="2"/>
        <v>0</v>
      </c>
    </row>
    <row r="21" spans="1:16">
      <c r="A21" s="323" t="s">
        <v>858</v>
      </c>
      <c r="B21" s="317" t="s">
        <v>131</v>
      </c>
      <c r="C21" s="319">
        <f t="shared" si="0"/>
        <v>0</v>
      </c>
      <c r="D21" s="319">
        <f t="array" ref="D21">SUM(IF((Budget[Account Code]=$B21)*(Budget[Date]=D$7),Budget[Amount]))</f>
        <v>0</v>
      </c>
      <c r="E21" s="319">
        <f t="array" ref="E21">SUM(IF((Budget[Account Code]=$B21)*(Budget[Date]=E$7),Budget[Amount]))</f>
        <v>0</v>
      </c>
      <c r="F21" s="319">
        <f t="array" ref="F21">SUM(IF((Budget[Account Code]=$B21)*(Budget[Date]=F$7),Budget[Amount]))</f>
        <v>0</v>
      </c>
      <c r="G21" s="319">
        <f t="array" ref="G21">SUM(IF((Budget[Account Code]=$B21)*(Budget[Date]=G$7),Budget[Amount]))</f>
        <v>0</v>
      </c>
      <c r="H21" s="319">
        <f t="array" ref="H21">SUM(IF((Budget[Account Code]=$B21)*(Budget[Date]=H$7),Budget[Amount]))</f>
        <v>0</v>
      </c>
      <c r="I21" s="319">
        <f t="array" ref="I21">SUM(IF((Budget[Account Code]=$B21)*(Budget[Date]=I$7),Budget[Amount]))</f>
        <v>0</v>
      </c>
      <c r="J21" s="319">
        <f t="array" ref="J21">SUM(IF((Budget[Account Code]=$B21)*(Budget[Date]=J$7),Budget[Amount]))</f>
        <v>0</v>
      </c>
      <c r="K21" s="319">
        <f t="array" ref="K21">SUM(IF((Budget[Account Code]=$B21)*(Budget[Date]=K$7),Budget[Amount]))</f>
        <v>0</v>
      </c>
      <c r="L21" s="319">
        <f t="array" ref="L21">SUM(IF((Budget[Account Code]=$B21)*(Budget[Date]=L$7),Budget[Amount]))</f>
        <v>0</v>
      </c>
      <c r="M21" s="319">
        <f t="array" ref="M21">SUM(IF((Budget[Account Code]=$B21)*(Budget[Date]=M$7),Budget[Amount]))</f>
        <v>0</v>
      </c>
      <c r="N21" s="319">
        <f t="array" ref="N21">SUM(IF((Budget[Account Code]=$B21)*(Budget[Date]=N$7),Budget[Amount]))</f>
        <v>0</v>
      </c>
      <c r="O21" s="319">
        <f t="array" ref="O21">SUM(IF((Budget[Account Code]=$B21)*(Budget[Date]=O$7),Budget[Amount]))</f>
        <v>0</v>
      </c>
      <c r="P21" s="319">
        <f t="shared" si="2"/>
        <v>0</v>
      </c>
    </row>
    <row r="22" spans="1:16">
      <c r="A22" s="323" t="s">
        <v>819</v>
      </c>
      <c r="B22" s="317"/>
      <c r="C22" s="319">
        <f t="shared" si="0"/>
        <v>0</v>
      </c>
      <c r="D22" s="319">
        <f t="array" ref="D22">SUM(IF((Budget[Account Code]=$B22)*(Budget[Date]=D$7),Budget[Amount]))</f>
        <v>0</v>
      </c>
      <c r="E22" s="319">
        <f t="array" ref="E22">SUM(IF((Budget[Account Code]=$B22)*(Budget[Date]=E$7),Budget[Amount]))</f>
        <v>0</v>
      </c>
      <c r="F22" s="319">
        <f t="array" ref="F22">SUM(IF((Budget[Account Code]=$B22)*(Budget[Date]=F$7),Budget[Amount]))</f>
        <v>0</v>
      </c>
      <c r="G22" s="319">
        <f t="array" ref="G22">SUM(IF((Budget[Account Code]=$B22)*(Budget[Date]=G$7),Budget[Amount]))</f>
        <v>0</v>
      </c>
      <c r="H22" s="319">
        <f t="array" ref="H22">SUM(IF((Budget[Account Code]=$B22)*(Budget[Date]=H$7),Budget[Amount]))</f>
        <v>0</v>
      </c>
      <c r="I22" s="319">
        <f t="array" ref="I22">SUM(IF((Budget[Account Code]=$B22)*(Budget[Date]=I$7),Budget[Amount]))</f>
        <v>0</v>
      </c>
      <c r="J22" s="319">
        <f t="array" ref="J22">SUM(IF((Budget[Account Code]=$B22)*(Budget[Date]=J$7),Budget[Amount]))</f>
        <v>0</v>
      </c>
      <c r="K22" s="319">
        <f t="array" ref="K22">SUM(IF((Budget[Account Code]=$B22)*(Budget[Date]=K$7),Budget[Amount]))</f>
        <v>0</v>
      </c>
      <c r="L22" s="319">
        <f t="array" ref="L22">SUM(IF((Budget[Account Code]=$B22)*(Budget[Date]=L$7),Budget[Amount]))</f>
        <v>0</v>
      </c>
      <c r="M22" s="319">
        <f t="array" ref="M22">SUM(IF((Budget[Account Code]=$B22)*(Budget[Date]=M$7),Budget[Amount]))</f>
        <v>0</v>
      </c>
      <c r="N22" s="319">
        <f t="array" ref="N22">SUM(IF((Budget[Account Code]=$B22)*(Budget[Date]=N$7),Budget[Amount]))</f>
        <v>0</v>
      </c>
      <c r="O22" s="319">
        <f t="array" ref="O22">SUM(IF((Budget[Account Code]=$B22)*(Budget[Date]=O$7),Budget[Amount]))</f>
        <v>0</v>
      </c>
      <c r="P22" s="319">
        <f t="shared" si="2"/>
        <v>0</v>
      </c>
    </row>
    <row r="23" spans="1:16">
      <c r="A23" s="319" t="s">
        <v>831</v>
      </c>
      <c r="B23" s="324"/>
      <c r="C23" s="319">
        <f t="shared" si="0"/>
        <v>0</v>
      </c>
      <c r="D23" s="319">
        <f t="shared" ref="D23:O23" si="6">D11+D17+D20</f>
        <v>0</v>
      </c>
      <c r="E23" s="319">
        <f t="shared" si="6"/>
        <v>0</v>
      </c>
      <c r="F23" s="319">
        <f t="shared" si="6"/>
        <v>0</v>
      </c>
      <c r="G23" s="319">
        <f t="shared" si="6"/>
        <v>0</v>
      </c>
      <c r="H23" s="319">
        <f t="shared" si="6"/>
        <v>0</v>
      </c>
      <c r="I23" s="319">
        <f t="shared" si="6"/>
        <v>0</v>
      </c>
      <c r="J23" s="319">
        <f t="shared" si="6"/>
        <v>0</v>
      </c>
      <c r="K23" s="319">
        <f t="shared" si="6"/>
        <v>0</v>
      </c>
      <c r="L23" s="319">
        <f t="shared" si="6"/>
        <v>0</v>
      </c>
      <c r="M23" s="319">
        <f t="shared" si="6"/>
        <v>0</v>
      </c>
      <c r="N23" s="319">
        <f t="shared" si="6"/>
        <v>0</v>
      </c>
      <c r="O23" s="319">
        <f t="shared" si="6"/>
        <v>0</v>
      </c>
      <c r="P23" s="319">
        <f t="shared" si="2"/>
        <v>0</v>
      </c>
    </row>
    <row r="24" spans="1:16">
      <c r="A24" s="320" t="s">
        <v>865</v>
      </c>
      <c r="B24" s="317"/>
      <c r="C24" s="319"/>
      <c r="D24" s="319"/>
      <c r="E24" s="319"/>
      <c r="F24" s="319"/>
      <c r="G24" s="319"/>
      <c r="H24" s="319"/>
      <c r="I24" s="319"/>
      <c r="J24" s="319"/>
      <c r="K24" s="319"/>
      <c r="L24" s="319"/>
      <c r="M24" s="319"/>
      <c r="N24" s="319"/>
      <c r="O24" s="319"/>
      <c r="P24" s="319">
        <f t="shared" si="2"/>
        <v>0</v>
      </c>
    </row>
    <row r="25" spans="1:16" s="171" customFormat="1">
      <c r="A25" s="321" t="s">
        <v>866</v>
      </c>
      <c r="B25" s="317"/>
      <c r="C25" s="322">
        <f t="shared" si="0"/>
        <v>0</v>
      </c>
      <c r="D25" s="322">
        <v>0</v>
      </c>
      <c r="E25" s="322">
        <v>0</v>
      </c>
      <c r="F25" s="322">
        <v>0</v>
      </c>
      <c r="G25" s="322">
        <v>0</v>
      </c>
      <c r="H25" s="322">
        <v>0</v>
      </c>
      <c r="I25" s="322">
        <v>0</v>
      </c>
      <c r="J25" s="322">
        <v>0</v>
      </c>
      <c r="K25" s="322">
        <v>0</v>
      </c>
      <c r="L25" s="322">
        <v>0</v>
      </c>
      <c r="M25" s="322">
        <v>0</v>
      </c>
      <c r="N25" s="322">
        <v>0</v>
      </c>
      <c r="O25" s="322">
        <v>0</v>
      </c>
      <c r="P25" s="322">
        <f t="shared" si="2"/>
        <v>0</v>
      </c>
    </row>
    <row r="26" spans="1:16" s="171" customFormat="1">
      <c r="A26" s="321" t="s">
        <v>867</v>
      </c>
      <c r="B26" s="317"/>
      <c r="C26" s="322">
        <f t="shared" si="0"/>
        <v>0</v>
      </c>
      <c r="D26" s="322">
        <v>0</v>
      </c>
      <c r="E26" s="322">
        <v>0</v>
      </c>
      <c r="F26" s="322">
        <v>0</v>
      </c>
      <c r="G26" s="322">
        <v>0</v>
      </c>
      <c r="H26" s="322">
        <v>0</v>
      </c>
      <c r="I26" s="322">
        <v>0</v>
      </c>
      <c r="J26" s="322">
        <v>0</v>
      </c>
      <c r="K26" s="322">
        <v>0</v>
      </c>
      <c r="L26" s="322">
        <v>0</v>
      </c>
      <c r="M26" s="322">
        <v>0</v>
      </c>
      <c r="N26" s="322">
        <v>0</v>
      </c>
      <c r="O26" s="322">
        <v>0</v>
      </c>
      <c r="P26" s="322">
        <f t="shared" si="2"/>
        <v>0</v>
      </c>
    </row>
    <row r="27" spans="1:16" s="171" customFormat="1">
      <c r="A27" s="321" t="s">
        <v>997</v>
      </c>
      <c r="B27" s="317"/>
      <c r="C27" s="322">
        <f t="shared" si="0"/>
        <v>0</v>
      </c>
      <c r="D27" s="322">
        <v>0</v>
      </c>
      <c r="E27" s="322">
        <v>0</v>
      </c>
      <c r="F27" s="322">
        <v>0</v>
      </c>
      <c r="G27" s="322">
        <v>0</v>
      </c>
      <c r="H27" s="322">
        <v>0</v>
      </c>
      <c r="I27" s="322">
        <v>0</v>
      </c>
      <c r="J27" s="322">
        <v>0</v>
      </c>
      <c r="K27" s="322">
        <v>0</v>
      </c>
      <c r="L27" s="322">
        <v>0</v>
      </c>
      <c r="M27" s="322">
        <v>0</v>
      </c>
      <c r="N27" s="322">
        <v>0</v>
      </c>
      <c r="O27" s="322">
        <v>0</v>
      </c>
      <c r="P27" s="322">
        <f t="shared" si="2"/>
        <v>0</v>
      </c>
    </row>
    <row r="28" spans="1:16" s="171" customFormat="1">
      <c r="A28" s="321" t="s">
        <v>998</v>
      </c>
      <c r="B28" s="317"/>
      <c r="C28" s="322">
        <f t="shared" si="0"/>
        <v>0</v>
      </c>
      <c r="D28" s="322">
        <v>0</v>
      </c>
      <c r="E28" s="322">
        <v>0</v>
      </c>
      <c r="F28" s="322">
        <v>0</v>
      </c>
      <c r="G28" s="322">
        <v>0</v>
      </c>
      <c r="H28" s="322">
        <v>0</v>
      </c>
      <c r="I28" s="322">
        <v>0</v>
      </c>
      <c r="J28" s="322">
        <v>0</v>
      </c>
      <c r="K28" s="322">
        <v>0</v>
      </c>
      <c r="L28" s="322">
        <v>0</v>
      </c>
      <c r="M28" s="322">
        <v>0</v>
      </c>
      <c r="N28" s="322">
        <v>0</v>
      </c>
      <c r="O28" s="322">
        <v>0</v>
      </c>
      <c r="P28" s="322">
        <f t="shared" si="2"/>
        <v>0</v>
      </c>
    </row>
    <row r="29" spans="1:16" s="171" customFormat="1">
      <c r="A29" s="321" t="s">
        <v>868</v>
      </c>
      <c r="B29" s="317"/>
      <c r="C29" s="322">
        <f t="shared" si="0"/>
        <v>0</v>
      </c>
      <c r="D29" s="322">
        <v>0</v>
      </c>
      <c r="E29" s="322">
        <v>0</v>
      </c>
      <c r="F29" s="322">
        <v>0</v>
      </c>
      <c r="G29" s="322">
        <v>0</v>
      </c>
      <c r="H29" s="322">
        <v>0</v>
      </c>
      <c r="I29" s="322">
        <v>0</v>
      </c>
      <c r="J29" s="322">
        <v>0</v>
      </c>
      <c r="K29" s="322">
        <v>0</v>
      </c>
      <c r="L29" s="322">
        <v>0</v>
      </c>
      <c r="M29" s="322">
        <v>0</v>
      </c>
      <c r="N29" s="322">
        <v>0</v>
      </c>
      <c r="O29" s="322">
        <v>0</v>
      </c>
      <c r="P29" s="322">
        <f t="shared" si="2"/>
        <v>0</v>
      </c>
    </row>
    <row r="30" spans="1:16" s="171" customFormat="1">
      <c r="A30" s="321" t="s">
        <v>999</v>
      </c>
      <c r="B30" s="317"/>
      <c r="C30" s="322">
        <f t="shared" si="0"/>
        <v>0</v>
      </c>
      <c r="D30" s="322">
        <f>D31+D32</f>
        <v>0</v>
      </c>
      <c r="E30" s="322">
        <f t="shared" ref="E30:O30" si="7">E31+E32</f>
        <v>0</v>
      </c>
      <c r="F30" s="322">
        <f t="shared" si="7"/>
        <v>0</v>
      </c>
      <c r="G30" s="322">
        <f t="shared" si="7"/>
        <v>0</v>
      </c>
      <c r="H30" s="322">
        <f t="shared" si="7"/>
        <v>0</v>
      </c>
      <c r="I30" s="322">
        <f t="shared" si="7"/>
        <v>0</v>
      </c>
      <c r="J30" s="322">
        <f t="shared" si="7"/>
        <v>0</v>
      </c>
      <c r="K30" s="322">
        <f t="shared" si="7"/>
        <v>0</v>
      </c>
      <c r="L30" s="322">
        <f t="shared" si="7"/>
        <v>0</v>
      </c>
      <c r="M30" s="322">
        <f t="shared" si="7"/>
        <v>0</v>
      </c>
      <c r="N30" s="322">
        <f t="shared" si="7"/>
        <v>0</v>
      </c>
      <c r="O30" s="322">
        <f t="shared" si="7"/>
        <v>0</v>
      </c>
      <c r="P30" s="322">
        <f t="shared" si="2"/>
        <v>0</v>
      </c>
    </row>
    <row r="31" spans="1:16">
      <c r="A31" s="323" t="s">
        <v>858</v>
      </c>
      <c r="B31" s="317" t="s">
        <v>128</v>
      </c>
      <c r="C31" s="319">
        <f t="shared" si="0"/>
        <v>0</v>
      </c>
      <c r="D31" s="319">
        <f t="array" ref="D31">SUM(IF((Budget[Account Code]=$B31)*(Budget[Date]=D$7),Budget[Amount]))</f>
        <v>0</v>
      </c>
      <c r="E31" s="319">
        <f t="array" ref="E31">SUM(IF((Budget[Account Code]=$B31)*(Budget[Date]=E$7),Budget[Amount]))</f>
        <v>0</v>
      </c>
      <c r="F31" s="319">
        <f t="array" ref="F31">SUM(IF((Budget[Account Code]=$B31)*(Budget[Date]=F$7),Budget[Amount]))</f>
        <v>0</v>
      </c>
      <c r="G31" s="319">
        <f t="array" ref="G31">SUM(IF((Budget[Account Code]=$B31)*(Budget[Date]=G$7),Budget[Amount]))</f>
        <v>0</v>
      </c>
      <c r="H31" s="319">
        <f t="array" ref="H31">SUM(IF((Budget[Account Code]=$B31)*(Budget[Date]=H$7),Budget[Amount]))</f>
        <v>0</v>
      </c>
      <c r="I31" s="319">
        <f t="array" ref="I31">SUM(IF((Budget[Account Code]=$B31)*(Budget[Date]=I$7),Budget[Amount]))</f>
        <v>0</v>
      </c>
      <c r="J31" s="319">
        <f t="array" ref="J31">SUM(IF((Budget[Account Code]=$B31)*(Budget[Date]=J$7),Budget[Amount]))</f>
        <v>0</v>
      </c>
      <c r="K31" s="319">
        <f t="array" ref="K31">SUM(IF((Budget[Account Code]=$B31)*(Budget[Date]=K$7),Budget[Amount]))</f>
        <v>0</v>
      </c>
      <c r="L31" s="319">
        <f t="array" ref="L31">SUM(IF((Budget[Account Code]=$B31)*(Budget[Date]=L$7),Budget[Amount]))</f>
        <v>0</v>
      </c>
      <c r="M31" s="319">
        <f t="array" ref="M31">SUM(IF((Budget[Account Code]=$B31)*(Budget[Date]=M$7),Budget[Amount]))</f>
        <v>0</v>
      </c>
      <c r="N31" s="319">
        <f t="array" ref="N31">SUM(IF((Budget[Account Code]=$B31)*(Budget[Date]=N$7),Budget[Amount]))</f>
        <v>0</v>
      </c>
      <c r="O31" s="319">
        <f t="array" ref="O31">SUM(IF((Budget[Account Code]=$B31)*(Budget[Date]=O$7),Budget[Amount]))</f>
        <v>0</v>
      </c>
      <c r="P31" s="319">
        <f t="shared" si="2"/>
        <v>0</v>
      </c>
    </row>
    <row r="32" spans="1:16">
      <c r="A32" s="323" t="s">
        <v>819</v>
      </c>
      <c r="B32" s="317" t="s">
        <v>129</v>
      </c>
      <c r="C32" s="319">
        <f t="shared" si="0"/>
        <v>0</v>
      </c>
      <c r="D32" s="319">
        <f t="array" ref="D32">SUM(IF((Budget[Account Code]=$B32)*(Budget[Date]=D$7),Budget[Amount]))</f>
        <v>0</v>
      </c>
      <c r="E32" s="319">
        <f t="array" ref="E32">SUM(IF((Budget[Account Code]=$B32)*(Budget[Date]=E$7),Budget[Amount]))</f>
        <v>0</v>
      </c>
      <c r="F32" s="319">
        <f t="array" ref="F32">SUM(IF((Budget[Account Code]=$B32)*(Budget[Date]=F$7),Budget[Amount]))</f>
        <v>0</v>
      </c>
      <c r="G32" s="319">
        <f t="array" ref="G32">SUM(IF((Budget[Account Code]=$B32)*(Budget[Date]=G$7),Budget[Amount]))</f>
        <v>0</v>
      </c>
      <c r="H32" s="319">
        <f t="array" ref="H32">SUM(IF((Budget[Account Code]=$B32)*(Budget[Date]=H$7),Budget[Amount]))</f>
        <v>0</v>
      </c>
      <c r="I32" s="319">
        <f t="array" ref="I32">SUM(IF((Budget[Account Code]=$B32)*(Budget[Date]=I$7),Budget[Amount]))</f>
        <v>0</v>
      </c>
      <c r="J32" s="319">
        <f t="array" ref="J32">SUM(IF((Budget[Account Code]=$B32)*(Budget[Date]=J$7),Budget[Amount]))</f>
        <v>0</v>
      </c>
      <c r="K32" s="319">
        <f t="array" ref="K32">SUM(IF((Budget[Account Code]=$B32)*(Budget[Date]=K$7),Budget[Amount]))</f>
        <v>0</v>
      </c>
      <c r="L32" s="319">
        <f t="array" ref="L32">SUM(IF((Budget[Account Code]=$B32)*(Budget[Date]=L$7),Budget[Amount]))</f>
        <v>0</v>
      </c>
      <c r="M32" s="319">
        <f t="array" ref="M32">SUM(IF((Budget[Account Code]=$B32)*(Budget[Date]=M$7),Budget[Amount]))</f>
        <v>0</v>
      </c>
      <c r="N32" s="319">
        <f t="array" ref="N32">SUM(IF((Budget[Account Code]=$B32)*(Budget[Date]=N$7),Budget[Amount]))</f>
        <v>0</v>
      </c>
      <c r="O32" s="319">
        <f t="array" ref="O32">SUM(IF((Budget[Account Code]=$B32)*(Budget[Date]=O$7),Budget[Amount]))</f>
        <v>0</v>
      </c>
      <c r="P32" s="319">
        <f t="shared" si="2"/>
        <v>0</v>
      </c>
    </row>
    <row r="33" spans="1:16" s="171" customFormat="1">
      <c r="A33" s="321" t="s">
        <v>1000</v>
      </c>
      <c r="B33" s="317" t="s">
        <v>130</v>
      </c>
      <c r="C33" s="322">
        <f t="shared" si="0"/>
        <v>0</v>
      </c>
      <c r="D33" s="319">
        <f t="array" ref="D33">SUM(IF((Budget[Account Code]=$B33)*(Budget[Date]=D$7),Budget[Amount]))</f>
        <v>0</v>
      </c>
      <c r="E33" s="319">
        <f t="array" ref="E33">SUM(IF((Budget[Account Code]=$B33)*(Budget[Date]=E$7),Budget[Amount]))</f>
        <v>0</v>
      </c>
      <c r="F33" s="319">
        <f t="array" ref="F33">SUM(IF((Budget[Account Code]=$B33)*(Budget[Date]=F$7),Budget[Amount]))</f>
        <v>0</v>
      </c>
      <c r="G33" s="319">
        <f t="array" ref="G33">SUM(IF((Budget[Account Code]=$B33)*(Budget[Date]=G$7),Budget[Amount]))</f>
        <v>0</v>
      </c>
      <c r="H33" s="319">
        <f t="array" ref="H33">SUM(IF((Budget[Account Code]=$B33)*(Budget[Date]=H$7),Budget[Amount]))</f>
        <v>0</v>
      </c>
      <c r="I33" s="319">
        <f t="array" ref="I33">SUM(IF((Budget[Account Code]=$B33)*(Budget[Date]=I$7),Budget[Amount]))</f>
        <v>0</v>
      </c>
      <c r="J33" s="319">
        <f t="array" ref="J33">SUM(IF((Budget[Account Code]=$B33)*(Budget[Date]=J$7),Budget[Amount]))</f>
        <v>0</v>
      </c>
      <c r="K33" s="319">
        <f t="array" ref="K33">SUM(IF((Budget[Account Code]=$B33)*(Budget[Date]=K$7),Budget[Amount]))</f>
        <v>0</v>
      </c>
      <c r="L33" s="319">
        <f t="array" ref="L33">SUM(IF((Budget[Account Code]=$B33)*(Budget[Date]=L$7),Budget[Amount]))</f>
        <v>0</v>
      </c>
      <c r="M33" s="319">
        <f t="array" ref="M33">SUM(IF((Budget[Account Code]=$B33)*(Budget[Date]=M$7),Budget[Amount]))</f>
        <v>0</v>
      </c>
      <c r="N33" s="319">
        <f t="array" ref="N33">SUM(IF((Budget[Account Code]=$B33)*(Budget[Date]=N$7),Budget[Amount]))</f>
        <v>0</v>
      </c>
      <c r="O33" s="319">
        <f t="array" ref="O33">SUM(IF((Budget[Account Code]=$B33)*(Budget[Date]=O$7),Budget[Amount]))</f>
        <v>0</v>
      </c>
      <c r="P33" s="322">
        <f t="shared" si="2"/>
        <v>0</v>
      </c>
    </row>
    <row r="34" spans="1:16" s="171" customFormat="1">
      <c r="A34" s="321" t="s">
        <v>1001</v>
      </c>
      <c r="B34" s="317"/>
      <c r="C34" s="322">
        <f t="shared" si="0"/>
        <v>0</v>
      </c>
      <c r="D34" s="322">
        <f>SUM(D35:D40)</f>
        <v>0</v>
      </c>
      <c r="E34" s="322">
        <f t="shared" ref="E34:O34" si="8">SUM(E35:E40)</f>
        <v>0</v>
      </c>
      <c r="F34" s="322">
        <f t="shared" si="8"/>
        <v>0</v>
      </c>
      <c r="G34" s="322">
        <f t="shared" si="8"/>
        <v>0</v>
      </c>
      <c r="H34" s="322">
        <f t="shared" si="8"/>
        <v>0</v>
      </c>
      <c r="I34" s="322">
        <f t="shared" si="8"/>
        <v>0</v>
      </c>
      <c r="J34" s="322">
        <f t="shared" si="8"/>
        <v>0</v>
      </c>
      <c r="K34" s="322">
        <f t="shared" si="8"/>
        <v>0</v>
      </c>
      <c r="L34" s="322">
        <f t="shared" si="8"/>
        <v>0</v>
      </c>
      <c r="M34" s="322">
        <f t="shared" si="8"/>
        <v>0</v>
      </c>
      <c r="N34" s="322">
        <f t="shared" si="8"/>
        <v>0</v>
      </c>
      <c r="O34" s="322">
        <f t="shared" si="8"/>
        <v>0</v>
      </c>
      <c r="P34" s="322">
        <f t="shared" si="2"/>
        <v>0</v>
      </c>
    </row>
    <row r="35" spans="1:16" s="171" customFormat="1">
      <c r="A35" s="323" t="s">
        <v>186</v>
      </c>
      <c r="B35" s="317" t="s">
        <v>150</v>
      </c>
      <c r="C35" s="322">
        <f t="shared" si="0"/>
        <v>0</v>
      </c>
      <c r="D35" s="319">
        <f t="array" ref="D35">SUM(IF((Budget[Account Code]=$B35)*(Budget[Date]=D$7),Budget[Amount]))</f>
        <v>0</v>
      </c>
      <c r="E35" s="319">
        <f t="array" ref="E35">SUM(IF((Budget[Account Code]=$B35)*(Budget[Date]=E$7),Budget[Amount]))</f>
        <v>0</v>
      </c>
      <c r="F35" s="319">
        <f t="array" ref="F35">SUM(IF((Budget[Account Code]=$B35)*(Budget[Date]=F$7),Budget[Amount]))</f>
        <v>0</v>
      </c>
      <c r="G35" s="319">
        <f t="array" ref="G35">SUM(IF((Budget[Account Code]=$B35)*(Budget[Date]=G$7),Budget[Amount]))</f>
        <v>0</v>
      </c>
      <c r="H35" s="319">
        <f t="array" ref="H35">SUM(IF((Budget[Account Code]=$B35)*(Budget[Date]=H$7),Budget[Amount]))</f>
        <v>0</v>
      </c>
      <c r="I35" s="319">
        <f t="array" ref="I35">SUM(IF((Budget[Account Code]=$B35)*(Budget[Date]=I$7),Budget[Amount]))</f>
        <v>0</v>
      </c>
      <c r="J35" s="319">
        <f t="array" ref="J35">SUM(IF((Budget[Account Code]=$B35)*(Budget[Date]=J$7),Budget[Amount]))</f>
        <v>0</v>
      </c>
      <c r="K35" s="319">
        <f t="array" ref="K35">SUM(IF((Budget[Account Code]=$B35)*(Budget[Date]=K$7),Budget[Amount]))</f>
        <v>0</v>
      </c>
      <c r="L35" s="319">
        <f t="array" ref="L35">SUM(IF((Budget[Account Code]=$B35)*(Budget[Date]=L$7),Budget[Amount]))</f>
        <v>0</v>
      </c>
      <c r="M35" s="319">
        <f t="array" ref="M35">SUM(IF((Budget[Account Code]=$B35)*(Budget[Date]=M$7),Budget[Amount]))</f>
        <v>0</v>
      </c>
      <c r="N35" s="319">
        <f t="array" ref="N35">SUM(IF((Budget[Account Code]=$B35)*(Budget[Date]=N$7),Budget[Amount]))</f>
        <v>0</v>
      </c>
      <c r="O35" s="319">
        <f t="array" ref="O35">SUM(IF((Budget[Account Code]=$B35)*(Budget[Date]=O$7),Budget[Amount]))</f>
        <v>0</v>
      </c>
      <c r="P35" s="322">
        <f t="shared" si="2"/>
        <v>0</v>
      </c>
    </row>
    <row r="36" spans="1:16" s="171" customFormat="1">
      <c r="A36" s="323" t="s">
        <v>1003</v>
      </c>
      <c r="B36" s="317" t="s">
        <v>155</v>
      </c>
      <c r="C36" s="322">
        <f t="shared" si="0"/>
        <v>0</v>
      </c>
      <c r="D36" s="319">
        <f t="array" ref="D36">SUM(IF((Budget[Account Code]=$B36)*(Budget[Date]=D$7),Budget[Amount]))</f>
        <v>0</v>
      </c>
      <c r="E36" s="319">
        <f t="array" ref="E36">SUM(IF((Budget[Account Code]=$B36)*(Budget[Date]=E$7),Budget[Amount]))</f>
        <v>0</v>
      </c>
      <c r="F36" s="319">
        <f t="array" ref="F36">SUM(IF((Budget[Account Code]=$B36)*(Budget[Date]=F$7),Budget[Amount]))</f>
        <v>0</v>
      </c>
      <c r="G36" s="319">
        <f t="array" ref="G36">SUM(IF((Budget[Account Code]=$B36)*(Budget[Date]=G$7),Budget[Amount]))</f>
        <v>0</v>
      </c>
      <c r="H36" s="319">
        <f t="array" ref="H36">SUM(IF((Budget[Account Code]=$B36)*(Budget[Date]=H$7),Budget[Amount]))</f>
        <v>0</v>
      </c>
      <c r="I36" s="319">
        <f t="array" ref="I36">SUM(IF((Budget[Account Code]=$B36)*(Budget[Date]=I$7),Budget[Amount]))</f>
        <v>0</v>
      </c>
      <c r="J36" s="319">
        <f t="array" ref="J36">SUM(IF((Budget[Account Code]=$B36)*(Budget[Date]=J$7),Budget[Amount]))</f>
        <v>0</v>
      </c>
      <c r="K36" s="319">
        <f t="array" ref="K36">SUM(IF((Budget[Account Code]=$B36)*(Budget[Date]=K$7),Budget[Amount]))</f>
        <v>0</v>
      </c>
      <c r="L36" s="319">
        <f t="array" ref="L36">SUM(IF((Budget[Account Code]=$B36)*(Budget[Date]=L$7),Budget[Amount]))</f>
        <v>0</v>
      </c>
      <c r="M36" s="319">
        <f t="array" ref="M36">SUM(IF((Budget[Account Code]=$B36)*(Budget[Date]=M$7),Budget[Amount]))</f>
        <v>0</v>
      </c>
      <c r="N36" s="319">
        <f t="array" ref="N36">SUM(IF((Budget[Account Code]=$B36)*(Budget[Date]=N$7),Budget[Amount]))</f>
        <v>0</v>
      </c>
      <c r="O36" s="319">
        <f t="array" ref="O36">SUM(IF((Budget[Account Code]=$B36)*(Budget[Date]=O$7),Budget[Amount]))</f>
        <v>0</v>
      </c>
      <c r="P36" s="322">
        <f t="shared" si="2"/>
        <v>0</v>
      </c>
    </row>
    <row r="37" spans="1:16" s="171" customFormat="1">
      <c r="A37" s="323" t="s">
        <v>1004</v>
      </c>
      <c r="B37" s="317" t="s">
        <v>159</v>
      </c>
      <c r="C37" s="322">
        <f t="shared" si="0"/>
        <v>0</v>
      </c>
      <c r="D37" s="319">
        <f t="array" ref="D37">SUM(IF((Budget[Account Code]=$B37)*(Budget[Date]=D$7),Budget[Amount]))</f>
        <v>0</v>
      </c>
      <c r="E37" s="319">
        <f t="array" ref="E37">SUM(IF((Budget[Account Code]=$B37)*(Budget[Date]=E$7),Budget[Amount]))</f>
        <v>0</v>
      </c>
      <c r="F37" s="319">
        <f t="array" ref="F37">SUM(IF((Budget[Account Code]=$B37)*(Budget[Date]=F$7),Budget[Amount]))</f>
        <v>0</v>
      </c>
      <c r="G37" s="319">
        <f t="array" ref="G37">SUM(IF((Budget[Account Code]=$B37)*(Budget[Date]=G$7),Budget[Amount]))</f>
        <v>0</v>
      </c>
      <c r="H37" s="319">
        <f t="array" ref="H37">SUM(IF((Budget[Account Code]=$B37)*(Budget[Date]=H$7),Budget[Amount]))</f>
        <v>0</v>
      </c>
      <c r="I37" s="319">
        <f t="array" ref="I37">SUM(IF((Budget[Account Code]=$B37)*(Budget[Date]=I$7),Budget[Amount]))</f>
        <v>0</v>
      </c>
      <c r="J37" s="319">
        <f t="array" ref="J37">SUM(IF((Budget[Account Code]=$B37)*(Budget[Date]=J$7),Budget[Amount]))</f>
        <v>0</v>
      </c>
      <c r="K37" s="319">
        <f t="array" ref="K37">SUM(IF((Budget[Account Code]=$B37)*(Budget[Date]=K$7),Budget[Amount]))</f>
        <v>0</v>
      </c>
      <c r="L37" s="319">
        <f t="array" ref="L37">SUM(IF((Budget[Account Code]=$B37)*(Budget[Date]=L$7),Budget[Amount]))</f>
        <v>0</v>
      </c>
      <c r="M37" s="319">
        <f t="array" ref="M37">SUM(IF((Budget[Account Code]=$B37)*(Budget[Date]=M$7),Budget[Amount]))</f>
        <v>0</v>
      </c>
      <c r="N37" s="319">
        <f t="array" ref="N37">SUM(IF((Budget[Account Code]=$B37)*(Budget[Date]=N$7),Budget[Amount]))</f>
        <v>0</v>
      </c>
      <c r="O37" s="319">
        <f t="array" ref="O37">SUM(IF((Budget[Account Code]=$B37)*(Budget[Date]=O$7),Budget[Amount]))</f>
        <v>0</v>
      </c>
      <c r="P37" s="322">
        <f t="shared" si="2"/>
        <v>0</v>
      </c>
    </row>
    <row r="38" spans="1:16" s="171" customFormat="1">
      <c r="A38" s="323" t="s">
        <v>449</v>
      </c>
      <c r="B38" s="317" t="s">
        <v>160</v>
      </c>
      <c r="C38" s="322">
        <f t="shared" si="0"/>
        <v>0</v>
      </c>
      <c r="D38" s="319">
        <f t="array" ref="D38">SUM(IF((Budget[Account Code]=$B38)*(Budget[Date]=D$7),Budget[Amount]))</f>
        <v>0</v>
      </c>
      <c r="E38" s="319">
        <f t="array" ref="E38">SUM(IF((Budget[Account Code]=$B38)*(Budget[Date]=E$7),Budget[Amount]))</f>
        <v>0</v>
      </c>
      <c r="F38" s="319">
        <f t="array" ref="F38">SUM(IF((Budget[Account Code]=$B38)*(Budget[Date]=F$7),Budget[Amount]))</f>
        <v>0</v>
      </c>
      <c r="G38" s="319">
        <f t="array" ref="G38">SUM(IF((Budget[Account Code]=$B38)*(Budget[Date]=G$7),Budget[Amount]))</f>
        <v>0</v>
      </c>
      <c r="H38" s="319">
        <f t="array" ref="H38">SUM(IF((Budget[Account Code]=$B38)*(Budget[Date]=H$7),Budget[Amount]))</f>
        <v>0</v>
      </c>
      <c r="I38" s="319">
        <f t="array" ref="I38">SUM(IF((Budget[Account Code]=$B38)*(Budget[Date]=I$7),Budget[Amount]))</f>
        <v>0</v>
      </c>
      <c r="J38" s="319">
        <f t="array" ref="J38">SUM(IF((Budget[Account Code]=$B38)*(Budget[Date]=J$7),Budget[Amount]))</f>
        <v>0</v>
      </c>
      <c r="K38" s="319">
        <f t="array" ref="K38">SUM(IF((Budget[Account Code]=$B38)*(Budget[Date]=K$7),Budget[Amount]))</f>
        <v>0</v>
      </c>
      <c r="L38" s="319">
        <f t="array" ref="L38">SUM(IF((Budget[Account Code]=$B38)*(Budget[Date]=L$7),Budget[Amount]))</f>
        <v>0</v>
      </c>
      <c r="M38" s="319">
        <f t="array" ref="M38">SUM(IF((Budget[Account Code]=$B38)*(Budget[Date]=M$7),Budget[Amount]))</f>
        <v>0</v>
      </c>
      <c r="N38" s="319">
        <f t="array" ref="N38">SUM(IF((Budget[Account Code]=$B38)*(Budget[Date]=N$7),Budget[Amount]))</f>
        <v>0</v>
      </c>
      <c r="O38" s="319">
        <f t="array" ref="O38">SUM(IF((Budget[Account Code]=$B38)*(Budget[Date]=O$7),Budget[Amount]))</f>
        <v>0</v>
      </c>
      <c r="P38" s="322">
        <f t="shared" si="2"/>
        <v>0</v>
      </c>
    </row>
    <row r="39" spans="1:16" s="171" customFormat="1">
      <c r="A39" s="323" t="s">
        <v>1005</v>
      </c>
      <c r="B39" s="317" t="s">
        <v>352</v>
      </c>
      <c r="C39" s="322">
        <f t="shared" si="0"/>
        <v>0</v>
      </c>
      <c r="D39" s="319">
        <f t="array" ref="D39">SUM(IF((Budget[Account Code]=$B39)*(Budget[Date]=D$7),Budget[Amount]))</f>
        <v>0</v>
      </c>
      <c r="E39" s="319">
        <f t="array" ref="E39">SUM(IF((Budget[Account Code]=$B39)*(Budget[Date]=E$7),Budget[Amount]))</f>
        <v>0</v>
      </c>
      <c r="F39" s="319">
        <f t="array" ref="F39">SUM(IF((Budget[Account Code]=$B39)*(Budget[Date]=F$7),Budget[Amount]))</f>
        <v>0</v>
      </c>
      <c r="G39" s="319">
        <f t="array" ref="G39">SUM(IF((Budget[Account Code]=$B39)*(Budget[Date]=G$7),Budget[Amount]))</f>
        <v>0</v>
      </c>
      <c r="H39" s="319">
        <f t="array" ref="H39">SUM(IF((Budget[Account Code]=$B39)*(Budget[Date]=H$7),Budget[Amount]))</f>
        <v>0</v>
      </c>
      <c r="I39" s="319">
        <f t="array" ref="I39">SUM(IF((Budget[Account Code]=$B39)*(Budget[Date]=I$7),Budget[Amount]))</f>
        <v>0</v>
      </c>
      <c r="J39" s="319">
        <f t="array" ref="J39">SUM(IF((Budget[Account Code]=$B39)*(Budget[Date]=J$7),Budget[Amount]))</f>
        <v>0</v>
      </c>
      <c r="K39" s="319">
        <f t="array" ref="K39">SUM(IF((Budget[Account Code]=$B39)*(Budget[Date]=K$7),Budget[Amount]))</f>
        <v>0</v>
      </c>
      <c r="L39" s="319">
        <f t="array" ref="L39">SUM(IF((Budget[Account Code]=$B39)*(Budget[Date]=L$7),Budget[Amount]))</f>
        <v>0</v>
      </c>
      <c r="M39" s="319">
        <f t="array" ref="M39">SUM(IF((Budget[Account Code]=$B39)*(Budget[Date]=M$7),Budget[Amount]))</f>
        <v>0</v>
      </c>
      <c r="N39" s="319">
        <f t="array" ref="N39">SUM(IF((Budget[Account Code]=$B39)*(Budget[Date]=N$7),Budget[Amount]))</f>
        <v>0</v>
      </c>
      <c r="O39" s="319">
        <f t="array" ref="O39">SUM(IF((Budget[Account Code]=$B39)*(Budget[Date]=O$7),Budget[Amount]))</f>
        <v>0</v>
      </c>
      <c r="P39" s="322">
        <f t="shared" si="2"/>
        <v>0</v>
      </c>
    </row>
    <row r="40" spans="1:16" s="171" customFormat="1">
      <c r="A40" s="323" t="s">
        <v>1006</v>
      </c>
      <c r="B40" s="317" t="s">
        <v>158</v>
      </c>
      <c r="C40" s="322">
        <f t="shared" si="0"/>
        <v>0</v>
      </c>
      <c r="D40" s="319">
        <f t="array" ref="D40">SUM(IF((Budget[Account Code]=$B40)*(Budget[Date]=D$7),Budget[Amount]))</f>
        <v>0</v>
      </c>
      <c r="E40" s="319">
        <f t="array" ref="E40">SUM(IF((Budget[Account Code]=$B40)*(Budget[Date]=E$7),Budget[Amount]))</f>
        <v>0</v>
      </c>
      <c r="F40" s="319">
        <f t="array" ref="F40">SUM(IF((Budget[Account Code]=$B40)*(Budget[Date]=F$7),Budget[Amount]))</f>
        <v>0</v>
      </c>
      <c r="G40" s="319">
        <f t="array" ref="G40">SUM(IF((Budget[Account Code]=$B40)*(Budget[Date]=G$7),Budget[Amount]))</f>
        <v>0</v>
      </c>
      <c r="H40" s="319">
        <f t="array" ref="H40">SUM(IF((Budget[Account Code]=$B40)*(Budget[Date]=H$7),Budget[Amount]))</f>
        <v>0</v>
      </c>
      <c r="I40" s="319">
        <f t="array" ref="I40">SUM(IF((Budget[Account Code]=$B40)*(Budget[Date]=I$7),Budget[Amount]))</f>
        <v>0</v>
      </c>
      <c r="J40" s="319">
        <f t="array" ref="J40">SUM(IF((Budget[Account Code]=$B40)*(Budget[Date]=J$7),Budget[Amount]))</f>
        <v>0</v>
      </c>
      <c r="K40" s="319">
        <f t="array" ref="K40">SUM(IF((Budget[Account Code]=$B40)*(Budget[Date]=K$7),Budget[Amount]))</f>
        <v>0</v>
      </c>
      <c r="L40" s="319">
        <f t="array" ref="L40">SUM(IF((Budget[Account Code]=$B40)*(Budget[Date]=L$7),Budget[Amount]))</f>
        <v>0</v>
      </c>
      <c r="M40" s="319">
        <f t="array" ref="M40">SUM(IF((Budget[Account Code]=$B40)*(Budget[Date]=M$7),Budget[Amount]))</f>
        <v>0</v>
      </c>
      <c r="N40" s="319">
        <f t="array" ref="N40">SUM(IF((Budget[Account Code]=$B40)*(Budget[Date]=N$7),Budget[Amount]))</f>
        <v>0</v>
      </c>
      <c r="O40" s="319">
        <f t="array" ref="O40">SUM(IF((Budget[Account Code]=$B40)*(Budget[Date]=O$7),Budget[Amount]))</f>
        <v>0</v>
      </c>
      <c r="P40" s="322">
        <f t="shared" si="2"/>
        <v>0</v>
      </c>
    </row>
    <row r="41" spans="1:16" s="171" customFormat="1">
      <c r="A41" s="321" t="s">
        <v>1002</v>
      </c>
      <c r="B41" s="317"/>
      <c r="C41" s="322">
        <f t="shared" si="0"/>
        <v>0</v>
      </c>
      <c r="D41" s="319">
        <f t="array" ref="D41">SUM(IF((Budget[Account Code]=$B41)*(Budget[Date]=D$7),Budget[Amount]))</f>
        <v>0</v>
      </c>
      <c r="E41" s="319">
        <f t="array" ref="E41">SUM(IF((Budget[Account Code]=$B41)*(Budget[Date]=E$7),Budget[Amount]))</f>
        <v>0</v>
      </c>
      <c r="F41" s="319">
        <f t="array" ref="F41">SUM(IF((Budget[Account Code]=$B41)*(Budget[Date]=F$7),Budget[Amount]))</f>
        <v>0</v>
      </c>
      <c r="G41" s="319">
        <f t="array" ref="G41">SUM(IF((Budget[Account Code]=$B41)*(Budget[Date]=G$7),Budget[Amount]))</f>
        <v>0</v>
      </c>
      <c r="H41" s="319">
        <f t="array" ref="H41">SUM(IF((Budget[Account Code]=$B41)*(Budget[Date]=H$7),Budget[Amount]))</f>
        <v>0</v>
      </c>
      <c r="I41" s="319">
        <f t="array" ref="I41">SUM(IF((Budget[Account Code]=$B41)*(Budget[Date]=I$7),Budget[Amount]))</f>
        <v>0</v>
      </c>
      <c r="J41" s="319">
        <f t="array" ref="J41">SUM(IF((Budget[Account Code]=$B41)*(Budget[Date]=J$7),Budget[Amount]))</f>
        <v>0</v>
      </c>
      <c r="K41" s="319">
        <f t="array" ref="K41">SUM(IF((Budget[Account Code]=$B41)*(Budget[Date]=K$7),Budget[Amount]))</f>
        <v>0</v>
      </c>
      <c r="L41" s="319">
        <f t="array" ref="L41">SUM(IF((Budget[Account Code]=$B41)*(Budget[Date]=L$7),Budget[Amount]))</f>
        <v>0</v>
      </c>
      <c r="M41" s="319">
        <f t="array" ref="M41">SUM(IF((Budget[Account Code]=$B41)*(Budget[Date]=M$7),Budget[Amount]))</f>
        <v>0</v>
      </c>
      <c r="N41" s="319">
        <f t="array" ref="N41">SUM(IF((Budget[Account Code]=$B41)*(Budget[Date]=N$7),Budget[Amount]))</f>
        <v>0</v>
      </c>
      <c r="O41" s="319">
        <f t="array" ref="O41">SUM(IF((Budget[Account Code]=$B41)*(Budget[Date]=O$7),Budget[Amount]))</f>
        <v>0</v>
      </c>
      <c r="P41" s="322">
        <f t="shared" si="2"/>
        <v>0</v>
      </c>
    </row>
    <row r="42" spans="1:16">
      <c r="A42" s="323" t="s">
        <v>869</v>
      </c>
      <c r="B42" s="317"/>
      <c r="C42" s="319">
        <f t="shared" si="0"/>
        <v>0</v>
      </c>
      <c r="D42" s="319">
        <f t="array" ref="D42">SUM(IF((Budget[Account Code]=$B42)*(Budget[Date]=D$7),Budget[Amount]))</f>
        <v>0</v>
      </c>
      <c r="E42" s="319">
        <f t="array" ref="E42">SUM(IF((Budget[Account Code]=$B42)*(Budget[Date]=E$7),Budget[Amount]))</f>
        <v>0</v>
      </c>
      <c r="F42" s="319">
        <f t="array" ref="F42">SUM(IF((Budget[Account Code]=$B42)*(Budget[Date]=F$7),Budget[Amount]))</f>
        <v>0</v>
      </c>
      <c r="G42" s="319">
        <f t="array" ref="G42">SUM(IF((Budget[Account Code]=$B42)*(Budget[Date]=G$7),Budget[Amount]))</f>
        <v>0</v>
      </c>
      <c r="H42" s="319">
        <f t="array" ref="H42">SUM(IF((Budget[Account Code]=$B42)*(Budget[Date]=H$7),Budget[Amount]))</f>
        <v>0</v>
      </c>
      <c r="I42" s="319">
        <f t="array" ref="I42">SUM(IF((Budget[Account Code]=$B42)*(Budget[Date]=I$7),Budget[Amount]))</f>
        <v>0</v>
      </c>
      <c r="J42" s="319">
        <f t="array" ref="J42">SUM(IF((Budget[Account Code]=$B42)*(Budget[Date]=J$7),Budget[Amount]))</f>
        <v>0</v>
      </c>
      <c r="K42" s="319">
        <f t="array" ref="K42">SUM(IF((Budget[Account Code]=$B42)*(Budget[Date]=K$7),Budget[Amount]))</f>
        <v>0</v>
      </c>
      <c r="L42" s="319">
        <f t="array" ref="L42">SUM(IF((Budget[Account Code]=$B42)*(Budget[Date]=L$7),Budget[Amount]))</f>
        <v>0</v>
      </c>
      <c r="M42" s="319">
        <f t="array" ref="M42">SUM(IF((Budget[Account Code]=$B42)*(Budget[Date]=M$7),Budget[Amount]))</f>
        <v>0</v>
      </c>
      <c r="N42" s="319">
        <f t="array" ref="N42">SUM(IF((Budget[Account Code]=$B42)*(Budget[Date]=N$7),Budget[Amount]))</f>
        <v>0</v>
      </c>
      <c r="O42" s="319">
        <f t="array" ref="O42">SUM(IF((Budget[Account Code]=$B42)*(Budget[Date]=O$7),Budget[Amount]))</f>
        <v>0</v>
      </c>
      <c r="P42" s="319">
        <f t="shared" si="2"/>
        <v>0</v>
      </c>
    </row>
    <row r="43" spans="1:16">
      <c r="A43" s="320" t="s">
        <v>870</v>
      </c>
      <c r="B43" s="317"/>
      <c r="C43" s="319">
        <f t="shared" si="0"/>
        <v>0</v>
      </c>
      <c r="D43" s="319">
        <f t="shared" ref="D43:O43" si="9">D25+D26+D27+D28+D29+D30+D33+D34+D41</f>
        <v>0</v>
      </c>
      <c r="E43" s="319">
        <f t="shared" si="9"/>
        <v>0</v>
      </c>
      <c r="F43" s="319">
        <f t="shared" si="9"/>
        <v>0</v>
      </c>
      <c r="G43" s="319">
        <f t="shared" si="9"/>
        <v>0</v>
      </c>
      <c r="H43" s="319">
        <f t="shared" si="9"/>
        <v>0</v>
      </c>
      <c r="I43" s="319">
        <f t="shared" si="9"/>
        <v>0</v>
      </c>
      <c r="J43" s="319">
        <f t="shared" si="9"/>
        <v>0</v>
      </c>
      <c r="K43" s="319">
        <f t="shared" si="9"/>
        <v>0</v>
      </c>
      <c r="L43" s="319">
        <f t="shared" si="9"/>
        <v>0</v>
      </c>
      <c r="M43" s="319">
        <f t="shared" si="9"/>
        <v>0</v>
      </c>
      <c r="N43" s="319">
        <f t="shared" si="9"/>
        <v>0</v>
      </c>
      <c r="O43" s="319">
        <f t="shared" si="9"/>
        <v>0</v>
      </c>
      <c r="P43" s="319">
        <f t="shared" si="2"/>
        <v>0</v>
      </c>
    </row>
    <row r="44" spans="1:16">
      <c r="A44" s="322" t="s">
        <v>813</v>
      </c>
      <c r="B44" s="324"/>
      <c r="C44" s="322">
        <f t="shared" si="0"/>
        <v>0</v>
      </c>
      <c r="D44" s="322">
        <f t="shared" ref="D44:O44" si="10">D23+D43</f>
        <v>0</v>
      </c>
      <c r="E44" s="322">
        <f t="shared" si="10"/>
        <v>0</v>
      </c>
      <c r="F44" s="322">
        <f t="shared" si="10"/>
        <v>0</v>
      </c>
      <c r="G44" s="322">
        <f t="shared" si="10"/>
        <v>0</v>
      </c>
      <c r="H44" s="322">
        <f t="shared" si="10"/>
        <v>0</v>
      </c>
      <c r="I44" s="322">
        <f t="shared" si="10"/>
        <v>0</v>
      </c>
      <c r="J44" s="322">
        <f t="shared" si="10"/>
        <v>0</v>
      </c>
      <c r="K44" s="322">
        <f t="shared" si="10"/>
        <v>0</v>
      </c>
      <c r="L44" s="322">
        <f t="shared" si="10"/>
        <v>0</v>
      </c>
      <c r="M44" s="322">
        <f t="shared" si="10"/>
        <v>0</v>
      </c>
      <c r="N44" s="322">
        <f t="shared" si="10"/>
        <v>0</v>
      </c>
      <c r="O44" s="322">
        <f t="shared" si="10"/>
        <v>0</v>
      </c>
      <c r="P44" s="322">
        <f t="shared" si="2"/>
        <v>0</v>
      </c>
    </row>
    <row r="45" spans="1:16">
      <c r="A45" s="320" t="s">
        <v>871</v>
      </c>
      <c r="B45" s="317"/>
      <c r="C45" s="319"/>
      <c r="D45" s="319"/>
      <c r="E45" s="319"/>
      <c r="F45" s="319"/>
      <c r="G45" s="319"/>
      <c r="H45" s="319"/>
      <c r="I45" s="319"/>
      <c r="J45" s="319"/>
      <c r="K45" s="319"/>
      <c r="L45" s="319"/>
      <c r="M45" s="319"/>
      <c r="N45" s="319"/>
      <c r="O45" s="319"/>
      <c r="P45" s="319">
        <f t="shared" si="2"/>
        <v>0</v>
      </c>
    </row>
    <row r="46" spans="1:16">
      <c r="A46" s="320" t="s">
        <v>872</v>
      </c>
      <c r="B46" s="317"/>
      <c r="C46" s="319"/>
      <c r="D46" s="319"/>
      <c r="E46" s="319"/>
      <c r="F46" s="319"/>
      <c r="G46" s="319"/>
      <c r="H46" s="319"/>
      <c r="I46" s="319"/>
      <c r="J46" s="319"/>
      <c r="K46" s="319"/>
      <c r="L46" s="319"/>
      <c r="M46" s="319"/>
      <c r="N46" s="319"/>
      <c r="O46" s="319"/>
      <c r="P46" s="319">
        <f t="shared" si="2"/>
        <v>0</v>
      </c>
    </row>
    <row r="47" spans="1:16" s="171" customFormat="1">
      <c r="A47" s="320" t="s">
        <v>873</v>
      </c>
      <c r="B47" s="317"/>
      <c r="C47" s="322">
        <f t="shared" ref="C47:C75" si="11">SUM(D47:O47)</f>
        <v>0</v>
      </c>
      <c r="D47" s="322">
        <f t="shared" ref="D47:O47" si="12">D48+D49</f>
        <v>0</v>
      </c>
      <c r="E47" s="322">
        <f t="shared" si="12"/>
        <v>0</v>
      </c>
      <c r="F47" s="322">
        <f t="shared" si="12"/>
        <v>0</v>
      </c>
      <c r="G47" s="322">
        <f t="shared" si="12"/>
        <v>0</v>
      </c>
      <c r="H47" s="322">
        <f t="shared" si="12"/>
        <v>0</v>
      </c>
      <c r="I47" s="322">
        <f t="shared" si="12"/>
        <v>0</v>
      </c>
      <c r="J47" s="322">
        <f t="shared" si="12"/>
        <v>0</v>
      </c>
      <c r="K47" s="322">
        <f t="shared" si="12"/>
        <v>0</v>
      </c>
      <c r="L47" s="322">
        <f t="shared" si="12"/>
        <v>0</v>
      </c>
      <c r="M47" s="322">
        <f t="shared" si="12"/>
        <v>0</v>
      </c>
      <c r="N47" s="322">
        <f t="shared" si="12"/>
        <v>0</v>
      </c>
      <c r="O47" s="322">
        <f t="shared" si="12"/>
        <v>0</v>
      </c>
      <c r="P47" s="322">
        <f t="shared" si="2"/>
        <v>0</v>
      </c>
    </row>
    <row r="48" spans="1:16">
      <c r="A48" s="323" t="s">
        <v>874</v>
      </c>
      <c r="B48" s="317" t="s">
        <v>162</v>
      </c>
      <c r="C48" s="319">
        <f t="shared" si="11"/>
        <v>0</v>
      </c>
      <c r="D48" s="319">
        <f t="array" ref="D48">SUM(IF((Budget[Account Code]=$B48)*(Budget[Date]=D$7),Budget[Amount]))</f>
        <v>0</v>
      </c>
      <c r="E48" s="319">
        <f t="array" ref="E48">SUM(IF((Budget[Account Code]=$B48)*(Budget[Date]=E$7),Budget[Amount]))</f>
        <v>0</v>
      </c>
      <c r="F48" s="319">
        <f t="array" ref="F48">SUM(IF((Budget[Account Code]=$B48)*(Budget[Date]=F$7),Budget[Amount]))</f>
        <v>0</v>
      </c>
      <c r="G48" s="319">
        <f t="array" ref="G48">SUM(IF((Budget[Account Code]=$B48)*(Budget[Date]=G$7),Budget[Amount]))</f>
        <v>0</v>
      </c>
      <c r="H48" s="319">
        <f t="array" ref="H48">SUM(IF((Budget[Account Code]=$B48)*(Budget[Date]=H$7),Budget[Amount]))</f>
        <v>0</v>
      </c>
      <c r="I48" s="319">
        <f t="array" ref="I48">SUM(IF((Budget[Account Code]=$B48)*(Budget[Date]=I$7),Budget[Amount]))</f>
        <v>0</v>
      </c>
      <c r="J48" s="319">
        <f t="array" ref="J48">SUM(IF((Budget[Account Code]=$B48)*(Budget[Date]=J$7),Budget[Amount]))</f>
        <v>0</v>
      </c>
      <c r="K48" s="319">
        <f t="array" ref="K48">SUM(IF((Budget[Account Code]=$B48)*(Budget[Date]=K$7),Budget[Amount]))</f>
        <v>0</v>
      </c>
      <c r="L48" s="319">
        <f t="array" ref="L48">SUM(IF((Budget[Account Code]=$B48)*(Budget[Date]=L$7),Budget[Amount]))</f>
        <v>0</v>
      </c>
      <c r="M48" s="319">
        <f t="array" ref="M48">SUM(IF((Budget[Account Code]=$B48)*(Budget[Date]=M$7),Budget[Amount]))</f>
        <v>0</v>
      </c>
      <c r="N48" s="319">
        <f t="array" ref="N48">SUM(IF((Budget[Account Code]=$B48)*(Budget[Date]=N$7),Budget[Amount]))</f>
        <v>0</v>
      </c>
      <c r="O48" s="319">
        <f t="array" ref="O48">SUM(IF((Budget[Account Code]=$B48)*(Budget[Date]=O$7),Budget[Amount]))</f>
        <v>0</v>
      </c>
      <c r="P48" s="319">
        <f t="shared" si="2"/>
        <v>0</v>
      </c>
    </row>
    <row r="49" spans="1:16">
      <c r="A49" s="323" t="s">
        <v>875</v>
      </c>
      <c r="B49" s="317" t="s">
        <v>163</v>
      </c>
      <c r="C49" s="319">
        <f t="shared" si="11"/>
        <v>0</v>
      </c>
      <c r="D49" s="319">
        <f t="array" ref="D49">SUM(IF((Budget[Account Code]=$B49)*(Budget[Date]=D$7),Budget[Amount]))</f>
        <v>0</v>
      </c>
      <c r="E49" s="319">
        <f t="array" ref="E49">SUM(IF((Budget[Account Code]=$B49)*(Budget[Date]=E$7),Budget[Amount]))</f>
        <v>0</v>
      </c>
      <c r="F49" s="319">
        <f t="array" ref="F49">SUM(IF((Budget[Account Code]=$B49)*(Budget[Date]=F$7),Budget[Amount]))</f>
        <v>0</v>
      </c>
      <c r="G49" s="319">
        <f t="array" ref="G49">SUM(IF((Budget[Account Code]=$B49)*(Budget[Date]=G$7),Budget[Amount]))</f>
        <v>0</v>
      </c>
      <c r="H49" s="319">
        <f t="array" ref="H49">SUM(IF((Budget[Account Code]=$B49)*(Budget[Date]=H$7),Budget[Amount]))</f>
        <v>0</v>
      </c>
      <c r="I49" s="319">
        <f t="array" ref="I49">SUM(IF((Budget[Account Code]=$B49)*(Budget[Date]=I$7),Budget[Amount]))</f>
        <v>0</v>
      </c>
      <c r="J49" s="319">
        <f t="array" ref="J49">SUM(IF((Budget[Account Code]=$B49)*(Budget[Date]=J$7),Budget[Amount]))</f>
        <v>0</v>
      </c>
      <c r="K49" s="319">
        <f t="array" ref="K49">SUM(IF((Budget[Account Code]=$B49)*(Budget[Date]=K$7),Budget[Amount]))</f>
        <v>0</v>
      </c>
      <c r="L49" s="319">
        <f t="array" ref="L49">SUM(IF((Budget[Account Code]=$B49)*(Budget[Date]=L$7),Budget[Amount]))</f>
        <v>0</v>
      </c>
      <c r="M49" s="319">
        <f t="array" ref="M49">SUM(IF((Budget[Account Code]=$B49)*(Budget[Date]=M$7),Budget[Amount]))</f>
        <v>0</v>
      </c>
      <c r="N49" s="319">
        <f t="array" ref="N49">SUM(IF((Budget[Account Code]=$B49)*(Budget[Date]=N$7),Budget[Amount]))</f>
        <v>0</v>
      </c>
      <c r="O49" s="319">
        <f t="array" ref="O49">SUM(IF((Budget[Account Code]=$B49)*(Budget[Date]=O$7),Budget[Amount]))</f>
        <v>0</v>
      </c>
      <c r="P49" s="319">
        <f t="shared" si="2"/>
        <v>0</v>
      </c>
    </row>
    <row r="50" spans="1:16" s="171" customFormat="1">
      <c r="A50" s="320" t="s">
        <v>876</v>
      </c>
      <c r="B50" s="317"/>
      <c r="C50" s="322">
        <f t="shared" si="11"/>
        <v>0</v>
      </c>
      <c r="D50" s="322">
        <f>SUM(D51:D64)</f>
        <v>0</v>
      </c>
      <c r="E50" s="322">
        <f t="shared" ref="E50:O50" si="13">SUM(E51:E64)</f>
        <v>0</v>
      </c>
      <c r="F50" s="322">
        <f t="shared" si="13"/>
        <v>0</v>
      </c>
      <c r="G50" s="322">
        <f t="shared" si="13"/>
        <v>0</v>
      </c>
      <c r="H50" s="322">
        <f t="shared" si="13"/>
        <v>0</v>
      </c>
      <c r="I50" s="322">
        <f t="shared" si="13"/>
        <v>0</v>
      </c>
      <c r="J50" s="322">
        <f t="shared" si="13"/>
        <v>0</v>
      </c>
      <c r="K50" s="322">
        <f t="shared" si="13"/>
        <v>0</v>
      </c>
      <c r="L50" s="322">
        <f t="shared" si="13"/>
        <v>0</v>
      </c>
      <c r="M50" s="322">
        <f t="shared" si="13"/>
        <v>0</v>
      </c>
      <c r="N50" s="322">
        <f t="shared" si="13"/>
        <v>0</v>
      </c>
      <c r="O50" s="322">
        <f t="shared" si="13"/>
        <v>0</v>
      </c>
      <c r="P50" s="322">
        <f t="shared" si="2"/>
        <v>0</v>
      </c>
    </row>
    <row r="51" spans="1:16">
      <c r="A51" s="325" t="s">
        <v>877</v>
      </c>
      <c r="B51" s="317" t="s">
        <v>164</v>
      </c>
      <c r="C51" s="319">
        <f t="shared" si="11"/>
        <v>0</v>
      </c>
      <c r="D51" s="319">
        <f t="array" ref="D51">SUM(IF((Budget[Account Code]=$B51)*(Budget[Date]=D$7),Budget[Amount]))</f>
        <v>0</v>
      </c>
      <c r="E51" s="319">
        <f t="array" ref="E51">SUM(IF((Budget[Account Code]=$B51)*(Budget[Date]=E$7),Budget[Amount]))</f>
        <v>0</v>
      </c>
      <c r="F51" s="319">
        <f t="array" ref="F51">SUM(IF((Budget[Account Code]=$B51)*(Budget[Date]=F$7),Budget[Amount]))</f>
        <v>0</v>
      </c>
      <c r="G51" s="319">
        <f t="array" ref="G51">SUM(IF((Budget[Account Code]=$B51)*(Budget[Date]=G$7),Budget[Amount]))</f>
        <v>0</v>
      </c>
      <c r="H51" s="319">
        <f t="array" ref="H51">SUM(IF((Budget[Account Code]=$B51)*(Budget[Date]=H$7),Budget[Amount]))</f>
        <v>0</v>
      </c>
      <c r="I51" s="319">
        <f t="array" ref="I51">SUM(IF((Budget[Account Code]=$B51)*(Budget[Date]=I$7),Budget[Amount]))</f>
        <v>0</v>
      </c>
      <c r="J51" s="319">
        <f t="array" ref="J51">SUM(IF((Budget[Account Code]=$B51)*(Budget[Date]=J$7),Budget[Amount]))</f>
        <v>0</v>
      </c>
      <c r="K51" s="319">
        <f t="array" ref="K51">SUM(IF((Budget[Account Code]=$B51)*(Budget[Date]=K$7),Budget[Amount]))</f>
        <v>0</v>
      </c>
      <c r="L51" s="319">
        <f t="array" ref="L51">SUM(IF((Budget[Account Code]=$B51)*(Budget[Date]=L$7),Budget[Amount]))</f>
        <v>0</v>
      </c>
      <c r="M51" s="319">
        <f t="array" ref="M51">SUM(IF((Budget[Account Code]=$B51)*(Budget[Date]=M$7),Budget[Amount]))</f>
        <v>0</v>
      </c>
      <c r="N51" s="319">
        <f t="array" ref="N51">SUM(IF((Budget[Account Code]=$B51)*(Budget[Date]=N$7),Budget[Amount]))</f>
        <v>0</v>
      </c>
      <c r="O51" s="319">
        <f t="array" ref="O51">SUM(IF((Budget[Account Code]=$B51)*(Budget[Date]=O$7),Budget[Amount]))</f>
        <v>0</v>
      </c>
      <c r="P51" s="319">
        <f t="shared" si="2"/>
        <v>0</v>
      </c>
    </row>
    <row r="52" spans="1:16">
      <c r="A52" s="325" t="s">
        <v>878</v>
      </c>
      <c r="B52" s="317" t="s">
        <v>165</v>
      </c>
      <c r="C52" s="319">
        <f t="shared" si="11"/>
        <v>0</v>
      </c>
      <c r="D52" s="319">
        <f t="array" ref="D52">SUM(IF((Budget[Account Code]=$B52)*(Budget[Date]=D$7),Budget[Amount]))</f>
        <v>0</v>
      </c>
      <c r="E52" s="319">
        <f t="array" ref="E52">SUM(IF((Budget[Account Code]=$B52)*(Budget[Date]=E$7),Budget[Amount]))</f>
        <v>0</v>
      </c>
      <c r="F52" s="319">
        <f t="array" ref="F52">SUM(IF((Budget[Account Code]=$B52)*(Budget[Date]=F$7),Budget[Amount]))</f>
        <v>0</v>
      </c>
      <c r="G52" s="319">
        <f t="array" ref="G52">SUM(IF((Budget[Account Code]=$B52)*(Budget[Date]=G$7),Budget[Amount]))</f>
        <v>0</v>
      </c>
      <c r="H52" s="319">
        <f t="array" ref="H52">SUM(IF((Budget[Account Code]=$B52)*(Budget[Date]=H$7),Budget[Amount]))</f>
        <v>0</v>
      </c>
      <c r="I52" s="319">
        <f t="array" ref="I52">SUM(IF((Budget[Account Code]=$B52)*(Budget[Date]=I$7),Budget[Amount]))</f>
        <v>0</v>
      </c>
      <c r="J52" s="319">
        <f t="array" ref="J52">SUM(IF((Budget[Account Code]=$B52)*(Budget[Date]=J$7),Budget[Amount]))</f>
        <v>0</v>
      </c>
      <c r="K52" s="319">
        <f t="array" ref="K52">SUM(IF((Budget[Account Code]=$B52)*(Budget[Date]=K$7),Budget[Amount]))</f>
        <v>0</v>
      </c>
      <c r="L52" s="319">
        <f t="array" ref="L52">SUM(IF((Budget[Account Code]=$B52)*(Budget[Date]=L$7),Budget[Amount]))</f>
        <v>0</v>
      </c>
      <c r="M52" s="319">
        <f t="array" ref="M52">SUM(IF((Budget[Account Code]=$B52)*(Budget[Date]=M$7),Budget[Amount]))</f>
        <v>0</v>
      </c>
      <c r="N52" s="319">
        <f t="array" ref="N52">SUM(IF((Budget[Account Code]=$B52)*(Budget[Date]=N$7),Budget[Amount]))</f>
        <v>0</v>
      </c>
      <c r="O52" s="319">
        <f t="array" ref="O52">SUM(IF((Budget[Account Code]=$B52)*(Budget[Date]=O$7),Budget[Amount]))</f>
        <v>0</v>
      </c>
      <c r="P52" s="319">
        <f t="shared" si="2"/>
        <v>0</v>
      </c>
    </row>
    <row r="53" spans="1:16">
      <c r="A53" s="325" t="s">
        <v>879</v>
      </c>
      <c r="B53" s="317" t="s">
        <v>166</v>
      </c>
      <c r="C53" s="319">
        <f t="shared" si="11"/>
        <v>0</v>
      </c>
      <c r="D53" s="319">
        <f t="array" ref="D53">SUM(IF((Budget[Account Code]=$B53)*(Budget[Date]=D$7),Budget[Amount]))</f>
        <v>0</v>
      </c>
      <c r="E53" s="319">
        <f t="array" ref="E53">SUM(IF((Budget[Account Code]=$B53)*(Budget[Date]=E$7),Budget[Amount]))</f>
        <v>0</v>
      </c>
      <c r="F53" s="319">
        <f t="array" ref="F53">SUM(IF((Budget[Account Code]=$B53)*(Budget[Date]=F$7),Budget[Amount]))</f>
        <v>0</v>
      </c>
      <c r="G53" s="319">
        <f t="array" ref="G53">SUM(IF((Budget[Account Code]=$B53)*(Budget[Date]=G$7),Budget[Amount]))</f>
        <v>0</v>
      </c>
      <c r="H53" s="319">
        <f t="array" ref="H53">SUM(IF((Budget[Account Code]=$B53)*(Budget[Date]=H$7),Budget[Amount]))</f>
        <v>0</v>
      </c>
      <c r="I53" s="319">
        <f t="array" ref="I53">SUM(IF((Budget[Account Code]=$B53)*(Budget[Date]=I$7),Budget[Amount]))</f>
        <v>0</v>
      </c>
      <c r="J53" s="319">
        <f t="array" ref="J53">SUM(IF((Budget[Account Code]=$B53)*(Budget[Date]=J$7),Budget[Amount]))</f>
        <v>0</v>
      </c>
      <c r="K53" s="319">
        <f t="array" ref="K53">SUM(IF((Budget[Account Code]=$B53)*(Budget[Date]=K$7),Budget[Amount]))</f>
        <v>0</v>
      </c>
      <c r="L53" s="319">
        <f t="array" ref="L53">SUM(IF((Budget[Account Code]=$B53)*(Budget[Date]=L$7),Budget[Amount]))</f>
        <v>0</v>
      </c>
      <c r="M53" s="319">
        <f t="array" ref="M53">SUM(IF((Budget[Account Code]=$B53)*(Budget[Date]=M$7),Budget[Amount]))</f>
        <v>0</v>
      </c>
      <c r="N53" s="319">
        <f t="array" ref="N53">SUM(IF((Budget[Account Code]=$B53)*(Budget[Date]=N$7),Budget[Amount]))</f>
        <v>0</v>
      </c>
      <c r="O53" s="319">
        <f t="array" ref="O53">SUM(IF((Budget[Account Code]=$B53)*(Budget[Date]=O$7),Budget[Amount]))</f>
        <v>0</v>
      </c>
      <c r="P53" s="319">
        <f t="shared" si="2"/>
        <v>0</v>
      </c>
    </row>
    <row r="54" spans="1:16">
      <c r="A54" s="325" t="s">
        <v>880</v>
      </c>
      <c r="B54" s="317" t="s">
        <v>167</v>
      </c>
      <c r="C54" s="319">
        <f t="shared" si="11"/>
        <v>0</v>
      </c>
      <c r="D54" s="319">
        <f t="array" ref="D54">SUM(IF((Budget[Account Code]=$B54)*(Budget[Date]=D$7),Budget[Amount]))</f>
        <v>0</v>
      </c>
      <c r="E54" s="319">
        <f t="array" ref="E54">SUM(IF((Budget[Account Code]=$B54)*(Budget[Date]=E$7),Budget[Amount]))</f>
        <v>0</v>
      </c>
      <c r="F54" s="319">
        <f t="array" ref="F54">SUM(IF((Budget[Account Code]=$B54)*(Budget[Date]=F$7),Budget[Amount]))</f>
        <v>0</v>
      </c>
      <c r="G54" s="319">
        <f t="array" ref="G54">SUM(IF((Budget[Account Code]=$B54)*(Budget[Date]=G$7),Budget[Amount]))</f>
        <v>0</v>
      </c>
      <c r="H54" s="319">
        <f t="array" ref="H54">SUM(IF((Budget[Account Code]=$B54)*(Budget[Date]=H$7),Budget[Amount]))</f>
        <v>0</v>
      </c>
      <c r="I54" s="319">
        <f t="array" ref="I54">SUM(IF((Budget[Account Code]=$B54)*(Budget[Date]=I$7),Budget[Amount]))</f>
        <v>0</v>
      </c>
      <c r="J54" s="319">
        <f t="array" ref="J54">SUM(IF((Budget[Account Code]=$B54)*(Budget[Date]=J$7),Budget[Amount]))</f>
        <v>0</v>
      </c>
      <c r="K54" s="319">
        <f t="array" ref="K54">SUM(IF((Budget[Account Code]=$B54)*(Budget[Date]=K$7),Budget[Amount]))</f>
        <v>0</v>
      </c>
      <c r="L54" s="319">
        <f t="array" ref="L54">SUM(IF((Budget[Account Code]=$B54)*(Budget[Date]=L$7),Budget[Amount]))</f>
        <v>0</v>
      </c>
      <c r="M54" s="319">
        <f t="array" ref="M54">SUM(IF((Budget[Account Code]=$B54)*(Budget[Date]=M$7),Budget[Amount]))</f>
        <v>0</v>
      </c>
      <c r="N54" s="319">
        <f t="array" ref="N54">SUM(IF((Budget[Account Code]=$B54)*(Budget[Date]=N$7),Budget[Amount]))</f>
        <v>0</v>
      </c>
      <c r="O54" s="319">
        <f t="array" ref="O54">SUM(IF((Budget[Account Code]=$B54)*(Budget[Date]=O$7),Budget[Amount]))</f>
        <v>0</v>
      </c>
      <c r="P54" s="319">
        <f t="shared" si="2"/>
        <v>0</v>
      </c>
    </row>
    <row r="55" spans="1:16">
      <c r="A55" s="325" t="s">
        <v>881</v>
      </c>
      <c r="B55" s="317" t="s">
        <v>171</v>
      </c>
      <c r="C55" s="319">
        <f t="shared" si="11"/>
        <v>0</v>
      </c>
      <c r="D55" s="319">
        <f t="array" ref="D55">SUM(IF((Budget[Account Code]=$B55)*(Budget[Date]=D$7),Budget[Amount]))</f>
        <v>0</v>
      </c>
      <c r="E55" s="319">
        <f t="array" ref="E55">SUM(IF((Budget[Account Code]=$B55)*(Budget[Date]=E$7),Budget[Amount]))</f>
        <v>0</v>
      </c>
      <c r="F55" s="319">
        <f t="array" ref="F55">SUM(IF((Budget[Account Code]=$B55)*(Budget[Date]=F$7),Budget[Amount]))</f>
        <v>0</v>
      </c>
      <c r="G55" s="319">
        <f t="array" ref="G55">SUM(IF((Budget[Account Code]=$B55)*(Budget[Date]=G$7),Budget[Amount]))</f>
        <v>0</v>
      </c>
      <c r="H55" s="319">
        <f t="array" ref="H55">SUM(IF((Budget[Account Code]=$B55)*(Budget[Date]=H$7),Budget[Amount]))</f>
        <v>0</v>
      </c>
      <c r="I55" s="319">
        <f t="array" ref="I55">SUM(IF((Budget[Account Code]=$B55)*(Budget[Date]=I$7),Budget[Amount]))</f>
        <v>0</v>
      </c>
      <c r="J55" s="319">
        <f t="array" ref="J55">SUM(IF((Budget[Account Code]=$B55)*(Budget[Date]=J$7),Budget[Amount]))</f>
        <v>0</v>
      </c>
      <c r="K55" s="319">
        <f t="array" ref="K55">SUM(IF((Budget[Account Code]=$B55)*(Budget[Date]=K$7),Budget[Amount]))</f>
        <v>0</v>
      </c>
      <c r="L55" s="319">
        <f t="array" ref="L55">SUM(IF((Budget[Account Code]=$B55)*(Budget[Date]=L$7),Budget[Amount]))</f>
        <v>0</v>
      </c>
      <c r="M55" s="319">
        <f t="array" ref="M55">SUM(IF((Budget[Account Code]=$B55)*(Budget[Date]=M$7),Budget[Amount]))</f>
        <v>0</v>
      </c>
      <c r="N55" s="319">
        <f t="array" ref="N55">SUM(IF((Budget[Account Code]=$B55)*(Budget[Date]=N$7),Budget[Amount]))</f>
        <v>0</v>
      </c>
      <c r="O55" s="319">
        <f t="array" ref="O55">SUM(IF((Budget[Account Code]=$B55)*(Budget[Date]=O$7),Budget[Amount]))</f>
        <v>0</v>
      </c>
      <c r="P55" s="319">
        <f t="shared" si="2"/>
        <v>0</v>
      </c>
    </row>
    <row r="56" spans="1:16">
      <c r="A56" s="325" t="s">
        <v>882</v>
      </c>
      <c r="B56" s="317" t="s">
        <v>173</v>
      </c>
      <c r="C56" s="319">
        <f t="shared" si="11"/>
        <v>0</v>
      </c>
      <c r="D56" s="319">
        <f t="array" ref="D56">SUM(IF((Budget[Account Code]=$B56)*(Budget[Date]=D$7),Budget[Amount]))</f>
        <v>0</v>
      </c>
      <c r="E56" s="319">
        <f t="array" ref="E56">SUM(IF((Budget[Account Code]=$B56)*(Budget[Date]=E$7),Budget[Amount]))</f>
        <v>0</v>
      </c>
      <c r="F56" s="319">
        <f t="array" ref="F56">SUM(IF((Budget[Account Code]=$B56)*(Budget[Date]=F$7),Budget[Amount]))</f>
        <v>0</v>
      </c>
      <c r="G56" s="319">
        <f t="array" ref="G56">SUM(IF((Budget[Account Code]=$B56)*(Budget[Date]=G$7),Budget[Amount]))</f>
        <v>0</v>
      </c>
      <c r="H56" s="319">
        <f t="array" ref="H56">SUM(IF((Budget[Account Code]=$B56)*(Budget[Date]=H$7),Budget[Amount]))</f>
        <v>0</v>
      </c>
      <c r="I56" s="319">
        <f t="array" ref="I56">SUM(IF((Budget[Account Code]=$B56)*(Budget[Date]=I$7),Budget[Amount]))</f>
        <v>0</v>
      </c>
      <c r="J56" s="319">
        <f t="array" ref="J56">SUM(IF((Budget[Account Code]=$B56)*(Budget[Date]=J$7),Budget[Amount]))</f>
        <v>0</v>
      </c>
      <c r="K56" s="319">
        <f t="array" ref="K56">SUM(IF((Budget[Account Code]=$B56)*(Budget[Date]=K$7),Budget[Amount]))</f>
        <v>0</v>
      </c>
      <c r="L56" s="319">
        <f t="array" ref="L56">SUM(IF((Budget[Account Code]=$B56)*(Budget[Date]=L$7),Budget[Amount]))</f>
        <v>0</v>
      </c>
      <c r="M56" s="319">
        <f t="array" ref="M56">SUM(IF((Budget[Account Code]=$B56)*(Budget[Date]=M$7),Budget[Amount]))</f>
        <v>0</v>
      </c>
      <c r="N56" s="319">
        <f t="array" ref="N56">SUM(IF((Budget[Account Code]=$B56)*(Budget[Date]=N$7),Budget[Amount]))</f>
        <v>0</v>
      </c>
      <c r="O56" s="319">
        <f t="array" ref="O56">SUM(IF((Budget[Account Code]=$B56)*(Budget[Date]=O$7),Budget[Amount]))</f>
        <v>0</v>
      </c>
      <c r="P56" s="319">
        <f t="shared" si="2"/>
        <v>0</v>
      </c>
    </row>
    <row r="57" spans="1:16">
      <c r="A57" s="325" t="s">
        <v>883</v>
      </c>
      <c r="B57" s="317" t="s">
        <v>7</v>
      </c>
      <c r="C57" s="319">
        <f t="shared" si="11"/>
        <v>0</v>
      </c>
      <c r="D57" s="319">
        <f t="array" ref="D57">SUM(IF((Budget[Account Code]=$B57)*(Budget[Date]=D$7),Budget[Amount]))</f>
        <v>0</v>
      </c>
      <c r="E57" s="319">
        <f t="array" ref="E57">SUM(IF((Budget[Account Code]=$B57)*(Budget[Date]=E$7),Budget[Amount]))</f>
        <v>0</v>
      </c>
      <c r="F57" s="319">
        <f t="array" ref="F57">SUM(IF((Budget[Account Code]=$B57)*(Budget[Date]=F$7),Budget[Amount]))</f>
        <v>0</v>
      </c>
      <c r="G57" s="319">
        <f t="array" ref="G57">SUM(IF((Budget[Account Code]=$B57)*(Budget[Date]=G$7),Budget[Amount]))</f>
        <v>0</v>
      </c>
      <c r="H57" s="319">
        <f t="array" ref="H57">SUM(IF((Budget[Account Code]=$B57)*(Budget[Date]=H$7),Budget[Amount]))</f>
        <v>0</v>
      </c>
      <c r="I57" s="319">
        <f t="array" ref="I57">SUM(IF((Budget[Account Code]=$B57)*(Budget[Date]=I$7),Budget[Amount]))</f>
        <v>0</v>
      </c>
      <c r="J57" s="319">
        <f t="array" ref="J57">SUM(IF((Budget[Account Code]=$B57)*(Budget[Date]=J$7),Budget[Amount]))</f>
        <v>0</v>
      </c>
      <c r="K57" s="319">
        <f t="array" ref="K57">SUM(IF((Budget[Account Code]=$B57)*(Budget[Date]=K$7),Budget[Amount]))</f>
        <v>0</v>
      </c>
      <c r="L57" s="319">
        <f t="array" ref="L57">SUM(IF((Budget[Account Code]=$B57)*(Budget[Date]=L$7),Budget[Amount]))</f>
        <v>0</v>
      </c>
      <c r="M57" s="319">
        <f t="array" ref="M57">SUM(IF((Budget[Account Code]=$B57)*(Budget[Date]=M$7),Budget[Amount]))</f>
        <v>0</v>
      </c>
      <c r="N57" s="319">
        <f t="array" ref="N57">SUM(IF((Budget[Account Code]=$B57)*(Budget[Date]=N$7),Budget[Amount]))</f>
        <v>0</v>
      </c>
      <c r="O57" s="319">
        <f t="array" ref="O57">SUM(IF((Budget[Account Code]=$B57)*(Budget[Date]=O$7),Budget[Amount]))</f>
        <v>0</v>
      </c>
      <c r="P57" s="319">
        <f t="shared" si="2"/>
        <v>0</v>
      </c>
    </row>
    <row r="58" spans="1:16">
      <c r="A58" s="325" t="s">
        <v>884</v>
      </c>
      <c r="B58" s="317" t="s">
        <v>5</v>
      </c>
      <c r="C58" s="319">
        <f t="shared" si="11"/>
        <v>0</v>
      </c>
      <c r="D58" s="319">
        <f t="array" ref="D58">SUM(IF((Budget[Account Code]=$B58)*(Budget[Date]=D$7),Budget[Amount]))</f>
        <v>0</v>
      </c>
      <c r="E58" s="319">
        <f t="array" ref="E58">SUM(IF((Budget[Account Code]=$B58)*(Budget[Date]=E$7),Budget[Amount]))</f>
        <v>0</v>
      </c>
      <c r="F58" s="319">
        <f t="array" ref="F58">SUM(IF((Budget[Account Code]=$B58)*(Budget[Date]=F$7),Budget[Amount]))</f>
        <v>0</v>
      </c>
      <c r="G58" s="319">
        <f t="array" ref="G58">SUM(IF((Budget[Account Code]=$B58)*(Budget[Date]=G$7),Budget[Amount]))</f>
        <v>0</v>
      </c>
      <c r="H58" s="319">
        <f t="array" ref="H58">SUM(IF((Budget[Account Code]=$B58)*(Budget[Date]=H$7),Budget[Amount]))</f>
        <v>0</v>
      </c>
      <c r="I58" s="319">
        <f t="array" ref="I58">SUM(IF((Budget[Account Code]=$B58)*(Budget[Date]=I$7),Budget[Amount]))</f>
        <v>0</v>
      </c>
      <c r="J58" s="319">
        <f t="array" ref="J58">SUM(IF((Budget[Account Code]=$B58)*(Budget[Date]=J$7),Budget[Amount]))</f>
        <v>0</v>
      </c>
      <c r="K58" s="319">
        <f t="array" ref="K58">SUM(IF((Budget[Account Code]=$B58)*(Budget[Date]=K$7),Budget[Amount]))</f>
        <v>0</v>
      </c>
      <c r="L58" s="319">
        <f t="array" ref="L58">SUM(IF((Budget[Account Code]=$B58)*(Budget[Date]=L$7),Budget[Amount]))</f>
        <v>0</v>
      </c>
      <c r="M58" s="319">
        <f t="array" ref="M58">SUM(IF((Budget[Account Code]=$B58)*(Budget[Date]=M$7),Budget[Amount]))</f>
        <v>0</v>
      </c>
      <c r="N58" s="319">
        <f t="array" ref="N58">SUM(IF((Budget[Account Code]=$B58)*(Budget[Date]=N$7),Budget[Amount]))</f>
        <v>0</v>
      </c>
      <c r="O58" s="319">
        <f t="array" ref="O58">SUM(IF((Budget[Account Code]=$B58)*(Budget[Date]=O$7),Budget[Amount]))</f>
        <v>0</v>
      </c>
      <c r="P58" s="319">
        <f t="shared" si="2"/>
        <v>0</v>
      </c>
    </row>
    <row r="59" spans="1:16">
      <c r="A59" s="325" t="s">
        <v>885</v>
      </c>
      <c r="B59" s="317" t="s">
        <v>6</v>
      </c>
      <c r="C59" s="319">
        <f t="shared" si="11"/>
        <v>0</v>
      </c>
      <c r="D59" s="319">
        <f t="array" ref="D59">SUM(IF((Budget[Account Code]=$B59)*(Budget[Date]=D$7),Budget[Amount]))</f>
        <v>0</v>
      </c>
      <c r="E59" s="319">
        <f t="array" ref="E59">SUM(IF((Budget[Account Code]=$B59)*(Budget[Date]=E$7),Budget[Amount]))</f>
        <v>0</v>
      </c>
      <c r="F59" s="319">
        <f t="array" ref="F59">SUM(IF((Budget[Account Code]=$B59)*(Budget[Date]=F$7),Budget[Amount]))</f>
        <v>0</v>
      </c>
      <c r="G59" s="319">
        <f t="array" ref="G59">SUM(IF((Budget[Account Code]=$B59)*(Budget[Date]=G$7),Budget[Amount]))</f>
        <v>0</v>
      </c>
      <c r="H59" s="319">
        <f t="array" ref="H59">SUM(IF((Budget[Account Code]=$B59)*(Budget[Date]=H$7),Budget[Amount]))</f>
        <v>0</v>
      </c>
      <c r="I59" s="319">
        <f t="array" ref="I59">SUM(IF((Budget[Account Code]=$B59)*(Budget[Date]=I$7),Budget[Amount]))</f>
        <v>0</v>
      </c>
      <c r="J59" s="319">
        <f t="array" ref="J59">SUM(IF((Budget[Account Code]=$B59)*(Budget[Date]=J$7),Budget[Amount]))</f>
        <v>0</v>
      </c>
      <c r="K59" s="319">
        <f t="array" ref="K59">SUM(IF((Budget[Account Code]=$B59)*(Budget[Date]=K$7),Budget[Amount]))</f>
        <v>0</v>
      </c>
      <c r="L59" s="319">
        <f t="array" ref="L59">SUM(IF((Budget[Account Code]=$B59)*(Budget[Date]=L$7),Budget[Amount]))</f>
        <v>0</v>
      </c>
      <c r="M59" s="319">
        <f t="array" ref="M59">SUM(IF((Budget[Account Code]=$B59)*(Budget[Date]=M$7),Budget[Amount]))</f>
        <v>0</v>
      </c>
      <c r="N59" s="319">
        <f t="array" ref="N59">SUM(IF((Budget[Account Code]=$B59)*(Budget[Date]=N$7),Budget[Amount]))</f>
        <v>0</v>
      </c>
      <c r="O59" s="319">
        <f t="array" ref="O59">SUM(IF((Budget[Account Code]=$B59)*(Budget[Date]=O$7),Budget[Amount]))</f>
        <v>0</v>
      </c>
      <c r="P59" s="319">
        <f t="shared" si="2"/>
        <v>0</v>
      </c>
    </row>
    <row r="60" spans="1:16">
      <c r="A60" s="325" t="s">
        <v>886</v>
      </c>
      <c r="B60" s="317" t="s">
        <v>172</v>
      </c>
      <c r="C60" s="319">
        <f t="shared" si="11"/>
        <v>0</v>
      </c>
      <c r="D60" s="319">
        <f t="array" ref="D60">SUM(IF((Budget[Account Code]=$B60)*(Budget[Date]=D$7),Budget[Amount]))</f>
        <v>0</v>
      </c>
      <c r="E60" s="319">
        <f t="array" ref="E60">SUM(IF((Budget[Account Code]=$B60)*(Budget[Date]=E$7),Budget[Amount]))</f>
        <v>0</v>
      </c>
      <c r="F60" s="319">
        <f t="array" ref="F60">SUM(IF((Budget[Account Code]=$B60)*(Budget[Date]=F$7),Budget[Amount]))</f>
        <v>0</v>
      </c>
      <c r="G60" s="319">
        <f t="array" ref="G60">SUM(IF((Budget[Account Code]=$B60)*(Budget[Date]=G$7),Budget[Amount]))</f>
        <v>0</v>
      </c>
      <c r="H60" s="319">
        <f t="array" ref="H60">SUM(IF((Budget[Account Code]=$B60)*(Budget[Date]=H$7),Budget[Amount]))</f>
        <v>0</v>
      </c>
      <c r="I60" s="319">
        <f t="array" ref="I60">SUM(IF((Budget[Account Code]=$B60)*(Budget[Date]=I$7),Budget[Amount]))</f>
        <v>0</v>
      </c>
      <c r="J60" s="319">
        <f t="array" ref="J60">SUM(IF((Budget[Account Code]=$B60)*(Budget[Date]=J$7),Budget[Amount]))</f>
        <v>0</v>
      </c>
      <c r="K60" s="319">
        <f t="array" ref="K60">SUM(IF((Budget[Account Code]=$B60)*(Budget[Date]=K$7),Budget[Amount]))</f>
        <v>0</v>
      </c>
      <c r="L60" s="319">
        <f t="array" ref="L60">SUM(IF((Budget[Account Code]=$B60)*(Budget[Date]=L$7),Budget[Amount]))</f>
        <v>0</v>
      </c>
      <c r="M60" s="319">
        <f t="array" ref="M60">SUM(IF((Budget[Account Code]=$B60)*(Budget[Date]=M$7),Budget[Amount]))</f>
        <v>0</v>
      </c>
      <c r="N60" s="319">
        <f t="array" ref="N60">SUM(IF((Budget[Account Code]=$B60)*(Budget[Date]=N$7),Budget[Amount]))</f>
        <v>0</v>
      </c>
      <c r="O60" s="319">
        <f t="array" ref="O60">SUM(IF((Budget[Account Code]=$B60)*(Budget[Date]=O$7),Budget[Amount]))</f>
        <v>0</v>
      </c>
      <c r="P60" s="319">
        <f t="shared" si="2"/>
        <v>0</v>
      </c>
    </row>
    <row r="61" spans="1:16">
      <c r="A61" s="325" t="s">
        <v>887</v>
      </c>
      <c r="B61" s="317" t="s">
        <v>170</v>
      </c>
      <c r="C61" s="319">
        <f t="shared" si="11"/>
        <v>0</v>
      </c>
      <c r="D61" s="319">
        <f t="array" ref="D61">SUM(IF((Budget[Account Code]=$B61)*(Budget[Date]=D$7),Budget[Amount]))</f>
        <v>0</v>
      </c>
      <c r="E61" s="319">
        <f t="array" ref="E61">SUM(IF((Budget[Account Code]=$B61)*(Budget[Date]=E$7),Budget[Amount]))</f>
        <v>0</v>
      </c>
      <c r="F61" s="319">
        <f t="array" ref="F61">SUM(IF((Budget[Account Code]=$B61)*(Budget[Date]=F$7),Budget[Amount]))</f>
        <v>0</v>
      </c>
      <c r="G61" s="319">
        <f t="array" ref="G61">SUM(IF((Budget[Account Code]=$B61)*(Budget[Date]=G$7),Budget[Amount]))</f>
        <v>0</v>
      </c>
      <c r="H61" s="319">
        <f t="array" ref="H61">SUM(IF((Budget[Account Code]=$B61)*(Budget[Date]=H$7),Budget[Amount]))</f>
        <v>0</v>
      </c>
      <c r="I61" s="319">
        <f t="array" ref="I61">SUM(IF((Budget[Account Code]=$B61)*(Budget[Date]=I$7),Budget[Amount]))</f>
        <v>0</v>
      </c>
      <c r="J61" s="319">
        <f t="array" ref="J61">SUM(IF((Budget[Account Code]=$B61)*(Budget[Date]=J$7),Budget[Amount]))</f>
        <v>0</v>
      </c>
      <c r="K61" s="319">
        <f t="array" ref="K61">SUM(IF((Budget[Account Code]=$B61)*(Budget[Date]=K$7),Budget[Amount]))</f>
        <v>0</v>
      </c>
      <c r="L61" s="319">
        <f t="array" ref="L61">SUM(IF((Budget[Account Code]=$B61)*(Budget[Date]=L$7),Budget[Amount]))</f>
        <v>0</v>
      </c>
      <c r="M61" s="319">
        <f t="array" ref="M61">SUM(IF((Budget[Account Code]=$B61)*(Budget[Date]=M$7),Budget[Amount]))</f>
        <v>0</v>
      </c>
      <c r="N61" s="319">
        <f t="array" ref="N61">SUM(IF((Budget[Account Code]=$B61)*(Budget[Date]=N$7),Budget[Amount]))</f>
        <v>0</v>
      </c>
      <c r="O61" s="319">
        <f t="array" ref="O61">SUM(IF((Budget[Account Code]=$B61)*(Budget[Date]=O$7),Budget[Amount]))</f>
        <v>0</v>
      </c>
      <c r="P61" s="319">
        <f t="shared" si="2"/>
        <v>0</v>
      </c>
    </row>
    <row r="62" spans="1:16">
      <c r="A62" s="325" t="s">
        <v>888</v>
      </c>
      <c r="B62" s="317" t="s">
        <v>168</v>
      </c>
      <c r="C62" s="319">
        <f t="shared" si="11"/>
        <v>0</v>
      </c>
      <c r="D62" s="319">
        <f t="array" ref="D62">SUM(IF((Budget[Account Code]=$B62)*(Budget[Date]=D$7),Budget[Amount]))</f>
        <v>0</v>
      </c>
      <c r="E62" s="319">
        <f t="array" ref="E62">SUM(IF((Budget[Account Code]=$B62)*(Budget[Date]=E$7),Budget[Amount]))</f>
        <v>0</v>
      </c>
      <c r="F62" s="319">
        <f t="array" ref="F62">SUM(IF((Budget[Account Code]=$B62)*(Budget[Date]=F$7),Budget[Amount]))</f>
        <v>0</v>
      </c>
      <c r="G62" s="319">
        <f t="array" ref="G62">SUM(IF((Budget[Account Code]=$B62)*(Budget[Date]=G$7),Budget[Amount]))</f>
        <v>0</v>
      </c>
      <c r="H62" s="319">
        <f t="array" ref="H62">SUM(IF((Budget[Account Code]=$B62)*(Budget[Date]=H$7),Budget[Amount]))</f>
        <v>0</v>
      </c>
      <c r="I62" s="319">
        <f t="array" ref="I62">SUM(IF((Budget[Account Code]=$B62)*(Budget[Date]=I$7),Budget[Amount]))</f>
        <v>0</v>
      </c>
      <c r="J62" s="319">
        <f t="array" ref="J62">SUM(IF((Budget[Account Code]=$B62)*(Budget[Date]=J$7),Budget[Amount]))</f>
        <v>0</v>
      </c>
      <c r="K62" s="319">
        <f t="array" ref="K62">SUM(IF((Budget[Account Code]=$B62)*(Budget[Date]=K$7),Budget[Amount]))</f>
        <v>0</v>
      </c>
      <c r="L62" s="319">
        <f t="array" ref="L62">SUM(IF((Budget[Account Code]=$B62)*(Budget[Date]=L$7),Budget[Amount]))</f>
        <v>0</v>
      </c>
      <c r="M62" s="319">
        <f t="array" ref="M62">SUM(IF((Budget[Account Code]=$B62)*(Budget[Date]=M$7),Budget[Amount]))</f>
        <v>0</v>
      </c>
      <c r="N62" s="319">
        <f t="array" ref="N62">SUM(IF((Budget[Account Code]=$B62)*(Budget[Date]=N$7),Budget[Amount]))</f>
        <v>0</v>
      </c>
      <c r="O62" s="319">
        <f t="array" ref="O62">SUM(IF((Budget[Account Code]=$B62)*(Budget[Date]=O$7),Budget[Amount]))</f>
        <v>0</v>
      </c>
      <c r="P62" s="319">
        <f t="shared" si="2"/>
        <v>0</v>
      </c>
    </row>
    <row r="63" spans="1:16">
      <c r="A63" s="325" t="s">
        <v>889</v>
      </c>
      <c r="B63" s="317" t="s">
        <v>174</v>
      </c>
      <c r="C63" s="319">
        <f t="shared" si="11"/>
        <v>0</v>
      </c>
      <c r="D63" s="319">
        <f t="array" ref="D63">SUM(IF((Budget[Account Code]=$B63)*(Budget[Date]=D$7),Budget[Amount]))</f>
        <v>0</v>
      </c>
      <c r="E63" s="319">
        <f t="array" ref="E63">SUM(IF((Budget[Account Code]=$B63)*(Budget[Date]=E$7),Budget[Amount]))</f>
        <v>0</v>
      </c>
      <c r="F63" s="319">
        <f t="array" ref="F63">SUM(IF((Budget[Account Code]=$B63)*(Budget[Date]=F$7),Budget[Amount]))</f>
        <v>0</v>
      </c>
      <c r="G63" s="319">
        <f t="array" ref="G63">SUM(IF((Budget[Account Code]=$B63)*(Budget[Date]=G$7),Budget[Amount]))</f>
        <v>0</v>
      </c>
      <c r="H63" s="319">
        <f t="array" ref="H63">SUM(IF((Budget[Account Code]=$B63)*(Budget[Date]=H$7),Budget[Amount]))</f>
        <v>0</v>
      </c>
      <c r="I63" s="319">
        <f t="array" ref="I63">SUM(IF((Budget[Account Code]=$B63)*(Budget[Date]=I$7),Budget[Amount]))</f>
        <v>0</v>
      </c>
      <c r="J63" s="319">
        <f t="array" ref="J63">SUM(IF((Budget[Account Code]=$B63)*(Budget[Date]=J$7),Budget[Amount]))</f>
        <v>0</v>
      </c>
      <c r="K63" s="319">
        <f t="array" ref="K63">SUM(IF((Budget[Account Code]=$B63)*(Budget[Date]=K$7),Budget[Amount]))</f>
        <v>0</v>
      </c>
      <c r="L63" s="319">
        <f t="array" ref="L63">SUM(IF((Budget[Account Code]=$B63)*(Budget[Date]=L$7),Budget[Amount]))</f>
        <v>0</v>
      </c>
      <c r="M63" s="319">
        <f t="array" ref="M63">SUM(IF((Budget[Account Code]=$B63)*(Budget[Date]=M$7),Budget[Amount]))</f>
        <v>0</v>
      </c>
      <c r="N63" s="319">
        <f t="array" ref="N63">SUM(IF((Budget[Account Code]=$B63)*(Budget[Date]=N$7),Budget[Amount]))</f>
        <v>0</v>
      </c>
      <c r="O63" s="319">
        <f t="array" ref="O63">SUM(IF((Budget[Account Code]=$B63)*(Budget[Date]=O$7),Budget[Amount]))</f>
        <v>0</v>
      </c>
      <c r="P63" s="319">
        <f t="shared" si="2"/>
        <v>0</v>
      </c>
    </row>
    <row r="64" spans="1:16">
      <c r="A64" s="325" t="s">
        <v>890</v>
      </c>
      <c r="B64" s="317" t="s">
        <v>214</v>
      </c>
      <c r="C64" s="319">
        <f t="shared" si="11"/>
        <v>0</v>
      </c>
      <c r="D64" s="319">
        <f t="array" ref="D64">SUM(IF((Budget[Account Code]=$B64)*(Budget[Date]=D$7),Budget[Amount]))</f>
        <v>0</v>
      </c>
      <c r="E64" s="319">
        <f t="array" ref="E64">SUM(IF((Budget[Account Code]=$B64)*(Budget[Date]=E$7),Budget[Amount]))</f>
        <v>0</v>
      </c>
      <c r="F64" s="319">
        <f t="array" ref="F64">SUM(IF((Budget[Account Code]=$B64)*(Budget[Date]=F$7),Budget[Amount]))</f>
        <v>0</v>
      </c>
      <c r="G64" s="319">
        <f t="array" ref="G64">SUM(IF((Budget[Account Code]=$B64)*(Budget[Date]=G$7),Budget[Amount]))</f>
        <v>0</v>
      </c>
      <c r="H64" s="319">
        <f t="array" ref="H64">SUM(IF((Budget[Account Code]=$B64)*(Budget[Date]=H$7),Budget[Amount]))</f>
        <v>0</v>
      </c>
      <c r="I64" s="319">
        <f t="array" ref="I64">SUM(IF((Budget[Account Code]=$B64)*(Budget[Date]=I$7),Budget[Amount]))</f>
        <v>0</v>
      </c>
      <c r="J64" s="319">
        <f t="array" ref="J64">SUM(IF((Budget[Account Code]=$B64)*(Budget[Date]=J$7),Budget[Amount]))</f>
        <v>0</v>
      </c>
      <c r="K64" s="319">
        <f t="array" ref="K64">SUM(IF((Budget[Account Code]=$B64)*(Budget[Date]=K$7),Budget[Amount]))</f>
        <v>0</v>
      </c>
      <c r="L64" s="319">
        <f t="array" ref="L64">SUM(IF((Budget[Account Code]=$B64)*(Budget[Date]=L$7),Budget[Amount]))</f>
        <v>0</v>
      </c>
      <c r="M64" s="319">
        <f t="array" ref="M64">SUM(IF((Budget[Account Code]=$B64)*(Budget[Date]=M$7),Budget[Amount]))</f>
        <v>0</v>
      </c>
      <c r="N64" s="319">
        <f t="array" ref="N64">SUM(IF((Budget[Account Code]=$B64)*(Budget[Date]=N$7),Budget[Amount]))</f>
        <v>0</v>
      </c>
      <c r="O64" s="319">
        <f t="array" ref="O64">SUM(IF((Budget[Account Code]=$B64)*(Budget[Date]=O$7),Budget[Amount]))</f>
        <v>0</v>
      </c>
      <c r="P64" s="319">
        <f t="shared" si="2"/>
        <v>0</v>
      </c>
    </row>
    <row r="65" spans="1:16" s="171" customFormat="1">
      <c r="A65" s="320" t="s">
        <v>891</v>
      </c>
      <c r="B65" s="317"/>
      <c r="C65" s="322">
        <f t="shared" si="11"/>
        <v>0</v>
      </c>
      <c r="D65" s="322">
        <f>SUM(D66:D69)</f>
        <v>0</v>
      </c>
      <c r="E65" s="322">
        <f t="shared" ref="E65:O65" si="14">SUM(E66:E69)</f>
        <v>0</v>
      </c>
      <c r="F65" s="322">
        <f t="shared" si="14"/>
        <v>0</v>
      </c>
      <c r="G65" s="322">
        <f t="shared" si="14"/>
        <v>0</v>
      </c>
      <c r="H65" s="322">
        <f t="shared" si="14"/>
        <v>0</v>
      </c>
      <c r="I65" s="322">
        <f t="shared" si="14"/>
        <v>0</v>
      </c>
      <c r="J65" s="322">
        <f t="shared" si="14"/>
        <v>0</v>
      </c>
      <c r="K65" s="322">
        <f t="shared" si="14"/>
        <v>0</v>
      </c>
      <c r="L65" s="322">
        <f t="shared" si="14"/>
        <v>0</v>
      </c>
      <c r="M65" s="322">
        <f t="shared" si="14"/>
        <v>0</v>
      </c>
      <c r="N65" s="322">
        <f t="shared" si="14"/>
        <v>0</v>
      </c>
      <c r="O65" s="322">
        <f t="shared" si="14"/>
        <v>0</v>
      </c>
      <c r="P65" s="322">
        <f t="shared" si="2"/>
        <v>0</v>
      </c>
    </row>
    <row r="66" spans="1:16">
      <c r="A66" s="325" t="s">
        <v>892</v>
      </c>
      <c r="B66" s="317" t="s">
        <v>175</v>
      </c>
      <c r="C66" s="319">
        <f t="shared" si="11"/>
        <v>0</v>
      </c>
      <c r="D66" s="319">
        <f t="array" ref="D66">SUM(IF((Budget[Account Code]=$B66)*(Budget[Date]=D$7),Budget[Amount]))</f>
        <v>0</v>
      </c>
      <c r="E66" s="319">
        <f t="array" ref="E66">SUM(IF((Budget[Account Code]=$B66)*(Budget[Date]=E$7),Budget[Amount]))</f>
        <v>0</v>
      </c>
      <c r="F66" s="319">
        <f t="array" ref="F66">SUM(IF((Budget[Account Code]=$B66)*(Budget[Date]=F$7),Budget[Amount]))</f>
        <v>0</v>
      </c>
      <c r="G66" s="319">
        <f t="array" ref="G66">SUM(IF((Budget[Account Code]=$B66)*(Budget[Date]=G$7),Budget[Amount]))</f>
        <v>0</v>
      </c>
      <c r="H66" s="319">
        <f t="array" ref="H66">SUM(IF((Budget[Account Code]=$B66)*(Budget[Date]=H$7),Budget[Amount]))</f>
        <v>0</v>
      </c>
      <c r="I66" s="319">
        <f t="array" ref="I66">SUM(IF((Budget[Account Code]=$B66)*(Budget[Date]=I$7),Budget[Amount]))</f>
        <v>0</v>
      </c>
      <c r="J66" s="319">
        <f t="array" ref="J66">SUM(IF((Budget[Account Code]=$B66)*(Budget[Date]=J$7),Budget[Amount]))</f>
        <v>0</v>
      </c>
      <c r="K66" s="319">
        <f t="array" ref="K66">SUM(IF((Budget[Account Code]=$B66)*(Budget[Date]=K$7),Budget[Amount]))</f>
        <v>0</v>
      </c>
      <c r="L66" s="319">
        <f t="array" ref="L66">SUM(IF((Budget[Account Code]=$B66)*(Budget[Date]=L$7),Budget[Amount]))</f>
        <v>0</v>
      </c>
      <c r="M66" s="319">
        <f t="array" ref="M66">SUM(IF((Budget[Account Code]=$B66)*(Budget[Date]=M$7),Budget[Amount]))</f>
        <v>0</v>
      </c>
      <c r="N66" s="319">
        <f t="array" ref="N66">SUM(IF((Budget[Account Code]=$B66)*(Budget[Date]=N$7),Budget[Amount]))</f>
        <v>0</v>
      </c>
      <c r="O66" s="319">
        <f t="array" ref="O66">SUM(IF((Budget[Account Code]=$B66)*(Budget[Date]=O$7),Budget[Amount]))</f>
        <v>0</v>
      </c>
      <c r="P66" s="319">
        <f t="shared" si="2"/>
        <v>0</v>
      </c>
    </row>
    <row r="67" spans="1:16">
      <c r="A67" s="325" t="s">
        <v>893</v>
      </c>
      <c r="B67" s="317" t="s">
        <v>176</v>
      </c>
      <c r="C67" s="319">
        <f t="shared" si="11"/>
        <v>0</v>
      </c>
      <c r="D67" s="319">
        <f t="array" ref="D67">SUM(IF((Budget[Account Code]=$B67)*(Budget[Date]=D$7),Budget[Amount]))</f>
        <v>0</v>
      </c>
      <c r="E67" s="319">
        <f t="array" ref="E67">SUM(IF((Budget[Account Code]=$B67)*(Budget[Date]=E$7),Budget[Amount]))</f>
        <v>0</v>
      </c>
      <c r="F67" s="319">
        <f t="array" ref="F67">SUM(IF((Budget[Account Code]=$B67)*(Budget[Date]=F$7),Budget[Amount]))</f>
        <v>0</v>
      </c>
      <c r="G67" s="319">
        <f t="array" ref="G67">SUM(IF((Budget[Account Code]=$B67)*(Budget[Date]=G$7),Budget[Amount]))</f>
        <v>0</v>
      </c>
      <c r="H67" s="319">
        <f t="array" ref="H67">SUM(IF((Budget[Account Code]=$B67)*(Budget[Date]=H$7),Budget[Amount]))</f>
        <v>0</v>
      </c>
      <c r="I67" s="319">
        <f t="array" ref="I67">SUM(IF((Budget[Account Code]=$B67)*(Budget[Date]=I$7),Budget[Amount]))</f>
        <v>0</v>
      </c>
      <c r="J67" s="319">
        <f t="array" ref="J67">SUM(IF((Budget[Account Code]=$B67)*(Budget[Date]=J$7),Budget[Amount]))</f>
        <v>0</v>
      </c>
      <c r="K67" s="319">
        <f t="array" ref="K67">SUM(IF((Budget[Account Code]=$B67)*(Budget[Date]=K$7),Budget[Amount]))</f>
        <v>0</v>
      </c>
      <c r="L67" s="319">
        <f t="array" ref="L67">SUM(IF((Budget[Account Code]=$B67)*(Budget[Date]=L$7),Budget[Amount]))</f>
        <v>0</v>
      </c>
      <c r="M67" s="319">
        <f t="array" ref="M67">SUM(IF((Budget[Account Code]=$B67)*(Budget[Date]=M$7),Budget[Amount]))</f>
        <v>0</v>
      </c>
      <c r="N67" s="319">
        <f t="array" ref="N67">SUM(IF((Budget[Account Code]=$B67)*(Budget[Date]=N$7),Budget[Amount]))</f>
        <v>0</v>
      </c>
      <c r="O67" s="319">
        <f t="array" ref="O67">SUM(IF((Budget[Account Code]=$B67)*(Budget[Date]=O$7),Budget[Amount]))</f>
        <v>0</v>
      </c>
      <c r="P67" s="319">
        <f t="shared" si="2"/>
        <v>0</v>
      </c>
    </row>
    <row r="68" spans="1:16">
      <c r="A68" s="325" t="s">
        <v>894</v>
      </c>
      <c r="B68" s="317" t="s">
        <v>177</v>
      </c>
      <c r="C68" s="319">
        <f t="shared" si="11"/>
        <v>0</v>
      </c>
      <c r="D68" s="319">
        <f t="array" ref="D68">SUM(IF((Budget[Account Code]=$B68)*(Budget[Date]=D$7),Budget[Amount]))</f>
        <v>0</v>
      </c>
      <c r="E68" s="319">
        <f t="array" ref="E68">SUM(IF((Budget[Account Code]=$B68)*(Budget[Date]=E$7),Budget[Amount]))</f>
        <v>0</v>
      </c>
      <c r="F68" s="319">
        <f t="array" ref="F68">SUM(IF((Budget[Account Code]=$B68)*(Budget[Date]=F$7),Budget[Amount]))</f>
        <v>0</v>
      </c>
      <c r="G68" s="319">
        <f t="array" ref="G68">SUM(IF((Budget[Account Code]=$B68)*(Budget[Date]=G$7),Budget[Amount]))</f>
        <v>0</v>
      </c>
      <c r="H68" s="319">
        <f t="array" ref="H68">SUM(IF((Budget[Account Code]=$B68)*(Budget[Date]=H$7),Budget[Amount]))</f>
        <v>0</v>
      </c>
      <c r="I68" s="319">
        <f t="array" ref="I68">SUM(IF((Budget[Account Code]=$B68)*(Budget[Date]=I$7),Budget[Amount]))</f>
        <v>0</v>
      </c>
      <c r="J68" s="319">
        <f t="array" ref="J68">SUM(IF((Budget[Account Code]=$B68)*(Budget[Date]=J$7),Budget[Amount]))</f>
        <v>0</v>
      </c>
      <c r="K68" s="319">
        <f t="array" ref="K68">SUM(IF((Budget[Account Code]=$B68)*(Budget[Date]=K$7),Budget[Amount]))</f>
        <v>0</v>
      </c>
      <c r="L68" s="319">
        <f t="array" ref="L68">SUM(IF((Budget[Account Code]=$B68)*(Budget[Date]=L$7),Budget[Amount]))</f>
        <v>0</v>
      </c>
      <c r="M68" s="319">
        <f t="array" ref="M68">SUM(IF((Budget[Account Code]=$B68)*(Budget[Date]=M$7),Budget[Amount]))</f>
        <v>0</v>
      </c>
      <c r="N68" s="319">
        <f t="array" ref="N68">SUM(IF((Budget[Account Code]=$B68)*(Budget[Date]=N$7),Budget[Amount]))</f>
        <v>0</v>
      </c>
      <c r="O68" s="319">
        <f t="array" ref="O68">SUM(IF((Budget[Account Code]=$B68)*(Budget[Date]=O$7),Budget[Amount]))</f>
        <v>0</v>
      </c>
      <c r="P68" s="319">
        <f t="shared" si="2"/>
        <v>0</v>
      </c>
    </row>
    <row r="69" spans="1:16">
      <c r="A69" s="325" t="s">
        <v>895</v>
      </c>
      <c r="B69" s="317" t="s">
        <v>178</v>
      </c>
      <c r="C69" s="319">
        <f t="shared" si="11"/>
        <v>0</v>
      </c>
      <c r="D69" s="319">
        <f t="array" ref="D69">SUM(IF((Budget[Account Code]=$B69)*(Budget[Date]=D$7),Budget[Amount]))</f>
        <v>0</v>
      </c>
      <c r="E69" s="319">
        <f t="array" ref="E69">SUM(IF((Budget[Account Code]=$B69)*(Budget[Date]=E$7),Budget[Amount]))</f>
        <v>0</v>
      </c>
      <c r="F69" s="319">
        <f t="array" ref="F69">SUM(IF((Budget[Account Code]=$B69)*(Budget[Date]=F$7),Budget[Amount]))</f>
        <v>0</v>
      </c>
      <c r="G69" s="319">
        <f t="array" ref="G69">SUM(IF((Budget[Account Code]=$B69)*(Budget[Date]=G$7),Budget[Amount]))</f>
        <v>0</v>
      </c>
      <c r="H69" s="319">
        <f t="array" ref="H69">SUM(IF((Budget[Account Code]=$B69)*(Budget[Date]=H$7),Budget[Amount]))</f>
        <v>0</v>
      </c>
      <c r="I69" s="319">
        <f t="array" ref="I69">SUM(IF((Budget[Account Code]=$B69)*(Budget[Date]=I$7),Budget[Amount]))</f>
        <v>0</v>
      </c>
      <c r="J69" s="319">
        <f t="array" ref="J69">SUM(IF((Budget[Account Code]=$B69)*(Budget[Date]=J$7),Budget[Amount]))</f>
        <v>0</v>
      </c>
      <c r="K69" s="319">
        <f t="array" ref="K69">SUM(IF((Budget[Account Code]=$B69)*(Budget[Date]=K$7),Budget[Amount]))</f>
        <v>0</v>
      </c>
      <c r="L69" s="319">
        <f t="array" ref="L69">SUM(IF((Budget[Account Code]=$B69)*(Budget[Date]=L$7),Budget[Amount]))</f>
        <v>0</v>
      </c>
      <c r="M69" s="319">
        <f t="array" ref="M69">SUM(IF((Budget[Account Code]=$B69)*(Budget[Date]=M$7),Budget[Amount]))</f>
        <v>0</v>
      </c>
      <c r="N69" s="319">
        <f t="array" ref="N69">SUM(IF((Budget[Account Code]=$B69)*(Budget[Date]=N$7),Budget[Amount]))</f>
        <v>0</v>
      </c>
      <c r="O69" s="319">
        <f t="array" ref="O69">SUM(IF((Budget[Account Code]=$B69)*(Budget[Date]=O$7),Budget[Amount]))</f>
        <v>0</v>
      </c>
      <c r="P69" s="319">
        <f t="shared" si="2"/>
        <v>0</v>
      </c>
    </row>
    <row r="70" spans="1:16">
      <c r="A70" s="320" t="s">
        <v>896</v>
      </c>
      <c r="B70" s="317"/>
      <c r="C70" s="319">
        <f t="shared" si="11"/>
        <v>0</v>
      </c>
      <c r="D70" s="319">
        <v>0</v>
      </c>
      <c r="E70" s="319">
        <v>0</v>
      </c>
      <c r="F70" s="319">
        <v>0</v>
      </c>
      <c r="G70" s="319">
        <v>0</v>
      </c>
      <c r="H70" s="319">
        <v>0</v>
      </c>
      <c r="I70" s="319">
        <v>0</v>
      </c>
      <c r="J70" s="319">
        <v>0</v>
      </c>
      <c r="K70" s="319">
        <v>0</v>
      </c>
      <c r="L70" s="319">
        <v>0</v>
      </c>
      <c r="M70" s="319">
        <v>0</v>
      </c>
      <c r="N70" s="319">
        <v>0</v>
      </c>
      <c r="O70" s="319">
        <v>0</v>
      </c>
      <c r="P70" s="319">
        <f t="shared" si="2"/>
        <v>0</v>
      </c>
    </row>
    <row r="71" spans="1:16">
      <c r="A71" s="325" t="s">
        <v>897</v>
      </c>
      <c r="B71" s="317" t="s">
        <v>216</v>
      </c>
      <c r="C71" s="319">
        <f t="shared" si="11"/>
        <v>0</v>
      </c>
      <c r="D71" s="319">
        <f t="array" ref="D71">SUM(IF((Budget[Account Code]=$B71)*(Budget[Date]=D$7),Budget[Amount]))</f>
        <v>0</v>
      </c>
      <c r="E71" s="319">
        <f t="array" ref="E71">SUM(IF((Budget[Account Code]=$B71)*(Budget[Date]=E$7),Budget[Amount]))</f>
        <v>0</v>
      </c>
      <c r="F71" s="319">
        <f t="array" ref="F71">SUM(IF((Budget[Account Code]=$B71)*(Budget[Date]=F$7),Budget[Amount]))</f>
        <v>0</v>
      </c>
      <c r="G71" s="319">
        <f t="array" ref="G71">SUM(IF((Budget[Account Code]=$B71)*(Budget[Date]=G$7),Budget[Amount]))</f>
        <v>0</v>
      </c>
      <c r="H71" s="319">
        <f t="array" ref="H71">SUM(IF((Budget[Account Code]=$B71)*(Budget[Date]=H$7),Budget[Amount]))</f>
        <v>0</v>
      </c>
      <c r="I71" s="319">
        <f t="array" ref="I71">SUM(IF((Budget[Account Code]=$B71)*(Budget[Date]=I$7),Budget[Amount]))</f>
        <v>0</v>
      </c>
      <c r="J71" s="319">
        <f t="array" ref="J71">SUM(IF((Budget[Account Code]=$B71)*(Budget[Date]=J$7),Budget[Amount]))</f>
        <v>0</v>
      </c>
      <c r="K71" s="319">
        <f t="array" ref="K71">SUM(IF((Budget[Account Code]=$B71)*(Budget[Date]=K$7),Budget[Amount]))</f>
        <v>0</v>
      </c>
      <c r="L71" s="319">
        <f t="array" ref="L71">SUM(IF((Budget[Account Code]=$B71)*(Budget[Date]=L$7),Budget[Amount]))</f>
        <v>0</v>
      </c>
      <c r="M71" s="319">
        <f t="array" ref="M71">SUM(IF((Budget[Account Code]=$B71)*(Budget[Date]=M$7),Budget[Amount]))</f>
        <v>0</v>
      </c>
      <c r="N71" s="319">
        <f t="array" ref="N71">SUM(IF((Budget[Account Code]=$B71)*(Budget[Date]=N$7),Budget[Amount]))</f>
        <v>0</v>
      </c>
      <c r="O71" s="319">
        <f t="array" ref="O71">SUM(IF((Budget[Account Code]=$B71)*(Budget[Date]=O$7),Budget[Amount]))</f>
        <v>0</v>
      </c>
      <c r="P71" s="319">
        <f t="shared" si="2"/>
        <v>0</v>
      </c>
    </row>
    <row r="72" spans="1:16">
      <c r="A72" s="325" t="s">
        <v>898</v>
      </c>
      <c r="B72" s="317"/>
      <c r="C72" s="319">
        <f t="shared" si="11"/>
        <v>0</v>
      </c>
      <c r="D72" s="319">
        <f t="array" ref="D72">SUM(IF((Budget[Account Code]=$B72)*(Budget[Date]=D$7),Budget[Amount]))</f>
        <v>0</v>
      </c>
      <c r="E72" s="319">
        <f t="array" ref="E72">SUM(IF((Budget[Account Code]=$B72)*(Budget[Date]=E$7),Budget[Amount]))</f>
        <v>0</v>
      </c>
      <c r="F72" s="319">
        <f t="array" ref="F72">SUM(IF((Budget[Account Code]=$B72)*(Budget[Date]=F$7),Budget[Amount]))</f>
        <v>0</v>
      </c>
      <c r="G72" s="319">
        <f t="array" ref="G72">SUM(IF((Budget[Account Code]=$B72)*(Budget[Date]=G$7),Budget[Amount]))</f>
        <v>0</v>
      </c>
      <c r="H72" s="319">
        <f t="array" ref="H72">SUM(IF((Budget[Account Code]=$B72)*(Budget[Date]=H$7),Budget[Amount]))</f>
        <v>0</v>
      </c>
      <c r="I72" s="319">
        <f t="array" ref="I72">SUM(IF((Budget[Account Code]=$B72)*(Budget[Date]=I$7),Budget[Amount]))</f>
        <v>0</v>
      </c>
      <c r="J72" s="319">
        <f t="array" ref="J72">SUM(IF((Budget[Account Code]=$B72)*(Budget[Date]=J$7),Budget[Amount]))</f>
        <v>0</v>
      </c>
      <c r="K72" s="319">
        <f t="array" ref="K72">SUM(IF((Budget[Account Code]=$B72)*(Budget[Date]=K$7),Budget[Amount]))</f>
        <v>0</v>
      </c>
      <c r="L72" s="319">
        <f t="array" ref="L72">SUM(IF((Budget[Account Code]=$B72)*(Budget[Date]=L$7),Budget[Amount]))</f>
        <v>0</v>
      </c>
      <c r="M72" s="319">
        <f t="array" ref="M72">SUM(IF((Budget[Account Code]=$B72)*(Budget[Date]=M$7),Budget[Amount]))</f>
        <v>0</v>
      </c>
      <c r="N72" s="319">
        <f t="array" ref="N72">SUM(IF((Budget[Account Code]=$B72)*(Budget[Date]=N$7),Budget[Amount]))</f>
        <v>0</v>
      </c>
      <c r="O72" s="319">
        <f t="array" ref="O72">SUM(IF((Budget[Account Code]=$B72)*(Budget[Date]=O$7),Budget[Amount]))</f>
        <v>0</v>
      </c>
      <c r="P72" s="319">
        <f t="shared" si="2"/>
        <v>0</v>
      </c>
    </row>
    <row r="73" spans="1:16">
      <c r="A73" s="325" t="s">
        <v>899</v>
      </c>
      <c r="B73" s="317"/>
      <c r="C73" s="319">
        <f t="shared" si="11"/>
        <v>0</v>
      </c>
      <c r="D73" s="319">
        <f t="array" ref="D73">SUM(IF((Budget[Account Code]=$B73)*(Budget[Date]=D$7),Budget[Amount]))</f>
        <v>0</v>
      </c>
      <c r="E73" s="319">
        <f t="array" ref="E73">SUM(IF((Budget[Account Code]=$B73)*(Budget[Date]=E$7),Budget[Amount]))</f>
        <v>0</v>
      </c>
      <c r="F73" s="319">
        <f t="array" ref="F73">SUM(IF((Budget[Account Code]=$B73)*(Budget[Date]=F$7),Budget[Amount]))</f>
        <v>0</v>
      </c>
      <c r="G73" s="319">
        <f t="array" ref="G73">SUM(IF((Budget[Account Code]=$B73)*(Budget[Date]=G$7),Budget[Amount]))</f>
        <v>0</v>
      </c>
      <c r="H73" s="319">
        <f t="array" ref="H73">SUM(IF((Budget[Account Code]=$B73)*(Budget[Date]=H$7),Budget[Amount]))</f>
        <v>0</v>
      </c>
      <c r="I73" s="319">
        <f t="array" ref="I73">SUM(IF((Budget[Account Code]=$B73)*(Budget[Date]=I$7),Budget[Amount]))</f>
        <v>0</v>
      </c>
      <c r="J73" s="319">
        <f t="array" ref="J73">SUM(IF((Budget[Account Code]=$B73)*(Budget[Date]=J$7),Budget[Amount]))</f>
        <v>0</v>
      </c>
      <c r="K73" s="319">
        <f t="array" ref="K73">SUM(IF((Budget[Account Code]=$B73)*(Budget[Date]=K$7),Budget[Amount]))</f>
        <v>0</v>
      </c>
      <c r="L73" s="319">
        <f t="array" ref="L73">SUM(IF((Budget[Account Code]=$B73)*(Budget[Date]=L$7),Budget[Amount]))</f>
        <v>0</v>
      </c>
      <c r="M73" s="319">
        <f t="array" ref="M73">SUM(IF((Budget[Account Code]=$B73)*(Budget[Date]=M$7),Budget[Amount]))</f>
        <v>0</v>
      </c>
      <c r="N73" s="319">
        <f t="array" ref="N73">SUM(IF((Budget[Account Code]=$B73)*(Budget[Date]=N$7),Budget[Amount]))</f>
        <v>0</v>
      </c>
      <c r="O73" s="319">
        <f t="array" ref="O73">SUM(IF((Budget[Account Code]=$B73)*(Budget[Date]=O$7),Budget[Amount]))</f>
        <v>0</v>
      </c>
      <c r="P73" s="319">
        <f t="shared" si="2"/>
        <v>0</v>
      </c>
    </row>
    <row r="74" spans="1:16">
      <c r="A74" s="325" t="s">
        <v>900</v>
      </c>
      <c r="B74" s="317"/>
      <c r="C74" s="319">
        <f t="shared" si="11"/>
        <v>0</v>
      </c>
      <c r="D74" s="319">
        <f t="array" ref="D74">SUM(IF((Budget[Account Code]=$B74)*(Budget[Date]=D$7),Budget[Amount]))</f>
        <v>0</v>
      </c>
      <c r="E74" s="319">
        <f t="array" ref="E74">SUM(IF((Budget[Account Code]=$B74)*(Budget[Date]=E$7),Budget[Amount]))</f>
        <v>0</v>
      </c>
      <c r="F74" s="319">
        <f t="array" ref="F74">SUM(IF((Budget[Account Code]=$B74)*(Budget[Date]=F$7),Budget[Amount]))</f>
        <v>0</v>
      </c>
      <c r="G74" s="319">
        <f t="array" ref="G74">SUM(IF((Budget[Account Code]=$B74)*(Budget[Date]=G$7),Budget[Amount]))</f>
        <v>0</v>
      </c>
      <c r="H74" s="319">
        <f t="array" ref="H74">SUM(IF((Budget[Account Code]=$B74)*(Budget[Date]=H$7),Budget[Amount]))</f>
        <v>0</v>
      </c>
      <c r="I74" s="319">
        <f t="array" ref="I74">SUM(IF((Budget[Account Code]=$B74)*(Budget[Date]=I$7),Budget[Amount]))</f>
        <v>0</v>
      </c>
      <c r="J74" s="319">
        <f t="array" ref="J74">SUM(IF((Budget[Account Code]=$B74)*(Budget[Date]=J$7),Budget[Amount]))</f>
        <v>0</v>
      </c>
      <c r="K74" s="319">
        <f t="array" ref="K74">SUM(IF((Budget[Account Code]=$B74)*(Budget[Date]=K$7),Budget[Amount]))</f>
        <v>0</v>
      </c>
      <c r="L74" s="319">
        <f t="array" ref="L74">SUM(IF((Budget[Account Code]=$B74)*(Budget[Date]=L$7),Budget[Amount]))</f>
        <v>0</v>
      </c>
      <c r="M74" s="319">
        <f t="array" ref="M74">SUM(IF((Budget[Account Code]=$B74)*(Budget[Date]=M$7),Budget[Amount]))</f>
        <v>0</v>
      </c>
      <c r="N74" s="319">
        <f t="array" ref="N74">SUM(IF((Budget[Account Code]=$B74)*(Budget[Date]=N$7),Budget[Amount]))</f>
        <v>0</v>
      </c>
      <c r="O74" s="319">
        <f t="array" ref="O74">SUM(IF((Budget[Account Code]=$B74)*(Budget[Date]=O$7),Budget[Amount]))</f>
        <v>0</v>
      </c>
      <c r="P74" s="319">
        <f t="shared" si="2"/>
        <v>0</v>
      </c>
    </row>
    <row r="75" spans="1:16" s="171" customFormat="1">
      <c r="A75" s="320" t="s">
        <v>901</v>
      </c>
      <c r="B75" s="317" t="s">
        <v>985</v>
      </c>
      <c r="C75" s="322">
        <f t="shared" si="11"/>
        <v>0</v>
      </c>
      <c r="D75" s="319">
        <f t="array" ref="D75">SUM(IF((Budget[Account Code]=$B75)*(Budget[Date]=D$7),Budget[Amount]))</f>
        <v>0</v>
      </c>
      <c r="E75" s="319">
        <f t="array" ref="E75">SUM(IF((Budget[Account Code]=$B75)*(Budget[Date]=E$7),Budget[Amount]))</f>
        <v>0</v>
      </c>
      <c r="F75" s="319">
        <f t="array" ref="F75">SUM(IF((Budget[Account Code]=$B75)*(Budget[Date]=F$7),Budget[Amount]))</f>
        <v>0</v>
      </c>
      <c r="G75" s="319">
        <f t="array" ref="G75">SUM(IF((Budget[Account Code]=$B75)*(Budget[Date]=G$7),Budget[Amount]))</f>
        <v>0</v>
      </c>
      <c r="H75" s="319">
        <f t="array" ref="H75">SUM(IF((Budget[Account Code]=$B75)*(Budget[Date]=H$7),Budget[Amount]))</f>
        <v>0</v>
      </c>
      <c r="I75" s="319">
        <f t="array" ref="I75">SUM(IF((Budget[Account Code]=$B75)*(Budget[Date]=I$7),Budget[Amount]))</f>
        <v>0</v>
      </c>
      <c r="J75" s="319">
        <f t="array" ref="J75">SUM(IF((Budget[Account Code]=$B75)*(Budget[Date]=J$7),Budget[Amount]))</f>
        <v>0</v>
      </c>
      <c r="K75" s="319">
        <f t="array" ref="K75">SUM(IF((Budget[Account Code]=$B75)*(Budget[Date]=K$7),Budget[Amount]))</f>
        <v>0</v>
      </c>
      <c r="L75" s="319">
        <f t="array" ref="L75">SUM(IF((Budget[Account Code]=$B75)*(Budget[Date]=L$7),Budget[Amount]))</f>
        <v>0</v>
      </c>
      <c r="M75" s="319">
        <f t="array" ref="M75">SUM(IF((Budget[Account Code]=$B75)*(Budget[Date]=M$7),Budget[Amount]))</f>
        <v>0</v>
      </c>
      <c r="N75" s="319">
        <f t="array" ref="N75">SUM(IF((Budget[Account Code]=$B75)*(Budget[Date]=N$7),Budget[Amount]))</f>
        <v>0</v>
      </c>
      <c r="O75" s="319">
        <f t="array" ref="O75">SUM(IF((Budget[Account Code]=$B75)*(Budget[Date]=O$7),Budget[Amount]))</f>
        <v>0</v>
      </c>
      <c r="P75" s="322">
        <f t="shared" si="2"/>
        <v>0</v>
      </c>
    </row>
    <row r="76" spans="1:16" s="171" customFormat="1">
      <c r="A76" s="321" t="s">
        <v>902</v>
      </c>
      <c r="B76" s="317"/>
      <c r="C76" s="322">
        <f>SUM(D76:O76)</f>
        <v>0</v>
      </c>
      <c r="D76" s="322">
        <f>D47+D50+D65+D70+D75</f>
        <v>0</v>
      </c>
      <c r="E76" s="322">
        <f t="shared" ref="E76:O76" si="15">E47+E50+E65+E70+E75</f>
        <v>0</v>
      </c>
      <c r="F76" s="322">
        <f t="shared" si="15"/>
        <v>0</v>
      </c>
      <c r="G76" s="322">
        <f t="shared" si="15"/>
        <v>0</v>
      </c>
      <c r="H76" s="322">
        <f t="shared" si="15"/>
        <v>0</v>
      </c>
      <c r="I76" s="322">
        <f t="shared" si="15"/>
        <v>0</v>
      </c>
      <c r="J76" s="322">
        <f t="shared" si="15"/>
        <v>0</v>
      </c>
      <c r="K76" s="322">
        <f t="shared" si="15"/>
        <v>0</v>
      </c>
      <c r="L76" s="322">
        <f t="shared" si="15"/>
        <v>0</v>
      </c>
      <c r="M76" s="322">
        <f t="shared" si="15"/>
        <v>0</v>
      </c>
      <c r="N76" s="322">
        <f t="shared" si="15"/>
        <v>0</v>
      </c>
      <c r="O76" s="322">
        <f t="shared" si="15"/>
        <v>0</v>
      </c>
      <c r="P76" s="322">
        <f t="shared" ref="P76:P139" si="16">C76</f>
        <v>0</v>
      </c>
    </row>
    <row r="77" spans="1:16" s="171" customFormat="1">
      <c r="A77" s="320" t="s">
        <v>903</v>
      </c>
      <c r="B77" s="317"/>
      <c r="C77" s="322">
        <f t="shared" ref="C77:C123" si="17">SUM(D77:O77)</f>
        <v>0</v>
      </c>
      <c r="D77" s="322">
        <f>D78+D79</f>
        <v>0</v>
      </c>
      <c r="E77" s="322">
        <f t="shared" ref="E77:O77" si="18">E78+E79</f>
        <v>0</v>
      </c>
      <c r="F77" s="322">
        <f t="shared" si="18"/>
        <v>0</v>
      </c>
      <c r="G77" s="322">
        <f t="shared" si="18"/>
        <v>0</v>
      </c>
      <c r="H77" s="322">
        <f t="shared" si="18"/>
        <v>0</v>
      </c>
      <c r="I77" s="322">
        <f t="shared" si="18"/>
        <v>0</v>
      </c>
      <c r="J77" s="322">
        <f t="shared" si="18"/>
        <v>0</v>
      </c>
      <c r="K77" s="322">
        <f t="shared" si="18"/>
        <v>0</v>
      </c>
      <c r="L77" s="322">
        <f t="shared" si="18"/>
        <v>0</v>
      </c>
      <c r="M77" s="322">
        <f t="shared" si="18"/>
        <v>0</v>
      </c>
      <c r="N77" s="322">
        <f t="shared" si="18"/>
        <v>0</v>
      </c>
      <c r="O77" s="322">
        <f t="shared" si="18"/>
        <v>0</v>
      </c>
      <c r="P77" s="322">
        <f t="shared" si="16"/>
        <v>0</v>
      </c>
    </row>
    <row r="78" spans="1:16">
      <c r="A78" s="325" t="s">
        <v>904</v>
      </c>
      <c r="B78" s="317"/>
      <c r="C78" s="319">
        <f t="shared" si="17"/>
        <v>0</v>
      </c>
      <c r="D78" s="319">
        <f t="array" ref="D78">SUM(IF((Budget[Account Code]=$B78)*(Budget[Date]=D$7),Budget[Amount]))</f>
        <v>0</v>
      </c>
      <c r="E78" s="319">
        <f t="array" ref="E78">SUM(IF((Budget[Account Code]=$B78)*(Budget[Date]=E$7),Budget[Amount]))</f>
        <v>0</v>
      </c>
      <c r="F78" s="319">
        <f t="array" ref="F78">SUM(IF((Budget[Account Code]=$B78)*(Budget[Date]=F$7),Budget[Amount]))</f>
        <v>0</v>
      </c>
      <c r="G78" s="319">
        <f t="array" ref="G78">SUM(IF((Budget[Account Code]=$B78)*(Budget[Date]=G$7),Budget[Amount]))</f>
        <v>0</v>
      </c>
      <c r="H78" s="319">
        <f t="array" ref="H78">SUM(IF((Budget[Account Code]=$B78)*(Budget[Date]=H$7),Budget[Amount]))</f>
        <v>0</v>
      </c>
      <c r="I78" s="319">
        <f t="array" ref="I78">SUM(IF((Budget[Account Code]=$B78)*(Budget[Date]=I$7),Budget[Amount]))</f>
        <v>0</v>
      </c>
      <c r="J78" s="319">
        <f t="array" ref="J78">SUM(IF((Budget[Account Code]=$B78)*(Budget[Date]=J$7),Budget[Amount]))</f>
        <v>0</v>
      </c>
      <c r="K78" s="319">
        <f t="array" ref="K78">SUM(IF((Budget[Account Code]=$B78)*(Budget[Date]=K$7),Budget[Amount]))</f>
        <v>0</v>
      </c>
      <c r="L78" s="319">
        <f t="array" ref="L78">SUM(IF((Budget[Account Code]=$B78)*(Budget[Date]=L$7),Budget[Amount]))</f>
        <v>0</v>
      </c>
      <c r="M78" s="319">
        <f t="array" ref="M78">SUM(IF((Budget[Account Code]=$B78)*(Budget[Date]=M$7),Budget[Amount]))</f>
        <v>0</v>
      </c>
      <c r="N78" s="319">
        <f t="array" ref="N78">SUM(IF((Budget[Account Code]=$B78)*(Budget[Date]=N$7),Budget[Amount]))</f>
        <v>0</v>
      </c>
      <c r="O78" s="319">
        <f t="array" ref="O78">SUM(IF((Budget[Account Code]=$B78)*(Budget[Date]=O$7),Budget[Amount]))</f>
        <v>0</v>
      </c>
      <c r="P78" s="319">
        <f t="shared" si="16"/>
        <v>0</v>
      </c>
    </row>
    <row r="79" spans="1:16">
      <c r="A79" s="325" t="s">
        <v>905</v>
      </c>
      <c r="B79" s="317" t="s">
        <v>212</v>
      </c>
      <c r="C79" s="319">
        <f t="shared" si="17"/>
        <v>0</v>
      </c>
      <c r="D79" s="319">
        <f t="array" ref="D79">SUM(IF((Budget[Account Code]=$B79)*(Budget[Date]=D$7),Budget[Amount]))</f>
        <v>0</v>
      </c>
      <c r="E79" s="319">
        <f t="array" ref="E79">SUM(IF((Budget[Account Code]=$B79)*(Budget[Date]=E$7),Budget[Amount]))</f>
        <v>0</v>
      </c>
      <c r="F79" s="319">
        <f t="array" ref="F79">SUM(IF((Budget[Account Code]=$B79)*(Budget[Date]=F$7),Budget[Amount]))</f>
        <v>0</v>
      </c>
      <c r="G79" s="319">
        <f t="array" ref="G79">SUM(IF((Budget[Account Code]=$B79)*(Budget[Date]=G$7),Budget[Amount]))</f>
        <v>0</v>
      </c>
      <c r="H79" s="319">
        <f t="array" ref="H79">SUM(IF((Budget[Account Code]=$B79)*(Budget[Date]=H$7),Budget[Amount]))</f>
        <v>0</v>
      </c>
      <c r="I79" s="319">
        <f t="array" ref="I79">SUM(IF((Budget[Account Code]=$B79)*(Budget[Date]=I$7),Budget[Amount]))</f>
        <v>0</v>
      </c>
      <c r="J79" s="319">
        <f t="array" ref="J79">SUM(IF((Budget[Account Code]=$B79)*(Budget[Date]=J$7),Budget[Amount]))</f>
        <v>0</v>
      </c>
      <c r="K79" s="319">
        <f t="array" ref="K79">SUM(IF((Budget[Account Code]=$B79)*(Budget[Date]=K$7),Budget[Amount]))</f>
        <v>0</v>
      </c>
      <c r="L79" s="319">
        <f t="array" ref="L79">SUM(IF((Budget[Account Code]=$B79)*(Budget[Date]=L$7),Budget[Amount]))</f>
        <v>0</v>
      </c>
      <c r="M79" s="319">
        <f t="array" ref="M79">SUM(IF((Budget[Account Code]=$B79)*(Budget[Date]=M$7),Budget[Amount]))</f>
        <v>0</v>
      </c>
      <c r="N79" s="319">
        <f t="array" ref="N79">SUM(IF((Budget[Account Code]=$B79)*(Budget[Date]=N$7),Budget[Amount]))</f>
        <v>0</v>
      </c>
      <c r="O79" s="319">
        <f t="array" ref="O79">SUM(IF((Budget[Account Code]=$B79)*(Budget[Date]=O$7),Budget[Amount]))</f>
        <v>0</v>
      </c>
      <c r="P79" s="319">
        <f t="shared" si="16"/>
        <v>0</v>
      </c>
    </row>
    <row r="80" spans="1:16" s="171" customFormat="1">
      <c r="A80" s="320" t="s">
        <v>906</v>
      </c>
      <c r="B80" s="317"/>
      <c r="C80" s="322">
        <f t="shared" si="17"/>
        <v>0</v>
      </c>
      <c r="D80" s="322">
        <f>D76+D77</f>
        <v>0</v>
      </c>
      <c r="E80" s="322">
        <f t="shared" ref="E80:O80" si="19">E76+E77</f>
        <v>0</v>
      </c>
      <c r="F80" s="322">
        <f t="shared" si="19"/>
        <v>0</v>
      </c>
      <c r="G80" s="322">
        <f t="shared" si="19"/>
        <v>0</v>
      </c>
      <c r="H80" s="322">
        <f t="shared" si="19"/>
        <v>0</v>
      </c>
      <c r="I80" s="322">
        <f t="shared" si="19"/>
        <v>0</v>
      </c>
      <c r="J80" s="322">
        <f t="shared" si="19"/>
        <v>0</v>
      </c>
      <c r="K80" s="322">
        <f t="shared" si="19"/>
        <v>0</v>
      </c>
      <c r="L80" s="322">
        <f t="shared" si="19"/>
        <v>0</v>
      </c>
      <c r="M80" s="322">
        <f t="shared" si="19"/>
        <v>0</v>
      </c>
      <c r="N80" s="322">
        <f t="shared" si="19"/>
        <v>0</v>
      </c>
      <c r="O80" s="322">
        <f t="shared" si="19"/>
        <v>0</v>
      </c>
      <c r="P80" s="322">
        <f t="shared" si="16"/>
        <v>0</v>
      </c>
    </row>
    <row r="81" spans="1:16" s="171" customFormat="1">
      <c r="A81" s="320"/>
      <c r="B81" s="317"/>
      <c r="C81" s="322"/>
      <c r="D81" s="322"/>
      <c r="E81" s="322"/>
      <c r="F81" s="322"/>
      <c r="G81" s="322"/>
      <c r="H81" s="322"/>
      <c r="I81" s="322"/>
      <c r="J81" s="322"/>
      <c r="K81" s="322"/>
      <c r="L81" s="322"/>
      <c r="M81" s="322"/>
      <c r="N81" s="322"/>
      <c r="O81" s="322"/>
      <c r="P81" s="322">
        <f t="shared" si="16"/>
        <v>0</v>
      </c>
    </row>
    <row r="82" spans="1:16" s="171" customFormat="1" hidden="1">
      <c r="A82" s="320" t="s">
        <v>907</v>
      </c>
      <c r="B82" s="317"/>
      <c r="C82" s="322">
        <f>C80-C61-C62-C71-C72-C74-C78-C79</f>
        <v>0</v>
      </c>
      <c r="D82" s="322"/>
      <c r="E82" s="322"/>
      <c r="F82" s="322"/>
      <c r="G82" s="322"/>
      <c r="H82" s="322"/>
      <c r="I82" s="322"/>
      <c r="J82" s="322"/>
      <c r="K82" s="322"/>
      <c r="L82" s="322"/>
      <c r="M82" s="322"/>
      <c r="N82" s="322"/>
      <c r="O82" s="322"/>
      <c r="P82" s="322">
        <f t="shared" si="16"/>
        <v>0</v>
      </c>
    </row>
    <row r="83" spans="1:16" s="171" customFormat="1" hidden="1">
      <c r="A83" s="320"/>
      <c r="B83" s="317"/>
      <c r="C83" s="322"/>
      <c r="D83" s="322"/>
      <c r="E83" s="322"/>
      <c r="F83" s="322"/>
      <c r="G83" s="322"/>
      <c r="H83" s="322"/>
      <c r="I83" s="322"/>
      <c r="J83" s="322"/>
      <c r="K83" s="322"/>
      <c r="L83" s="322"/>
      <c r="M83" s="322"/>
      <c r="N83" s="322"/>
      <c r="O83" s="322"/>
      <c r="P83" s="322">
        <f t="shared" si="16"/>
        <v>0</v>
      </c>
    </row>
    <row r="84" spans="1:16" s="171" customFormat="1" hidden="1">
      <c r="A84" s="320"/>
      <c r="B84" s="317"/>
      <c r="C84" s="322"/>
      <c r="D84" s="322"/>
      <c r="E84" s="322"/>
      <c r="F84" s="322"/>
      <c r="G84" s="322"/>
      <c r="H84" s="322"/>
      <c r="I84" s="322"/>
      <c r="J84" s="322"/>
      <c r="K84" s="322"/>
      <c r="L84" s="322"/>
      <c r="M84" s="322"/>
      <c r="N84" s="322"/>
      <c r="O84" s="322"/>
      <c r="P84" s="322">
        <f t="shared" si="16"/>
        <v>0</v>
      </c>
    </row>
    <row r="85" spans="1:16" s="171" customFormat="1" hidden="1">
      <c r="A85" s="320"/>
      <c r="B85" s="317"/>
      <c r="C85" s="322"/>
      <c r="D85" s="322"/>
      <c r="E85" s="322"/>
      <c r="F85" s="322"/>
      <c r="G85" s="322"/>
      <c r="H85" s="322"/>
      <c r="I85" s="322"/>
      <c r="J85" s="322"/>
      <c r="K85" s="322"/>
      <c r="L85" s="322"/>
      <c r="M85" s="322"/>
      <c r="N85" s="322"/>
      <c r="O85" s="322"/>
      <c r="P85" s="322">
        <f t="shared" si="16"/>
        <v>0</v>
      </c>
    </row>
    <row r="86" spans="1:16">
      <c r="A86" s="320" t="s">
        <v>908</v>
      </c>
      <c r="B86" s="317"/>
      <c r="C86" s="319"/>
      <c r="D86" s="319"/>
      <c r="E86" s="319"/>
      <c r="F86" s="319"/>
      <c r="G86" s="319"/>
      <c r="H86" s="319"/>
      <c r="I86" s="319"/>
      <c r="J86" s="319"/>
      <c r="K86" s="319"/>
      <c r="L86" s="319"/>
      <c r="M86" s="319"/>
      <c r="N86" s="319"/>
      <c r="O86" s="319"/>
      <c r="P86" s="319">
        <f t="shared" si="16"/>
        <v>0</v>
      </c>
    </row>
    <row r="87" spans="1:16" s="171" customFormat="1">
      <c r="A87" s="321" t="s">
        <v>909</v>
      </c>
      <c r="B87" s="317" t="s">
        <v>223</v>
      </c>
      <c r="C87" s="322">
        <f t="shared" si="17"/>
        <v>0</v>
      </c>
      <c r="D87" s="319">
        <f t="array" ref="D87">SUM(IF((Budget[Account Code]=$B87)*(Budget[Date]=D$7),Budget[Amount]))</f>
        <v>0</v>
      </c>
      <c r="E87" s="319">
        <f t="array" ref="E87">SUM(IF((Budget[Account Code]=$B87)*(Budget[Date]=E$7),Budget[Amount]))</f>
        <v>0</v>
      </c>
      <c r="F87" s="319">
        <f t="array" ref="F87">SUM(IF((Budget[Account Code]=$B87)*(Budget[Date]=F$7),Budget[Amount]))</f>
        <v>0</v>
      </c>
      <c r="G87" s="319">
        <f t="array" ref="G87">SUM(IF((Budget[Account Code]=$B87)*(Budget[Date]=G$7),Budget[Amount]))</f>
        <v>0</v>
      </c>
      <c r="H87" s="319">
        <f t="array" ref="H87">SUM(IF((Budget[Account Code]=$B87)*(Budget[Date]=H$7),Budget[Amount]))</f>
        <v>0</v>
      </c>
      <c r="I87" s="319">
        <f t="array" ref="I87">SUM(IF((Budget[Account Code]=$B87)*(Budget[Date]=I$7),Budget[Amount]))</f>
        <v>0</v>
      </c>
      <c r="J87" s="319">
        <f t="array" ref="J87">SUM(IF((Budget[Account Code]=$B87)*(Budget[Date]=J$7),Budget[Amount]))</f>
        <v>0</v>
      </c>
      <c r="K87" s="319">
        <f t="array" ref="K87">SUM(IF((Budget[Account Code]=$B87)*(Budget[Date]=K$7),Budget[Amount]))</f>
        <v>0</v>
      </c>
      <c r="L87" s="319">
        <f t="array" ref="L87">SUM(IF((Budget[Account Code]=$B87)*(Budget[Date]=L$7),Budget[Amount]))</f>
        <v>0</v>
      </c>
      <c r="M87" s="319">
        <f t="array" ref="M87">SUM(IF((Budget[Account Code]=$B87)*(Budget[Date]=M$7),Budget[Amount]))</f>
        <v>0</v>
      </c>
      <c r="N87" s="319">
        <f t="array" ref="N87">SUM(IF((Budget[Account Code]=$B87)*(Budget[Date]=N$7),Budget[Amount]))</f>
        <v>0</v>
      </c>
      <c r="O87" s="319">
        <f t="array" ref="O87">SUM(IF((Budget[Account Code]=$B87)*(Budget[Date]=O$7),Budget[Amount]))</f>
        <v>0</v>
      </c>
      <c r="P87" s="322">
        <f t="shared" si="16"/>
        <v>0</v>
      </c>
    </row>
    <row r="88" spans="1:16" s="171" customFormat="1">
      <c r="A88" s="321" t="s">
        <v>910</v>
      </c>
      <c r="B88" s="317" t="s">
        <v>224</v>
      </c>
      <c r="C88" s="322">
        <f t="shared" si="17"/>
        <v>0</v>
      </c>
      <c r="D88" s="319">
        <f t="array" ref="D88">SUM(IF((Budget[Account Code]=$B88)*(Budget[Date]=D$7),Budget[Amount]))</f>
        <v>0</v>
      </c>
      <c r="E88" s="319">
        <f t="array" ref="E88">SUM(IF((Budget[Account Code]=$B88)*(Budget[Date]=E$7),Budget[Amount]))</f>
        <v>0</v>
      </c>
      <c r="F88" s="319">
        <f t="array" ref="F88">SUM(IF((Budget[Account Code]=$B88)*(Budget[Date]=F$7),Budget[Amount]))</f>
        <v>0</v>
      </c>
      <c r="G88" s="319">
        <f t="array" ref="G88">SUM(IF((Budget[Account Code]=$B88)*(Budget[Date]=G$7),Budget[Amount]))</f>
        <v>0</v>
      </c>
      <c r="H88" s="319">
        <f t="array" ref="H88">SUM(IF((Budget[Account Code]=$B88)*(Budget[Date]=H$7),Budget[Amount]))</f>
        <v>0</v>
      </c>
      <c r="I88" s="319">
        <f t="array" ref="I88">SUM(IF((Budget[Account Code]=$B88)*(Budget[Date]=I$7),Budget[Amount]))</f>
        <v>0</v>
      </c>
      <c r="J88" s="319">
        <f t="array" ref="J88">SUM(IF((Budget[Account Code]=$B88)*(Budget[Date]=J$7),Budget[Amount]))</f>
        <v>0</v>
      </c>
      <c r="K88" s="319">
        <f t="array" ref="K88">SUM(IF((Budget[Account Code]=$B88)*(Budget[Date]=K$7),Budget[Amount]))</f>
        <v>0</v>
      </c>
      <c r="L88" s="319">
        <f t="array" ref="L88">SUM(IF((Budget[Account Code]=$B88)*(Budget[Date]=L$7),Budget[Amount]))</f>
        <v>0</v>
      </c>
      <c r="M88" s="319">
        <f t="array" ref="M88">SUM(IF((Budget[Account Code]=$B88)*(Budget[Date]=M$7),Budget[Amount]))</f>
        <v>0</v>
      </c>
      <c r="N88" s="319">
        <f t="array" ref="N88">SUM(IF((Budget[Account Code]=$B88)*(Budget[Date]=N$7),Budget[Amount]))</f>
        <v>0</v>
      </c>
      <c r="O88" s="319">
        <f t="array" ref="O88">SUM(IF((Budget[Account Code]=$B88)*(Budget[Date]=O$7),Budget[Amount]))</f>
        <v>0</v>
      </c>
      <c r="P88" s="322">
        <f t="shared" si="16"/>
        <v>0</v>
      </c>
    </row>
    <row r="89" spans="1:16" s="171" customFormat="1">
      <c r="A89" s="321" t="s">
        <v>911</v>
      </c>
      <c r="B89" s="317"/>
      <c r="C89" s="322">
        <f t="shared" si="17"/>
        <v>0</v>
      </c>
      <c r="D89" s="322">
        <f>SUM(D90:D96)</f>
        <v>0</v>
      </c>
      <c r="E89" s="322">
        <f t="shared" ref="E89:O89" si="20">SUM(E90:E96)</f>
        <v>0</v>
      </c>
      <c r="F89" s="322">
        <f t="shared" si="20"/>
        <v>0</v>
      </c>
      <c r="G89" s="322">
        <f t="shared" si="20"/>
        <v>0</v>
      </c>
      <c r="H89" s="322">
        <f t="shared" si="20"/>
        <v>0</v>
      </c>
      <c r="I89" s="322">
        <f t="shared" si="20"/>
        <v>0</v>
      </c>
      <c r="J89" s="322">
        <f t="shared" si="20"/>
        <v>0</v>
      </c>
      <c r="K89" s="322">
        <f t="shared" si="20"/>
        <v>0</v>
      </c>
      <c r="L89" s="322">
        <f t="shared" si="20"/>
        <v>0</v>
      </c>
      <c r="M89" s="322">
        <f t="shared" si="20"/>
        <v>0</v>
      </c>
      <c r="N89" s="322">
        <f t="shared" si="20"/>
        <v>0</v>
      </c>
      <c r="O89" s="322">
        <f t="shared" si="20"/>
        <v>0</v>
      </c>
      <c r="P89" s="322">
        <f t="shared" si="16"/>
        <v>0</v>
      </c>
    </row>
    <row r="90" spans="1:16">
      <c r="A90" s="323" t="s">
        <v>912</v>
      </c>
      <c r="B90" s="317" t="s">
        <v>225</v>
      </c>
      <c r="C90" s="319">
        <f t="shared" si="17"/>
        <v>0</v>
      </c>
      <c r="D90" s="319">
        <f t="array" ref="D90">SUM(IF((Budget[Account Code]=$B90)*(Budget[Date]=D$7),Budget[Amount]))</f>
        <v>0</v>
      </c>
      <c r="E90" s="319">
        <f t="array" ref="E90">SUM(IF((Budget[Account Code]=$B90)*(Budget[Date]=E$7),Budget[Amount]))</f>
        <v>0</v>
      </c>
      <c r="F90" s="319">
        <f t="array" ref="F90">SUM(IF((Budget[Account Code]=$B90)*(Budget[Date]=F$7),Budget[Amount]))</f>
        <v>0</v>
      </c>
      <c r="G90" s="319">
        <f t="array" ref="G90">SUM(IF((Budget[Account Code]=$B90)*(Budget[Date]=G$7),Budget[Amount]))</f>
        <v>0</v>
      </c>
      <c r="H90" s="319">
        <f t="array" ref="H90">SUM(IF((Budget[Account Code]=$B90)*(Budget[Date]=H$7),Budget[Amount]))</f>
        <v>0</v>
      </c>
      <c r="I90" s="319">
        <f t="array" ref="I90">SUM(IF((Budget[Account Code]=$B90)*(Budget[Date]=I$7),Budget[Amount]))</f>
        <v>0</v>
      </c>
      <c r="J90" s="319">
        <f t="array" ref="J90">SUM(IF((Budget[Account Code]=$B90)*(Budget[Date]=J$7),Budget[Amount]))</f>
        <v>0</v>
      </c>
      <c r="K90" s="319">
        <f t="array" ref="K90">SUM(IF((Budget[Account Code]=$B90)*(Budget[Date]=K$7),Budget[Amount]))</f>
        <v>0</v>
      </c>
      <c r="L90" s="319">
        <f t="array" ref="L90">SUM(IF((Budget[Account Code]=$B90)*(Budget[Date]=L$7),Budget[Amount]))</f>
        <v>0</v>
      </c>
      <c r="M90" s="319">
        <f t="array" ref="M90">SUM(IF((Budget[Account Code]=$B90)*(Budget[Date]=M$7),Budget[Amount]))</f>
        <v>0</v>
      </c>
      <c r="N90" s="319">
        <f t="array" ref="N90">SUM(IF((Budget[Account Code]=$B90)*(Budget[Date]=N$7),Budget[Amount]))</f>
        <v>0</v>
      </c>
      <c r="O90" s="319">
        <f t="array" ref="O90">SUM(IF((Budget[Account Code]=$B90)*(Budget[Date]=O$7),Budget[Amount]))</f>
        <v>0</v>
      </c>
      <c r="P90" s="319">
        <f t="shared" si="16"/>
        <v>0</v>
      </c>
    </row>
    <row r="91" spans="1:16">
      <c r="A91" s="323" t="s">
        <v>913</v>
      </c>
      <c r="B91" s="317" t="s">
        <v>226</v>
      </c>
      <c r="C91" s="319">
        <f t="shared" si="17"/>
        <v>0</v>
      </c>
      <c r="D91" s="319">
        <f t="array" ref="D91">SUM(IF((Budget[Account Code]=$B91)*(Budget[Date]=D$7),Budget[Amount]))</f>
        <v>0</v>
      </c>
      <c r="E91" s="319">
        <f t="array" ref="E91">SUM(IF((Budget[Account Code]=$B91)*(Budget[Date]=E$7),Budget[Amount]))</f>
        <v>0</v>
      </c>
      <c r="F91" s="319">
        <f t="array" ref="F91">SUM(IF((Budget[Account Code]=$B91)*(Budget[Date]=F$7),Budget[Amount]))</f>
        <v>0</v>
      </c>
      <c r="G91" s="319">
        <f t="array" ref="G91">SUM(IF((Budget[Account Code]=$B91)*(Budget[Date]=G$7),Budget[Amount]))</f>
        <v>0</v>
      </c>
      <c r="H91" s="319">
        <f t="array" ref="H91">SUM(IF((Budget[Account Code]=$B91)*(Budget[Date]=H$7),Budget[Amount]))</f>
        <v>0</v>
      </c>
      <c r="I91" s="319">
        <f t="array" ref="I91">SUM(IF((Budget[Account Code]=$B91)*(Budget[Date]=I$7),Budget[Amount]))</f>
        <v>0</v>
      </c>
      <c r="J91" s="319">
        <f t="array" ref="J91">SUM(IF((Budget[Account Code]=$B91)*(Budget[Date]=J$7),Budget[Amount]))</f>
        <v>0</v>
      </c>
      <c r="K91" s="319">
        <f t="array" ref="K91">SUM(IF((Budget[Account Code]=$B91)*(Budget[Date]=K$7),Budget[Amount]))</f>
        <v>0</v>
      </c>
      <c r="L91" s="319">
        <f t="array" ref="L91">SUM(IF((Budget[Account Code]=$B91)*(Budget[Date]=L$7),Budget[Amount]))</f>
        <v>0</v>
      </c>
      <c r="M91" s="319">
        <f t="array" ref="M91">SUM(IF((Budget[Account Code]=$B91)*(Budget[Date]=M$7),Budget[Amount]))</f>
        <v>0</v>
      </c>
      <c r="N91" s="319">
        <f t="array" ref="N91">SUM(IF((Budget[Account Code]=$B91)*(Budget[Date]=N$7),Budget[Amount]))</f>
        <v>0</v>
      </c>
      <c r="O91" s="319">
        <f t="array" ref="O91">SUM(IF((Budget[Account Code]=$B91)*(Budget[Date]=O$7),Budget[Amount]))</f>
        <v>0</v>
      </c>
      <c r="P91" s="319">
        <f t="shared" si="16"/>
        <v>0</v>
      </c>
    </row>
    <row r="92" spans="1:16">
      <c r="A92" s="323" t="s">
        <v>914</v>
      </c>
      <c r="B92" s="317" t="s">
        <v>227</v>
      </c>
      <c r="C92" s="319">
        <f t="shared" si="17"/>
        <v>0</v>
      </c>
      <c r="D92" s="319">
        <f t="array" ref="D92">SUM(IF((Budget[Account Code]=$B92)*(Budget[Date]=D$7),Budget[Amount]))</f>
        <v>0</v>
      </c>
      <c r="E92" s="319">
        <f t="array" ref="E92">SUM(IF((Budget[Account Code]=$B92)*(Budget[Date]=E$7),Budget[Amount]))</f>
        <v>0</v>
      </c>
      <c r="F92" s="319">
        <f t="array" ref="F92">SUM(IF((Budget[Account Code]=$B92)*(Budget[Date]=F$7),Budget[Amount]))</f>
        <v>0</v>
      </c>
      <c r="G92" s="319">
        <f t="array" ref="G92">SUM(IF((Budget[Account Code]=$B92)*(Budget[Date]=G$7),Budget[Amount]))</f>
        <v>0</v>
      </c>
      <c r="H92" s="319">
        <f t="array" ref="H92">SUM(IF((Budget[Account Code]=$B92)*(Budget[Date]=H$7),Budget[Amount]))</f>
        <v>0</v>
      </c>
      <c r="I92" s="319">
        <f t="array" ref="I92">SUM(IF((Budget[Account Code]=$B92)*(Budget[Date]=I$7),Budget[Amount]))</f>
        <v>0</v>
      </c>
      <c r="J92" s="319">
        <f t="array" ref="J92">SUM(IF((Budget[Account Code]=$B92)*(Budget[Date]=J$7),Budget[Amount]))</f>
        <v>0</v>
      </c>
      <c r="K92" s="319">
        <f t="array" ref="K92">SUM(IF((Budget[Account Code]=$B92)*(Budget[Date]=K$7),Budget[Amount]))</f>
        <v>0</v>
      </c>
      <c r="L92" s="319">
        <f t="array" ref="L92">SUM(IF((Budget[Account Code]=$B92)*(Budget[Date]=L$7),Budget[Amount]))</f>
        <v>0</v>
      </c>
      <c r="M92" s="319">
        <f t="array" ref="M92">SUM(IF((Budget[Account Code]=$B92)*(Budget[Date]=M$7),Budget[Amount]))</f>
        <v>0</v>
      </c>
      <c r="N92" s="319">
        <f t="array" ref="N92">SUM(IF((Budget[Account Code]=$B92)*(Budget[Date]=N$7),Budget[Amount]))</f>
        <v>0</v>
      </c>
      <c r="O92" s="319">
        <f t="array" ref="O92">SUM(IF((Budget[Account Code]=$B92)*(Budget[Date]=O$7),Budget[Amount]))</f>
        <v>0</v>
      </c>
      <c r="P92" s="319">
        <f t="shared" si="16"/>
        <v>0</v>
      </c>
    </row>
    <row r="93" spans="1:16">
      <c r="A93" s="323" t="s">
        <v>915</v>
      </c>
      <c r="B93" s="317" t="s">
        <v>228</v>
      </c>
      <c r="C93" s="319">
        <f t="shared" si="17"/>
        <v>0</v>
      </c>
      <c r="D93" s="319">
        <f t="array" ref="D93">SUM(IF((Budget[Account Code]=$B93)*(Budget[Date]=D$7),Budget[Amount]))</f>
        <v>0</v>
      </c>
      <c r="E93" s="319">
        <f t="array" ref="E93">SUM(IF((Budget[Account Code]=$B93)*(Budget[Date]=E$7),Budget[Amount]))</f>
        <v>0</v>
      </c>
      <c r="F93" s="319">
        <f t="array" ref="F93">SUM(IF((Budget[Account Code]=$B93)*(Budget[Date]=F$7),Budget[Amount]))</f>
        <v>0</v>
      </c>
      <c r="G93" s="319">
        <f t="array" ref="G93">SUM(IF((Budget[Account Code]=$B93)*(Budget[Date]=G$7),Budget[Amount]))</f>
        <v>0</v>
      </c>
      <c r="H93" s="319">
        <f t="array" ref="H93">SUM(IF((Budget[Account Code]=$B93)*(Budget[Date]=H$7),Budget[Amount]))</f>
        <v>0</v>
      </c>
      <c r="I93" s="319">
        <f t="array" ref="I93">SUM(IF((Budget[Account Code]=$B93)*(Budget[Date]=I$7),Budget[Amount]))</f>
        <v>0</v>
      </c>
      <c r="J93" s="319">
        <f t="array" ref="J93">SUM(IF((Budget[Account Code]=$B93)*(Budget[Date]=J$7),Budget[Amount]))</f>
        <v>0</v>
      </c>
      <c r="K93" s="319">
        <f t="array" ref="K93">SUM(IF((Budget[Account Code]=$B93)*(Budget[Date]=K$7),Budget[Amount]))</f>
        <v>0</v>
      </c>
      <c r="L93" s="319">
        <f t="array" ref="L93">SUM(IF((Budget[Account Code]=$B93)*(Budget[Date]=L$7),Budget[Amount]))</f>
        <v>0</v>
      </c>
      <c r="M93" s="319">
        <f t="array" ref="M93">SUM(IF((Budget[Account Code]=$B93)*(Budget[Date]=M$7),Budget[Amount]))</f>
        <v>0</v>
      </c>
      <c r="N93" s="319">
        <f t="array" ref="N93">SUM(IF((Budget[Account Code]=$B93)*(Budget[Date]=N$7),Budget[Amount]))</f>
        <v>0</v>
      </c>
      <c r="O93" s="319">
        <f t="array" ref="O93">SUM(IF((Budget[Account Code]=$B93)*(Budget[Date]=O$7),Budget[Amount]))</f>
        <v>0</v>
      </c>
      <c r="P93" s="319">
        <f t="shared" si="16"/>
        <v>0</v>
      </c>
    </row>
    <row r="94" spans="1:16">
      <c r="A94" s="323" t="s">
        <v>916</v>
      </c>
      <c r="B94" s="317" t="s">
        <v>229</v>
      </c>
      <c r="C94" s="319">
        <f t="shared" si="17"/>
        <v>0</v>
      </c>
      <c r="D94" s="319">
        <f t="array" ref="D94">SUM(IF((Budget[Account Code]=$B94)*(Budget[Date]=D$7),Budget[Amount]))</f>
        <v>0</v>
      </c>
      <c r="E94" s="319">
        <f t="array" ref="E94">SUM(IF((Budget[Account Code]=$B94)*(Budget[Date]=E$7),Budget[Amount]))</f>
        <v>0</v>
      </c>
      <c r="F94" s="319">
        <f t="array" ref="F94">SUM(IF((Budget[Account Code]=$B94)*(Budget[Date]=F$7),Budget[Amount]))</f>
        <v>0</v>
      </c>
      <c r="G94" s="319">
        <f t="array" ref="G94">SUM(IF((Budget[Account Code]=$B94)*(Budget[Date]=G$7),Budget[Amount]))</f>
        <v>0</v>
      </c>
      <c r="H94" s="319">
        <f t="array" ref="H94">SUM(IF((Budget[Account Code]=$B94)*(Budget[Date]=H$7),Budget[Amount]))</f>
        <v>0</v>
      </c>
      <c r="I94" s="319">
        <f t="array" ref="I94">SUM(IF((Budget[Account Code]=$B94)*(Budget[Date]=I$7),Budget[Amount]))</f>
        <v>0</v>
      </c>
      <c r="J94" s="319">
        <f t="array" ref="J94">SUM(IF((Budget[Account Code]=$B94)*(Budget[Date]=J$7),Budget[Amount]))</f>
        <v>0</v>
      </c>
      <c r="K94" s="319">
        <f t="array" ref="K94">SUM(IF((Budget[Account Code]=$B94)*(Budget[Date]=K$7),Budget[Amount]))</f>
        <v>0</v>
      </c>
      <c r="L94" s="319">
        <f t="array" ref="L94">SUM(IF((Budget[Account Code]=$B94)*(Budget[Date]=L$7),Budget[Amount]))</f>
        <v>0</v>
      </c>
      <c r="M94" s="319">
        <f t="array" ref="M94">SUM(IF((Budget[Account Code]=$B94)*(Budget[Date]=M$7),Budget[Amount]))</f>
        <v>0</v>
      </c>
      <c r="N94" s="319">
        <f t="array" ref="N94">SUM(IF((Budget[Account Code]=$B94)*(Budget[Date]=N$7),Budget[Amount]))</f>
        <v>0</v>
      </c>
      <c r="O94" s="319">
        <f t="array" ref="O94">SUM(IF((Budget[Account Code]=$B94)*(Budget[Date]=O$7),Budget[Amount]))</f>
        <v>0</v>
      </c>
      <c r="P94" s="319">
        <f t="shared" si="16"/>
        <v>0</v>
      </c>
    </row>
    <row r="95" spans="1:16">
      <c r="A95" s="323" t="s">
        <v>917</v>
      </c>
      <c r="B95" s="317" t="s">
        <v>230</v>
      </c>
      <c r="C95" s="319">
        <f t="shared" si="17"/>
        <v>0</v>
      </c>
      <c r="D95" s="319">
        <f t="array" ref="D95">SUM(IF((Budget[Account Code]=$B95)*(Budget[Date]=D$7),Budget[Amount]))</f>
        <v>0</v>
      </c>
      <c r="E95" s="319">
        <f t="array" ref="E95">SUM(IF((Budget[Account Code]=$B95)*(Budget[Date]=E$7),Budget[Amount]))</f>
        <v>0</v>
      </c>
      <c r="F95" s="319">
        <f t="array" ref="F95">SUM(IF((Budget[Account Code]=$B95)*(Budget[Date]=F$7),Budget[Amount]))</f>
        <v>0</v>
      </c>
      <c r="G95" s="319">
        <f t="array" ref="G95">SUM(IF((Budget[Account Code]=$B95)*(Budget[Date]=G$7),Budget[Amount]))</f>
        <v>0</v>
      </c>
      <c r="H95" s="319">
        <f t="array" ref="H95">SUM(IF((Budget[Account Code]=$B95)*(Budget[Date]=H$7),Budget[Amount]))</f>
        <v>0</v>
      </c>
      <c r="I95" s="319">
        <f t="array" ref="I95">SUM(IF((Budget[Account Code]=$B95)*(Budget[Date]=I$7),Budget[Amount]))</f>
        <v>0</v>
      </c>
      <c r="J95" s="319">
        <f t="array" ref="J95">SUM(IF((Budget[Account Code]=$B95)*(Budget[Date]=J$7),Budget[Amount]))</f>
        <v>0</v>
      </c>
      <c r="K95" s="319">
        <f t="array" ref="K95">SUM(IF((Budget[Account Code]=$B95)*(Budget[Date]=K$7),Budget[Amount]))</f>
        <v>0</v>
      </c>
      <c r="L95" s="319">
        <f t="array" ref="L95">SUM(IF((Budget[Account Code]=$B95)*(Budget[Date]=L$7),Budget[Amount]))</f>
        <v>0</v>
      </c>
      <c r="M95" s="319">
        <f t="array" ref="M95">SUM(IF((Budget[Account Code]=$B95)*(Budget[Date]=M$7),Budget[Amount]))</f>
        <v>0</v>
      </c>
      <c r="N95" s="319">
        <f t="array" ref="N95">SUM(IF((Budget[Account Code]=$B95)*(Budget[Date]=N$7),Budget[Amount]))</f>
        <v>0</v>
      </c>
      <c r="O95" s="319">
        <f t="array" ref="O95">SUM(IF((Budget[Account Code]=$B95)*(Budget[Date]=O$7),Budget[Amount]))</f>
        <v>0</v>
      </c>
      <c r="P95" s="319">
        <f t="shared" si="16"/>
        <v>0</v>
      </c>
    </row>
    <row r="96" spans="1:16">
      <c r="A96" s="323" t="s">
        <v>918</v>
      </c>
      <c r="B96" s="317" t="s">
        <v>231</v>
      </c>
      <c r="C96" s="319">
        <f t="shared" si="17"/>
        <v>0</v>
      </c>
      <c r="D96" s="319">
        <f t="array" ref="D96">SUM(IF((Budget[Account Code]=$B96)*(Budget[Date]=D$7),Budget[Amount]))</f>
        <v>0</v>
      </c>
      <c r="E96" s="319">
        <f t="array" ref="E96">SUM(IF((Budget[Account Code]=$B96)*(Budget[Date]=E$7),Budget[Amount]))</f>
        <v>0</v>
      </c>
      <c r="F96" s="319">
        <f t="array" ref="F96">SUM(IF((Budget[Account Code]=$B96)*(Budget[Date]=F$7),Budget[Amount]))</f>
        <v>0</v>
      </c>
      <c r="G96" s="319">
        <f t="array" ref="G96">SUM(IF((Budget[Account Code]=$B96)*(Budget[Date]=G$7),Budget[Amount]))</f>
        <v>0</v>
      </c>
      <c r="H96" s="319">
        <f t="array" ref="H96">SUM(IF((Budget[Account Code]=$B96)*(Budget[Date]=H$7),Budget[Amount]))</f>
        <v>0</v>
      </c>
      <c r="I96" s="319">
        <f t="array" ref="I96">SUM(IF((Budget[Account Code]=$B96)*(Budget[Date]=I$7),Budget[Amount]))</f>
        <v>0</v>
      </c>
      <c r="J96" s="319">
        <f t="array" ref="J96">SUM(IF((Budget[Account Code]=$B96)*(Budget[Date]=J$7),Budget[Amount]))</f>
        <v>0</v>
      </c>
      <c r="K96" s="319">
        <f t="array" ref="K96">SUM(IF((Budget[Account Code]=$B96)*(Budget[Date]=K$7),Budget[Amount]))</f>
        <v>0</v>
      </c>
      <c r="L96" s="319">
        <f t="array" ref="L96">SUM(IF((Budget[Account Code]=$B96)*(Budget[Date]=L$7),Budget[Amount]))</f>
        <v>0</v>
      </c>
      <c r="M96" s="319">
        <f t="array" ref="M96">SUM(IF((Budget[Account Code]=$B96)*(Budget[Date]=M$7),Budget[Amount]))</f>
        <v>0</v>
      </c>
      <c r="N96" s="319">
        <f t="array" ref="N96">SUM(IF((Budget[Account Code]=$B96)*(Budget[Date]=N$7),Budget[Amount]))</f>
        <v>0</v>
      </c>
      <c r="O96" s="319">
        <f t="array" ref="O96">SUM(IF((Budget[Account Code]=$B96)*(Budget[Date]=O$7),Budget[Amount]))</f>
        <v>0</v>
      </c>
      <c r="P96" s="319">
        <f t="shared" si="16"/>
        <v>0</v>
      </c>
    </row>
    <row r="97" spans="1:16" s="171" customFormat="1">
      <c r="A97" s="321" t="s">
        <v>919</v>
      </c>
      <c r="B97" s="317"/>
      <c r="C97" s="322">
        <f t="shared" si="17"/>
        <v>0</v>
      </c>
      <c r="D97" s="322">
        <f>D98+D99</f>
        <v>0</v>
      </c>
      <c r="E97" s="322">
        <f t="shared" ref="E97:O97" si="21">E98+E99</f>
        <v>0</v>
      </c>
      <c r="F97" s="322">
        <f t="shared" si="21"/>
        <v>0</v>
      </c>
      <c r="G97" s="322">
        <f t="shared" si="21"/>
        <v>0</v>
      </c>
      <c r="H97" s="322">
        <f t="shared" si="21"/>
        <v>0</v>
      </c>
      <c r="I97" s="322">
        <f t="shared" si="21"/>
        <v>0</v>
      </c>
      <c r="J97" s="322">
        <f t="shared" si="21"/>
        <v>0</v>
      </c>
      <c r="K97" s="322">
        <f t="shared" si="21"/>
        <v>0</v>
      </c>
      <c r="L97" s="322">
        <f t="shared" si="21"/>
        <v>0</v>
      </c>
      <c r="M97" s="322">
        <f t="shared" si="21"/>
        <v>0</v>
      </c>
      <c r="N97" s="322">
        <f t="shared" si="21"/>
        <v>0</v>
      </c>
      <c r="O97" s="322">
        <f t="shared" si="21"/>
        <v>0</v>
      </c>
      <c r="P97" s="322">
        <f t="shared" si="16"/>
        <v>0</v>
      </c>
    </row>
    <row r="98" spans="1:16">
      <c r="A98" s="323" t="s">
        <v>920</v>
      </c>
      <c r="B98" s="317" t="s">
        <v>232</v>
      </c>
      <c r="C98" s="319">
        <f t="shared" si="17"/>
        <v>0</v>
      </c>
      <c r="D98" s="319">
        <f t="array" ref="D98">SUM(IF((Budget[Account Code]=$B98)*(Budget[Date]=D$7),Budget[Amount]))</f>
        <v>0</v>
      </c>
      <c r="E98" s="319">
        <f t="array" ref="E98">SUM(IF((Budget[Account Code]=$B98)*(Budget[Date]=E$7),Budget[Amount]))</f>
        <v>0</v>
      </c>
      <c r="F98" s="319">
        <f t="array" ref="F98">SUM(IF((Budget[Account Code]=$B98)*(Budget[Date]=F$7),Budget[Amount]))</f>
        <v>0</v>
      </c>
      <c r="G98" s="319">
        <f t="array" ref="G98">SUM(IF((Budget[Account Code]=$B98)*(Budget[Date]=G$7),Budget[Amount]))</f>
        <v>0</v>
      </c>
      <c r="H98" s="319">
        <f t="array" ref="H98">SUM(IF((Budget[Account Code]=$B98)*(Budget[Date]=H$7),Budget[Amount]))</f>
        <v>0</v>
      </c>
      <c r="I98" s="319">
        <f t="array" ref="I98">SUM(IF((Budget[Account Code]=$B98)*(Budget[Date]=I$7),Budget[Amount]))</f>
        <v>0</v>
      </c>
      <c r="J98" s="319">
        <f t="array" ref="J98">SUM(IF((Budget[Account Code]=$B98)*(Budget[Date]=J$7),Budget[Amount]))</f>
        <v>0</v>
      </c>
      <c r="K98" s="319">
        <f t="array" ref="K98">SUM(IF((Budget[Account Code]=$B98)*(Budget[Date]=K$7),Budget[Amount]))</f>
        <v>0</v>
      </c>
      <c r="L98" s="319">
        <f t="array" ref="L98">SUM(IF((Budget[Account Code]=$B98)*(Budget[Date]=L$7),Budget[Amount]))</f>
        <v>0</v>
      </c>
      <c r="M98" s="319">
        <f t="array" ref="M98">SUM(IF((Budget[Account Code]=$B98)*(Budget[Date]=M$7),Budget[Amount]))</f>
        <v>0</v>
      </c>
      <c r="N98" s="319">
        <f t="array" ref="N98">SUM(IF((Budget[Account Code]=$B98)*(Budget[Date]=N$7),Budget[Amount]))</f>
        <v>0</v>
      </c>
      <c r="O98" s="319">
        <f t="array" ref="O98">SUM(IF((Budget[Account Code]=$B98)*(Budget[Date]=O$7),Budget[Amount]))</f>
        <v>0</v>
      </c>
      <c r="P98" s="319">
        <f t="shared" si="16"/>
        <v>0</v>
      </c>
    </row>
    <row r="99" spans="1:16">
      <c r="A99" s="323" t="s">
        <v>921</v>
      </c>
      <c r="B99" s="317"/>
      <c r="C99" s="319">
        <f t="shared" si="17"/>
        <v>0</v>
      </c>
      <c r="D99" s="319">
        <f>SUM(D100:D101)</f>
        <v>0</v>
      </c>
      <c r="E99" s="319">
        <f t="shared" ref="E99:O99" si="22">SUM(E100:E101)</f>
        <v>0</v>
      </c>
      <c r="F99" s="319">
        <f t="shared" si="22"/>
        <v>0</v>
      </c>
      <c r="G99" s="319">
        <f t="shared" si="22"/>
        <v>0</v>
      </c>
      <c r="H99" s="319">
        <f t="shared" si="22"/>
        <v>0</v>
      </c>
      <c r="I99" s="319">
        <f t="shared" si="22"/>
        <v>0</v>
      </c>
      <c r="J99" s="319">
        <f t="shared" si="22"/>
        <v>0</v>
      </c>
      <c r="K99" s="319">
        <f t="shared" si="22"/>
        <v>0</v>
      </c>
      <c r="L99" s="319">
        <f t="shared" si="22"/>
        <v>0</v>
      </c>
      <c r="M99" s="319">
        <f t="shared" si="22"/>
        <v>0</v>
      </c>
      <c r="N99" s="319">
        <f t="shared" si="22"/>
        <v>0</v>
      </c>
      <c r="O99" s="319">
        <f t="shared" si="22"/>
        <v>0</v>
      </c>
      <c r="P99" s="319">
        <f t="shared" si="16"/>
        <v>0</v>
      </c>
    </row>
    <row r="100" spans="1:16">
      <c r="A100" s="323" t="s">
        <v>922</v>
      </c>
      <c r="B100" s="317" t="s">
        <v>233</v>
      </c>
      <c r="C100" s="319">
        <f t="shared" si="17"/>
        <v>0</v>
      </c>
      <c r="D100" s="319">
        <f t="array" ref="D100">SUM(IF((Budget[Account Code]=$B100)*(Budget[Date]=D$7),Budget[Amount]))</f>
        <v>0</v>
      </c>
      <c r="E100" s="319">
        <f t="array" ref="E100">SUM(IF((Budget[Account Code]=$B100)*(Budget[Date]=E$7),Budget[Amount]))</f>
        <v>0</v>
      </c>
      <c r="F100" s="319">
        <f t="array" ref="F100">SUM(IF((Budget[Account Code]=$B100)*(Budget[Date]=F$7),Budget[Amount]))</f>
        <v>0</v>
      </c>
      <c r="G100" s="319">
        <f t="array" ref="G100">SUM(IF((Budget[Account Code]=$B100)*(Budget[Date]=G$7),Budget[Amount]))</f>
        <v>0</v>
      </c>
      <c r="H100" s="319">
        <f t="array" ref="H100">SUM(IF((Budget[Account Code]=$B100)*(Budget[Date]=H$7),Budget[Amount]))</f>
        <v>0</v>
      </c>
      <c r="I100" s="319">
        <f t="array" ref="I100">SUM(IF((Budget[Account Code]=$B100)*(Budget[Date]=I$7),Budget[Amount]))</f>
        <v>0</v>
      </c>
      <c r="J100" s="319">
        <f t="array" ref="J100">SUM(IF((Budget[Account Code]=$B100)*(Budget[Date]=J$7),Budget[Amount]))</f>
        <v>0</v>
      </c>
      <c r="K100" s="319">
        <f t="array" ref="K100">SUM(IF((Budget[Account Code]=$B100)*(Budget[Date]=K$7),Budget[Amount]))</f>
        <v>0</v>
      </c>
      <c r="L100" s="319">
        <f t="array" ref="L100">SUM(IF((Budget[Account Code]=$B100)*(Budget[Date]=L$7),Budget[Amount]))</f>
        <v>0</v>
      </c>
      <c r="M100" s="319">
        <f t="array" ref="M100">SUM(IF((Budget[Account Code]=$B100)*(Budget[Date]=M$7),Budget[Amount]))</f>
        <v>0</v>
      </c>
      <c r="N100" s="319">
        <f t="array" ref="N100">SUM(IF((Budget[Account Code]=$B100)*(Budget[Date]=N$7),Budget[Amount]))</f>
        <v>0</v>
      </c>
      <c r="O100" s="319">
        <f t="array" ref="O100">SUM(IF((Budget[Account Code]=$B100)*(Budget[Date]=O$7),Budget[Amount]))</f>
        <v>0</v>
      </c>
      <c r="P100" s="319">
        <f t="shared" si="16"/>
        <v>0</v>
      </c>
    </row>
    <row r="101" spans="1:16">
      <c r="A101" s="323" t="s">
        <v>923</v>
      </c>
      <c r="B101" s="317"/>
      <c r="C101" s="319">
        <f t="shared" si="17"/>
        <v>0</v>
      </c>
      <c r="D101" s="319">
        <f t="array" ref="D101">SUM(IF((Budget[Account Code]=$B101)*(Budget[Date]=D$7),Budget[Amount]))</f>
        <v>0</v>
      </c>
      <c r="E101" s="319">
        <f t="array" ref="E101">SUM(IF((Budget[Account Code]=$B101)*(Budget[Date]=E$7),Budget[Amount]))</f>
        <v>0</v>
      </c>
      <c r="F101" s="319">
        <f t="array" ref="F101">SUM(IF((Budget[Account Code]=$B101)*(Budget[Date]=F$7),Budget[Amount]))</f>
        <v>0</v>
      </c>
      <c r="G101" s="319">
        <f t="array" ref="G101">SUM(IF((Budget[Account Code]=$B101)*(Budget[Date]=G$7),Budget[Amount]))</f>
        <v>0</v>
      </c>
      <c r="H101" s="319">
        <f t="array" ref="H101">SUM(IF((Budget[Account Code]=$B101)*(Budget[Date]=H$7),Budget[Amount]))</f>
        <v>0</v>
      </c>
      <c r="I101" s="319">
        <f t="array" ref="I101">SUM(IF((Budget[Account Code]=$B101)*(Budget[Date]=I$7),Budget[Amount]))</f>
        <v>0</v>
      </c>
      <c r="J101" s="319">
        <f t="array" ref="J101">SUM(IF((Budget[Account Code]=$B101)*(Budget[Date]=J$7),Budget[Amount]))</f>
        <v>0</v>
      </c>
      <c r="K101" s="319">
        <f t="array" ref="K101">SUM(IF((Budget[Account Code]=$B101)*(Budget[Date]=K$7),Budget[Amount]))</f>
        <v>0</v>
      </c>
      <c r="L101" s="319">
        <f t="array" ref="L101">SUM(IF((Budget[Account Code]=$B101)*(Budget[Date]=L$7),Budget[Amount]))</f>
        <v>0</v>
      </c>
      <c r="M101" s="319">
        <f t="array" ref="M101">SUM(IF((Budget[Account Code]=$B101)*(Budget[Date]=M$7),Budget[Amount]))</f>
        <v>0</v>
      </c>
      <c r="N101" s="319">
        <f t="array" ref="N101">SUM(IF((Budget[Account Code]=$B101)*(Budget[Date]=N$7),Budget[Amount]))</f>
        <v>0</v>
      </c>
      <c r="O101" s="319">
        <f t="array" ref="O101">SUM(IF((Budget[Account Code]=$B101)*(Budget[Date]=O$7),Budget[Amount]))</f>
        <v>0</v>
      </c>
      <c r="P101" s="319">
        <f t="shared" si="16"/>
        <v>0</v>
      </c>
    </row>
    <row r="102" spans="1:16" s="171" customFormat="1">
      <c r="A102" s="321" t="s">
        <v>924</v>
      </c>
      <c r="B102" s="317"/>
      <c r="C102" s="322">
        <f t="shared" si="17"/>
        <v>0</v>
      </c>
      <c r="D102" s="322">
        <f>SUM(D103:D107)</f>
        <v>0</v>
      </c>
      <c r="E102" s="322">
        <f t="shared" ref="E102:O102" si="23">SUM(E103:E107)</f>
        <v>0</v>
      </c>
      <c r="F102" s="322">
        <f t="shared" si="23"/>
        <v>0</v>
      </c>
      <c r="G102" s="322">
        <f t="shared" si="23"/>
        <v>0</v>
      </c>
      <c r="H102" s="322">
        <f t="shared" si="23"/>
        <v>0</v>
      </c>
      <c r="I102" s="322">
        <f t="shared" si="23"/>
        <v>0</v>
      </c>
      <c r="J102" s="322">
        <f t="shared" si="23"/>
        <v>0</v>
      </c>
      <c r="K102" s="322">
        <f t="shared" si="23"/>
        <v>0</v>
      </c>
      <c r="L102" s="322">
        <f t="shared" si="23"/>
        <v>0</v>
      </c>
      <c r="M102" s="322">
        <f t="shared" si="23"/>
        <v>0</v>
      </c>
      <c r="N102" s="322">
        <f t="shared" si="23"/>
        <v>0</v>
      </c>
      <c r="O102" s="322">
        <f t="shared" si="23"/>
        <v>0</v>
      </c>
      <c r="P102" s="322">
        <f t="shared" si="16"/>
        <v>0</v>
      </c>
    </row>
    <row r="103" spans="1:16">
      <c r="A103" s="323" t="s">
        <v>925</v>
      </c>
      <c r="B103" s="317" t="s">
        <v>234</v>
      </c>
      <c r="C103" s="319">
        <f t="shared" si="17"/>
        <v>0</v>
      </c>
      <c r="D103" s="319">
        <f t="array" ref="D103">SUM(IF((Budget[Account Code]=$B103)*(Budget[Date]=D$7),Budget[Amount]))</f>
        <v>0</v>
      </c>
      <c r="E103" s="319">
        <f t="array" ref="E103">SUM(IF((Budget[Account Code]=$B103)*(Budget[Date]=E$7),Budget[Amount]))</f>
        <v>0</v>
      </c>
      <c r="F103" s="319">
        <f t="array" ref="F103">SUM(IF((Budget[Account Code]=$B103)*(Budget[Date]=F$7),Budget[Amount]))</f>
        <v>0</v>
      </c>
      <c r="G103" s="319">
        <f t="array" ref="G103">SUM(IF((Budget[Account Code]=$B103)*(Budget[Date]=G$7),Budget[Amount]))</f>
        <v>0</v>
      </c>
      <c r="H103" s="319">
        <f t="array" ref="H103">SUM(IF((Budget[Account Code]=$B103)*(Budget[Date]=H$7),Budget[Amount]))</f>
        <v>0</v>
      </c>
      <c r="I103" s="319">
        <f t="array" ref="I103">SUM(IF((Budget[Account Code]=$B103)*(Budget[Date]=I$7),Budget[Amount]))</f>
        <v>0</v>
      </c>
      <c r="J103" s="319">
        <f t="array" ref="J103">SUM(IF((Budget[Account Code]=$B103)*(Budget[Date]=J$7),Budget[Amount]))</f>
        <v>0</v>
      </c>
      <c r="K103" s="319">
        <f t="array" ref="K103">SUM(IF((Budget[Account Code]=$B103)*(Budget[Date]=K$7),Budget[Amount]))</f>
        <v>0</v>
      </c>
      <c r="L103" s="319">
        <f t="array" ref="L103">SUM(IF((Budget[Account Code]=$B103)*(Budget[Date]=L$7),Budget[Amount]))</f>
        <v>0</v>
      </c>
      <c r="M103" s="319">
        <f t="array" ref="M103">SUM(IF((Budget[Account Code]=$B103)*(Budget[Date]=M$7),Budget[Amount]))</f>
        <v>0</v>
      </c>
      <c r="N103" s="319">
        <f t="array" ref="N103">SUM(IF((Budget[Account Code]=$B103)*(Budget[Date]=N$7),Budget[Amount]))</f>
        <v>0</v>
      </c>
      <c r="O103" s="319">
        <f t="array" ref="O103">SUM(IF((Budget[Account Code]=$B103)*(Budget[Date]=O$7),Budget[Amount]))</f>
        <v>0</v>
      </c>
      <c r="P103" s="319">
        <f t="shared" si="16"/>
        <v>0</v>
      </c>
    </row>
    <row r="104" spans="1:16">
      <c r="A104" s="323" t="s">
        <v>926</v>
      </c>
      <c r="B104" s="317" t="s">
        <v>235</v>
      </c>
      <c r="C104" s="319">
        <f t="shared" si="17"/>
        <v>0</v>
      </c>
      <c r="D104" s="319">
        <f t="array" ref="D104">SUM(IF((Budget[Account Code]=$B104)*(Budget[Date]=D$7),Budget[Amount]))</f>
        <v>0</v>
      </c>
      <c r="E104" s="319">
        <f t="array" ref="E104">SUM(IF((Budget[Account Code]=$B104)*(Budget[Date]=E$7),Budget[Amount]))</f>
        <v>0</v>
      </c>
      <c r="F104" s="319">
        <f t="array" ref="F104">SUM(IF((Budget[Account Code]=$B104)*(Budget[Date]=F$7),Budget[Amount]))</f>
        <v>0</v>
      </c>
      <c r="G104" s="319">
        <f t="array" ref="G104">SUM(IF((Budget[Account Code]=$B104)*(Budget[Date]=G$7),Budget[Amount]))</f>
        <v>0</v>
      </c>
      <c r="H104" s="319">
        <f t="array" ref="H104">SUM(IF((Budget[Account Code]=$B104)*(Budget[Date]=H$7),Budget[Amount]))</f>
        <v>0</v>
      </c>
      <c r="I104" s="319">
        <f t="array" ref="I104">SUM(IF((Budget[Account Code]=$B104)*(Budget[Date]=I$7),Budget[Amount]))</f>
        <v>0</v>
      </c>
      <c r="J104" s="319">
        <f t="array" ref="J104">SUM(IF((Budget[Account Code]=$B104)*(Budget[Date]=J$7),Budget[Amount]))</f>
        <v>0</v>
      </c>
      <c r="K104" s="319">
        <f t="array" ref="K104">SUM(IF((Budget[Account Code]=$B104)*(Budget[Date]=K$7),Budget[Amount]))</f>
        <v>0</v>
      </c>
      <c r="L104" s="319">
        <f t="array" ref="L104">SUM(IF((Budget[Account Code]=$B104)*(Budget[Date]=L$7),Budget[Amount]))</f>
        <v>0</v>
      </c>
      <c r="M104" s="319">
        <f t="array" ref="M104">SUM(IF((Budget[Account Code]=$B104)*(Budget[Date]=M$7),Budget[Amount]))</f>
        <v>0</v>
      </c>
      <c r="N104" s="319">
        <f t="array" ref="N104">SUM(IF((Budget[Account Code]=$B104)*(Budget[Date]=N$7),Budget[Amount]))</f>
        <v>0</v>
      </c>
      <c r="O104" s="319">
        <f t="array" ref="O104">SUM(IF((Budget[Account Code]=$B104)*(Budget[Date]=O$7),Budget[Amount]))</f>
        <v>0</v>
      </c>
      <c r="P104" s="319">
        <f t="shared" si="16"/>
        <v>0</v>
      </c>
    </row>
    <row r="105" spans="1:16">
      <c r="A105" s="323" t="s">
        <v>927</v>
      </c>
      <c r="B105" s="317" t="s">
        <v>236</v>
      </c>
      <c r="C105" s="319">
        <f t="shared" si="17"/>
        <v>0</v>
      </c>
      <c r="D105" s="319">
        <f t="array" ref="D105">SUM(IF((Budget[Account Code]=$B105)*(Budget[Date]=D$7),Budget[Amount]))</f>
        <v>0</v>
      </c>
      <c r="E105" s="319">
        <f t="array" ref="E105">SUM(IF((Budget[Account Code]=$B105)*(Budget[Date]=E$7),Budget[Amount]))</f>
        <v>0</v>
      </c>
      <c r="F105" s="319">
        <f t="array" ref="F105">SUM(IF((Budget[Account Code]=$B105)*(Budget[Date]=F$7),Budget[Amount]))</f>
        <v>0</v>
      </c>
      <c r="G105" s="319">
        <f t="array" ref="G105">SUM(IF((Budget[Account Code]=$B105)*(Budget[Date]=G$7),Budget[Amount]))</f>
        <v>0</v>
      </c>
      <c r="H105" s="319">
        <f t="array" ref="H105">SUM(IF((Budget[Account Code]=$B105)*(Budget[Date]=H$7),Budget[Amount]))</f>
        <v>0</v>
      </c>
      <c r="I105" s="319">
        <f t="array" ref="I105">SUM(IF((Budget[Account Code]=$B105)*(Budget[Date]=I$7),Budget[Amount]))</f>
        <v>0</v>
      </c>
      <c r="J105" s="319">
        <f t="array" ref="J105">SUM(IF((Budget[Account Code]=$B105)*(Budget[Date]=J$7),Budget[Amount]))</f>
        <v>0</v>
      </c>
      <c r="K105" s="319">
        <f t="array" ref="K105">SUM(IF((Budget[Account Code]=$B105)*(Budget[Date]=K$7),Budget[Amount]))</f>
        <v>0</v>
      </c>
      <c r="L105" s="319">
        <f t="array" ref="L105">SUM(IF((Budget[Account Code]=$B105)*(Budget[Date]=L$7),Budget[Amount]))</f>
        <v>0</v>
      </c>
      <c r="M105" s="319">
        <f t="array" ref="M105">SUM(IF((Budget[Account Code]=$B105)*(Budget[Date]=M$7),Budget[Amount]))</f>
        <v>0</v>
      </c>
      <c r="N105" s="319">
        <f t="array" ref="N105">SUM(IF((Budget[Account Code]=$B105)*(Budget[Date]=N$7),Budget[Amount]))</f>
        <v>0</v>
      </c>
      <c r="O105" s="319">
        <f t="array" ref="O105">SUM(IF((Budget[Account Code]=$B105)*(Budget[Date]=O$7),Budget[Amount]))</f>
        <v>0</v>
      </c>
      <c r="P105" s="319">
        <f t="shared" si="16"/>
        <v>0</v>
      </c>
    </row>
    <row r="106" spans="1:16">
      <c r="A106" s="323" t="s">
        <v>928</v>
      </c>
      <c r="B106" s="317" t="s">
        <v>237</v>
      </c>
      <c r="C106" s="319">
        <f t="shared" si="17"/>
        <v>0</v>
      </c>
      <c r="D106" s="319">
        <f t="array" ref="D106">SUM(IF((Budget[Account Code]=$B106)*(Budget[Date]=D$7),Budget[Amount]))</f>
        <v>0</v>
      </c>
      <c r="E106" s="319">
        <f t="array" ref="E106">SUM(IF((Budget[Account Code]=$B106)*(Budget[Date]=E$7),Budget[Amount]))</f>
        <v>0</v>
      </c>
      <c r="F106" s="319">
        <f t="array" ref="F106">SUM(IF((Budget[Account Code]=$B106)*(Budget[Date]=F$7),Budget[Amount]))</f>
        <v>0</v>
      </c>
      <c r="G106" s="319">
        <f t="array" ref="G106">SUM(IF((Budget[Account Code]=$B106)*(Budget[Date]=G$7),Budget[Amount]))</f>
        <v>0</v>
      </c>
      <c r="H106" s="319">
        <f t="array" ref="H106">SUM(IF((Budget[Account Code]=$B106)*(Budget[Date]=H$7),Budget[Amount]))</f>
        <v>0</v>
      </c>
      <c r="I106" s="319">
        <f t="array" ref="I106">SUM(IF((Budget[Account Code]=$B106)*(Budget[Date]=I$7),Budget[Amount]))</f>
        <v>0</v>
      </c>
      <c r="J106" s="319">
        <f t="array" ref="J106">SUM(IF((Budget[Account Code]=$B106)*(Budget[Date]=J$7),Budget[Amount]))</f>
        <v>0</v>
      </c>
      <c r="K106" s="319">
        <f t="array" ref="K106">SUM(IF((Budget[Account Code]=$B106)*(Budget[Date]=K$7),Budget[Amount]))</f>
        <v>0</v>
      </c>
      <c r="L106" s="319">
        <f t="array" ref="L106">SUM(IF((Budget[Account Code]=$B106)*(Budget[Date]=L$7),Budget[Amount]))</f>
        <v>0</v>
      </c>
      <c r="M106" s="319">
        <f t="array" ref="M106">SUM(IF((Budget[Account Code]=$B106)*(Budget[Date]=M$7),Budget[Amount]))</f>
        <v>0</v>
      </c>
      <c r="N106" s="319">
        <f t="array" ref="N106">SUM(IF((Budget[Account Code]=$B106)*(Budget[Date]=N$7),Budget[Amount]))</f>
        <v>0</v>
      </c>
      <c r="O106" s="319">
        <f t="array" ref="O106">SUM(IF((Budget[Account Code]=$B106)*(Budget[Date]=O$7),Budget[Amount]))</f>
        <v>0</v>
      </c>
      <c r="P106" s="319">
        <f t="shared" si="16"/>
        <v>0</v>
      </c>
    </row>
    <row r="107" spans="1:16">
      <c r="A107" s="323" t="s">
        <v>929</v>
      </c>
      <c r="B107" s="317" t="s">
        <v>238</v>
      </c>
      <c r="C107" s="319">
        <f t="shared" si="17"/>
        <v>0</v>
      </c>
      <c r="D107" s="319">
        <f t="array" ref="D107">SUM(IF((Budget[Account Code]=$B107)*(Budget[Date]=D$7),Budget[Amount]))</f>
        <v>0</v>
      </c>
      <c r="E107" s="319">
        <f t="array" ref="E107">SUM(IF((Budget[Account Code]=$B107)*(Budget[Date]=E$7),Budget[Amount]))</f>
        <v>0</v>
      </c>
      <c r="F107" s="319">
        <f t="array" ref="F107">SUM(IF((Budget[Account Code]=$B107)*(Budget[Date]=F$7),Budget[Amount]))</f>
        <v>0</v>
      </c>
      <c r="G107" s="319">
        <f t="array" ref="G107">SUM(IF((Budget[Account Code]=$B107)*(Budget[Date]=G$7),Budget[Amount]))</f>
        <v>0</v>
      </c>
      <c r="H107" s="319">
        <f t="array" ref="H107">SUM(IF((Budget[Account Code]=$B107)*(Budget[Date]=H$7),Budget[Amount]))</f>
        <v>0</v>
      </c>
      <c r="I107" s="319">
        <f t="array" ref="I107">SUM(IF((Budget[Account Code]=$B107)*(Budget[Date]=I$7),Budget[Amount]))</f>
        <v>0</v>
      </c>
      <c r="J107" s="319">
        <f t="array" ref="J107">SUM(IF((Budget[Account Code]=$B107)*(Budget[Date]=J$7),Budget[Amount]))</f>
        <v>0</v>
      </c>
      <c r="K107" s="319">
        <f t="array" ref="K107">SUM(IF((Budget[Account Code]=$B107)*(Budget[Date]=K$7),Budget[Amount]))</f>
        <v>0</v>
      </c>
      <c r="L107" s="319">
        <f t="array" ref="L107">SUM(IF((Budget[Account Code]=$B107)*(Budget[Date]=L$7),Budget[Amount]))</f>
        <v>0</v>
      </c>
      <c r="M107" s="319">
        <f t="array" ref="M107">SUM(IF((Budget[Account Code]=$B107)*(Budget[Date]=M$7),Budget[Amount]))</f>
        <v>0</v>
      </c>
      <c r="N107" s="319">
        <f t="array" ref="N107">SUM(IF((Budget[Account Code]=$B107)*(Budget[Date]=N$7),Budget[Amount]))</f>
        <v>0</v>
      </c>
      <c r="O107" s="319">
        <f t="array" ref="O107">SUM(IF((Budget[Account Code]=$B107)*(Budget[Date]=O$7),Budget[Amount]))</f>
        <v>0</v>
      </c>
      <c r="P107" s="319">
        <f t="shared" si="16"/>
        <v>0</v>
      </c>
    </row>
    <row r="108" spans="1:16" s="171" customFormat="1">
      <c r="A108" s="321" t="s">
        <v>930</v>
      </c>
      <c r="B108" s="317" t="s">
        <v>239</v>
      </c>
      <c r="C108" s="322">
        <f t="shared" si="17"/>
        <v>0</v>
      </c>
      <c r="D108" s="322">
        <v>0</v>
      </c>
      <c r="E108" s="322">
        <v>0</v>
      </c>
      <c r="F108" s="322">
        <v>0</v>
      </c>
      <c r="G108" s="322">
        <v>0</v>
      </c>
      <c r="H108" s="322">
        <v>0</v>
      </c>
      <c r="I108" s="322">
        <v>0</v>
      </c>
      <c r="J108" s="322">
        <v>0</v>
      </c>
      <c r="K108" s="322">
        <v>0</v>
      </c>
      <c r="L108" s="322">
        <v>0</v>
      </c>
      <c r="M108" s="322">
        <v>0</v>
      </c>
      <c r="N108" s="322">
        <v>0</v>
      </c>
      <c r="O108" s="322">
        <v>0</v>
      </c>
      <c r="P108" s="322">
        <f t="shared" si="16"/>
        <v>0</v>
      </c>
    </row>
    <row r="109" spans="1:16" s="171" customFormat="1">
      <c r="A109" s="321" t="s">
        <v>931</v>
      </c>
      <c r="B109" s="317" t="s">
        <v>240</v>
      </c>
      <c r="C109" s="322">
        <f t="shared" si="17"/>
        <v>0</v>
      </c>
      <c r="D109" s="319">
        <f t="array" ref="D109">SUM(IF((Budget[Account Code]=$B109)*(Budget[Date]=D$7),Budget[Amount]))</f>
        <v>0</v>
      </c>
      <c r="E109" s="319">
        <f t="array" ref="E109">SUM(IF((Budget[Account Code]=$B109)*(Budget[Date]=E$7),Budget[Amount]))</f>
        <v>0</v>
      </c>
      <c r="F109" s="319">
        <f t="array" ref="F109">SUM(IF((Budget[Account Code]=$B109)*(Budget[Date]=F$7),Budget[Amount]))</f>
        <v>0</v>
      </c>
      <c r="G109" s="319">
        <f t="array" ref="G109">SUM(IF((Budget[Account Code]=$B109)*(Budget[Date]=G$7),Budget[Amount]))</f>
        <v>0</v>
      </c>
      <c r="H109" s="319">
        <f t="array" ref="H109">SUM(IF((Budget[Account Code]=$B109)*(Budget[Date]=H$7),Budget[Amount]))</f>
        <v>0</v>
      </c>
      <c r="I109" s="319">
        <f t="array" ref="I109">SUM(IF((Budget[Account Code]=$B109)*(Budget[Date]=I$7),Budget[Amount]))</f>
        <v>0</v>
      </c>
      <c r="J109" s="319">
        <f t="array" ref="J109">SUM(IF((Budget[Account Code]=$B109)*(Budget[Date]=J$7),Budget[Amount]))</f>
        <v>0</v>
      </c>
      <c r="K109" s="319">
        <f t="array" ref="K109">SUM(IF((Budget[Account Code]=$B109)*(Budget[Date]=K$7),Budget[Amount]))</f>
        <v>0</v>
      </c>
      <c r="L109" s="319">
        <f t="array" ref="L109">SUM(IF((Budget[Account Code]=$B109)*(Budget[Date]=L$7),Budget[Amount]))</f>
        <v>0</v>
      </c>
      <c r="M109" s="319">
        <f t="array" ref="M109">SUM(IF((Budget[Account Code]=$B109)*(Budget[Date]=M$7),Budget[Amount]))</f>
        <v>0</v>
      </c>
      <c r="N109" s="319">
        <f t="array" ref="N109">SUM(IF((Budget[Account Code]=$B109)*(Budget[Date]=N$7),Budget[Amount]))</f>
        <v>0</v>
      </c>
      <c r="O109" s="319">
        <f t="array" ref="O109">SUM(IF((Budget[Account Code]=$B109)*(Budget[Date]=O$7),Budget[Amount]))</f>
        <v>0</v>
      </c>
      <c r="P109" s="322">
        <f t="shared" si="16"/>
        <v>0</v>
      </c>
    </row>
    <row r="110" spans="1:16" s="171" customFormat="1">
      <c r="A110" s="321" t="s">
        <v>932</v>
      </c>
      <c r="B110" s="317" t="s">
        <v>241</v>
      </c>
      <c r="C110" s="322">
        <f t="shared" si="17"/>
        <v>0</v>
      </c>
      <c r="D110" s="319">
        <f t="array" ref="D110">SUM(IF((Budget[Account Code]=$B110)*(Budget[Date]=D$7),Budget[Amount]))</f>
        <v>0</v>
      </c>
      <c r="E110" s="319">
        <f t="array" ref="E110">SUM(IF((Budget[Account Code]=$B110)*(Budget[Date]=E$7),Budget[Amount]))</f>
        <v>0</v>
      </c>
      <c r="F110" s="319">
        <f t="array" ref="F110">SUM(IF((Budget[Account Code]=$B110)*(Budget[Date]=F$7),Budget[Amount]))</f>
        <v>0</v>
      </c>
      <c r="G110" s="319">
        <f t="array" ref="G110">SUM(IF((Budget[Account Code]=$B110)*(Budget[Date]=G$7),Budget[Amount]))</f>
        <v>0</v>
      </c>
      <c r="H110" s="319">
        <f t="array" ref="H110">SUM(IF((Budget[Account Code]=$B110)*(Budget[Date]=H$7),Budget[Amount]))</f>
        <v>0</v>
      </c>
      <c r="I110" s="319">
        <f t="array" ref="I110">SUM(IF((Budget[Account Code]=$B110)*(Budget[Date]=I$7),Budget[Amount]))</f>
        <v>0</v>
      </c>
      <c r="J110" s="319">
        <f t="array" ref="J110">SUM(IF((Budget[Account Code]=$B110)*(Budget[Date]=J$7),Budget[Amount]))</f>
        <v>0</v>
      </c>
      <c r="K110" s="319">
        <f t="array" ref="K110">SUM(IF((Budget[Account Code]=$B110)*(Budget[Date]=K$7),Budget[Amount]))</f>
        <v>0</v>
      </c>
      <c r="L110" s="319">
        <f t="array" ref="L110">SUM(IF((Budget[Account Code]=$B110)*(Budget[Date]=L$7),Budget[Amount]))</f>
        <v>0</v>
      </c>
      <c r="M110" s="319">
        <f t="array" ref="M110">SUM(IF((Budget[Account Code]=$B110)*(Budget[Date]=M$7),Budget[Amount]))</f>
        <v>0</v>
      </c>
      <c r="N110" s="319">
        <f t="array" ref="N110">SUM(IF((Budget[Account Code]=$B110)*(Budget[Date]=N$7),Budget[Amount]))</f>
        <v>0</v>
      </c>
      <c r="O110" s="319">
        <f t="array" ref="O110">SUM(IF((Budget[Account Code]=$B110)*(Budget[Date]=O$7),Budget[Amount]))</f>
        <v>0</v>
      </c>
      <c r="P110" s="322">
        <f t="shared" si="16"/>
        <v>0</v>
      </c>
    </row>
    <row r="111" spans="1:16" s="171" customFormat="1">
      <c r="A111" s="321" t="s">
        <v>933</v>
      </c>
      <c r="B111" s="317" t="s">
        <v>242</v>
      </c>
      <c r="C111" s="322">
        <f t="shared" si="17"/>
        <v>0</v>
      </c>
      <c r="D111" s="319">
        <f t="array" ref="D111">SUM(IF((Budget[Account Code]=$B111)*(Budget[Date]=D$7),Budget[Amount]))</f>
        <v>0</v>
      </c>
      <c r="E111" s="319">
        <f t="array" ref="E111">SUM(IF((Budget[Account Code]=$B111)*(Budget[Date]=E$7),Budget[Amount]))</f>
        <v>0</v>
      </c>
      <c r="F111" s="319">
        <f t="array" ref="F111">SUM(IF((Budget[Account Code]=$B111)*(Budget[Date]=F$7),Budget[Amount]))</f>
        <v>0</v>
      </c>
      <c r="G111" s="319">
        <f t="array" ref="G111">SUM(IF((Budget[Account Code]=$B111)*(Budget[Date]=G$7),Budget[Amount]))</f>
        <v>0</v>
      </c>
      <c r="H111" s="319">
        <f t="array" ref="H111">SUM(IF((Budget[Account Code]=$B111)*(Budget[Date]=H$7),Budget[Amount]))</f>
        <v>0</v>
      </c>
      <c r="I111" s="319">
        <f t="array" ref="I111">SUM(IF((Budget[Account Code]=$B111)*(Budget[Date]=I$7),Budget[Amount]))</f>
        <v>0</v>
      </c>
      <c r="J111" s="319">
        <f t="array" ref="J111">SUM(IF((Budget[Account Code]=$B111)*(Budget[Date]=J$7),Budget[Amount]))</f>
        <v>0</v>
      </c>
      <c r="K111" s="319">
        <f t="array" ref="K111">SUM(IF((Budget[Account Code]=$B111)*(Budget[Date]=K$7),Budget[Amount]))</f>
        <v>0</v>
      </c>
      <c r="L111" s="319">
        <f t="array" ref="L111">SUM(IF((Budget[Account Code]=$B111)*(Budget[Date]=L$7),Budget[Amount]))</f>
        <v>0</v>
      </c>
      <c r="M111" s="319">
        <f t="array" ref="M111">SUM(IF((Budget[Account Code]=$B111)*(Budget[Date]=M$7),Budget[Amount]))</f>
        <v>0</v>
      </c>
      <c r="N111" s="319">
        <f t="array" ref="N111">SUM(IF((Budget[Account Code]=$B111)*(Budget[Date]=N$7),Budget[Amount]))</f>
        <v>0</v>
      </c>
      <c r="O111" s="319">
        <f t="array" ref="O111">SUM(IF((Budget[Account Code]=$B111)*(Budget[Date]=O$7),Budget[Amount]))</f>
        <v>0</v>
      </c>
      <c r="P111" s="322">
        <f t="shared" si="16"/>
        <v>0</v>
      </c>
    </row>
    <row r="112" spans="1:16" s="171" customFormat="1">
      <c r="A112" s="321" t="s">
        <v>934</v>
      </c>
      <c r="B112" s="317" t="s">
        <v>243</v>
      </c>
      <c r="C112" s="322">
        <f t="shared" si="17"/>
        <v>0</v>
      </c>
      <c r="D112" s="319">
        <f t="array" ref="D112">SUM(IF((Budget[Account Code]=$B112)*(Budget[Date]=D$7),Budget[Amount]))</f>
        <v>0</v>
      </c>
      <c r="E112" s="319">
        <f t="array" ref="E112">SUM(IF((Budget[Account Code]=$B112)*(Budget[Date]=E$7),Budget[Amount]))</f>
        <v>0</v>
      </c>
      <c r="F112" s="319">
        <f t="array" ref="F112">SUM(IF((Budget[Account Code]=$B112)*(Budget[Date]=F$7),Budget[Amount]))</f>
        <v>0</v>
      </c>
      <c r="G112" s="319">
        <f t="array" ref="G112">SUM(IF((Budget[Account Code]=$B112)*(Budget[Date]=G$7),Budget[Amount]))</f>
        <v>0</v>
      </c>
      <c r="H112" s="319">
        <f t="array" ref="H112">SUM(IF((Budget[Account Code]=$B112)*(Budget[Date]=H$7),Budget[Amount]))</f>
        <v>0</v>
      </c>
      <c r="I112" s="319">
        <f t="array" ref="I112">SUM(IF((Budget[Account Code]=$B112)*(Budget[Date]=I$7),Budget[Amount]))</f>
        <v>0</v>
      </c>
      <c r="J112" s="319">
        <f t="array" ref="J112">SUM(IF((Budget[Account Code]=$B112)*(Budget[Date]=J$7),Budget[Amount]))</f>
        <v>0</v>
      </c>
      <c r="K112" s="319">
        <f t="array" ref="K112">SUM(IF((Budget[Account Code]=$B112)*(Budget[Date]=K$7),Budget[Amount]))</f>
        <v>0</v>
      </c>
      <c r="L112" s="319">
        <f t="array" ref="L112">SUM(IF((Budget[Account Code]=$B112)*(Budget[Date]=L$7),Budget[Amount]))</f>
        <v>0</v>
      </c>
      <c r="M112" s="319">
        <f t="array" ref="M112">SUM(IF((Budget[Account Code]=$B112)*(Budget[Date]=M$7),Budget[Amount]))</f>
        <v>0</v>
      </c>
      <c r="N112" s="319">
        <f t="array" ref="N112">SUM(IF((Budget[Account Code]=$B112)*(Budget[Date]=N$7),Budget[Amount]))</f>
        <v>0</v>
      </c>
      <c r="O112" s="319">
        <f t="array" ref="O112">SUM(IF((Budget[Account Code]=$B112)*(Budget[Date]=O$7),Budget[Amount]))</f>
        <v>0</v>
      </c>
      <c r="P112" s="322">
        <f t="shared" si="16"/>
        <v>0</v>
      </c>
    </row>
    <row r="113" spans="1:16" s="171" customFormat="1">
      <c r="A113" s="321" t="s">
        <v>935</v>
      </c>
      <c r="B113" s="317" t="s">
        <v>244</v>
      </c>
      <c r="C113" s="322">
        <f t="shared" si="17"/>
        <v>0</v>
      </c>
      <c r="D113" s="319">
        <f t="array" ref="D113">SUM(IF((Budget[Account Code]=$B113)*(Budget[Date]=D$7),Budget[Amount]))</f>
        <v>0</v>
      </c>
      <c r="E113" s="319">
        <f t="array" ref="E113">SUM(IF((Budget[Account Code]=$B113)*(Budget[Date]=E$7),Budget[Amount]))</f>
        <v>0</v>
      </c>
      <c r="F113" s="319">
        <f t="array" ref="F113">SUM(IF((Budget[Account Code]=$B113)*(Budget[Date]=F$7),Budget[Amount]))</f>
        <v>0</v>
      </c>
      <c r="G113" s="319">
        <f t="array" ref="G113">SUM(IF((Budget[Account Code]=$B113)*(Budget[Date]=G$7),Budget[Amount]))</f>
        <v>0</v>
      </c>
      <c r="H113" s="319">
        <f t="array" ref="H113">SUM(IF((Budget[Account Code]=$B113)*(Budget[Date]=H$7),Budget[Amount]))</f>
        <v>0</v>
      </c>
      <c r="I113" s="319">
        <f t="array" ref="I113">SUM(IF((Budget[Account Code]=$B113)*(Budget[Date]=I$7),Budget[Amount]))</f>
        <v>0</v>
      </c>
      <c r="J113" s="319">
        <f t="array" ref="J113">SUM(IF((Budget[Account Code]=$B113)*(Budget[Date]=J$7),Budget[Amount]))</f>
        <v>0</v>
      </c>
      <c r="K113" s="319">
        <f t="array" ref="K113">SUM(IF((Budget[Account Code]=$B113)*(Budget[Date]=K$7),Budget[Amount]))</f>
        <v>0</v>
      </c>
      <c r="L113" s="319">
        <f t="array" ref="L113">SUM(IF((Budget[Account Code]=$B113)*(Budget[Date]=L$7),Budget[Amount]))</f>
        <v>0</v>
      </c>
      <c r="M113" s="319">
        <f t="array" ref="M113">SUM(IF((Budget[Account Code]=$B113)*(Budget[Date]=M$7),Budget[Amount]))</f>
        <v>0</v>
      </c>
      <c r="N113" s="319">
        <f t="array" ref="N113">SUM(IF((Budget[Account Code]=$B113)*(Budget[Date]=N$7),Budget[Amount]))</f>
        <v>0</v>
      </c>
      <c r="O113" s="319">
        <f t="array" ref="O113">SUM(IF((Budget[Account Code]=$B113)*(Budget[Date]=O$7),Budget[Amount]))</f>
        <v>0</v>
      </c>
      <c r="P113" s="322">
        <f t="shared" si="16"/>
        <v>0</v>
      </c>
    </row>
    <row r="114" spans="1:16" s="171" customFormat="1">
      <c r="A114" s="321" t="s">
        <v>936</v>
      </c>
      <c r="B114" s="317" t="s">
        <v>338</v>
      </c>
      <c r="C114" s="322">
        <f t="shared" si="17"/>
        <v>0</v>
      </c>
      <c r="D114" s="319">
        <f t="array" ref="D114">SUM(IF((Budget[Account Code]=$B114)*(Budget[Date]=D$7),Budget[Amount]))</f>
        <v>0</v>
      </c>
      <c r="E114" s="319">
        <f t="array" ref="E114">SUM(IF((Budget[Account Code]=$B114)*(Budget[Date]=E$7),Budget[Amount]))</f>
        <v>0</v>
      </c>
      <c r="F114" s="319">
        <f t="array" ref="F114">SUM(IF((Budget[Account Code]=$B114)*(Budget[Date]=F$7),Budget[Amount]))</f>
        <v>0</v>
      </c>
      <c r="G114" s="319">
        <f t="array" ref="G114">SUM(IF((Budget[Account Code]=$B114)*(Budget[Date]=G$7),Budget[Amount]))</f>
        <v>0</v>
      </c>
      <c r="H114" s="319">
        <f t="array" ref="H114">SUM(IF((Budget[Account Code]=$B114)*(Budget[Date]=H$7),Budget[Amount]))</f>
        <v>0</v>
      </c>
      <c r="I114" s="319">
        <f t="array" ref="I114">SUM(IF((Budget[Account Code]=$B114)*(Budget[Date]=I$7),Budget[Amount]))</f>
        <v>0</v>
      </c>
      <c r="J114" s="319">
        <f t="array" ref="J114">SUM(IF((Budget[Account Code]=$B114)*(Budget[Date]=J$7),Budget[Amount]))</f>
        <v>0</v>
      </c>
      <c r="K114" s="319">
        <f t="array" ref="K114">SUM(IF((Budget[Account Code]=$B114)*(Budget[Date]=K$7),Budget[Amount]))</f>
        <v>0</v>
      </c>
      <c r="L114" s="319">
        <f t="array" ref="L114">SUM(IF((Budget[Account Code]=$B114)*(Budget[Date]=L$7),Budget[Amount]))</f>
        <v>0</v>
      </c>
      <c r="M114" s="319">
        <f t="array" ref="M114">SUM(IF((Budget[Account Code]=$B114)*(Budget[Date]=M$7),Budget[Amount]))</f>
        <v>0</v>
      </c>
      <c r="N114" s="319">
        <f t="array" ref="N114">SUM(IF((Budget[Account Code]=$B114)*(Budget[Date]=N$7),Budget[Amount]))</f>
        <v>0</v>
      </c>
      <c r="O114" s="319">
        <f t="array" ref="O114">SUM(IF((Budget[Account Code]=$B114)*(Budget[Date]=O$7),Budget[Amount]))</f>
        <v>0</v>
      </c>
      <c r="P114" s="322">
        <f t="shared" si="16"/>
        <v>0</v>
      </c>
    </row>
    <row r="115" spans="1:16" s="171" customFormat="1">
      <c r="A115" s="321" t="s">
        <v>937</v>
      </c>
      <c r="B115" s="317" t="s">
        <v>339</v>
      </c>
      <c r="C115" s="322">
        <f t="shared" si="17"/>
        <v>0</v>
      </c>
      <c r="D115" s="319">
        <f t="array" ref="D115">SUM(IF((Budget[Account Code]=$B115)*(Budget[Date]=D$7),Budget[Amount]))</f>
        <v>0</v>
      </c>
      <c r="E115" s="319">
        <f t="array" ref="E115">SUM(IF((Budget[Account Code]=$B115)*(Budget[Date]=E$7),Budget[Amount]))</f>
        <v>0</v>
      </c>
      <c r="F115" s="319">
        <f t="array" ref="F115">SUM(IF((Budget[Account Code]=$B115)*(Budget[Date]=F$7),Budget[Amount]))</f>
        <v>0</v>
      </c>
      <c r="G115" s="319">
        <f t="array" ref="G115">SUM(IF((Budget[Account Code]=$B115)*(Budget[Date]=G$7),Budget[Amount]))</f>
        <v>0</v>
      </c>
      <c r="H115" s="319">
        <f t="array" ref="H115">SUM(IF((Budget[Account Code]=$B115)*(Budget[Date]=H$7),Budget[Amount]))</f>
        <v>0</v>
      </c>
      <c r="I115" s="319">
        <f t="array" ref="I115">SUM(IF((Budget[Account Code]=$B115)*(Budget[Date]=I$7),Budget[Amount]))</f>
        <v>0</v>
      </c>
      <c r="J115" s="319">
        <f t="array" ref="J115">SUM(IF((Budget[Account Code]=$B115)*(Budget[Date]=J$7),Budget[Amount]))</f>
        <v>0</v>
      </c>
      <c r="K115" s="319">
        <f t="array" ref="K115">SUM(IF((Budget[Account Code]=$B115)*(Budget[Date]=K$7),Budget[Amount]))</f>
        <v>0</v>
      </c>
      <c r="L115" s="319">
        <f t="array" ref="L115">SUM(IF((Budget[Account Code]=$B115)*(Budget[Date]=L$7),Budget[Amount]))</f>
        <v>0</v>
      </c>
      <c r="M115" s="319">
        <f t="array" ref="M115">SUM(IF((Budget[Account Code]=$B115)*(Budget[Date]=M$7),Budget[Amount]))</f>
        <v>0</v>
      </c>
      <c r="N115" s="319">
        <f t="array" ref="N115">SUM(IF((Budget[Account Code]=$B115)*(Budget[Date]=N$7),Budget[Amount]))</f>
        <v>0</v>
      </c>
      <c r="O115" s="319">
        <f t="array" ref="O115">SUM(IF((Budget[Account Code]=$B115)*(Budget[Date]=O$7),Budget[Amount]))</f>
        <v>0</v>
      </c>
      <c r="P115" s="322">
        <f t="shared" si="16"/>
        <v>0</v>
      </c>
    </row>
    <row r="116" spans="1:16" s="171" customFormat="1">
      <c r="A116" s="321" t="s">
        <v>938</v>
      </c>
      <c r="B116" s="317" t="s">
        <v>245</v>
      </c>
      <c r="C116" s="322">
        <f t="shared" si="17"/>
        <v>0</v>
      </c>
      <c r="D116" s="319">
        <f t="array" ref="D116">SUM(IF((Budget[Account Code]=$B116)*(Budget[Date]=D$7),Budget[Amount]))</f>
        <v>0</v>
      </c>
      <c r="E116" s="319">
        <f t="array" ref="E116">SUM(IF((Budget[Account Code]=$B116)*(Budget[Date]=E$7),Budget[Amount]))</f>
        <v>0</v>
      </c>
      <c r="F116" s="319">
        <f t="array" ref="F116">SUM(IF((Budget[Account Code]=$B116)*(Budget[Date]=F$7),Budget[Amount]))</f>
        <v>0</v>
      </c>
      <c r="G116" s="319">
        <f t="array" ref="G116">SUM(IF((Budget[Account Code]=$B116)*(Budget[Date]=G$7),Budget[Amount]))</f>
        <v>0</v>
      </c>
      <c r="H116" s="319">
        <f t="array" ref="H116">SUM(IF((Budget[Account Code]=$B116)*(Budget[Date]=H$7),Budget[Amount]))</f>
        <v>0</v>
      </c>
      <c r="I116" s="319">
        <f t="array" ref="I116">SUM(IF((Budget[Account Code]=$B116)*(Budget[Date]=I$7),Budget[Amount]))</f>
        <v>0</v>
      </c>
      <c r="J116" s="319">
        <f t="array" ref="J116">SUM(IF((Budget[Account Code]=$B116)*(Budget[Date]=J$7),Budget[Amount]))</f>
        <v>0</v>
      </c>
      <c r="K116" s="319">
        <f t="array" ref="K116">SUM(IF((Budget[Account Code]=$B116)*(Budget[Date]=K$7),Budget[Amount]))</f>
        <v>0</v>
      </c>
      <c r="L116" s="319">
        <f t="array" ref="L116">SUM(IF((Budget[Account Code]=$B116)*(Budget[Date]=L$7),Budget[Amount]))</f>
        <v>0</v>
      </c>
      <c r="M116" s="319">
        <f t="array" ref="M116">SUM(IF((Budget[Account Code]=$B116)*(Budget[Date]=M$7),Budget[Amount]))</f>
        <v>0</v>
      </c>
      <c r="N116" s="319">
        <f t="array" ref="N116">SUM(IF((Budget[Account Code]=$B116)*(Budget[Date]=N$7),Budget[Amount]))</f>
        <v>0</v>
      </c>
      <c r="O116" s="319">
        <f t="array" ref="O116">SUM(IF((Budget[Account Code]=$B116)*(Budget[Date]=O$7),Budget[Amount]))</f>
        <v>0</v>
      </c>
      <c r="P116" s="322">
        <f t="shared" si="16"/>
        <v>0</v>
      </c>
    </row>
    <row r="117" spans="1:16" s="171" customFormat="1">
      <c r="A117" s="321" t="s">
        <v>939</v>
      </c>
      <c r="B117" s="317"/>
      <c r="C117" s="322">
        <f t="shared" si="17"/>
        <v>0</v>
      </c>
      <c r="D117" s="322">
        <f>SUM(D118:D125)</f>
        <v>0</v>
      </c>
      <c r="E117" s="322">
        <f t="shared" ref="E117:O117" si="24">SUM(E118:E125)</f>
        <v>0</v>
      </c>
      <c r="F117" s="322">
        <f t="shared" si="24"/>
        <v>0</v>
      </c>
      <c r="G117" s="322">
        <f t="shared" si="24"/>
        <v>0</v>
      </c>
      <c r="H117" s="322">
        <f t="shared" si="24"/>
        <v>0</v>
      </c>
      <c r="I117" s="322">
        <f t="shared" si="24"/>
        <v>0</v>
      </c>
      <c r="J117" s="322">
        <f t="shared" si="24"/>
        <v>0</v>
      </c>
      <c r="K117" s="322">
        <f t="shared" si="24"/>
        <v>0</v>
      </c>
      <c r="L117" s="322">
        <f t="shared" si="24"/>
        <v>0</v>
      </c>
      <c r="M117" s="322">
        <f t="shared" si="24"/>
        <v>0</v>
      </c>
      <c r="N117" s="322">
        <f t="shared" si="24"/>
        <v>0</v>
      </c>
      <c r="O117" s="322">
        <f t="shared" si="24"/>
        <v>0</v>
      </c>
      <c r="P117" s="322">
        <f t="shared" si="16"/>
        <v>0</v>
      </c>
    </row>
    <row r="118" spans="1:16">
      <c r="A118" s="323" t="s">
        <v>940</v>
      </c>
      <c r="B118" s="317" t="s">
        <v>246</v>
      </c>
      <c r="C118" s="319">
        <f t="shared" si="17"/>
        <v>0</v>
      </c>
      <c r="D118" s="319">
        <f t="array" ref="D118">SUM(IF((Budget[Account Code]=$B118)*(Budget[Date]=D$7),Budget[Amount]))</f>
        <v>0</v>
      </c>
      <c r="E118" s="319">
        <f t="array" ref="E118">SUM(IF((Budget[Account Code]=$B118)*(Budget[Date]=E$7),Budget[Amount]))</f>
        <v>0</v>
      </c>
      <c r="F118" s="319">
        <f t="array" ref="F118">SUM(IF((Budget[Account Code]=$B118)*(Budget[Date]=F$7),Budget[Amount]))</f>
        <v>0</v>
      </c>
      <c r="G118" s="319">
        <f t="array" ref="G118">SUM(IF((Budget[Account Code]=$B118)*(Budget[Date]=G$7),Budget[Amount]))</f>
        <v>0</v>
      </c>
      <c r="H118" s="319">
        <f t="array" ref="H118">SUM(IF((Budget[Account Code]=$B118)*(Budget[Date]=H$7),Budget[Amount]))</f>
        <v>0</v>
      </c>
      <c r="I118" s="319">
        <f t="array" ref="I118">SUM(IF((Budget[Account Code]=$B118)*(Budget[Date]=I$7),Budget[Amount]))</f>
        <v>0</v>
      </c>
      <c r="J118" s="319">
        <f t="array" ref="J118">SUM(IF((Budget[Account Code]=$B118)*(Budget[Date]=J$7),Budget[Amount]))</f>
        <v>0</v>
      </c>
      <c r="K118" s="319">
        <f t="array" ref="K118">SUM(IF((Budget[Account Code]=$B118)*(Budget[Date]=K$7),Budget[Amount]))</f>
        <v>0</v>
      </c>
      <c r="L118" s="319">
        <f t="array" ref="L118">SUM(IF((Budget[Account Code]=$B118)*(Budget[Date]=L$7),Budget[Amount]))</f>
        <v>0</v>
      </c>
      <c r="M118" s="319">
        <f t="array" ref="M118">SUM(IF((Budget[Account Code]=$B118)*(Budget[Date]=M$7),Budget[Amount]))</f>
        <v>0</v>
      </c>
      <c r="N118" s="319">
        <f t="array" ref="N118">SUM(IF((Budget[Account Code]=$B118)*(Budget[Date]=N$7),Budget[Amount]))</f>
        <v>0</v>
      </c>
      <c r="O118" s="319">
        <f t="array" ref="O118">SUM(IF((Budget[Account Code]=$B118)*(Budget[Date]=O$7),Budget[Amount]))</f>
        <v>0</v>
      </c>
      <c r="P118" s="319">
        <f t="shared" si="16"/>
        <v>0</v>
      </c>
    </row>
    <row r="119" spans="1:16">
      <c r="A119" s="323" t="s">
        <v>941</v>
      </c>
      <c r="B119" s="317" t="s">
        <v>222</v>
      </c>
      <c r="C119" s="319">
        <f t="shared" si="17"/>
        <v>0</v>
      </c>
      <c r="D119" s="319">
        <f t="array" ref="D119">SUM(IF((Budget[Account Code]=$B119)*(Budget[Date]=D$7),Budget[Amount]))</f>
        <v>0</v>
      </c>
      <c r="E119" s="319">
        <f t="array" ref="E119">SUM(IF((Budget[Account Code]=$B119)*(Budget[Date]=E$7),Budget[Amount]))</f>
        <v>0</v>
      </c>
      <c r="F119" s="319">
        <f t="array" ref="F119">SUM(IF((Budget[Account Code]=$B119)*(Budget[Date]=F$7),Budget[Amount]))</f>
        <v>0</v>
      </c>
      <c r="G119" s="319">
        <f t="array" ref="G119">SUM(IF((Budget[Account Code]=$B119)*(Budget[Date]=G$7),Budget[Amount]))</f>
        <v>0</v>
      </c>
      <c r="H119" s="319">
        <f t="array" ref="H119">SUM(IF((Budget[Account Code]=$B119)*(Budget[Date]=H$7),Budget[Amount]))</f>
        <v>0</v>
      </c>
      <c r="I119" s="319">
        <f t="array" ref="I119">SUM(IF((Budget[Account Code]=$B119)*(Budget[Date]=I$7),Budget[Amount]))</f>
        <v>0</v>
      </c>
      <c r="J119" s="319">
        <f t="array" ref="J119">SUM(IF((Budget[Account Code]=$B119)*(Budget[Date]=J$7),Budget[Amount]))</f>
        <v>0</v>
      </c>
      <c r="K119" s="319">
        <f t="array" ref="K119">SUM(IF((Budget[Account Code]=$B119)*(Budget[Date]=K$7),Budget[Amount]))</f>
        <v>0</v>
      </c>
      <c r="L119" s="319">
        <f t="array" ref="L119">SUM(IF((Budget[Account Code]=$B119)*(Budget[Date]=L$7),Budget[Amount]))</f>
        <v>0</v>
      </c>
      <c r="M119" s="319">
        <f t="array" ref="M119">SUM(IF((Budget[Account Code]=$B119)*(Budget[Date]=M$7),Budget[Amount]))</f>
        <v>0</v>
      </c>
      <c r="N119" s="319">
        <f t="array" ref="N119">SUM(IF((Budget[Account Code]=$B119)*(Budget[Date]=N$7),Budget[Amount]))</f>
        <v>0</v>
      </c>
      <c r="O119" s="319">
        <f t="array" ref="O119">SUM(IF((Budget[Account Code]=$B119)*(Budget[Date]=O$7),Budget[Amount]))</f>
        <v>0</v>
      </c>
      <c r="P119" s="319">
        <f t="shared" si="16"/>
        <v>0</v>
      </c>
    </row>
    <row r="120" spans="1:16">
      <c r="A120" s="323" t="s">
        <v>942</v>
      </c>
      <c r="B120" s="317" t="s">
        <v>247</v>
      </c>
      <c r="C120" s="319">
        <f t="shared" si="17"/>
        <v>0</v>
      </c>
      <c r="D120" s="319">
        <f t="array" ref="D120">SUM(IF((Budget[Account Code]=$B120)*(Budget[Date]=D$7),Budget[Amount]))</f>
        <v>0</v>
      </c>
      <c r="E120" s="319">
        <f t="array" ref="E120">SUM(IF((Budget[Account Code]=$B120)*(Budget[Date]=E$7),Budget[Amount]))</f>
        <v>0</v>
      </c>
      <c r="F120" s="319">
        <f t="array" ref="F120">SUM(IF((Budget[Account Code]=$B120)*(Budget[Date]=F$7),Budget[Amount]))</f>
        <v>0</v>
      </c>
      <c r="G120" s="319">
        <f t="array" ref="G120">SUM(IF((Budget[Account Code]=$B120)*(Budget[Date]=G$7),Budget[Amount]))</f>
        <v>0</v>
      </c>
      <c r="H120" s="319">
        <f t="array" ref="H120">SUM(IF((Budget[Account Code]=$B120)*(Budget[Date]=H$7),Budget[Amount]))</f>
        <v>0</v>
      </c>
      <c r="I120" s="319">
        <f t="array" ref="I120">SUM(IF((Budget[Account Code]=$B120)*(Budget[Date]=I$7),Budget[Amount]))</f>
        <v>0</v>
      </c>
      <c r="J120" s="319">
        <f t="array" ref="J120">SUM(IF((Budget[Account Code]=$B120)*(Budget[Date]=J$7),Budget[Amount]))</f>
        <v>0</v>
      </c>
      <c r="K120" s="319">
        <f t="array" ref="K120">SUM(IF((Budget[Account Code]=$B120)*(Budget[Date]=K$7),Budget[Amount]))</f>
        <v>0</v>
      </c>
      <c r="L120" s="319">
        <f t="array" ref="L120">SUM(IF((Budget[Account Code]=$B120)*(Budget[Date]=L$7),Budget[Amount]))</f>
        <v>0</v>
      </c>
      <c r="M120" s="319">
        <f t="array" ref="M120">SUM(IF((Budget[Account Code]=$B120)*(Budget[Date]=M$7),Budget[Amount]))</f>
        <v>0</v>
      </c>
      <c r="N120" s="319">
        <f t="array" ref="N120">SUM(IF((Budget[Account Code]=$B120)*(Budget[Date]=N$7),Budget[Amount]))</f>
        <v>0</v>
      </c>
      <c r="O120" s="319">
        <f t="array" ref="O120">SUM(IF((Budget[Account Code]=$B120)*(Budget[Date]=O$7),Budget[Amount]))</f>
        <v>0</v>
      </c>
      <c r="P120" s="319">
        <f t="shared" si="16"/>
        <v>0</v>
      </c>
    </row>
    <row r="121" spans="1:16">
      <c r="A121" s="323" t="s">
        <v>943</v>
      </c>
      <c r="B121" s="317"/>
      <c r="C121" s="319">
        <f t="shared" si="17"/>
        <v>0</v>
      </c>
      <c r="D121" s="319">
        <f t="array" ref="D121">SUM(IF((Budget[Account Code]=$B121)*(Budget[Date]=D$7),Budget[Amount]))</f>
        <v>0</v>
      </c>
      <c r="E121" s="319">
        <f t="array" ref="E121">SUM(IF((Budget[Account Code]=$B121)*(Budget[Date]=E$7),Budget[Amount]))</f>
        <v>0</v>
      </c>
      <c r="F121" s="319">
        <f t="array" ref="F121">SUM(IF((Budget[Account Code]=$B121)*(Budget[Date]=F$7),Budget[Amount]))</f>
        <v>0</v>
      </c>
      <c r="G121" s="319">
        <f t="array" ref="G121">SUM(IF((Budget[Account Code]=$B121)*(Budget[Date]=G$7),Budget[Amount]))</f>
        <v>0</v>
      </c>
      <c r="H121" s="319">
        <f t="array" ref="H121">SUM(IF((Budget[Account Code]=$B121)*(Budget[Date]=H$7),Budget[Amount]))</f>
        <v>0</v>
      </c>
      <c r="I121" s="319">
        <f t="array" ref="I121">SUM(IF((Budget[Account Code]=$B121)*(Budget[Date]=I$7),Budget[Amount]))</f>
        <v>0</v>
      </c>
      <c r="J121" s="319">
        <f t="array" ref="J121">SUM(IF((Budget[Account Code]=$B121)*(Budget[Date]=J$7),Budget[Amount]))</f>
        <v>0</v>
      </c>
      <c r="K121" s="319">
        <f t="array" ref="K121">SUM(IF((Budget[Account Code]=$B121)*(Budget[Date]=K$7),Budget[Amount]))</f>
        <v>0</v>
      </c>
      <c r="L121" s="319">
        <f t="array" ref="L121">SUM(IF((Budget[Account Code]=$B121)*(Budget[Date]=L$7),Budget[Amount]))</f>
        <v>0</v>
      </c>
      <c r="M121" s="319">
        <f t="array" ref="M121">SUM(IF((Budget[Account Code]=$B121)*(Budget[Date]=M$7),Budget[Amount]))</f>
        <v>0</v>
      </c>
      <c r="N121" s="319">
        <f t="array" ref="N121">SUM(IF((Budget[Account Code]=$B121)*(Budget[Date]=N$7),Budget[Amount]))</f>
        <v>0</v>
      </c>
      <c r="O121" s="319">
        <f t="array" ref="O121">SUM(IF((Budget[Account Code]=$B121)*(Budget[Date]=O$7),Budget[Amount]))</f>
        <v>0</v>
      </c>
      <c r="P121" s="319">
        <f t="shared" si="16"/>
        <v>0</v>
      </c>
    </row>
    <row r="122" spans="1:16">
      <c r="A122" s="323" t="s">
        <v>944</v>
      </c>
      <c r="B122" s="317" t="s">
        <v>248</v>
      </c>
      <c r="C122" s="319">
        <f t="shared" si="17"/>
        <v>0</v>
      </c>
      <c r="D122" s="319">
        <f t="array" ref="D122">SUM(IF((Budget[Account Code]=$B122)*(Budget[Date]=D$7),Budget[Amount]))</f>
        <v>0</v>
      </c>
      <c r="E122" s="319">
        <f t="array" ref="E122">SUM(IF((Budget[Account Code]=$B122)*(Budget[Date]=E$7),Budget[Amount]))</f>
        <v>0</v>
      </c>
      <c r="F122" s="319">
        <f t="array" ref="F122">SUM(IF((Budget[Account Code]=$B122)*(Budget[Date]=F$7),Budget[Amount]))</f>
        <v>0</v>
      </c>
      <c r="G122" s="319">
        <f t="array" ref="G122">SUM(IF((Budget[Account Code]=$B122)*(Budget[Date]=G$7),Budget[Amount]))</f>
        <v>0</v>
      </c>
      <c r="H122" s="319">
        <f t="array" ref="H122">SUM(IF((Budget[Account Code]=$B122)*(Budget[Date]=H$7),Budget[Amount]))</f>
        <v>0</v>
      </c>
      <c r="I122" s="319">
        <f t="array" ref="I122">SUM(IF((Budget[Account Code]=$B122)*(Budget[Date]=I$7),Budget[Amount]))</f>
        <v>0</v>
      </c>
      <c r="J122" s="319">
        <f t="array" ref="J122">SUM(IF((Budget[Account Code]=$B122)*(Budget[Date]=J$7),Budget[Amount]))</f>
        <v>0</v>
      </c>
      <c r="K122" s="319">
        <f t="array" ref="K122">SUM(IF((Budget[Account Code]=$B122)*(Budget[Date]=K$7),Budget[Amount]))</f>
        <v>0</v>
      </c>
      <c r="L122" s="319">
        <f t="array" ref="L122">SUM(IF((Budget[Account Code]=$B122)*(Budget[Date]=L$7),Budget[Amount]))</f>
        <v>0</v>
      </c>
      <c r="M122" s="319">
        <f t="array" ref="M122">SUM(IF((Budget[Account Code]=$B122)*(Budget[Date]=M$7),Budget[Amount]))</f>
        <v>0</v>
      </c>
      <c r="N122" s="319">
        <f t="array" ref="N122">SUM(IF((Budget[Account Code]=$B122)*(Budget[Date]=N$7),Budget[Amount]))</f>
        <v>0</v>
      </c>
      <c r="O122" s="319">
        <f t="array" ref="O122">SUM(IF((Budget[Account Code]=$B122)*(Budget[Date]=O$7),Budget[Amount]))</f>
        <v>0</v>
      </c>
      <c r="P122" s="319">
        <f t="shared" si="16"/>
        <v>0</v>
      </c>
    </row>
    <row r="123" spans="1:16">
      <c r="A123" s="323" t="s">
        <v>945</v>
      </c>
      <c r="B123" s="317" t="s">
        <v>249</v>
      </c>
      <c r="C123" s="319">
        <f t="shared" si="17"/>
        <v>0</v>
      </c>
      <c r="D123" s="319">
        <f t="array" ref="D123">SUM(IF((Budget[Account Code]=$B123)*(Budget[Date]=D$7),Budget[Amount]))</f>
        <v>0</v>
      </c>
      <c r="E123" s="319">
        <f t="array" ref="E123">SUM(IF((Budget[Account Code]=$B123)*(Budget[Date]=E$7),Budget[Amount]))</f>
        <v>0</v>
      </c>
      <c r="F123" s="319">
        <f t="array" ref="F123">SUM(IF((Budget[Account Code]=$B123)*(Budget[Date]=F$7),Budget[Amount]))</f>
        <v>0</v>
      </c>
      <c r="G123" s="319">
        <f t="array" ref="G123">SUM(IF((Budget[Account Code]=$B123)*(Budget[Date]=G$7),Budget[Amount]))</f>
        <v>0</v>
      </c>
      <c r="H123" s="319">
        <f t="array" ref="H123">SUM(IF((Budget[Account Code]=$B123)*(Budget[Date]=H$7),Budget[Amount]))</f>
        <v>0</v>
      </c>
      <c r="I123" s="319">
        <f t="array" ref="I123">SUM(IF((Budget[Account Code]=$B123)*(Budget[Date]=I$7),Budget[Amount]))</f>
        <v>0</v>
      </c>
      <c r="J123" s="319">
        <f t="array" ref="J123">SUM(IF((Budget[Account Code]=$B123)*(Budget[Date]=J$7),Budget[Amount]))</f>
        <v>0</v>
      </c>
      <c r="K123" s="319">
        <f t="array" ref="K123">SUM(IF((Budget[Account Code]=$B123)*(Budget[Date]=K$7),Budget[Amount]))</f>
        <v>0</v>
      </c>
      <c r="L123" s="319">
        <f t="array" ref="L123">SUM(IF((Budget[Account Code]=$B123)*(Budget[Date]=L$7),Budget[Amount]))</f>
        <v>0</v>
      </c>
      <c r="M123" s="319">
        <f t="array" ref="M123">SUM(IF((Budget[Account Code]=$B123)*(Budget[Date]=M$7),Budget[Amount]))</f>
        <v>0</v>
      </c>
      <c r="N123" s="319">
        <f t="array" ref="N123">SUM(IF((Budget[Account Code]=$B123)*(Budget[Date]=N$7),Budget[Amount]))</f>
        <v>0</v>
      </c>
      <c r="O123" s="319">
        <f t="array" ref="O123">SUM(IF((Budget[Account Code]=$B123)*(Budget[Date]=O$7),Budget[Amount]))</f>
        <v>0</v>
      </c>
      <c r="P123" s="319">
        <f t="shared" si="16"/>
        <v>0</v>
      </c>
    </row>
    <row r="124" spans="1:16">
      <c r="A124" s="323" t="s">
        <v>946</v>
      </c>
      <c r="B124" s="317"/>
      <c r="C124" s="319">
        <f t="shared" ref="C124:C151" si="25">SUM(D124:O124)</f>
        <v>0</v>
      </c>
      <c r="D124" s="319">
        <f t="array" ref="D124">SUM(IF((Budget[Account Code]=$B124)*(Budget[Date]=D$7),Budget[Amount]))</f>
        <v>0</v>
      </c>
      <c r="E124" s="319">
        <f t="array" ref="E124">SUM(IF((Budget[Account Code]=$B124)*(Budget[Date]=E$7),Budget[Amount]))</f>
        <v>0</v>
      </c>
      <c r="F124" s="319">
        <f t="array" ref="F124">SUM(IF((Budget[Account Code]=$B124)*(Budget[Date]=F$7),Budget[Amount]))</f>
        <v>0</v>
      </c>
      <c r="G124" s="319">
        <f t="array" ref="G124">SUM(IF((Budget[Account Code]=$B124)*(Budget[Date]=G$7),Budget[Amount]))</f>
        <v>0</v>
      </c>
      <c r="H124" s="319">
        <f t="array" ref="H124">SUM(IF((Budget[Account Code]=$B124)*(Budget[Date]=H$7),Budget[Amount]))</f>
        <v>0</v>
      </c>
      <c r="I124" s="319">
        <f t="array" ref="I124">SUM(IF((Budget[Account Code]=$B124)*(Budget[Date]=I$7),Budget[Amount]))</f>
        <v>0</v>
      </c>
      <c r="J124" s="319">
        <f t="array" ref="J124">SUM(IF((Budget[Account Code]=$B124)*(Budget[Date]=J$7),Budget[Amount]))</f>
        <v>0</v>
      </c>
      <c r="K124" s="319">
        <f t="array" ref="K124">SUM(IF((Budget[Account Code]=$B124)*(Budget[Date]=K$7),Budget[Amount]))</f>
        <v>0</v>
      </c>
      <c r="L124" s="319">
        <f t="array" ref="L124">SUM(IF((Budget[Account Code]=$B124)*(Budget[Date]=L$7),Budget[Amount]))</f>
        <v>0</v>
      </c>
      <c r="M124" s="319">
        <f t="array" ref="M124">SUM(IF((Budget[Account Code]=$B124)*(Budget[Date]=M$7),Budget[Amount]))</f>
        <v>0</v>
      </c>
      <c r="N124" s="319">
        <f t="array" ref="N124">SUM(IF((Budget[Account Code]=$B124)*(Budget[Date]=N$7),Budget[Amount]))</f>
        <v>0</v>
      </c>
      <c r="O124" s="319">
        <f t="array" ref="O124">SUM(IF((Budget[Account Code]=$B124)*(Budget[Date]=O$7),Budget[Amount]))</f>
        <v>0</v>
      </c>
      <c r="P124" s="319">
        <f t="shared" si="16"/>
        <v>0</v>
      </c>
    </row>
    <row r="125" spans="1:16">
      <c r="A125" s="323" t="s">
        <v>947</v>
      </c>
      <c r="B125" s="317" t="s">
        <v>250</v>
      </c>
      <c r="C125" s="319">
        <f t="shared" si="25"/>
        <v>0</v>
      </c>
      <c r="D125" s="319">
        <f t="array" ref="D125">SUM(IF((Budget[Account Code]=$B125)*(Budget[Date]=D$7),Budget[Amount]))</f>
        <v>0</v>
      </c>
      <c r="E125" s="319">
        <f t="array" ref="E125">SUM(IF((Budget[Account Code]=$B125)*(Budget[Date]=E$7),Budget[Amount]))</f>
        <v>0</v>
      </c>
      <c r="F125" s="319">
        <f t="array" ref="F125">SUM(IF((Budget[Account Code]=$B125)*(Budget[Date]=F$7),Budget[Amount]))</f>
        <v>0</v>
      </c>
      <c r="G125" s="319">
        <f t="array" ref="G125">SUM(IF((Budget[Account Code]=$B125)*(Budget[Date]=G$7),Budget[Amount]))</f>
        <v>0</v>
      </c>
      <c r="H125" s="319">
        <f t="array" ref="H125">SUM(IF((Budget[Account Code]=$B125)*(Budget[Date]=H$7),Budget[Amount]))</f>
        <v>0</v>
      </c>
      <c r="I125" s="319">
        <f t="array" ref="I125">SUM(IF((Budget[Account Code]=$B125)*(Budget[Date]=I$7),Budget[Amount]))</f>
        <v>0</v>
      </c>
      <c r="J125" s="319">
        <f t="array" ref="J125">SUM(IF((Budget[Account Code]=$B125)*(Budget[Date]=J$7),Budget[Amount]))</f>
        <v>0</v>
      </c>
      <c r="K125" s="319">
        <f t="array" ref="K125">SUM(IF((Budget[Account Code]=$B125)*(Budget[Date]=K$7),Budget[Amount]))</f>
        <v>0</v>
      </c>
      <c r="L125" s="319">
        <f t="array" ref="L125">SUM(IF((Budget[Account Code]=$B125)*(Budget[Date]=L$7),Budget[Amount]))</f>
        <v>0</v>
      </c>
      <c r="M125" s="319">
        <f t="array" ref="M125">SUM(IF((Budget[Account Code]=$B125)*(Budget[Date]=M$7),Budget[Amount]))</f>
        <v>0</v>
      </c>
      <c r="N125" s="319">
        <f t="array" ref="N125">SUM(IF((Budget[Account Code]=$B125)*(Budget[Date]=N$7),Budget[Amount]))</f>
        <v>0</v>
      </c>
      <c r="O125" s="319">
        <f t="array" ref="O125">SUM(IF((Budget[Account Code]=$B125)*(Budget[Date]=O$7),Budget[Amount]))</f>
        <v>0</v>
      </c>
      <c r="P125" s="319">
        <f t="shared" si="16"/>
        <v>0</v>
      </c>
    </row>
    <row r="126" spans="1:16" s="171" customFormat="1">
      <c r="A126" s="321" t="s">
        <v>948</v>
      </c>
      <c r="B126" s="317"/>
      <c r="C126" s="322">
        <f t="shared" si="25"/>
        <v>0</v>
      </c>
      <c r="D126" s="322">
        <f>SUM(D127:D132)</f>
        <v>0</v>
      </c>
      <c r="E126" s="322">
        <f t="shared" ref="E126:O126" si="26">SUM(E127:E132)</f>
        <v>0</v>
      </c>
      <c r="F126" s="322">
        <f t="shared" si="26"/>
        <v>0</v>
      </c>
      <c r="G126" s="322">
        <f t="shared" si="26"/>
        <v>0</v>
      </c>
      <c r="H126" s="322">
        <f t="shared" si="26"/>
        <v>0</v>
      </c>
      <c r="I126" s="322">
        <f t="shared" si="26"/>
        <v>0</v>
      </c>
      <c r="J126" s="322">
        <f t="shared" si="26"/>
        <v>0</v>
      </c>
      <c r="K126" s="322">
        <f t="shared" si="26"/>
        <v>0</v>
      </c>
      <c r="L126" s="322">
        <f t="shared" si="26"/>
        <v>0</v>
      </c>
      <c r="M126" s="322">
        <f t="shared" si="26"/>
        <v>0</v>
      </c>
      <c r="N126" s="322">
        <f t="shared" si="26"/>
        <v>0</v>
      </c>
      <c r="O126" s="322">
        <f t="shared" si="26"/>
        <v>0</v>
      </c>
      <c r="P126" s="322">
        <f t="shared" si="16"/>
        <v>0</v>
      </c>
    </row>
    <row r="127" spans="1:16">
      <c r="A127" s="323" t="s">
        <v>949</v>
      </c>
      <c r="B127" s="317" t="s">
        <v>253</v>
      </c>
      <c r="C127" s="319">
        <f t="shared" si="25"/>
        <v>0</v>
      </c>
      <c r="D127" s="319">
        <f t="array" ref="D127">SUM(IF((Budget[Account Code]=$B127)*(Budget[Date]=D$7),Budget[Amount]))</f>
        <v>0</v>
      </c>
      <c r="E127" s="319">
        <f t="array" ref="E127">SUM(IF((Budget[Account Code]=$B127)*(Budget[Date]=E$7),Budget[Amount]))</f>
        <v>0</v>
      </c>
      <c r="F127" s="319">
        <f t="array" ref="F127">SUM(IF((Budget[Account Code]=$B127)*(Budget[Date]=F$7),Budget[Amount]))</f>
        <v>0</v>
      </c>
      <c r="G127" s="319">
        <f t="array" ref="G127">SUM(IF((Budget[Account Code]=$B127)*(Budget[Date]=G$7),Budget[Amount]))</f>
        <v>0</v>
      </c>
      <c r="H127" s="319">
        <f t="array" ref="H127">SUM(IF((Budget[Account Code]=$B127)*(Budget[Date]=H$7),Budget[Amount]))</f>
        <v>0</v>
      </c>
      <c r="I127" s="319">
        <f t="array" ref="I127">SUM(IF((Budget[Account Code]=$B127)*(Budget[Date]=I$7),Budget[Amount]))</f>
        <v>0</v>
      </c>
      <c r="J127" s="319">
        <f t="array" ref="J127">SUM(IF((Budget[Account Code]=$B127)*(Budget[Date]=J$7),Budget[Amount]))</f>
        <v>0</v>
      </c>
      <c r="K127" s="319">
        <f t="array" ref="K127">SUM(IF((Budget[Account Code]=$B127)*(Budget[Date]=K$7),Budget[Amount]))</f>
        <v>0</v>
      </c>
      <c r="L127" s="319">
        <f t="array" ref="L127">SUM(IF((Budget[Account Code]=$B127)*(Budget[Date]=L$7),Budget[Amount]))</f>
        <v>0</v>
      </c>
      <c r="M127" s="319">
        <f t="array" ref="M127">SUM(IF((Budget[Account Code]=$B127)*(Budget[Date]=M$7),Budget[Amount]))</f>
        <v>0</v>
      </c>
      <c r="N127" s="319">
        <f t="array" ref="N127">SUM(IF((Budget[Account Code]=$B127)*(Budget[Date]=N$7),Budget[Amount]))</f>
        <v>0</v>
      </c>
      <c r="O127" s="319">
        <f t="array" ref="O127">SUM(IF((Budget[Account Code]=$B127)*(Budget[Date]=O$7),Budget[Amount]))</f>
        <v>0</v>
      </c>
      <c r="P127" s="319">
        <f t="shared" si="16"/>
        <v>0</v>
      </c>
    </row>
    <row r="128" spans="1:16">
      <c r="A128" s="323" t="s">
        <v>950</v>
      </c>
      <c r="B128" s="317" t="s">
        <v>256</v>
      </c>
      <c r="C128" s="319">
        <f t="shared" si="25"/>
        <v>0</v>
      </c>
      <c r="D128" s="319">
        <f t="array" ref="D128">SUM(IF((Budget[Account Code]=$B128)*(Budget[Date]=D$7),Budget[Amount]))</f>
        <v>0</v>
      </c>
      <c r="E128" s="319">
        <f t="array" ref="E128">SUM(IF((Budget[Account Code]=$B128)*(Budget[Date]=E$7),Budget[Amount]))</f>
        <v>0</v>
      </c>
      <c r="F128" s="319">
        <f t="array" ref="F128">SUM(IF((Budget[Account Code]=$B128)*(Budget[Date]=F$7),Budget[Amount]))</f>
        <v>0</v>
      </c>
      <c r="G128" s="319">
        <f t="array" ref="G128">SUM(IF((Budget[Account Code]=$B128)*(Budget[Date]=G$7),Budget[Amount]))</f>
        <v>0</v>
      </c>
      <c r="H128" s="319">
        <f t="array" ref="H128">SUM(IF((Budget[Account Code]=$B128)*(Budget[Date]=H$7),Budget[Amount]))</f>
        <v>0</v>
      </c>
      <c r="I128" s="319">
        <f t="array" ref="I128">SUM(IF((Budget[Account Code]=$B128)*(Budget[Date]=I$7),Budget[Amount]))</f>
        <v>0</v>
      </c>
      <c r="J128" s="319">
        <f t="array" ref="J128">SUM(IF((Budget[Account Code]=$B128)*(Budget[Date]=J$7),Budget[Amount]))</f>
        <v>0</v>
      </c>
      <c r="K128" s="319">
        <f t="array" ref="K128">SUM(IF((Budget[Account Code]=$B128)*(Budget[Date]=K$7),Budget[Amount]))</f>
        <v>0</v>
      </c>
      <c r="L128" s="319">
        <f t="array" ref="L128">SUM(IF((Budget[Account Code]=$B128)*(Budget[Date]=L$7),Budget[Amount]))</f>
        <v>0</v>
      </c>
      <c r="M128" s="319">
        <f t="array" ref="M128">SUM(IF((Budget[Account Code]=$B128)*(Budget[Date]=M$7),Budget[Amount]))</f>
        <v>0</v>
      </c>
      <c r="N128" s="319">
        <f t="array" ref="N128">SUM(IF((Budget[Account Code]=$B128)*(Budget[Date]=N$7),Budget[Amount]))</f>
        <v>0</v>
      </c>
      <c r="O128" s="319">
        <f t="array" ref="O128">SUM(IF((Budget[Account Code]=$B128)*(Budget[Date]=O$7),Budget[Amount]))</f>
        <v>0</v>
      </c>
      <c r="P128" s="319">
        <f t="shared" si="16"/>
        <v>0</v>
      </c>
    </row>
    <row r="129" spans="1:16">
      <c r="A129" s="323" t="s">
        <v>951</v>
      </c>
      <c r="B129" s="317" t="s">
        <v>262</v>
      </c>
      <c r="C129" s="319">
        <f t="shared" si="25"/>
        <v>0</v>
      </c>
      <c r="D129" s="319">
        <f t="array" ref="D129">SUM(IF((Budget[Account Code]=$B129)*(Budget[Date]=D$7),Budget[Amount]))</f>
        <v>0</v>
      </c>
      <c r="E129" s="319">
        <f t="array" ref="E129">SUM(IF((Budget[Account Code]=$B129)*(Budget[Date]=E$7),Budget[Amount]))</f>
        <v>0</v>
      </c>
      <c r="F129" s="319">
        <f t="array" ref="F129">SUM(IF((Budget[Account Code]=$B129)*(Budget[Date]=F$7),Budget[Amount]))</f>
        <v>0</v>
      </c>
      <c r="G129" s="319">
        <f t="array" ref="G129">SUM(IF((Budget[Account Code]=$B129)*(Budget[Date]=G$7),Budget[Amount]))</f>
        <v>0</v>
      </c>
      <c r="H129" s="319">
        <f t="array" ref="H129">SUM(IF((Budget[Account Code]=$B129)*(Budget[Date]=H$7),Budget[Amount]))</f>
        <v>0</v>
      </c>
      <c r="I129" s="319">
        <f t="array" ref="I129">SUM(IF((Budget[Account Code]=$B129)*(Budget[Date]=I$7),Budget[Amount]))</f>
        <v>0</v>
      </c>
      <c r="J129" s="319">
        <f t="array" ref="J129">SUM(IF((Budget[Account Code]=$B129)*(Budget[Date]=J$7),Budget[Amount]))</f>
        <v>0</v>
      </c>
      <c r="K129" s="319">
        <f t="array" ref="K129">SUM(IF((Budget[Account Code]=$B129)*(Budget[Date]=K$7),Budget[Amount]))</f>
        <v>0</v>
      </c>
      <c r="L129" s="319">
        <f t="array" ref="L129">SUM(IF((Budget[Account Code]=$B129)*(Budget[Date]=L$7),Budget[Amount]))</f>
        <v>0</v>
      </c>
      <c r="M129" s="319">
        <f t="array" ref="M129">SUM(IF((Budget[Account Code]=$B129)*(Budget[Date]=M$7),Budget[Amount]))</f>
        <v>0</v>
      </c>
      <c r="N129" s="319">
        <f t="array" ref="N129">SUM(IF((Budget[Account Code]=$B129)*(Budget[Date]=N$7),Budget[Amount]))</f>
        <v>0</v>
      </c>
      <c r="O129" s="319">
        <f t="array" ref="O129">SUM(IF((Budget[Account Code]=$B129)*(Budget[Date]=O$7),Budget[Amount]))</f>
        <v>0</v>
      </c>
      <c r="P129" s="319">
        <f t="shared" si="16"/>
        <v>0</v>
      </c>
    </row>
    <row r="130" spans="1:16">
      <c r="A130" s="323" t="s">
        <v>952</v>
      </c>
      <c r="B130" s="317" t="s">
        <v>251</v>
      </c>
      <c r="C130" s="319">
        <f t="shared" si="25"/>
        <v>0</v>
      </c>
      <c r="D130" s="319">
        <f t="array" ref="D130">SUM(IF((Budget[Account Code]=$B130)*(Budget[Date]=D$7),Budget[Amount]))</f>
        <v>0</v>
      </c>
      <c r="E130" s="319">
        <f t="array" ref="E130">SUM(IF((Budget[Account Code]=$B130)*(Budget[Date]=E$7),Budget[Amount]))</f>
        <v>0</v>
      </c>
      <c r="F130" s="319">
        <f t="array" ref="F130">SUM(IF((Budget[Account Code]=$B130)*(Budget[Date]=F$7),Budget[Amount]))</f>
        <v>0</v>
      </c>
      <c r="G130" s="319">
        <f t="array" ref="G130">SUM(IF((Budget[Account Code]=$B130)*(Budget[Date]=G$7),Budget[Amount]))</f>
        <v>0</v>
      </c>
      <c r="H130" s="319">
        <f t="array" ref="H130">SUM(IF((Budget[Account Code]=$B130)*(Budget[Date]=H$7),Budget[Amount]))</f>
        <v>0</v>
      </c>
      <c r="I130" s="319">
        <f t="array" ref="I130">SUM(IF((Budget[Account Code]=$B130)*(Budget[Date]=I$7),Budget[Amount]))</f>
        <v>0</v>
      </c>
      <c r="J130" s="319">
        <f t="array" ref="J130">SUM(IF((Budget[Account Code]=$B130)*(Budget[Date]=J$7),Budget[Amount]))</f>
        <v>0</v>
      </c>
      <c r="K130" s="319">
        <f t="array" ref="K130">SUM(IF((Budget[Account Code]=$B130)*(Budget[Date]=K$7),Budget[Amount]))</f>
        <v>0</v>
      </c>
      <c r="L130" s="319">
        <f t="array" ref="L130">SUM(IF((Budget[Account Code]=$B130)*(Budget[Date]=L$7),Budget[Amount]))</f>
        <v>0</v>
      </c>
      <c r="M130" s="319">
        <f t="array" ref="M130">SUM(IF((Budget[Account Code]=$B130)*(Budget[Date]=M$7),Budget[Amount]))</f>
        <v>0</v>
      </c>
      <c r="N130" s="319">
        <f t="array" ref="N130">SUM(IF((Budget[Account Code]=$B130)*(Budget[Date]=N$7),Budget[Amount]))</f>
        <v>0</v>
      </c>
      <c r="O130" s="319">
        <f t="array" ref="O130">SUM(IF((Budget[Account Code]=$B130)*(Budget[Date]=O$7),Budget[Amount]))</f>
        <v>0</v>
      </c>
      <c r="P130" s="319">
        <f t="shared" si="16"/>
        <v>0</v>
      </c>
    </row>
    <row r="131" spans="1:16">
      <c r="A131" s="323" t="s">
        <v>953</v>
      </c>
      <c r="B131" s="317" t="s">
        <v>252</v>
      </c>
      <c r="C131" s="319">
        <f t="shared" si="25"/>
        <v>0</v>
      </c>
      <c r="D131" s="319">
        <f t="array" ref="D131">SUM(IF((Budget[Account Code]=$B131)*(Budget[Date]=D$7),Budget[Amount]))</f>
        <v>0</v>
      </c>
      <c r="E131" s="319">
        <f t="array" ref="E131">SUM(IF((Budget[Account Code]=$B131)*(Budget[Date]=E$7),Budget[Amount]))</f>
        <v>0</v>
      </c>
      <c r="F131" s="319">
        <f t="array" ref="F131">SUM(IF((Budget[Account Code]=$B131)*(Budget[Date]=F$7),Budget[Amount]))</f>
        <v>0</v>
      </c>
      <c r="G131" s="319">
        <f t="array" ref="G131">SUM(IF((Budget[Account Code]=$B131)*(Budget[Date]=G$7),Budget[Amount]))</f>
        <v>0</v>
      </c>
      <c r="H131" s="319">
        <f t="array" ref="H131">SUM(IF((Budget[Account Code]=$B131)*(Budget[Date]=H$7),Budget[Amount]))</f>
        <v>0</v>
      </c>
      <c r="I131" s="319">
        <f t="array" ref="I131">SUM(IF((Budget[Account Code]=$B131)*(Budget[Date]=I$7),Budget[Amount]))</f>
        <v>0</v>
      </c>
      <c r="J131" s="319">
        <f t="array" ref="J131">SUM(IF((Budget[Account Code]=$B131)*(Budget[Date]=J$7),Budget[Amount]))</f>
        <v>0</v>
      </c>
      <c r="K131" s="319">
        <f t="array" ref="K131">SUM(IF((Budget[Account Code]=$B131)*(Budget[Date]=K$7),Budget[Amount]))</f>
        <v>0</v>
      </c>
      <c r="L131" s="319">
        <f t="array" ref="L131">SUM(IF((Budget[Account Code]=$B131)*(Budget[Date]=L$7),Budget[Amount]))</f>
        <v>0</v>
      </c>
      <c r="M131" s="319">
        <f t="array" ref="M131">SUM(IF((Budget[Account Code]=$B131)*(Budget[Date]=M$7),Budget[Amount]))</f>
        <v>0</v>
      </c>
      <c r="N131" s="319">
        <f t="array" ref="N131">SUM(IF((Budget[Account Code]=$B131)*(Budget[Date]=N$7),Budget[Amount]))</f>
        <v>0</v>
      </c>
      <c r="O131" s="319">
        <f t="array" ref="O131">SUM(IF((Budget[Account Code]=$B131)*(Budget[Date]=O$7),Budget[Amount]))</f>
        <v>0</v>
      </c>
      <c r="P131" s="319">
        <f t="shared" si="16"/>
        <v>0</v>
      </c>
    </row>
    <row r="132" spans="1:16">
      <c r="A132" s="323" t="s">
        <v>954</v>
      </c>
      <c r="B132" s="317" t="s">
        <v>265</v>
      </c>
      <c r="C132" s="319">
        <f t="shared" si="25"/>
        <v>0</v>
      </c>
      <c r="D132" s="319">
        <f t="array" ref="D132">SUM(IF((Budget[Account Code]=$B132)*(Budget[Date]=D$7),Budget[Amount]))</f>
        <v>0</v>
      </c>
      <c r="E132" s="319">
        <f t="array" ref="E132">SUM(IF((Budget[Account Code]=$B132)*(Budget[Date]=E$7),Budget[Amount]))</f>
        <v>0</v>
      </c>
      <c r="F132" s="319">
        <f t="array" ref="F132">SUM(IF((Budget[Account Code]=$B132)*(Budget[Date]=F$7),Budget[Amount]))</f>
        <v>0</v>
      </c>
      <c r="G132" s="319">
        <f t="array" ref="G132">SUM(IF((Budget[Account Code]=$B132)*(Budget[Date]=G$7),Budget[Amount]))</f>
        <v>0</v>
      </c>
      <c r="H132" s="319">
        <f t="array" ref="H132">SUM(IF((Budget[Account Code]=$B132)*(Budget[Date]=H$7),Budget[Amount]))</f>
        <v>0</v>
      </c>
      <c r="I132" s="319">
        <f t="array" ref="I132">SUM(IF((Budget[Account Code]=$B132)*(Budget[Date]=I$7),Budget[Amount]))</f>
        <v>0</v>
      </c>
      <c r="J132" s="319">
        <f t="array" ref="J132">SUM(IF((Budget[Account Code]=$B132)*(Budget[Date]=J$7),Budget[Amount]))</f>
        <v>0</v>
      </c>
      <c r="K132" s="319">
        <f t="array" ref="K132">SUM(IF((Budget[Account Code]=$B132)*(Budget[Date]=K$7),Budget[Amount]))</f>
        <v>0</v>
      </c>
      <c r="L132" s="319">
        <f t="array" ref="L132">SUM(IF((Budget[Account Code]=$B132)*(Budget[Date]=L$7),Budget[Amount]))</f>
        <v>0</v>
      </c>
      <c r="M132" s="319">
        <f t="array" ref="M132">SUM(IF((Budget[Account Code]=$B132)*(Budget[Date]=M$7),Budget[Amount]))</f>
        <v>0</v>
      </c>
      <c r="N132" s="319">
        <f t="array" ref="N132">SUM(IF((Budget[Account Code]=$B132)*(Budget[Date]=N$7),Budget[Amount]))</f>
        <v>0</v>
      </c>
      <c r="O132" s="319">
        <f t="array" ref="O132">SUM(IF((Budget[Account Code]=$B132)*(Budget[Date]=O$7),Budget[Amount]))</f>
        <v>0</v>
      </c>
      <c r="P132" s="319">
        <f t="shared" si="16"/>
        <v>0</v>
      </c>
    </row>
    <row r="133" spans="1:16" s="171" customFormat="1">
      <c r="A133" s="321" t="s">
        <v>955</v>
      </c>
      <c r="B133" s="317" t="s">
        <v>269</v>
      </c>
      <c r="C133" s="322">
        <f t="shared" si="25"/>
        <v>0</v>
      </c>
      <c r="D133" s="319">
        <f t="array" ref="D133">SUM(IF((Budget[Account Code]=$B133)*(Budget[Date]=D$7),Budget[Amount]))</f>
        <v>0</v>
      </c>
      <c r="E133" s="319">
        <f t="array" ref="E133">SUM(IF((Budget[Account Code]=$B133)*(Budget[Date]=E$7),Budget[Amount]))</f>
        <v>0</v>
      </c>
      <c r="F133" s="319">
        <f t="array" ref="F133">SUM(IF((Budget[Account Code]=$B133)*(Budget[Date]=F$7),Budget[Amount]))</f>
        <v>0</v>
      </c>
      <c r="G133" s="319">
        <f t="array" ref="G133">SUM(IF((Budget[Account Code]=$B133)*(Budget[Date]=G$7),Budget[Amount]))</f>
        <v>0</v>
      </c>
      <c r="H133" s="319">
        <f t="array" ref="H133">SUM(IF((Budget[Account Code]=$B133)*(Budget[Date]=H$7),Budget[Amount]))</f>
        <v>0</v>
      </c>
      <c r="I133" s="319">
        <f t="array" ref="I133">SUM(IF((Budget[Account Code]=$B133)*(Budget[Date]=I$7),Budget[Amount]))</f>
        <v>0</v>
      </c>
      <c r="J133" s="319">
        <f t="array" ref="J133">SUM(IF((Budget[Account Code]=$B133)*(Budget[Date]=J$7),Budget[Amount]))</f>
        <v>0</v>
      </c>
      <c r="K133" s="319">
        <f t="array" ref="K133">SUM(IF((Budget[Account Code]=$B133)*(Budget[Date]=K$7),Budget[Amount]))</f>
        <v>0</v>
      </c>
      <c r="L133" s="319">
        <f t="array" ref="L133">SUM(IF((Budget[Account Code]=$B133)*(Budget[Date]=L$7),Budget[Amount]))</f>
        <v>0</v>
      </c>
      <c r="M133" s="319">
        <f t="array" ref="M133">SUM(IF((Budget[Account Code]=$B133)*(Budget[Date]=M$7),Budget[Amount]))</f>
        <v>0</v>
      </c>
      <c r="N133" s="319">
        <f t="array" ref="N133">SUM(IF((Budget[Account Code]=$B133)*(Budget[Date]=N$7),Budget[Amount]))</f>
        <v>0</v>
      </c>
      <c r="O133" s="319">
        <f t="array" ref="O133">SUM(IF((Budget[Account Code]=$B133)*(Budget[Date]=O$7),Budget[Amount]))</f>
        <v>0</v>
      </c>
      <c r="P133" s="322">
        <f t="shared" si="16"/>
        <v>0</v>
      </c>
    </row>
    <row r="134" spans="1:16" s="171" customFormat="1">
      <c r="A134" s="321" t="s">
        <v>956</v>
      </c>
      <c r="B134" s="317"/>
      <c r="C134" s="322">
        <f t="shared" si="25"/>
        <v>0</v>
      </c>
      <c r="D134" s="322">
        <f>D135+D136</f>
        <v>0</v>
      </c>
      <c r="E134" s="322">
        <f t="shared" ref="E134:O134" si="27">E135+E136</f>
        <v>0</v>
      </c>
      <c r="F134" s="322">
        <f t="shared" si="27"/>
        <v>0</v>
      </c>
      <c r="G134" s="322">
        <f t="shared" si="27"/>
        <v>0</v>
      </c>
      <c r="H134" s="322">
        <f t="shared" si="27"/>
        <v>0</v>
      </c>
      <c r="I134" s="322">
        <f t="shared" si="27"/>
        <v>0</v>
      </c>
      <c r="J134" s="322">
        <f t="shared" si="27"/>
        <v>0</v>
      </c>
      <c r="K134" s="322">
        <f t="shared" si="27"/>
        <v>0</v>
      </c>
      <c r="L134" s="322">
        <f t="shared" si="27"/>
        <v>0</v>
      </c>
      <c r="M134" s="322">
        <f t="shared" si="27"/>
        <v>0</v>
      </c>
      <c r="N134" s="322">
        <f t="shared" si="27"/>
        <v>0</v>
      </c>
      <c r="O134" s="322">
        <f t="shared" si="27"/>
        <v>0</v>
      </c>
      <c r="P134" s="322">
        <f t="shared" si="16"/>
        <v>0</v>
      </c>
    </row>
    <row r="135" spans="1:16">
      <c r="A135" s="323" t="s">
        <v>957</v>
      </c>
      <c r="B135" s="317"/>
      <c r="C135" s="319">
        <f t="shared" si="25"/>
        <v>0</v>
      </c>
      <c r="D135" s="319">
        <f t="array" ref="D135">SUM(IF((Budget[Account Code]=$B135)*(Budget[Date]=D$7),Budget[Amount]))</f>
        <v>0</v>
      </c>
      <c r="E135" s="319">
        <f t="array" ref="E135">SUM(IF((Budget[Account Code]=$B135)*(Budget[Date]=E$7),Budget[Amount]))</f>
        <v>0</v>
      </c>
      <c r="F135" s="319">
        <f t="array" ref="F135">SUM(IF((Budget[Account Code]=$B135)*(Budget[Date]=F$7),Budget[Amount]))</f>
        <v>0</v>
      </c>
      <c r="G135" s="319">
        <f t="array" ref="G135">SUM(IF((Budget[Account Code]=$B135)*(Budget[Date]=G$7),Budget[Amount]))</f>
        <v>0</v>
      </c>
      <c r="H135" s="319">
        <f t="array" ref="H135">SUM(IF((Budget[Account Code]=$B135)*(Budget[Date]=H$7),Budget[Amount]))</f>
        <v>0</v>
      </c>
      <c r="I135" s="319">
        <f t="array" ref="I135">SUM(IF((Budget[Account Code]=$B135)*(Budget[Date]=I$7),Budget[Amount]))</f>
        <v>0</v>
      </c>
      <c r="J135" s="319">
        <f t="array" ref="J135">SUM(IF((Budget[Account Code]=$B135)*(Budget[Date]=J$7),Budget[Amount]))</f>
        <v>0</v>
      </c>
      <c r="K135" s="319">
        <f t="array" ref="K135">SUM(IF((Budget[Account Code]=$B135)*(Budget[Date]=K$7),Budget[Amount]))</f>
        <v>0</v>
      </c>
      <c r="L135" s="319">
        <f t="array" ref="L135">SUM(IF((Budget[Account Code]=$B135)*(Budget[Date]=L$7),Budget[Amount]))</f>
        <v>0</v>
      </c>
      <c r="M135" s="319">
        <f t="array" ref="M135">SUM(IF((Budget[Account Code]=$B135)*(Budget[Date]=M$7),Budget[Amount]))</f>
        <v>0</v>
      </c>
      <c r="N135" s="319">
        <f t="array" ref="N135">SUM(IF((Budget[Account Code]=$B135)*(Budget[Date]=N$7),Budget[Amount]))</f>
        <v>0</v>
      </c>
      <c r="O135" s="319">
        <f t="array" ref="O135">SUM(IF((Budget[Account Code]=$B135)*(Budget[Date]=O$7),Budget[Amount]))</f>
        <v>0</v>
      </c>
      <c r="P135" s="319">
        <f t="shared" si="16"/>
        <v>0</v>
      </c>
    </row>
    <row r="136" spans="1:16">
      <c r="A136" s="323" t="s">
        <v>958</v>
      </c>
      <c r="B136" s="317" t="s">
        <v>271</v>
      </c>
      <c r="C136" s="319">
        <f t="shared" si="25"/>
        <v>0</v>
      </c>
      <c r="D136" s="319">
        <f t="array" ref="D136">SUM(IF((Budget[Account Code]=$B136)*(Budget[Date]=D$7),Budget[Amount]))</f>
        <v>0</v>
      </c>
      <c r="E136" s="319">
        <f t="array" ref="E136">SUM(IF((Budget[Account Code]=$B136)*(Budget[Date]=E$7),Budget[Amount]))</f>
        <v>0</v>
      </c>
      <c r="F136" s="319">
        <f t="array" ref="F136">SUM(IF((Budget[Account Code]=$B136)*(Budget[Date]=F$7),Budget[Amount]))</f>
        <v>0</v>
      </c>
      <c r="G136" s="319">
        <f t="array" ref="G136">SUM(IF((Budget[Account Code]=$B136)*(Budget[Date]=G$7),Budget[Amount]))</f>
        <v>0</v>
      </c>
      <c r="H136" s="319">
        <f t="array" ref="H136">SUM(IF((Budget[Account Code]=$B136)*(Budget[Date]=H$7),Budget[Amount]))</f>
        <v>0</v>
      </c>
      <c r="I136" s="319">
        <f t="array" ref="I136">SUM(IF((Budget[Account Code]=$B136)*(Budget[Date]=I$7),Budget[Amount]))</f>
        <v>0</v>
      </c>
      <c r="J136" s="319">
        <f t="array" ref="J136">SUM(IF((Budget[Account Code]=$B136)*(Budget[Date]=J$7),Budget[Amount]))</f>
        <v>0</v>
      </c>
      <c r="K136" s="319">
        <f t="array" ref="K136">SUM(IF((Budget[Account Code]=$B136)*(Budget[Date]=K$7),Budget[Amount]))</f>
        <v>0</v>
      </c>
      <c r="L136" s="319">
        <f t="array" ref="L136">SUM(IF((Budget[Account Code]=$B136)*(Budget[Date]=L$7),Budget[Amount]))</f>
        <v>0</v>
      </c>
      <c r="M136" s="319">
        <f t="array" ref="M136">SUM(IF((Budget[Account Code]=$B136)*(Budget[Date]=M$7),Budget[Amount]))</f>
        <v>0</v>
      </c>
      <c r="N136" s="319">
        <f t="array" ref="N136">SUM(IF((Budget[Account Code]=$B136)*(Budget[Date]=N$7),Budget[Amount]))</f>
        <v>0</v>
      </c>
      <c r="O136" s="319">
        <f t="array" ref="O136">SUM(IF((Budget[Account Code]=$B136)*(Budget[Date]=O$7),Budget[Amount]))</f>
        <v>0</v>
      </c>
      <c r="P136" s="319">
        <f t="shared" si="16"/>
        <v>0</v>
      </c>
    </row>
    <row r="137" spans="1:16" s="171" customFormat="1">
      <c r="A137" s="321" t="s">
        <v>959</v>
      </c>
      <c r="B137" s="317"/>
      <c r="C137" s="322">
        <f t="shared" si="25"/>
        <v>0</v>
      </c>
      <c r="D137" s="322">
        <f>D138+D139+D140</f>
        <v>0</v>
      </c>
      <c r="E137" s="322">
        <f t="shared" ref="E137:O137" si="28">E138+E139+E140</f>
        <v>0</v>
      </c>
      <c r="F137" s="322">
        <f t="shared" si="28"/>
        <v>0</v>
      </c>
      <c r="G137" s="322">
        <f t="shared" si="28"/>
        <v>0</v>
      </c>
      <c r="H137" s="322">
        <f t="shared" si="28"/>
        <v>0</v>
      </c>
      <c r="I137" s="322">
        <f t="shared" si="28"/>
        <v>0</v>
      </c>
      <c r="J137" s="322">
        <f t="shared" si="28"/>
        <v>0</v>
      </c>
      <c r="K137" s="322">
        <f t="shared" si="28"/>
        <v>0</v>
      </c>
      <c r="L137" s="322">
        <f t="shared" si="28"/>
        <v>0</v>
      </c>
      <c r="M137" s="322">
        <f t="shared" si="28"/>
        <v>0</v>
      </c>
      <c r="N137" s="322">
        <f t="shared" si="28"/>
        <v>0</v>
      </c>
      <c r="O137" s="322">
        <f t="shared" si="28"/>
        <v>0</v>
      </c>
      <c r="P137" s="322">
        <f t="shared" si="16"/>
        <v>0</v>
      </c>
    </row>
    <row r="138" spans="1:16">
      <c r="A138" s="323" t="s">
        <v>960</v>
      </c>
      <c r="B138" s="317" t="s">
        <v>272</v>
      </c>
      <c r="C138" s="319">
        <f t="shared" si="25"/>
        <v>0</v>
      </c>
      <c r="D138" s="319">
        <f t="array" ref="D138">SUM(IF((Budget[Account Code]=$B138)*(Budget[Date]=D$7),Budget[Amount]))</f>
        <v>0</v>
      </c>
      <c r="E138" s="319">
        <f t="array" ref="E138">SUM(IF((Budget[Account Code]=$B138)*(Budget[Date]=E$7),Budget[Amount]))</f>
        <v>0</v>
      </c>
      <c r="F138" s="319">
        <f t="array" ref="F138">SUM(IF((Budget[Account Code]=$B138)*(Budget[Date]=F$7),Budget[Amount]))</f>
        <v>0</v>
      </c>
      <c r="G138" s="319">
        <f t="array" ref="G138">SUM(IF((Budget[Account Code]=$B138)*(Budget[Date]=G$7),Budget[Amount]))</f>
        <v>0</v>
      </c>
      <c r="H138" s="319">
        <f t="array" ref="H138">SUM(IF((Budget[Account Code]=$B138)*(Budget[Date]=H$7),Budget[Amount]))</f>
        <v>0</v>
      </c>
      <c r="I138" s="319">
        <f t="array" ref="I138">SUM(IF((Budget[Account Code]=$B138)*(Budget[Date]=I$7),Budget[Amount]))</f>
        <v>0</v>
      </c>
      <c r="J138" s="319">
        <f t="array" ref="J138">SUM(IF((Budget[Account Code]=$B138)*(Budget[Date]=J$7),Budget[Amount]))</f>
        <v>0</v>
      </c>
      <c r="K138" s="319">
        <f t="array" ref="K138">SUM(IF((Budget[Account Code]=$B138)*(Budget[Date]=K$7),Budget[Amount]))</f>
        <v>0</v>
      </c>
      <c r="L138" s="319">
        <f t="array" ref="L138">SUM(IF((Budget[Account Code]=$B138)*(Budget[Date]=L$7),Budget[Amount]))</f>
        <v>0</v>
      </c>
      <c r="M138" s="319">
        <f t="array" ref="M138">SUM(IF((Budget[Account Code]=$B138)*(Budget[Date]=M$7),Budget[Amount]))</f>
        <v>0</v>
      </c>
      <c r="N138" s="319">
        <f t="array" ref="N138">SUM(IF((Budget[Account Code]=$B138)*(Budget[Date]=N$7),Budget[Amount]))</f>
        <v>0</v>
      </c>
      <c r="O138" s="319">
        <f t="array" ref="O138">SUM(IF((Budget[Account Code]=$B138)*(Budget[Date]=O$7),Budget[Amount]))</f>
        <v>0</v>
      </c>
      <c r="P138" s="319">
        <f t="shared" si="16"/>
        <v>0</v>
      </c>
    </row>
    <row r="139" spans="1:16">
      <c r="A139" s="323" t="s">
        <v>961</v>
      </c>
      <c r="B139" s="317" t="s">
        <v>273</v>
      </c>
      <c r="C139" s="319">
        <f t="shared" si="25"/>
        <v>0</v>
      </c>
      <c r="D139" s="319">
        <f t="array" ref="D139">SUM(IF((Budget[Account Code]=$B139)*(Budget[Date]=D$7),Budget[Amount]))</f>
        <v>0</v>
      </c>
      <c r="E139" s="319">
        <f t="array" ref="E139">SUM(IF((Budget[Account Code]=$B139)*(Budget[Date]=E$7),Budget[Amount]))</f>
        <v>0</v>
      </c>
      <c r="F139" s="319">
        <f t="array" ref="F139">SUM(IF((Budget[Account Code]=$B139)*(Budget[Date]=F$7),Budget[Amount]))</f>
        <v>0</v>
      </c>
      <c r="G139" s="319">
        <f t="array" ref="G139">SUM(IF((Budget[Account Code]=$B139)*(Budget[Date]=G$7),Budget[Amount]))</f>
        <v>0</v>
      </c>
      <c r="H139" s="319">
        <f t="array" ref="H139">SUM(IF((Budget[Account Code]=$B139)*(Budget[Date]=H$7),Budget[Amount]))</f>
        <v>0</v>
      </c>
      <c r="I139" s="319">
        <f t="array" ref="I139">SUM(IF((Budget[Account Code]=$B139)*(Budget[Date]=I$7),Budget[Amount]))</f>
        <v>0</v>
      </c>
      <c r="J139" s="319">
        <f t="array" ref="J139">SUM(IF((Budget[Account Code]=$B139)*(Budget[Date]=J$7),Budget[Amount]))</f>
        <v>0</v>
      </c>
      <c r="K139" s="319">
        <f t="array" ref="K139">SUM(IF((Budget[Account Code]=$B139)*(Budget[Date]=K$7),Budget[Amount]))</f>
        <v>0</v>
      </c>
      <c r="L139" s="319">
        <f t="array" ref="L139">SUM(IF((Budget[Account Code]=$B139)*(Budget[Date]=L$7),Budget[Amount]))</f>
        <v>0</v>
      </c>
      <c r="M139" s="319">
        <f t="array" ref="M139">SUM(IF((Budget[Account Code]=$B139)*(Budget[Date]=M$7),Budget[Amount]))</f>
        <v>0</v>
      </c>
      <c r="N139" s="319">
        <f t="array" ref="N139">SUM(IF((Budget[Account Code]=$B139)*(Budget[Date]=N$7),Budget[Amount]))</f>
        <v>0</v>
      </c>
      <c r="O139" s="319">
        <f t="array" ref="O139">SUM(IF((Budget[Account Code]=$B139)*(Budget[Date]=O$7),Budget[Amount]))</f>
        <v>0</v>
      </c>
      <c r="P139" s="319">
        <f t="shared" si="16"/>
        <v>0</v>
      </c>
    </row>
    <row r="140" spans="1:16">
      <c r="A140" s="323" t="s">
        <v>962</v>
      </c>
      <c r="B140" s="317" t="s">
        <v>274</v>
      </c>
      <c r="C140" s="319">
        <f t="shared" si="25"/>
        <v>0</v>
      </c>
      <c r="D140" s="319">
        <f t="array" ref="D140">SUM(IF((Budget[Account Code]=$B140)*(Budget[Date]=D$7),Budget[Amount]))</f>
        <v>0</v>
      </c>
      <c r="E140" s="319">
        <f t="array" ref="E140">SUM(IF((Budget[Account Code]=$B140)*(Budget[Date]=E$7),Budget[Amount]))</f>
        <v>0</v>
      </c>
      <c r="F140" s="319">
        <f t="array" ref="F140">SUM(IF((Budget[Account Code]=$B140)*(Budget[Date]=F$7),Budget[Amount]))</f>
        <v>0</v>
      </c>
      <c r="G140" s="319">
        <f t="array" ref="G140">SUM(IF((Budget[Account Code]=$B140)*(Budget[Date]=G$7),Budget[Amount]))</f>
        <v>0</v>
      </c>
      <c r="H140" s="319">
        <f t="array" ref="H140">SUM(IF((Budget[Account Code]=$B140)*(Budget[Date]=H$7),Budget[Amount]))</f>
        <v>0</v>
      </c>
      <c r="I140" s="319">
        <f t="array" ref="I140">SUM(IF((Budget[Account Code]=$B140)*(Budget[Date]=I$7),Budget[Amount]))</f>
        <v>0</v>
      </c>
      <c r="J140" s="319">
        <f t="array" ref="J140">SUM(IF((Budget[Account Code]=$B140)*(Budget[Date]=J$7),Budget[Amount]))</f>
        <v>0</v>
      </c>
      <c r="K140" s="319">
        <f t="array" ref="K140">SUM(IF((Budget[Account Code]=$B140)*(Budget[Date]=K$7),Budget[Amount]))</f>
        <v>0</v>
      </c>
      <c r="L140" s="319">
        <f t="array" ref="L140">SUM(IF((Budget[Account Code]=$B140)*(Budget[Date]=L$7),Budget[Amount]))</f>
        <v>0</v>
      </c>
      <c r="M140" s="319">
        <f t="array" ref="M140">SUM(IF((Budget[Account Code]=$B140)*(Budget[Date]=M$7),Budget[Amount]))</f>
        <v>0</v>
      </c>
      <c r="N140" s="319">
        <f t="array" ref="N140">SUM(IF((Budget[Account Code]=$B140)*(Budget[Date]=N$7),Budget[Amount]))</f>
        <v>0</v>
      </c>
      <c r="O140" s="319">
        <f t="array" ref="O140">SUM(IF((Budget[Account Code]=$B140)*(Budget[Date]=O$7),Budget[Amount]))</f>
        <v>0</v>
      </c>
      <c r="P140" s="319">
        <f t="shared" ref="P140:P169" si="29">C140</f>
        <v>0</v>
      </c>
    </row>
    <row r="141" spans="1:16" s="171" customFormat="1">
      <c r="A141" s="321" t="s">
        <v>963</v>
      </c>
      <c r="B141" s="317"/>
      <c r="C141" s="322">
        <f t="shared" si="25"/>
        <v>0</v>
      </c>
      <c r="D141" s="322">
        <f>SUM(D142:D146)</f>
        <v>0</v>
      </c>
      <c r="E141" s="322">
        <f t="shared" ref="E141:O141" si="30">SUM(E142:E146)</f>
        <v>0</v>
      </c>
      <c r="F141" s="322">
        <f t="shared" si="30"/>
        <v>0</v>
      </c>
      <c r="G141" s="322">
        <f t="shared" si="30"/>
        <v>0</v>
      </c>
      <c r="H141" s="322">
        <f t="shared" si="30"/>
        <v>0</v>
      </c>
      <c r="I141" s="322">
        <f t="shared" si="30"/>
        <v>0</v>
      </c>
      <c r="J141" s="322">
        <f t="shared" si="30"/>
        <v>0</v>
      </c>
      <c r="K141" s="322">
        <f t="shared" si="30"/>
        <v>0</v>
      </c>
      <c r="L141" s="322">
        <f t="shared" si="30"/>
        <v>0</v>
      </c>
      <c r="M141" s="322">
        <f t="shared" si="30"/>
        <v>0</v>
      </c>
      <c r="N141" s="322">
        <f t="shared" si="30"/>
        <v>0</v>
      </c>
      <c r="O141" s="322">
        <f t="shared" si="30"/>
        <v>0</v>
      </c>
      <c r="P141" s="322">
        <f t="shared" si="29"/>
        <v>0</v>
      </c>
    </row>
    <row r="142" spans="1:16">
      <c r="A142" s="323" t="s">
        <v>964</v>
      </c>
      <c r="B142" s="317" t="s">
        <v>332</v>
      </c>
      <c r="C142" s="319">
        <f t="shared" si="25"/>
        <v>0</v>
      </c>
      <c r="D142" s="319">
        <f t="array" ref="D142">SUM(IF((Budget[Account Code]=$B142)*(Budget[Date]=D$7),Budget[Amount]))</f>
        <v>0</v>
      </c>
      <c r="E142" s="319">
        <f t="array" ref="E142">SUM(IF((Budget[Account Code]=$B142)*(Budget[Date]=E$7),Budget[Amount]))</f>
        <v>0</v>
      </c>
      <c r="F142" s="319">
        <f t="array" ref="F142">SUM(IF((Budget[Account Code]=$B142)*(Budget[Date]=F$7),Budget[Amount]))</f>
        <v>0</v>
      </c>
      <c r="G142" s="319">
        <f t="array" ref="G142">SUM(IF((Budget[Account Code]=$B142)*(Budget[Date]=G$7),Budget[Amount]))</f>
        <v>0</v>
      </c>
      <c r="H142" s="319">
        <f t="array" ref="H142">SUM(IF((Budget[Account Code]=$B142)*(Budget[Date]=H$7),Budget[Amount]))</f>
        <v>0</v>
      </c>
      <c r="I142" s="319">
        <f t="array" ref="I142">SUM(IF((Budget[Account Code]=$B142)*(Budget[Date]=I$7),Budget[Amount]))</f>
        <v>0</v>
      </c>
      <c r="J142" s="319">
        <f t="array" ref="J142">SUM(IF((Budget[Account Code]=$B142)*(Budget[Date]=J$7),Budget[Amount]))</f>
        <v>0</v>
      </c>
      <c r="K142" s="319">
        <f t="array" ref="K142">SUM(IF((Budget[Account Code]=$B142)*(Budget[Date]=K$7),Budget[Amount]))</f>
        <v>0</v>
      </c>
      <c r="L142" s="319">
        <f t="array" ref="L142">SUM(IF((Budget[Account Code]=$B142)*(Budget[Date]=L$7),Budget[Amount]))</f>
        <v>0</v>
      </c>
      <c r="M142" s="319">
        <f t="array" ref="M142">SUM(IF((Budget[Account Code]=$B142)*(Budget[Date]=M$7),Budget[Amount]))</f>
        <v>0</v>
      </c>
      <c r="N142" s="319">
        <f t="array" ref="N142">SUM(IF((Budget[Account Code]=$B142)*(Budget[Date]=N$7),Budget[Amount]))</f>
        <v>0</v>
      </c>
      <c r="O142" s="319">
        <f t="array" ref="O142">SUM(IF((Budget[Account Code]=$B142)*(Budget[Date]=O$7),Budget[Amount]))</f>
        <v>0</v>
      </c>
      <c r="P142" s="319">
        <f t="shared" si="29"/>
        <v>0</v>
      </c>
    </row>
    <row r="143" spans="1:16">
      <c r="A143" s="323" t="s">
        <v>965</v>
      </c>
      <c r="B143" s="317" t="s">
        <v>331</v>
      </c>
      <c r="C143" s="319">
        <f t="shared" si="25"/>
        <v>0</v>
      </c>
      <c r="D143" s="319">
        <f t="array" ref="D143">SUM(IF((Budget[Account Code]=$B143)*(Budget[Date]=D$7),Budget[Amount]))</f>
        <v>0</v>
      </c>
      <c r="E143" s="319">
        <f t="array" ref="E143">SUM(IF((Budget[Account Code]=$B143)*(Budget[Date]=E$7),Budget[Amount]))</f>
        <v>0</v>
      </c>
      <c r="F143" s="319">
        <f t="array" ref="F143">SUM(IF((Budget[Account Code]=$B143)*(Budget[Date]=F$7),Budget[Amount]))</f>
        <v>0</v>
      </c>
      <c r="G143" s="319">
        <f t="array" ref="G143">SUM(IF((Budget[Account Code]=$B143)*(Budget[Date]=G$7),Budget[Amount]))</f>
        <v>0</v>
      </c>
      <c r="H143" s="319">
        <f t="array" ref="H143">SUM(IF((Budget[Account Code]=$B143)*(Budget[Date]=H$7),Budget[Amount]))</f>
        <v>0</v>
      </c>
      <c r="I143" s="319">
        <f t="array" ref="I143">SUM(IF((Budget[Account Code]=$B143)*(Budget[Date]=I$7),Budget[Amount]))</f>
        <v>0</v>
      </c>
      <c r="J143" s="319">
        <f t="array" ref="J143">SUM(IF((Budget[Account Code]=$B143)*(Budget[Date]=J$7),Budget[Amount]))</f>
        <v>0</v>
      </c>
      <c r="K143" s="319">
        <f t="array" ref="K143">SUM(IF((Budget[Account Code]=$B143)*(Budget[Date]=K$7),Budget[Amount]))</f>
        <v>0</v>
      </c>
      <c r="L143" s="319">
        <f t="array" ref="L143">SUM(IF((Budget[Account Code]=$B143)*(Budget[Date]=L$7),Budget[Amount]))</f>
        <v>0</v>
      </c>
      <c r="M143" s="319">
        <f t="array" ref="M143">SUM(IF((Budget[Account Code]=$B143)*(Budget[Date]=M$7),Budget[Amount]))</f>
        <v>0</v>
      </c>
      <c r="N143" s="319">
        <f t="array" ref="N143">SUM(IF((Budget[Account Code]=$B143)*(Budget[Date]=N$7),Budget[Amount]))</f>
        <v>0</v>
      </c>
      <c r="O143" s="319">
        <f t="array" ref="O143">SUM(IF((Budget[Account Code]=$B143)*(Budget[Date]=O$7),Budget[Amount]))</f>
        <v>0</v>
      </c>
      <c r="P143" s="319">
        <f t="shared" si="29"/>
        <v>0</v>
      </c>
    </row>
    <row r="144" spans="1:16">
      <c r="A144" s="323" t="s">
        <v>966</v>
      </c>
      <c r="B144" s="317" t="s">
        <v>987</v>
      </c>
      <c r="C144" s="319">
        <f t="shared" si="25"/>
        <v>0</v>
      </c>
      <c r="D144" s="319">
        <f t="array" ref="D144">SUM(IF((Budget[Account Code]=$B144)*(Budget[Date]=D$7),Budget[Amount]))</f>
        <v>0</v>
      </c>
      <c r="E144" s="319">
        <f t="array" ref="E144">SUM(IF((Budget[Account Code]=$B144)*(Budget[Date]=E$7),Budget[Amount]))</f>
        <v>0</v>
      </c>
      <c r="F144" s="319">
        <f t="array" ref="F144">SUM(IF((Budget[Account Code]=$B144)*(Budget[Date]=F$7),Budget[Amount]))</f>
        <v>0</v>
      </c>
      <c r="G144" s="319">
        <f t="array" ref="G144">SUM(IF((Budget[Account Code]=$B144)*(Budget[Date]=G$7),Budget[Amount]))</f>
        <v>0</v>
      </c>
      <c r="H144" s="319">
        <f t="array" ref="H144">SUM(IF((Budget[Account Code]=$B144)*(Budget[Date]=H$7),Budget[Amount]))</f>
        <v>0</v>
      </c>
      <c r="I144" s="319">
        <f t="array" ref="I144">SUM(IF((Budget[Account Code]=$B144)*(Budget[Date]=I$7),Budget[Amount]))</f>
        <v>0</v>
      </c>
      <c r="J144" s="319">
        <f t="array" ref="J144">SUM(IF((Budget[Account Code]=$B144)*(Budget[Date]=J$7),Budget[Amount]))</f>
        <v>0</v>
      </c>
      <c r="K144" s="319">
        <f t="array" ref="K144">SUM(IF((Budget[Account Code]=$B144)*(Budget[Date]=K$7),Budget[Amount]))</f>
        <v>0</v>
      </c>
      <c r="L144" s="319">
        <f t="array" ref="L144">SUM(IF((Budget[Account Code]=$B144)*(Budget[Date]=L$7),Budget[Amount]))</f>
        <v>0</v>
      </c>
      <c r="M144" s="319">
        <f t="array" ref="M144">SUM(IF((Budget[Account Code]=$B144)*(Budget[Date]=M$7),Budget[Amount]))</f>
        <v>0</v>
      </c>
      <c r="N144" s="319">
        <f t="array" ref="N144">SUM(IF((Budget[Account Code]=$B144)*(Budget[Date]=N$7),Budget[Amount]))</f>
        <v>0</v>
      </c>
      <c r="O144" s="319">
        <f t="array" ref="O144">SUM(IF((Budget[Account Code]=$B144)*(Budget[Date]=O$7),Budget[Amount]))</f>
        <v>0</v>
      </c>
      <c r="P144" s="319">
        <f t="shared" si="29"/>
        <v>0</v>
      </c>
    </row>
    <row r="145" spans="1:16">
      <c r="A145" s="323" t="s">
        <v>967</v>
      </c>
      <c r="B145" s="317"/>
      <c r="C145" s="319">
        <f t="shared" si="25"/>
        <v>0</v>
      </c>
      <c r="D145" s="319">
        <f t="array" ref="D145">SUM(IF((Budget[Account Code]=$B145)*(Budget[Date]=D$7),Budget[Amount]))</f>
        <v>0</v>
      </c>
      <c r="E145" s="319">
        <f t="array" ref="E145">SUM(IF((Budget[Account Code]=$B145)*(Budget[Date]=E$7),Budget[Amount]))</f>
        <v>0</v>
      </c>
      <c r="F145" s="319">
        <f t="array" ref="F145">SUM(IF((Budget[Account Code]=$B145)*(Budget[Date]=F$7),Budget[Amount]))</f>
        <v>0</v>
      </c>
      <c r="G145" s="319">
        <f t="array" ref="G145">SUM(IF((Budget[Account Code]=$B145)*(Budget[Date]=G$7),Budget[Amount]))</f>
        <v>0</v>
      </c>
      <c r="H145" s="319">
        <f t="array" ref="H145">SUM(IF((Budget[Account Code]=$B145)*(Budget[Date]=H$7),Budget[Amount]))</f>
        <v>0</v>
      </c>
      <c r="I145" s="319">
        <f t="array" ref="I145">SUM(IF((Budget[Account Code]=$B145)*(Budget[Date]=I$7),Budget[Amount]))</f>
        <v>0</v>
      </c>
      <c r="J145" s="319">
        <f t="array" ref="J145">SUM(IF((Budget[Account Code]=$B145)*(Budget[Date]=J$7),Budget[Amount]))</f>
        <v>0</v>
      </c>
      <c r="K145" s="319">
        <f t="array" ref="K145">SUM(IF((Budget[Account Code]=$B145)*(Budget[Date]=K$7),Budget[Amount]))</f>
        <v>0</v>
      </c>
      <c r="L145" s="319">
        <f t="array" ref="L145">SUM(IF((Budget[Account Code]=$B145)*(Budget[Date]=L$7),Budget[Amount]))</f>
        <v>0</v>
      </c>
      <c r="M145" s="319">
        <f t="array" ref="M145">SUM(IF((Budget[Account Code]=$B145)*(Budget[Date]=M$7),Budget[Amount]))</f>
        <v>0</v>
      </c>
      <c r="N145" s="319">
        <f t="array" ref="N145">SUM(IF((Budget[Account Code]=$B145)*(Budget[Date]=N$7),Budget[Amount]))</f>
        <v>0</v>
      </c>
      <c r="O145" s="319">
        <f t="array" ref="O145">SUM(IF((Budget[Account Code]=$B145)*(Budget[Date]=O$7),Budget[Amount]))</f>
        <v>0</v>
      </c>
      <c r="P145" s="319">
        <f t="shared" si="29"/>
        <v>0</v>
      </c>
    </row>
    <row r="146" spans="1:16">
      <c r="A146" s="323" t="s">
        <v>968</v>
      </c>
      <c r="B146" s="317"/>
      <c r="C146" s="319">
        <f t="shared" si="25"/>
        <v>0</v>
      </c>
      <c r="D146" s="319">
        <f>SUM(D147:D148)</f>
        <v>0</v>
      </c>
      <c r="E146" s="319">
        <f t="shared" ref="E146:O146" si="31">SUM(E147:E148)</f>
        <v>0</v>
      </c>
      <c r="F146" s="319">
        <f t="shared" si="31"/>
        <v>0</v>
      </c>
      <c r="G146" s="319">
        <f t="shared" si="31"/>
        <v>0</v>
      </c>
      <c r="H146" s="319">
        <f t="shared" si="31"/>
        <v>0</v>
      </c>
      <c r="I146" s="319">
        <f t="shared" si="31"/>
        <v>0</v>
      </c>
      <c r="J146" s="319">
        <f t="shared" si="31"/>
        <v>0</v>
      </c>
      <c r="K146" s="319">
        <f t="shared" si="31"/>
        <v>0</v>
      </c>
      <c r="L146" s="319">
        <f t="shared" si="31"/>
        <v>0</v>
      </c>
      <c r="M146" s="319">
        <f t="shared" si="31"/>
        <v>0</v>
      </c>
      <c r="N146" s="319">
        <f t="shared" si="31"/>
        <v>0</v>
      </c>
      <c r="O146" s="319">
        <f t="shared" si="31"/>
        <v>0</v>
      </c>
      <c r="P146" s="319">
        <f t="shared" si="29"/>
        <v>0</v>
      </c>
    </row>
    <row r="147" spans="1:16">
      <c r="A147" s="325" t="s">
        <v>1008</v>
      </c>
      <c r="B147" s="317" t="s">
        <v>986</v>
      </c>
      <c r="C147" s="319">
        <f t="shared" si="25"/>
        <v>0</v>
      </c>
      <c r="D147" s="319">
        <f t="array" ref="D147">SUM(IF((Budget[Account Code]=$B147)*(Budget[Date]=D$7),Budget[Amount]))</f>
        <v>0</v>
      </c>
      <c r="E147" s="319">
        <f t="array" ref="E147">SUM(IF((Budget[Account Code]=$B147)*(Budget[Date]=E$7),Budget[Amount]))</f>
        <v>0</v>
      </c>
      <c r="F147" s="319">
        <f t="array" ref="F147">SUM(IF((Budget[Account Code]=$B147)*(Budget[Date]=F$7),Budget[Amount]))</f>
        <v>0</v>
      </c>
      <c r="G147" s="319">
        <f t="array" ref="G147">SUM(IF((Budget[Account Code]=$B147)*(Budget[Date]=G$7),Budget[Amount]))</f>
        <v>0</v>
      </c>
      <c r="H147" s="319">
        <f t="array" ref="H147">SUM(IF((Budget[Account Code]=$B147)*(Budget[Date]=H$7),Budget[Amount]))</f>
        <v>0</v>
      </c>
      <c r="I147" s="319">
        <f t="array" ref="I147">SUM(IF((Budget[Account Code]=$B147)*(Budget[Date]=I$7),Budget[Amount]))</f>
        <v>0</v>
      </c>
      <c r="J147" s="319">
        <f t="array" ref="J147">SUM(IF((Budget[Account Code]=$B147)*(Budget[Date]=J$7),Budget[Amount]))</f>
        <v>0</v>
      </c>
      <c r="K147" s="319">
        <f t="array" ref="K147">SUM(IF((Budget[Account Code]=$B147)*(Budget[Date]=K$7),Budget[Amount]))</f>
        <v>0</v>
      </c>
      <c r="L147" s="319">
        <f t="array" ref="L147">SUM(IF((Budget[Account Code]=$B147)*(Budget[Date]=L$7),Budget[Amount]))</f>
        <v>0</v>
      </c>
      <c r="M147" s="319">
        <f t="array" ref="M147">SUM(IF((Budget[Account Code]=$B147)*(Budget[Date]=M$7),Budget[Amount]))</f>
        <v>0</v>
      </c>
      <c r="N147" s="319">
        <f t="array" ref="N147">SUM(IF((Budget[Account Code]=$B147)*(Budget[Date]=N$7),Budget[Amount]))</f>
        <v>0</v>
      </c>
      <c r="O147" s="319">
        <f t="array" ref="O147">SUM(IF((Budget[Account Code]=$B147)*(Budget[Date]=O$7),Budget[Amount]))</f>
        <v>0</v>
      </c>
      <c r="P147" s="319">
        <f t="shared" si="29"/>
        <v>0</v>
      </c>
    </row>
    <row r="148" spans="1:16">
      <c r="A148" s="325" t="s">
        <v>1009</v>
      </c>
      <c r="B148" s="317" t="s">
        <v>988</v>
      </c>
      <c r="C148" s="319">
        <f t="shared" si="25"/>
        <v>0</v>
      </c>
      <c r="D148" s="319">
        <f t="array" ref="D148">SUM(IF((Budget[Account Code]=$B148)*(Budget[Date]=D$7),Budget[Amount]))</f>
        <v>0</v>
      </c>
      <c r="E148" s="319">
        <f t="array" ref="E148">SUM(IF((Budget[Account Code]=$B148)*(Budget[Date]=E$7),Budget[Amount]))</f>
        <v>0</v>
      </c>
      <c r="F148" s="319">
        <f t="array" ref="F148">SUM(IF((Budget[Account Code]=$B148)*(Budget[Date]=F$7),Budget[Amount]))</f>
        <v>0</v>
      </c>
      <c r="G148" s="319">
        <f t="array" ref="G148">SUM(IF((Budget[Account Code]=$B148)*(Budget[Date]=G$7),Budget[Amount]))</f>
        <v>0</v>
      </c>
      <c r="H148" s="319">
        <f t="array" ref="H148">SUM(IF((Budget[Account Code]=$B148)*(Budget[Date]=H$7),Budget[Amount]))</f>
        <v>0</v>
      </c>
      <c r="I148" s="319">
        <f t="array" ref="I148">SUM(IF((Budget[Account Code]=$B148)*(Budget[Date]=I$7),Budget[Amount]))</f>
        <v>0</v>
      </c>
      <c r="J148" s="319">
        <f t="array" ref="J148">SUM(IF((Budget[Account Code]=$B148)*(Budget[Date]=J$7),Budget[Amount]))</f>
        <v>0</v>
      </c>
      <c r="K148" s="319">
        <f t="array" ref="K148">SUM(IF((Budget[Account Code]=$B148)*(Budget[Date]=K$7),Budget[Amount]))</f>
        <v>0</v>
      </c>
      <c r="L148" s="319">
        <f t="array" ref="L148">SUM(IF((Budget[Account Code]=$B148)*(Budget[Date]=L$7),Budget[Amount]))</f>
        <v>0</v>
      </c>
      <c r="M148" s="319">
        <f t="array" ref="M148">SUM(IF((Budget[Account Code]=$B148)*(Budget[Date]=M$7),Budget[Amount]))</f>
        <v>0</v>
      </c>
      <c r="N148" s="319">
        <f t="array" ref="N148">SUM(IF((Budget[Account Code]=$B148)*(Budget[Date]=N$7),Budget[Amount]))</f>
        <v>0</v>
      </c>
      <c r="O148" s="319">
        <f t="array" ref="O148">SUM(IF((Budget[Account Code]=$B148)*(Budget[Date]=O$7),Budget[Amount]))</f>
        <v>0</v>
      </c>
      <c r="P148" s="319">
        <f t="shared" si="29"/>
        <v>0</v>
      </c>
    </row>
    <row r="149" spans="1:16" s="171" customFormat="1">
      <c r="A149" s="321" t="s">
        <v>969</v>
      </c>
      <c r="B149" s="317" t="s">
        <v>334</v>
      </c>
      <c r="C149" s="322">
        <f t="shared" si="25"/>
        <v>0</v>
      </c>
      <c r="D149" s="319">
        <f t="array" ref="D149">SUM(IF((Budget[Account Code]=$B149)*(Budget[Date]=D$7),Budget[Amount]))</f>
        <v>0</v>
      </c>
      <c r="E149" s="319">
        <f t="array" ref="E149">SUM(IF((Budget[Account Code]=$B149)*(Budget[Date]=E$7),Budget[Amount]))</f>
        <v>0</v>
      </c>
      <c r="F149" s="319">
        <f t="array" ref="F149">SUM(IF((Budget[Account Code]=$B149)*(Budget[Date]=F$7),Budget[Amount]))</f>
        <v>0</v>
      </c>
      <c r="G149" s="319">
        <f t="array" ref="G149">SUM(IF((Budget[Account Code]=$B149)*(Budget[Date]=G$7),Budget[Amount]))</f>
        <v>0</v>
      </c>
      <c r="H149" s="319">
        <f t="array" ref="H149">SUM(IF((Budget[Account Code]=$B149)*(Budget[Date]=H$7),Budget[Amount]))</f>
        <v>0</v>
      </c>
      <c r="I149" s="319">
        <f t="array" ref="I149">SUM(IF((Budget[Account Code]=$B149)*(Budget[Date]=I$7),Budget[Amount]))</f>
        <v>0</v>
      </c>
      <c r="J149" s="319">
        <f t="array" ref="J149">SUM(IF((Budget[Account Code]=$B149)*(Budget[Date]=J$7),Budget[Amount]))</f>
        <v>0</v>
      </c>
      <c r="K149" s="319">
        <f t="array" ref="K149">SUM(IF((Budget[Account Code]=$B149)*(Budget[Date]=K$7),Budget[Amount]))</f>
        <v>0</v>
      </c>
      <c r="L149" s="319">
        <f t="array" ref="L149">SUM(IF((Budget[Account Code]=$B149)*(Budget[Date]=L$7),Budget[Amount]))</f>
        <v>0</v>
      </c>
      <c r="M149" s="319">
        <f t="array" ref="M149">SUM(IF((Budget[Account Code]=$B149)*(Budget[Date]=M$7),Budget[Amount]))</f>
        <v>0</v>
      </c>
      <c r="N149" s="319">
        <f t="array" ref="N149">SUM(IF((Budget[Account Code]=$B149)*(Budget[Date]=N$7),Budget[Amount]))</f>
        <v>0</v>
      </c>
      <c r="O149" s="319">
        <f t="array" ref="O149">SUM(IF((Budget[Account Code]=$B149)*(Budget[Date]=O$7),Budget[Amount]))</f>
        <v>0</v>
      </c>
      <c r="P149" s="322">
        <f t="shared" si="29"/>
        <v>0</v>
      </c>
    </row>
    <row r="150" spans="1:16" s="171" customFormat="1">
      <c r="A150" s="321" t="s">
        <v>970</v>
      </c>
      <c r="B150" s="317" t="s">
        <v>335</v>
      </c>
      <c r="C150" s="322">
        <f t="shared" si="25"/>
        <v>0</v>
      </c>
      <c r="D150" s="319">
        <f t="array" ref="D150">SUM(IF((Budget[Account Code]=$B150)*(Budget[Date]=D$7),Budget[Amount]))</f>
        <v>0</v>
      </c>
      <c r="E150" s="319">
        <f t="array" ref="E150">SUM(IF((Budget[Account Code]=$B150)*(Budget[Date]=E$7),Budget[Amount]))</f>
        <v>0</v>
      </c>
      <c r="F150" s="319">
        <f t="array" ref="F150">SUM(IF((Budget[Account Code]=$B150)*(Budget[Date]=F$7),Budget[Amount]))</f>
        <v>0</v>
      </c>
      <c r="G150" s="319">
        <f t="array" ref="G150">SUM(IF((Budget[Account Code]=$B150)*(Budget[Date]=G$7),Budget[Amount]))</f>
        <v>0</v>
      </c>
      <c r="H150" s="319">
        <f t="array" ref="H150">SUM(IF((Budget[Account Code]=$B150)*(Budget[Date]=H$7),Budget[Amount]))</f>
        <v>0</v>
      </c>
      <c r="I150" s="319">
        <f t="array" ref="I150">SUM(IF((Budget[Account Code]=$B150)*(Budget[Date]=I$7),Budget[Amount]))</f>
        <v>0</v>
      </c>
      <c r="J150" s="319">
        <f t="array" ref="J150">SUM(IF((Budget[Account Code]=$B150)*(Budget[Date]=J$7),Budget[Amount]))</f>
        <v>0</v>
      </c>
      <c r="K150" s="319">
        <f t="array" ref="K150">SUM(IF((Budget[Account Code]=$B150)*(Budget[Date]=K$7),Budget[Amount]))</f>
        <v>0</v>
      </c>
      <c r="L150" s="319">
        <f t="array" ref="L150">SUM(IF((Budget[Account Code]=$B150)*(Budget[Date]=L$7),Budget[Amount]))</f>
        <v>0</v>
      </c>
      <c r="M150" s="319">
        <f t="array" ref="M150">SUM(IF((Budget[Account Code]=$B150)*(Budget[Date]=M$7),Budget[Amount]))</f>
        <v>0</v>
      </c>
      <c r="N150" s="319">
        <f t="array" ref="N150">SUM(IF((Budget[Account Code]=$B150)*(Budget[Date]=N$7),Budget[Amount]))</f>
        <v>0</v>
      </c>
      <c r="O150" s="319">
        <f t="array" ref="O150">SUM(IF((Budget[Account Code]=$B150)*(Budget[Date]=O$7),Budget[Amount]))</f>
        <v>0</v>
      </c>
      <c r="P150" s="322">
        <f t="shared" si="29"/>
        <v>0</v>
      </c>
    </row>
    <row r="151" spans="1:16">
      <c r="A151" s="320" t="s">
        <v>971</v>
      </c>
      <c r="B151" s="317"/>
      <c r="C151" s="326">
        <f t="shared" si="25"/>
        <v>0</v>
      </c>
      <c r="D151" s="326">
        <f>D87+D88+D89+D97+D102+D108+D109+D110+D111+D112+D113+D114+D115+D116+D117+D126+D133+D134+D137+D141+D149+D150</f>
        <v>0</v>
      </c>
      <c r="E151" s="326">
        <f t="shared" ref="E151:O151" si="32">E87+E88+E89+E97+E102+E108+E109+E110+E111+E112+E113+E114+E115+E116+E117+E126+E133+E134+E137+E141+E149+E150</f>
        <v>0</v>
      </c>
      <c r="F151" s="326">
        <f t="shared" si="32"/>
        <v>0</v>
      </c>
      <c r="G151" s="326">
        <f t="shared" si="32"/>
        <v>0</v>
      </c>
      <c r="H151" s="326">
        <f t="shared" si="32"/>
        <v>0</v>
      </c>
      <c r="I151" s="326">
        <f t="shared" si="32"/>
        <v>0</v>
      </c>
      <c r="J151" s="326">
        <f t="shared" si="32"/>
        <v>0</v>
      </c>
      <c r="K151" s="326">
        <f t="shared" si="32"/>
        <v>0</v>
      </c>
      <c r="L151" s="326">
        <f t="shared" si="32"/>
        <v>0</v>
      </c>
      <c r="M151" s="326">
        <f t="shared" si="32"/>
        <v>0</v>
      </c>
      <c r="N151" s="326">
        <f t="shared" si="32"/>
        <v>0</v>
      </c>
      <c r="O151" s="326">
        <f t="shared" si="32"/>
        <v>0</v>
      </c>
      <c r="P151" s="326">
        <f t="shared" si="29"/>
        <v>0</v>
      </c>
    </row>
    <row r="152" spans="1:16" s="171" customFormat="1" hidden="1">
      <c r="A152" s="320" t="s">
        <v>972</v>
      </c>
      <c r="B152" s="317"/>
      <c r="C152" s="322">
        <f>C151-C119-C143</f>
        <v>0</v>
      </c>
      <c r="D152" s="322"/>
      <c r="E152" s="322"/>
      <c r="F152" s="322"/>
      <c r="G152" s="322"/>
      <c r="H152" s="322"/>
      <c r="I152" s="322"/>
      <c r="J152" s="322"/>
      <c r="K152" s="322"/>
      <c r="L152" s="322"/>
      <c r="M152" s="322"/>
      <c r="N152" s="322"/>
      <c r="O152" s="322"/>
      <c r="P152" s="322">
        <f t="shared" si="29"/>
        <v>0</v>
      </c>
    </row>
    <row r="153" spans="1:16">
      <c r="A153" s="320"/>
      <c r="B153" s="317"/>
      <c r="C153" s="326"/>
      <c r="D153" s="326"/>
      <c r="E153" s="326"/>
      <c r="F153" s="326"/>
      <c r="G153" s="326"/>
      <c r="H153" s="326"/>
      <c r="I153" s="326"/>
      <c r="J153" s="326"/>
      <c r="K153" s="326"/>
      <c r="L153" s="326"/>
      <c r="M153" s="326"/>
      <c r="N153" s="326"/>
      <c r="O153" s="326"/>
      <c r="P153" s="326">
        <f t="shared" si="29"/>
        <v>0</v>
      </c>
    </row>
    <row r="154" spans="1:16">
      <c r="A154" s="320" t="s">
        <v>973</v>
      </c>
      <c r="B154" s="317"/>
      <c r="C154" s="319"/>
      <c r="D154" s="319"/>
      <c r="E154" s="319"/>
      <c r="F154" s="319"/>
      <c r="G154" s="319"/>
      <c r="H154" s="319"/>
      <c r="I154" s="319"/>
      <c r="J154" s="319"/>
      <c r="K154" s="319"/>
      <c r="L154" s="319"/>
      <c r="M154" s="319"/>
      <c r="N154" s="319"/>
      <c r="O154" s="319"/>
      <c r="P154" s="319">
        <f t="shared" si="29"/>
        <v>0</v>
      </c>
    </row>
    <row r="155" spans="1:16" s="171" customFormat="1">
      <c r="A155" s="330" t="s">
        <v>974</v>
      </c>
      <c r="B155" s="317" t="s">
        <v>992</v>
      </c>
      <c r="C155" s="322">
        <f t="shared" ref="C155:C168" si="33">SUM(D155:O155)</f>
        <v>0</v>
      </c>
      <c r="D155" s="319">
        <f t="array" ref="D155">SUM(IF((Budget[Account Code]=$B155)*(Budget[Date]=D$7),Budget[Amount]))</f>
        <v>0</v>
      </c>
      <c r="E155" s="319">
        <f t="array" ref="E155">SUM(IF((Budget[Account Code]=$B155)*(Budget[Date]=E$7),Budget[Amount]))</f>
        <v>0</v>
      </c>
      <c r="F155" s="319">
        <f t="array" ref="F155">SUM(IF((Budget[Account Code]=$B155)*(Budget[Date]=F$7),Budget[Amount]))</f>
        <v>0</v>
      </c>
      <c r="G155" s="319">
        <f t="array" ref="G155">SUM(IF((Budget[Account Code]=$B155)*(Budget[Date]=G$7),Budget[Amount]))</f>
        <v>0</v>
      </c>
      <c r="H155" s="319">
        <f t="array" ref="H155">SUM(IF((Budget[Account Code]=$B155)*(Budget[Date]=H$7),Budget[Amount]))</f>
        <v>0</v>
      </c>
      <c r="I155" s="319">
        <f t="array" ref="I155">SUM(IF((Budget[Account Code]=$B155)*(Budget[Date]=I$7),Budget[Amount]))</f>
        <v>0</v>
      </c>
      <c r="J155" s="319">
        <f t="array" ref="J155">SUM(IF((Budget[Account Code]=$B155)*(Budget[Date]=J$7),Budget[Amount]))</f>
        <v>0</v>
      </c>
      <c r="K155" s="319">
        <f t="array" ref="K155">SUM(IF((Budget[Account Code]=$B155)*(Budget[Date]=K$7),Budget[Amount]))</f>
        <v>0</v>
      </c>
      <c r="L155" s="319">
        <f t="array" ref="L155">SUM(IF((Budget[Account Code]=$B155)*(Budget[Date]=L$7),Budget[Amount]))</f>
        <v>0</v>
      </c>
      <c r="M155" s="319">
        <f t="array" ref="M155">SUM(IF((Budget[Account Code]=$B155)*(Budget[Date]=M$7),Budget[Amount]))</f>
        <v>0</v>
      </c>
      <c r="N155" s="319">
        <f t="array" ref="N155">SUM(IF((Budget[Account Code]=$B155)*(Budget[Date]=N$7),Budget[Amount]))</f>
        <v>0</v>
      </c>
      <c r="O155" s="319">
        <f t="array" ref="O155">SUM(IF((Budget[Account Code]=$B155)*(Budget[Date]=O$7),Budget[Amount]))</f>
        <v>0</v>
      </c>
      <c r="P155" s="322">
        <f t="shared" si="29"/>
        <v>0</v>
      </c>
    </row>
    <row r="156" spans="1:16" s="171" customFormat="1">
      <c r="A156" s="330" t="s">
        <v>975</v>
      </c>
      <c r="B156" s="317" t="s">
        <v>333</v>
      </c>
      <c r="C156" s="322">
        <f t="shared" si="33"/>
        <v>0</v>
      </c>
      <c r="D156" s="319">
        <f t="array" ref="D156">SUM(IF((Budget[Account Code]=$B156)*(Budget[Date]=D$7),Budget[Amount]))</f>
        <v>0</v>
      </c>
      <c r="E156" s="319">
        <f t="array" ref="E156">SUM(IF((Budget[Account Code]=$B156)*(Budget[Date]=E$7),Budget[Amount]))</f>
        <v>0</v>
      </c>
      <c r="F156" s="319">
        <f t="array" ref="F156">SUM(IF((Budget[Account Code]=$B156)*(Budget[Date]=F$7),Budget[Amount]))</f>
        <v>0</v>
      </c>
      <c r="G156" s="319">
        <f t="array" ref="G156">SUM(IF((Budget[Account Code]=$B156)*(Budget[Date]=G$7),Budget[Amount]))</f>
        <v>0</v>
      </c>
      <c r="H156" s="319">
        <f t="array" ref="H156">SUM(IF((Budget[Account Code]=$B156)*(Budget[Date]=H$7),Budget[Amount]))</f>
        <v>0</v>
      </c>
      <c r="I156" s="319">
        <f t="array" ref="I156">SUM(IF((Budget[Account Code]=$B156)*(Budget[Date]=I$7),Budget[Amount]))</f>
        <v>0</v>
      </c>
      <c r="J156" s="319">
        <f t="array" ref="J156">SUM(IF((Budget[Account Code]=$B156)*(Budget[Date]=J$7),Budget[Amount]))</f>
        <v>0</v>
      </c>
      <c r="K156" s="319">
        <f t="array" ref="K156">SUM(IF((Budget[Account Code]=$B156)*(Budget[Date]=K$7),Budget[Amount]))</f>
        <v>0</v>
      </c>
      <c r="L156" s="319">
        <f t="array" ref="L156">SUM(IF((Budget[Account Code]=$B156)*(Budget[Date]=L$7),Budget[Amount]))</f>
        <v>0</v>
      </c>
      <c r="M156" s="319">
        <f t="array" ref="M156">SUM(IF((Budget[Account Code]=$B156)*(Budget[Date]=M$7),Budget[Amount]))</f>
        <v>0</v>
      </c>
      <c r="N156" s="319">
        <f t="array" ref="N156">SUM(IF((Budget[Account Code]=$B156)*(Budget[Date]=N$7),Budget[Amount]))</f>
        <v>0</v>
      </c>
      <c r="O156" s="319">
        <f t="array" ref="O156">SUM(IF((Budget[Account Code]=$B156)*(Budget[Date]=O$7),Budget[Amount]))</f>
        <v>0</v>
      </c>
      <c r="P156" s="322">
        <f t="shared" si="29"/>
        <v>0</v>
      </c>
    </row>
    <row r="157" spans="1:16" s="171" customFormat="1">
      <c r="A157" s="330" t="s">
        <v>976</v>
      </c>
      <c r="B157" s="317" t="s">
        <v>991</v>
      </c>
      <c r="C157" s="322">
        <f t="shared" si="33"/>
        <v>0</v>
      </c>
      <c r="D157" s="319">
        <f t="array" ref="D157">SUM(IF((Budget[Account Code]=$B157)*(Budget[Date]=D$7),Budget[Amount]))</f>
        <v>0</v>
      </c>
      <c r="E157" s="319">
        <f t="array" ref="E157">SUM(IF((Budget[Account Code]=$B157)*(Budget[Date]=E$7),Budget[Amount]))</f>
        <v>0</v>
      </c>
      <c r="F157" s="319">
        <f t="array" ref="F157">SUM(IF((Budget[Account Code]=$B157)*(Budget[Date]=F$7),Budget[Amount]))</f>
        <v>0</v>
      </c>
      <c r="G157" s="319">
        <f t="array" ref="G157">SUM(IF((Budget[Account Code]=$B157)*(Budget[Date]=G$7),Budget[Amount]))</f>
        <v>0</v>
      </c>
      <c r="H157" s="319">
        <f t="array" ref="H157">SUM(IF((Budget[Account Code]=$B157)*(Budget[Date]=H$7),Budget[Amount]))</f>
        <v>0</v>
      </c>
      <c r="I157" s="319">
        <f t="array" ref="I157">SUM(IF((Budget[Account Code]=$B157)*(Budget[Date]=I$7),Budget[Amount]))</f>
        <v>0</v>
      </c>
      <c r="J157" s="319">
        <f t="array" ref="J157">SUM(IF((Budget[Account Code]=$B157)*(Budget[Date]=J$7),Budget[Amount]))</f>
        <v>0</v>
      </c>
      <c r="K157" s="319">
        <f t="array" ref="K157">SUM(IF((Budget[Account Code]=$B157)*(Budget[Date]=K$7),Budget[Amount]))</f>
        <v>0</v>
      </c>
      <c r="L157" s="319">
        <f t="array" ref="L157">SUM(IF((Budget[Account Code]=$B157)*(Budget[Date]=L$7),Budget[Amount]))</f>
        <v>0</v>
      </c>
      <c r="M157" s="319">
        <f t="array" ref="M157">SUM(IF((Budget[Account Code]=$B157)*(Budget[Date]=M$7),Budget[Amount]))</f>
        <v>0</v>
      </c>
      <c r="N157" s="319">
        <f t="array" ref="N157">SUM(IF((Budget[Account Code]=$B157)*(Budget[Date]=N$7),Budget[Amount]))</f>
        <v>0</v>
      </c>
      <c r="O157" s="319">
        <f t="array" ref="O157">SUM(IF((Budget[Account Code]=$B157)*(Budget[Date]=O$7),Budget[Amount]))</f>
        <v>0</v>
      </c>
      <c r="P157" s="322">
        <f t="shared" si="29"/>
        <v>0</v>
      </c>
    </row>
    <row r="158" spans="1:16" s="171" customFormat="1">
      <c r="A158" s="330" t="s">
        <v>977</v>
      </c>
      <c r="B158" s="317"/>
      <c r="C158" s="322">
        <f t="shared" si="33"/>
        <v>0</v>
      </c>
      <c r="D158" s="319">
        <f t="array" ref="D158">SUM(IF((Budget[Account Code]=$B158)*(Budget[Date]=D$7),Budget[Amount]))</f>
        <v>0</v>
      </c>
      <c r="E158" s="319">
        <f t="array" ref="E158">SUM(IF((Budget[Account Code]=$B158)*(Budget[Date]=E$7),Budget[Amount]))</f>
        <v>0</v>
      </c>
      <c r="F158" s="319">
        <f t="array" ref="F158">SUM(IF((Budget[Account Code]=$B158)*(Budget[Date]=F$7),Budget[Amount]))</f>
        <v>0</v>
      </c>
      <c r="G158" s="319">
        <f t="array" ref="G158">SUM(IF((Budget[Account Code]=$B158)*(Budget[Date]=G$7),Budget[Amount]))</f>
        <v>0</v>
      </c>
      <c r="H158" s="319">
        <f t="array" ref="H158">SUM(IF((Budget[Account Code]=$B158)*(Budget[Date]=H$7),Budget[Amount]))</f>
        <v>0</v>
      </c>
      <c r="I158" s="319">
        <f t="array" ref="I158">SUM(IF((Budget[Account Code]=$B158)*(Budget[Date]=I$7),Budget[Amount]))</f>
        <v>0</v>
      </c>
      <c r="J158" s="319">
        <f t="array" ref="J158">SUM(IF((Budget[Account Code]=$B158)*(Budget[Date]=J$7),Budget[Amount]))</f>
        <v>0</v>
      </c>
      <c r="K158" s="319">
        <f t="array" ref="K158">SUM(IF((Budget[Account Code]=$B158)*(Budget[Date]=K$7),Budget[Amount]))</f>
        <v>0</v>
      </c>
      <c r="L158" s="319">
        <f t="array" ref="L158">SUM(IF((Budget[Account Code]=$B158)*(Budget[Date]=L$7),Budget[Amount]))</f>
        <v>0</v>
      </c>
      <c r="M158" s="319">
        <f t="array" ref="M158">SUM(IF((Budget[Account Code]=$B158)*(Budget[Date]=M$7),Budget[Amount]))</f>
        <v>0</v>
      </c>
      <c r="N158" s="319">
        <f t="array" ref="N158">SUM(IF((Budget[Account Code]=$B158)*(Budget[Date]=N$7),Budget[Amount]))</f>
        <v>0</v>
      </c>
      <c r="O158" s="319">
        <f t="array" ref="O158">SUM(IF((Budget[Account Code]=$B158)*(Budget[Date]=O$7),Budget[Amount]))</f>
        <v>0</v>
      </c>
      <c r="P158" s="322">
        <f t="shared" si="29"/>
        <v>0</v>
      </c>
    </row>
    <row r="159" spans="1:16" s="171" customFormat="1">
      <c r="A159" s="330" t="s">
        <v>1010</v>
      </c>
      <c r="B159" s="317" t="s">
        <v>267</v>
      </c>
      <c r="C159" s="322">
        <f t="shared" si="33"/>
        <v>0</v>
      </c>
      <c r="D159" s="319">
        <f t="array" ref="D159">SUM(IF((Budget[Account Code]=$B159)*(Budget[Date]=D$7),Budget[Amount]))</f>
        <v>0</v>
      </c>
      <c r="E159" s="319">
        <f t="array" ref="E159">SUM(IF((Budget[Account Code]=$B159)*(Budget[Date]=E$7),Budget[Amount]))</f>
        <v>0</v>
      </c>
      <c r="F159" s="319">
        <f t="array" ref="F159">SUM(IF((Budget[Account Code]=$B159)*(Budget[Date]=F$7),Budget[Amount]))</f>
        <v>0</v>
      </c>
      <c r="G159" s="319">
        <f t="array" ref="G159">SUM(IF((Budget[Account Code]=$B159)*(Budget[Date]=G$7),Budget[Amount]))</f>
        <v>0</v>
      </c>
      <c r="H159" s="319">
        <f t="array" ref="H159">SUM(IF((Budget[Account Code]=$B159)*(Budget[Date]=H$7),Budget[Amount]))</f>
        <v>0</v>
      </c>
      <c r="I159" s="319">
        <f t="array" ref="I159">SUM(IF((Budget[Account Code]=$B159)*(Budget[Date]=I$7),Budget[Amount]))</f>
        <v>0</v>
      </c>
      <c r="J159" s="319">
        <f t="array" ref="J159">SUM(IF((Budget[Account Code]=$B159)*(Budget[Date]=J$7),Budget[Amount]))</f>
        <v>0</v>
      </c>
      <c r="K159" s="319">
        <f t="array" ref="K159">SUM(IF((Budget[Account Code]=$B159)*(Budget[Date]=K$7),Budget[Amount]))</f>
        <v>0</v>
      </c>
      <c r="L159" s="319">
        <f t="array" ref="L159">SUM(IF((Budget[Account Code]=$B159)*(Budget[Date]=L$7),Budget[Amount]))</f>
        <v>0</v>
      </c>
      <c r="M159" s="319">
        <f t="array" ref="M159">SUM(IF((Budget[Account Code]=$B159)*(Budget[Date]=M$7),Budget[Amount]))</f>
        <v>0</v>
      </c>
      <c r="N159" s="319">
        <f t="array" ref="N159">SUM(IF((Budget[Account Code]=$B159)*(Budget[Date]=N$7),Budget[Amount]))</f>
        <v>0</v>
      </c>
      <c r="O159" s="319">
        <f t="array" ref="O159">SUM(IF((Budget[Account Code]=$B159)*(Budget[Date]=O$7),Budget[Amount]))</f>
        <v>0</v>
      </c>
      <c r="P159" s="322">
        <f t="shared" si="29"/>
        <v>0</v>
      </c>
    </row>
    <row r="160" spans="1:16" s="171" customFormat="1">
      <c r="A160" s="330" t="s">
        <v>1011</v>
      </c>
      <c r="B160" s="317" t="s">
        <v>251</v>
      </c>
      <c r="C160" s="322">
        <f t="shared" si="33"/>
        <v>0</v>
      </c>
      <c r="D160" s="319">
        <f t="array" ref="D160">SUM(IF((Budget[Account Code]=$B160)*(Budget[Date]=D$7),Budget[Amount]))</f>
        <v>0</v>
      </c>
      <c r="E160" s="319">
        <f t="array" ref="E160">SUM(IF((Budget[Account Code]=$B160)*(Budget[Date]=E$7),Budget[Amount]))</f>
        <v>0</v>
      </c>
      <c r="F160" s="319">
        <f t="array" ref="F160">SUM(IF((Budget[Account Code]=$B160)*(Budget[Date]=F$7),Budget[Amount]))</f>
        <v>0</v>
      </c>
      <c r="G160" s="319">
        <f t="array" ref="G160">SUM(IF((Budget[Account Code]=$B160)*(Budget[Date]=G$7),Budget[Amount]))</f>
        <v>0</v>
      </c>
      <c r="H160" s="319">
        <f t="array" ref="H160">SUM(IF((Budget[Account Code]=$B160)*(Budget[Date]=H$7),Budget[Amount]))</f>
        <v>0</v>
      </c>
      <c r="I160" s="319">
        <f t="array" ref="I160">SUM(IF((Budget[Account Code]=$B160)*(Budget[Date]=I$7),Budget[Amount]))</f>
        <v>0</v>
      </c>
      <c r="J160" s="319">
        <f t="array" ref="J160">SUM(IF((Budget[Account Code]=$B160)*(Budget[Date]=J$7),Budget[Amount]))</f>
        <v>0</v>
      </c>
      <c r="K160" s="319">
        <f t="array" ref="K160">SUM(IF((Budget[Account Code]=$B160)*(Budget[Date]=K$7),Budget[Amount]))</f>
        <v>0</v>
      </c>
      <c r="L160" s="319">
        <f t="array" ref="L160">SUM(IF((Budget[Account Code]=$B160)*(Budget[Date]=L$7),Budget[Amount]))</f>
        <v>0</v>
      </c>
      <c r="M160" s="319">
        <f t="array" ref="M160">SUM(IF((Budget[Account Code]=$B160)*(Budget[Date]=M$7),Budget[Amount]))</f>
        <v>0</v>
      </c>
      <c r="N160" s="319">
        <f t="array" ref="N160">SUM(IF((Budget[Account Code]=$B160)*(Budget[Date]=N$7),Budget[Amount]))</f>
        <v>0</v>
      </c>
      <c r="O160" s="319">
        <f t="array" ref="O160">SUM(IF((Budget[Account Code]=$B160)*(Budget[Date]=O$7),Budget[Amount]))</f>
        <v>0</v>
      </c>
      <c r="P160" s="322">
        <f t="shared" si="29"/>
        <v>0</v>
      </c>
    </row>
    <row r="161" spans="1:26">
      <c r="A161" s="320" t="s">
        <v>978</v>
      </c>
      <c r="B161" s="317"/>
      <c r="C161" s="322">
        <f t="shared" si="33"/>
        <v>0</v>
      </c>
      <c r="D161" s="322">
        <f>SUM(D155:D160)</f>
        <v>0</v>
      </c>
      <c r="E161" s="322">
        <f t="shared" ref="E161:O161" si="34">SUM(E155:E160)</f>
        <v>0</v>
      </c>
      <c r="F161" s="322">
        <f t="shared" si="34"/>
        <v>0</v>
      </c>
      <c r="G161" s="322">
        <f t="shared" si="34"/>
        <v>0</v>
      </c>
      <c r="H161" s="322">
        <f t="shared" si="34"/>
        <v>0</v>
      </c>
      <c r="I161" s="322">
        <f t="shared" si="34"/>
        <v>0</v>
      </c>
      <c r="J161" s="322">
        <f t="shared" si="34"/>
        <v>0</v>
      </c>
      <c r="K161" s="322">
        <f t="shared" si="34"/>
        <v>0</v>
      </c>
      <c r="L161" s="322">
        <f t="shared" si="34"/>
        <v>0</v>
      </c>
      <c r="M161" s="322">
        <f t="shared" si="34"/>
        <v>0</v>
      </c>
      <c r="N161" s="322">
        <f t="shared" si="34"/>
        <v>0</v>
      </c>
      <c r="O161" s="322">
        <f t="shared" si="34"/>
        <v>0</v>
      </c>
      <c r="P161" s="322">
        <f t="shared" si="29"/>
        <v>0</v>
      </c>
      <c r="Q161" s="171"/>
      <c r="R161" s="171"/>
      <c r="S161" s="171"/>
      <c r="T161" s="171"/>
      <c r="U161" s="171"/>
      <c r="V161" s="171"/>
      <c r="W161" s="171"/>
      <c r="X161" s="171"/>
      <c r="Y161" s="171"/>
    </row>
    <row r="162" spans="1:26" s="171" customFormat="1" hidden="1">
      <c r="A162" s="320" t="s">
        <v>979</v>
      </c>
      <c r="B162" s="317"/>
      <c r="C162" s="322">
        <f>C161-C157-C160</f>
        <v>0</v>
      </c>
      <c r="D162" s="322"/>
      <c r="E162" s="322"/>
      <c r="F162" s="322"/>
      <c r="G162" s="322"/>
      <c r="H162" s="322"/>
      <c r="I162" s="322"/>
      <c r="J162" s="322"/>
      <c r="K162" s="322"/>
      <c r="L162" s="322"/>
      <c r="M162" s="322"/>
      <c r="N162" s="322"/>
      <c r="O162" s="322"/>
      <c r="P162" s="322">
        <f t="shared" si="29"/>
        <v>0</v>
      </c>
    </row>
    <row r="163" spans="1:26">
      <c r="A163" s="320"/>
      <c r="B163" s="317"/>
      <c r="C163" s="319"/>
      <c r="D163" s="319"/>
      <c r="E163" s="319"/>
      <c r="F163" s="319"/>
      <c r="G163" s="319"/>
      <c r="H163" s="319"/>
      <c r="I163" s="319"/>
      <c r="J163" s="319"/>
      <c r="K163" s="319"/>
      <c r="L163" s="319"/>
      <c r="M163" s="319"/>
      <c r="N163" s="319"/>
      <c r="O163" s="319"/>
      <c r="P163" s="319">
        <f t="shared" si="29"/>
        <v>0</v>
      </c>
    </row>
    <row r="164" spans="1:26">
      <c r="A164" s="320" t="s">
        <v>980</v>
      </c>
      <c r="B164" s="317"/>
      <c r="C164" s="322">
        <f t="shared" si="33"/>
        <v>0</v>
      </c>
      <c r="D164" s="322">
        <f t="shared" ref="D164:O164" si="35">D151+D161</f>
        <v>0</v>
      </c>
      <c r="E164" s="322">
        <f t="shared" si="35"/>
        <v>0</v>
      </c>
      <c r="F164" s="322">
        <f t="shared" si="35"/>
        <v>0</v>
      </c>
      <c r="G164" s="322">
        <f t="shared" si="35"/>
        <v>0</v>
      </c>
      <c r="H164" s="322">
        <f t="shared" si="35"/>
        <v>0</v>
      </c>
      <c r="I164" s="322">
        <f t="shared" si="35"/>
        <v>0</v>
      </c>
      <c r="J164" s="322">
        <f t="shared" si="35"/>
        <v>0</v>
      </c>
      <c r="K164" s="322">
        <f t="shared" si="35"/>
        <v>0</v>
      </c>
      <c r="L164" s="322">
        <f t="shared" si="35"/>
        <v>0</v>
      </c>
      <c r="M164" s="322">
        <f t="shared" si="35"/>
        <v>0</v>
      </c>
      <c r="N164" s="322">
        <f t="shared" si="35"/>
        <v>0</v>
      </c>
      <c r="O164" s="322">
        <f t="shared" si="35"/>
        <v>0</v>
      </c>
      <c r="P164" s="322">
        <f t="shared" si="29"/>
        <v>0</v>
      </c>
    </row>
    <row r="165" spans="1:26">
      <c r="A165" s="327" t="s">
        <v>981</v>
      </c>
      <c r="B165" s="317"/>
      <c r="C165" s="322">
        <f t="shared" si="33"/>
        <v>0</v>
      </c>
      <c r="D165" s="322">
        <f t="shared" ref="D165:O165" si="36">D80+D164</f>
        <v>0</v>
      </c>
      <c r="E165" s="322">
        <f t="shared" si="36"/>
        <v>0</v>
      </c>
      <c r="F165" s="322">
        <f t="shared" si="36"/>
        <v>0</v>
      </c>
      <c r="G165" s="322">
        <f t="shared" si="36"/>
        <v>0</v>
      </c>
      <c r="H165" s="322">
        <f t="shared" si="36"/>
        <v>0</v>
      </c>
      <c r="I165" s="322">
        <f t="shared" si="36"/>
        <v>0</v>
      </c>
      <c r="J165" s="322">
        <f t="shared" si="36"/>
        <v>0</v>
      </c>
      <c r="K165" s="322">
        <f t="shared" si="36"/>
        <v>0</v>
      </c>
      <c r="L165" s="322">
        <f t="shared" si="36"/>
        <v>0</v>
      </c>
      <c r="M165" s="322">
        <f t="shared" si="36"/>
        <v>0</v>
      </c>
      <c r="N165" s="322">
        <f t="shared" si="36"/>
        <v>0</v>
      </c>
      <c r="O165" s="322">
        <f t="shared" si="36"/>
        <v>0</v>
      </c>
      <c r="P165" s="322">
        <f t="shared" si="29"/>
        <v>0</v>
      </c>
    </row>
    <row r="166" spans="1:26">
      <c r="A166" s="327" t="s">
        <v>982</v>
      </c>
      <c r="B166" s="317" t="s">
        <v>1014</v>
      </c>
      <c r="C166" s="322">
        <f>SUM(D166:O166)</f>
        <v>0</v>
      </c>
      <c r="D166" s="319">
        <f t="array" ref="D166">SUM(IF((Budget[Account Code]=$B166)*(Budget[Date]=D$7),Budget[Amount]))</f>
        <v>0</v>
      </c>
      <c r="E166" s="319">
        <f t="array" ref="E166">SUM(IF((Budget[Account Code]=$B166)*(Budget[Date]=E$7),Budget[Amount]))</f>
        <v>0</v>
      </c>
      <c r="F166" s="319">
        <f t="array" ref="F166">SUM(IF((Budget[Account Code]=$B166)*(Budget[Date]=F$7),Budget[Amount]))</f>
        <v>0</v>
      </c>
      <c r="G166" s="319">
        <f t="array" ref="G166">SUM(IF((Budget[Account Code]=$B166)*(Budget[Date]=G$7),Budget[Amount]))</f>
        <v>0</v>
      </c>
      <c r="H166" s="319">
        <f t="array" ref="H166">SUM(IF((Budget[Account Code]=$B166)*(Budget[Date]=H$7),Budget[Amount]))</f>
        <v>0</v>
      </c>
      <c r="I166" s="319">
        <f t="array" ref="I166">SUM(IF((Budget[Account Code]=$B166)*(Budget[Date]=I$7),Budget[Amount]))</f>
        <v>0</v>
      </c>
      <c r="J166" s="319">
        <f t="array" ref="J166">SUM(IF((Budget[Account Code]=$B166)*(Budget[Date]=J$7),Budget[Amount]))</f>
        <v>0</v>
      </c>
      <c r="K166" s="319">
        <f t="array" ref="K166">SUM(IF((Budget[Account Code]=$B166)*(Budget[Date]=K$7),Budget[Amount]))</f>
        <v>0</v>
      </c>
      <c r="L166" s="319">
        <f t="array" ref="L166">SUM(IF((Budget[Account Code]=$B166)*(Budget[Date]=L$7),Budget[Amount]))</f>
        <v>0</v>
      </c>
      <c r="M166" s="319">
        <f t="array" ref="M166">SUM(IF((Budget[Account Code]=$B166)*(Budget[Date]=M$7),Budget[Amount]))</f>
        <v>0</v>
      </c>
      <c r="N166" s="319">
        <f t="array" ref="N166">SUM(IF((Budget[Account Code]=$B166)*(Budget[Date]=N$7),Budget[Amount]))</f>
        <v>0</v>
      </c>
      <c r="O166" s="319">
        <f t="array" ref="O166">SUM(IF((Budget[Account Code]=$B166)*(Budget[Date]=O$7),Budget[Amount]))</f>
        <v>0</v>
      </c>
      <c r="P166" s="322">
        <f>C166</f>
        <v>0</v>
      </c>
      <c r="Q166" s="171"/>
      <c r="R166" s="171"/>
      <c r="S166" s="171"/>
      <c r="T166" s="171"/>
      <c r="U166" s="171"/>
      <c r="V166" s="171"/>
      <c r="W166" s="171"/>
      <c r="X166" s="171"/>
      <c r="Y166" s="171"/>
      <c r="Z166" s="171"/>
    </row>
    <row r="167" spans="1:26">
      <c r="A167" s="320" t="s">
        <v>983</v>
      </c>
      <c r="B167" s="317"/>
      <c r="C167" s="322">
        <f t="shared" si="33"/>
        <v>0</v>
      </c>
      <c r="D167" s="322">
        <f>D165+D166</f>
        <v>0</v>
      </c>
      <c r="E167" s="322">
        <f t="shared" ref="E167:O167" si="37">E165+E166</f>
        <v>0</v>
      </c>
      <c r="F167" s="322">
        <f t="shared" si="37"/>
        <v>0</v>
      </c>
      <c r="G167" s="322">
        <f t="shared" si="37"/>
        <v>0</v>
      </c>
      <c r="H167" s="322">
        <f t="shared" si="37"/>
        <v>0</v>
      </c>
      <c r="I167" s="322">
        <f t="shared" si="37"/>
        <v>0</v>
      </c>
      <c r="J167" s="322">
        <f t="shared" si="37"/>
        <v>0</v>
      </c>
      <c r="K167" s="322">
        <f t="shared" si="37"/>
        <v>0</v>
      </c>
      <c r="L167" s="322">
        <f t="shared" si="37"/>
        <v>0</v>
      </c>
      <c r="M167" s="322">
        <f t="shared" si="37"/>
        <v>0</v>
      </c>
      <c r="N167" s="322">
        <f t="shared" si="37"/>
        <v>0</v>
      </c>
      <c r="O167" s="322">
        <f t="shared" si="37"/>
        <v>0</v>
      </c>
      <c r="P167" s="322">
        <f t="shared" si="29"/>
        <v>0</v>
      </c>
    </row>
    <row r="168" spans="1:26">
      <c r="A168" s="320" t="s">
        <v>984</v>
      </c>
      <c r="B168" s="317"/>
      <c r="C168" s="322">
        <f t="shared" si="33"/>
        <v>0</v>
      </c>
      <c r="D168" s="322">
        <f t="shared" ref="D168:O168" si="38">D44-D167</f>
        <v>0</v>
      </c>
      <c r="E168" s="322">
        <f t="shared" si="38"/>
        <v>0</v>
      </c>
      <c r="F168" s="322">
        <f t="shared" si="38"/>
        <v>0</v>
      </c>
      <c r="G168" s="322">
        <f t="shared" si="38"/>
        <v>0</v>
      </c>
      <c r="H168" s="322">
        <f t="shared" si="38"/>
        <v>0</v>
      </c>
      <c r="I168" s="322">
        <f t="shared" si="38"/>
        <v>0</v>
      </c>
      <c r="J168" s="322">
        <f t="shared" si="38"/>
        <v>0</v>
      </c>
      <c r="K168" s="322">
        <f t="shared" si="38"/>
        <v>0</v>
      </c>
      <c r="L168" s="322">
        <f t="shared" si="38"/>
        <v>0</v>
      </c>
      <c r="M168" s="322">
        <f t="shared" si="38"/>
        <v>0</v>
      </c>
      <c r="N168" s="322">
        <f t="shared" si="38"/>
        <v>0</v>
      </c>
      <c r="O168" s="322">
        <f t="shared" si="38"/>
        <v>0</v>
      </c>
      <c r="P168" s="322">
        <f t="shared" si="29"/>
        <v>0</v>
      </c>
    </row>
    <row r="169" spans="1:26">
      <c r="A169" s="320" t="s">
        <v>749</v>
      </c>
      <c r="B169" s="317"/>
      <c r="C169" s="322" t="e">
        <f>C44/C165</f>
        <v>#DIV/0!</v>
      </c>
      <c r="D169" s="322" t="e">
        <f t="shared" ref="D169:O169" si="39">D44/D165</f>
        <v>#DIV/0!</v>
      </c>
      <c r="E169" s="322" t="e">
        <f t="shared" si="39"/>
        <v>#DIV/0!</v>
      </c>
      <c r="F169" s="322" t="e">
        <f t="shared" si="39"/>
        <v>#DIV/0!</v>
      </c>
      <c r="G169" s="322" t="e">
        <f t="shared" si="39"/>
        <v>#DIV/0!</v>
      </c>
      <c r="H169" s="322" t="e">
        <f t="shared" si="39"/>
        <v>#DIV/0!</v>
      </c>
      <c r="I169" s="322" t="e">
        <f t="shared" si="39"/>
        <v>#DIV/0!</v>
      </c>
      <c r="J169" s="322" t="e">
        <f t="shared" si="39"/>
        <v>#DIV/0!</v>
      </c>
      <c r="K169" s="322" t="e">
        <f t="shared" si="39"/>
        <v>#DIV/0!</v>
      </c>
      <c r="L169" s="322" t="e">
        <f t="shared" si="39"/>
        <v>#DIV/0!</v>
      </c>
      <c r="M169" s="322" t="e">
        <f t="shared" si="39"/>
        <v>#DIV/0!</v>
      </c>
      <c r="N169" s="322" t="e">
        <f t="shared" si="39"/>
        <v>#DIV/0!</v>
      </c>
      <c r="O169" s="322" t="e">
        <f t="shared" si="39"/>
        <v>#DIV/0!</v>
      </c>
      <c r="P169" s="322" t="e">
        <f t="shared" si="29"/>
        <v>#DIV/0!</v>
      </c>
    </row>
  </sheetData>
  <printOptions horizontalCentered="1"/>
  <pageMargins left="0.5" right="1.5" top="0.75" bottom="0.5" header="0.3" footer="0.3"/>
  <pageSetup paperSize="5" scale="70" orientation="landscape" r:id="rId1"/>
  <headerFooter>
    <oddFooter>&amp;CPage &amp;P of &amp;N</oddFooter>
  </headerFooter>
  <colBreaks count="1" manualBreakCount="1">
    <brk id="9" max="1048575"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F2917"/>
  <sheetViews>
    <sheetView workbookViewId="0"/>
  </sheetViews>
  <sheetFormatPr defaultColWidth="9" defaultRowHeight="15.75"/>
  <cols>
    <col min="1" max="1" width="13" style="307" customWidth="1"/>
    <col min="2" max="2" width="10.625" style="309" customWidth="1"/>
    <col min="3" max="3" width="10.375" style="309" customWidth="1"/>
    <col min="4" max="4" width="50.125" style="307" customWidth="1"/>
    <col min="5" max="5" width="13.875" style="310" customWidth="1"/>
    <col min="6" max="6" width="20.125" style="311" customWidth="1"/>
    <col min="7" max="16384" width="9" style="307"/>
  </cols>
  <sheetData>
    <row r="1" spans="1:6">
      <c r="A1" s="305" t="s">
        <v>0</v>
      </c>
      <c r="B1" s="306" t="s">
        <v>718</v>
      </c>
      <c r="C1" s="306" t="s">
        <v>740</v>
      </c>
      <c r="D1" s="493" t="s">
        <v>369</v>
      </c>
      <c r="E1" s="306" t="s">
        <v>370</v>
      </c>
      <c r="F1" s="312" t="s">
        <v>453</v>
      </c>
    </row>
    <row r="2" spans="1:6">
      <c r="A2" s="308">
        <v>43220</v>
      </c>
      <c r="B2" s="24" t="s">
        <v>494</v>
      </c>
      <c r="C2" s="24" t="s">
        <v>494</v>
      </c>
      <c r="D2" s="52" t="str">
        <f t="array" ref="D2">IF(E2=0,0,(INDEX(AccountCodes[ACCOUNT NAME],MATCH(E2,AccountCodes[NGAS CODE],0))))</f>
        <v>Equipment Rental - Internal (CA)</v>
      </c>
      <c r="E2" s="24" t="s">
        <v>146</v>
      </c>
      <c r="F2" s="311">
        <v>200000</v>
      </c>
    </row>
    <row r="3" spans="1:6">
      <c r="A3" s="308">
        <v>43373</v>
      </c>
      <c r="B3" s="24" t="s">
        <v>494</v>
      </c>
      <c r="C3" s="24" t="s">
        <v>494</v>
      </c>
      <c r="D3" s="136" t="str">
        <f t="array" ref="D3">IF(E3=0,0,(INDEX(AccountCodes[ACCOUNT NAME],MATCH(E3,AccountCodes[NGAS CODE],0))))</f>
        <v>Equipment Rental - Internal (CA)</v>
      </c>
      <c r="E3" s="24" t="s">
        <v>146</v>
      </c>
      <c r="F3" s="311">
        <v>100000</v>
      </c>
    </row>
    <row r="4" spans="1:6">
      <c r="A4" s="308">
        <v>43465</v>
      </c>
      <c r="B4" s="309" t="s">
        <v>494</v>
      </c>
      <c r="C4" s="309" t="s">
        <v>494</v>
      </c>
      <c r="D4" s="136" t="str">
        <f t="array" ref="D4">IF(E4=0,0,(INDEX(AccountCodes[ACCOUNT NAME],MATCH(E4,AccountCodes[NGAS CODE],0))))</f>
        <v>Equipment Rental - Internal (CA)</v>
      </c>
      <c r="E4" s="24" t="s">
        <v>146</v>
      </c>
      <c r="F4" s="501">
        <v>200000</v>
      </c>
    </row>
    <row r="5" spans="1:6">
      <c r="A5" s="308">
        <v>43190</v>
      </c>
      <c r="B5" s="309" t="s">
        <v>494</v>
      </c>
      <c r="C5" s="309" t="s">
        <v>494</v>
      </c>
      <c r="D5" s="136" t="str">
        <f t="array" ref="D5">IF(E5=0,0,(INDEX(AccountCodes[ACCOUNT NAME],MATCH(E5,AccountCodes[NGAS CODE],0))))</f>
        <v>Miscellaneous Income (Bid Documents)</v>
      </c>
      <c r="E5" s="309" t="s">
        <v>155</v>
      </c>
      <c r="F5" s="501">
        <v>100000</v>
      </c>
    </row>
    <row r="6" spans="1:6">
      <c r="A6" s="308">
        <v>43404</v>
      </c>
      <c r="B6" s="309" t="s">
        <v>494</v>
      </c>
      <c r="C6" s="309" t="s">
        <v>494</v>
      </c>
      <c r="D6" s="136" t="str">
        <f t="array" ref="D6">IF(E6=0,0,(INDEX(AccountCodes[ACCOUNT NAME],MATCH(E6,AccountCodes[NGAS CODE],0))))</f>
        <v>Miscellaneous Income (Bid Documents)</v>
      </c>
      <c r="E6" s="309" t="s">
        <v>155</v>
      </c>
      <c r="F6" s="501">
        <v>200000</v>
      </c>
    </row>
    <row r="7" spans="1:6">
      <c r="A7" s="308">
        <v>43465</v>
      </c>
      <c r="B7" s="309" t="s">
        <v>494</v>
      </c>
      <c r="C7" s="309" t="s">
        <v>494</v>
      </c>
      <c r="D7" s="136" t="str">
        <f t="array" ref="D7">IF(E7=0,0,(INDEX(AccountCodes[ACCOUNT NAME],MATCH(E7,AccountCodes[NGAS CODE],0))))</f>
        <v>Miscellaneous Income (Bid Documents)</v>
      </c>
      <c r="E7" s="309" t="s">
        <v>155</v>
      </c>
      <c r="F7" s="501">
        <v>200000</v>
      </c>
    </row>
    <row r="8" spans="1:6">
      <c r="A8" s="308">
        <v>43131</v>
      </c>
      <c r="B8" s="309" t="s">
        <v>494</v>
      </c>
      <c r="C8" s="309" t="s">
        <v>494</v>
      </c>
      <c r="D8" s="136" t="str">
        <f t="array" ref="D8">IF(E8=0,0,(INDEX(AccountCodes[ACCOUNT NAME],MATCH(E8,AccountCodes[NGAS CODE],0))))</f>
        <v>Salaries and Wages-Regular</v>
      </c>
      <c r="E8" s="309" t="s">
        <v>162</v>
      </c>
      <c r="F8" s="501">
        <v>1655877</v>
      </c>
    </row>
    <row r="9" spans="1:6">
      <c r="A9" s="308">
        <v>43159</v>
      </c>
      <c r="B9" s="309" t="s">
        <v>494</v>
      </c>
      <c r="C9" s="309" t="s">
        <v>494</v>
      </c>
      <c r="D9" s="136" t="str">
        <f t="array" ref="D9">IF(E9=0,0,(INDEX(AccountCodes[ACCOUNT NAME],MATCH(E9,AccountCodes[NGAS CODE],0))))</f>
        <v>Salaries and Wages-Regular</v>
      </c>
      <c r="E9" s="309" t="s">
        <v>162</v>
      </c>
      <c r="F9" s="501">
        <v>1655877</v>
      </c>
    </row>
    <row r="10" spans="1:6">
      <c r="A10" s="308">
        <v>43190</v>
      </c>
      <c r="B10" s="309" t="s">
        <v>494</v>
      </c>
      <c r="C10" s="309" t="s">
        <v>494</v>
      </c>
      <c r="D10" s="136" t="str">
        <f t="array" ref="D10">IF(E10=0,0,(INDEX(AccountCodes[ACCOUNT NAME],MATCH(E10,AccountCodes[NGAS CODE],0))))</f>
        <v>Salaries and Wages-Regular</v>
      </c>
      <c r="E10" s="309" t="s">
        <v>162</v>
      </c>
      <c r="F10" s="501">
        <v>1655877</v>
      </c>
    </row>
    <row r="11" spans="1:6">
      <c r="A11" s="308">
        <v>43220</v>
      </c>
      <c r="B11" s="309" t="s">
        <v>494</v>
      </c>
      <c r="C11" s="309" t="s">
        <v>494</v>
      </c>
      <c r="D11" s="136" t="str">
        <f t="array" ref="D11">IF(E11=0,0,(INDEX(AccountCodes[ACCOUNT NAME],MATCH(E11,AccountCodes[NGAS CODE],0))))</f>
        <v>Salaries and Wages-Regular</v>
      </c>
      <c r="E11" s="309" t="s">
        <v>162</v>
      </c>
      <c r="F11" s="501">
        <v>1655877</v>
      </c>
    </row>
    <row r="12" spans="1:6">
      <c r="A12" s="308">
        <v>43251</v>
      </c>
      <c r="B12" s="309" t="s">
        <v>494</v>
      </c>
      <c r="C12" s="309" t="s">
        <v>494</v>
      </c>
      <c r="D12" s="136" t="str">
        <f t="array" ref="D12">IF(E12=0,0,(INDEX(AccountCodes[ACCOUNT NAME],MATCH(E12,AccountCodes[NGAS CODE],0))))</f>
        <v>Salaries and Wages-Regular</v>
      </c>
      <c r="E12" s="309" t="s">
        <v>162</v>
      </c>
      <c r="F12" s="501">
        <v>1655877</v>
      </c>
    </row>
    <row r="13" spans="1:6">
      <c r="A13" s="308">
        <v>43281</v>
      </c>
      <c r="B13" s="309" t="s">
        <v>494</v>
      </c>
      <c r="C13" s="309" t="s">
        <v>494</v>
      </c>
      <c r="D13" s="136" t="str">
        <f t="array" ref="D13">IF(E13=0,0,(INDEX(AccountCodes[ACCOUNT NAME],MATCH(E13,AccountCodes[NGAS CODE],0))))</f>
        <v>Salaries and Wages-Regular</v>
      </c>
      <c r="E13" s="309" t="s">
        <v>162</v>
      </c>
      <c r="F13" s="501">
        <v>1655877</v>
      </c>
    </row>
    <row r="14" spans="1:6">
      <c r="A14" s="308">
        <v>43312</v>
      </c>
      <c r="B14" s="309" t="s">
        <v>494</v>
      </c>
      <c r="C14" s="309" t="s">
        <v>494</v>
      </c>
      <c r="D14" s="136" t="str">
        <f t="array" ref="D14">IF(E14=0,0,(INDEX(AccountCodes[ACCOUNT NAME],MATCH(E14,AccountCodes[NGAS CODE],0))))</f>
        <v>Salaries and Wages-Regular</v>
      </c>
      <c r="E14" s="309" t="s">
        <v>162</v>
      </c>
      <c r="F14" s="501">
        <v>1655877</v>
      </c>
    </row>
    <row r="15" spans="1:6">
      <c r="A15" s="308">
        <v>43343</v>
      </c>
      <c r="B15" s="309" t="s">
        <v>494</v>
      </c>
      <c r="C15" s="309" t="s">
        <v>494</v>
      </c>
      <c r="D15" s="136" t="str">
        <f t="array" ref="D15">IF(E15=0,0,(INDEX(AccountCodes[ACCOUNT NAME],MATCH(E15,AccountCodes[NGAS CODE],0))))</f>
        <v>Salaries and Wages-Regular</v>
      </c>
      <c r="E15" s="309" t="s">
        <v>162</v>
      </c>
      <c r="F15" s="501">
        <v>1655877</v>
      </c>
    </row>
    <row r="16" spans="1:6">
      <c r="A16" s="308">
        <v>43373</v>
      </c>
      <c r="B16" s="309" t="s">
        <v>494</v>
      </c>
      <c r="C16" s="309" t="s">
        <v>494</v>
      </c>
      <c r="D16" s="136" t="str">
        <f t="array" ref="D16">IF(E16=0,0,(INDEX(AccountCodes[ACCOUNT NAME],MATCH(E16,AccountCodes[NGAS CODE],0))))</f>
        <v>Salaries and Wages-Regular</v>
      </c>
      <c r="E16" s="309" t="s">
        <v>162</v>
      </c>
      <c r="F16" s="501">
        <v>1655877</v>
      </c>
    </row>
    <row r="17" spans="1:6">
      <c r="A17" s="308">
        <v>43404</v>
      </c>
      <c r="B17" s="309" t="s">
        <v>494</v>
      </c>
      <c r="C17" s="309" t="s">
        <v>494</v>
      </c>
      <c r="D17" s="136" t="str">
        <f t="array" ref="D17">IF(E17=0,0,(INDEX(AccountCodes[ACCOUNT NAME],MATCH(E17,AccountCodes[NGAS CODE],0))))</f>
        <v>Salaries and Wages-Regular</v>
      </c>
      <c r="E17" s="309" t="s">
        <v>162</v>
      </c>
      <c r="F17" s="501">
        <v>1655877</v>
      </c>
    </row>
    <row r="18" spans="1:6">
      <c r="A18" s="308">
        <v>43434</v>
      </c>
      <c r="B18" s="309" t="s">
        <v>494</v>
      </c>
      <c r="C18" s="309" t="s">
        <v>494</v>
      </c>
      <c r="D18" s="136" t="str">
        <f t="array" ref="D18">IF(E18=0,0,(INDEX(AccountCodes[ACCOUNT NAME],MATCH(E18,AccountCodes[NGAS CODE],0))))</f>
        <v>Salaries and Wages-Regular</v>
      </c>
      <c r="E18" s="309" t="s">
        <v>162</v>
      </c>
      <c r="F18" s="501">
        <v>1655877</v>
      </c>
    </row>
    <row r="19" spans="1:6">
      <c r="A19" s="308">
        <v>43465</v>
      </c>
      <c r="B19" s="309" t="s">
        <v>494</v>
      </c>
      <c r="C19" s="309" t="s">
        <v>494</v>
      </c>
      <c r="D19" s="136" t="str">
        <f t="array" ref="D19">IF(E19=0,0,(INDEX(AccountCodes[ACCOUNT NAME],MATCH(E19,AccountCodes[NGAS CODE],0))))</f>
        <v>Salaries and Wages-Regular</v>
      </c>
      <c r="E19" s="309" t="s">
        <v>162</v>
      </c>
      <c r="F19" s="501">
        <v>1655877</v>
      </c>
    </row>
    <row r="20" spans="1:6">
      <c r="A20" s="308">
        <v>43131</v>
      </c>
      <c r="B20" s="309" t="s">
        <v>494</v>
      </c>
      <c r="C20" s="309" t="s">
        <v>494</v>
      </c>
      <c r="D20" s="136" t="str">
        <f t="array" ref="D20">IF(E20=0,0,(INDEX(AccountCodes[ACCOUNT NAME],MATCH(E20,AccountCodes[NGAS CODE],0))))</f>
        <v>Salaries and Wages-Casual/Contractual</v>
      </c>
      <c r="E20" s="309" t="s">
        <v>163</v>
      </c>
      <c r="F20" s="501">
        <v>79843</v>
      </c>
    </row>
    <row r="21" spans="1:6">
      <c r="A21" s="308">
        <v>43159</v>
      </c>
      <c r="B21" s="309" t="s">
        <v>494</v>
      </c>
      <c r="C21" s="309" t="s">
        <v>494</v>
      </c>
      <c r="D21" s="136" t="str">
        <f t="array" ref="D21">IF(E21=0,0,(INDEX(AccountCodes[ACCOUNT NAME],MATCH(E21,AccountCodes[NGAS CODE],0))))</f>
        <v>Salaries and Wages-Casual/Contractual</v>
      </c>
      <c r="E21" s="309" t="s">
        <v>163</v>
      </c>
      <c r="F21" s="501">
        <v>79843</v>
      </c>
    </row>
    <row r="22" spans="1:6">
      <c r="A22" s="308">
        <v>43190</v>
      </c>
      <c r="B22" s="309" t="s">
        <v>494</v>
      </c>
      <c r="C22" s="309" t="s">
        <v>494</v>
      </c>
      <c r="D22" s="136" t="str">
        <f t="array" ref="D22">IF(E22=0,0,(INDEX(AccountCodes[ACCOUNT NAME],MATCH(E22,AccountCodes[NGAS CODE],0))))</f>
        <v>Salaries and Wages-Casual/Contractual</v>
      </c>
      <c r="E22" s="309" t="s">
        <v>163</v>
      </c>
      <c r="F22" s="501">
        <v>79843</v>
      </c>
    </row>
    <row r="23" spans="1:6">
      <c r="A23" s="308">
        <v>43220</v>
      </c>
      <c r="B23" s="309" t="s">
        <v>494</v>
      </c>
      <c r="C23" s="309" t="s">
        <v>494</v>
      </c>
      <c r="D23" s="136" t="str">
        <f t="array" ref="D23">IF(E23=0,0,(INDEX(AccountCodes[ACCOUNT NAME],MATCH(E23,AccountCodes[NGAS CODE],0))))</f>
        <v>Salaries and Wages-Casual/Contractual</v>
      </c>
      <c r="E23" s="309" t="s">
        <v>163</v>
      </c>
      <c r="F23" s="501">
        <v>79843</v>
      </c>
    </row>
    <row r="24" spans="1:6">
      <c r="A24" s="308">
        <v>43251</v>
      </c>
      <c r="B24" s="309" t="s">
        <v>494</v>
      </c>
      <c r="C24" s="309" t="s">
        <v>494</v>
      </c>
      <c r="D24" s="136" t="str">
        <f t="array" ref="D24">IF(E24=0,0,(INDEX(AccountCodes[ACCOUNT NAME],MATCH(E24,AccountCodes[NGAS CODE],0))))</f>
        <v>Salaries and Wages-Casual/Contractual</v>
      </c>
      <c r="E24" s="309" t="s">
        <v>163</v>
      </c>
      <c r="F24" s="501">
        <v>79843</v>
      </c>
    </row>
    <row r="25" spans="1:6">
      <c r="A25" s="308">
        <v>43281</v>
      </c>
      <c r="B25" s="309" t="s">
        <v>494</v>
      </c>
      <c r="C25" s="309" t="s">
        <v>494</v>
      </c>
      <c r="D25" s="136" t="str">
        <f t="array" ref="D25">IF(E25=0,0,(INDEX(AccountCodes[ACCOUNT NAME],MATCH(E25,AccountCodes[NGAS CODE],0))))</f>
        <v>Salaries and Wages-Casual/Contractual</v>
      </c>
      <c r="E25" s="309" t="s">
        <v>163</v>
      </c>
      <c r="F25" s="501">
        <v>79843</v>
      </c>
    </row>
    <row r="26" spans="1:6">
      <c r="A26" s="308">
        <v>43312</v>
      </c>
      <c r="B26" s="309" t="s">
        <v>494</v>
      </c>
      <c r="C26" s="309" t="s">
        <v>494</v>
      </c>
      <c r="D26" s="136" t="str">
        <f t="array" ref="D26">IF(E26=0,0,(INDEX(AccountCodes[ACCOUNT NAME],MATCH(E26,AccountCodes[NGAS CODE],0))))</f>
        <v>Salaries and Wages-Casual/Contractual</v>
      </c>
      <c r="E26" s="309" t="s">
        <v>163</v>
      </c>
      <c r="F26" s="501">
        <v>79843</v>
      </c>
    </row>
    <row r="27" spans="1:6">
      <c r="A27" s="308">
        <v>43343</v>
      </c>
      <c r="B27" s="309" t="s">
        <v>494</v>
      </c>
      <c r="C27" s="309" t="s">
        <v>494</v>
      </c>
      <c r="D27" s="136" t="str">
        <f t="array" ref="D27">IF(E27=0,0,(INDEX(AccountCodes[ACCOUNT NAME],MATCH(E27,AccountCodes[NGAS CODE],0))))</f>
        <v>Salaries and Wages-Casual/Contractual</v>
      </c>
      <c r="E27" s="309" t="s">
        <v>163</v>
      </c>
      <c r="F27" s="501">
        <v>79843</v>
      </c>
    </row>
    <row r="28" spans="1:6">
      <c r="A28" s="308">
        <v>43373</v>
      </c>
      <c r="B28" s="309" t="s">
        <v>494</v>
      </c>
      <c r="C28" s="309" t="s">
        <v>494</v>
      </c>
      <c r="D28" s="136" t="str">
        <f t="array" ref="D28">IF(E28=0,0,(INDEX(AccountCodes[ACCOUNT NAME],MATCH(E28,AccountCodes[NGAS CODE],0))))</f>
        <v>Salaries and Wages-Casual/Contractual</v>
      </c>
      <c r="E28" s="309" t="s">
        <v>163</v>
      </c>
      <c r="F28" s="501">
        <v>79843</v>
      </c>
    </row>
    <row r="29" spans="1:6">
      <c r="A29" s="308">
        <v>43404</v>
      </c>
      <c r="B29" s="309" t="s">
        <v>494</v>
      </c>
      <c r="C29" s="309" t="s">
        <v>494</v>
      </c>
      <c r="D29" s="136" t="str">
        <f t="array" ref="D29">IF(E29=0,0,(INDEX(AccountCodes[ACCOUNT NAME],MATCH(E29,AccountCodes[NGAS CODE],0))))</f>
        <v>Salaries and Wages-Casual/Contractual</v>
      </c>
      <c r="E29" s="309" t="s">
        <v>163</v>
      </c>
      <c r="F29" s="501">
        <v>79843</v>
      </c>
    </row>
    <row r="30" spans="1:6">
      <c r="A30" s="308">
        <v>43434</v>
      </c>
      <c r="B30" s="309" t="s">
        <v>494</v>
      </c>
      <c r="C30" s="309" t="s">
        <v>494</v>
      </c>
      <c r="D30" s="136" t="str">
        <f t="array" ref="D30">IF(E30=0,0,(INDEX(AccountCodes[ACCOUNT NAME],MATCH(E30,AccountCodes[NGAS CODE],0))))</f>
        <v>Salaries and Wages-Casual/Contractual</v>
      </c>
      <c r="E30" s="309" t="s">
        <v>163</v>
      </c>
      <c r="F30" s="501">
        <v>79843</v>
      </c>
    </row>
    <row r="31" spans="1:6">
      <c r="A31" s="308">
        <v>43465</v>
      </c>
      <c r="B31" s="309" t="s">
        <v>494</v>
      </c>
      <c r="C31" s="309" t="s">
        <v>494</v>
      </c>
      <c r="D31" s="136" t="str">
        <f t="array" ref="D31">IF(E31=0,0,(INDEX(AccountCodes[ACCOUNT NAME],MATCH(E31,AccountCodes[NGAS CODE],0))))</f>
        <v>Salaries and Wages-Casual/Contractual</v>
      </c>
      <c r="E31" s="309" t="s">
        <v>163</v>
      </c>
      <c r="F31" s="501">
        <v>79843</v>
      </c>
    </row>
    <row r="32" spans="1:6">
      <c r="A32" s="308">
        <v>43131</v>
      </c>
      <c r="B32" s="309" t="s">
        <v>494</v>
      </c>
      <c r="C32" s="309" t="s">
        <v>494</v>
      </c>
      <c r="D32" s="136" t="str">
        <f t="array" ref="D32">IF(E32=0,0,(INDEX(AccountCodes[ACCOUNT NAME],MATCH(E32,AccountCodes[NGAS CODE],0))))</f>
        <v>Personal Economic Relief Allowance (PERA)</v>
      </c>
      <c r="E32" s="309" t="s">
        <v>164</v>
      </c>
      <c r="F32" s="501">
        <v>120000</v>
      </c>
    </row>
    <row r="33" spans="1:6">
      <c r="A33" s="308">
        <v>43159</v>
      </c>
      <c r="B33" s="309" t="s">
        <v>494</v>
      </c>
      <c r="C33" s="309" t="s">
        <v>494</v>
      </c>
      <c r="D33" s="136" t="str">
        <f t="array" ref="D33">IF(E33=0,0,(INDEX(AccountCodes[ACCOUNT NAME],MATCH(E33,AccountCodes[NGAS CODE],0))))</f>
        <v>Personal Economic Relief Allowance (PERA)</v>
      </c>
      <c r="E33" s="309" t="s">
        <v>164</v>
      </c>
      <c r="F33" s="501">
        <v>120000</v>
      </c>
    </row>
    <row r="34" spans="1:6">
      <c r="A34" s="308">
        <v>43190</v>
      </c>
      <c r="B34" s="309" t="s">
        <v>494</v>
      </c>
      <c r="C34" s="309" t="s">
        <v>494</v>
      </c>
      <c r="D34" s="136" t="str">
        <f t="array" ref="D34">IF(E34=0,0,(INDEX(AccountCodes[ACCOUNT NAME],MATCH(E34,AccountCodes[NGAS CODE],0))))</f>
        <v>Personal Economic Relief Allowance (PERA)</v>
      </c>
      <c r="E34" s="309" t="s">
        <v>164</v>
      </c>
      <c r="F34" s="501">
        <v>120000</v>
      </c>
    </row>
    <row r="35" spans="1:6">
      <c r="A35" s="308">
        <v>43220</v>
      </c>
      <c r="B35" s="309" t="s">
        <v>494</v>
      </c>
      <c r="C35" s="309" t="s">
        <v>494</v>
      </c>
      <c r="D35" s="136" t="str">
        <f t="array" ref="D35">IF(E35=0,0,(INDEX(AccountCodes[ACCOUNT NAME],MATCH(E35,AccountCodes[NGAS CODE],0))))</f>
        <v>Personal Economic Relief Allowance (PERA)</v>
      </c>
      <c r="E35" s="309" t="s">
        <v>164</v>
      </c>
      <c r="F35" s="501">
        <v>120000</v>
      </c>
    </row>
    <row r="36" spans="1:6">
      <c r="A36" s="308">
        <v>43251</v>
      </c>
      <c r="B36" s="309" t="s">
        <v>494</v>
      </c>
      <c r="C36" s="309" t="s">
        <v>494</v>
      </c>
      <c r="D36" s="136" t="str">
        <f t="array" ref="D36">IF(E36=0,0,(INDEX(AccountCodes[ACCOUNT NAME],MATCH(E36,AccountCodes[NGAS CODE],0))))</f>
        <v>Personal Economic Relief Allowance (PERA)</v>
      </c>
      <c r="E36" s="309" t="s">
        <v>164</v>
      </c>
      <c r="F36" s="501">
        <v>120000</v>
      </c>
    </row>
    <row r="37" spans="1:6">
      <c r="A37" s="308">
        <v>43281</v>
      </c>
      <c r="B37" s="309" t="s">
        <v>494</v>
      </c>
      <c r="C37" s="309" t="s">
        <v>494</v>
      </c>
      <c r="D37" s="136" t="str">
        <f t="array" ref="D37">IF(E37=0,0,(INDEX(AccountCodes[ACCOUNT NAME],MATCH(E37,AccountCodes[NGAS CODE],0))))</f>
        <v>Personal Economic Relief Allowance (PERA)</v>
      </c>
      <c r="E37" s="309" t="s">
        <v>164</v>
      </c>
      <c r="F37" s="501">
        <v>120000</v>
      </c>
    </row>
    <row r="38" spans="1:6">
      <c r="A38" s="308">
        <v>43312</v>
      </c>
      <c r="B38" s="309" t="s">
        <v>494</v>
      </c>
      <c r="C38" s="309" t="s">
        <v>494</v>
      </c>
      <c r="D38" s="136" t="str">
        <f t="array" ref="D38">IF(E38=0,0,(INDEX(AccountCodes[ACCOUNT NAME],MATCH(E38,AccountCodes[NGAS CODE],0))))</f>
        <v>Personal Economic Relief Allowance (PERA)</v>
      </c>
      <c r="E38" s="309" t="s">
        <v>164</v>
      </c>
      <c r="F38" s="501">
        <v>120000</v>
      </c>
    </row>
    <row r="39" spans="1:6">
      <c r="A39" s="308">
        <v>43343</v>
      </c>
      <c r="B39" s="309" t="s">
        <v>494</v>
      </c>
      <c r="C39" s="309" t="s">
        <v>494</v>
      </c>
      <c r="D39" s="136" t="str">
        <f t="array" ref="D39">IF(E39=0,0,(INDEX(AccountCodes[ACCOUNT NAME],MATCH(E39,AccountCodes[NGAS CODE],0))))</f>
        <v>Personal Economic Relief Allowance (PERA)</v>
      </c>
      <c r="E39" s="309" t="s">
        <v>164</v>
      </c>
      <c r="F39" s="501">
        <v>120000</v>
      </c>
    </row>
    <row r="40" spans="1:6">
      <c r="A40" s="308">
        <v>43373</v>
      </c>
      <c r="B40" s="309" t="s">
        <v>494</v>
      </c>
      <c r="C40" s="309" t="s">
        <v>494</v>
      </c>
      <c r="D40" s="136" t="str">
        <f t="array" ref="D40">IF(E40=0,0,(INDEX(AccountCodes[ACCOUNT NAME],MATCH(E40,AccountCodes[NGAS CODE],0))))</f>
        <v>Personal Economic Relief Allowance (PERA)</v>
      </c>
      <c r="E40" s="309" t="s">
        <v>164</v>
      </c>
      <c r="F40" s="501">
        <v>120000</v>
      </c>
    </row>
    <row r="41" spans="1:6">
      <c r="A41" s="308">
        <v>43404</v>
      </c>
      <c r="B41" s="309" t="s">
        <v>494</v>
      </c>
      <c r="C41" s="309" t="s">
        <v>494</v>
      </c>
      <c r="D41" s="136" t="str">
        <f t="array" ref="D41">IF(E41=0,0,(INDEX(AccountCodes[ACCOUNT NAME],MATCH(E41,AccountCodes[NGAS CODE],0))))</f>
        <v>Personal Economic Relief Allowance (PERA)</v>
      </c>
      <c r="E41" s="309" t="s">
        <v>164</v>
      </c>
      <c r="F41" s="501">
        <v>120000</v>
      </c>
    </row>
    <row r="42" spans="1:6">
      <c r="A42" s="308">
        <v>43434</v>
      </c>
      <c r="B42" s="309" t="s">
        <v>494</v>
      </c>
      <c r="C42" s="309" t="s">
        <v>494</v>
      </c>
      <c r="D42" s="136" t="str">
        <f t="array" ref="D42">IF(E42=0,0,(INDEX(AccountCodes[ACCOUNT NAME],MATCH(E42,AccountCodes[NGAS CODE],0))))</f>
        <v>Personal Economic Relief Allowance (PERA)</v>
      </c>
      <c r="E42" s="309" t="s">
        <v>164</v>
      </c>
      <c r="F42" s="501">
        <v>120000</v>
      </c>
    </row>
    <row r="43" spans="1:6">
      <c r="A43" s="308">
        <v>43465</v>
      </c>
      <c r="B43" s="309" t="s">
        <v>494</v>
      </c>
      <c r="C43" s="309" t="s">
        <v>494</v>
      </c>
      <c r="D43" s="136" t="str">
        <f t="array" ref="D43">IF(E43=0,0,(INDEX(AccountCodes[ACCOUNT NAME],MATCH(E43,AccountCodes[NGAS CODE],0))))</f>
        <v>Personal Economic Relief Allowance (PERA)</v>
      </c>
      <c r="E43" s="309" t="s">
        <v>164</v>
      </c>
      <c r="F43" s="501">
        <v>120000</v>
      </c>
    </row>
    <row r="44" spans="1:6">
      <c r="A44" s="308">
        <v>43131</v>
      </c>
      <c r="B44" s="309" t="s">
        <v>494</v>
      </c>
      <c r="C44" s="309" t="s">
        <v>494</v>
      </c>
      <c r="D44" s="136" t="str">
        <f t="array" ref="D44">IF(E44=0,0,(INDEX(AccountCodes[ACCOUNT NAME],MATCH(E44,AccountCodes[NGAS CODE],0))))</f>
        <v>Representation Allowance (RA)</v>
      </c>
      <c r="E44" s="309" t="s">
        <v>165</v>
      </c>
      <c r="F44" s="501">
        <v>10000</v>
      </c>
    </row>
    <row r="45" spans="1:6">
      <c r="A45" s="308">
        <v>43159</v>
      </c>
      <c r="B45" s="309" t="s">
        <v>494</v>
      </c>
      <c r="C45" s="309" t="s">
        <v>494</v>
      </c>
      <c r="D45" s="136" t="str">
        <f t="array" ref="D45">IF(E45=0,0,(INDEX(AccountCodes[ACCOUNT NAME],MATCH(E45,AccountCodes[NGAS CODE],0))))</f>
        <v>Representation Allowance (RA)</v>
      </c>
      <c r="E45" s="309" t="s">
        <v>165</v>
      </c>
      <c r="F45" s="501">
        <v>10000</v>
      </c>
    </row>
    <row r="46" spans="1:6">
      <c r="A46" s="308">
        <v>43190</v>
      </c>
      <c r="B46" s="309" t="s">
        <v>494</v>
      </c>
      <c r="C46" s="309" t="s">
        <v>494</v>
      </c>
      <c r="D46" s="136" t="str">
        <f t="array" ref="D46">IF(E46=0,0,(INDEX(AccountCodes[ACCOUNT NAME],MATCH(E46,AccountCodes[NGAS CODE],0))))</f>
        <v>Representation Allowance (RA)</v>
      </c>
      <c r="E46" s="309" t="s">
        <v>165</v>
      </c>
      <c r="F46" s="501">
        <v>10000</v>
      </c>
    </row>
    <row r="47" spans="1:6">
      <c r="A47" s="308">
        <v>43220</v>
      </c>
      <c r="B47" s="309" t="s">
        <v>494</v>
      </c>
      <c r="C47" s="309" t="s">
        <v>494</v>
      </c>
      <c r="D47" s="136" t="str">
        <f t="array" ref="D47">IF(E47=0,0,(INDEX(AccountCodes[ACCOUNT NAME],MATCH(E47,AccountCodes[NGAS CODE],0))))</f>
        <v>Representation Allowance (RA)</v>
      </c>
      <c r="E47" s="309" t="s">
        <v>165</v>
      </c>
      <c r="F47" s="501">
        <v>10000</v>
      </c>
    </row>
    <row r="48" spans="1:6">
      <c r="A48" s="308">
        <v>43251</v>
      </c>
      <c r="B48" s="309" t="s">
        <v>494</v>
      </c>
      <c r="C48" s="309" t="s">
        <v>494</v>
      </c>
      <c r="D48" s="136" t="str">
        <f t="array" ref="D48">IF(E48=0,0,(INDEX(AccountCodes[ACCOUNT NAME],MATCH(E48,AccountCodes[NGAS CODE],0))))</f>
        <v>Representation Allowance (RA)</v>
      </c>
      <c r="E48" s="309" t="s">
        <v>165</v>
      </c>
      <c r="F48" s="501">
        <v>10000</v>
      </c>
    </row>
    <row r="49" spans="1:6">
      <c r="A49" s="308">
        <v>43281</v>
      </c>
      <c r="B49" s="309" t="s">
        <v>494</v>
      </c>
      <c r="C49" s="309" t="s">
        <v>494</v>
      </c>
      <c r="D49" s="136" t="str">
        <f t="array" ref="D49">IF(E49=0,0,(INDEX(AccountCodes[ACCOUNT NAME],MATCH(E49,AccountCodes[NGAS CODE],0))))</f>
        <v>Representation Allowance (RA)</v>
      </c>
      <c r="E49" s="309" t="s">
        <v>165</v>
      </c>
      <c r="F49" s="501">
        <v>10000</v>
      </c>
    </row>
    <row r="50" spans="1:6">
      <c r="A50" s="308">
        <v>43312</v>
      </c>
      <c r="B50" s="309" t="s">
        <v>494</v>
      </c>
      <c r="C50" s="309" t="s">
        <v>494</v>
      </c>
      <c r="D50" s="136" t="str">
        <f t="array" ref="D50">IF(E50=0,0,(INDEX(AccountCodes[ACCOUNT NAME],MATCH(E50,AccountCodes[NGAS CODE],0))))</f>
        <v>Representation Allowance (RA)</v>
      </c>
      <c r="E50" s="309" t="s">
        <v>165</v>
      </c>
      <c r="F50" s="501">
        <v>10000</v>
      </c>
    </row>
    <row r="51" spans="1:6">
      <c r="A51" s="308">
        <v>43343</v>
      </c>
      <c r="B51" s="309" t="s">
        <v>494</v>
      </c>
      <c r="C51" s="309" t="s">
        <v>494</v>
      </c>
      <c r="D51" s="136" t="str">
        <f t="array" ref="D51">IF(E51=0,0,(INDEX(AccountCodes[ACCOUNT NAME],MATCH(E51,AccountCodes[NGAS CODE],0))))</f>
        <v>Representation Allowance (RA)</v>
      </c>
      <c r="E51" s="309" t="s">
        <v>165</v>
      </c>
      <c r="F51" s="501">
        <v>10000</v>
      </c>
    </row>
    <row r="52" spans="1:6">
      <c r="A52" s="308">
        <v>43373</v>
      </c>
      <c r="B52" s="309" t="s">
        <v>494</v>
      </c>
      <c r="C52" s="309" t="s">
        <v>494</v>
      </c>
      <c r="D52" s="136" t="str">
        <f t="array" ref="D52">IF(E52=0,0,(INDEX(AccountCodes[ACCOUNT NAME],MATCH(E52,AccountCodes[NGAS CODE],0))))</f>
        <v>Representation Allowance (RA)</v>
      </c>
      <c r="E52" s="309" t="s">
        <v>165</v>
      </c>
      <c r="F52" s="501">
        <v>10000</v>
      </c>
    </row>
    <row r="53" spans="1:6">
      <c r="A53" s="308">
        <v>43404</v>
      </c>
      <c r="B53" s="309" t="s">
        <v>494</v>
      </c>
      <c r="C53" s="309" t="s">
        <v>494</v>
      </c>
      <c r="D53" s="136" t="str">
        <f t="array" ref="D53">IF(E53=0,0,(INDEX(AccountCodes[ACCOUNT NAME],MATCH(E53,AccountCodes[NGAS CODE],0))))</f>
        <v>Representation Allowance (RA)</v>
      </c>
      <c r="E53" s="309" t="s">
        <v>165</v>
      </c>
      <c r="F53" s="501">
        <v>10000</v>
      </c>
    </row>
    <row r="54" spans="1:6">
      <c r="A54" s="308">
        <v>43434</v>
      </c>
      <c r="B54" s="309" t="s">
        <v>494</v>
      </c>
      <c r="C54" s="309" t="s">
        <v>494</v>
      </c>
      <c r="D54" s="136" t="str">
        <f t="array" ref="D54">IF(E54=0,0,(INDEX(AccountCodes[ACCOUNT NAME],MATCH(E54,AccountCodes[NGAS CODE],0))))</f>
        <v>Representation Allowance (RA)</v>
      </c>
      <c r="E54" s="309" t="s">
        <v>165</v>
      </c>
      <c r="F54" s="501">
        <v>10000</v>
      </c>
    </row>
    <row r="55" spans="1:6">
      <c r="A55" s="308">
        <v>43465</v>
      </c>
      <c r="B55" s="309" t="s">
        <v>494</v>
      </c>
      <c r="C55" s="309" t="s">
        <v>494</v>
      </c>
      <c r="D55" s="136" t="str">
        <f t="array" ref="D55">IF(E55=0,0,(INDEX(AccountCodes[ACCOUNT NAME],MATCH(E55,AccountCodes[NGAS CODE],0))))</f>
        <v>Representation Allowance (RA)</v>
      </c>
      <c r="E55" s="309" t="s">
        <v>165</v>
      </c>
      <c r="F55" s="501">
        <v>10000</v>
      </c>
    </row>
    <row r="56" spans="1:6">
      <c r="A56" s="308">
        <v>43159</v>
      </c>
      <c r="B56" s="309" t="s">
        <v>494</v>
      </c>
      <c r="C56" s="309" t="s">
        <v>494</v>
      </c>
      <c r="D56" s="136" t="str">
        <f t="array" ref="D56">IF(E56=0,0,(INDEX(AccountCodes[ACCOUNT NAME],MATCH(E56,AccountCodes[NGAS CODE],0))))</f>
        <v>Clothing/Uniform Allowance</v>
      </c>
      <c r="E56" s="309" t="s">
        <v>167</v>
      </c>
      <c r="F56" s="501">
        <v>300000</v>
      </c>
    </row>
    <row r="57" spans="1:6">
      <c r="A57" s="308">
        <v>43465</v>
      </c>
      <c r="B57" s="309" t="s">
        <v>494</v>
      </c>
      <c r="C57" s="309" t="s">
        <v>494</v>
      </c>
      <c r="D57" s="136" t="str">
        <f t="array" ref="D57">IF(E57=0,0,(INDEX(AccountCodes[ACCOUNT NAME],MATCH(E57,AccountCodes[NGAS CODE],0))))</f>
        <v>Other Bonuses and Allowances - Productivity Enhancement Incentive-Civilian</v>
      </c>
      <c r="E57" s="309" t="s">
        <v>170</v>
      </c>
      <c r="F57" s="501">
        <v>300000</v>
      </c>
    </row>
    <row r="58" spans="1:6">
      <c r="A58" s="308">
        <v>43465</v>
      </c>
      <c r="B58" s="309" t="s">
        <v>494</v>
      </c>
      <c r="C58" s="309" t="s">
        <v>494</v>
      </c>
      <c r="D58" s="136" t="str">
        <f t="array" ref="D58">IF(E58=0,0,(INDEX(AccountCodes[ACCOUNT NAME],MATCH(E58,AccountCodes[NGAS CODE],0))))</f>
        <v>Honoraria</v>
      </c>
      <c r="E58" s="309" t="s">
        <v>173</v>
      </c>
      <c r="F58" s="501">
        <v>400000</v>
      </c>
    </row>
    <row r="59" spans="1:6">
      <c r="A59" s="308">
        <v>43131</v>
      </c>
      <c r="B59" s="309" t="s">
        <v>494</v>
      </c>
      <c r="C59" s="309" t="s">
        <v>494</v>
      </c>
      <c r="D59" s="136" t="str">
        <f t="array" ref="D59">IF(E59=0,0,(INDEX(AccountCodes[ACCOUNT NAME],MATCH(E59,AccountCodes[NGAS CODE],0))))</f>
        <v>Other Bonuses and Allowances - Children Allowance</v>
      </c>
      <c r="E59" s="309" t="s">
        <v>7</v>
      </c>
      <c r="F59" s="501">
        <v>870</v>
      </c>
    </row>
    <row r="60" spans="1:6">
      <c r="A60" s="308">
        <v>43159</v>
      </c>
      <c r="B60" s="309" t="s">
        <v>494</v>
      </c>
      <c r="C60" s="309" t="s">
        <v>494</v>
      </c>
      <c r="D60" s="136" t="str">
        <f t="array" ref="D60">IF(E60=0,0,(INDEX(AccountCodes[ACCOUNT NAME],MATCH(E60,AccountCodes[NGAS CODE],0))))</f>
        <v>Other Bonuses and Allowances - Children Allowance</v>
      </c>
      <c r="E60" s="309" t="s">
        <v>7</v>
      </c>
      <c r="F60" s="501">
        <v>870</v>
      </c>
    </row>
    <row r="61" spans="1:6">
      <c r="A61" s="308">
        <v>43190</v>
      </c>
      <c r="B61" s="309" t="s">
        <v>494</v>
      </c>
      <c r="C61" s="309" t="s">
        <v>494</v>
      </c>
      <c r="D61" s="136" t="str">
        <f t="array" ref="D61">IF(E61=0,0,(INDEX(AccountCodes[ACCOUNT NAME],MATCH(E61,AccountCodes[NGAS CODE],0))))</f>
        <v>Other Bonuses and Allowances - Children Allowance</v>
      </c>
      <c r="E61" s="309" t="s">
        <v>7</v>
      </c>
      <c r="F61" s="501">
        <v>870</v>
      </c>
    </row>
    <row r="62" spans="1:6">
      <c r="A62" s="308">
        <v>43220</v>
      </c>
      <c r="B62" s="309" t="s">
        <v>494</v>
      </c>
      <c r="C62" s="309" t="s">
        <v>494</v>
      </c>
      <c r="D62" s="136" t="str">
        <f t="array" ref="D62">IF(E62=0,0,(INDEX(AccountCodes[ACCOUNT NAME],MATCH(E62,AccountCodes[NGAS CODE],0))))</f>
        <v>Other Bonuses and Allowances - Children Allowance</v>
      </c>
      <c r="E62" s="309" t="s">
        <v>7</v>
      </c>
      <c r="F62" s="501">
        <v>870</v>
      </c>
    </row>
    <row r="63" spans="1:6">
      <c r="A63" s="308">
        <v>43251</v>
      </c>
      <c r="B63" s="309" t="s">
        <v>494</v>
      </c>
      <c r="C63" s="309" t="s">
        <v>494</v>
      </c>
      <c r="D63" s="136" t="str">
        <f t="array" ref="D63">IF(E63=0,0,(INDEX(AccountCodes[ACCOUNT NAME],MATCH(E63,AccountCodes[NGAS CODE],0))))</f>
        <v>Other Bonuses and Allowances - Children Allowance</v>
      </c>
      <c r="E63" s="309" t="s">
        <v>7</v>
      </c>
      <c r="F63" s="501">
        <v>870</v>
      </c>
    </row>
    <row r="64" spans="1:6">
      <c r="A64" s="308">
        <v>43281</v>
      </c>
      <c r="B64" s="309" t="s">
        <v>494</v>
      </c>
      <c r="C64" s="309" t="s">
        <v>494</v>
      </c>
      <c r="D64" s="136" t="str">
        <f t="array" ref="D64">IF(E64=0,0,(INDEX(AccountCodes[ACCOUNT NAME],MATCH(E64,AccountCodes[NGAS CODE],0))))</f>
        <v>Other Bonuses and Allowances - Children Allowance</v>
      </c>
      <c r="E64" s="309" t="s">
        <v>7</v>
      </c>
      <c r="F64" s="501">
        <v>870</v>
      </c>
    </row>
    <row r="65" spans="1:6">
      <c r="A65" s="308">
        <v>43312</v>
      </c>
      <c r="B65" s="309" t="s">
        <v>494</v>
      </c>
      <c r="C65" s="309" t="s">
        <v>494</v>
      </c>
      <c r="D65" s="136" t="str">
        <f t="array" ref="D65">IF(E65=0,0,(INDEX(AccountCodes[ACCOUNT NAME],MATCH(E65,AccountCodes[NGAS CODE],0))))</f>
        <v>Other Bonuses and Allowances - Children Allowance</v>
      </c>
      <c r="E65" s="309" t="s">
        <v>7</v>
      </c>
      <c r="F65" s="501">
        <v>870</v>
      </c>
    </row>
    <row r="66" spans="1:6">
      <c r="A66" s="308">
        <v>43343</v>
      </c>
      <c r="B66" s="309" t="s">
        <v>494</v>
      </c>
      <c r="C66" s="309" t="s">
        <v>494</v>
      </c>
      <c r="D66" s="136" t="str">
        <f t="array" ref="D66">IF(E66=0,0,(INDEX(AccountCodes[ACCOUNT NAME],MATCH(E66,AccountCodes[NGAS CODE],0))))</f>
        <v>Other Bonuses and Allowances - Children Allowance</v>
      </c>
      <c r="E66" s="309" t="s">
        <v>7</v>
      </c>
      <c r="F66" s="501">
        <v>870</v>
      </c>
    </row>
    <row r="67" spans="1:6">
      <c r="A67" s="308">
        <v>43373</v>
      </c>
      <c r="B67" s="309" t="s">
        <v>494</v>
      </c>
      <c r="C67" s="309" t="s">
        <v>494</v>
      </c>
      <c r="D67" s="136" t="str">
        <f t="array" ref="D67">IF(E67=0,0,(INDEX(AccountCodes[ACCOUNT NAME],MATCH(E67,AccountCodes[NGAS CODE],0))))</f>
        <v>Other Bonuses and Allowances - Children Allowance</v>
      </c>
      <c r="E67" s="309" t="s">
        <v>7</v>
      </c>
      <c r="F67" s="501">
        <v>870</v>
      </c>
    </row>
    <row r="68" spans="1:6">
      <c r="A68" s="308">
        <v>43404</v>
      </c>
      <c r="B68" s="309" t="s">
        <v>494</v>
      </c>
      <c r="C68" s="309" t="s">
        <v>494</v>
      </c>
      <c r="D68" s="136" t="str">
        <f t="array" ref="D68">IF(E68=0,0,(INDEX(AccountCodes[ACCOUNT NAME],MATCH(E68,AccountCodes[NGAS CODE],0))))</f>
        <v>Other Bonuses and Allowances - Children Allowance</v>
      </c>
      <c r="E68" s="309" t="s">
        <v>7</v>
      </c>
      <c r="F68" s="501">
        <v>870</v>
      </c>
    </row>
    <row r="69" spans="1:6">
      <c r="A69" s="308">
        <v>43434</v>
      </c>
      <c r="B69" s="309" t="s">
        <v>494</v>
      </c>
      <c r="C69" s="309" t="s">
        <v>494</v>
      </c>
      <c r="D69" s="136" t="str">
        <f t="array" ref="D69">IF(E69=0,0,(INDEX(AccountCodes[ACCOUNT NAME],MATCH(E69,AccountCodes[NGAS CODE],0))))</f>
        <v>Other Bonuses and Allowances - Children Allowance</v>
      </c>
      <c r="E69" s="309" t="s">
        <v>7</v>
      </c>
      <c r="F69" s="501">
        <v>870</v>
      </c>
    </row>
    <row r="70" spans="1:6">
      <c r="A70" s="308">
        <v>43465</v>
      </c>
      <c r="B70" s="309" t="s">
        <v>494</v>
      </c>
      <c r="C70" s="309" t="s">
        <v>494</v>
      </c>
      <c r="D70" s="136" t="str">
        <f t="array" ref="D70">IF(E70=0,0,(INDEX(AccountCodes[ACCOUNT NAME],MATCH(E70,AccountCodes[NGAS CODE],0))))</f>
        <v>Other Bonuses and Allowances - Children Allowance</v>
      </c>
      <c r="E70" s="309" t="s">
        <v>7</v>
      </c>
      <c r="F70" s="501">
        <v>870</v>
      </c>
    </row>
    <row r="71" spans="1:6">
      <c r="A71" s="308">
        <v>43131</v>
      </c>
      <c r="B71" s="309" t="s">
        <v>494</v>
      </c>
      <c r="C71" s="309" t="s">
        <v>494</v>
      </c>
      <c r="D71" s="136" t="str">
        <f t="array" ref="D71">IF(E71=0,0,(INDEX(AccountCodes[ACCOUNT NAME],MATCH(E71,AccountCodes[NGAS CODE],0))))</f>
        <v>Other Bonuses and Allowances - Medical Allowance</v>
      </c>
      <c r="E71" s="309" t="s">
        <v>5</v>
      </c>
      <c r="F71" s="501">
        <v>4800</v>
      </c>
    </row>
    <row r="72" spans="1:6">
      <c r="A72" s="308">
        <v>43159</v>
      </c>
      <c r="B72" s="309" t="s">
        <v>494</v>
      </c>
      <c r="C72" s="309" t="s">
        <v>494</v>
      </c>
      <c r="D72" s="136" t="str">
        <f t="array" ref="D72">IF(E72=0,0,(INDEX(AccountCodes[ACCOUNT NAME],MATCH(E72,AccountCodes[NGAS CODE],0))))</f>
        <v>Other Bonuses and Allowances - Medical Allowance</v>
      </c>
      <c r="E72" s="309" t="s">
        <v>5</v>
      </c>
      <c r="F72" s="501">
        <v>4800</v>
      </c>
    </row>
    <row r="73" spans="1:6">
      <c r="A73" s="308">
        <v>43190</v>
      </c>
      <c r="B73" s="309" t="s">
        <v>494</v>
      </c>
      <c r="C73" s="309" t="s">
        <v>494</v>
      </c>
      <c r="D73" s="136" t="str">
        <f t="array" ref="D73">IF(E73=0,0,(INDEX(AccountCodes[ACCOUNT NAME],MATCH(E73,AccountCodes[NGAS CODE],0))))</f>
        <v>Other Bonuses and Allowances - Medical Allowance</v>
      </c>
      <c r="E73" s="309" t="s">
        <v>5</v>
      </c>
      <c r="F73" s="501">
        <v>4800</v>
      </c>
    </row>
    <row r="74" spans="1:6">
      <c r="A74" s="308">
        <v>43220</v>
      </c>
      <c r="B74" s="309" t="s">
        <v>494</v>
      </c>
      <c r="C74" s="309" t="s">
        <v>494</v>
      </c>
      <c r="D74" s="136" t="str">
        <f t="array" ref="D74">IF(E74=0,0,(INDEX(AccountCodes[ACCOUNT NAME],MATCH(E74,AccountCodes[NGAS CODE],0))))</f>
        <v>Other Bonuses and Allowances - Medical Allowance</v>
      </c>
      <c r="E74" s="309" t="s">
        <v>5</v>
      </c>
      <c r="F74" s="501">
        <v>4800</v>
      </c>
    </row>
    <row r="75" spans="1:6">
      <c r="A75" s="308">
        <v>43251</v>
      </c>
      <c r="B75" s="309" t="s">
        <v>494</v>
      </c>
      <c r="C75" s="309" t="s">
        <v>494</v>
      </c>
      <c r="D75" s="136" t="str">
        <f t="array" ref="D75">IF(E75=0,0,(INDEX(AccountCodes[ACCOUNT NAME],MATCH(E75,AccountCodes[NGAS CODE],0))))</f>
        <v>Other Bonuses and Allowances - Medical Allowance</v>
      </c>
      <c r="E75" s="309" t="s">
        <v>5</v>
      </c>
      <c r="F75" s="501">
        <v>4800</v>
      </c>
    </row>
    <row r="76" spans="1:6">
      <c r="A76" s="308">
        <v>43281</v>
      </c>
      <c r="B76" s="309" t="s">
        <v>494</v>
      </c>
      <c r="C76" s="309" t="s">
        <v>494</v>
      </c>
      <c r="D76" s="136" t="str">
        <f t="array" ref="D76">IF(E76=0,0,(INDEX(AccountCodes[ACCOUNT NAME],MATCH(E76,AccountCodes[NGAS CODE],0))))</f>
        <v>Other Bonuses and Allowances - Medical Allowance</v>
      </c>
      <c r="E76" s="309" t="s">
        <v>5</v>
      </c>
      <c r="F76" s="501">
        <v>4800</v>
      </c>
    </row>
    <row r="77" spans="1:6">
      <c r="A77" s="308">
        <v>43312</v>
      </c>
      <c r="B77" s="309" t="s">
        <v>494</v>
      </c>
      <c r="C77" s="309" t="s">
        <v>494</v>
      </c>
      <c r="D77" s="136" t="str">
        <f t="array" ref="D77">IF(E77=0,0,(INDEX(AccountCodes[ACCOUNT NAME],MATCH(E77,AccountCodes[NGAS CODE],0))))</f>
        <v>Other Bonuses and Allowances - Medical Allowance</v>
      </c>
      <c r="E77" s="309" t="s">
        <v>5</v>
      </c>
      <c r="F77" s="501">
        <v>4800</v>
      </c>
    </row>
    <row r="78" spans="1:6">
      <c r="A78" s="308">
        <v>43343</v>
      </c>
      <c r="B78" s="309" t="s">
        <v>494</v>
      </c>
      <c r="C78" s="309" t="s">
        <v>494</v>
      </c>
      <c r="D78" s="136" t="str">
        <f t="array" ref="D78">IF(E78=0,0,(INDEX(AccountCodes[ACCOUNT NAME],MATCH(E78,AccountCodes[NGAS CODE],0))))</f>
        <v>Other Bonuses and Allowances - Medical Allowance</v>
      </c>
      <c r="E78" s="309" t="s">
        <v>5</v>
      </c>
      <c r="F78" s="501">
        <v>4800</v>
      </c>
    </row>
    <row r="79" spans="1:6">
      <c r="A79" s="308">
        <v>43373</v>
      </c>
      <c r="B79" s="309" t="s">
        <v>494</v>
      </c>
      <c r="C79" s="309" t="s">
        <v>494</v>
      </c>
      <c r="D79" s="136" t="str">
        <f t="array" ref="D79">IF(E79=0,0,(INDEX(AccountCodes[ACCOUNT NAME],MATCH(E79,AccountCodes[NGAS CODE],0))))</f>
        <v>Other Bonuses and Allowances - Medical Allowance</v>
      </c>
      <c r="E79" s="309" t="s">
        <v>5</v>
      </c>
      <c r="F79" s="501">
        <v>4800</v>
      </c>
    </row>
    <row r="80" spans="1:6">
      <c r="A80" s="308">
        <v>43404</v>
      </c>
      <c r="B80" s="309" t="s">
        <v>494</v>
      </c>
      <c r="C80" s="309" t="s">
        <v>494</v>
      </c>
      <c r="D80" s="136" t="str">
        <f t="array" ref="D80">IF(E80=0,0,(INDEX(AccountCodes[ACCOUNT NAME],MATCH(E80,AccountCodes[NGAS CODE],0))))</f>
        <v>Other Bonuses and Allowances - Medical Allowance</v>
      </c>
      <c r="E80" s="309" t="s">
        <v>5</v>
      </c>
      <c r="F80" s="501">
        <v>4800</v>
      </c>
    </row>
    <row r="81" spans="1:6">
      <c r="A81" s="308">
        <v>43434</v>
      </c>
      <c r="B81" s="309" t="s">
        <v>494</v>
      </c>
      <c r="C81" s="309" t="s">
        <v>494</v>
      </c>
      <c r="D81" s="136" t="str">
        <f t="array" ref="D81">IF(E81=0,0,(INDEX(AccountCodes[ACCOUNT NAME],MATCH(E81,AccountCodes[NGAS CODE],0))))</f>
        <v>Other Bonuses and Allowances - Medical Allowance</v>
      </c>
      <c r="E81" s="309" t="s">
        <v>5</v>
      </c>
      <c r="F81" s="501">
        <v>4800</v>
      </c>
    </row>
    <row r="82" spans="1:6">
      <c r="A82" s="308">
        <v>43465</v>
      </c>
      <c r="B82" s="309" t="s">
        <v>494</v>
      </c>
      <c r="C82" s="309" t="s">
        <v>494</v>
      </c>
      <c r="D82" s="136" t="str">
        <f t="array" ref="D82">IF(E82=0,0,(INDEX(AccountCodes[ACCOUNT NAME],MATCH(E82,AccountCodes[NGAS CODE],0))))</f>
        <v>Other Bonuses and Allowances - Medical Allowance</v>
      </c>
      <c r="E82" s="309" t="s">
        <v>5</v>
      </c>
      <c r="F82" s="501">
        <v>4800</v>
      </c>
    </row>
    <row r="83" spans="1:6">
      <c r="A83" s="308">
        <v>43131</v>
      </c>
      <c r="B83" s="309" t="s">
        <v>494</v>
      </c>
      <c r="C83" s="309" t="s">
        <v>494</v>
      </c>
      <c r="D83" s="136" t="str">
        <f t="array" ref="D83">IF(E83=0,0,(INDEX(AccountCodes[ACCOUNT NAME],MATCH(E83,AccountCodes[NGAS CODE],0))))</f>
        <v>Other Bonuses and Allowances - Meal Allowance</v>
      </c>
      <c r="E83" s="309" t="s">
        <v>6</v>
      </c>
      <c r="F83" s="501">
        <v>1584</v>
      </c>
    </row>
    <row r="84" spans="1:6">
      <c r="A84" s="308">
        <v>43159</v>
      </c>
      <c r="B84" s="309" t="s">
        <v>494</v>
      </c>
      <c r="C84" s="309" t="s">
        <v>494</v>
      </c>
      <c r="D84" s="136" t="str">
        <f t="array" ref="D84">IF(E84=0,0,(INDEX(AccountCodes[ACCOUNT NAME],MATCH(E84,AccountCodes[NGAS CODE],0))))</f>
        <v>Other Bonuses and Allowances - Meal Allowance</v>
      </c>
      <c r="E84" s="309" t="s">
        <v>6</v>
      </c>
      <c r="F84" s="501">
        <v>1584</v>
      </c>
    </row>
    <row r="85" spans="1:6">
      <c r="A85" s="308">
        <v>43190</v>
      </c>
      <c r="B85" s="309" t="s">
        <v>494</v>
      </c>
      <c r="C85" s="309" t="s">
        <v>494</v>
      </c>
      <c r="D85" s="136" t="str">
        <f t="array" ref="D85">IF(E85=0,0,(INDEX(AccountCodes[ACCOUNT NAME],MATCH(E85,AccountCodes[NGAS CODE],0))))</f>
        <v>Other Bonuses and Allowances - Meal Allowance</v>
      </c>
      <c r="E85" s="309" t="s">
        <v>6</v>
      </c>
      <c r="F85" s="501">
        <v>1584</v>
      </c>
    </row>
    <row r="86" spans="1:6">
      <c r="A86" s="308">
        <v>43220</v>
      </c>
      <c r="B86" s="309" t="s">
        <v>494</v>
      </c>
      <c r="C86" s="309" t="s">
        <v>494</v>
      </c>
      <c r="D86" s="136" t="str">
        <f t="array" ref="D86">IF(E86=0,0,(INDEX(AccountCodes[ACCOUNT NAME],MATCH(E86,AccountCodes[NGAS CODE],0))))</f>
        <v>Other Bonuses and Allowances - Meal Allowance</v>
      </c>
      <c r="E86" s="309" t="s">
        <v>6</v>
      </c>
      <c r="F86" s="501">
        <v>1584</v>
      </c>
    </row>
    <row r="87" spans="1:6">
      <c r="A87" s="308">
        <v>43251</v>
      </c>
      <c r="B87" s="309" t="s">
        <v>494</v>
      </c>
      <c r="C87" s="309" t="s">
        <v>494</v>
      </c>
      <c r="D87" s="136" t="str">
        <f t="array" ref="D87">IF(E87=0,0,(INDEX(AccountCodes[ACCOUNT NAME],MATCH(E87,AccountCodes[NGAS CODE],0))))</f>
        <v>Other Bonuses and Allowances - Meal Allowance</v>
      </c>
      <c r="E87" s="309" t="s">
        <v>6</v>
      </c>
      <c r="F87" s="501">
        <v>1584</v>
      </c>
    </row>
    <row r="88" spans="1:6">
      <c r="A88" s="308">
        <v>43281</v>
      </c>
      <c r="B88" s="309" t="s">
        <v>494</v>
      </c>
      <c r="C88" s="309" t="s">
        <v>494</v>
      </c>
      <c r="D88" s="136" t="str">
        <f t="array" ref="D88">IF(E88=0,0,(INDEX(AccountCodes[ACCOUNT NAME],MATCH(E88,AccountCodes[NGAS CODE],0))))</f>
        <v>Other Bonuses and Allowances - Meal Allowance</v>
      </c>
      <c r="E88" s="309" t="s">
        <v>6</v>
      </c>
      <c r="F88" s="501">
        <v>1584</v>
      </c>
    </row>
    <row r="89" spans="1:6">
      <c r="A89" s="308">
        <v>43312</v>
      </c>
      <c r="B89" s="309" t="s">
        <v>494</v>
      </c>
      <c r="C89" s="309" t="s">
        <v>494</v>
      </c>
      <c r="D89" s="136" t="str">
        <f t="array" ref="D89">IF(E89=0,0,(INDEX(AccountCodes[ACCOUNT NAME],MATCH(E89,AccountCodes[NGAS CODE],0))))</f>
        <v>Other Bonuses and Allowances - Meal Allowance</v>
      </c>
      <c r="E89" s="309" t="s">
        <v>6</v>
      </c>
      <c r="F89" s="501">
        <v>1584</v>
      </c>
    </row>
    <row r="90" spans="1:6">
      <c r="A90" s="308">
        <v>43343</v>
      </c>
      <c r="B90" s="309" t="s">
        <v>494</v>
      </c>
      <c r="C90" s="309" t="s">
        <v>494</v>
      </c>
      <c r="D90" s="136" t="str">
        <f t="array" ref="D90">IF(E90=0,0,(INDEX(AccountCodes[ACCOUNT NAME],MATCH(E90,AccountCodes[NGAS CODE],0))))</f>
        <v>Other Bonuses and Allowances - Meal Allowance</v>
      </c>
      <c r="E90" s="309" t="s">
        <v>6</v>
      </c>
      <c r="F90" s="501">
        <v>1584</v>
      </c>
    </row>
    <row r="91" spans="1:6">
      <c r="A91" s="308">
        <v>43373</v>
      </c>
      <c r="B91" s="309" t="s">
        <v>494</v>
      </c>
      <c r="C91" s="309" t="s">
        <v>494</v>
      </c>
      <c r="D91" s="136" t="str">
        <f t="array" ref="D91">IF(E91=0,0,(INDEX(AccountCodes[ACCOUNT NAME],MATCH(E91,AccountCodes[NGAS CODE],0))))</f>
        <v>Other Bonuses and Allowances - Meal Allowance</v>
      </c>
      <c r="E91" s="309" t="s">
        <v>6</v>
      </c>
      <c r="F91" s="501">
        <v>1584</v>
      </c>
    </row>
    <row r="92" spans="1:6">
      <c r="A92" s="308">
        <v>43404</v>
      </c>
      <c r="B92" s="309" t="s">
        <v>494</v>
      </c>
      <c r="C92" s="309" t="s">
        <v>494</v>
      </c>
      <c r="D92" s="136" t="str">
        <f t="array" ref="D92">IF(E92=0,0,(INDEX(AccountCodes[ACCOUNT NAME],MATCH(E92,AccountCodes[NGAS CODE],0))))</f>
        <v>Other Bonuses and Allowances - Meal Allowance</v>
      </c>
      <c r="E92" s="309" t="s">
        <v>6</v>
      </c>
      <c r="F92" s="501">
        <v>1584</v>
      </c>
    </row>
    <row r="93" spans="1:6">
      <c r="A93" s="308">
        <v>43434</v>
      </c>
      <c r="B93" s="309" t="s">
        <v>494</v>
      </c>
      <c r="C93" s="309" t="s">
        <v>494</v>
      </c>
      <c r="D93" s="136" t="str">
        <f t="array" ref="D93">IF(E93=0,0,(INDEX(AccountCodes[ACCOUNT NAME],MATCH(E93,AccountCodes[NGAS CODE],0))))</f>
        <v>Other Bonuses and Allowances - Meal Allowance</v>
      </c>
      <c r="E93" s="309" t="s">
        <v>6</v>
      </c>
      <c r="F93" s="501">
        <v>1584</v>
      </c>
    </row>
    <row r="94" spans="1:6">
      <c r="A94" s="308">
        <v>43465</v>
      </c>
      <c r="B94" s="309" t="s">
        <v>494</v>
      </c>
      <c r="C94" s="309" t="s">
        <v>494</v>
      </c>
      <c r="D94" s="136" t="str">
        <f t="array" ref="D94">IF(E94=0,0,(INDEX(AccountCodes[ACCOUNT NAME],MATCH(E94,AccountCodes[NGAS CODE],0))))</f>
        <v>Other Bonuses and Allowances - Meal Allowance</v>
      </c>
      <c r="E94" s="309" t="s">
        <v>6</v>
      </c>
      <c r="F94" s="501">
        <v>1584</v>
      </c>
    </row>
    <row r="95" spans="1:6">
      <c r="A95" s="308">
        <v>43465</v>
      </c>
      <c r="B95" s="309" t="s">
        <v>494</v>
      </c>
      <c r="C95" s="309" t="s">
        <v>494</v>
      </c>
      <c r="D95" s="136" t="str">
        <f t="array" ref="D95">IF(E95=0,0,(INDEX(AccountCodes[ACCOUNT NAME],MATCH(E95,AccountCodes[NGAS CODE],0))))</f>
        <v>Cash Gift</v>
      </c>
      <c r="E95" s="309" t="s">
        <v>172</v>
      </c>
      <c r="F95" s="501">
        <v>300000</v>
      </c>
    </row>
    <row r="96" spans="1:6">
      <c r="A96" s="308">
        <v>43251</v>
      </c>
      <c r="B96" s="309" t="s">
        <v>494</v>
      </c>
      <c r="C96" s="309" t="s">
        <v>494</v>
      </c>
      <c r="D96" s="136" t="str">
        <f t="array" ref="D96">IF(E96=0,0,(INDEX(AccountCodes[ACCOUNT NAME],MATCH(E96,AccountCodes[NGAS CODE],0))))</f>
        <v>Mid-Year/Year End Bonus</v>
      </c>
      <c r="E96" s="309" t="s">
        <v>174</v>
      </c>
      <c r="F96" s="501">
        <v>1735720</v>
      </c>
    </row>
    <row r="97" spans="1:6">
      <c r="A97" s="308">
        <v>43434</v>
      </c>
      <c r="B97" s="309" t="s">
        <v>494</v>
      </c>
      <c r="C97" s="309" t="s">
        <v>494</v>
      </c>
      <c r="D97" s="136" t="str">
        <f t="array" ref="D97">IF(E97=0,0,(INDEX(AccountCodes[ACCOUNT NAME],MATCH(E97,AccountCodes[NGAS CODE],0))))</f>
        <v>Mid-Year/Year End Bonus</v>
      </c>
      <c r="E97" s="309" t="s">
        <v>174</v>
      </c>
      <c r="F97" s="501">
        <v>1735720</v>
      </c>
    </row>
    <row r="98" spans="1:6">
      <c r="A98" s="308">
        <v>43465</v>
      </c>
      <c r="B98" s="309" t="s">
        <v>494</v>
      </c>
      <c r="C98" s="309" t="s">
        <v>494</v>
      </c>
      <c r="D98" s="136" t="str">
        <f t="array" ref="D98">IF(E98=0,0,(INDEX(AccountCodes[ACCOUNT NAME],MATCH(E98,AccountCodes[NGAS CODE],0))))</f>
        <v>Other Bonuses and Allowances - Collective Negotiation Agreement Incentive-Civilian</v>
      </c>
      <c r="E98" s="309" t="s">
        <v>168</v>
      </c>
      <c r="F98" s="501">
        <v>1500000</v>
      </c>
    </row>
    <row r="99" spans="1:6">
      <c r="A99" s="308">
        <v>43131</v>
      </c>
      <c r="B99" s="309" t="s">
        <v>494</v>
      </c>
      <c r="C99" s="309" t="s">
        <v>494</v>
      </c>
      <c r="D99" s="136" t="str">
        <f t="array" ref="D99">IF(E99=0,0,(INDEX(AccountCodes[ACCOUNT NAME],MATCH(E99,AccountCodes[NGAS CODE],0))))</f>
        <v>Retirement and Life Insurance Premiums</v>
      </c>
      <c r="E99" s="309" t="s">
        <v>175</v>
      </c>
      <c r="F99" s="501">
        <v>208286.4</v>
      </c>
    </row>
    <row r="100" spans="1:6">
      <c r="A100" s="308">
        <v>43159</v>
      </c>
      <c r="B100" s="309" t="s">
        <v>494</v>
      </c>
      <c r="C100" s="309" t="s">
        <v>494</v>
      </c>
      <c r="D100" s="136" t="str">
        <f t="array" ref="D100">IF(E100=0,0,(INDEX(AccountCodes[ACCOUNT NAME],MATCH(E100,AccountCodes[NGAS CODE],0))))</f>
        <v>Retirement and Life Insurance Premiums</v>
      </c>
      <c r="E100" s="309" t="s">
        <v>175</v>
      </c>
      <c r="F100" s="501">
        <v>208286.4</v>
      </c>
    </row>
    <row r="101" spans="1:6">
      <c r="A101" s="308">
        <v>43190</v>
      </c>
      <c r="B101" s="309" t="s">
        <v>494</v>
      </c>
      <c r="C101" s="309" t="s">
        <v>494</v>
      </c>
      <c r="D101" s="136" t="str">
        <f t="array" ref="D101">IF(E101=0,0,(INDEX(AccountCodes[ACCOUNT NAME],MATCH(E101,AccountCodes[NGAS CODE],0))))</f>
        <v>Retirement and Life Insurance Premiums</v>
      </c>
      <c r="E101" s="309" t="s">
        <v>175</v>
      </c>
      <c r="F101" s="501">
        <v>208286.4</v>
      </c>
    </row>
    <row r="102" spans="1:6">
      <c r="A102" s="308">
        <v>43220</v>
      </c>
      <c r="B102" s="309" t="s">
        <v>494</v>
      </c>
      <c r="C102" s="309" t="s">
        <v>494</v>
      </c>
      <c r="D102" s="136" t="str">
        <f t="array" ref="D102">IF(E102=0,0,(INDEX(AccountCodes[ACCOUNT NAME],MATCH(E102,AccountCodes[NGAS CODE],0))))</f>
        <v>Retirement and Life Insurance Premiums</v>
      </c>
      <c r="E102" s="309" t="s">
        <v>175</v>
      </c>
      <c r="F102" s="501">
        <v>208286.4</v>
      </c>
    </row>
    <row r="103" spans="1:6">
      <c r="A103" s="308">
        <v>43251</v>
      </c>
      <c r="B103" s="309" t="s">
        <v>494</v>
      </c>
      <c r="C103" s="309" t="s">
        <v>494</v>
      </c>
      <c r="D103" s="136" t="str">
        <f t="array" ref="D103">IF(E103=0,0,(INDEX(AccountCodes[ACCOUNT NAME],MATCH(E103,AccountCodes[NGAS CODE],0))))</f>
        <v>Retirement and Life Insurance Premiums</v>
      </c>
      <c r="E103" s="309" t="s">
        <v>175</v>
      </c>
      <c r="F103" s="501">
        <v>208286.4</v>
      </c>
    </row>
    <row r="104" spans="1:6">
      <c r="A104" s="308">
        <v>43281</v>
      </c>
      <c r="B104" s="309" t="s">
        <v>494</v>
      </c>
      <c r="C104" s="309" t="s">
        <v>494</v>
      </c>
      <c r="D104" s="136" t="str">
        <f t="array" ref="D104">IF(E104=0,0,(INDEX(AccountCodes[ACCOUNT NAME],MATCH(E104,AccountCodes[NGAS CODE],0))))</f>
        <v>Retirement and Life Insurance Premiums</v>
      </c>
      <c r="E104" s="309" t="s">
        <v>175</v>
      </c>
      <c r="F104" s="501">
        <v>208286.4</v>
      </c>
    </row>
    <row r="105" spans="1:6">
      <c r="A105" s="308">
        <v>43312</v>
      </c>
      <c r="B105" s="309" t="s">
        <v>494</v>
      </c>
      <c r="C105" s="309" t="s">
        <v>494</v>
      </c>
      <c r="D105" s="136" t="str">
        <f t="array" ref="D105">IF(E105=0,0,(INDEX(AccountCodes[ACCOUNT NAME],MATCH(E105,AccountCodes[NGAS CODE],0))))</f>
        <v>Retirement and Life Insurance Premiums</v>
      </c>
      <c r="E105" s="309" t="s">
        <v>175</v>
      </c>
      <c r="F105" s="501">
        <v>208286.4</v>
      </c>
    </row>
    <row r="106" spans="1:6">
      <c r="A106" s="308">
        <v>43343</v>
      </c>
      <c r="B106" s="309" t="s">
        <v>494</v>
      </c>
      <c r="C106" s="309" t="s">
        <v>494</v>
      </c>
      <c r="D106" s="136" t="str">
        <f t="array" ref="D106">IF(E106=0,0,(INDEX(AccountCodes[ACCOUNT NAME],MATCH(E106,AccountCodes[NGAS CODE],0))))</f>
        <v>Retirement and Life Insurance Premiums</v>
      </c>
      <c r="E106" s="309" t="s">
        <v>175</v>
      </c>
      <c r="F106" s="501">
        <v>208286.4</v>
      </c>
    </row>
    <row r="107" spans="1:6">
      <c r="A107" s="308">
        <v>43373</v>
      </c>
      <c r="B107" s="309" t="s">
        <v>494</v>
      </c>
      <c r="C107" s="309" t="s">
        <v>494</v>
      </c>
      <c r="D107" s="136" t="str">
        <f t="array" ref="D107">IF(E107=0,0,(INDEX(AccountCodes[ACCOUNT NAME],MATCH(E107,AccountCodes[NGAS CODE],0))))</f>
        <v>Retirement and Life Insurance Premiums</v>
      </c>
      <c r="E107" s="309" t="s">
        <v>175</v>
      </c>
      <c r="F107" s="501">
        <v>208286.4</v>
      </c>
    </row>
    <row r="108" spans="1:6">
      <c r="A108" s="308">
        <v>43404</v>
      </c>
      <c r="B108" s="309" t="s">
        <v>494</v>
      </c>
      <c r="C108" s="309" t="s">
        <v>494</v>
      </c>
      <c r="D108" s="136" t="str">
        <f t="array" ref="D108">IF(E108=0,0,(INDEX(AccountCodes[ACCOUNT NAME],MATCH(E108,AccountCodes[NGAS CODE],0))))</f>
        <v>Retirement and Life Insurance Premiums</v>
      </c>
      <c r="E108" s="309" t="s">
        <v>175</v>
      </c>
      <c r="F108" s="501">
        <v>208286.4</v>
      </c>
    </row>
    <row r="109" spans="1:6">
      <c r="A109" s="308">
        <v>43434</v>
      </c>
      <c r="B109" s="309" t="s">
        <v>494</v>
      </c>
      <c r="C109" s="309" t="s">
        <v>494</v>
      </c>
      <c r="D109" s="136" t="str">
        <f t="array" ref="D109">IF(E109=0,0,(INDEX(AccountCodes[ACCOUNT NAME],MATCH(E109,AccountCodes[NGAS CODE],0))))</f>
        <v>Retirement and Life Insurance Premiums</v>
      </c>
      <c r="E109" s="309" t="s">
        <v>175</v>
      </c>
      <c r="F109" s="501">
        <v>208286.4</v>
      </c>
    </row>
    <row r="110" spans="1:6">
      <c r="A110" s="308">
        <v>43465</v>
      </c>
      <c r="B110" s="309" t="s">
        <v>494</v>
      </c>
      <c r="C110" s="309" t="s">
        <v>494</v>
      </c>
      <c r="D110" s="136" t="str">
        <f t="array" ref="D110">IF(E110=0,0,(INDEX(AccountCodes[ACCOUNT NAME],MATCH(E110,AccountCodes[NGAS CODE],0))))</f>
        <v>Retirement and Life Insurance Premiums</v>
      </c>
      <c r="E110" s="309" t="s">
        <v>175</v>
      </c>
      <c r="F110" s="501">
        <v>208286.4</v>
      </c>
    </row>
    <row r="111" spans="1:6">
      <c r="A111" s="308">
        <v>43131</v>
      </c>
      <c r="B111" s="309" t="s">
        <v>494</v>
      </c>
      <c r="C111" s="309" t="s">
        <v>494</v>
      </c>
      <c r="D111" s="136" t="str">
        <f t="array" ref="D111">IF(E111=0,0,(INDEX(AccountCodes[ACCOUNT NAME],MATCH(E111,AccountCodes[NGAS CODE],0))))</f>
        <v>Pag-IBIG Contributions</v>
      </c>
      <c r="E111" s="309" t="s">
        <v>176</v>
      </c>
      <c r="F111" s="501">
        <v>6000</v>
      </c>
    </row>
    <row r="112" spans="1:6">
      <c r="A112" s="308">
        <v>43159</v>
      </c>
      <c r="B112" s="309" t="s">
        <v>494</v>
      </c>
      <c r="C112" s="309" t="s">
        <v>494</v>
      </c>
      <c r="D112" s="136" t="str">
        <f t="array" ref="D112">IF(E112=0,0,(INDEX(AccountCodes[ACCOUNT NAME],MATCH(E112,AccountCodes[NGAS CODE],0))))</f>
        <v>Pag-IBIG Contributions</v>
      </c>
      <c r="E112" s="309" t="s">
        <v>176</v>
      </c>
      <c r="F112" s="501">
        <v>6000</v>
      </c>
    </row>
    <row r="113" spans="1:6">
      <c r="A113" s="308">
        <v>43190</v>
      </c>
      <c r="B113" s="309" t="s">
        <v>494</v>
      </c>
      <c r="C113" s="309" t="s">
        <v>494</v>
      </c>
      <c r="D113" s="136" t="str">
        <f t="array" ref="D113">IF(E113=0,0,(INDEX(AccountCodes[ACCOUNT NAME],MATCH(E113,AccountCodes[NGAS CODE],0))))</f>
        <v>Pag-IBIG Contributions</v>
      </c>
      <c r="E113" s="309" t="s">
        <v>176</v>
      </c>
      <c r="F113" s="501">
        <v>6000</v>
      </c>
    </row>
    <row r="114" spans="1:6">
      <c r="A114" s="308">
        <v>43220</v>
      </c>
      <c r="B114" s="309" t="s">
        <v>494</v>
      </c>
      <c r="C114" s="309" t="s">
        <v>494</v>
      </c>
      <c r="D114" s="136" t="str">
        <f t="array" ref="D114">IF(E114=0,0,(INDEX(AccountCodes[ACCOUNT NAME],MATCH(E114,AccountCodes[NGAS CODE],0))))</f>
        <v>Pag-IBIG Contributions</v>
      </c>
      <c r="E114" s="309" t="s">
        <v>176</v>
      </c>
      <c r="F114" s="501">
        <v>6000</v>
      </c>
    </row>
    <row r="115" spans="1:6">
      <c r="A115" s="308">
        <v>43251</v>
      </c>
      <c r="B115" s="309" t="s">
        <v>494</v>
      </c>
      <c r="C115" s="309" t="s">
        <v>494</v>
      </c>
      <c r="D115" s="136" t="str">
        <f t="array" ref="D115">IF(E115=0,0,(INDEX(AccountCodes[ACCOUNT NAME],MATCH(E115,AccountCodes[NGAS CODE],0))))</f>
        <v>Pag-IBIG Contributions</v>
      </c>
      <c r="E115" s="309" t="s">
        <v>176</v>
      </c>
      <c r="F115" s="501">
        <v>6000</v>
      </c>
    </row>
    <row r="116" spans="1:6">
      <c r="A116" s="308">
        <v>43281</v>
      </c>
      <c r="B116" s="309" t="s">
        <v>494</v>
      </c>
      <c r="C116" s="309" t="s">
        <v>494</v>
      </c>
      <c r="D116" s="136" t="str">
        <f t="array" ref="D116">IF(E116=0,0,(INDEX(AccountCodes[ACCOUNT NAME],MATCH(E116,AccountCodes[NGAS CODE],0))))</f>
        <v>Pag-IBIG Contributions</v>
      </c>
      <c r="E116" s="309" t="s">
        <v>176</v>
      </c>
      <c r="F116" s="501">
        <v>6000</v>
      </c>
    </row>
    <row r="117" spans="1:6">
      <c r="A117" s="308">
        <v>43312</v>
      </c>
      <c r="B117" s="309" t="s">
        <v>494</v>
      </c>
      <c r="C117" s="309" t="s">
        <v>494</v>
      </c>
      <c r="D117" s="136" t="str">
        <f t="array" ref="D117">IF(E117=0,0,(INDEX(AccountCodes[ACCOUNT NAME],MATCH(E117,AccountCodes[NGAS CODE],0))))</f>
        <v>Pag-IBIG Contributions</v>
      </c>
      <c r="E117" s="309" t="s">
        <v>176</v>
      </c>
      <c r="F117" s="501">
        <v>6000</v>
      </c>
    </row>
    <row r="118" spans="1:6">
      <c r="A118" s="308">
        <v>43343</v>
      </c>
      <c r="B118" s="309" t="s">
        <v>494</v>
      </c>
      <c r="C118" s="309" t="s">
        <v>494</v>
      </c>
      <c r="D118" s="136" t="str">
        <f t="array" ref="D118">IF(E118=0,0,(INDEX(AccountCodes[ACCOUNT NAME],MATCH(E118,AccountCodes[NGAS CODE],0))))</f>
        <v>Pag-IBIG Contributions</v>
      </c>
      <c r="E118" s="309" t="s">
        <v>176</v>
      </c>
      <c r="F118" s="501">
        <v>6000</v>
      </c>
    </row>
    <row r="119" spans="1:6">
      <c r="A119" s="308">
        <v>43373</v>
      </c>
      <c r="B119" s="309" t="s">
        <v>494</v>
      </c>
      <c r="C119" s="309" t="s">
        <v>494</v>
      </c>
      <c r="D119" s="136" t="str">
        <f t="array" ref="D119">IF(E119=0,0,(INDEX(AccountCodes[ACCOUNT NAME],MATCH(E119,AccountCodes[NGAS CODE],0))))</f>
        <v>Pag-IBIG Contributions</v>
      </c>
      <c r="E119" s="309" t="s">
        <v>176</v>
      </c>
      <c r="F119" s="501">
        <v>6000</v>
      </c>
    </row>
    <row r="120" spans="1:6">
      <c r="A120" s="308">
        <v>43404</v>
      </c>
      <c r="B120" s="309" t="s">
        <v>494</v>
      </c>
      <c r="C120" s="309" t="s">
        <v>494</v>
      </c>
      <c r="D120" s="136" t="str">
        <f t="array" ref="D120">IF(E120=0,0,(INDEX(AccountCodes[ACCOUNT NAME],MATCH(E120,AccountCodes[NGAS CODE],0))))</f>
        <v>Pag-IBIG Contributions</v>
      </c>
      <c r="E120" s="309" t="s">
        <v>176</v>
      </c>
      <c r="F120" s="501">
        <v>6000</v>
      </c>
    </row>
    <row r="121" spans="1:6">
      <c r="A121" s="308">
        <v>43434</v>
      </c>
      <c r="B121" s="309" t="s">
        <v>494</v>
      </c>
      <c r="C121" s="309" t="s">
        <v>494</v>
      </c>
      <c r="D121" s="136" t="str">
        <f t="array" ref="D121">IF(E121=0,0,(INDEX(AccountCodes[ACCOUNT NAME],MATCH(E121,AccountCodes[NGAS CODE],0))))</f>
        <v>Pag-IBIG Contributions</v>
      </c>
      <c r="E121" s="309" t="s">
        <v>176</v>
      </c>
      <c r="F121" s="501">
        <v>6000</v>
      </c>
    </row>
    <row r="122" spans="1:6">
      <c r="A122" s="308">
        <v>43465</v>
      </c>
      <c r="B122" s="309" t="s">
        <v>494</v>
      </c>
      <c r="C122" s="309" t="s">
        <v>494</v>
      </c>
      <c r="D122" s="136" t="str">
        <f t="array" ref="D122">IF(E122=0,0,(INDEX(AccountCodes[ACCOUNT NAME],MATCH(E122,AccountCodes[NGAS CODE],0))))</f>
        <v>Pag-IBIG Contributions</v>
      </c>
      <c r="E122" s="309" t="s">
        <v>176</v>
      </c>
      <c r="F122" s="501">
        <v>6000</v>
      </c>
    </row>
    <row r="123" spans="1:6">
      <c r="A123" s="308">
        <v>43131</v>
      </c>
      <c r="B123" s="309" t="s">
        <v>494</v>
      </c>
      <c r="C123" s="309" t="s">
        <v>494</v>
      </c>
      <c r="D123" s="136" t="str">
        <f t="array" ref="D123">IF(E123=0,0,(INDEX(AccountCodes[ACCOUNT NAME],MATCH(E123,AccountCodes[NGAS CODE],0))))</f>
        <v>PhilHealth Contributions</v>
      </c>
      <c r="E123" s="309" t="s">
        <v>177</v>
      </c>
      <c r="F123" s="501">
        <v>21544.11</v>
      </c>
    </row>
    <row r="124" spans="1:6">
      <c r="A124" s="308">
        <v>43159</v>
      </c>
      <c r="B124" s="309" t="s">
        <v>494</v>
      </c>
      <c r="C124" s="309" t="s">
        <v>494</v>
      </c>
      <c r="D124" s="136" t="str">
        <f t="array" ref="D124">IF(E124=0,0,(INDEX(AccountCodes[ACCOUNT NAME],MATCH(E124,AccountCodes[NGAS CODE],0))))</f>
        <v>PhilHealth Contributions</v>
      </c>
      <c r="E124" s="309" t="s">
        <v>177</v>
      </c>
      <c r="F124" s="501">
        <v>21544.11</v>
      </c>
    </row>
    <row r="125" spans="1:6">
      <c r="A125" s="308">
        <v>43190</v>
      </c>
      <c r="B125" s="309" t="s">
        <v>494</v>
      </c>
      <c r="C125" s="309" t="s">
        <v>494</v>
      </c>
      <c r="D125" s="136" t="str">
        <f t="array" ref="D125">IF(E125=0,0,(INDEX(AccountCodes[ACCOUNT NAME],MATCH(E125,AccountCodes[NGAS CODE],0))))</f>
        <v>PhilHealth Contributions</v>
      </c>
      <c r="E125" s="309" t="s">
        <v>177</v>
      </c>
      <c r="F125" s="501">
        <v>21544.11</v>
      </c>
    </row>
    <row r="126" spans="1:6">
      <c r="A126" s="308">
        <v>43220</v>
      </c>
      <c r="B126" s="309" t="s">
        <v>494</v>
      </c>
      <c r="C126" s="309" t="s">
        <v>494</v>
      </c>
      <c r="D126" s="136" t="str">
        <f t="array" ref="D126">IF(E126=0,0,(INDEX(AccountCodes[ACCOUNT NAME],MATCH(E126,AccountCodes[NGAS CODE],0))))</f>
        <v>PhilHealth Contributions</v>
      </c>
      <c r="E126" s="309" t="s">
        <v>177</v>
      </c>
      <c r="F126" s="501">
        <v>21544.11</v>
      </c>
    </row>
    <row r="127" spans="1:6">
      <c r="A127" s="308">
        <v>43251</v>
      </c>
      <c r="B127" s="309" t="s">
        <v>494</v>
      </c>
      <c r="C127" s="309" t="s">
        <v>494</v>
      </c>
      <c r="D127" s="136" t="str">
        <f t="array" ref="D127">IF(E127=0,0,(INDEX(AccountCodes[ACCOUNT NAME],MATCH(E127,AccountCodes[NGAS CODE],0))))</f>
        <v>PhilHealth Contributions</v>
      </c>
      <c r="E127" s="309" t="s">
        <v>177</v>
      </c>
      <c r="F127" s="501">
        <v>21544.11</v>
      </c>
    </row>
    <row r="128" spans="1:6">
      <c r="A128" s="308">
        <v>43281</v>
      </c>
      <c r="B128" s="309" t="s">
        <v>494</v>
      </c>
      <c r="C128" s="309" t="s">
        <v>494</v>
      </c>
      <c r="D128" s="136" t="str">
        <f t="array" ref="D128">IF(E128=0,0,(INDEX(AccountCodes[ACCOUNT NAME],MATCH(E128,AccountCodes[NGAS CODE],0))))</f>
        <v>PhilHealth Contributions</v>
      </c>
      <c r="E128" s="309" t="s">
        <v>177</v>
      </c>
      <c r="F128" s="501">
        <v>21544.11</v>
      </c>
    </row>
    <row r="129" spans="1:6">
      <c r="A129" s="308">
        <v>43312</v>
      </c>
      <c r="B129" s="309" t="s">
        <v>494</v>
      </c>
      <c r="C129" s="309" t="s">
        <v>494</v>
      </c>
      <c r="D129" s="136" t="str">
        <f t="array" ref="D129">IF(E129=0,0,(INDEX(AccountCodes[ACCOUNT NAME],MATCH(E129,AccountCodes[NGAS CODE],0))))</f>
        <v>PhilHealth Contributions</v>
      </c>
      <c r="E129" s="309" t="s">
        <v>177</v>
      </c>
      <c r="F129" s="501">
        <v>21544.11</v>
      </c>
    </row>
    <row r="130" spans="1:6">
      <c r="A130" s="308">
        <v>43343</v>
      </c>
      <c r="B130" s="309" t="s">
        <v>494</v>
      </c>
      <c r="C130" s="309" t="s">
        <v>494</v>
      </c>
      <c r="D130" s="136" t="str">
        <f t="array" ref="D130">IF(E130=0,0,(INDEX(AccountCodes[ACCOUNT NAME],MATCH(E130,AccountCodes[NGAS CODE],0))))</f>
        <v>PhilHealth Contributions</v>
      </c>
      <c r="E130" s="309" t="s">
        <v>177</v>
      </c>
      <c r="F130" s="501">
        <v>21544.11</v>
      </c>
    </row>
    <row r="131" spans="1:6">
      <c r="A131" s="308">
        <v>43373</v>
      </c>
      <c r="B131" s="309" t="s">
        <v>494</v>
      </c>
      <c r="C131" s="309" t="s">
        <v>494</v>
      </c>
      <c r="D131" s="136" t="str">
        <f t="array" ref="D131">IF(E131=0,0,(INDEX(AccountCodes[ACCOUNT NAME],MATCH(E131,AccountCodes[NGAS CODE],0))))</f>
        <v>PhilHealth Contributions</v>
      </c>
      <c r="E131" s="309" t="s">
        <v>177</v>
      </c>
      <c r="F131" s="501">
        <v>21544.11</v>
      </c>
    </row>
    <row r="132" spans="1:6">
      <c r="A132" s="308">
        <v>43404</v>
      </c>
      <c r="B132" s="309" t="s">
        <v>494</v>
      </c>
      <c r="C132" s="309" t="s">
        <v>494</v>
      </c>
      <c r="D132" s="136" t="str">
        <f t="array" ref="D132">IF(E132=0,0,(INDEX(AccountCodes[ACCOUNT NAME],MATCH(E132,AccountCodes[NGAS CODE],0))))</f>
        <v>PhilHealth Contributions</v>
      </c>
      <c r="E132" s="309" t="s">
        <v>177</v>
      </c>
      <c r="F132" s="501">
        <v>21544.11</v>
      </c>
    </row>
    <row r="133" spans="1:6">
      <c r="A133" s="308">
        <v>43434</v>
      </c>
      <c r="B133" s="309" t="s">
        <v>494</v>
      </c>
      <c r="C133" s="309" t="s">
        <v>494</v>
      </c>
      <c r="D133" s="136" t="str">
        <f t="array" ref="D133">IF(E133=0,0,(INDEX(AccountCodes[ACCOUNT NAME],MATCH(E133,AccountCodes[NGAS CODE],0))))</f>
        <v>PhilHealth Contributions</v>
      </c>
      <c r="E133" s="309" t="s">
        <v>177</v>
      </c>
      <c r="F133" s="501">
        <v>21544.11</v>
      </c>
    </row>
    <row r="134" spans="1:6">
      <c r="A134" s="308">
        <v>43465</v>
      </c>
      <c r="B134" s="309" t="s">
        <v>494</v>
      </c>
      <c r="C134" s="309" t="s">
        <v>494</v>
      </c>
      <c r="D134" s="136" t="str">
        <f t="array" ref="D134">IF(E134=0,0,(INDEX(AccountCodes[ACCOUNT NAME],MATCH(E134,AccountCodes[NGAS CODE],0))))</f>
        <v>PhilHealth Contributions</v>
      </c>
      <c r="E134" s="309" t="s">
        <v>177</v>
      </c>
      <c r="F134" s="501">
        <v>21544.11</v>
      </c>
    </row>
    <row r="135" spans="1:6">
      <c r="A135" s="308">
        <v>43131</v>
      </c>
      <c r="B135" s="309" t="s">
        <v>494</v>
      </c>
      <c r="C135" s="309" t="s">
        <v>494</v>
      </c>
      <c r="D135" s="136" t="str">
        <f t="array" ref="D135">IF(E135=0,0,(INDEX(AccountCodes[ACCOUNT NAME],MATCH(E135,AccountCodes[NGAS CODE],0))))</f>
        <v>Employees Compensation Insurance Premiums</v>
      </c>
      <c r="E135" s="309" t="s">
        <v>178</v>
      </c>
      <c r="F135" s="501">
        <v>6000</v>
      </c>
    </row>
    <row r="136" spans="1:6">
      <c r="A136" s="308">
        <v>43159</v>
      </c>
      <c r="B136" s="309" t="s">
        <v>494</v>
      </c>
      <c r="C136" s="309" t="s">
        <v>494</v>
      </c>
      <c r="D136" s="136" t="str">
        <f t="array" ref="D136">IF(E136=0,0,(INDEX(AccountCodes[ACCOUNT NAME],MATCH(E136,AccountCodes[NGAS CODE],0))))</f>
        <v>Employees Compensation Insurance Premiums</v>
      </c>
      <c r="E136" s="309" t="s">
        <v>178</v>
      </c>
      <c r="F136" s="501">
        <v>6000</v>
      </c>
    </row>
    <row r="137" spans="1:6">
      <c r="A137" s="308">
        <v>43190</v>
      </c>
      <c r="B137" s="309" t="s">
        <v>494</v>
      </c>
      <c r="C137" s="309" t="s">
        <v>494</v>
      </c>
      <c r="D137" s="136" t="str">
        <f t="array" ref="D137">IF(E137=0,0,(INDEX(AccountCodes[ACCOUNT NAME],MATCH(E137,AccountCodes[NGAS CODE],0))))</f>
        <v>Employees Compensation Insurance Premiums</v>
      </c>
      <c r="E137" s="309" t="s">
        <v>178</v>
      </c>
      <c r="F137" s="501">
        <v>6000</v>
      </c>
    </row>
    <row r="138" spans="1:6">
      <c r="A138" s="308">
        <v>43220</v>
      </c>
      <c r="B138" s="309" t="s">
        <v>494</v>
      </c>
      <c r="C138" s="309" t="s">
        <v>494</v>
      </c>
      <c r="D138" s="136" t="str">
        <f t="array" ref="D138">IF(E138=0,0,(INDEX(AccountCodes[ACCOUNT NAME],MATCH(E138,AccountCodes[NGAS CODE],0))))</f>
        <v>Employees Compensation Insurance Premiums</v>
      </c>
      <c r="E138" s="309" t="s">
        <v>178</v>
      </c>
      <c r="F138" s="501">
        <v>6000</v>
      </c>
    </row>
    <row r="139" spans="1:6">
      <c r="A139" s="308">
        <v>43251</v>
      </c>
      <c r="B139" s="309" t="s">
        <v>494</v>
      </c>
      <c r="C139" s="309" t="s">
        <v>494</v>
      </c>
      <c r="D139" s="136" t="str">
        <f t="array" ref="D139">IF(E139=0,0,(INDEX(AccountCodes[ACCOUNT NAME],MATCH(E139,AccountCodes[NGAS CODE],0))))</f>
        <v>Employees Compensation Insurance Premiums</v>
      </c>
      <c r="E139" s="309" t="s">
        <v>178</v>
      </c>
      <c r="F139" s="501">
        <v>6000</v>
      </c>
    </row>
    <row r="140" spans="1:6">
      <c r="A140" s="308">
        <v>43281</v>
      </c>
      <c r="B140" s="309" t="s">
        <v>494</v>
      </c>
      <c r="C140" s="309" t="s">
        <v>494</v>
      </c>
      <c r="D140" s="136" t="str">
        <f t="array" ref="D140">IF(E140=0,0,(INDEX(AccountCodes[ACCOUNT NAME],MATCH(E140,AccountCodes[NGAS CODE],0))))</f>
        <v>Employees Compensation Insurance Premiums</v>
      </c>
      <c r="E140" s="309" t="s">
        <v>178</v>
      </c>
      <c r="F140" s="501">
        <v>6000</v>
      </c>
    </row>
    <row r="141" spans="1:6">
      <c r="A141" s="308">
        <v>43312</v>
      </c>
      <c r="B141" s="309" t="s">
        <v>494</v>
      </c>
      <c r="C141" s="309" t="s">
        <v>494</v>
      </c>
      <c r="D141" s="136" t="str">
        <f t="array" ref="D141">IF(E141=0,0,(INDEX(AccountCodes[ACCOUNT NAME],MATCH(E141,AccountCodes[NGAS CODE],0))))</f>
        <v>Employees Compensation Insurance Premiums</v>
      </c>
      <c r="E141" s="309" t="s">
        <v>178</v>
      </c>
      <c r="F141" s="501">
        <v>6000</v>
      </c>
    </row>
    <row r="142" spans="1:6">
      <c r="A142" s="308">
        <v>43343</v>
      </c>
      <c r="B142" s="309" t="s">
        <v>494</v>
      </c>
      <c r="C142" s="309" t="s">
        <v>494</v>
      </c>
      <c r="D142" s="136" t="str">
        <f t="array" ref="D142">IF(E142=0,0,(INDEX(AccountCodes[ACCOUNT NAME],MATCH(E142,AccountCodes[NGAS CODE],0))))</f>
        <v>Employees Compensation Insurance Premiums</v>
      </c>
      <c r="E142" s="309" t="s">
        <v>178</v>
      </c>
      <c r="F142" s="501">
        <v>6000</v>
      </c>
    </row>
    <row r="143" spans="1:6">
      <c r="A143" s="308">
        <v>43373</v>
      </c>
      <c r="B143" s="309" t="s">
        <v>494</v>
      </c>
      <c r="C143" s="309" t="s">
        <v>494</v>
      </c>
      <c r="D143" s="136" t="str">
        <f t="array" ref="D143">IF(E143=0,0,(INDEX(AccountCodes[ACCOUNT NAME],MATCH(E143,AccountCodes[NGAS CODE],0))))</f>
        <v>Employees Compensation Insurance Premiums</v>
      </c>
      <c r="E143" s="309" t="s">
        <v>178</v>
      </c>
      <c r="F143" s="501">
        <v>6000</v>
      </c>
    </row>
    <row r="144" spans="1:6">
      <c r="A144" s="308">
        <v>43404</v>
      </c>
      <c r="B144" s="309" t="s">
        <v>494</v>
      </c>
      <c r="C144" s="309" t="s">
        <v>494</v>
      </c>
      <c r="D144" s="136" t="str">
        <f t="array" ref="D144">IF(E144=0,0,(INDEX(AccountCodes[ACCOUNT NAME],MATCH(E144,AccountCodes[NGAS CODE],0))))</f>
        <v>Employees Compensation Insurance Premiums</v>
      </c>
      <c r="E144" s="309" t="s">
        <v>178</v>
      </c>
      <c r="F144" s="501">
        <v>6000</v>
      </c>
    </row>
    <row r="145" spans="1:6">
      <c r="A145" s="308">
        <v>43434</v>
      </c>
      <c r="B145" s="309" t="s">
        <v>494</v>
      </c>
      <c r="C145" s="309" t="s">
        <v>494</v>
      </c>
      <c r="D145" s="136" t="str">
        <f t="array" ref="D145">IF(E145=0,0,(INDEX(AccountCodes[ACCOUNT NAME],MATCH(E145,AccountCodes[NGAS CODE],0))))</f>
        <v>Employees Compensation Insurance Premiums</v>
      </c>
      <c r="E145" s="309" t="s">
        <v>178</v>
      </c>
      <c r="F145" s="501">
        <v>6000</v>
      </c>
    </row>
    <row r="146" spans="1:6">
      <c r="A146" s="308">
        <v>43465</v>
      </c>
      <c r="B146" s="309" t="s">
        <v>494</v>
      </c>
      <c r="C146" s="309" t="s">
        <v>494</v>
      </c>
      <c r="D146" s="136" t="str">
        <f t="array" ref="D146">IF(E146=0,0,(INDEX(AccountCodes[ACCOUNT NAME],MATCH(E146,AccountCodes[NGAS CODE],0))))</f>
        <v>Employees Compensation Insurance Premiums</v>
      </c>
      <c r="E146" s="309" t="s">
        <v>178</v>
      </c>
      <c r="F146" s="501">
        <v>6000</v>
      </c>
    </row>
    <row r="147" spans="1:6">
      <c r="A147" s="308">
        <v>43281</v>
      </c>
      <c r="B147" s="309" t="s">
        <v>494</v>
      </c>
      <c r="C147" s="309" t="s">
        <v>494</v>
      </c>
      <c r="D147" s="136" t="str">
        <f t="array" ref="D147">IF(E147=0,0,(INDEX(AccountCodes[ACCOUNT NAME],MATCH(E147,AccountCodes[NGAS CODE],0))))</f>
        <v>Longevity Pay</v>
      </c>
      <c r="E147" s="309" t="s">
        <v>216</v>
      </c>
      <c r="F147" s="501">
        <v>55000</v>
      </c>
    </row>
    <row r="148" spans="1:6">
      <c r="A148" s="308">
        <v>43190</v>
      </c>
      <c r="B148" s="309" t="s">
        <v>494</v>
      </c>
      <c r="C148" s="309" t="s">
        <v>494</v>
      </c>
      <c r="D148" s="136" t="str">
        <f t="array" ref="D148">IF(E148=0,0,(INDEX(AccountCodes[ACCOUNT NAME],MATCH(E148,AccountCodes[NGAS CODE],0))))</f>
        <v>Terminal Leave Benefits</v>
      </c>
      <c r="E148" s="309" t="s">
        <v>212</v>
      </c>
      <c r="F148" s="501">
        <v>348829.66</v>
      </c>
    </row>
    <row r="149" spans="1:6">
      <c r="A149" s="308">
        <v>43373</v>
      </c>
      <c r="B149" s="309" t="s">
        <v>494</v>
      </c>
      <c r="C149" s="309" t="s">
        <v>494</v>
      </c>
      <c r="D149" s="136" t="str">
        <f t="array" ref="D149">IF(E149=0,0,(INDEX(AccountCodes[ACCOUNT NAME],MATCH(E149,AccountCodes[NGAS CODE],0))))</f>
        <v>Terminal Leave Benefits</v>
      </c>
      <c r="E149" s="309" t="s">
        <v>212</v>
      </c>
      <c r="F149" s="501">
        <v>612831.96</v>
      </c>
    </row>
    <row r="150" spans="1:6">
      <c r="A150" s="308">
        <v>43465</v>
      </c>
      <c r="B150" s="309" t="s">
        <v>494</v>
      </c>
      <c r="C150" s="309" t="s">
        <v>494</v>
      </c>
      <c r="D150" s="136" t="str">
        <f t="array" ref="D150">IF(E150=0,0,(INDEX(AccountCodes[ACCOUNT NAME],MATCH(E150,AccountCodes[NGAS CODE],0))))</f>
        <v>Terminal Leave Benefits</v>
      </c>
      <c r="E150" s="309" t="s">
        <v>212</v>
      </c>
      <c r="F150" s="311">
        <v>384409.5</v>
      </c>
    </row>
    <row r="151" spans="1:6">
      <c r="A151" s="308">
        <v>43131</v>
      </c>
      <c r="B151" s="309" t="s">
        <v>494</v>
      </c>
      <c r="C151" s="309" t="s">
        <v>494</v>
      </c>
      <c r="D151" s="136" t="str">
        <f t="array" ref="D151">IF(E151=0,0,(INDEX(AccountCodes[ACCOUNT NAME],MATCH(E151,AccountCodes[NGAS CODE],0))))</f>
        <v>Traveling Expenses-Local</v>
      </c>
      <c r="E151" s="309" t="s">
        <v>223</v>
      </c>
      <c r="F151" s="501">
        <v>15000</v>
      </c>
    </row>
    <row r="152" spans="1:6">
      <c r="A152" s="308">
        <v>43159</v>
      </c>
      <c r="B152" s="309" t="s">
        <v>494</v>
      </c>
      <c r="C152" s="309" t="s">
        <v>494</v>
      </c>
      <c r="D152" s="136" t="str">
        <f t="array" ref="D152">IF(E152=0,0,(INDEX(AccountCodes[ACCOUNT NAME],MATCH(E152,AccountCodes[NGAS CODE],0))))</f>
        <v>Traveling Expenses-Local</v>
      </c>
      <c r="E152" s="309" t="s">
        <v>223</v>
      </c>
      <c r="F152" s="501">
        <v>15000</v>
      </c>
    </row>
    <row r="153" spans="1:6">
      <c r="A153" s="308">
        <v>43190</v>
      </c>
      <c r="B153" s="309" t="s">
        <v>494</v>
      </c>
      <c r="C153" s="309" t="s">
        <v>494</v>
      </c>
      <c r="D153" s="136" t="str">
        <f t="array" ref="D153">IF(E153=0,0,(INDEX(AccountCodes[ACCOUNT NAME],MATCH(E153,AccountCodes[NGAS CODE],0))))</f>
        <v>Traveling Expenses-Local</v>
      </c>
      <c r="E153" s="309" t="s">
        <v>223</v>
      </c>
      <c r="F153" s="501">
        <v>15000</v>
      </c>
    </row>
    <row r="154" spans="1:6">
      <c r="A154" s="308">
        <v>43220</v>
      </c>
      <c r="B154" s="309" t="s">
        <v>494</v>
      </c>
      <c r="C154" s="309" t="s">
        <v>494</v>
      </c>
      <c r="D154" s="136" t="str">
        <f t="array" ref="D154">IF(E154=0,0,(INDEX(AccountCodes[ACCOUNT NAME],MATCH(E154,AccountCodes[NGAS CODE],0))))</f>
        <v>Traveling Expenses-Local</v>
      </c>
      <c r="E154" s="309" t="s">
        <v>223</v>
      </c>
      <c r="F154" s="501">
        <v>15000</v>
      </c>
    </row>
    <row r="155" spans="1:6">
      <c r="A155" s="308">
        <v>43251</v>
      </c>
      <c r="B155" s="309" t="s">
        <v>494</v>
      </c>
      <c r="C155" s="309" t="s">
        <v>494</v>
      </c>
      <c r="D155" s="136" t="str">
        <f t="array" ref="D155">IF(E155=0,0,(INDEX(AccountCodes[ACCOUNT NAME],MATCH(E155,AccountCodes[NGAS CODE],0))))</f>
        <v>Traveling Expenses-Local</v>
      </c>
      <c r="E155" s="309" t="s">
        <v>223</v>
      </c>
      <c r="F155" s="501">
        <v>15000</v>
      </c>
    </row>
    <row r="156" spans="1:6">
      <c r="A156" s="308">
        <v>43281</v>
      </c>
      <c r="B156" s="309" t="s">
        <v>494</v>
      </c>
      <c r="C156" s="309" t="s">
        <v>494</v>
      </c>
      <c r="D156" s="136" t="str">
        <f t="array" ref="D156">IF(E156=0,0,(INDEX(AccountCodes[ACCOUNT NAME],MATCH(E156,AccountCodes[NGAS CODE],0))))</f>
        <v>Traveling Expenses-Local</v>
      </c>
      <c r="E156" s="309" t="s">
        <v>223</v>
      </c>
      <c r="F156" s="501">
        <v>15000</v>
      </c>
    </row>
    <row r="157" spans="1:6">
      <c r="A157" s="308">
        <v>43312</v>
      </c>
      <c r="B157" s="309" t="s">
        <v>494</v>
      </c>
      <c r="C157" s="309" t="s">
        <v>494</v>
      </c>
      <c r="D157" s="136" t="str">
        <f t="array" ref="D157">IF(E157=0,0,(INDEX(AccountCodes[ACCOUNT NAME],MATCH(E157,AccountCodes[NGAS CODE],0))))</f>
        <v>Traveling Expenses-Local</v>
      </c>
      <c r="E157" s="309" t="s">
        <v>223</v>
      </c>
      <c r="F157" s="501">
        <v>15000</v>
      </c>
    </row>
    <row r="158" spans="1:6">
      <c r="A158" s="308">
        <v>43343</v>
      </c>
      <c r="B158" s="309" t="s">
        <v>494</v>
      </c>
      <c r="C158" s="309" t="s">
        <v>494</v>
      </c>
      <c r="D158" s="136" t="str">
        <f t="array" ref="D158">IF(E158=0,0,(INDEX(AccountCodes[ACCOUNT NAME],MATCH(E158,AccountCodes[NGAS CODE],0))))</f>
        <v>Traveling Expenses-Local</v>
      </c>
      <c r="E158" s="309" t="s">
        <v>223</v>
      </c>
      <c r="F158" s="501">
        <v>15000</v>
      </c>
    </row>
    <row r="159" spans="1:6">
      <c r="A159" s="308">
        <v>43373</v>
      </c>
      <c r="B159" s="309" t="s">
        <v>494</v>
      </c>
      <c r="C159" s="309" t="s">
        <v>494</v>
      </c>
      <c r="D159" s="136" t="str">
        <f t="array" ref="D159">IF(E159=0,0,(INDEX(AccountCodes[ACCOUNT NAME],MATCH(E159,AccountCodes[NGAS CODE],0))))</f>
        <v>Traveling Expenses-Local</v>
      </c>
      <c r="E159" s="309" t="s">
        <v>223</v>
      </c>
      <c r="F159" s="501">
        <v>15000</v>
      </c>
    </row>
    <row r="160" spans="1:6">
      <c r="A160" s="308">
        <v>43404</v>
      </c>
      <c r="B160" s="309" t="s">
        <v>494</v>
      </c>
      <c r="C160" s="309" t="s">
        <v>494</v>
      </c>
      <c r="D160" s="136" t="str">
        <f t="array" ref="D160">IF(E160=0,0,(INDEX(AccountCodes[ACCOUNT NAME],MATCH(E160,AccountCodes[NGAS CODE],0))))</f>
        <v>Traveling Expenses-Local</v>
      </c>
      <c r="E160" s="309" t="s">
        <v>223</v>
      </c>
      <c r="F160" s="501">
        <v>15000</v>
      </c>
    </row>
    <row r="161" spans="1:6">
      <c r="A161" s="308">
        <v>43434</v>
      </c>
      <c r="B161" s="309" t="s">
        <v>494</v>
      </c>
      <c r="C161" s="309" t="s">
        <v>494</v>
      </c>
      <c r="D161" s="136" t="str">
        <f t="array" ref="D161">IF(E161=0,0,(INDEX(AccountCodes[ACCOUNT NAME],MATCH(E161,AccountCodes[NGAS CODE],0))))</f>
        <v>Traveling Expenses-Local</v>
      </c>
      <c r="E161" s="309" t="s">
        <v>223</v>
      </c>
      <c r="F161" s="501">
        <v>15000</v>
      </c>
    </row>
    <row r="162" spans="1:6">
      <c r="A162" s="308">
        <v>43465</v>
      </c>
      <c r="B162" s="309" t="s">
        <v>494</v>
      </c>
      <c r="C162" s="309" t="s">
        <v>494</v>
      </c>
      <c r="D162" s="136" t="str">
        <f t="array" ref="D162">IF(E162=0,0,(INDEX(AccountCodes[ACCOUNT NAME],MATCH(E162,AccountCodes[NGAS CODE],0))))</f>
        <v>Traveling Expenses-Local</v>
      </c>
      <c r="E162" s="309" t="s">
        <v>223</v>
      </c>
      <c r="F162" s="501">
        <v>15000</v>
      </c>
    </row>
    <row r="163" spans="1:6">
      <c r="A163" s="308">
        <v>43190</v>
      </c>
      <c r="B163" s="309" t="s">
        <v>494</v>
      </c>
      <c r="C163" s="309" t="s">
        <v>494</v>
      </c>
      <c r="D163" s="136" t="str">
        <f t="array" ref="D163">IF(E163=0,0,(INDEX(AccountCodes[ACCOUNT NAME],MATCH(E163,AccountCodes[NGAS CODE],0))))</f>
        <v>Training Expenses</v>
      </c>
      <c r="E163" s="309" t="s">
        <v>224</v>
      </c>
      <c r="F163" s="501">
        <v>50000</v>
      </c>
    </row>
    <row r="164" spans="1:6">
      <c r="A164" s="308">
        <v>43281</v>
      </c>
      <c r="B164" s="309" t="s">
        <v>494</v>
      </c>
      <c r="C164" s="309" t="s">
        <v>494</v>
      </c>
      <c r="D164" s="136" t="str">
        <f t="array" ref="D164">IF(E164=0,0,(INDEX(AccountCodes[ACCOUNT NAME],MATCH(E164,AccountCodes[NGAS CODE],0))))</f>
        <v>Training Expenses</v>
      </c>
      <c r="E164" s="309" t="s">
        <v>224</v>
      </c>
      <c r="F164" s="501">
        <v>50000</v>
      </c>
    </row>
    <row r="165" spans="1:6">
      <c r="A165" s="308">
        <v>43373</v>
      </c>
      <c r="B165" s="309" t="s">
        <v>494</v>
      </c>
      <c r="C165" s="309" t="s">
        <v>494</v>
      </c>
      <c r="D165" s="136" t="str">
        <f t="array" ref="D165">IF(E165=0,0,(INDEX(AccountCodes[ACCOUNT NAME],MATCH(E165,AccountCodes[NGAS CODE],0))))</f>
        <v>Training Expenses</v>
      </c>
      <c r="E165" s="309" t="s">
        <v>224</v>
      </c>
      <c r="F165" s="501">
        <v>50000</v>
      </c>
    </row>
    <row r="166" spans="1:6">
      <c r="A166" s="308">
        <v>43465</v>
      </c>
      <c r="B166" s="309" t="s">
        <v>494</v>
      </c>
      <c r="C166" s="309" t="s">
        <v>494</v>
      </c>
      <c r="D166" s="136" t="str">
        <f t="array" ref="D166">IF(E166=0,0,(INDEX(AccountCodes[ACCOUNT NAME],MATCH(E166,AccountCodes[NGAS CODE],0))))</f>
        <v>Training Expenses</v>
      </c>
      <c r="E166" s="309" t="s">
        <v>224</v>
      </c>
      <c r="F166" s="501">
        <v>53820</v>
      </c>
    </row>
    <row r="167" spans="1:6">
      <c r="A167" s="308">
        <v>43131</v>
      </c>
      <c r="B167" s="309" t="s">
        <v>494</v>
      </c>
      <c r="C167" s="309" t="s">
        <v>494</v>
      </c>
      <c r="D167" s="136" t="str">
        <f t="array" ref="D167">IF(E167=0,0,(INDEX(AccountCodes[ACCOUNT NAME],MATCH(E167,AccountCodes[NGAS CODE],0))))</f>
        <v>Office Supplies Expenses</v>
      </c>
      <c r="E167" s="309" t="s">
        <v>225</v>
      </c>
      <c r="F167" s="501">
        <v>40000</v>
      </c>
    </row>
    <row r="168" spans="1:6">
      <c r="A168" s="308">
        <v>43190</v>
      </c>
      <c r="B168" s="309" t="s">
        <v>494</v>
      </c>
      <c r="C168" s="309" t="s">
        <v>494</v>
      </c>
      <c r="D168" s="136" t="str">
        <f t="array" ref="D168">IF(E168=0,0,(INDEX(AccountCodes[ACCOUNT NAME],MATCH(E168,AccountCodes[NGAS CODE],0))))</f>
        <v>Office Supplies Expenses</v>
      </c>
      <c r="E168" s="309" t="s">
        <v>225</v>
      </c>
      <c r="F168" s="501">
        <v>40000</v>
      </c>
    </row>
    <row r="169" spans="1:6">
      <c r="A169" s="308">
        <v>43281</v>
      </c>
      <c r="B169" s="309" t="s">
        <v>494</v>
      </c>
      <c r="C169" s="309" t="s">
        <v>494</v>
      </c>
      <c r="D169" s="136" t="str">
        <f t="array" ref="D169">IF(E169=0,0,(INDEX(AccountCodes[ACCOUNT NAME],MATCH(E169,AccountCodes[NGAS CODE],0))))</f>
        <v>Office Supplies Expenses</v>
      </c>
      <c r="E169" s="309" t="s">
        <v>225</v>
      </c>
      <c r="F169" s="501">
        <v>80000</v>
      </c>
    </row>
    <row r="170" spans="1:6">
      <c r="A170" s="308">
        <v>43373</v>
      </c>
      <c r="B170" s="309" t="s">
        <v>494</v>
      </c>
      <c r="C170" s="309" t="s">
        <v>494</v>
      </c>
      <c r="D170" s="136" t="str">
        <f t="array" ref="D170">IF(E170=0,0,(INDEX(AccountCodes[ACCOUNT NAME],MATCH(E170,AccountCodes[NGAS CODE],0))))</f>
        <v>Office Supplies Expenses</v>
      </c>
      <c r="E170" s="309" t="s">
        <v>225</v>
      </c>
      <c r="F170" s="501">
        <v>80000</v>
      </c>
    </row>
    <row r="171" spans="1:6">
      <c r="A171" s="308">
        <v>43465</v>
      </c>
      <c r="B171" s="309" t="s">
        <v>494</v>
      </c>
      <c r="C171" s="309" t="s">
        <v>494</v>
      </c>
      <c r="D171" s="136" t="str">
        <f t="array" ref="D171">IF(E171=0,0,(INDEX(AccountCodes[ACCOUNT NAME],MATCH(E171,AccountCodes[NGAS CODE],0))))</f>
        <v>Office Supplies Expenses</v>
      </c>
      <c r="E171" s="309" t="s">
        <v>225</v>
      </c>
      <c r="F171" s="501">
        <v>74903</v>
      </c>
    </row>
    <row r="172" spans="1:6">
      <c r="A172" s="308">
        <v>43131</v>
      </c>
      <c r="B172" s="309" t="s">
        <v>494</v>
      </c>
      <c r="C172" s="309" t="s">
        <v>494</v>
      </c>
      <c r="D172" s="136" t="str">
        <f t="array" ref="D172">IF(E172=0,0,(INDEX(AccountCodes[ACCOUNT NAME],MATCH(E172,AccountCodes[NGAS CODE],0))))</f>
        <v>Accountable Forms Expenses</v>
      </c>
      <c r="E172" s="309" t="s">
        <v>226</v>
      </c>
      <c r="F172" s="501">
        <v>15000</v>
      </c>
    </row>
    <row r="173" spans="1:6">
      <c r="A173" s="308">
        <v>43190</v>
      </c>
      <c r="B173" s="309" t="s">
        <v>494</v>
      </c>
      <c r="C173" s="309" t="s">
        <v>494</v>
      </c>
      <c r="D173" s="136" t="str">
        <f t="array" ref="D173">IF(E173=0,0,(INDEX(AccountCodes[ACCOUNT NAME],MATCH(E173,AccountCodes[NGAS CODE],0))))</f>
        <v>Accountable Forms Expenses</v>
      </c>
      <c r="E173" s="309" t="s">
        <v>226</v>
      </c>
      <c r="F173" s="501">
        <v>10000</v>
      </c>
    </row>
    <row r="174" spans="1:6">
      <c r="A174" s="308">
        <v>43281</v>
      </c>
      <c r="B174" s="309" t="s">
        <v>494</v>
      </c>
      <c r="C174" s="309" t="s">
        <v>494</v>
      </c>
      <c r="D174" s="136" t="str">
        <f t="array" ref="D174">IF(E174=0,0,(INDEX(AccountCodes[ACCOUNT NAME],MATCH(E174,AccountCodes[NGAS CODE],0))))</f>
        <v>Accountable Forms Expenses</v>
      </c>
      <c r="E174" s="309" t="s">
        <v>226</v>
      </c>
      <c r="F174" s="501">
        <v>10000</v>
      </c>
    </row>
    <row r="175" spans="1:6">
      <c r="A175" s="308">
        <v>43373</v>
      </c>
      <c r="B175" s="309" t="s">
        <v>494</v>
      </c>
      <c r="C175" s="309" t="s">
        <v>494</v>
      </c>
      <c r="D175" s="136" t="str">
        <f t="array" ref="D175">IF(E175=0,0,(INDEX(AccountCodes[ACCOUNT NAME],MATCH(E175,AccountCodes[NGAS CODE],0))))</f>
        <v>Accountable Forms Expenses</v>
      </c>
      <c r="E175" s="309" t="s">
        <v>226</v>
      </c>
      <c r="F175" s="501">
        <v>10000</v>
      </c>
    </row>
    <row r="176" spans="1:6">
      <c r="A176" s="308">
        <v>43465</v>
      </c>
      <c r="B176" s="309" t="s">
        <v>494</v>
      </c>
      <c r="C176" s="309" t="s">
        <v>494</v>
      </c>
      <c r="D176" s="136" t="str">
        <f t="array" ref="D176">IF(E176=0,0,(INDEX(AccountCodes[ACCOUNT NAME],MATCH(E176,AccountCodes[NGAS CODE],0))))</f>
        <v>Accountable Forms Expenses</v>
      </c>
      <c r="E176" s="309" t="s">
        <v>226</v>
      </c>
      <c r="F176" s="501">
        <v>7600</v>
      </c>
    </row>
    <row r="177" spans="1:6">
      <c r="A177" s="308">
        <v>43131</v>
      </c>
      <c r="B177" s="309" t="s">
        <v>494</v>
      </c>
      <c r="C177" s="309" t="s">
        <v>494</v>
      </c>
      <c r="D177" s="136" t="str">
        <f t="array" ref="D177">IF(E177=0,0,(INDEX(AccountCodes[ACCOUNT NAME],MATCH(E177,AccountCodes[NGAS CODE],0))))</f>
        <v>Fuel, Oil and Lubricants Expenses</v>
      </c>
      <c r="E177" s="309" t="s">
        <v>229</v>
      </c>
      <c r="F177" s="501">
        <v>108375.75</v>
      </c>
    </row>
    <row r="178" spans="1:6">
      <c r="A178" s="308">
        <v>43159</v>
      </c>
      <c r="B178" s="309" t="s">
        <v>494</v>
      </c>
      <c r="C178" s="309" t="s">
        <v>494</v>
      </c>
      <c r="D178" s="136" t="str">
        <f t="array" ref="D178">IF(E178=0,0,(INDEX(AccountCodes[ACCOUNT NAME],MATCH(E178,AccountCodes[NGAS CODE],0))))</f>
        <v>Fuel, Oil and Lubricants Expenses</v>
      </c>
      <c r="E178" s="309" t="s">
        <v>229</v>
      </c>
      <c r="F178" s="501">
        <v>108375.75</v>
      </c>
    </row>
    <row r="179" spans="1:6">
      <c r="A179" s="308">
        <v>43190</v>
      </c>
      <c r="B179" s="309" t="s">
        <v>494</v>
      </c>
      <c r="C179" s="309" t="s">
        <v>494</v>
      </c>
      <c r="D179" s="136" t="str">
        <f t="array" ref="D179">IF(E179=0,0,(INDEX(AccountCodes[ACCOUNT NAME],MATCH(E179,AccountCodes[NGAS CODE],0))))</f>
        <v>Fuel, Oil and Lubricants Expenses</v>
      </c>
      <c r="E179" s="309" t="s">
        <v>229</v>
      </c>
      <c r="F179" s="501">
        <v>108375.75</v>
      </c>
    </row>
    <row r="180" spans="1:6">
      <c r="A180" s="308">
        <v>43220</v>
      </c>
      <c r="B180" s="309" t="s">
        <v>494</v>
      </c>
      <c r="C180" s="309" t="s">
        <v>494</v>
      </c>
      <c r="D180" s="136" t="str">
        <f t="array" ref="D180">IF(E180=0,0,(INDEX(AccountCodes[ACCOUNT NAME],MATCH(E180,AccountCodes[NGAS CODE],0))))</f>
        <v>Fuel, Oil and Lubricants Expenses</v>
      </c>
      <c r="E180" s="309" t="s">
        <v>229</v>
      </c>
      <c r="F180" s="501">
        <v>108375.75</v>
      </c>
    </row>
    <row r="181" spans="1:6">
      <c r="A181" s="308">
        <v>43251</v>
      </c>
      <c r="B181" s="309" t="s">
        <v>494</v>
      </c>
      <c r="C181" s="309" t="s">
        <v>494</v>
      </c>
      <c r="D181" s="136" t="str">
        <f t="array" ref="D181">IF(E181=0,0,(INDEX(AccountCodes[ACCOUNT NAME],MATCH(E181,AccountCodes[NGAS CODE],0))))</f>
        <v>Fuel, Oil and Lubricants Expenses</v>
      </c>
      <c r="E181" s="309" t="s">
        <v>229</v>
      </c>
      <c r="F181" s="501">
        <v>108375.75</v>
      </c>
    </row>
    <row r="182" spans="1:6">
      <c r="A182" s="308">
        <v>43281</v>
      </c>
      <c r="B182" s="309" t="s">
        <v>494</v>
      </c>
      <c r="C182" s="309" t="s">
        <v>494</v>
      </c>
      <c r="D182" s="136" t="str">
        <f t="array" ref="D182">IF(E182=0,0,(INDEX(AccountCodes[ACCOUNT NAME],MATCH(E182,AccountCodes[NGAS CODE],0))))</f>
        <v>Fuel, Oil and Lubricants Expenses</v>
      </c>
      <c r="E182" s="309" t="s">
        <v>229</v>
      </c>
      <c r="F182" s="501">
        <v>108375.75</v>
      </c>
    </row>
    <row r="183" spans="1:6">
      <c r="A183" s="308">
        <v>43312</v>
      </c>
      <c r="B183" s="309" t="s">
        <v>494</v>
      </c>
      <c r="C183" s="309" t="s">
        <v>494</v>
      </c>
      <c r="D183" s="136" t="str">
        <f t="array" ref="D183">IF(E183=0,0,(INDEX(AccountCodes[ACCOUNT NAME],MATCH(E183,AccountCodes[NGAS CODE],0))))</f>
        <v>Fuel, Oil and Lubricants Expenses</v>
      </c>
      <c r="E183" s="309" t="s">
        <v>229</v>
      </c>
      <c r="F183" s="501">
        <v>108375.75</v>
      </c>
    </row>
    <row r="184" spans="1:6">
      <c r="A184" s="308">
        <v>43343</v>
      </c>
      <c r="B184" s="309" t="s">
        <v>494</v>
      </c>
      <c r="C184" s="309" t="s">
        <v>494</v>
      </c>
      <c r="D184" s="136" t="str">
        <f t="array" ref="D184">IF(E184=0,0,(INDEX(AccountCodes[ACCOUNT NAME],MATCH(E184,AccountCodes[NGAS CODE],0))))</f>
        <v>Fuel, Oil and Lubricants Expenses</v>
      </c>
      <c r="E184" s="309" t="s">
        <v>229</v>
      </c>
      <c r="F184" s="501">
        <v>108375.75</v>
      </c>
    </row>
    <row r="185" spans="1:6">
      <c r="A185" s="308">
        <v>43373</v>
      </c>
      <c r="B185" s="309" t="s">
        <v>494</v>
      </c>
      <c r="C185" s="309" t="s">
        <v>494</v>
      </c>
      <c r="D185" s="136" t="str">
        <f t="array" ref="D185">IF(E185=0,0,(INDEX(AccountCodes[ACCOUNT NAME],MATCH(E185,AccountCodes[NGAS CODE],0))))</f>
        <v>Fuel, Oil and Lubricants Expenses</v>
      </c>
      <c r="E185" s="309" t="s">
        <v>229</v>
      </c>
      <c r="F185" s="501">
        <v>108375.75</v>
      </c>
    </row>
    <row r="186" spans="1:6">
      <c r="A186" s="308">
        <v>43404</v>
      </c>
      <c r="B186" s="309" t="s">
        <v>494</v>
      </c>
      <c r="C186" s="309" t="s">
        <v>494</v>
      </c>
      <c r="D186" s="136" t="str">
        <f t="array" ref="D186">IF(E186=0,0,(INDEX(AccountCodes[ACCOUNT NAME],MATCH(E186,AccountCodes[NGAS CODE],0))))</f>
        <v>Fuel, Oil and Lubricants Expenses</v>
      </c>
      <c r="E186" s="309" t="s">
        <v>229</v>
      </c>
      <c r="F186" s="501">
        <v>108375.75</v>
      </c>
    </row>
    <row r="187" spans="1:6">
      <c r="A187" s="308">
        <v>43434</v>
      </c>
      <c r="B187" s="309" t="s">
        <v>494</v>
      </c>
      <c r="C187" s="309" t="s">
        <v>494</v>
      </c>
      <c r="D187" s="136" t="str">
        <f t="array" ref="D187">IF(E187=0,0,(INDEX(AccountCodes[ACCOUNT NAME],MATCH(E187,AccountCodes[NGAS CODE],0))))</f>
        <v>Fuel, Oil and Lubricants Expenses</v>
      </c>
      <c r="E187" s="309" t="s">
        <v>229</v>
      </c>
      <c r="F187" s="501">
        <v>108375.75</v>
      </c>
    </row>
    <row r="188" spans="1:6">
      <c r="A188" s="308">
        <v>43465</v>
      </c>
      <c r="B188" s="309" t="s">
        <v>494</v>
      </c>
      <c r="C188" s="309" t="s">
        <v>494</v>
      </c>
      <c r="D188" s="136" t="str">
        <f t="array" ref="D188">IF(E188=0,0,(INDEX(AccountCodes[ACCOUNT NAME],MATCH(E188,AccountCodes[NGAS CODE],0))))</f>
        <v>Fuel, Oil and Lubricants Expenses</v>
      </c>
      <c r="E188" s="309" t="s">
        <v>229</v>
      </c>
      <c r="F188" s="501">
        <v>108375.75</v>
      </c>
    </row>
    <row r="189" spans="1:6">
      <c r="A189" s="308">
        <v>43190</v>
      </c>
      <c r="B189" s="309" t="s">
        <v>494</v>
      </c>
      <c r="C189" s="309" t="s">
        <v>494</v>
      </c>
      <c r="D189" s="136" t="str">
        <f t="array" ref="D189">IF(E189=0,0,(INDEX(AccountCodes[ACCOUNT NAME],MATCH(E189,AccountCodes[NGAS CODE],0))))</f>
        <v>Other Supplies and Materials Expenses</v>
      </c>
      <c r="E189" s="309" t="s">
        <v>231</v>
      </c>
      <c r="F189" s="501">
        <v>40000</v>
      </c>
    </row>
    <row r="190" spans="1:6">
      <c r="A190" s="308">
        <v>43281</v>
      </c>
      <c r="B190" s="309" t="s">
        <v>494</v>
      </c>
      <c r="C190" s="309" t="s">
        <v>494</v>
      </c>
      <c r="D190" s="136" t="str">
        <f t="array" ref="D190">IF(E190=0,0,(INDEX(AccountCodes[ACCOUNT NAME],MATCH(E190,AccountCodes[NGAS CODE],0))))</f>
        <v>Other Supplies and Materials Expenses</v>
      </c>
      <c r="E190" s="309" t="s">
        <v>231</v>
      </c>
      <c r="F190" s="501">
        <v>40000</v>
      </c>
    </row>
    <row r="191" spans="1:6">
      <c r="A191" s="308">
        <v>43373</v>
      </c>
      <c r="B191" s="309" t="s">
        <v>494</v>
      </c>
      <c r="C191" s="309" t="s">
        <v>494</v>
      </c>
      <c r="D191" s="136" t="str">
        <f t="array" ref="D191">IF(E191=0,0,(INDEX(AccountCodes[ACCOUNT NAME],MATCH(E191,AccountCodes[NGAS CODE],0))))</f>
        <v>Other Supplies and Materials Expenses</v>
      </c>
      <c r="E191" s="309" t="s">
        <v>231</v>
      </c>
      <c r="F191" s="501">
        <v>40000</v>
      </c>
    </row>
    <row r="192" spans="1:6">
      <c r="A192" s="308">
        <v>43465</v>
      </c>
      <c r="B192" s="309" t="s">
        <v>494</v>
      </c>
      <c r="C192" s="309" t="s">
        <v>494</v>
      </c>
      <c r="D192" s="136" t="str">
        <f t="array" ref="D192">IF(E192=0,0,(INDEX(AccountCodes[ACCOUNT NAME],MATCH(E192,AccountCodes[NGAS CODE],0))))</f>
        <v>Other Supplies and Materials Expenses</v>
      </c>
      <c r="E192" s="309" t="s">
        <v>231</v>
      </c>
      <c r="F192" s="501">
        <v>42725</v>
      </c>
    </row>
    <row r="193" spans="1:6">
      <c r="A193" s="308">
        <v>43131</v>
      </c>
      <c r="B193" s="309" t="s">
        <v>494</v>
      </c>
      <c r="C193" s="309" t="s">
        <v>494</v>
      </c>
      <c r="D193" s="136" t="str">
        <f t="array" ref="D193">IF(E193=0,0,(INDEX(AccountCodes[ACCOUNT NAME],MATCH(E193,AccountCodes[NGAS CODE],0))))</f>
        <v>Water Expenses</v>
      </c>
      <c r="E193" s="309" t="s">
        <v>232</v>
      </c>
      <c r="F193" s="501">
        <v>4889</v>
      </c>
    </row>
    <row r="194" spans="1:6">
      <c r="A194" s="308">
        <v>43159</v>
      </c>
      <c r="B194" s="309" t="s">
        <v>494</v>
      </c>
      <c r="C194" s="309" t="s">
        <v>494</v>
      </c>
      <c r="D194" s="136" t="str">
        <f t="array" ref="D194">IF(E194=0,0,(INDEX(AccountCodes[ACCOUNT NAME],MATCH(E194,AccountCodes[NGAS CODE],0))))</f>
        <v>Water Expenses</v>
      </c>
      <c r="E194" s="309" t="s">
        <v>232</v>
      </c>
      <c r="F194" s="501">
        <v>4889</v>
      </c>
    </row>
    <row r="195" spans="1:6">
      <c r="A195" s="308">
        <v>43190</v>
      </c>
      <c r="B195" s="309" t="s">
        <v>494</v>
      </c>
      <c r="C195" s="309" t="s">
        <v>494</v>
      </c>
      <c r="D195" s="136" t="str">
        <f t="array" ref="D195">IF(E195=0,0,(INDEX(AccountCodes[ACCOUNT NAME],MATCH(E195,AccountCodes[NGAS CODE],0))))</f>
        <v>Water Expenses</v>
      </c>
      <c r="E195" s="309" t="s">
        <v>232</v>
      </c>
      <c r="F195" s="501">
        <v>4889</v>
      </c>
    </row>
    <row r="196" spans="1:6">
      <c r="A196" s="308">
        <v>43220</v>
      </c>
      <c r="B196" s="309" t="s">
        <v>494</v>
      </c>
      <c r="C196" s="309" t="s">
        <v>494</v>
      </c>
      <c r="D196" s="136" t="str">
        <f t="array" ref="D196">IF(E196=0,0,(INDEX(AccountCodes[ACCOUNT NAME],MATCH(E196,AccountCodes[NGAS CODE],0))))</f>
        <v>Water Expenses</v>
      </c>
      <c r="E196" s="309" t="s">
        <v>232</v>
      </c>
      <c r="F196" s="501">
        <v>4889</v>
      </c>
    </row>
    <row r="197" spans="1:6">
      <c r="A197" s="308">
        <v>43251</v>
      </c>
      <c r="B197" s="309" t="s">
        <v>494</v>
      </c>
      <c r="C197" s="309" t="s">
        <v>494</v>
      </c>
      <c r="D197" s="136" t="str">
        <f t="array" ref="D197">IF(E197=0,0,(INDEX(AccountCodes[ACCOUNT NAME],MATCH(E197,AccountCodes[NGAS CODE],0))))</f>
        <v>Water Expenses</v>
      </c>
      <c r="E197" s="309" t="s">
        <v>232</v>
      </c>
      <c r="F197" s="501">
        <v>4889</v>
      </c>
    </row>
    <row r="198" spans="1:6">
      <c r="A198" s="308">
        <v>43281</v>
      </c>
      <c r="B198" s="309" t="s">
        <v>494</v>
      </c>
      <c r="C198" s="309" t="s">
        <v>494</v>
      </c>
      <c r="D198" s="136" t="str">
        <f t="array" ref="D198">IF(E198=0,0,(INDEX(AccountCodes[ACCOUNT NAME],MATCH(E198,AccountCodes[NGAS CODE],0))))</f>
        <v>Water Expenses</v>
      </c>
      <c r="E198" s="309" t="s">
        <v>232</v>
      </c>
      <c r="F198" s="501">
        <v>4889</v>
      </c>
    </row>
    <row r="199" spans="1:6">
      <c r="A199" s="308">
        <v>43312</v>
      </c>
      <c r="B199" s="309" t="s">
        <v>494</v>
      </c>
      <c r="C199" s="309" t="s">
        <v>494</v>
      </c>
      <c r="D199" s="136" t="str">
        <f t="array" ref="D199">IF(E199=0,0,(INDEX(AccountCodes[ACCOUNT NAME],MATCH(E199,AccountCodes[NGAS CODE],0))))</f>
        <v>Water Expenses</v>
      </c>
      <c r="E199" s="309" t="s">
        <v>232</v>
      </c>
      <c r="F199" s="501">
        <v>4889</v>
      </c>
    </row>
    <row r="200" spans="1:6">
      <c r="A200" s="308">
        <v>43343</v>
      </c>
      <c r="B200" s="309" t="s">
        <v>494</v>
      </c>
      <c r="C200" s="309" t="s">
        <v>494</v>
      </c>
      <c r="D200" s="136" t="str">
        <f t="array" ref="D200">IF(E200=0,0,(INDEX(AccountCodes[ACCOUNT NAME],MATCH(E200,AccountCodes[NGAS CODE],0))))</f>
        <v>Water Expenses</v>
      </c>
      <c r="E200" s="309" t="s">
        <v>232</v>
      </c>
      <c r="F200" s="501">
        <v>4889</v>
      </c>
    </row>
    <row r="201" spans="1:6">
      <c r="A201" s="308">
        <v>43373</v>
      </c>
      <c r="B201" s="309" t="s">
        <v>494</v>
      </c>
      <c r="C201" s="309" t="s">
        <v>494</v>
      </c>
      <c r="D201" s="136" t="str">
        <f t="array" ref="D201">IF(E201=0,0,(INDEX(AccountCodes[ACCOUNT NAME],MATCH(E201,AccountCodes[NGAS CODE],0))))</f>
        <v>Water Expenses</v>
      </c>
      <c r="E201" s="309" t="s">
        <v>232</v>
      </c>
      <c r="F201" s="501">
        <v>4889</v>
      </c>
    </row>
    <row r="202" spans="1:6">
      <c r="A202" s="308">
        <v>43404</v>
      </c>
      <c r="B202" s="309" t="s">
        <v>494</v>
      </c>
      <c r="C202" s="309" t="s">
        <v>494</v>
      </c>
      <c r="D202" s="136" t="str">
        <f t="array" ref="D202">IF(E202=0,0,(INDEX(AccountCodes[ACCOUNT NAME],MATCH(E202,AccountCodes[NGAS CODE],0))))</f>
        <v>Water Expenses</v>
      </c>
      <c r="E202" s="309" t="s">
        <v>232</v>
      </c>
      <c r="F202" s="501">
        <v>4889</v>
      </c>
    </row>
    <row r="203" spans="1:6">
      <c r="A203" s="308">
        <v>43434</v>
      </c>
      <c r="B203" s="309" t="s">
        <v>494</v>
      </c>
      <c r="C203" s="309" t="s">
        <v>494</v>
      </c>
      <c r="D203" s="136" t="str">
        <f t="array" ref="D203">IF(E203=0,0,(INDEX(AccountCodes[ACCOUNT NAME],MATCH(E203,AccountCodes[NGAS CODE],0))))</f>
        <v>Water Expenses</v>
      </c>
      <c r="E203" s="309" t="s">
        <v>232</v>
      </c>
      <c r="F203" s="501">
        <v>4889</v>
      </c>
    </row>
    <row r="204" spans="1:6">
      <c r="A204" s="308">
        <v>43465</v>
      </c>
      <c r="B204" s="309" t="s">
        <v>494</v>
      </c>
      <c r="C204" s="309" t="s">
        <v>494</v>
      </c>
      <c r="D204" s="136" t="str">
        <f t="array" ref="D204">IF(E204=0,0,(INDEX(AccountCodes[ACCOUNT NAME],MATCH(E204,AccountCodes[NGAS CODE],0))))</f>
        <v>Water Expenses</v>
      </c>
      <c r="E204" s="309" t="s">
        <v>232</v>
      </c>
      <c r="F204" s="501">
        <v>4889</v>
      </c>
    </row>
    <row r="205" spans="1:6">
      <c r="A205" s="308">
        <v>43131</v>
      </c>
      <c r="B205" s="309" t="s">
        <v>494</v>
      </c>
      <c r="C205" s="309" t="s">
        <v>494</v>
      </c>
      <c r="D205" s="136" t="str">
        <f t="array" ref="D205">IF(E205=0,0,(INDEX(AccountCodes[ACCOUNT NAME],MATCH(E205,AccountCodes[NGAS CODE],0))))</f>
        <v>Electricity Expenses</v>
      </c>
      <c r="E205" s="309" t="s">
        <v>233</v>
      </c>
      <c r="F205" s="501">
        <v>83333.33</v>
      </c>
    </row>
    <row r="206" spans="1:6">
      <c r="A206" s="308">
        <v>43159</v>
      </c>
      <c r="B206" s="309" t="s">
        <v>494</v>
      </c>
      <c r="C206" s="309" t="s">
        <v>494</v>
      </c>
      <c r="D206" s="136" t="str">
        <f t="array" ref="D206">IF(E206=0,0,(INDEX(AccountCodes[ACCOUNT NAME],MATCH(E206,AccountCodes[NGAS CODE],0))))</f>
        <v>Electricity Expenses</v>
      </c>
      <c r="E206" s="309" t="s">
        <v>233</v>
      </c>
      <c r="F206" s="501">
        <v>83333.33</v>
      </c>
    </row>
    <row r="207" spans="1:6">
      <c r="A207" s="308">
        <v>43190</v>
      </c>
      <c r="B207" s="309" t="s">
        <v>494</v>
      </c>
      <c r="C207" s="309" t="s">
        <v>494</v>
      </c>
      <c r="D207" s="136" t="str">
        <f t="array" ref="D207">IF(E207=0,0,(INDEX(AccountCodes[ACCOUNT NAME],MATCH(E207,AccountCodes[NGAS CODE],0))))</f>
        <v>Electricity Expenses</v>
      </c>
      <c r="E207" s="309" t="s">
        <v>233</v>
      </c>
      <c r="F207" s="501">
        <v>83333.33</v>
      </c>
    </row>
    <row r="208" spans="1:6">
      <c r="A208" s="308">
        <v>43220</v>
      </c>
      <c r="B208" s="309" t="s">
        <v>494</v>
      </c>
      <c r="C208" s="309" t="s">
        <v>494</v>
      </c>
      <c r="D208" s="136" t="str">
        <f t="array" ref="D208">IF(E208=0,0,(INDEX(AccountCodes[ACCOUNT NAME],MATCH(E208,AccountCodes[NGAS CODE],0))))</f>
        <v>Electricity Expenses</v>
      </c>
      <c r="E208" s="309" t="s">
        <v>233</v>
      </c>
      <c r="F208" s="501">
        <v>83333.33</v>
      </c>
    </row>
    <row r="209" spans="1:6">
      <c r="A209" s="308">
        <v>43251</v>
      </c>
      <c r="B209" s="309" t="s">
        <v>494</v>
      </c>
      <c r="C209" s="309" t="s">
        <v>494</v>
      </c>
      <c r="D209" s="136" t="str">
        <f t="array" ref="D209">IF(E209=0,0,(INDEX(AccountCodes[ACCOUNT NAME],MATCH(E209,AccountCodes[NGAS CODE],0))))</f>
        <v>Electricity Expenses</v>
      </c>
      <c r="E209" s="309" t="s">
        <v>233</v>
      </c>
      <c r="F209" s="501">
        <v>83333.33</v>
      </c>
    </row>
    <row r="210" spans="1:6">
      <c r="A210" s="308">
        <v>43281</v>
      </c>
      <c r="B210" s="309" t="s">
        <v>494</v>
      </c>
      <c r="C210" s="309" t="s">
        <v>494</v>
      </c>
      <c r="D210" s="136" t="str">
        <f t="array" ref="D210">IF(E210=0,0,(INDEX(AccountCodes[ACCOUNT NAME],MATCH(E210,AccountCodes[NGAS CODE],0))))</f>
        <v>Electricity Expenses</v>
      </c>
      <c r="E210" s="309" t="s">
        <v>233</v>
      </c>
      <c r="F210" s="501">
        <v>83333.33</v>
      </c>
    </row>
    <row r="211" spans="1:6">
      <c r="A211" s="308">
        <v>43312</v>
      </c>
      <c r="B211" s="309" t="s">
        <v>494</v>
      </c>
      <c r="C211" s="309" t="s">
        <v>494</v>
      </c>
      <c r="D211" s="136" t="str">
        <f t="array" ref="D211">IF(E211=0,0,(INDEX(AccountCodes[ACCOUNT NAME],MATCH(E211,AccountCodes[NGAS CODE],0))))</f>
        <v>Electricity Expenses</v>
      </c>
      <c r="E211" s="309" t="s">
        <v>233</v>
      </c>
      <c r="F211" s="501">
        <v>83333.33</v>
      </c>
    </row>
    <row r="212" spans="1:6">
      <c r="A212" s="308">
        <v>43343</v>
      </c>
      <c r="B212" s="309" t="s">
        <v>494</v>
      </c>
      <c r="C212" s="309" t="s">
        <v>494</v>
      </c>
      <c r="D212" s="136" t="str">
        <f t="array" ref="D212">IF(E212=0,0,(INDEX(AccountCodes[ACCOUNT NAME],MATCH(E212,AccountCodes[NGAS CODE],0))))</f>
        <v>Electricity Expenses</v>
      </c>
      <c r="E212" s="309" t="s">
        <v>233</v>
      </c>
      <c r="F212" s="501">
        <v>83333.33</v>
      </c>
    </row>
    <row r="213" spans="1:6">
      <c r="A213" s="308">
        <v>43373</v>
      </c>
      <c r="B213" s="309" t="s">
        <v>494</v>
      </c>
      <c r="C213" s="309" t="s">
        <v>494</v>
      </c>
      <c r="D213" s="136" t="str">
        <f t="array" ref="D213">IF(E213=0,0,(INDEX(AccountCodes[ACCOUNT NAME],MATCH(E213,AccountCodes[NGAS CODE],0))))</f>
        <v>Electricity Expenses</v>
      </c>
      <c r="E213" s="309" t="s">
        <v>233</v>
      </c>
      <c r="F213" s="501">
        <v>83333.33</v>
      </c>
    </row>
    <row r="214" spans="1:6">
      <c r="A214" s="308">
        <v>43404</v>
      </c>
      <c r="B214" s="309" t="s">
        <v>494</v>
      </c>
      <c r="C214" s="309" t="s">
        <v>494</v>
      </c>
      <c r="D214" s="136" t="str">
        <f t="array" ref="D214">IF(E214=0,0,(INDEX(AccountCodes[ACCOUNT NAME],MATCH(E214,AccountCodes[NGAS CODE],0))))</f>
        <v>Electricity Expenses</v>
      </c>
      <c r="E214" s="309" t="s">
        <v>233</v>
      </c>
      <c r="F214" s="501">
        <v>83333.33</v>
      </c>
    </row>
    <row r="215" spans="1:6">
      <c r="A215" s="308">
        <v>43434</v>
      </c>
      <c r="B215" s="309" t="s">
        <v>494</v>
      </c>
      <c r="C215" s="309" t="s">
        <v>494</v>
      </c>
      <c r="D215" s="136" t="str">
        <f t="array" ref="D215">IF(E215=0,0,(INDEX(AccountCodes[ACCOUNT NAME],MATCH(E215,AccountCodes[NGAS CODE],0))))</f>
        <v>Electricity Expenses</v>
      </c>
      <c r="E215" s="309" t="s">
        <v>233</v>
      </c>
      <c r="F215" s="501">
        <v>83333.33</v>
      </c>
    </row>
    <row r="216" spans="1:6">
      <c r="A216" s="308">
        <v>43465</v>
      </c>
      <c r="B216" s="309" t="s">
        <v>494</v>
      </c>
      <c r="C216" s="309" t="s">
        <v>494</v>
      </c>
      <c r="D216" s="136" t="str">
        <f t="array" ref="D216">IF(E216=0,0,(INDEX(AccountCodes[ACCOUNT NAME],MATCH(E216,AccountCodes[NGAS CODE],0))))</f>
        <v>Electricity Expenses</v>
      </c>
      <c r="E216" s="309" t="s">
        <v>233</v>
      </c>
      <c r="F216" s="501">
        <v>83333.33</v>
      </c>
    </row>
    <row r="217" spans="1:6">
      <c r="A217" s="308">
        <v>43131</v>
      </c>
      <c r="B217" s="309" t="s">
        <v>494</v>
      </c>
      <c r="C217" s="309" t="s">
        <v>494</v>
      </c>
      <c r="D217" s="136" t="str">
        <f t="array" ref="D217">IF(E217=0,0,(INDEX(AccountCodes[ACCOUNT NAME],MATCH(E217,AccountCodes[NGAS CODE],0))))</f>
        <v>Telephone Expenses - Landline</v>
      </c>
      <c r="E217" s="309" t="s">
        <v>235</v>
      </c>
      <c r="F217" s="501">
        <v>22684.5</v>
      </c>
    </row>
    <row r="218" spans="1:6">
      <c r="A218" s="308">
        <v>43159</v>
      </c>
      <c r="B218" s="309" t="s">
        <v>494</v>
      </c>
      <c r="C218" s="309" t="s">
        <v>494</v>
      </c>
      <c r="D218" s="136" t="str">
        <f t="array" ref="D218">IF(E218=0,0,(INDEX(AccountCodes[ACCOUNT NAME],MATCH(E218,AccountCodes[NGAS CODE],0))))</f>
        <v>Telephone Expenses - Landline</v>
      </c>
      <c r="E218" s="309" t="s">
        <v>235</v>
      </c>
      <c r="F218" s="501">
        <v>22684.5</v>
      </c>
    </row>
    <row r="219" spans="1:6">
      <c r="A219" s="308">
        <v>43190</v>
      </c>
      <c r="B219" s="309" t="s">
        <v>494</v>
      </c>
      <c r="C219" s="309" t="s">
        <v>494</v>
      </c>
      <c r="D219" s="136" t="str">
        <f t="array" ref="D219">IF(E219=0,0,(INDEX(AccountCodes[ACCOUNT NAME],MATCH(E219,AccountCodes[NGAS CODE],0))))</f>
        <v>Telephone Expenses - Landline</v>
      </c>
      <c r="E219" s="309" t="s">
        <v>235</v>
      </c>
      <c r="F219" s="501">
        <v>22684.5</v>
      </c>
    </row>
    <row r="220" spans="1:6">
      <c r="A220" s="308">
        <v>43220</v>
      </c>
      <c r="B220" s="309" t="s">
        <v>494</v>
      </c>
      <c r="C220" s="309" t="s">
        <v>494</v>
      </c>
      <c r="D220" s="136" t="str">
        <f t="array" ref="D220">IF(E220=0,0,(INDEX(AccountCodes[ACCOUNT NAME],MATCH(E220,AccountCodes[NGAS CODE],0))))</f>
        <v>Telephone Expenses - Landline</v>
      </c>
      <c r="E220" s="309" t="s">
        <v>235</v>
      </c>
      <c r="F220" s="501">
        <v>22684.5</v>
      </c>
    </row>
    <row r="221" spans="1:6">
      <c r="A221" s="308">
        <v>43251</v>
      </c>
      <c r="B221" s="309" t="s">
        <v>494</v>
      </c>
      <c r="C221" s="309" t="s">
        <v>494</v>
      </c>
      <c r="D221" s="136" t="str">
        <f t="array" ref="D221">IF(E221=0,0,(INDEX(AccountCodes[ACCOUNT NAME],MATCH(E221,AccountCodes[NGAS CODE],0))))</f>
        <v>Telephone Expenses - Landline</v>
      </c>
      <c r="E221" s="309" t="s">
        <v>235</v>
      </c>
      <c r="F221" s="501">
        <v>22684.5</v>
      </c>
    </row>
    <row r="222" spans="1:6">
      <c r="A222" s="308">
        <v>43281</v>
      </c>
      <c r="B222" s="309" t="s">
        <v>494</v>
      </c>
      <c r="C222" s="309" t="s">
        <v>494</v>
      </c>
      <c r="D222" s="136" t="str">
        <f t="array" ref="D222">IF(E222=0,0,(INDEX(AccountCodes[ACCOUNT NAME],MATCH(E222,AccountCodes[NGAS CODE],0))))</f>
        <v>Telephone Expenses - Landline</v>
      </c>
      <c r="E222" s="309" t="s">
        <v>235</v>
      </c>
      <c r="F222" s="501">
        <v>22684.5</v>
      </c>
    </row>
    <row r="223" spans="1:6">
      <c r="A223" s="308">
        <v>43312</v>
      </c>
      <c r="B223" s="309" t="s">
        <v>494</v>
      </c>
      <c r="C223" s="309" t="s">
        <v>494</v>
      </c>
      <c r="D223" s="136" t="str">
        <f t="array" ref="D223">IF(E223=0,0,(INDEX(AccountCodes[ACCOUNT NAME],MATCH(E223,AccountCodes[NGAS CODE],0))))</f>
        <v>Telephone Expenses - Landline</v>
      </c>
      <c r="E223" s="309" t="s">
        <v>235</v>
      </c>
      <c r="F223" s="501">
        <v>22684.5</v>
      </c>
    </row>
    <row r="224" spans="1:6">
      <c r="A224" s="308">
        <v>43343</v>
      </c>
      <c r="B224" s="309" t="s">
        <v>494</v>
      </c>
      <c r="C224" s="309" t="s">
        <v>494</v>
      </c>
      <c r="D224" s="136" t="str">
        <f t="array" ref="D224">IF(E224=0,0,(INDEX(AccountCodes[ACCOUNT NAME],MATCH(E224,AccountCodes[NGAS CODE],0))))</f>
        <v>Telephone Expenses - Landline</v>
      </c>
      <c r="E224" s="309" t="s">
        <v>235</v>
      </c>
      <c r="F224" s="501">
        <v>22684.5</v>
      </c>
    </row>
    <row r="225" spans="1:6">
      <c r="A225" s="308">
        <v>43373</v>
      </c>
      <c r="B225" s="309" t="s">
        <v>494</v>
      </c>
      <c r="C225" s="309" t="s">
        <v>494</v>
      </c>
      <c r="D225" s="136" t="str">
        <f t="array" ref="D225">IF(E225=0,0,(INDEX(AccountCodes[ACCOUNT NAME],MATCH(E225,AccountCodes[NGAS CODE],0))))</f>
        <v>Telephone Expenses - Landline</v>
      </c>
      <c r="E225" s="309" t="s">
        <v>235</v>
      </c>
      <c r="F225" s="501">
        <v>22684.5</v>
      </c>
    </row>
    <row r="226" spans="1:6">
      <c r="A226" s="308">
        <v>43404</v>
      </c>
      <c r="B226" s="309" t="s">
        <v>494</v>
      </c>
      <c r="C226" s="309" t="s">
        <v>494</v>
      </c>
      <c r="D226" s="136" t="str">
        <f t="array" ref="D226">IF(E226=0,0,(INDEX(AccountCodes[ACCOUNT NAME],MATCH(E226,AccountCodes[NGAS CODE],0))))</f>
        <v>Telephone Expenses - Landline</v>
      </c>
      <c r="E226" s="309" t="s">
        <v>235</v>
      </c>
      <c r="F226" s="501">
        <v>22684.5</v>
      </c>
    </row>
    <row r="227" spans="1:6">
      <c r="A227" s="308">
        <v>43434</v>
      </c>
      <c r="B227" s="309" t="s">
        <v>494</v>
      </c>
      <c r="C227" s="309" t="s">
        <v>494</v>
      </c>
      <c r="D227" s="136" t="str">
        <f t="array" ref="D227">IF(E227=0,0,(INDEX(AccountCodes[ACCOUNT NAME],MATCH(E227,AccountCodes[NGAS CODE],0))))</f>
        <v>Telephone Expenses - Landline</v>
      </c>
      <c r="E227" s="309" t="s">
        <v>235</v>
      </c>
      <c r="F227" s="501">
        <v>22684.5</v>
      </c>
    </row>
    <row r="228" spans="1:6">
      <c r="A228" s="308">
        <v>43465</v>
      </c>
      <c r="B228" s="309" t="s">
        <v>494</v>
      </c>
      <c r="C228" s="309" t="s">
        <v>494</v>
      </c>
      <c r="D228" s="136" t="str">
        <f t="array" ref="D228">IF(E228=0,0,(INDEX(AccountCodes[ACCOUNT NAME],MATCH(E228,AccountCodes[NGAS CODE],0))))</f>
        <v>Telephone Expenses - Landline</v>
      </c>
      <c r="E228" s="309" t="s">
        <v>235</v>
      </c>
      <c r="F228" s="501">
        <v>22684.5</v>
      </c>
    </row>
    <row r="229" spans="1:6">
      <c r="A229" s="308">
        <v>43190</v>
      </c>
      <c r="B229" s="309" t="s">
        <v>494</v>
      </c>
      <c r="C229" s="309" t="s">
        <v>494</v>
      </c>
      <c r="D229" s="136" t="str">
        <f t="array" ref="D229">IF(E229=0,0,(INDEX(AccountCodes[ACCOUNT NAME],MATCH(E229,AccountCodes[NGAS CODE],0))))</f>
        <v>Membership Dues and Contributions to Organizations</v>
      </c>
      <c r="E229" s="309" t="s">
        <v>239</v>
      </c>
      <c r="F229" s="501">
        <v>10000</v>
      </c>
    </row>
    <row r="230" spans="1:6">
      <c r="A230" s="308">
        <v>43281</v>
      </c>
      <c r="B230" s="309" t="s">
        <v>494</v>
      </c>
      <c r="C230" s="309" t="s">
        <v>494</v>
      </c>
      <c r="D230" s="136" t="str">
        <f t="array" ref="D230">IF(E230=0,0,(INDEX(AccountCodes[ACCOUNT NAME],MATCH(E230,AccountCodes[NGAS CODE],0))))</f>
        <v>Membership Dues and Contributions to Organizations</v>
      </c>
      <c r="E230" s="309" t="s">
        <v>239</v>
      </c>
      <c r="F230" s="501">
        <v>10000</v>
      </c>
    </row>
    <row r="231" spans="1:6">
      <c r="A231" s="308">
        <v>43373</v>
      </c>
      <c r="B231" s="309" t="s">
        <v>494</v>
      </c>
      <c r="C231" s="309" t="s">
        <v>494</v>
      </c>
      <c r="D231" s="136" t="str">
        <f t="array" ref="D231">IF(E231=0,0,(INDEX(AccountCodes[ACCOUNT NAME],MATCH(E231,AccountCodes[NGAS CODE],0))))</f>
        <v>Membership Dues and Contributions to Organizations</v>
      </c>
      <c r="E231" s="309" t="s">
        <v>239</v>
      </c>
      <c r="F231" s="501">
        <v>10000</v>
      </c>
    </row>
    <row r="232" spans="1:6">
      <c r="A232" s="308">
        <v>43465</v>
      </c>
      <c r="B232" s="309" t="s">
        <v>494</v>
      </c>
      <c r="C232" s="309" t="s">
        <v>494</v>
      </c>
      <c r="D232" s="136" t="str">
        <f t="array" ref="D232">IF(E232=0,0,(INDEX(AccountCodes[ACCOUNT NAME],MATCH(E232,AccountCodes[NGAS CODE],0))))</f>
        <v>Membership Dues and Contributions to Organizations</v>
      </c>
      <c r="E232" s="309" t="s">
        <v>239</v>
      </c>
      <c r="F232" s="501">
        <v>10800</v>
      </c>
    </row>
    <row r="233" spans="1:6">
      <c r="A233" s="308">
        <v>43131</v>
      </c>
      <c r="B233" s="309" t="s">
        <v>494</v>
      </c>
      <c r="C233" s="309" t="s">
        <v>494</v>
      </c>
      <c r="D233" s="136" t="str">
        <f t="array" ref="D233">IF(E233=0,0,(INDEX(AccountCodes[ACCOUNT NAME],MATCH(E233,AccountCodes[NGAS CODE],0))))</f>
        <v>Advertising Expenses</v>
      </c>
      <c r="E233" s="309" t="s">
        <v>240</v>
      </c>
      <c r="F233" s="501">
        <v>9724</v>
      </c>
    </row>
    <row r="234" spans="1:6">
      <c r="A234" s="308">
        <v>43190</v>
      </c>
      <c r="B234" s="309" t="s">
        <v>494</v>
      </c>
      <c r="C234" s="309" t="s">
        <v>494</v>
      </c>
      <c r="D234" s="136" t="str">
        <f t="array" ref="D234">IF(E234=0,0,(INDEX(AccountCodes[ACCOUNT NAME],MATCH(E234,AccountCodes[NGAS CODE],0))))</f>
        <v>Advertising Expenses</v>
      </c>
      <c r="E234" s="309" t="s">
        <v>240</v>
      </c>
      <c r="F234" s="501">
        <v>9724</v>
      </c>
    </row>
    <row r="235" spans="1:6">
      <c r="A235" s="308">
        <v>43251</v>
      </c>
      <c r="B235" s="309" t="s">
        <v>494</v>
      </c>
      <c r="C235" s="309" t="s">
        <v>494</v>
      </c>
      <c r="D235" s="136" t="str">
        <f t="array" ref="D235">IF(E235=0,0,(INDEX(AccountCodes[ACCOUNT NAME],MATCH(E235,AccountCodes[NGAS CODE],0))))</f>
        <v>Advertising Expenses</v>
      </c>
      <c r="E235" s="309" t="s">
        <v>240</v>
      </c>
      <c r="F235" s="501">
        <v>9724</v>
      </c>
    </row>
    <row r="236" spans="1:6">
      <c r="A236" s="308">
        <v>43312</v>
      </c>
      <c r="B236" s="309" t="s">
        <v>494</v>
      </c>
      <c r="C236" s="309" t="s">
        <v>494</v>
      </c>
      <c r="D236" s="136" t="str">
        <f t="array" ref="D236">IF(E236=0,0,(INDEX(AccountCodes[ACCOUNT NAME],MATCH(E236,AccountCodes[NGAS CODE],0))))</f>
        <v>Advertising Expenses</v>
      </c>
      <c r="E236" s="309" t="s">
        <v>240</v>
      </c>
      <c r="F236" s="501">
        <v>9724</v>
      </c>
    </row>
    <row r="237" spans="1:6">
      <c r="A237" s="308">
        <v>43373</v>
      </c>
      <c r="B237" s="309" t="s">
        <v>494</v>
      </c>
      <c r="C237" s="309" t="s">
        <v>494</v>
      </c>
      <c r="D237" s="136" t="str">
        <f t="array" ref="D237">IF(E237=0,0,(INDEX(AccountCodes[ACCOUNT NAME],MATCH(E237,AccountCodes[NGAS CODE],0))))</f>
        <v>Advertising Expenses</v>
      </c>
      <c r="E237" s="309" t="s">
        <v>240</v>
      </c>
      <c r="F237" s="501">
        <v>9724</v>
      </c>
    </row>
    <row r="238" spans="1:6">
      <c r="A238" s="308">
        <v>43434</v>
      </c>
      <c r="B238" s="309" t="s">
        <v>494</v>
      </c>
      <c r="C238" s="309" t="s">
        <v>494</v>
      </c>
      <c r="D238" s="136" t="str">
        <f t="array" ref="D238">IF(E238=0,0,(INDEX(AccountCodes[ACCOUNT NAME],MATCH(E238,AccountCodes[NGAS CODE],0))))</f>
        <v>Advertising Expenses</v>
      </c>
      <c r="E238" s="309" t="s">
        <v>240</v>
      </c>
      <c r="F238" s="501">
        <v>9724</v>
      </c>
    </row>
    <row r="239" spans="1:6">
      <c r="A239" s="308">
        <v>43159</v>
      </c>
      <c r="B239" s="309" t="s">
        <v>494</v>
      </c>
      <c r="C239" s="309" t="s">
        <v>494</v>
      </c>
      <c r="D239" s="136" t="str">
        <f t="array" ref="D239">IF(E239=0,0,(INDEX(AccountCodes[ACCOUNT NAME],MATCH(E239,AccountCodes[NGAS CODE],0))))</f>
        <v>Printing and Publication Expenses</v>
      </c>
      <c r="E239" s="309" t="s">
        <v>241</v>
      </c>
      <c r="F239" s="501">
        <v>1000</v>
      </c>
    </row>
    <row r="240" spans="1:6">
      <c r="A240" s="308">
        <v>43220</v>
      </c>
      <c r="B240" s="309" t="s">
        <v>494</v>
      </c>
      <c r="C240" s="309" t="s">
        <v>494</v>
      </c>
      <c r="D240" s="136" t="str">
        <f t="array" ref="D240">IF(E240=0,0,(INDEX(AccountCodes[ACCOUNT NAME],MATCH(E240,AccountCodes[NGAS CODE],0))))</f>
        <v>Printing and Publication Expenses</v>
      </c>
      <c r="E240" s="309" t="s">
        <v>241</v>
      </c>
      <c r="F240" s="501">
        <v>1000</v>
      </c>
    </row>
    <row r="241" spans="1:6">
      <c r="A241" s="308">
        <v>43312</v>
      </c>
      <c r="B241" s="309" t="s">
        <v>494</v>
      </c>
      <c r="C241" s="309" t="s">
        <v>494</v>
      </c>
      <c r="D241" s="136" t="str">
        <f t="array" ref="D241">IF(E241=0,0,(INDEX(AccountCodes[ACCOUNT NAME],MATCH(E241,AccountCodes[NGAS CODE],0))))</f>
        <v>Printing and Publication Expenses</v>
      </c>
      <c r="E241" s="309" t="s">
        <v>241</v>
      </c>
      <c r="F241" s="501">
        <v>2000</v>
      </c>
    </row>
    <row r="242" spans="1:6">
      <c r="A242" s="308">
        <v>43434</v>
      </c>
      <c r="B242" s="309" t="s">
        <v>494</v>
      </c>
      <c r="C242" s="309" t="s">
        <v>494</v>
      </c>
      <c r="D242" s="136" t="str">
        <f t="array" ref="D242">IF(E242=0,0,(INDEX(AccountCodes[ACCOUNT NAME],MATCH(E242,AccountCodes[NGAS CODE],0))))</f>
        <v>Printing and Publication Expenses</v>
      </c>
      <c r="E242" s="309" t="s">
        <v>241</v>
      </c>
      <c r="F242" s="501">
        <v>1141</v>
      </c>
    </row>
    <row r="243" spans="1:6">
      <c r="A243" s="308">
        <v>43131</v>
      </c>
      <c r="B243" s="309" t="s">
        <v>494</v>
      </c>
      <c r="C243" s="309" t="s">
        <v>494</v>
      </c>
      <c r="D243" s="136" t="str">
        <f t="array" ref="D243">IF(E243=0,0,(INDEX(AccountCodes[ACCOUNT NAME],MATCH(E243,AccountCodes[NGAS CODE],0))))</f>
        <v>Representation Expenses</v>
      </c>
      <c r="E243" s="309" t="s">
        <v>243</v>
      </c>
      <c r="F243" s="501">
        <v>10200</v>
      </c>
    </row>
    <row r="244" spans="1:6">
      <c r="A244" s="308">
        <v>43190</v>
      </c>
      <c r="B244" s="309" t="s">
        <v>494</v>
      </c>
      <c r="C244" s="309" t="s">
        <v>494</v>
      </c>
      <c r="D244" s="136" t="str">
        <f t="array" ref="D244">IF(E244=0,0,(INDEX(AccountCodes[ACCOUNT NAME],MATCH(E244,AccountCodes[NGAS CODE],0))))</f>
        <v>Representation Expenses</v>
      </c>
      <c r="E244" s="309" t="s">
        <v>243</v>
      </c>
      <c r="F244" s="501">
        <v>10200</v>
      </c>
    </row>
    <row r="245" spans="1:6">
      <c r="A245" s="308">
        <v>43251</v>
      </c>
      <c r="B245" s="309" t="s">
        <v>494</v>
      </c>
      <c r="C245" s="309" t="s">
        <v>494</v>
      </c>
      <c r="D245" s="136" t="str">
        <f t="array" ref="D245">IF(E245=0,0,(INDEX(AccountCodes[ACCOUNT NAME],MATCH(E245,AccountCodes[NGAS CODE],0))))</f>
        <v>Representation Expenses</v>
      </c>
      <c r="E245" s="309" t="s">
        <v>243</v>
      </c>
      <c r="F245" s="501">
        <v>10200</v>
      </c>
    </row>
    <row r="246" spans="1:6">
      <c r="A246" s="308">
        <v>43312</v>
      </c>
      <c r="B246" s="309" t="s">
        <v>494</v>
      </c>
      <c r="C246" s="309" t="s">
        <v>494</v>
      </c>
      <c r="D246" s="136" t="str">
        <f t="array" ref="D246">IF(E246=0,0,(INDEX(AccountCodes[ACCOUNT NAME],MATCH(E246,AccountCodes[NGAS CODE],0))))</f>
        <v>Representation Expenses</v>
      </c>
      <c r="E246" s="309" t="s">
        <v>243</v>
      </c>
      <c r="F246" s="501">
        <v>10200</v>
      </c>
    </row>
    <row r="247" spans="1:6">
      <c r="A247" s="308">
        <v>43373</v>
      </c>
      <c r="B247" s="309" t="s">
        <v>494</v>
      </c>
      <c r="C247" s="309" t="s">
        <v>494</v>
      </c>
      <c r="D247" s="136" t="str">
        <f t="array" ref="D247">IF(E247=0,0,(INDEX(AccountCodes[ACCOUNT NAME],MATCH(E247,AccountCodes[NGAS CODE],0))))</f>
        <v>Representation Expenses</v>
      </c>
      <c r="E247" s="309" t="s">
        <v>243</v>
      </c>
      <c r="F247" s="501">
        <v>10200</v>
      </c>
    </row>
    <row r="248" spans="1:6">
      <c r="A248" s="308">
        <v>43434</v>
      </c>
      <c r="B248" s="309" t="s">
        <v>494</v>
      </c>
      <c r="C248" s="309" t="s">
        <v>494</v>
      </c>
      <c r="D248" s="136" t="str">
        <f t="array" ref="D248">IF(E248=0,0,(INDEX(AccountCodes[ACCOUNT NAME],MATCH(E248,AccountCodes[NGAS CODE],0))))</f>
        <v>Representation Expenses</v>
      </c>
      <c r="E248" s="309" t="s">
        <v>243</v>
      </c>
      <c r="F248" s="501">
        <v>10200</v>
      </c>
    </row>
    <row r="249" spans="1:6">
      <c r="A249" s="308">
        <v>43131</v>
      </c>
      <c r="B249" s="309" t="s">
        <v>494</v>
      </c>
      <c r="C249" s="309" t="s">
        <v>494</v>
      </c>
      <c r="D249" s="136" t="str">
        <f t="array" ref="D249">IF(E249=0,0,(INDEX(AccountCodes[ACCOUNT NAME],MATCH(E249,AccountCodes[NGAS CODE],0))))</f>
        <v>Transportation and Delivery Expenses</v>
      </c>
      <c r="E249" s="309" t="s">
        <v>244</v>
      </c>
      <c r="F249" s="501">
        <v>2040</v>
      </c>
    </row>
    <row r="250" spans="1:6">
      <c r="A250" s="308">
        <v>43159</v>
      </c>
      <c r="B250" s="309" t="s">
        <v>494</v>
      </c>
      <c r="C250" s="309" t="s">
        <v>494</v>
      </c>
      <c r="D250" s="136" t="str">
        <f t="array" ref="D250">IF(E250=0,0,(INDEX(AccountCodes[ACCOUNT NAME],MATCH(E250,AccountCodes[NGAS CODE],0))))</f>
        <v>Transportation and Delivery Expenses</v>
      </c>
      <c r="E250" s="309" t="s">
        <v>244</v>
      </c>
      <c r="F250" s="501">
        <v>2040</v>
      </c>
    </row>
    <row r="251" spans="1:6">
      <c r="A251" s="308">
        <v>43190</v>
      </c>
      <c r="B251" s="309" t="s">
        <v>494</v>
      </c>
      <c r="C251" s="309" t="s">
        <v>494</v>
      </c>
      <c r="D251" s="136" t="str">
        <f t="array" ref="D251">IF(E251=0,0,(INDEX(AccountCodes[ACCOUNT NAME],MATCH(E251,AccountCodes[NGAS CODE],0))))</f>
        <v>Transportation and Delivery Expenses</v>
      </c>
      <c r="E251" s="309" t="s">
        <v>244</v>
      </c>
      <c r="F251" s="501">
        <v>2040</v>
      </c>
    </row>
    <row r="252" spans="1:6">
      <c r="A252" s="308">
        <v>43220</v>
      </c>
      <c r="B252" s="309" t="s">
        <v>494</v>
      </c>
      <c r="C252" s="309" t="s">
        <v>494</v>
      </c>
      <c r="D252" s="136" t="str">
        <f t="array" ref="D252">IF(E252=0,0,(INDEX(AccountCodes[ACCOUNT NAME],MATCH(E252,AccountCodes[NGAS CODE],0))))</f>
        <v>Transportation and Delivery Expenses</v>
      </c>
      <c r="E252" s="309" t="s">
        <v>244</v>
      </c>
      <c r="F252" s="501">
        <v>2040</v>
      </c>
    </row>
    <row r="253" spans="1:6">
      <c r="A253" s="308">
        <v>43251</v>
      </c>
      <c r="B253" s="309" t="s">
        <v>494</v>
      </c>
      <c r="C253" s="309" t="s">
        <v>494</v>
      </c>
      <c r="D253" s="136" t="str">
        <f t="array" ref="D253">IF(E253=0,0,(INDEX(AccountCodes[ACCOUNT NAME],MATCH(E253,AccountCodes[NGAS CODE],0))))</f>
        <v>Transportation and Delivery Expenses</v>
      </c>
      <c r="E253" s="309" t="s">
        <v>244</v>
      </c>
      <c r="F253" s="501">
        <v>2040</v>
      </c>
    </row>
    <row r="254" spans="1:6">
      <c r="A254" s="308">
        <v>43281</v>
      </c>
      <c r="B254" s="309" t="s">
        <v>494</v>
      </c>
      <c r="C254" s="309" t="s">
        <v>494</v>
      </c>
      <c r="D254" s="136" t="str">
        <f t="array" ref="D254">IF(E254=0,0,(INDEX(AccountCodes[ACCOUNT NAME],MATCH(E254,AccountCodes[NGAS CODE],0))))</f>
        <v>Transportation and Delivery Expenses</v>
      </c>
      <c r="E254" s="309" t="s">
        <v>244</v>
      </c>
      <c r="F254" s="501">
        <v>2040</v>
      </c>
    </row>
    <row r="255" spans="1:6">
      <c r="A255" s="308">
        <v>43312</v>
      </c>
      <c r="B255" s="309" t="s">
        <v>494</v>
      </c>
      <c r="C255" s="309" t="s">
        <v>494</v>
      </c>
      <c r="D255" s="136" t="str">
        <f t="array" ref="D255">IF(E255=0,0,(INDEX(AccountCodes[ACCOUNT NAME],MATCH(E255,AccountCodes[NGAS CODE],0))))</f>
        <v>Transportation and Delivery Expenses</v>
      </c>
      <c r="E255" s="309" t="s">
        <v>244</v>
      </c>
      <c r="F255" s="501">
        <v>2040</v>
      </c>
    </row>
    <row r="256" spans="1:6">
      <c r="A256" s="308">
        <v>43343</v>
      </c>
      <c r="B256" s="309" t="s">
        <v>494</v>
      </c>
      <c r="C256" s="309" t="s">
        <v>494</v>
      </c>
      <c r="D256" s="136" t="str">
        <f t="array" ref="D256">IF(E256=0,0,(INDEX(AccountCodes[ACCOUNT NAME],MATCH(E256,AccountCodes[NGAS CODE],0))))</f>
        <v>Transportation and Delivery Expenses</v>
      </c>
      <c r="E256" s="309" t="s">
        <v>244</v>
      </c>
      <c r="F256" s="501">
        <v>2040</v>
      </c>
    </row>
    <row r="257" spans="1:6">
      <c r="A257" s="308">
        <v>43373</v>
      </c>
      <c r="B257" s="309" t="s">
        <v>494</v>
      </c>
      <c r="C257" s="309" t="s">
        <v>494</v>
      </c>
      <c r="D257" s="136" t="str">
        <f t="array" ref="D257">IF(E257=0,0,(INDEX(AccountCodes[ACCOUNT NAME],MATCH(E257,AccountCodes[NGAS CODE],0))))</f>
        <v>Transportation and Delivery Expenses</v>
      </c>
      <c r="E257" s="309" t="s">
        <v>244</v>
      </c>
      <c r="F257" s="501">
        <v>2040</v>
      </c>
    </row>
    <row r="258" spans="1:6">
      <c r="A258" s="308">
        <v>43404</v>
      </c>
      <c r="B258" s="309" t="s">
        <v>494</v>
      </c>
      <c r="C258" s="309" t="s">
        <v>494</v>
      </c>
      <c r="D258" s="136" t="str">
        <f t="array" ref="D258">IF(E258=0,0,(INDEX(AccountCodes[ACCOUNT NAME],MATCH(E258,AccountCodes[NGAS CODE],0))))</f>
        <v>Transportation and Delivery Expenses</v>
      </c>
      <c r="E258" s="309" t="s">
        <v>244</v>
      </c>
      <c r="F258" s="501">
        <v>2040</v>
      </c>
    </row>
    <row r="259" spans="1:6">
      <c r="A259" s="308">
        <v>43434</v>
      </c>
      <c r="B259" s="309" t="s">
        <v>494</v>
      </c>
      <c r="C259" s="309" t="s">
        <v>494</v>
      </c>
      <c r="D259" s="136" t="str">
        <f t="array" ref="D259">IF(E259=0,0,(INDEX(AccountCodes[ACCOUNT NAME],MATCH(E259,AccountCodes[NGAS CODE],0))))</f>
        <v>Transportation and Delivery Expenses</v>
      </c>
      <c r="E259" s="309" t="s">
        <v>244</v>
      </c>
      <c r="F259" s="501">
        <v>2040</v>
      </c>
    </row>
    <row r="260" spans="1:6">
      <c r="A260" s="308">
        <v>43465</v>
      </c>
      <c r="B260" s="309" t="s">
        <v>494</v>
      </c>
      <c r="C260" s="309" t="s">
        <v>494</v>
      </c>
      <c r="D260" s="136" t="str">
        <f t="array" ref="D260">IF(E260=0,0,(INDEX(AccountCodes[ACCOUNT NAME],MATCH(E260,AccountCodes[NGAS CODE],0))))</f>
        <v>Transportation and Delivery Expenses</v>
      </c>
      <c r="E260" s="309" t="s">
        <v>244</v>
      </c>
      <c r="F260" s="501">
        <v>2040</v>
      </c>
    </row>
    <row r="261" spans="1:6">
      <c r="A261" s="308">
        <v>43131</v>
      </c>
      <c r="B261" s="309" t="s">
        <v>494</v>
      </c>
      <c r="C261" s="309" t="s">
        <v>494</v>
      </c>
      <c r="D261" s="136" t="str">
        <f t="array" ref="D261">IF(E261=0,0,(INDEX(AccountCodes[ACCOUNT NAME],MATCH(E261,AccountCodes[NGAS CODE],0))))</f>
        <v>Auditing Services</v>
      </c>
      <c r="E261" s="309" t="s">
        <v>222</v>
      </c>
      <c r="F261" s="501">
        <v>9716.67</v>
      </c>
    </row>
    <row r="262" spans="1:6">
      <c r="A262" s="308">
        <v>43159</v>
      </c>
      <c r="B262" s="309" t="s">
        <v>494</v>
      </c>
      <c r="C262" s="309" t="s">
        <v>494</v>
      </c>
      <c r="D262" s="136" t="str">
        <f t="array" ref="D262">IF(E262=0,0,(INDEX(AccountCodes[ACCOUNT NAME],MATCH(E262,AccountCodes[NGAS CODE],0))))</f>
        <v>Auditing Services</v>
      </c>
      <c r="E262" s="309" t="s">
        <v>222</v>
      </c>
      <c r="F262" s="501">
        <v>9716.67</v>
      </c>
    </row>
    <row r="263" spans="1:6">
      <c r="A263" s="308">
        <v>43190</v>
      </c>
      <c r="B263" s="309" t="s">
        <v>494</v>
      </c>
      <c r="C263" s="309" t="s">
        <v>494</v>
      </c>
      <c r="D263" s="136" t="str">
        <f t="array" ref="D263">IF(E263=0,0,(INDEX(AccountCodes[ACCOUNT NAME],MATCH(E263,AccountCodes[NGAS CODE],0))))</f>
        <v>Auditing Services</v>
      </c>
      <c r="E263" s="309" t="s">
        <v>222</v>
      </c>
      <c r="F263" s="501">
        <v>9716.67</v>
      </c>
    </row>
    <row r="264" spans="1:6">
      <c r="A264" s="308">
        <v>43220</v>
      </c>
      <c r="B264" s="309" t="s">
        <v>494</v>
      </c>
      <c r="C264" s="309" t="s">
        <v>494</v>
      </c>
      <c r="D264" s="136" t="str">
        <f t="array" ref="D264">IF(E264=0,0,(INDEX(AccountCodes[ACCOUNT NAME],MATCH(E264,AccountCodes[NGAS CODE],0))))</f>
        <v>Auditing Services</v>
      </c>
      <c r="E264" s="309" t="s">
        <v>222</v>
      </c>
      <c r="F264" s="501">
        <v>9716.67</v>
      </c>
    </row>
    <row r="265" spans="1:6">
      <c r="A265" s="308">
        <v>43251</v>
      </c>
      <c r="B265" s="309" t="s">
        <v>494</v>
      </c>
      <c r="C265" s="309" t="s">
        <v>494</v>
      </c>
      <c r="D265" s="136" t="str">
        <f t="array" ref="D265">IF(E265=0,0,(INDEX(AccountCodes[ACCOUNT NAME],MATCH(E265,AccountCodes[NGAS CODE],0))))</f>
        <v>Auditing Services</v>
      </c>
      <c r="E265" s="309" t="s">
        <v>222</v>
      </c>
      <c r="F265" s="501">
        <v>9716.67</v>
      </c>
    </row>
    <row r="266" spans="1:6">
      <c r="A266" s="308">
        <v>43281</v>
      </c>
      <c r="B266" s="309" t="s">
        <v>494</v>
      </c>
      <c r="C266" s="309" t="s">
        <v>494</v>
      </c>
      <c r="D266" s="136" t="str">
        <f t="array" ref="D266">IF(E266=0,0,(INDEX(AccountCodes[ACCOUNT NAME],MATCH(E266,AccountCodes[NGAS CODE],0))))</f>
        <v>Auditing Services</v>
      </c>
      <c r="E266" s="309" t="s">
        <v>222</v>
      </c>
      <c r="F266" s="501">
        <v>9716.67</v>
      </c>
    </row>
    <row r="267" spans="1:6">
      <c r="A267" s="308">
        <v>43312</v>
      </c>
      <c r="B267" s="309" t="s">
        <v>494</v>
      </c>
      <c r="C267" s="309" t="s">
        <v>494</v>
      </c>
      <c r="D267" s="136" t="str">
        <f t="array" ref="D267">IF(E267=0,0,(INDEX(AccountCodes[ACCOUNT NAME],MATCH(E267,AccountCodes[NGAS CODE],0))))</f>
        <v>Auditing Services</v>
      </c>
      <c r="E267" s="309" t="s">
        <v>222</v>
      </c>
      <c r="F267" s="501">
        <v>9716.67</v>
      </c>
    </row>
    <row r="268" spans="1:6">
      <c r="A268" s="308">
        <v>43343</v>
      </c>
      <c r="B268" s="309" t="s">
        <v>494</v>
      </c>
      <c r="C268" s="309" t="s">
        <v>494</v>
      </c>
      <c r="D268" s="136" t="str">
        <f t="array" ref="D268">IF(E268=0,0,(INDEX(AccountCodes[ACCOUNT NAME],MATCH(E268,AccountCodes[NGAS CODE],0))))</f>
        <v>Auditing Services</v>
      </c>
      <c r="E268" s="309" t="s">
        <v>222</v>
      </c>
      <c r="F268" s="501">
        <v>9716.67</v>
      </c>
    </row>
    <row r="269" spans="1:6">
      <c r="A269" s="308">
        <v>43373</v>
      </c>
      <c r="B269" s="309" t="s">
        <v>494</v>
      </c>
      <c r="C269" s="309" t="s">
        <v>494</v>
      </c>
      <c r="D269" s="136" t="str">
        <f t="array" ref="D269">IF(E269=0,0,(INDEX(AccountCodes[ACCOUNT NAME],MATCH(E269,AccountCodes[NGAS CODE],0))))</f>
        <v>Auditing Services</v>
      </c>
      <c r="E269" s="309" t="s">
        <v>222</v>
      </c>
      <c r="F269" s="501">
        <v>9716.67</v>
      </c>
    </row>
    <row r="270" spans="1:6">
      <c r="A270" s="308">
        <v>43404</v>
      </c>
      <c r="B270" s="309" t="s">
        <v>494</v>
      </c>
      <c r="C270" s="309" t="s">
        <v>494</v>
      </c>
      <c r="D270" s="136" t="str">
        <f t="array" ref="D270">IF(E270=0,0,(INDEX(AccountCodes[ACCOUNT NAME],MATCH(E270,AccountCodes[NGAS CODE],0))))</f>
        <v>Auditing Services</v>
      </c>
      <c r="E270" s="309" t="s">
        <v>222</v>
      </c>
      <c r="F270" s="501">
        <v>9716.67</v>
      </c>
    </row>
    <row r="271" spans="1:6">
      <c r="A271" s="308">
        <v>43434</v>
      </c>
      <c r="B271" s="309" t="s">
        <v>494</v>
      </c>
      <c r="C271" s="309" t="s">
        <v>494</v>
      </c>
      <c r="D271" s="136" t="str">
        <f t="array" ref="D271">IF(E271=0,0,(INDEX(AccountCodes[ACCOUNT NAME],MATCH(E271,AccountCodes[NGAS CODE],0))))</f>
        <v>Auditing Services</v>
      </c>
      <c r="E271" s="309" t="s">
        <v>222</v>
      </c>
      <c r="F271" s="501">
        <v>9716.67</v>
      </c>
    </row>
    <row r="272" spans="1:6">
      <c r="A272" s="308">
        <v>43465</v>
      </c>
      <c r="B272" s="309" t="s">
        <v>494</v>
      </c>
      <c r="C272" s="309" t="s">
        <v>494</v>
      </c>
      <c r="D272" s="136" t="str">
        <f t="array" ref="D272">IF(E272=0,0,(INDEX(AccountCodes[ACCOUNT NAME],MATCH(E272,AccountCodes[NGAS CODE],0))))</f>
        <v>Auditing Services</v>
      </c>
      <c r="E272" s="309" t="s">
        <v>222</v>
      </c>
      <c r="F272" s="501">
        <v>9716.67</v>
      </c>
    </row>
    <row r="273" spans="1:6">
      <c r="A273" s="308">
        <v>43131</v>
      </c>
      <c r="B273" s="309" t="s">
        <v>494</v>
      </c>
      <c r="C273" s="309" t="s">
        <v>494</v>
      </c>
      <c r="D273" s="136" t="str">
        <f t="array" ref="D273">IF(E273=0,0,(INDEX(AccountCodes[ACCOUNT NAME],MATCH(E273,AccountCodes[NGAS CODE],0))))</f>
        <v>Other General Services</v>
      </c>
      <c r="E273" s="309" t="s">
        <v>248</v>
      </c>
      <c r="F273" s="501">
        <v>850</v>
      </c>
    </row>
    <row r="274" spans="1:6">
      <c r="A274" s="308">
        <v>43159</v>
      </c>
      <c r="B274" s="309" t="s">
        <v>494</v>
      </c>
      <c r="C274" s="309" t="s">
        <v>494</v>
      </c>
      <c r="D274" s="136" t="str">
        <f t="array" ref="D274">IF(E274=0,0,(INDEX(AccountCodes[ACCOUNT NAME],MATCH(E274,AccountCodes[NGAS CODE],0))))</f>
        <v>Other General Services</v>
      </c>
      <c r="E274" s="309" t="s">
        <v>248</v>
      </c>
      <c r="F274" s="501">
        <v>850</v>
      </c>
    </row>
    <row r="275" spans="1:6">
      <c r="A275" s="308">
        <v>43190</v>
      </c>
      <c r="B275" s="309" t="s">
        <v>494</v>
      </c>
      <c r="C275" s="309" t="s">
        <v>494</v>
      </c>
      <c r="D275" s="136" t="str">
        <f t="array" ref="D275">IF(E275=0,0,(INDEX(AccountCodes[ACCOUNT NAME],MATCH(E275,AccountCodes[NGAS CODE],0))))</f>
        <v>Other General Services</v>
      </c>
      <c r="E275" s="309" t="s">
        <v>248</v>
      </c>
      <c r="F275" s="501">
        <v>850</v>
      </c>
    </row>
    <row r="276" spans="1:6">
      <c r="A276" s="308">
        <v>43220</v>
      </c>
      <c r="B276" s="309" t="s">
        <v>494</v>
      </c>
      <c r="C276" s="309" t="s">
        <v>494</v>
      </c>
      <c r="D276" s="136" t="str">
        <f t="array" ref="D276">IF(E276=0,0,(INDEX(AccountCodes[ACCOUNT NAME],MATCH(E276,AccountCodes[NGAS CODE],0))))</f>
        <v>Other General Services</v>
      </c>
      <c r="E276" s="309" t="s">
        <v>248</v>
      </c>
      <c r="F276" s="501">
        <v>850</v>
      </c>
    </row>
    <row r="277" spans="1:6">
      <c r="A277" s="308">
        <v>43251</v>
      </c>
      <c r="B277" s="309" t="s">
        <v>494</v>
      </c>
      <c r="C277" s="309" t="s">
        <v>494</v>
      </c>
      <c r="D277" s="136" t="str">
        <f t="array" ref="D277">IF(E277=0,0,(INDEX(AccountCodes[ACCOUNT NAME],MATCH(E277,AccountCodes[NGAS CODE],0))))</f>
        <v>Other General Services</v>
      </c>
      <c r="E277" s="309" t="s">
        <v>248</v>
      </c>
      <c r="F277" s="501">
        <v>850</v>
      </c>
    </row>
    <row r="278" spans="1:6">
      <c r="A278" s="308">
        <v>43281</v>
      </c>
      <c r="B278" s="309" t="s">
        <v>494</v>
      </c>
      <c r="C278" s="309" t="s">
        <v>494</v>
      </c>
      <c r="D278" s="136" t="str">
        <f t="array" ref="D278">IF(E278=0,0,(INDEX(AccountCodes[ACCOUNT NAME],MATCH(E278,AccountCodes[NGAS CODE],0))))</f>
        <v>Other General Services</v>
      </c>
      <c r="E278" s="309" t="s">
        <v>248</v>
      </c>
      <c r="F278" s="501">
        <v>850</v>
      </c>
    </row>
    <row r="279" spans="1:6">
      <c r="A279" s="308">
        <v>43312</v>
      </c>
      <c r="B279" s="309" t="s">
        <v>494</v>
      </c>
      <c r="C279" s="309" t="s">
        <v>494</v>
      </c>
      <c r="D279" s="136" t="str">
        <f t="array" ref="D279">IF(E279=0,0,(INDEX(AccountCodes[ACCOUNT NAME],MATCH(E279,AccountCodes[NGAS CODE],0))))</f>
        <v>Other General Services</v>
      </c>
      <c r="E279" s="309" t="s">
        <v>248</v>
      </c>
      <c r="F279" s="501">
        <v>850</v>
      </c>
    </row>
    <row r="280" spans="1:6">
      <c r="A280" s="308">
        <v>43343</v>
      </c>
      <c r="B280" s="309" t="s">
        <v>494</v>
      </c>
      <c r="C280" s="309" t="s">
        <v>494</v>
      </c>
      <c r="D280" s="136" t="str">
        <f t="array" ref="D280">IF(E280=0,0,(INDEX(AccountCodes[ACCOUNT NAME],MATCH(E280,AccountCodes[NGAS CODE],0))))</f>
        <v>Other General Services</v>
      </c>
      <c r="E280" s="309" t="s">
        <v>248</v>
      </c>
      <c r="F280" s="501">
        <v>850</v>
      </c>
    </row>
    <row r="281" spans="1:6">
      <c r="A281" s="308">
        <v>43373</v>
      </c>
      <c r="B281" s="309" t="s">
        <v>494</v>
      </c>
      <c r="C281" s="309" t="s">
        <v>494</v>
      </c>
      <c r="D281" s="136" t="str">
        <f t="array" ref="D281">IF(E281=0,0,(INDEX(AccountCodes[ACCOUNT NAME],MATCH(E281,AccountCodes[NGAS CODE],0))))</f>
        <v>Other General Services</v>
      </c>
      <c r="E281" s="309" t="s">
        <v>248</v>
      </c>
      <c r="F281" s="501">
        <v>850</v>
      </c>
    </row>
    <row r="282" spans="1:6">
      <c r="A282" s="308">
        <v>43404</v>
      </c>
      <c r="B282" s="309" t="s">
        <v>494</v>
      </c>
      <c r="C282" s="309" t="s">
        <v>494</v>
      </c>
      <c r="D282" s="136" t="str">
        <f t="array" ref="D282">IF(E282=0,0,(INDEX(AccountCodes[ACCOUNT NAME],MATCH(E282,AccountCodes[NGAS CODE],0))))</f>
        <v>Other General Services</v>
      </c>
      <c r="E282" s="309" t="s">
        <v>248</v>
      </c>
      <c r="F282" s="501">
        <v>850</v>
      </c>
    </row>
    <row r="283" spans="1:6">
      <c r="A283" s="308">
        <v>43434</v>
      </c>
      <c r="B283" s="309" t="s">
        <v>494</v>
      </c>
      <c r="C283" s="309" t="s">
        <v>494</v>
      </c>
      <c r="D283" s="136" t="str">
        <f t="array" ref="D283">IF(E283=0,0,(INDEX(AccountCodes[ACCOUNT NAME],MATCH(E283,AccountCodes[NGAS CODE],0))))</f>
        <v>Other General Services</v>
      </c>
      <c r="E283" s="309" t="s">
        <v>248</v>
      </c>
      <c r="F283" s="501">
        <v>850</v>
      </c>
    </row>
    <row r="284" spans="1:6">
      <c r="A284" s="308">
        <v>43465</v>
      </c>
      <c r="B284" s="309" t="s">
        <v>494</v>
      </c>
      <c r="C284" s="309" t="s">
        <v>494</v>
      </c>
      <c r="D284" s="136" t="str">
        <f t="array" ref="D284">IF(E284=0,0,(INDEX(AccountCodes[ACCOUNT NAME],MATCH(E284,AccountCodes[NGAS CODE],0))))</f>
        <v>Other General Services</v>
      </c>
      <c r="E284" s="309" t="s">
        <v>248</v>
      </c>
      <c r="F284" s="501">
        <v>850</v>
      </c>
    </row>
    <row r="285" spans="1:6">
      <c r="A285" s="308">
        <v>43190</v>
      </c>
      <c r="B285" s="309" t="s">
        <v>494</v>
      </c>
      <c r="C285" s="309" t="s">
        <v>494</v>
      </c>
      <c r="D285" s="136" t="str">
        <f t="array" ref="D285">IF(E285=0,0,(INDEX(AccountCodes[ACCOUNT NAME],MATCH(E285,AccountCodes[NGAS CODE],0))))</f>
        <v>Repairs and Maintenance-Machinery and Equipment - Office Equipment</v>
      </c>
      <c r="E285" s="309" t="s">
        <v>253</v>
      </c>
      <c r="F285" s="501">
        <v>25000</v>
      </c>
    </row>
    <row r="286" spans="1:6">
      <c r="A286" s="308">
        <v>43281</v>
      </c>
      <c r="B286" s="309" t="s">
        <v>494</v>
      </c>
      <c r="C286" s="309" t="s">
        <v>494</v>
      </c>
      <c r="D286" s="136" t="str">
        <f t="array" ref="D286">IF(E286=0,0,(INDEX(AccountCodes[ACCOUNT NAME],MATCH(E286,AccountCodes[NGAS CODE],0))))</f>
        <v>Repairs and Maintenance-Machinery and Equipment - Office Equipment</v>
      </c>
      <c r="E286" s="309" t="s">
        <v>253</v>
      </c>
      <c r="F286" s="501">
        <v>25000</v>
      </c>
    </row>
    <row r="287" spans="1:6">
      <c r="A287" s="308">
        <v>43373</v>
      </c>
      <c r="B287" s="309" t="s">
        <v>494</v>
      </c>
      <c r="C287" s="309" t="s">
        <v>494</v>
      </c>
      <c r="D287" s="136" t="str">
        <f t="array" ref="D287">IF(E287=0,0,(INDEX(AccountCodes[ACCOUNT NAME],MATCH(E287,AccountCodes[NGAS CODE],0))))</f>
        <v>Repairs and Maintenance-Machinery and Equipment - Office Equipment</v>
      </c>
      <c r="E287" s="309" t="s">
        <v>253</v>
      </c>
      <c r="F287" s="501">
        <v>25000</v>
      </c>
    </row>
    <row r="288" spans="1:6">
      <c r="A288" s="308">
        <v>43465</v>
      </c>
      <c r="B288" s="309" t="s">
        <v>494</v>
      </c>
      <c r="C288" s="309" t="s">
        <v>494</v>
      </c>
      <c r="D288" s="136" t="str">
        <f t="array" ref="D288">IF(E288=0,0,(INDEX(AccountCodes[ACCOUNT NAME],MATCH(E288,AccountCodes[NGAS CODE],0))))</f>
        <v>Repairs and Maintenance-Machinery and Equipment - Office Equipment</v>
      </c>
      <c r="E288" s="309" t="s">
        <v>253</v>
      </c>
      <c r="F288" s="501">
        <v>25000</v>
      </c>
    </row>
    <row r="289" spans="1:6">
      <c r="A289" s="308">
        <v>43190</v>
      </c>
      <c r="B289" s="309" t="s">
        <v>494</v>
      </c>
      <c r="C289" s="309" t="s">
        <v>494</v>
      </c>
      <c r="D289" s="136" t="str">
        <f t="array" ref="D289">IF(E289=0,0,(INDEX(AccountCodes[ACCOUNT NAME],MATCH(E289,AccountCodes[NGAS CODE],0))))</f>
        <v>Repairs and Maintenance-Transportation Equipment - Motor Vehicles</v>
      </c>
      <c r="E289" s="309" t="s">
        <v>262</v>
      </c>
      <c r="F289" s="501">
        <v>132037.25</v>
      </c>
    </row>
    <row r="290" spans="1:6">
      <c r="A290" s="308">
        <v>43281</v>
      </c>
      <c r="B290" s="309" t="s">
        <v>494</v>
      </c>
      <c r="C290" s="309" t="s">
        <v>494</v>
      </c>
      <c r="D290" s="136" t="str">
        <f t="array" ref="D290">IF(E290=0,0,(INDEX(AccountCodes[ACCOUNT NAME],MATCH(E290,AccountCodes[NGAS CODE],0))))</f>
        <v>Repairs and Maintenance-Transportation Equipment - Motor Vehicles</v>
      </c>
      <c r="E290" s="309" t="s">
        <v>262</v>
      </c>
      <c r="F290" s="501">
        <v>132037.25</v>
      </c>
    </row>
    <row r="291" spans="1:6">
      <c r="A291" s="308">
        <v>43373</v>
      </c>
      <c r="B291" s="309" t="s">
        <v>494</v>
      </c>
      <c r="C291" s="309" t="s">
        <v>494</v>
      </c>
      <c r="D291" s="136" t="str">
        <f t="array" ref="D291">IF(E291=0,0,(INDEX(AccountCodes[ACCOUNT NAME],MATCH(E291,AccountCodes[NGAS CODE],0))))</f>
        <v>Repairs and Maintenance-Transportation Equipment - Motor Vehicles</v>
      </c>
      <c r="E291" s="309" t="s">
        <v>262</v>
      </c>
      <c r="F291" s="501">
        <v>132037.25</v>
      </c>
    </row>
    <row r="292" spans="1:6">
      <c r="A292" s="308">
        <v>43465</v>
      </c>
      <c r="B292" s="309" t="s">
        <v>494</v>
      </c>
      <c r="C292" s="309" t="s">
        <v>494</v>
      </c>
      <c r="D292" s="136" t="str">
        <f t="array" ref="D292">IF(E292=0,0,(INDEX(AccountCodes[ACCOUNT NAME],MATCH(E292,AccountCodes[NGAS CODE],0))))</f>
        <v>Repairs and Maintenance-Transportation Equipment - Motor Vehicles</v>
      </c>
      <c r="E292" s="309" t="s">
        <v>262</v>
      </c>
      <c r="F292" s="501">
        <v>132037.25</v>
      </c>
    </row>
    <row r="293" spans="1:6">
      <c r="A293" s="308">
        <v>43434</v>
      </c>
      <c r="B293" s="309" t="s">
        <v>494</v>
      </c>
      <c r="C293" s="309" t="s">
        <v>494</v>
      </c>
      <c r="D293" s="136" t="str">
        <f t="array" ref="D293">IF(E293=0,0,(INDEX(AccountCodes[ACCOUNT NAME],MATCH(E293,AccountCodes[NGAS CODE],0))))</f>
        <v>Repairs and Maintenance-Buildings and Other Structures - Buildings</v>
      </c>
      <c r="E293" s="309" t="s">
        <v>251</v>
      </c>
      <c r="F293" s="501">
        <v>50000</v>
      </c>
    </row>
    <row r="294" spans="1:6">
      <c r="A294" s="308">
        <v>43465</v>
      </c>
      <c r="B294" s="309" t="s">
        <v>494</v>
      </c>
      <c r="C294" s="309" t="s">
        <v>494</v>
      </c>
      <c r="D294" s="136" t="str">
        <f t="array" ref="D294">IF(E294=0,0,(INDEX(AccountCodes[ACCOUNT NAME],MATCH(E294,AccountCodes[NGAS CODE],0))))</f>
        <v>Repairs and Maintenance-Buildings and Other Structures - Buildings</v>
      </c>
      <c r="E294" s="309" t="s">
        <v>251</v>
      </c>
      <c r="F294" s="501">
        <v>50000</v>
      </c>
    </row>
    <row r="295" spans="1:6">
      <c r="A295" s="308">
        <v>43404</v>
      </c>
      <c r="B295" s="309" t="s">
        <v>494</v>
      </c>
      <c r="C295" s="309" t="s">
        <v>494</v>
      </c>
      <c r="D295" s="136" t="str">
        <f t="array" ref="D295">IF(E295=0,0,(INDEX(AccountCodes[ACCOUNT NAME],MATCH(E295,AccountCodes[NGAS CODE],0))))</f>
        <v>Repairs and Maintenance-Buildings and Other Structures - Other Structures</v>
      </c>
      <c r="E295" s="309" t="s">
        <v>252</v>
      </c>
      <c r="F295" s="501">
        <v>1000000</v>
      </c>
    </row>
    <row r="296" spans="1:6">
      <c r="A296" s="308">
        <v>43434</v>
      </c>
      <c r="B296" s="309" t="s">
        <v>494</v>
      </c>
      <c r="C296" s="309" t="s">
        <v>494</v>
      </c>
      <c r="D296" s="136" t="str">
        <f t="array" ref="D296">IF(E296=0,0,(INDEX(AccountCodes[ACCOUNT NAME],MATCH(E296,AccountCodes[NGAS CODE],0))))</f>
        <v>Repairs and Maintenance-Buildings and Other Structures - Other Structures</v>
      </c>
      <c r="E296" s="309" t="s">
        <v>252</v>
      </c>
      <c r="F296" s="501">
        <v>2000000</v>
      </c>
    </row>
    <row r="297" spans="1:6">
      <c r="A297" s="308">
        <v>43465</v>
      </c>
      <c r="B297" s="309" t="s">
        <v>494</v>
      </c>
      <c r="C297" s="309" t="s">
        <v>494</v>
      </c>
      <c r="D297" s="136" t="str">
        <f t="array" ref="D297">IF(E297=0,0,(INDEX(AccountCodes[ACCOUNT NAME],MATCH(E297,AccountCodes[NGAS CODE],0))))</f>
        <v>Repairs and Maintenance-Buildings and Other Structures - Other Structures</v>
      </c>
      <c r="E297" s="309" t="s">
        <v>252</v>
      </c>
      <c r="F297" s="501">
        <v>2000000</v>
      </c>
    </row>
    <row r="298" spans="1:6">
      <c r="A298" s="308">
        <v>43281</v>
      </c>
      <c r="B298" s="309" t="s">
        <v>494</v>
      </c>
      <c r="C298" s="309" t="s">
        <v>494</v>
      </c>
      <c r="D298" s="136" t="str">
        <f t="array" ref="D298">IF(E298=0,0,(INDEX(AccountCodes[ACCOUNT NAME],MATCH(E298,AccountCodes[NGAS CODE],0))))</f>
        <v>Other Maintenance and Operating Expenses - Other Maintenance and Operating Expenses</v>
      </c>
      <c r="E298" s="309" t="s">
        <v>271</v>
      </c>
      <c r="F298" s="501">
        <v>500000</v>
      </c>
    </row>
    <row r="299" spans="1:6">
      <c r="A299" s="308">
        <v>43465</v>
      </c>
      <c r="B299" s="309" t="s">
        <v>494</v>
      </c>
      <c r="C299" s="309" t="s">
        <v>494</v>
      </c>
      <c r="D299" s="136" t="str">
        <f t="array" ref="D299">IF(E299=0,0,(INDEX(AccountCodes[ACCOUNT NAME],MATCH(E299,AccountCodes[NGAS CODE],0))))</f>
        <v>Other Maintenance and Operating Expenses - Other Maintenance and Operating Expenses</v>
      </c>
      <c r="E299" s="309" t="s">
        <v>271</v>
      </c>
      <c r="F299" s="501">
        <v>441795</v>
      </c>
    </row>
    <row r="300" spans="1:6">
      <c r="A300" s="308">
        <v>43190</v>
      </c>
      <c r="B300" s="309" t="s">
        <v>494</v>
      </c>
      <c r="C300" s="309" t="s">
        <v>494</v>
      </c>
      <c r="D300" s="136" t="str">
        <f t="array" ref="D300">IF(E300=0,0,(INDEX(AccountCodes[ACCOUNT NAME],MATCH(E300,AccountCodes[NGAS CODE],0))))</f>
        <v>Taxes, Duties and Licenses</v>
      </c>
      <c r="E300" s="309" t="s">
        <v>272</v>
      </c>
      <c r="F300" s="501">
        <v>100000</v>
      </c>
    </row>
    <row r="301" spans="1:6">
      <c r="A301" s="308">
        <v>43281</v>
      </c>
      <c r="B301" s="309" t="s">
        <v>494</v>
      </c>
      <c r="C301" s="309" t="s">
        <v>494</v>
      </c>
      <c r="D301" s="136" t="str">
        <f t="array" ref="D301">IF(E301=0,0,(INDEX(AccountCodes[ACCOUNT NAME],MATCH(E301,AccountCodes[NGAS CODE],0))))</f>
        <v>Taxes, Duties and Licenses</v>
      </c>
      <c r="E301" s="309" t="s">
        <v>272</v>
      </c>
      <c r="F301" s="501">
        <v>50000</v>
      </c>
    </row>
    <row r="302" spans="1:6">
      <c r="A302" s="308">
        <v>43373</v>
      </c>
      <c r="B302" s="309" t="s">
        <v>494</v>
      </c>
      <c r="C302" s="309" t="s">
        <v>494</v>
      </c>
      <c r="D302" s="136" t="str">
        <f t="array" ref="D302">IF(E302=0,0,(INDEX(AccountCodes[ACCOUNT NAME],MATCH(E302,AccountCodes[NGAS CODE],0))))</f>
        <v>Taxes, Duties and Licenses</v>
      </c>
      <c r="E302" s="309" t="s">
        <v>272</v>
      </c>
      <c r="F302" s="501">
        <v>29254</v>
      </c>
    </row>
    <row r="303" spans="1:6">
      <c r="A303" s="308"/>
      <c r="D303" s="136">
        <f t="array" ref="D303">IF(E303=0,0,(INDEX(AccountCodes[ACCOUNT NAME],MATCH(E303,AccountCodes[NGAS CODE],0))))</f>
        <v>0</v>
      </c>
      <c r="E303" s="309"/>
      <c r="F303" s="502"/>
    </row>
    <row r="304" spans="1:6">
      <c r="A304" s="308">
        <v>43131</v>
      </c>
      <c r="B304" s="24" t="s">
        <v>484</v>
      </c>
      <c r="C304" s="24" t="s">
        <v>487</v>
      </c>
      <c r="D304" s="136" t="str">
        <f t="array" ref="D304">IF(E304=0,0,(INDEX(AccountCodes[ACCOUNT NAME],MATCH(E304,AccountCodes[NGAS CODE],0))))</f>
        <v>Other Service Income - Irrigation Service Fee (Back Account)</v>
      </c>
      <c r="E304" s="309" t="s">
        <v>126</v>
      </c>
      <c r="F304" s="502">
        <v>875000</v>
      </c>
    </row>
    <row r="305" spans="1:6">
      <c r="A305" s="308">
        <v>43159</v>
      </c>
      <c r="B305" s="24" t="s">
        <v>484</v>
      </c>
      <c r="C305" s="24" t="s">
        <v>487</v>
      </c>
      <c r="D305" s="136" t="str">
        <f t="array" ref="D305">IF(E305=0,0,(INDEX(AccountCodes[ACCOUNT NAME],MATCH(E305,AccountCodes[NGAS CODE],0))))</f>
        <v>Other Service Income - Irrigation Service Fee (Back Account)</v>
      </c>
      <c r="E305" s="309" t="s">
        <v>126</v>
      </c>
      <c r="F305" s="502">
        <v>875000</v>
      </c>
    </row>
    <row r="306" spans="1:6">
      <c r="A306" s="308">
        <v>43190</v>
      </c>
      <c r="B306" s="24" t="s">
        <v>484</v>
      </c>
      <c r="C306" s="24" t="s">
        <v>487</v>
      </c>
      <c r="D306" s="136" t="str">
        <f t="array" ref="D306">IF(E306=0,0,(INDEX(AccountCodes[ACCOUNT NAME],MATCH(E306,AccountCodes[NGAS CODE],0))))</f>
        <v>Other Service Income - Irrigation Service Fee (Back Account)</v>
      </c>
      <c r="E306" s="309" t="s">
        <v>126</v>
      </c>
      <c r="F306" s="502">
        <v>875000</v>
      </c>
    </row>
    <row r="307" spans="1:6">
      <c r="A307" s="308">
        <v>43220</v>
      </c>
      <c r="B307" s="24" t="s">
        <v>484</v>
      </c>
      <c r="C307" s="24" t="s">
        <v>487</v>
      </c>
      <c r="D307" s="136" t="str">
        <f t="array" ref="D307">IF(E307=0,0,(INDEX(AccountCodes[ACCOUNT NAME],MATCH(E307,AccountCodes[NGAS CODE],0))))</f>
        <v>Other Service Income - Irrigation Service Fee (Back Account)</v>
      </c>
      <c r="E307" s="309" t="s">
        <v>126</v>
      </c>
      <c r="F307" s="502">
        <v>875000</v>
      </c>
    </row>
    <row r="308" spans="1:6">
      <c r="A308" s="308">
        <v>43251</v>
      </c>
      <c r="B308" s="24" t="s">
        <v>484</v>
      </c>
      <c r="C308" s="24" t="s">
        <v>487</v>
      </c>
      <c r="D308" s="136" t="str">
        <f t="array" ref="D308">IF(E308=0,0,(INDEX(AccountCodes[ACCOUNT NAME],MATCH(E308,AccountCodes[NGAS CODE],0))))</f>
        <v>Other Service Income - Irrigation Service Fee (Back Account)</v>
      </c>
      <c r="E308" s="309" t="s">
        <v>126</v>
      </c>
      <c r="F308" s="502">
        <v>875000</v>
      </c>
    </row>
    <row r="309" spans="1:6">
      <c r="A309" s="308">
        <v>43281</v>
      </c>
      <c r="B309" s="24" t="s">
        <v>484</v>
      </c>
      <c r="C309" s="24" t="s">
        <v>487</v>
      </c>
      <c r="D309" s="136" t="str">
        <f t="array" ref="D309">IF(E309=0,0,(INDEX(AccountCodes[ACCOUNT NAME],MATCH(E309,AccountCodes[NGAS CODE],0))))</f>
        <v>Other Service Income - Irrigation Service Fee (Back Account)</v>
      </c>
      <c r="E309" s="309" t="s">
        <v>126</v>
      </c>
      <c r="F309" s="502">
        <v>875000</v>
      </c>
    </row>
    <row r="310" spans="1:6">
      <c r="A310" s="308">
        <v>43312</v>
      </c>
      <c r="B310" s="24" t="s">
        <v>484</v>
      </c>
      <c r="C310" s="24" t="s">
        <v>487</v>
      </c>
      <c r="D310" s="136" t="str">
        <f t="array" ref="D310">IF(E310=0,0,(INDEX(AccountCodes[ACCOUNT NAME],MATCH(E310,AccountCodes[NGAS CODE],0))))</f>
        <v>Other Service Income - Irrigation Service Fee (Back Account)</v>
      </c>
      <c r="E310" s="309" t="s">
        <v>126</v>
      </c>
      <c r="F310" s="502">
        <v>875000</v>
      </c>
    </row>
    <row r="311" spans="1:6">
      <c r="A311" s="308">
        <v>43343</v>
      </c>
      <c r="B311" s="24" t="s">
        <v>484</v>
      </c>
      <c r="C311" s="24" t="s">
        <v>487</v>
      </c>
      <c r="D311" s="136" t="str">
        <f t="array" ref="D311">IF(E311=0,0,(INDEX(AccountCodes[ACCOUNT NAME],MATCH(E311,AccountCodes[NGAS CODE],0))))</f>
        <v>Other Service Income - Irrigation Service Fee (Back Account)</v>
      </c>
      <c r="E311" s="309" t="s">
        <v>126</v>
      </c>
      <c r="F311" s="502">
        <v>875000</v>
      </c>
    </row>
    <row r="312" spans="1:6">
      <c r="A312" s="308">
        <v>43373</v>
      </c>
      <c r="B312" s="24" t="s">
        <v>484</v>
      </c>
      <c r="C312" s="24" t="s">
        <v>487</v>
      </c>
      <c r="D312" s="136" t="str">
        <f t="array" ref="D312">IF(E312=0,0,(INDEX(AccountCodes[ACCOUNT NAME],MATCH(E312,AccountCodes[NGAS CODE],0))))</f>
        <v>Other Service Income - Irrigation Service Fee (Back Account)</v>
      </c>
      <c r="E312" s="309" t="s">
        <v>126</v>
      </c>
      <c r="F312" s="502">
        <v>875000</v>
      </c>
    </row>
    <row r="313" spans="1:6">
      <c r="A313" s="308">
        <v>43404</v>
      </c>
      <c r="B313" s="24" t="s">
        <v>484</v>
      </c>
      <c r="C313" s="24" t="s">
        <v>487</v>
      </c>
      <c r="D313" s="136" t="str">
        <f t="array" ref="D313">IF(E313=0,0,(INDEX(AccountCodes[ACCOUNT NAME],MATCH(E313,AccountCodes[NGAS CODE],0))))</f>
        <v>Other Service Income - Irrigation Service Fee (Back Account)</v>
      </c>
      <c r="E313" s="309" t="s">
        <v>126</v>
      </c>
      <c r="F313" s="502">
        <v>875000</v>
      </c>
    </row>
    <row r="314" spans="1:6">
      <c r="A314" s="308">
        <v>43434</v>
      </c>
      <c r="B314" s="24" t="s">
        <v>484</v>
      </c>
      <c r="C314" s="24" t="s">
        <v>487</v>
      </c>
      <c r="D314" s="136" t="str">
        <f t="array" ref="D314">IF(E314=0,0,(INDEX(AccountCodes[ACCOUNT NAME],MATCH(E314,AccountCodes[NGAS CODE],0))))</f>
        <v>Other Service Income - Irrigation Service Fee (Back Account)</v>
      </c>
      <c r="E314" s="309" t="s">
        <v>126</v>
      </c>
      <c r="F314" s="502">
        <v>875000</v>
      </c>
    </row>
    <row r="315" spans="1:6">
      <c r="A315" s="308">
        <v>43465</v>
      </c>
      <c r="B315" s="24" t="s">
        <v>484</v>
      </c>
      <c r="C315" s="24" t="s">
        <v>487</v>
      </c>
      <c r="D315" s="136" t="str">
        <f t="array" ref="D315">IF(E315=0,0,(INDEX(AccountCodes[ACCOUNT NAME],MATCH(E315,AccountCodes[NGAS CODE],0))))</f>
        <v>Other Service Income - Irrigation Service Fee (Back Account)</v>
      </c>
      <c r="E315" s="309" t="s">
        <v>126</v>
      </c>
      <c r="F315" s="502">
        <v>875000</v>
      </c>
    </row>
    <row r="316" spans="1:6">
      <c r="A316" s="308">
        <v>43220</v>
      </c>
      <c r="B316" s="24" t="s">
        <v>484</v>
      </c>
      <c r="C316" s="24" t="s">
        <v>487</v>
      </c>
      <c r="D316" s="136" t="str">
        <f t="array" ref="D316">IF(E316=0,0,(INDEX(AccountCodes[ACCOUNT NAME],MATCH(E316,AccountCodes[NGAS CODE],0))))</f>
        <v>Other Service Income - CIS Amortization (Back Account)</v>
      </c>
      <c r="E316" s="24" t="s">
        <v>129</v>
      </c>
      <c r="F316" s="502">
        <v>250000</v>
      </c>
    </row>
    <row r="317" spans="1:6">
      <c r="A317" s="308">
        <v>43251</v>
      </c>
      <c r="B317" s="24" t="s">
        <v>484</v>
      </c>
      <c r="C317" s="24" t="s">
        <v>487</v>
      </c>
      <c r="D317" s="136" t="str">
        <f t="array" ref="D317">IF(E317=0,0,(INDEX(AccountCodes[ACCOUNT NAME],MATCH(E317,AccountCodes[NGAS CODE],0))))</f>
        <v>Other Service Income - CIS Amortization (Back Account)</v>
      </c>
      <c r="E317" s="24" t="s">
        <v>129</v>
      </c>
      <c r="F317" s="502">
        <v>500000</v>
      </c>
    </row>
    <row r="318" spans="1:6">
      <c r="A318" s="308">
        <v>43281</v>
      </c>
      <c r="B318" s="24" t="s">
        <v>484</v>
      </c>
      <c r="C318" s="24" t="s">
        <v>487</v>
      </c>
      <c r="D318" s="136" t="str">
        <f t="array" ref="D318">IF(E318=0,0,(INDEX(AccountCodes[ACCOUNT NAME],MATCH(E318,AccountCodes[NGAS CODE],0))))</f>
        <v>Other Service Income - CIS Amortization (Back Account)</v>
      </c>
      <c r="E318" s="24" t="s">
        <v>129</v>
      </c>
      <c r="F318" s="502">
        <v>750000</v>
      </c>
    </row>
    <row r="319" spans="1:6">
      <c r="A319" s="308">
        <v>43312</v>
      </c>
      <c r="B319" s="24" t="s">
        <v>484</v>
      </c>
      <c r="C319" s="24" t="s">
        <v>487</v>
      </c>
      <c r="D319" s="136" t="str">
        <f t="array" ref="D319">IF(E319=0,0,(INDEX(AccountCodes[ACCOUNT NAME],MATCH(E319,AccountCodes[NGAS CODE],0))))</f>
        <v>Other Service Income - CIS Amortization (Back Account)</v>
      </c>
      <c r="E319" s="24" t="s">
        <v>129</v>
      </c>
      <c r="F319" s="502">
        <v>400000</v>
      </c>
    </row>
    <row r="320" spans="1:6">
      <c r="A320" s="308">
        <v>43404</v>
      </c>
      <c r="B320" s="24" t="s">
        <v>484</v>
      </c>
      <c r="C320" s="24" t="s">
        <v>487</v>
      </c>
      <c r="D320" s="136" t="str">
        <f t="array" ref="D320">IF(E320=0,0,(INDEX(AccountCodes[ACCOUNT NAME],MATCH(E320,AccountCodes[NGAS CODE],0))))</f>
        <v>Other Service Income - CIS Amortization (Back Account)</v>
      </c>
      <c r="E320" s="24" t="s">
        <v>129</v>
      </c>
      <c r="F320" s="502">
        <v>500000</v>
      </c>
    </row>
    <row r="321" spans="1:6">
      <c r="A321" s="308">
        <v>43434</v>
      </c>
      <c r="B321" s="24" t="s">
        <v>484</v>
      </c>
      <c r="C321" s="24" t="s">
        <v>487</v>
      </c>
      <c r="D321" s="136" t="str">
        <f t="array" ref="D321">IF(E321=0,0,(INDEX(AccountCodes[ACCOUNT NAME],MATCH(E321,AccountCodes[NGAS CODE],0))))</f>
        <v>Other Service Income - CIS Amortization (Back Account)</v>
      </c>
      <c r="E321" s="24" t="s">
        <v>129</v>
      </c>
      <c r="F321" s="502">
        <v>300000</v>
      </c>
    </row>
    <row r="322" spans="1:6">
      <c r="A322" s="308">
        <v>43465</v>
      </c>
      <c r="B322" s="24" t="s">
        <v>484</v>
      </c>
      <c r="C322" s="24" t="s">
        <v>487</v>
      </c>
      <c r="D322" s="136" t="str">
        <f t="array" ref="D322">IF(E322=0,0,(INDEX(AccountCodes[ACCOUNT NAME],MATCH(E322,AccountCodes[NGAS CODE],0))))</f>
        <v>Other Service Income - CIS Amortization (Back Account)</v>
      </c>
      <c r="E322" s="24" t="s">
        <v>129</v>
      </c>
      <c r="F322" s="502">
        <v>300000</v>
      </c>
    </row>
    <row r="323" spans="1:6">
      <c r="A323" s="308">
        <v>43131</v>
      </c>
      <c r="B323" s="24" t="s">
        <v>484</v>
      </c>
      <c r="C323" s="24" t="s">
        <v>487</v>
      </c>
      <c r="D323" s="136" t="str">
        <f t="array" ref="D323">IF(E323=0,0,(INDEX(AccountCodes[ACCOUNT NAME],MATCH(E323,AccountCodes[NGAS CODE],0))))</f>
        <v>Income from Hostels/Dormitories and Other Like Facilities</v>
      </c>
      <c r="E323" s="309" t="s">
        <v>150</v>
      </c>
      <c r="F323" s="502">
        <v>1500</v>
      </c>
    </row>
    <row r="324" spans="1:6">
      <c r="A324" s="308">
        <v>43159</v>
      </c>
      <c r="B324" s="24" t="s">
        <v>484</v>
      </c>
      <c r="C324" s="24" t="s">
        <v>487</v>
      </c>
      <c r="D324" s="136" t="str">
        <f t="array" ref="D324">IF(E324=0,0,(INDEX(AccountCodes[ACCOUNT NAME],MATCH(E324,AccountCodes[NGAS CODE],0))))</f>
        <v>Income from Hostels/Dormitories and Other Like Facilities</v>
      </c>
      <c r="E324" s="309" t="s">
        <v>150</v>
      </c>
      <c r="F324" s="502">
        <v>1500</v>
      </c>
    </row>
    <row r="325" spans="1:6">
      <c r="A325" s="308">
        <v>43190</v>
      </c>
      <c r="B325" s="24" t="s">
        <v>484</v>
      </c>
      <c r="C325" s="24" t="s">
        <v>487</v>
      </c>
      <c r="D325" s="136" t="str">
        <f t="array" ref="D325">IF(E325=0,0,(INDEX(AccountCodes[ACCOUNT NAME],MATCH(E325,AccountCodes[NGAS CODE],0))))</f>
        <v>Income from Hostels/Dormitories and Other Like Facilities</v>
      </c>
      <c r="E325" s="309" t="s">
        <v>150</v>
      </c>
      <c r="F325" s="502">
        <v>1500</v>
      </c>
    </row>
    <row r="326" spans="1:6">
      <c r="A326" s="308">
        <v>43220</v>
      </c>
      <c r="B326" s="24" t="s">
        <v>484</v>
      </c>
      <c r="C326" s="24" t="s">
        <v>487</v>
      </c>
      <c r="D326" s="136" t="str">
        <f t="array" ref="D326">IF(E326=0,0,(INDEX(AccountCodes[ACCOUNT NAME],MATCH(E326,AccountCodes[NGAS CODE],0))))</f>
        <v>Income from Hostels/Dormitories and Other Like Facilities</v>
      </c>
      <c r="E326" s="309" t="s">
        <v>150</v>
      </c>
      <c r="F326" s="502">
        <v>1500</v>
      </c>
    </row>
    <row r="327" spans="1:6">
      <c r="A327" s="308">
        <v>43251</v>
      </c>
      <c r="B327" s="24" t="s">
        <v>484</v>
      </c>
      <c r="C327" s="24" t="s">
        <v>487</v>
      </c>
      <c r="D327" s="136" t="str">
        <f t="array" ref="D327">IF(E327=0,0,(INDEX(AccountCodes[ACCOUNT NAME],MATCH(E327,AccountCodes[NGAS CODE],0))))</f>
        <v>Income from Hostels/Dormitories and Other Like Facilities</v>
      </c>
      <c r="E327" s="309" t="s">
        <v>150</v>
      </c>
      <c r="F327" s="502">
        <v>1500</v>
      </c>
    </row>
    <row r="328" spans="1:6">
      <c r="A328" s="308">
        <v>43281</v>
      </c>
      <c r="B328" s="24" t="s">
        <v>484</v>
      </c>
      <c r="C328" s="24" t="s">
        <v>487</v>
      </c>
      <c r="D328" s="136" t="str">
        <f t="array" ref="D328">IF(E328=0,0,(INDEX(AccountCodes[ACCOUNT NAME],MATCH(E328,AccountCodes[NGAS CODE],0))))</f>
        <v>Income from Hostels/Dormitories and Other Like Facilities</v>
      </c>
      <c r="E328" s="309" t="s">
        <v>150</v>
      </c>
      <c r="F328" s="502">
        <v>2000</v>
      </c>
    </row>
    <row r="329" spans="1:6">
      <c r="A329" s="308">
        <v>43312</v>
      </c>
      <c r="B329" s="24" t="s">
        <v>484</v>
      </c>
      <c r="C329" s="24" t="s">
        <v>487</v>
      </c>
      <c r="D329" s="136" t="str">
        <f t="array" ref="D329">IF(E329=0,0,(INDEX(AccountCodes[ACCOUNT NAME],MATCH(E329,AccountCodes[NGAS CODE],0))))</f>
        <v>Income from Hostels/Dormitories and Other Like Facilities</v>
      </c>
      <c r="E329" s="309" t="s">
        <v>150</v>
      </c>
      <c r="F329" s="502">
        <v>2000</v>
      </c>
    </row>
    <row r="330" spans="1:6">
      <c r="A330" s="308">
        <v>43343</v>
      </c>
      <c r="B330" s="24" t="s">
        <v>484</v>
      </c>
      <c r="C330" s="24" t="s">
        <v>487</v>
      </c>
      <c r="D330" s="136" t="str">
        <f t="array" ref="D330">IF(E330=0,0,(INDEX(AccountCodes[ACCOUNT NAME],MATCH(E330,AccountCodes[NGAS CODE],0))))</f>
        <v>Income from Hostels/Dormitories and Other Like Facilities</v>
      </c>
      <c r="E330" s="309" t="s">
        <v>150</v>
      </c>
      <c r="F330" s="502">
        <v>1500</v>
      </c>
    </row>
    <row r="331" spans="1:6">
      <c r="A331" s="308">
        <v>43373</v>
      </c>
      <c r="B331" s="24" t="s">
        <v>484</v>
      </c>
      <c r="C331" s="24" t="s">
        <v>487</v>
      </c>
      <c r="D331" s="136" t="str">
        <f t="array" ref="D331">IF(E331=0,0,(INDEX(AccountCodes[ACCOUNT NAME],MATCH(E331,AccountCodes[NGAS CODE],0))))</f>
        <v>Income from Hostels/Dormitories and Other Like Facilities</v>
      </c>
      <c r="E331" s="309" t="s">
        <v>150</v>
      </c>
      <c r="F331" s="502">
        <v>1500</v>
      </c>
    </row>
    <row r="332" spans="1:6">
      <c r="A332" s="308">
        <v>43404</v>
      </c>
      <c r="B332" s="24" t="s">
        <v>484</v>
      </c>
      <c r="C332" s="24" t="s">
        <v>487</v>
      </c>
      <c r="D332" s="136" t="str">
        <f t="array" ref="D332">IF(E332=0,0,(INDEX(AccountCodes[ACCOUNT NAME],MATCH(E332,AccountCodes[NGAS CODE],0))))</f>
        <v>Income from Hostels/Dormitories and Other Like Facilities</v>
      </c>
      <c r="E332" s="309" t="s">
        <v>150</v>
      </c>
      <c r="F332" s="502">
        <v>1500</v>
      </c>
    </row>
    <row r="333" spans="1:6">
      <c r="A333" s="308">
        <v>43434</v>
      </c>
      <c r="B333" s="24" t="s">
        <v>484</v>
      </c>
      <c r="C333" s="24" t="s">
        <v>487</v>
      </c>
      <c r="D333" s="136" t="str">
        <f t="array" ref="D333">IF(E333=0,0,(INDEX(AccountCodes[ACCOUNT NAME],MATCH(E333,AccountCodes[NGAS CODE],0))))</f>
        <v>Income from Hostels/Dormitories and Other Like Facilities</v>
      </c>
      <c r="E333" s="309" t="s">
        <v>150</v>
      </c>
      <c r="F333" s="502">
        <v>2000</v>
      </c>
    </row>
    <row r="334" spans="1:6">
      <c r="A334" s="308">
        <v>43465</v>
      </c>
      <c r="B334" s="24" t="s">
        <v>484</v>
      </c>
      <c r="C334" s="24" t="s">
        <v>487</v>
      </c>
      <c r="D334" s="136" t="str">
        <f t="array" ref="D334">IF(E334=0,0,(INDEX(AccountCodes[ACCOUNT NAME],MATCH(E334,AccountCodes[NGAS CODE],0))))</f>
        <v>Income from Hostels/Dormitories and Other Like Facilities</v>
      </c>
      <c r="E334" s="309" t="s">
        <v>150</v>
      </c>
      <c r="F334" s="502">
        <v>2000</v>
      </c>
    </row>
    <row r="335" spans="1:6">
      <c r="A335" s="308">
        <v>43131</v>
      </c>
      <c r="B335" s="24" t="s">
        <v>484</v>
      </c>
      <c r="C335" s="24" t="s">
        <v>487</v>
      </c>
      <c r="D335" s="136" t="str">
        <f t="array" ref="D335">IF(E335=0,0,(INDEX(AccountCodes[ACCOUNT NAME],MATCH(E335,AccountCodes[NGAS CODE],0))))</f>
        <v>Miscellaneous Income (Bid Documents)</v>
      </c>
      <c r="E335" s="309" t="s">
        <v>155</v>
      </c>
      <c r="F335" s="502">
        <v>23000</v>
      </c>
    </row>
    <row r="336" spans="1:6">
      <c r="A336" s="308">
        <v>43159</v>
      </c>
      <c r="B336" s="24" t="s">
        <v>484</v>
      </c>
      <c r="C336" s="24" t="s">
        <v>487</v>
      </c>
      <c r="D336" s="136" t="str">
        <f t="array" ref="D336">IF(E336=0,0,(INDEX(AccountCodes[ACCOUNT NAME],MATCH(E336,AccountCodes[NGAS CODE],0))))</f>
        <v>Miscellaneous Income (Bid Documents)</v>
      </c>
      <c r="E336" s="309" t="s">
        <v>155</v>
      </c>
      <c r="F336" s="502">
        <v>23000</v>
      </c>
    </row>
    <row r="337" spans="1:6">
      <c r="A337" s="308">
        <v>43190</v>
      </c>
      <c r="B337" s="24" t="s">
        <v>484</v>
      </c>
      <c r="C337" s="24" t="s">
        <v>487</v>
      </c>
      <c r="D337" s="136" t="str">
        <f t="array" ref="D337">IF(E337=0,0,(INDEX(AccountCodes[ACCOUNT NAME],MATCH(E337,AccountCodes[NGAS CODE],0))))</f>
        <v>Miscellaneous Income (Bid Documents)</v>
      </c>
      <c r="E337" s="309" t="s">
        <v>155</v>
      </c>
      <c r="F337" s="502">
        <v>23000</v>
      </c>
    </row>
    <row r="338" spans="1:6">
      <c r="A338" s="308">
        <v>43220</v>
      </c>
      <c r="B338" s="24" t="s">
        <v>484</v>
      </c>
      <c r="C338" s="24" t="s">
        <v>487</v>
      </c>
      <c r="D338" s="136" t="str">
        <f t="array" ref="D338">IF(E338=0,0,(INDEX(AccountCodes[ACCOUNT NAME],MATCH(E338,AccountCodes[NGAS CODE],0))))</f>
        <v>Miscellaneous Income (Bid Documents)</v>
      </c>
      <c r="E338" s="309" t="s">
        <v>155</v>
      </c>
      <c r="F338" s="502">
        <v>23000</v>
      </c>
    </row>
    <row r="339" spans="1:6">
      <c r="A339" s="308">
        <v>43251</v>
      </c>
      <c r="B339" s="24" t="s">
        <v>484</v>
      </c>
      <c r="C339" s="24" t="s">
        <v>487</v>
      </c>
      <c r="D339" s="136" t="str">
        <f t="array" ref="D339">IF(E339=0,0,(INDEX(AccountCodes[ACCOUNT NAME],MATCH(E339,AccountCodes[NGAS CODE],0))))</f>
        <v>Miscellaneous Income (Bid Documents)</v>
      </c>
      <c r="E339" s="309" t="s">
        <v>155</v>
      </c>
      <c r="F339" s="502">
        <v>23000</v>
      </c>
    </row>
    <row r="340" spans="1:6">
      <c r="A340" s="308">
        <v>43281</v>
      </c>
      <c r="B340" s="24" t="s">
        <v>484</v>
      </c>
      <c r="C340" s="24" t="s">
        <v>487</v>
      </c>
      <c r="D340" s="136" t="str">
        <f t="array" ref="D340">IF(E340=0,0,(INDEX(AccountCodes[ACCOUNT NAME],MATCH(E340,AccountCodes[NGAS CODE],0))))</f>
        <v>Miscellaneous Income (Bid Documents)</v>
      </c>
      <c r="E340" s="309" t="s">
        <v>155</v>
      </c>
      <c r="F340" s="502">
        <v>23000</v>
      </c>
    </row>
    <row r="341" spans="1:6">
      <c r="A341" s="308">
        <v>43312</v>
      </c>
      <c r="B341" s="24" t="s">
        <v>484</v>
      </c>
      <c r="C341" s="24" t="s">
        <v>487</v>
      </c>
      <c r="D341" s="136" t="str">
        <f t="array" ref="D341">IF(E341=0,0,(INDEX(AccountCodes[ACCOUNT NAME],MATCH(E341,AccountCodes[NGAS CODE],0))))</f>
        <v>Miscellaneous Income (Bid Documents)</v>
      </c>
      <c r="E341" s="309" t="s">
        <v>155</v>
      </c>
      <c r="F341" s="502">
        <v>23000</v>
      </c>
    </row>
    <row r="342" spans="1:6">
      <c r="A342" s="308">
        <v>43343</v>
      </c>
      <c r="B342" s="24" t="s">
        <v>484</v>
      </c>
      <c r="C342" s="24" t="s">
        <v>487</v>
      </c>
      <c r="D342" s="136" t="str">
        <f t="array" ref="D342">IF(E342=0,0,(INDEX(AccountCodes[ACCOUNT NAME],MATCH(E342,AccountCodes[NGAS CODE],0))))</f>
        <v>Miscellaneous Income (Bid Documents)</v>
      </c>
      <c r="E342" s="309" t="s">
        <v>155</v>
      </c>
      <c r="F342" s="502">
        <v>23000</v>
      </c>
    </row>
    <row r="343" spans="1:6">
      <c r="A343" s="308">
        <v>43373</v>
      </c>
      <c r="B343" s="24" t="s">
        <v>484</v>
      </c>
      <c r="C343" s="24" t="s">
        <v>487</v>
      </c>
      <c r="D343" s="136" t="str">
        <f t="array" ref="D343">IF(E343=0,0,(INDEX(AccountCodes[ACCOUNT NAME],MATCH(E343,AccountCodes[NGAS CODE],0))))</f>
        <v>Miscellaneous Income (Bid Documents)</v>
      </c>
      <c r="E343" s="309" t="s">
        <v>155</v>
      </c>
      <c r="F343" s="502">
        <v>23000</v>
      </c>
    </row>
    <row r="344" spans="1:6">
      <c r="A344" s="308">
        <v>43404</v>
      </c>
      <c r="B344" s="24" t="s">
        <v>484</v>
      </c>
      <c r="C344" s="24" t="s">
        <v>487</v>
      </c>
      <c r="D344" s="136" t="str">
        <f t="array" ref="D344">IF(E344=0,0,(INDEX(AccountCodes[ACCOUNT NAME],MATCH(E344,AccountCodes[NGAS CODE],0))))</f>
        <v>Miscellaneous Income (Bid Documents)</v>
      </c>
      <c r="E344" s="309" t="s">
        <v>155</v>
      </c>
      <c r="F344" s="502">
        <v>23000</v>
      </c>
    </row>
    <row r="345" spans="1:6">
      <c r="A345" s="308">
        <v>43434</v>
      </c>
      <c r="B345" s="24" t="s">
        <v>484</v>
      </c>
      <c r="C345" s="24" t="s">
        <v>487</v>
      </c>
      <c r="D345" s="136" t="str">
        <f t="array" ref="D345">IF(E345=0,0,(INDEX(AccountCodes[ACCOUNT NAME],MATCH(E345,AccountCodes[NGAS CODE],0))))</f>
        <v>Miscellaneous Income (Bid Documents)</v>
      </c>
      <c r="E345" s="309" t="s">
        <v>155</v>
      </c>
      <c r="F345" s="502">
        <v>23000</v>
      </c>
    </row>
    <row r="346" spans="1:6">
      <c r="A346" s="308">
        <v>43465</v>
      </c>
      <c r="B346" s="24" t="s">
        <v>484</v>
      </c>
      <c r="C346" s="24" t="s">
        <v>487</v>
      </c>
      <c r="D346" s="136" t="str">
        <f t="array" ref="D346">IF(E346=0,0,(INDEX(AccountCodes[ACCOUNT NAME],MATCH(E346,AccountCodes[NGAS CODE],0))))</f>
        <v>Miscellaneous Income (Bid Documents)</v>
      </c>
      <c r="E346" s="309" t="s">
        <v>155</v>
      </c>
      <c r="F346" s="502">
        <v>27000</v>
      </c>
    </row>
    <row r="347" spans="1:6">
      <c r="A347" s="308">
        <v>43131</v>
      </c>
      <c r="B347" s="24" t="s">
        <v>484</v>
      </c>
      <c r="C347" s="24" t="s">
        <v>487</v>
      </c>
      <c r="D347" s="136" t="str">
        <f t="array" ref="D347">IF(E347=0,0,(INDEX(AccountCodes[ACCOUNT NAME],MATCH(E347,AccountCodes[NGAS CODE],0))))</f>
        <v>Miscellaneous Income (Others)</v>
      </c>
      <c r="E347" s="24" t="s">
        <v>160</v>
      </c>
      <c r="F347" s="502">
        <v>211100</v>
      </c>
    </row>
    <row r="348" spans="1:6">
      <c r="A348" s="308">
        <v>43159</v>
      </c>
      <c r="B348" s="24" t="s">
        <v>484</v>
      </c>
      <c r="C348" s="24" t="s">
        <v>487</v>
      </c>
      <c r="D348" s="136" t="str">
        <f t="array" ref="D348">IF(E348=0,0,(INDEX(AccountCodes[ACCOUNT NAME],MATCH(E348,AccountCodes[NGAS CODE],0))))</f>
        <v>Miscellaneous Income (Others)</v>
      </c>
      <c r="E348" s="24" t="s">
        <v>160</v>
      </c>
      <c r="F348" s="502">
        <v>211100</v>
      </c>
    </row>
    <row r="349" spans="1:6">
      <c r="A349" s="308">
        <v>43190</v>
      </c>
      <c r="B349" s="24" t="s">
        <v>484</v>
      </c>
      <c r="C349" s="24" t="s">
        <v>487</v>
      </c>
      <c r="D349" s="136" t="str">
        <f t="array" ref="D349">IF(E349=0,0,(INDEX(AccountCodes[ACCOUNT NAME],MATCH(E349,AccountCodes[NGAS CODE],0))))</f>
        <v>Miscellaneous Income (Others)</v>
      </c>
      <c r="E349" s="24" t="s">
        <v>160</v>
      </c>
      <c r="F349" s="502">
        <v>211100</v>
      </c>
    </row>
    <row r="350" spans="1:6">
      <c r="A350" s="308">
        <v>43220</v>
      </c>
      <c r="B350" s="24" t="s">
        <v>484</v>
      </c>
      <c r="C350" s="24" t="s">
        <v>487</v>
      </c>
      <c r="D350" s="136" t="str">
        <f t="array" ref="D350">IF(E350=0,0,(INDEX(AccountCodes[ACCOUNT NAME],MATCH(E350,AccountCodes[NGAS CODE],0))))</f>
        <v>Miscellaneous Income (Others)</v>
      </c>
      <c r="E350" s="24" t="s">
        <v>160</v>
      </c>
      <c r="F350" s="502">
        <v>211100</v>
      </c>
    </row>
    <row r="351" spans="1:6">
      <c r="A351" s="308">
        <v>43251</v>
      </c>
      <c r="B351" s="24" t="s">
        <v>484</v>
      </c>
      <c r="C351" s="24" t="s">
        <v>487</v>
      </c>
      <c r="D351" s="136" t="str">
        <f t="array" ref="D351">IF(E351=0,0,(INDEX(AccountCodes[ACCOUNT NAME],MATCH(E351,AccountCodes[NGAS CODE],0))))</f>
        <v>Miscellaneous Income (Others)</v>
      </c>
      <c r="E351" s="24" t="s">
        <v>160</v>
      </c>
      <c r="F351" s="502">
        <v>211100</v>
      </c>
    </row>
    <row r="352" spans="1:6">
      <c r="A352" s="308">
        <v>43281</v>
      </c>
      <c r="B352" s="24" t="s">
        <v>484</v>
      </c>
      <c r="C352" s="24" t="s">
        <v>487</v>
      </c>
      <c r="D352" s="136" t="str">
        <f t="array" ref="D352">IF(E352=0,0,(INDEX(AccountCodes[ACCOUNT NAME],MATCH(E352,AccountCodes[NGAS CODE],0))))</f>
        <v>Miscellaneous Income (Others)</v>
      </c>
      <c r="E352" s="24" t="s">
        <v>160</v>
      </c>
      <c r="F352" s="502">
        <v>211100</v>
      </c>
    </row>
    <row r="353" spans="1:6">
      <c r="A353" s="308">
        <v>43312</v>
      </c>
      <c r="B353" s="24" t="s">
        <v>484</v>
      </c>
      <c r="C353" s="24" t="s">
        <v>487</v>
      </c>
      <c r="D353" s="136" t="str">
        <f t="array" ref="D353">IF(E353=0,0,(INDEX(AccountCodes[ACCOUNT NAME],MATCH(E353,AccountCodes[NGAS CODE],0))))</f>
        <v>Miscellaneous Income (Others)</v>
      </c>
      <c r="E353" s="24" t="s">
        <v>160</v>
      </c>
      <c r="F353" s="502">
        <v>213100</v>
      </c>
    </row>
    <row r="354" spans="1:6">
      <c r="A354" s="308">
        <v>43343</v>
      </c>
      <c r="B354" s="24" t="s">
        <v>484</v>
      </c>
      <c r="C354" s="24" t="s">
        <v>487</v>
      </c>
      <c r="D354" s="136" t="str">
        <f t="array" ref="D354">IF(E354=0,0,(INDEX(AccountCodes[ACCOUNT NAME],MATCH(E354,AccountCodes[NGAS CODE],0))))</f>
        <v>Miscellaneous Income (Others)</v>
      </c>
      <c r="E354" s="24" t="s">
        <v>160</v>
      </c>
      <c r="F354" s="502">
        <v>213100</v>
      </c>
    </row>
    <row r="355" spans="1:6">
      <c r="A355" s="308">
        <v>43373</v>
      </c>
      <c r="B355" s="24" t="s">
        <v>484</v>
      </c>
      <c r="C355" s="24" t="s">
        <v>487</v>
      </c>
      <c r="D355" s="136" t="str">
        <f t="array" ref="D355">IF(E355=0,0,(INDEX(AccountCodes[ACCOUNT NAME],MATCH(E355,AccountCodes[NGAS CODE],0))))</f>
        <v>Miscellaneous Income (Others)</v>
      </c>
      <c r="E355" s="24" t="s">
        <v>160</v>
      </c>
      <c r="F355" s="502">
        <v>211100</v>
      </c>
    </row>
    <row r="356" spans="1:6">
      <c r="A356" s="308">
        <v>43404</v>
      </c>
      <c r="B356" s="24" t="s">
        <v>484</v>
      </c>
      <c r="C356" s="24" t="s">
        <v>487</v>
      </c>
      <c r="D356" s="136" t="str">
        <f t="array" ref="D356">IF(E356=0,0,(INDEX(AccountCodes[ACCOUNT NAME],MATCH(E356,AccountCodes[NGAS CODE],0))))</f>
        <v>Miscellaneous Income (Others)</v>
      </c>
      <c r="E356" s="24" t="s">
        <v>160</v>
      </c>
      <c r="F356" s="502">
        <v>211100</v>
      </c>
    </row>
    <row r="357" spans="1:6">
      <c r="A357" s="308">
        <v>43434</v>
      </c>
      <c r="B357" s="24" t="s">
        <v>484</v>
      </c>
      <c r="C357" s="24" t="s">
        <v>487</v>
      </c>
      <c r="D357" s="136" t="str">
        <f t="array" ref="D357">IF(E357=0,0,(INDEX(AccountCodes[ACCOUNT NAME],MATCH(E357,AccountCodes[NGAS CODE],0))))</f>
        <v>Miscellaneous Income (Others)</v>
      </c>
      <c r="E357" s="24" t="s">
        <v>160</v>
      </c>
      <c r="F357" s="502">
        <v>217100</v>
      </c>
    </row>
    <row r="358" spans="1:6">
      <c r="A358" s="308">
        <v>43465</v>
      </c>
      <c r="B358" s="24" t="s">
        <v>484</v>
      </c>
      <c r="C358" s="24" t="s">
        <v>487</v>
      </c>
      <c r="D358" s="136" t="str">
        <f t="array" ref="D358">IF(E358=0,0,(INDEX(AccountCodes[ACCOUNT NAME],MATCH(E358,AccountCodes[NGAS CODE],0))))</f>
        <v>Miscellaneous Income (Others)</v>
      </c>
      <c r="E358" s="24" t="s">
        <v>160</v>
      </c>
      <c r="F358" s="502">
        <v>217900</v>
      </c>
    </row>
    <row r="359" spans="1:6">
      <c r="A359" s="308">
        <v>43131</v>
      </c>
      <c r="B359" s="24" t="s">
        <v>484</v>
      </c>
      <c r="C359" s="24" t="s">
        <v>487</v>
      </c>
      <c r="D359" s="136" t="str">
        <f t="array" ref="D359">IF(E359=0,0,(INDEX(AccountCodes[ACCOUNT NAME],MATCH(E359,AccountCodes[NGAS CODE],0))))</f>
        <v>Miscellaneous Income (Power)</v>
      </c>
      <c r="E359" s="24" t="s">
        <v>352</v>
      </c>
      <c r="F359" s="502">
        <v>1500000</v>
      </c>
    </row>
    <row r="360" spans="1:6">
      <c r="A360" s="308">
        <v>43159</v>
      </c>
      <c r="B360" s="24" t="s">
        <v>484</v>
      </c>
      <c r="C360" s="24" t="s">
        <v>487</v>
      </c>
      <c r="D360" s="136" t="str">
        <f t="array" ref="D360">IF(E360=0,0,(INDEX(AccountCodes[ACCOUNT NAME],MATCH(E360,AccountCodes[NGAS CODE],0))))</f>
        <v>Miscellaneous Income (Power)</v>
      </c>
      <c r="E360" s="24" t="s">
        <v>352</v>
      </c>
      <c r="F360" s="502">
        <v>1000000</v>
      </c>
    </row>
    <row r="361" spans="1:6">
      <c r="A361" s="308">
        <v>43190</v>
      </c>
      <c r="B361" s="24" t="s">
        <v>484</v>
      </c>
      <c r="C361" s="24" t="s">
        <v>487</v>
      </c>
      <c r="D361" s="136" t="str">
        <f t="array" ref="D361">IF(E361=0,0,(INDEX(AccountCodes[ACCOUNT NAME],MATCH(E361,AccountCodes[NGAS CODE],0))))</f>
        <v>Miscellaneous Income (Power)</v>
      </c>
      <c r="E361" s="24" t="s">
        <v>352</v>
      </c>
      <c r="F361" s="502">
        <v>1000000</v>
      </c>
    </row>
    <row r="362" spans="1:6">
      <c r="A362" s="308">
        <v>43220</v>
      </c>
      <c r="B362" s="24" t="s">
        <v>484</v>
      </c>
      <c r="C362" s="24" t="s">
        <v>487</v>
      </c>
      <c r="D362" s="136" t="str">
        <f t="array" ref="D362">IF(E362=0,0,(INDEX(AccountCodes[ACCOUNT NAME],MATCH(E362,AccountCodes[NGAS CODE],0))))</f>
        <v>Miscellaneous Income (Power)</v>
      </c>
      <c r="E362" s="24" t="s">
        <v>352</v>
      </c>
      <c r="F362" s="502">
        <v>1500000</v>
      </c>
    </row>
    <row r="363" spans="1:6">
      <c r="A363" s="308">
        <v>43251</v>
      </c>
      <c r="B363" s="24" t="s">
        <v>484</v>
      </c>
      <c r="C363" s="24" t="s">
        <v>487</v>
      </c>
      <c r="D363" s="136" t="str">
        <f t="array" ref="D363">IF(E363=0,0,(INDEX(AccountCodes[ACCOUNT NAME],MATCH(E363,AccountCodes[NGAS CODE],0))))</f>
        <v>Miscellaneous Income (Power)</v>
      </c>
      <c r="E363" s="24" t="s">
        <v>352</v>
      </c>
      <c r="F363" s="502">
        <v>2500000</v>
      </c>
    </row>
    <row r="364" spans="1:6">
      <c r="A364" s="308">
        <v>43281</v>
      </c>
      <c r="B364" s="24" t="s">
        <v>484</v>
      </c>
      <c r="C364" s="24" t="s">
        <v>487</v>
      </c>
      <c r="D364" s="136" t="str">
        <f t="array" ref="D364">IF(E364=0,0,(INDEX(AccountCodes[ACCOUNT NAME],MATCH(E364,AccountCodes[NGAS CODE],0))))</f>
        <v>Miscellaneous Income (Power)</v>
      </c>
      <c r="E364" s="24" t="s">
        <v>352</v>
      </c>
      <c r="F364" s="502">
        <v>1000000</v>
      </c>
    </row>
    <row r="365" spans="1:6">
      <c r="A365" s="308">
        <v>43312</v>
      </c>
      <c r="B365" s="24" t="s">
        <v>484</v>
      </c>
      <c r="C365" s="24" t="s">
        <v>487</v>
      </c>
      <c r="D365" s="136" t="str">
        <f t="array" ref="D365">IF(E365=0,0,(INDEX(AccountCodes[ACCOUNT NAME],MATCH(E365,AccountCodes[NGAS CODE],0))))</f>
        <v>Miscellaneous Income (Power)</v>
      </c>
      <c r="E365" s="24" t="s">
        <v>352</v>
      </c>
      <c r="F365" s="502">
        <v>500000</v>
      </c>
    </row>
    <row r="366" spans="1:6">
      <c r="A366" s="308">
        <v>43373</v>
      </c>
      <c r="B366" s="24" t="s">
        <v>484</v>
      </c>
      <c r="C366" s="24" t="s">
        <v>487</v>
      </c>
      <c r="D366" s="136" t="str">
        <f t="array" ref="D366">IF(E366=0,0,(INDEX(AccountCodes[ACCOUNT NAME],MATCH(E366,AccountCodes[NGAS CODE],0))))</f>
        <v>Miscellaneous Income (Power)</v>
      </c>
      <c r="E366" s="24" t="s">
        <v>352</v>
      </c>
      <c r="F366" s="502">
        <v>500000</v>
      </c>
    </row>
    <row r="367" spans="1:6">
      <c r="A367" s="308">
        <v>43404</v>
      </c>
      <c r="B367" s="24" t="s">
        <v>484</v>
      </c>
      <c r="C367" s="24" t="s">
        <v>487</v>
      </c>
      <c r="D367" s="136" t="str">
        <f t="array" ref="D367">IF(E367=0,0,(INDEX(AccountCodes[ACCOUNT NAME],MATCH(E367,AccountCodes[NGAS CODE],0))))</f>
        <v>Miscellaneous Income (Power)</v>
      </c>
      <c r="E367" s="24" t="s">
        <v>352</v>
      </c>
      <c r="F367" s="502">
        <v>1000000</v>
      </c>
    </row>
    <row r="368" spans="1:6">
      <c r="A368" s="308">
        <v>43434</v>
      </c>
      <c r="B368" s="24" t="s">
        <v>484</v>
      </c>
      <c r="C368" s="24" t="s">
        <v>487</v>
      </c>
      <c r="D368" s="136" t="str">
        <f t="array" ref="D368">IF(E368=0,0,(INDEX(AccountCodes[ACCOUNT NAME],MATCH(E368,AccountCodes[NGAS CODE],0))))</f>
        <v>Miscellaneous Income (Power)</v>
      </c>
      <c r="E368" s="24" t="s">
        <v>352</v>
      </c>
      <c r="F368" s="502">
        <v>3000000</v>
      </c>
    </row>
    <row r="369" spans="1:6">
      <c r="A369" s="308">
        <v>43465</v>
      </c>
      <c r="B369" s="24" t="s">
        <v>484</v>
      </c>
      <c r="C369" s="24" t="s">
        <v>487</v>
      </c>
      <c r="D369" s="136" t="str">
        <f t="array" ref="D369">IF(E369=0,0,(INDEX(AccountCodes[ACCOUNT NAME],MATCH(E369,AccountCodes[NGAS CODE],0))))</f>
        <v>Miscellaneous Income (Power)</v>
      </c>
      <c r="E369" s="24" t="s">
        <v>352</v>
      </c>
      <c r="F369" s="502">
        <v>1500000</v>
      </c>
    </row>
    <row r="370" spans="1:6">
      <c r="A370" s="308">
        <v>43131</v>
      </c>
      <c r="B370" s="24" t="s">
        <v>484</v>
      </c>
      <c r="C370" s="24" t="s">
        <v>487</v>
      </c>
      <c r="D370" s="136" t="str">
        <f t="array" ref="D370">IF(E370=0,0,(INDEX(AccountCodes[ACCOUNT NAME],MATCH(E370,AccountCodes[NGAS CODE],0))))</f>
        <v>Salaries and Wages-Regular</v>
      </c>
      <c r="E370" s="24" t="s">
        <v>162</v>
      </c>
      <c r="F370" s="502">
        <v>1012558</v>
      </c>
    </row>
    <row r="371" spans="1:6">
      <c r="A371" s="308">
        <v>43159</v>
      </c>
      <c r="B371" s="24" t="s">
        <v>484</v>
      </c>
      <c r="C371" s="24" t="s">
        <v>487</v>
      </c>
      <c r="D371" s="136" t="str">
        <f t="array" ref="D371">IF(E371=0,0,(INDEX(AccountCodes[ACCOUNT NAME],MATCH(E371,AccountCodes[NGAS CODE],0))))</f>
        <v>Salaries and Wages-Regular</v>
      </c>
      <c r="E371" s="24" t="s">
        <v>162</v>
      </c>
      <c r="F371" s="502">
        <v>1012558</v>
      </c>
    </row>
    <row r="372" spans="1:6">
      <c r="A372" s="308">
        <v>43190</v>
      </c>
      <c r="B372" s="24" t="s">
        <v>484</v>
      </c>
      <c r="C372" s="24" t="s">
        <v>487</v>
      </c>
      <c r="D372" s="136" t="str">
        <f t="array" ref="D372">IF(E372=0,0,(INDEX(AccountCodes[ACCOUNT NAME],MATCH(E372,AccountCodes[NGAS CODE],0))))</f>
        <v>Salaries and Wages-Regular</v>
      </c>
      <c r="E372" s="24" t="s">
        <v>162</v>
      </c>
      <c r="F372" s="502">
        <v>1012819</v>
      </c>
    </row>
    <row r="373" spans="1:6">
      <c r="A373" s="308">
        <v>43220</v>
      </c>
      <c r="B373" s="24" t="s">
        <v>484</v>
      </c>
      <c r="C373" s="24" t="s">
        <v>487</v>
      </c>
      <c r="D373" s="136" t="str">
        <f t="array" ref="D373">IF(E373=0,0,(INDEX(AccountCodes[ACCOUNT NAME],MATCH(E373,AccountCodes[NGAS CODE],0))))</f>
        <v>Salaries and Wages-Regular</v>
      </c>
      <c r="E373" s="24" t="s">
        <v>162</v>
      </c>
      <c r="F373" s="502">
        <v>1012819</v>
      </c>
    </row>
    <row r="374" spans="1:6">
      <c r="A374" s="308">
        <v>43251</v>
      </c>
      <c r="B374" s="24" t="s">
        <v>484</v>
      </c>
      <c r="C374" s="24" t="s">
        <v>487</v>
      </c>
      <c r="D374" s="136" t="str">
        <f t="array" ref="D374">IF(E374=0,0,(INDEX(AccountCodes[ACCOUNT NAME],MATCH(E374,AccountCodes[NGAS CODE],0))))</f>
        <v>Salaries and Wages-Regular</v>
      </c>
      <c r="E374" s="24" t="s">
        <v>162</v>
      </c>
      <c r="F374" s="502">
        <v>1012819</v>
      </c>
    </row>
    <row r="375" spans="1:6">
      <c r="A375" s="308">
        <v>43281</v>
      </c>
      <c r="B375" s="24" t="s">
        <v>484</v>
      </c>
      <c r="C375" s="24" t="s">
        <v>487</v>
      </c>
      <c r="D375" s="136" t="str">
        <f t="array" ref="D375">IF(E375=0,0,(INDEX(AccountCodes[ACCOUNT NAME],MATCH(E375,AccountCodes[NGAS CODE],0))))</f>
        <v>Salaries and Wages-Regular</v>
      </c>
      <c r="E375" s="24" t="s">
        <v>162</v>
      </c>
      <c r="F375" s="502">
        <v>1012819</v>
      </c>
    </row>
    <row r="376" spans="1:6">
      <c r="A376" s="308">
        <v>43312</v>
      </c>
      <c r="B376" s="24" t="s">
        <v>484</v>
      </c>
      <c r="C376" s="24" t="s">
        <v>487</v>
      </c>
      <c r="D376" s="136" t="str">
        <f t="array" ref="D376">IF(E376=0,0,(INDEX(AccountCodes[ACCOUNT NAME],MATCH(E376,AccountCodes[NGAS CODE],0))))</f>
        <v>Salaries and Wages-Regular</v>
      </c>
      <c r="E376" s="24" t="s">
        <v>162</v>
      </c>
      <c r="F376" s="502">
        <v>1013483</v>
      </c>
    </row>
    <row r="377" spans="1:6">
      <c r="A377" s="308">
        <v>43343</v>
      </c>
      <c r="B377" s="24" t="s">
        <v>484</v>
      </c>
      <c r="C377" s="24" t="s">
        <v>487</v>
      </c>
      <c r="D377" s="136" t="str">
        <f t="array" ref="D377">IF(E377=0,0,(INDEX(AccountCodes[ACCOUNT NAME],MATCH(E377,AccountCodes[NGAS CODE],0))))</f>
        <v>Salaries and Wages-Regular</v>
      </c>
      <c r="E377" s="24" t="s">
        <v>162</v>
      </c>
      <c r="F377" s="502">
        <v>1013912</v>
      </c>
    </row>
    <row r="378" spans="1:6">
      <c r="A378" s="308">
        <v>43373</v>
      </c>
      <c r="B378" s="24" t="s">
        <v>484</v>
      </c>
      <c r="C378" s="24" t="s">
        <v>487</v>
      </c>
      <c r="D378" s="136" t="str">
        <f t="array" ref="D378">IF(E378=0,0,(INDEX(AccountCodes[ACCOUNT NAME],MATCH(E378,AccountCodes[NGAS CODE],0))))</f>
        <v>Salaries and Wages-Regular</v>
      </c>
      <c r="E378" s="24" t="s">
        <v>162</v>
      </c>
      <c r="F378" s="502">
        <v>1014540</v>
      </c>
    </row>
    <row r="379" spans="1:6">
      <c r="A379" s="308">
        <v>43404</v>
      </c>
      <c r="B379" s="24" t="s">
        <v>484</v>
      </c>
      <c r="C379" s="24" t="s">
        <v>487</v>
      </c>
      <c r="D379" s="136" t="str">
        <f t="array" ref="D379">IF(E379=0,0,(INDEX(AccountCodes[ACCOUNT NAME],MATCH(E379,AccountCodes[NGAS CODE],0))))</f>
        <v>Salaries and Wages-Regular</v>
      </c>
      <c r="E379" s="24" t="s">
        <v>162</v>
      </c>
      <c r="F379" s="502">
        <v>1014958</v>
      </c>
    </row>
    <row r="380" spans="1:6">
      <c r="A380" s="308">
        <v>43434</v>
      </c>
      <c r="B380" s="24" t="s">
        <v>484</v>
      </c>
      <c r="C380" s="24" t="s">
        <v>487</v>
      </c>
      <c r="D380" s="136" t="str">
        <f t="array" ref="D380">IF(E380=0,0,(INDEX(AccountCodes[ACCOUNT NAME],MATCH(E380,AccountCodes[NGAS CODE],0))))</f>
        <v>Salaries and Wages-Regular</v>
      </c>
      <c r="E380" s="24" t="s">
        <v>162</v>
      </c>
      <c r="F380" s="502">
        <v>1015266</v>
      </c>
    </row>
    <row r="381" spans="1:6">
      <c r="A381" s="308">
        <v>43465</v>
      </c>
      <c r="B381" s="24" t="s">
        <v>484</v>
      </c>
      <c r="C381" s="24" t="s">
        <v>487</v>
      </c>
      <c r="D381" s="136" t="str">
        <f t="array" ref="D381">IF(E381=0,0,(INDEX(AccountCodes[ACCOUNT NAME],MATCH(E381,AccountCodes[NGAS CODE],0))))</f>
        <v>Salaries and Wages-Regular</v>
      </c>
      <c r="E381" s="24" t="s">
        <v>162</v>
      </c>
      <c r="F381" s="502">
        <v>1015266</v>
      </c>
    </row>
    <row r="382" spans="1:6">
      <c r="A382" s="308">
        <v>43131</v>
      </c>
      <c r="B382" s="24" t="s">
        <v>484</v>
      </c>
      <c r="C382" s="24" t="s">
        <v>487</v>
      </c>
      <c r="D382" s="136" t="str">
        <f t="array" ref="D382">IF(E382=0,0,(INDEX(AccountCodes[ACCOUNT NAME],MATCH(E382,AccountCodes[NGAS CODE],0))))</f>
        <v>Personal Economic Relief Allowance (PERA)</v>
      </c>
      <c r="E382" s="24" t="s">
        <v>164</v>
      </c>
      <c r="F382" s="502">
        <v>92000</v>
      </c>
    </row>
    <row r="383" spans="1:6">
      <c r="A383" s="308">
        <v>43159</v>
      </c>
      <c r="B383" s="24" t="s">
        <v>484</v>
      </c>
      <c r="C383" s="24" t="s">
        <v>487</v>
      </c>
      <c r="D383" s="136" t="str">
        <f t="array" ref="D383">IF(E383=0,0,(INDEX(AccountCodes[ACCOUNT NAME],MATCH(E383,AccountCodes[NGAS CODE],0))))</f>
        <v>Personal Economic Relief Allowance (PERA)</v>
      </c>
      <c r="E383" s="24" t="s">
        <v>164</v>
      </c>
      <c r="F383" s="502">
        <v>92000</v>
      </c>
    </row>
    <row r="384" spans="1:6">
      <c r="A384" s="308">
        <v>43190</v>
      </c>
      <c r="B384" s="24" t="s">
        <v>484</v>
      </c>
      <c r="C384" s="24" t="s">
        <v>487</v>
      </c>
      <c r="D384" s="136" t="str">
        <f t="array" ref="D384">IF(E384=0,0,(INDEX(AccountCodes[ACCOUNT NAME],MATCH(E384,AccountCodes[NGAS CODE],0))))</f>
        <v>Personal Economic Relief Allowance (PERA)</v>
      </c>
      <c r="E384" s="24" t="s">
        <v>164</v>
      </c>
      <c r="F384" s="502">
        <v>92000</v>
      </c>
    </row>
    <row r="385" spans="1:6">
      <c r="A385" s="308">
        <v>43220</v>
      </c>
      <c r="B385" s="24" t="s">
        <v>484</v>
      </c>
      <c r="C385" s="24" t="s">
        <v>487</v>
      </c>
      <c r="D385" s="136" t="str">
        <f t="array" ref="D385">IF(E385=0,0,(INDEX(AccountCodes[ACCOUNT NAME],MATCH(E385,AccountCodes[NGAS CODE],0))))</f>
        <v>Personal Economic Relief Allowance (PERA)</v>
      </c>
      <c r="E385" s="24" t="s">
        <v>164</v>
      </c>
      <c r="F385" s="502">
        <v>92000</v>
      </c>
    </row>
    <row r="386" spans="1:6">
      <c r="A386" s="308">
        <v>43251</v>
      </c>
      <c r="B386" s="24" t="s">
        <v>484</v>
      </c>
      <c r="C386" s="24" t="s">
        <v>487</v>
      </c>
      <c r="D386" s="136" t="str">
        <f t="array" ref="D386">IF(E386=0,0,(INDEX(AccountCodes[ACCOUNT NAME],MATCH(E386,AccountCodes[NGAS CODE],0))))</f>
        <v>Personal Economic Relief Allowance (PERA)</v>
      </c>
      <c r="E386" s="24" t="s">
        <v>164</v>
      </c>
      <c r="F386" s="502">
        <v>92000</v>
      </c>
    </row>
    <row r="387" spans="1:6">
      <c r="A387" s="308">
        <v>43281</v>
      </c>
      <c r="B387" s="24" t="s">
        <v>484</v>
      </c>
      <c r="C387" s="24" t="s">
        <v>487</v>
      </c>
      <c r="D387" s="136" t="str">
        <f t="array" ref="D387">IF(E387=0,0,(INDEX(AccountCodes[ACCOUNT NAME],MATCH(E387,AccountCodes[NGAS CODE],0))))</f>
        <v>Personal Economic Relief Allowance (PERA)</v>
      </c>
      <c r="E387" s="24" t="s">
        <v>164</v>
      </c>
      <c r="F387" s="502">
        <v>92000</v>
      </c>
    </row>
    <row r="388" spans="1:6">
      <c r="A388" s="308">
        <v>43312</v>
      </c>
      <c r="B388" s="24" t="s">
        <v>484</v>
      </c>
      <c r="C388" s="24" t="s">
        <v>487</v>
      </c>
      <c r="D388" s="136" t="str">
        <f t="array" ref="D388">IF(E388=0,0,(INDEX(AccountCodes[ACCOUNT NAME],MATCH(E388,AccountCodes[NGAS CODE],0))))</f>
        <v>Personal Economic Relief Allowance (PERA)</v>
      </c>
      <c r="E388" s="24" t="s">
        <v>164</v>
      </c>
      <c r="F388" s="502">
        <v>92000</v>
      </c>
    </row>
    <row r="389" spans="1:6">
      <c r="A389" s="308">
        <v>43343</v>
      </c>
      <c r="B389" s="24" t="s">
        <v>484</v>
      </c>
      <c r="C389" s="24" t="s">
        <v>487</v>
      </c>
      <c r="D389" s="136" t="str">
        <f t="array" ref="D389">IF(E389=0,0,(INDEX(AccountCodes[ACCOUNT NAME],MATCH(E389,AccountCodes[NGAS CODE],0))))</f>
        <v>Personal Economic Relief Allowance (PERA)</v>
      </c>
      <c r="E389" s="24" t="s">
        <v>164</v>
      </c>
      <c r="F389" s="502">
        <v>92000</v>
      </c>
    </row>
    <row r="390" spans="1:6">
      <c r="A390" s="308">
        <v>43373</v>
      </c>
      <c r="B390" s="24" t="s">
        <v>484</v>
      </c>
      <c r="C390" s="24" t="s">
        <v>487</v>
      </c>
      <c r="D390" s="136" t="str">
        <f t="array" ref="D390">IF(E390=0,0,(INDEX(AccountCodes[ACCOUNT NAME],MATCH(E390,AccountCodes[NGAS CODE],0))))</f>
        <v>Personal Economic Relief Allowance (PERA)</v>
      </c>
      <c r="E390" s="24" t="s">
        <v>164</v>
      </c>
      <c r="F390" s="502">
        <v>92000</v>
      </c>
    </row>
    <row r="391" spans="1:6">
      <c r="A391" s="308">
        <v>43404</v>
      </c>
      <c r="B391" s="24" t="s">
        <v>484</v>
      </c>
      <c r="C391" s="24" t="s">
        <v>487</v>
      </c>
      <c r="D391" s="136" t="str">
        <f t="array" ref="D391">IF(E391=0,0,(INDEX(AccountCodes[ACCOUNT NAME],MATCH(E391,AccountCodes[NGAS CODE],0))))</f>
        <v>Personal Economic Relief Allowance (PERA)</v>
      </c>
      <c r="E391" s="24" t="s">
        <v>164</v>
      </c>
      <c r="F391" s="502">
        <v>92000</v>
      </c>
    </row>
    <row r="392" spans="1:6">
      <c r="A392" s="308">
        <v>43434</v>
      </c>
      <c r="B392" s="24" t="s">
        <v>484</v>
      </c>
      <c r="C392" s="24" t="s">
        <v>487</v>
      </c>
      <c r="D392" s="136" t="str">
        <f t="array" ref="D392">IF(E392=0,0,(INDEX(AccountCodes[ACCOUNT NAME],MATCH(E392,AccountCodes[NGAS CODE],0))))</f>
        <v>Personal Economic Relief Allowance (PERA)</v>
      </c>
      <c r="E392" s="24" t="s">
        <v>164</v>
      </c>
      <c r="F392" s="502">
        <v>92000</v>
      </c>
    </row>
    <row r="393" spans="1:6">
      <c r="A393" s="308">
        <v>43465</v>
      </c>
      <c r="B393" s="24" t="s">
        <v>484</v>
      </c>
      <c r="C393" s="24" t="s">
        <v>487</v>
      </c>
      <c r="D393" s="136" t="str">
        <f t="array" ref="D393">IF(E393=0,0,(INDEX(AccountCodes[ACCOUNT NAME],MATCH(E393,AccountCodes[NGAS CODE],0))))</f>
        <v>Personal Economic Relief Allowance (PERA)</v>
      </c>
      <c r="E393" s="24" t="s">
        <v>164</v>
      </c>
      <c r="F393" s="502">
        <v>92000</v>
      </c>
    </row>
    <row r="394" spans="1:6">
      <c r="A394" s="308">
        <v>43131</v>
      </c>
      <c r="B394" s="24" t="s">
        <v>484</v>
      </c>
      <c r="C394" s="24" t="s">
        <v>487</v>
      </c>
      <c r="D394" s="136" t="str">
        <f t="array" ref="D394">IF(E394=0,0,(INDEX(AccountCodes[ACCOUNT NAME],MATCH(E394,AccountCodes[NGAS CODE],0))))</f>
        <v>Representation Allowance (RA)</v>
      </c>
      <c r="E394" s="24" t="s">
        <v>165</v>
      </c>
      <c r="F394" s="502">
        <v>5000</v>
      </c>
    </row>
    <row r="395" spans="1:6">
      <c r="A395" s="308">
        <v>43159</v>
      </c>
      <c r="B395" s="24" t="s">
        <v>484</v>
      </c>
      <c r="C395" s="24" t="s">
        <v>487</v>
      </c>
      <c r="D395" s="136" t="str">
        <f t="array" ref="D395">IF(E395=0,0,(INDEX(AccountCodes[ACCOUNT NAME],MATCH(E395,AccountCodes[NGAS CODE],0))))</f>
        <v>Representation Allowance (RA)</v>
      </c>
      <c r="E395" s="24" t="s">
        <v>165</v>
      </c>
      <c r="F395" s="502">
        <v>5000</v>
      </c>
    </row>
    <row r="396" spans="1:6">
      <c r="A396" s="308">
        <v>43190</v>
      </c>
      <c r="B396" s="24" t="s">
        <v>484</v>
      </c>
      <c r="C396" s="24" t="s">
        <v>487</v>
      </c>
      <c r="D396" s="136" t="str">
        <f t="array" ref="D396">IF(E396=0,0,(INDEX(AccountCodes[ACCOUNT NAME],MATCH(E396,AccountCodes[NGAS CODE],0))))</f>
        <v>Representation Allowance (RA)</v>
      </c>
      <c r="E396" s="24" t="s">
        <v>165</v>
      </c>
      <c r="F396" s="502">
        <v>5000</v>
      </c>
    </row>
    <row r="397" spans="1:6">
      <c r="A397" s="308">
        <v>43220</v>
      </c>
      <c r="B397" s="24" t="s">
        <v>484</v>
      </c>
      <c r="C397" s="24" t="s">
        <v>487</v>
      </c>
      <c r="D397" s="136" t="str">
        <f t="array" ref="D397">IF(E397=0,0,(INDEX(AccountCodes[ACCOUNT NAME],MATCH(E397,AccountCodes[NGAS CODE],0))))</f>
        <v>Representation Allowance (RA)</v>
      </c>
      <c r="E397" s="24" t="s">
        <v>165</v>
      </c>
      <c r="F397" s="502">
        <v>5000</v>
      </c>
    </row>
    <row r="398" spans="1:6">
      <c r="A398" s="308">
        <v>43251</v>
      </c>
      <c r="B398" s="24" t="s">
        <v>484</v>
      </c>
      <c r="C398" s="24" t="s">
        <v>487</v>
      </c>
      <c r="D398" s="136" t="str">
        <f t="array" ref="D398">IF(E398=0,0,(INDEX(AccountCodes[ACCOUNT NAME],MATCH(E398,AccountCodes[NGAS CODE],0))))</f>
        <v>Representation Allowance (RA)</v>
      </c>
      <c r="E398" s="24" t="s">
        <v>165</v>
      </c>
      <c r="F398" s="502">
        <v>5000</v>
      </c>
    </row>
    <row r="399" spans="1:6">
      <c r="A399" s="308">
        <v>43281</v>
      </c>
      <c r="B399" s="24" t="s">
        <v>484</v>
      </c>
      <c r="C399" s="24" t="s">
        <v>487</v>
      </c>
      <c r="D399" s="136" t="str">
        <f t="array" ref="D399">IF(E399=0,0,(INDEX(AccountCodes[ACCOUNT NAME],MATCH(E399,AccountCodes[NGAS CODE],0))))</f>
        <v>Representation Allowance (RA)</v>
      </c>
      <c r="E399" s="24" t="s">
        <v>165</v>
      </c>
      <c r="F399" s="502">
        <v>5000</v>
      </c>
    </row>
    <row r="400" spans="1:6">
      <c r="A400" s="308">
        <v>43312</v>
      </c>
      <c r="B400" s="24" t="s">
        <v>484</v>
      </c>
      <c r="C400" s="24" t="s">
        <v>487</v>
      </c>
      <c r="D400" s="136" t="str">
        <f t="array" ref="D400">IF(E400=0,0,(INDEX(AccountCodes[ACCOUNT NAME],MATCH(E400,AccountCodes[NGAS CODE],0))))</f>
        <v>Representation Allowance (RA)</v>
      </c>
      <c r="E400" s="24" t="s">
        <v>165</v>
      </c>
      <c r="F400" s="502">
        <v>5000</v>
      </c>
    </row>
    <row r="401" spans="1:6">
      <c r="A401" s="308">
        <v>43343</v>
      </c>
      <c r="B401" s="24" t="s">
        <v>484</v>
      </c>
      <c r="C401" s="24" t="s">
        <v>487</v>
      </c>
      <c r="D401" s="136" t="str">
        <f t="array" ref="D401">IF(E401=0,0,(INDEX(AccountCodes[ACCOUNT NAME],MATCH(E401,AccountCodes[NGAS CODE],0))))</f>
        <v>Representation Allowance (RA)</v>
      </c>
      <c r="E401" s="24" t="s">
        <v>165</v>
      </c>
      <c r="F401" s="502">
        <v>5000</v>
      </c>
    </row>
    <row r="402" spans="1:6">
      <c r="A402" s="308">
        <v>43373</v>
      </c>
      <c r="B402" s="24" t="s">
        <v>484</v>
      </c>
      <c r="C402" s="24" t="s">
        <v>487</v>
      </c>
      <c r="D402" s="136" t="str">
        <f t="array" ref="D402">IF(E402=0,0,(INDEX(AccountCodes[ACCOUNT NAME],MATCH(E402,AccountCodes[NGAS CODE],0))))</f>
        <v>Representation Allowance (RA)</v>
      </c>
      <c r="E402" s="24" t="s">
        <v>165</v>
      </c>
      <c r="F402" s="502">
        <v>5000</v>
      </c>
    </row>
    <row r="403" spans="1:6">
      <c r="A403" s="308">
        <v>43404</v>
      </c>
      <c r="B403" s="24" t="s">
        <v>484</v>
      </c>
      <c r="C403" s="24" t="s">
        <v>487</v>
      </c>
      <c r="D403" s="136" t="str">
        <f t="array" ref="D403">IF(E403=0,0,(INDEX(AccountCodes[ACCOUNT NAME],MATCH(E403,AccountCodes[NGAS CODE],0))))</f>
        <v>Representation Allowance (RA)</v>
      </c>
      <c r="E403" s="24" t="s">
        <v>165</v>
      </c>
      <c r="F403" s="502">
        <v>5000</v>
      </c>
    </row>
    <row r="404" spans="1:6">
      <c r="A404" s="308">
        <v>43434</v>
      </c>
      <c r="B404" s="24" t="s">
        <v>484</v>
      </c>
      <c r="C404" s="24" t="s">
        <v>487</v>
      </c>
      <c r="D404" s="136" t="str">
        <f t="array" ref="D404">IF(E404=0,0,(INDEX(AccountCodes[ACCOUNT NAME],MATCH(E404,AccountCodes[NGAS CODE],0))))</f>
        <v>Representation Allowance (RA)</v>
      </c>
      <c r="E404" s="24" t="s">
        <v>165</v>
      </c>
      <c r="F404" s="502">
        <v>5000</v>
      </c>
    </row>
    <row r="405" spans="1:6">
      <c r="A405" s="308">
        <v>43465</v>
      </c>
      <c r="B405" s="24" t="s">
        <v>484</v>
      </c>
      <c r="C405" s="24" t="s">
        <v>487</v>
      </c>
      <c r="D405" s="136" t="str">
        <f t="array" ref="D405">IF(E405=0,0,(INDEX(AccountCodes[ACCOUNT NAME],MATCH(E405,AccountCodes[NGAS CODE],0))))</f>
        <v>Representation Allowance (RA)</v>
      </c>
      <c r="E405" s="24" t="s">
        <v>165</v>
      </c>
      <c r="F405" s="502">
        <v>5000</v>
      </c>
    </row>
    <row r="406" spans="1:6">
      <c r="A406" s="308">
        <v>43190</v>
      </c>
      <c r="B406" s="24" t="s">
        <v>484</v>
      </c>
      <c r="C406" s="24" t="s">
        <v>487</v>
      </c>
      <c r="D406" s="136" t="str">
        <f t="array" ref="D406">IF(E406=0,0,(INDEX(AccountCodes[ACCOUNT NAME],MATCH(E406,AccountCodes[NGAS CODE],0))))</f>
        <v>Clothing/Uniform Allowance</v>
      </c>
      <c r="E406" s="24" t="s">
        <v>167</v>
      </c>
      <c r="F406" s="502">
        <v>230000</v>
      </c>
    </row>
    <row r="407" spans="1:6">
      <c r="A407" s="308">
        <v>43131</v>
      </c>
      <c r="B407" s="24" t="s">
        <v>484</v>
      </c>
      <c r="C407" s="24" t="s">
        <v>487</v>
      </c>
      <c r="D407" s="136" t="str">
        <f t="array" ref="D407">IF(E407=0,0,(INDEX(AccountCodes[ACCOUNT NAME],MATCH(E407,AccountCodes[NGAS CODE],0))))</f>
        <v>Other Bonuses and Allowances - Children Allowance</v>
      </c>
      <c r="E407" s="24" t="s">
        <v>7</v>
      </c>
      <c r="F407" s="502">
        <v>480</v>
      </c>
    </row>
    <row r="408" spans="1:6">
      <c r="A408" s="308">
        <v>43159</v>
      </c>
      <c r="B408" s="24" t="s">
        <v>484</v>
      </c>
      <c r="C408" s="24" t="s">
        <v>487</v>
      </c>
      <c r="D408" s="136" t="str">
        <f t="array" ref="D408">IF(E408=0,0,(INDEX(AccountCodes[ACCOUNT NAME],MATCH(E408,AccountCodes[NGAS CODE],0))))</f>
        <v>Other Bonuses and Allowances - Children Allowance</v>
      </c>
      <c r="E408" s="24" t="s">
        <v>7</v>
      </c>
      <c r="F408" s="502">
        <v>480</v>
      </c>
    </row>
    <row r="409" spans="1:6">
      <c r="A409" s="308">
        <v>43190</v>
      </c>
      <c r="B409" s="24" t="s">
        <v>484</v>
      </c>
      <c r="C409" s="24" t="s">
        <v>487</v>
      </c>
      <c r="D409" s="136" t="str">
        <f t="array" ref="D409">IF(E409=0,0,(INDEX(AccountCodes[ACCOUNT NAME],MATCH(E409,AccountCodes[NGAS CODE],0))))</f>
        <v>Other Bonuses and Allowances - Children Allowance</v>
      </c>
      <c r="E409" s="24" t="s">
        <v>7</v>
      </c>
      <c r="F409" s="502">
        <v>480</v>
      </c>
    </row>
    <row r="410" spans="1:6">
      <c r="A410" s="308">
        <v>43220</v>
      </c>
      <c r="B410" s="24" t="s">
        <v>484</v>
      </c>
      <c r="C410" s="24" t="s">
        <v>487</v>
      </c>
      <c r="D410" s="136" t="str">
        <f t="array" ref="D410">IF(E410=0,0,(INDEX(AccountCodes[ACCOUNT NAME],MATCH(E410,AccountCodes[NGAS CODE],0))))</f>
        <v>Other Bonuses and Allowances - Children Allowance</v>
      </c>
      <c r="E410" s="24" t="s">
        <v>7</v>
      </c>
      <c r="F410" s="502">
        <v>480</v>
      </c>
    </row>
    <row r="411" spans="1:6">
      <c r="A411" s="308">
        <v>43251</v>
      </c>
      <c r="B411" s="24" t="s">
        <v>484</v>
      </c>
      <c r="C411" s="24" t="s">
        <v>487</v>
      </c>
      <c r="D411" s="136" t="str">
        <f t="array" ref="D411">IF(E411=0,0,(INDEX(AccountCodes[ACCOUNT NAME],MATCH(E411,AccountCodes[NGAS CODE],0))))</f>
        <v>Other Bonuses and Allowances - Children Allowance</v>
      </c>
      <c r="E411" s="24" t="s">
        <v>7</v>
      </c>
      <c r="F411" s="502">
        <v>480</v>
      </c>
    </row>
    <row r="412" spans="1:6">
      <c r="A412" s="308">
        <v>43281</v>
      </c>
      <c r="B412" s="24" t="s">
        <v>484</v>
      </c>
      <c r="C412" s="24" t="s">
        <v>487</v>
      </c>
      <c r="D412" s="136" t="str">
        <f t="array" ref="D412">IF(E412=0,0,(INDEX(AccountCodes[ACCOUNT NAME],MATCH(E412,AccountCodes[NGAS CODE],0))))</f>
        <v>Other Bonuses and Allowances - Children Allowance</v>
      </c>
      <c r="E412" s="24" t="s">
        <v>7</v>
      </c>
      <c r="F412" s="502">
        <v>480</v>
      </c>
    </row>
    <row r="413" spans="1:6">
      <c r="A413" s="308">
        <v>43312</v>
      </c>
      <c r="B413" s="24" t="s">
        <v>484</v>
      </c>
      <c r="C413" s="24" t="s">
        <v>487</v>
      </c>
      <c r="D413" s="136" t="str">
        <f t="array" ref="D413">IF(E413=0,0,(INDEX(AccountCodes[ACCOUNT NAME],MATCH(E413,AccountCodes[NGAS CODE],0))))</f>
        <v>Other Bonuses and Allowances - Children Allowance</v>
      </c>
      <c r="E413" s="24" t="s">
        <v>7</v>
      </c>
      <c r="F413" s="502">
        <v>480</v>
      </c>
    </row>
    <row r="414" spans="1:6">
      <c r="A414" s="308">
        <v>43343</v>
      </c>
      <c r="B414" s="24" t="s">
        <v>484</v>
      </c>
      <c r="C414" s="24" t="s">
        <v>487</v>
      </c>
      <c r="D414" s="136" t="str">
        <f t="array" ref="D414">IF(E414=0,0,(INDEX(AccountCodes[ACCOUNT NAME],MATCH(E414,AccountCodes[NGAS CODE],0))))</f>
        <v>Other Bonuses and Allowances - Children Allowance</v>
      </c>
      <c r="E414" s="24" t="s">
        <v>7</v>
      </c>
      <c r="F414" s="502">
        <v>480</v>
      </c>
    </row>
    <row r="415" spans="1:6">
      <c r="A415" s="308">
        <v>43373</v>
      </c>
      <c r="B415" s="24" t="s">
        <v>484</v>
      </c>
      <c r="C415" s="24" t="s">
        <v>487</v>
      </c>
      <c r="D415" s="136" t="str">
        <f t="array" ref="D415">IF(E415=0,0,(INDEX(AccountCodes[ACCOUNT NAME],MATCH(E415,AccountCodes[NGAS CODE],0))))</f>
        <v>Other Bonuses and Allowances - Children Allowance</v>
      </c>
      <c r="E415" s="24" t="s">
        <v>7</v>
      </c>
      <c r="F415" s="502">
        <v>480</v>
      </c>
    </row>
    <row r="416" spans="1:6">
      <c r="A416" s="308">
        <v>43404</v>
      </c>
      <c r="B416" s="24" t="s">
        <v>484</v>
      </c>
      <c r="C416" s="24" t="s">
        <v>487</v>
      </c>
      <c r="D416" s="136" t="str">
        <f t="array" ref="D416">IF(E416=0,0,(INDEX(AccountCodes[ACCOUNT NAME],MATCH(E416,AccountCodes[NGAS CODE],0))))</f>
        <v>Other Bonuses and Allowances - Children Allowance</v>
      </c>
      <c r="E416" s="24" t="s">
        <v>7</v>
      </c>
      <c r="F416" s="502">
        <v>480</v>
      </c>
    </row>
    <row r="417" spans="1:6">
      <c r="A417" s="308">
        <v>43434</v>
      </c>
      <c r="B417" s="24" t="s">
        <v>484</v>
      </c>
      <c r="C417" s="24" t="s">
        <v>487</v>
      </c>
      <c r="D417" s="136" t="str">
        <f t="array" ref="D417">IF(E417=0,0,(INDEX(AccountCodes[ACCOUNT NAME],MATCH(E417,AccountCodes[NGAS CODE],0))))</f>
        <v>Other Bonuses and Allowances - Children Allowance</v>
      </c>
      <c r="E417" s="24" t="s">
        <v>7</v>
      </c>
      <c r="F417" s="502">
        <v>480</v>
      </c>
    </row>
    <row r="418" spans="1:6">
      <c r="A418" s="308">
        <v>43465</v>
      </c>
      <c r="B418" s="24" t="s">
        <v>484</v>
      </c>
      <c r="C418" s="24" t="s">
        <v>487</v>
      </c>
      <c r="D418" s="136" t="str">
        <f t="array" ref="D418">IF(E418=0,0,(INDEX(AccountCodes[ACCOUNT NAME],MATCH(E418,AccountCodes[NGAS CODE],0))))</f>
        <v>Other Bonuses and Allowances - Children Allowance</v>
      </c>
      <c r="E418" s="24" t="s">
        <v>7</v>
      </c>
      <c r="F418" s="502">
        <v>480</v>
      </c>
    </row>
    <row r="419" spans="1:6">
      <c r="A419" s="308">
        <v>43131</v>
      </c>
      <c r="B419" s="24" t="s">
        <v>484</v>
      </c>
      <c r="C419" s="24" t="s">
        <v>487</v>
      </c>
      <c r="D419" s="136" t="str">
        <f t="array" ref="D419">IF(E419=0,0,(INDEX(AccountCodes[ACCOUNT NAME],MATCH(E419,AccountCodes[NGAS CODE],0))))</f>
        <v>Other Bonuses and Allowances - Medical Allowance</v>
      </c>
      <c r="E419" s="309" t="s">
        <v>5</v>
      </c>
      <c r="F419" s="502">
        <v>6200</v>
      </c>
    </row>
    <row r="420" spans="1:6">
      <c r="A420" s="308">
        <v>43159</v>
      </c>
      <c r="B420" s="24" t="s">
        <v>484</v>
      </c>
      <c r="C420" s="24" t="s">
        <v>487</v>
      </c>
      <c r="D420" s="136" t="str">
        <f t="array" ref="D420">IF(E420=0,0,(INDEX(AccountCodes[ACCOUNT NAME],MATCH(E420,AccountCodes[NGAS CODE],0))))</f>
        <v>Other Bonuses and Allowances - Medical Allowance</v>
      </c>
      <c r="E420" s="309" t="s">
        <v>5</v>
      </c>
      <c r="F420" s="502">
        <v>6200</v>
      </c>
    </row>
    <row r="421" spans="1:6">
      <c r="A421" s="308">
        <v>43190</v>
      </c>
      <c r="B421" s="24" t="s">
        <v>484</v>
      </c>
      <c r="C421" s="24" t="s">
        <v>487</v>
      </c>
      <c r="D421" s="136" t="str">
        <f t="array" ref="D421">IF(E421=0,0,(INDEX(AccountCodes[ACCOUNT NAME],MATCH(E421,AccountCodes[NGAS CODE],0))))</f>
        <v>Other Bonuses and Allowances - Medical Allowance</v>
      </c>
      <c r="E421" s="309" t="s">
        <v>5</v>
      </c>
      <c r="F421" s="502">
        <v>6200</v>
      </c>
    </row>
    <row r="422" spans="1:6">
      <c r="A422" s="308">
        <v>43220</v>
      </c>
      <c r="B422" s="24" t="s">
        <v>484</v>
      </c>
      <c r="C422" s="24" t="s">
        <v>487</v>
      </c>
      <c r="D422" s="136" t="str">
        <f t="array" ref="D422">IF(E422=0,0,(INDEX(AccountCodes[ACCOUNT NAME],MATCH(E422,AccountCodes[NGAS CODE],0))))</f>
        <v>Other Bonuses and Allowances - Medical Allowance</v>
      </c>
      <c r="E422" s="309" t="s">
        <v>5</v>
      </c>
      <c r="F422" s="502">
        <v>6200</v>
      </c>
    </row>
    <row r="423" spans="1:6">
      <c r="A423" s="308">
        <v>43251</v>
      </c>
      <c r="B423" s="24" t="s">
        <v>484</v>
      </c>
      <c r="C423" s="24" t="s">
        <v>487</v>
      </c>
      <c r="D423" s="136" t="str">
        <f t="array" ref="D423">IF(E423=0,0,(INDEX(AccountCodes[ACCOUNT NAME],MATCH(E423,AccountCodes[NGAS CODE],0))))</f>
        <v>Other Bonuses and Allowances - Medical Allowance</v>
      </c>
      <c r="E423" s="309" t="s">
        <v>5</v>
      </c>
      <c r="F423" s="502">
        <v>6200</v>
      </c>
    </row>
    <row r="424" spans="1:6">
      <c r="A424" s="308">
        <v>43281</v>
      </c>
      <c r="B424" s="24" t="s">
        <v>484</v>
      </c>
      <c r="C424" s="24" t="s">
        <v>487</v>
      </c>
      <c r="D424" s="136" t="str">
        <f t="array" ref="D424">IF(E424=0,0,(INDEX(AccountCodes[ACCOUNT NAME],MATCH(E424,AccountCodes[NGAS CODE],0))))</f>
        <v>Other Bonuses and Allowances - Medical Allowance</v>
      </c>
      <c r="E424" s="309" t="s">
        <v>5</v>
      </c>
      <c r="F424" s="502">
        <v>6200</v>
      </c>
    </row>
    <row r="425" spans="1:6">
      <c r="A425" s="308">
        <v>43312</v>
      </c>
      <c r="B425" s="24" t="s">
        <v>484</v>
      </c>
      <c r="C425" s="24" t="s">
        <v>487</v>
      </c>
      <c r="D425" s="136" t="str">
        <f t="array" ref="D425">IF(E425=0,0,(INDEX(AccountCodes[ACCOUNT NAME],MATCH(E425,AccountCodes[NGAS CODE],0))))</f>
        <v>Other Bonuses and Allowances - Medical Allowance</v>
      </c>
      <c r="E425" s="309" t="s">
        <v>5</v>
      </c>
      <c r="F425" s="502">
        <v>6200</v>
      </c>
    </row>
    <row r="426" spans="1:6">
      <c r="A426" s="308">
        <v>43343</v>
      </c>
      <c r="B426" s="24" t="s">
        <v>484</v>
      </c>
      <c r="C426" s="24" t="s">
        <v>487</v>
      </c>
      <c r="D426" s="136" t="str">
        <f t="array" ref="D426">IF(E426=0,0,(INDEX(AccountCodes[ACCOUNT NAME],MATCH(E426,AccountCodes[NGAS CODE],0))))</f>
        <v>Other Bonuses and Allowances - Medical Allowance</v>
      </c>
      <c r="E426" s="309" t="s">
        <v>5</v>
      </c>
      <c r="F426" s="502">
        <v>6200</v>
      </c>
    </row>
    <row r="427" spans="1:6">
      <c r="A427" s="308">
        <v>43373</v>
      </c>
      <c r="B427" s="24" t="s">
        <v>484</v>
      </c>
      <c r="C427" s="24" t="s">
        <v>487</v>
      </c>
      <c r="D427" s="136" t="str">
        <f t="array" ref="D427">IF(E427=0,0,(INDEX(AccountCodes[ACCOUNT NAME],MATCH(E427,AccountCodes[NGAS CODE],0))))</f>
        <v>Other Bonuses and Allowances - Medical Allowance</v>
      </c>
      <c r="E427" s="309" t="s">
        <v>5</v>
      </c>
      <c r="F427" s="502">
        <v>6200</v>
      </c>
    </row>
    <row r="428" spans="1:6">
      <c r="A428" s="308">
        <v>43404</v>
      </c>
      <c r="B428" s="24" t="s">
        <v>484</v>
      </c>
      <c r="C428" s="24" t="s">
        <v>487</v>
      </c>
      <c r="D428" s="136" t="str">
        <f t="array" ref="D428">IF(E428=0,0,(INDEX(AccountCodes[ACCOUNT NAME],MATCH(E428,AccountCodes[NGAS CODE],0))))</f>
        <v>Other Bonuses and Allowances - Medical Allowance</v>
      </c>
      <c r="E428" s="309" t="s">
        <v>5</v>
      </c>
      <c r="F428" s="502">
        <v>6200</v>
      </c>
    </row>
    <row r="429" spans="1:6">
      <c r="A429" s="308">
        <v>43434</v>
      </c>
      <c r="B429" s="24" t="s">
        <v>484</v>
      </c>
      <c r="C429" s="24" t="s">
        <v>487</v>
      </c>
      <c r="D429" s="136" t="str">
        <f t="array" ref="D429">IF(E429=0,0,(INDEX(AccountCodes[ACCOUNT NAME],MATCH(E429,AccountCodes[NGAS CODE],0))))</f>
        <v>Other Bonuses and Allowances - Medical Allowance</v>
      </c>
      <c r="E429" s="309" t="s">
        <v>5</v>
      </c>
      <c r="F429" s="502">
        <v>6200</v>
      </c>
    </row>
    <row r="430" spans="1:6">
      <c r="A430" s="308">
        <v>43465</v>
      </c>
      <c r="B430" s="24" t="s">
        <v>484</v>
      </c>
      <c r="C430" s="24" t="s">
        <v>487</v>
      </c>
      <c r="D430" s="136" t="str">
        <f t="array" ref="D430">IF(E430=0,0,(INDEX(AccountCodes[ACCOUNT NAME],MATCH(E430,AccountCodes[NGAS CODE],0))))</f>
        <v>Other Bonuses and Allowances - Medical Allowance</v>
      </c>
      <c r="E430" s="309" t="s">
        <v>5</v>
      </c>
      <c r="F430" s="502">
        <v>6200</v>
      </c>
    </row>
    <row r="431" spans="1:6">
      <c r="A431" s="308">
        <v>43131</v>
      </c>
      <c r="B431" s="24" t="s">
        <v>484</v>
      </c>
      <c r="C431" s="24" t="s">
        <v>487</v>
      </c>
      <c r="D431" s="136" t="str">
        <f t="array" ref="D431">IF(E431=0,0,(INDEX(AccountCodes[ACCOUNT NAME],MATCH(E431,AccountCodes[NGAS CODE],0))))</f>
        <v>Other Bonuses and Allowances - Meal Allowance</v>
      </c>
      <c r="E431" s="24" t="s">
        <v>6</v>
      </c>
      <c r="F431" s="502">
        <v>2046</v>
      </c>
    </row>
    <row r="432" spans="1:6">
      <c r="A432" s="308">
        <v>43159</v>
      </c>
      <c r="B432" s="24" t="s">
        <v>484</v>
      </c>
      <c r="C432" s="24" t="s">
        <v>487</v>
      </c>
      <c r="D432" s="136" t="str">
        <f t="array" ref="D432">IF(E432=0,0,(INDEX(AccountCodes[ACCOUNT NAME],MATCH(E432,AccountCodes[NGAS CODE],0))))</f>
        <v>Other Bonuses and Allowances - Meal Allowance</v>
      </c>
      <c r="E432" s="24" t="s">
        <v>6</v>
      </c>
      <c r="F432" s="502">
        <v>2046</v>
      </c>
    </row>
    <row r="433" spans="1:6">
      <c r="A433" s="308">
        <v>43190</v>
      </c>
      <c r="B433" s="24" t="s">
        <v>484</v>
      </c>
      <c r="C433" s="24" t="s">
        <v>487</v>
      </c>
      <c r="D433" s="136" t="str">
        <f t="array" ref="D433">IF(E433=0,0,(INDEX(AccountCodes[ACCOUNT NAME],MATCH(E433,AccountCodes[NGAS CODE],0))))</f>
        <v>Other Bonuses and Allowances - Meal Allowance</v>
      </c>
      <c r="E433" s="24" t="s">
        <v>6</v>
      </c>
      <c r="F433" s="502">
        <v>2046</v>
      </c>
    </row>
    <row r="434" spans="1:6">
      <c r="A434" s="308">
        <v>43220</v>
      </c>
      <c r="B434" s="24" t="s">
        <v>484</v>
      </c>
      <c r="C434" s="24" t="s">
        <v>487</v>
      </c>
      <c r="D434" s="136" t="str">
        <f t="array" ref="D434">IF(E434=0,0,(INDEX(AccountCodes[ACCOUNT NAME],MATCH(E434,AccountCodes[NGAS CODE],0))))</f>
        <v>Other Bonuses and Allowances - Meal Allowance</v>
      </c>
      <c r="E434" s="24" t="s">
        <v>6</v>
      </c>
      <c r="F434" s="502">
        <v>2046</v>
      </c>
    </row>
    <row r="435" spans="1:6">
      <c r="A435" s="308">
        <v>43251</v>
      </c>
      <c r="B435" s="24" t="s">
        <v>484</v>
      </c>
      <c r="C435" s="24" t="s">
        <v>487</v>
      </c>
      <c r="D435" s="136" t="str">
        <f t="array" ref="D435">IF(E435=0,0,(INDEX(AccountCodes[ACCOUNT NAME],MATCH(E435,AccountCodes[NGAS CODE],0))))</f>
        <v>Other Bonuses and Allowances - Meal Allowance</v>
      </c>
      <c r="E435" s="24" t="s">
        <v>6</v>
      </c>
      <c r="F435" s="502">
        <v>2046</v>
      </c>
    </row>
    <row r="436" spans="1:6">
      <c r="A436" s="308">
        <v>43281</v>
      </c>
      <c r="B436" s="24" t="s">
        <v>484</v>
      </c>
      <c r="C436" s="24" t="s">
        <v>487</v>
      </c>
      <c r="D436" s="136" t="str">
        <f t="array" ref="D436">IF(E436=0,0,(INDEX(AccountCodes[ACCOUNT NAME],MATCH(E436,AccountCodes[NGAS CODE],0))))</f>
        <v>Other Bonuses and Allowances - Meal Allowance</v>
      </c>
      <c r="E436" s="24" t="s">
        <v>6</v>
      </c>
      <c r="F436" s="502">
        <v>2046</v>
      </c>
    </row>
    <row r="437" spans="1:6">
      <c r="A437" s="308">
        <v>43312</v>
      </c>
      <c r="B437" s="24" t="s">
        <v>484</v>
      </c>
      <c r="C437" s="24" t="s">
        <v>487</v>
      </c>
      <c r="D437" s="136" t="str">
        <f t="array" ref="D437">IF(E437=0,0,(INDEX(AccountCodes[ACCOUNT NAME],MATCH(E437,AccountCodes[NGAS CODE],0))))</f>
        <v>Other Bonuses and Allowances - Meal Allowance</v>
      </c>
      <c r="E437" s="24" t="s">
        <v>6</v>
      </c>
      <c r="F437" s="502">
        <v>2046</v>
      </c>
    </row>
    <row r="438" spans="1:6">
      <c r="A438" s="308">
        <v>43343</v>
      </c>
      <c r="B438" s="24" t="s">
        <v>484</v>
      </c>
      <c r="C438" s="24" t="s">
        <v>487</v>
      </c>
      <c r="D438" s="136" t="str">
        <f t="array" ref="D438">IF(E438=0,0,(INDEX(AccountCodes[ACCOUNT NAME],MATCH(E438,AccountCodes[NGAS CODE],0))))</f>
        <v>Other Bonuses and Allowances - Meal Allowance</v>
      </c>
      <c r="E438" s="24" t="s">
        <v>6</v>
      </c>
      <c r="F438" s="502">
        <v>2046</v>
      </c>
    </row>
    <row r="439" spans="1:6">
      <c r="A439" s="308">
        <v>43373</v>
      </c>
      <c r="B439" s="24" t="s">
        <v>484</v>
      </c>
      <c r="C439" s="24" t="s">
        <v>487</v>
      </c>
      <c r="D439" s="136" t="str">
        <f t="array" ref="D439">IF(E439=0,0,(INDEX(AccountCodes[ACCOUNT NAME],MATCH(E439,AccountCodes[NGAS CODE],0))))</f>
        <v>Other Bonuses and Allowances - Meal Allowance</v>
      </c>
      <c r="E439" s="24" t="s">
        <v>6</v>
      </c>
      <c r="F439" s="502">
        <v>2046</v>
      </c>
    </row>
    <row r="440" spans="1:6">
      <c r="A440" s="308">
        <v>43404</v>
      </c>
      <c r="B440" s="24" t="s">
        <v>484</v>
      </c>
      <c r="C440" s="24" t="s">
        <v>487</v>
      </c>
      <c r="D440" s="136" t="str">
        <f t="array" ref="D440">IF(E440=0,0,(INDEX(AccountCodes[ACCOUNT NAME],MATCH(E440,AccountCodes[NGAS CODE],0))))</f>
        <v>Other Bonuses and Allowances - Meal Allowance</v>
      </c>
      <c r="E440" s="24" t="s">
        <v>6</v>
      </c>
      <c r="F440" s="502">
        <v>2046</v>
      </c>
    </row>
    <row r="441" spans="1:6">
      <c r="A441" s="308">
        <v>43434</v>
      </c>
      <c r="B441" s="24" t="s">
        <v>484</v>
      </c>
      <c r="C441" s="24" t="s">
        <v>487</v>
      </c>
      <c r="D441" s="136" t="str">
        <f t="array" ref="D441">IF(E441=0,0,(INDEX(AccountCodes[ACCOUNT NAME],MATCH(E441,AccountCodes[NGAS CODE],0))))</f>
        <v>Other Bonuses and Allowances - Meal Allowance</v>
      </c>
      <c r="E441" s="24" t="s">
        <v>6</v>
      </c>
      <c r="F441" s="502">
        <v>2046</v>
      </c>
    </row>
    <row r="442" spans="1:6">
      <c r="A442" s="308">
        <v>43465</v>
      </c>
      <c r="B442" s="24" t="s">
        <v>484</v>
      </c>
      <c r="C442" s="24" t="s">
        <v>487</v>
      </c>
      <c r="D442" s="136" t="str">
        <f t="array" ref="D442">IF(E442=0,0,(INDEX(AccountCodes[ACCOUNT NAME],MATCH(E442,AccountCodes[NGAS CODE],0))))</f>
        <v>Other Bonuses and Allowances - Meal Allowance</v>
      </c>
      <c r="E442" s="24" t="s">
        <v>6</v>
      </c>
      <c r="F442" s="502">
        <v>2046</v>
      </c>
    </row>
    <row r="443" spans="1:6">
      <c r="A443" s="308">
        <v>43465</v>
      </c>
      <c r="B443" s="24" t="s">
        <v>484</v>
      </c>
      <c r="C443" s="24" t="s">
        <v>487</v>
      </c>
      <c r="D443" s="136" t="str">
        <f t="array" ref="D443">IF(E443=0,0,(INDEX(AccountCodes[ACCOUNT NAME],MATCH(E443,AccountCodes[NGAS CODE],0))))</f>
        <v>Other Bonuses and Allowances - Productivity Enhancement Incentive-Civilian</v>
      </c>
      <c r="E443" s="309" t="s">
        <v>170</v>
      </c>
      <c r="F443" s="502">
        <v>1015266</v>
      </c>
    </row>
    <row r="444" spans="1:6">
      <c r="A444" s="308">
        <v>43434</v>
      </c>
      <c r="B444" s="24" t="s">
        <v>484</v>
      </c>
      <c r="C444" s="24" t="s">
        <v>487</v>
      </c>
      <c r="D444" s="136" t="str">
        <f t="array" ref="D444">IF(E444=0,0,(INDEX(AccountCodes[ACCOUNT NAME],MATCH(E444,AccountCodes[NGAS CODE],0))))</f>
        <v>Cash Gift</v>
      </c>
      <c r="E444" s="24" t="s">
        <v>172</v>
      </c>
      <c r="F444" s="502">
        <v>230000</v>
      </c>
    </row>
    <row r="445" spans="1:6">
      <c r="A445" s="308">
        <v>43251</v>
      </c>
      <c r="B445" s="24" t="s">
        <v>484</v>
      </c>
      <c r="C445" s="24" t="s">
        <v>487</v>
      </c>
      <c r="D445" s="136" t="str">
        <f t="array" ref="D445">IF(E445=0,0,(INDEX(AccountCodes[ACCOUNT NAME],MATCH(E445,AccountCodes[NGAS CODE],0))))</f>
        <v>Mid-Year/Year End Bonus</v>
      </c>
      <c r="E445" s="24" t="s">
        <v>174</v>
      </c>
      <c r="F445" s="502">
        <v>1014042.5</v>
      </c>
    </row>
    <row r="446" spans="1:6">
      <c r="A446" s="308">
        <v>43434</v>
      </c>
      <c r="B446" s="24" t="s">
        <v>484</v>
      </c>
      <c r="C446" s="24" t="s">
        <v>487</v>
      </c>
      <c r="D446" s="136" t="str">
        <f t="array" ref="D446">IF(E446=0,0,(INDEX(AccountCodes[ACCOUNT NAME],MATCH(E446,AccountCodes[NGAS CODE],0))))</f>
        <v>Mid-Year/Year End Bonus</v>
      </c>
      <c r="E446" s="24" t="s">
        <v>174</v>
      </c>
      <c r="F446" s="502">
        <v>1014042.5</v>
      </c>
    </row>
    <row r="447" spans="1:6">
      <c r="A447" s="308">
        <v>43281</v>
      </c>
      <c r="B447" s="24" t="s">
        <v>484</v>
      </c>
      <c r="C447" s="24" t="s">
        <v>487</v>
      </c>
      <c r="D447" s="136" t="str">
        <f t="array" ref="D447">IF(E447=0,0,(INDEX(AccountCodes[ACCOUNT NAME],MATCH(E447,AccountCodes[NGAS CODE],0))))</f>
        <v>Longevity Pay</v>
      </c>
      <c r="E447" s="309" t="s">
        <v>216</v>
      </c>
      <c r="F447" s="502">
        <v>35000</v>
      </c>
    </row>
    <row r="448" spans="1:6">
      <c r="A448" s="308">
        <v>43190</v>
      </c>
      <c r="B448" s="24" t="s">
        <v>484</v>
      </c>
      <c r="C448" s="24" t="s">
        <v>487</v>
      </c>
      <c r="D448" s="136" t="str">
        <f t="array" ref="D448">IF(E448=0,0,(INDEX(AccountCodes[ACCOUNT NAME],MATCH(E448,AccountCodes[NGAS CODE],0))))</f>
        <v>Terminal Leave Benefits</v>
      </c>
      <c r="E448" s="309" t="s">
        <v>212</v>
      </c>
      <c r="F448" s="502">
        <v>237557.15</v>
      </c>
    </row>
    <row r="449" spans="1:6">
      <c r="A449" s="308">
        <v>43220</v>
      </c>
      <c r="B449" s="24" t="s">
        <v>484</v>
      </c>
      <c r="C449" s="24" t="s">
        <v>487</v>
      </c>
      <c r="D449" s="136" t="str">
        <f t="array" ref="D449">IF(E449=0,0,(INDEX(AccountCodes[ACCOUNT NAME],MATCH(E449,AccountCodes[NGAS CODE],0))))</f>
        <v>Terminal Leave Benefits</v>
      </c>
      <c r="E449" s="309" t="s">
        <v>212</v>
      </c>
      <c r="F449" s="502">
        <v>441098.22</v>
      </c>
    </row>
    <row r="450" spans="1:6">
      <c r="A450" s="308">
        <v>43373</v>
      </c>
      <c r="B450" s="24" t="s">
        <v>484</v>
      </c>
      <c r="C450" s="24" t="s">
        <v>487</v>
      </c>
      <c r="D450" s="136" t="str">
        <f t="array" ref="D450">IF(E450=0,0,(INDEX(AccountCodes[ACCOUNT NAME],MATCH(E450,AccountCodes[NGAS CODE],0))))</f>
        <v>Terminal Leave Benefits</v>
      </c>
      <c r="E450" s="309" t="s">
        <v>212</v>
      </c>
      <c r="F450" s="502">
        <v>753816</v>
      </c>
    </row>
    <row r="451" spans="1:6">
      <c r="A451" s="308">
        <v>43465</v>
      </c>
      <c r="B451" s="24" t="s">
        <v>484</v>
      </c>
      <c r="C451" s="24" t="s">
        <v>487</v>
      </c>
      <c r="D451" s="136" t="str">
        <f t="array" ref="D451">IF(E451=0,0,(INDEX(AccountCodes[ACCOUNT NAME],MATCH(E451,AccountCodes[NGAS CODE],0))))</f>
        <v>Terminal Leave Benefits</v>
      </c>
      <c r="E451" s="309" t="s">
        <v>212</v>
      </c>
      <c r="F451" s="502">
        <v>133704.67000000001</v>
      </c>
    </row>
    <row r="452" spans="1:6">
      <c r="A452" s="308">
        <v>43131</v>
      </c>
      <c r="B452" s="24" t="s">
        <v>484</v>
      </c>
      <c r="C452" s="24" t="s">
        <v>487</v>
      </c>
      <c r="D452" s="136" t="str">
        <f t="array" ref="D452">IF(E452=0,0,(INDEX(AccountCodes[ACCOUNT NAME],MATCH(E452,AccountCodes[NGAS CODE],0))))</f>
        <v>Retirement and Life Insurance Premiums</v>
      </c>
      <c r="E452" s="24" t="s">
        <v>175</v>
      </c>
      <c r="F452" s="502">
        <v>121638.17</v>
      </c>
    </row>
    <row r="453" spans="1:6">
      <c r="A453" s="308">
        <v>43159</v>
      </c>
      <c r="B453" s="24" t="s">
        <v>484</v>
      </c>
      <c r="C453" s="24" t="s">
        <v>487</v>
      </c>
      <c r="D453" s="136" t="str">
        <f t="array" ref="D453">IF(E453=0,0,(INDEX(AccountCodes[ACCOUNT NAME],MATCH(E453,AccountCodes[NGAS CODE],0))))</f>
        <v>Retirement and Life Insurance Premiums</v>
      </c>
      <c r="E453" s="24" t="s">
        <v>175</v>
      </c>
      <c r="F453" s="502">
        <v>121638.17</v>
      </c>
    </row>
    <row r="454" spans="1:6">
      <c r="A454" s="308">
        <v>43190</v>
      </c>
      <c r="B454" s="24" t="s">
        <v>484</v>
      </c>
      <c r="C454" s="24" t="s">
        <v>487</v>
      </c>
      <c r="D454" s="136" t="str">
        <f t="array" ref="D454">IF(E454=0,0,(INDEX(AccountCodes[ACCOUNT NAME],MATCH(E454,AccountCodes[NGAS CODE],0))))</f>
        <v>Retirement and Life Insurance Premiums</v>
      </c>
      <c r="E454" s="24" t="s">
        <v>175</v>
      </c>
      <c r="F454" s="502">
        <v>121638.17</v>
      </c>
    </row>
    <row r="455" spans="1:6">
      <c r="A455" s="308">
        <v>43220</v>
      </c>
      <c r="B455" s="24" t="s">
        <v>484</v>
      </c>
      <c r="C455" s="24" t="s">
        <v>487</v>
      </c>
      <c r="D455" s="136" t="str">
        <f t="array" ref="D455">IF(E455=0,0,(INDEX(AccountCodes[ACCOUNT NAME],MATCH(E455,AccountCodes[NGAS CODE],0))))</f>
        <v>Retirement and Life Insurance Premiums</v>
      </c>
      <c r="E455" s="24" t="s">
        <v>175</v>
      </c>
      <c r="F455" s="502">
        <v>121638.17</v>
      </c>
    </row>
    <row r="456" spans="1:6">
      <c r="A456" s="308">
        <v>43251</v>
      </c>
      <c r="B456" s="24" t="s">
        <v>484</v>
      </c>
      <c r="C456" s="24" t="s">
        <v>487</v>
      </c>
      <c r="D456" s="136" t="str">
        <f t="array" ref="D456">IF(E456=0,0,(INDEX(AccountCodes[ACCOUNT NAME],MATCH(E456,AccountCodes[NGAS CODE],0))))</f>
        <v>Retirement and Life Insurance Premiums</v>
      </c>
      <c r="E456" s="24" t="s">
        <v>175</v>
      </c>
      <c r="F456" s="502">
        <v>121638.17</v>
      </c>
    </row>
    <row r="457" spans="1:6">
      <c r="A457" s="308">
        <v>43281</v>
      </c>
      <c r="B457" s="24" t="s">
        <v>484</v>
      </c>
      <c r="C457" s="24" t="s">
        <v>487</v>
      </c>
      <c r="D457" s="136" t="str">
        <f t="array" ref="D457">IF(E457=0,0,(INDEX(AccountCodes[ACCOUNT NAME],MATCH(E457,AccountCodes[NGAS CODE],0))))</f>
        <v>Retirement and Life Insurance Premiums</v>
      </c>
      <c r="E457" s="24" t="s">
        <v>175</v>
      </c>
      <c r="F457" s="502">
        <v>121638.17</v>
      </c>
    </row>
    <row r="458" spans="1:6">
      <c r="A458" s="308">
        <v>43312</v>
      </c>
      <c r="B458" s="24" t="s">
        <v>484</v>
      </c>
      <c r="C458" s="24" t="s">
        <v>487</v>
      </c>
      <c r="D458" s="136" t="str">
        <f t="array" ref="D458">IF(E458=0,0,(INDEX(AccountCodes[ACCOUNT NAME],MATCH(E458,AccountCodes[NGAS CODE],0))))</f>
        <v>Retirement and Life Insurance Premiums</v>
      </c>
      <c r="E458" s="24" t="s">
        <v>175</v>
      </c>
      <c r="F458" s="502">
        <v>121638.17</v>
      </c>
    </row>
    <row r="459" spans="1:6">
      <c r="A459" s="308">
        <v>43343</v>
      </c>
      <c r="B459" s="24" t="s">
        <v>484</v>
      </c>
      <c r="C459" s="24" t="s">
        <v>487</v>
      </c>
      <c r="D459" s="136" t="str">
        <f t="array" ref="D459">IF(E459=0,0,(INDEX(AccountCodes[ACCOUNT NAME],MATCH(E459,AccountCodes[NGAS CODE],0))))</f>
        <v>Retirement and Life Insurance Premiums</v>
      </c>
      <c r="E459" s="24" t="s">
        <v>175</v>
      </c>
      <c r="F459" s="502">
        <v>121638.17</v>
      </c>
    </row>
    <row r="460" spans="1:6">
      <c r="A460" s="308">
        <v>43373</v>
      </c>
      <c r="B460" s="24" t="s">
        <v>484</v>
      </c>
      <c r="C460" s="24" t="s">
        <v>487</v>
      </c>
      <c r="D460" s="136" t="str">
        <f t="array" ref="D460">IF(E460=0,0,(INDEX(AccountCodes[ACCOUNT NAME],MATCH(E460,AccountCodes[NGAS CODE],0))))</f>
        <v>Retirement and Life Insurance Premiums</v>
      </c>
      <c r="E460" s="24" t="s">
        <v>175</v>
      </c>
      <c r="F460" s="502">
        <v>121638.17</v>
      </c>
    </row>
    <row r="461" spans="1:6">
      <c r="A461" s="308">
        <v>43404</v>
      </c>
      <c r="B461" s="24" t="s">
        <v>484</v>
      </c>
      <c r="C461" s="24" t="s">
        <v>487</v>
      </c>
      <c r="D461" s="136" t="str">
        <f t="array" ref="D461">IF(E461=0,0,(INDEX(AccountCodes[ACCOUNT NAME],MATCH(E461,AccountCodes[NGAS CODE],0))))</f>
        <v>Retirement and Life Insurance Premiums</v>
      </c>
      <c r="E461" s="24" t="s">
        <v>175</v>
      </c>
      <c r="F461" s="502">
        <v>121638.17</v>
      </c>
    </row>
    <row r="462" spans="1:6">
      <c r="A462" s="308">
        <v>43434</v>
      </c>
      <c r="B462" s="24" t="s">
        <v>484</v>
      </c>
      <c r="C462" s="24" t="s">
        <v>487</v>
      </c>
      <c r="D462" s="136" t="str">
        <f t="array" ref="D462">IF(E462=0,0,(INDEX(AccountCodes[ACCOUNT NAME],MATCH(E462,AccountCodes[NGAS CODE],0))))</f>
        <v>Retirement and Life Insurance Premiums</v>
      </c>
      <c r="E462" s="24" t="s">
        <v>175</v>
      </c>
      <c r="F462" s="502">
        <v>121638.17</v>
      </c>
    </row>
    <row r="463" spans="1:6">
      <c r="A463" s="308">
        <v>43465</v>
      </c>
      <c r="B463" s="24" t="s">
        <v>484</v>
      </c>
      <c r="C463" s="24" t="s">
        <v>487</v>
      </c>
      <c r="D463" s="136" t="str">
        <f t="array" ref="D463">IF(E463=0,0,(INDEX(AccountCodes[ACCOUNT NAME],MATCH(E463,AccountCodes[NGAS CODE],0))))</f>
        <v>Retirement and Life Insurance Premiums</v>
      </c>
      <c r="E463" s="24" t="s">
        <v>175</v>
      </c>
      <c r="F463" s="502">
        <v>121638.17</v>
      </c>
    </row>
    <row r="464" spans="1:6">
      <c r="A464" s="308">
        <v>43131</v>
      </c>
      <c r="B464" s="24" t="s">
        <v>484</v>
      </c>
      <c r="C464" s="24" t="s">
        <v>487</v>
      </c>
      <c r="D464" s="136" t="str">
        <f t="array" ref="D464">IF(E464=0,0,(INDEX(AccountCodes[ACCOUNT NAME],MATCH(E464,AccountCodes[NGAS CODE],0))))</f>
        <v>Pag-IBIG Contributions</v>
      </c>
      <c r="E464" s="24" t="s">
        <v>176</v>
      </c>
      <c r="F464" s="502">
        <v>4600</v>
      </c>
    </row>
    <row r="465" spans="1:6">
      <c r="A465" s="308">
        <v>43159</v>
      </c>
      <c r="B465" s="24" t="s">
        <v>484</v>
      </c>
      <c r="C465" s="24" t="s">
        <v>487</v>
      </c>
      <c r="D465" s="136" t="str">
        <f t="array" ref="D465">IF(E465=0,0,(INDEX(AccountCodes[ACCOUNT NAME],MATCH(E465,AccountCodes[NGAS CODE],0))))</f>
        <v>Pag-IBIG Contributions</v>
      </c>
      <c r="E465" s="24" t="s">
        <v>176</v>
      </c>
      <c r="F465" s="502">
        <v>4600</v>
      </c>
    </row>
    <row r="466" spans="1:6">
      <c r="A466" s="308">
        <v>43190</v>
      </c>
      <c r="B466" s="24" t="s">
        <v>484</v>
      </c>
      <c r="C466" s="24" t="s">
        <v>487</v>
      </c>
      <c r="D466" s="136" t="str">
        <f t="array" ref="D466">IF(E466=0,0,(INDEX(AccountCodes[ACCOUNT NAME],MATCH(E466,AccountCodes[NGAS CODE],0))))</f>
        <v>Pag-IBIG Contributions</v>
      </c>
      <c r="E466" s="24" t="s">
        <v>176</v>
      </c>
      <c r="F466" s="502">
        <v>4600</v>
      </c>
    </row>
    <row r="467" spans="1:6">
      <c r="A467" s="308">
        <v>43220</v>
      </c>
      <c r="B467" s="24" t="s">
        <v>484</v>
      </c>
      <c r="C467" s="24" t="s">
        <v>487</v>
      </c>
      <c r="D467" s="136" t="str">
        <f t="array" ref="D467">IF(E467=0,0,(INDEX(AccountCodes[ACCOUNT NAME],MATCH(E467,AccountCodes[NGAS CODE],0))))</f>
        <v>Pag-IBIG Contributions</v>
      </c>
      <c r="E467" s="24" t="s">
        <v>176</v>
      </c>
      <c r="F467" s="502">
        <v>4600</v>
      </c>
    </row>
    <row r="468" spans="1:6">
      <c r="A468" s="308">
        <v>43251</v>
      </c>
      <c r="B468" s="24" t="s">
        <v>484</v>
      </c>
      <c r="C468" s="24" t="s">
        <v>487</v>
      </c>
      <c r="D468" s="136" t="str">
        <f t="array" ref="D468">IF(E468=0,0,(INDEX(AccountCodes[ACCOUNT NAME],MATCH(E468,AccountCodes[NGAS CODE],0))))</f>
        <v>Pag-IBIG Contributions</v>
      </c>
      <c r="E468" s="24" t="s">
        <v>176</v>
      </c>
      <c r="F468" s="502">
        <v>4600</v>
      </c>
    </row>
    <row r="469" spans="1:6">
      <c r="A469" s="308">
        <v>43281</v>
      </c>
      <c r="B469" s="24" t="s">
        <v>484</v>
      </c>
      <c r="C469" s="24" t="s">
        <v>487</v>
      </c>
      <c r="D469" s="136" t="str">
        <f t="array" ref="D469">IF(E469=0,0,(INDEX(AccountCodes[ACCOUNT NAME],MATCH(E469,AccountCodes[NGAS CODE],0))))</f>
        <v>Pag-IBIG Contributions</v>
      </c>
      <c r="E469" s="24" t="s">
        <v>176</v>
      </c>
      <c r="F469" s="502">
        <v>4600</v>
      </c>
    </row>
    <row r="470" spans="1:6">
      <c r="A470" s="308">
        <v>43312</v>
      </c>
      <c r="B470" s="24" t="s">
        <v>484</v>
      </c>
      <c r="C470" s="24" t="s">
        <v>487</v>
      </c>
      <c r="D470" s="136" t="str">
        <f t="array" ref="D470">IF(E470=0,0,(INDEX(AccountCodes[ACCOUNT NAME],MATCH(E470,AccountCodes[NGAS CODE],0))))</f>
        <v>Pag-IBIG Contributions</v>
      </c>
      <c r="E470" s="24" t="s">
        <v>176</v>
      </c>
      <c r="F470" s="502">
        <v>4600</v>
      </c>
    </row>
    <row r="471" spans="1:6">
      <c r="A471" s="308">
        <v>43343</v>
      </c>
      <c r="B471" s="24" t="s">
        <v>484</v>
      </c>
      <c r="C471" s="24" t="s">
        <v>487</v>
      </c>
      <c r="D471" s="136" t="str">
        <f t="array" ref="D471">IF(E471=0,0,(INDEX(AccountCodes[ACCOUNT NAME],MATCH(E471,AccountCodes[NGAS CODE],0))))</f>
        <v>Pag-IBIG Contributions</v>
      </c>
      <c r="E471" s="24" t="s">
        <v>176</v>
      </c>
      <c r="F471" s="502">
        <v>4600</v>
      </c>
    </row>
    <row r="472" spans="1:6">
      <c r="A472" s="308">
        <v>43373</v>
      </c>
      <c r="B472" s="24" t="s">
        <v>484</v>
      </c>
      <c r="C472" s="24" t="s">
        <v>487</v>
      </c>
      <c r="D472" s="136" t="str">
        <f t="array" ref="D472">IF(E472=0,0,(INDEX(AccountCodes[ACCOUNT NAME],MATCH(E472,AccountCodes[NGAS CODE],0))))</f>
        <v>Pag-IBIG Contributions</v>
      </c>
      <c r="E472" s="24" t="s">
        <v>176</v>
      </c>
      <c r="F472" s="502">
        <v>4600</v>
      </c>
    </row>
    <row r="473" spans="1:6">
      <c r="A473" s="308">
        <v>43404</v>
      </c>
      <c r="B473" s="24" t="s">
        <v>484</v>
      </c>
      <c r="C473" s="24" t="s">
        <v>487</v>
      </c>
      <c r="D473" s="136" t="str">
        <f t="array" ref="D473">IF(E473=0,0,(INDEX(AccountCodes[ACCOUNT NAME],MATCH(E473,AccountCodes[NGAS CODE],0))))</f>
        <v>Pag-IBIG Contributions</v>
      </c>
      <c r="E473" s="24" t="s">
        <v>176</v>
      </c>
      <c r="F473" s="502">
        <v>4600</v>
      </c>
    </row>
    <row r="474" spans="1:6">
      <c r="A474" s="308">
        <v>43434</v>
      </c>
      <c r="B474" s="24" t="s">
        <v>484</v>
      </c>
      <c r="C474" s="24" t="s">
        <v>487</v>
      </c>
      <c r="D474" s="136" t="str">
        <f t="array" ref="D474">IF(E474=0,0,(INDEX(AccountCodes[ACCOUNT NAME],MATCH(E474,AccountCodes[NGAS CODE],0))))</f>
        <v>Pag-IBIG Contributions</v>
      </c>
      <c r="E474" s="24" t="s">
        <v>176</v>
      </c>
      <c r="F474" s="502">
        <v>4600</v>
      </c>
    </row>
    <row r="475" spans="1:6">
      <c r="A475" s="308">
        <v>43465</v>
      </c>
      <c r="B475" s="24" t="s">
        <v>484</v>
      </c>
      <c r="C475" s="24" t="s">
        <v>487</v>
      </c>
      <c r="D475" s="136" t="str">
        <f t="array" ref="D475">IF(E475=0,0,(INDEX(AccountCodes[ACCOUNT NAME],MATCH(E475,AccountCodes[NGAS CODE],0))))</f>
        <v>Pag-IBIG Contributions</v>
      </c>
      <c r="E475" s="24" t="s">
        <v>176</v>
      </c>
      <c r="F475" s="502">
        <v>4600</v>
      </c>
    </row>
    <row r="476" spans="1:6">
      <c r="A476" s="308">
        <v>43131</v>
      </c>
      <c r="B476" s="24" t="s">
        <v>484</v>
      </c>
      <c r="C476" s="24" t="s">
        <v>487</v>
      </c>
      <c r="D476" s="136" t="str">
        <f t="array" ref="D476">IF(E476=0,0,(INDEX(AccountCodes[ACCOUNT NAME],MATCH(E476,AccountCodes[NGAS CODE],0))))</f>
        <v>PhilHealth Contributions</v>
      </c>
      <c r="E476" s="24" t="s">
        <v>177</v>
      </c>
      <c r="F476" s="502">
        <v>13237.5</v>
      </c>
    </row>
    <row r="477" spans="1:6">
      <c r="A477" s="308">
        <v>43159</v>
      </c>
      <c r="B477" s="24" t="s">
        <v>484</v>
      </c>
      <c r="C477" s="24" t="s">
        <v>487</v>
      </c>
      <c r="D477" s="136" t="str">
        <f t="array" ref="D477">IF(E477=0,0,(INDEX(AccountCodes[ACCOUNT NAME],MATCH(E477,AccountCodes[NGAS CODE],0))))</f>
        <v>PhilHealth Contributions</v>
      </c>
      <c r="E477" s="24" t="s">
        <v>177</v>
      </c>
      <c r="F477" s="502">
        <v>13237.5</v>
      </c>
    </row>
    <row r="478" spans="1:6">
      <c r="A478" s="308">
        <v>43190</v>
      </c>
      <c r="B478" s="24" t="s">
        <v>484</v>
      </c>
      <c r="C478" s="24" t="s">
        <v>487</v>
      </c>
      <c r="D478" s="136" t="str">
        <f t="array" ref="D478">IF(E478=0,0,(INDEX(AccountCodes[ACCOUNT NAME],MATCH(E478,AccountCodes[NGAS CODE],0))))</f>
        <v>PhilHealth Contributions</v>
      </c>
      <c r="E478" s="24" t="s">
        <v>177</v>
      </c>
      <c r="F478" s="502">
        <v>13237.5</v>
      </c>
    </row>
    <row r="479" spans="1:6">
      <c r="A479" s="308">
        <v>43220</v>
      </c>
      <c r="B479" s="24" t="s">
        <v>484</v>
      </c>
      <c r="C479" s="24" t="s">
        <v>487</v>
      </c>
      <c r="D479" s="136" t="str">
        <f t="array" ref="D479">IF(E479=0,0,(INDEX(AccountCodes[ACCOUNT NAME],MATCH(E479,AccountCodes[NGAS CODE],0))))</f>
        <v>PhilHealth Contributions</v>
      </c>
      <c r="E479" s="24" t="s">
        <v>177</v>
      </c>
      <c r="F479" s="502">
        <v>13237.5</v>
      </c>
    </row>
    <row r="480" spans="1:6">
      <c r="A480" s="308">
        <v>43251</v>
      </c>
      <c r="B480" s="24" t="s">
        <v>484</v>
      </c>
      <c r="C480" s="24" t="s">
        <v>487</v>
      </c>
      <c r="D480" s="136" t="str">
        <f t="array" ref="D480">IF(E480=0,0,(INDEX(AccountCodes[ACCOUNT NAME],MATCH(E480,AccountCodes[NGAS CODE],0))))</f>
        <v>PhilHealth Contributions</v>
      </c>
      <c r="E480" s="24" t="s">
        <v>177</v>
      </c>
      <c r="F480" s="502">
        <v>13237.5</v>
      </c>
    </row>
    <row r="481" spans="1:6">
      <c r="A481" s="308">
        <v>43281</v>
      </c>
      <c r="B481" s="24" t="s">
        <v>484</v>
      </c>
      <c r="C481" s="24" t="s">
        <v>487</v>
      </c>
      <c r="D481" s="136" t="str">
        <f t="array" ref="D481">IF(E481=0,0,(INDEX(AccountCodes[ACCOUNT NAME],MATCH(E481,AccountCodes[NGAS CODE],0))))</f>
        <v>PhilHealth Contributions</v>
      </c>
      <c r="E481" s="24" t="s">
        <v>177</v>
      </c>
      <c r="F481" s="502">
        <v>13237.5</v>
      </c>
    </row>
    <row r="482" spans="1:6">
      <c r="A482" s="308">
        <v>43312</v>
      </c>
      <c r="B482" s="24" t="s">
        <v>484</v>
      </c>
      <c r="C482" s="24" t="s">
        <v>487</v>
      </c>
      <c r="D482" s="136" t="str">
        <f t="array" ref="D482">IF(E482=0,0,(INDEX(AccountCodes[ACCOUNT NAME],MATCH(E482,AccountCodes[NGAS CODE],0))))</f>
        <v>PhilHealth Contributions</v>
      </c>
      <c r="E482" s="24" t="s">
        <v>177</v>
      </c>
      <c r="F482" s="502">
        <v>13237.5</v>
      </c>
    </row>
    <row r="483" spans="1:6">
      <c r="A483" s="308">
        <v>43343</v>
      </c>
      <c r="B483" s="24" t="s">
        <v>484</v>
      </c>
      <c r="C483" s="24" t="s">
        <v>487</v>
      </c>
      <c r="D483" s="136" t="str">
        <f t="array" ref="D483">IF(E483=0,0,(INDEX(AccountCodes[ACCOUNT NAME],MATCH(E483,AccountCodes[NGAS CODE],0))))</f>
        <v>PhilHealth Contributions</v>
      </c>
      <c r="E483" s="24" t="s">
        <v>177</v>
      </c>
      <c r="F483" s="502">
        <v>13237.5</v>
      </c>
    </row>
    <row r="484" spans="1:6">
      <c r="A484" s="308">
        <v>43373</v>
      </c>
      <c r="B484" s="24" t="s">
        <v>484</v>
      </c>
      <c r="C484" s="24" t="s">
        <v>487</v>
      </c>
      <c r="D484" s="136" t="str">
        <f t="array" ref="D484">IF(E484=0,0,(INDEX(AccountCodes[ACCOUNT NAME],MATCH(E484,AccountCodes[NGAS CODE],0))))</f>
        <v>PhilHealth Contributions</v>
      </c>
      <c r="E484" s="24" t="s">
        <v>177</v>
      </c>
      <c r="F484" s="502">
        <v>13237.5</v>
      </c>
    </row>
    <row r="485" spans="1:6">
      <c r="A485" s="308">
        <v>43404</v>
      </c>
      <c r="B485" s="24" t="s">
        <v>484</v>
      </c>
      <c r="C485" s="24" t="s">
        <v>487</v>
      </c>
      <c r="D485" s="136" t="str">
        <f t="array" ref="D485">IF(E485=0,0,(INDEX(AccountCodes[ACCOUNT NAME],MATCH(E485,AccountCodes[NGAS CODE],0))))</f>
        <v>PhilHealth Contributions</v>
      </c>
      <c r="E485" s="24" t="s">
        <v>177</v>
      </c>
      <c r="F485" s="502">
        <v>13237.5</v>
      </c>
    </row>
    <row r="486" spans="1:6">
      <c r="A486" s="308">
        <v>43434</v>
      </c>
      <c r="B486" s="24" t="s">
        <v>484</v>
      </c>
      <c r="C486" s="24" t="s">
        <v>487</v>
      </c>
      <c r="D486" s="136" t="str">
        <f t="array" ref="D486">IF(E486=0,0,(INDEX(AccountCodes[ACCOUNT NAME],MATCH(E486,AccountCodes[NGAS CODE],0))))</f>
        <v>PhilHealth Contributions</v>
      </c>
      <c r="E486" s="24" t="s">
        <v>177</v>
      </c>
      <c r="F486" s="502">
        <v>13237.5</v>
      </c>
    </row>
    <row r="487" spans="1:6">
      <c r="A487" s="308">
        <v>43465</v>
      </c>
      <c r="B487" s="24" t="s">
        <v>484</v>
      </c>
      <c r="C487" s="24" t="s">
        <v>487</v>
      </c>
      <c r="D487" s="136" t="str">
        <f t="array" ref="D487">IF(E487=0,0,(INDEX(AccountCodes[ACCOUNT NAME],MATCH(E487,AccountCodes[NGAS CODE],0))))</f>
        <v>PhilHealth Contributions</v>
      </c>
      <c r="E487" s="24" t="s">
        <v>177</v>
      </c>
      <c r="F487" s="502">
        <v>13237.5</v>
      </c>
    </row>
    <row r="488" spans="1:6">
      <c r="A488" s="308">
        <v>43131</v>
      </c>
      <c r="B488" s="24" t="s">
        <v>484</v>
      </c>
      <c r="C488" s="24" t="s">
        <v>487</v>
      </c>
      <c r="D488" s="136" t="str">
        <f t="array" ref="D488">IF(E488=0,0,(INDEX(AccountCodes[ACCOUNT NAME],MATCH(E488,AccountCodes[NGAS CODE],0))))</f>
        <v>Employees Compensation Insurance Premiums</v>
      </c>
      <c r="E488" s="24" t="s">
        <v>178</v>
      </c>
      <c r="F488" s="502">
        <v>4600</v>
      </c>
    </row>
    <row r="489" spans="1:6">
      <c r="A489" s="308">
        <v>43159</v>
      </c>
      <c r="B489" s="24" t="s">
        <v>484</v>
      </c>
      <c r="C489" s="24" t="s">
        <v>487</v>
      </c>
      <c r="D489" s="136" t="str">
        <f t="array" ref="D489">IF(E489=0,0,(INDEX(AccountCodes[ACCOUNT NAME],MATCH(E489,AccountCodes[NGAS CODE],0))))</f>
        <v>Employees Compensation Insurance Premiums</v>
      </c>
      <c r="E489" s="24" t="s">
        <v>178</v>
      </c>
      <c r="F489" s="502">
        <v>4600</v>
      </c>
    </row>
    <row r="490" spans="1:6">
      <c r="A490" s="308">
        <v>43190</v>
      </c>
      <c r="B490" s="24" t="s">
        <v>484</v>
      </c>
      <c r="C490" s="24" t="s">
        <v>487</v>
      </c>
      <c r="D490" s="136" t="str">
        <f t="array" ref="D490">IF(E490=0,0,(INDEX(AccountCodes[ACCOUNT NAME],MATCH(E490,AccountCodes[NGAS CODE],0))))</f>
        <v>Employees Compensation Insurance Premiums</v>
      </c>
      <c r="E490" s="24" t="s">
        <v>178</v>
      </c>
      <c r="F490" s="502">
        <v>4600</v>
      </c>
    </row>
    <row r="491" spans="1:6">
      <c r="A491" s="308">
        <v>43220</v>
      </c>
      <c r="B491" s="24" t="s">
        <v>484</v>
      </c>
      <c r="C491" s="24" t="s">
        <v>487</v>
      </c>
      <c r="D491" s="136" t="str">
        <f t="array" ref="D491">IF(E491=0,0,(INDEX(AccountCodes[ACCOUNT NAME],MATCH(E491,AccountCodes[NGAS CODE],0))))</f>
        <v>Employees Compensation Insurance Premiums</v>
      </c>
      <c r="E491" s="24" t="s">
        <v>178</v>
      </c>
      <c r="F491" s="502">
        <v>4600</v>
      </c>
    </row>
    <row r="492" spans="1:6">
      <c r="A492" s="308">
        <v>43251</v>
      </c>
      <c r="B492" s="24" t="s">
        <v>484</v>
      </c>
      <c r="C492" s="24" t="s">
        <v>487</v>
      </c>
      <c r="D492" s="136" t="str">
        <f t="array" ref="D492">IF(E492=0,0,(INDEX(AccountCodes[ACCOUNT NAME],MATCH(E492,AccountCodes[NGAS CODE],0))))</f>
        <v>Employees Compensation Insurance Premiums</v>
      </c>
      <c r="E492" s="24" t="s">
        <v>178</v>
      </c>
      <c r="F492" s="502">
        <v>4600</v>
      </c>
    </row>
    <row r="493" spans="1:6">
      <c r="A493" s="308">
        <v>43281</v>
      </c>
      <c r="B493" s="24" t="s">
        <v>484</v>
      </c>
      <c r="C493" s="24" t="s">
        <v>487</v>
      </c>
      <c r="D493" s="136" t="str">
        <f t="array" ref="D493">IF(E493=0,0,(INDEX(AccountCodes[ACCOUNT NAME],MATCH(E493,AccountCodes[NGAS CODE],0))))</f>
        <v>Employees Compensation Insurance Premiums</v>
      </c>
      <c r="E493" s="24" t="s">
        <v>178</v>
      </c>
      <c r="F493" s="502">
        <v>4600</v>
      </c>
    </row>
    <row r="494" spans="1:6">
      <c r="A494" s="308">
        <v>43312</v>
      </c>
      <c r="B494" s="24" t="s">
        <v>484</v>
      </c>
      <c r="C494" s="24" t="s">
        <v>487</v>
      </c>
      <c r="D494" s="136" t="str">
        <f t="array" ref="D494">IF(E494=0,0,(INDEX(AccountCodes[ACCOUNT NAME],MATCH(E494,AccountCodes[NGAS CODE],0))))</f>
        <v>Employees Compensation Insurance Premiums</v>
      </c>
      <c r="E494" s="24" t="s">
        <v>178</v>
      </c>
      <c r="F494" s="502">
        <v>4600</v>
      </c>
    </row>
    <row r="495" spans="1:6">
      <c r="A495" s="308">
        <v>43343</v>
      </c>
      <c r="B495" s="24" t="s">
        <v>484</v>
      </c>
      <c r="C495" s="24" t="s">
        <v>487</v>
      </c>
      <c r="D495" s="136" t="str">
        <f t="array" ref="D495">IF(E495=0,0,(INDEX(AccountCodes[ACCOUNT NAME],MATCH(E495,AccountCodes[NGAS CODE],0))))</f>
        <v>Employees Compensation Insurance Premiums</v>
      </c>
      <c r="E495" s="24" t="s">
        <v>178</v>
      </c>
      <c r="F495" s="502">
        <v>4600</v>
      </c>
    </row>
    <row r="496" spans="1:6">
      <c r="A496" s="308">
        <v>43373</v>
      </c>
      <c r="B496" s="24" t="s">
        <v>484</v>
      </c>
      <c r="C496" s="24" t="s">
        <v>487</v>
      </c>
      <c r="D496" s="136" t="str">
        <f t="array" ref="D496">IF(E496=0,0,(INDEX(AccountCodes[ACCOUNT NAME],MATCH(E496,AccountCodes[NGAS CODE],0))))</f>
        <v>Employees Compensation Insurance Premiums</v>
      </c>
      <c r="E496" s="24" t="s">
        <v>178</v>
      </c>
      <c r="F496" s="502">
        <v>4600</v>
      </c>
    </row>
    <row r="497" spans="1:6">
      <c r="A497" s="308">
        <v>43404</v>
      </c>
      <c r="B497" s="24" t="s">
        <v>484</v>
      </c>
      <c r="C497" s="24" t="s">
        <v>487</v>
      </c>
      <c r="D497" s="136" t="str">
        <f t="array" ref="D497">IF(E497=0,0,(INDEX(AccountCodes[ACCOUNT NAME],MATCH(E497,AccountCodes[NGAS CODE],0))))</f>
        <v>Employees Compensation Insurance Premiums</v>
      </c>
      <c r="E497" s="24" t="s">
        <v>178</v>
      </c>
      <c r="F497" s="502">
        <v>4600</v>
      </c>
    </row>
    <row r="498" spans="1:6">
      <c r="A498" s="308">
        <v>43434</v>
      </c>
      <c r="B498" s="24" t="s">
        <v>484</v>
      </c>
      <c r="C498" s="24" t="s">
        <v>487</v>
      </c>
      <c r="D498" s="136" t="str">
        <f t="array" ref="D498">IF(E498=0,0,(INDEX(AccountCodes[ACCOUNT NAME],MATCH(E498,AccountCodes[NGAS CODE],0))))</f>
        <v>Employees Compensation Insurance Premiums</v>
      </c>
      <c r="E498" s="24" t="s">
        <v>178</v>
      </c>
      <c r="F498" s="502">
        <v>4600</v>
      </c>
    </row>
    <row r="499" spans="1:6">
      <c r="A499" s="308">
        <v>43465</v>
      </c>
      <c r="B499" s="24" t="s">
        <v>484</v>
      </c>
      <c r="C499" s="24" t="s">
        <v>487</v>
      </c>
      <c r="D499" s="136" t="str">
        <f t="array" ref="D499">IF(E499=0,0,(INDEX(AccountCodes[ACCOUNT NAME],MATCH(E499,AccountCodes[NGAS CODE],0))))</f>
        <v>Employees Compensation Insurance Premiums</v>
      </c>
      <c r="E499" s="24" t="s">
        <v>178</v>
      </c>
      <c r="F499" s="502">
        <v>4600</v>
      </c>
    </row>
    <row r="500" spans="1:6">
      <c r="A500" s="308">
        <v>43131</v>
      </c>
      <c r="B500" s="24" t="s">
        <v>484</v>
      </c>
      <c r="C500" s="24" t="s">
        <v>487</v>
      </c>
      <c r="D500" s="136" t="str">
        <f t="array" ref="D500">IF(E500=0,0,(INDEX(AccountCodes[ACCOUNT NAME],MATCH(E500,AccountCodes[NGAS CODE],0))))</f>
        <v>Traveling Expenses-Local</v>
      </c>
      <c r="E500" s="24" t="s">
        <v>223</v>
      </c>
      <c r="F500" s="502">
        <v>14880</v>
      </c>
    </row>
    <row r="501" spans="1:6">
      <c r="A501" s="308">
        <v>43159</v>
      </c>
      <c r="B501" s="24" t="s">
        <v>484</v>
      </c>
      <c r="C501" s="24" t="s">
        <v>487</v>
      </c>
      <c r="D501" s="136" t="str">
        <f t="array" ref="D501">IF(E501=0,0,(INDEX(AccountCodes[ACCOUNT NAME],MATCH(E501,AccountCodes[NGAS CODE],0))))</f>
        <v>Traveling Expenses-Local</v>
      </c>
      <c r="E501" s="24" t="s">
        <v>223</v>
      </c>
      <c r="F501" s="502">
        <v>14880</v>
      </c>
    </row>
    <row r="502" spans="1:6">
      <c r="A502" s="308">
        <v>43190</v>
      </c>
      <c r="B502" s="24" t="s">
        <v>484</v>
      </c>
      <c r="C502" s="24" t="s">
        <v>487</v>
      </c>
      <c r="D502" s="136" t="str">
        <f t="array" ref="D502">IF(E502=0,0,(INDEX(AccountCodes[ACCOUNT NAME],MATCH(E502,AccountCodes[NGAS CODE],0))))</f>
        <v>Traveling Expenses-Local</v>
      </c>
      <c r="E502" s="24" t="s">
        <v>223</v>
      </c>
      <c r="F502" s="502">
        <v>14880</v>
      </c>
    </row>
    <row r="503" spans="1:6">
      <c r="A503" s="308">
        <v>43220</v>
      </c>
      <c r="B503" s="24" t="s">
        <v>484</v>
      </c>
      <c r="C503" s="24" t="s">
        <v>487</v>
      </c>
      <c r="D503" s="136" t="str">
        <f t="array" ref="D503">IF(E503=0,0,(INDEX(AccountCodes[ACCOUNT NAME],MATCH(E503,AccountCodes[NGAS CODE],0))))</f>
        <v>Traveling Expenses-Local</v>
      </c>
      <c r="E503" s="24" t="s">
        <v>223</v>
      </c>
      <c r="F503" s="502">
        <v>14880</v>
      </c>
    </row>
    <row r="504" spans="1:6">
      <c r="A504" s="308">
        <v>43251</v>
      </c>
      <c r="B504" s="24" t="s">
        <v>484</v>
      </c>
      <c r="C504" s="24" t="s">
        <v>487</v>
      </c>
      <c r="D504" s="136" t="str">
        <f t="array" ref="D504">IF(E504=0,0,(INDEX(AccountCodes[ACCOUNT NAME],MATCH(E504,AccountCodes[NGAS CODE],0))))</f>
        <v>Traveling Expenses-Local</v>
      </c>
      <c r="E504" s="24" t="s">
        <v>223</v>
      </c>
      <c r="F504" s="502">
        <v>14880</v>
      </c>
    </row>
    <row r="505" spans="1:6">
      <c r="A505" s="308">
        <v>43281</v>
      </c>
      <c r="B505" s="24" t="s">
        <v>484</v>
      </c>
      <c r="C505" s="24" t="s">
        <v>487</v>
      </c>
      <c r="D505" s="136" t="str">
        <f t="array" ref="D505">IF(E505=0,0,(INDEX(AccountCodes[ACCOUNT NAME],MATCH(E505,AccountCodes[NGAS CODE],0))))</f>
        <v>Traveling Expenses-Local</v>
      </c>
      <c r="E505" s="24" t="s">
        <v>223</v>
      </c>
      <c r="F505" s="502">
        <v>14880</v>
      </c>
    </row>
    <row r="506" spans="1:6">
      <c r="A506" s="308">
        <v>43312</v>
      </c>
      <c r="B506" s="24" t="s">
        <v>484</v>
      </c>
      <c r="C506" s="24" t="s">
        <v>487</v>
      </c>
      <c r="D506" s="136" t="str">
        <f t="array" ref="D506">IF(E506=0,0,(INDEX(AccountCodes[ACCOUNT NAME],MATCH(E506,AccountCodes[NGAS CODE],0))))</f>
        <v>Traveling Expenses-Local</v>
      </c>
      <c r="E506" s="24" t="s">
        <v>223</v>
      </c>
      <c r="F506" s="502">
        <v>14880</v>
      </c>
    </row>
    <row r="507" spans="1:6">
      <c r="A507" s="308">
        <v>43343</v>
      </c>
      <c r="B507" s="24" t="s">
        <v>484</v>
      </c>
      <c r="C507" s="24" t="s">
        <v>487</v>
      </c>
      <c r="D507" s="136" t="str">
        <f t="array" ref="D507">IF(E507=0,0,(INDEX(AccountCodes[ACCOUNT NAME],MATCH(E507,AccountCodes[NGAS CODE],0))))</f>
        <v>Traveling Expenses-Local</v>
      </c>
      <c r="E507" s="24" t="s">
        <v>223</v>
      </c>
      <c r="F507" s="502">
        <v>14880</v>
      </c>
    </row>
    <row r="508" spans="1:6">
      <c r="A508" s="308">
        <v>43373</v>
      </c>
      <c r="B508" s="24" t="s">
        <v>484</v>
      </c>
      <c r="C508" s="24" t="s">
        <v>487</v>
      </c>
      <c r="D508" s="136" t="str">
        <f t="array" ref="D508">IF(E508=0,0,(INDEX(AccountCodes[ACCOUNT NAME],MATCH(E508,AccountCodes[NGAS CODE],0))))</f>
        <v>Traveling Expenses-Local</v>
      </c>
      <c r="E508" s="24" t="s">
        <v>223</v>
      </c>
      <c r="F508" s="502">
        <v>14880</v>
      </c>
    </row>
    <row r="509" spans="1:6">
      <c r="A509" s="308">
        <v>43404</v>
      </c>
      <c r="B509" s="24" t="s">
        <v>484</v>
      </c>
      <c r="C509" s="24" t="s">
        <v>487</v>
      </c>
      <c r="D509" s="136" t="str">
        <f t="array" ref="D509">IF(E509=0,0,(INDEX(AccountCodes[ACCOUNT NAME],MATCH(E509,AccountCodes[NGAS CODE],0))))</f>
        <v>Traveling Expenses-Local</v>
      </c>
      <c r="E509" s="24" t="s">
        <v>223</v>
      </c>
      <c r="F509" s="502">
        <v>14880</v>
      </c>
    </row>
    <row r="510" spans="1:6">
      <c r="A510" s="308">
        <v>43434</v>
      </c>
      <c r="B510" s="24" t="s">
        <v>484</v>
      </c>
      <c r="C510" s="24" t="s">
        <v>487</v>
      </c>
      <c r="D510" s="136" t="str">
        <f t="array" ref="D510">IF(E510=0,0,(INDEX(AccountCodes[ACCOUNT NAME],MATCH(E510,AccountCodes[NGAS CODE],0))))</f>
        <v>Traveling Expenses-Local</v>
      </c>
      <c r="E510" s="24" t="s">
        <v>223</v>
      </c>
      <c r="F510" s="502">
        <v>14880</v>
      </c>
    </row>
    <row r="511" spans="1:6">
      <c r="A511" s="308">
        <v>43465</v>
      </c>
      <c r="B511" s="24" t="s">
        <v>484</v>
      </c>
      <c r="C511" s="24" t="s">
        <v>487</v>
      </c>
      <c r="D511" s="136" t="str">
        <f t="array" ref="D511">IF(E511=0,0,(INDEX(AccountCodes[ACCOUNT NAME],MATCH(E511,AccountCodes[NGAS CODE],0))))</f>
        <v>Traveling Expenses-Local</v>
      </c>
      <c r="E511" s="24" t="s">
        <v>223</v>
      </c>
      <c r="F511" s="502">
        <v>14880</v>
      </c>
    </row>
    <row r="512" spans="1:6">
      <c r="A512" s="308">
        <v>43190</v>
      </c>
      <c r="B512" s="24" t="s">
        <v>484</v>
      </c>
      <c r="C512" s="24" t="s">
        <v>487</v>
      </c>
      <c r="D512" s="136" t="str">
        <f t="array" ref="D512">IF(E512=0,0,(INDEX(AccountCodes[ACCOUNT NAME],MATCH(E512,AccountCodes[NGAS CODE],0))))</f>
        <v>Training Expenses</v>
      </c>
      <c r="E512" s="24" t="s">
        <v>224</v>
      </c>
      <c r="F512" s="502">
        <v>75000</v>
      </c>
    </row>
    <row r="513" spans="1:6">
      <c r="A513" s="308">
        <v>43131</v>
      </c>
      <c r="B513" s="24" t="s">
        <v>484</v>
      </c>
      <c r="C513" s="24" t="s">
        <v>487</v>
      </c>
      <c r="D513" s="136" t="str">
        <f t="array" ref="D513">IF(E513=0,0,(INDEX(AccountCodes[ACCOUNT NAME],MATCH(E513,AccountCodes[NGAS CODE],0))))</f>
        <v>Office Supplies Expenses</v>
      </c>
      <c r="E513" s="309" t="s">
        <v>225</v>
      </c>
      <c r="F513" s="502">
        <v>16500</v>
      </c>
    </row>
    <row r="514" spans="1:6">
      <c r="A514" s="308">
        <v>43159</v>
      </c>
      <c r="B514" s="24" t="s">
        <v>484</v>
      </c>
      <c r="C514" s="24" t="s">
        <v>487</v>
      </c>
      <c r="D514" s="136" t="str">
        <f t="array" ref="D514">IF(E514=0,0,(INDEX(AccountCodes[ACCOUNT NAME],MATCH(E514,AccountCodes[NGAS CODE],0))))</f>
        <v>Office Supplies Expenses</v>
      </c>
      <c r="E514" s="309" t="s">
        <v>225</v>
      </c>
      <c r="F514" s="502">
        <v>16500</v>
      </c>
    </row>
    <row r="515" spans="1:6">
      <c r="A515" s="308">
        <v>43190</v>
      </c>
      <c r="B515" s="24" t="s">
        <v>484</v>
      </c>
      <c r="C515" s="24" t="s">
        <v>487</v>
      </c>
      <c r="D515" s="136" t="str">
        <f t="array" ref="D515">IF(E515=0,0,(INDEX(AccountCodes[ACCOUNT NAME],MATCH(E515,AccountCodes[NGAS CODE],0))))</f>
        <v>Office Supplies Expenses</v>
      </c>
      <c r="E515" s="309" t="s">
        <v>225</v>
      </c>
      <c r="F515" s="502">
        <v>16500</v>
      </c>
    </row>
    <row r="516" spans="1:6">
      <c r="A516" s="308">
        <v>43220</v>
      </c>
      <c r="B516" s="24" t="s">
        <v>484</v>
      </c>
      <c r="C516" s="24" t="s">
        <v>487</v>
      </c>
      <c r="D516" s="136" t="str">
        <f t="array" ref="D516">IF(E516=0,0,(INDEX(AccountCodes[ACCOUNT NAME],MATCH(E516,AccountCodes[NGAS CODE],0))))</f>
        <v>Office Supplies Expenses</v>
      </c>
      <c r="E516" s="309" t="s">
        <v>225</v>
      </c>
      <c r="F516" s="502">
        <v>16500</v>
      </c>
    </row>
    <row r="517" spans="1:6">
      <c r="A517" s="308">
        <v>43251</v>
      </c>
      <c r="B517" s="24" t="s">
        <v>484</v>
      </c>
      <c r="C517" s="24" t="s">
        <v>487</v>
      </c>
      <c r="D517" s="136" t="str">
        <f t="array" ref="D517">IF(E517=0,0,(INDEX(AccountCodes[ACCOUNT NAME],MATCH(E517,AccountCodes[NGAS CODE],0))))</f>
        <v>Office Supplies Expenses</v>
      </c>
      <c r="E517" s="309" t="s">
        <v>225</v>
      </c>
      <c r="F517" s="502">
        <v>16500</v>
      </c>
    </row>
    <row r="518" spans="1:6">
      <c r="A518" s="308">
        <v>43281</v>
      </c>
      <c r="B518" s="24" t="s">
        <v>484</v>
      </c>
      <c r="C518" s="24" t="s">
        <v>487</v>
      </c>
      <c r="D518" s="136" t="str">
        <f t="array" ref="D518">IF(E518=0,0,(INDEX(AccountCodes[ACCOUNT NAME],MATCH(E518,AccountCodes[NGAS CODE],0))))</f>
        <v>Office Supplies Expenses</v>
      </c>
      <c r="E518" s="309" t="s">
        <v>225</v>
      </c>
      <c r="F518" s="502">
        <v>16500</v>
      </c>
    </row>
    <row r="519" spans="1:6">
      <c r="A519" s="308">
        <v>43312</v>
      </c>
      <c r="B519" s="24" t="s">
        <v>484</v>
      </c>
      <c r="C519" s="24" t="s">
        <v>487</v>
      </c>
      <c r="D519" s="136" t="str">
        <f t="array" ref="D519">IF(E519=0,0,(INDEX(AccountCodes[ACCOUNT NAME],MATCH(E519,AccountCodes[NGAS CODE],0))))</f>
        <v>Office Supplies Expenses</v>
      </c>
      <c r="E519" s="309" t="s">
        <v>225</v>
      </c>
      <c r="F519" s="502">
        <v>16500</v>
      </c>
    </row>
    <row r="520" spans="1:6">
      <c r="A520" s="308">
        <v>43343</v>
      </c>
      <c r="B520" s="24" t="s">
        <v>484</v>
      </c>
      <c r="C520" s="24" t="s">
        <v>487</v>
      </c>
      <c r="D520" s="136" t="str">
        <f t="array" ref="D520">IF(E520=0,0,(INDEX(AccountCodes[ACCOUNT NAME],MATCH(E520,AccountCodes[NGAS CODE],0))))</f>
        <v>Office Supplies Expenses</v>
      </c>
      <c r="E520" s="309" t="s">
        <v>225</v>
      </c>
      <c r="F520" s="502">
        <v>16500</v>
      </c>
    </row>
    <row r="521" spans="1:6">
      <c r="A521" s="308">
        <v>43373</v>
      </c>
      <c r="B521" s="24" t="s">
        <v>484</v>
      </c>
      <c r="C521" s="24" t="s">
        <v>487</v>
      </c>
      <c r="D521" s="136" t="str">
        <f t="array" ref="D521">IF(E521=0,0,(INDEX(AccountCodes[ACCOUNT NAME],MATCH(E521,AccountCodes[NGAS CODE],0))))</f>
        <v>Office Supplies Expenses</v>
      </c>
      <c r="E521" s="309" t="s">
        <v>225</v>
      </c>
      <c r="F521" s="502">
        <v>16500</v>
      </c>
    </row>
    <row r="522" spans="1:6">
      <c r="A522" s="308">
        <v>43404</v>
      </c>
      <c r="B522" s="24" t="s">
        <v>484</v>
      </c>
      <c r="C522" s="24" t="s">
        <v>487</v>
      </c>
      <c r="D522" s="136" t="str">
        <f t="array" ref="D522">IF(E522=0,0,(INDEX(AccountCodes[ACCOUNT NAME],MATCH(E522,AccountCodes[NGAS CODE],0))))</f>
        <v>Office Supplies Expenses</v>
      </c>
      <c r="E522" s="309" t="s">
        <v>225</v>
      </c>
      <c r="F522" s="502">
        <v>16500</v>
      </c>
    </row>
    <row r="523" spans="1:6">
      <c r="A523" s="308">
        <v>43434</v>
      </c>
      <c r="B523" s="24" t="s">
        <v>484</v>
      </c>
      <c r="C523" s="24" t="s">
        <v>487</v>
      </c>
      <c r="D523" s="136" t="str">
        <f t="array" ref="D523">IF(E523=0,0,(INDEX(AccountCodes[ACCOUNT NAME],MATCH(E523,AccountCodes[NGAS CODE],0))))</f>
        <v>Office Supplies Expenses</v>
      </c>
      <c r="E523" s="309" t="s">
        <v>225</v>
      </c>
      <c r="F523" s="502">
        <v>16500</v>
      </c>
    </row>
    <row r="524" spans="1:6">
      <c r="A524" s="308">
        <v>43465</v>
      </c>
      <c r="B524" s="24" t="s">
        <v>484</v>
      </c>
      <c r="C524" s="24" t="s">
        <v>487</v>
      </c>
      <c r="D524" s="136" t="str">
        <f t="array" ref="D524">IF(E524=0,0,(INDEX(AccountCodes[ACCOUNT NAME],MATCH(E524,AccountCodes[NGAS CODE],0))))</f>
        <v>Office Supplies Expenses</v>
      </c>
      <c r="E524" s="309" t="s">
        <v>225</v>
      </c>
      <c r="F524" s="502">
        <v>16500</v>
      </c>
    </row>
    <row r="525" spans="1:6">
      <c r="A525" s="308">
        <v>43190</v>
      </c>
      <c r="B525" s="24" t="s">
        <v>484</v>
      </c>
      <c r="C525" s="24" t="s">
        <v>487</v>
      </c>
      <c r="D525" s="136" t="str">
        <f t="array" ref="D525">IF(E525=0,0,(INDEX(AccountCodes[ACCOUNT NAME],MATCH(E525,AccountCodes[NGAS CODE],0))))</f>
        <v>Accountable Forms Expenses</v>
      </c>
      <c r="E525" s="309" t="s">
        <v>226</v>
      </c>
      <c r="F525" s="502">
        <v>35750</v>
      </c>
    </row>
    <row r="526" spans="1:6">
      <c r="A526" s="308">
        <v>43281</v>
      </c>
      <c r="B526" s="24" t="s">
        <v>484</v>
      </c>
      <c r="C526" s="24" t="s">
        <v>487</v>
      </c>
      <c r="D526" s="136" t="str">
        <f t="array" ref="D526">IF(E526=0,0,(INDEX(AccountCodes[ACCOUNT NAME],MATCH(E526,AccountCodes[NGAS CODE],0))))</f>
        <v>Accountable Forms Expenses</v>
      </c>
      <c r="E526" s="309" t="s">
        <v>226</v>
      </c>
      <c r="F526" s="502">
        <v>35750</v>
      </c>
    </row>
    <row r="527" spans="1:6">
      <c r="A527" s="308">
        <v>43373</v>
      </c>
      <c r="B527" s="24" t="s">
        <v>484</v>
      </c>
      <c r="C527" s="24" t="s">
        <v>487</v>
      </c>
      <c r="D527" s="136" t="str">
        <f t="array" ref="D527">IF(E527=0,0,(INDEX(AccountCodes[ACCOUNT NAME],MATCH(E527,AccountCodes[NGAS CODE],0))))</f>
        <v>Accountable Forms Expenses</v>
      </c>
      <c r="E527" s="309" t="s">
        <v>226</v>
      </c>
      <c r="F527" s="502">
        <v>35750</v>
      </c>
    </row>
    <row r="528" spans="1:6">
      <c r="A528" s="308">
        <v>43465</v>
      </c>
      <c r="B528" s="24" t="s">
        <v>484</v>
      </c>
      <c r="C528" s="24" t="s">
        <v>487</v>
      </c>
      <c r="D528" s="136" t="str">
        <f t="array" ref="D528">IF(E528=0,0,(INDEX(AccountCodes[ACCOUNT NAME],MATCH(E528,AccountCodes[NGAS CODE],0))))</f>
        <v>Accountable Forms Expenses</v>
      </c>
      <c r="E528" s="309" t="s">
        <v>226</v>
      </c>
      <c r="F528" s="502">
        <v>35750</v>
      </c>
    </row>
    <row r="529" spans="1:6">
      <c r="A529" s="308">
        <v>43131</v>
      </c>
      <c r="B529" s="24" t="s">
        <v>484</v>
      </c>
      <c r="C529" s="24" t="s">
        <v>487</v>
      </c>
      <c r="D529" s="136" t="str">
        <f t="array" ref="D529">IF(E529=0,0,(INDEX(AccountCodes[ACCOUNT NAME],MATCH(E529,AccountCodes[NGAS CODE],0))))</f>
        <v>Drugs and Medicines Expenses</v>
      </c>
      <c r="E529" s="309" t="s">
        <v>227</v>
      </c>
      <c r="F529" s="502">
        <v>916.67</v>
      </c>
    </row>
    <row r="530" spans="1:6">
      <c r="A530" s="308">
        <v>43159</v>
      </c>
      <c r="B530" s="24" t="s">
        <v>484</v>
      </c>
      <c r="C530" s="24" t="s">
        <v>487</v>
      </c>
      <c r="D530" s="136" t="str">
        <f t="array" ref="D530">IF(E530=0,0,(INDEX(AccountCodes[ACCOUNT NAME],MATCH(E530,AccountCodes[NGAS CODE],0))))</f>
        <v>Drugs and Medicines Expenses</v>
      </c>
      <c r="E530" s="309" t="s">
        <v>227</v>
      </c>
      <c r="F530" s="502">
        <v>916.67</v>
      </c>
    </row>
    <row r="531" spans="1:6">
      <c r="A531" s="308">
        <v>43190</v>
      </c>
      <c r="B531" s="24" t="s">
        <v>484</v>
      </c>
      <c r="C531" s="24" t="s">
        <v>487</v>
      </c>
      <c r="D531" s="136" t="str">
        <f t="array" ref="D531">IF(E531=0,0,(INDEX(AccountCodes[ACCOUNT NAME],MATCH(E531,AccountCodes[NGAS CODE],0))))</f>
        <v>Drugs and Medicines Expenses</v>
      </c>
      <c r="E531" s="309" t="s">
        <v>227</v>
      </c>
      <c r="F531" s="502">
        <v>916.67</v>
      </c>
    </row>
    <row r="532" spans="1:6">
      <c r="A532" s="308">
        <v>43220</v>
      </c>
      <c r="B532" s="24" t="s">
        <v>484</v>
      </c>
      <c r="C532" s="24" t="s">
        <v>487</v>
      </c>
      <c r="D532" s="136" t="str">
        <f t="array" ref="D532">IF(E532=0,0,(INDEX(AccountCodes[ACCOUNT NAME],MATCH(E532,AccountCodes[NGAS CODE],0))))</f>
        <v>Drugs and Medicines Expenses</v>
      </c>
      <c r="E532" s="309" t="s">
        <v>227</v>
      </c>
      <c r="F532" s="502">
        <v>916.67</v>
      </c>
    </row>
    <row r="533" spans="1:6">
      <c r="A533" s="308">
        <v>43251</v>
      </c>
      <c r="B533" s="24" t="s">
        <v>484</v>
      </c>
      <c r="C533" s="24" t="s">
        <v>487</v>
      </c>
      <c r="D533" s="136" t="str">
        <f t="array" ref="D533">IF(E533=0,0,(INDEX(AccountCodes[ACCOUNT NAME],MATCH(E533,AccountCodes[NGAS CODE],0))))</f>
        <v>Drugs and Medicines Expenses</v>
      </c>
      <c r="E533" s="309" t="s">
        <v>227</v>
      </c>
      <c r="F533" s="502">
        <v>916.67</v>
      </c>
    </row>
    <row r="534" spans="1:6">
      <c r="A534" s="308">
        <v>43281</v>
      </c>
      <c r="B534" s="24" t="s">
        <v>484</v>
      </c>
      <c r="C534" s="24" t="s">
        <v>487</v>
      </c>
      <c r="D534" s="136" t="str">
        <f t="array" ref="D534">IF(E534=0,0,(INDEX(AccountCodes[ACCOUNT NAME],MATCH(E534,AccountCodes[NGAS CODE],0))))</f>
        <v>Drugs and Medicines Expenses</v>
      </c>
      <c r="E534" s="309" t="s">
        <v>227</v>
      </c>
      <c r="F534" s="502">
        <v>916.67</v>
      </c>
    </row>
    <row r="535" spans="1:6">
      <c r="A535" s="308">
        <v>43312</v>
      </c>
      <c r="B535" s="24" t="s">
        <v>484</v>
      </c>
      <c r="C535" s="24" t="s">
        <v>487</v>
      </c>
      <c r="D535" s="136" t="str">
        <f t="array" ref="D535">IF(E535=0,0,(INDEX(AccountCodes[ACCOUNT NAME],MATCH(E535,AccountCodes[NGAS CODE],0))))</f>
        <v>Drugs and Medicines Expenses</v>
      </c>
      <c r="E535" s="309" t="s">
        <v>227</v>
      </c>
      <c r="F535" s="502">
        <v>916.67</v>
      </c>
    </row>
    <row r="536" spans="1:6">
      <c r="A536" s="308">
        <v>43343</v>
      </c>
      <c r="B536" s="24" t="s">
        <v>484</v>
      </c>
      <c r="C536" s="24" t="s">
        <v>487</v>
      </c>
      <c r="D536" s="136" t="str">
        <f t="array" ref="D536">IF(E536=0,0,(INDEX(AccountCodes[ACCOUNT NAME],MATCH(E536,AccountCodes[NGAS CODE],0))))</f>
        <v>Drugs and Medicines Expenses</v>
      </c>
      <c r="E536" s="309" t="s">
        <v>227</v>
      </c>
      <c r="F536" s="502">
        <v>916.67</v>
      </c>
    </row>
    <row r="537" spans="1:6">
      <c r="A537" s="308">
        <v>43373</v>
      </c>
      <c r="B537" s="24" t="s">
        <v>484</v>
      </c>
      <c r="C537" s="24" t="s">
        <v>487</v>
      </c>
      <c r="D537" s="136" t="str">
        <f t="array" ref="D537">IF(E537=0,0,(INDEX(AccountCodes[ACCOUNT NAME],MATCH(E537,AccountCodes[NGAS CODE],0))))</f>
        <v>Drugs and Medicines Expenses</v>
      </c>
      <c r="E537" s="309" t="s">
        <v>227</v>
      </c>
      <c r="F537" s="502">
        <v>916.67</v>
      </c>
    </row>
    <row r="538" spans="1:6">
      <c r="A538" s="308">
        <v>43404</v>
      </c>
      <c r="B538" s="24" t="s">
        <v>484</v>
      </c>
      <c r="C538" s="24" t="s">
        <v>487</v>
      </c>
      <c r="D538" s="136" t="str">
        <f t="array" ref="D538">IF(E538=0,0,(INDEX(AccountCodes[ACCOUNT NAME],MATCH(E538,AccountCodes[NGAS CODE],0))))</f>
        <v>Drugs and Medicines Expenses</v>
      </c>
      <c r="E538" s="309" t="s">
        <v>227</v>
      </c>
      <c r="F538" s="502">
        <v>916.67</v>
      </c>
    </row>
    <row r="539" spans="1:6">
      <c r="A539" s="308">
        <v>43434</v>
      </c>
      <c r="B539" s="24" t="s">
        <v>484</v>
      </c>
      <c r="C539" s="24" t="s">
        <v>487</v>
      </c>
      <c r="D539" s="136" t="str">
        <f t="array" ref="D539">IF(E539=0,0,(INDEX(AccountCodes[ACCOUNT NAME],MATCH(E539,AccountCodes[NGAS CODE],0))))</f>
        <v>Drugs and Medicines Expenses</v>
      </c>
      <c r="E539" s="309" t="s">
        <v>227</v>
      </c>
      <c r="F539" s="502">
        <v>916.67</v>
      </c>
    </row>
    <row r="540" spans="1:6">
      <c r="A540" s="308">
        <v>43465</v>
      </c>
      <c r="B540" s="24" t="s">
        <v>484</v>
      </c>
      <c r="C540" s="24" t="s">
        <v>487</v>
      </c>
      <c r="D540" s="136" t="str">
        <f t="array" ref="D540">IF(E540=0,0,(INDEX(AccountCodes[ACCOUNT NAME],MATCH(E540,AccountCodes[NGAS CODE],0))))</f>
        <v>Drugs and Medicines Expenses</v>
      </c>
      <c r="E540" s="309" t="s">
        <v>227</v>
      </c>
      <c r="F540" s="502">
        <v>916.67</v>
      </c>
    </row>
    <row r="541" spans="1:6">
      <c r="A541" s="308">
        <v>43131</v>
      </c>
      <c r="B541" s="24" t="s">
        <v>484</v>
      </c>
      <c r="C541" s="24" t="s">
        <v>487</v>
      </c>
      <c r="D541" s="136" t="str">
        <f t="array" ref="D541">IF(E541=0,0,(INDEX(AccountCodes[ACCOUNT NAME],MATCH(E541,AccountCodes[NGAS CODE],0))))</f>
        <v>Medical, Dental and Laboratory Supplies Expenses</v>
      </c>
      <c r="E541" s="309" t="s">
        <v>228</v>
      </c>
      <c r="F541" s="502">
        <v>458.33</v>
      </c>
    </row>
    <row r="542" spans="1:6">
      <c r="A542" s="308">
        <v>43159</v>
      </c>
      <c r="B542" s="24" t="s">
        <v>484</v>
      </c>
      <c r="C542" s="24" t="s">
        <v>487</v>
      </c>
      <c r="D542" s="136" t="str">
        <f t="array" ref="D542">IF(E542=0,0,(INDEX(AccountCodes[ACCOUNT NAME],MATCH(E542,AccountCodes[NGAS CODE],0))))</f>
        <v>Medical, Dental and Laboratory Supplies Expenses</v>
      </c>
      <c r="E542" s="309" t="s">
        <v>228</v>
      </c>
      <c r="F542" s="502">
        <v>458.33</v>
      </c>
    </row>
    <row r="543" spans="1:6">
      <c r="A543" s="308">
        <v>43190</v>
      </c>
      <c r="B543" s="24" t="s">
        <v>484</v>
      </c>
      <c r="C543" s="24" t="s">
        <v>487</v>
      </c>
      <c r="D543" s="136" t="str">
        <f t="array" ref="D543">IF(E543=0,0,(INDEX(AccountCodes[ACCOUNT NAME],MATCH(E543,AccountCodes[NGAS CODE],0))))</f>
        <v>Medical, Dental and Laboratory Supplies Expenses</v>
      </c>
      <c r="E543" s="309" t="s">
        <v>228</v>
      </c>
      <c r="F543" s="502">
        <v>458.33</v>
      </c>
    </row>
    <row r="544" spans="1:6">
      <c r="A544" s="308">
        <v>43220</v>
      </c>
      <c r="B544" s="24" t="s">
        <v>484</v>
      </c>
      <c r="C544" s="24" t="s">
        <v>487</v>
      </c>
      <c r="D544" s="136" t="str">
        <f t="array" ref="D544">IF(E544=0,0,(INDEX(AccountCodes[ACCOUNT NAME],MATCH(E544,AccountCodes[NGAS CODE],0))))</f>
        <v>Medical, Dental and Laboratory Supplies Expenses</v>
      </c>
      <c r="E544" s="309" t="s">
        <v>228</v>
      </c>
      <c r="F544" s="502">
        <v>458.33</v>
      </c>
    </row>
    <row r="545" spans="1:6">
      <c r="A545" s="308">
        <v>43251</v>
      </c>
      <c r="B545" s="24" t="s">
        <v>484</v>
      </c>
      <c r="C545" s="24" t="s">
        <v>487</v>
      </c>
      <c r="D545" s="136" t="str">
        <f t="array" ref="D545">IF(E545=0,0,(INDEX(AccountCodes[ACCOUNT NAME],MATCH(E545,AccountCodes[NGAS CODE],0))))</f>
        <v>Medical, Dental and Laboratory Supplies Expenses</v>
      </c>
      <c r="E545" s="309" t="s">
        <v>228</v>
      </c>
      <c r="F545" s="502">
        <v>458.33</v>
      </c>
    </row>
    <row r="546" spans="1:6">
      <c r="A546" s="308">
        <v>43281</v>
      </c>
      <c r="B546" s="24" t="s">
        <v>484</v>
      </c>
      <c r="C546" s="24" t="s">
        <v>487</v>
      </c>
      <c r="D546" s="136" t="str">
        <f t="array" ref="D546">IF(E546=0,0,(INDEX(AccountCodes[ACCOUNT NAME],MATCH(E546,AccountCodes[NGAS CODE],0))))</f>
        <v>Medical, Dental and Laboratory Supplies Expenses</v>
      </c>
      <c r="E546" s="309" t="s">
        <v>228</v>
      </c>
      <c r="F546" s="502">
        <v>458.33</v>
      </c>
    </row>
    <row r="547" spans="1:6">
      <c r="A547" s="308">
        <v>43312</v>
      </c>
      <c r="B547" s="24" t="s">
        <v>484</v>
      </c>
      <c r="C547" s="24" t="s">
        <v>487</v>
      </c>
      <c r="D547" s="136" t="str">
        <f t="array" ref="D547">IF(E547=0,0,(INDEX(AccountCodes[ACCOUNT NAME],MATCH(E547,AccountCodes[NGAS CODE],0))))</f>
        <v>Medical, Dental and Laboratory Supplies Expenses</v>
      </c>
      <c r="E547" s="309" t="s">
        <v>228</v>
      </c>
      <c r="F547" s="502">
        <v>458.33</v>
      </c>
    </row>
    <row r="548" spans="1:6">
      <c r="A548" s="308">
        <v>43343</v>
      </c>
      <c r="B548" s="24" t="s">
        <v>484</v>
      </c>
      <c r="C548" s="24" t="s">
        <v>487</v>
      </c>
      <c r="D548" s="136" t="str">
        <f t="array" ref="D548">IF(E548=0,0,(INDEX(AccountCodes[ACCOUNT NAME],MATCH(E548,AccountCodes[NGAS CODE],0))))</f>
        <v>Medical, Dental and Laboratory Supplies Expenses</v>
      </c>
      <c r="E548" s="309" t="s">
        <v>228</v>
      </c>
      <c r="F548" s="502">
        <v>458.33</v>
      </c>
    </row>
    <row r="549" spans="1:6">
      <c r="A549" s="308">
        <v>43373</v>
      </c>
      <c r="B549" s="24" t="s">
        <v>484</v>
      </c>
      <c r="C549" s="24" t="s">
        <v>487</v>
      </c>
      <c r="D549" s="136" t="str">
        <f t="array" ref="D549">IF(E549=0,0,(INDEX(AccountCodes[ACCOUNT NAME],MATCH(E549,AccountCodes[NGAS CODE],0))))</f>
        <v>Medical, Dental and Laboratory Supplies Expenses</v>
      </c>
      <c r="E549" s="309" t="s">
        <v>228</v>
      </c>
      <c r="F549" s="502">
        <v>458.33</v>
      </c>
    </row>
    <row r="550" spans="1:6">
      <c r="A550" s="308">
        <v>43404</v>
      </c>
      <c r="B550" s="24" t="s">
        <v>484</v>
      </c>
      <c r="C550" s="24" t="s">
        <v>487</v>
      </c>
      <c r="D550" s="136" t="str">
        <f t="array" ref="D550">IF(E550=0,0,(INDEX(AccountCodes[ACCOUNT NAME],MATCH(E550,AccountCodes[NGAS CODE],0))))</f>
        <v>Medical, Dental and Laboratory Supplies Expenses</v>
      </c>
      <c r="E550" s="309" t="s">
        <v>228</v>
      </c>
      <c r="F550" s="502">
        <v>458.33</v>
      </c>
    </row>
    <row r="551" spans="1:6">
      <c r="A551" s="308">
        <v>43434</v>
      </c>
      <c r="B551" s="24" t="s">
        <v>484</v>
      </c>
      <c r="C551" s="24" t="s">
        <v>487</v>
      </c>
      <c r="D551" s="136" t="str">
        <f t="array" ref="D551">IF(E551=0,0,(INDEX(AccountCodes[ACCOUNT NAME],MATCH(E551,AccountCodes[NGAS CODE],0))))</f>
        <v>Medical, Dental and Laboratory Supplies Expenses</v>
      </c>
      <c r="E551" s="309" t="s">
        <v>228</v>
      </c>
      <c r="F551" s="502">
        <v>458.33</v>
      </c>
    </row>
    <row r="552" spans="1:6">
      <c r="A552" s="308">
        <v>43465</v>
      </c>
      <c r="B552" s="24" t="s">
        <v>484</v>
      </c>
      <c r="C552" s="24" t="s">
        <v>487</v>
      </c>
      <c r="D552" s="136" t="str">
        <f t="array" ref="D552">IF(E552=0,0,(INDEX(AccountCodes[ACCOUNT NAME],MATCH(E552,AccountCodes[NGAS CODE],0))))</f>
        <v>Medical, Dental and Laboratory Supplies Expenses</v>
      </c>
      <c r="E552" s="309" t="s">
        <v>228</v>
      </c>
      <c r="F552" s="502">
        <v>458.33</v>
      </c>
    </row>
    <row r="553" spans="1:6">
      <c r="A553" s="308">
        <v>43131</v>
      </c>
      <c r="B553" s="24" t="s">
        <v>484</v>
      </c>
      <c r="C553" s="24" t="s">
        <v>487</v>
      </c>
      <c r="D553" s="136" t="str">
        <f t="array" ref="D553">IF(E553=0,0,(INDEX(AccountCodes[ACCOUNT NAME],MATCH(E553,AccountCodes[NGAS CODE],0))))</f>
        <v>Fuel, Oil and Lubricants Expenses</v>
      </c>
      <c r="E553" s="309" t="s">
        <v>229</v>
      </c>
      <c r="F553" s="502">
        <v>299735.15000000002</v>
      </c>
    </row>
    <row r="554" spans="1:6">
      <c r="A554" s="308">
        <v>43159</v>
      </c>
      <c r="B554" s="24" t="s">
        <v>484</v>
      </c>
      <c r="C554" s="24" t="s">
        <v>487</v>
      </c>
      <c r="D554" s="136" t="str">
        <f t="array" ref="D554">IF(E554=0,0,(INDEX(AccountCodes[ACCOUNT NAME],MATCH(E554,AccountCodes[NGAS CODE],0))))</f>
        <v>Fuel, Oil and Lubricants Expenses</v>
      </c>
      <c r="E554" s="309" t="s">
        <v>229</v>
      </c>
      <c r="F554" s="502">
        <v>299735.15000000002</v>
      </c>
    </row>
    <row r="555" spans="1:6">
      <c r="A555" s="308">
        <v>43190</v>
      </c>
      <c r="B555" s="24" t="s">
        <v>484</v>
      </c>
      <c r="C555" s="24" t="s">
        <v>487</v>
      </c>
      <c r="D555" s="136" t="str">
        <f t="array" ref="D555">IF(E555=0,0,(INDEX(AccountCodes[ACCOUNT NAME],MATCH(E555,AccountCodes[NGAS CODE],0))))</f>
        <v>Fuel, Oil and Lubricants Expenses</v>
      </c>
      <c r="E555" s="309" t="s">
        <v>229</v>
      </c>
      <c r="F555" s="502">
        <v>299735.15000000002</v>
      </c>
    </row>
    <row r="556" spans="1:6">
      <c r="A556" s="308">
        <v>43220</v>
      </c>
      <c r="B556" s="24" t="s">
        <v>484</v>
      </c>
      <c r="C556" s="24" t="s">
        <v>487</v>
      </c>
      <c r="D556" s="136" t="str">
        <f t="array" ref="D556">IF(E556=0,0,(INDEX(AccountCodes[ACCOUNT NAME],MATCH(E556,AccountCodes[NGAS CODE],0))))</f>
        <v>Fuel, Oil and Lubricants Expenses</v>
      </c>
      <c r="E556" s="309" t="s">
        <v>229</v>
      </c>
      <c r="F556" s="502">
        <v>299735.15000000002</v>
      </c>
    </row>
    <row r="557" spans="1:6">
      <c r="A557" s="308">
        <v>43251</v>
      </c>
      <c r="B557" s="24" t="s">
        <v>484</v>
      </c>
      <c r="C557" s="24" t="s">
        <v>487</v>
      </c>
      <c r="D557" s="136" t="str">
        <f t="array" ref="D557">IF(E557=0,0,(INDEX(AccountCodes[ACCOUNT NAME],MATCH(E557,AccountCodes[NGAS CODE],0))))</f>
        <v>Fuel, Oil and Lubricants Expenses</v>
      </c>
      <c r="E557" s="309" t="s">
        <v>229</v>
      </c>
      <c r="F557" s="502">
        <v>299735.15000000002</v>
      </c>
    </row>
    <row r="558" spans="1:6">
      <c r="A558" s="308">
        <v>43281</v>
      </c>
      <c r="B558" s="24" t="s">
        <v>484</v>
      </c>
      <c r="C558" s="24" t="s">
        <v>487</v>
      </c>
      <c r="D558" s="136" t="str">
        <f t="array" ref="D558">IF(E558=0,0,(INDEX(AccountCodes[ACCOUNT NAME],MATCH(E558,AccountCodes[NGAS CODE],0))))</f>
        <v>Fuel, Oil and Lubricants Expenses</v>
      </c>
      <c r="E558" s="309" t="s">
        <v>229</v>
      </c>
      <c r="F558" s="502">
        <v>299735.15000000002</v>
      </c>
    </row>
    <row r="559" spans="1:6">
      <c r="A559" s="308">
        <v>43312</v>
      </c>
      <c r="B559" s="24" t="s">
        <v>484</v>
      </c>
      <c r="C559" s="24" t="s">
        <v>487</v>
      </c>
      <c r="D559" s="136" t="str">
        <f t="array" ref="D559">IF(E559=0,0,(INDEX(AccountCodes[ACCOUNT NAME],MATCH(E559,AccountCodes[NGAS CODE],0))))</f>
        <v>Fuel, Oil and Lubricants Expenses</v>
      </c>
      <c r="E559" s="309" t="s">
        <v>229</v>
      </c>
      <c r="F559" s="502">
        <v>299735.15000000002</v>
      </c>
    </row>
    <row r="560" spans="1:6">
      <c r="A560" s="308">
        <v>43343</v>
      </c>
      <c r="B560" s="24" t="s">
        <v>484</v>
      </c>
      <c r="C560" s="24" t="s">
        <v>487</v>
      </c>
      <c r="D560" s="136" t="str">
        <f t="array" ref="D560">IF(E560=0,0,(INDEX(AccountCodes[ACCOUNT NAME],MATCH(E560,AccountCodes[NGAS CODE],0))))</f>
        <v>Fuel, Oil and Lubricants Expenses</v>
      </c>
      <c r="E560" s="309" t="s">
        <v>229</v>
      </c>
      <c r="F560" s="502">
        <v>299735.15000000002</v>
      </c>
    </row>
    <row r="561" spans="1:6">
      <c r="A561" s="308">
        <v>43373</v>
      </c>
      <c r="B561" s="24" t="s">
        <v>484</v>
      </c>
      <c r="C561" s="24" t="s">
        <v>487</v>
      </c>
      <c r="D561" s="136" t="str">
        <f t="array" ref="D561">IF(E561=0,0,(INDEX(AccountCodes[ACCOUNT NAME],MATCH(E561,AccountCodes[NGAS CODE],0))))</f>
        <v>Fuel, Oil and Lubricants Expenses</v>
      </c>
      <c r="E561" s="309" t="s">
        <v>229</v>
      </c>
      <c r="F561" s="502">
        <v>299735.15000000002</v>
      </c>
    </row>
    <row r="562" spans="1:6">
      <c r="A562" s="308">
        <v>43404</v>
      </c>
      <c r="B562" s="24" t="s">
        <v>484</v>
      </c>
      <c r="C562" s="24" t="s">
        <v>487</v>
      </c>
      <c r="D562" s="136" t="str">
        <f t="array" ref="D562">IF(E562=0,0,(INDEX(AccountCodes[ACCOUNT NAME],MATCH(E562,AccountCodes[NGAS CODE],0))))</f>
        <v>Fuel, Oil and Lubricants Expenses</v>
      </c>
      <c r="E562" s="309" t="s">
        <v>229</v>
      </c>
      <c r="F562" s="502">
        <v>299735.15000000002</v>
      </c>
    </row>
    <row r="563" spans="1:6">
      <c r="A563" s="308">
        <v>43434</v>
      </c>
      <c r="B563" s="24" t="s">
        <v>484</v>
      </c>
      <c r="C563" s="24" t="s">
        <v>487</v>
      </c>
      <c r="D563" s="136" t="str">
        <f t="array" ref="D563">IF(E563=0,0,(INDEX(AccountCodes[ACCOUNT NAME],MATCH(E563,AccountCodes[NGAS CODE],0))))</f>
        <v>Fuel, Oil and Lubricants Expenses</v>
      </c>
      <c r="E563" s="309" t="s">
        <v>229</v>
      </c>
      <c r="F563" s="502">
        <v>299735.15000000002</v>
      </c>
    </row>
    <row r="564" spans="1:6">
      <c r="A564" s="308">
        <v>43465</v>
      </c>
      <c r="B564" s="24" t="s">
        <v>484</v>
      </c>
      <c r="C564" s="24" t="s">
        <v>487</v>
      </c>
      <c r="D564" s="136" t="str">
        <f t="array" ref="D564">IF(E564=0,0,(INDEX(AccountCodes[ACCOUNT NAME],MATCH(E564,AccountCodes[NGAS CODE],0))))</f>
        <v>Fuel, Oil and Lubricants Expenses</v>
      </c>
      <c r="E564" s="309" t="s">
        <v>229</v>
      </c>
      <c r="F564" s="502">
        <v>299735.15000000002</v>
      </c>
    </row>
    <row r="565" spans="1:6">
      <c r="A565" s="308">
        <v>43131</v>
      </c>
      <c r="B565" s="24" t="s">
        <v>484</v>
      </c>
      <c r="C565" s="24" t="s">
        <v>487</v>
      </c>
      <c r="D565" s="136" t="str">
        <f t="array" ref="D565">IF(E565=0,0,(INDEX(AccountCodes[ACCOUNT NAME],MATCH(E565,AccountCodes[NGAS CODE],0))))</f>
        <v>Other Supplies and Materials Expenses</v>
      </c>
      <c r="E565" s="309" t="s">
        <v>231</v>
      </c>
      <c r="F565" s="502">
        <v>14666.67</v>
      </c>
    </row>
    <row r="566" spans="1:6">
      <c r="A566" s="308">
        <v>43159</v>
      </c>
      <c r="B566" s="24" t="s">
        <v>484</v>
      </c>
      <c r="C566" s="24" t="s">
        <v>487</v>
      </c>
      <c r="D566" s="136" t="str">
        <f t="array" ref="D566">IF(E566=0,0,(INDEX(AccountCodes[ACCOUNT NAME],MATCH(E566,AccountCodes[NGAS CODE],0))))</f>
        <v>Other Supplies and Materials Expenses</v>
      </c>
      <c r="E566" s="309" t="s">
        <v>231</v>
      </c>
      <c r="F566" s="502">
        <v>14666.67</v>
      </c>
    </row>
    <row r="567" spans="1:6">
      <c r="A567" s="308">
        <v>43190</v>
      </c>
      <c r="B567" s="24" t="s">
        <v>484</v>
      </c>
      <c r="C567" s="24" t="s">
        <v>487</v>
      </c>
      <c r="D567" s="136" t="str">
        <f t="array" ref="D567">IF(E567=0,0,(INDEX(AccountCodes[ACCOUNT NAME],MATCH(E567,AccountCodes[NGAS CODE],0))))</f>
        <v>Other Supplies and Materials Expenses</v>
      </c>
      <c r="E567" s="309" t="s">
        <v>231</v>
      </c>
      <c r="F567" s="502">
        <v>14666.67</v>
      </c>
    </row>
    <row r="568" spans="1:6">
      <c r="A568" s="308">
        <v>43220</v>
      </c>
      <c r="B568" s="24" t="s">
        <v>484</v>
      </c>
      <c r="C568" s="24" t="s">
        <v>487</v>
      </c>
      <c r="D568" s="136" t="str">
        <f t="array" ref="D568">IF(E568=0,0,(INDEX(AccountCodes[ACCOUNT NAME],MATCH(E568,AccountCodes[NGAS CODE],0))))</f>
        <v>Other Supplies and Materials Expenses</v>
      </c>
      <c r="E568" s="309" t="s">
        <v>231</v>
      </c>
      <c r="F568" s="502">
        <v>14666.67</v>
      </c>
    </row>
    <row r="569" spans="1:6">
      <c r="A569" s="308">
        <v>43251</v>
      </c>
      <c r="B569" s="24" t="s">
        <v>484</v>
      </c>
      <c r="C569" s="24" t="s">
        <v>487</v>
      </c>
      <c r="D569" s="136" t="str">
        <f t="array" ref="D569">IF(E569=0,0,(INDEX(AccountCodes[ACCOUNT NAME],MATCH(E569,AccountCodes[NGAS CODE],0))))</f>
        <v>Other Supplies and Materials Expenses</v>
      </c>
      <c r="E569" s="309" t="s">
        <v>231</v>
      </c>
      <c r="F569" s="502">
        <v>14666.67</v>
      </c>
    </row>
    <row r="570" spans="1:6">
      <c r="A570" s="308">
        <v>43281</v>
      </c>
      <c r="B570" s="24" t="s">
        <v>484</v>
      </c>
      <c r="C570" s="24" t="s">
        <v>487</v>
      </c>
      <c r="D570" s="136" t="str">
        <f t="array" ref="D570">IF(E570=0,0,(INDEX(AccountCodes[ACCOUNT NAME],MATCH(E570,AccountCodes[NGAS CODE],0))))</f>
        <v>Other Supplies and Materials Expenses</v>
      </c>
      <c r="E570" s="309" t="s">
        <v>231</v>
      </c>
      <c r="F570" s="502">
        <v>14666.67</v>
      </c>
    </row>
    <row r="571" spans="1:6">
      <c r="A571" s="308">
        <v>43312</v>
      </c>
      <c r="B571" s="24" t="s">
        <v>484</v>
      </c>
      <c r="C571" s="24" t="s">
        <v>487</v>
      </c>
      <c r="D571" s="136" t="str">
        <f t="array" ref="D571">IF(E571=0,0,(INDEX(AccountCodes[ACCOUNT NAME],MATCH(E571,AccountCodes[NGAS CODE],0))))</f>
        <v>Other Supplies and Materials Expenses</v>
      </c>
      <c r="E571" s="309" t="s">
        <v>231</v>
      </c>
      <c r="F571" s="502">
        <v>14666.67</v>
      </c>
    </row>
    <row r="572" spans="1:6">
      <c r="A572" s="308">
        <v>43343</v>
      </c>
      <c r="B572" s="24" t="s">
        <v>484</v>
      </c>
      <c r="C572" s="24" t="s">
        <v>487</v>
      </c>
      <c r="D572" s="136" t="str">
        <f t="array" ref="D572">IF(E572=0,0,(INDEX(AccountCodes[ACCOUNT NAME],MATCH(E572,AccountCodes[NGAS CODE],0))))</f>
        <v>Other Supplies and Materials Expenses</v>
      </c>
      <c r="E572" s="309" t="s">
        <v>231</v>
      </c>
      <c r="F572" s="502">
        <v>14666.67</v>
      </c>
    </row>
    <row r="573" spans="1:6">
      <c r="A573" s="308">
        <v>43373</v>
      </c>
      <c r="B573" s="24" t="s">
        <v>484</v>
      </c>
      <c r="C573" s="24" t="s">
        <v>487</v>
      </c>
      <c r="D573" s="136" t="str">
        <f t="array" ref="D573">IF(E573=0,0,(INDEX(AccountCodes[ACCOUNT NAME],MATCH(E573,AccountCodes[NGAS CODE],0))))</f>
        <v>Other Supplies and Materials Expenses</v>
      </c>
      <c r="E573" s="309" t="s">
        <v>231</v>
      </c>
      <c r="F573" s="502">
        <v>14666.67</v>
      </c>
    </row>
    <row r="574" spans="1:6">
      <c r="A574" s="308">
        <v>43404</v>
      </c>
      <c r="B574" s="24" t="s">
        <v>484</v>
      </c>
      <c r="C574" s="24" t="s">
        <v>487</v>
      </c>
      <c r="D574" s="136" t="str">
        <f t="array" ref="D574">IF(E574=0,0,(INDEX(AccountCodes[ACCOUNT NAME],MATCH(E574,AccountCodes[NGAS CODE],0))))</f>
        <v>Other Supplies and Materials Expenses</v>
      </c>
      <c r="E574" s="309" t="s">
        <v>231</v>
      </c>
      <c r="F574" s="502">
        <v>14666.67</v>
      </c>
    </row>
    <row r="575" spans="1:6">
      <c r="A575" s="308">
        <v>43434</v>
      </c>
      <c r="B575" s="24" t="s">
        <v>484</v>
      </c>
      <c r="C575" s="24" t="s">
        <v>487</v>
      </c>
      <c r="D575" s="136" t="str">
        <f t="array" ref="D575">IF(E575=0,0,(INDEX(AccountCodes[ACCOUNT NAME],MATCH(E575,AccountCodes[NGAS CODE],0))))</f>
        <v>Other Supplies and Materials Expenses</v>
      </c>
      <c r="E575" s="309" t="s">
        <v>231</v>
      </c>
      <c r="F575" s="502">
        <v>14666.67</v>
      </c>
    </row>
    <row r="576" spans="1:6">
      <c r="A576" s="308">
        <v>43465</v>
      </c>
      <c r="B576" s="24" t="s">
        <v>484</v>
      </c>
      <c r="C576" s="24" t="s">
        <v>487</v>
      </c>
      <c r="D576" s="136" t="str">
        <f t="array" ref="D576">IF(E576=0,0,(INDEX(AccountCodes[ACCOUNT NAME],MATCH(E576,AccountCodes[NGAS CODE],0))))</f>
        <v>Other Supplies and Materials Expenses</v>
      </c>
      <c r="E576" s="309" t="s">
        <v>231</v>
      </c>
      <c r="F576" s="502">
        <v>14666.67</v>
      </c>
    </row>
    <row r="577" spans="1:6">
      <c r="A577" s="308">
        <v>43131</v>
      </c>
      <c r="B577" s="24" t="s">
        <v>484</v>
      </c>
      <c r="C577" s="24" t="s">
        <v>487</v>
      </c>
      <c r="D577" s="136" t="str">
        <f t="array" ref="D577">IF(E577=0,0,(INDEX(AccountCodes[ACCOUNT NAME],MATCH(E577,AccountCodes[NGAS CODE],0))))</f>
        <v>Water Expenses</v>
      </c>
      <c r="E577" s="309" t="s">
        <v>232</v>
      </c>
      <c r="F577" s="502">
        <v>11183.33</v>
      </c>
    </row>
    <row r="578" spans="1:6">
      <c r="A578" s="308">
        <v>43159</v>
      </c>
      <c r="B578" s="24" t="s">
        <v>484</v>
      </c>
      <c r="C578" s="24" t="s">
        <v>487</v>
      </c>
      <c r="D578" s="136" t="str">
        <f t="array" ref="D578">IF(E578=0,0,(INDEX(AccountCodes[ACCOUNT NAME],MATCH(E578,AccountCodes[NGAS CODE],0))))</f>
        <v>Water Expenses</v>
      </c>
      <c r="E578" s="309" t="s">
        <v>232</v>
      </c>
      <c r="F578" s="502">
        <v>11183.33</v>
      </c>
    </row>
    <row r="579" spans="1:6">
      <c r="A579" s="308">
        <v>43190</v>
      </c>
      <c r="B579" s="24" t="s">
        <v>484</v>
      </c>
      <c r="C579" s="24" t="s">
        <v>487</v>
      </c>
      <c r="D579" s="136" t="str">
        <f t="array" ref="D579">IF(E579=0,0,(INDEX(AccountCodes[ACCOUNT NAME],MATCH(E579,AccountCodes[NGAS CODE],0))))</f>
        <v>Water Expenses</v>
      </c>
      <c r="E579" s="309" t="s">
        <v>232</v>
      </c>
      <c r="F579" s="502">
        <v>11183.33</v>
      </c>
    </row>
    <row r="580" spans="1:6">
      <c r="A580" s="308">
        <v>43220</v>
      </c>
      <c r="B580" s="24" t="s">
        <v>484</v>
      </c>
      <c r="C580" s="24" t="s">
        <v>487</v>
      </c>
      <c r="D580" s="136" t="str">
        <f t="array" ref="D580">IF(E580=0,0,(INDEX(AccountCodes[ACCOUNT NAME],MATCH(E580,AccountCodes[NGAS CODE],0))))</f>
        <v>Water Expenses</v>
      </c>
      <c r="E580" s="309" t="s">
        <v>232</v>
      </c>
      <c r="F580" s="502">
        <v>11183.33</v>
      </c>
    </row>
    <row r="581" spans="1:6">
      <c r="A581" s="308">
        <v>43251</v>
      </c>
      <c r="B581" s="24" t="s">
        <v>484</v>
      </c>
      <c r="C581" s="24" t="s">
        <v>487</v>
      </c>
      <c r="D581" s="136" t="str">
        <f t="array" ref="D581">IF(E581=0,0,(INDEX(AccountCodes[ACCOUNT NAME],MATCH(E581,AccountCodes[NGAS CODE],0))))</f>
        <v>Water Expenses</v>
      </c>
      <c r="E581" s="309" t="s">
        <v>232</v>
      </c>
      <c r="F581" s="502">
        <v>11183.33</v>
      </c>
    </row>
    <row r="582" spans="1:6">
      <c r="A582" s="308">
        <v>43281</v>
      </c>
      <c r="B582" s="24" t="s">
        <v>484</v>
      </c>
      <c r="C582" s="24" t="s">
        <v>487</v>
      </c>
      <c r="D582" s="136" t="str">
        <f t="array" ref="D582">IF(E582=0,0,(INDEX(AccountCodes[ACCOUNT NAME],MATCH(E582,AccountCodes[NGAS CODE],0))))</f>
        <v>Water Expenses</v>
      </c>
      <c r="E582" s="309" t="s">
        <v>232</v>
      </c>
      <c r="F582" s="502">
        <v>11183.33</v>
      </c>
    </row>
    <row r="583" spans="1:6">
      <c r="A583" s="308">
        <v>43312</v>
      </c>
      <c r="B583" s="24" t="s">
        <v>484</v>
      </c>
      <c r="C583" s="24" t="s">
        <v>487</v>
      </c>
      <c r="D583" s="136" t="str">
        <f t="array" ref="D583">IF(E583=0,0,(INDEX(AccountCodes[ACCOUNT NAME],MATCH(E583,AccountCodes[NGAS CODE],0))))</f>
        <v>Water Expenses</v>
      </c>
      <c r="E583" s="309" t="s">
        <v>232</v>
      </c>
      <c r="F583" s="502">
        <v>11183.33</v>
      </c>
    </row>
    <row r="584" spans="1:6">
      <c r="A584" s="308">
        <v>43343</v>
      </c>
      <c r="B584" s="24" t="s">
        <v>484</v>
      </c>
      <c r="C584" s="24" t="s">
        <v>487</v>
      </c>
      <c r="D584" s="136" t="str">
        <f t="array" ref="D584">IF(E584=0,0,(INDEX(AccountCodes[ACCOUNT NAME],MATCH(E584,AccountCodes[NGAS CODE],0))))</f>
        <v>Water Expenses</v>
      </c>
      <c r="E584" s="309" t="s">
        <v>232</v>
      </c>
      <c r="F584" s="502">
        <v>11183.33</v>
      </c>
    </row>
    <row r="585" spans="1:6">
      <c r="A585" s="308">
        <v>43373</v>
      </c>
      <c r="B585" s="24" t="s">
        <v>484</v>
      </c>
      <c r="C585" s="24" t="s">
        <v>487</v>
      </c>
      <c r="D585" s="136" t="str">
        <f t="array" ref="D585">IF(E585=0,0,(INDEX(AccountCodes[ACCOUNT NAME],MATCH(E585,AccountCodes[NGAS CODE],0))))</f>
        <v>Water Expenses</v>
      </c>
      <c r="E585" s="309" t="s">
        <v>232</v>
      </c>
      <c r="F585" s="502">
        <v>11183.33</v>
      </c>
    </row>
    <row r="586" spans="1:6">
      <c r="A586" s="308">
        <v>43404</v>
      </c>
      <c r="B586" s="24" t="s">
        <v>484</v>
      </c>
      <c r="C586" s="24" t="s">
        <v>487</v>
      </c>
      <c r="D586" s="136" t="str">
        <f t="array" ref="D586">IF(E586=0,0,(INDEX(AccountCodes[ACCOUNT NAME],MATCH(E586,AccountCodes[NGAS CODE],0))))</f>
        <v>Water Expenses</v>
      </c>
      <c r="E586" s="309" t="s">
        <v>232</v>
      </c>
      <c r="F586" s="502">
        <v>11183.33</v>
      </c>
    </row>
    <row r="587" spans="1:6">
      <c r="A587" s="308">
        <v>43434</v>
      </c>
      <c r="B587" s="24" t="s">
        <v>484</v>
      </c>
      <c r="C587" s="24" t="s">
        <v>487</v>
      </c>
      <c r="D587" s="136" t="str">
        <f t="array" ref="D587">IF(E587=0,0,(INDEX(AccountCodes[ACCOUNT NAME],MATCH(E587,AccountCodes[NGAS CODE],0))))</f>
        <v>Water Expenses</v>
      </c>
      <c r="E587" s="309" t="s">
        <v>232</v>
      </c>
      <c r="F587" s="502">
        <v>11183.33</v>
      </c>
    </row>
    <row r="588" spans="1:6">
      <c r="A588" s="308">
        <v>43465</v>
      </c>
      <c r="B588" s="24" t="s">
        <v>484</v>
      </c>
      <c r="C588" s="24" t="s">
        <v>487</v>
      </c>
      <c r="D588" s="136" t="str">
        <f t="array" ref="D588">IF(E588=0,0,(INDEX(AccountCodes[ACCOUNT NAME],MATCH(E588,AccountCodes[NGAS CODE],0))))</f>
        <v>Water Expenses</v>
      </c>
      <c r="E588" s="309" t="s">
        <v>232</v>
      </c>
      <c r="F588" s="502">
        <v>11183.33</v>
      </c>
    </row>
    <row r="589" spans="1:6">
      <c r="A589" s="308">
        <v>43131</v>
      </c>
      <c r="B589" s="24" t="s">
        <v>484</v>
      </c>
      <c r="C589" s="24" t="s">
        <v>487</v>
      </c>
      <c r="D589" s="136" t="str">
        <f t="array" ref="D589">IF(E589=0,0,(INDEX(AccountCodes[ACCOUNT NAME],MATCH(E589,AccountCodes[NGAS CODE],0))))</f>
        <v>Electricity Expenses</v>
      </c>
      <c r="E589" s="24" t="s">
        <v>233</v>
      </c>
      <c r="F589" s="502">
        <v>214133.33</v>
      </c>
    </row>
    <row r="590" spans="1:6">
      <c r="A590" s="308">
        <v>43159</v>
      </c>
      <c r="B590" s="24" t="s">
        <v>484</v>
      </c>
      <c r="C590" s="24" t="s">
        <v>487</v>
      </c>
      <c r="D590" s="136" t="str">
        <f t="array" ref="D590">IF(E590=0,0,(INDEX(AccountCodes[ACCOUNT NAME],MATCH(E590,AccountCodes[NGAS CODE],0))))</f>
        <v>Electricity Expenses</v>
      </c>
      <c r="E590" s="24" t="s">
        <v>233</v>
      </c>
      <c r="F590" s="502">
        <v>214133.33</v>
      </c>
    </row>
    <row r="591" spans="1:6">
      <c r="A591" s="308">
        <v>43190</v>
      </c>
      <c r="B591" s="24" t="s">
        <v>484</v>
      </c>
      <c r="C591" s="24" t="s">
        <v>487</v>
      </c>
      <c r="D591" s="136" t="str">
        <f t="array" ref="D591">IF(E591=0,0,(INDEX(AccountCodes[ACCOUNT NAME],MATCH(E591,AccountCodes[NGAS CODE],0))))</f>
        <v>Electricity Expenses</v>
      </c>
      <c r="E591" s="24" t="s">
        <v>233</v>
      </c>
      <c r="F591" s="502">
        <v>214133.33</v>
      </c>
    </row>
    <row r="592" spans="1:6">
      <c r="A592" s="308">
        <v>43220</v>
      </c>
      <c r="B592" s="24" t="s">
        <v>484</v>
      </c>
      <c r="C592" s="24" t="s">
        <v>487</v>
      </c>
      <c r="D592" s="136" t="str">
        <f t="array" ref="D592">IF(E592=0,0,(INDEX(AccountCodes[ACCOUNT NAME],MATCH(E592,AccountCodes[NGAS CODE],0))))</f>
        <v>Electricity Expenses</v>
      </c>
      <c r="E592" s="24" t="s">
        <v>233</v>
      </c>
      <c r="F592" s="502">
        <v>214133.33</v>
      </c>
    </row>
    <row r="593" spans="1:6">
      <c r="A593" s="308">
        <v>43251</v>
      </c>
      <c r="B593" s="24" t="s">
        <v>484</v>
      </c>
      <c r="C593" s="24" t="s">
        <v>487</v>
      </c>
      <c r="D593" s="136" t="str">
        <f t="array" ref="D593">IF(E593=0,0,(INDEX(AccountCodes[ACCOUNT NAME],MATCH(E593,AccountCodes[NGAS CODE],0))))</f>
        <v>Electricity Expenses</v>
      </c>
      <c r="E593" s="24" t="s">
        <v>233</v>
      </c>
      <c r="F593" s="502">
        <v>214133.33</v>
      </c>
    </row>
    <row r="594" spans="1:6">
      <c r="A594" s="308">
        <v>43281</v>
      </c>
      <c r="B594" s="24" t="s">
        <v>484</v>
      </c>
      <c r="C594" s="24" t="s">
        <v>487</v>
      </c>
      <c r="D594" s="136" t="str">
        <f t="array" ref="D594">IF(E594=0,0,(INDEX(AccountCodes[ACCOUNT NAME],MATCH(E594,AccountCodes[NGAS CODE],0))))</f>
        <v>Electricity Expenses</v>
      </c>
      <c r="E594" s="24" t="s">
        <v>233</v>
      </c>
      <c r="F594" s="502">
        <v>214133.33</v>
      </c>
    </row>
    <row r="595" spans="1:6">
      <c r="A595" s="308">
        <v>43312</v>
      </c>
      <c r="B595" s="24" t="s">
        <v>484</v>
      </c>
      <c r="C595" s="24" t="s">
        <v>487</v>
      </c>
      <c r="D595" s="136" t="str">
        <f t="array" ref="D595">IF(E595=0,0,(INDEX(AccountCodes[ACCOUNT NAME],MATCH(E595,AccountCodes[NGAS CODE],0))))</f>
        <v>Electricity Expenses</v>
      </c>
      <c r="E595" s="24" t="s">
        <v>233</v>
      </c>
      <c r="F595" s="502">
        <v>214133.33</v>
      </c>
    </row>
    <row r="596" spans="1:6">
      <c r="A596" s="308">
        <v>43343</v>
      </c>
      <c r="B596" s="24" t="s">
        <v>484</v>
      </c>
      <c r="C596" s="24" t="s">
        <v>487</v>
      </c>
      <c r="D596" s="136" t="str">
        <f t="array" ref="D596">IF(E596=0,0,(INDEX(AccountCodes[ACCOUNT NAME],MATCH(E596,AccountCodes[NGAS CODE],0))))</f>
        <v>Electricity Expenses</v>
      </c>
      <c r="E596" s="24" t="s">
        <v>233</v>
      </c>
      <c r="F596" s="502">
        <v>214133.33</v>
      </c>
    </row>
    <row r="597" spans="1:6">
      <c r="A597" s="308">
        <v>43373</v>
      </c>
      <c r="B597" s="24" t="s">
        <v>484</v>
      </c>
      <c r="C597" s="24" t="s">
        <v>487</v>
      </c>
      <c r="D597" s="136" t="str">
        <f t="array" ref="D597">IF(E597=0,0,(INDEX(AccountCodes[ACCOUNT NAME],MATCH(E597,AccountCodes[NGAS CODE],0))))</f>
        <v>Electricity Expenses</v>
      </c>
      <c r="E597" s="24" t="s">
        <v>233</v>
      </c>
      <c r="F597" s="502">
        <v>214133.33</v>
      </c>
    </row>
    <row r="598" spans="1:6">
      <c r="A598" s="308">
        <v>43404</v>
      </c>
      <c r="B598" s="24" t="s">
        <v>484</v>
      </c>
      <c r="C598" s="24" t="s">
        <v>487</v>
      </c>
      <c r="D598" s="136" t="str">
        <f t="array" ref="D598">IF(E598=0,0,(INDEX(AccountCodes[ACCOUNT NAME],MATCH(E598,AccountCodes[NGAS CODE],0))))</f>
        <v>Electricity Expenses</v>
      </c>
      <c r="E598" s="24" t="s">
        <v>233</v>
      </c>
      <c r="F598" s="502">
        <v>214133.33</v>
      </c>
    </row>
    <row r="599" spans="1:6">
      <c r="A599" s="308">
        <v>43434</v>
      </c>
      <c r="B599" s="24" t="s">
        <v>484</v>
      </c>
      <c r="C599" s="24" t="s">
        <v>487</v>
      </c>
      <c r="D599" s="136" t="str">
        <f t="array" ref="D599">IF(E599=0,0,(INDEX(AccountCodes[ACCOUNT NAME],MATCH(E599,AccountCodes[NGAS CODE],0))))</f>
        <v>Electricity Expenses</v>
      </c>
      <c r="E599" s="24" t="s">
        <v>233</v>
      </c>
      <c r="F599" s="502">
        <v>214133.33</v>
      </c>
    </row>
    <row r="600" spans="1:6">
      <c r="A600" s="308">
        <v>43465</v>
      </c>
      <c r="B600" s="24" t="s">
        <v>484</v>
      </c>
      <c r="C600" s="24" t="s">
        <v>487</v>
      </c>
      <c r="D600" s="136" t="str">
        <f t="array" ref="D600">IF(E600=0,0,(INDEX(AccountCodes[ACCOUNT NAME],MATCH(E600,AccountCodes[NGAS CODE],0))))</f>
        <v>Electricity Expenses</v>
      </c>
      <c r="E600" s="24" t="s">
        <v>233</v>
      </c>
      <c r="F600" s="502">
        <v>214133.33</v>
      </c>
    </row>
    <row r="601" spans="1:6">
      <c r="A601" s="308">
        <v>43131</v>
      </c>
      <c r="B601" s="24" t="s">
        <v>484</v>
      </c>
      <c r="C601" s="24" t="s">
        <v>487</v>
      </c>
      <c r="D601" s="136" t="str">
        <f t="array" ref="D601">IF(E601=0,0,(INDEX(AccountCodes[ACCOUNT NAME],MATCH(E601,AccountCodes[NGAS CODE],0))))</f>
        <v>Postage and Courier Expenses</v>
      </c>
      <c r="E601" s="309" t="s">
        <v>234</v>
      </c>
      <c r="F601" s="502">
        <v>833.33</v>
      </c>
    </row>
    <row r="602" spans="1:6">
      <c r="A602" s="308">
        <v>43159</v>
      </c>
      <c r="B602" s="24" t="s">
        <v>484</v>
      </c>
      <c r="C602" s="24" t="s">
        <v>487</v>
      </c>
      <c r="D602" s="136" t="str">
        <f t="array" ref="D602">IF(E602=0,0,(INDEX(AccountCodes[ACCOUNT NAME],MATCH(E602,AccountCodes[NGAS CODE],0))))</f>
        <v>Postage and Courier Expenses</v>
      </c>
      <c r="E602" s="309" t="s">
        <v>234</v>
      </c>
      <c r="F602" s="502">
        <v>833.33</v>
      </c>
    </row>
    <row r="603" spans="1:6">
      <c r="A603" s="308">
        <v>43190</v>
      </c>
      <c r="B603" s="24" t="s">
        <v>484</v>
      </c>
      <c r="C603" s="24" t="s">
        <v>487</v>
      </c>
      <c r="D603" s="136" t="str">
        <f t="array" ref="D603">IF(E603=0,0,(INDEX(AccountCodes[ACCOUNT NAME],MATCH(E603,AccountCodes[NGAS CODE],0))))</f>
        <v>Postage and Courier Expenses</v>
      </c>
      <c r="E603" s="309" t="s">
        <v>234</v>
      </c>
      <c r="F603" s="502">
        <v>833.33</v>
      </c>
    </row>
    <row r="604" spans="1:6">
      <c r="A604" s="308">
        <v>43220</v>
      </c>
      <c r="B604" s="24" t="s">
        <v>484</v>
      </c>
      <c r="C604" s="24" t="s">
        <v>487</v>
      </c>
      <c r="D604" s="136" t="str">
        <f t="array" ref="D604">IF(E604=0,0,(INDEX(AccountCodes[ACCOUNT NAME],MATCH(E604,AccountCodes[NGAS CODE],0))))</f>
        <v>Postage and Courier Expenses</v>
      </c>
      <c r="E604" s="309" t="s">
        <v>234</v>
      </c>
      <c r="F604" s="502">
        <v>833.33</v>
      </c>
    </row>
    <row r="605" spans="1:6">
      <c r="A605" s="308">
        <v>43251</v>
      </c>
      <c r="B605" s="24" t="s">
        <v>484</v>
      </c>
      <c r="C605" s="24" t="s">
        <v>487</v>
      </c>
      <c r="D605" s="136" t="str">
        <f t="array" ref="D605">IF(E605=0,0,(INDEX(AccountCodes[ACCOUNT NAME],MATCH(E605,AccountCodes[NGAS CODE],0))))</f>
        <v>Postage and Courier Expenses</v>
      </c>
      <c r="E605" s="309" t="s">
        <v>234</v>
      </c>
      <c r="F605" s="502">
        <v>833.33</v>
      </c>
    </row>
    <row r="606" spans="1:6">
      <c r="A606" s="308">
        <v>43281</v>
      </c>
      <c r="B606" s="24" t="s">
        <v>484</v>
      </c>
      <c r="C606" s="24" t="s">
        <v>487</v>
      </c>
      <c r="D606" s="136" t="str">
        <f t="array" ref="D606">IF(E606=0,0,(INDEX(AccountCodes[ACCOUNT NAME],MATCH(E606,AccountCodes[NGAS CODE],0))))</f>
        <v>Postage and Courier Expenses</v>
      </c>
      <c r="E606" s="309" t="s">
        <v>234</v>
      </c>
      <c r="F606" s="502">
        <v>833.33</v>
      </c>
    </row>
    <row r="607" spans="1:6">
      <c r="A607" s="308">
        <v>43312</v>
      </c>
      <c r="B607" s="24" t="s">
        <v>484</v>
      </c>
      <c r="C607" s="24" t="s">
        <v>487</v>
      </c>
      <c r="D607" s="136" t="str">
        <f t="array" ref="D607">IF(E607=0,0,(INDEX(AccountCodes[ACCOUNT NAME],MATCH(E607,AccountCodes[NGAS CODE],0))))</f>
        <v>Postage and Courier Expenses</v>
      </c>
      <c r="E607" s="309" t="s">
        <v>234</v>
      </c>
      <c r="F607" s="502">
        <v>833.33</v>
      </c>
    </row>
    <row r="608" spans="1:6">
      <c r="A608" s="308">
        <v>43343</v>
      </c>
      <c r="B608" s="24" t="s">
        <v>484</v>
      </c>
      <c r="C608" s="24" t="s">
        <v>487</v>
      </c>
      <c r="D608" s="136" t="str">
        <f t="array" ref="D608">IF(E608=0,0,(INDEX(AccountCodes[ACCOUNT NAME],MATCH(E608,AccountCodes[NGAS CODE],0))))</f>
        <v>Postage and Courier Expenses</v>
      </c>
      <c r="E608" s="309" t="s">
        <v>234</v>
      </c>
      <c r="F608" s="502">
        <v>833.33</v>
      </c>
    </row>
    <row r="609" spans="1:6">
      <c r="A609" s="308">
        <v>43373</v>
      </c>
      <c r="B609" s="24" t="s">
        <v>484</v>
      </c>
      <c r="C609" s="24" t="s">
        <v>487</v>
      </c>
      <c r="D609" s="136" t="str">
        <f t="array" ref="D609">IF(E609=0,0,(INDEX(AccountCodes[ACCOUNT NAME],MATCH(E609,AccountCodes[NGAS CODE],0))))</f>
        <v>Postage and Courier Expenses</v>
      </c>
      <c r="E609" s="309" t="s">
        <v>234</v>
      </c>
      <c r="F609" s="502">
        <v>833.33</v>
      </c>
    </row>
    <row r="610" spans="1:6">
      <c r="A610" s="308">
        <v>43404</v>
      </c>
      <c r="B610" s="24" t="s">
        <v>484</v>
      </c>
      <c r="C610" s="24" t="s">
        <v>487</v>
      </c>
      <c r="D610" s="136" t="str">
        <f t="array" ref="D610">IF(E610=0,0,(INDEX(AccountCodes[ACCOUNT NAME],MATCH(E610,AccountCodes[NGAS CODE],0))))</f>
        <v>Postage and Courier Expenses</v>
      </c>
      <c r="E610" s="309" t="s">
        <v>234</v>
      </c>
      <c r="F610" s="502">
        <v>833.33</v>
      </c>
    </row>
    <row r="611" spans="1:6">
      <c r="A611" s="308">
        <v>43434</v>
      </c>
      <c r="B611" s="24" t="s">
        <v>484</v>
      </c>
      <c r="C611" s="24" t="s">
        <v>487</v>
      </c>
      <c r="D611" s="136" t="str">
        <f t="array" ref="D611">IF(E611=0,0,(INDEX(AccountCodes[ACCOUNT NAME],MATCH(E611,AccountCodes[NGAS CODE],0))))</f>
        <v>Postage and Courier Expenses</v>
      </c>
      <c r="E611" s="309" t="s">
        <v>234</v>
      </c>
      <c r="F611" s="502">
        <v>833.33</v>
      </c>
    </row>
    <row r="612" spans="1:6">
      <c r="A612" s="308">
        <v>43465</v>
      </c>
      <c r="B612" s="24" t="s">
        <v>484</v>
      </c>
      <c r="C612" s="24" t="s">
        <v>487</v>
      </c>
      <c r="D612" s="136" t="str">
        <f t="array" ref="D612">IF(E612=0,0,(INDEX(AccountCodes[ACCOUNT NAME],MATCH(E612,AccountCodes[NGAS CODE],0))))</f>
        <v>Postage and Courier Expenses</v>
      </c>
      <c r="E612" s="309" t="s">
        <v>234</v>
      </c>
      <c r="F612" s="502">
        <v>833.33</v>
      </c>
    </row>
    <row r="613" spans="1:6">
      <c r="A613" s="308">
        <v>43131</v>
      </c>
      <c r="B613" s="24" t="s">
        <v>484</v>
      </c>
      <c r="C613" s="24" t="s">
        <v>487</v>
      </c>
      <c r="D613" s="136" t="str">
        <f t="array" ref="D613">IF(E613=0,0,(INDEX(AccountCodes[ACCOUNT NAME],MATCH(E613,AccountCodes[NGAS CODE],0))))</f>
        <v>Telephone Expenses - Landline</v>
      </c>
      <c r="E613" s="309" t="s">
        <v>235</v>
      </c>
      <c r="F613" s="502">
        <v>13530</v>
      </c>
    </row>
    <row r="614" spans="1:6">
      <c r="A614" s="308">
        <v>43159</v>
      </c>
      <c r="B614" s="24" t="s">
        <v>484</v>
      </c>
      <c r="C614" s="24" t="s">
        <v>487</v>
      </c>
      <c r="D614" s="136" t="str">
        <f t="array" ref="D614">IF(E614=0,0,(INDEX(AccountCodes[ACCOUNT NAME],MATCH(E614,AccountCodes[NGAS CODE],0))))</f>
        <v>Telephone Expenses - Landline</v>
      </c>
      <c r="E614" s="309" t="s">
        <v>235</v>
      </c>
      <c r="F614" s="502">
        <v>13530</v>
      </c>
    </row>
    <row r="615" spans="1:6">
      <c r="A615" s="308">
        <v>43190</v>
      </c>
      <c r="B615" s="24" t="s">
        <v>484</v>
      </c>
      <c r="C615" s="24" t="s">
        <v>487</v>
      </c>
      <c r="D615" s="136" t="str">
        <f t="array" ref="D615">IF(E615=0,0,(INDEX(AccountCodes[ACCOUNT NAME],MATCH(E615,AccountCodes[NGAS CODE],0))))</f>
        <v>Telephone Expenses - Landline</v>
      </c>
      <c r="E615" s="309" t="s">
        <v>235</v>
      </c>
      <c r="F615" s="502">
        <v>13530</v>
      </c>
    </row>
    <row r="616" spans="1:6">
      <c r="A616" s="308">
        <v>43220</v>
      </c>
      <c r="B616" s="24" t="s">
        <v>484</v>
      </c>
      <c r="C616" s="24" t="s">
        <v>487</v>
      </c>
      <c r="D616" s="136" t="str">
        <f t="array" ref="D616">IF(E616=0,0,(INDEX(AccountCodes[ACCOUNT NAME],MATCH(E616,AccountCodes[NGAS CODE],0))))</f>
        <v>Telephone Expenses - Landline</v>
      </c>
      <c r="E616" s="309" t="s">
        <v>235</v>
      </c>
      <c r="F616" s="502">
        <v>13530</v>
      </c>
    </row>
    <row r="617" spans="1:6">
      <c r="A617" s="308">
        <v>43251</v>
      </c>
      <c r="B617" s="24" t="s">
        <v>484</v>
      </c>
      <c r="C617" s="24" t="s">
        <v>487</v>
      </c>
      <c r="D617" s="136" t="str">
        <f t="array" ref="D617">IF(E617=0,0,(INDEX(AccountCodes[ACCOUNT NAME],MATCH(E617,AccountCodes[NGAS CODE],0))))</f>
        <v>Telephone Expenses - Landline</v>
      </c>
      <c r="E617" s="309" t="s">
        <v>235</v>
      </c>
      <c r="F617" s="502">
        <v>13530</v>
      </c>
    </row>
    <row r="618" spans="1:6">
      <c r="A618" s="308">
        <v>43281</v>
      </c>
      <c r="B618" s="24" t="s">
        <v>484</v>
      </c>
      <c r="C618" s="24" t="s">
        <v>487</v>
      </c>
      <c r="D618" s="136" t="str">
        <f t="array" ref="D618">IF(E618=0,0,(INDEX(AccountCodes[ACCOUNT NAME],MATCH(E618,AccountCodes[NGAS CODE],0))))</f>
        <v>Telephone Expenses - Landline</v>
      </c>
      <c r="E618" s="309" t="s">
        <v>235</v>
      </c>
      <c r="F618" s="502">
        <v>13530</v>
      </c>
    </row>
    <row r="619" spans="1:6">
      <c r="A619" s="308">
        <v>43312</v>
      </c>
      <c r="B619" s="24" t="s">
        <v>484</v>
      </c>
      <c r="C619" s="24" t="s">
        <v>487</v>
      </c>
      <c r="D619" s="136" t="str">
        <f t="array" ref="D619">IF(E619=0,0,(INDEX(AccountCodes[ACCOUNT NAME],MATCH(E619,AccountCodes[NGAS CODE],0))))</f>
        <v>Telephone Expenses - Landline</v>
      </c>
      <c r="E619" s="309" t="s">
        <v>235</v>
      </c>
      <c r="F619" s="502">
        <v>13530</v>
      </c>
    </row>
    <row r="620" spans="1:6">
      <c r="A620" s="308">
        <v>43343</v>
      </c>
      <c r="B620" s="24" t="s">
        <v>484</v>
      </c>
      <c r="C620" s="24" t="s">
        <v>487</v>
      </c>
      <c r="D620" s="136" t="str">
        <f t="array" ref="D620">IF(E620=0,0,(INDEX(AccountCodes[ACCOUNT NAME],MATCH(E620,AccountCodes[NGAS CODE],0))))</f>
        <v>Telephone Expenses - Landline</v>
      </c>
      <c r="E620" s="309" t="s">
        <v>235</v>
      </c>
      <c r="F620" s="502">
        <v>13530</v>
      </c>
    </row>
    <row r="621" spans="1:6">
      <c r="A621" s="308">
        <v>43373</v>
      </c>
      <c r="B621" s="24" t="s">
        <v>484</v>
      </c>
      <c r="C621" s="24" t="s">
        <v>487</v>
      </c>
      <c r="D621" s="136" t="str">
        <f t="array" ref="D621">IF(E621=0,0,(INDEX(AccountCodes[ACCOUNT NAME],MATCH(E621,AccountCodes[NGAS CODE],0))))</f>
        <v>Telephone Expenses - Landline</v>
      </c>
      <c r="E621" s="309" t="s">
        <v>235</v>
      </c>
      <c r="F621" s="502">
        <v>13530</v>
      </c>
    </row>
    <row r="622" spans="1:6">
      <c r="A622" s="308">
        <v>43404</v>
      </c>
      <c r="B622" s="24" t="s">
        <v>484</v>
      </c>
      <c r="C622" s="24" t="s">
        <v>487</v>
      </c>
      <c r="D622" s="136" t="str">
        <f t="array" ref="D622">IF(E622=0,0,(INDEX(AccountCodes[ACCOUNT NAME],MATCH(E622,AccountCodes[NGAS CODE],0))))</f>
        <v>Telephone Expenses - Landline</v>
      </c>
      <c r="E622" s="309" t="s">
        <v>235</v>
      </c>
      <c r="F622" s="502">
        <v>13530</v>
      </c>
    </row>
    <row r="623" spans="1:6">
      <c r="A623" s="308">
        <v>43434</v>
      </c>
      <c r="B623" s="24" t="s">
        <v>484</v>
      </c>
      <c r="C623" s="24" t="s">
        <v>487</v>
      </c>
      <c r="D623" s="136" t="str">
        <f t="array" ref="D623">IF(E623=0,0,(INDEX(AccountCodes[ACCOUNT NAME],MATCH(E623,AccountCodes[NGAS CODE],0))))</f>
        <v>Telephone Expenses - Landline</v>
      </c>
      <c r="E623" s="309" t="s">
        <v>235</v>
      </c>
      <c r="F623" s="502">
        <v>13530</v>
      </c>
    </row>
    <row r="624" spans="1:6">
      <c r="A624" s="308">
        <v>43465</v>
      </c>
      <c r="B624" s="24" t="s">
        <v>484</v>
      </c>
      <c r="C624" s="24" t="s">
        <v>487</v>
      </c>
      <c r="D624" s="136" t="str">
        <f t="array" ref="D624">IF(E624=0,0,(INDEX(AccountCodes[ACCOUNT NAME],MATCH(E624,AccountCodes[NGAS CODE],0))))</f>
        <v>Telephone Expenses - Landline</v>
      </c>
      <c r="E624" s="309" t="s">
        <v>235</v>
      </c>
      <c r="F624" s="502">
        <v>13530</v>
      </c>
    </row>
    <row r="625" spans="1:6">
      <c r="A625" s="308">
        <v>43131</v>
      </c>
      <c r="B625" s="24" t="s">
        <v>484</v>
      </c>
      <c r="C625" s="24" t="s">
        <v>487</v>
      </c>
      <c r="D625" s="136" t="str">
        <f t="array" ref="D625">IF(E625=0,0,(INDEX(AccountCodes[ACCOUNT NAME],MATCH(E625,AccountCodes[NGAS CODE],0))))</f>
        <v>Telephone Expenses - Mobile</v>
      </c>
      <c r="E625" s="24" t="s">
        <v>236</v>
      </c>
      <c r="F625" s="502">
        <v>2530</v>
      </c>
    </row>
    <row r="626" spans="1:6">
      <c r="A626" s="308">
        <v>43159</v>
      </c>
      <c r="B626" s="24" t="s">
        <v>484</v>
      </c>
      <c r="C626" s="24" t="s">
        <v>487</v>
      </c>
      <c r="D626" s="136" t="str">
        <f t="array" ref="D626">IF(E626=0,0,(INDEX(AccountCodes[ACCOUNT NAME],MATCH(E626,AccountCodes[NGAS CODE],0))))</f>
        <v>Telephone Expenses - Mobile</v>
      </c>
      <c r="E626" s="24" t="s">
        <v>236</v>
      </c>
      <c r="F626" s="502">
        <v>2530</v>
      </c>
    </row>
    <row r="627" spans="1:6">
      <c r="A627" s="308">
        <v>43190</v>
      </c>
      <c r="B627" s="24" t="s">
        <v>484</v>
      </c>
      <c r="C627" s="24" t="s">
        <v>487</v>
      </c>
      <c r="D627" s="136" t="str">
        <f t="array" ref="D627">IF(E627=0,0,(INDEX(AccountCodes[ACCOUNT NAME],MATCH(E627,AccountCodes[NGAS CODE],0))))</f>
        <v>Telephone Expenses - Mobile</v>
      </c>
      <c r="E627" s="24" t="s">
        <v>236</v>
      </c>
      <c r="F627" s="502">
        <v>2530</v>
      </c>
    </row>
    <row r="628" spans="1:6">
      <c r="A628" s="308">
        <v>43220</v>
      </c>
      <c r="B628" s="24" t="s">
        <v>484</v>
      </c>
      <c r="C628" s="24" t="s">
        <v>487</v>
      </c>
      <c r="D628" s="136" t="str">
        <f t="array" ref="D628">IF(E628=0,0,(INDEX(AccountCodes[ACCOUNT NAME],MATCH(E628,AccountCodes[NGAS CODE],0))))</f>
        <v>Telephone Expenses - Mobile</v>
      </c>
      <c r="E628" s="24" t="s">
        <v>236</v>
      </c>
      <c r="F628" s="502">
        <v>2530</v>
      </c>
    </row>
    <row r="629" spans="1:6">
      <c r="A629" s="308">
        <v>43251</v>
      </c>
      <c r="B629" s="24" t="s">
        <v>484</v>
      </c>
      <c r="C629" s="24" t="s">
        <v>487</v>
      </c>
      <c r="D629" s="136" t="str">
        <f t="array" ref="D629">IF(E629=0,0,(INDEX(AccountCodes[ACCOUNT NAME],MATCH(E629,AccountCodes[NGAS CODE],0))))</f>
        <v>Telephone Expenses - Mobile</v>
      </c>
      <c r="E629" s="24" t="s">
        <v>236</v>
      </c>
      <c r="F629" s="502">
        <v>2530</v>
      </c>
    </row>
    <row r="630" spans="1:6">
      <c r="A630" s="308">
        <v>43281</v>
      </c>
      <c r="B630" s="24" t="s">
        <v>484</v>
      </c>
      <c r="C630" s="24" t="s">
        <v>487</v>
      </c>
      <c r="D630" s="136" t="str">
        <f t="array" ref="D630">IF(E630=0,0,(INDEX(AccountCodes[ACCOUNT NAME],MATCH(E630,AccountCodes[NGAS CODE],0))))</f>
        <v>Telephone Expenses - Mobile</v>
      </c>
      <c r="E630" s="24" t="s">
        <v>236</v>
      </c>
      <c r="F630" s="502">
        <v>2530</v>
      </c>
    </row>
    <row r="631" spans="1:6">
      <c r="A631" s="308">
        <v>43312</v>
      </c>
      <c r="B631" s="24" t="s">
        <v>484</v>
      </c>
      <c r="C631" s="24" t="s">
        <v>487</v>
      </c>
      <c r="D631" s="136" t="str">
        <f t="array" ref="D631">IF(E631=0,0,(INDEX(AccountCodes[ACCOUNT NAME],MATCH(E631,AccountCodes[NGAS CODE],0))))</f>
        <v>Telephone Expenses - Mobile</v>
      </c>
      <c r="E631" s="24" t="s">
        <v>236</v>
      </c>
      <c r="F631" s="502">
        <v>2530</v>
      </c>
    </row>
    <row r="632" spans="1:6">
      <c r="A632" s="308">
        <v>43343</v>
      </c>
      <c r="B632" s="24" t="s">
        <v>484</v>
      </c>
      <c r="C632" s="24" t="s">
        <v>487</v>
      </c>
      <c r="D632" s="136" t="str">
        <f t="array" ref="D632">IF(E632=0,0,(INDEX(AccountCodes[ACCOUNT NAME],MATCH(E632,AccountCodes[NGAS CODE],0))))</f>
        <v>Telephone Expenses - Mobile</v>
      </c>
      <c r="E632" s="24" t="s">
        <v>236</v>
      </c>
      <c r="F632" s="502">
        <v>2530</v>
      </c>
    </row>
    <row r="633" spans="1:6">
      <c r="A633" s="308">
        <v>43373</v>
      </c>
      <c r="B633" s="24" t="s">
        <v>484</v>
      </c>
      <c r="C633" s="24" t="s">
        <v>487</v>
      </c>
      <c r="D633" s="136" t="str">
        <f t="array" ref="D633">IF(E633=0,0,(INDEX(AccountCodes[ACCOUNT NAME],MATCH(E633,AccountCodes[NGAS CODE],0))))</f>
        <v>Telephone Expenses - Mobile</v>
      </c>
      <c r="E633" s="24" t="s">
        <v>236</v>
      </c>
      <c r="F633" s="502">
        <v>2530</v>
      </c>
    </row>
    <row r="634" spans="1:6">
      <c r="A634" s="308">
        <v>43404</v>
      </c>
      <c r="B634" s="24" t="s">
        <v>484</v>
      </c>
      <c r="C634" s="24" t="s">
        <v>487</v>
      </c>
      <c r="D634" s="136" t="str">
        <f t="array" ref="D634">IF(E634=0,0,(INDEX(AccountCodes[ACCOUNT NAME],MATCH(E634,AccountCodes[NGAS CODE],0))))</f>
        <v>Telephone Expenses - Mobile</v>
      </c>
      <c r="E634" s="24" t="s">
        <v>236</v>
      </c>
      <c r="F634" s="502">
        <v>2530</v>
      </c>
    </row>
    <row r="635" spans="1:6">
      <c r="A635" s="308">
        <v>43434</v>
      </c>
      <c r="B635" s="24" t="s">
        <v>484</v>
      </c>
      <c r="C635" s="24" t="s">
        <v>487</v>
      </c>
      <c r="D635" s="136" t="str">
        <f t="array" ref="D635">IF(E635=0,0,(INDEX(AccountCodes[ACCOUNT NAME],MATCH(E635,AccountCodes[NGAS CODE],0))))</f>
        <v>Telephone Expenses - Mobile</v>
      </c>
      <c r="E635" s="24" t="s">
        <v>236</v>
      </c>
      <c r="F635" s="502">
        <v>2530</v>
      </c>
    </row>
    <row r="636" spans="1:6">
      <c r="A636" s="308">
        <v>43465</v>
      </c>
      <c r="B636" s="24" t="s">
        <v>484</v>
      </c>
      <c r="C636" s="24" t="s">
        <v>487</v>
      </c>
      <c r="D636" s="136" t="str">
        <f t="array" ref="D636">IF(E636=0,0,(INDEX(AccountCodes[ACCOUNT NAME],MATCH(E636,AccountCodes[NGAS CODE],0))))</f>
        <v>Telephone Expenses - Mobile</v>
      </c>
      <c r="E636" s="24" t="s">
        <v>236</v>
      </c>
      <c r="F636" s="502">
        <v>2530</v>
      </c>
    </row>
    <row r="637" spans="1:6">
      <c r="A637" s="308">
        <v>43131</v>
      </c>
      <c r="B637" s="24" t="s">
        <v>484</v>
      </c>
      <c r="C637" s="24" t="s">
        <v>487</v>
      </c>
      <c r="D637" s="136" t="str">
        <f t="array" ref="D637">IF(E637=0,0,(INDEX(AccountCodes[ACCOUNT NAME],MATCH(E637,AccountCodes[NGAS CODE],0))))</f>
        <v>Advertising Expenses</v>
      </c>
      <c r="E637" s="309" t="s">
        <v>240</v>
      </c>
      <c r="F637" s="502">
        <v>833.33</v>
      </c>
    </row>
    <row r="638" spans="1:6">
      <c r="A638" s="308">
        <v>43159</v>
      </c>
      <c r="B638" s="24" t="s">
        <v>484</v>
      </c>
      <c r="C638" s="24" t="s">
        <v>487</v>
      </c>
      <c r="D638" s="136" t="str">
        <f t="array" ref="D638">IF(E638=0,0,(INDEX(AccountCodes[ACCOUNT NAME],MATCH(E638,AccountCodes[NGAS CODE],0))))</f>
        <v>Advertising Expenses</v>
      </c>
      <c r="E638" s="309" t="s">
        <v>240</v>
      </c>
      <c r="F638" s="502">
        <v>833.33</v>
      </c>
    </row>
    <row r="639" spans="1:6">
      <c r="A639" s="308">
        <v>43190</v>
      </c>
      <c r="B639" s="24" t="s">
        <v>484</v>
      </c>
      <c r="C639" s="24" t="s">
        <v>487</v>
      </c>
      <c r="D639" s="136" t="str">
        <f t="array" ref="D639">IF(E639=0,0,(INDEX(AccountCodes[ACCOUNT NAME],MATCH(E639,AccountCodes[NGAS CODE],0))))</f>
        <v>Advertising Expenses</v>
      </c>
      <c r="E639" s="309" t="s">
        <v>240</v>
      </c>
      <c r="F639" s="502">
        <v>833.33</v>
      </c>
    </row>
    <row r="640" spans="1:6">
      <c r="A640" s="308">
        <v>43220</v>
      </c>
      <c r="B640" s="24" t="s">
        <v>484</v>
      </c>
      <c r="C640" s="24" t="s">
        <v>487</v>
      </c>
      <c r="D640" s="136" t="str">
        <f t="array" ref="D640">IF(E640=0,0,(INDEX(AccountCodes[ACCOUNT NAME],MATCH(E640,AccountCodes[NGAS CODE],0))))</f>
        <v>Advertising Expenses</v>
      </c>
      <c r="E640" s="309" t="s">
        <v>240</v>
      </c>
      <c r="F640" s="502">
        <v>833.33</v>
      </c>
    </row>
    <row r="641" spans="1:6">
      <c r="A641" s="308">
        <v>43251</v>
      </c>
      <c r="B641" s="24" t="s">
        <v>484</v>
      </c>
      <c r="C641" s="24" t="s">
        <v>487</v>
      </c>
      <c r="D641" s="136" t="str">
        <f t="array" ref="D641">IF(E641=0,0,(INDEX(AccountCodes[ACCOUNT NAME],MATCH(E641,AccountCodes[NGAS CODE],0))))</f>
        <v>Advertising Expenses</v>
      </c>
      <c r="E641" s="309" t="s">
        <v>240</v>
      </c>
      <c r="F641" s="502">
        <v>833.33</v>
      </c>
    </row>
    <row r="642" spans="1:6">
      <c r="A642" s="308">
        <v>43281</v>
      </c>
      <c r="B642" s="24" t="s">
        <v>484</v>
      </c>
      <c r="C642" s="24" t="s">
        <v>487</v>
      </c>
      <c r="D642" s="136" t="str">
        <f t="array" ref="D642">IF(E642=0,0,(INDEX(AccountCodes[ACCOUNT NAME],MATCH(E642,AccountCodes[NGAS CODE],0))))</f>
        <v>Advertising Expenses</v>
      </c>
      <c r="E642" s="309" t="s">
        <v>240</v>
      </c>
      <c r="F642" s="502">
        <v>833.33</v>
      </c>
    </row>
    <row r="643" spans="1:6">
      <c r="A643" s="308">
        <v>43312</v>
      </c>
      <c r="B643" s="24" t="s">
        <v>484</v>
      </c>
      <c r="C643" s="24" t="s">
        <v>487</v>
      </c>
      <c r="D643" s="136" t="str">
        <f t="array" ref="D643">IF(E643=0,0,(INDEX(AccountCodes[ACCOUNT NAME],MATCH(E643,AccountCodes[NGAS CODE],0))))</f>
        <v>Advertising Expenses</v>
      </c>
      <c r="E643" s="309" t="s">
        <v>240</v>
      </c>
      <c r="F643" s="502">
        <v>833.33</v>
      </c>
    </row>
    <row r="644" spans="1:6">
      <c r="A644" s="308">
        <v>43343</v>
      </c>
      <c r="B644" s="24" t="s">
        <v>484</v>
      </c>
      <c r="C644" s="24" t="s">
        <v>487</v>
      </c>
      <c r="D644" s="136" t="str">
        <f t="array" ref="D644">IF(E644=0,0,(INDEX(AccountCodes[ACCOUNT NAME],MATCH(E644,AccountCodes[NGAS CODE],0))))</f>
        <v>Advertising Expenses</v>
      </c>
      <c r="E644" s="309" t="s">
        <v>240</v>
      </c>
      <c r="F644" s="502">
        <v>833.33</v>
      </c>
    </row>
    <row r="645" spans="1:6">
      <c r="A645" s="308">
        <v>43373</v>
      </c>
      <c r="B645" s="24" t="s">
        <v>484</v>
      </c>
      <c r="C645" s="24" t="s">
        <v>487</v>
      </c>
      <c r="D645" s="136" t="str">
        <f t="array" ref="D645">IF(E645=0,0,(INDEX(AccountCodes[ACCOUNT NAME],MATCH(E645,AccountCodes[NGAS CODE],0))))</f>
        <v>Advertising Expenses</v>
      </c>
      <c r="E645" s="309" t="s">
        <v>240</v>
      </c>
      <c r="F645" s="502">
        <v>833.33</v>
      </c>
    </row>
    <row r="646" spans="1:6">
      <c r="A646" s="308">
        <v>43404</v>
      </c>
      <c r="B646" s="24" t="s">
        <v>484</v>
      </c>
      <c r="C646" s="24" t="s">
        <v>487</v>
      </c>
      <c r="D646" s="136" t="str">
        <f t="array" ref="D646">IF(E646=0,0,(INDEX(AccountCodes[ACCOUNT NAME],MATCH(E646,AccountCodes[NGAS CODE],0))))</f>
        <v>Advertising Expenses</v>
      </c>
      <c r="E646" s="309" t="s">
        <v>240</v>
      </c>
      <c r="F646" s="502">
        <v>833.33</v>
      </c>
    </row>
    <row r="647" spans="1:6">
      <c r="A647" s="308">
        <v>43434</v>
      </c>
      <c r="B647" s="24" t="s">
        <v>484</v>
      </c>
      <c r="C647" s="24" t="s">
        <v>487</v>
      </c>
      <c r="D647" s="136" t="str">
        <f t="array" ref="D647">IF(E647=0,0,(INDEX(AccountCodes[ACCOUNT NAME],MATCH(E647,AccountCodes[NGAS CODE],0))))</f>
        <v>Advertising Expenses</v>
      </c>
      <c r="E647" s="309" t="s">
        <v>240</v>
      </c>
      <c r="F647" s="502">
        <v>833.33</v>
      </c>
    </row>
    <row r="648" spans="1:6">
      <c r="A648" s="308">
        <v>43465</v>
      </c>
      <c r="B648" s="24" t="s">
        <v>484</v>
      </c>
      <c r="C648" s="24" t="s">
        <v>487</v>
      </c>
      <c r="D648" s="136" t="str">
        <f t="array" ref="D648">IF(E648=0,0,(INDEX(AccountCodes[ACCOUNT NAME],MATCH(E648,AccountCodes[NGAS CODE],0))))</f>
        <v>Advertising Expenses</v>
      </c>
      <c r="E648" s="309" t="s">
        <v>240</v>
      </c>
      <c r="F648" s="502">
        <v>833.33</v>
      </c>
    </row>
    <row r="649" spans="1:6">
      <c r="A649" s="308">
        <v>43159</v>
      </c>
      <c r="B649" s="24" t="s">
        <v>484</v>
      </c>
      <c r="C649" s="24" t="s">
        <v>487</v>
      </c>
      <c r="D649" s="136" t="str">
        <f t="array" ref="D649">IF(E649=0,0,(INDEX(AccountCodes[ACCOUNT NAME],MATCH(E649,AccountCodes[NGAS CODE],0))))</f>
        <v>Auditing Services</v>
      </c>
      <c r="E649" s="24" t="s">
        <v>222</v>
      </c>
      <c r="F649" s="502">
        <v>20000</v>
      </c>
    </row>
    <row r="650" spans="1:6">
      <c r="A650" s="308">
        <v>43251</v>
      </c>
      <c r="B650" s="24" t="s">
        <v>484</v>
      </c>
      <c r="C650" s="24" t="s">
        <v>487</v>
      </c>
      <c r="D650" s="136" t="str">
        <f t="array" ref="D650">IF(E650=0,0,(INDEX(AccountCodes[ACCOUNT NAME],MATCH(E650,AccountCodes[NGAS CODE],0))))</f>
        <v>Auditing Services</v>
      </c>
      <c r="E650" s="24" t="s">
        <v>222</v>
      </c>
      <c r="F650" s="502">
        <v>20000</v>
      </c>
    </row>
    <row r="651" spans="1:6">
      <c r="A651" s="308">
        <v>43343</v>
      </c>
      <c r="B651" s="24" t="s">
        <v>484</v>
      </c>
      <c r="C651" s="24" t="s">
        <v>487</v>
      </c>
      <c r="D651" s="136" t="str">
        <f t="array" ref="D651">IF(E651=0,0,(INDEX(AccountCodes[ACCOUNT NAME],MATCH(E651,AccountCodes[NGAS CODE],0))))</f>
        <v>Auditing Services</v>
      </c>
      <c r="E651" s="24" t="s">
        <v>222</v>
      </c>
      <c r="F651" s="502">
        <v>20000</v>
      </c>
    </row>
    <row r="652" spans="1:6">
      <c r="A652" s="308">
        <v>43434</v>
      </c>
      <c r="B652" s="24" t="s">
        <v>484</v>
      </c>
      <c r="C652" s="24" t="s">
        <v>487</v>
      </c>
      <c r="D652" s="136" t="str">
        <f t="array" ref="D652">IF(E652=0,0,(INDEX(AccountCodes[ACCOUNT NAME],MATCH(E652,AccountCodes[NGAS CODE],0))))</f>
        <v>Auditing Services</v>
      </c>
      <c r="E652" s="24" t="s">
        <v>222</v>
      </c>
      <c r="F652" s="502">
        <v>20000</v>
      </c>
    </row>
    <row r="653" spans="1:6">
      <c r="A653" s="308">
        <v>43131</v>
      </c>
      <c r="B653" s="24" t="s">
        <v>484</v>
      </c>
      <c r="C653" s="24" t="s">
        <v>487</v>
      </c>
      <c r="D653" s="136" t="str">
        <f t="array" ref="D653">IF(E653=0,0,(INDEX(AccountCodes[ACCOUNT NAME],MATCH(E653,AccountCodes[NGAS CODE],0))))</f>
        <v>Other Professional Services</v>
      </c>
      <c r="E653" s="309" t="s">
        <v>250</v>
      </c>
      <c r="F653" s="502">
        <v>30000</v>
      </c>
    </row>
    <row r="654" spans="1:6">
      <c r="A654" s="308">
        <v>43190</v>
      </c>
      <c r="B654" s="24" t="s">
        <v>484</v>
      </c>
      <c r="C654" s="24" t="s">
        <v>487</v>
      </c>
      <c r="D654" s="136" t="str">
        <f t="array" ref="D654">IF(E654=0,0,(INDEX(AccountCodes[ACCOUNT NAME],MATCH(E654,AccountCodes[NGAS CODE],0))))</f>
        <v>Other Professional Services</v>
      </c>
      <c r="E654" s="309" t="s">
        <v>250</v>
      </c>
      <c r="F654" s="502">
        <v>30000</v>
      </c>
    </row>
    <row r="655" spans="1:6">
      <c r="A655" s="308">
        <v>43281</v>
      </c>
      <c r="B655" s="24" t="s">
        <v>484</v>
      </c>
      <c r="C655" s="24" t="s">
        <v>487</v>
      </c>
      <c r="D655" s="136" t="str">
        <f t="array" ref="D655">IF(E655=0,0,(INDEX(AccountCodes[ACCOUNT NAME],MATCH(E655,AccountCodes[NGAS CODE],0))))</f>
        <v>Other Professional Services</v>
      </c>
      <c r="E655" s="309" t="s">
        <v>250</v>
      </c>
      <c r="F655" s="502">
        <v>30000</v>
      </c>
    </row>
    <row r="656" spans="1:6">
      <c r="A656" s="308">
        <v>43404</v>
      </c>
      <c r="B656" s="24" t="s">
        <v>484</v>
      </c>
      <c r="C656" s="24" t="s">
        <v>487</v>
      </c>
      <c r="D656" s="136" t="str">
        <f t="array" ref="D656">IF(E656=0,0,(INDEX(AccountCodes[ACCOUNT NAME],MATCH(E656,AccountCodes[NGAS CODE],0))))</f>
        <v>Other Professional Services</v>
      </c>
      <c r="E656" s="309" t="s">
        <v>250</v>
      </c>
      <c r="F656" s="502">
        <v>84300</v>
      </c>
    </row>
    <row r="657" spans="1:6">
      <c r="A657" s="308">
        <v>43131</v>
      </c>
      <c r="B657" s="24" t="s">
        <v>484</v>
      </c>
      <c r="C657" s="24" t="s">
        <v>487</v>
      </c>
      <c r="D657" s="136" t="str">
        <f t="array" ref="D657">IF(E657=0,0,(INDEX(AccountCodes[ACCOUNT NAME],MATCH(E657,AccountCodes[NGAS CODE],0))))</f>
        <v>Repairs and Maintenance-Transportation Equipment - Motor Vehicles</v>
      </c>
      <c r="E657" s="309" t="s">
        <v>262</v>
      </c>
      <c r="F657" s="502">
        <v>76631.5</v>
      </c>
    </row>
    <row r="658" spans="1:6">
      <c r="A658" s="308">
        <v>43159</v>
      </c>
      <c r="B658" s="24" t="s">
        <v>484</v>
      </c>
      <c r="C658" s="24" t="s">
        <v>487</v>
      </c>
      <c r="D658" s="136" t="str">
        <f t="array" ref="D658">IF(E658=0,0,(INDEX(AccountCodes[ACCOUNT NAME],MATCH(E658,AccountCodes[NGAS CODE],0))))</f>
        <v>Repairs and Maintenance-Transportation Equipment - Motor Vehicles</v>
      </c>
      <c r="E658" s="309" t="s">
        <v>262</v>
      </c>
      <c r="F658" s="502">
        <v>76631.5</v>
      </c>
    </row>
    <row r="659" spans="1:6">
      <c r="A659" s="308">
        <v>43190</v>
      </c>
      <c r="B659" s="24" t="s">
        <v>484</v>
      </c>
      <c r="C659" s="24" t="s">
        <v>487</v>
      </c>
      <c r="D659" s="136" t="str">
        <f t="array" ref="D659">IF(E659=0,0,(INDEX(AccountCodes[ACCOUNT NAME],MATCH(E659,AccountCodes[NGAS CODE],0))))</f>
        <v>Repairs and Maintenance-Transportation Equipment - Motor Vehicles</v>
      </c>
      <c r="E659" s="309" t="s">
        <v>262</v>
      </c>
      <c r="F659" s="502">
        <v>76631.5</v>
      </c>
    </row>
    <row r="660" spans="1:6">
      <c r="A660" s="308">
        <v>43220</v>
      </c>
      <c r="B660" s="24" t="s">
        <v>484</v>
      </c>
      <c r="C660" s="24" t="s">
        <v>487</v>
      </c>
      <c r="D660" s="136" t="str">
        <f t="array" ref="D660">IF(E660=0,0,(INDEX(AccountCodes[ACCOUNT NAME],MATCH(E660,AccountCodes[NGAS CODE],0))))</f>
        <v>Repairs and Maintenance-Transportation Equipment - Motor Vehicles</v>
      </c>
      <c r="E660" s="309" t="s">
        <v>262</v>
      </c>
      <c r="F660" s="502">
        <v>76631.5</v>
      </c>
    </row>
    <row r="661" spans="1:6">
      <c r="A661" s="308">
        <v>43251</v>
      </c>
      <c r="B661" s="24" t="s">
        <v>484</v>
      </c>
      <c r="C661" s="24" t="s">
        <v>487</v>
      </c>
      <c r="D661" s="136" t="str">
        <f t="array" ref="D661">IF(E661=0,0,(INDEX(AccountCodes[ACCOUNT NAME],MATCH(E661,AccountCodes[NGAS CODE],0))))</f>
        <v>Repairs and Maintenance-Transportation Equipment - Motor Vehicles</v>
      </c>
      <c r="E661" s="309" t="s">
        <v>262</v>
      </c>
      <c r="F661" s="502">
        <v>76631.5</v>
      </c>
    </row>
    <row r="662" spans="1:6">
      <c r="A662" s="308">
        <v>43281</v>
      </c>
      <c r="B662" s="24" t="s">
        <v>484</v>
      </c>
      <c r="C662" s="24" t="s">
        <v>487</v>
      </c>
      <c r="D662" s="136" t="str">
        <f t="array" ref="D662">IF(E662=0,0,(INDEX(AccountCodes[ACCOUNT NAME],MATCH(E662,AccountCodes[NGAS CODE],0))))</f>
        <v>Repairs and Maintenance-Transportation Equipment - Motor Vehicles</v>
      </c>
      <c r="E662" s="309" t="s">
        <v>262</v>
      </c>
      <c r="F662" s="502">
        <v>76631.5</v>
      </c>
    </row>
    <row r="663" spans="1:6">
      <c r="A663" s="308">
        <v>43312</v>
      </c>
      <c r="B663" s="24" t="s">
        <v>484</v>
      </c>
      <c r="C663" s="24" t="s">
        <v>487</v>
      </c>
      <c r="D663" s="136" t="str">
        <f t="array" ref="D663">IF(E663=0,0,(INDEX(AccountCodes[ACCOUNT NAME],MATCH(E663,AccountCodes[NGAS CODE],0))))</f>
        <v>Repairs and Maintenance-Transportation Equipment - Motor Vehicles</v>
      </c>
      <c r="E663" s="309" t="s">
        <v>262</v>
      </c>
      <c r="F663" s="502">
        <v>76631.5</v>
      </c>
    </row>
    <row r="664" spans="1:6">
      <c r="A664" s="308">
        <v>43343</v>
      </c>
      <c r="B664" s="24" t="s">
        <v>484</v>
      </c>
      <c r="C664" s="24" t="s">
        <v>487</v>
      </c>
      <c r="D664" s="136" t="str">
        <f t="array" ref="D664">IF(E664=0,0,(INDEX(AccountCodes[ACCOUNT NAME],MATCH(E664,AccountCodes[NGAS CODE],0))))</f>
        <v>Repairs and Maintenance-Transportation Equipment - Motor Vehicles</v>
      </c>
      <c r="E664" s="309" t="s">
        <v>262</v>
      </c>
      <c r="F664" s="502">
        <v>76631.5</v>
      </c>
    </row>
    <row r="665" spans="1:6">
      <c r="A665" s="308">
        <v>43373</v>
      </c>
      <c r="B665" s="24" t="s">
        <v>484</v>
      </c>
      <c r="C665" s="24" t="s">
        <v>487</v>
      </c>
      <c r="D665" s="136" t="str">
        <f t="array" ref="D665">IF(E665=0,0,(INDEX(AccountCodes[ACCOUNT NAME],MATCH(E665,AccountCodes[NGAS CODE],0))))</f>
        <v>Repairs and Maintenance-Transportation Equipment - Motor Vehicles</v>
      </c>
      <c r="E665" s="309" t="s">
        <v>262</v>
      </c>
      <c r="F665" s="502">
        <v>76631.5</v>
      </c>
    </row>
    <row r="666" spans="1:6">
      <c r="A666" s="308">
        <v>43404</v>
      </c>
      <c r="B666" s="24" t="s">
        <v>484</v>
      </c>
      <c r="C666" s="24" t="s">
        <v>487</v>
      </c>
      <c r="D666" s="136" t="str">
        <f t="array" ref="D666">IF(E666=0,0,(INDEX(AccountCodes[ACCOUNT NAME],MATCH(E666,AccountCodes[NGAS CODE],0))))</f>
        <v>Repairs and Maintenance-Transportation Equipment - Motor Vehicles</v>
      </c>
      <c r="E666" s="309" t="s">
        <v>262</v>
      </c>
      <c r="F666" s="502">
        <v>76631.5</v>
      </c>
    </row>
    <row r="667" spans="1:6">
      <c r="A667" s="308">
        <v>43434</v>
      </c>
      <c r="B667" s="24" t="s">
        <v>484</v>
      </c>
      <c r="C667" s="24" t="s">
        <v>487</v>
      </c>
      <c r="D667" s="136" t="str">
        <f t="array" ref="D667">IF(E667=0,0,(INDEX(AccountCodes[ACCOUNT NAME],MATCH(E667,AccountCodes[NGAS CODE],0))))</f>
        <v>Repairs and Maintenance-Transportation Equipment - Motor Vehicles</v>
      </c>
      <c r="E667" s="309" t="s">
        <v>262</v>
      </c>
      <c r="F667" s="502">
        <v>76631.5</v>
      </c>
    </row>
    <row r="668" spans="1:6">
      <c r="A668" s="308">
        <v>43465</v>
      </c>
      <c r="B668" s="24" t="s">
        <v>484</v>
      </c>
      <c r="C668" s="24" t="s">
        <v>487</v>
      </c>
      <c r="D668" s="136" t="str">
        <f t="array" ref="D668">IF(E668=0,0,(INDEX(AccountCodes[ACCOUNT NAME],MATCH(E668,AccountCodes[NGAS CODE],0))))</f>
        <v>Repairs and Maintenance-Transportation Equipment - Motor Vehicles</v>
      </c>
      <c r="E668" s="309" t="s">
        <v>262</v>
      </c>
      <c r="F668" s="502">
        <v>76631.5</v>
      </c>
    </row>
    <row r="669" spans="1:6">
      <c r="A669" s="308">
        <v>43131</v>
      </c>
      <c r="B669" s="24" t="s">
        <v>484</v>
      </c>
      <c r="C669" s="24" t="s">
        <v>487</v>
      </c>
      <c r="D669" s="136" t="str">
        <f t="array" ref="D669">IF(E669=0,0,(INDEX(AccountCodes[ACCOUNT NAME],MATCH(E669,AccountCodes[NGAS CODE],0))))</f>
        <v>Repairs and Maintenance-Buildings and Other Structures - Buildings</v>
      </c>
      <c r="E669" s="309" t="s">
        <v>251</v>
      </c>
      <c r="F669" s="502">
        <v>4166.67</v>
      </c>
    </row>
    <row r="670" spans="1:6">
      <c r="A670" s="308">
        <v>43159</v>
      </c>
      <c r="B670" s="24" t="s">
        <v>484</v>
      </c>
      <c r="C670" s="24" t="s">
        <v>487</v>
      </c>
      <c r="D670" s="136" t="str">
        <f t="array" ref="D670">IF(E670=0,0,(INDEX(AccountCodes[ACCOUNT NAME],MATCH(E670,AccountCodes[NGAS CODE],0))))</f>
        <v>Repairs and Maintenance-Buildings and Other Structures - Buildings</v>
      </c>
      <c r="E670" s="309" t="s">
        <v>251</v>
      </c>
      <c r="F670" s="502">
        <v>4166.67</v>
      </c>
    </row>
    <row r="671" spans="1:6">
      <c r="A671" s="308">
        <v>43190</v>
      </c>
      <c r="B671" s="24" t="s">
        <v>484</v>
      </c>
      <c r="C671" s="24" t="s">
        <v>487</v>
      </c>
      <c r="D671" s="136" t="str">
        <f t="array" ref="D671">IF(E671=0,0,(INDEX(AccountCodes[ACCOUNT NAME],MATCH(E671,AccountCodes[NGAS CODE],0))))</f>
        <v>Repairs and Maintenance-Buildings and Other Structures - Buildings</v>
      </c>
      <c r="E671" s="309" t="s">
        <v>251</v>
      </c>
      <c r="F671" s="502">
        <v>4166.67</v>
      </c>
    </row>
    <row r="672" spans="1:6">
      <c r="A672" s="308">
        <v>43220</v>
      </c>
      <c r="B672" s="24" t="s">
        <v>484</v>
      </c>
      <c r="C672" s="24" t="s">
        <v>487</v>
      </c>
      <c r="D672" s="136" t="str">
        <f t="array" ref="D672">IF(E672=0,0,(INDEX(AccountCodes[ACCOUNT NAME],MATCH(E672,AccountCodes[NGAS CODE],0))))</f>
        <v>Repairs and Maintenance-Buildings and Other Structures - Buildings</v>
      </c>
      <c r="E672" s="309" t="s">
        <v>251</v>
      </c>
      <c r="F672" s="502">
        <v>4166.67</v>
      </c>
    </row>
    <row r="673" spans="1:6">
      <c r="A673" s="308">
        <v>43251</v>
      </c>
      <c r="B673" s="24" t="s">
        <v>484</v>
      </c>
      <c r="C673" s="24" t="s">
        <v>487</v>
      </c>
      <c r="D673" s="136" t="str">
        <f t="array" ref="D673">IF(E673=0,0,(INDEX(AccountCodes[ACCOUNT NAME],MATCH(E673,AccountCodes[NGAS CODE],0))))</f>
        <v>Repairs and Maintenance-Buildings and Other Structures - Buildings</v>
      </c>
      <c r="E673" s="309" t="s">
        <v>251</v>
      </c>
      <c r="F673" s="502">
        <v>4166.67</v>
      </c>
    </row>
    <row r="674" spans="1:6">
      <c r="A674" s="308">
        <v>43281</v>
      </c>
      <c r="B674" s="24" t="s">
        <v>484</v>
      </c>
      <c r="C674" s="24" t="s">
        <v>487</v>
      </c>
      <c r="D674" s="136" t="str">
        <f t="array" ref="D674">IF(E674=0,0,(INDEX(AccountCodes[ACCOUNT NAME],MATCH(E674,AccountCodes[NGAS CODE],0))))</f>
        <v>Repairs and Maintenance-Buildings and Other Structures - Buildings</v>
      </c>
      <c r="E674" s="309" t="s">
        <v>251</v>
      </c>
      <c r="F674" s="502">
        <v>4166.67</v>
      </c>
    </row>
    <row r="675" spans="1:6">
      <c r="A675" s="308">
        <v>43312</v>
      </c>
      <c r="B675" s="24" t="s">
        <v>484</v>
      </c>
      <c r="C675" s="24" t="s">
        <v>487</v>
      </c>
      <c r="D675" s="136" t="str">
        <f t="array" ref="D675">IF(E675=0,0,(INDEX(AccountCodes[ACCOUNT NAME],MATCH(E675,AccountCodes[NGAS CODE],0))))</f>
        <v>Repairs and Maintenance-Buildings and Other Structures - Buildings</v>
      </c>
      <c r="E675" s="309" t="s">
        <v>251</v>
      </c>
      <c r="F675" s="502">
        <v>4166.67</v>
      </c>
    </row>
    <row r="676" spans="1:6">
      <c r="A676" s="308">
        <v>43343</v>
      </c>
      <c r="B676" s="24" t="s">
        <v>484</v>
      </c>
      <c r="C676" s="24" t="s">
        <v>487</v>
      </c>
      <c r="D676" s="136" t="str">
        <f t="array" ref="D676">IF(E676=0,0,(INDEX(AccountCodes[ACCOUNT NAME],MATCH(E676,AccountCodes[NGAS CODE],0))))</f>
        <v>Repairs and Maintenance-Buildings and Other Structures - Buildings</v>
      </c>
      <c r="E676" s="309" t="s">
        <v>251</v>
      </c>
      <c r="F676" s="502">
        <v>4166.67</v>
      </c>
    </row>
    <row r="677" spans="1:6">
      <c r="A677" s="308">
        <v>43373</v>
      </c>
      <c r="B677" s="24" t="s">
        <v>484</v>
      </c>
      <c r="C677" s="24" t="s">
        <v>487</v>
      </c>
      <c r="D677" s="136" t="str">
        <f t="array" ref="D677">IF(E677=0,0,(INDEX(AccountCodes[ACCOUNT NAME],MATCH(E677,AccountCodes[NGAS CODE],0))))</f>
        <v>Repairs and Maintenance-Buildings and Other Structures - Buildings</v>
      </c>
      <c r="E677" s="309" t="s">
        <v>251</v>
      </c>
      <c r="F677" s="502">
        <v>4166.67</v>
      </c>
    </row>
    <row r="678" spans="1:6">
      <c r="A678" s="308">
        <v>43404</v>
      </c>
      <c r="B678" s="24" t="s">
        <v>484</v>
      </c>
      <c r="C678" s="24" t="s">
        <v>487</v>
      </c>
      <c r="D678" s="136" t="str">
        <f t="array" ref="D678">IF(E678=0,0,(INDEX(AccountCodes[ACCOUNT NAME],MATCH(E678,AccountCodes[NGAS CODE],0))))</f>
        <v>Repairs and Maintenance-Buildings and Other Structures - Buildings</v>
      </c>
      <c r="E678" s="309" t="s">
        <v>251</v>
      </c>
      <c r="F678" s="502">
        <v>4166.67</v>
      </c>
    </row>
    <row r="679" spans="1:6">
      <c r="A679" s="308">
        <v>43434</v>
      </c>
      <c r="B679" s="24" t="s">
        <v>484</v>
      </c>
      <c r="C679" s="24" t="s">
        <v>487</v>
      </c>
      <c r="D679" s="136" t="str">
        <f t="array" ref="D679">IF(E679=0,0,(INDEX(AccountCodes[ACCOUNT NAME],MATCH(E679,AccountCodes[NGAS CODE],0))))</f>
        <v>Repairs and Maintenance-Buildings and Other Structures - Buildings</v>
      </c>
      <c r="E679" s="309" t="s">
        <v>251</v>
      </c>
      <c r="F679" s="502">
        <v>4166.67</v>
      </c>
    </row>
    <row r="680" spans="1:6">
      <c r="A680" s="308">
        <v>43465</v>
      </c>
      <c r="B680" s="24" t="s">
        <v>484</v>
      </c>
      <c r="C680" s="24" t="s">
        <v>487</v>
      </c>
      <c r="D680" s="136" t="str">
        <f t="array" ref="D680">IF(E680=0,0,(INDEX(AccountCodes[ACCOUNT NAME],MATCH(E680,AccountCodes[NGAS CODE],0))))</f>
        <v>Repairs and Maintenance-Buildings and Other Structures - Buildings</v>
      </c>
      <c r="E680" s="309" t="s">
        <v>251</v>
      </c>
      <c r="F680" s="502">
        <v>4166.67</v>
      </c>
    </row>
    <row r="681" spans="1:6">
      <c r="A681" s="308">
        <v>43131</v>
      </c>
      <c r="B681" s="24" t="s">
        <v>484</v>
      </c>
      <c r="C681" s="24" t="s">
        <v>487</v>
      </c>
      <c r="D681" s="136" t="str">
        <f t="array" ref="D681">IF(E681=0,0,(INDEX(AccountCodes[ACCOUNT NAME],MATCH(E681,AccountCodes[NGAS CODE],0))))</f>
        <v>Other Maintenance and Operating Expenses (Irrigator's Share/Remuneration/Subsidy)</v>
      </c>
      <c r="E681" s="309" t="s">
        <v>333</v>
      </c>
      <c r="F681" s="502">
        <v>684860</v>
      </c>
    </row>
    <row r="682" spans="1:6">
      <c r="A682" s="308">
        <v>43159</v>
      </c>
      <c r="B682" s="24" t="s">
        <v>484</v>
      </c>
      <c r="C682" s="24" t="s">
        <v>487</v>
      </c>
      <c r="D682" s="136" t="str">
        <f t="array" ref="D682">IF(E682=0,0,(INDEX(AccountCodes[ACCOUNT NAME],MATCH(E682,AccountCodes[NGAS CODE],0))))</f>
        <v>Other Maintenance and Operating Expenses (Irrigator's Share/Remuneration/Subsidy)</v>
      </c>
      <c r="E682" s="309" t="s">
        <v>333</v>
      </c>
      <c r="F682" s="502">
        <v>616440</v>
      </c>
    </row>
    <row r="683" spans="1:6">
      <c r="A683" s="308">
        <v>43190</v>
      </c>
      <c r="B683" s="24" t="s">
        <v>484</v>
      </c>
      <c r="C683" s="24" t="s">
        <v>487</v>
      </c>
      <c r="D683" s="136" t="str">
        <f t="array" ref="D683">IF(E683=0,0,(INDEX(AccountCodes[ACCOUNT NAME],MATCH(E683,AccountCodes[NGAS CODE],0))))</f>
        <v>Other Maintenance and Operating Expenses (Irrigator's Share/Remuneration/Subsidy)</v>
      </c>
      <c r="E683" s="309" t="s">
        <v>333</v>
      </c>
      <c r="F683" s="502">
        <v>684860</v>
      </c>
    </row>
    <row r="684" spans="1:6">
      <c r="A684" s="308">
        <v>43220</v>
      </c>
      <c r="B684" s="24" t="s">
        <v>484</v>
      </c>
      <c r="C684" s="24" t="s">
        <v>487</v>
      </c>
      <c r="D684" s="136" t="str">
        <f t="array" ref="D684">IF(E684=0,0,(INDEX(AccountCodes[ACCOUNT NAME],MATCH(E684,AccountCodes[NGAS CODE],0))))</f>
        <v>Other Maintenance and Operating Expenses (Irrigator's Share/Remuneration/Subsidy)</v>
      </c>
      <c r="E684" s="309" t="s">
        <v>333</v>
      </c>
      <c r="F684" s="502">
        <v>753280</v>
      </c>
    </row>
    <row r="685" spans="1:6">
      <c r="A685" s="308">
        <v>43251</v>
      </c>
      <c r="B685" s="24" t="s">
        <v>484</v>
      </c>
      <c r="C685" s="24" t="s">
        <v>487</v>
      </c>
      <c r="D685" s="136" t="str">
        <f t="array" ref="D685">IF(E685=0,0,(INDEX(AccountCodes[ACCOUNT NAME],MATCH(E685,AccountCodes[NGAS CODE],0))))</f>
        <v>Other Maintenance and Operating Expenses (Irrigator's Share/Remuneration/Subsidy)</v>
      </c>
      <c r="E685" s="309" t="s">
        <v>333</v>
      </c>
      <c r="F685" s="502">
        <v>821700</v>
      </c>
    </row>
    <row r="686" spans="1:6">
      <c r="A686" s="308">
        <v>43281</v>
      </c>
      <c r="B686" s="24" t="s">
        <v>484</v>
      </c>
      <c r="C686" s="24" t="s">
        <v>487</v>
      </c>
      <c r="D686" s="136" t="str">
        <f t="array" ref="D686">IF(E686=0,0,(INDEX(AccountCodes[ACCOUNT NAME],MATCH(E686,AccountCodes[NGAS CODE],0))))</f>
        <v>Other Maintenance and Operating Expenses (Irrigator's Share/Remuneration/Subsidy)</v>
      </c>
      <c r="E686" s="309" t="s">
        <v>333</v>
      </c>
      <c r="F686" s="502">
        <v>1300640</v>
      </c>
    </row>
    <row r="687" spans="1:6">
      <c r="A687" s="308">
        <v>43312</v>
      </c>
      <c r="B687" s="24" t="s">
        <v>484</v>
      </c>
      <c r="C687" s="24" t="s">
        <v>487</v>
      </c>
      <c r="D687" s="136" t="str">
        <f t="array" ref="D687">IF(E687=0,0,(INDEX(AccountCodes[ACCOUNT NAME],MATCH(E687,AccountCodes[NGAS CODE],0))))</f>
        <v>Other Maintenance and Operating Expenses (Irrigator's Share/Remuneration/Subsidy)</v>
      </c>
      <c r="E687" s="309" t="s">
        <v>333</v>
      </c>
      <c r="F687" s="502">
        <v>1163800</v>
      </c>
    </row>
    <row r="688" spans="1:6">
      <c r="A688" s="308">
        <v>43343</v>
      </c>
      <c r="B688" s="24" t="s">
        <v>484</v>
      </c>
      <c r="C688" s="24" t="s">
        <v>487</v>
      </c>
      <c r="D688" s="136" t="str">
        <f t="array" ref="D688">IF(E688=0,0,(INDEX(AccountCodes[ACCOUNT NAME],MATCH(E688,AccountCodes[NGAS CODE],0))))</f>
        <v>Other Maintenance and Operating Expenses (Irrigator's Share/Remuneration/Subsidy)</v>
      </c>
      <c r="E688" s="309" t="s">
        <v>333</v>
      </c>
      <c r="F688" s="502">
        <v>890120</v>
      </c>
    </row>
    <row r="689" spans="1:6">
      <c r="A689" s="308">
        <v>43373</v>
      </c>
      <c r="B689" s="24" t="s">
        <v>484</v>
      </c>
      <c r="C689" s="24" t="s">
        <v>487</v>
      </c>
      <c r="D689" s="136" t="str">
        <f t="array" ref="D689">IF(E689=0,0,(INDEX(AccountCodes[ACCOUNT NAME],MATCH(E689,AccountCodes[NGAS CODE],0))))</f>
        <v>Other Maintenance and Operating Expenses (Irrigator's Share/Remuneration/Subsidy)</v>
      </c>
      <c r="E689" s="309" t="s">
        <v>333</v>
      </c>
      <c r="F689" s="502">
        <v>137500</v>
      </c>
    </row>
    <row r="690" spans="1:6">
      <c r="A690" s="308">
        <v>43404</v>
      </c>
      <c r="B690" s="24" t="s">
        <v>484</v>
      </c>
      <c r="C690" s="24" t="s">
        <v>487</v>
      </c>
      <c r="D690" s="136" t="str">
        <f t="array" ref="D690">IF(E690=0,0,(INDEX(AccountCodes[ACCOUNT NAME],MATCH(E690,AccountCodes[NGAS CODE],0))))</f>
        <v>Other Maintenance and Operating Expenses (Irrigator's Share/Remuneration/Subsidy)</v>
      </c>
      <c r="E690" s="309" t="s">
        <v>333</v>
      </c>
      <c r="F690" s="502">
        <v>342760</v>
      </c>
    </row>
    <row r="691" spans="1:6">
      <c r="A691" s="308">
        <v>43434</v>
      </c>
      <c r="B691" s="24" t="s">
        <v>484</v>
      </c>
      <c r="C691" s="24" t="s">
        <v>487</v>
      </c>
      <c r="D691" s="136" t="str">
        <f t="array" ref="D691">IF(E691=0,0,(INDEX(AccountCodes[ACCOUNT NAME],MATCH(E691,AccountCodes[NGAS CODE],0))))</f>
        <v>Other Maintenance and Operating Expenses (Irrigator's Share/Remuneration/Subsidy)</v>
      </c>
      <c r="E691" s="309" t="s">
        <v>333</v>
      </c>
      <c r="F691" s="502">
        <v>616440</v>
      </c>
    </row>
    <row r="692" spans="1:6">
      <c r="A692" s="308">
        <v>43465</v>
      </c>
      <c r="B692" s="24" t="s">
        <v>484</v>
      </c>
      <c r="C692" s="24" t="s">
        <v>487</v>
      </c>
      <c r="D692" s="136" t="str">
        <f t="array" ref="D692">IF(E692=0,0,(INDEX(AccountCodes[ACCOUNT NAME],MATCH(E692,AccountCodes[NGAS CODE],0))))</f>
        <v>Other Maintenance and Operating Expenses (Irrigator's Share/Remuneration/Subsidy)</v>
      </c>
      <c r="E692" s="309" t="s">
        <v>333</v>
      </c>
      <c r="F692" s="502">
        <v>479600</v>
      </c>
    </row>
    <row r="693" spans="1:6">
      <c r="A693" s="308">
        <v>43131</v>
      </c>
      <c r="B693" s="24" t="s">
        <v>484</v>
      </c>
      <c r="C693" s="24" t="s">
        <v>487</v>
      </c>
      <c r="D693" s="136" t="str">
        <f t="array" ref="D693">IF(E693=0,0,(INDEX(AccountCodes[ACCOUNT NAME],MATCH(E693,AccountCodes[NGAS CODE],0))))</f>
        <v>Other Maintenance and Operating Expenses (Power Cost for Pumps)</v>
      </c>
      <c r="E693" s="309" t="s">
        <v>991</v>
      </c>
      <c r="F693" s="502">
        <v>1250000</v>
      </c>
    </row>
    <row r="694" spans="1:6">
      <c r="A694" s="308">
        <v>43159</v>
      </c>
      <c r="B694" s="24" t="s">
        <v>484</v>
      </c>
      <c r="C694" s="24" t="s">
        <v>487</v>
      </c>
      <c r="D694" s="136" t="str">
        <f t="array" ref="D694">IF(E694=0,0,(INDEX(AccountCodes[ACCOUNT NAME],MATCH(E694,AccountCodes[NGAS CODE],0))))</f>
        <v>Other Maintenance and Operating Expenses (Power Cost for Pumps)</v>
      </c>
      <c r="E694" s="309" t="s">
        <v>991</v>
      </c>
      <c r="F694" s="502">
        <v>1250000</v>
      </c>
    </row>
    <row r="695" spans="1:6">
      <c r="A695" s="308">
        <v>43190</v>
      </c>
      <c r="B695" s="24" t="s">
        <v>484</v>
      </c>
      <c r="C695" s="24" t="s">
        <v>487</v>
      </c>
      <c r="D695" s="136" t="str">
        <f t="array" ref="D695">IF(E695=0,0,(INDEX(AccountCodes[ACCOUNT NAME],MATCH(E695,AccountCodes[NGAS CODE],0))))</f>
        <v>Other Maintenance and Operating Expenses (Power Cost for Pumps)</v>
      </c>
      <c r="E695" s="309" t="s">
        <v>991</v>
      </c>
      <c r="F695" s="502">
        <v>1250000</v>
      </c>
    </row>
    <row r="696" spans="1:6">
      <c r="A696" s="308">
        <v>43220</v>
      </c>
      <c r="B696" s="24" t="s">
        <v>484</v>
      </c>
      <c r="C696" s="24" t="s">
        <v>487</v>
      </c>
      <c r="D696" s="136" t="str">
        <f t="array" ref="D696">IF(E696=0,0,(INDEX(AccountCodes[ACCOUNT NAME],MATCH(E696,AccountCodes[NGAS CODE],0))))</f>
        <v>Other Maintenance and Operating Expenses (Power Cost for Pumps)</v>
      </c>
      <c r="E696" s="309" t="s">
        <v>991</v>
      </c>
      <c r="F696" s="502">
        <v>1250000</v>
      </c>
    </row>
    <row r="697" spans="1:6">
      <c r="A697" s="308">
        <v>43251</v>
      </c>
      <c r="B697" s="24" t="s">
        <v>484</v>
      </c>
      <c r="C697" s="24" t="s">
        <v>487</v>
      </c>
      <c r="D697" s="136" t="str">
        <f t="array" ref="D697">IF(E697=0,0,(INDEX(AccountCodes[ACCOUNT NAME],MATCH(E697,AccountCodes[NGAS CODE],0))))</f>
        <v>Other Maintenance and Operating Expenses (Power Cost for Pumps)</v>
      </c>
      <c r="E697" s="309" t="s">
        <v>991</v>
      </c>
      <c r="F697" s="502">
        <v>1250000</v>
      </c>
    </row>
    <row r="698" spans="1:6">
      <c r="A698" s="308">
        <v>43281</v>
      </c>
      <c r="B698" s="24" t="s">
        <v>484</v>
      </c>
      <c r="C698" s="24" t="s">
        <v>487</v>
      </c>
      <c r="D698" s="136" t="str">
        <f t="array" ref="D698">IF(E698=0,0,(INDEX(AccountCodes[ACCOUNT NAME],MATCH(E698,AccountCodes[NGAS CODE],0))))</f>
        <v>Other Maintenance and Operating Expenses (Power Cost for Pumps)</v>
      </c>
      <c r="E698" s="309" t="s">
        <v>991</v>
      </c>
      <c r="F698" s="502">
        <v>1250000</v>
      </c>
    </row>
    <row r="699" spans="1:6">
      <c r="A699" s="308">
        <v>43312</v>
      </c>
      <c r="B699" s="24" t="s">
        <v>484</v>
      </c>
      <c r="C699" s="24" t="s">
        <v>487</v>
      </c>
      <c r="D699" s="136" t="str">
        <f t="array" ref="D699">IF(E699=0,0,(INDEX(AccountCodes[ACCOUNT NAME],MATCH(E699,AccountCodes[NGAS CODE],0))))</f>
        <v>Other Maintenance and Operating Expenses (Power Cost for Pumps)</v>
      </c>
      <c r="E699" s="309" t="s">
        <v>991</v>
      </c>
      <c r="F699" s="502">
        <v>1250000</v>
      </c>
    </row>
    <row r="700" spans="1:6">
      <c r="A700" s="308">
        <v>43343</v>
      </c>
      <c r="B700" s="24" t="s">
        <v>484</v>
      </c>
      <c r="C700" s="24" t="s">
        <v>487</v>
      </c>
      <c r="D700" s="136" t="str">
        <f t="array" ref="D700">IF(E700=0,0,(INDEX(AccountCodes[ACCOUNT NAME],MATCH(E700,AccountCodes[NGAS CODE],0))))</f>
        <v>Other Maintenance and Operating Expenses (Power Cost for Pumps)</v>
      </c>
      <c r="E700" s="309" t="s">
        <v>991</v>
      </c>
      <c r="F700" s="502">
        <v>1250000</v>
      </c>
    </row>
    <row r="701" spans="1:6">
      <c r="A701" s="308">
        <v>43373</v>
      </c>
      <c r="B701" s="24" t="s">
        <v>484</v>
      </c>
      <c r="C701" s="24" t="s">
        <v>487</v>
      </c>
      <c r="D701" s="136" t="str">
        <f t="array" ref="D701">IF(E701=0,0,(INDEX(AccountCodes[ACCOUNT NAME],MATCH(E701,AccountCodes[NGAS CODE],0))))</f>
        <v>Other Maintenance and Operating Expenses (Power Cost for Pumps)</v>
      </c>
      <c r="E701" s="309" t="s">
        <v>991</v>
      </c>
      <c r="F701" s="502">
        <v>1250000</v>
      </c>
    </row>
    <row r="702" spans="1:6">
      <c r="A702" s="308">
        <v>43404</v>
      </c>
      <c r="B702" s="24" t="s">
        <v>484</v>
      </c>
      <c r="C702" s="24" t="s">
        <v>487</v>
      </c>
      <c r="D702" s="136" t="str">
        <f t="array" ref="D702">IF(E702=0,0,(INDEX(AccountCodes[ACCOUNT NAME],MATCH(E702,AccountCodes[NGAS CODE],0))))</f>
        <v>Other Maintenance and Operating Expenses (Power Cost for Pumps)</v>
      </c>
      <c r="E702" s="309" t="s">
        <v>991</v>
      </c>
      <c r="F702" s="502">
        <v>1250000</v>
      </c>
    </row>
    <row r="703" spans="1:6">
      <c r="A703" s="308">
        <v>43434</v>
      </c>
      <c r="B703" s="24" t="s">
        <v>484</v>
      </c>
      <c r="C703" s="24" t="s">
        <v>487</v>
      </c>
      <c r="D703" s="136" t="str">
        <f t="array" ref="D703">IF(E703=0,0,(INDEX(AccountCodes[ACCOUNT NAME],MATCH(E703,AccountCodes[NGAS CODE],0))))</f>
        <v>Other Maintenance and Operating Expenses (Power Cost for Pumps)</v>
      </c>
      <c r="E703" s="309" t="s">
        <v>991</v>
      </c>
      <c r="F703" s="502">
        <v>1250000</v>
      </c>
    </row>
    <row r="704" spans="1:6">
      <c r="A704" s="308">
        <v>43465</v>
      </c>
      <c r="B704" s="24" t="s">
        <v>484</v>
      </c>
      <c r="C704" s="24" t="s">
        <v>487</v>
      </c>
      <c r="D704" s="136" t="str">
        <f t="array" ref="D704">IF(E704=0,0,(INDEX(AccountCodes[ACCOUNT NAME],MATCH(E704,AccountCodes[NGAS CODE],0))))</f>
        <v>Other Maintenance and Operating Expenses (Power Cost for Pumps)</v>
      </c>
      <c r="E704" s="309" t="s">
        <v>991</v>
      </c>
      <c r="F704" s="502">
        <v>1250000</v>
      </c>
    </row>
    <row r="705" spans="1:6">
      <c r="A705" s="308">
        <v>43190</v>
      </c>
      <c r="B705" s="24" t="s">
        <v>484</v>
      </c>
      <c r="C705" s="24" t="s">
        <v>487</v>
      </c>
      <c r="D705" s="136" t="str">
        <f t="array" ref="D705">IF(E705=0,0,(INDEX(AccountCodes[ACCOUNT NAME],MATCH(E705,AccountCodes[NGAS CODE],0))))</f>
        <v>Repairs and Maintenance-Infrastructure Assets - Other Infrastructure Assets (Irrigation Canal &amp; Laterals)</v>
      </c>
      <c r="E705" s="309" t="s">
        <v>267</v>
      </c>
      <c r="F705" s="502">
        <v>1000000</v>
      </c>
    </row>
    <row r="706" spans="1:6">
      <c r="A706" s="308">
        <v>43281</v>
      </c>
      <c r="B706" s="24" t="s">
        <v>484</v>
      </c>
      <c r="C706" s="24" t="s">
        <v>487</v>
      </c>
      <c r="D706" s="136" t="str">
        <f t="array" ref="D706">IF(E706=0,0,(INDEX(AccountCodes[ACCOUNT NAME],MATCH(E706,AccountCodes[NGAS CODE],0))))</f>
        <v>Repairs and Maintenance-Infrastructure Assets - Other Infrastructure Assets (Irrigation Canal &amp; Laterals)</v>
      </c>
      <c r="E706" s="309" t="s">
        <v>267</v>
      </c>
      <c r="F706" s="502">
        <v>1000000</v>
      </c>
    </row>
    <row r="707" spans="1:6">
      <c r="A707" s="308">
        <v>43373</v>
      </c>
      <c r="B707" s="24" t="s">
        <v>484</v>
      </c>
      <c r="C707" s="24" t="s">
        <v>487</v>
      </c>
      <c r="D707" s="136" t="str">
        <f t="array" ref="D707">IF(E707=0,0,(INDEX(AccountCodes[ACCOUNT NAME],MATCH(E707,AccountCodes[NGAS CODE],0))))</f>
        <v>Repairs and Maintenance-Infrastructure Assets - Other Infrastructure Assets (Irrigation Canal &amp; Laterals)</v>
      </c>
      <c r="E707" s="309" t="s">
        <v>267</v>
      </c>
      <c r="F707" s="502">
        <v>1000000</v>
      </c>
    </row>
    <row r="708" spans="1:6">
      <c r="A708" s="308">
        <v>43465</v>
      </c>
      <c r="B708" s="24" t="s">
        <v>484</v>
      </c>
      <c r="C708" s="24" t="s">
        <v>487</v>
      </c>
      <c r="D708" s="136" t="str">
        <f t="array" ref="D708">IF(E708=0,0,(INDEX(AccountCodes[ACCOUNT NAME],MATCH(E708,AccountCodes[NGAS CODE],0))))</f>
        <v>Repairs and Maintenance-Infrastructure Assets - Other Infrastructure Assets (Irrigation Canal &amp; Laterals)</v>
      </c>
      <c r="E708" s="309" t="s">
        <v>267</v>
      </c>
      <c r="F708" s="502">
        <v>1000000</v>
      </c>
    </row>
    <row r="709" spans="1:6">
      <c r="A709" s="308">
        <v>43465</v>
      </c>
      <c r="B709" s="24" t="s">
        <v>484</v>
      </c>
      <c r="C709" s="24" t="s">
        <v>487</v>
      </c>
      <c r="D709" s="136" t="str">
        <f t="array" ref="D709">IF(E709=0,0,(INDEX(AccountCodes[ACCOUNT NAME],MATCH(E709,AccountCodes[NGAS CODE],0))))</f>
        <v>Repairs and Maintenance-Buildings and Other Structures - Buildings</v>
      </c>
      <c r="E709" s="24" t="s">
        <v>251</v>
      </c>
      <c r="F709" s="502">
        <v>625000</v>
      </c>
    </row>
    <row r="710" spans="1:6">
      <c r="A710" s="308">
        <v>43465</v>
      </c>
      <c r="B710" s="24" t="s">
        <v>484</v>
      </c>
      <c r="C710" s="24" t="s">
        <v>487</v>
      </c>
      <c r="D710" s="136" t="str">
        <f t="array" ref="D710">IF(E710=0,0,(INDEX(AccountCodes[ACCOUNT NAME],MATCH(E710,AccountCodes[NGAS CODE],0))))</f>
        <v>Repairs and Maintenance-Buildings and Other Structures - Buildings</v>
      </c>
      <c r="E710" s="24" t="s">
        <v>251</v>
      </c>
      <c r="F710" s="502">
        <v>625000</v>
      </c>
    </row>
    <row r="711" spans="1:6">
      <c r="A711" s="308">
        <v>43465</v>
      </c>
      <c r="B711" s="24" t="s">
        <v>484</v>
      </c>
      <c r="C711" s="24" t="s">
        <v>487</v>
      </c>
      <c r="D711" s="136" t="str">
        <f t="array" ref="D711">IF(E711=0,0,(INDEX(AccountCodes[ACCOUNT NAME],MATCH(E711,AccountCodes[NGAS CODE],0))))</f>
        <v>Repairs and Maintenance-Buildings and Other Structures - Buildings</v>
      </c>
      <c r="E711" s="24" t="s">
        <v>251</v>
      </c>
      <c r="F711" s="502">
        <v>625000</v>
      </c>
    </row>
    <row r="712" spans="1:6">
      <c r="A712" s="308">
        <v>43465</v>
      </c>
      <c r="B712" s="24" t="s">
        <v>484</v>
      </c>
      <c r="C712" s="24" t="s">
        <v>487</v>
      </c>
      <c r="D712" s="136" t="str">
        <f t="array" ref="D712">IF(E712=0,0,(INDEX(AccountCodes[ACCOUNT NAME],MATCH(E712,AccountCodes[NGAS CODE],0))))</f>
        <v>Repairs and Maintenance-Buildings and Other Structures - Buildings</v>
      </c>
      <c r="E712" s="24" t="s">
        <v>251</v>
      </c>
      <c r="F712" s="502">
        <v>625000</v>
      </c>
    </row>
    <row r="713" spans="1:6">
      <c r="A713" s="308"/>
      <c r="D713" s="136">
        <f t="array" ref="D713">IF(E713=0,0,(INDEX(AccountCodes[ACCOUNT NAME],MATCH(E713,AccountCodes[NGAS CODE],0))))</f>
        <v>0</v>
      </c>
      <c r="E713" s="309"/>
      <c r="F713" s="502"/>
    </row>
    <row r="714" spans="1:6">
      <c r="A714" s="308">
        <v>43159</v>
      </c>
      <c r="B714" s="24" t="s">
        <v>484</v>
      </c>
      <c r="C714" s="24" t="s">
        <v>488</v>
      </c>
      <c r="D714" s="136" t="str">
        <f t="array" ref="D714">IF(E714=0,0,(INDEX(AccountCodes[ACCOUNT NAME],MATCH(E714,AccountCodes[NGAS CODE],0))))</f>
        <v>Other Service Income - Irrigation Service Fee (Back Account)</v>
      </c>
      <c r="E714" s="309" t="s">
        <v>126</v>
      </c>
      <c r="F714" s="502">
        <v>40000</v>
      </c>
    </row>
    <row r="715" spans="1:6">
      <c r="A715" s="308">
        <v>43190</v>
      </c>
      <c r="B715" s="24" t="s">
        <v>484</v>
      </c>
      <c r="C715" s="24" t="s">
        <v>488</v>
      </c>
      <c r="D715" s="136" t="str">
        <f t="array" ref="D715">IF(E715=0,0,(INDEX(AccountCodes[ACCOUNT NAME],MATCH(E715,AccountCodes[NGAS CODE],0))))</f>
        <v>Other Service Income - Irrigation Service Fee (Back Account)</v>
      </c>
      <c r="E715" s="309" t="s">
        <v>126</v>
      </c>
      <c r="F715" s="502">
        <v>40000</v>
      </c>
    </row>
    <row r="716" spans="1:6">
      <c r="A716" s="308">
        <v>43220</v>
      </c>
      <c r="B716" s="24" t="s">
        <v>484</v>
      </c>
      <c r="C716" s="24" t="s">
        <v>488</v>
      </c>
      <c r="D716" s="136" t="str">
        <f t="array" ref="D716">IF(E716=0,0,(INDEX(AccountCodes[ACCOUNT NAME],MATCH(E716,AccountCodes[NGAS CODE],0))))</f>
        <v>Other Service Income - Irrigation Service Fee (Back Account)</v>
      </c>
      <c r="E716" s="309" t="s">
        <v>126</v>
      </c>
      <c r="F716" s="502">
        <v>40000</v>
      </c>
    </row>
    <row r="717" spans="1:6">
      <c r="A717" s="308">
        <v>43251</v>
      </c>
      <c r="B717" s="24" t="s">
        <v>484</v>
      </c>
      <c r="C717" s="24" t="s">
        <v>488</v>
      </c>
      <c r="D717" s="136" t="str">
        <f t="array" ref="D717">IF(E717=0,0,(INDEX(AccountCodes[ACCOUNT NAME],MATCH(E717,AccountCodes[NGAS CODE],0))))</f>
        <v>Other Service Income - Irrigation Service Fee (Back Account)</v>
      </c>
      <c r="E717" s="309" t="s">
        <v>126</v>
      </c>
      <c r="F717" s="502">
        <v>40000</v>
      </c>
    </row>
    <row r="718" spans="1:6">
      <c r="A718" s="308">
        <v>43281</v>
      </c>
      <c r="B718" s="24" t="s">
        <v>484</v>
      </c>
      <c r="C718" s="24" t="s">
        <v>488</v>
      </c>
      <c r="D718" s="136" t="str">
        <f t="array" ref="D718">IF(E718=0,0,(INDEX(AccountCodes[ACCOUNT NAME],MATCH(E718,AccountCodes[NGAS CODE],0))))</f>
        <v>Other Service Income - Irrigation Service Fee (Back Account)</v>
      </c>
      <c r="E718" s="309" t="s">
        <v>126</v>
      </c>
      <c r="F718" s="502">
        <v>40000</v>
      </c>
    </row>
    <row r="719" spans="1:6">
      <c r="A719" s="308">
        <v>43312</v>
      </c>
      <c r="B719" s="24" t="s">
        <v>484</v>
      </c>
      <c r="C719" s="24" t="s">
        <v>488</v>
      </c>
      <c r="D719" s="136" t="str">
        <f t="array" ref="D719">IF(E719=0,0,(INDEX(AccountCodes[ACCOUNT NAME],MATCH(E719,AccountCodes[NGAS CODE],0))))</f>
        <v>Other Service Income - Irrigation Service Fee (Back Account)</v>
      </c>
      <c r="E719" s="309" t="s">
        <v>126</v>
      </c>
      <c r="F719" s="502">
        <v>40000</v>
      </c>
    </row>
    <row r="720" spans="1:6">
      <c r="A720" s="308">
        <v>43343</v>
      </c>
      <c r="B720" s="24" t="s">
        <v>484</v>
      </c>
      <c r="C720" s="24" t="s">
        <v>488</v>
      </c>
      <c r="D720" s="136" t="str">
        <f t="array" ref="D720">IF(E720=0,0,(INDEX(AccountCodes[ACCOUNT NAME],MATCH(E720,AccountCodes[NGAS CODE],0))))</f>
        <v>Other Service Income - Irrigation Service Fee (Back Account)</v>
      </c>
      <c r="E720" s="309" t="s">
        <v>126</v>
      </c>
      <c r="F720" s="502">
        <v>40000</v>
      </c>
    </row>
    <row r="721" spans="1:6">
      <c r="A721" s="308">
        <v>43404</v>
      </c>
      <c r="B721" s="24" t="s">
        <v>484</v>
      </c>
      <c r="C721" s="24" t="s">
        <v>488</v>
      </c>
      <c r="D721" s="136" t="str">
        <f t="array" ref="D721">IF(E721=0,0,(INDEX(AccountCodes[ACCOUNT NAME],MATCH(E721,AccountCodes[NGAS CODE],0))))</f>
        <v>Other Service Income - Irrigation Service Fee (Back Account)</v>
      </c>
      <c r="E721" s="309" t="s">
        <v>126</v>
      </c>
      <c r="F721" s="502">
        <v>40000</v>
      </c>
    </row>
    <row r="722" spans="1:6">
      <c r="A722" s="308">
        <v>43434</v>
      </c>
      <c r="B722" s="24" t="s">
        <v>484</v>
      </c>
      <c r="C722" s="24" t="s">
        <v>488</v>
      </c>
      <c r="D722" s="136" t="str">
        <f t="array" ref="D722">IF(E722=0,0,(INDEX(AccountCodes[ACCOUNT NAME],MATCH(E722,AccountCodes[NGAS CODE],0))))</f>
        <v>Other Service Income - Irrigation Service Fee (Back Account)</v>
      </c>
      <c r="E722" s="309" t="s">
        <v>126</v>
      </c>
      <c r="F722" s="502">
        <v>40000</v>
      </c>
    </row>
    <row r="723" spans="1:6">
      <c r="A723" s="308">
        <v>43465</v>
      </c>
      <c r="B723" s="24" t="s">
        <v>484</v>
      </c>
      <c r="C723" s="24" t="s">
        <v>488</v>
      </c>
      <c r="D723" s="136" t="str">
        <f t="array" ref="D723">IF(E723=0,0,(INDEX(AccountCodes[ACCOUNT NAME],MATCH(E723,AccountCodes[NGAS CODE],0))))</f>
        <v>Other Service Income - Irrigation Service Fee (Back Account)</v>
      </c>
      <c r="E723" s="309" t="s">
        <v>126</v>
      </c>
      <c r="F723" s="502">
        <v>40000</v>
      </c>
    </row>
    <row r="724" spans="1:6">
      <c r="A724" s="308">
        <v>43220</v>
      </c>
      <c r="B724" s="24" t="s">
        <v>484</v>
      </c>
      <c r="C724" s="24" t="s">
        <v>488</v>
      </c>
      <c r="D724" s="136" t="str">
        <f t="array" ref="D724">IF(E724=0,0,(INDEX(AccountCodes[ACCOUNT NAME],MATCH(E724,AccountCodes[NGAS CODE],0))))</f>
        <v>Other Service Income - CIS Amortization (Back Account)</v>
      </c>
      <c r="E724" s="309" t="s">
        <v>129</v>
      </c>
      <c r="F724" s="502">
        <v>379026.02</v>
      </c>
    </row>
    <row r="725" spans="1:6">
      <c r="A725" s="308">
        <v>43312</v>
      </c>
      <c r="B725" s="24" t="s">
        <v>484</v>
      </c>
      <c r="C725" s="24" t="s">
        <v>488</v>
      </c>
      <c r="D725" s="136" t="str">
        <f t="array" ref="D725">IF(E725=0,0,(INDEX(AccountCodes[ACCOUNT NAME],MATCH(E725,AccountCodes[NGAS CODE],0))))</f>
        <v>Other Service Income - CIS Amortization (Back Account)</v>
      </c>
      <c r="E725" s="309" t="s">
        <v>129</v>
      </c>
      <c r="F725" s="502">
        <v>379026.02</v>
      </c>
    </row>
    <row r="726" spans="1:6">
      <c r="A726" s="308">
        <v>43434</v>
      </c>
      <c r="B726" s="24" t="s">
        <v>484</v>
      </c>
      <c r="C726" s="24" t="s">
        <v>488</v>
      </c>
      <c r="D726" s="136" t="str">
        <f t="array" ref="D726">IF(E726=0,0,(INDEX(AccountCodes[ACCOUNT NAME],MATCH(E726,AccountCodes[NGAS CODE],0))))</f>
        <v>Other Service Income - CIS Amortization (Back Account)</v>
      </c>
      <c r="E726" s="309" t="s">
        <v>129</v>
      </c>
      <c r="F726" s="502">
        <v>379026.02</v>
      </c>
    </row>
    <row r="727" spans="1:6">
      <c r="A727" s="308">
        <v>43220</v>
      </c>
      <c r="B727" s="24" t="s">
        <v>484</v>
      </c>
      <c r="C727" s="24" t="s">
        <v>488</v>
      </c>
      <c r="D727" s="136" t="str">
        <f t="array" ref="D727">IF(E727=0,0,(INDEX(AccountCodes[ACCOUNT NAME],MATCH(E727,AccountCodes[NGAS CODE],0))))</f>
        <v>Other Service Income - CIS Amortization (Current Account)</v>
      </c>
      <c r="E727" s="24" t="s">
        <v>128</v>
      </c>
      <c r="F727" s="502">
        <v>138000</v>
      </c>
    </row>
    <row r="728" spans="1:6">
      <c r="A728" s="308">
        <v>43251</v>
      </c>
      <c r="B728" s="24" t="s">
        <v>484</v>
      </c>
      <c r="C728" s="24" t="s">
        <v>488</v>
      </c>
      <c r="D728" s="136" t="str">
        <f t="array" ref="D728">IF(E728=0,0,(INDEX(AccountCodes[ACCOUNT NAME],MATCH(E728,AccountCodes[NGAS CODE],0))))</f>
        <v>Other Service Income - CIS Amortization (Current Account)</v>
      </c>
      <c r="E728" s="24" t="s">
        <v>128</v>
      </c>
      <c r="F728" s="502">
        <v>171000</v>
      </c>
    </row>
    <row r="729" spans="1:6">
      <c r="A729" s="308">
        <v>43281</v>
      </c>
      <c r="B729" s="24" t="s">
        <v>484</v>
      </c>
      <c r="C729" s="24" t="s">
        <v>488</v>
      </c>
      <c r="D729" s="136" t="str">
        <f t="array" ref="D729">IF(E729=0,0,(INDEX(AccountCodes[ACCOUNT NAME],MATCH(E729,AccountCodes[NGAS CODE],0))))</f>
        <v>Other Service Income - CIS Amortization (Current Account)</v>
      </c>
      <c r="E729" s="24" t="s">
        <v>128</v>
      </c>
      <c r="F729" s="502">
        <v>111000</v>
      </c>
    </row>
    <row r="730" spans="1:6">
      <c r="A730" s="308">
        <v>43404</v>
      </c>
      <c r="B730" s="24" t="s">
        <v>484</v>
      </c>
      <c r="C730" s="24" t="s">
        <v>488</v>
      </c>
      <c r="D730" s="136" t="str">
        <f t="array" ref="D730">IF(E730=0,0,(INDEX(AccountCodes[ACCOUNT NAME],MATCH(E730,AccountCodes[NGAS CODE],0))))</f>
        <v>Other Service Income - CIS Amortization (Current Account)</v>
      </c>
      <c r="E730" s="24" t="s">
        <v>128</v>
      </c>
      <c r="F730" s="502">
        <v>55000</v>
      </c>
    </row>
    <row r="731" spans="1:6">
      <c r="A731" s="308">
        <v>43434</v>
      </c>
      <c r="B731" s="24" t="s">
        <v>484</v>
      </c>
      <c r="C731" s="24" t="s">
        <v>488</v>
      </c>
      <c r="D731" s="136" t="str">
        <f t="array" ref="D731">IF(E731=0,0,(INDEX(AccountCodes[ACCOUNT NAME],MATCH(E731,AccountCodes[NGAS CODE],0))))</f>
        <v>Other Service Income - CIS Amortization (Current Account)</v>
      </c>
      <c r="E731" s="24" t="s">
        <v>128</v>
      </c>
      <c r="F731" s="502">
        <v>50000</v>
      </c>
    </row>
    <row r="732" spans="1:6">
      <c r="A732" s="308">
        <v>43190</v>
      </c>
      <c r="B732" s="24" t="s">
        <v>484</v>
      </c>
      <c r="C732" s="24" t="s">
        <v>488</v>
      </c>
      <c r="D732" s="136" t="str">
        <f t="array" ref="D732">IF(E732=0,0,(INDEX(AccountCodes[ACCOUNT NAME],MATCH(E732,AccountCodes[NGAS CODE],0))))</f>
        <v>Miscellaneous Income (Others)</v>
      </c>
      <c r="E732" s="24" t="s">
        <v>160</v>
      </c>
      <c r="F732" s="502">
        <v>10000</v>
      </c>
    </row>
    <row r="733" spans="1:6">
      <c r="A733" s="308">
        <v>43220</v>
      </c>
      <c r="B733" s="24" t="s">
        <v>484</v>
      </c>
      <c r="C733" s="24" t="s">
        <v>488</v>
      </c>
      <c r="D733" s="136" t="str">
        <f t="array" ref="D733">IF(E733=0,0,(INDEX(AccountCodes[ACCOUNT NAME],MATCH(E733,AccountCodes[NGAS CODE],0))))</f>
        <v>Miscellaneous Income (Others)</v>
      </c>
      <c r="E733" s="24" t="s">
        <v>160</v>
      </c>
      <c r="F733" s="502">
        <v>50000</v>
      </c>
    </row>
    <row r="734" spans="1:6">
      <c r="A734" s="308">
        <v>43251</v>
      </c>
      <c r="B734" s="24" t="s">
        <v>484</v>
      </c>
      <c r="C734" s="24" t="s">
        <v>488</v>
      </c>
      <c r="D734" s="136" t="str">
        <f t="array" ref="D734">IF(E734=0,0,(INDEX(AccountCodes[ACCOUNT NAME],MATCH(E734,AccountCodes[NGAS CODE],0))))</f>
        <v>Miscellaneous Income (Others)</v>
      </c>
      <c r="E734" s="24" t="s">
        <v>160</v>
      </c>
      <c r="F734" s="502">
        <v>5000</v>
      </c>
    </row>
    <row r="735" spans="1:6">
      <c r="A735" s="308">
        <v>43281</v>
      </c>
      <c r="B735" s="24" t="s">
        <v>484</v>
      </c>
      <c r="C735" s="24" t="s">
        <v>488</v>
      </c>
      <c r="D735" s="136" t="str">
        <f t="array" ref="D735">IF(E735=0,0,(INDEX(AccountCodes[ACCOUNT NAME],MATCH(E735,AccountCodes[NGAS CODE],0))))</f>
        <v>Miscellaneous Income (Others)</v>
      </c>
      <c r="E735" s="24" t="s">
        <v>160</v>
      </c>
      <c r="F735" s="502">
        <v>5000</v>
      </c>
    </row>
    <row r="736" spans="1:6">
      <c r="A736" s="308">
        <v>43312</v>
      </c>
      <c r="B736" s="24" t="s">
        <v>484</v>
      </c>
      <c r="C736" s="24" t="s">
        <v>488</v>
      </c>
      <c r="D736" s="136" t="str">
        <f t="array" ref="D736">IF(E736=0,0,(INDEX(AccountCodes[ACCOUNT NAME],MATCH(E736,AccountCodes[NGAS CODE],0))))</f>
        <v>Miscellaneous Income (Others)</v>
      </c>
      <c r="E736" s="24" t="s">
        <v>160</v>
      </c>
      <c r="F736" s="502">
        <v>5000</v>
      </c>
    </row>
    <row r="737" spans="1:6">
      <c r="A737" s="308">
        <v>43343</v>
      </c>
      <c r="B737" s="24" t="s">
        <v>484</v>
      </c>
      <c r="C737" s="24" t="s">
        <v>488</v>
      </c>
      <c r="D737" s="136" t="str">
        <f t="array" ref="D737">IF(E737=0,0,(INDEX(AccountCodes[ACCOUNT NAME],MATCH(E737,AccountCodes[NGAS CODE],0))))</f>
        <v>Miscellaneous Income (Others)</v>
      </c>
      <c r="E737" s="24" t="s">
        <v>160</v>
      </c>
      <c r="F737" s="502">
        <v>5000</v>
      </c>
    </row>
    <row r="738" spans="1:6">
      <c r="A738" s="308">
        <v>43373</v>
      </c>
      <c r="B738" s="24" t="s">
        <v>484</v>
      </c>
      <c r="C738" s="24" t="s">
        <v>488</v>
      </c>
      <c r="D738" s="136" t="str">
        <f t="array" ref="D738">IF(E738=0,0,(INDEX(AccountCodes[ACCOUNT NAME],MATCH(E738,AccountCodes[NGAS CODE],0))))</f>
        <v>Miscellaneous Income (Others)</v>
      </c>
      <c r="E738" s="24" t="s">
        <v>160</v>
      </c>
      <c r="F738" s="502">
        <v>5000</v>
      </c>
    </row>
    <row r="739" spans="1:6">
      <c r="A739" s="308">
        <v>43404</v>
      </c>
      <c r="B739" s="24" t="s">
        <v>484</v>
      </c>
      <c r="C739" s="24" t="s">
        <v>488</v>
      </c>
      <c r="D739" s="136" t="str">
        <f t="array" ref="D739">IF(E739=0,0,(INDEX(AccountCodes[ACCOUNT NAME],MATCH(E739,AccountCodes[NGAS CODE],0))))</f>
        <v>Miscellaneous Income (Others)</v>
      </c>
      <c r="E739" s="24" t="s">
        <v>160</v>
      </c>
      <c r="F739" s="502">
        <v>5000</v>
      </c>
    </row>
    <row r="740" spans="1:6">
      <c r="A740" s="308">
        <v>43434</v>
      </c>
      <c r="B740" s="24" t="s">
        <v>484</v>
      </c>
      <c r="C740" s="24" t="s">
        <v>488</v>
      </c>
      <c r="D740" s="136" t="str">
        <f t="array" ref="D740">IF(E740=0,0,(INDEX(AccountCodes[ACCOUNT NAME],MATCH(E740,AccountCodes[NGAS CODE],0))))</f>
        <v>Miscellaneous Income (Others)</v>
      </c>
      <c r="E740" s="24" t="s">
        <v>160</v>
      </c>
      <c r="F740" s="502">
        <v>10000</v>
      </c>
    </row>
    <row r="741" spans="1:6">
      <c r="A741" s="308">
        <v>43131</v>
      </c>
      <c r="B741" s="24" t="s">
        <v>484</v>
      </c>
      <c r="C741" s="24" t="s">
        <v>488</v>
      </c>
      <c r="D741" s="136" t="str">
        <f t="array" ref="D741">IF(E741=0,0,(INDEX(AccountCodes[ACCOUNT NAME],MATCH(E741,AccountCodes[NGAS CODE],0))))</f>
        <v>Salaries and Wages-Regular</v>
      </c>
      <c r="E741" s="24" t="s">
        <v>162</v>
      </c>
      <c r="F741" s="502">
        <v>121438</v>
      </c>
    </row>
    <row r="742" spans="1:6">
      <c r="A742" s="308">
        <v>43159</v>
      </c>
      <c r="B742" s="24" t="s">
        <v>484</v>
      </c>
      <c r="C742" s="24" t="s">
        <v>488</v>
      </c>
      <c r="D742" s="136" t="str">
        <f t="array" ref="D742">IF(E742=0,0,(INDEX(AccountCodes[ACCOUNT NAME],MATCH(E742,AccountCodes[NGAS CODE],0))))</f>
        <v>Salaries and Wages-Regular</v>
      </c>
      <c r="E742" s="24" t="s">
        <v>162</v>
      </c>
      <c r="F742" s="502">
        <v>121438</v>
      </c>
    </row>
    <row r="743" spans="1:6">
      <c r="A743" s="308">
        <v>43190</v>
      </c>
      <c r="B743" s="24" t="s">
        <v>484</v>
      </c>
      <c r="C743" s="24" t="s">
        <v>488</v>
      </c>
      <c r="D743" s="136" t="str">
        <f t="array" ref="D743">IF(E743=0,0,(INDEX(AccountCodes[ACCOUNT NAME],MATCH(E743,AccountCodes[NGAS CODE],0))))</f>
        <v>Salaries and Wages-Regular</v>
      </c>
      <c r="E743" s="24" t="s">
        <v>162</v>
      </c>
      <c r="F743" s="502">
        <v>121438</v>
      </c>
    </row>
    <row r="744" spans="1:6">
      <c r="A744" s="308">
        <v>43220</v>
      </c>
      <c r="B744" s="24" t="s">
        <v>484</v>
      </c>
      <c r="C744" s="24" t="s">
        <v>488</v>
      </c>
      <c r="D744" s="136" t="str">
        <f t="array" ref="D744">IF(E744=0,0,(INDEX(AccountCodes[ACCOUNT NAME],MATCH(E744,AccountCodes[NGAS CODE],0))))</f>
        <v>Salaries and Wages-Regular</v>
      </c>
      <c r="E744" s="24" t="s">
        <v>162</v>
      </c>
      <c r="F744" s="502">
        <v>121438</v>
      </c>
    </row>
    <row r="745" spans="1:6">
      <c r="A745" s="308">
        <v>43251</v>
      </c>
      <c r="B745" s="24" t="s">
        <v>484</v>
      </c>
      <c r="C745" s="24" t="s">
        <v>488</v>
      </c>
      <c r="D745" s="136" t="str">
        <f t="array" ref="D745">IF(E745=0,0,(INDEX(AccountCodes[ACCOUNT NAME],MATCH(E745,AccountCodes[NGAS CODE],0))))</f>
        <v>Salaries and Wages-Regular</v>
      </c>
      <c r="E745" s="24" t="s">
        <v>162</v>
      </c>
      <c r="F745" s="502">
        <v>121438</v>
      </c>
    </row>
    <row r="746" spans="1:6">
      <c r="A746" s="308">
        <v>43281</v>
      </c>
      <c r="B746" s="24" t="s">
        <v>484</v>
      </c>
      <c r="C746" s="24" t="s">
        <v>488</v>
      </c>
      <c r="D746" s="136" t="str">
        <f t="array" ref="D746">IF(E746=0,0,(INDEX(AccountCodes[ACCOUNT NAME],MATCH(E746,AccountCodes[NGAS CODE],0))))</f>
        <v>Salaries and Wages-Regular</v>
      </c>
      <c r="E746" s="24" t="s">
        <v>162</v>
      </c>
      <c r="F746" s="502">
        <v>121438</v>
      </c>
    </row>
    <row r="747" spans="1:6">
      <c r="A747" s="308">
        <v>43312</v>
      </c>
      <c r="B747" s="24" t="s">
        <v>484</v>
      </c>
      <c r="C747" s="24" t="s">
        <v>488</v>
      </c>
      <c r="D747" s="136" t="str">
        <f t="array" ref="D747">IF(E747=0,0,(INDEX(AccountCodes[ACCOUNT NAME],MATCH(E747,AccountCodes[NGAS CODE],0))))</f>
        <v>Salaries and Wages-Regular</v>
      </c>
      <c r="E747" s="24" t="s">
        <v>162</v>
      </c>
      <c r="F747" s="502">
        <v>121438</v>
      </c>
    </row>
    <row r="748" spans="1:6">
      <c r="A748" s="308">
        <v>43343</v>
      </c>
      <c r="B748" s="24" t="s">
        <v>484</v>
      </c>
      <c r="C748" s="24" t="s">
        <v>488</v>
      </c>
      <c r="D748" s="136" t="str">
        <f t="array" ref="D748">IF(E748=0,0,(INDEX(AccountCodes[ACCOUNT NAME],MATCH(E748,AccountCodes[NGAS CODE],0))))</f>
        <v>Salaries and Wages-Regular</v>
      </c>
      <c r="E748" s="24" t="s">
        <v>162</v>
      </c>
      <c r="F748" s="502">
        <v>121438</v>
      </c>
    </row>
    <row r="749" spans="1:6">
      <c r="A749" s="308">
        <v>43373</v>
      </c>
      <c r="B749" s="24" t="s">
        <v>484</v>
      </c>
      <c r="C749" s="24" t="s">
        <v>488</v>
      </c>
      <c r="D749" s="136" t="str">
        <f t="array" ref="D749">IF(E749=0,0,(INDEX(AccountCodes[ACCOUNT NAME],MATCH(E749,AccountCodes[NGAS CODE],0))))</f>
        <v>Salaries and Wages-Regular</v>
      </c>
      <c r="E749" s="24" t="s">
        <v>162</v>
      </c>
      <c r="F749" s="502">
        <v>121438</v>
      </c>
    </row>
    <row r="750" spans="1:6">
      <c r="A750" s="308">
        <v>43404</v>
      </c>
      <c r="B750" s="24" t="s">
        <v>484</v>
      </c>
      <c r="C750" s="24" t="s">
        <v>488</v>
      </c>
      <c r="D750" s="136" t="str">
        <f t="array" ref="D750">IF(E750=0,0,(INDEX(AccountCodes[ACCOUNT NAME],MATCH(E750,AccountCodes[NGAS CODE],0))))</f>
        <v>Salaries and Wages-Regular</v>
      </c>
      <c r="E750" s="24" t="s">
        <v>162</v>
      </c>
      <c r="F750" s="502">
        <v>121438</v>
      </c>
    </row>
    <row r="751" spans="1:6">
      <c r="A751" s="308">
        <v>43434</v>
      </c>
      <c r="B751" s="24" t="s">
        <v>484</v>
      </c>
      <c r="C751" s="24" t="s">
        <v>488</v>
      </c>
      <c r="D751" s="136" t="str">
        <f t="array" ref="D751">IF(E751=0,0,(INDEX(AccountCodes[ACCOUNT NAME],MATCH(E751,AccountCodes[NGAS CODE],0))))</f>
        <v>Salaries and Wages-Regular</v>
      </c>
      <c r="E751" s="24" t="s">
        <v>162</v>
      </c>
      <c r="F751" s="502">
        <v>121438</v>
      </c>
    </row>
    <row r="752" spans="1:6">
      <c r="A752" s="308">
        <v>43465</v>
      </c>
      <c r="B752" s="24" t="s">
        <v>484</v>
      </c>
      <c r="C752" s="24" t="s">
        <v>488</v>
      </c>
      <c r="D752" s="136" t="str">
        <f t="array" ref="D752">IF(E752=0,0,(INDEX(AccountCodes[ACCOUNT NAME],MATCH(E752,AccountCodes[NGAS CODE],0))))</f>
        <v>Salaries and Wages-Regular</v>
      </c>
      <c r="E752" s="24" t="s">
        <v>162</v>
      </c>
      <c r="F752" s="502">
        <v>121438</v>
      </c>
    </row>
    <row r="753" spans="1:6">
      <c r="A753" s="308">
        <v>43131</v>
      </c>
      <c r="B753" s="24" t="s">
        <v>484</v>
      </c>
      <c r="C753" s="24" t="s">
        <v>488</v>
      </c>
      <c r="D753" s="136" t="str">
        <f t="array" ref="D753">IF(E753=0,0,(INDEX(AccountCodes[ACCOUNT NAME],MATCH(E753,AccountCodes[NGAS CODE],0))))</f>
        <v>Salaries and Wages-Casual/Contractual</v>
      </c>
      <c r="E753" s="24" t="s">
        <v>163</v>
      </c>
      <c r="F753" s="502">
        <v>14340</v>
      </c>
    </row>
    <row r="754" spans="1:6">
      <c r="A754" s="308">
        <v>43159</v>
      </c>
      <c r="B754" s="24" t="s">
        <v>484</v>
      </c>
      <c r="C754" s="24" t="s">
        <v>488</v>
      </c>
      <c r="D754" s="136" t="str">
        <f t="array" ref="D754">IF(E754=0,0,(INDEX(AccountCodes[ACCOUNT NAME],MATCH(E754,AccountCodes[NGAS CODE],0))))</f>
        <v>Salaries and Wages-Casual/Contractual</v>
      </c>
      <c r="E754" s="24" t="s">
        <v>163</v>
      </c>
      <c r="F754" s="502">
        <v>14340</v>
      </c>
    </row>
    <row r="755" spans="1:6">
      <c r="A755" s="308">
        <v>43190</v>
      </c>
      <c r="B755" s="24" t="s">
        <v>484</v>
      </c>
      <c r="C755" s="24" t="s">
        <v>488</v>
      </c>
      <c r="D755" s="136" t="str">
        <f t="array" ref="D755">IF(E755=0,0,(INDEX(AccountCodes[ACCOUNT NAME],MATCH(E755,AccountCodes[NGAS CODE],0))))</f>
        <v>Salaries and Wages-Casual/Contractual</v>
      </c>
      <c r="E755" s="24" t="s">
        <v>163</v>
      </c>
      <c r="F755" s="502">
        <v>14340</v>
      </c>
    </row>
    <row r="756" spans="1:6">
      <c r="A756" s="308">
        <v>43220</v>
      </c>
      <c r="B756" s="24" t="s">
        <v>484</v>
      </c>
      <c r="C756" s="24" t="s">
        <v>488</v>
      </c>
      <c r="D756" s="136" t="str">
        <f t="array" ref="D756">IF(E756=0,0,(INDEX(AccountCodes[ACCOUNT NAME],MATCH(E756,AccountCodes[NGAS CODE],0))))</f>
        <v>Salaries and Wages-Casual/Contractual</v>
      </c>
      <c r="E756" s="24" t="s">
        <v>163</v>
      </c>
      <c r="F756" s="502">
        <v>14340</v>
      </c>
    </row>
    <row r="757" spans="1:6">
      <c r="A757" s="308">
        <v>43251</v>
      </c>
      <c r="B757" s="24" t="s">
        <v>484</v>
      </c>
      <c r="C757" s="24" t="s">
        <v>488</v>
      </c>
      <c r="D757" s="136" t="str">
        <f t="array" ref="D757">IF(E757=0,0,(INDEX(AccountCodes[ACCOUNT NAME],MATCH(E757,AccountCodes[NGAS CODE],0))))</f>
        <v>Salaries and Wages-Casual/Contractual</v>
      </c>
      <c r="E757" s="24" t="s">
        <v>163</v>
      </c>
      <c r="F757" s="502">
        <v>14340</v>
      </c>
    </row>
    <row r="758" spans="1:6">
      <c r="A758" s="308">
        <v>43281</v>
      </c>
      <c r="B758" s="24" t="s">
        <v>484</v>
      </c>
      <c r="C758" s="24" t="s">
        <v>488</v>
      </c>
      <c r="D758" s="136" t="str">
        <f t="array" ref="D758">IF(E758=0,0,(INDEX(AccountCodes[ACCOUNT NAME],MATCH(E758,AccountCodes[NGAS CODE],0))))</f>
        <v>Salaries and Wages-Casual/Contractual</v>
      </c>
      <c r="E758" s="24" t="s">
        <v>163</v>
      </c>
      <c r="F758" s="502">
        <v>14340</v>
      </c>
    </row>
    <row r="759" spans="1:6">
      <c r="A759" s="308">
        <v>43312</v>
      </c>
      <c r="B759" s="24" t="s">
        <v>484</v>
      </c>
      <c r="C759" s="24" t="s">
        <v>488</v>
      </c>
      <c r="D759" s="136" t="str">
        <f t="array" ref="D759">IF(E759=0,0,(INDEX(AccountCodes[ACCOUNT NAME],MATCH(E759,AccountCodes[NGAS CODE],0))))</f>
        <v>Salaries and Wages-Casual/Contractual</v>
      </c>
      <c r="E759" s="24" t="s">
        <v>163</v>
      </c>
      <c r="F759" s="502">
        <v>14340</v>
      </c>
    </row>
    <row r="760" spans="1:6">
      <c r="A760" s="308">
        <v>43343</v>
      </c>
      <c r="B760" s="24" t="s">
        <v>484</v>
      </c>
      <c r="C760" s="24" t="s">
        <v>488</v>
      </c>
      <c r="D760" s="136" t="str">
        <f t="array" ref="D760">IF(E760=0,0,(INDEX(AccountCodes[ACCOUNT NAME],MATCH(E760,AccountCodes[NGAS CODE],0))))</f>
        <v>Salaries and Wages-Casual/Contractual</v>
      </c>
      <c r="E760" s="24" t="s">
        <v>163</v>
      </c>
      <c r="F760" s="502">
        <v>14340</v>
      </c>
    </row>
    <row r="761" spans="1:6">
      <c r="A761" s="308">
        <v>43373</v>
      </c>
      <c r="B761" s="24" t="s">
        <v>484</v>
      </c>
      <c r="C761" s="24" t="s">
        <v>488</v>
      </c>
      <c r="D761" s="136" t="str">
        <f t="array" ref="D761">IF(E761=0,0,(INDEX(AccountCodes[ACCOUNT NAME],MATCH(E761,AccountCodes[NGAS CODE],0))))</f>
        <v>Salaries and Wages-Casual/Contractual</v>
      </c>
      <c r="E761" s="24" t="s">
        <v>163</v>
      </c>
      <c r="F761" s="502">
        <v>14340</v>
      </c>
    </row>
    <row r="762" spans="1:6">
      <c r="A762" s="308">
        <v>43404</v>
      </c>
      <c r="B762" s="24" t="s">
        <v>484</v>
      </c>
      <c r="C762" s="24" t="s">
        <v>488</v>
      </c>
      <c r="D762" s="136" t="str">
        <f t="array" ref="D762">IF(E762=0,0,(INDEX(AccountCodes[ACCOUNT NAME],MATCH(E762,AccountCodes[NGAS CODE],0))))</f>
        <v>Salaries and Wages-Casual/Contractual</v>
      </c>
      <c r="E762" s="24" t="s">
        <v>163</v>
      </c>
      <c r="F762" s="502">
        <v>14340</v>
      </c>
    </row>
    <row r="763" spans="1:6">
      <c r="A763" s="308">
        <v>43434</v>
      </c>
      <c r="B763" s="24" t="s">
        <v>484</v>
      </c>
      <c r="C763" s="24" t="s">
        <v>488</v>
      </c>
      <c r="D763" s="136" t="str">
        <f t="array" ref="D763">IF(E763=0,0,(INDEX(AccountCodes[ACCOUNT NAME],MATCH(E763,AccountCodes[NGAS CODE],0))))</f>
        <v>Salaries and Wages-Casual/Contractual</v>
      </c>
      <c r="E763" s="24" t="s">
        <v>163</v>
      </c>
      <c r="F763" s="502">
        <v>14340</v>
      </c>
    </row>
    <row r="764" spans="1:6">
      <c r="A764" s="308">
        <v>43465</v>
      </c>
      <c r="B764" s="24" t="s">
        <v>484</v>
      </c>
      <c r="C764" s="24" t="s">
        <v>488</v>
      </c>
      <c r="D764" s="136" t="str">
        <f t="array" ref="D764">IF(E764=0,0,(INDEX(AccountCodes[ACCOUNT NAME],MATCH(E764,AccountCodes[NGAS CODE],0))))</f>
        <v>Salaries and Wages-Casual/Contractual</v>
      </c>
      <c r="E764" s="24" t="s">
        <v>163</v>
      </c>
      <c r="F764" s="502">
        <v>14340</v>
      </c>
    </row>
    <row r="765" spans="1:6">
      <c r="A765" s="308">
        <v>43131</v>
      </c>
      <c r="B765" s="24" t="s">
        <v>484</v>
      </c>
      <c r="C765" s="24" t="s">
        <v>488</v>
      </c>
      <c r="D765" s="136" t="str">
        <f t="array" ref="D765">IF(E765=0,0,(INDEX(AccountCodes[ACCOUNT NAME],MATCH(E765,AccountCodes[NGAS CODE],0))))</f>
        <v>Personal Economic Relief Allowance (PERA)</v>
      </c>
      <c r="E765" s="24" t="s">
        <v>164</v>
      </c>
      <c r="F765" s="502">
        <v>14000</v>
      </c>
    </row>
    <row r="766" spans="1:6">
      <c r="A766" s="308">
        <v>43159</v>
      </c>
      <c r="B766" s="24" t="s">
        <v>484</v>
      </c>
      <c r="C766" s="24" t="s">
        <v>488</v>
      </c>
      <c r="D766" s="136" t="str">
        <f t="array" ref="D766">IF(E766=0,0,(INDEX(AccountCodes[ACCOUNT NAME],MATCH(E766,AccountCodes[NGAS CODE],0))))</f>
        <v>Personal Economic Relief Allowance (PERA)</v>
      </c>
      <c r="E766" s="24" t="s">
        <v>164</v>
      </c>
      <c r="F766" s="502">
        <v>14000</v>
      </c>
    </row>
    <row r="767" spans="1:6">
      <c r="A767" s="308">
        <v>43190</v>
      </c>
      <c r="B767" s="24" t="s">
        <v>484</v>
      </c>
      <c r="C767" s="24" t="s">
        <v>488</v>
      </c>
      <c r="D767" s="136" t="str">
        <f t="array" ref="D767">IF(E767=0,0,(INDEX(AccountCodes[ACCOUNT NAME],MATCH(E767,AccountCodes[NGAS CODE],0))))</f>
        <v>Personal Economic Relief Allowance (PERA)</v>
      </c>
      <c r="E767" s="24" t="s">
        <v>164</v>
      </c>
      <c r="F767" s="502">
        <v>14000</v>
      </c>
    </row>
    <row r="768" spans="1:6">
      <c r="A768" s="308">
        <v>43220</v>
      </c>
      <c r="B768" s="24" t="s">
        <v>484</v>
      </c>
      <c r="C768" s="24" t="s">
        <v>488</v>
      </c>
      <c r="D768" s="136" t="str">
        <f t="array" ref="D768">IF(E768=0,0,(INDEX(AccountCodes[ACCOUNT NAME],MATCH(E768,AccountCodes[NGAS CODE],0))))</f>
        <v>Personal Economic Relief Allowance (PERA)</v>
      </c>
      <c r="E768" s="24" t="s">
        <v>164</v>
      </c>
      <c r="F768" s="502">
        <v>14000</v>
      </c>
    </row>
    <row r="769" spans="1:6">
      <c r="A769" s="308">
        <v>43251</v>
      </c>
      <c r="B769" s="24" t="s">
        <v>484</v>
      </c>
      <c r="C769" s="24" t="s">
        <v>488</v>
      </c>
      <c r="D769" s="136" t="str">
        <f t="array" ref="D769">IF(E769=0,0,(INDEX(AccountCodes[ACCOUNT NAME],MATCH(E769,AccountCodes[NGAS CODE],0))))</f>
        <v>Personal Economic Relief Allowance (PERA)</v>
      </c>
      <c r="E769" s="24" t="s">
        <v>164</v>
      </c>
      <c r="F769" s="502">
        <v>14000</v>
      </c>
    </row>
    <row r="770" spans="1:6">
      <c r="A770" s="308">
        <v>43281</v>
      </c>
      <c r="B770" s="24" t="s">
        <v>484</v>
      </c>
      <c r="C770" s="24" t="s">
        <v>488</v>
      </c>
      <c r="D770" s="136" t="str">
        <f t="array" ref="D770">IF(E770=0,0,(INDEX(AccountCodes[ACCOUNT NAME],MATCH(E770,AccountCodes[NGAS CODE],0))))</f>
        <v>Personal Economic Relief Allowance (PERA)</v>
      </c>
      <c r="E770" s="24" t="s">
        <v>164</v>
      </c>
      <c r="F770" s="502">
        <v>14000</v>
      </c>
    </row>
    <row r="771" spans="1:6">
      <c r="A771" s="308">
        <v>43312</v>
      </c>
      <c r="B771" s="24" t="s">
        <v>484</v>
      </c>
      <c r="C771" s="24" t="s">
        <v>488</v>
      </c>
      <c r="D771" s="136" t="str">
        <f t="array" ref="D771">IF(E771=0,0,(INDEX(AccountCodes[ACCOUNT NAME],MATCH(E771,AccountCodes[NGAS CODE],0))))</f>
        <v>Personal Economic Relief Allowance (PERA)</v>
      </c>
      <c r="E771" s="24" t="s">
        <v>164</v>
      </c>
      <c r="F771" s="502">
        <v>14000</v>
      </c>
    </row>
    <row r="772" spans="1:6">
      <c r="A772" s="308">
        <v>43343</v>
      </c>
      <c r="B772" s="24" t="s">
        <v>484</v>
      </c>
      <c r="C772" s="24" t="s">
        <v>488</v>
      </c>
      <c r="D772" s="136" t="str">
        <f t="array" ref="D772">IF(E772=0,0,(INDEX(AccountCodes[ACCOUNT NAME],MATCH(E772,AccountCodes[NGAS CODE],0))))</f>
        <v>Personal Economic Relief Allowance (PERA)</v>
      </c>
      <c r="E772" s="24" t="s">
        <v>164</v>
      </c>
      <c r="F772" s="502">
        <v>14000</v>
      </c>
    </row>
    <row r="773" spans="1:6">
      <c r="A773" s="308">
        <v>43373</v>
      </c>
      <c r="B773" s="24" t="s">
        <v>484</v>
      </c>
      <c r="C773" s="24" t="s">
        <v>488</v>
      </c>
      <c r="D773" s="136" t="str">
        <f t="array" ref="D773">IF(E773=0,0,(INDEX(AccountCodes[ACCOUNT NAME],MATCH(E773,AccountCodes[NGAS CODE],0))))</f>
        <v>Personal Economic Relief Allowance (PERA)</v>
      </c>
      <c r="E773" s="24" t="s">
        <v>164</v>
      </c>
      <c r="F773" s="502">
        <v>14000</v>
      </c>
    </row>
    <row r="774" spans="1:6">
      <c r="A774" s="308">
        <v>43404</v>
      </c>
      <c r="B774" s="24" t="s">
        <v>484</v>
      </c>
      <c r="C774" s="24" t="s">
        <v>488</v>
      </c>
      <c r="D774" s="136" t="str">
        <f t="array" ref="D774">IF(E774=0,0,(INDEX(AccountCodes[ACCOUNT NAME],MATCH(E774,AccountCodes[NGAS CODE],0))))</f>
        <v>Personal Economic Relief Allowance (PERA)</v>
      </c>
      <c r="E774" s="24" t="s">
        <v>164</v>
      </c>
      <c r="F774" s="502">
        <v>14000</v>
      </c>
    </row>
    <row r="775" spans="1:6">
      <c r="A775" s="308">
        <v>43434</v>
      </c>
      <c r="B775" s="24" t="s">
        <v>484</v>
      </c>
      <c r="C775" s="24" t="s">
        <v>488</v>
      </c>
      <c r="D775" s="136" t="str">
        <f t="array" ref="D775">IF(E775=0,0,(INDEX(AccountCodes[ACCOUNT NAME],MATCH(E775,AccountCodes[NGAS CODE],0))))</f>
        <v>Personal Economic Relief Allowance (PERA)</v>
      </c>
      <c r="E775" s="24" t="s">
        <v>164</v>
      </c>
      <c r="F775" s="502">
        <v>14000</v>
      </c>
    </row>
    <row r="776" spans="1:6">
      <c r="A776" s="308">
        <v>43465</v>
      </c>
      <c r="B776" s="24" t="s">
        <v>484</v>
      </c>
      <c r="C776" s="24" t="s">
        <v>488</v>
      </c>
      <c r="D776" s="136" t="str">
        <f t="array" ref="D776">IF(E776=0,0,(INDEX(AccountCodes[ACCOUNT NAME],MATCH(E776,AccountCodes[NGAS CODE],0))))</f>
        <v>Personal Economic Relief Allowance (PERA)</v>
      </c>
      <c r="E776" s="24" t="s">
        <v>164</v>
      </c>
      <c r="F776" s="502">
        <v>14000</v>
      </c>
    </row>
    <row r="777" spans="1:6">
      <c r="A777" s="308">
        <v>43190</v>
      </c>
      <c r="B777" s="24" t="s">
        <v>484</v>
      </c>
      <c r="C777" s="24" t="s">
        <v>488</v>
      </c>
      <c r="D777" s="136" t="str">
        <f t="array" ref="D777">IF(E777=0,0,(INDEX(AccountCodes[ACCOUNT NAME],MATCH(E777,AccountCodes[NGAS CODE],0))))</f>
        <v>Clothing/Uniform Allowance</v>
      </c>
      <c r="E777" s="24" t="s">
        <v>167</v>
      </c>
      <c r="F777" s="502">
        <v>35000</v>
      </c>
    </row>
    <row r="778" spans="1:6">
      <c r="A778" s="308">
        <v>43131</v>
      </c>
      <c r="B778" s="24" t="s">
        <v>484</v>
      </c>
      <c r="C778" s="24" t="s">
        <v>488</v>
      </c>
      <c r="D778" s="136" t="str">
        <f t="array" ref="D778">IF(E778=0,0,(INDEX(AccountCodes[ACCOUNT NAME],MATCH(E778,AccountCodes[NGAS CODE],0))))</f>
        <v>Other Bonuses and Allowances - Children Allowance</v>
      </c>
      <c r="E778" s="24" t="s">
        <v>7</v>
      </c>
      <c r="F778" s="502">
        <v>150</v>
      </c>
    </row>
    <row r="779" spans="1:6">
      <c r="A779" s="308">
        <v>43159</v>
      </c>
      <c r="B779" s="24" t="s">
        <v>484</v>
      </c>
      <c r="C779" s="24" t="s">
        <v>488</v>
      </c>
      <c r="D779" s="136" t="str">
        <f t="array" ref="D779">IF(E779=0,0,(INDEX(AccountCodes[ACCOUNT NAME],MATCH(E779,AccountCodes[NGAS CODE],0))))</f>
        <v>Other Bonuses and Allowances - Children Allowance</v>
      </c>
      <c r="E779" s="24" t="s">
        <v>7</v>
      </c>
      <c r="F779" s="502">
        <v>150</v>
      </c>
    </row>
    <row r="780" spans="1:6">
      <c r="A780" s="308">
        <v>43190</v>
      </c>
      <c r="B780" s="24" t="s">
        <v>484</v>
      </c>
      <c r="C780" s="24" t="s">
        <v>488</v>
      </c>
      <c r="D780" s="136" t="str">
        <f t="array" ref="D780">IF(E780=0,0,(INDEX(AccountCodes[ACCOUNT NAME],MATCH(E780,AccountCodes[NGAS CODE],0))))</f>
        <v>Other Bonuses and Allowances - Children Allowance</v>
      </c>
      <c r="E780" s="24" t="s">
        <v>7</v>
      </c>
      <c r="F780" s="502">
        <v>150</v>
      </c>
    </row>
    <row r="781" spans="1:6">
      <c r="A781" s="308">
        <v>43220</v>
      </c>
      <c r="B781" s="24" t="s">
        <v>484</v>
      </c>
      <c r="C781" s="24" t="s">
        <v>488</v>
      </c>
      <c r="D781" s="136" t="str">
        <f t="array" ref="D781">IF(E781=0,0,(INDEX(AccountCodes[ACCOUNT NAME],MATCH(E781,AccountCodes[NGAS CODE],0))))</f>
        <v>Other Bonuses and Allowances - Children Allowance</v>
      </c>
      <c r="E781" s="24" t="s">
        <v>7</v>
      </c>
      <c r="F781" s="502">
        <v>150</v>
      </c>
    </row>
    <row r="782" spans="1:6">
      <c r="A782" s="308">
        <v>43251</v>
      </c>
      <c r="B782" s="24" t="s">
        <v>484</v>
      </c>
      <c r="C782" s="24" t="s">
        <v>488</v>
      </c>
      <c r="D782" s="136" t="str">
        <f t="array" ref="D782">IF(E782=0,0,(INDEX(AccountCodes[ACCOUNT NAME],MATCH(E782,AccountCodes[NGAS CODE],0))))</f>
        <v>Other Bonuses and Allowances - Children Allowance</v>
      </c>
      <c r="E782" s="24" t="s">
        <v>7</v>
      </c>
      <c r="F782" s="502">
        <v>150</v>
      </c>
    </row>
    <row r="783" spans="1:6">
      <c r="A783" s="308">
        <v>43281</v>
      </c>
      <c r="B783" s="24" t="s">
        <v>484</v>
      </c>
      <c r="C783" s="24" t="s">
        <v>488</v>
      </c>
      <c r="D783" s="136" t="str">
        <f t="array" ref="D783">IF(E783=0,0,(INDEX(AccountCodes[ACCOUNT NAME],MATCH(E783,AccountCodes[NGAS CODE],0))))</f>
        <v>Other Bonuses and Allowances - Children Allowance</v>
      </c>
      <c r="E783" s="24" t="s">
        <v>7</v>
      </c>
      <c r="F783" s="502">
        <v>150</v>
      </c>
    </row>
    <row r="784" spans="1:6">
      <c r="A784" s="308">
        <v>43312</v>
      </c>
      <c r="B784" s="24" t="s">
        <v>484</v>
      </c>
      <c r="C784" s="24" t="s">
        <v>488</v>
      </c>
      <c r="D784" s="136" t="str">
        <f t="array" ref="D784">IF(E784=0,0,(INDEX(AccountCodes[ACCOUNT NAME],MATCH(E784,AccountCodes[NGAS CODE],0))))</f>
        <v>Other Bonuses and Allowances - Children Allowance</v>
      </c>
      <c r="E784" s="24" t="s">
        <v>7</v>
      </c>
      <c r="F784" s="502">
        <v>150</v>
      </c>
    </row>
    <row r="785" spans="1:6">
      <c r="A785" s="308">
        <v>43343</v>
      </c>
      <c r="B785" s="24" t="s">
        <v>484</v>
      </c>
      <c r="C785" s="24" t="s">
        <v>488</v>
      </c>
      <c r="D785" s="136" t="str">
        <f t="array" ref="D785">IF(E785=0,0,(INDEX(AccountCodes[ACCOUNT NAME],MATCH(E785,AccountCodes[NGAS CODE],0))))</f>
        <v>Other Bonuses and Allowances - Children Allowance</v>
      </c>
      <c r="E785" s="24" t="s">
        <v>7</v>
      </c>
      <c r="F785" s="502">
        <v>150</v>
      </c>
    </row>
    <row r="786" spans="1:6">
      <c r="A786" s="308">
        <v>43373</v>
      </c>
      <c r="B786" s="24" t="s">
        <v>484</v>
      </c>
      <c r="C786" s="24" t="s">
        <v>488</v>
      </c>
      <c r="D786" s="136" t="str">
        <f t="array" ref="D786">IF(E786=0,0,(INDEX(AccountCodes[ACCOUNT NAME],MATCH(E786,AccountCodes[NGAS CODE],0))))</f>
        <v>Other Bonuses and Allowances - Children Allowance</v>
      </c>
      <c r="E786" s="24" t="s">
        <v>7</v>
      </c>
      <c r="F786" s="502">
        <v>150</v>
      </c>
    </row>
    <row r="787" spans="1:6">
      <c r="A787" s="308">
        <v>43404</v>
      </c>
      <c r="B787" s="24" t="s">
        <v>484</v>
      </c>
      <c r="C787" s="24" t="s">
        <v>488</v>
      </c>
      <c r="D787" s="136" t="str">
        <f t="array" ref="D787">IF(E787=0,0,(INDEX(AccountCodes[ACCOUNT NAME],MATCH(E787,AccountCodes[NGAS CODE],0))))</f>
        <v>Other Bonuses and Allowances - Children Allowance</v>
      </c>
      <c r="E787" s="24" t="s">
        <v>7</v>
      </c>
      <c r="F787" s="502">
        <v>150</v>
      </c>
    </row>
    <row r="788" spans="1:6">
      <c r="A788" s="308">
        <v>43434</v>
      </c>
      <c r="B788" s="24" t="s">
        <v>484</v>
      </c>
      <c r="C788" s="24" t="s">
        <v>488</v>
      </c>
      <c r="D788" s="136" t="str">
        <f t="array" ref="D788">IF(E788=0,0,(INDEX(AccountCodes[ACCOUNT NAME],MATCH(E788,AccountCodes[NGAS CODE],0))))</f>
        <v>Other Bonuses and Allowances - Children Allowance</v>
      </c>
      <c r="E788" s="24" t="s">
        <v>7</v>
      </c>
      <c r="F788" s="502">
        <v>150</v>
      </c>
    </row>
    <row r="789" spans="1:6">
      <c r="A789" s="308">
        <v>43465</v>
      </c>
      <c r="B789" s="24" t="s">
        <v>484</v>
      </c>
      <c r="C789" s="24" t="s">
        <v>488</v>
      </c>
      <c r="D789" s="136" t="str">
        <f t="array" ref="D789">IF(E789=0,0,(INDEX(AccountCodes[ACCOUNT NAME],MATCH(E789,AccountCodes[NGAS CODE],0))))</f>
        <v>Other Bonuses and Allowances - Children Allowance</v>
      </c>
      <c r="E789" s="24" t="s">
        <v>7</v>
      </c>
      <c r="F789" s="502">
        <v>150</v>
      </c>
    </row>
    <row r="790" spans="1:6">
      <c r="A790" s="308">
        <v>43131</v>
      </c>
      <c r="B790" s="24" t="s">
        <v>484</v>
      </c>
      <c r="C790" s="24" t="s">
        <v>488</v>
      </c>
      <c r="D790" s="136" t="str">
        <f t="array" ref="D790">IF(E790=0,0,(INDEX(AccountCodes[ACCOUNT NAME],MATCH(E790,AccountCodes[NGAS CODE],0))))</f>
        <v>Other Bonuses and Allowances - Medical Allowance</v>
      </c>
      <c r="E790" s="24" t="s">
        <v>5</v>
      </c>
      <c r="F790" s="502">
        <v>800</v>
      </c>
    </row>
    <row r="791" spans="1:6">
      <c r="A791" s="308">
        <v>43159</v>
      </c>
      <c r="B791" s="24" t="s">
        <v>484</v>
      </c>
      <c r="C791" s="24" t="s">
        <v>488</v>
      </c>
      <c r="D791" s="136" t="str">
        <f t="array" ref="D791">IF(E791=0,0,(INDEX(AccountCodes[ACCOUNT NAME],MATCH(E791,AccountCodes[NGAS CODE],0))))</f>
        <v>Other Bonuses and Allowances - Medical Allowance</v>
      </c>
      <c r="E791" s="24" t="s">
        <v>5</v>
      </c>
      <c r="F791" s="502">
        <v>800</v>
      </c>
    </row>
    <row r="792" spans="1:6">
      <c r="A792" s="308">
        <v>43190</v>
      </c>
      <c r="B792" s="24" t="s">
        <v>484</v>
      </c>
      <c r="C792" s="24" t="s">
        <v>488</v>
      </c>
      <c r="D792" s="136" t="str">
        <f t="array" ref="D792">IF(E792=0,0,(INDEX(AccountCodes[ACCOUNT NAME],MATCH(E792,AccountCodes[NGAS CODE],0))))</f>
        <v>Other Bonuses and Allowances - Medical Allowance</v>
      </c>
      <c r="E792" s="24" t="s">
        <v>5</v>
      </c>
      <c r="F792" s="502">
        <v>800</v>
      </c>
    </row>
    <row r="793" spans="1:6">
      <c r="A793" s="308">
        <v>43220</v>
      </c>
      <c r="B793" s="24" t="s">
        <v>484</v>
      </c>
      <c r="C793" s="24" t="s">
        <v>488</v>
      </c>
      <c r="D793" s="136" t="str">
        <f t="array" ref="D793">IF(E793=0,0,(INDEX(AccountCodes[ACCOUNT NAME],MATCH(E793,AccountCodes[NGAS CODE],0))))</f>
        <v>Other Bonuses and Allowances - Medical Allowance</v>
      </c>
      <c r="E793" s="24" t="s">
        <v>5</v>
      </c>
      <c r="F793" s="502">
        <v>800</v>
      </c>
    </row>
    <row r="794" spans="1:6">
      <c r="A794" s="308">
        <v>43251</v>
      </c>
      <c r="B794" s="24" t="s">
        <v>484</v>
      </c>
      <c r="C794" s="24" t="s">
        <v>488</v>
      </c>
      <c r="D794" s="136" t="str">
        <f t="array" ref="D794">IF(E794=0,0,(INDEX(AccountCodes[ACCOUNT NAME],MATCH(E794,AccountCodes[NGAS CODE],0))))</f>
        <v>Other Bonuses and Allowances - Medical Allowance</v>
      </c>
      <c r="E794" s="24" t="s">
        <v>5</v>
      </c>
      <c r="F794" s="502">
        <v>800</v>
      </c>
    </row>
    <row r="795" spans="1:6">
      <c r="A795" s="308">
        <v>43281</v>
      </c>
      <c r="B795" s="24" t="s">
        <v>484</v>
      </c>
      <c r="C795" s="24" t="s">
        <v>488</v>
      </c>
      <c r="D795" s="136" t="str">
        <f t="array" ref="D795">IF(E795=0,0,(INDEX(AccountCodes[ACCOUNT NAME],MATCH(E795,AccountCodes[NGAS CODE],0))))</f>
        <v>Other Bonuses and Allowances - Medical Allowance</v>
      </c>
      <c r="E795" s="24" t="s">
        <v>5</v>
      </c>
      <c r="F795" s="502">
        <v>800</v>
      </c>
    </row>
    <row r="796" spans="1:6">
      <c r="A796" s="308">
        <v>43312</v>
      </c>
      <c r="B796" s="24" t="s">
        <v>484</v>
      </c>
      <c r="C796" s="24" t="s">
        <v>488</v>
      </c>
      <c r="D796" s="136" t="str">
        <f t="array" ref="D796">IF(E796=0,0,(INDEX(AccountCodes[ACCOUNT NAME],MATCH(E796,AccountCodes[NGAS CODE],0))))</f>
        <v>Other Bonuses and Allowances - Medical Allowance</v>
      </c>
      <c r="E796" s="24" t="s">
        <v>5</v>
      </c>
      <c r="F796" s="502">
        <v>800</v>
      </c>
    </row>
    <row r="797" spans="1:6">
      <c r="A797" s="308">
        <v>43343</v>
      </c>
      <c r="B797" s="24" t="s">
        <v>484</v>
      </c>
      <c r="C797" s="24" t="s">
        <v>488</v>
      </c>
      <c r="D797" s="136" t="str">
        <f t="array" ref="D797">IF(E797=0,0,(INDEX(AccountCodes[ACCOUNT NAME],MATCH(E797,AccountCodes[NGAS CODE],0))))</f>
        <v>Other Bonuses and Allowances - Medical Allowance</v>
      </c>
      <c r="E797" s="24" t="s">
        <v>5</v>
      </c>
      <c r="F797" s="502">
        <v>800</v>
      </c>
    </row>
    <row r="798" spans="1:6">
      <c r="A798" s="308">
        <v>43373</v>
      </c>
      <c r="B798" s="24" t="s">
        <v>484</v>
      </c>
      <c r="C798" s="24" t="s">
        <v>488</v>
      </c>
      <c r="D798" s="136" t="str">
        <f t="array" ref="D798">IF(E798=0,0,(INDEX(AccountCodes[ACCOUNT NAME],MATCH(E798,AccountCodes[NGAS CODE],0))))</f>
        <v>Other Bonuses and Allowances - Medical Allowance</v>
      </c>
      <c r="E798" s="24" t="s">
        <v>5</v>
      </c>
      <c r="F798" s="502">
        <v>800</v>
      </c>
    </row>
    <row r="799" spans="1:6">
      <c r="A799" s="308">
        <v>43404</v>
      </c>
      <c r="B799" s="24" t="s">
        <v>484</v>
      </c>
      <c r="C799" s="24" t="s">
        <v>488</v>
      </c>
      <c r="D799" s="136" t="str">
        <f t="array" ref="D799">IF(E799=0,0,(INDEX(AccountCodes[ACCOUNT NAME],MATCH(E799,AccountCodes[NGAS CODE],0))))</f>
        <v>Other Bonuses and Allowances - Medical Allowance</v>
      </c>
      <c r="E799" s="24" t="s">
        <v>5</v>
      </c>
      <c r="F799" s="502">
        <v>800</v>
      </c>
    </row>
    <row r="800" spans="1:6">
      <c r="A800" s="308">
        <v>43434</v>
      </c>
      <c r="B800" s="24" t="s">
        <v>484</v>
      </c>
      <c r="C800" s="24" t="s">
        <v>488</v>
      </c>
      <c r="D800" s="136" t="str">
        <f t="array" ref="D800">IF(E800=0,0,(INDEX(AccountCodes[ACCOUNT NAME],MATCH(E800,AccountCodes[NGAS CODE],0))))</f>
        <v>Other Bonuses and Allowances - Medical Allowance</v>
      </c>
      <c r="E800" s="24" t="s">
        <v>5</v>
      </c>
      <c r="F800" s="502">
        <v>800</v>
      </c>
    </row>
    <row r="801" spans="1:6">
      <c r="A801" s="308">
        <v>43465</v>
      </c>
      <c r="B801" s="24" t="s">
        <v>484</v>
      </c>
      <c r="C801" s="24" t="s">
        <v>488</v>
      </c>
      <c r="D801" s="136" t="str">
        <f t="array" ref="D801">IF(E801=0,0,(INDEX(AccountCodes[ACCOUNT NAME],MATCH(E801,AccountCodes[NGAS CODE],0))))</f>
        <v>Other Bonuses and Allowances - Medical Allowance</v>
      </c>
      <c r="E801" s="24" t="s">
        <v>5</v>
      </c>
      <c r="F801" s="502">
        <v>800</v>
      </c>
    </row>
    <row r="802" spans="1:6">
      <c r="A802" s="308">
        <v>43131</v>
      </c>
      <c r="B802" s="24" t="s">
        <v>484</v>
      </c>
      <c r="C802" s="24" t="s">
        <v>488</v>
      </c>
      <c r="D802" s="136" t="str">
        <f t="array" ref="D802">IF(E802=0,0,(INDEX(AccountCodes[ACCOUNT NAME],MATCH(E802,AccountCodes[NGAS CODE],0))))</f>
        <v>Other Bonuses and Allowances - Meal Allowance</v>
      </c>
      <c r="E802" s="24" t="s">
        <v>6</v>
      </c>
      <c r="F802" s="502">
        <v>261</v>
      </c>
    </row>
    <row r="803" spans="1:6">
      <c r="A803" s="308">
        <v>43159</v>
      </c>
      <c r="B803" s="24" t="s">
        <v>484</v>
      </c>
      <c r="C803" s="24" t="s">
        <v>488</v>
      </c>
      <c r="D803" s="136" t="str">
        <f t="array" ref="D803">IF(E803=0,0,(INDEX(AccountCodes[ACCOUNT NAME],MATCH(E803,AccountCodes[NGAS CODE],0))))</f>
        <v>Other Bonuses and Allowances - Meal Allowance</v>
      </c>
      <c r="E803" s="24" t="s">
        <v>6</v>
      </c>
      <c r="F803" s="502">
        <v>261</v>
      </c>
    </row>
    <row r="804" spans="1:6">
      <c r="A804" s="308">
        <v>43190</v>
      </c>
      <c r="B804" s="24" t="s">
        <v>484</v>
      </c>
      <c r="C804" s="24" t="s">
        <v>488</v>
      </c>
      <c r="D804" s="136" t="str">
        <f t="array" ref="D804">IF(E804=0,0,(INDEX(AccountCodes[ACCOUNT NAME],MATCH(E804,AccountCodes[NGAS CODE],0))))</f>
        <v>Other Bonuses and Allowances - Meal Allowance</v>
      </c>
      <c r="E804" s="24" t="s">
        <v>6</v>
      </c>
      <c r="F804" s="502">
        <v>261</v>
      </c>
    </row>
    <row r="805" spans="1:6">
      <c r="A805" s="308">
        <v>43220</v>
      </c>
      <c r="B805" s="24" t="s">
        <v>484</v>
      </c>
      <c r="C805" s="24" t="s">
        <v>488</v>
      </c>
      <c r="D805" s="136" t="str">
        <f t="array" ref="D805">IF(E805=0,0,(INDEX(AccountCodes[ACCOUNT NAME],MATCH(E805,AccountCodes[NGAS CODE],0))))</f>
        <v>Other Bonuses and Allowances - Meal Allowance</v>
      </c>
      <c r="E805" s="24" t="s">
        <v>6</v>
      </c>
      <c r="F805" s="502">
        <v>261</v>
      </c>
    </row>
    <row r="806" spans="1:6">
      <c r="A806" s="308">
        <v>43251</v>
      </c>
      <c r="B806" s="24" t="s">
        <v>484</v>
      </c>
      <c r="C806" s="24" t="s">
        <v>488</v>
      </c>
      <c r="D806" s="136" t="str">
        <f t="array" ref="D806">IF(E806=0,0,(INDEX(AccountCodes[ACCOUNT NAME],MATCH(E806,AccountCodes[NGAS CODE],0))))</f>
        <v>Other Bonuses and Allowances - Meal Allowance</v>
      </c>
      <c r="E806" s="24" t="s">
        <v>6</v>
      </c>
      <c r="F806" s="502">
        <v>261</v>
      </c>
    </row>
    <row r="807" spans="1:6">
      <c r="A807" s="308">
        <v>43281</v>
      </c>
      <c r="B807" s="24" t="s">
        <v>484</v>
      </c>
      <c r="C807" s="24" t="s">
        <v>488</v>
      </c>
      <c r="D807" s="136" t="str">
        <f t="array" ref="D807">IF(E807=0,0,(INDEX(AccountCodes[ACCOUNT NAME],MATCH(E807,AccountCodes[NGAS CODE],0))))</f>
        <v>Other Bonuses and Allowances - Meal Allowance</v>
      </c>
      <c r="E807" s="24" t="s">
        <v>6</v>
      </c>
      <c r="F807" s="502">
        <v>261</v>
      </c>
    </row>
    <row r="808" spans="1:6">
      <c r="A808" s="308">
        <v>43312</v>
      </c>
      <c r="B808" s="24" t="s">
        <v>484</v>
      </c>
      <c r="C808" s="24" t="s">
        <v>488</v>
      </c>
      <c r="D808" s="136" t="str">
        <f t="array" ref="D808">IF(E808=0,0,(INDEX(AccountCodes[ACCOUNT NAME],MATCH(E808,AccountCodes[NGAS CODE],0))))</f>
        <v>Other Bonuses and Allowances - Meal Allowance</v>
      </c>
      <c r="E808" s="24" t="s">
        <v>6</v>
      </c>
      <c r="F808" s="502">
        <v>261</v>
      </c>
    </row>
    <row r="809" spans="1:6">
      <c r="A809" s="308">
        <v>43343</v>
      </c>
      <c r="B809" s="24" t="s">
        <v>484</v>
      </c>
      <c r="C809" s="24" t="s">
        <v>488</v>
      </c>
      <c r="D809" s="136" t="str">
        <f t="array" ref="D809">IF(E809=0,0,(INDEX(AccountCodes[ACCOUNT NAME],MATCH(E809,AccountCodes[NGAS CODE],0))))</f>
        <v>Other Bonuses and Allowances - Meal Allowance</v>
      </c>
      <c r="E809" s="24" t="s">
        <v>6</v>
      </c>
      <c r="F809" s="502">
        <v>261</v>
      </c>
    </row>
    <row r="810" spans="1:6">
      <c r="A810" s="308">
        <v>43373</v>
      </c>
      <c r="B810" s="24" t="s">
        <v>484</v>
      </c>
      <c r="C810" s="24" t="s">
        <v>488</v>
      </c>
      <c r="D810" s="136" t="str">
        <f t="array" ref="D810">IF(E810=0,0,(INDEX(AccountCodes[ACCOUNT NAME],MATCH(E810,AccountCodes[NGAS CODE],0))))</f>
        <v>Other Bonuses and Allowances - Meal Allowance</v>
      </c>
      <c r="E810" s="24" t="s">
        <v>6</v>
      </c>
      <c r="F810" s="502">
        <v>261</v>
      </c>
    </row>
    <row r="811" spans="1:6">
      <c r="A811" s="308">
        <v>43404</v>
      </c>
      <c r="B811" s="24" t="s">
        <v>484</v>
      </c>
      <c r="C811" s="24" t="s">
        <v>488</v>
      </c>
      <c r="D811" s="136" t="str">
        <f t="array" ref="D811">IF(E811=0,0,(INDEX(AccountCodes[ACCOUNT NAME],MATCH(E811,AccountCodes[NGAS CODE],0))))</f>
        <v>Other Bonuses and Allowances - Meal Allowance</v>
      </c>
      <c r="E811" s="24" t="s">
        <v>6</v>
      </c>
      <c r="F811" s="502">
        <v>261</v>
      </c>
    </row>
    <row r="812" spans="1:6">
      <c r="A812" s="308">
        <v>43434</v>
      </c>
      <c r="B812" s="24" t="s">
        <v>484</v>
      </c>
      <c r="C812" s="24" t="s">
        <v>488</v>
      </c>
      <c r="D812" s="136" t="str">
        <f t="array" ref="D812">IF(E812=0,0,(INDEX(AccountCodes[ACCOUNT NAME],MATCH(E812,AccountCodes[NGAS CODE],0))))</f>
        <v>Other Bonuses and Allowances - Meal Allowance</v>
      </c>
      <c r="E812" s="24" t="s">
        <v>6</v>
      </c>
      <c r="F812" s="502">
        <v>261</v>
      </c>
    </row>
    <row r="813" spans="1:6">
      <c r="A813" s="308">
        <v>43465</v>
      </c>
      <c r="B813" s="24" t="s">
        <v>484</v>
      </c>
      <c r="C813" s="24" t="s">
        <v>488</v>
      </c>
      <c r="D813" s="136" t="str">
        <f t="array" ref="D813">IF(E813=0,0,(INDEX(AccountCodes[ACCOUNT NAME],MATCH(E813,AccountCodes[NGAS CODE],0))))</f>
        <v>Other Bonuses and Allowances - Meal Allowance</v>
      </c>
      <c r="E813" s="24" t="s">
        <v>6</v>
      </c>
      <c r="F813" s="502">
        <v>261</v>
      </c>
    </row>
    <row r="814" spans="1:6">
      <c r="A814" s="308">
        <v>43465</v>
      </c>
      <c r="B814" s="24" t="s">
        <v>484</v>
      </c>
      <c r="C814" s="24" t="s">
        <v>488</v>
      </c>
      <c r="D814" s="136" t="str">
        <f t="array" ref="D814">IF(E814=0,0,(INDEX(AccountCodes[ACCOUNT NAME],MATCH(E814,AccountCodes[NGAS CODE],0))))</f>
        <v>Other Bonuses and Allowances - Productivity Enhancement Incentive-Civilian</v>
      </c>
      <c r="E814" s="309" t="s">
        <v>170</v>
      </c>
      <c r="F814" s="502">
        <v>135778</v>
      </c>
    </row>
    <row r="815" spans="1:6">
      <c r="A815" s="308">
        <v>43434</v>
      </c>
      <c r="B815" s="24" t="s">
        <v>484</v>
      </c>
      <c r="C815" s="24" t="s">
        <v>488</v>
      </c>
      <c r="D815" s="136" t="str">
        <f t="array" ref="D815">IF(E815=0,0,(INDEX(AccountCodes[ACCOUNT NAME],MATCH(E815,AccountCodes[NGAS CODE],0))))</f>
        <v>Cash Gift</v>
      </c>
      <c r="E815" s="24" t="s">
        <v>172</v>
      </c>
      <c r="F815" s="502">
        <v>35000</v>
      </c>
    </row>
    <row r="816" spans="1:6">
      <c r="A816" s="308">
        <v>43251</v>
      </c>
      <c r="B816" s="24" t="s">
        <v>484</v>
      </c>
      <c r="C816" s="24" t="s">
        <v>488</v>
      </c>
      <c r="D816" s="136" t="str">
        <f t="array" ref="D816">IF(E816=0,0,(INDEX(AccountCodes[ACCOUNT NAME],MATCH(E816,AccountCodes[NGAS CODE],0))))</f>
        <v>Mid-Year/Year End Bonus</v>
      </c>
      <c r="E816" s="24" t="s">
        <v>174</v>
      </c>
      <c r="F816" s="502">
        <v>135778</v>
      </c>
    </row>
    <row r="817" spans="1:6">
      <c r="A817" s="308">
        <v>43434</v>
      </c>
      <c r="B817" s="24" t="s">
        <v>484</v>
      </c>
      <c r="C817" s="24" t="s">
        <v>488</v>
      </c>
      <c r="D817" s="136" t="str">
        <f t="array" ref="D817">IF(E817=0,0,(INDEX(AccountCodes[ACCOUNT NAME],MATCH(E817,AccountCodes[NGAS CODE],0))))</f>
        <v>Mid-Year/Year End Bonus</v>
      </c>
      <c r="E817" s="24" t="s">
        <v>174</v>
      </c>
      <c r="F817" s="502">
        <v>135778</v>
      </c>
    </row>
    <row r="818" spans="1:6">
      <c r="A818" s="308">
        <v>43281</v>
      </c>
      <c r="B818" s="24" t="s">
        <v>484</v>
      </c>
      <c r="C818" s="24" t="s">
        <v>488</v>
      </c>
      <c r="D818" s="136" t="str">
        <f t="array" ref="D818">IF(E818=0,0,(INDEX(AccountCodes[ACCOUNT NAME],MATCH(E818,AccountCodes[NGAS CODE],0))))</f>
        <v>Longevity Pay</v>
      </c>
      <c r="E818" s="309" t="s">
        <v>216</v>
      </c>
      <c r="F818" s="502">
        <v>15000</v>
      </c>
    </row>
    <row r="819" spans="1:6">
      <c r="A819" s="308">
        <v>43343</v>
      </c>
      <c r="B819" s="24" t="s">
        <v>484</v>
      </c>
      <c r="C819" s="24" t="s">
        <v>488</v>
      </c>
      <c r="D819" s="136" t="str">
        <f t="array" ref="D819">IF(E819=0,0,(INDEX(AccountCodes[ACCOUNT NAME],MATCH(E819,AccountCodes[NGAS CODE],0))))</f>
        <v>Terminal Leave Benefits</v>
      </c>
      <c r="E819" s="309" t="s">
        <v>212</v>
      </c>
      <c r="F819" s="502">
        <v>217407.29</v>
      </c>
    </row>
    <row r="820" spans="1:6">
      <c r="A820" s="308">
        <v>43131</v>
      </c>
      <c r="B820" s="24" t="s">
        <v>484</v>
      </c>
      <c r="C820" s="24" t="s">
        <v>488</v>
      </c>
      <c r="D820" s="136" t="str">
        <f t="array" ref="D820">IF(E820=0,0,(INDEX(AccountCodes[ACCOUNT NAME],MATCH(E820,AccountCodes[NGAS CODE],0))))</f>
        <v>Retirement and Life Insurance Premiums</v>
      </c>
      <c r="E820" s="24" t="s">
        <v>175</v>
      </c>
      <c r="F820" s="502">
        <v>16293.36</v>
      </c>
    </row>
    <row r="821" spans="1:6">
      <c r="A821" s="308">
        <v>43159</v>
      </c>
      <c r="B821" s="24" t="s">
        <v>484</v>
      </c>
      <c r="C821" s="24" t="s">
        <v>488</v>
      </c>
      <c r="D821" s="136" t="str">
        <f t="array" ref="D821">IF(E821=0,0,(INDEX(AccountCodes[ACCOUNT NAME],MATCH(E821,AccountCodes[NGAS CODE],0))))</f>
        <v>Retirement and Life Insurance Premiums</v>
      </c>
      <c r="E821" s="24" t="s">
        <v>175</v>
      </c>
      <c r="F821" s="502">
        <v>16293.36</v>
      </c>
    </row>
    <row r="822" spans="1:6">
      <c r="A822" s="308">
        <v>43190</v>
      </c>
      <c r="B822" s="24" t="s">
        <v>484</v>
      </c>
      <c r="C822" s="24" t="s">
        <v>488</v>
      </c>
      <c r="D822" s="136" t="str">
        <f t="array" ref="D822">IF(E822=0,0,(INDEX(AccountCodes[ACCOUNT NAME],MATCH(E822,AccountCodes[NGAS CODE],0))))</f>
        <v>Retirement and Life Insurance Premiums</v>
      </c>
      <c r="E822" s="24" t="s">
        <v>175</v>
      </c>
      <c r="F822" s="502">
        <v>16293.36</v>
      </c>
    </row>
    <row r="823" spans="1:6">
      <c r="A823" s="308">
        <v>43220</v>
      </c>
      <c r="B823" s="24" t="s">
        <v>484</v>
      </c>
      <c r="C823" s="24" t="s">
        <v>488</v>
      </c>
      <c r="D823" s="136" t="str">
        <f t="array" ref="D823">IF(E823=0,0,(INDEX(AccountCodes[ACCOUNT NAME],MATCH(E823,AccountCodes[NGAS CODE],0))))</f>
        <v>Retirement and Life Insurance Premiums</v>
      </c>
      <c r="E823" s="24" t="s">
        <v>175</v>
      </c>
      <c r="F823" s="502">
        <v>16293.36</v>
      </c>
    </row>
    <row r="824" spans="1:6">
      <c r="A824" s="308">
        <v>43251</v>
      </c>
      <c r="B824" s="24" t="s">
        <v>484</v>
      </c>
      <c r="C824" s="24" t="s">
        <v>488</v>
      </c>
      <c r="D824" s="136" t="str">
        <f t="array" ref="D824">IF(E824=0,0,(INDEX(AccountCodes[ACCOUNT NAME],MATCH(E824,AccountCodes[NGAS CODE],0))))</f>
        <v>Retirement and Life Insurance Premiums</v>
      </c>
      <c r="E824" s="24" t="s">
        <v>175</v>
      </c>
      <c r="F824" s="502">
        <v>16293.36</v>
      </c>
    </row>
    <row r="825" spans="1:6">
      <c r="A825" s="308">
        <v>43281</v>
      </c>
      <c r="B825" s="24" t="s">
        <v>484</v>
      </c>
      <c r="C825" s="24" t="s">
        <v>488</v>
      </c>
      <c r="D825" s="136" t="str">
        <f t="array" ref="D825">IF(E825=0,0,(INDEX(AccountCodes[ACCOUNT NAME],MATCH(E825,AccountCodes[NGAS CODE],0))))</f>
        <v>Retirement and Life Insurance Premiums</v>
      </c>
      <c r="E825" s="24" t="s">
        <v>175</v>
      </c>
      <c r="F825" s="502">
        <v>16293.36</v>
      </c>
    </row>
    <row r="826" spans="1:6">
      <c r="A826" s="308">
        <v>43312</v>
      </c>
      <c r="B826" s="24" t="s">
        <v>484</v>
      </c>
      <c r="C826" s="24" t="s">
        <v>488</v>
      </c>
      <c r="D826" s="136" t="str">
        <f t="array" ref="D826">IF(E826=0,0,(INDEX(AccountCodes[ACCOUNT NAME],MATCH(E826,AccountCodes[NGAS CODE],0))))</f>
        <v>Retirement and Life Insurance Premiums</v>
      </c>
      <c r="E826" s="24" t="s">
        <v>175</v>
      </c>
      <c r="F826" s="502">
        <v>16293.36</v>
      </c>
    </row>
    <row r="827" spans="1:6">
      <c r="A827" s="308">
        <v>43343</v>
      </c>
      <c r="B827" s="24" t="s">
        <v>484</v>
      </c>
      <c r="C827" s="24" t="s">
        <v>488</v>
      </c>
      <c r="D827" s="136" t="str">
        <f t="array" ref="D827">IF(E827=0,0,(INDEX(AccountCodes[ACCOUNT NAME],MATCH(E827,AccountCodes[NGAS CODE],0))))</f>
        <v>Retirement and Life Insurance Premiums</v>
      </c>
      <c r="E827" s="24" t="s">
        <v>175</v>
      </c>
      <c r="F827" s="502">
        <v>16293.36</v>
      </c>
    </row>
    <row r="828" spans="1:6">
      <c r="A828" s="308">
        <v>43373</v>
      </c>
      <c r="B828" s="24" t="s">
        <v>484</v>
      </c>
      <c r="C828" s="24" t="s">
        <v>488</v>
      </c>
      <c r="D828" s="136" t="str">
        <f t="array" ref="D828">IF(E828=0,0,(INDEX(AccountCodes[ACCOUNT NAME],MATCH(E828,AccountCodes[NGAS CODE],0))))</f>
        <v>Retirement and Life Insurance Premiums</v>
      </c>
      <c r="E828" s="24" t="s">
        <v>175</v>
      </c>
      <c r="F828" s="502">
        <v>16293.36</v>
      </c>
    </row>
    <row r="829" spans="1:6">
      <c r="A829" s="308">
        <v>43404</v>
      </c>
      <c r="B829" s="24" t="s">
        <v>484</v>
      </c>
      <c r="C829" s="24" t="s">
        <v>488</v>
      </c>
      <c r="D829" s="136" t="str">
        <f t="array" ref="D829">IF(E829=0,0,(INDEX(AccountCodes[ACCOUNT NAME],MATCH(E829,AccountCodes[NGAS CODE],0))))</f>
        <v>Retirement and Life Insurance Premiums</v>
      </c>
      <c r="E829" s="24" t="s">
        <v>175</v>
      </c>
      <c r="F829" s="502">
        <v>16293.36</v>
      </c>
    </row>
    <row r="830" spans="1:6">
      <c r="A830" s="308">
        <v>43434</v>
      </c>
      <c r="B830" s="24" t="s">
        <v>484</v>
      </c>
      <c r="C830" s="24" t="s">
        <v>488</v>
      </c>
      <c r="D830" s="136" t="str">
        <f t="array" ref="D830">IF(E830=0,0,(INDEX(AccountCodes[ACCOUNT NAME],MATCH(E830,AccountCodes[NGAS CODE],0))))</f>
        <v>Retirement and Life Insurance Premiums</v>
      </c>
      <c r="E830" s="24" t="s">
        <v>175</v>
      </c>
      <c r="F830" s="502">
        <v>16293.36</v>
      </c>
    </row>
    <row r="831" spans="1:6">
      <c r="A831" s="308">
        <v>43465</v>
      </c>
      <c r="B831" s="24" t="s">
        <v>484</v>
      </c>
      <c r="C831" s="24" t="s">
        <v>488</v>
      </c>
      <c r="D831" s="136" t="str">
        <f t="array" ref="D831">IF(E831=0,0,(INDEX(AccountCodes[ACCOUNT NAME],MATCH(E831,AccountCodes[NGAS CODE],0))))</f>
        <v>Retirement and Life Insurance Premiums</v>
      </c>
      <c r="E831" s="24" t="s">
        <v>175</v>
      </c>
      <c r="F831" s="502">
        <v>16293.36</v>
      </c>
    </row>
    <row r="832" spans="1:6">
      <c r="A832" s="308">
        <v>43131</v>
      </c>
      <c r="B832" s="24" t="s">
        <v>484</v>
      </c>
      <c r="C832" s="24" t="s">
        <v>488</v>
      </c>
      <c r="D832" s="136" t="str">
        <f t="array" ref="D832">IF(E832=0,0,(INDEX(AccountCodes[ACCOUNT NAME],MATCH(E832,AccountCodes[NGAS CODE],0))))</f>
        <v>Pag-IBIG Contributions</v>
      </c>
      <c r="E832" s="24" t="s">
        <v>176</v>
      </c>
      <c r="F832" s="502">
        <v>775</v>
      </c>
    </row>
    <row r="833" spans="1:6">
      <c r="A833" s="308">
        <v>43159</v>
      </c>
      <c r="B833" s="24" t="s">
        <v>484</v>
      </c>
      <c r="C833" s="24" t="s">
        <v>488</v>
      </c>
      <c r="D833" s="136" t="str">
        <f t="array" ref="D833">IF(E833=0,0,(INDEX(AccountCodes[ACCOUNT NAME],MATCH(E833,AccountCodes[NGAS CODE],0))))</f>
        <v>Pag-IBIG Contributions</v>
      </c>
      <c r="E833" s="24" t="s">
        <v>176</v>
      </c>
      <c r="F833" s="502">
        <v>775</v>
      </c>
    </row>
    <row r="834" spans="1:6">
      <c r="A834" s="308">
        <v>43190</v>
      </c>
      <c r="B834" s="24" t="s">
        <v>484</v>
      </c>
      <c r="C834" s="24" t="s">
        <v>488</v>
      </c>
      <c r="D834" s="136" t="str">
        <f t="array" ref="D834">IF(E834=0,0,(INDEX(AccountCodes[ACCOUNT NAME],MATCH(E834,AccountCodes[NGAS CODE],0))))</f>
        <v>Pag-IBIG Contributions</v>
      </c>
      <c r="E834" s="24" t="s">
        <v>176</v>
      </c>
      <c r="F834" s="502">
        <v>775</v>
      </c>
    </row>
    <row r="835" spans="1:6">
      <c r="A835" s="308">
        <v>43220</v>
      </c>
      <c r="B835" s="24" t="s">
        <v>484</v>
      </c>
      <c r="C835" s="24" t="s">
        <v>488</v>
      </c>
      <c r="D835" s="136" t="str">
        <f t="array" ref="D835">IF(E835=0,0,(INDEX(AccountCodes[ACCOUNT NAME],MATCH(E835,AccountCodes[NGAS CODE],0))))</f>
        <v>Pag-IBIG Contributions</v>
      </c>
      <c r="E835" s="24" t="s">
        <v>176</v>
      </c>
      <c r="F835" s="502">
        <v>775</v>
      </c>
    </row>
    <row r="836" spans="1:6">
      <c r="A836" s="308">
        <v>43251</v>
      </c>
      <c r="B836" s="24" t="s">
        <v>484</v>
      </c>
      <c r="C836" s="24" t="s">
        <v>488</v>
      </c>
      <c r="D836" s="136" t="str">
        <f t="array" ref="D836">IF(E836=0,0,(INDEX(AccountCodes[ACCOUNT NAME],MATCH(E836,AccountCodes[NGAS CODE],0))))</f>
        <v>Pag-IBIG Contributions</v>
      </c>
      <c r="E836" s="24" t="s">
        <v>176</v>
      </c>
      <c r="F836" s="502">
        <v>775</v>
      </c>
    </row>
    <row r="837" spans="1:6">
      <c r="A837" s="308">
        <v>43281</v>
      </c>
      <c r="B837" s="24" t="s">
        <v>484</v>
      </c>
      <c r="C837" s="24" t="s">
        <v>488</v>
      </c>
      <c r="D837" s="136" t="str">
        <f t="array" ref="D837">IF(E837=0,0,(INDEX(AccountCodes[ACCOUNT NAME],MATCH(E837,AccountCodes[NGAS CODE],0))))</f>
        <v>Pag-IBIG Contributions</v>
      </c>
      <c r="E837" s="24" t="s">
        <v>176</v>
      </c>
      <c r="F837" s="502">
        <v>775</v>
      </c>
    </row>
    <row r="838" spans="1:6">
      <c r="A838" s="308">
        <v>43312</v>
      </c>
      <c r="B838" s="24" t="s">
        <v>484</v>
      </c>
      <c r="C838" s="24" t="s">
        <v>488</v>
      </c>
      <c r="D838" s="136" t="str">
        <f t="array" ref="D838">IF(E838=0,0,(INDEX(AccountCodes[ACCOUNT NAME],MATCH(E838,AccountCodes[NGAS CODE],0))))</f>
        <v>Pag-IBIG Contributions</v>
      </c>
      <c r="E838" s="24" t="s">
        <v>176</v>
      </c>
      <c r="F838" s="502">
        <v>775</v>
      </c>
    </row>
    <row r="839" spans="1:6">
      <c r="A839" s="308">
        <v>43343</v>
      </c>
      <c r="B839" s="24" t="s">
        <v>484</v>
      </c>
      <c r="C839" s="24" t="s">
        <v>488</v>
      </c>
      <c r="D839" s="136" t="str">
        <f t="array" ref="D839">IF(E839=0,0,(INDEX(AccountCodes[ACCOUNT NAME],MATCH(E839,AccountCodes[NGAS CODE],0))))</f>
        <v>Pag-IBIG Contributions</v>
      </c>
      <c r="E839" s="24" t="s">
        <v>176</v>
      </c>
      <c r="F839" s="502">
        <v>775</v>
      </c>
    </row>
    <row r="840" spans="1:6">
      <c r="A840" s="308">
        <v>43373</v>
      </c>
      <c r="B840" s="24" t="s">
        <v>484</v>
      </c>
      <c r="C840" s="24" t="s">
        <v>488</v>
      </c>
      <c r="D840" s="136" t="str">
        <f t="array" ref="D840">IF(E840=0,0,(INDEX(AccountCodes[ACCOUNT NAME],MATCH(E840,AccountCodes[NGAS CODE],0))))</f>
        <v>Pag-IBIG Contributions</v>
      </c>
      <c r="E840" s="24" t="s">
        <v>176</v>
      </c>
      <c r="F840" s="502">
        <v>775</v>
      </c>
    </row>
    <row r="841" spans="1:6">
      <c r="A841" s="308">
        <v>43404</v>
      </c>
      <c r="B841" s="24" t="s">
        <v>484</v>
      </c>
      <c r="C841" s="24" t="s">
        <v>488</v>
      </c>
      <c r="D841" s="136" t="str">
        <f t="array" ref="D841">IF(E841=0,0,(INDEX(AccountCodes[ACCOUNT NAME],MATCH(E841,AccountCodes[NGAS CODE],0))))</f>
        <v>Pag-IBIG Contributions</v>
      </c>
      <c r="E841" s="24" t="s">
        <v>176</v>
      </c>
      <c r="F841" s="502">
        <v>775</v>
      </c>
    </row>
    <row r="842" spans="1:6">
      <c r="A842" s="308">
        <v>43434</v>
      </c>
      <c r="B842" s="24" t="s">
        <v>484</v>
      </c>
      <c r="C842" s="24" t="s">
        <v>488</v>
      </c>
      <c r="D842" s="136" t="str">
        <f t="array" ref="D842">IF(E842=0,0,(INDEX(AccountCodes[ACCOUNT NAME],MATCH(E842,AccountCodes[NGAS CODE],0))))</f>
        <v>Pag-IBIG Contributions</v>
      </c>
      <c r="E842" s="24" t="s">
        <v>176</v>
      </c>
      <c r="F842" s="502">
        <v>775</v>
      </c>
    </row>
    <row r="843" spans="1:6">
      <c r="A843" s="308">
        <v>43465</v>
      </c>
      <c r="B843" s="24" t="s">
        <v>484</v>
      </c>
      <c r="C843" s="24" t="s">
        <v>488</v>
      </c>
      <c r="D843" s="136" t="str">
        <f t="array" ref="D843">IF(E843=0,0,(INDEX(AccountCodes[ACCOUNT NAME],MATCH(E843,AccountCodes[NGAS CODE],0))))</f>
        <v>Pag-IBIG Contributions</v>
      </c>
      <c r="E843" s="24" t="s">
        <v>176</v>
      </c>
      <c r="F843" s="502">
        <v>775</v>
      </c>
    </row>
    <row r="844" spans="1:6">
      <c r="A844" s="308">
        <v>43131</v>
      </c>
      <c r="B844" s="24" t="s">
        <v>484</v>
      </c>
      <c r="C844" s="24" t="s">
        <v>488</v>
      </c>
      <c r="D844" s="136" t="str">
        <f t="array" ref="D844">IF(E844=0,0,(INDEX(AccountCodes[ACCOUNT NAME],MATCH(E844,AccountCodes[NGAS CODE],0))))</f>
        <v>PhilHealth Contributions</v>
      </c>
      <c r="E844" s="24" t="s">
        <v>177</v>
      </c>
      <c r="F844" s="502">
        <v>1470.5</v>
      </c>
    </row>
    <row r="845" spans="1:6">
      <c r="A845" s="308">
        <v>43159</v>
      </c>
      <c r="B845" s="24" t="s">
        <v>484</v>
      </c>
      <c r="C845" s="24" t="s">
        <v>488</v>
      </c>
      <c r="D845" s="136" t="str">
        <f t="array" ref="D845">IF(E845=0,0,(INDEX(AccountCodes[ACCOUNT NAME],MATCH(E845,AccountCodes[NGAS CODE],0))))</f>
        <v>PhilHealth Contributions</v>
      </c>
      <c r="E845" s="24" t="s">
        <v>177</v>
      </c>
      <c r="F845" s="502">
        <v>1470.5</v>
      </c>
    </row>
    <row r="846" spans="1:6">
      <c r="A846" s="308">
        <v>43190</v>
      </c>
      <c r="B846" s="24" t="s">
        <v>484</v>
      </c>
      <c r="C846" s="24" t="s">
        <v>488</v>
      </c>
      <c r="D846" s="136" t="str">
        <f t="array" ref="D846">IF(E846=0,0,(INDEX(AccountCodes[ACCOUNT NAME],MATCH(E846,AccountCodes[NGAS CODE],0))))</f>
        <v>PhilHealth Contributions</v>
      </c>
      <c r="E846" s="24" t="s">
        <v>177</v>
      </c>
      <c r="F846" s="502">
        <v>1470.5</v>
      </c>
    </row>
    <row r="847" spans="1:6">
      <c r="A847" s="308">
        <v>43220</v>
      </c>
      <c r="B847" s="24" t="s">
        <v>484</v>
      </c>
      <c r="C847" s="24" t="s">
        <v>488</v>
      </c>
      <c r="D847" s="136" t="str">
        <f t="array" ref="D847">IF(E847=0,0,(INDEX(AccountCodes[ACCOUNT NAME],MATCH(E847,AccountCodes[NGAS CODE],0))))</f>
        <v>PhilHealth Contributions</v>
      </c>
      <c r="E847" s="24" t="s">
        <v>177</v>
      </c>
      <c r="F847" s="502">
        <v>1470.5</v>
      </c>
    </row>
    <row r="848" spans="1:6">
      <c r="A848" s="308">
        <v>43251</v>
      </c>
      <c r="B848" s="24" t="s">
        <v>484</v>
      </c>
      <c r="C848" s="24" t="s">
        <v>488</v>
      </c>
      <c r="D848" s="136" t="str">
        <f t="array" ref="D848">IF(E848=0,0,(INDEX(AccountCodes[ACCOUNT NAME],MATCH(E848,AccountCodes[NGAS CODE],0))))</f>
        <v>PhilHealth Contributions</v>
      </c>
      <c r="E848" s="24" t="s">
        <v>177</v>
      </c>
      <c r="F848" s="502">
        <v>1470.5</v>
      </c>
    </row>
    <row r="849" spans="1:6">
      <c r="A849" s="308">
        <v>43281</v>
      </c>
      <c r="B849" s="24" t="s">
        <v>484</v>
      </c>
      <c r="C849" s="24" t="s">
        <v>488</v>
      </c>
      <c r="D849" s="136" t="str">
        <f t="array" ref="D849">IF(E849=0,0,(INDEX(AccountCodes[ACCOUNT NAME],MATCH(E849,AccountCodes[NGAS CODE],0))))</f>
        <v>PhilHealth Contributions</v>
      </c>
      <c r="E849" s="24" t="s">
        <v>177</v>
      </c>
      <c r="F849" s="502">
        <v>1470.5</v>
      </c>
    </row>
    <row r="850" spans="1:6">
      <c r="A850" s="308">
        <v>43312</v>
      </c>
      <c r="B850" s="24" t="s">
        <v>484</v>
      </c>
      <c r="C850" s="24" t="s">
        <v>488</v>
      </c>
      <c r="D850" s="136" t="str">
        <f t="array" ref="D850">IF(E850=0,0,(INDEX(AccountCodes[ACCOUNT NAME],MATCH(E850,AccountCodes[NGAS CODE],0))))</f>
        <v>PhilHealth Contributions</v>
      </c>
      <c r="E850" s="24" t="s">
        <v>177</v>
      </c>
      <c r="F850" s="502">
        <v>1470.5</v>
      </c>
    </row>
    <row r="851" spans="1:6">
      <c r="A851" s="308">
        <v>43343</v>
      </c>
      <c r="B851" s="24" t="s">
        <v>484</v>
      </c>
      <c r="C851" s="24" t="s">
        <v>488</v>
      </c>
      <c r="D851" s="136" t="str">
        <f t="array" ref="D851">IF(E851=0,0,(INDEX(AccountCodes[ACCOUNT NAME],MATCH(E851,AccountCodes[NGAS CODE],0))))</f>
        <v>PhilHealth Contributions</v>
      </c>
      <c r="E851" s="24" t="s">
        <v>177</v>
      </c>
      <c r="F851" s="502">
        <v>1470.5</v>
      </c>
    </row>
    <row r="852" spans="1:6">
      <c r="A852" s="308">
        <v>43373</v>
      </c>
      <c r="B852" s="24" t="s">
        <v>484</v>
      </c>
      <c r="C852" s="24" t="s">
        <v>488</v>
      </c>
      <c r="D852" s="136" t="str">
        <f t="array" ref="D852">IF(E852=0,0,(INDEX(AccountCodes[ACCOUNT NAME],MATCH(E852,AccountCodes[NGAS CODE],0))))</f>
        <v>PhilHealth Contributions</v>
      </c>
      <c r="E852" s="24" t="s">
        <v>177</v>
      </c>
      <c r="F852" s="502">
        <v>1470.5</v>
      </c>
    </row>
    <row r="853" spans="1:6">
      <c r="A853" s="308">
        <v>43404</v>
      </c>
      <c r="B853" s="24" t="s">
        <v>484</v>
      </c>
      <c r="C853" s="24" t="s">
        <v>488</v>
      </c>
      <c r="D853" s="136" t="str">
        <f t="array" ref="D853">IF(E853=0,0,(INDEX(AccountCodes[ACCOUNT NAME],MATCH(E853,AccountCodes[NGAS CODE],0))))</f>
        <v>PhilHealth Contributions</v>
      </c>
      <c r="E853" s="24" t="s">
        <v>177</v>
      </c>
      <c r="F853" s="502">
        <v>1470.5</v>
      </c>
    </row>
    <row r="854" spans="1:6">
      <c r="A854" s="308">
        <v>43434</v>
      </c>
      <c r="B854" s="24" t="s">
        <v>484</v>
      </c>
      <c r="C854" s="24" t="s">
        <v>488</v>
      </c>
      <c r="D854" s="136" t="str">
        <f t="array" ref="D854">IF(E854=0,0,(INDEX(AccountCodes[ACCOUNT NAME],MATCH(E854,AccountCodes[NGAS CODE],0))))</f>
        <v>PhilHealth Contributions</v>
      </c>
      <c r="E854" s="24" t="s">
        <v>177</v>
      </c>
      <c r="F854" s="502">
        <v>1470.5</v>
      </c>
    </row>
    <row r="855" spans="1:6">
      <c r="A855" s="308">
        <v>43465</v>
      </c>
      <c r="B855" s="24" t="s">
        <v>484</v>
      </c>
      <c r="C855" s="24" t="s">
        <v>488</v>
      </c>
      <c r="D855" s="136" t="str">
        <f t="array" ref="D855">IF(E855=0,0,(INDEX(AccountCodes[ACCOUNT NAME],MATCH(E855,AccountCodes[NGAS CODE],0))))</f>
        <v>PhilHealth Contributions</v>
      </c>
      <c r="E855" s="24" t="s">
        <v>177</v>
      </c>
      <c r="F855" s="502">
        <v>1470.5</v>
      </c>
    </row>
    <row r="856" spans="1:6">
      <c r="A856" s="308">
        <v>43131</v>
      </c>
      <c r="B856" s="24" t="s">
        <v>484</v>
      </c>
      <c r="C856" s="24" t="s">
        <v>488</v>
      </c>
      <c r="D856" s="136" t="str">
        <f t="array" ref="D856">IF(E856=0,0,(INDEX(AccountCodes[ACCOUNT NAME],MATCH(E856,AccountCodes[NGAS CODE],0))))</f>
        <v>Employees Compensation Insurance Premiums</v>
      </c>
      <c r="E856" s="24" t="s">
        <v>178</v>
      </c>
      <c r="F856" s="502">
        <v>700</v>
      </c>
    </row>
    <row r="857" spans="1:6">
      <c r="A857" s="308">
        <v>43159</v>
      </c>
      <c r="B857" s="24" t="s">
        <v>484</v>
      </c>
      <c r="C857" s="24" t="s">
        <v>488</v>
      </c>
      <c r="D857" s="136" t="str">
        <f t="array" ref="D857">IF(E857=0,0,(INDEX(AccountCodes[ACCOUNT NAME],MATCH(E857,AccountCodes[NGAS CODE],0))))</f>
        <v>Employees Compensation Insurance Premiums</v>
      </c>
      <c r="E857" s="24" t="s">
        <v>178</v>
      </c>
      <c r="F857" s="502">
        <v>700</v>
      </c>
    </row>
    <row r="858" spans="1:6">
      <c r="A858" s="308">
        <v>43190</v>
      </c>
      <c r="B858" s="24" t="s">
        <v>484</v>
      </c>
      <c r="C858" s="24" t="s">
        <v>488</v>
      </c>
      <c r="D858" s="136" t="str">
        <f t="array" ref="D858">IF(E858=0,0,(INDEX(AccountCodes[ACCOUNT NAME],MATCH(E858,AccountCodes[NGAS CODE],0))))</f>
        <v>Employees Compensation Insurance Premiums</v>
      </c>
      <c r="E858" s="24" t="s">
        <v>178</v>
      </c>
      <c r="F858" s="502">
        <v>700</v>
      </c>
    </row>
    <row r="859" spans="1:6">
      <c r="A859" s="308">
        <v>43220</v>
      </c>
      <c r="B859" s="24" t="s">
        <v>484</v>
      </c>
      <c r="C859" s="24" t="s">
        <v>488</v>
      </c>
      <c r="D859" s="136" t="str">
        <f t="array" ref="D859">IF(E859=0,0,(INDEX(AccountCodes[ACCOUNT NAME],MATCH(E859,AccountCodes[NGAS CODE],0))))</f>
        <v>Employees Compensation Insurance Premiums</v>
      </c>
      <c r="E859" s="24" t="s">
        <v>178</v>
      </c>
      <c r="F859" s="502">
        <v>700</v>
      </c>
    </row>
    <row r="860" spans="1:6">
      <c r="A860" s="308">
        <v>43251</v>
      </c>
      <c r="B860" s="24" t="s">
        <v>484</v>
      </c>
      <c r="C860" s="24" t="s">
        <v>488</v>
      </c>
      <c r="D860" s="136" t="str">
        <f t="array" ref="D860">IF(E860=0,0,(INDEX(AccountCodes[ACCOUNT NAME],MATCH(E860,AccountCodes[NGAS CODE],0))))</f>
        <v>Employees Compensation Insurance Premiums</v>
      </c>
      <c r="E860" s="24" t="s">
        <v>178</v>
      </c>
      <c r="F860" s="502">
        <v>700</v>
      </c>
    </row>
    <row r="861" spans="1:6">
      <c r="A861" s="308">
        <v>43281</v>
      </c>
      <c r="B861" s="24" t="s">
        <v>484</v>
      </c>
      <c r="C861" s="24" t="s">
        <v>488</v>
      </c>
      <c r="D861" s="136" t="str">
        <f t="array" ref="D861">IF(E861=0,0,(INDEX(AccountCodes[ACCOUNT NAME],MATCH(E861,AccountCodes[NGAS CODE],0))))</f>
        <v>Employees Compensation Insurance Premiums</v>
      </c>
      <c r="E861" s="24" t="s">
        <v>178</v>
      </c>
      <c r="F861" s="502">
        <v>700</v>
      </c>
    </row>
    <row r="862" spans="1:6">
      <c r="A862" s="308">
        <v>43312</v>
      </c>
      <c r="B862" s="24" t="s">
        <v>484</v>
      </c>
      <c r="C862" s="24" t="s">
        <v>488</v>
      </c>
      <c r="D862" s="136" t="str">
        <f t="array" ref="D862">IF(E862=0,0,(INDEX(AccountCodes[ACCOUNT NAME],MATCH(E862,AccountCodes[NGAS CODE],0))))</f>
        <v>Employees Compensation Insurance Premiums</v>
      </c>
      <c r="E862" s="24" t="s">
        <v>178</v>
      </c>
      <c r="F862" s="502">
        <v>700</v>
      </c>
    </row>
    <row r="863" spans="1:6">
      <c r="A863" s="308">
        <v>43343</v>
      </c>
      <c r="B863" s="24" t="s">
        <v>484</v>
      </c>
      <c r="C863" s="24" t="s">
        <v>488</v>
      </c>
      <c r="D863" s="136" t="str">
        <f t="array" ref="D863">IF(E863=0,0,(INDEX(AccountCodes[ACCOUNT NAME],MATCH(E863,AccountCodes[NGAS CODE],0))))</f>
        <v>Employees Compensation Insurance Premiums</v>
      </c>
      <c r="E863" s="24" t="s">
        <v>178</v>
      </c>
      <c r="F863" s="502">
        <v>700</v>
      </c>
    </row>
    <row r="864" spans="1:6">
      <c r="A864" s="308">
        <v>43373</v>
      </c>
      <c r="B864" s="24" t="s">
        <v>484</v>
      </c>
      <c r="C864" s="24" t="s">
        <v>488</v>
      </c>
      <c r="D864" s="136" t="str">
        <f t="array" ref="D864">IF(E864=0,0,(INDEX(AccountCodes[ACCOUNT NAME],MATCH(E864,AccountCodes[NGAS CODE],0))))</f>
        <v>Employees Compensation Insurance Premiums</v>
      </c>
      <c r="E864" s="24" t="s">
        <v>178</v>
      </c>
      <c r="F864" s="502">
        <v>700</v>
      </c>
    </row>
    <row r="865" spans="1:6">
      <c r="A865" s="308">
        <v>43404</v>
      </c>
      <c r="B865" s="24" t="s">
        <v>484</v>
      </c>
      <c r="C865" s="24" t="s">
        <v>488</v>
      </c>
      <c r="D865" s="136" t="str">
        <f t="array" ref="D865">IF(E865=0,0,(INDEX(AccountCodes[ACCOUNT NAME],MATCH(E865,AccountCodes[NGAS CODE],0))))</f>
        <v>Employees Compensation Insurance Premiums</v>
      </c>
      <c r="E865" s="24" t="s">
        <v>178</v>
      </c>
      <c r="F865" s="502">
        <v>700</v>
      </c>
    </row>
    <row r="866" spans="1:6">
      <c r="A866" s="308">
        <v>43434</v>
      </c>
      <c r="B866" s="24" t="s">
        <v>484</v>
      </c>
      <c r="C866" s="24" t="s">
        <v>488</v>
      </c>
      <c r="D866" s="136" t="str">
        <f t="array" ref="D866">IF(E866=0,0,(INDEX(AccountCodes[ACCOUNT NAME],MATCH(E866,AccountCodes[NGAS CODE],0))))</f>
        <v>Employees Compensation Insurance Premiums</v>
      </c>
      <c r="E866" s="24" t="s">
        <v>178</v>
      </c>
      <c r="F866" s="502">
        <v>700</v>
      </c>
    </row>
    <row r="867" spans="1:6">
      <c r="A867" s="308">
        <v>43465</v>
      </c>
      <c r="B867" s="24" t="s">
        <v>484</v>
      </c>
      <c r="C867" s="24" t="s">
        <v>488</v>
      </c>
      <c r="D867" s="136" t="str">
        <f t="array" ref="D867">IF(E867=0,0,(INDEX(AccountCodes[ACCOUNT NAME],MATCH(E867,AccountCodes[NGAS CODE],0))))</f>
        <v>Employees Compensation Insurance Premiums</v>
      </c>
      <c r="E867" s="24" t="s">
        <v>178</v>
      </c>
      <c r="F867" s="502">
        <v>700</v>
      </c>
    </row>
    <row r="868" spans="1:6">
      <c r="A868" s="308">
        <v>43131</v>
      </c>
      <c r="B868" s="24" t="s">
        <v>484</v>
      </c>
      <c r="C868" s="24" t="s">
        <v>488</v>
      </c>
      <c r="D868" s="136" t="str">
        <f t="array" ref="D868">IF(E868=0,0,(INDEX(AccountCodes[ACCOUNT NAME],MATCH(E868,AccountCodes[NGAS CODE],0))))</f>
        <v>Traveling Expenses-Local</v>
      </c>
      <c r="E868" s="24" t="s">
        <v>223</v>
      </c>
      <c r="F868" s="502">
        <v>2400</v>
      </c>
    </row>
    <row r="869" spans="1:6">
      <c r="A869" s="308">
        <v>43159</v>
      </c>
      <c r="B869" s="24" t="s">
        <v>484</v>
      </c>
      <c r="C869" s="24" t="s">
        <v>488</v>
      </c>
      <c r="D869" s="136" t="str">
        <f t="array" ref="D869">IF(E869=0,0,(INDEX(AccountCodes[ACCOUNT NAME],MATCH(E869,AccountCodes[NGAS CODE],0))))</f>
        <v>Traveling Expenses-Local</v>
      </c>
      <c r="E869" s="24" t="s">
        <v>223</v>
      </c>
      <c r="F869" s="502">
        <v>2400</v>
      </c>
    </row>
    <row r="870" spans="1:6">
      <c r="A870" s="308">
        <v>43190</v>
      </c>
      <c r="B870" s="24" t="s">
        <v>484</v>
      </c>
      <c r="C870" s="24" t="s">
        <v>488</v>
      </c>
      <c r="D870" s="136" t="str">
        <f t="array" ref="D870">IF(E870=0,0,(INDEX(AccountCodes[ACCOUNT NAME],MATCH(E870,AccountCodes[NGAS CODE],0))))</f>
        <v>Traveling Expenses-Local</v>
      </c>
      <c r="E870" s="24" t="s">
        <v>223</v>
      </c>
      <c r="F870" s="502">
        <v>2400</v>
      </c>
    </row>
    <row r="871" spans="1:6">
      <c r="A871" s="308">
        <v>43220</v>
      </c>
      <c r="B871" s="24" t="s">
        <v>484</v>
      </c>
      <c r="C871" s="24" t="s">
        <v>488</v>
      </c>
      <c r="D871" s="136" t="str">
        <f t="array" ref="D871">IF(E871=0,0,(INDEX(AccountCodes[ACCOUNT NAME],MATCH(E871,AccountCodes[NGAS CODE],0))))</f>
        <v>Traveling Expenses-Local</v>
      </c>
      <c r="E871" s="24" t="s">
        <v>223</v>
      </c>
      <c r="F871" s="502">
        <v>2400</v>
      </c>
    </row>
    <row r="872" spans="1:6">
      <c r="A872" s="308">
        <v>43251</v>
      </c>
      <c r="B872" s="24" t="s">
        <v>484</v>
      </c>
      <c r="C872" s="24" t="s">
        <v>488</v>
      </c>
      <c r="D872" s="136" t="str">
        <f t="array" ref="D872">IF(E872=0,0,(INDEX(AccountCodes[ACCOUNT NAME],MATCH(E872,AccountCodes[NGAS CODE],0))))</f>
        <v>Traveling Expenses-Local</v>
      </c>
      <c r="E872" s="24" t="s">
        <v>223</v>
      </c>
      <c r="F872" s="502">
        <v>2400</v>
      </c>
    </row>
    <row r="873" spans="1:6">
      <c r="A873" s="308">
        <v>43281</v>
      </c>
      <c r="B873" s="24" t="s">
        <v>484</v>
      </c>
      <c r="C873" s="24" t="s">
        <v>488</v>
      </c>
      <c r="D873" s="136" t="str">
        <f t="array" ref="D873">IF(E873=0,0,(INDEX(AccountCodes[ACCOUNT NAME],MATCH(E873,AccountCodes[NGAS CODE],0))))</f>
        <v>Traveling Expenses-Local</v>
      </c>
      <c r="E873" s="24" t="s">
        <v>223</v>
      </c>
      <c r="F873" s="502">
        <v>2400</v>
      </c>
    </row>
    <row r="874" spans="1:6">
      <c r="A874" s="308">
        <v>43312</v>
      </c>
      <c r="B874" s="24" t="s">
        <v>484</v>
      </c>
      <c r="C874" s="24" t="s">
        <v>488</v>
      </c>
      <c r="D874" s="136" t="str">
        <f t="array" ref="D874">IF(E874=0,0,(INDEX(AccountCodes[ACCOUNT NAME],MATCH(E874,AccountCodes[NGAS CODE],0))))</f>
        <v>Traveling Expenses-Local</v>
      </c>
      <c r="E874" s="24" t="s">
        <v>223</v>
      </c>
      <c r="F874" s="502">
        <v>2400</v>
      </c>
    </row>
    <row r="875" spans="1:6">
      <c r="A875" s="308">
        <v>43343</v>
      </c>
      <c r="B875" s="24" t="s">
        <v>484</v>
      </c>
      <c r="C875" s="24" t="s">
        <v>488</v>
      </c>
      <c r="D875" s="136" t="str">
        <f t="array" ref="D875">IF(E875=0,0,(INDEX(AccountCodes[ACCOUNT NAME],MATCH(E875,AccountCodes[NGAS CODE],0))))</f>
        <v>Traveling Expenses-Local</v>
      </c>
      <c r="E875" s="24" t="s">
        <v>223</v>
      </c>
      <c r="F875" s="502">
        <v>2400</v>
      </c>
    </row>
    <row r="876" spans="1:6">
      <c r="A876" s="308">
        <v>43373</v>
      </c>
      <c r="B876" s="24" t="s">
        <v>484</v>
      </c>
      <c r="C876" s="24" t="s">
        <v>488</v>
      </c>
      <c r="D876" s="136" t="str">
        <f t="array" ref="D876">IF(E876=0,0,(INDEX(AccountCodes[ACCOUNT NAME],MATCH(E876,AccountCodes[NGAS CODE],0))))</f>
        <v>Traveling Expenses-Local</v>
      </c>
      <c r="E876" s="24" t="s">
        <v>223</v>
      </c>
      <c r="F876" s="502">
        <v>2400</v>
      </c>
    </row>
    <row r="877" spans="1:6">
      <c r="A877" s="308">
        <v>43404</v>
      </c>
      <c r="B877" s="24" t="s">
        <v>484</v>
      </c>
      <c r="C877" s="24" t="s">
        <v>488</v>
      </c>
      <c r="D877" s="136" t="str">
        <f t="array" ref="D877">IF(E877=0,0,(INDEX(AccountCodes[ACCOUNT NAME],MATCH(E877,AccountCodes[NGAS CODE],0))))</f>
        <v>Traveling Expenses-Local</v>
      </c>
      <c r="E877" s="24" t="s">
        <v>223</v>
      </c>
      <c r="F877" s="502">
        <v>2400</v>
      </c>
    </row>
    <row r="878" spans="1:6">
      <c r="A878" s="308">
        <v>43434</v>
      </c>
      <c r="B878" s="24" t="s">
        <v>484</v>
      </c>
      <c r="C878" s="24" t="s">
        <v>488</v>
      </c>
      <c r="D878" s="136" t="str">
        <f t="array" ref="D878">IF(E878=0,0,(INDEX(AccountCodes[ACCOUNT NAME],MATCH(E878,AccountCodes[NGAS CODE],0))))</f>
        <v>Traveling Expenses-Local</v>
      </c>
      <c r="E878" s="24" t="s">
        <v>223</v>
      </c>
      <c r="F878" s="502">
        <v>2400</v>
      </c>
    </row>
    <row r="879" spans="1:6">
      <c r="A879" s="308">
        <v>43465</v>
      </c>
      <c r="B879" s="24" t="s">
        <v>484</v>
      </c>
      <c r="C879" s="24" t="s">
        <v>488</v>
      </c>
      <c r="D879" s="136" t="str">
        <f t="array" ref="D879">IF(E879=0,0,(INDEX(AccountCodes[ACCOUNT NAME],MATCH(E879,AccountCodes[NGAS CODE],0))))</f>
        <v>Traveling Expenses-Local</v>
      </c>
      <c r="E879" s="24" t="s">
        <v>223</v>
      </c>
      <c r="F879" s="502">
        <v>2400</v>
      </c>
    </row>
    <row r="880" spans="1:6">
      <c r="A880" s="308">
        <v>43131</v>
      </c>
      <c r="B880" s="24" t="s">
        <v>484</v>
      </c>
      <c r="C880" s="24" t="s">
        <v>488</v>
      </c>
      <c r="D880" s="136" t="str">
        <f t="array" ref="D880">IF(E880=0,0,(INDEX(AccountCodes[ACCOUNT NAME],MATCH(E880,AccountCodes[NGAS CODE],0))))</f>
        <v>Office Supplies Expenses</v>
      </c>
      <c r="E880" s="309" t="s">
        <v>225</v>
      </c>
      <c r="F880" s="502">
        <v>6875</v>
      </c>
    </row>
    <row r="881" spans="1:6">
      <c r="A881" s="308">
        <v>43159</v>
      </c>
      <c r="B881" s="24" t="s">
        <v>484</v>
      </c>
      <c r="C881" s="24" t="s">
        <v>488</v>
      </c>
      <c r="D881" s="136" t="str">
        <f t="array" ref="D881">IF(E881=0,0,(INDEX(AccountCodes[ACCOUNT NAME],MATCH(E881,AccountCodes[NGAS CODE],0))))</f>
        <v>Office Supplies Expenses</v>
      </c>
      <c r="E881" s="309" t="s">
        <v>225</v>
      </c>
      <c r="F881" s="502">
        <v>6875</v>
      </c>
    </row>
    <row r="882" spans="1:6">
      <c r="A882" s="308">
        <v>43190</v>
      </c>
      <c r="B882" s="24" t="s">
        <v>484</v>
      </c>
      <c r="C882" s="24" t="s">
        <v>488</v>
      </c>
      <c r="D882" s="136" t="str">
        <f t="array" ref="D882">IF(E882=0,0,(INDEX(AccountCodes[ACCOUNT NAME],MATCH(E882,AccountCodes[NGAS CODE],0))))</f>
        <v>Office Supplies Expenses</v>
      </c>
      <c r="E882" s="309" t="s">
        <v>225</v>
      </c>
      <c r="F882" s="502">
        <v>6875</v>
      </c>
    </row>
    <row r="883" spans="1:6">
      <c r="A883" s="308">
        <v>43220</v>
      </c>
      <c r="B883" s="24" t="s">
        <v>484</v>
      </c>
      <c r="C883" s="24" t="s">
        <v>488</v>
      </c>
      <c r="D883" s="136" t="str">
        <f t="array" ref="D883">IF(E883=0,0,(INDEX(AccountCodes[ACCOUNT NAME],MATCH(E883,AccountCodes[NGAS CODE],0))))</f>
        <v>Office Supplies Expenses</v>
      </c>
      <c r="E883" s="309" t="s">
        <v>225</v>
      </c>
      <c r="F883" s="502">
        <v>6875</v>
      </c>
    </row>
    <row r="884" spans="1:6">
      <c r="A884" s="308">
        <v>43251</v>
      </c>
      <c r="B884" s="24" t="s">
        <v>484</v>
      </c>
      <c r="C884" s="24" t="s">
        <v>488</v>
      </c>
      <c r="D884" s="136" t="str">
        <f t="array" ref="D884">IF(E884=0,0,(INDEX(AccountCodes[ACCOUNT NAME],MATCH(E884,AccountCodes[NGAS CODE],0))))</f>
        <v>Office Supplies Expenses</v>
      </c>
      <c r="E884" s="309" t="s">
        <v>225</v>
      </c>
      <c r="F884" s="502">
        <v>6875</v>
      </c>
    </row>
    <row r="885" spans="1:6">
      <c r="A885" s="308">
        <v>43281</v>
      </c>
      <c r="B885" s="24" t="s">
        <v>484</v>
      </c>
      <c r="C885" s="24" t="s">
        <v>488</v>
      </c>
      <c r="D885" s="136" t="str">
        <f t="array" ref="D885">IF(E885=0,0,(INDEX(AccountCodes[ACCOUNT NAME],MATCH(E885,AccountCodes[NGAS CODE],0))))</f>
        <v>Office Supplies Expenses</v>
      </c>
      <c r="E885" s="309" t="s">
        <v>225</v>
      </c>
      <c r="F885" s="502">
        <v>6875</v>
      </c>
    </row>
    <row r="886" spans="1:6">
      <c r="A886" s="308">
        <v>43312</v>
      </c>
      <c r="B886" s="24" t="s">
        <v>484</v>
      </c>
      <c r="C886" s="24" t="s">
        <v>488</v>
      </c>
      <c r="D886" s="136" t="str">
        <f t="array" ref="D886">IF(E886=0,0,(INDEX(AccountCodes[ACCOUNT NAME],MATCH(E886,AccountCodes[NGAS CODE],0))))</f>
        <v>Office Supplies Expenses</v>
      </c>
      <c r="E886" s="309" t="s">
        <v>225</v>
      </c>
      <c r="F886" s="502">
        <v>6875</v>
      </c>
    </row>
    <row r="887" spans="1:6">
      <c r="A887" s="308">
        <v>43343</v>
      </c>
      <c r="B887" s="24" t="s">
        <v>484</v>
      </c>
      <c r="C887" s="24" t="s">
        <v>488</v>
      </c>
      <c r="D887" s="136" t="str">
        <f t="array" ref="D887">IF(E887=0,0,(INDEX(AccountCodes[ACCOUNT NAME],MATCH(E887,AccountCodes[NGAS CODE],0))))</f>
        <v>Office Supplies Expenses</v>
      </c>
      <c r="E887" s="309" t="s">
        <v>225</v>
      </c>
      <c r="F887" s="502">
        <v>6875</v>
      </c>
    </row>
    <row r="888" spans="1:6">
      <c r="A888" s="308">
        <v>43373</v>
      </c>
      <c r="B888" s="24" t="s">
        <v>484</v>
      </c>
      <c r="C888" s="24" t="s">
        <v>488</v>
      </c>
      <c r="D888" s="136" t="str">
        <f t="array" ref="D888">IF(E888=0,0,(INDEX(AccountCodes[ACCOUNT NAME],MATCH(E888,AccountCodes[NGAS CODE],0))))</f>
        <v>Office Supplies Expenses</v>
      </c>
      <c r="E888" s="309" t="s">
        <v>225</v>
      </c>
      <c r="F888" s="502">
        <v>6875</v>
      </c>
    </row>
    <row r="889" spans="1:6">
      <c r="A889" s="308">
        <v>43404</v>
      </c>
      <c r="B889" s="24" t="s">
        <v>484</v>
      </c>
      <c r="C889" s="24" t="s">
        <v>488</v>
      </c>
      <c r="D889" s="136" t="str">
        <f t="array" ref="D889">IF(E889=0,0,(INDEX(AccountCodes[ACCOUNT NAME],MATCH(E889,AccountCodes[NGAS CODE],0))))</f>
        <v>Office Supplies Expenses</v>
      </c>
      <c r="E889" s="309" t="s">
        <v>225</v>
      </c>
      <c r="F889" s="502">
        <v>6875</v>
      </c>
    </row>
    <row r="890" spans="1:6">
      <c r="A890" s="308">
        <v>43434</v>
      </c>
      <c r="B890" s="24" t="s">
        <v>484</v>
      </c>
      <c r="C890" s="24" t="s">
        <v>488</v>
      </c>
      <c r="D890" s="136" t="str">
        <f t="array" ref="D890">IF(E890=0,0,(INDEX(AccountCodes[ACCOUNT NAME],MATCH(E890,AccountCodes[NGAS CODE],0))))</f>
        <v>Office Supplies Expenses</v>
      </c>
      <c r="E890" s="309" t="s">
        <v>225</v>
      </c>
      <c r="F890" s="502">
        <v>6875</v>
      </c>
    </row>
    <row r="891" spans="1:6">
      <c r="A891" s="308">
        <v>43465</v>
      </c>
      <c r="B891" s="24" t="s">
        <v>484</v>
      </c>
      <c r="C891" s="24" t="s">
        <v>488</v>
      </c>
      <c r="D891" s="136" t="str">
        <f t="array" ref="D891">IF(E891=0,0,(INDEX(AccountCodes[ACCOUNT NAME],MATCH(E891,AccountCodes[NGAS CODE],0))))</f>
        <v>Office Supplies Expenses</v>
      </c>
      <c r="E891" s="309" t="s">
        <v>225</v>
      </c>
      <c r="F891" s="502">
        <v>6875</v>
      </c>
    </row>
    <row r="892" spans="1:6">
      <c r="A892" s="308">
        <v>43131</v>
      </c>
      <c r="B892" s="24" t="s">
        <v>484</v>
      </c>
      <c r="C892" s="24" t="s">
        <v>488</v>
      </c>
      <c r="D892" s="136" t="str">
        <f t="array" ref="D892">IF(E892=0,0,(INDEX(AccountCodes[ACCOUNT NAME],MATCH(E892,AccountCodes[NGAS CODE],0))))</f>
        <v>Medical, Dental and Laboratory Supplies Expenses</v>
      </c>
      <c r="E892" s="309" t="s">
        <v>228</v>
      </c>
      <c r="F892" s="502">
        <v>458.33</v>
      </c>
    </row>
    <row r="893" spans="1:6">
      <c r="A893" s="308">
        <v>43159</v>
      </c>
      <c r="B893" s="24" t="s">
        <v>484</v>
      </c>
      <c r="C893" s="24" t="s">
        <v>488</v>
      </c>
      <c r="D893" s="136" t="str">
        <f t="array" ref="D893">IF(E893=0,0,(INDEX(AccountCodes[ACCOUNT NAME],MATCH(E893,AccountCodes[NGAS CODE],0))))</f>
        <v>Medical, Dental and Laboratory Supplies Expenses</v>
      </c>
      <c r="E893" s="309" t="s">
        <v>228</v>
      </c>
      <c r="F893" s="502">
        <v>458.33</v>
      </c>
    </row>
    <row r="894" spans="1:6">
      <c r="A894" s="308">
        <v>43190</v>
      </c>
      <c r="B894" s="24" t="s">
        <v>484</v>
      </c>
      <c r="C894" s="24" t="s">
        <v>488</v>
      </c>
      <c r="D894" s="136" t="str">
        <f t="array" ref="D894">IF(E894=0,0,(INDEX(AccountCodes[ACCOUNT NAME],MATCH(E894,AccountCodes[NGAS CODE],0))))</f>
        <v>Medical, Dental and Laboratory Supplies Expenses</v>
      </c>
      <c r="E894" s="309" t="s">
        <v>228</v>
      </c>
      <c r="F894" s="502">
        <v>458.33</v>
      </c>
    </row>
    <row r="895" spans="1:6">
      <c r="A895" s="308">
        <v>43220</v>
      </c>
      <c r="B895" s="24" t="s">
        <v>484</v>
      </c>
      <c r="C895" s="24" t="s">
        <v>488</v>
      </c>
      <c r="D895" s="136" t="str">
        <f t="array" ref="D895">IF(E895=0,0,(INDEX(AccountCodes[ACCOUNT NAME],MATCH(E895,AccountCodes[NGAS CODE],0))))</f>
        <v>Medical, Dental and Laboratory Supplies Expenses</v>
      </c>
      <c r="E895" s="309" t="s">
        <v>228</v>
      </c>
      <c r="F895" s="502">
        <v>458.33</v>
      </c>
    </row>
    <row r="896" spans="1:6">
      <c r="A896" s="308">
        <v>43251</v>
      </c>
      <c r="B896" s="24" t="s">
        <v>484</v>
      </c>
      <c r="C896" s="24" t="s">
        <v>488</v>
      </c>
      <c r="D896" s="136" t="str">
        <f t="array" ref="D896">IF(E896=0,0,(INDEX(AccountCodes[ACCOUNT NAME],MATCH(E896,AccountCodes[NGAS CODE],0))))</f>
        <v>Medical, Dental and Laboratory Supplies Expenses</v>
      </c>
      <c r="E896" s="309" t="s">
        <v>228</v>
      </c>
      <c r="F896" s="502">
        <v>458.33</v>
      </c>
    </row>
    <row r="897" spans="1:6">
      <c r="A897" s="308">
        <v>43281</v>
      </c>
      <c r="B897" s="24" t="s">
        <v>484</v>
      </c>
      <c r="C897" s="24" t="s">
        <v>488</v>
      </c>
      <c r="D897" s="136" t="str">
        <f t="array" ref="D897">IF(E897=0,0,(INDEX(AccountCodes[ACCOUNT NAME],MATCH(E897,AccountCodes[NGAS CODE],0))))</f>
        <v>Medical, Dental and Laboratory Supplies Expenses</v>
      </c>
      <c r="E897" s="309" t="s">
        <v>228</v>
      </c>
      <c r="F897" s="502">
        <v>458.33</v>
      </c>
    </row>
    <row r="898" spans="1:6">
      <c r="A898" s="308">
        <v>43312</v>
      </c>
      <c r="B898" s="24" t="s">
        <v>484</v>
      </c>
      <c r="C898" s="24" t="s">
        <v>488</v>
      </c>
      <c r="D898" s="136" t="str">
        <f t="array" ref="D898">IF(E898=0,0,(INDEX(AccountCodes[ACCOUNT NAME],MATCH(E898,AccountCodes[NGAS CODE],0))))</f>
        <v>Medical, Dental and Laboratory Supplies Expenses</v>
      </c>
      <c r="E898" s="309" t="s">
        <v>228</v>
      </c>
      <c r="F898" s="502">
        <v>458.33</v>
      </c>
    </row>
    <row r="899" spans="1:6">
      <c r="A899" s="308">
        <v>43343</v>
      </c>
      <c r="B899" s="24" t="s">
        <v>484</v>
      </c>
      <c r="C899" s="24" t="s">
        <v>488</v>
      </c>
      <c r="D899" s="136" t="str">
        <f t="array" ref="D899">IF(E899=0,0,(INDEX(AccountCodes[ACCOUNT NAME],MATCH(E899,AccountCodes[NGAS CODE],0))))</f>
        <v>Medical, Dental and Laboratory Supplies Expenses</v>
      </c>
      <c r="E899" s="309" t="s">
        <v>228</v>
      </c>
      <c r="F899" s="502">
        <v>458.33</v>
      </c>
    </row>
    <row r="900" spans="1:6">
      <c r="A900" s="308">
        <v>43373</v>
      </c>
      <c r="B900" s="24" t="s">
        <v>484</v>
      </c>
      <c r="C900" s="24" t="s">
        <v>488</v>
      </c>
      <c r="D900" s="136" t="str">
        <f t="array" ref="D900">IF(E900=0,0,(INDEX(AccountCodes[ACCOUNT NAME],MATCH(E900,AccountCodes[NGAS CODE],0))))</f>
        <v>Medical, Dental and Laboratory Supplies Expenses</v>
      </c>
      <c r="E900" s="309" t="s">
        <v>228</v>
      </c>
      <c r="F900" s="502">
        <v>458.33</v>
      </c>
    </row>
    <row r="901" spans="1:6">
      <c r="A901" s="308">
        <v>43404</v>
      </c>
      <c r="B901" s="24" t="s">
        <v>484</v>
      </c>
      <c r="C901" s="24" t="s">
        <v>488</v>
      </c>
      <c r="D901" s="136" t="str">
        <f t="array" ref="D901">IF(E901=0,0,(INDEX(AccountCodes[ACCOUNT NAME],MATCH(E901,AccountCodes[NGAS CODE],0))))</f>
        <v>Medical, Dental and Laboratory Supplies Expenses</v>
      </c>
      <c r="E901" s="309" t="s">
        <v>228</v>
      </c>
      <c r="F901" s="502">
        <v>458.33</v>
      </c>
    </row>
    <row r="902" spans="1:6">
      <c r="A902" s="308">
        <v>43434</v>
      </c>
      <c r="B902" s="24" t="s">
        <v>484</v>
      </c>
      <c r="C902" s="24" t="s">
        <v>488</v>
      </c>
      <c r="D902" s="136" t="str">
        <f t="array" ref="D902">IF(E902=0,0,(INDEX(AccountCodes[ACCOUNT NAME],MATCH(E902,AccountCodes[NGAS CODE],0))))</f>
        <v>Medical, Dental and Laboratory Supplies Expenses</v>
      </c>
      <c r="E902" s="309" t="s">
        <v>228</v>
      </c>
      <c r="F902" s="502">
        <v>458.33</v>
      </c>
    </row>
    <row r="903" spans="1:6">
      <c r="A903" s="308">
        <v>43465</v>
      </c>
      <c r="B903" s="24" t="s">
        <v>484</v>
      </c>
      <c r="C903" s="24" t="s">
        <v>488</v>
      </c>
      <c r="D903" s="136" t="str">
        <f t="array" ref="D903">IF(E903=0,0,(INDEX(AccountCodes[ACCOUNT NAME],MATCH(E903,AccountCodes[NGAS CODE],0))))</f>
        <v>Medical, Dental and Laboratory Supplies Expenses</v>
      </c>
      <c r="E903" s="309" t="s">
        <v>228</v>
      </c>
      <c r="F903" s="502">
        <v>458.33</v>
      </c>
    </row>
    <row r="904" spans="1:6">
      <c r="A904" s="308">
        <v>43131</v>
      </c>
      <c r="B904" s="24" t="s">
        <v>484</v>
      </c>
      <c r="C904" s="24" t="s">
        <v>488</v>
      </c>
      <c r="D904" s="136" t="str">
        <f t="array" ref="D904">IF(E904=0,0,(INDEX(AccountCodes[ACCOUNT NAME],MATCH(E904,AccountCodes[NGAS CODE],0))))</f>
        <v>Fuel, Oil and Lubricants Expenses</v>
      </c>
      <c r="E904" s="309" t="s">
        <v>229</v>
      </c>
      <c r="F904" s="502">
        <v>19165.43</v>
      </c>
    </row>
    <row r="905" spans="1:6">
      <c r="A905" s="308">
        <v>43159</v>
      </c>
      <c r="B905" s="24" t="s">
        <v>484</v>
      </c>
      <c r="C905" s="24" t="s">
        <v>488</v>
      </c>
      <c r="D905" s="136" t="str">
        <f t="array" ref="D905">IF(E905=0,0,(INDEX(AccountCodes[ACCOUNT NAME],MATCH(E905,AccountCodes[NGAS CODE],0))))</f>
        <v>Fuel, Oil and Lubricants Expenses</v>
      </c>
      <c r="E905" s="309" t="s">
        <v>229</v>
      </c>
      <c r="F905" s="502">
        <v>19165.43</v>
      </c>
    </row>
    <row r="906" spans="1:6">
      <c r="A906" s="308">
        <v>43190</v>
      </c>
      <c r="B906" s="24" t="s">
        <v>484</v>
      </c>
      <c r="C906" s="24" t="s">
        <v>488</v>
      </c>
      <c r="D906" s="136" t="str">
        <f t="array" ref="D906">IF(E906=0,0,(INDEX(AccountCodes[ACCOUNT NAME],MATCH(E906,AccountCodes[NGAS CODE],0))))</f>
        <v>Fuel, Oil and Lubricants Expenses</v>
      </c>
      <c r="E906" s="309" t="s">
        <v>229</v>
      </c>
      <c r="F906" s="502">
        <v>19165.43</v>
      </c>
    </row>
    <row r="907" spans="1:6">
      <c r="A907" s="308">
        <v>43220</v>
      </c>
      <c r="B907" s="24" t="s">
        <v>484</v>
      </c>
      <c r="C907" s="24" t="s">
        <v>488</v>
      </c>
      <c r="D907" s="136" t="str">
        <f t="array" ref="D907">IF(E907=0,0,(INDEX(AccountCodes[ACCOUNT NAME],MATCH(E907,AccountCodes[NGAS CODE],0))))</f>
        <v>Fuel, Oil and Lubricants Expenses</v>
      </c>
      <c r="E907" s="309" t="s">
        <v>229</v>
      </c>
      <c r="F907" s="502">
        <v>19165.43</v>
      </c>
    </row>
    <row r="908" spans="1:6">
      <c r="A908" s="308">
        <v>43251</v>
      </c>
      <c r="B908" s="24" t="s">
        <v>484</v>
      </c>
      <c r="C908" s="24" t="s">
        <v>488</v>
      </c>
      <c r="D908" s="136" t="str">
        <f t="array" ref="D908">IF(E908=0,0,(INDEX(AccountCodes[ACCOUNT NAME],MATCH(E908,AccountCodes[NGAS CODE],0))))</f>
        <v>Fuel, Oil and Lubricants Expenses</v>
      </c>
      <c r="E908" s="309" t="s">
        <v>229</v>
      </c>
      <c r="F908" s="502">
        <v>19165.43</v>
      </c>
    </row>
    <row r="909" spans="1:6">
      <c r="A909" s="308">
        <v>43281</v>
      </c>
      <c r="B909" s="24" t="s">
        <v>484</v>
      </c>
      <c r="C909" s="24" t="s">
        <v>488</v>
      </c>
      <c r="D909" s="136" t="str">
        <f t="array" ref="D909">IF(E909=0,0,(INDEX(AccountCodes[ACCOUNT NAME],MATCH(E909,AccountCodes[NGAS CODE],0))))</f>
        <v>Fuel, Oil and Lubricants Expenses</v>
      </c>
      <c r="E909" s="309" t="s">
        <v>229</v>
      </c>
      <c r="F909" s="502">
        <v>19165.43</v>
      </c>
    </row>
    <row r="910" spans="1:6">
      <c r="A910" s="308">
        <v>43312</v>
      </c>
      <c r="B910" s="24" t="s">
        <v>484</v>
      </c>
      <c r="C910" s="24" t="s">
        <v>488</v>
      </c>
      <c r="D910" s="136" t="str">
        <f t="array" ref="D910">IF(E910=0,0,(INDEX(AccountCodes[ACCOUNT NAME],MATCH(E910,AccountCodes[NGAS CODE],0))))</f>
        <v>Fuel, Oil and Lubricants Expenses</v>
      </c>
      <c r="E910" s="309" t="s">
        <v>229</v>
      </c>
      <c r="F910" s="502">
        <v>19165.43</v>
      </c>
    </row>
    <row r="911" spans="1:6">
      <c r="A911" s="308">
        <v>43343</v>
      </c>
      <c r="B911" s="24" t="s">
        <v>484</v>
      </c>
      <c r="C911" s="24" t="s">
        <v>488</v>
      </c>
      <c r="D911" s="136" t="str">
        <f t="array" ref="D911">IF(E911=0,0,(INDEX(AccountCodes[ACCOUNT NAME],MATCH(E911,AccountCodes[NGAS CODE],0))))</f>
        <v>Fuel, Oil and Lubricants Expenses</v>
      </c>
      <c r="E911" s="309" t="s">
        <v>229</v>
      </c>
      <c r="F911" s="502">
        <v>19165.43</v>
      </c>
    </row>
    <row r="912" spans="1:6">
      <c r="A912" s="308">
        <v>43373</v>
      </c>
      <c r="B912" s="24" t="s">
        <v>484</v>
      </c>
      <c r="C912" s="24" t="s">
        <v>488</v>
      </c>
      <c r="D912" s="136" t="str">
        <f t="array" ref="D912">IF(E912=0,0,(INDEX(AccountCodes[ACCOUNT NAME],MATCH(E912,AccountCodes[NGAS CODE],0))))</f>
        <v>Fuel, Oil and Lubricants Expenses</v>
      </c>
      <c r="E912" s="309" t="s">
        <v>229</v>
      </c>
      <c r="F912" s="502">
        <v>19165.43</v>
      </c>
    </row>
    <row r="913" spans="1:6">
      <c r="A913" s="308">
        <v>43404</v>
      </c>
      <c r="B913" s="24" t="s">
        <v>484</v>
      </c>
      <c r="C913" s="24" t="s">
        <v>488</v>
      </c>
      <c r="D913" s="136" t="str">
        <f t="array" ref="D913">IF(E913=0,0,(INDEX(AccountCodes[ACCOUNT NAME],MATCH(E913,AccountCodes[NGAS CODE],0))))</f>
        <v>Fuel, Oil and Lubricants Expenses</v>
      </c>
      <c r="E913" s="309" t="s">
        <v>229</v>
      </c>
      <c r="F913" s="502">
        <v>19165.43</v>
      </c>
    </row>
    <row r="914" spans="1:6">
      <c r="A914" s="308">
        <v>43434</v>
      </c>
      <c r="B914" s="24" t="s">
        <v>484</v>
      </c>
      <c r="C914" s="24" t="s">
        <v>488</v>
      </c>
      <c r="D914" s="136" t="str">
        <f t="array" ref="D914">IF(E914=0,0,(INDEX(AccountCodes[ACCOUNT NAME],MATCH(E914,AccountCodes[NGAS CODE],0))))</f>
        <v>Fuel, Oil and Lubricants Expenses</v>
      </c>
      <c r="E914" s="309" t="s">
        <v>229</v>
      </c>
      <c r="F914" s="502">
        <v>19165.43</v>
      </c>
    </row>
    <row r="915" spans="1:6">
      <c r="A915" s="308">
        <v>43465</v>
      </c>
      <c r="B915" s="24" t="s">
        <v>484</v>
      </c>
      <c r="C915" s="24" t="s">
        <v>488</v>
      </c>
      <c r="D915" s="136" t="str">
        <f t="array" ref="D915">IF(E915=0,0,(INDEX(AccountCodes[ACCOUNT NAME],MATCH(E915,AccountCodes[NGAS CODE],0))))</f>
        <v>Fuel, Oil and Lubricants Expenses</v>
      </c>
      <c r="E915" s="309" t="s">
        <v>229</v>
      </c>
      <c r="F915" s="502">
        <v>19165.43</v>
      </c>
    </row>
    <row r="916" spans="1:6">
      <c r="A916" s="308">
        <v>43131</v>
      </c>
      <c r="B916" s="24" t="s">
        <v>484</v>
      </c>
      <c r="C916" s="24" t="s">
        <v>488</v>
      </c>
      <c r="D916" s="136" t="str">
        <f t="array" ref="D916">IF(E916=0,0,(INDEX(AccountCodes[ACCOUNT NAME],MATCH(E916,AccountCodes[NGAS CODE],0))))</f>
        <v>Other Supplies and Materials Expenses</v>
      </c>
      <c r="E916" s="309" t="s">
        <v>231</v>
      </c>
      <c r="F916" s="502">
        <v>3666.67</v>
      </c>
    </row>
    <row r="917" spans="1:6">
      <c r="A917" s="308">
        <v>43159</v>
      </c>
      <c r="B917" s="24" t="s">
        <v>484</v>
      </c>
      <c r="C917" s="24" t="s">
        <v>488</v>
      </c>
      <c r="D917" s="136" t="str">
        <f t="array" ref="D917">IF(E917=0,0,(INDEX(AccountCodes[ACCOUNT NAME],MATCH(E917,AccountCodes[NGAS CODE],0))))</f>
        <v>Other Supplies and Materials Expenses</v>
      </c>
      <c r="E917" s="309" t="s">
        <v>231</v>
      </c>
      <c r="F917" s="502">
        <v>3666.67</v>
      </c>
    </row>
    <row r="918" spans="1:6">
      <c r="A918" s="308">
        <v>43190</v>
      </c>
      <c r="B918" s="24" t="s">
        <v>484</v>
      </c>
      <c r="C918" s="24" t="s">
        <v>488</v>
      </c>
      <c r="D918" s="136" t="str">
        <f t="array" ref="D918">IF(E918=0,0,(INDEX(AccountCodes[ACCOUNT NAME],MATCH(E918,AccountCodes[NGAS CODE],0))))</f>
        <v>Other Supplies and Materials Expenses</v>
      </c>
      <c r="E918" s="309" t="s">
        <v>231</v>
      </c>
      <c r="F918" s="502">
        <v>3666.67</v>
      </c>
    </row>
    <row r="919" spans="1:6">
      <c r="A919" s="308">
        <v>43220</v>
      </c>
      <c r="B919" s="24" t="s">
        <v>484</v>
      </c>
      <c r="C919" s="24" t="s">
        <v>488</v>
      </c>
      <c r="D919" s="136" t="str">
        <f t="array" ref="D919">IF(E919=0,0,(INDEX(AccountCodes[ACCOUNT NAME],MATCH(E919,AccountCodes[NGAS CODE],0))))</f>
        <v>Other Supplies and Materials Expenses</v>
      </c>
      <c r="E919" s="309" t="s">
        <v>231</v>
      </c>
      <c r="F919" s="502">
        <v>3666.67</v>
      </c>
    </row>
    <row r="920" spans="1:6">
      <c r="A920" s="308">
        <v>43251</v>
      </c>
      <c r="B920" s="24" t="s">
        <v>484</v>
      </c>
      <c r="C920" s="24" t="s">
        <v>488</v>
      </c>
      <c r="D920" s="136" t="str">
        <f t="array" ref="D920">IF(E920=0,0,(INDEX(AccountCodes[ACCOUNT NAME],MATCH(E920,AccountCodes[NGAS CODE],0))))</f>
        <v>Other Supplies and Materials Expenses</v>
      </c>
      <c r="E920" s="309" t="s">
        <v>231</v>
      </c>
      <c r="F920" s="502">
        <v>3666.67</v>
      </c>
    </row>
    <row r="921" spans="1:6">
      <c r="A921" s="308">
        <v>43281</v>
      </c>
      <c r="B921" s="24" t="s">
        <v>484</v>
      </c>
      <c r="C921" s="24" t="s">
        <v>488</v>
      </c>
      <c r="D921" s="136" t="str">
        <f t="array" ref="D921">IF(E921=0,0,(INDEX(AccountCodes[ACCOUNT NAME],MATCH(E921,AccountCodes[NGAS CODE],0))))</f>
        <v>Other Supplies and Materials Expenses</v>
      </c>
      <c r="E921" s="309" t="s">
        <v>231</v>
      </c>
      <c r="F921" s="502">
        <v>3666.67</v>
      </c>
    </row>
    <row r="922" spans="1:6">
      <c r="A922" s="308">
        <v>43312</v>
      </c>
      <c r="B922" s="24" t="s">
        <v>484</v>
      </c>
      <c r="C922" s="24" t="s">
        <v>488</v>
      </c>
      <c r="D922" s="136" t="str">
        <f t="array" ref="D922">IF(E922=0,0,(INDEX(AccountCodes[ACCOUNT NAME],MATCH(E922,AccountCodes[NGAS CODE],0))))</f>
        <v>Other Supplies and Materials Expenses</v>
      </c>
      <c r="E922" s="309" t="s">
        <v>231</v>
      </c>
      <c r="F922" s="502">
        <v>3666.67</v>
      </c>
    </row>
    <row r="923" spans="1:6">
      <c r="A923" s="308">
        <v>43343</v>
      </c>
      <c r="B923" s="24" t="s">
        <v>484</v>
      </c>
      <c r="C923" s="24" t="s">
        <v>488</v>
      </c>
      <c r="D923" s="136" t="str">
        <f t="array" ref="D923">IF(E923=0,0,(INDEX(AccountCodes[ACCOUNT NAME],MATCH(E923,AccountCodes[NGAS CODE],0))))</f>
        <v>Other Supplies and Materials Expenses</v>
      </c>
      <c r="E923" s="309" t="s">
        <v>231</v>
      </c>
      <c r="F923" s="502">
        <v>3666.67</v>
      </c>
    </row>
    <row r="924" spans="1:6">
      <c r="A924" s="308">
        <v>43373</v>
      </c>
      <c r="B924" s="24" t="s">
        <v>484</v>
      </c>
      <c r="C924" s="24" t="s">
        <v>488</v>
      </c>
      <c r="D924" s="136" t="str">
        <f t="array" ref="D924">IF(E924=0,0,(INDEX(AccountCodes[ACCOUNT NAME],MATCH(E924,AccountCodes[NGAS CODE],0))))</f>
        <v>Other Supplies and Materials Expenses</v>
      </c>
      <c r="E924" s="309" t="s">
        <v>231</v>
      </c>
      <c r="F924" s="502">
        <v>3666.67</v>
      </c>
    </row>
    <row r="925" spans="1:6">
      <c r="A925" s="308">
        <v>43404</v>
      </c>
      <c r="B925" s="24" t="s">
        <v>484</v>
      </c>
      <c r="C925" s="24" t="s">
        <v>488</v>
      </c>
      <c r="D925" s="136" t="str">
        <f t="array" ref="D925">IF(E925=0,0,(INDEX(AccountCodes[ACCOUNT NAME],MATCH(E925,AccountCodes[NGAS CODE],0))))</f>
        <v>Other Supplies and Materials Expenses</v>
      </c>
      <c r="E925" s="309" t="s">
        <v>231</v>
      </c>
      <c r="F925" s="502">
        <v>3666.67</v>
      </c>
    </row>
    <row r="926" spans="1:6">
      <c r="A926" s="308">
        <v>43434</v>
      </c>
      <c r="B926" s="24" t="s">
        <v>484</v>
      </c>
      <c r="C926" s="24" t="s">
        <v>488</v>
      </c>
      <c r="D926" s="136" t="str">
        <f t="array" ref="D926">IF(E926=0,0,(INDEX(AccountCodes[ACCOUNT NAME],MATCH(E926,AccountCodes[NGAS CODE],0))))</f>
        <v>Other Supplies and Materials Expenses</v>
      </c>
      <c r="E926" s="309" t="s">
        <v>231</v>
      </c>
      <c r="F926" s="502">
        <v>3666.67</v>
      </c>
    </row>
    <row r="927" spans="1:6">
      <c r="A927" s="308">
        <v>43465</v>
      </c>
      <c r="B927" s="24" t="s">
        <v>484</v>
      </c>
      <c r="C927" s="24" t="s">
        <v>488</v>
      </c>
      <c r="D927" s="136" t="str">
        <f t="array" ref="D927">IF(E927=0,0,(INDEX(AccountCodes[ACCOUNT NAME],MATCH(E927,AccountCodes[NGAS CODE],0))))</f>
        <v>Other Supplies and Materials Expenses</v>
      </c>
      <c r="E927" s="309" t="s">
        <v>231</v>
      </c>
      <c r="F927" s="502">
        <v>3666.67</v>
      </c>
    </row>
    <row r="928" spans="1:6">
      <c r="A928" s="308">
        <v>43131</v>
      </c>
      <c r="B928" s="24" t="s">
        <v>484</v>
      </c>
      <c r="C928" s="24" t="s">
        <v>488</v>
      </c>
      <c r="D928" s="136" t="str">
        <f t="array" ref="D928">IF(E928=0,0,(INDEX(AccountCodes[ACCOUNT NAME],MATCH(E928,AccountCodes[NGAS CODE],0))))</f>
        <v>Electricity Expenses</v>
      </c>
      <c r="E928" s="309" t="s">
        <v>233</v>
      </c>
      <c r="F928" s="502">
        <v>4583.33</v>
      </c>
    </row>
    <row r="929" spans="1:6">
      <c r="A929" s="308">
        <v>43159</v>
      </c>
      <c r="B929" s="24" t="s">
        <v>484</v>
      </c>
      <c r="C929" s="24" t="s">
        <v>488</v>
      </c>
      <c r="D929" s="136" t="str">
        <f t="array" ref="D929">IF(E929=0,0,(INDEX(AccountCodes[ACCOUNT NAME],MATCH(E929,AccountCodes[NGAS CODE],0))))</f>
        <v>Electricity Expenses</v>
      </c>
      <c r="E929" s="309" t="s">
        <v>233</v>
      </c>
      <c r="F929" s="502">
        <v>4583.33</v>
      </c>
    </row>
    <row r="930" spans="1:6">
      <c r="A930" s="308">
        <v>43190</v>
      </c>
      <c r="B930" s="24" t="s">
        <v>484</v>
      </c>
      <c r="C930" s="24" t="s">
        <v>488</v>
      </c>
      <c r="D930" s="136" t="str">
        <f t="array" ref="D930">IF(E930=0,0,(INDEX(AccountCodes[ACCOUNT NAME],MATCH(E930,AccountCodes[NGAS CODE],0))))</f>
        <v>Electricity Expenses</v>
      </c>
      <c r="E930" s="309" t="s">
        <v>233</v>
      </c>
      <c r="F930" s="502">
        <v>4583.33</v>
      </c>
    </row>
    <row r="931" spans="1:6">
      <c r="A931" s="308">
        <v>43220</v>
      </c>
      <c r="B931" s="24" t="s">
        <v>484</v>
      </c>
      <c r="C931" s="24" t="s">
        <v>488</v>
      </c>
      <c r="D931" s="136" t="str">
        <f t="array" ref="D931">IF(E931=0,0,(INDEX(AccountCodes[ACCOUNT NAME],MATCH(E931,AccountCodes[NGAS CODE],0))))</f>
        <v>Electricity Expenses</v>
      </c>
      <c r="E931" s="309" t="s">
        <v>233</v>
      </c>
      <c r="F931" s="502">
        <v>4583.33</v>
      </c>
    </row>
    <row r="932" spans="1:6">
      <c r="A932" s="308">
        <v>43251</v>
      </c>
      <c r="B932" s="24" t="s">
        <v>484</v>
      </c>
      <c r="C932" s="24" t="s">
        <v>488</v>
      </c>
      <c r="D932" s="136" t="str">
        <f t="array" ref="D932">IF(E932=0,0,(INDEX(AccountCodes[ACCOUNT NAME],MATCH(E932,AccountCodes[NGAS CODE],0))))</f>
        <v>Electricity Expenses</v>
      </c>
      <c r="E932" s="309" t="s">
        <v>233</v>
      </c>
      <c r="F932" s="502">
        <v>4583.33</v>
      </c>
    </row>
    <row r="933" spans="1:6">
      <c r="A933" s="308">
        <v>43281</v>
      </c>
      <c r="B933" s="24" t="s">
        <v>484</v>
      </c>
      <c r="C933" s="24" t="s">
        <v>488</v>
      </c>
      <c r="D933" s="136" t="str">
        <f t="array" ref="D933">IF(E933=0,0,(INDEX(AccountCodes[ACCOUNT NAME],MATCH(E933,AccountCodes[NGAS CODE],0))))</f>
        <v>Electricity Expenses</v>
      </c>
      <c r="E933" s="309" t="s">
        <v>233</v>
      </c>
      <c r="F933" s="502">
        <v>4583.33</v>
      </c>
    </row>
    <row r="934" spans="1:6">
      <c r="A934" s="308">
        <v>43312</v>
      </c>
      <c r="B934" s="24" t="s">
        <v>484</v>
      </c>
      <c r="C934" s="24" t="s">
        <v>488</v>
      </c>
      <c r="D934" s="136" t="str">
        <f t="array" ref="D934">IF(E934=0,0,(INDEX(AccountCodes[ACCOUNT NAME],MATCH(E934,AccountCodes[NGAS CODE],0))))</f>
        <v>Electricity Expenses</v>
      </c>
      <c r="E934" s="309" t="s">
        <v>233</v>
      </c>
      <c r="F934" s="502">
        <v>4583.33</v>
      </c>
    </row>
    <row r="935" spans="1:6">
      <c r="A935" s="308">
        <v>43343</v>
      </c>
      <c r="B935" s="24" t="s">
        <v>484</v>
      </c>
      <c r="C935" s="24" t="s">
        <v>488</v>
      </c>
      <c r="D935" s="136" t="str">
        <f t="array" ref="D935">IF(E935=0,0,(INDEX(AccountCodes[ACCOUNT NAME],MATCH(E935,AccountCodes[NGAS CODE],0))))</f>
        <v>Electricity Expenses</v>
      </c>
      <c r="E935" s="309" t="s">
        <v>233</v>
      </c>
      <c r="F935" s="502">
        <v>4583.33</v>
      </c>
    </row>
    <row r="936" spans="1:6">
      <c r="A936" s="308">
        <v>43373</v>
      </c>
      <c r="B936" s="24" t="s">
        <v>484</v>
      </c>
      <c r="C936" s="24" t="s">
        <v>488</v>
      </c>
      <c r="D936" s="136" t="str">
        <f t="array" ref="D936">IF(E936=0,0,(INDEX(AccountCodes[ACCOUNT NAME],MATCH(E936,AccountCodes[NGAS CODE],0))))</f>
        <v>Electricity Expenses</v>
      </c>
      <c r="E936" s="309" t="s">
        <v>233</v>
      </c>
      <c r="F936" s="502">
        <v>4583.33</v>
      </c>
    </row>
    <row r="937" spans="1:6">
      <c r="A937" s="308">
        <v>43404</v>
      </c>
      <c r="B937" s="24" t="s">
        <v>484</v>
      </c>
      <c r="C937" s="24" t="s">
        <v>488</v>
      </c>
      <c r="D937" s="136" t="str">
        <f t="array" ref="D937">IF(E937=0,0,(INDEX(AccountCodes[ACCOUNT NAME],MATCH(E937,AccountCodes[NGAS CODE],0))))</f>
        <v>Electricity Expenses</v>
      </c>
      <c r="E937" s="309" t="s">
        <v>233</v>
      </c>
      <c r="F937" s="502">
        <v>4583.33</v>
      </c>
    </row>
    <row r="938" spans="1:6">
      <c r="A938" s="308">
        <v>43434</v>
      </c>
      <c r="B938" s="24" t="s">
        <v>484</v>
      </c>
      <c r="C938" s="24" t="s">
        <v>488</v>
      </c>
      <c r="D938" s="136" t="str">
        <f t="array" ref="D938">IF(E938=0,0,(INDEX(AccountCodes[ACCOUNT NAME],MATCH(E938,AccountCodes[NGAS CODE],0))))</f>
        <v>Electricity Expenses</v>
      </c>
      <c r="E938" s="309" t="s">
        <v>233</v>
      </c>
      <c r="F938" s="502">
        <v>4583.33</v>
      </c>
    </row>
    <row r="939" spans="1:6">
      <c r="A939" s="308">
        <v>43465</v>
      </c>
      <c r="B939" s="24" t="s">
        <v>484</v>
      </c>
      <c r="C939" s="24" t="s">
        <v>488</v>
      </c>
      <c r="D939" s="136" t="str">
        <f t="array" ref="D939">IF(E939=0,0,(INDEX(AccountCodes[ACCOUNT NAME],MATCH(E939,AccountCodes[NGAS CODE],0))))</f>
        <v>Electricity Expenses</v>
      </c>
      <c r="E939" s="309" t="s">
        <v>233</v>
      </c>
      <c r="F939" s="502">
        <v>4583.33</v>
      </c>
    </row>
    <row r="940" spans="1:6">
      <c r="A940" s="308">
        <v>43131</v>
      </c>
      <c r="B940" s="24" t="s">
        <v>484</v>
      </c>
      <c r="C940" s="24" t="s">
        <v>488</v>
      </c>
      <c r="D940" s="136" t="str">
        <f t="array" ref="D940">IF(E940=0,0,(INDEX(AccountCodes[ACCOUNT NAME],MATCH(E940,AccountCodes[NGAS CODE],0))))</f>
        <v>Telephone Expenses - Landline</v>
      </c>
      <c r="E940" s="309" t="s">
        <v>235</v>
      </c>
      <c r="F940" s="502">
        <v>3300</v>
      </c>
    </row>
    <row r="941" spans="1:6">
      <c r="A941" s="308">
        <v>43159</v>
      </c>
      <c r="B941" s="24" t="s">
        <v>484</v>
      </c>
      <c r="C941" s="24" t="s">
        <v>488</v>
      </c>
      <c r="D941" s="136" t="str">
        <f t="array" ref="D941">IF(E941=0,0,(INDEX(AccountCodes[ACCOUNT NAME],MATCH(E941,AccountCodes[NGAS CODE],0))))</f>
        <v>Telephone Expenses - Landline</v>
      </c>
      <c r="E941" s="309" t="s">
        <v>235</v>
      </c>
      <c r="F941" s="502">
        <v>3300</v>
      </c>
    </row>
    <row r="942" spans="1:6">
      <c r="A942" s="308">
        <v>43190</v>
      </c>
      <c r="B942" s="24" t="s">
        <v>484</v>
      </c>
      <c r="C942" s="24" t="s">
        <v>488</v>
      </c>
      <c r="D942" s="136" t="str">
        <f t="array" ref="D942">IF(E942=0,0,(INDEX(AccountCodes[ACCOUNT NAME],MATCH(E942,AccountCodes[NGAS CODE],0))))</f>
        <v>Telephone Expenses - Landline</v>
      </c>
      <c r="E942" s="309" t="s">
        <v>235</v>
      </c>
      <c r="F942" s="502">
        <v>3300</v>
      </c>
    </row>
    <row r="943" spans="1:6">
      <c r="A943" s="308">
        <v>43220</v>
      </c>
      <c r="B943" s="24" t="s">
        <v>484</v>
      </c>
      <c r="C943" s="24" t="s">
        <v>488</v>
      </c>
      <c r="D943" s="136" t="str">
        <f t="array" ref="D943">IF(E943=0,0,(INDEX(AccountCodes[ACCOUNT NAME],MATCH(E943,AccountCodes[NGAS CODE],0))))</f>
        <v>Telephone Expenses - Landline</v>
      </c>
      <c r="E943" s="309" t="s">
        <v>235</v>
      </c>
      <c r="F943" s="502">
        <v>3300</v>
      </c>
    </row>
    <row r="944" spans="1:6">
      <c r="A944" s="308">
        <v>43251</v>
      </c>
      <c r="B944" s="24" t="s">
        <v>484</v>
      </c>
      <c r="C944" s="24" t="s">
        <v>488</v>
      </c>
      <c r="D944" s="136" t="str">
        <f t="array" ref="D944">IF(E944=0,0,(INDEX(AccountCodes[ACCOUNT NAME],MATCH(E944,AccountCodes[NGAS CODE],0))))</f>
        <v>Telephone Expenses - Landline</v>
      </c>
      <c r="E944" s="309" t="s">
        <v>235</v>
      </c>
      <c r="F944" s="502">
        <v>3300</v>
      </c>
    </row>
    <row r="945" spans="1:6">
      <c r="A945" s="308">
        <v>43281</v>
      </c>
      <c r="B945" s="24" t="s">
        <v>484</v>
      </c>
      <c r="C945" s="24" t="s">
        <v>488</v>
      </c>
      <c r="D945" s="136" t="str">
        <f t="array" ref="D945">IF(E945=0,0,(INDEX(AccountCodes[ACCOUNT NAME],MATCH(E945,AccountCodes[NGAS CODE],0))))</f>
        <v>Telephone Expenses - Landline</v>
      </c>
      <c r="E945" s="309" t="s">
        <v>235</v>
      </c>
      <c r="F945" s="502">
        <v>3300</v>
      </c>
    </row>
    <row r="946" spans="1:6">
      <c r="A946" s="308">
        <v>43312</v>
      </c>
      <c r="B946" s="24" t="s">
        <v>484</v>
      </c>
      <c r="C946" s="24" t="s">
        <v>488</v>
      </c>
      <c r="D946" s="136" t="str">
        <f t="array" ref="D946">IF(E946=0,0,(INDEX(AccountCodes[ACCOUNT NAME],MATCH(E946,AccountCodes[NGAS CODE],0))))</f>
        <v>Telephone Expenses - Landline</v>
      </c>
      <c r="E946" s="309" t="s">
        <v>235</v>
      </c>
      <c r="F946" s="502">
        <v>3300</v>
      </c>
    </row>
    <row r="947" spans="1:6">
      <c r="A947" s="308">
        <v>43343</v>
      </c>
      <c r="B947" s="24" t="s">
        <v>484</v>
      </c>
      <c r="C947" s="24" t="s">
        <v>488</v>
      </c>
      <c r="D947" s="136" t="str">
        <f t="array" ref="D947">IF(E947=0,0,(INDEX(AccountCodes[ACCOUNT NAME],MATCH(E947,AccountCodes[NGAS CODE],0))))</f>
        <v>Telephone Expenses - Landline</v>
      </c>
      <c r="E947" s="309" t="s">
        <v>235</v>
      </c>
      <c r="F947" s="502">
        <v>3300</v>
      </c>
    </row>
    <row r="948" spans="1:6">
      <c r="A948" s="308">
        <v>43373</v>
      </c>
      <c r="B948" s="24" t="s">
        <v>484</v>
      </c>
      <c r="C948" s="24" t="s">
        <v>488</v>
      </c>
      <c r="D948" s="136" t="str">
        <f t="array" ref="D948">IF(E948=0,0,(INDEX(AccountCodes[ACCOUNT NAME],MATCH(E948,AccountCodes[NGAS CODE],0))))</f>
        <v>Telephone Expenses - Landline</v>
      </c>
      <c r="E948" s="309" t="s">
        <v>235</v>
      </c>
      <c r="F948" s="502">
        <v>3300</v>
      </c>
    </row>
    <row r="949" spans="1:6">
      <c r="A949" s="308">
        <v>43404</v>
      </c>
      <c r="B949" s="24" t="s">
        <v>484</v>
      </c>
      <c r="C949" s="24" t="s">
        <v>488</v>
      </c>
      <c r="D949" s="136" t="str">
        <f t="array" ref="D949">IF(E949=0,0,(INDEX(AccountCodes[ACCOUNT NAME],MATCH(E949,AccountCodes[NGAS CODE],0))))</f>
        <v>Telephone Expenses - Landline</v>
      </c>
      <c r="E949" s="309" t="s">
        <v>235</v>
      </c>
      <c r="F949" s="502">
        <v>3300</v>
      </c>
    </row>
    <row r="950" spans="1:6">
      <c r="A950" s="308">
        <v>43434</v>
      </c>
      <c r="B950" s="24" t="s">
        <v>484</v>
      </c>
      <c r="C950" s="24" t="s">
        <v>488</v>
      </c>
      <c r="D950" s="136" t="str">
        <f t="array" ref="D950">IF(E950=0,0,(INDEX(AccountCodes[ACCOUNT NAME],MATCH(E950,AccountCodes[NGAS CODE],0))))</f>
        <v>Telephone Expenses - Landline</v>
      </c>
      <c r="E950" s="309" t="s">
        <v>235</v>
      </c>
      <c r="F950" s="502">
        <v>3300</v>
      </c>
    </row>
    <row r="951" spans="1:6">
      <c r="A951" s="308">
        <v>43465</v>
      </c>
      <c r="B951" s="24" t="s">
        <v>484</v>
      </c>
      <c r="C951" s="24" t="s">
        <v>488</v>
      </c>
      <c r="D951" s="136" t="str">
        <f t="array" ref="D951">IF(E951=0,0,(INDEX(AccountCodes[ACCOUNT NAME],MATCH(E951,AccountCodes[NGAS CODE],0))))</f>
        <v>Telephone Expenses - Landline</v>
      </c>
      <c r="E951" s="309" t="s">
        <v>235</v>
      </c>
      <c r="F951" s="502">
        <v>3300</v>
      </c>
    </row>
    <row r="952" spans="1:6">
      <c r="A952" s="308">
        <v>43281</v>
      </c>
      <c r="B952" s="24" t="s">
        <v>484</v>
      </c>
      <c r="C952" s="24" t="s">
        <v>488</v>
      </c>
      <c r="D952" s="136" t="str">
        <f t="array" ref="D952">IF(E952=0,0,(INDEX(AccountCodes[ACCOUNT NAME],MATCH(E952,AccountCodes[NGAS CODE],0))))</f>
        <v>Other Professional Services</v>
      </c>
      <c r="E952" s="309" t="s">
        <v>250</v>
      </c>
      <c r="F952" s="502">
        <v>30000</v>
      </c>
    </row>
    <row r="953" spans="1:6">
      <c r="A953" s="308">
        <v>43404</v>
      </c>
      <c r="B953" s="24" t="s">
        <v>484</v>
      </c>
      <c r="C953" s="24" t="s">
        <v>488</v>
      </c>
      <c r="D953" s="136" t="str">
        <f t="array" ref="D953">IF(E953=0,0,(INDEX(AccountCodes[ACCOUNT NAME],MATCH(E953,AccountCodes[NGAS CODE],0))))</f>
        <v>Other Professional Services</v>
      </c>
      <c r="E953" s="309" t="s">
        <v>250</v>
      </c>
      <c r="F953" s="502">
        <v>900</v>
      </c>
    </row>
    <row r="954" spans="1:6">
      <c r="A954" s="308">
        <v>43465</v>
      </c>
      <c r="B954" s="24" t="s">
        <v>484</v>
      </c>
      <c r="C954" s="24" t="s">
        <v>488</v>
      </c>
      <c r="D954" s="136" t="str">
        <f t="array" ref="D954">IF(E954=0,0,(INDEX(AccountCodes[ACCOUNT NAME],MATCH(E954,AccountCodes[NGAS CODE],0))))</f>
        <v>Other Professional Services</v>
      </c>
      <c r="E954" s="309" t="s">
        <v>250</v>
      </c>
      <c r="F954" s="502">
        <v>7500</v>
      </c>
    </row>
    <row r="955" spans="1:6">
      <c r="A955" s="308">
        <v>43131</v>
      </c>
      <c r="B955" s="24" t="s">
        <v>484</v>
      </c>
      <c r="C955" s="24" t="s">
        <v>488</v>
      </c>
      <c r="D955" s="136" t="str">
        <f t="array" ref="D955">IF(E955=0,0,(INDEX(AccountCodes[ACCOUNT NAME],MATCH(E955,AccountCodes[NGAS CODE],0))))</f>
        <v>Repairs and Maintenance-Transportation Equipment - Motor Vehicles</v>
      </c>
      <c r="E955" s="309" t="s">
        <v>262</v>
      </c>
      <c r="F955" s="502">
        <v>5120.72</v>
      </c>
    </row>
    <row r="956" spans="1:6">
      <c r="A956" s="308">
        <v>43159</v>
      </c>
      <c r="B956" s="24" t="s">
        <v>484</v>
      </c>
      <c r="C956" s="24" t="s">
        <v>488</v>
      </c>
      <c r="D956" s="136" t="str">
        <f t="array" ref="D956">IF(E956=0,0,(INDEX(AccountCodes[ACCOUNT NAME],MATCH(E956,AccountCodes[NGAS CODE],0))))</f>
        <v>Repairs and Maintenance-Transportation Equipment - Motor Vehicles</v>
      </c>
      <c r="E956" s="309" t="s">
        <v>262</v>
      </c>
      <c r="F956" s="502">
        <v>5120.72</v>
      </c>
    </row>
    <row r="957" spans="1:6">
      <c r="A957" s="308">
        <v>43190</v>
      </c>
      <c r="B957" s="24" t="s">
        <v>484</v>
      </c>
      <c r="C957" s="24" t="s">
        <v>488</v>
      </c>
      <c r="D957" s="136" t="str">
        <f t="array" ref="D957">IF(E957=0,0,(INDEX(AccountCodes[ACCOUNT NAME],MATCH(E957,AccountCodes[NGAS CODE],0))))</f>
        <v>Repairs and Maintenance-Transportation Equipment - Motor Vehicles</v>
      </c>
      <c r="E957" s="309" t="s">
        <v>262</v>
      </c>
      <c r="F957" s="502">
        <v>5120.72</v>
      </c>
    </row>
    <row r="958" spans="1:6">
      <c r="A958" s="308">
        <v>43220</v>
      </c>
      <c r="B958" s="24" t="s">
        <v>484</v>
      </c>
      <c r="C958" s="24" t="s">
        <v>488</v>
      </c>
      <c r="D958" s="136" t="str">
        <f t="array" ref="D958">IF(E958=0,0,(INDEX(AccountCodes[ACCOUNT NAME],MATCH(E958,AccountCodes[NGAS CODE],0))))</f>
        <v>Repairs and Maintenance-Transportation Equipment - Motor Vehicles</v>
      </c>
      <c r="E958" s="309" t="s">
        <v>262</v>
      </c>
      <c r="F958" s="502">
        <v>5120.72</v>
      </c>
    </row>
    <row r="959" spans="1:6">
      <c r="A959" s="308">
        <v>43251</v>
      </c>
      <c r="B959" s="24" t="s">
        <v>484</v>
      </c>
      <c r="C959" s="24" t="s">
        <v>488</v>
      </c>
      <c r="D959" s="136" t="str">
        <f t="array" ref="D959">IF(E959=0,0,(INDEX(AccountCodes[ACCOUNT NAME],MATCH(E959,AccountCodes[NGAS CODE],0))))</f>
        <v>Repairs and Maintenance-Transportation Equipment - Motor Vehicles</v>
      </c>
      <c r="E959" s="309" t="s">
        <v>262</v>
      </c>
      <c r="F959" s="502">
        <v>5120.72</v>
      </c>
    </row>
    <row r="960" spans="1:6">
      <c r="A960" s="308">
        <v>43281</v>
      </c>
      <c r="B960" s="24" t="s">
        <v>484</v>
      </c>
      <c r="C960" s="24" t="s">
        <v>488</v>
      </c>
      <c r="D960" s="136" t="str">
        <f t="array" ref="D960">IF(E960=0,0,(INDEX(AccountCodes[ACCOUNT NAME],MATCH(E960,AccountCodes[NGAS CODE],0))))</f>
        <v>Repairs and Maintenance-Transportation Equipment - Motor Vehicles</v>
      </c>
      <c r="E960" s="309" t="s">
        <v>262</v>
      </c>
      <c r="F960" s="502">
        <v>5120.72</v>
      </c>
    </row>
    <row r="961" spans="1:6">
      <c r="A961" s="308">
        <v>43312</v>
      </c>
      <c r="B961" s="24" t="s">
        <v>484</v>
      </c>
      <c r="C961" s="24" t="s">
        <v>488</v>
      </c>
      <c r="D961" s="136" t="str">
        <f t="array" ref="D961">IF(E961=0,0,(INDEX(AccountCodes[ACCOUNT NAME],MATCH(E961,AccountCodes[NGAS CODE],0))))</f>
        <v>Repairs and Maintenance-Transportation Equipment - Motor Vehicles</v>
      </c>
      <c r="E961" s="309" t="s">
        <v>262</v>
      </c>
      <c r="F961" s="502">
        <v>5120.72</v>
      </c>
    </row>
    <row r="962" spans="1:6">
      <c r="A962" s="308">
        <v>43343</v>
      </c>
      <c r="B962" s="24" t="s">
        <v>484</v>
      </c>
      <c r="C962" s="24" t="s">
        <v>488</v>
      </c>
      <c r="D962" s="136" t="str">
        <f t="array" ref="D962">IF(E962=0,0,(INDEX(AccountCodes[ACCOUNT NAME],MATCH(E962,AccountCodes[NGAS CODE],0))))</f>
        <v>Repairs and Maintenance-Transportation Equipment - Motor Vehicles</v>
      </c>
      <c r="E962" s="309" t="s">
        <v>262</v>
      </c>
      <c r="F962" s="502">
        <v>5120.72</v>
      </c>
    </row>
    <row r="963" spans="1:6">
      <c r="A963" s="308">
        <v>43373</v>
      </c>
      <c r="B963" s="24" t="s">
        <v>484</v>
      </c>
      <c r="C963" s="24" t="s">
        <v>488</v>
      </c>
      <c r="D963" s="136" t="str">
        <f t="array" ref="D963">IF(E963=0,0,(INDEX(AccountCodes[ACCOUNT NAME],MATCH(E963,AccountCodes[NGAS CODE],0))))</f>
        <v>Repairs and Maintenance-Transportation Equipment - Motor Vehicles</v>
      </c>
      <c r="E963" s="309" t="s">
        <v>262</v>
      </c>
      <c r="F963" s="502">
        <v>5120.72</v>
      </c>
    </row>
    <row r="964" spans="1:6">
      <c r="A964" s="308">
        <v>43404</v>
      </c>
      <c r="B964" s="24" t="s">
        <v>484</v>
      </c>
      <c r="C964" s="24" t="s">
        <v>488</v>
      </c>
      <c r="D964" s="136" t="str">
        <f t="array" ref="D964">IF(E964=0,0,(INDEX(AccountCodes[ACCOUNT NAME],MATCH(E964,AccountCodes[NGAS CODE],0))))</f>
        <v>Repairs and Maintenance-Transportation Equipment - Motor Vehicles</v>
      </c>
      <c r="E964" s="309" t="s">
        <v>262</v>
      </c>
      <c r="F964" s="502">
        <v>5120.72</v>
      </c>
    </row>
    <row r="965" spans="1:6">
      <c r="A965" s="308">
        <v>43434</v>
      </c>
      <c r="B965" s="24" t="s">
        <v>484</v>
      </c>
      <c r="C965" s="24" t="s">
        <v>488</v>
      </c>
      <c r="D965" s="136" t="str">
        <f t="array" ref="D965">IF(E965=0,0,(INDEX(AccountCodes[ACCOUNT NAME],MATCH(E965,AccountCodes[NGAS CODE],0))))</f>
        <v>Repairs and Maintenance-Transportation Equipment - Motor Vehicles</v>
      </c>
      <c r="E965" s="309" t="s">
        <v>262</v>
      </c>
      <c r="F965" s="502">
        <v>5120.72</v>
      </c>
    </row>
    <row r="966" spans="1:6">
      <c r="A966" s="308">
        <v>43465</v>
      </c>
      <c r="B966" s="24" t="s">
        <v>484</v>
      </c>
      <c r="C966" s="24" t="s">
        <v>488</v>
      </c>
      <c r="D966" s="136" t="str">
        <f t="array" ref="D966">IF(E966=0,0,(INDEX(AccountCodes[ACCOUNT NAME],MATCH(E966,AccountCodes[NGAS CODE],0))))</f>
        <v>Repairs and Maintenance-Transportation Equipment - Motor Vehicles</v>
      </c>
      <c r="E966" s="309" t="s">
        <v>262</v>
      </c>
      <c r="F966" s="502">
        <v>5120.72</v>
      </c>
    </row>
    <row r="967" spans="1:6">
      <c r="A967" s="308">
        <v>43131</v>
      </c>
      <c r="B967" s="24" t="s">
        <v>484</v>
      </c>
      <c r="C967" s="24" t="s">
        <v>488</v>
      </c>
      <c r="D967" s="136" t="str">
        <f t="array" ref="D967">IF(E967=0,0,(INDEX(AccountCodes[ACCOUNT NAME],MATCH(E967,AccountCodes[NGAS CODE],0))))</f>
        <v>Taxes, Duties and Licenses</v>
      </c>
      <c r="E967" s="309" t="s">
        <v>272</v>
      </c>
      <c r="F967" s="502">
        <v>12626.45</v>
      </c>
    </row>
    <row r="968" spans="1:6">
      <c r="A968" s="308">
        <v>43190</v>
      </c>
      <c r="B968" s="24" t="s">
        <v>484</v>
      </c>
      <c r="C968" s="24" t="s">
        <v>488</v>
      </c>
      <c r="D968" s="136" t="str">
        <f t="array" ref="D968">IF(E968=0,0,(INDEX(AccountCodes[ACCOUNT NAME],MATCH(E968,AccountCodes[NGAS CODE],0))))</f>
        <v>Taxes, Duties and Licenses</v>
      </c>
      <c r="E968" s="309" t="s">
        <v>272</v>
      </c>
      <c r="F968" s="502">
        <v>3979</v>
      </c>
    </row>
    <row r="969" spans="1:6">
      <c r="A969" s="308">
        <v>43251</v>
      </c>
      <c r="B969" s="24" t="s">
        <v>484</v>
      </c>
      <c r="C969" s="24" t="s">
        <v>488</v>
      </c>
      <c r="D969" s="136" t="str">
        <f t="array" ref="D969">IF(E969=0,0,(INDEX(AccountCodes[ACCOUNT NAME],MATCH(E969,AccountCodes[NGAS CODE],0))))</f>
        <v>Taxes, Duties and Licenses</v>
      </c>
      <c r="E969" s="309" t="s">
        <v>272</v>
      </c>
      <c r="F969" s="502">
        <v>4643.12</v>
      </c>
    </row>
    <row r="970" spans="1:6">
      <c r="A970" s="308">
        <v>43131</v>
      </c>
      <c r="B970" s="24" t="s">
        <v>484</v>
      </c>
      <c r="C970" s="24" t="s">
        <v>488</v>
      </c>
      <c r="D970" s="136" t="str">
        <f t="array" ref="D970">IF(E970=0,0,(INDEX(AccountCodes[ACCOUNT NAME],MATCH(E970,AccountCodes[NGAS CODE],0))))</f>
        <v>Other Maintenance and Operating Expenses (Irrigator's Share/Remuneration/Subsidy)</v>
      </c>
      <c r="E970" s="309" t="s">
        <v>333</v>
      </c>
      <c r="F970" s="502">
        <v>14833.33</v>
      </c>
    </row>
    <row r="971" spans="1:6">
      <c r="A971" s="308">
        <v>43159</v>
      </c>
      <c r="B971" s="24" t="s">
        <v>484</v>
      </c>
      <c r="C971" s="24" t="s">
        <v>488</v>
      </c>
      <c r="D971" s="136" t="str">
        <f t="array" ref="D971">IF(E971=0,0,(INDEX(AccountCodes[ACCOUNT NAME],MATCH(E971,AccountCodes[NGAS CODE],0))))</f>
        <v>Other Maintenance and Operating Expenses (Irrigator's Share/Remuneration/Subsidy)</v>
      </c>
      <c r="E971" s="309" t="s">
        <v>333</v>
      </c>
      <c r="F971" s="502">
        <v>14833.33</v>
      </c>
    </row>
    <row r="972" spans="1:6">
      <c r="A972" s="308">
        <v>43190</v>
      </c>
      <c r="B972" s="24" t="s">
        <v>484</v>
      </c>
      <c r="C972" s="24" t="s">
        <v>488</v>
      </c>
      <c r="D972" s="136" t="str">
        <f t="array" ref="D972">IF(E972=0,0,(INDEX(AccountCodes[ACCOUNT NAME],MATCH(E972,AccountCodes[NGAS CODE],0))))</f>
        <v>Other Maintenance and Operating Expenses (Irrigator's Share/Remuneration/Subsidy)</v>
      </c>
      <c r="E972" s="309" t="s">
        <v>333</v>
      </c>
      <c r="F972" s="502">
        <v>14833.33</v>
      </c>
    </row>
    <row r="973" spans="1:6">
      <c r="A973" s="308">
        <v>43220</v>
      </c>
      <c r="B973" s="24" t="s">
        <v>484</v>
      </c>
      <c r="C973" s="24" t="s">
        <v>488</v>
      </c>
      <c r="D973" s="136" t="str">
        <f t="array" ref="D973">IF(E973=0,0,(INDEX(AccountCodes[ACCOUNT NAME],MATCH(E973,AccountCodes[NGAS CODE],0))))</f>
        <v>Other Maintenance and Operating Expenses (Irrigator's Share/Remuneration/Subsidy)</v>
      </c>
      <c r="E973" s="309" t="s">
        <v>333</v>
      </c>
      <c r="F973" s="502">
        <v>14833.33</v>
      </c>
    </row>
    <row r="974" spans="1:6">
      <c r="A974" s="308">
        <v>43251</v>
      </c>
      <c r="B974" s="24" t="s">
        <v>484</v>
      </c>
      <c r="C974" s="24" t="s">
        <v>488</v>
      </c>
      <c r="D974" s="136" t="str">
        <f t="array" ref="D974">IF(E974=0,0,(INDEX(AccountCodes[ACCOUNT NAME],MATCH(E974,AccountCodes[NGAS CODE],0))))</f>
        <v>Other Maintenance and Operating Expenses (Irrigator's Share/Remuneration/Subsidy)</v>
      </c>
      <c r="E974" s="309" t="s">
        <v>333</v>
      </c>
      <c r="F974" s="502">
        <v>14833.33</v>
      </c>
    </row>
    <row r="975" spans="1:6">
      <c r="A975" s="308">
        <v>43281</v>
      </c>
      <c r="B975" s="24" t="s">
        <v>484</v>
      </c>
      <c r="C975" s="24" t="s">
        <v>488</v>
      </c>
      <c r="D975" s="136" t="str">
        <f t="array" ref="D975">IF(E975=0,0,(INDEX(AccountCodes[ACCOUNT NAME],MATCH(E975,AccountCodes[NGAS CODE],0))))</f>
        <v>Other Maintenance and Operating Expenses (Irrigator's Share/Remuneration/Subsidy)</v>
      </c>
      <c r="E975" s="309" t="s">
        <v>333</v>
      </c>
      <c r="F975" s="502">
        <v>14833.33</v>
      </c>
    </row>
    <row r="976" spans="1:6">
      <c r="A976" s="308">
        <v>43312</v>
      </c>
      <c r="B976" s="24" t="s">
        <v>484</v>
      </c>
      <c r="C976" s="24" t="s">
        <v>488</v>
      </c>
      <c r="D976" s="136" t="str">
        <f t="array" ref="D976">IF(E976=0,0,(INDEX(AccountCodes[ACCOUNT NAME],MATCH(E976,AccountCodes[NGAS CODE],0))))</f>
        <v>Other Maintenance and Operating Expenses (Irrigator's Share/Remuneration/Subsidy)</v>
      </c>
      <c r="E976" s="309" t="s">
        <v>333</v>
      </c>
      <c r="F976" s="502">
        <v>14833.33</v>
      </c>
    </row>
    <row r="977" spans="1:6">
      <c r="A977" s="308">
        <v>43343</v>
      </c>
      <c r="B977" s="24" t="s">
        <v>484</v>
      </c>
      <c r="C977" s="24" t="s">
        <v>488</v>
      </c>
      <c r="D977" s="136" t="str">
        <f t="array" ref="D977">IF(E977=0,0,(INDEX(AccountCodes[ACCOUNT NAME],MATCH(E977,AccountCodes[NGAS CODE],0))))</f>
        <v>Other Maintenance and Operating Expenses (Irrigator's Share/Remuneration/Subsidy)</v>
      </c>
      <c r="E977" s="309" t="s">
        <v>333</v>
      </c>
      <c r="F977" s="502">
        <v>14833.33</v>
      </c>
    </row>
    <row r="978" spans="1:6">
      <c r="A978" s="308">
        <v>43373</v>
      </c>
      <c r="B978" s="24" t="s">
        <v>484</v>
      </c>
      <c r="C978" s="24" t="s">
        <v>488</v>
      </c>
      <c r="D978" s="136" t="str">
        <f t="array" ref="D978">IF(E978=0,0,(INDEX(AccountCodes[ACCOUNT NAME],MATCH(E978,AccountCodes[NGAS CODE],0))))</f>
        <v>Other Maintenance and Operating Expenses (Irrigator's Share/Remuneration/Subsidy)</v>
      </c>
      <c r="E978" s="309" t="s">
        <v>333</v>
      </c>
      <c r="F978" s="502">
        <v>14833.33</v>
      </c>
    </row>
    <row r="979" spans="1:6">
      <c r="A979" s="308">
        <v>43404</v>
      </c>
      <c r="B979" s="24" t="s">
        <v>484</v>
      </c>
      <c r="C979" s="24" t="s">
        <v>488</v>
      </c>
      <c r="D979" s="136" t="str">
        <f t="array" ref="D979">IF(E979=0,0,(INDEX(AccountCodes[ACCOUNT NAME],MATCH(E979,AccountCodes[NGAS CODE],0))))</f>
        <v>Other Maintenance and Operating Expenses (Irrigator's Share/Remuneration/Subsidy)</v>
      </c>
      <c r="E979" s="309" t="s">
        <v>333</v>
      </c>
      <c r="F979" s="502">
        <v>14833.33</v>
      </c>
    </row>
    <row r="980" spans="1:6">
      <c r="A980" s="308">
        <v>43434</v>
      </c>
      <c r="B980" s="24" t="s">
        <v>484</v>
      </c>
      <c r="C980" s="24" t="s">
        <v>488</v>
      </c>
      <c r="D980" s="136" t="str">
        <f t="array" ref="D980">IF(E980=0,0,(INDEX(AccountCodes[ACCOUNT NAME],MATCH(E980,AccountCodes[NGAS CODE],0))))</f>
        <v>Other Maintenance and Operating Expenses (Irrigator's Share/Remuneration/Subsidy)</v>
      </c>
      <c r="E980" s="309" t="s">
        <v>333</v>
      </c>
      <c r="F980" s="502">
        <v>14833.33</v>
      </c>
    </row>
    <row r="981" spans="1:6">
      <c r="A981" s="308">
        <v>43465</v>
      </c>
      <c r="B981" s="24" t="s">
        <v>484</v>
      </c>
      <c r="C981" s="24" t="s">
        <v>488</v>
      </c>
      <c r="D981" s="136" t="str">
        <f t="array" ref="D981">IF(E981=0,0,(INDEX(AccountCodes[ACCOUNT NAME],MATCH(E981,AccountCodes[NGAS CODE],0))))</f>
        <v>Other Maintenance and Operating Expenses (Irrigator's Share/Remuneration/Subsidy)</v>
      </c>
      <c r="E981" s="309" t="s">
        <v>333</v>
      </c>
      <c r="F981" s="502">
        <v>14833.33</v>
      </c>
    </row>
    <row r="982" spans="1:6">
      <c r="A982" s="308">
        <v>43131</v>
      </c>
      <c r="B982" s="24" t="s">
        <v>484</v>
      </c>
      <c r="C982" s="24" t="s">
        <v>488</v>
      </c>
      <c r="D982" s="136" t="str">
        <f t="array" ref="D982">IF(E982=0,0,(INDEX(AccountCodes[ACCOUNT NAME],MATCH(E982,AccountCodes[NGAS CODE],0))))</f>
        <v>Repairs and Maintenance-Buildings and Other Structures - Buildings</v>
      </c>
      <c r="E982" s="309" t="s">
        <v>251</v>
      </c>
      <c r="F982" s="502">
        <v>41666.67</v>
      </c>
    </row>
    <row r="983" spans="1:6">
      <c r="A983" s="308">
        <v>43159</v>
      </c>
      <c r="B983" s="24" t="s">
        <v>484</v>
      </c>
      <c r="C983" s="24" t="s">
        <v>488</v>
      </c>
      <c r="D983" s="136" t="str">
        <f t="array" ref="D983">IF(E983=0,0,(INDEX(AccountCodes[ACCOUNT NAME],MATCH(E983,AccountCodes[NGAS CODE],0))))</f>
        <v>Repairs and Maintenance-Buildings and Other Structures - Buildings</v>
      </c>
      <c r="E983" s="309" t="s">
        <v>251</v>
      </c>
      <c r="F983" s="502">
        <v>41666.67</v>
      </c>
    </row>
    <row r="984" spans="1:6">
      <c r="A984" s="308">
        <v>43190</v>
      </c>
      <c r="B984" s="24" t="s">
        <v>484</v>
      </c>
      <c r="C984" s="24" t="s">
        <v>488</v>
      </c>
      <c r="D984" s="136" t="str">
        <f t="array" ref="D984">IF(E984=0,0,(INDEX(AccountCodes[ACCOUNT NAME],MATCH(E984,AccountCodes[NGAS CODE],0))))</f>
        <v>Repairs and Maintenance-Buildings and Other Structures - Buildings</v>
      </c>
      <c r="E984" s="309" t="s">
        <v>251</v>
      </c>
      <c r="F984" s="502">
        <v>41666.67</v>
      </c>
    </row>
    <row r="985" spans="1:6">
      <c r="A985" s="308">
        <v>43220</v>
      </c>
      <c r="B985" s="24" t="s">
        <v>484</v>
      </c>
      <c r="C985" s="24" t="s">
        <v>488</v>
      </c>
      <c r="D985" s="136" t="str">
        <f t="array" ref="D985">IF(E985=0,0,(INDEX(AccountCodes[ACCOUNT NAME],MATCH(E985,AccountCodes[NGAS CODE],0))))</f>
        <v>Repairs and Maintenance-Buildings and Other Structures - Buildings</v>
      </c>
      <c r="E985" s="309" t="s">
        <v>251</v>
      </c>
      <c r="F985" s="502">
        <v>41666.67</v>
      </c>
    </row>
    <row r="986" spans="1:6">
      <c r="A986" s="308">
        <v>43251</v>
      </c>
      <c r="B986" s="24" t="s">
        <v>484</v>
      </c>
      <c r="C986" s="24" t="s">
        <v>488</v>
      </c>
      <c r="D986" s="136" t="str">
        <f t="array" ref="D986">IF(E986=0,0,(INDEX(AccountCodes[ACCOUNT NAME],MATCH(E986,AccountCodes[NGAS CODE],0))))</f>
        <v>Repairs and Maintenance-Buildings and Other Structures - Buildings</v>
      </c>
      <c r="E986" s="309" t="s">
        <v>251</v>
      </c>
      <c r="F986" s="502">
        <v>41666.67</v>
      </c>
    </row>
    <row r="987" spans="1:6">
      <c r="A987" s="308">
        <v>43281</v>
      </c>
      <c r="B987" s="24" t="s">
        <v>484</v>
      </c>
      <c r="C987" s="24" t="s">
        <v>488</v>
      </c>
      <c r="D987" s="136" t="str">
        <f t="array" ref="D987">IF(E987=0,0,(INDEX(AccountCodes[ACCOUNT NAME],MATCH(E987,AccountCodes[NGAS CODE],0))))</f>
        <v>Repairs and Maintenance-Buildings and Other Structures - Buildings</v>
      </c>
      <c r="E987" s="309" t="s">
        <v>251</v>
      </c>
      <c r="F987" s="502">
        <v>41666.67</v>
      </c>
    </row>
    <row r="988" spans="1:6">
      <c r="A988" s="308">
        <v>43312</v>
      </c>
      <c r="B988" s="24" t="s">
        <v>484</v>
      </c>
      <c r="C988" s="24" t="s">
        <v>488</v>
      </c>
      <c r="D988" s="136" t="str">
        <f t="array" ref="D988">IF(E988=0,0,(INDEX(AccountCodes[ACCOUNT NAME],MATCH(E988,AccountCodes[NGAS CODE],0))))</f>
        <v>Repairs and Maintenance-Buildings and Other Structures - Buildings</v>
      </c>
      <c r="E988" s="309" t="s">
        <v>251</v>
      </c>
      <c r="F988" s="502">
        <v>41666.67</v>
      </c>
    </row>
    <row r="989" spans="1:6">
      <c r="A989" s="308">
        <v>43343</v>
      </c>
      <c r="B989" s="24" t="s">
        <v>484</v>
      </c>
      <c r="C989" s="24" t="s">
        <v>488</v>
      </c>
      <c r="D989" s="136" t="str">
        <f t="array" ref="D989">IF(E989=0,0,(INDEX(AccountCodes[ACCOUNT NAME],MATCH(E989,AccountCodes[NGAS CODE],0))))</f>
        <v>Repairs and Maintenance-Buildings and Other Structures - Buildings</v>
      </c>
      <c r="E989" s="309" t="s">
        <v>251</v>
      </c>
      <c r="F989" s="502">
        <v>41666.67</v>
      </c>
    </row>
    <row r="990" spans="1:6">
      <c r="A990" s="308">
        <v>43373</v>
      </c>
      <c r="B990" s="24" t="s">
        <v>484</v>
      </c>
      <c r="C990" s="24" t="s">
        <v>488</v>
      </c>
      <c r="D990" s="136" t="str">
        <f t="array" ref="D990">IF(E990=0,0,(INDEX(AccountCodes[ACCOUNT NAME],MATCH(E990,AccountCodes[NGAS CODE],0))))</f>
        <v>Repairs and Maintenance-Buildings and Other Structures - Buildings</v>
      </c>
      <c r="E990" s="309" t="s">
        <v>251</v>
      </c>
      <c r="F990" s="502">
        <v>41666.67</v>
      </c>
    </row>
    <row r="991" spans="1:6">
      <c r="A991" s="308">
        <v>43404</v>
      </c>
      <c r="B991" s="24" t="s">
        <v>484</v>
      </c>
      <c r="C991" s="24" t="s">
        <v>488</v>
      </c>
      <c r="D991" s="136" t="str">
        <f t="array" ref="D991">IF(E991=0,0,(INDEX(AccountCodes[ACCOUNT NAME],MATCH(E991,AccountCodes[NGAS CODE],0))))</f>
        <v>Repairs and Maintenance-Buildings and Other Structures - Buildings</v>
      </c>
      <c r="E991" s="309" t="s">
        <v>251</v>
      </c>
      <c r="F991" s="502">
        <v>41666.67</v>
      </c>
    </row>
    <row r="992" spans="1:6">
      <c r="A992" s="308">
        <v>43434</v>
      </c>
      <c r="B992" s="24" t="s">
        <v>484</v>
      </c>
      <c r="C992" s="24" t="s">
        <v>488</v>
      </c>
      <c r="D992" s="136" t="str">
        <f t="array" ref="D992">IF(E992=0,0,(INDEX(AccountCodes[ACCOUNT NAME],MATCH(E992,AccountCodes[NGAS CODE],0))))</f>
        <v>Repairs and Maintenance-Buildings and Other Structures - Buildings</v>
      </c>
      <c r="E992" s="309" t="s">
        <v>251</v>
      </c>
      <c r="F992" s="502">
        <v>41666.67</v>
      </c>
    </row>
    <row r="993" spans="1:6">
      <c r="A993" s="308">
        <v>43465</v>
      </c>
      <c r="B993" s="24" t="s">
        <v>484</v>
      </c>
      <c r="C993" s="24" t="s">
        <v>488</v>
      </c>
      <c r="D993" s="136" t="str">
        <f t="array" ref="D993">IF(E993=0,0,(INDEX(AccountCodes[ACCOUNT NAME],MATCH(E993,AccountCodes[NGAS CODE],0))))</f>
        <v>Repairs and Maintenance-Buildings and Other Structures - Buildings</v>
      </c>
      <c r="E993" s="309" t="s">
        <v>251</v>
      </c>
      <c r="F993" s="502">
        <v>41666.67</v>
      </c>
    </row>
    <row r="994" spans="1:6">
      <c r="A994" s="308"/>
      <c r="D994" s="136">
        <f t="array" ref="D994">IF(E994=0,0,(INDEX(AccountCodes[ACCOUNT NAME],MATCH(E994,AccountCodes[NGAS CODE],0))))</f>
        <v>0</v>
      </c>
      <c r="E994" s="309"/>
      <c r="F994" s="502"/>
    </row>
    <row r="995" spans="1:6">
      <c r="A995" s="308">
        <v>43190</v>
      </c>
      <c r="B995" s="24" t="s">
        <v>484</v>
      </c>
      <c r="C995" s="24" t="s">
        <v>489</v>
      </c>
      <c r="D995" s="136" t="str">
        <f t="array" ref="D995">IF(E995=0,0,(INDEX(AccountCodes[ACCOUNT NAME],MATCH(E995,AccountCodes[NGAS CODE],0))))</f>
        <v>Other Service Income - CIS Amortization (Back Account)</v>
      </c>
      <c r="E995" s="309" t="s">
        <v>129</v>
      </c>
      <c r="F995" s="502">
        <v>170000</v>
      </c>
    </row>
    <row r="996" spans="1:6">
      <c r="A996" s="308">
        <v>43220</v>
      </c>
      <c r="B996" s="24" t="s">
        <v>484</v>
      </c>
      <c r="C996" s="24" t="s">
        <v>489</v>
      </c>
      <c r="D996" s="136" t="str">
        <f t="array" ref="D996">IF(E996=0,0,(INDEX(AccountCodes[ACCOUNT NAME],MATCH(E996,AccountCodes[NGAS CODE],0))))</f>
        <v>Other Service Income - CIS Amortization (Back Account)</v>
      </c>
      <c r="E996" s="309" t="s">
        <v>129</v>
      </c>
      <c r="F996" s="502">
        <v>250000</v>
      </c>
    </row>
    <row r="997" spans="1:6">
      <c r="A997" s="308">
        <v>43251</v>
      </c>
      <c r="B997" s="24" t="s">
        <v>484</v>
      </c>
      <c r="C997" s="24" t="s">
        <v>489</v>
      </c>
      <c r="D997" s="136" t="str">
        <f t="array" ref="D997">IF(E997=0,0,(INDEX(AccountCodes[ACCOUNT NAME],MATCH(E997,AccountCodes[NGAS CODE],0))))</f>
        <v>Other Service Income - CIS Amortization (Back Account)</v>
      </c>
      <c r="E997" s="309" t="s">
        <v>129</v>
      </c>
      <c r="F997" s="502">
        <v>130000</v>
      </c>
    </row>
    <row r="998" spans="1:6">
      <c r="A998" s="308">
        <v>43404</v>
      </c>
      <c r="B998" s="24" t="s">
        <v>484</v>
      </c>
      <c r="C998" s="24" t="s">
        <v>489</v>
      </c>
      <c r="D998" s="136" t="str">
        <f t="array" ref="D998">IF(E998=0,0,(INDEX(AccountCodes[ACCOUNT NAME],MATCH(E998,AccountCodes[NGAS CODE],0))))</f>
        <v>Other Service Income - CIS Amortization (Back Account)</v>
      </c>
      <c r="E998" s="309" t="s">
        <v>129</v>
      </c>
      <c r="F998" s="502">
        <v>225000</v>
      </c>
    </row>
    <row r="999" spans="1:6">
      <c r="A999" s="308">
        <v>43434</v>
      </c>
      <c r="B999" s="24" t="s">
        <v>484</v>
      </c>
      <c r="C999" s="24" t="s">
        <v>489</v>
      </c>
      <c r="D999" s="136" t="str">
        <f t="array" ref="D999">IF(E999=0,0,(INDEX(AccountCodes[ACCOUNT NAME],MATCH(E999,AccountCodes[NGAS CODE],0))))</f>
        <v>Other Service Income - CIS Amortization (Back Account)</v>
      </c>
      <c r="E999" s="309" t="s">
        <v>129</v>
      </c>
      <c r="F999" s="502">
        <v>125000</v>
      </c>
    </row>
    <row r="1000" spans="1:6">
      <c r="A1000" s="308">
        <v>43190</v>
      </c>
      <c r="B1000" s="24" t="s">
        <v>484</v>
      </c>
      <c r="C1000" s="24" t="s">
        <v>489</v>
      </c>
      <c r="D1000" s="136" t="str">
        <f t="array" ref="D1000">IF(E1000=0,0,(INDEX(AccountCodes[ACCOUNT NAME],MATCH(E1000,AccountCodes[NGAS CODE],0))))</f>
        <v>Other Service Income - CIS Amortization (Current Account)</v>
      </c>
      <c r="E1000" s="24" t="s">
        <v>128</v>
      </c>
      <c r="F1000" s="502">
        <v>5000</v>
      </c>
    </row>
    <row r="1001" spans="1:6">
      <c r="A1001" s="308">
        <v>43220</v>
      </c>
      <c r="B1001" s="24" t="s">
        <v>484</v>
      </c>
      <c r="C1001" s="24" t="s">
        <v>489</v>
      </c>
      <c r="D1001" s="136" t="str">
        <f t="array" ref="D1001">IF(E1001=0,0,(INDEX(AccountCodes[ACCOUNT NAME],MATCH(E1001,AccountCodes[NGAS CODE],0))))</f>
        <v>Other Service Income - CIS Amortization (Current Account)</v>
      </c>
      <c r="E1001" s="24" t="s">
        <v>128</v>
      </c>
      <c r="F1001" s="502">
        <v>386000</v>
      </c>
    </row>
    <row r="1002" spans="1:6">
      <c r="A1002" s="308">
        <v>43251</v>
      </c>
      <c r="B1002" s="24" t="s">
        <v>484</v>
      </c>
      <c r="C1002" s="24" t="s">
        <v>489</v>
      </c>
      <c r="D1002" s="136" t="str">
        <f t="array" ref="D1002">IF(E1002=0,0,(INDEX(AccountCodes[ACCOUNT NAME],MATCH(E1002,AccountCodes[NGAS CODE],0))))</f>
        <v>Other Service Income - CIS Amortization (Current Account)</v>
      </c>
      <c r="E1002" s="24" t="s">
        <v>128</v>
      </c>
      <c r="F1002" s="502">
        <v>444000</v>
      </c>
    </row>
    <row r="1003" spans="1:6">
      <c r="A1003" s="308">
        <v>43404</v>
      </c>
      <c r="B1003" s="24" t="s">
        <v>484</v>
      </c>
      <c r="C1003" s="24" t="s">
        <v>489</v>
      </c>
      <c r="D1003" s="136" t="str">
        <f t="array" ref="D1003">IF(E1003=0,0,(INDEX(AccountCodes[ACCOUNT NAME],MATCH(E1003,AccountCodes[NGAS CODE],0))))</f>
        <v>Other Service Income - CIS Amortization (Current Account)</v>
      </c>
      <c r="E1003" s="24" t="s">
        <v>128</v>
      </c>
      <c r="F1003" s="502">
        <v>247000</v>
      </c>
    </row>
    <row r="1004" spans="1:6">
      <c r="A1004" s="308">
        <v>43434</v>
      </c>
      <c r="B1004" s="24" t="s">
        <v>484</v>
      </c>
      <c r="C1004" s="24" t="s">
        <v>489</v>
      </c>
      <c r="D1004" s="136" t="str">
        <f t="array" ref="D1004">IF(E1004=0,0,(INDEX(AccountCodes[ACCOUNT NAME],MATCH(E1004,AccountCodes[NGAS CODE],0))))</f>
        <v>Other Service Income - CIS Amortization (Current Account)</v>
      </c>
      <c r="E1004" s="24" t="s">
        <v>128</v>
      </c>
      <c r="F1004" s="502">
        <v>118000</v>
      </c>
    </row>
    <row r="1005" spans="1:6">
      <c r="A1005" s="308">
        <v>43131</v>
      </c>
      <c r="B1005" s="24" t="s">
        <v>484</v>
      </c>
      <c r="C1005" s="24" t="s">
        <v>489</v>
      </c>
      <c r="D1005" s="136" t="str">
        <f t="array" ref="D1005">IF(E1005=0,0,(INDEX(AccountCodes[ACCOUNT NAME],MATCH(E1005,AccountCodes[NGAS CODE],0))))</f>
        <v>Salaries and Wages-Regular</v>
      </c>
      <c r="E1005" s="24" t="s">
        <v>162</v>
      </c>
      <c r="F1005" s="502">
        <v>26494</v>
      </c>
    </row>
    <row r="1006" spans="1:6">
      <c r="A1006" s="308">
        <v>43159</v>
      </c>
      <c r="B1006" s="24" t="s">
        <v>484</v>
      </c>
      <c r="C1006" s="24" t="s">
        <v>489</v>
      </c>
      <c r="D1006" s="136" t="str">
        <f t="array" ref="D1006">IF(E1006=0,0,(INDEX(AccountCodes[ACCOUNT NAME],MATCH(E1006,AccountCodes[NGAS CODE],0))))</f>
        <v>Salaries and Wages-Regular</v>
      </c>
      <c r="E1006" s="24" t="s">
        <v>162</v>
      </c>
      <c r="F1006" s="502">
        <v>26494</v>
      </c>
    </row>
    <row r="1007" spans="1:6">
      <c r="A1007" s="308">
        <v>43190</v>
      </c>
      <c r="B1007" s="24" t="s">
        <v>484</v>
      </c>
      <c r="C1007" s="24" t="s">
        <v>489</v>
      </c>
      <c r="D1007" s="136" t="str">
        <f t="array" ref="D1007">IF(E1007=0,0,(INDEX(AccountCodes[ACCOUNT NAME],MATCH(E1007,AccountCodes[NGAS CODE],0))))</f>
        <v>Salaries and Wages-Regular</v>
      </c>
      <c r="E1007" s="24" t="s">
        <v>162</v>
      </c>
      <c r="F1007" s="502">
        <v>26494</v>
      </c>
    </row>
    <row r="1008" spans="1:6">
      <c r="A1008" s="308">
        <v>43220</v>
      </c>
      <c r="B1008" s="24" t="s">
        <v>484</v>
      </c>
      <c r="C1008" s="24" t="s">
        <v>489</v>
      </c>
      <c r="D1008" s="136" t="str">
        <f t="array" ref="D1008">IF(E1008=0,0,(INDEX(AccountCodes[ACCOUNT NAME],MATCH(E1008,AccountCodes[NGAS CODE],0))))</f>
        <v>Salaries and Wages-Regular</v>
      </c>
      <c r="E1008" s="24" t="s">
        <v>162</v>
      </c>
      <c r="F1008" s="502">
        <v>26494</v>
      </c>
    </row>
    <row r="1009" spans="1:6">
      <c r="A1009" s="308">
        <v>43251</v>
      </c>
      <c r="B1009" s="24" t="s">
        <v>484</v>
      </c>
      <c r="C1009" s="24" t="s">
        <v>489</v>
      </c>
      <c r="D1009" s="136" t="str">
        <f t="array" ref="D1009">IF(E1009=0,0,(INDEX(AccountCodes[ACCOUNT NAME],MATCH(E1009,AccountCodes[NGAS CODE],0))))</f>
        <v>Salaries and Wages-Regular</v>
      </c>
      <c r="E1009" s="24" t="s">
        <v>162</v>
      </c>
      <c r="F1009" s="502">
        <v>26494</v>
      </c>
    </row>
    <row r="1010" spans="1:6">
      <c r="A1010" s="308">
        <v>43281</v>
      </c>
      <c r="B1010" s="24" t="s">
        <v>484</v>
      </c>
      <c r="C1010" s="24" t="s">
        <v>489</v>
      </c>
      <c r="D1010" s="136" t="str">
        <f t="array" ref="D1010">IF(E1010=0,0,(INDEX(AccountCodes[ACCOUNT NAME],MATCH(E1010,AccountCodes[NGAS CODE],0))))</f>
        <v>Salaries and Wages-Regular</v>
      </c>
      <c r="E1010" s="24" t="s">
        <v>162</v>
      </c>
      <c r="F1010" s="502">
        <v>26494</v>
      </c>
    </row>
    <row r="1011" spans="1:6">
      <c r="A1011" s="308">
        <v>43312</v>
      </c>
      <c r="B1011" s="24" t="s">
        <v>484</v>
      </c>
      <c r="C1011" s="24" t="s">
        <v>489</v>
      </c>
      <c r="D1011" s="136" t="str">
        <f t="array" ref="D1011">IF(E1011=0,0,(INDEX(AccountCodes[ACCOUNT NAME],MATCH(E1011,AccountCodes[NGAS CODE],0))))</f>
        <v>Salaries and Wages-Regular</v>
      </c>
      <c r="E1011" s="24" t="s">
        <v>162</v>
      </c>
      <c r="F1011" s="502">
        <v>26494</v>
      </c>
    </row>
    <row r="1012" spans="1:6">
      <c r="A1012" s="308">
        <v>43343</v>
      </c>
      <c r="B1012" s="24" t="s">
        <v>484</v>
      </c>
      <c r="C1012" s="24" t="s">
        <v>489</v>
      </c>
      <c r="D1012" s="136" t="str">
        <f t="array" ref="D1012">IF(E1012=0,0,(INDEX(AccountCodes[ACCOUNT NAME],MATCH(E1012,AccountCodes[NGAS CODE],0))))</f>
        <v>Salaries and Wages-Regular</v>
      </c>
      <c r="E1012" s="24" t="s">
        <v>162</v>
      </c>
      <c r="F1012" s="502">
        <v>26806</v>
      </c>
    </row>
    <row r="1013" spans="1:6">
      <c r="A1013" s="308">
        <v>43373</v>
      </c>
      <c r="B1013" s="24" t="s">
        <v>484</v>
      </c>
      <c r="C1013" s="24" t="s">
        <v>489</v>
      </c>
      <c r="D1013" s="136" t="str">
        <f t="array" ref="D1013">IF(E1013=0,0,(INDEX(AccountCodes[ACCOUNT NAME],MATCH(E1013,AccountCodes[NGAS CODE],0))))</f>
        <v>Salaries and Wages-Regular</v>
      </c>
      <c r="E1013" s="24" t="s">
        <v>162</v>
      </c>
      <c r="F1013" s="9">
        <v>26806</v>
      </c>
    </row>
    <row r="1014" spans="1:6">
      <c r="A1014" s="308">
        <v>43404</v>
      </c>
      <c r="B1014" s="24" t="s">
        <v>484</v>
      </c>
      <c r="C1014" s="24" t="s">
        <v>489</v>
      </c>
      <c r="D1014" s="136" t="str">
        <f t="array" ref="D1014">IF(E1014=0,0,(INDEX(AccountCodes[ACCOUNT NAME],MATCH(E1014,AccountCodes[NGAS CODE],0))))</f>
        <v>Salaries and Wages-Regular</v>
      </c>
      <c r="E1014" s="24" t="s">
        <v>162</v>
      </c>
      <c r="F1014" s="9">
        <v>26806</v>
      </c>
    </row>
    <row r="1015" spans="1:6">
      <c r="A1015" s="308">
        <v>43434</v>
      </c>
      <c r="B1015" s="24" t="s">
        <v>484</v>
      </c>
      <c r="C1015" s="24" t="s">
        <v>489</v>
      </c>
      <c r="D1015" s="136" t="str">
        <f t="array" ref="D1015">IF(E1015=0,0,(INDEX(AccountCodes[ACCOUNT NAME],MATCH(E1015,AccountCodes[NGAS CODE],0))))</f>
        <v>Salaries and Wages-Regular</v>
      </c>
      <c r="E1015" s="24" t="s">
        <v>162</v>
      </c>
      <c r="F1015" s="9">
        <v>26806</v>
      </c>
    </row>
    <row r="1016" spans="1:6">
      <c r="A1016" s="308">
        <v>43465</v>
      </c>
      <c r="B1016" s="24" t="s">
        <v>484</v>
      </c>
      <c r="C1016" s="24" t="s">
        <v>489</v>
      </c>
      <c r="D1016" s="136" t="str">
        <f t="array" ref="D1016">IF(E1016=0,0,(INDEX(AccountCodes[ACCOUNT NAME],MATCH(E1016,AccountCodes[NGAS CODE],0))))</f>
        <v>Salaries and Wages-Regular</v>
      </c>
      <c r="E1016" s="24" t="s">
        <v>162</v>
      </c>
      <c r="F1016" s="9">
        <v>26806</v>
      </c>
    </row>
    <row r="1017" spans="1:6">
      <c r="A1017" s="308">
        <v>43131</v>
      </c>
      <c r="B1017" s="24" t="s">
        <v>484</v>
      </c>
      <c r="C1017" s="24" t="s">
        <v>489</v>
      </c>
      <c r="D1017" s="136" t="str">
        <f t="array" ref="D1017">IF(E1017=0,0,(INDEX(AccountCodes[ACCOUNT NAME],MATCH(E1017,AccountCodes[NGAS CODE],0))))</f>
        <v>Personal Economic Relief Allowance (PERA)</v>
      </c>
      <c r="E1017" s="24" t="s">
        <v>164</v>
      </c>
      <c r="F1017" s="502">
        <v>2000</v>
      </c>
    </row>
    <row r="1018" spans="1:6">
      <c r="A1018" s="308">
        <v>43159</v>
      </c>
      <c r="B1018" s="24" t="s">
        <v>484</v>
      </c>
      <c r="C1018" s="24" t="s">
        <v>489</v>
      </c>
      <c r="D1018" s="136" t="str">
        <f t="array" ref="D1018">IF(E1018=0,0,(INDEX(AccountCodes[ACCOUNT NAME],MATCH(E1018,AccountCodes[NGAS CODE],0))))</f>
        <v>Personal Economic Relief Allowance (PERA)</v>
      </c>
      <c r="E1018" s="24" t="s">
        <v>164</v>
      </c>
      <c r="F1018" s="502">
        <v>2000</v>
      </c>
    </row>
    <row r="1019" spans="1:6">
      <c r="A1019" s="308">
        <v>43190</v>
      </c>
      <c r="B1019" s="24" t="s">
        <v>484</v>
      </c>
      <c r="C1019" s="24" t="s">
        <v>489</v>
      </c>
      <c r="D1019" s="136" t="str">
        <f t="array" ref="D1019">IF(E1019=0,0,(INDEX(AccountCodes[ACCOUNT NAME],MATCH(E1019,AccountCodes[NGAS CODE],0))))</f>
        <v>Personal Economic Relief Allowance (PERA)</v>
      </c>
      <c r="E1019" s="24" t="s">
        <v>164</v>
      </c>
      <c r="F1019" s="502">
        <v>2000</v>
      </c>
    </row>
    <row r="1020" spans="1:6">
      <c r="A1020" s="308">
        <v>43220</v>
      </c>
      <c r="B1020" s="24" t="s">
        <v>484</v>
      </c>
      <c r="C1020" s="24" t="s">
        <v>489</v>
      </c>
      <c r="D1020" s="136" t="str">
        <f t="array" ref="D1020">IF(E1020=0,0,(INDEX(AccountCodes[ACCOUNT NAME],MATCH(E1020,AccountCodes[NGAS CODE],0))))</f>
        <v>Personal Economic Relief Allowance (PERA)</v>
      </c>
      <c r="E1020" s="24" t="s">
        <v>164</v>
      </c>
      <c r="F1020" s="502">
        <v>2000</v>
      </c>
    </row>
    <row r="1021" spans="1:6">
      <c r="A1021" s="308">
        <v>43251</v>
      </c>
      <c r="B1021" s="24" t="s">
        <v>484</v>
      </c>
      <c r="C1021" s="24" t="s">
        <v>489</v>
      </c>
      <c r="D1021" s="136" t="str">
        <f t="array" ref="D1021">IF(E1021=0,0,(INDEX(AccountCodes[ACCOUNT NAME],MATCH(E1021,AccountCodes[NGAS CODE],0))))</f>
        <v>Personal Economic Relief Allowance (PERA)</v>
      </c>
      <c r="E1021" s="24" t="s">
        <v>164</v>
      </c>
      <c r="F1021" s="502">
        <v>2000</v>
      </c>
    </row>
    <row r="1022" spans="1:6">
      <c r="A1022" s="308">
        <v>43281</v>
      </c>
      <c r="B1022" s="24" t="s">
        <v>484</v>
      </c>
      <c r="C1022" s="24" t="s">
        <v>489</v>
      </c>
      <c r="D1022" s="136" t="str">
        <f t="array" ref="D1022">IF(E1022=0,0,(INDEX(AccountCodes[ACCOUNT NAME],MATCH(E1022,AccountCodes[NGAS CODE],0))))</f>
        <v>Personal Economic Relief Allowance (PERA)</v>
      </c>
      <c r="E1022" s="24" t="s">
        <v>164</v>
      </c>
      <c r="F1022" s="502">
        <v>2000</v>
      </c>
    </row>
    <row r="1023" spans="1:6">
      <c r="A1023" s="308">
        <v>43312</v>
      </c>
      <c r="B1023" s="24" t="s">
        <v>484</v>
      </c>
      <c r="C1023" s="24" t="s">
        <v>489</v>
      </c>
      <c r="D1023" s="136" t="str">
        <f t="array" ref="D1023">IF(E1023=0,0,(INDEX(AccountCodes[ACCOUNT NAME],MATCH(E1023,AccountCodes[NGAS CODE],0))))</f>
        <v>Personal Economic Relief Allowance (PERA)</v>
      </c>
      <c r="E1023" s="24" t="s">
        <v>164</v>
      </c>
      <c r="F1023" s="502">
        <v>2000</v>
      </c>
    </row>
    <row r="1024" spans="1:6">
      <c r="A1024" s="308">
        <v>43343</v>
      </c>
      <c r="B1024" s="24" t="s">
        <v>484</v>
      </c>
      <c r="C1024" s="24" t="s">
        <v>489</v>
      </c>
      <c r="D1024" s="136" t="str">
        <f t="array" ref="D1024">IF(E1024=0,0,(INDEX(AccountCodes[ACCOUNT NAME],MATCH(E1024,AccountCodes[NGAS CODE],0))))</f>
        <v>Personal Economic Relief Allowance (PERA)</v>
      </c>
      <c r="E1024" s="24" t="s">
        <v>164</v>
      </c>
      <c r="F1024" s="502">
        <v>2000</v>
      </c>
    </row>
    <row r="1025" spans="1:6">
      <c r="A1025" s="308">
        <v>43373</v>
      </c>
      <c r="B1025" s="24" t="s">
        <v>484</v>
      </c>
      <c r="C1025" s="24" t="s">
        <v>489</v>
      </c>
      <c r="D1025" s="136" t="str">
        <f t="array" ref="D1025">IF(E1025=0,0,(INDEX(AccountCodes[ACCOUNT NAME],MATCH(E1025,AccountCodes[NGAS CODE],0))))</f>
        <v>Personal Economic Relief Allowance (PERA)</v>
      </c>
      <c r="E1025" s="24" t="s">
        <v>164</v>
      </c>
      <c r="F1025" s="502">
        <v>2000</v>
      </c>
    </row>
    <row r="1026" spans="1:6">
      <c r="A1026" s="308">
        <v>43404</v>
      </c>
      <c r="B1026" s="24" t="s">
        <v>484</v>
      </c>
      <c r="C1026" s="24" t="s">
        <v>489</v>
      </c>
      <c r="D1026" s="136" t="str">
        <f t="array" ref="D1026">IF(E1026=0,0,(INDEX(AccountCodes[ACCOUNT NAME],MATCH(E1026,AccountCodes[NGAS CODE],0))))</f>
        <v>Personal Economic Relief Allowance (PERA)</v>
      </c>
      <c r="E1026" s="24" t="s">
        <v>164</v>
      </c>
      <c r="F1026" s="502">
        <v>2000</v>
      </c>
    </row>
    <row r="1027" spans="1:6">
      <c r="A1027" s="308">
        <v>43434</v>
      </c>
      <c r="B1027" s="24" t="s">
        <v>484</v>
      </c>
      <c r="C1027" s="24" t="s">
        <v>489</v>
      </c>
      <c r="D1027" s="136" t="str">
        <f t="array" ref="D1027">IF(E1027=0,0,(INDEX(AccountCodes[ACCOUNT NAME],MATCH(E1027,AccountCodes[NGAS CODE],0))))</f>
        <v>Personal Economic Relief Allowance (PERA)</v>
      </c>
      <c r="E1027" s="24" t="s">
        <v>164</v>
      </c>
      <c r="F1027" s="502">
        <v>2000</v>
      </c>
    </row>
    <row r="1028" spans="1:6">
      <c r="A1028" s="308">
        <v>43465</v>
      </c>
      <c r="B1028" s="24" t="s">
        <v>484</v>
      </c>
      <c r="C1028" s="24" t="s">
        <v>489</v>
      </c>
      <c r="D1028" s="136" t="str">
        <f t="array" ref="D1028">IF(E1028=0,0,(INDEX(AccountCodes[ACCOUNT NAME],MATCH(E1028,AccountCodes[NGAS CODE],0))))</f>
        <v>Personal Economic Relief Allowance (PERA)</v>
      </c>
      <c r="E1028" s="24" t="s">
        <v>164</v>
      </c>
      <c r="F1028" s="502">
        <v>2000</v>
      </c>
    </row>
    <row r="1029" spans="1:6">
      <c r="A1029" s="308">
        <v>43190</v>
      </c>
      <c r="B1029" s="24" t="s">
        <v>484</v>
      </c>
      <c r="C1029" s="24" t="s">
        <v>489</v>
      </c>
      <c r="D1029" s="136" t="str">
        <f t="array" ref="D1029">IF(E1029=0,0,(INDEX(AccountCodes[ACCOUNT NAME],MATCH(E1029,AccountCodes[NGAS CODE],0))))</f>
        <v>Clothing/Uniform Allowance</v>
      </c>
      <c r="E1029" s="24" t="s">
        <v>167</v>
      </c>
      <c r="F1029" s="502">
        <v>5000</v>
      </c>
    </row>
    <row r="1030" spans="1:6">
      <c r="A1030" s="308">
        <v>43465</v>
      </c>
      <c r="B1030" s="24" t="s">
        <v>484</v>
      </c>
      <c r="C1030" s="24" t="s">
        <v>489</v>
      </c>
      <c r="D1030" s="136" t="str">
        <f t="array" ref="D1030">IF(E1030=0,0,(INDEX(AccountCodes[ACCOUNT NAME],MATCH(E1030,AccountCodes[NGAS CODE],0))))</f>
        <v>Other Bonuses and Allowances - Productivity Enhancement Incentive-Civilian</v>
      </c>
      <c r="E1030" s="309" t="s">
        <v>170</v>
      </c>
      <c r="F1030" s="502">
        <v>26806</v>
      </c>
    </row>
    <row r="1031" spans="1:6">
      <c r="A1031" s="308">
        <v>43434</v>
      </c>
      <c r="B1031" s="24" t="s">
        <v>484</v>
      </c>
      <c r="C1031" s="24" t="s">
        <v>489</v>
      </c>
      <c r="D1031" s="136" t="str">
        <f t="array" ref="D1031">IF(E1031=0,0,(INDEX(AccountCodes[ACCOUNT NAME],MATCH(E1031,AccountCodes[NGAS CODE],0))))</f>
        <v>Cash Gift</v>
      </c>
      <c r="E1031" s="24" t="s">
        <v>172</v>
      </c>
      <c r="F1031" s="502">
        <v>5000</v>
      </c>
    </row>
    <row r="1032" spans="1:6">
      <c r="A1032" s="308">
        <v>43251</v>
      </c>
      <c r="B1032" s="24" t="s">
        <v>484</v>
      </c>
      <c r="C1032" s="24" t="s">
        <v>489</v>
      </c>
      <c r="D1032" s="136" t="str">
        <f t="array" ref="D1032">IF(E1032=0,0,(INDEX(AccountCodes[ACCOUNT NAME],MATCH(E1032,AccountCodes[NGAS CODE],0))))</f>
        <v>Mid-Year/Year End Bonus</v>
      </c>
      <c r="E1032" s="24" t="s">
        <v>174</v>
      </c>
      <c r="F1032" s="502">
        <v>26494</v>
      </c>
    </row>
    <row r="1033" spans="1:6">
      <c r="A1033" s="308">
        <v>43434</v>
      </c>
      <c r="B1033" s="24" t="s">
        <v>484</v>
      </c>
      <c r="C1033" s="24" t="s">
        <v>489</v>
      </c>
      <c r="D1033" s="136" t="str">
        <f t="array" ref="D1033">IF(E1033=0,0,(INDEX(AccountCodes[ACCOUNT NAME],MATCH(E1033,AccountCodes[NGAS CODE],0))))</f>
        <v>Mid-Year/Year End Bonus</v>
      </c>
      <c r="E1033" s="24" t="s">
        <v>174</v>
      </c>
      <c r="F1033" s="502">
        <v>26806</v>
      </c>
    </row>
    <row r="1034" spans="1:6">
      <c r="A1034" s="308">
        <v>43131</v>
      </c>
      <c r="B1034" s="24" t="s">
        <v>484</v>
      </c>
      <c r="C1034" s="24" t="s">
        <v>489</v>
      </c>
      <c r="D1034" s="136" t="str">
        <f t="array" ref="D1034">IF(E1034=0,0,(INDEX(AccountCodes[ACCOUNT NAME],MATCH(E1034,AccountCodes[NGAS CODE],0))))</f>
        <v>Retirement and Life Insurance Premiums</v>
      </c>
      <c r="E1034" s="24" t="s">
        <v>175</v>
      </c>
      <c r="F1034" s="502">
        <v>3194.88</v>
      </c>
    </row>
    <row r="1035" spans="1:6">
      <c r="A1035" s="308">
        <v>43159</v>
      </c>
      <c r="B1035" s="24" t="s">
        <v>484</v>
      </c>
      <c r="C1035" s="24" t="s">
        <v>489</v>
      </c>
      <c r="D1035" s="136" t="str">
        <f t="array" ref="D1035">IF(E1035=0,0,(INDEX(AccountCodes[ACCOUNT NAME],MATCH(E1035,AccountCodes[NGAS CODE],0))))</f>
        <v>Retirement and Life Insurance Premiums</v>
      </c>
      <c r="E1035" s="24" t="s">
        <v>175</v>
      </c>
      <c r="F1035" s="502">
        <v>3194.88</v>
      </c>
    </row>
    <row r="1036" spans="1:6">
      <c r="A1036" s="308">
        <v>43190</v>
      </c>
      <c r="B1036" s="24" t="s">
        <v>484</v>
      </c>
      <c r="C1036" s="24" t="s">
        <v>489</v>
      </c>
      <c r="D1036" s="136" t="str">
        <f t="array" ref="D1036">IF(E1036=0,0,(INDEX(AccountCodes[ACCOUNT NAME],MATCH(E1036,AccountCodes[NGAS CODE],0))))</f>
        <v>Retirement and Life Insurance Premiums</v>
      </c>
      <c r="E1036" s="24" t="s">
        <v>175</v>
      </c>
      <c r="F1036" s="502">
        <v>3194.88</v>
      </c>
    </row>
    <row r="1037" spans="1:6">
      <c r="A1037" s="308">
        <v>43220</v>
      </c>
      <c r="B1037" s="24" t="s">
        <v>484</v>
      </c>
      <c r="C1037" s="24" t="s">
        <v>489</v>
      </c>
      <c r="D1037" s="136" t="str">
        <f t="array" ref="D1037">IF(E1037=0,0,(INDEX(AccountCodes[ACCOUNT NAME],MATCH(E1037,AccountCodes[NGAS CODE],0))))</f>
        <v>Retirement and Life Insurance Premiums</v>
      </c>
      <c r="E1037" s="24" t="s">
        <v>175</v>
      </c>
      <c r="F1037" s="502">
        <v>3194.88</v>
      </c>
    </row>
    <row r="1038" spans="1:6">
      <c r="A1038" s="308">
        <v>43251</v>
      </c>
      <c r="B1038" s="24" t="s">
        <v>484</v>
      </c>
      <c r="C1038" s="24" t="s">
        <v>489</v>
      </c>
      <c r="D1038" s="136" t="str">
        <f t="array" ref="D1038">IF(E1038=0,0,(INDEX(AccountCodes[ACCOUNT NAME],MATCH(E1038,AccountCodes[NGAS CODE],0))))</f>
        <v>Retirement and Life Insurance Premiums</v>
      </c>
      <c r="E1038" s="24" t="s">
        <v>175</v>
      </c>
      <c r="F1038" s="502">
        <v>3194.88</v>
      </c>
    </row>
    <row r="1039" spans="1:6">
      <c r="A1039" s="308">
        <v>43281</v>
      </c>
      <c r="B1039" s="24" t="s">
        <v>484</v>
      </c>
      <c r="C1039" s="24" t="s">
        <v>489</v>
      </c>
      <c r="D1039" s="136" t="str">
        <f t="array" ref="D1039">IF(E1039=0,0,(INDEX(AccountCodes[ACCOUNT NAME],MATCH(E1039,AccountCodes[NGAS CODE],0))))</f>
        <v>Retirement and Life Insurance Premiums</v>
      </c>
      <c r="E1039" s="24" t="s">
        <v>175</v>
      </c>
      <c r="F1039" s="502">
        <v>3194.88</v>
      </c>
    </row>
    <row r="1040" spans="1:6">
      <c r="A1040" s="308">
        <v>43312</v>
      </c>
      <c r="B1040" s="24" t="s">
        <v>484</v>
      </c>
      <c r="C1040" s="24" t="s">
        <v>489</v>
      </c>
      <c r="D1040" s="136" t="str">
        <f t="array" ref="D1040">IF(E1040=0,0,(INDEX(AccountCodes[ACCOUNT NAME],MATCH(E1040,AccountCodes[NGAS CODE],0))))</f>
        <v>Retirement and Life Insurance Premiums</v>
      </c>
      <c r="E1040" s="24" t="s">
        <v>175</v>
      </c>
      <c r="F1040" s="502">
        <v>3194.88</v>
      </c>
    </row>
    <row r="1041" spans="1:6">
      <c r="A1041" s="308">
        <v>43343</v>
      </c>
      <c r="B1041" s="24" t="s">
        <v>484</v>
      </c>
      <c r="C1041" s="24" t="s">
        <v>489</v>
      </c>
      <c r="D1041" s="136" t="str">
        <f t="array" ref="D1041">IF(E1041=0,0,(INDEX(AccountCodes[ACCOUNT NAME],MATCH(E1041,AccountCodes[NGAS CODE],0))))</f>
        <v>Retirement and Life Insurance Premiums</v>
      </c>
      <c r="E1041" s="24" t="s">
        <v>175</v>
      </c>
      <c r="F1041" s="502">
        <v>3194.88</v>
      </c>
    </row>
    <row r="1042" spans="1:6">
      <c r="A1042" s="308">
        <v>43373</v>
      </c>
      <c r="B1042" s="24" t="s">
        <v>484</v>
      </c>
      <c r="C1042" s="24" t="s">
        <v>489</v>
      </c>
      <c r="D1042" s="136" t="str">
        <f t="array" ref="D1042">IF(E1042=0,0,(INDEX(AccountCodes[ACCOUNT NAME],MATCH(E1042,AccountCodes[NGAS CODE],0))))</f>
        <v>Retirement and Life Insurance Premiums</v>
      </c>
      <c r="E1042" s="24" t="s">
        <v>175</v>
      </c>
      <c r="F1042" s="502">
        <v>3194.88</v>
      </c>
    </row>
    <row r="1043" spans="1:6">
      <c r="A1043" s="308">
        <v>43404</v>
      </c>
      <c r="B1043" s="24" t="s">
        <v>484</v>
      </c>
      <c r="C1043" s="24" t="s">
        <v>489</v>
      </c>
      <c r="D1043" s="136" t="str">
        <f t="array" ref="D1043">IF(E1043=0,0,(INDEX(AccountCodes[ACCOUNT NAME],MATCH(E1043,AccountCodes[NGAS CODE],0))))</f>
        <v>Retirement and Life Insurance Premiums</v>
      </c>
      <c r="E1043" s="24" t="s">
        <v>175</v>
      </c>
      <c r="F1043" s="502">
        <v>3194.88</v>
      </c>
    </row>
    <row r="1044" spans="1:6">
      <c r="A1044" s="308">
        <v>43434</v>
      </c>
      <c r="B1044" s="24" t="s">
        <v>484</v>
      </c>
      <c r="C1044" s="24" t="s">
        <v>489</v>
      </c>
      <c r="D1044" s="136" t="str">
        <f t="array" ref="D1044">IF(E1044=0,0,(INDEX(AccountCodes[ACCOUNT NAME],MATCH(E1044,AccountCodes[NGAS CODE],0))))</f>
        <v>Retirement and Life Insurance Premiums</v>
      </c>
      <c r="E1044" s="24" t="s">
        <v>175</v>
      </c>
      <c r="F1044" s="502">
        <v>3194.88</v>
      </c>
    </row>
    <row r="1045" spans="1:6">
      <c r="A1045" s="308">
        <v>43465</v>
      </c>
      <c r="B1045" s="24" t="s">
        <v>484</v>
      </c>
      <c r="C1045" s="24" t="s">
        <v>489</v>
      </c>
      <c r="D1045" s="136" t="str">
        <f t="array" ref="D1045">IF(E1045=0,0,(INDEX(AccountCodes[ACCOUNT NAME],MATCH(E1045,AccountCodes[NGAS CODE],0))))</f>
        <v>Retirement and Life Insurance Premiums</v>
      </c>
      <c r="E1045" s="24" t="s">
        <v>175</v>
      </c>
      <c r="F1045" s="502">
        <v>3194.88</v>
      </c>
    </row>
    <row r="1046" spans="1:6">
      <c r="A1046" s="308">
        <v>43131</v>
      </c>
      <c r="B1046" s="24" t="s">
        <v>484</v>
      </c>
      <c r="C1046" s="24" t="s">
        <v>489</v>
      </c>
      <c r="D1046" s="136" t="str">
        <f t="array" ref="D1046">IF(E1046=0,0,(INDEX(AccountCodes[ACCOUNT NAME],MATCH(E1046,AccountCodes[NGAS CODE],0))))</f>
        <v>Pag-IBIG Contributions</v>
      </c>
      <c r="E1046" s="24" t="s">
        <v>176</v>
      </c>
      <c r="F1046" s="502">
        <v>100</v>
      </c>
    </row>
    <row r="1047" spans="1:6">
      <c r="A1047" s="308">
        <v>43159</v>
      </c>
      <c r="B1047" s="24" t="s">
        <v>484</v>
      </c>
      <c r="C1047" s="24" t="s">
        <v>489</v>
      </c>
      <c r="D1047" s="136" t="str">
        <f t="array" ref="D1047">IF(E1047=0,0,(INDEX(AccountCodes[ACCOUNT NAME],MATCH(E1047,AccountCodes[NGAS CODE],0))))</f>
        <v>Pag-IBIG Contributions</v>
      </c>
      <c r="E1047" s="24" t="s">
        <v>176</v>
      </c>
      <c r="F1047" s="502">
        <v>100</v>
      </c>
    </row>
    <row r="1048" spans="1:6">
      <c r="A1048" s="308">
        <v>43190</v>
      </c>
      <c r="B1048" s="24" t="s">
        <v>484</v>
      </c>
      <c r="C1048" s="24" t="s">
        <v>489</v>
      </c>
      <c r="D1048" s="136" t="str">
        <f t="array" ref="D1048">IF(E1048=0,0,(INDEX(AccountCodes[ACCOUNT NAME],MATCH(E1048,AccountCodes[NGAS CODE],0))))</f>
        <v>Pag-IBIG Contributions</v>
      </c>
      <c r="E1048" s="24" t="s">
        <v>176</v>
      </c>
      <c r="F1048" s="502">
        <v>100</v>
      </c>
    </row>
    <row r="1049" spans="1:6">
      <c r="A1049" s="308">
        <v>43220</v>
      </c>
      <c r="B1049" s="24" t="s">
        <v>484</v>
      </c>
      <c r="C1049" s="24" t="s">
        <v>489</v>
      </c>
      <c r="D1049" s="136" t="str">
        <f t="array" ref="D1049">IF(E1049=0,0,(INDEX(AccountCodes[ACCOUNT NAME],MATCH(E1049,AccountCodes[NGAS CODE],0))))</f>
        <v>Pag-IBIG Contributions</v>
      </c>
      <c r="E1049" s="24" t="s">
        <v>176</v>
      </c>
      <c r="F1049" s="502">
        <v>100</v>
      </c>
    </row>
    <row r="1050" spans="1:6">
      <c r="A1050" s="308">
        <v>43251</v>
      </c>
      <c r="B1050" s="24" t="s">
        <v>484</v>
      </c>
      <c r="C1050" s="24" t="s">
        <v>489</v>
      </c>
      <c r="D1050" s="136" t="str">
        <f t="array" ref="D1050">IF(E1050=0,0,(INDEX(AccountCodes[ACCOUNT NAME],MATCH(E1050,AccountCodes[NGAS CODE],0))))</f>
        <v>Pag-IBIG Contributions</v>
      </c>
      <c r="E1050" s="24" t="s">
        <v>176</v>
      </c>
      <c r="F1050" s="502">
        <v>100</v>
      </c>
    </row>
    <row r="1051" spans="1:6">
      <c r="A1051" s="308">
        <v>43281</v>
      </c>
      <c r="B1051" s="24" t="s">
        <v>484</v>
      </c>
      <c r="C1051" s="24" t="s">
        <v>489</v>
      </c>
      <c r="D1051" s="136" t="str">
        <f t="array" ref="D1051">IF(E1051=0,0,(INDEX(AccountCodes[ACCOUNT NAME],MATCH(E1051,AccountCodes[NGAS CODE],0))))</f>
        <v>Pag-IBIG Contributions</v>
      </c>
      <c r="E1051" s="24" t="s">
        <v>176</v>
      </c>
      <c r="F1051" s="502">
        <v>100</v>
      </c>
    </row>
    <row r="1052" spans="1:6">
      <c r="A1052" s="308">
        <v>43312</v>
      </c>
      <c r="B1052" s="24" t="s">
        <v>484</v>
      </c>
      <c r="C1052" s="24" t="s">
        <v>489</v>
      </c>
      <c r="D1052" s="136" t="str">
        <f t="array" ref="D1052">IF(E1052=0,0,(INDEX(AccountCodes[ACCOUNT NAME],MATCH(E1052,AccountCodes[NGAS CODE],0))))</f>
        <v>Pag-IBIG Contributions</v>
      </c>
      <c r="E1052" s="24" t="s">
        <v>176</v>
      </c>
      <c r="F1052" s="502">
        <v>100</v>
      </c>
    </row>
    <row r="1053" spans="1:6">
      <c r="A1053" s="308">
        <v>43343</v>
      </c>
      <c r="B1053" s="24" t="s">
        <v>484</v>
      </c>
      <c r="C1053" s="24" t="s">
        <v>489</v>
      </c>
      <c r="D1053" s="136" t="str">
        <f t="array" ref="D1053">IF(E1053=0,0,(INDEX(AccountCodes[ACCOUNT NAME],MATCH(E1053,AccountCodes[NGAS CODE],0))))</f>
        <v>Pag-IBIG Contributions</v>
      </c>
      <c r="E1053" s="24" t="s">
        <v>176</v>
      </c>
      <c r="F1053" s="502">
        <v>100</v>
      </c>
    </row>
    <row r="1054" spans="1:6">
      <c r="A1054" s="308">
        <v>43373</v>
      </c>
      <c r="B1054" s="24" t="s">
        <v>484</v>
      </c>
      <c r="C1054" s="24" t="s">
        <v>489</v>
      </c>
      <c r="D1054" s="136" t="str">
        <f t="array" ref="D1054">IF(E1054=0,0,(INDEX(AccountCodes[ACCOUNT NAME],MATCH(E1054,AccountCodes[NGAS CODE],0))))</f>
        <v>Pag-IBIG Contributions</v>
      </c>
      <c r="E1054" s="24" t="s">
        <v>176</v>
      </c>
      <c r="F1054" s="502">
        <v>100</v>
      </c>
    </row>
    <row r="1055" spans="1:6">
      <c r="A1055" s="308">
        <v>43404</v>
      </c>
      <c r="B1055" s="24" t="s">
        <v>484</v>
      </c>
      <c r="C1055" s="24" t="s">
        <v>489</v>
      </c>
      <c r="D1055" s="136" t="str">
        <f t="array" ref="D1055">IF(E1055=0,0,(INDEX(AccountCodes[ACCOUNT NAME],MATCH(E1055,AccountCodes[NGAS CODE],0))))</f>
        <v>Pag-IBIG Contributions</v>
      </c>
      <c r="E1055" s="24" t="s">
        <v>176</v>
      </c>
      <c r="F1055" s="502">
        <v>100</v>
      </c>
    </row>
    <row r="1056" spans="1:6">
      <c r="A1056" s="308">
        <v>43434</v>
      </c>
      <c r="B1056" s="24" t="s">
        <v>484</v>
      </c>
      <c r="C1056" s="24" t="s">
        <v>489</v>
      </c>
      <c r="D1056" s="136" t="str">
        <f t="array" ref="D1056">IF(E1056=0,0,(INDEX(AccountCodes[ACCOUNT NAME],MATCH(E1056,AccountCodes[NGAS CODE],0))))</f>
        <v>Pag-IBIG Contributions</v>
      </c>
      <c r="E1056" s="24" t="s">
        <v>176</v>
      </c>
      <c r="F1056" s="502">
        <v>100</v>
      </c>
    </row>
    <row r="1057" spans="1:6">
      <c r="A1057" s="308">
        <v>43465</v>
      </c>
      <c r="B1057" s="24" t="s">
        <v>484</v>
      </c>
      <c r="C1057" s="24" t="s">
        <v>489</v>
      </c>
      <c r="D1057" s="136" t="str">
        <f t="array" ref="D1057">IF(E1057=0,0,(INDEX(AccountCodes[ACCOUNT NAME],MATCH(E1057,AccountCodes[NGAS CODE],0))))</f>
        <v>Pag-IBIG Contributions</v>
      </c>
      <c r="E1057" s="24" t="s">
        <v>176</v>
      </c>
      <c r="F1057" s="502">
        <v>100</v>
      </c>
    </row>
    <row r="1058" spans="1:6">
      <c r="A1058" s="308">
        <v>43131</v>
      </c>
      <c r="B1058" s="24" t="s">
        <v>484</v>
      </c>
      <c r="C1058" s="24" t="s">
        <v>489</v>
      </c>
      <c r="D1058" s="136" t="str">
        <f t="array" ref="D1058">IF(E1058=0,0,(INDEX(AccountCodes[ACCOUNT NAME],MATCH(E1058,AccountCodes[NGAS CODE],0))))</f>
        <v>PhilHealth Contributions</v>
      </c>
      <c r="E1058" s="24" t="s">
        <v>177</v>
      </c>
      <c r="F1058" s="502">
        <v>325</v>
      </c>
    </row>
    <row r="1059" spans="1:6">
      <c r="A1059" s="308">
        <v>43159</v>
      </c>
      <c r="B1059" s="24" t="s">
        <v>484</v>
      </c>
      <c r="C1059" s="24" t="s">
        <v>489</v>
      </c>
      <c r="D1059" s="136" t="str">
        <f t="array" ref="D1059">IF(E1059=0,0,(INDEX(AccountCodes[ACCOUNT NAME],MATCH(E1059,AccountCodes[NGAS CODE],0))))</f>
        <v>PhilHealth Contributions</v>
      </c>
      <c r="E1059" s="24" t="s">
        <v>177</v>
      </c>
      <c r="F1059" s="502">
        <v>325</v>
      </c>
    </row>
    <row r="1060" spans="1:6">
      <c r="A1060" s="308">
        <v>43190</v>
      </c>
      <c r="B1060" s="24" t="s">
        <v>484</v>
      </c>
      <c r="C1060" s="24" t="s">
        <v>489</v>
      </c>
      <c r="D1060" s="136" t="str">
        <f t="array" ref="D1060">IF(E1060=0,0,(INDEX(AccountCodes[ACCOUNT NAME],MATCH(E1060,AccountCodes[NGAS CODE],0))))</f>
        <v>PhilHealth Contributions</v>
      </c>
      <c r="E1060" s="24" t="s">
        <v>177</v>
      </c>
      <c r="F1060" s="502">
        <v>325</v>
      </c>
    </row>
    <row r="1061" spans="1:6">
      <c r="A1061" s="308">
        <v>43220</v>
      </c>
      <c r="B1061" s="24" t="s">
        <v>484</v>
      </c>
      <c r="C1061" s="24" t="s">
        <v>489</v>
      </c>
      <c r="D1061" s="136" t="str">
        <f t="array" ref="D1061">IF(E1061=0,0,(INDEX(AccountCodes[ACCOUNT NAME],MATCH(E1061,AccountCodes[NGAS CODE],0))))</f>
        <v>PhilHealth Contributions</v>
      </c>
      <c r="E1061" s="24" t="s">
        <v>177</v>
      </c>
      <c r="F1061" s="502">
        <v>325</v>
      </c>
    </row>
    <row r="1062" spans="1:6">
      <c r="A1062" s="308">
        <v>43251</v>
      </c>
      <c r="B1062" s="24" t="s">
        <v>484</v>
      </c>
      <c r="C1062" s="24" t="s">
        <v>489</v>
      </c>
      <c r="D1062" s="136" t="str">
        <f t="array" ref="D1062">IF(E1062=0,0,(INDEX(AccountCodes[ACCOUNT NAME],MATCH(E1062,AccountCodes[NGAS CODE],0))))</f>
        <v>PhilHealth Contributions</v>
      </c>
      <c r="E1062" s="24" t="s">
        <v>177</v>
      </c>
      <c r="F1062" s="502">
        <v>325</v>
      </c>
    </row>
    <row r="1063" spans="1:6">
      <c r="A1063" s="308">
        <v>43281</v>
      </c>
      <c r="B1063" s="24" t="s">
        <v>484</v>
      </c>
      <c r="C1063" s="24" t="s">
        <v>489</v>
      </c>
      <c r="D1063" s="136" t="str">
        <f t="array" ref="D1063">IF(E1063=0,0,(INDEX(AccountCodes[ACCOUNT NAME],MATCH(E1063,AccountCodes[NGAS CODE],0))))</f>
        <v>PhilHealth Contributions</v>
      </c>
      <c r="E1063" s="24" t="s">
        <v>177</v>
      </c>
      <c r="F1063" s="502">
        <v>325</v>
      </c>
    </row>
    <row r="1064" spans="1:6">
      <c r="A1064" s="308">
        <v>43312</v>
      </c>
      <c r="B1064" s="24" t="s">
        <v>484</v>
      </c>
      <c r="C1064" s="24" t="s">
        <v>489</v>
      </c>
      <c r="D1064" s="136" t="str">
        <f t="array" ref="D1064">IF(E1064=0,0,(INDEX(AccountCodes[ACCOUNT NAME],MATCH(E1064,AccountCodes[NGAS CODE],0))))</f>
        <v>PhilHealth Contributions</v>
      </c>
      <c r="E1064" s="24" t="s">
        <v>177</v>
      </c>
      <c r="F1064" s="502">
        <v>325</v>
      </c>
    </row>
    <row r="1065" spans="1:6">
      <c r="A1065" s="308">
        <v>43343</v>
      </c>
      <c r="B1065" s="24" t="s">
        <v>484</v>
      </c>
      <c r="C1065" s="24" t="s">
        <v>489</v>
      </c>
      <c r="D1065" s="136" t="str">
        <f t="array" ref="D1065">IF(E1065=0,0,(INDEX(AccountCodes[ACCOUNT NAME],MATCH(E1065,AccountCodes[NGAS CODE],0))))</f>
        <v>PhilHealth Contributions</v>
      </c>
      <c r="E1065" s="24" t="s">
        <v>177</v>
      </c>
      <c r="F1065" s="502">
        <v>325</v>
      </c>
    </row>
    <row r="1066" spans="1:6">
      <c r="A1066" s="308">
        <v>43373</v>
      </c>
      <c r="B1066" s="24" t="s">
        <v>484</v>
      </c>
      <c r="C1066" s="24" t="s">
        <v>489</v>
      </c>
      <c r="D1066" s="136" t="str">
        <f t="array" ref="D1066">IF(E1066=0,0,(INDEX(AccountCodes[ACCOUNT NAME],MATCH(E1066,AccountCodes[NGAS CODE],0))))</f>
        <v>PhilHealth Contributions</v>
      </c>
      <c r="E1066" s="24" t="s">
        <v>177</v>
      </c>
      <c r="F1066" s="502">
        <v>325</v>
      </c>
    </row>
    <row r="1067" spans="1:6">
      <c r="A1067" s="308">
        <v>43404</v>
      </c>
      <c r="B1067" s="24" t="s">
        <v>484</v>
      </c>
      <c r="C1067" s="24" t="s">
        <v>489</v>
      </c>
      <c r="D1067" s="136" t="str">
        <f t="array" ref="D1067">IF(E1067=0,0,(INDEX(AccountCodes[ACCOUNT NAME],MATCH(E1067,AccountCodes[NGAS CODE],0))))</f>
        <v>PhilHealth Contributions</v>
      </c>
      <c r="E1067" s="24" t="s">
        <v>177</v>
      </c>
      <c r="F1067" s="502">
        <v>325</v>
      </c>
    </row>
    <row r="1068" spans="1:6">
      <c r="A1068" s="308">
        <v>43434</v>
      </c>
      <c r="B1068" s="24" t="s">
        <v>484</v>
      </c>
      <c r="C1068" s="24" t="s">
        <v>489</v>
      </c>
      <c r="D1068" s="136" t="str">
        <f t="array" ref="D1068">IF(E1068=0,0,(INDEX(AccountCodes[ACCOUNT NAME],MATCH(E1068,AccountCodes[NGAS CODE],0))))</f>
        <v>PhilHealth Contributions</v>
      </c>
      <c r="E1068" s="24" t="s">
        <v>177</v>
      </c>
      <c r="F1068" s="502">
        <v>325</v>
      </c>
    </row>
    <row r="1069" spans="1:6">
      <c r="A1069" s="308">
        <v>43465</v>
      </c>
      <c r="B1069" s="24" t="s">
        <v>484</v>
      </c>
      <c r="C1069" s="24" t="s">
        <v>489</v>
      </c>
      <c r="D1069" s="136" t="str">
        <f t="array" ref="D1069">IF(E1069=0,0,(INDEX(AccountCodes[ACCOUNT NAME],MATCH(E1069,AccountCodes[NGAS CODE],0))))</f>
        <v>PhilHealth Contributions</v>
      </c>
      <c r="E1069" s="24" t="s">
        <v>177</v>
      </c>
      <c r="F1069" s="502">
        <v>325</v>
      </c>
    </row>
    <row r="1070" spans="1:6">
      <c r="A1070" s="308">
        <v>43131</v>
      </c>
      <c r="B1070" s="24" t="s">
        <v>484</v>
      </c>
      <c r="C1070" s="24" t="s">
        <v>489</v>
      </c>
      <c r="D1070" s="136" t="str">
        <f t="array" ref="D1070">IF(E1070=0,0,(INDEX(AccountCodes[ACCOUNT NAME],MATCH(E1070,AccountCodes[NGAS CODE],0))))</f>
        <v>Employees Compensation Insurance Premiums</v>
      </c>
      <c r="E1070" s="24" t="s">
        <v>178</v>
      </c>
      <c r="F1070" s="502">
        <v>100</v>
      </c>
    </row>
    <row r="1071" spans="1:6">
      <c r="A1071" s="308">
        <v>43159</v>
      </c>
      <c r="B1071" s="24" t="s">
        <v>484</v>
      </c>
      <c r="C1071" s="24" t="s">
        <v>489</v>
      </c>
      <c r="D1071" s="136" t="str">
        <f t="array" ref="D1071">IF(E1071=0,0,(INDEX(AccountCodes[ACCOUNT NAME],MATCH(E1071,AccountCodes[NGAS CODE],0))))</f>
        <v>Employees Compensation Insurance Premiums</v>
      </c>
      <c r="E1071" s="24" t="s">
        <v>178</v>
      </c>
      <c r="F1071" s="502">
        <v>100</v>
      </c>
    </row>
    <row r="1072" spans="1:6">
      <c r="A1072" s="308">
        <v>43190</v>
      </c>
      <c r="B1072" s="24" t="s">
        <v>484</v>
      </c>
      <c r="C1072" s="24" t="s">
        <v>489</v>
      </c>
      <c r="D1072" s="136" t="str">
        <f t="array" ref="D1072">IF(E1072=0,0,(INDEX(AccountCodes[ACCOUNT NAME],MATCH(E1072,AccountCodes[NGAS CODE],0))))</f>
        <v>Employees Compensation Insurance Premiums</v>
      </c>
      <c r="E1072" s="24" t="s">
        <v>178</v>
      </c>
      <c r="F1072" s="502">
        <v>100</v>
      </c>
    </row>
    <row r="1073" spans="1:6">
      <c r="A1073" s="308">
        <v>43220</v>
      </c>
      <c r="B1073" s="24" t="s">
        <v>484</v>
      </c>
      <c r="C1073" s="24" t="s">
        <v>489</v>
      </c>
      <c r="D1073" s="136" t="str">
        <f t="array" ref="D1073">IF(E1073=0,0,(INDEX(AccountCodes[ACCOUNT NAME],MATCH(E1073,AccountCodes[NGAS CODE],0))))</f>
        <v>Employees Compensation Insurance Premiums</v>
      </c>
      <c r="E1073" s="24" t="s">
        <v>178</v>
      </c>
      <c r="F1073" s="502">
        <v>100</v>
      </c>
    </row>
    <row r="1074" spans="1:6">
      <c r="A1074" s="308">
        <v>43251</v>
      </c>
      <c r="B1074" s="24" t="s">
        <v>484</v>
      </c>
      <c r="C1074" s="24" t="s">
        <v>489</v>
      </c>
      <c r="D1074" s="136" t="str">
        <f t="array" ref="D1074">IF(E1074=0,0,(INDEX(AccountCodes[ACCOUNT NAME],MATCH(E1074,AccountCodes[NGAS CODE],0))))</f>
        <v>Employees Compensation Insurance Premiums</v>
      </c>
      <c r="E1074" s="24" t="s">
        <v>178</v>
      </c>
      <c r="F1074" s="502">
        <v>100</v>
      </c>
    </row>
    <row r="1075" spans="1:6">
      <c r="A1075" s="308">
        <v>43281</v>
      </c>
      <c r="B1075" s="24" t="s">
        <v>484</v>
      </c>
      <c r="C1075" s="24" t="s">
        <v>489</v>
      </c>
      <c r="D1075" s="136" t="str">
        <f t="array" ref="D1075">IF(E1075=0,0,(INDEX(AccountCodes[ACCOUNT NAME],MATCH(E1075,AccountCodes[NGAS CODE],0))))</f>
        <v>Employees Compensation Insurance Premiums</v>
      </c>
      <c r="E1075" s="24" t="s">
        <v>178</v>
      </c>
      <c r="F1075" s="502">
        <v>100</v>
      </c>
    </row>
    <row r="1076" spans="1:6">
      <c r="A1076" s="308">
        <v>43312</v>
      </c>
      <c r="B1076" s="24" t="s">
        <v>484</v>
      </c>
      <c r="C1076" s="24" t="s">
        <v>489</v>
      </c>
      <c r="D1076" s="136" t="str">
        <f t="array" ref="D1076">IF(E1076=0,0,(INDEX(AccountCodes[ACCOUNT NAME],MATCH(E1076,AccountCodes[NGAS CODE],0))))</f>
        <v>Employees Compensation Insurance Premiums</v>
      </c>
      <c r="E1076" s="24" t="s">
        <v>178</v>
      </c>
      <c r="F1076" s="502">
        <v>100</v>
      </c>
    </row>
    <row r="1077" spans="1:6">
      <c r="A1077" s="308">
        <v>43343</v>
      </c>
      <c r="B1077" s="24" t="s">
        <v>484</v>
      </c>
      <c r="C1077" s="24" t="s">
        <v>489</v>
      </c>
      <c r="D1077" s="136" t="str">
        <f t="array" ref="D1077">IF(E1077=0,0,(INDEX(AccountCodes[ACCOUNT NAME],MATCH(E1077,AccountCodes[NGAS CODE],0))))</f>
        <v>Employees Compensation Insurance Premiums</v>
      </c>
      <c r="E1077" s="24" t="s">
        <v>178</v>
      </c>
      <c r="F1077" s="502">
        <v>100</v>
      </c>
    </row>
    <row r="1078" spans="1:6">
      <c r="A1078" s="308">
        <v>43373</v>
      </c>
      <c r="B1078" s="24" t="s">
        <v>484</v>
      </c>
      <c r="C1078" s="24" t="s">
        <v>489</v>
      </c>
      <c r="D1078" s="136" t="str">
        <f t="array" ref="D1078">IF(E1078=0,0,(INDEX(AccountCodes[ACCOUNT NAME],MATCH(E1078,AccountCodes[NGAS CODE],0))))</f>
        <v>Employees Compensation Insurance Premiums</v>
      </c>
      <c r="E1078" s="24" t="s">
        <v>178</v>
      </c>
      <c r="F1078" s="502">
        <v>100</v>
      </c>
    </row>
    <row r="1079" spans="1:6">
      <c r="A1079" s="308">
        <v>43404</v>
      </c>
      <c r="B1079" s="24" t="s">
        <v>484</v>
      </c>
      <c r="C1079" s="24" t="s">
        <v>489</v>
      </c>
      <c r="D1079" s="136" t="str">
        <f t="array" ref="D1079">IF(E1079=0,0,(INDEX(AccountCodes[ACCOUNT NAME],MATCH(E1079,AccountCodes[NGAS CODE],0))))</f>
        <v>Employees Compensation Insurance Premiums</v>
      </c>
      <c r="E1079" s="24" t="s">
        <v>178</v>
      </c>
      <c r="F1079" s="502">
        <v>100</v>
      </c>
    </row>
    <row r="1080" spans="1:6">
      <c r="A1080" s="308">
        <v>43434</v>
      </c>
      <c r="B1080" s="24" t="s">
        <v>484</v>
      </c>
      <c r="C1080" s="24" t="s">
        <v>489</v>
      </c>
      <c r="D1080" s="136" t="str">
        <f t="array" ref="D1080">IF(E1080=0,0,(INDEX(AccountCodes[ACCOUNT NAME],MATCH(E1080,AccountCodes[NGAS CODE],0))))</f>
        <v>Employees Compensation Insurance Premiums</v>
      </c>
      <c r="E1080" s="24" t="s">
        <v>178</v>
      </c>
      <c r="F1080" s="502">
        <v>100</v>
      </c>
    </row>
    <row r="1081" spans="1:6">
      <c r="A1081" s="308">
        <v>43465</v>
      </c>
      <c r="B1081" s="24" t="s">
        <v>484</v>
      </c>
      <c r="C1081" s="24" t="s">
        <v>489</v>
      </c>
      <c r="D1081" s="136" t="str">
        <f t="array" ref="D1081">IF(E1081=0,0,(INDEX(AccountCodes[ACCOUNT NAME],MATCH(E1081,AccountCodes[NGAS CODE],0))))</f>
        <v>Employees Compensation Insurance Premiums</v>
      </c>
      <c r="E1081" s="24" t="s">
        <v>178</v>
      </c>
      <c r="F1081" s="502">
        <v>100</v>
      </c>
    </row>
    <row r="1082" spans="1:6">
      <c r="A1082" s="308">
        <v>43131</v>
      </c>
      <c r="B1082" s="24" t="s">
        <v>484</v>
      </c>
      <c r="C1082" s="24" t="s">
        <v>489</v>
      </c>
      <c r="D1082" s="136" t="str">
        <f t="array" ref="D1082">IF(E1082=0,0,(INDEX(AccountCodes[ACCOUNT NAME],MATCH(E1082,AccountCodes[NGAS CODE],0))))</f>
        <v>Traveling Expenses-Local</v>
      </c>
      <c r="E1082" s="24" t="s">
        <v>223</v>
      </c>
      <c r="F1082" s="502">
        <v>2400</v>
      </c>
    </row>
    <row r="1083" spans="1:6">
      <c r="A1083" s="308">
        <v>43159</v>
      </c>
      <c r="B1083" s="24" t="s">
        <v>484</v>
      </c>
      <c r="C1083" s="24" t="s">
        <v>489</v>
      </c>
      <c r="D1083" s="136" t="str">
        <f t="array" ref="D1083">IF(E1083=0,0,(INDEX(AccountCodes[ACCOUNT NAME],MATCH(E1083,AccountCodes[NGAS CODE],0))))</f>
        <v>Traveling Expenses-Local</v>
      </c>
      <c r="E1083" s="24" t="s">
        <v>223</v>
      </c>
      <c r="F1083" s="502">
        <v>2400</v>
      </c>
    </row>
    <row r="1084" spans="1:6">
      <c r="A1084" s="308">
        <v>43190</v>
      </c>
      <c r="B1084" s="24" t="s">
        <v>484</v>
      </c>
      <c r="C1084" s="24" t="s">
        <v>489</v>
      </c>
      <c r="D1084" s="136" t="str">
        <f t="array" ref="D1084">IF(E1084=0,0,(INDEX(AccountCodes[ACCOUNT NAME],MATCH(E1084,AccountCodes[NGAS CODE],0))))</f>
        <v>Traveling Expenses-Local</v>
      </c>
      <c r="E1084" s="24" t="s">
        <v>223</v>
      </c>
      <c r="F1084" s="502">
        <v>2400</v>
      </c>
    </row>
    <row r="1085" spans="1:6">
      <c r="A1085" s="308">
        <v>43220</v>
      </c>
      <c r="B1085" s="24" t="s">
        <v>484</v>
      </c>
      <c r="C1085" s="24" t="s">
        <v>489</v>
      </c>
      <c r="D1085" s="136" t="str">
        <f t="array" ref="D1085">IF(E1085=0,0,(INDEX(AccountCodes[ACCOUNT NAME],MATCH(E1085,AccountCodes[NGAS CODE],0))))</f>
        <v>Traveling Expenses-Local</v>
      </c>
      <c r="E1085" s="24" t="s">
        <v>223</v>
      </c>
      <c r="F1085" s="502">
        <v>2400</v>
      </c>
    </row>
    <row r="1086" spans="1:6">
      <c r="A1086" s="308">
        <v>43251</v>
      </c>
      <c r="B1086" s="24" t="s">
        <v>484</v>
      </c>
      <c r="C1086" s="24" t="s">
        <v>489</v>
      </c>
      <c r="D1086" s="136" t="str">
        <f t="array" ref="D1086">IF(E1086=0,0,(INDEX(AccountCodes[ACCOUNT NAME],MATCH(E1086,AccountCodes[NGAS CODE],0))))</f>
        <v>Traveling Expenses-Local</v>
      </c>
      <c r="E1086" s="24" t="s">
        <v>223</v>
      </c>
      <c r="F1086" s="502">
        <v>2400</v>
      </c>
    </row>
    <row r="1087" spans="1:6">
      <c r="A1087" s="308">
        <v>43281</v>
      </c>
      <c r="B1087" s="24" t="s">
        <v>484</v>
      </c>
      <c r="C1087" s="24" t="s">
        <v>489</v>
      </c>
      <c r="D1087" s="136" t="str">
        <f t="array" ref="D1087">IF(E1087=0,0,(INDEX(AccountCodes[ACCOUNT NAME],MATCH(E1087,AccountCodes[NGAS CODE],0))))</f>
        <v>Traveling Expenses-Local</v>
      </c>
      <c r="E1087" s="24" t="s">
        <v>223</v>
      </c>
      <c r="F1087" s="502">
        <v>2400</v>
      </c>
    </row>
    <row r="1088" spans="1:6">
      <c r="A1088" s="308">
        <v>43312</v>
      </c>
      <c r="B1088" s="24" t="s">
        <v>484</v>
      </c>
      <c r="C1088" s="24" t="s">
        <v>489</v>
      </c>
      <c r="D1088" s="136" t="str">
        <f t="array" ref="D1088">IF(E1088=0,0,(INDEX(AccountCodes[ACCOUNT NAME],MATCH(E1088,AccountCodes[NGAS CODE],0))))</f>
        <v>Traveling Expenses-Local</v>
      </c>
      <c r="E1088" s="24" t="s">
        <v>223</v>
      </c>
      <c r="F1088" s="502">
        <v>2400</v>
      </c>
    </row>
    <row r="1089" spans="1:6">
      <c r="A1089" s="308">
        <v>43343</v>
      </c>
      <c r="B1089" s="24" t="s">
        <v>484</v>
      </c>
      <c r="C1089" s="24" t="s">
        <v>489</v>
      </c>
      <c r="D1089" s="136" t="str">
        <f t="array" ref="D1089">IF(E1089=0,0,(INDEX(AccountCodes[ACCOUNT NAME],MATCH(E1089,AccountCodes[NGAS CODE],0))))</f>
        <v>Traveling Expenses-Local</v>
      </c>
      <c r="E1089" s="24" t="s">
        <v>223</v>
      </c>
      <c r="F1089" s="502">
        <v>2400</v>
      </c>
    </row>
    <row r="1090" spans="1:6">
      <c r="A1090" s="308">
        <v>43373</v>
      </c>
      <c r="B1090" s="24" t="s">
        <v>484</v>
      </c>
      <c r="C1090" s="24" t="s">
        <v>489</v>
      </c>
      <c r="D1090" s="136" t="str">
        <f t="array" ref="D1090">IF(E1090=0,0,(INDEX(AccountCodes[ACCOUNT NAME],MATCH(E1090,AccountCodes[NGAS CODE],0))))</f>
        <v>Traveling Expenses-Local</v>
      </c>
      <c r="E1090" s="24" t="s">
        <v>223</v>
      </c>
      <c r="F1090" s="502">
        <v>2400</v>
      </c>
    </row>
    <row r="1091" spans="1:6">
      <c r="A1091" s="308">
        <v>43404</v>
      </c>
      <c r="B1091" s="24" t="s">
        <v>484</v>
      </c>
      <c r="C1091" s="24" t="s">
        <v>489</v>
      </c>
      <c r="D1091" s="136" t="str">
        <f t="array" ref="D1091">IF(E1091=0,0,(INDEX(AccountCodes[ACCOUNT NAME],MATCH(E1091,AccountCodes[NGAS CODE],0))))</f>
        <v>Traveling Expenses-Local</v>
      </c>
      <c r="E1091" s="24" t="s">
        <v>223</v>
      </c>
      <c r="F1091" s="502">
        <v>2400</v>
      </c>
    </row>
    <row r="1092" spans="1:6">
      <c r="A1092" s="308">
        <v>43434</v>
      </c>
      <c r="B1092" s="24" t="s">
        <v>484</v>
      </c>
      <c r="C1092" s="24" t="s">
        <v>489</v>
      </c>
      <c r="D1092" s="136" t="str">
        <f t="array" ref="D1092">IF(E1092=0,0,(INDEX(AccountCodes[ACCOUNT NAME],MATCH(E1092,AccountCodes[NGAS CODE],0))))</f>
        <v>Traveling Expenses-Local</v>
      </c>
      <c r="E1092" s="24" t="s">
        <v>223</v>
      </c>
      <c r="F1092" s="502">
        <v>2400</v>
      </c>
    </row>
    <row r="1093" spans="1:6">
      <c r="A1093" s="308">
        <v>43465</v>
      </c>
      <c r="B1093" s="24" t="s">
        <v>484</v>
      </c>
      <c r="C1093" s="24" t="s">
        <v>489</v>
      </c>
      <c r="D1093" s="136" t="str">
        <f t="array" ref="D1093">IF(E1093=0,0,(INDEX(AccountCodes[ACCOUNT NAME],MATCH(E1093,AccountCodes[NGAS CODE],0))))</f>
        <v>Traveling Expenses-Local</v>
      </c>
      <c r="E1093" s="24" t="s">
        <v>223</v>
      </c>
      <c r="F1093" s="502">
        <v>2400</v>
      </c>
    </row>
    <row r="1094" spans="1:6">
      <c r="A1094" s="308">
        <v>43131</v>
      </c>
      <c r="B1094" s="24" t="s">
        <v>484</v>
      </c>
      <c r="C1094" s="24" t="s">
        <v>489</v>
      </c>
      <c r="D1094" s="136" t="str">
        <f t="array" ref="D1094">IF(E1094=0,0,(INDEX(AccountCodes[ACCOUNT NAME],MATCH(E1094,AccountCodes[NGAS CODE],0))))</f>
        <v>Office Supplies Expenses</v>
      </c>
      <c r="E1094" s="309" t="s">
        <v>225</v>
      </c>
      <c r="F1094" s="502">
        <v>6875</v>
      </c>
    </row>
    <row r="1095" spans="1:6">
      <c r="A1095" s="308">
        <v>43159</v>
      </c>
      <c r="B1095" s="24" t="s">
        <v>484</v>
      </c>
      <c r="C1095" s="24" t="s">
        <v>489</v>
      </c>
      <c r="D1095" s="136" t="str">
        <f t="array" ref="D1095">IF(E1095=0,0,(INDEX(AccountCodes[ACCOUNT NAME],MATCH(E1095,AccountCodes[NGAS CODE],0))))</f>
        <v>Office Supplies Expenses</v>
      </c>
      <c r="E1095" s="309" t="s">
        <v>225</v>
      </c>
      <c r="F1095" s="502">
        <v>6875</v>
      </c>
    </row>
    <row r="1096" spans="1:6">
      <c r="A1096" s="308">
        <v>43190</v>
      </c>
      <c r="B1096" s="24" t="s">
        <v>484</v>
      </c>
      <c r="C1096" s="24" t="s">
        <v>489</v>
      </c>
      <c r="D1096" s="136" t="str">
        <f t="array" ref="D1096">IF(E1096=0,0,(INDEX(AccountCodes[ACCOUNT NAME],MATCH(E1096,AccountCodes[NGAS CODE],0))))</f>
        <v>Office Supplies Expenses</v>
      </c>
      <c r="E1096" s="309" t="s">
        <v>225</v>
      </c>
      <c r="F1096" s="502">
        <v>6875</v>
      </c>
    </row>
    <row r="1097" spans="1:6">
      <c r="A1097" s="308">
        <v>43220</v>
      </c>
      <c r="B1097" s="24" t="s">
        <v>484</v>
      </c>
      <c r="C1097" s="24" t="s">
        <v>489</v>
      </c>
      <c r="D1097" s="136" t="str">
        <f t="array" ref="D1097">IF(E1097=0,0,(INDEX(AccountCodes[ACCOUNT NAME],MATCH(E1097,AccountCodes[NGAS CODE],0))))</f>
        <v>Office Supplies Expenses</v>
      </c>
      <c r="E1097" s="309" t="s">
        <v>225</v>
      </c>
      <c r="F1097" s="502">
        <v>6875</v>
      </c>
    </row>
    <row r="1098" spans="1:6">
      <c r="A1098" s="308">
        <v>43251</v>
      </c>
      <c r="B1098" s="24" t="s">
        <v>484</v>
      </c>
      <c r="C1098" s="24" t="s">
        <v>489</v>
      </c>
      <c r="D1098" s="136" t="str">
        <f t="array" ref="D1098">IF(E1098=0,0,(INDEX(AccountCodes[ACCOUNT NAME],MATCH(E1098,AccountCodes[NGAS CODE],0))))</f>
        <v>Office Supplies Expenses</v>
      </c>
      <c r="E1098" s="309" t="s">
        <v>225</v>
      </c>
      <c r="F1098" s="502">
        <v>6875</v>
      </c>
    </row>
    <row r="1099" spans="1:6">
      <c r="A1099" s="308">
        <v>43281</v>
      </c>
      <c r="B1099" s="24" t="s">
        <v>484</v>
      </c>
      <c r="C1099" s="24" t="s">
        <v>489</v>
      </c>
      <c r="D1099" s="136" t="str">
        <f t="array" ref="D1099">IF(E1099=0,0,(INDEX(AccountCodes[ACCOUNT NAME],MATCH(E1099,AccountCodes[NGAS CODE],0))))</f>
        <v>Office Supplies Expenses</v>
      </c>
      <c r="E1099" s="309" t="s">
        <v>225</v>
      </c>
      <c r="F1099" s="502">
        <v>6875</v>
      </c>
    </row>
    <row r="1100" spans="1:6">
      <c r="A1100" s="308">
        <v>43312</v>
      </c>
      <c r="B1100" s="24" t="s">
        <v>484</v>
      </c>
      <c r="C1100" s="24" t="s">
        <v>489</v>
      </c>
      <c r="D1100" s="136" t="str">
        <f t="array" ref="D1100">IF(E1100=0,0,(INDEX(AccountCodes[ACCOUNT NAME],MATCH(E1100,AccountCodes[NGAS CODE],0))))</f>
        <v>Office Supplies Expenses</v>
      </c>
      <c r="E1100" s="309" t="s">
        <v>225</v>
      </c>
      <c r="F1100" s="502">
        <v>6875</v>
      </c>
    </row>
    <row r="1101" spans="1:6">
      <c r="A1101" s="308">
        <v>43343</v>
      </c>
      <c r="B1101" s="24" t="s">
        <v>484</v>
      </c>
      <c r="C1101" s="24" t="s">
        <v>489</v>
      </c>
      <c r="D1101" s="136" t="str">
        <f t="array" ref="D1101">IF(E1101=0,0,(INDEX(AccountCodes[ACCOUNT NAME],MATCH(E1101,AccountCodes[NGAS CODE],0))))</f>
        <v>Office Supplies Expenses</v>
      </c>
      <c r="E1101" s="309" t="s">
        <v>225</v>
      </c>
      <c r="F1101" s="502">
        <v>6875</v>
      </c>
    </row>
    <row r="1102" spans="1:6">
      <c r="A1102" s="308">
        <v>43373</v>
      </c>
      <c r="B1102" s="24" t="s">
        <v>484</v>
      </c>
      <c r="C1102" s="24" t="s">
        <v>489</v>
      </c>
      <c r="D1102" s="136" t="str">
        <f t="array" ref="D1102">IF(E1102=0,0,(INDEX(AccountCodes[ACCOUNT NAME],MATCH(E1102,AccountCodes[NGAS CODE],0))))</f>
        <v>Office Supplies Expenses</v>
      </c>
      <c r="E1102" s="309" t="s">
        <v>225</v>
      </c>
      <c r="F1102" s="502">
        <v>6875</v>
      </c>
    </row>
    <row r="1103" spans="1:6">
      <c r="A1103" s="308">
        <v>43404</v>
      </c>
      <c r="B1103" s="24" t="s">
        <v>484</v>
      </c>
      <c r="C1103" s="24" t="s">
        <v>489</v>
      </c>
      <c r="D1103" s="136" t="str">
        <f t="array" ref="D1103">IF(E1103=0,0,(INDEX(AccountCodes[ACCOUNT NAME],MATCH(E1103,AccountCodes[NGAS CODE],0))))</f>
        <v>Office Supplies Expenses</v>
      </c>
      <c r="E1103" s="309" t="s">
        <v>225</v>
      </c>
      <c r="F1103" s="502">
        <v>6875</v>
      </c>
    </row>
    <row r="1104" spans="1:6">
      <c r="A1104" s="308">
        <v>43434</v>
      </c>
      <c r="B1104" s="24" t="s">
        <v>484</v>
      </c>
      <c r="C1104" s="24" t="s">
        <v>489</v>
      </c>
      <c r="D1104" s="136" t="str">
        <f t="array" ref="D1104">IF(E1104=0,0,(INDEX(AccountCodes[ACCOUNT NAME],MATCH(E1104,AccountCodes[NGAS CODE],0))))</f>
        <v>Office Supplies Expenses</v>
      </c>
      <c r="E1104" s="309" t="s">
        <v>225</v>
      </c>
      <c r="F1104" s="502">
        <v>6875</v>
      </c>
    </row>
    <row r="1105" spans="1:6">
      <c r="A1105" s="308">
        <v>43465</v>
      </c>
      <c r="B1105" s="24" t="s">
        <v>484</v>
      </c>
      <c r="C1105" s="24" t="s">
        <v>489</v>
      </c>
      <c r="D1105" s="136" t="str">
        <f t="array" ref="D1105">IF(E1105=0,0,(INDEX(AccountCodes[ACCOUNT NAME],MATCH(E1105,AccountCodes[NGAS CODE],0))))</f>
        <v>Office Supplies Expenses</v>
      </c>
      <c r="E1105" s="309" t="s">
        <v>225</v>
      </c>
      <c r="F1105" s="502">
        <v>6875</v>
      </c>
    </row>
    <row r="1106" spans="1:6">
      <c r="A1106" s="308">
        <v>43131</v>
      </c>
      <c r="B1106" s="24" t="s">
        <v>484</v>
      </c>
      <c r="C1106" s="24" t="s">
        <v>489</v>
      </c>
      <c r="D1106" s="136" t="str">
        <f t="array" ref="D1106">IF(E1106=0,0,(INDEX(AccountCodes[ACCOUNT NAME],MATCH(E1106,AccountCodes[NGAS CODE],0))))</f>
        <v>Medical, Dental and Laboratory Supplies Expenses</v>
      </c>
      <c r="E1106" s="309" t="s">
        <v>228</v>
      </c>
      <c r="F1106" s="502">
        <v>458.33</v>
      </c>
    </row>
    <row r="1107" spans="1:6">
      <c r="A1107" s="308">
        <v>43159</v>
      </c>
      <c r="B1107" s="24" t="s">
        <v>484</v>
      </c>
      <c r="C1107" s="24" t="s">
        <v>489</v>
      </c>
      <c r="D1107" s="136" t="str">
        <f t="array" ref="D1107">IF(E1107=0,0,(INDEX(AccountCodes[ACCOUNT NAME],MATCH(E1107,AccountCodes[NGAS CODE],0))))</f>
        <v>Medical, Dental and Laboratory Supplies Expenses</v>
      </c>
      <c r="E1107" s="309" t="s">
        <v>228</v>
      </c>
      <c r="F1107" s="502">
        <v>458.33</v>
      </c>
    </row>
    <row r="1108" spans="1:6">
      <c r="A1108" s="308">
        <v>43190</v>
      </c>
      <c r="B1108" s="24" t="s">
        <v>484</v>
      </c>
      <c r="C1108" s="24" t="s">
        <v>489</v>
      </c>
      <c r="D1108" s="136" t="str">
        <f t="array" ref="D1108">IF(E1108=0,0,(INDEX(AccountCodes[ACCOUNT NAME],MATCH(E1108,AccountCodes[NGAS CODE],0))))</f>
        <v>Medical, Dental and Laboratory Supplies Expenses</v>
      </c>
      <c r="E1108" s="309" t="s">
        <v>228</v>
      </c>
      <c r="F1108" s="502">
        <v>458.33</v>
      </c>
    </row>
    <row r="1109" spans="1:6">
      <c r="A1109" s="308">
        <v>43220</v>
      </c>
      <c r="B1109" s="24" t="s">
        <v>484</v>
      </c>
      <c r="C1109" s="24" t="s">
        <v>489</v>
      </c>
      <c r="D1109" s="136" t="str">
        <f t="array" ref="D1109">IF(E1109=0,0,(INDEX(AccountCodes[ACCOUNT NAME],MATCH(E1109,AccountCodes[NGAS CODE],0))))</f>
        <v>Medical, Dental and Laboratory Supplies Expenses</v>
      </c>
      <c r="E1109" s="309" t="s">
        <v>228</v>
      </c>
      <c r="F1109" s="502">
        <v>458.33</v>
      </c>
    </row>
    <row r="1110" spans="1:6">
      <c r="A1110" s="308">
        <v>43251</v>
      </c>
      <c r="B1110" s="24" t="s">
        <v>484</v>
      </c>
      <c r="C1110" s="24" t="s">
        <v>489</v>
      </c>
      <c r="D1110" s="136" t="str">
        <f t="array" ref="D1110">IF(E1110=0,0,(INDEX(AccountCodes[ACCOUNT NAME],MATCH(E1110,AccountCodes[NGAS CODE],0))))</f>
        <v>Medical, Dental and Laboratory Supplies Expenses</v>
      </c>
      <c r="E1110" s="309" t="s">
        <v>228</v>
      </c>
      <c r="F1110" s="502">
        <v>458.33</v>
      </c>
    </row>
    <row r="1111" spans="1:6">
      <c r="A1111" s="308">
        <v>43281</v>
      </c>
      <c r="B1111" s="24" t="s">
        <v>484</v>
      </c>
      <c r="C1111" s="24" t="s">
        <v>489</v>
      </c>
      <c r="D1111" s="136" t="str">
        <f t="array" ref="D1111">IF(E1111=0,0,(INDEX(AccountCodes[ACCOUNT NAME],MATCH(E1111,AccountCodes[NGAS CODE],0))))</f>
        <v>Medical, Dental and Laboratory Supplies Expenses</v>
      </c>
      <c r="E1111" s="309" t="s">
        <v>228</v>
      </c>
      <c r="F1111" s="502">
        <v>458.33</v>
      </c>
    </row>
    <row r="1112" spans="1:6">
      <c r="A1112" s="308">
        <v>43312</v>
      </c>
      <c r="B1112" s="24" t="s">
        <v>484</v>
      </c>
      <c r="C1112" s="24" t="s">
        <v>489</v>
      </c>
      <c r="D1112" s="136" t="str">
        <f t="array" ref="D1112">IF(E1112=0,0,(INDEX(AccountCodes[ACCOUNT NAME],MATCH(E1112,AccountCodes[NGAS CODE],0))))</f>
        <v>Medical, Dental and Laboratory Supplies Expenses</v>
      </c>
      <c r="E1112" s="309" t="s">
        <v>228</v>
      </c>
      <c r="F1112" s="502">
        <v>458.33</v>
      </c>
    </row>
    <row r="1113" spans="1:6">
      <c r="A1113" s="308">
        <v>43343</v>
      </c>
      <c r="B1113" s="24" t="s">
        <v>484</v>
      </c>
      <c r="C1113" s="24" t="s">
        <v>489</v>
      </c>
      <c r="D1113" s="136" t="str">
        <f t="array" ref="D1113">IF(E1113=0,0,(INDEX(AccountCodes[ACCOUNT NAME],MATCH(E1113,AccountCodes[NGAS CODE],0))))</f>
        <v>Medical, Dental and Laboratory Supplies Expenses</v>
      </c>
      <c r="E1113" s="309" t="s">
        <v>228</v>
      </c>
      <c r="F1113" s="502">
        <v>458.33</v>
      </c>
    </row>
    <row r="1114" spans="1:6">
      <c r="A1114" s="308">
        <v>43373</v>
      </c>
      <c r="B1114" s="24" t="s">
        <v>484</v>
      </c>
      <c r="C1114" s="24" t="s">
        <v>489</v>
      </c>
      <c r="D1114" s="136" t="str">
        <f t="array" ref="D1114">IF(E1114=0,0,(INDEX(AccountCodes[ACCOUNT NAME],MATCH(E1114,AccountCodes[NGAS CODE],0))))</f>
        <v>Medical, Dental and Laboratory Supplies Expenses</v>
      </c>
      <c r="E1114" s="309" t="s">
        <v>228</v>
      </c>
      <c r="F1114" s="502">
        <v>458.33</v>
      </c>
    </row>
    <row r="1115" spans="1:6">
      <c r="A1115" s="308">
        <v>43404</v>
      </c>
      <c r="B1115" s="24" t="s">
        <v>484</v>
      </c>
      <c r="C1115" s="24" t="s">
        <v>489</v>
      </c>
      <c r="D1115" s="136" t="str">
        <f t="array" ref="D1115">IF(E1115=0,0,(INDEX(AccountCodes[ACCOUNT NAME],MATCH(E1115,AccountCodes[NGAS CODE],0))))</f>
        <v>Medical, Dental and Laboratory Supplies Expenses</v>
      </c>
      <c r="E1115" s="309" t="s">
        <v>228</v>
      </c>
      <c r="F1115" s="502">
        <v>458.33</v>
      </c>
    </row>
    <row r="1116" spans="1:6">
      <c r="A1116" s="308">
        <v>43434</v>
      </c>
      <c r="B1116" s="24" t="s">
        <v>484</v>
      </c>
      <c r="C1116" s="24" t="s">
        <v>489</v>
      </c>
      <c r="D1116" s="136" t="str">
        <f t="array" ref="D1116">IF(E1116=0,0,(INDEX(AccountCodes[ACCOUNT NAME],MATCH(E1116,AccountCodes[NGAS CODE],0))))</f>
        <v>Medical, Dental and Laboratory Supplies Expenses</v>
      </c>
      <c r="E1116" s="309" t="s">
        <v>228</v>
      </c>
      <c r="F1116" s="502">
        <v>458.33</v>
      </c>
    </row>
    <row r="1117" spans="1:6">
      <c r="A1117" s="308">
        <v>43465</v>
      </c>
      <c r="B1117" s="24" t="s">
        <v>484</v>
      </c>
      <c r="C1117" s="24" t="s">
        <v>489</v>
      </c>
      <c r="D1117" s="136" t="str">
        <f t="array" ref="D1117">IF(E1117=0,0,(INDEX(AccountCodes[ACCOUNT NAME],MATCH(E1117,AccountCodes[NGAS CODE],0))))</f>
        <v>Medical, Dental and Laboratory Supplies Expenses</v>
      </c>
      <c r="E1117" s="309" t="s">
        <v>228</v>
      </c>
      <c r="F1117" s="502">
        <v>458.33</v>
      </c>
    </row>
    <row r="1118" spans="1:6">
      <c r="A1118" s="308">
        <v>43131</v>
      </c>
      <c r="B1118" s="24" t="s">
        <v>484</v>
      </c>
      <c r="C1118" s="24" t="s">
        <v>489</v>
      </c>
      <c r="D1118" s="136" t="str">
        <f t="array" ref="D1118">IF(E1118=0,0,(INDEX(AccountCodes[ACCOUNT NAME],MATCH(E1118,AccountCodes[NGAS CODE],0))))</f>
        <v>Fuel, Oil and Lubricants Expenses</v>
      </c>
      <c r="E1118" s="309" t="s">
        <v>229</v>
      </c>
      <c r="F1118" s="502">
        <v>27030.43</v>
      </c>
    </row>
    <row r="1119" spans="1:6">
      <c r="A1119" s="308">
        <v>43159</v>
      </c>
      <c r="B1119" s="24" t="s">
        <v>484</v>
      </c>
      <c r="C1119" s="24" t="s">
        <v>489</v>
      </c>
      <c r="D1119" s="136" t="str">
        <f t="array" ref="D1119">IF(E1119=0,0,(INDEX(AccountCodes[ACCOUNT NAME],MATCH(E1119,AccountCodes[NGAS CODE],0))))</f>
        <v>Fuel, Oil and Lubricants Expenses</v>
      </c>
      <c r="E1119" s="309" t="s">
        <v>229</v>
      </c>
      <c r="F1119" s="502">
        <v>27030.43</v>
      </c>
    </row>
    <row r="1120" spans="1:6">
      <c r="A1120" s="308">
        <v>43190</v>
      </c>
      <c r="B1120" s="24" t="s">
        <v>484</v>
      </c>
      <c r="C1120" s="24" t="s">
        <v>489</v>
      </c>
      <c r="D1120" s="136" t="str">
        <f t="array" ref="D1120">IF(E1120=0,0,(INDEX(AccountCodes[ACCOUNT NAME],MATCH(E1120,AccountCodes[NGAS CODE],0))))</f>
        <v>Fuel, Oil and Lubricants Expenses</v>
      </c>
      <c r="E1120" s="309" t="s">
        <v>229</v>
      </c>
      <c r="F1120" s="502">
        <v>27030.43</v>
      </c>
    </row>
    <row r="1121" spans="1:6">
      <c r="A1121" s="308">
        <v>43220</v>
      </c>
      <c r="B1121" s="24" t="s">
        <v>484</v>
      </c>
      <c r="C1121" s="24" t="s">
        <v>489</v>
      </c>
      <c r="D1121" s="136" t="str">
        <f t="array" ref="D1121">IF(E1121=0,0,(INDEX(AccountCodes[ACCOUNT NAME],MATCH(E1121,AccountCodes[NGAS CODE],0))))</f>
        <v>Fuel, Oil and Lubricants Expenses</v>
      </c>
      <c r="E1121" s="309" t="s">
        <v>229</v>
      </c>
      <c r="F1121" s="502">
        <v>27030.43</v>
      </c>
    </row>
    <row r="1122" spans="1:6">
      <c r="A1122" s="308">
        <v>43251</v>
      </c>
      <c r="B1122" s="24" t="s">
        <v>484</v>
      </c>
      <c r="C1122" s="24" t="s">
        <v>489</v>
      </c>
      <c r="D1122" s="136" t="str">
        <f t="array" ref="D1122">IF(E1122=0,0,(INDEX(AccountCodes[ACCOUNT NAME],MATCH(E1122,AccountCodes[NGAS CODE],0))))</f>
        <v>Fuel, Oil and Lubricants Expenses</v>
      </c>
      <c r="E1122" s="309" t="s">
        <v>229</v>
      </c>
      <c r="F1122" s="502">
        <v>27030.43</v>
      </c>
    </row>
    <row r="1123" spans="1:6">
      <c r="A1123" s="308">
        <v>43281</v>
      </c>
      <c r="B1123" s="24" t="s">
        <v>484</v>
      </c>
      <c r="C1123" s="24" t="s">
        <v>489</v>
      </c>
      <c r="D1123" s="136" t="str">
        <f t="array" ref="D1123">IF(E1123=0,0,(INDEX(AccountCodes[ACCOUNT NAME],MATCH(E1123,AccountCodes[NGAS CODE],0))))</f>
        <v>Fuel, Oil and Lubricants Expenses</v>
      </c>
      <c r="E1123" s="309" t="s">
        <v>229</v>
      </c>
      <c r="F1123" s="502">
        <v>27030.43</v>
      </c>
    </row>
    <row r="1124" spans="1:6">
      <c r="A1124" s="308">
        <v>43312</v>
      </c>
      <c r="B1124" s="24" t="s">
        <v>484</v>
      </c>
      <c r="C1124" s="24" t="s">
        <v>489</v>
      </c>
      <c r="D1124" s="136" t="str">
        <f t="array" ref="D1124">IF(E1124=0,0,(INDEX(AccountCodes[ACCOUNT NAME],MATCH(E1124,AccountCodes[NGAS CODE],0))))</f>
        <v>Fuel, Oil and Lubricants Expenses</v>
      </c>
      <c r="E1124" s="309" t="s">
        <v>229</v>
      </c>
      <c r="F1124" s="502">
        <v>27030.43</v>
      </c>
    </row>
    <row r="1125" spans="1:6">
      <c r="A1125" s="308">
        <v>43343</v>
      </c>
      <c r="B1125" s="24" t="s">
        <v>484</v>
      </c>
      <c r="C1125" s="24" t="s">
        <v>489</v>
      </c>
      <c r="D1125" s="136" t="str">
        <f t="array" ref="D1125">IF(E1125=0,0,(INDEX(AccountCodes[ACCOUNT NAME],MATCH(E1125,AccountCodes[NGAS CODE],0))))</f>
        <v>Fuel, Oil and Lubricants Expenses</v>
      </c>
      <c r="E1125" s="309" t="s">
        <v>229</v>
      </c>
      <c r="F1125" s="502">
        <v>27030.43</v>
      </c>
    </row>
    <row r="1126" spans="1:6">
      <c r="A1126" s="308">
        <v>43373</v>
      </c>
      <c r="B1126" s="24" t="s">
        <v>484</v>
      </c>
      <c r="C1126" s="24" t="s">
        <v>489</v>
      </c>
      <c r="D1126" s="136" t="str">
        <f t="array" ref="D1126">IF(E1126=0,0,(INDEX(AccountCodes[ACCOUNT NAME],MATCH(E1126,AccountCodes[NGAS CODE],0))))</f>
        <v>Fuel, Oil and Lubricants Expenses</v>
      </c>
      <c r="E1126" s="309" t="s">
        <v>229</v>
      </c>
      <c r="F1126" s="502">
        <v>27030.43</v>
      </c>
    </row>
    <row r="1127" spans="1:6">
      <c r="A1127" s="308">
        <v>43404</v>
      </c>
      <c r="B1127" s="24" t="s">
        <v>484</v>
      </c>
      <c r="C1127" s="24" t="s">
        <v>489</v>
      </c>
      <c r="D1127" s="136" t="str">
        <f t="array" ref="D1127">IF(E1127=0,0,(INDEX(AccountCodes[ACCOUNT NAME],MATCH(E1127,AccountCodes[NGAS CODE],0))))</f>
        <v>Fuel, Oil and Lubricants Expenses</v>
      </c>
      <c r="E1127" s="309" t="s">
        <v>229</v>
      </c>
      <c r="F1127" s="502">
        <v>27030.43</v>
      </c>
    </row>
    <row r="1128" spans="1:6">
      <c r="A1128" s="308">
        <v>43434</v>
      </c>
      <c r="B1128" s="24" t="s">
        <v>484</v>
      </c>
      <c r="C1128" s="24" t="s">
        <v>489</v>
      </c>
      <c r="D1128" s="136" t="str">
        <f t="array" ref="D1128">IF(E1128=0,0,(INDEX(AccountCodes[ACCOUNT NAME],MATCH(E1128,AccountCodes[NGAS CODE],0))))</f>
        <v>Fuel, Oil and Lubricants Expenses</v>
      </c>
      <c r="E1128" s="309" t="s">
        <v>229</v>
      </c>
      <c r="F1128" s="502">
        <v>27030.43</v>
      </c>
    </row>
    <row r="1129" spans="1:6">
      <c r="A1129" s="308">
        <v>43465</v>
      </c>
      <c r="B1129" s="24" t="s">
        <v>484</v>
      </c>
      <c r="C1129" s="24" t="s">
        <v>489</v>
      </c>
      <c r="D1129" s="136" t="str">
        <f t="array" ref="D1129">IF(E1129=0,0,(INDEX(AccountCodes[ACCOUNT NAME],MATCH(E1129,AccountCodes[NGAS CODE],0))))</f>
        <v>Fuel, Oil and Lubricants Expenses</v>
      </c>
      <c r="E1129" s="309" t="s">
        <v>229</v>
      </c>
      <c r="F1129" s="502">
        <v>27030.43</v>
      </c>
    </row>
    <row r="1130" spans="1:6">
      <c r="A1130" s="308">
        <v>43131</v>
      </c>
      <c r="B1130" s="24" t="s">
        <v>484</v>
      </c>
      <c r="C1130" s="24" t="s">
        <v>489</v>
      </c>
      <c r="D1130" s="136" t="str">
        <f t="array" ref="D1130">IF(E1130=0,0,(INDEX(AccountCodes[ACCOUNT NAME],MATCH(E1130,AccountCodes[NGAS CODE],0))))</f>
        <v>Other Supplies and Materials Expenses</v>
      </c>
      <c r="E1130" s="309" t="s">
        <v>231</v>
      </c>
      <c r="F1130" s="502">
        <v>3666.67</v>
      </c>
    </row>
    <row r="1131" spans="1:6">
      <c r="A1131" s="308">
        <v>43159</v>
      </c>
      <c r="B1131" s="24" t="s">
        <v>484</v>
      </c>
      <c r="C1131" s="24" t="s">
        <v>489</v>
      </c>
      <c r="D1131" s="136" t="str">
        <f t="array" ref="D1131">IF(E1131=0,0,(INDEX(AccountCodes[ACCOUNT NAME],MATCH(E1131,AccountCodes[NGAS CODE],0))))</f>
        <v>Other Supplies and Materials Expenses</v>
      </c>
      <c r="E1131" s="309" t="s">
        <v>231</v>
      </c>
      <c r="F1131" s="502">
        <v>3666.67</v>
      </c>
    </row>
    <row r="1132" spans="1:6">
      <c r="A1132" s="308">
        <v>43190</v>
      </c>
      <c r="B1132" s="24" t="s">
        <v>484</v>
      </c>
      <c r="C1132" s="24" t="s">
        <v>489</v>
      </c>
      <c r="D1132" s="136" t="str">
        <f t="array" ref="D1132">IF(E1132=0,0,(INDEX(AccountCodes[ACCOUNT NAME],MATCH(E1132,AccountCodes[NGAS CODE],0))))</f>
        <v>Other Supplies and Materials Expenses</v>
      </c>
      <c r="E1132" s="309" t="s">
        <v>231</v>
      </c>
      <c r="F1132" s="502">
        <v>3666.67</v>
      </c>
    </row>
    <row r="1133" spans="1:6">
      <c r="A1133" s="308">
        <v>43220</v>
      </c>
      <c r="B1133" s="24" t="s">
        <v>484</v>
      </c>
      <c r="C1133" s="24" t="s">
        <v>489</v>
      </c>
      <c r="D1133" s="136" t="str">
        <f t="array" ref="D1133">IF(E1133=0,0,(INDEX(AccountCodes[ACCOUNT NAME],MATCH(E1133,AccountCodes[NGAS CODE],0))))</f>
        <v>Other Supplies and Materials Expenses</v>
      </c>
      <c r="E1133" s="309" t="s">
        <v>231</v>
      </c>
      <c r="F1133" s="502">
        <v>3666.67</v>
      </c>
    </row>
    <row r="1134" spans="1:6">
      <c r="A1134" s="308">
        <v>43251</v>
      </c>
      <c r="B1134" s="24" t="s">
        <v>484</v>
      </c>
      <c r="C1134" s="24" t="s">
        <v>489</v>
      </c>
      <c r="D1134" s="136" t="str">
        <f t="array" ref="D1134">IF(E1134=0,0,(INDEX(AccountCodes[ACCOUNT NAME],MATCH(E1134,AccountCodes[NGAS CODE],0))))</f>
        <v>Other Supplies and Materials Expenses</v>
      </c>
      <c r="E1134" s="309" t="s">
        <v>231</v>
      </c>
      <c r="F1134" s="502">
        <v>3666.67</v>
      </c>
    </row>
    <row r="1135" spans="1:6">
      <c r="A1135" s="308">
        <v>43281</v>
      </c>
      <c r="B1135" s="24" t="s">
        <v>484</v>
      </c>
      <c r="C1135" s="24" t="s">
        <v>489</v>
      </c>
      <c r="D1135" s="136" t="str">
        <f t="array" ref="D1135">IF(E1135=0,0,(INDEX(AccountCodes[ACCOUNT NAME],MATCH(E1135,AccountCodes[NGAS CODE],0))))</f>
        <v>Other Supplies and Materials Expenses</v>
      </c>
      <c r="E1135" s="309" t="s">
        <v>231</v>
      </c>
      <c r="F1135" s="502">
        <v>3666.67</v>
      </c>
    </row>
    <row r="1136" spans="1:6">
      <c r="A1136" s="308">
        <v>43312</v>
      </c>
      <c r="B1136" s="24" t="s">
        <v>484</v>
      </c>
      <c r="C1136" s="24" t="s">
        <v>489</v>
      </c>
      <c r="D1136" s="136" t="str">
        <f t="array" ref="D1136">IF(E1136=0,0,(INDEX(AccountCodes[ACCOUNT NAME],MATCH(E1136,AccountCodes[NGAS CODE],0))))</f>
        <v>Other Supplies and Materials Expenses</v>
      </c>
      <c r="E1136" s="309" t="s">
        <v>231</v>
      </c>
      <c r="F1136" s="502">
        <v>3666.67</v>
      </c>
    </row>
    <row r="1137" spans="1:6">
      <c r="A1137" s="308">
        <v>43343</v>
      </c>
      <c r="B1137" s="24" t="s">
        <v>484</v>
      </c>
      <c r="C1137" s="24" t="s">
        <v>489</v>
      </c>
      <c r="D1137" s="136" t="str">
        <f t="array" ref="D1137">IF(E1137=0,0,(INDEX(AccountCodes[ACCOUNT NAME],MATCH(E1137,AccountCodes[NGAS CODE],0))))</f>
        <v>Other Supplies and Materials Expenses</v>
      </c>
      <c r="E1137" s="309" t="s">
        <v>231</v>
      </c>
      <c r="F1137" s="502">
        <v>3666.67</v>
      </c>
    </row>
    <row r="1138" spans="1:6">
      <c r="A1138" s="308">
        <v>43373</v>
      </c>
      <c r="B1138" s="24" t="s">
        <v>484</v>
      </c>
      <c r="C1138" s="24" t="s">
        <v>489</v>
      </c>
      <c r="D1138" s="136" t="str">
        <f t="array" ref="D1138">IF(E1138=0,0,(INDEX(AccountCodes[ACCOUNT NAME],MATCH(E1138,AccountCodes[NGAS CODE],0))))</f>
        <v>Other Supplies and Materials Expenses</v>
      </c>
      <c r="E1138" s="309" t="s">
        <v>231</v>
      </c>
      <c r="F1138" s="502">
        <v>3666.67</v>
      </c>
    </row>
    <row r="1139" spans="1:6">
      <c r="A1139" s="308">
        <v>43404</v>
      </c>
      <c r="B1139" s="24" t="s">
        <v>484</v>
      </c>
      <c r="C1139" s="24" t="s">
        <v>489</v>
      </c>
      <c r="D1139" s="136" t="str">
        <f t="array" ref="D1139">IF(E1139=0,0,(INDEX(AccountCodes[ACCOUNT NAME],MATCH(E1139,AccountCodes[NGAS CODE],0))))</f>
        <v>Other Supplies and Materials Expenses</v>
      </c>
      <c r="E1139" s="309" t="s">
        <v>231</v>
      </c>
      <c r="F1139" s="502">
        <v>3666.67</v>
      </c>
    </row>
    <row r="1140" spans="1:6">
      <c r="A1140" s="308">
        <v>43434</v>
      </c>
      <c r="B1140" s="24" t="s">
        <v>484</v>
      </c>
      <c r="C1140" s="24" t="s">
        <v>489</v>
      </c>
      <c r="D1140" s="136" t="str">
        <f t="array" ref="D1140">IF(E1140=0,0,(INDEX(AccountCodes[ACCOUNT NAME],MATCH(E1140,AccountCodes[NGAS CODE],0))))</f>
        <v>Other Supplies and Materials Expenses</v>
      </c>
      <c r="E1140" s="309" t="s">
        <v>231</v>
      </c>
      <c r="F1140" s="502">
        <v>3666.67</v>
      </c>
    </row>
    <row r="1141" spans="1:6">
      <c r="A1141" s="308">
        <v>43465</v>
      </c>
      <c r="B1141" s="24" t="s">
        <v>484</v>
      </c>
      <c r="C1141" s="24" t="s">
        <v>489</v>
      </c>
      <c r="D1141" s="136" t="str">
        <f t="array" ref="D1141">IF(E1141=0,0,(INDEX(AccountCodes[ACCOUNT NAME],MATCH(E1141,AccountCodes[NGAS CODE],0))))</f>
        <v>Other Supplies and Materials Expenses</v>
      </c>
      <c r="E1141" s="309" t="s">
        <v>231</v>
      </c>
      <c r="F1141" s="502">
        <v>3666.67</v>
      </c>
    </row>
    <row r="1142" spans="1:6">
      <c r="A1142" s="308">
        <v>43131</v>
      </c>
      <c r="B1142" s="24" t="s">
        <v>484</v>
      </c>
      <c r="C1142" s="24" t="s">
        <v>489</v>
      </c>
      <c r="D1142" s="136" t="str">
        <f t="array" ref="D1142">IF(E1142=0,0,(INDEX(AccountCodes[ACCOUNT NAME],MATCH(E1142,AccountCodes[NGAS CODE],0))))</f>
        <v>Water Expenses</v>
      </c>
      <c r="E1142" s="309" t="s">
        <v>232</v>
      </c>
      <c r="F1142" s="502">
        <v>1650</v>
      </c>
    </row>
    <row r="1143" spans="1:6">
      <c r="A1143" s="308">
        <v>43159</v>
      </c>
      <c r="B1143" s="24" t="s">
        <v>484</v>
      </c>
      <c r="C1143" s="24" t="s">
        <v>489</v>
      </c>
      <c r="D1143" s="136" t="str">
        <f t="array" ref="D1143">IF(E1143=0,0,(INDEX(AccountCodes[ACCOUNT NAME],MATCH(E1143,AccountCodes[NGAS CODE],0))))</f>
        <v>Water Expenses</v>
      </c>
      <c r="E1143" s="309" t="s">
        <v>232</v>
      </c>
      <c r="F1143" s="502">
        <v>1650</v>
      </c>
    </row>
    <row r="1144" spans="1:6">
      <c r="A1144" s="308">
        <v>43190</v>
      </c>
      <c r="B1144" s="24" t="s">
        <v>484</v>
      </c>
      <c r="C1144" s="24" t="s">
        <v>489</v>
      </c>
      <c r="D1144" s="136" t="str">
        <f t="array" ref="D1144">IF(E1144=0,0,(INDEX(AccountCodes[ACCOUNT NAME],MATCH(E1144,AccountCodes[NGAS CODE],0))))</f>
        <v>Water Expenses</v>
      </c>
      <c r="E1144" s="309" t="s">
        <v>232</v>
      </c>
      <c r="F1144" s="502">
        <v>1650</v>
      </c>
    </row>
    <row r="1145" spans="1:6">
      <c r="A1145" s="308">
        <v>43220</v>
      </c>
      <c r="B1145" s="24" t="s">
        <v>484</v>
      </c>
      <c r="C1145" s="24" t="s">
        <v>489</v>
      </c>
      <c r="D1145" s="136" t="str">
        <f t="array" ref="D1145">IF(E1145=0,0,(INDEX(AccountCodes[ACCOUNT NAME],MATCH(E1145,AccountCodes[NGAS CODE],0))))</f>
        <v>Water Expenses</v>
      </c>
      <c r="E1145" s="309" t="s">
        <v>232</v>
      </c>
      <c r="F1145" s="502">
        <v>1650</v>
      </c>
    </row>
    <row r="1146" spans="1:6">
      <c r="A1146" s="308">
        <v>43251</v>
      </c>
      <c r="B1146" s="24" t="s">
        <v>484</v>
      </c>
      <c r="C1146" s="24" t="s">
        <v>489</v>
      </c>
      <c r="D1146" s="136" t="str">
        <f t="array" ref="D1146">IF(E1146=0,0,(INDEX(AccountCodes[ACCOUNT NAME],MATCH(E1146,AccountCodes[NGAS CODE],0))))</f>
        <v>Water Expenses</v>
      </c>
      <c r="E1146" s="309" t="s">
        <v>232</v>
      </c>
      <c r="F1146" s="502">
        <v>1650</v>
      </c>
    </row>
    <row r="1147" spans="1:6">
      <c r="A1147" s="308">
        <v>43281</v>
      </c>
      <c r="B1147" s="24" t="s">
        <v>484</v>
      </c>
      <c r="C1147" s="24" t="s">
        <v>489</v>
      </c>
      <c r="D1147" s="136" t="str">
        <f t="array" ref="D1147">IF(E1147=0,0,(INDEX(AccountCodes[ACCOUNT NAME],MATCH(E1147,AccountCodes[NGAS CODE],0))))</f>
        <v>Water Expenses</v>
      </c>
      <c r="E1147" s="309" t="s">
        <v>232</v>
      </c>
      <c r="F1147" s="502">
        <v>1650</v>
      </c>
    </row>
    <row r="1148" spans="1:6">
      <c r="A1148" s="308">
        <v>43312</v>
      </c>
      <c r="B1148" s="24" t="s">
        <v>484</v>
      </c>
      <c r="C1148" s="24" t="s">
        <v>489</v>
      </c>
      <c r="D1148" s="136" t="str">
        <f t="array" ref="D1148">IF(E1148=0,0,(INDEX(AccountCodes[ACCOUNT NAME],MATCH(E1148,AccountCodes[NGAS CODE],0))))</f>
        <v>Water Expenses</v>
      </c>
      <c r="E1148" s="309" t="s">
        <v>232</v>
      </c>
      <c r="F1148" s="502">
        <v>1650</v>
      </c>
    </row>
    <row r="1149" spans="1:6">
      <c r="A1149" s="308">
        <v>43343</v>
      </c>
      <c r="B1149" s="24" t="s">
        <v>484</v>
      </c>
      <c r="C1149" s="24" t="s">
        <v>489</v>
      </c>
      <c r="D1149" s="136" t="str">
        <f t="array" ref="D1149">IF(E1149=0,0,(INDEX(AccountCodes[ACCOUNT NAME],MATCH(E1149,AccountCodes[NGAS CODE],0))))</f>
        <v>Water Expenses</v>
      </c>
      <c r="E1149" s="309" t="s">
        <v>232</v>
      </c>
      <c r="F1149" s="502">
        <v>1650</v>
      </c>
    </row>
    <row r="1150" spans="1:6">
      <c r="A1150" s="308">
        <v>43373</v>
      </c>
      <c r="B1150" s="24" t="s">
        <v>484</v>
      </c>
      <c r="C1150" s="24" t="s">
        <v>489</v>
      </c>
      <c r="D1150" s="136" t="str">
        <f t="array" ref="D1150">IF(E1150=0,0,(INDEX(AccountCodes[ACCOUNT NAME],MATCH(E1150,AccountCodes[NGAS CODE],0))))</f>
        <v>Water Expenses</v>
      </c>
      <c r="E1150" s="309" t="s">
        <v>232</v>
      </c>
      <c r="F1150" s="502">
        <v>1650</v>
      </c>
    </row>
    <row r="1151" spans="1:6">
      <c r="A1151" s="308">
        <v>43404</v>
      </c>
      <c r="B1151" s="24" t="s">
        <v>484</v>
      </c>
      <c r="C1151" s="24" t="s">
        <v>489</v>
      </c>
      <c r="D1151" s="136" t="str">
        <f t="array" ref="D1151">IF(E1151=0,0,(INDEX(AccountCodes[ACCOUNT NAME],MATCH(E1151,AccountCodes[NGAS CODE],0))))</f>
        <v>Water Expenses</v>
      </c>
      <c r="E1151" s="309" t="s">
        <v>232</v>
      </c>
      <c r="F1151" s="502">
        <v>1650</v>
      </c>
    </row>
    <row r="1152" spans="1:6">
      <c r="A1152" s="308">
        <v>43434</v>
      </c>
      <c r="B1152" s="24" t="s">
        <v>484</v>
      </c>
      <c r="C1152" s="24" t="s">
        <v>489</v>
      </c>
      <c r="D1152" s="136" t="str">
        <f t="array" ref="D1152">IF(E1152=0,0,(INDEX(AccountCodes[ACCOUNT NAME],MATCH(E1152,AccountCodes[NGAS CODE],0))))</f>
        <v>Water Expenses</v>
      </c>
      <c r="E1152" s="309" t="s">
        <v>232</v>
      </c>
      <c r="F1152" s="502">
        <v>1650</v>
      </c>
    </row>
    <row r="1153" spans="1:6">
      <c r="A1153" s="308">
        <v>43465</v>
      </c>
      <c r="B1153" s="24" t="s">
        <v>484</v>
      </c>
      <c r="C1153" s="24" t="s">
        <v>489</v>
      </c>
      <c r="D1153" s="136" t="str">
        <f t="array" ref="D1153">IF(E1153=0,0,(INDEX(AccountCodes[ACCOUNT NAME],MATCH(E1153,AccountCodes[NGAS CODE],0))))</f>
        <v>Water Expenses</v>
      </c>
      <c r="E1153" s="309" t="s">
        <v>232</v>
      </c>
      <c r="F1153" s="502">
        <v>1650</v>
      </c>
    </row>
    <row r="1154" spans="1:6">
      <c r="A1154" s="308">
        <v>43131</v>
      </c>
      <c r="B1154" s="24" t="s">
        <v>484</v>
      </c>
      <c r="C1154" s="24" t="s">
        <v>489</v>
      </c>
      <c r="D1154" s="136" t="str">
        <f t="array" ref="D1154">IF(E1154=0,0,(INDEX(AccountCodes[ACCOUNT NAME],MATCH(E1154,AccountCodes[NGAS CODE],0))))</f>
        <v>Electricity Expenses</v>
      </c>
      <c r="E1154" s="24" t="s">
        <v>233</v>
      </c>
      <c r="F1154" s="502">
        <v>10450</v>
      </c>
    </row>
    <row r="1155" spans="1:6">
      <c r="A1155" s="308">
        <v>43159</v>
      </c>
      <c r="B1155" s="24" t="s">
        <v>484</v>
      </c>
      <c r="C1155" s="24" t="s">
        <v>489</v>
      </c>
      <c r="D1155" s="136" t="str">
        <f t="array" ref="D1155">IF(E1155=0,0,(INDEX(AccountCodes[ACCOUNT NAME],MATCH(E1155,AccountCodes[NGAS CODE],0))))</f>
        <v>Electricity Expenses</v>
      </c>
      <c r="E1155" s="24" t="s">
        <v>233</v>
      </c>
      <c r="F1155" s="502">
        <v>10450</v>
      </c>
    </row>
    <row r="1156" spans="1:6">
      <c r="A1156" s="308">
        <v>43190</v>
      </c>
      <c r="B1156" s="24" t="s">
        <v>484</v>
      </c>
      <c r="C1156" s="24" t="s">
        <v>489</v>
      </c>
      <c r="D1156" s="136" t="str">
        <f t="array" ref="D1156">IF(E1156=0,0,(INDEX(AccountCodes[ACCOUNT NAME],MATCH(E1156,AccountCodes[NGAS CODE],0))))</f>
        <v>Electricity Expenses</v>
      </c>
      <c r="E1156" s="24" t="s">
        <v>233</v>
      </c>
      <c r="F1156" s="502">
        <v>10450</v>
      </c>
    </row>
    <row r="1157" spans="1:6">
      <c r="A1157" s="308">
        <v>43220</v>
      </c>
      <c r="B1157" s="24" t="s">
        <v>484</v>
      </c>
      <c r="C1157" s="24" t="s">
        <v>489</v>
      </c>
      <c r="D1157" s="136" t="str">
        <f t="array" ref="D1157">IF(E1157=0,0,(INDEX(AccountCodes[ACCOUNT NAME],MATCH(E1157,AccountCodes[NGAS CODE],0))))</f>
        <v>Electricity Expenses</v>
      </c>
      <c r="E1157" s="24" t="s">
        <v>233</v>
      </c>
      <c r="F1157" s="502">
        <v>10450</v>
      </c>
    </row>
    <row r="1158" spans="1:6">
      <c r="A1158" s="308">
        <v>43251</v>
      </c>
      <c r="B1158" s="24" t="s">
        <v>484</v>
      </c>
      <c r="C1158" s="24" t="s">
        <v>489</v>
      </c>
      <c r="D1158" s="136" t="str">
        <f t="array" ref="D1158">IF(E1158=0,0,(INDEX(AccountCodes[ACCOUNT NAME],MATCH(E1158,AccountCodes[NGAS CODE],0))))</f>
        <v>Electricity Expenses</v>
      </c>
      <c r="E1158" s="24" t="s">
        <v>233</v>
      </c>
      <c r="F1158" s="502">
        <v>10450</v>
      </c>
    </row>
    <row r="1159" spans="1:6">
      <c r="A1159" s="308">
        <v>43281</v>
      </c>
      <c r="B1159" s="24" t="s">
        <v>484</v>
      </c>
      <c r="C1159" s="24" t="s">
        <v>489</v>
      </c>
      <c r="D1159" s="136" t="str">
        <f t="array" ref="D1159">IF(E1159=0,0,(INDEX(AccountCodes[ACCOUNT NAME],MATCH(E1159,AccountCodes[NGAS CODE],0))))</f>
        <v>Electricity Expenses</v>
      </c>
      <c r="E1159" s="24" t="s">
        <v>233</v>
      </c>
      <c r="F1159" s="502">
        <v>10450</v>
      </c>
    </row>
    <row r="1160" spans="1:6">
      <c r="A1160" s="308">
        <v>43312</v>
      </c>
      <c r="B1160" s="24" t="s">
        <v>484</v>
      </c>
      <c r="C1160" s="24" t="s">
        <v>489</v>
      </c>
      <c r="D1160" s="136" t="str">
        <f t="array" ref="D1160">IF(E1160=0,0,(INDEX(AccountCodes[ACCOUNT NAME],MATCH(E1160,AccountCodes[NGAS CODE],0))))</f>
        <v>Electricity Expenses</v>
      </c>
      <c r="E1160" s="24" t="s">
        <v>233</v>
      </c>
      <c r="F1160" s="502">
        <v>10450</v>
      </c>
    </row>
    <row r="1161" spans="1:6">
      <c r="A1161" s="308">
        <v>43343</v>
      </c>
      <c r="B1161" s="24" t="s">
        <v>484</v>
      </c>
      <c r="C1161" s="24" t="s">
        <v>489</v>
      </c>
      <c r="D1161" s="136" t="str">
        <f t="array" ref="D1161">IF(E1161=0,0,(INDEX(AccountCodes[ACCOUNT NAME],MATCH(E1161,AccountCodes[NGAS CODE],0))))</f>
        <v>Electricity Expenses</v>
      </c>
      <c r="E1161" s="24" t="s">
        <v>233</v>
      </c>
      <c r="F1161" s="502">
        <v>10450</v>
      </c>
    </row>
    <row r="1162" spans="1:6">
      <c r="A1162" s="308">
        <v>43373</v>
      </c>
      <c r="B1162" s="24" t="s">
        <v>484</v>
      </c>
      <c r="C1162" s="24" t="s">
        <v>489</v>
      </c>
      <c r="D1162" s="136" t="str">
        <f t="array" ref="D1162">IF(E1162=0,0,(INDEX(AccountCodes[ACCOUNT NAME],MATCH(E1162,AccountCodes[NGAS CODE],0))))</f>
        <v>Electricity Expenses</v>
      </c>
      <c r="E1162" s="24" t="s">
        <v>233</v>
      </c>
      <c r="F1162" s="502">
        <v>10450</v>
      </c>
    </row>
    <row r="1163" spans="1:6">
      <c r="A1163" s="308">
        <v>43404</v>
      </c>
      <c r="B1163" s="24" t="s">
        <v>484</v>
      </c>
      <c r="C1163" s="24" t="s">
        <v>489</v>
      </c>
      <c r="D1163" s="136" t="str">
        <f t="array" ref="D1163">IF(E1163=0,0,(INDEX(AccountCodes[ACCOUNT NAME],MATCH(E1163,AccountCodes[NGAS CODE],0))))</f>
        <v>Electricity Expenses</v>
      </c>
      <c r="E1163" s="24" t="s">
        <v>233</v>
      </c>
      <c r="F1163" s="502">
        <v>10450</v>
      </c>
    </row>
    <row r="1164" spans="1:6">
      <c r="A1164" s="308">
        <v>43434</v>
      </c>
      <c r="B1164" s="24" t="s">
        <v>484</v>
      </c>
      <c r="C1164" s="24" t="s">
        <v>489</v>
      </c>
      <c r="D1164" s="136" t="str">
        <f t="array" ref="D1164">IF(E1164=0,0,(INDEX(AccountCodes[ACCOUNT NAME],MATCH(E1164,AccountCodes[NGAS CODE],0))))</f>
        <v>Electricity Expenses</v>
      </c>
      <c r="E1164" s="24" t="s">
        <v>233</v>
      </c>
      <c r="F1164" s="502">
        <v>10450</v>
      </c>
    </row>
    <row r="1165" spans="1:6">
      <c r="A1165" s="308">
        <v>43465</v>
      </c>
      <c r="B1165" s="24" t="s">
        <v>484</v>
      </c>
      <c r="C1165" s="24" t="s">
        <v>489</v>
      </c>
      <c r="D1165" s="136" t="str">
        <f t="array" ref="D1165">IF(E1165=0,0,(INDEX(AccountCodes[ACCOUNT NAME],MATCH(E1165,AccountCodes[NGAS CODE],0))))</f>
        <v>Electricity Expenses</v>
      </c>
      <c r="E1165" s="24" t="s">
        <v>233</v>
      </c>
      <c r="F1165" s="502">
        <v>10450</v>
      </c>
    </row>
    <row r="1166" spans="1:6">
      <c r="A1166" s="308">
        <v>43131</v>
      </c>
      <c r="B1166" s="24" t="s">
        <v>484</v>
      </c>
      <c r="C1166" s="24" t="s">
        <v>489</v>
      </c>
      <c r="D1166" s="136" t="str">
        <f t="array" ref="D1166">IF(E1166=0,0,(INDEX(AccountCodes[ACCOUNT NAME],MATCH(E1166,AccountCodes[NGAS CODE],0))))</f>
        <v>Telephone Expenses - Landline</v>
      </c>
      <c r="E1166" s="24" t="s">
        <v>235</v>
      </c>
      <c r="F1166" s="502">
        <v>3300</v>
      </c>
    </row>
    <row r="1167" spans="1:6">
      <c r="A1167" s="308">
        <v>43159</v>
      </c>
      <c r="B1167" s="24" t="s">
        <v>484</v>
      </c>
      <c r="C1167" s="24" t="s">
        <v>489</v>
      </c>
      <c r="D1167" s="136" t="str">
        <f t="array" ref="D1167">IF(E1167=0,0,(INDEX(AccountCodes[ACCOUNT NAME],MATCH(E1167,AccountCodes[NGAS CODE],0))))</f>
        <v>Telephone Expenses - Landline</v>
      </c>
      <c r="E1167" s="24" t="s">
        <v>235</v>
      </c>
      <c r="F1167" s="502">
        <v>3300</v>
      </c>
    </row>
    <row r="1168" spans="1:6">
      <c r="A1168" s="308">
        <v>43190</v>
      </c>
      <c r="B1168" s="24" t="s">
        <v>484</v>
      </c>
      <c r="C1168" s="24" t="s">
        <v>489</v>
      </c>
      <c r="D1168" s="136" t="str">
        <f t="array" ref="D1168">IF(E1168=0,0,(INDEX(AccountCodes[ACCOUNT NAME],MATCH(E1168,AccountCodes[NGAS CODE],0))))</f>
        <v>Telephone Expenses - Landline</v>
      </c>
      <c r="E1168" s="24" t="s">
        <v>235</v>
      </c>
      <c r="F1168" s="502">
        <v>3300</v>
      </c>
    </row>
    <row r="1169" spans="1:6">
      <c r="A1169" s="308">
        <v>43220</v>
      </c>
      <c r="B1169" s="24" t="s">
        <v>484</v>
      </c>
      <c r="C1169" s="24" t="s">
        <v>489</v>
      </c>
      <c r="D1169" s="136" t="str">
        <f t="array" ref="D1169">IF(E1169=0,0,(INDEX(AccountCodes[ACCOUNT NAME],MATCH(E1169,AccountCodes[NGAS CODE],0))))</f>
        <v>Telephone Expenses - Landline</v>
      </c>
      <c r="E1169" s="24" t="s">
        <v>235</v>
      </c>
      <c r="F1169" s="502">
        <v>3300</v>
      </c>
    </row>
    <row r="1170" spans="1:6">
      <c r="A1170" s="308">
        <v>43251</v>
      </c>
      <c r="B1170" s="24" t="s">
        <v>484</v>
      </c>
      <c r="C1170" s="24" t="s">
        <v>489</v>
      </c>
      <c r="D1170" s="136" t="str">
        <f t="array" ref="D1170">IF(E1170=0,0,(INDEX(AccountCodes[ACCOUNT NAME],MATCH(E1170,AccountCodes[NGAS CODE],0))))</f>
        <v>Telephone Expenses - Landline</v>
      </c>
      <c r="E1170" s="24" t="s">
        <v>235</v>
      </c>
      <c r="F1170" s="502">
        <v>3300</v>
      </c>
    </row>
    <row r="1171" spans="1:6">
      <c r="A1171" s="308">
        <v>43281</v>
      </c>
      <c r="B1171" s="24" t="s">
        <v>484</v>
      </c>
      <c r="C1171" s="24" t="s">
        <v>489</v>
      </c>
      <c r="D1171" s="136" t="str">
        <f t="array" ref="D1171">IF(E1171=0,0,(INDEX(AccountCodes[ACCOUNT NAME],MATCH(E1171,AccountCodes[NGAS CODE],0))))</f>
        <v>Telephone Expenses - Landline</v>
      </c>
      <c r="E1171" s="24" t="s">
        <v>235</v>
      </c>
      <c r="F1171" s="502">
        <v>3300</v>
      </c>
    </row>
    <row r="1172" spans="1:6">
      <c r="A1172" s="308">
        <v>43312</v>
      </c>
      <c r="B1172" s="24" t="s">
        <v>484</v>
      </c>
      <c r="C1172" s="24" t="s">
        <v>489</v>
      </c>
      <c r="D1172" s="136" t="str">
        <f t="array" ref="D1172">IF(E1172=0,0,(INDEX(AccountCodes[ACCOUNT NAME],MATCH(E1172,AccountCodes[NGAS CODE],0))))</f>
        <v>Telephone Expenses - Landline</v>
      </c>
      <c r="E1172" s="24" t="s">
        <v>235</v>
      </c>
      <c r="F1172" s="502">
        <v>3300</v>
      </c>
    </row>
    <row r="1173" spans="1:6">
      <c r="A1173" s="308">
        <v>43343</v>
      </c>
      <c r="B1173" s="24" t="s">
        <v>484</v>
      </c>
      <c r="C1173" s="24" t="s">
        <v>489</v>
      </c>
      <c r="D1173" s="136" t="str">
        <f t="array" ref="D1173">IF(E1173=0,0,(INDEX(AccountCodes[ACCOUNT NAME],MATCH(E1173,AccountCodes[NGAS CODE],0))))</f>
        <v>Telephone Expenses - Landline</v>
      </c>
      <c r="E1173" s="24" t="s">
        <v>235</v>
      </c>
      <c r="F1173" s="502">
        <v>3300</v>
      </c>
    </row>
    <row r="1174" spans="1:6">
      <c r="A1174" s="308">
        <v>43373</v>
      </c>
      <c r="B1174" s="24" t="s">
        <v>484</v>
      </c>
      <c r="C1174" s="24" t="s">
        <v>489</v>
      </c>
      <c r="D1174" s="136" t="str">
        <f t="array" ref="D1174">IF(E1174=0,0,(INDEX(AccountCodes[ACCOUNT NAME],MATCH(E1174,AccountCodes[NGAS CODE],0))))</f>
        <v>Telephone Expenses - Landline</v>
      </c>
      <c r="E1174" s="24" t="s">
        <v>235</v>
      </c>
      <c r="F1174" s="502">
        <v>3300</v>
      </c>
    </row>
    <row r="1175" spans="1:6">
      <c r="A1175" s="308">
        <v>43404</v>
      </c>
      <c r="B1175" s="24" t="s">
        <v>484</v>
      </c>
      <c r="C1175" s="24" t="s">
        <v>489</v>
      </c>
      <c r="D1175" s="136" t="str">
        <f t="array" ref="D1175">IF(E1175=0,0,(INDEX(AccountCodes[ACCOUNT NAME],MATCH(E1175,AccountCodes[NGAS CODE],0))))</f>
        <v>Telephone Expenses - Landline</v>
      </c>
      <c r="E1175" s="24" t="s">
        <v>235</v>
      </c>
      <c r="F1175" s="502">
        <v>3300</v>
      </c>
    </row>
    <row r="1176" spans="1:6">
      <c r="A1176" s="308">
        <v>43434</v>
      </c>
      <c r="B1176" s="24" t="s">
        <v>484</v>
      </c>
      <c r="C1176" s="24" t="s">
        <v>489</v>
      </c>
      <c r="D1176" s="136" t="str">
        <f t="array" ref="D1176">IF(E1176=0,0,(INDEX(AccountCodes[ACCOUNT NAME],MATCH(E1176,AccountCodes[NGAS CODE],0))))</f>
        <v>Telephone Expenses - Landline</v>
      </c>
      <c r="E1176" s="24" t="s">
        <v>235</v>
      </c>
      <c r="F1176" s="502">
        <v>3300</v>
      </c>
    </row>
    <row r="1177" spans="1:6">
      <c r="A1177" s="308">
        <v>43465</v>
      </c>
      <c r="B1177" s="24" t="s">
        <v>484</v>
      </c>
      <c r="C1177" s="24" t="s">
        <v>489</v>
      </c>
      <c r="D1177" s="136" t="str">
        <f t="array" ref="D1177">IF(E1177=0,0,(INDEX(AccountCodes[ACCOUNT NAME],MATCH(E1177,AccountCodes[NGAS CODE],0))))</f>
        <v>Telephone Expenses - Landline</v>
      </c>
      <c r="E1177" s="24" t="s">
        <v>235</v>
      </c>
      <c r="F1177" s="502">
        <v>3300</v>
      </c>
    </row>
    <row r="1178" spans="1:6">
      <c r="A1178" s="308">
        <v>43190</v>
      </c>
      <c r="B1178" s="24" t="s">
        <v>484</v>
      </c>
      <c r="C1178" s="24" t="s">
        <v>489</v>
      </c>
      <c r="D1178" s="136" t="str">
        <f t="array" ref="D1178">IF(E1178=0,0,(INDEX(AccountCodes[ACCOUNT NAME],MATCH(E1178,AccountCodes[NGAS CODE],0))))</f>
        <v>Other Professional Services</v>
      </c>
      <c r="E1178" s="309" t="s">
        <v>250</v>
      </c>
      <c r="F1178" s="502">
        <v>7500</v>
      </c>
    </row>
    <row r="1179" spans="1:6">
      <c r="A1179" s="308">
        <v>43281</v>
      </c>
      <c r="B1179" s="24" t="s">
        <v>484</v>
      </c>
      <c r="C1179" s="24" t="s">
        <v>489</v>
      </c>
      <c r="D1179" s="136" t="str">
        <f t="array" ref="D1179">IF(E1179=0,0,(INDEX(AccountCodes[ACCOUNT NAME],MATCH(E1179,AccountCodes[NGAS CODE],0))))</f>
        <v>Other Professional Services</v>
      </c>
      <c r="E1179" s="309" t="s">
        <v>250</v>
      </c>
      <c r="F1179" s="502">
        <v>30000</v>
      </c>
    </row>
    <row r="1180" spans="1:6">
      <c r="A1180" s="308">
        <v>43131</v>
      </c>
      <c r="B1180" s="24" t="s">
        <v>484</v>
      </c>
      <c r="C1180" s="24" t="s">
        <v>489</v>
      </c>
      <c r="D1180" s="136" t="str">
        <f t="array" ref="D1180">IF(E1180=0,0,(INDEX(AccountCodes[ACCOUNT NAME],MATCH(E1180,AccountCodes[NGAS CODE],0))))</f>
        <v>Repairs and Maintenance-Transportation Equipment - Motor Vehicles</v>
      </c>
      <c r="E1180" s="309" t="s">
        <v>262</v>
      </c>
      <c r="F1180" s="502">
        <v>5500</v>
      </c>
    </row>
    <row r="1181" spans="1:6">
      <c r="A1181" s="308">
        <v>43159</v>
      </c>
      <c r="B1181" s="24" t="s">
        <v>484</v>
      </c>
      <c r="C1181" s="24" t="s">
        <v>489</v>
      </c>
      <c r="D1181" s="136" t="str">
        <f t="array" ref="D1181">IF(E1181=0,0,(INDEX(AccountCodes[ACCOUNT NAME],MATCH(E1181,AccountCodes[NGAS CODE],0))))</f>
        <v>Repairs and Maintenance-Transportation Equipment - Motor Vehicles</v>
      </c>
      <c r="E1181" s="309" t="s">
        <v>262</v>
      </c>
      <c r="F1181" s="502">
        <v>5500</v>
      </c>
    </row>
    <row r="1182" spans="1:6">
      <c r="A1182" s="308">
        <v>43190</v>
      </c>
      <c r="B1182" s="24" t="s">
        <v>484</v>
      </c>
      <c r="C1182" s="24" t="s">
        <v>489</v>
      </c>
      <c r="D1182" s="136" t="str">
        <f t="array" ref="D1182">IF(E1182=0,0,(INDEX(AccountCodes[ACCOUNT NAME],MATCH(E1182,AccountCodes[NGAS CODE],0))))</f>
        <v>Repairs and Maintenance-Transportation Equipment - Motor Vehicles</v>
      </c>
      <c r="E1182" s="309" t="s">
        <v>262</v>
      </c>
      <c r="F1182" s="502">
        <v>5500</v>
      </c>
    </row>
    <row r="1183" spans="1:6">
      <c r="A1183" s="308">
        <v>43220</v>
      </c>
      <c r="B1183" s="24" t="s">
        <v>484</v>
      </c>
      <c r="C1183" s="24" t="s">
        <v>489</v>
      </c>
      <c r="D1183" s="136" t="str">
        <f t="array" ref="D1183">IF(E1183=0,0,(INDEX(AccountCodes[ACCOUNT NAME],MATCH(E1183,AccountCodes[NGAS CODE],0))))</f>
        <v>Repairs and Maintenance-Transportation Equipment - Motor Vehicles</v>
      </c>
      <c r="E1183" s="309" t="s">
        <v>262</v>
      </c>
      <c r="F1183" s="502">
        <v>5500</v>
      </c>
    </row>
    <row r="1184" spans="1:6">
      <c r="A1184" s="308">
        <v>43251</v>
      </c>
      <c r="B1184" s="24" t="s">
        <v>484</v>
      </c>
      <c r="C1184" s="24" t="s">
        <v>489</v>
      </c>
      <c r="D1184" s="136" t="str">
        <f t="array" ref="D1184">IF(E1184=0,0,(INDEX(AccountCodes[ACCOUNT NAME],MATCH(E1184,AccountCodes[NGAS CODE],0))))</f>
        <v>Repairs and Maintenance-Transportation Equipment - Motor Vehicles</v>
      </c>
      <c r="E1184" s="309" t="s">
        <v>262</v>
      </c>
      <c r="F1184" s="502">
        <v>5500</v>
      </c>
    </row>
    <row r="1185" spans="1:6">
      <c r="A1185" s="308">
        <v>43281</v>
      </c>
      <c r="B1185" s="24" t="s">
        <v>484</v>
      </c>
      <c r="C1185" s="24" t="s">
        <v>489</v>
      </c>
      <c r="D1185" s="136" t="str">
        <f t="array" ref="D1185">IF(E1185=0,0,(INDEX(AccountCodes[ACCOUNT NAME],MATCH(E1185,AccountCodes[NGAS CODE],0))))</f>
        <v>Repairs and Maintenance-Transportation Equipment - Motor Vehicles</v>
      </c>
      <c r="E1185" s="309" t="s">
        <v>262</v>
      </c>
      <c r="F1185" s="502">
        <v>5500</v>
      </c>
    </row>
    <row r="1186" spans="1:6">
      <c r="A1186" s="308">
        <v>43312</v>
      </c>
      <c r="B1186" s="24" t="s">
        <v>484</v>
      </c>
      <c r="C1186" s="24" t="s">
        <v>489</v>
      </c>
      <c r="D1186" s="136" t="str">
        <f t="array" ref="D1186">IF(E1186=0,0,(INDEX(AccountCodes[ACCOUNT NAME],MATCH(E1186,AccountCodes[NGAS CODE],0))))</f>
        <v>Repairs and Maintenance-Transportation Equipment - Motor Vehicles</v>
      </c>
      <c r="E1186" s="309" t="s">
        <v>262</v>
      </c>
      <c r="F1186" s="502">
        <v>5500</v>
      </c>
    </row>
    <row r="1187" spans="1:6">
      <c r="A1187" s="308">
        <v>43343</v>
      </c>
      <c r="B1187" s="24" t="s">
        <v>484</v>
      </c>
      <c r="C1187" s="24" t="s">
        <v>489</v>
      </c>
      <c r="D1187" s="136" t="str">
        <f t="array" ref="D1187">IF(E1187=0,0,(INDEX(AccountCodes[ACCOUNT NAME],MATCH(E1187,AccountCodes[NGAS CODE],0))))</f>
        <v>Repairs and Maintenance-Transportation Equipment - Motor Vehicles</v>
      </c>
      <c r="E1187" s="309" t="s">
        <v>262</v>
      </c>
      <c r="F1187" s="502">
        <v>5500</v>
      </c>
    </row>
    <row r="1188" spans="1:6">
      <c r="A1188" s="308">
        <v>43373</v>
      </c>
      <c r="B1188" s="24" t="s">
        <v>484</v>
      </c>
      <c r="C1188" s="24" t="s">
        <v>489</v>
      </c>
      <c r="D1188" s="136" t="str">
        <f t="array" ref="D1188">IF(E1188=0,0,(INDEX(AccountCodes[ACCOUNT NAME],MATCH(E1188,AccountCodes[NGAS CODE],0))))</f>
        <v>Repairs and Maintenance-Transportation Equipment - Motor Vehicles</v>
      </c>
      <c r="E1188" s="309" t="s">
        <v>262</v>
      </c>
      <c r="F1188" s="502">
        <v>5500</v>
      </c>
    </row>
    <row r="1189" spans="1:6">
      <c r="A1189" s="308">
        <v>43404</v>
      </c>
      <c r="B1189" s="24" t="s">
        <v>484</v>
      </c>
      <c r="C1189" s="24" t="s">
        <v>489</v>
      </c>
      <c r="D1189" s="136" t="str">
        <f t="array" ref="D1189">IF(E1189=0,0,(INDEX(AccountCodes[ACCOUNT NAME],MATCH(E1189,AccountCodes[NGAS CODE],0))))</f>
        <v>Repairs and Maintenance-Transportation Equipment - Motor Vehicles</v>
      </c>
      <c r="E1189" s="309" t="s">
        <v>262</v>
      </c>
      <c r="F1189" s="502">
        <v>5500</v>
      </c>
    </row>
    <row r="1190" spans="1:6">
      <c r="A1190" s="308">
        <v>43434</v>
      </c>
      <c r="B1190" s="24" t="s">
        <v>484</v>
      </c>
      <c r="C1190" s="24" t="s">
        <v>489</v>
      </c>
      <c r="D1190" s="136" t="str">
        <f t="array" ref="D1190">IF(E1190=0,0,(INDEX(AccountCodes[ACCOUNT NAME],MATCH(E1190,AccountCodes[NGAS CODE],0))))</f>
        <v>Repairs and Maintenance-Transportation Equipment - Motor Vehicles</v>
      </c>
      <c r="E1190" s="309" t="s">
        <v>262</v>
      </c>
      <c r="F1190" s="502">
        <v>5500</v>
      </c>
    </row>
    <row r="1191" spans="1:6">
      <c r="A1191" s="308">
        <v>43465</v>
      </c>
      <c r="B1191" s="24" t="s">
        <v>484</v>
      </c>
      <c r="C1191" s="24" t="s">
        <v>489</v>
      </c>
      <c r="D1191" s="136" t="str">
        <f t="array" ref="D1191">IF(E1191=0,0,(INDEX(AccountCodes[ACCOUNT NAME],MATCH(E1191,AccountCodes[NGAS CODE],0))))</f>
        <v>Repairs and Maintenance-Transportation Equipment - Motor Vehicles</v>
      </c>
      <c r="E1191" s="309" t="s">
        <v>262</v>
      </c>
      <c r="F1191" s="502">
        <v>5500</v>
      </c>
    </row>
    <row r="1192" spans="1:6">
      <c r="A1192" s="308">
        <v>43159</v>
      </c>
      <c r="B1192" s="24" t="s">
        <v>484</v>
      </c>
      <c r="C1192" s="24" t="s">
        <v>489</v>
      </c>
      <c r="D1192" s="136" t="str">
        <f t="array" ref="D1192">IF(E1192=0,0,(INDEX(AccountCodes[ACCOUNT NAME],MATCH(E1192,AccountCodes[NGAS CODE],0))))</f>
        <v>Taxes, Duties and Licenses</v>
      </c>
      <c r="E1192" s="309" t="s">
        <v>272</v>
      </c>
      <c r="F1192" s="502">
        <v>4079</v>
      </c>
    </row>
    <row r="1193" spans="1:6">
      <c r="A1193" s="308">
        <v>43281</v>
      </c>
      <c r="B1193" s="24" t="s">
        <v>484</v>
      </c>
      <c r="C1193" s="24" t="s">
        <v>489</v>
      </c>
      <c r="D1193" s="136" t="str">
        <f t="array" ref="D1193">IF(E1193=0,0,(INDEX(AccountCodes[ACCOUNT NAME],MATCH(E1193,AccountCodes[NGAS CODE],0))))</f>
        <v>Taxes, Duties and Licenses</v>
      </c>
      <c r="E1193" s="309" t="s">
        <v>272</v>
      </c>
      <c r="F1193" s="502">
        <v>2321.56</v>
      </c>
    </row>
    <row r="1194" spans="1:6">
      <c r="A1194" s="308">
        <v>43312</v>
      </c>
      <c r="B1194" s="24" t="s">
        <v>484</v>
      </c>
      <c r="C1194" s="24" t="s">
        <v>489</v>
      </c>
      <c r="D1194" s="136" t="str">
        <f t="array" ref="D1194">IF(E1194=0,0,(INDEX(AccountCodes[ACCOUNT NAME],MATCH(E1194,AccountCodes[NGAS CODE],0))))</f>
        <v>Taxes, Duties and Licenses</v>
      </c>
      <c r="E1194" s="309" t="s">
        <v>272</v>
      </c>
      <c r="F1194" s="502">
        <v>5489.06</v>
      </c>
    </row>
    <row r="1195" spans="1:6">
      <c r="A1195" s="308">
        <v>43343</v>
      </c>
      <c r="B1195" s="24" t="s">
        <v>484</v>
      </c>
      <c r="C1195" s="24" t="s">
        <v>489</v>
      </c>
      <c r="D1195" s="136" t="str">
        <f t="array" ref="D1195">IF(E1195=0,0,(INDEX(AccountCodes[ACCOUNT NAME],MATCH(E1195,AccountCodes[NGAS CODE],0))))</f>
        <v>Taxes, Duties and Licenses</v>
      </c>
      <c r="E1195" s="309" t="s">
        <v>272</v>
      </c>
      <c r="F1195" s="502">
        <v>2321.56</v>
      </c>
    </row>
    <row r="1196" spans="1:6">
      <c r="A1196" s="308">
        <v>43131</v>
      </c>
      <c r="B1196" s="24" t="s">
        <v>484</v>
      </c>
      <c r="C1196" s="24" t="s">
        <v>489</v>
      </c>
      <c r="D1196" s="136" t="str">
        <f t="array" ref="D1196">IF(E1196=0,0,(INDEX(AccountCodes[ACCOUNT NAME],MATCH(E1196,AccountCodes[NGAS CODE],0))))</f>
        <v>Repairs and Maintenance-Buildings and Other Structures - Buildings</v>
      </c>
      <c r="E1196" s="24" t="s">
        <v>251</v>
      </c>
      <c r="F1196" s="502">
        <v>41666.67</v>
      </c>
    </row>
    <row r="1197" spans="1:6">
      <c r="A1197" s="308">
        <v>43159</v>
      </c>
      <c r="B1197" s="24" t="s">
        <v>484</v>
      </c>
      <c r="C1197" s="24" t="s">
        <v>489</v>
      </c>
      <c r="D1197" s="136" t="str">
        <f t="array" ref="D1197">IF(E1197=0,0,(INDEX(AccountCodes[ACCOUNT NAME],MATCH(E1197,AccountCodes[NGAS CODE],0))))</f>
        <v>Repairs and Maintenance-Buildings and Other Structures - Buildings</v>
      </c>
      <c r="E1197" s="24" t="s">
        <v>251</v>
      </c>
      <c r="F1197" s="502">
        <v>41666.67</v>
      </c>
    </row>
    <row r="1198" spans="1:6">
      <c r="A1198" s="308">
        <v>43190</v>
      </c>
      <c r="B1198" s="24" t="s">
        <v>484</v>
      </c>
      <c r="C1198" s="24" t="s">
        <v>489</v>
      </c>
      <c r="D1198" s="136" t="str">
        <f t="array" ref="D1198">IF(E1198=0,0,(INDEX(AccountCodes[ACCOUNT NAME],MATCH(E1198,AccountCodes[NGAS CODE],0))))</f>
        <v>Repairs and Maintenance-Buildings and Other Structures - Buildings</v>
      </c>
      <c r="E1198" s="24" t="s">
        <v>251</v>
      </c>
      <c r="F1198" s="502">
        <v>41666.67</v>
      </c>
    </row>
    <row r="1199" spans="1:6">
      <c r="A1199" s="308">
        <v>43220</v>
      </c>
      <c r="B1199" s="24" t="s">
        <v>484</v>
      </c>
      <c r="C1199" s="24" t="s">
        <v>489</v>
      </c>
      <c r="D1199" s="136" t="str">
        <f t="array" ref="D1199">IF(E1199=0,0,(INDEX(AccountCodes[ACCOUNT NAME],MATCH(E1199,AccountCodes[NGAS CODE],0))))</f>
        <v>Repairs and Maintenance-Buildings and Other Structures - Buildings</v>
      </c>
      <c r="E1199" s="24" t="s">
        <v>251</v>
      </c>
      <c r="F1199" s="502">
        <v>41666.67</v>
      </c>
    </row>
    <row r="1200" spans="1:6">
      <c r="A1200" s="308">
        <v>43251</v>
      </c>
      <c r="B1200" s="24" t="s">
        <v>484</v>
      </c>
      <c r="C1200" s="24" t="s">
        <v>489</v>
      </c>
      <c r="D1200" s="136" t="str">
        <f t="array" ref="D1200">IF(E1200=0,0,(INDEX(AccountCodes[ACCOUNT NAME],MATCH(E1200,AccountCodes[NGAS CODE],0))))</f>
        <v>Repairs and Maintenance-Buildings and Other Structures - Buildings</v>
      </c>
      <c r="E1200" s="24" t="s">
        <v>251</v>
      </c>
      <c r="F1200" s="502">
        <v>41666.67</v>
      </c>
    </row>
    <row r="1201" spans="1:6">
      <c r="A1201" s="308">
        <v>43281</v>
      </c>
      <c r="B1201" s="24" t="s">
        <v>484</v>
      </c>
      <c r="C1201" s="24" t="s">
        <v>489</v>
      </c>
      <c r="D1201" s="136" t="str">
        <f t="array" ref="D1201">IF(E1201=0,0,(INDEX(AccountCodes[ACCOUNT NAME],MATCH(E1201,AccountCodes[NGAS CODE],0))))</f>
        <v>Repairs and Maintenance-Buildings and Other Structures - Buildings</v>
      </c>
      <c r="E1201" s="24" t="s">
        <v>251</v>
      </c>
      <c r="F1201" s="502">
        <v>41666.67</v>
      </c>
    </row>
    <row r="1202" spans="1:6">
      <c r="A1202" s="308">
        <v>43312</v>
      </c>
      <c r="B1202" s="24" t="s">
        <v>484</v>
      </c>
      <c r="C1202" s="24" t="s">
        <v>489</v>
      </c>
      <c r="D1202" s="136" t="str">
        <f t="array" ref="D1202">IF(E1202=0,0,(INDEX(AccountCodes[ACCOUNT NAME],MATCH(E1202,AccountCodes[NGAS CODE],0))))</f>
        <v>Repairs and Maintenance-Buildings and Other Structures - Buildings</v>
      </c>
      <c r="E1202" s="24" t="s">
        <v>251</v>
      </c>
      <c r="F1202" s="502">
        <v>41666.67</v>
      </c>
    </row>
    <row r="1203" spans="1:6">
      <c r="A1203" s="308">
        <v>43343</v>
      </c>
      <c r="B1203" s="24" t="s">
        <v>484</v>
      </c>
      <c r="C1203" s="24" t="s">
        <v>489</v>
      </c>
      <c r="D1203" s="136" t="str">
        <f t="array" ref="D1203">IF(E1203=0,0,(INDEX(AccountCodes[ACCOUNT NAME],MATCH(E1203,AccountCodes[NGAS CODE],0))))</f>
        <v>Repairs and Maintenance-Buildings and Other Structures - Buildings</v>
      </c>
      <c r="E1203" s="24" t="s">
        <v>251</v>
      </c>
      <c r="F1203" s="502">
        <v>41666.67</v>
      </c>
    </row>
    <row r="1204" spans="1:6">
      <c r="A1204" s="308">
        <v>43373</v>
      </c>
      <c r="B1204" s="24" t="s">
        <v>484</v>
      </c>
      <c r="C1204" s="24" t="s">
        <v>489</v>
      </c>
      <c r="D1204" s="136" t="str">
        <f t="array" ref="D1204">IF(E1204=0,0,(INDEX(AccountCodes[ACCOUNT NAME],MATCH(E1204,AccountCodes[NGAS CODE],0))))</f>
        <v>Repairs and Maintenance-Buildings and Other Structures - Buildings</v>
      </c>
      <c r="E1204" s="24" t="s">
        <v>251</v>
      </c>
      <c r="F1204" s="502">
        <v>41666.67</v>
      </c>
    </row>
    <row r="1205" spans="1:6">
      <c r="A1205" s="308">
        <v>43404</v>
      </c>
      <c r="B1205" s="24" t="s">
        <v>484</v>
      </c>
      <c r="C1205" s="24" t="s">
        <v>489</v>
      </c>
      <c r="D1205" s="136" t="str">
        <f t="array" ref="D1205">IF(E1205=0,0,(INDEX(AccountCodes[ACCOUNT NAME],MATCH(E1205,AccountCodes[NGAS CODE],0))))</f>
        <v>Repairs and Maintenance-Buildings and Other Structures - Buildings</v>
      </c>
      <c r="E1205" s="24" t="s">
        <v>251</v>
      </c>
      <c r="F1205" s="502">
        <v>41666.67</v>
      </c>
    </row>
    <row r="1206" spans="1:6">
      <c r="A1206" s="308">
        <v>43434</v>
      </c>
      <c r="B1206" s="24" t="s">
        <v>484</v>
      </c>
      <c r="C1206" s="24" t="s">
        <v>489</v>
      </c>
      <c r="D1206" s="136" t="str">
        <f t="array" ref="D1206">IF(E1206=0,0,(INDEX(AccountCodes[ACCOUNT NAME],MATCH(E1206,AccountCodes[NGAS CODE],0))))</f>
        <v>Repairs and Maintenance-Buildings and Other Structures - Buildings</v>
      </c>
      <c r="E1206" s="24" t="s">
        <v>251</v>
      </c>
      <c r="F1206" s="502">
        <v>41666.67</v>
      </c>
    </row>
    <row r="1207" spans="1:6">
      <c r="A1207" s="308">
        <v>43465</v>
      </c>
      <c r="B1207" s="24" t="s">
        <v>484</v>
      </c>
      <c r="C1207" s="24" t="s">
        <v>489</v>
      </c>
      <c r="D1207" s="136" t="str">
        <f t="array" ref="D1207">IF(E1207=0,0,(INDEX(AccountCodes[ACCOUNT NAME],MATCH(E1207,AccountCodes[NGAS CODE],0))))</f>
        <v>Repairs and Maintenance-Buildings and Other Structures - Buildings</v>
      </c>
      <c r="E1207" s="24" t="s">
        <v>251</v>
      </c>
      <c r="F1207" s="502">
        <v>41666.67</v>
      </c>
    </row>
    <row r="1208" spans="1:6">
      <c r="A1208" s="308"/>
      <c r="D1208" s="136">
        <f t="array" ref="D1208">IF(E1208=0,0,(INDEX(AccountCodes[ACCOUNT NAME],MATCH(E1208,AccountCodes[NGAS CODE],0))))</f>
        <v>0</v>
      </c>
      <c r="E1208" s="309"/>
      <c r="F1208" s="502"/>
    </row>
    <row r="1209" spans="1:6">
      <c r="A1209" s="308">
        <v>43131</v>
      </c>
      <c r="B1209" s="24" t="s">
        <v>484</v>
      </c>
      <c r="C1209" s="24" t="s">
        <v>505</v>
      </c>
      <c r="D1209" s="136" t="str">
        <f t="array" ref="D1209">IF(E1209=0,0,(INDEX(AccountCodes[ACCOUNT NAME],MATCH(E1209,AccountCodes[NGAS CODE],0))))</f>
        <v>Salaries and Wages-Regular</v>
      </c>
      <c r="E1209" s="24" t="s">
        <v>162</v>
      </c>
      <c r="F1209" s="502">
        <v>326056</v>
      </c>
    </row>
    <row r="1210" spans="1:6">
      <c r="A1210" s="308">
        <v>43159</v>
      </c>
      <c r="B1210" s="24" t="s">
        <v>484</v>
      </c>
      <c r="C1210" s="24" t="s">
        <v>505</v>
      </c>
      <c r="D1210" s="136" t="str">
        <f t="array" ref="D1210">IF(E1210=0,0,(INDEX(AccountCodes[ACCOUNT NAME],MATCH(E1210,AccountCodes[NGAS CODE],0))))</f>
        <v>Salaries and Wages-Regular</v>
      </c>
      <c r="E1210" s="24" t="s">
        <v>162</v>
      </c>
      <c r="F1210" s="502">
        <v>326056</v>
      </c>
    </row>
    <row r="1211" spans="1:6">
      <c r="A1211" s="308">
        <v>43190</v>
      </c>
      <c r="B1211" s="24" t="s">
        <v>484</v>
      </c>
      <c r="C1211" s="24" t="s">
        <v>505</v>
      </c>
      <c r="D1211" s="136" t="str">
        <f t="array" ref="D1211">IF(E1211=0,0,(INDEX(AccountCodes[ACCOUNT NAME],MATCH(E1211,AccountCodes[NGAS CODE],0))))</f>
        <v>Salaries and Wages-Regular</v>
      </c>
      <c r="E1211" s="24" t="s">
        <v>162</v>
      </c>
      <c r="F1211" s="502">
        <v>326056</v>
      </c>
    </row>
    <row r="1212" spans="1:6">
      <c r="A1212" s="308">
        <v>43220</v>
      </c>
      <c r="B1212" s="24" t="s">
        <v>484</v>
      </c>
      <c r="C1212" s="24" t="s">
        <v>505</v>
      </c>
      <c r="D1212" s="136" t="str">
        <f t="array" ref="D1212">IF(E1212=0,0,(INDEX(AccountCodes[ACCOUNT NAME],MATCH(E1212,AccountCodes[NGAS CODE],0))))</f>
        <v>Salaries and Wages-Regular</v>
      </c>
      <c r="E1212" s="24" t="s">
        <v>162</v>
      </c>
      <c r="F1212" s="502">
        <v>326056</v>
      </c>
    </row>
    <row r="1213" spans="1:6">
      <c r="A1213" s="308">
        <v>43251</v>
      </c>
      <c r="B1213" s="24" t="s">
        <v>484</v>
      </c>
      <c r="C1213" s="24" t="s">
        <v>505</v>
      </c>
      <c r="D1213" s="136" t="str">
        <f t="array" ref="D1213">IF(E1213=0,0,(INDEX(AccountCodes[ACCOUNT NAME],MATCH(E1213,AccountCodes[NGAS CODE],0))))</f>
        <v>Salaries and Wages-Regular</v>
      </c>
      <c r="E1213" s="24" t="s">
        <v>162</v>
      </c>
      <c r="F1213" s="502">
        <v>326056</v>
      </c>
    </row>
    <row r="1214" spans="1:6">
      <c r="A1214" s="308">
        <v>43281</v>
      </c>
      <c r="B1214" s="24" t="s">
        <v>484</v>
      </c>
      <c r="C1214" s="24" t="s">
        <v>505</v>
      </c>
      <c r="D1214" s="136" t="str">
        <f t="array" ref="D1214">IF(E1214=0,0,(INDEX(AccountCodes[ACCOUNT NAME],MATCH(E1214,AccountCodes[NGAS CODE],0))))</f>
        <v>Salaries and Wages-Regular</v>
      </c>
      <c r="E1214" s="24" t="s">
        <v>162</v>
      </c>
      <c r="F1214" s="502">
        <v>326056</v>
      </c>
    </row>
    <row r="1215" spans="1:6">
      <c r="A1215" s="308">
        <v>43312</v>
      </c>
      <c r="B1215" s="24" t="s">
        <v>484</v>
      </c>
      <c r="C1215" s="24" t="s">
        <v>505</v>
      </c>
      <c r="D1215" s="136" t="str">
        <f t="array" ref="D1215">IF(E1215=0,0,(INDEX(AccountCodes[ACCOUNT NAME],MATCH(E1215,AccountCodes[NGAS CODE],0))))</f>
        <v>Salaries and Wages-Regular</v>
      </c>
      <c r="E1215" s="24" t="s">
        <v>162</v>
      </c>
      <c r="F1215" s="502">
        <v>326372</v>
      </c>
    </row>
    <row r="1216" spans="1:6">
      <c r="A1216" s="308">
        <v>43343</v>
      </c>
      <c r="B1216" s="24" t="s">
        <v>484</v>
      </c>
      <c r="C1216" s="24" t="s">
        <v>505</v>
      </c>
      <c r="D1216" s="136" t="str">
        <f t="array" ref="D1216">IF(E1216=0,0,(INDEX(AccountCodes[ACCOUNT NAME],MATCH(E1216,AccountCodes[NGAS CODE],0))))</f>
        <v>Salaries and Wages-Regular</v>
      </c>
      <c r="E1216" s="24" t="s">
        <v>162</v>
      </c>
      <c r="F1216" s="502">
        <v>327252</v>
      </c>
    </row>
    <row r="1217" spans="1:6">
      <c r="A1217" s="308">
        <v>43373</v>
      </c>
      <c r="B1217" s="24" t="s">
        <v>484</v>
      </c>
      <c r="C1217" s="24" t="s">
        <v>505</v>
      </c>
      <c r="D1217" s="136" t="str">
        <f t="array" ref="D1217">IF(E1217=0,0,(INDEX(AccountCodes[ACCOUNT NAME],MATCH(E1217,AccountCodes[NGAS CODE],0))))</f>
        <v>Salaries and Wages-Regular</v>
      </c>
      <c r="E1217" s="24" t="s">
        <v>162</v>
      </c>
      <c r="F1217" s="502">
        <v>327380</v>
      </c>
    </row>
    <row r="1218" spans="1:6">
      <c r="A1218" s="308">
        <v>43404</v>
      </c>
      <c r="B1218" s="24" t="s">
        <v>484</v>
      </c>
      <c r="C1218" s="24" t="s">
        <v>505</v>
      </c>
      <c r="D1218" s="136" t="str">
        <f t="array" ref="D1218">IF(E1218=0,0,(INDEX(AccountCodes[ACCOUNT NAME],MATCH(E1218,AccountCodes[NGAS CODE],0))))</f>
        <v>Salaries and Wages-Regular</v>
      </c>
      <c r="E1218" s="24" t="s">
        <v>162</v>
      </c>
      <c r="F1218" s="502">
        <v>327380</v>
      </c>
    </row>
    <row r="1219" spans="1:6">
      <c r="A1219" s="308">
        <v>43434</v>
      </c>
      <c r="B1219" s="24" t="s">
        <v>484</v>
      </c>
      <c r="C1219" s="24" t="s">
        <v>505</v>
      </c>
      <c r="D1219" s="136" t="str">
        <f t="array" ref="D1219">IF(E1219=0,0,(INDEX(AccountCodes[ACCOUNT NAME],MATCH(E1219,AccountCodes[NGAS CODE],0))))</f>
        <v>Salaries and Wages-Regular</v>
      </c>
      <c r="E1219" s="24" t="s">
        <v>162</v>
      </c>
      <c r="F1219" s="502">
        <v>327534</v>
      </c>
    </row>
    <row r="1220" spans="1:6">
      <c r="A1220" s="308">
        <v>43465</v>
      </c>
      <c r="B1220" s="24" t="s">
        <v>484</v>
      </c>
      <c r="C1220" s="24" t="s">
        <v>505</v>
      </c>
      <c r="D1220" s="136" t="str">
        <f t="array" ref="D1220">IF(E1220=0,0,(INDEX(AccountCodes[ACCOUNT NAME],MATCH(E1220,AccountCodes[NGAS CODE],0))))</f>
        <v>Salaries and Wages-Regular</v>
      </c>
      <c r="E1220" s="24" t="s">
        <v>162</v>
      </c>
      <c r="F1220" s="502">
        <v>327699</v>
      </c>
    </row>
    <row r="1221" spans="1:6">
      <c r="A1221" s="308">
        <v>43131</v>
      </c>
      <c r="B1221" s="24" t="s">
        <v>484</v>
      </c>
      <c r="C1221" s="24" t="s">
        <v>505</v>
      </c>
      <c r="D1221" s="136" t="str">
        <f t="array" ref="D1221">IF(E1221=0,0,(INDEX(AccountCodes[ACCOUNT NAME],MATCH(E1221,AccountCodes[NGAS CODE],0))))</f>
        <v>Salaries and Wages-Casual/Contractual</v>
      </c>
      <c r="E1221" s="24" t="s">
        <v>163</v>
      </c>
      <c r="F1221" s="502">
        <v>142798</v>
      </c>
    </row>
    <row r="1222" spans="1:6">
      <c r="A1222" s="308">
        <v>43159</v>
      </c>
      <c r="B1222" s="24" t="s">
        <v>484</v>
      </c>
      <c r="C1222" s="24" t="s">
        <v>505</v>
      </c>
      <c r="D1222" s="136" t="str">
        <f t="array" ref="D1222">IF(E1222=0,0,(INDEX(AccountCodes[ACCOUNT NAME],MATCH(E1222,AccountCodes[NGAS CODE],0))))</f>
        <v>Salaries and Wages-Casual/Contractual</v>
      </c>
      <c r="E1222" s="24" t="s">
        <v>163</v>
      </c>
      <c r="F1222" s="502">
        <v>142798</v>
      </c>
    </row>
    <row r="1223" spans="1:6">
      <c r="A1223" s="308">
        <v>43190</v>
      </c>
      <c r="B1223" s="24" t="s">
        <v>484</v>
      </c>
      <c r="C1223" s="24" t="s">
        <v>505</v>
      </c>
      <c r="D1223" s="136" t="str">
        <f t="array" ref="D1223">IF(E1223=0,0,(INDEX(AccountCodes[ACCOUNT NAME],MATCH(E1223,AccountCodes[NGAS CODE],0))))</f>
        <v>Salaries and Wages-Casual/Contractual</v>
      </c>
      <c r="E1223" s="24" t="s">
        <v>163</v>
      </c>
      <c r="F1223" s="502">
        <v>142798</v>
      </c>
    </row>
    <row r="1224" spans="1:6">
      <c r="A1224" s="308">
        <v>43220</v>
      </c>
      <c r="B1224" s="24" t="s">
        <v>484</v>
      </c>
      <c r="C1224" s="24" t="s">
        <v>505</v>
      </c>
      <c r="D1224" s="136" t="str">
        <f t="array" ref="D1224">IF(E1224=0,0,(INDEX(AccountCodes[ACCOUNT NAME],MATCH(E1224,AccountCodes[NGAS CODE],0))))</f>
        <v>Salaries and Wages-Casual/Contractual</v>
      </c>
      <c r="E1224" s="24" t="s">
        <v>163</v>
      </c>
      <c r="F1224" s="502">
        <v>142798</v>
      </c>
    </row>
    <row r="1225" spans="1:6">
      <c r="A1225" s="308">
        <v>43251</v>
      </c>
      <c r="B1225" s="24" t="s">
        <v>484</v>
      </c>
      <c r="C1225" s="24" t="s">
        <v>505</v>
      </c>
      <c r="D1225" s="136" t="str">
        <f t="array" ref="D1225">IF(E1225=0,0,(INDEX(AccountCodes[ACCOUNT NAME],MATCH(E1225,AccountCodes[NGAS CODE],0))))</f>
        <v>Salaries and Wages-Casual/Contractual</v>
      </c>
      <c r="E1225" s="24" t="s">
        <v>163</v>
      </c>
      <c r="F1225" s="502">
        <v>142798</v>
      </c>
    </row>
    <row r="1226" spans="1:6">
      <c r="A1226" s="308">
        <v>43281</v>
      </c>
      <c r="B1226" s="24" t="s">
        <v>484</v>
      </c>
      <c r="C1226" s="24" t="s">
        <v>505</v>
      </c>
      <c r="D1226" s="136" t="str">
        <f t="array" ref="D1226">IF(E1226=0,0,(INDEX(AccountCodes[ACCOUNT NAME],MATCH(E1226,AccountCodes[NGAS CODE],0))))</f>
        <v>Salaries and Wages-Casual/Contractual</v>
      </c>
      <c r="E1226" s="24" t="s">
        <v>163</v>
      </c>
      <c r="F1226" s="502">
        <v>142798</v>
      </c>
    </row>
    <row r="1227" spans="1:6">
      <c r="A1227" s="308">
        <v>43312</v>
      </c>
      <c r="B1227" s="24" t="s">
        <v>484</v>
      </c>
      <c r="C1227" s="24" t="s">
        <v>505</v>
      </c>
      <c r="D1227" s="136" t="str">
        <f t="array" ref="D1227">IF(E1227=0,0,(INDEX(AccountCodes[ACCOUNT NAME],MATCH(E1227,AccountCodes[NGAS CODE],0))))</f>
        <v>Salaries and Wages-Casual/Contractual</v>
      </c>
      <c r="E1227" s="24" t="s">
        <v>163</v>
      </c>
      <c r="F1227" s="502">
        <v>142798</v>
      </c>
    </row>
    <row r="1228" spans="1:6">
      <c r="A1228" s="308">
        <v>43343</v>
      </c>
      <c r="B1228" s="24" t="s">
        <v>484</v>
      </c>
      <c r="C1228" s="24" t="s">
        <v>505</v>
      </c>
      <c r="D1228" s="136" t="str">
        <f t="array" ref="D1228">IF(E1228=0,0,(INDEX(AccountCodes[ACCOUNT NAME],MATCH(E1228,AccountCodes[NGAS CODE],0))))</f>
        <v>Salaries and Wages-Casual/Contractual</v>
      </c>
      <c r="E1228" s="24" t="s">
        <v>163</v>
      </c>
      <c r="F1228" s="502">
        <v>142798</v>
      </c>
    </row>
    <row r="1229" spans="1:6">
      <c r="A1229" s="308">
        <v>43373</v>
      </c>
      <c r="B1229" s="24" t="s">
        <v>484</v>
      </c>
      <c r="C1229" s="24" t="s">
        <v>505</v>
      </c>
      <c r="D1229" s="136" t="str">
        <f t="array" ref="D1229">IF(E1229=0,0,(INDEX(AccountCodes[ACCOUNT NAME],MATCH(E1229,AccountCodes[NGAS CODE],0))))</f>
        <v>Salaries and Wages-Casual/Contractual</v>
      </c>
      <c r="E1229" s="24" t="s">
        <v>163</v>
      </c>
      <c r="F1229" s="502">
        <v>142798</v>
      </c>
    </row>
    <row r="1230" spans="1:6">
      <c r="A1230" s="308">
        <v>43404</v>
      </c>
      <c r="B1230" s="24" t="s">
        <v>484</v>
      </c>
      <c r="C1230" s="24" t="s">
        <v>505</v>
      </c>
      <c r="D1230" s="136" t="str">
        <f t="array" ref="D1230">IF(E1230=0,0,(INDEX(AccountCodes[ACCOUNT NAME],MATCH(E1230,AccountCodes[NGAS CODE],0))))</f>
        <v>Salaries and Wages-Casual/Contractual</v>
      </c>
      <c r="E1230" s="24" t="s">
        <v>163</v>
      </c>
      <c r="F1230" s="502">
        <v>142798</v>
      </c>
    </row>
    <row r="1231" spans="1:6">
      <c r="A1231" s="308">
        <v>43434</v>
      </c>
      <c r="B1231" s="24" t="s">
        <v>484</v>
      </c>
      <c r="C1231" s="24" t="s">
        <v>505</v>
      </c>
      <c r="D1231" s="136" t="str">
        <f t="array" ref="D1231">IF(E1231=0,0,(INDEX(AccountCodes[ACCOUNT NAME],MATCH(E1231,AccountCodes[NGAS CODE],0))))</f>
        <v>Salaries and Wages-Casual/Contractual</v>
      </c>
      <c r="E1231" s="24" t="s">
        <v>163</v>
      </c>
      <c r="F1231" s="502">
        <v>142798</v>
      </c>
    </row>
    <row r="1232" spans="1:6">
      <c r="A1232" s="308">
        <v>43465</v>
      </c>
      <c r="B1232" s="24" t="s">
        <v>484</v>
      </c>
      <c r="C1232" s="24" t="s">
        <v>505</v>
      </c>
      <c r="D1232" s="136" t="str">
        <f t="array" ref="D1232">IF(E1232=0,0,(INDEX(AccountCodes[ACCOUNT NAME],MATCH(E1232,AccountCodes[NGAS CODE],0))))</f>
        <v>Salaries and Wages-Casual/Contractual</v>
      </c>
      <c r="E1232" s="24" t="s">
        <v>163</v>
      </c>
      <c r="F1232" s="502">
        <v>142798</v>
      </c>
    </row>
    <row r="1233" spans="1:6">
      <c r="A1233" s="308">
        <v>43131</v>
      </c>
      <c r="B1233" s="24" t="s">
        <v>484</v>
      </c>
      <c r="C1233" s="24" t="s">
        <v>505</v>
      </c>
      <c r="D1233" s="136" t="str">
        <f t="array" ref="D1233">IF(E1233=0,0,(INDEX(AccountCodes[ACCOUNT NAME],MATCH(E1233,AccountCodes[NGAS CODE],0))))</f>
        <v>Personal Economic Relief Allowance (PERA)</v>
      </c>
      <c r="E1233" s="24" t="s">
        <v>164</v>
      </c>
      <c r="F1233" s="502">
        <v>42000</v>
      </c>
    </row>
    <row r="1234" spans="1:6">
      <c r="A1234" s="308">
        <v>43159</v>
      </c>
      <c r="B1234" s="24" t="s">
        <v>484</v>
      </c>
      <c r="C1234" s="24" t="s">
        <v>505</v>
      </c>
      <c r="D1234" s="136" t="str">
        <f t="array" ref="D1234">IF(E1234=0,0,(INDEX(AccountCodes[ACCOUNT NAME],MATCH(E1234,AccountCodes[NGAS CODE],0))))</f>
        <v>Personal Economic Relief Allowance (PERA)</v>
      </c>
      <c r="E1234" s="24" t="s">
        <v>164</v>
      </c>
      <c r="F1234" s="502">
        <v>42000</v>
      </c>
    </row>
    <row r="1235" spans="1:6">
      <c r="A1235" s="308">
        <v>43190</v>
      </c>
      <c r="B1235" s="24" t="s">
        <v>484</v>
      </c>
      <c r="C1235" s="24" t="s">
        <v>505</v>
      </c>
      <c r="D1235" s="136" t="str">
        <f t="array" ref="D1235">IF(E1235=0,0,(INDEX(AccountCodes[ACCOUNT NAME],MATCH(E1235,AccountCodes[NGAS CODE],0))))</f>
        <v>Personal Economic Relief Allowance (PERA)</v>
      </c>
      <c r="E1235" s="24" t="s">
        <v>164</v>
      </c>
      <c r="F1235" s="502">
        <v>42000</v>
      </c>
    </row>
    <row r="1236" spans="1:6">
      <c r="A1236" s="308">
        <v>43220</v>
      </c>
      <c r="B1236" s="24" t="s">
        <v>484</v>
      </c>
      <c r="C1236" s="24" t="s">
        <v>505</v>
      </c>
      <c r="D1236" s="136" t="str">
        <f t="array" ref="D1236">IF(E1236=0,0,(INDEX(AccountCodes[ACCOUNT NAME],MATCH(E1236,AccountCodes[NGAS CODE],0))))</f>
        <v>Personal Economic Relief Allowance (PERA)</v>
      </c>
      <c r="E1236" s="24" t="s">
        <v>164</v>
      </c>
      <c r="F1236" s="502">
        <v>42000</v>
      </c>
    </row>
    <row r="1237" spans="1:6">
      <c r="A1237" s="308">
        <v>43251</v>
      </c>
      <c r="B1237" s="24" t="s">
        <v>484</v>
      </c>
      <c r="C1237" s="24" t="s">
        <v>505</v>
      </c>
      <c r="D1237" s="136" t="str">
        <f t="array" ref="D1237">IF(E1237=0,0,(INDEX(AccountCodes[ACCOUNT NAME],MATCH(E1237,AccountCodes[NGAS CODE],0))))</f>
        <v>Personal Economic Relief Allowance (PERA)</v>
      </c>
      <c r="E1237" s="24" t="s">
        <v>164</v>
      </c>
      <c r="F1237" s="502">
        <v>42000</v>
      </c>
    </row>
    <row r="1238" spans="1:6">
      <c r="A1238" s="308">
        <v>43281</v>
      </c>
      <c r="B1238" s="24" t="s">
        <v>484</v>
      </c>
      <c r="C1238" s="24" t="s">
        <v>505</v>
      </c>
      <c r="D1238" s="136" t="str">
        <f t="array" ref="D1238">IF(E1238=0,0,(INDEX(AccountCodes[ACCOUNT NAME],MATCH(E1238,AccountCodes[NGAS CODE],0))))</f>
        <v>Personal Economic Relief Allowance (PERA)</v>
      </c>
      <c r="E1238" s="24" t="s">
        <v>164</v>
      </c>
      <c r="F1238" s="502">
        <v>42000</v>
      </c>
    </row>
    <row r="1239" spans="1:6">
      <c r="A1239" s="308">
        <v>43312</v>
      </c>
      <c r="B1239" s="24" t="s">
        <v>484</v>
      </c>
      <c r="C1239" s="24" t="s">
        <v>505</v>
      </c>
      <c r="D1239" s="136" t="str">
        <f t="array" ref="D1239">IF(E1239=0,0,(INDEX(AccountCodes[ACCOUNT NAME],MATCH(E1239,AccountCodes[NGAS CODE],0))))</f>
        <v>Personal Economic Relief Allowance (PERA)</v>
      </c>
      <c r="E1239" s="24" t="s">
        <v>164</v>
      </c>
      <c r="F1239" s="502">
        <v>42000</v>
      </c>
    </row>
    <row r="1240" spans="1:6">
      <c r="A1240" s="308">
        <v>43343</v>
      </c>
      <c r="B1240" s="24" t="s">
        <v>484</v>
      </c>
      <c r="C1240" s="24" t="s">
        <v>505</v>
      </c>
      <c r="D1240" s="136" t="str">
        <f t="array" ref="D1240">IF(E1240=0,0,(INDEX(AccountCodes[ACCOUNT NAME],MATCH(E1240,AccountCodes[NGAS CODE],0))))</f>
        <v>Personal Economic Relief Allowance (PERA)</v>
      </c>
      <c r="E1240" s="24" t="s">
        <v>164</v>
      </c>
      <c r="F1240" s="502">
        <v>42000</v>
      </c>
    </row>
    <row r="1241" spans="1:6">
      <c r="A1241" s="308">
        <v>43373</v>
      </c>
      <c r="B1241" s="24" t="s">
        <v>484</v>
      </c>
      <c r="C1241" s="24" t="s">
        <v>505</v>
      </c>
      <c r="D1241" s="136" t="str">
        <f t="array" ref="D1241">IF(E1241=0,0,(INDEX(AccountCodes[ACCOUNT NAME],MATCH(E1241,AccountCodes[NGAS CODE],0))))</f>
        <v>Personal Economic Relief Allowance (PERA)</v>
      </c>
      <c r="E1241" s="24" t="s">
        <v>164</v>
      </c>
      <c r="F1241" s="502">
        <v>42000</v>
      </c>
    </row>
    <row r="1242" spans="1:6">
      <c r="A1242" s="308">
        <v>43404</v>
      </c>
      <c r="B1242" s="24" t="s">
        <v>484</v>
      </c>
      <c r="C1242" s="24" t="s">
        <v>505</v>
      </c>
      <c r="D1242" s="136" t="str">
        <f t="array" ref="D1242">IF(E1242=0,0,(INDEX(AccountCodes[ACCOUNT NAME],MATCH(E1242,AccountCodes[NGAS CODE],0))))</f>
        <v>Personal Economic Relief Allowance (PERA)</v>
      </c>
      <c r="E1242" s="24" t="s">
        <v>164</v>
      </c>
      <c r="F1242" s="502">
        <v>42000</v>
      </c>
    </row>
    <row r="1243" spans="1:6">
      <c r="A1243" s="308">
        <v>43434</v>
      </c>
      <c r="B1243" s="24" t="s">
        <v>484</v>
      </c>
      <c r="C1243" s="24" t="s">
        <v>505</v>
      </c>
      <c r="D1243" s="136" t="str">
        <f t="array" ref="D1243">IF(E1243=0,0,(INDEX(AccountCodes[ACCOUNT NAME],MATCH(E1243,AccountCodes[NGAS CODE],0))))</f>
        <v>Personal Economic Relief Allowance (PERA)</v>
      </c>
      <c r="E1243" s="24" t="s">
        <v>164</v>
      </c>
      <c r="F1243" s="502">
        <v>42000</v>
      </c>
    </row>
    <row r="1244" spans="1:6">
      <c r="A1244" s="308">
        <v>43465</v>
      </c>
      <c r="B1244" s="24" t="s">
        <v>484</v>
      </c>
      <c r="C1244" s="24" t="s">
        <v>505</v>
      </c>
      <c r="D1244" s="136" t="str">
        <f t="array" ref="D1244">IF(E1244=0,0,(INDEX(AccountCodes[ACCOUNT NAME],MATCH(E1244,AccountCodes[NGAS CODE],0))))</f>
        <v>Personal Economic Relief Allowance (PERA)</v>
      </c>
      <c r="E1244" s="24" t="s">
        <v>164</v>
      </c>
      <c r="F1244" s="502">
        <v>42000</v>
      </c>
    </row>
    <row r="1245" spans="1:6">
      <c r="A1245" s="308">
        <v>43190</v>
      </c>
      <c r="B1245" s="24" t="s">
        <v>484</v>
      </c>
      <c r="C1245" s="24" t="s">
        <v>505</v>
      </c>
      <c r="D1245" s="136" t="str">
        <f t="array" ref="D1245">IF(E1245=0,0,(INDEX(AccountCodes[ACCOUNT NAME],MATCH(E1245,AccountCodes[NGAS CODE],0))))</f>
        <v>Clothing/Uniform Allowance</v>
      </c>
      <c r="E1245" s="24" t="s">
        <v>167</v>
      </c>
      <c r="F1245" s="502">
        <v>105000</v>
      </c>
    </row>
    <row r="1246" spans="1:6">
      <c r="A1246" s="308">
        <v>43465</v>
      </c>
      <c r="B1246" s="24" t="s">
        <v>484</v>
      </c>
      <c r="C1246" s="24" t="s">
        <v>505</v>
      </c>
      <c r="D1246" s="136" t="str">
        <f t="array" ref="D1246">IF(E1246=0,0,(INDEX(AccountCodes[ACCOUNT NAME],MATCH(E1246,AccountCodes[NGAS CODE],0))))</f>
        <v>Other Bonuses and Allowances - Productivity Enhancement Incentive-Civilian</v>
      </c>
      <c r="E1246" s="309" t="s">
        <v>170</v>
      </c>
      <c r="F1246" s="502">
        <v>470497</v>
      </c>
    </row>
    <row r="1247" spans="1:6">
      <c r="A1247" s="308">
        <v>43434</v>
      </c>
      <c r="B1247" s="24" t="s">
        <v>484</v>
      </c>
      <c r="C1247" s="24" t="s">
        <v>505</v>
      </c>
      <c r="D1247" s="136" t="str">
        <f t="array" ref="D1247">IF(E1247=0,0,(INDEX(AccountCodes[ACCOUNT NAME],MATCH(E1247,AccountCodes[NGAS CODE],0))))</f>
        <v>Cash Gift</v>
      </c>
      <c r="E1247" s="24" t="s">
        <v>172</v>
      </c>
      <c r="F1247" s="502">
        <v>105000</v>
      </c>
    </row>
    <row r="1248" spans="1:6">
      <c r="A1248" s="308">
        <v>43251</v>
      </c>
      <c r="B1248" s="24" t="s">
        <v>484</v>
      </c>
      <c r="C1248" s="24" t="s">
        <v>505</v>
      </c>
      <c r="D1248" s="136" t="str">
        <f t="array" ref="D1248">IF(E1248=0,0,(INDEX(AccountCodes[ACCOUNT NAME],MATCH(E1248,AccountCodes[NGAS CODE],0))))</f>
        <v>Mid-Year/Year End Bonus</v>
      </c>
      <c r="E1248" s="24" t="s">
        <v>174</v>
      </c>
      <c r="F1248" s="502">
        <v>468854</v>
      </c>
    </row>
    <row r="1249" spans="1:6">
      <c r="A1249" s="308">
        <v>43434</v>
      </c>
      <c r="B1249" s="24" t="s">
        <v>484</v>
      </c>
      <c r="C1249" s="24" t="s">
        <v>505</v>
      </c>
      <c r="D1249" s="136" t="str">
        <f t="array" ref="D1249">IF(E1249=0,0,(INDEX(AccountCodes[ACCOUNT NAME],MATCH(E1249,AccountCodes[NGAS CODE],0))))</f>
        <v>Mid-Year/Year End Bonus</v>
      </c>
      <c r="E1249" s="24" t="s">
        <v>174</v>
      </c>
      <c r="F1249" s="502">
        <v>470332</v>
      </c>
    </row>
    <row r="1250" spans="1:6">
      <c r="A1250" s="308">
        <v>43281</v>
      </c>
      <c r="B1250" s="24" t="s">
        <v>484</v>
      </c>
      <c r="C1250" s="24" t="s">
        <v>505</v>
      </c>
      <c r="D1250" s="136" t="str">
        <f t="array" ref="D1250">IF(E1250=0,0,(INDEX(AccountCodes[ACCOUNT NAME],MATCH(E1250,AccountCodes[NGAS CODE],0))))</f>
        <v>Longevity Pay</v>
      </c>
      <c r="E1250" s="309" t="s">
        <v>216</v>
      </c>
      <c r="F1250" s="502">
        <v>20000</v>
      </c>
    </row>
    <row r="1251" spans="1:6">
      <c r="A1251" s="308">
        <v>43131</v>
      </c>
      <c r="B1251" s="24" t="s">
        <v>484</v>
      </c>
      <c r="C1251" s="24" t="s">
        <v>505</v>
      </c>
      <c r="D1251" s="136" t="str">
        <f t="array" ref="D1251">IF(E1251=0,0,(INDEX(AccountCodes[ACCOUNT NAME],MATCH(E1251,AccountCodes[NGAS CODE],0))))</f>
        <v>Retirement and Life Insurance Premiums</v>
      </c>
      <c r="E1251" s="24" t="s">
        <v>175</v>
      </c>
      <c r="F1251" s="502">
        <v>56335.29</v>
      </c>
    </row>
    <row r="1252" spans="1:6">
      <c r="A1252" s="308">
        <v>43159</v>
      </c>
      <c r="B1252" s="24" t="s">
        <v>484</v>
      </c>
      <c r="C1252" s="24" t="s">
        <v>505</v>
      </c>
      <c r="D1252" s="136" t="str">
        <f t="array" ref="D1252">IF(E1252=0,0,(INDEX(AccountCodes[ACCOUNT NAME],MATCH(E1252,AccountCodes[NGAS CODE],0))))</f>
        <v>Retirement and Life Insurance Premiums</v>
      </c>
      <c r="E1252" s="24" t="s">
        <v>175</v>
      </c>
      <c r="F1252" s="502">
        <v>56335.29</v>
      </c>
    </row>
    <row r="1253" spans="1:6">
      <c r="A1253" s="308">
        <v>43190</v>
      </c>
      <c r="B1253" s="24" t="s">
        <v>484</v>
      </c>
      <c r="C1253" s="24" t="s">
        <v>505</v>
      </c>
      <c r="D1253" s="136" t="str">
        <f t="array" ref="D1253">IF(E1253=0,0,(INDEX(AccountCodes[ACCOUNT NAME],MATCH(E1253,AccountCodes[NGAS CODE],0))))</f>
        <v>Retirement and Life Insurance Premiums</v>
      </c>
      <c r="E1253" s="24" t="s">
        <v>175</v>
      </c>
      <c r="F1253" s="502">
        <v>56335.29</v>
      </c>
    </row>
    <row r="1254" spans="1:6">
      <c r="A1254" s="308">
        <v>43220</v>
      </c>
      <c r="B1254" s="24" t="s">
        <v>484</v>
      </c>
      <c r="C1254" s="24" t="s">
        <v>505</v>
      </c>
      <c r="D1254" s="136" t="str">
        <f t="array" ref="D1254">IF(E1254=0,0,(INDEX(AccountCodes[ACCOUNT NAME],MATCH(E1254,AccountCodes[NGAS CODE],0))))</f>
        <v>Retirement and Life Insurance Premiums</v>
      </c>
      <c r="E1254" s="24" t="s">
        <v>175</v>
      </c>
      <c r="F1254" s="502">
        <v>56335.29</v>
      </c>
    </row>
    <row r="1255" spans="1:6">
      <c r="A1255" s="308">
        <v>43251</v>
      </c>
      <c r="B1255" s="24" t="s">
        <v>484</v>
      </c>
      <c r="C1255" s="24" t="s">
        <v>505</v>
      </c>
      <c r="D1255" s="136" t="str">
        <f t="array" ref="D1255">IF(E1255=0,0,(INDEX(AccountCodes[ACCOUNT NAME],MATCH(E1255,AccountCodes[NGAS CODE],0))))</f>
        <v>Retirement and Life Insurance Premiums</v>
      </c>
      <c r="E1255" s="24" t="s">
        <v>175</v>
      </c>
      <c r="F1255" s="502">
        <v>56335.29</v>
      </c>
    </row>
    <row r="1256" spans="1:6">
      <c r="A1256" s="308">
        <v>43281</v>
      </c>
      <c r="B1256" s="24" t="s">
        <v>484</v>
      </c>
      <c r="C1256" s="24" t="s">
        <v>505</v>
      </c>
      <c r="D1256" s="136" t="str">
        <f t="array" ref="D1256">IF(E1256=0,0,(INDEX(AccountCodes[ACCOUNT NAME],MATCH(E1256,AccountCodes[NGAS CODE],0))))</f>
        <v>Retirement and Life Insurance Premiums</v>
      </c>
      <c r="E1256" s="24" t="s">
        <v>175</v>
      </c>
      <c r="F1256" s="502">
        <v>56335.29</v>
      </c>
    </row>
    <row r="1257" spans="1:6">
      <c r="A1257" s="308">
        <v>43312</v>
      </c>
      <c r="B1257" s="24" t="s">
        <v>484</v>
      </c>
      <c r="C1257" s="24" t="s">
        <v>505</v>
      </c>
      <c r="D1257" s="136" t="str">
        <f t="array" ref="D1257">IF(E1257=0,0,(INDEX(AccountCodes[ACCOUNT NAME],MATCH(E1257,AccountCodes[NGAS CODE],0))))</f>
        <v>Retirement and Life Insurance Premiums</v>
      </c>
      <c r="E1257" s="24" t="s">
        <v>175</v>
      </c>
      <c r="F1257" s="502">
        <v>56335.29</v>
      </c>
    </row>
    <row r="1258" spans="1:6">
      <c r="A1258" s="308">
        <v>43343</v>
      </c>
      <c r="B1258" s="24" t="s">
        <v>484</v>
      </c>
      <c r="C1258" s="24" t="s">
        <v>505</v>
      </c>
      <c r="D1258" s="136" t="str">
        <f t="array" ref="D1258">IF(E1258=0,0,(INDEX(AccountCodes[ACCOUNT NAME],MATCH(E1258,AccountCodes[NGAS CODE],0))))</f>
        <v>Retirement and Life Insurance Premiums</v>
      </c>
      <c r="E1258" s="24" t="s">
        <v>175</v>
      </c>
      <c r="F1258" s="502">
        <v>56335.29</v>
      </c>
    </row>
    <row r="1259" spans="1:6">
      <c r="A1259" s="308">
        <v>43373</v>
      </c>
      <c r="B1259" s="24" t="s">
        <v>484</v>
      </c>
      <c r="C1259" s="24" t="s">
        <v>505</v>
      </c>
      <c r="D1259" s="136" t="str">
        <f t="array" ref="D1259">IF(E1259=0,0,(INDEX(AccountCodes[ACCOUNT NAME],MATCH(E1259,AccountCodes[NGAS CODE],0))))</f>
        <v>Retirement and Life Insurance Premiums</v>
      </c>
      <c r="E1259" s="24" t="s">
        <v>175</v>
      </c>
      <c r="F1259" s="502">
        <v>56335.29</v>
      </c>
    </row>
    <row r="1260" spans="1:6">
      <c r="A1260" s="308">
        <v>43404</v>
      </c>
      <c r="B1260" s="24" t="s">
        <v>484</v>
      </c>
      <c r="C1260" s="24" t="s">
        <v>505</v>
      </c>
      <c r="D1260" s="136" t="str">
        <f t="array" ref="D1260">IF(E1260=0,0,(INDEX(AccountCodes[ACCOUNT NAME],MATCH(E1260,AccountCodes[NGAS CODE],0))))</f>
        <v>Retirement and Life Insurance Premiums</v>
      </c>
      <c r="E1260" s="24" t="s">
        <v>175</v>
      </c>
      <c r="F1260" s="502">
        <v>56335.29</v>
      </c>
    </row>
    <row r="1261" spans="1:6">
      <c r="A1261" s="308">
        <v>43434</v>
      </c>
      <c r="B1261" s="24" t="s">
        <v>484</v>
      </c>
      <c r="C1261" s="24" t="s">
        <v>505</v>
      </c>
      <c r="D1261" s="136" t="str">
        <f t="array" ref="D1261">IF(E1261=0,0,(INDEX(AccountCodes[ACCOUNT NAME],MATCH(E1261,AccountCodes[NGAS CODE],0))))</f>
        <v>Retirement and Life Insurance Premiums</v>
      </c>
      <c r="E1261" s="24" t="s">
        <v>175</v>
      </c>
      <c r="F1261" s="502">
        <v>56335.29</v>
      </c>
    </row>
    <row r="1262" spans="1:6">
      <c r="A1262" s="308">
        <v>43465</v>
      </c>
      <c r="B1262" s="24" t="s">
        <v>484</v>
      </c>
      <c r="C1262" s="24" t="s">
        <v>505</v>
      </c>
      <c r="D1262" s="136" t="str">
        <f t="array" ref="D1262">IF(E1262=0,0,(INDEX(AccountCodes[ACCOUNT NAME],MATCH(E1262,AccountCodes[NGAS CODE],0))))</f>
        <v>Retirement and Life Insurance Premiums</v>
      </c>
      <c r="E1262" s="24" t="s">
        <v>175</v>
      </c>
      <c r="F1262" s="502">
        <v>56335.29</v>
      </c>
    </row>
    <row r="1263" spans="1:6">
      <c r="A1263" s="308">
        <v>43131</v>
      </c>
      <c r="B1263" s="24" t="s">
        <v>484</v>
      </c>
      <c r="C1263" s="24" t="s">
        <v>505</v>
      </c>
      <c r="D1263" s="136" t="str">
        <f t="array" ref="D1263">IF(E1263=0,0,(INDEX(AccountCodes[ACCOUNT NAME],MATCH(E1263,AccountCodes[NGAS CODE],0))))</f>
        <v>Pag-IBIG Contributions</v>
      </c>
      <c r="E1263" s="24" t="s">
        <v>176</v>
      </c>
      <c r="F1263" s="502">
        <v>2100</v>
      </c>
    </row>
    <row r="1264" spans="1:6">
      <c r="A1264" s="308">
        <v>43159</v>
      </c>
      <c r="B1264" s="24" t="s">
        <v>484</v>
      </c>
      <c r="C1264" s="24" t="s">
        <v>505</v>
      </c>
      <c r="D1264" s="136" t="str">
        <f t="array" ref="D1264">IF(E1264=0,0,(INDEX(AccountCodes[ACCOUNT NAME],MATCH(E1264,AccountCodes[NGAS CODE],0))))</f>
        <v>Pag-IBIG Contributions</v>
      </c>
      <c r="E1264" s="24" t="s">
        <v>176</v>
      </c>
      <c r="F1264" s="502">
        <v>2100</v>
      </c>
    </row>
    <row r="1265" spans="1:6">
      <c r="A1265" s="308">
        <v>43190</v>
      </c>
      <c r="B1265" s="24" t="s">
        <v>484</v>
      </c>
      <c r="C1265" s="24" t="s">
        <v>505</v>
      </c>
      <c r="D1265" s="136" t="str">
        <f t="array" ref="D1265">IF(E1265=0,0,(INDEX(AccountCodes[ACCOUNT NAME],MATCH(E1265,AccountCodes[NGAS CODE],0))))</f>
        <v>Pag-IBIG Contributions</v>
      </c>
      <c r="E1265" s="24" t="s">
        <v>176</v>
      </c>
      <c r="F1265" s="502">
        <v>2100</v>
      </c>
    </row>
    <row r="1266" spans="1:6">
      <c r="A1266" s="308">
        <v>43220</v>
      </c>
      <c r="B1266" s="24" t="s">
        <v>484</v>
      </c>
      <c r="C1266" s="24" t="s">
        <v>505</v>
      </c>
      <c r="D1266" s="136" t="str">
        <f t="array" ref="D1266">IF(E1266=0,0,(INDEX(AccountCodes[ACCOUNT NAME],MATCH(E1266,AccountCodes[NGAS CODE],0))))</f>
        <v>Pag-IBIG Contributions</v>
      </c>
      <c r="E1266" s="24" t="s">
        <v>176</v>
      </c>
      <c r="F1266" s="502">
        <v>2100</v>
      </c>
    </row>
    <row r="1267" spans="1:6">
      <c r="A1267" s="308">
        <v>43251</v>
      </c>
      <c r="B1267" s="24" t="s">
        <v>484</v>
      </c>
      <c r="C1267" s="24" t="s">
        <v>505</v>
      </c>
      <c r="D1267" s="136" t="str">
        <f t="array" ref="D1267">IF(E1267=0,0,(INDEX(AccountCodes[ACCOUNT NAME],MATCH(E1267,AccountCodes[NGAS CODE],0))))</f>
        <v>Pag-IBIG Contributions</v>
      </c>
      <c r="E1267" s="24" t="s">
        <v>176</v>
      </c>
      <c r="F1267" s="502">
        <v>2100</v>
      </c>
    </row>
    <row r="1268" spans="1:6">
      <c r="A1268" s="308">
        <v>43281</v>
      </c>
      <c r="B1268" s="24" t="s">
        <v>484</v>
      </c>
      <c r="C1268" s="24" t="s">
        <v>505</v>
      </c>
      <c r="D1268" s="136" t="str">
        <f t="array" ref="D1268">IF(E1268=0,0,(INDEX(AccountCodes[ACCOUNT NAME],MATCH(E1268,AccountCodes[NGAS CODE],0))))</f>
        <v>Pag-IBIG Contributions</v>
      </c>
      <c r="E1268" s="24" t="s">
        <v>176</v>
      </c>
      <c r="F1268" s="502">
        <v>2100</v>
      </c>
    </row>
    <row r="1269" spans="1:6">
      <c r="A1269" s="308">
        <v>43312</v>
      </c>
      <c r="B1269" s="24" t="s">
        <v>484</v>
      </c>
      <c r="C1269" s="24" t="s">
        <v>505</v>
      </c>
      <c r="D1269" s="136" t="str">
        <f t="array" ref="D1269">IF(E1269=0,0,(INDEX(AccountCodes[ACCOUNT NAME],MATCH(E1269,AccountCodes[NGAS CODE],0))))</f>
        <v>Pag-IBIG Contributions</v>
      </c>
      <c r="E1269" s="24" t="s">
        <v>176</v>
      </c>
      <c r="F1269" s="502">
        <v>2100</v>
      </c>
    </row>
    <row r="1270" spans="1:6">
      <c r="A1270" s="308">
        <v>43343</v>
      </c>
      <c r="B1270" s="24" t="s">
        <v>484</v>
      </c>
      <c r="C1270" s="24" t="s">
        <v>505</v>
      </c>
      <c r="D1270" s="136" t="str">
        <f t="array" ref="D1270">IF(E1270=0,0,(INDEX(AccountCodes[ACCOUNT NAME],MATCH(E1270,AccountCodes[NGAS CODE],0))))</f>
        <v>Pag-IBIG Contributions</v>
      </c>
      <c r="E1270" s="24" t="s">
        <v>176</v>
      </c>
      <c r="F1270" s="502">
        <v>2100</v>
      </c>
    </row>
    <row r="1271" spans="1:6">
      <c r="A1271" s="308">
        <v>43373</v>
      </c>
      <c r="B1271" s="24" t="s">
        <v>484</v>
      </c>
      <c r="C1271" s="24" t="s">
        <v>505</v>
      </c>
      <c r="D1271" s="136" t="str">
        <f t="array" ref="D1271">IF(E1271=0,0,(INDEX(AccountCodes[ACCOUNT NAME],MATCH(E1271,AccountCodes[NGAS CODE],0))))</f>
        <v>Pag-IBIG Contributions</v>
      </c>
      <c r="E1271" s="24" t="s">
        <v>176</v>
      </c>
      <c r="F1271" s="502">
        <v>2100</v>
      </c>
    </row>
    <row r="1272" spans="1:6">
      <c r="A1272" s="308">
        <v>43404</v>
      </c>
      <c r="B1272" s="24" t="s">
        <v>484</v>
      </c>
      <c r="C1272" s="24" t="s">
        <v>505</v>
      </c>
      <c r="D1272" s="136" t="str">
        <f t="array" ref="D1272">IF(E1272=0,0,(INDEX(AccountCodes[ACCOUNT NAME],MATCH(E1272,AccountCodes[NGAS CODE],0))))</f>
        <v>Pag-IBIG Contributions</v>
      </c>
      <c r="E1272" s="24" t="s">
        <v>176</v>
      </c>
      <c r="F1272" s="502">
        <v>2100</v>
      </c>
    </row>
    <row r="1273" spans="1:6">
      <c r="A1273" s="308">
        <v>43434</v>
      </c>
      <c r="B1273" s="24" t="s">
        <v>484</v>
      </c>
      <c r="C1273" s="24" t="s">
        <v>505</v>
      </c>
      <c r="D1273" s="136" t="str">
        <f t="array" ref="D1273">IF(E1273=0,0,(INDEX(AccountCodes[ACCOUNT NAME],MATCH(E1273,AccountCodes[NGAS CODE],0))))</f>
        <v>Pag-IBIG Contributions</v>
      </c>
      <c r="E1273" s="24" t="s">
        <v>176</v>
      </c>
      <c r="F1273" s="502">
        <v>2100</v>
      </c>
    </row>
    <row r="1274" spans="1:6">
      <c r="A1274" s="308">
        <v>43465</v>
      </c>
      <c r="B1274" s="24" t="s">
        <v>484</v>
      </c>
      <c r="C1274" s="24" t="s">
        <v>505</v>
      </c>
      <c r="D1274" s="136" t="str">
        <f t="array" ref="D1274">IF(E1274=0,0,(INDEX(AccountCodes[ACCOUNT NAME],MATCH(E1274,AccountCodes[NGAS CODE],0))))</f>
        <v>Pag-IBIG Contributions</v>
      </c>
      <c r="E1274" s="24" t="s">
        <v>176</v>
      </c>
      <c r="F1274" s="502">
        <v>2100</v>
      </c>
    </row>
    <row r="1275" spans="1:6">
      <c r="A1275" s="308">
        <v>43131</v>
      </c>
      <c r="B1275" s="24" t="s">
        <v>484</v>
      </c>
      <c r="C1275" s="24" t="s">
        <v>505</v>
      </c>
      <c r="D1275" s="136" t="str">
        <f t="array" ref="D1275">IF(E1275=0,0,(INDEX(AccountCodes[ACCOUNT NAME],MATCH(E1275,AccountCodes[NGAS CODE],0))))</f>
        <v>PhilHealth Contributions</v>
      </c>
      <c r="E1275" s="24" t="s">
        <v>177</v>
      </c>
      <c r="F1275" s="502">
        <v>3162.5</v>
      </c>
    </row>
    <row r="1276" spans="1:6">
      <c r="A1276" s="308">
        <v>43159</v>
      </c>
      <c r="B1276" s="24" t="s">
        <v>484</v>
      </c>
      <c r="C1276" s="24" t="s">
        <v>505</v>
      </c>
      <c r="D1276" s="136" t="str">
        <f t="array" ref="D1276">IF(E1276=0,0,(INDEX(AccountCodes[ACCOUNT NAME],MATCH(E1276,AccountCodes[NGAS CODE],0))))</f>
        <v>PhilHealth Contributions</v>
      </c>
      <c r="E1276" s="24" t="s">
        <v>177</v>
      </c>
      <c r="F1276" s="502">
        <v>3162.5</v>
      </c>
    </row>
    <row r="1277" spans="1:6">
      <c r="A1277" s="308">
        <v>43190</v>
      </c>
      <c r="B1277" s="24" t="s">
        <v>484</v>
      </c>
      <c r="C1277" s="24" t="s">
        <v>505</v>
      </c>
      <c r="D1277" s="136" t="str">
        <f t="array" ref="D1277">IF(E1277=0,0,(INDEX(AccountCodes[ACCOUNT NAME],MATCH(E1277,AccountCodes[NGAS CODE],0))))</f>
        <v>PhilHealth Contributions</v>
      </c>
      <c r="E1277" s="24" t="s">
        <v>177</v>
      </c>
      <c r="F1277" s="502">
        <v>3162.5</v>
      </c>
    </row>
    <row r="1278" spans="1:6">
      <c r="A1278" s="308">
        <v>43220</v>
      </c>
      <c r="B1278" s="24" t="s">
        <v>484</v>
      </c>
      <c r="C1278" s="24" t="s">
        <v>505</v>
      </c>
      <c r="D1278" s="136" t="str">
        <f t="array" ref="D1278">IF(E1278=0,0,(INDEX(AccountCodes[ACCOUNT NAME],MATCH(E1278,AccountCodes[NGAS CODE],0))))</f>
        <v>PhilHealth Contributions</v>
      </c>
      <c r="E1278" s="24" t="s">
        <v>177</v>
      </c>
      <c r="F1278" s="502">
        <v>3162.5</v>
      </c>
    </row>
    <row r="1279" spans="1:6">
      <c r="A1279" s="308">
        <v>43251</v>
      </c>
      <c r="B1279" s="24" t="s">
        <v>484</v>
      </c>
      <c r="C1279" s="24" t="s">
        <v>505</v>
      </c>
      <c r="D1279" s="136" t="str">
        <f t="array" ref="D1279">IF(E1279=0,0,(INDEX(AccountCodes[ACCOUNT NAME],MATCH(E1279,AccountCodes[NGAS CODE],0))))</f>
        <v>PhilHealth Contributions</v>
      </c>
      <c r="E1279" s="24" t="s">
        <v>177</v>
      </c>
      <c r="F1279" s="502">
        <v>3162.5</v>
      </c>
    </row>
    <row r="1280" spans="1:6">
      <c r="A1280" s="308">
        <v>43281</v>
      </c>
      <c r="B1280" s="24" t="s">
        <v>484</v>
      </c>
      <c r="C1280" s="24" t="s">
        <v>505</v>
      </c>
      <c r="D1280" s="136" t="str">
        <f t="array" ref="D1280">IF(E1280=0,0,(INDEX(AccountCodes[ACCOUNT NAME],MATCH(E1280,AccountCodes[NGAS CODE],0))))</f>
        <v>PhilHealth Contributions</v>
      </c>
      <c r="E1280" s="24" t="s">
        <v>177</v>
      </c>
      <c r="F1280" s="502">
        <v>3162.5</v>
      </c>
    </row>
    <row r="1281" spans="1:6">
      <c r="A1281" s="308">
        <v>43312</v>
      </c>
      <c r="B1281" s="24" t="s">
        <v>484</v>
      </c>
      <c r="C1281" s="24" t="s">
        <v>505</v>
      </c>
      <c r="D1281" s="136" t="str">
        <f t="array" ref="D1281">IF(E1281=0,0,(INDEX(AccountCodes[ACCOUNT NAME],MATCH(E1281,AccountCodes[NGAS CODE],0))))</f>
        <v>PhilHealth Contributions</v>
      </c>
      <c r="E1281" s="24" t="s">
        <v>177</v>
      </c>
      <c r="F1281" s="502">
        <v>3162.5</v>
      </c>
    </row>
    <row r="1282" spans="1:6">
      <c r="A1282" s="308">
        <v>43343</v>
      </c>
      <c r="B1282" s="24" t="s">
        <v>484</v>
      </c>
      <c r="C1282" s="24" t="s">
        <v>505</v>
      </c>
      <c r="D1282" s="136" t="str">
        <f t="array" ref="D1282">IF(E1282=0,0,(INDEX(AccountCodes[ACCOUNT NAME],MATCH(E1282,AccountCodes[NGAS CODE],0))))</f>
        <v>PhilHealth Contributions</v>
      </c>
      <c r="E1282" s="24" t="s">
        <v>177</v>
      </c>
      <c r="F1282" s="502">
        <v>3162.5</v>
      </c>
    </row>
    <row r="1283" spans="1:6">
      <c r="A1283" s="308">
        <v>43373</v>
      </c>
      <c r="B1283" s="24" t="s">
        <v>484</v>
      </c>
      <c r="C1283" s="24" t="s">
        <v>505</v>
      </c>
      <c r="D1283" s="136" t="str">
        <f t="array" ref="D1283">IF(E1283=0,0,(INDEX(AccountCodes[ACCOUNT NAME],MATCH(E1283,AccountCodes[NGAS CODE],0))))</f>
        <v>PhilHealth Contributions</v>
      </c>
      <c r="E1283" s="24" t="s">
        <v>177</v>
      </c>
      <c r="F1283" s="502">
        <v>3162.5</v>
      </c>
    </row>
    <row r="1284" spans="1:6">
      <c r="A1284" s="308">
        <v>43404</v>
      </c>
      <c r="B1284" s="24" t="s">
        <v>484</v>
      </c>
      <c r="C1284" s="24" t="s">
        <v>505</v>
      </c>
      <c r="D1284" s="136" t="str">
        <f t="array" ref="D1284">IF(E1284=0,0,(INDEX(AccountCodes[ACCOUNT NAME],MATCH(E1284,AccountCodes[NGAS CODE],0))))</f>
        <v>PhilHealth Contributions</v>
      </c>
      <c r="E1284" s="24" t="s">
        <v>177</v>
      </c>
      <c r="F1284" s="502">
        <v>3162.5</v>
      </c>
    </row>
    <row r="1285" spans="1:6">
      <c r="A1285" s="308">
        <v>43434</v>
      </c>
      <c r="B1285" s="24" t="s">
        <v>484</v>
      </c>
      <c r="C1285" s="24" t="s">
        <v>505</v>
      </c>
      <c r="D1285" s="136" t="str">
        <f t="array" ref="D1285">IF(E1285=0,0,(INDEX(AccountCodes[ACCOUNT NAME],MATCH(E1285,AccountCodes[NGAS CODE],0))))</f>
        <v>PhilHealth Contributions</v>
      </c>
      <c r="E1285" s="24" t="s">
        <v>177</v>
      </c>
      <c r="F1285" s="502">
        <v>3162.5</v>
      </c>
    </row>
    <row r="1286" spans="1:6">
      <c r="A1286" s="308">
        <v>43465</v>
      </c>
      <c r="B1286" s="24" t="s">
        <v>484</v>
      </c>
      <c r="C1286" s="24" t="s">
        <v>505</v>
      </c>
      <c r="D1286" s="136" t="str">
        <f t="array" ref="D1286">IF(E1286=0,0,(INDEX(AccountCodes[ACCOUNT NAME],MATCH(E1286,AccountCodes[NGAS CODE],0))))</f>
        <v>PhilHealth Contributions</v>
      </c>
      <c r="E1286" s="24" t="s">
        <v>177</v>
      </c>
      <c r="F1286" s="502">
        <v>3162.5</v>
      </c>
    </row>
    <row r="1287" spans="1:6">
      <c r="A1287" s="308">
        <v>43131</v>
      </c>
      <c r="B1287" s="24" t="s">
        <v>484</v>
      </c>
      <c r="C1287" s="24" t="s">
        <v>505</v>
      </c>
      <c r="D1287" s="136" t="str">
        <f t="array" ref="D1287">IF(E1287=0,0,(INDEX(AccountCodes[ACCOUNT NAME],MATCH(E1287,AccountCodes[NGAS CODE],0))))</f>
        <v>Employees Compensation Insurance Premiums</v>
      </c>
      <c r="E1287" s="24" t="s">
        <v>178</v>
      </c>
      <c r="F1287" s="502">
        <v>2100</v>
      </c>
    </row>
    <row r="1288" spans="1:6">
      <c r="A1288" s="308">
        <v>43159</v>
      </c>
      <c r="B1288" s="24" t="s">
        <v>484</v>
      </c>
      <c r="C1288" s="24" t="s">
        <v>505</v>
      </c>
      <c r="D1288" s="136" t="str">
        <f t="array" ref="D1288">IF(E1288=0,0,(INDEX(AccountCodes[ACCOUNT NAME],MATCH(E1288,AccountCodes[NGAS CODE],0))))</f>
        <v>Employees Compensation Insurance Premiums</v>
      </c>
      <c r="E1288" s="24" t="s">
        <v>178</v>
      </c>
      <c r="F1288" s="502">
        <v>2100</v>
      </c>
    </row>
    <row r="1289" spans="1:6">
      <c r="A1289" s="308">
        <v>43190</v>
      </c>
      <c r="B1289" s="24" t="s">
        <v>484</v>
      </c>
      <c r="C1289" s="24" t="s">
        <v>505</v>
      </c>
      <c r="D1289" s="136" t="str">
        <f t="array" ref="D1289">IF(E1289=0,0,(INDEX(AccountCodes[ACCOUNT NAME],MATCH(E1289,AccountCodes[NGAS CODE],0))))</f>
        <v>Employees Compensation Insurance Premiums</v>
      </c>
      <c r="E1289" s="24" t="s">
        <v>178</v>
      </c>
      <c r="F1289" s="502">
        <v>2100</v>
      </c>
    </row>
    <row r="1290" spans="1:6">
      <c r="A1290" s="308">
        <v>43220</v>
      </c>
      <c r="B1290" s="24" t="s">
        <v>484</v>
      </c>
      <c r="C1290" s="24" t="s">
        <v>505</v>
      </c>
      <c r="D1290" s="136" t="str">
        <f t="array" ref="D1290">IF(E1290=0,0,(INDEX(AccountCodes[ACCOUNT NAME],MATCH(E1290,AccountCodes[NGAS CODE],0))))</f>
        <v>Employees Compensation Insurance Premiums</v>
      </c>
      <c r="E1290" s="24" t="s">
        <v>178</v>
      </c>
      <c r="F1290" s="502">
        <v>2100</v>
      </c>
    </row>
    <row r="1291" spans="1:6">
      <c r="A1291" s="308">
        <v>43251</v>
      </c>
      <c r="B1291" s="24" t="s">
        <v>484</v>
      </c>
      <c r="C1291" s="24" t="s">
        <v>505</v>
      </c>
      <c r="D1291" s="136" t="str">
        <f t="array" ref="D1291">IF(E1291=0,0,(INDEX(AccountCodes[ACCOUNT NAME],MATCH(E1291,AccountCodes[NGAS CODE],0))))</f>
        <v>Employees Compensation Insurance Premiums</v>
      </c>
      <c r="E1291" s="24" t="s">
        <v>178</v>
      </c>
      <c r="F1291" s="502">
        <v>2100</v>
      </c>
    </row>
    <row r="1292" spans="1:6">
      <c r="A1292" s="308">
        <v>43281</v>
      </c>
      <c r="B1292" s="24" t="s">
        <v>484</v>
      </c>
      <c r="C1292" s="24" t="s">
        <v>505</v>
      </c>
      <c r="D1292" s="136" t="str">
        <f t="array" ref="D1292">IF(E1292=0,0,(INDEX(AccountCodes[ACCOUNT NAME],MATCH(E1292,AccountCodes[NGAS CODE],0))))</f>
        <v>Employees Compensation Insurance Premiums</v>
      </c>
      <c r="E1292" s="24" t="s">
        <v>178</v>
      </c>
      <c r="F1292" s="502">
        <v>2100</v>
      </c>
    </row>
    <row r="1293" spans="1:6">
      <c r="A1293" s="308">
        <v>43312</v>
      </c>
      <c r="B1293" s="24" t="s">
        <v>484</v>
      </c>
      <c r="C1293" s="24" t="s">
        <v>505</v>
      </c>
      <c r="D1293" s="136" t="str">
        <f t="array" ref="D1293">IF(E1293=0,0,(INDEX(AccountCodes[ACCOUNT NAME],MATCH(E1293,AccountCodes[NGAS CODE],0))))</f>
        <v>Employees Compensation Insurance Premiums</v>
      </c>
      <c r="E1293" s="24" t="s">
        <v>178</v>
      </c>
      <c r="F1293" s="502">
        <v>2100</v>
      </c>
    </row>
    <row r="1294" spans="1:6">
      <c r="A1294" s="308">
        <v>43343</v>
      </c>
      <c r="B1294" s="24" t="s">
        <v>484</v>
      </c>
      <c r="C1294" s="24" t="s">
        <v>505</v>
      </c>
      <c r="D1294" s="136" t="str">
        <f t="array" ref="D1294">IF(E1294=0,0,(INDEX(AccountCodes[ACCOUNT NAME],MATCH(E1294,AccountCodes[NGAS CODE],0))))</f>
        <v>Employees Compensation Insurance Premiums</v>
      </c>
      <c r="E1294" s="24" t="s">
        <v>178</v>
      </c>
      <c r="F1294" s="502">
        <v>2100</v>
      </c>
    </row>
    <row r="1295" spans="1:6">
      <c r="A1295" s="308">
        <v>43373</v>
      </c>
      <c r="B1295" s="24" t="s">
        <v>484</v>
      </c>
      <c r="C1295" s="24" t="s">
        <v>505</v>
      </c>
      <c r="D1295" s="136" t="str">
        <f t="array" ref="D1295">IF(E1295=0,0,(INDEX(AccountCodes[ACCOUNT NAME],MATCH(E1295,AccountCodes[NGAS CODE],0))))</f>
        <v>Employees Compensation Insurance Premiums</v>
      </c>
      <c r="E1295" s="24" t="s">
        <v>178</v>
      </c>
      <c r="F1295" s="502">
        <v>2100</v>
      </c>
    </row>
    <row r="1296" spans="1:6">
      <c r="A1296" s="308">
        <v>43404</v>
      </c>
      <c r="B1296" s="24" t="s">
        <v>484</v>
      </c>
      <c r="C1296" s="24" t="s">
        <v>505</v>
      </c>
      <c r="D1296" s="136" t="str">
        <f t="array" ref="D1296">IF(E1296=0,0,(INDEX(AccountCodes[ACCOUNT NAME],MATCH(E1296,AccountCodes[NGAS CODE],0))))</f>
        <v>Employees Compensation Insurance Premiums</v>
      </c>
      <c r="E1296" s="24" t="s">
        <v>178</v>
      </c>
      <c r="F1296" s="502">
        <v>2100</v>
      </c>
    </row>
    <row r="1297" spans="1:6">
      <c r="A1297" s="308">
        <v>43434</v>
      </c>
      <c r="B1297" s="24" t="s">
        <v>484</v>
      </c>
      <c r="C1297" s="24" t="s">
        <v>505</v>
      </c>
      <c r="D1297" s="136" t="str">
        <f t="array" ref="D1297">IF(E1297=0,0,(INDEX(AccountCodes[ACCOUNT NAME],MATCH(E1297,AccountCodes[NGAS CODE],0))))</f>
        <v>Employees Compensation Insurance Premiums</v>
      </c>
      <c r="E1297" s="24" t="s">
        <v>178</v>
      </c>
      <c r="F1297" s="502">
        <v>2100</v>
      </c>
    </row>
    <row r="1298" spans="1:6">
      <c r="A1298" s="308">
        <v>43465</v>
      </c>
      <c r="B1298" s="24" t="s">
        <v>484</v>
      </c>
      <c r="C1298" s="24" t="s">
        <v>505</v>
      </c>
      <c r="D1298" s="136" t="str">
        <f t="array" ref="D1298">IF(E1298=0,0,(INDEX(AccountCodes[ACCOUNT NAME],MATCH(E1298,AccountCodes[NGAS CODE],0))))</f>
        <v>Employees Compensation Insurance Premiums</v>
      </c>
      <c r="E1298" s="24" t="s">
        <v>178</v>
      </c>
      <c r="F1298" s="502">
        <v>2100</v>
      </c>
    </row>
    <row r="1299" spans="1:6">
      <c r="A1299" s="308"/>
      <c r="D1299" s="136">
        <f t="array" ref="D1299">IF(E1299=0,0,(INDEX(AccountCodes[ACCOUNT NAME],MATCH(E1299,AccountCodes[NGAS CODE],0))))</f>
        <v>0</v>
      </c>
      <c r="E1299" s="309"/>
      <c r="F1299" s="502"/>
    </row>
    <row r="1300" spans="1:6">
      <c r="A1300" s="308">
        <v>43159</v>
      </c>
      <c r="B1300" s="309" t="s">
        <v>485</v>
      </c>
      <c r="C1300" s="309" t="s">
        <v>490</v>
      </c>
      <c r="D1300" s="136" t="str">
        <f t="array" ref="D1300">IF(E1300=0,0,(INDEX(AccountCodes[ACCOUNT NAME],MATCH(E1300,AccountCodes[NGAS CODE],0))))</f>
        <v>Equipment Rental - Internal (CA)</v>
      </c>
      <c r="E1300" s="309" t="s">
        <v>146</v>
      </c>
      <c r="F1300" s="501">
        <v>200000</v>
      </c>
    </row>
    <row r="1301" spans="1:6">
      <c r="A1301" s="308">
        <v>43281</v>
      </c>
      <c r="B1301" s="309" t="s">
        <v>485</v>
      </c>
      <c r="C1301" s="309" t="s">
        <v>490</v>
      </c>
      <c r="D1301" s="136" t="str">
        <f t="array" ref="D1301">IF(E1301=0,0,(INDEX(AccountCodes[ACCOUNT NAME],MATCH(E1301,AccountCodes[NGAS CODE],0))))</f>
        <v>Equipment Rental - Internal (CA)</v>
      </c>
      <c r="E1301" s="309" t="s">
        <v>146</v>
      </c>
      <c r="F1301" s="501">
        <v>200000</v>
      </c>
    </row>
    <row r="1302" spans="1:6">
      <c r="A1302" s="308">
        <v>43373</v>
      </c>
      <c r="B1302" s="309" t="s">
        <v>485</v>
      </c>
      <c r="C1302" s="309" t="s">
        <v>490</v>
      </c>
      <c r="D1302" s="136" t="str">
        <f t="array" ref="D1302">IF(E1302=0,0,(INDEX(AccountCodes[ACCOUNT NAME],MATCH(E1302,AccountCodes[NGAS CODE],0))))</f>
        <v>Equipment Rental - Internal (CA)</v>
      </c>
      <c r="E1302" s="309" t="s">
        <v>146</v>
      </c>
      <c r="F1302" s="501">
        <v>100000</v>
      </c>
    </row>
    <row r="1303" spans="1:6">
      <c r="A1303" s="308">
        <v>43131</v>
      </c>
      <c r="B1303" s="309" t="s">
        <v>485</v>
      </c>
      <c r="C1303" s="309" t="s">
        <v>490</v>
      </c>
      <c r="D1303" s="136" t="str">
        <f t="array" ref="D1303">IF(E1303=0,0,(INDEX(AccountCodes[ACCOUNT NAME],MATCH(E1303,AccountCodes[NGAS CODE],0))))</f>
        <v>Salaries and Wages-Regular</v>
      </c>
      <c r="E1303" s="309" t="s">
        <v>162</v>
      </c>
      <c r="F1303" s="501">
        <v>251431</v>
      </c>
    </row>
    <row r="1304" spans="1:6">
      <c r="A1304" s="308">
        <v>43159</v>
      </c>
      <c r="B1304" s="309" t="s">
        <v>485</v>
      </c>
      <c r="C1304" s="309" t="s">
        <v>490</v>
      </c>
      <c r="D1304" s="136" t="str">
        <f t="array" ref="D1304">IF(E1304=0,0,(INDEX(AccountCodes[ACCOUNT NAME],MATCH(E1304,AccountCodes[NGAS CODE],0))))</f>
        <v>Salaries and Wages-Regular</v>
      </c>
      <c r="E1304" s="309" t="s">
        <v>162</v>
      </c>
      <c r="F1304" s="501">
        <v>251431</v>
      </c>
    </row>
    <row r="1305" spans="1:6">
      <c r="A1305" s="308">
        <v>43190</v>
      </c>
      <c r="B1305" s="309" t="s">
        <v>485</v>
      </c>
      <c r="C1305" s="309" t="s">
        <v>490</v>
      </c>
      <c r="D1305" s="136" t="str">
        <f t="array" ref="D1305">IF(E1305=0,0,(INDEX(AccountCodes[ACCOUNT NAME],MATCH(E1305,AccountCodes[NGAS CODE],0))))</f>
        <v>Salaries and Wages-Regular</v>
      </c>
      <c r="E1305" s="309" t="s">
        <v>162</v>
      </c>
      <c r="F1305" s="501">
        <v>251431</v>
      </c>
    </row>
    <row r="1306" spans="1:6">
      <c r="A1306" s="308">
        <v>43220</v>
      </c>
      <c r="B1306" s="309" t="s">
        <v>485</v>
      </c>
      <c r="C1306" s="309" t="s">
        <v>490</v>
      </c>
      <c r="D1306" s="136" t="str">
        <f t="array" ref="D1306">IF(E1306=0,0,(INDEX(AccountCodes[ACCOUNT NAME],MATCH(E1306,AccountCodes[NGAS CODE],0))))</f>
        <v>Salaries and Wages-Regular</v>
      </c>
      <c r="E1306" s="309" t="s">
        <v>162</v>
      </c>
      <c r="F1306" s="501">
        <v>251431</v>
      </c>
    </row>
    <row r="1307" spans="1:6">
      <c r="A1307" s="308">
        <v>43251</v>
      </c>
      <c r="B1307" s="309" t="s">
        <v>485</v>
      </c>
      <c r="C1307" s="309" t="s">
        <v>490</v>
      </c>
      <c r="D1307" s="136" t="str">
        <f t="array" ref="D1307">IF(E1307=0,0,(INDEX(AccountCodes[ACCOUNT NAME],MATCH(E1307,AccountCodes[NGAS CODE],0))))</f>
        <v>Salaries and Wages-Regular</v>
      </c>
      <c r="E1307" s="309" t="s">
        <v>162</v>
      </c>
      <c r="F1307" s="501">
        <v>251431</v>
      </c>
    </row>
    <row r="1308" spans="1:6">
      <c r="A1308" s="308">
        <v>43281</v>
      </c>
      <c r="B1308" s="309" t="s">
        <v>485</v>
      </c>
      <c r="C1308" s="309" t="s">
        <v>490</v>
      </c>
      <c r="D1308" s="136" t="str">
        <f t="array" ref="D1308">IF(E1308=0,0,(INDEX(AccountCodes[ACCOUNT NAME],MATCH(E1308,AccountCodes[NGAS CODE],0))))</f>
        <v>Salaries and Wages-Regular</v>
      </c>
      <c r="E1308" s="309" t="s">
        <v>162</v>
      </c>
      <c r="F1308" s="501">
        <v>251431</v>
      </c>
    </row>
    <row r="1309" spans="1:6">
      <c r="A1309" s="308">
        <v>43312</v>
      </c>
      <c r="B1309" s="309" t="s">
        <v>485</v>
      </c>
      <c r="C1309" s="309" t="s">
        <v>490</v>
      </c>
      <c r="D1309" s="136" t="str">
        <f t="array" ref="D1309">IF(E1309=0,0,(INDEX(AccountCodes[ACCOUNT NAME],MATCH(E1309,AccountCodes[NGAS CODE],0))))</f>
        <v>Salaries and Wages-Regular</v>
      </c>
      <c r="E1309" s="309" t="s">
        <v>162</v>
      </c>
      <c r="F1309" s="501">
        <v>251431</v>
      </c>
    </row>
    <row r="1310" spans="1:6">
      <c r="A1310" s="308">
        <v>43343</v>
      </c>
      <c r="B1310" s="309" t="s">
        <v>485</v>
      </c>
      <c r="C1310" s="309" t="s">
        <v>490</v>
      </c>
      <c r="D1310" s="136" t="str">
        <f t="array" ref="D1310">IF(E1310=0,0,(INDEX(AccountCodes[ACCOUNT NAME],MATCH(E1310,AccountCodes[NGAS CODE],0))))</f>
        <v>Salaries and Wages-Regular</v>
      </c>
      <c r="E1310" s="309" t="s">
        <v>162</v>
      </c>
      <c r="F1310" s="501">
        <v>251431</v>
      </c>
    </row>
    <row r="1311" spans="1:6">
      <c r="A1311" s="308">
        <v>43373</v>
      </c>
      <c r="B1311" s="309" t="s">
        <v>485</v>
      </c>
      <c r="C1311" s="309" t="s">
        <v>490</v>
      </c>
      <c r="D1311" s="136" t="str">
        <f t="array" ref="D1311">IF(E1311=0,0,(INDEX(AccountCodes[ACCOUNT NAME],MATCH(E1311,AccountCodes[NGAS CODE],0))))</f>
        <v>Salaries and Wages-Regular</v>
      </c>
      <c r="E1311" s="309" t="s">
        <v>162</v>
      </c>
      <c r="F1311" s="501">
        <v>251431</v>
      </c>
    </row>
    <row r="1312" spans="1:6">
      <c r="A1312" s="308">
        <v>43404</v>
      </c>
      <c r="B1312" s="309" t="s">
        <v>485</v>
      </c>
      <c r="C1312" s="309" t="s">
        <v>490</v>
      </c>
      <c r="D1312" s="136" t="str">
        <f t="array" ref="D1312">IF(E1312=0,0,(INDEX(AccountCodes[ACCOUNT NAME],MATCH(E1312,AccountCodes[NGAS CODE],0))))</f>
        <v>Salaries and Wages-Regular</v>
      </c>
      <c r="E1312" s="309" t="s">
        <v>162</v>
      </c>
      <c r="F1312" s="501">
        <v>251431</v>
      </c>
    </row>
    <row r="1313" spans="1:6">
      <c r="A1313" s="308">
        <v>43434</v>
      </c>
      <c r="B1313" s="309" t="s">
        <v>485</v>
      </c>
      <c r="C1313" s="309" t="s">
        <v>490</v>
      </c>
      <c r="D1313" s="136" t="str">
        <f t="array" ref="D1313">IF(E1313=0,0,(INDEX(AccountCodes[ACCOUNT NAME],MATCH(E1313,AccountCodes[NGAS CODE],0))))</f>
        <v>Salaries and Wages-Regular</v>
      </c>
      <c r="E1313" s="309" t="s">
        <v>162</v>
      </c>
      <c r="F1313" s="501">
        <v>251431</v>
      </c>
    </row>
    <row r="1314" spans="1:6">
      <c r="A1314" s="308">
        <v>43465</v>
      </c>
      <c r="B1314" s="309" t="s">
        <v>485</v>
      </c>
      <c r="C1314" s="309" t="s">
        <v>490</v>
      </c>
      <c r="D1314" s="136" t="str">
        <f t="array" ref="D1314">IF(E1314=0,0,(INDEX(AccountCodes[ACCOUNT NAME],MATCH(E1314,AccountCodes[NGAS CODE],0))))</f>
        <v>Salaries and Wages-Regular</v>
      </c>
      <c r="E1314" s="309" t="s">
        <v>162</v>
      </c>
      <c r="F1314" s="501">
        <v>251431</v>
      </c>
    </row>
    <row r="1315" spans="1:6">
      <c r="A1315" s="308">
        <v>43131</v>
      </c>
      <c r="B1315" s="309" t="s">
        <v>485</v>
      </c>
      <c r="C1315" s="309" t="s">
        <v>490</v>
      </c>
      <c r="D1315" s="136" t="str">
        <f t="array" ref="D1315">IF(E1315=0,0,(INDEX(AccountCodes[ACCOUNT NAME],MATCH(E1315,AccountCodes[NGAS CODE],0))))</f>
        <v>Personal Economic Relief Allowance (PERA)</v>
      </c>
      <c r="E1315" s="309" t="s">
        <v>164</v>
      </c>
      <c r="F1315" s="501">
        <v>20000</v>
      </c>
    </row>
    <row r="1316" spans="1:6">
      <c r="A1316" s="308">
        <v>43159</v>
      </c>
      <c r="B1316" s="309" t="s">
        <v>485</v>
      </c>
      <c r="C1316" s="309" t="s">
        <v>490</v>
      </c>
      <c r="D1316" s="136" t="str">
        <f t="array" ref="D1316">IF(E1316=0,0,(INDEX(AccountCodes[ACCOUNT NAME],MATCH(E1316,AccountCodes[NGAS CODE],0))))</f>
        <v>Personal Economic Relief Allowance (PERA)</v>
      </c>
      <c r="E1316" s="309" t="s">
        <v>164</v>
      </c>
      <c r="F1316" s="501">
        <v>20000</v>
      </c>
    </row>
    <row r="1317" spans="1:6">
      <c r="A1317" s="308">
        <v>43190</v>
      </c>
      <c r="B1317" s="309" t="s">
        <v>485</v>
      </c>
      <c r="C1317" s="309" t="s">
        <v>490</v>
      </c>
      <c r="D1317" s="136" t="str">
        <f t="array" ref="D1317">IF(E1317=0,0,(INDEX(AccountCodes[ACCOUNT NAME],MATCH(E1317,AccountCodes[NGAS CODE],0))))</f>
        <v>Personal Economic Relief Allowance (PERA)</v>
      </c>
      <c r="E1317" s="309" t="s">
        <v>164</v>
      </c>
      <c r="F1317" s="501">
        <v>20000</v>
      </c>
    </row>
    <row r="1318" spans="1:6">
      <c r="A1318" s="308">
        <v>43220</v>
      </c>
      <c r="B1318" s="309" t="s">
        <v>485</v>
      </c>
      <c r="C1318" s="309" t="s">
        <v>490</v>
      </c>
      <c r="D1318" s="136" t="str">
        <f t="array" ref="D1318">IF(E1318=0,0,(INDEX(AccountCodes[ACCOUNT NAME],MATCH(E1318,AccountCodes[NGAS CODE],0))))</f>
        <v>Personal Economic Relief Allowance (PERA)</v>
      </c>
      <c r="E1318" s="309" t="s">
        <v>164</v>
      </c>
      <c r="F1318" s="501">
        <v>20000</v>
      </c>
    </row>
    <row r="1319" spans="1:6">
      <c r="A1319" s="308">
        <v>43251</v>
      </c>
      <c r="B1319" s="309" t="s">
        <v>485</v>
      </c>
      <c r="C1319" s="309" t="s">
        <v>490</v>
      </c>
      <c r="D1319" s="136" t="str">
        <f t="array" ref="D1319">IF(E1319=0,0,(INDEX(AccountCodes[ACCOUNT NAME],MATCH(E1319,AccountCodes[NGAS CODE],0))))</f>
        <v>Personal Economic Relief Allowance (PERA)</v>
      </c>
      <c r="E1319" s="309" t="s">
        <v>164</v>
      </c>
      <c r="F1319" s="501">
        <v>20000</v>
      </c>
    </row>
    <row r="1320" spans="1:6">
      <c r="A1320" s="308">
        <v>43281</v>
      </c>
      <c r="B1320" s="309" t="s">
        <v>485</v>
      </c>
      <c r="C1320" s="309" t="s">
        <v>490</v>
      </c>
      <c r="D1320" s="136" t="str">
        <f t="array" ref="D1320">IF(E1320=0,0,(INDEX(AccountCodes[ACCOUNT NAME],MATCH(E1320,AccountCodes[NGAS CODE],0))))</f>
        <v>Personal Economic Relief Allowance (PERA)</v>
      </c>
      <c r="E1320" s="309" t="s">
        <v>164</v>
      </c>
      <c r="F1320" s="501">
        <v>20000</v>
      </c>
    </row>
    <row r="1321" spans="1:6">
      <c r="A1321" s="308">
        <v>43312</v>
      </c>
      <c r="B1321" s="309" t="s">
        <v>485</v>
      </c>
      <c r="C1321" s="309" t="s">
        <v>490</v>
      </c>
      <c r="D1321" s="136" t="str">
        <f t="array" ref="D1321">IF(E1321=0,0,(INDEX(AccountCodes[ACCOUNT NAME],MATCH(E1321,AccountCodes[NGAS CODE],0))))</f>
        <v>Personal Economic Relief Allowance (PERA)</v>
      </c>
      <c r="E1321" s="309" t="s">
        <v>164</v>
      </c>
      <c r="F1321" s="501">
        <v>20000</v>
      </c>
    </row>
    <row r="1322" spans="1:6">
      <c r="A1322" s="308">
        <v>43343</v>
      </c>
      <c r="B1322" s="309" t="s">
        <v>485</v>
      </c>
      <c r="C1322" s="309" t="s">
        <v>490</v>
      </c>
      <c r="D1322" s="136" t="str">
        <f t="array" ref="D1322">IF(E1322=0,0,(INDEX(AccountCodes[ACCOUNT NAME],MATCH(E1322,AccountCodes[NGAS CODE],0))))</f>
        <v>Personal Economic Relief Allowance (PERA)</v>
      </c>
      <c r="E1322" s="309" t="s">
        <v>164</v>
      </c>
      <c r="F1322" s="501">
        <v>20000</v>
      </c>
    </row>
    <row r="1323" spans="1:6">
      <c r="A1323" s="308">
        <v>43373</v>
      </c>
      <c r="B1323" s="309" t="s">
        <v>485</v>
      </c>
      <c r="C1323" s="309" t="s">
        <v>490</v>
      </c>
      <c r="D1323" s="136" t="str">
        <f t="array" ref="D1323">IF(E1323=0,0,(INDEX(AccountCodes[ACCOUNT NAME],MATCH(E1323,AccountCodes[NGAS CODE],0))))</f>
        <v>Personal Economic Relief Allowance (PERA)</v>
      </c>
      <c r="E1323" s="309" t="s">
        <v>164</v>
      </c>
      <c r="F1323" s="501">
        <v>20000</v>
      </c>
    </row>
    <row r="1324" spans="1:6">
      <c r="A1324" s="308">
        <v>43404</v>
      </c>
      <c r="B1324" s="309" t="s">
        <v>485</v>
      </c>
      <c r="C1324" s="309" t="s">
        <v>490</v>
      </c>
      <c r="D1324" s="136" t="str">
        <f t="array" ref="D1324">IF(E1324=0,0,(INDEX(AccountCodes[ACCOUNT NAME],MATCH(E1324,AccountCodes[NGAS CODE],0))))</f>
        <v>Personal Economic Relief Allowance (PERA)</v>
      </c>
      <c r="E1324" s="309" t="s">
        <v>164</v>
      </c>
      <c r="F1324" s="501">
        <v>20000</v>
      </c>
    </row>
    <row r="1325" spans="1:6">
      <c r="A1325" s="308">
        <v>43434</v>
      </c>
      <c r="B1325" s="309" t="s">
        <v>485</v>
      </c>
      <c r="C1325" s="309" t="s">
        <v>490</v>
      </c>
      <c r="D1325" s="136" t="str">
        <f t="array" ref="D1325">IF(E1325=0,0,(INDEX(AccountCodes[ACCOUNT NAME],MATCH(E1325,AccountCodes[NGAS CODE],0))))</f>
        <v>Personal Economic Relief Allowance (PERA)</v>
      </c>
      <c r="E1325" s="309" t="s">
        <v>164</v>
      </c>
      <c r="F1325" s="501">
        <v>20000</v>
      </c>
    </row>
    <row r="1326" spans="1:6">
      <c r="A1326" s="308">
        <v>43465</v>
      </c>
      <c r="B1326" s="309" t="s">
        <v>485</v>
      </c>
      <c r="C1326" s="309" t="s">
        <v>490</v>
      </c>
      <c r="D1326" s="136" t="str">
        <f t="array" ref="D1326">IF(E1326=0,0,(INDEX(AccountCodes[ACCOUNT NAME],MATCH(E1326,AccountCodes[NGAS CODE],0))))</f>
        <v>Personal Economic Relief Allowance (PERA)</v>
      </c>
      <c r="E1326" s="309" t="s">
        <v>164</v>
      </c>
      <c r="F1326" s="501">
        <v>20000</v>
      </c>
    </row>
    <row r="1327" spans="1:6">
      <c r="A1327" s="308">
        <v>43190</v>
      </c>
      <c r="B1327" s="309" t="s">
        <v>485</v>
      </c>
      <c r="C1327" s="309" t="s">
        <v>490</v>
      </c>
      <c r="D1327" s="136" t="str">
        <f t="array" ref="D1327">IF(E1327=0,0,(INDEX(AccountCodes[ACCOUNT NAME],MATCH(E1327,AccountCodes[NGAS CODE],0))))</f>
        <v>Clothing/Uniform Allowance</v>
      </c>
      <c r="E1327" s="309" t="s">
        <v>167</v>
      </c>
      <c r="F1327" s="501">
        <v>50000</v>
      </c>
    </row>
    <row r="1328" spans="1:6">
      <c r="A1328" s="308">
        <v>43434</v>
      </c>
      <c r="B1328" s="309" t="s">
        <v>485</v>
      </c>
      <c r="C1328" s="309" t="s">
        <v>490</v>
      </c>
      <c r="D1328" s="136" t="str">
        <f t="array" ref="D1328">IF(E1328=0,0,(INDEX(AccountCodes[ACCOUNT NAME],MATCH(E1328,AccountCodes[NGAS CODE],0))))</f>
        <v>Cash Gift</v>
      </c>
      <c r="E1328" s="309" t="s">
        <v>172</v>
      </c>
      <c r="F1328" s="501">
        <v>100000</v>
      </c>
    </row>
    <row r="1329" spans="1:6">
      <c r="A1329" s="308">
        <v>43251</v>
      </c>
      <c r="B1329" s="309" t="s">
        <v>485</v>
      </c>
      <c r="C1329" s="309" t="s">
        <v>490</v>
      </c>
      <c r="D1329" s="136" t="str">
        <f t="array" ref="D1329">IF(E1329=0,0,(INDEX(AccountCodes[ACCOUNT NAME],MATCH(E1329,AccountCodes[NGAS CODE],0))))</f>
        <v>Mid-Year/Year End Bonus</v>
      </c>
      <c r="E1329" s="309" t="s">
        <v>174</v>
      </c>
      <c r="F1329" s="501">
        <v>251431</v>
      </c>
    </row>
    <row r="1330" spans="1:6">
      <c r="A1330" s="308">
        <v>43434</v>
      </c>
      <c r="B1330" s="309" t="s">
        <v>485</v>
      </c>
      <c r="C1330" s="309" t="s">
        <v>490</v>
      </c>
      <c r="D1330" s="136" t="str">
        <f t="array" ref="D1330">IF(E1330=0,0,(INDEX(AccountCodes[ACCOUNT NAME],MATCH(E1330,AccountCodes[NGAS CODE],0))))</f>
        <v>Mid-Year/Year End Bonus</v>
      </c>
      <c r="E1330" s="309" t="s">
        <v>174</v>
      </c>
      <c r="F1330" s="501">
        <v>251431</v>
      </c>
    </row>
    <row r="1331" spans="1:6">
      <c r="A1331" s="308">
        <v>43131</v>
      </c>
      <c r="B1331" s="309" t="s">
        <v>485</v>
      </c>
      <c r="C1331" s="309" t="s">
        <v>490</v>
      </c>
      <c r="D1331" s="136" t="str">
        <f t="array" ref="D1331">IF(E1331=0,0,(INDEX(AccountCodes[ACCOUNT NAME],MATCH(E1331,AccountCodes[NGAS CODE],0))))</f>
        <v>Other Bonuses and Allowances - Children Allowance</v>
      </c>
      <c r="E1331" s="309" t="s">
        <v>7</v>
      </c>
      <c r="F1331" s="501">
        <v>30</v>
      </c>
    </row>
    <row r="1332" spans="1:6">
      <c r="A1332" s="308">
        <v>43159</v>
      </c>
      <c r="B1332" s="309" t="s">
        <v>485</v>
      </c>
      <c r="C1332" s="309" t="s">
        <v>490</v>
      </c>
      <c r="D1332" s="136" t="str">
        <f t="array" ref="D1332">IF(E1332=0,0,(INDEX(AccountCodes[ACCOUNT NAME],MATCH(E1332,AccountCodes[NGAS CODE],0))))</f>
        <v>Other Bonuses and Allowances - Children Allowance</v>
      </c>
      <c r="E1332" s="309" t="s">
        <v>7</v>
      </c>
      <c r="F1332" s="501">
        <v>30</v>
      </c>
    </row>
    <row r="1333" spans="1:6">
      <c r="A1333" s="308">
        <v>43190</v>
      </c>
      <c r="B1333" s="309" t="s">
        <v>485</v>
      </c>
      <c r="C1333" s="309" t="s">
        <v>490</v>
      </c>
      <c r="D1333" s="136" t="str">
        <f t="array" ref="D1333">IF(E1333=0,0,(INDEX(AccountCodes[ACCOUNT NAME],MATCH(E1333,AccountCodes[NGAS CODE],0))))</f>
        <v>Other Bonuses and Allowances - Children Allowance</v>
      </c>
      <c r="E1333" s="309" t="s">
        <v>7</v>
      </c>
      <c r="F1333" s="501">
        <v>30</v>
      </c>
    </row>
    <row r="1334" spans="1:6">
      <c r="A1334" s="308">
        <v>43220</v>
      </c>
      <c r="B1334" s="309" t="s">
        <v>485</v>
      </c>
      <c r="C1334" s="309" t="s">
        <v>490</v>
      </c>
      <c r="D1334" s="136" t="str">
        <f t="array" ref="D1334">IF(E1334=0,0,(INDEX(AccountCodes[ACCOUNT NAME],MATCH(E1334,AccountCodes[NGAS CODE],0))))</f>
        <v>Other Bonuses and Allowances - Children Allowance</v>
      </c>
      <c r="E1334" s="309" t="s">
        <v>7</v>
      </c>
      <c r="F1334" s="501">
        <v>30</v>
      </c>
    </row>
    <row r="1335" spans="1:6">
      <c r="A1335" s="308">
        <v>43251</v>
      </c>
      <c r="B1335" s="309" t="s">
        <v>485</v>
      </c>
      <c r="C1335" s="309" t="s">
        <v>490</v>
      </c>
      <c r="D1335" s="136" t="str">
        <f t="array" ref="D1335">IF(E1335=0,0,(INDEX(AccountCodes[ACCOUNT NAME],MATCH(E1335,AccountCodes[NGAS CODE],0))))</f>
        <v>Other Bonuses and Allowances - Children Allowance</v>
      </c>
      <c r="E1335" s="309" t="s">
        <v>7</v>
      </c>
      <c r="F1335" s="501">
        <v>30</v>
      </c>
    </row>
    <row r="1336" spans="1:6">
      <c r="A1336" s="308">
        <v>43281</v>
      </c>
      <c r="B1336" s="309" t="s">
        <v>485</v>
      </c>
      <c r="C1336" s="309" t="s">
        <v>490</v>
      </c>
      <c r="D1336" s="136" t="str">
        <f t="array" ref="D1336">IF(E1336=0,0,(INDEX(AccountCodes[ACCOUNT NAME],MATCH(E1336,AccountCodes[NGAS CODE],0))))</f>
        <v>Other Bonuses and Allowances - Children Allowance</v>
      </c>
      <c r="E1336" s="309" t="s">
        <v>7</v>
      </c>
      <c r="F1336" s="501">
        <v>30</v>
      </c>
    </row>
    <row r="1337" spans="1:6">
      <c r="A1337" s="308">
        <v>43312</v>
      </c>
      <c r="B1337" s="309" t="s">
        <v>485</v>
      </c>
      <c r="C1337" s="309" t="s">
        <v>490</v>
      </c>
      <c r="D1337" s="136" t="str">
        <f t="array" ref="D1337">IF(E1337=0,0,(INDEX(AccountCodes[ACCOUNT NAME],MATCH(E1337,AccountCodes[NGAS CODE],0))))</f>
        <v>Other Bonuses and Allowances - Children Allowance</v>
      </c>
      <c r="E1337" s="309" t="s">
        <v>7</v>
      </c>
      <c r="F1337" s="501">
        <v>30</v>
      </c>
    </row>
    <row r="1338" spans="1:6">
      <c r="A1338" s="308">
        <v>43343</v>
      </c>
      <c r="B1338" s="309" t="s">
        <v>485</v>
      </c>
      <c r="C1338" s="309" t="s">
        <v>490</v>
      </c>
      <c r="D1338" s="136" t="str">
        <f t="array" ref="D1338">IF(E1338=0,0,(INDEX(AccountCodes[ACCOUNT NAME],MATCH(E1338,AccountCodes[NGAS CODE],0))))</f>
        <v>Other Bonuses and Allowances - Children Allowance</v>
      </c>
      <c r="E1338" s="309" t="s">
        <v>7</v>
      </c>
      <c r="F1338" s="501">
        <v>30</v>
      </c>
    </row>
    <row r="1339" spans="1:6">
      <c r="A1339" s="308">
        <v>43373</v>
      </c>
      <c r="B1339" s="309" t="s">
        <v>485</v>
      </c>
      <c r="C1339" s="309" t="s">
        <v>490</v>
      </c>
      <c r="D1339" s="136" t="str">
        <f t="array" ref="D1339">IF(E1339=0,0,(INDEX(AccountCodes[ACCOUNT NAME],MATCH(E1339,AccountCodes[NGAS CODE],0))))</f>
        <v>Other Bonuses and Allowances - Children Allowance</v>
      </c>
      <c r="E1339" s="309" t="s">
        <v>7</v>
      </c>
      <c r="F1339" s="501">
        <v>30</v>
      </c>
    </row>
    <row r="1340" spans="1:6">
      <c r="A1340" s="308">
        <v>43404</v>
      </c>
      <c r="B1340" s="309" t="s">
        <v>485</v>
      </c>
      <c r="C1340" s="309" t="s">
        <v>490</v>
      </c>
      <c r="D1340" s="136" t="str">
        <f t="array" ref="D1340">IF(E1340=0,0,(INDEX(AccountCodes[ACCOUNT NAME],MATCH(E1340,AccountCodes[NGAS CODE],0))))</f>
        <v>Other Bonuses and Allowances - Children Allowance</v>
      </c>
      <c r="E1340" s="309" t="s">
        <v>7</v>
      </c>
      <c r="F1340" s="501">
        <v>30</v>
      </c>
    </row>
    <row r="1341" spans="1:6">
      <c r="A1341" s="308">
        <v>43434</v>
      </c>
      <c r="B1341" s="309" t="s">
        <v>485</v>
      </c>
      <c r="C1341" s="309" t="s">
        <v>490</v>
      </c>
      <c r="D1341" s="136" t="str">
        <f t="array" ref="D1341">IF(E1341=0,0,(INDEX(AccountCodes[ACCOUNT NAME],MATCH(E1341,AccountCodes[NGAS CODE],0))))</f>
        <v>Other Bonuses and Allowances - Children Allowance</v>
      </c>
      <c r="E1341" s="309" t="s">
        <v>7</v>
      </c>
      <c r="F1341" s="501">
        <v>30</v>
      </c>
    </row>
    <row r="1342" spans="1:6">
      <c r="A1342" s="308">
        <v>43465</v>
      </c>
      <c r="B1342" s="309" t="s">
        <v>485</v>
      </c>
      <c r="C1342" s="309" t="s">
        <v>490</v>
      </c>
      <c r="D1342" s="136" t="str">
        <f t="array" ref="D1342">IF(E1342=0,0,(INDEX(AccountCodes[ACCOUNT NAME],MATCH(E1342,AccountCodes[NGAS CODE],0))))</f>
        <v>Other Bonuses and Allowances - Children Allowance</v>
      </c>
      <c r="E1342" s="309" t="s">
        <v>7</v>
      </c>
      <c r="F1342" s="501">
        <v>30</v>
      </c>
    </row>
    <row r="1343" spans="1:6">
      <c r="A1343" s="308">
        <v>43131</v>
      </c>
      <c r="B1343" s="309" t="s">
        <v>485</v>
      </c>
      <c r="C1343" s="309" t="s">
        <v>490</v>
      </c>
      <c r="D1343" s="136" t="str">
        <f t="array" ref="D1343">IF(E1343=0,0,(INDEX(AccountCodes[ACCOUNT NAME],MATCH(E1343,AccountCodes[NGAS CODE],0))))</f>
        <v>Other Bonuses and Allowances - Medical Allowance</v>
      </c>
      <c r="E1343" s="309" t="s">
        <v>5</v>
      </c>
      <c r="F1343" s="501">
        <v>600</v>
      </c>
    </row>
    <row r="1344" spans="1:6">
      <c r="A1344" s="308">
        <v>43159</v>
      </c>
      <c r="B1344" s="309" t="s">
        <v>485</v>
      </c>
      <c r="C1344" s="309" t="s">
        <v>490</v>
      </c>
      <c r="D1344" s="136" t="str">
        <f t="array" ref="D1344">IF(E1344=0,0,(INDEX(AccountCodes[ACCOUNT NAME],MATCH(E1344,AccountCodes[NGAS CODE],0))))</f>
        <v>Other Bonuses and Allowances - Medical Allowance</v>
      </c>
      <c r="E1344" s="309" t="s">
        <v>5</v>
      </c>
      <c r="F1344" s="501">
        <v>600</v>
      </c>
    </row>
    <row r="1345" spans="1:6">
      <c r="A1345" s="308">
        <v>43190</v>
      </c>
      <c r="B1345" s="309" t="s">
        <v>485</v>
      </c>
      <c r="C1345" s="309" t="s">
        <v>490</v>
      </c>
      <c r="D1345" s="136" t="str">
        <f t="array" ref="D1345">IF(E1345=0,0,(INDEX(AccountCodes[ACCOUNT NAME],MATCH(E1345,AccountCodes[NGAS CODE],0))))</f>
        <v>Other Bonuses and Allowances - Medical Allowance</v>
      </c>
      <c r="E1345" s="309" t="s">
        <v>5</v>
      </c>
      <c r="F1345" s="501">
        <v>600</v>
      </c>
    </row>
    <row r="1346" spans="1:6">
      <c r="A1346" s="308">
        <v>43220</v>
      </c>
      <c r="B1346" s="309" t="s">
        <v>485</v>
      </c>
      <c r="C1346" s="309" t="s">
        <v>490</v>
      </c>
      <c r="D1346" s="136" t="str">
        <f t="array" ref="D1346">IF(E1346=0,0,(INDEX(AccountCodes[ACCOUNT NAME],MATCH(E1346,AccountCodes[NGAS CODE],0))))</f>
        <v>Other Bonuses and Allowances - Medical Allowance</v>
      </c>
      <c r="E1346" s="309" t="s">
        <v>5</v>
      </c>
      <c r="F1346" s="501">
        <v>600</v>
      </c>
    </row>
    <row r="1347" spans="1:6">
      <c r="A1347" s="308">
        <v>43251</v>
      </c>
      <c r="B1347" s="309" t="s">
        <v>485</v>
      </c>
      <c r="C1347" s="309" t="s">
        <v>490</v>
      </c>
      <c r="D1347" s="136" t="str">
        <f t="array" ref="D1347">IF(E1347=0,0,(INDEX(AccountCodes[ACCOUNT NAME],MATCH(E1347,AccountCodes[NGAS CODE],0))))</f>
        <v>Other Bonuses and Allowances - Medical Allowance</v>
      </c>
      <c r="E1347" s="309" t="s">
        <v>5</v>
      </c>
      <c r="F1347" s="501">
        <v>600</v>
      </c>
    </row>
    <row r="1348" spans="1:6">
      <c r="A1348" s="308">
        <v>43281</v>
      </c>
      <c r="B1348" s="309" t="s">
        <v>485</v>
      </c>
      <c r="C1348" s="309" t="s">
        <v>490</v>
      </c>
      <c r="D1348" s="136" t="str">
        <f t="array" ref="D1348">IF(E1348=0,0,(INDEX(AccountCodes[ACCOUNT NAME],MATCH(E1348,AccountCodes[NGAS CODE],0))))</f>
        <v>Other Bonuses and Allowances - Medical Allowance</v>
      </c>
      <c r="E1348" s="309" t="s">
        <v>5</v>
      </c>
      <c r="F1348" s="501">
        <v>600</v>
      </c>
    </row>
    <row r="1349" spans="1:6">
      <c r="A1349" s="308">
        <v>43312</v>
      </c>
      <c r="B1349" s="309" t="s">
        <v>485</v>
      </c>
      <c r="C1349" s="309" t="s">
        <v>490</v>
      </c>
      <c r="D1349" s="136" t="str">
        <f t="array" ref="D1349">IF(E1349=0,0,(INDEX(AccountCodes[ACCOUNT NAME],MATCH(E1349,AccountCodes[NGAS CODE],0))))</f>
        <v>Other Bonuses and Allowances - Medical Allowance</v>
      </c>
      <c r="E1349" s="309" t="s">
        <v>5</v>
      </c>
      <c r="F1349" s="501">
        <v>600</v>
      </c>
    </row>
    <row r="1350" spans="1:6">
      <c r="A1350" s="308">
        <v>43343</v>
      </c>
      <c r="B1350" s="309" t="s">
        <v>485</v>
      </c>
      <c r="C1350" s="309" t="s">
        <v>490</v>
      </c>
      <c r="D1350" s="136" t="str">
        <f t="array" ref="D1350">IF(E1350=0,0,(INDEX(AccountCodes[ACCOUNT NAME],MATCH(E1350,AccountCodes[NGAS CODE],0))))</f>
        <v>Other Bonuses and Allowances - Medical Allowance</v>
      </c>
      <c r="E1350" s="309" t="s">
        <v>5</v>
      </c>
      <c r="F1350" s="501">
        <v>600</v>
      </c>
    </row>
    <row r="1351" spans="1:6">
      <c r="A1351" s="308">
        <v>43373</v>
      </c>
      <c r="B1351" s="309" t="s">
        <v>485</v>
      </c>
      <c r="C1351" s="309" t="s">
        <v>490</v>
      </c>
      <c r="D1351" s="136" t="str">
        <f t="array" ref="D1351">IF(E1351=0,0,(INDEX(AccountCodes[ACCOUNT NAME],MATCH(E1351,AccountCodes[NGAS CODE],0))))</f>
        <v>Other Bonuses and Allowances - Medical Allowance</v>
      </c>
      <c r="E1351" s="309" t="s">
        <v>5</v>
      </c>
      <c r="F1351" s="501">
        <v>600</v>
      </c>
    </row>
    <row r="1352" spans="1:6">
      <c r="A1352" s="308">
        <v>43404</v>
      </c>
      <c r="B1352" s="309" t="s">
        <v>485</v>
      </c>
      <c r="C1352" s="309" t="s">
        <v>490</v>
      </c>
      <c r="D1352" s="136" t="str">
        <f t="array" ref="D1352">IF(E1352=0,0,(INDEX(AccountCodes[ACCOUNT NAME],MATCH(E1352,AccountCodes[NGAS CODE],0))))</f>
        <v>Other Bonuses and Allowances - Medical Allowance</v>
      </c>
      <c r="E1352" s="309" t="s">
        <v>5</v>
      </c>
      <c r="F1352" s="501">
        <v>600</v>
      </c>
    </row>
    <row r="1353" spans="1:6">
      <c r="A1353" s="308">
        <v>43434</v>
      </c>
      <c r="B1353" s="309" t="s">
        <v>485</v>
      </c>
      <c r="C1353" s="309" t="s">
        <v>490</v>
      </c>
      <c r="D1353" s="136" t="str">
        <f t="array" ref="D1353">IF(E1353=0,0,(INDEX(AccountCodes[ACCOUNT NAME],MATCH(E1353,AccountCodes[NGAS CODE],0))))</f>
        <v>Other Bonuses and Allowances - Medical Allowance</v>
      </c>
      <c r="E1353" s="309" t="s">
        <v>5</v>
      </c>
      <c r="F1353" s="501">
        <v>600</v>
      </c>
    </row>
    <row r="1354" spans="1:6">
      <c r="A1354" s="308">
        <v>43465</v>
      </c>
      <c r="B1354" s="309" t="s">
        <v>485</v>
      </c>
      <c r="C1354" s="309" t="s">
        <v>490</v>
      </c>
      <c r="D1354" s="136" t="str">
        <f t="array" ref="D1354">IF(E1354=0,0,(INDEX(AccountCodes[ACCOUNT NAME],MATCH(E1354,AccountCodes[NGAS CODE],0))))</f>
        <v>Other Bonuses and Allowances - Medical Allowance</v>
      </c>
      <c r="E1354" s="309" t="s">
        <v>5</v>
      </c>
      <c r="F1354" s="501">
        <v>600</v>
      </c>
    </row>
    <row r="1355" spans="1:6">
      <c r="A1355" s="308">
        <v>43131</v>
      </c>
      <c r="B1355" s="309" t="s">
        <v>485</v>
      </c>
      <c r="C1355" s="309" t="s">
        <v>490</v>
      </c>
      <c r="D1355" s="136" t="str">
        <f t="array" ref="D1355">IF(E1355=0,0,(INDEX(AccountCodes[ACCOUNT NAME],MATCH(E1355,AccountCodes[NGAS CODE],0))))</f>
        <v>Other Bonuses and Allowances - Meal Allowance</v>
      </c>
      <c r="E1355" s="309" t="s">
        <v>6</v>
      </c>
      <c r="F1355" s="501">
        <v>198</v>
      </c>
    </row>
    <row r="1356" spans="1:6">
      <c r="A1356" s="308">
        <v>43159</v>
      </c>
      <c r="B1356" s="309" t="s">
        <v>485</v>
      </c>
      <c r="C1356" s="309" t="s">
        <v>490</v>
      </c>
      <c r="D1356" s="136" t="str">
        <f t="array" ref="D1356">IF(E1356=0,0,(INDEX(AccountCodes[ACCOUNT NAME],MATCH(E1356,AccountCodes[NGAS CODE],0))))</f>
        <v>Other Bonuses and Allowances - Meal Allowance</v>
      </c>
      <c r="E1356" s="309" t="s">
        <v>6</v>
      </c>
      <c r="F1356" s="501">
        <v>198</v>
      </c>
    </row>
    <row r="1357" spans="1:6">
      <c r="A1357" s="308">
        <v>43190</v>
      </c>
      <c r="B1357" s="309" t="s">
        <v>485</v>
      </c>
      <c r="C1357" s="309" t="s">
        <v>490</v>
      </c>
      <c r="D1357" s="136" t="str">
        <f t="array" ref="D1357">IF(E1357=0,0,(INDEX(AccountCodes[ACCOUNT NAME],MATCH(E1357,AccountCodes[NGAS CODE],0))))</f>
        <v>Other Bonuses and Allowances - Meal Allowance</v>
      </c>
      <c r="E1357" s="309" t="s">
        <v>6</v>
      </c>
      <c r="F1357" s="501">
        <v>198</v>
      </c>
    </row>
    <row r="1358" spans="1:6">
      <c r="A1358" s="308">
        <v>43220</v>
      </c>
      <c r="B1358" s="309" t="s">
        <v>485</v>
      </c>
      <c r="C1358" s="309" t="s">
        <v>490</v>
      </c>
      <c r="D1358" s="136" t="str">
        <f t="array" ref="D1358">IF(E1358=0,0,(INDEX(AccountCodes[ACCOUNT NAME],MATCH(E1358,AccountCodes[NGAS CODE],0))))</f>
        <v>Other Bonuses and Allowances - Meal Allowance</v>
      </c>
      <c r="E1358" s="309" t="s">
        <v>6</v>
      </c>
      <c r="F1358" s="501">
        <v>198</v>
      </c>
    </row>
    <row r="1359" spans="1:6">
      <c r="A1359" s="308">
        <v>43251</v>
      </c>
      <c r="B1359" s="309" t="s">
        <v>485</v>
      </c>
      <c r="C1359" s="309" t="s">
        <v>490</v>
      </c>
      <c r="D1359" s="136" t="str">
        <f t="array" ref="D1359">IF(E1359=0,0,(INDEX(AccountCodes[ACCOUNT NAME],MATCH(E1359,AccountCodes[NGAS CODE],0))))</f>
        <v>Other Bonuses and Allowances - Meal Allowance</v>
      </c>
      <c r="E1359" s="309" t="s">
        <v>6</v>
      </c>
      <c r="F1359" s="501">
        <v>198</v>
      </c>
    </row>
    <row r="1360" spans="1:6">
      <c r="A1360" s="308">
        <v>43281</v>
      </c>
      <c r="B1360" s="309" t="s">
        <v>485</v>
      </c>
      <c r="C1360" s="309" t="s">
        <v>490</v>
      </c>
      <c r="D1360" s="136" t="str">
        <f t="array" ref="D1360">IF(E1360=0,0,(INDEX(AccountCodes[ACCOUNT NAME],MATCH(E1360,AccountCodes[NGAS CODE],0))))</f>
        <v>Other Bonuses and Allowances - Meal Allowance</v>
      </c>
      <c r="E1360" s="309" t="s">
        <v>6</v>
      </c>
      <c r="F1360" s="501">
        <v>198</v>
      </c>
    </row>
    <row r="1361" spans="1:6">
      <c r="A1361" s="308">
        <v>43312</v>
      </c>
      <c r="B1361" s="309" t="s">
        <v>485</v>
      </c>
      <c r="C1361" s="309" t="s">
        <v>490</v>
      </c>
      <c r="D1361" s="136" t="str">
        <f t="array" ref="D1361">IF(E1361=0,0,(INDEX(AccountCodes[ACCOUNT NAME],MATCH(E1361,AccountCodes[NGAS CODE],0))))</f>
        <v>Other Bonuses and Allowances - Meal Allowance</v>
      </c>
      <c r="E1361" s="309" t="s">
        <v>6</v>
      </c>
      <c r="F1361" s="501">
        <v>198</v>
      </c>
    </row>
    <row r="1362" spans="1:6">
      <c r="A1362" s="308">
        <v>43343</v>
      </c>
      <c r="B1362" s="309" t="s">
        <v>485</v>
      </c>
      <c r="C1362" s="309" t="s">
        <v>490</v>
      </c>
      <c r="D1362" s="136" t="str">
        <f t="array" ref="D1362">IF(E1362=0,0,(INDEX(AccountCodes[ACCOUNT NAME],MATCH(E1362,AccountCodes[NGAS CODE],0))))</f>
        <v>Other Bonuses and Allowances - Meal Allowance</v>
      </c>
      <c r="E1362" s="309" t="s">
        <v>6</v>
      </c>
      <c r="F1362" s="501">
        <v>198</v>
      </c>
    </row>
    <row r="1363" spans="1:6">
      <c r="A1363" s="308">
        <v>43373</v>
      </c>
      <c r="B1363" s="309" t="s">
        <v>485</v>
      </c>
      <c r="C1363" s="309" t="s">
        <v>490</v>
      </c>
      <c r="D1363" s="136" t="str">
        <f t="array" ref="D1363">IF(E1363=0,0,(INDEX(AccountCodes[ACCOUNT NAME],MATCH(E1363,AccountCodes[NGAS CODE],0))))</f>
        <v>Other Bonuses and Allowances - Meal Allowance</v>
      </c>
      <c r="E1363" s="309" t="s">
        <v>6</v>
      </c>
      <c r="F1363" s="501">
        <v>198</v>
      </c>
    </row>
    <row r="1364" spans="1:6">
      <c r="A1364" s="308">
        <v>43404</v>
      </c>
      <c r="B1364" s="309" t="s">
        <v>485</v>
      </c>
      <c r="C1364" s="309" t="s">
        <v>490</v>
      </c>
      <c r="D1364" s="136" t="str">
        <f t="array" ref="D1364">IF(E1364=0,0,(INDEX(AccountCodes[ACCOUNT NAME],MATCH(E1364,AccountCodes[NGAS CODE],0))))</f>
        <v>Other Bonuses and Allowances - Meal Allowance</v>
      </c>
      <c r="E1364" s="309" t="s">
        <v>6</v>
      </c>
      <c r="F1364" s="501">
        <v>198</v>
      </c>
    </row>
    <row r="1365" spans="1:6">
      <c r="A1365" s="308">
        <v>43434</v>
      </c>
      <c r="B1365" s="309" t="s">
        <v>485</v>
      </c>
      <c r="C1365" s="309" t="s">
        <v>490</v>
      </c>
      <c r="D1365" s="136" t="str">
        <f t="array" ref="D1365">IF(E1365=0,0,(INDEX(AccountCodes[ACCOUNT NAME],MATCH(E1365,AccountCodes[NGAS CODE],0))))</f>
        <v>Other Bonuses and Allowances - Meal Allowance</v>
      </c>
      <c r="E1365" s="309" t="s">
        <v>6</v>
      </c>
      <c r="F1365" s="501">
        <v>198</v>
      </c>
    </row>
    <row r="1366" spans="1:6">
      <c r="A1366" s="308">
        <v>43465</v>
      </c>
      <c r="B1366" s="309" t="s">
        <v>485</v>
      </c>
      <c r="C1366" s="309" t="s">
        <v>490</v>
      </c>
      <c r="D1366" s="136" t="str">
        <f t="array" ref="D1366">IF(E1366=0,0,(INDEX(AccountCodes[ACCOUNT NAME],MATCH(E1366,AccountCodes[NGAS CODE],0))))</f>
        <v>Other Bonuses and Allowances - Meal Allowance</v>
      </c>
      <c r="E1366" s="309" t="s">
        <v>6</v>
      </c>
      <c r="F1366" s="501">
        <v>198</v>
      </c>
    </row>
    <row r="1367" spans="1:6">
      <c r="A1367" s="308">
        <v>43131</v>
      </c>
      <c r="B1367" s="309" t="s">
        <v>485</v>
      </c>
      <c r="C1367" s="309" t="s">
        <v>490</v>
      </c>
      <c r="D1367" s="136" t="str">
        <f t="array" ref="D1367">IF(E1367=0,0,(INDEX(AccountCodes[ACCOUNT NAME],MATCH(E1367,AccountCodes[NGAS CODE],0))))</f>
        <v>Telephone Expenses - Mobile</v>
      </c>
      <c r="E1367" s="309" t="s">
        <v>236</v>
      </c>
      <c r="F1367" s="501">
        <v>2800</v>
      </c>
    </row>
    <row r="1368" spans="1:6">
      <c r="A1368" s="308">
        <v>43159</v>
      </c>
      <c r="B1368" s="309" t="s">
        <v>485</v>
      </c>
      <c r="C1368" s="309" t="s">
        <v>490</v>
      </c>
      <c r="D1368" s="136" t="str">
        <f t="array" ref="D1368">IF(E1368=0,0,(INDEX(AccountCodes[ACCOUNT NAME],MATCH(E1368,AccountCodes[NGAS CODE],0))))</f>
        <v>Telephone Expenses - Mobile</v>
      </c>
      <c r="E1368" s="309" t="s">
        <v>236</v>
      </c>
      <c r="F1368" s="501">
        <v>2800</v>
      </c>
    </row>
    <row r="1369" spans="1:6">
      <c r="A1369" s="308">
        <v>43190</v>
      </c>
      <c r="B1369" s="309" t="s">
        <v>485</v>
      </c>
      <c r="C1369" s="309" t="s">
        <v>490</v>
      </c>
      <c r="D1369" s="136" t="str">
        <f t="array" ref="D1369">IF(E1369=0,0,(INDEX(AccountCodes[ACCOUNT NAME],MATCH(E1369,AccountCodes[NGAS CODE],0))))</f>
        <v>Telephone Expenses - Mobile</v>
      </c>
      <c r="E1369" s="309" t="s">
        <v>236</v>
      </c>
      <c r="F1369" s="501">
        <v>2800</v>
      </c>
    </row>
    <row r="1370" spans="1:6">
      <c r="A1370" s="308">
        <v>43220</v>
      </c>
      <c r="B1370" s="309" t="s">
        <v>485</v>
      </c>
      <c r="C1370" s="309" t="s">
        <v>490</v>
      </c>
      <c r="D1370" s="136" t="str">
        <f t="array" ref="D1370">IF(E1370=0,0,(INDEX(AccountCodes[ACCOUNT NAME],MATCH(E1370,AccountCodes[NGAS CODE],0))))</f>
        <v>Telephone Expenses - Mobile</v>
      </c>
      <c r="E1370" s="309" t="s">
        <v>236</v>
      </c>
      <c r="F1370" s="501">
        <v>2800</v>
      </c>
    </row>
    <row r="1371" spans="1:6">
      <c r="A1371" s="308">
        <v>43251</v>
      </c>
      <c r="B1371" s="309" t="s">
        <v>485</v>
      </c>
      <c r="C1371" s="309" t="s">
        <v>490</v>
      </c>
      <c r="D1371" s="136" t="str">
        <f t="array" ref="D1371">IF(E1371=0,0,(INDEX(AccountCodes[ACCOUNT NAME],MATCH(E1371,AccountCodes[NGAS CODE],0))))</f>
        <v>Telephone Expenses - Mobile</v>
      </c>
      <c r="E1371" s="309" t="s">
        <v>236</v>
      </c>
      <c r="F1371" s="501">
        <v>2800</v>
      </c>
    </row>
    <row r="1372" spans="1:6">
      <c r="A1372" s="308">
        <v>43281</v>
      </c>
      <c r="B1372" s="309" t="s">
        <v>485</v>
      </c>
      <c r="C1372" s="309" t="s">
        <v>490</v>
      </c>
      <c r="D1372" s="136" t="str">
        <f t="array" ref="D1372">IF(E1372=0,0,(INDEX(AccountCodes[ACCOUNT NAME],MATCH(E1372,AccountCodes[NGAS CODE],0))))</f>
        <v>Telephone Expenses - Mobile</v>
      </c>
      <c r="E1372" s="309" t="s">
        <v>236</v>
      </c>
      <c r="F1372" s="501">
        <v>2800</v>
      </c>
    </row>
    <row r="1373" spans="1:6">
      <c r="A1373" s="308">
        <v>43312</v>
      </c>
      <c r="B1373" s="309" t="s">
        <v>485</v>
      </c>
      <c r="C1373" s="309" t="s">
        <v>490</v>
      </c>
      <c r="D1373" s="136" t="str">
        <f t="array" ref="D1373">IF(E1373=0,0,(INDEX(AccountCodes[ACCOUNT NAME],MATCH(E1373,AccountCodes[NGAS CODE],0))))</f>
        <v>Telephone Expenses - Mobile</v>
      </c>
      <c r="E1373" s="309" t="s">
        <v>236</v>
      </c>
      <c r="F1373" s="501">
        <v>2800</v>
      </c>
    </row>
    <row r="1374" spans="1:6">
      <c r="A1374" s="308">
        <v>43343</v>
      </c>
      <c r="B1374" s="309" t="s">
        <v>485</v>
      </c>
      <c r="C1374" s="309" t="s">
        <v>490</v>
      </c>
      <c r="D1374" s="136" t="str">
        <f t="array" ref="D1374">IF(E1374=0,0,(INDEX(AccountCodes[ACCOUNT NAME],MATCH(E1374,AccountCodes[NGAS CODE],0))))</f>
        <v>Telephone Expenses - Mobile</v>
      </c>
      <c r="E1374" s="309" t="s">
        <v>236</v>
      </c>
      <c r="F1374" s="501">
        <v>2800</v>
      </c>
    </row>
    <row r="1375" spans="1:6">
      <c r="A1375" s="308">
        <v>43373</v>
      </c>
      <c r="B1375" s="309" t="s">
        <v>485</v>
      </c>
      <c r="C1375" s="309" t="s">
        <v>490</v>
      </c>
      <c r="D1375" s="136" t="str">
        <f t="array" ref="D1375">IF(E1375=0,0,(INDEX(AccountCodes[ACCOUNT NAME],MATCH(E1375,AccountCodes[NGAS CODE],0))))</f>
        <v>Telephone Expenses - Mobile</v>
      </c>
      <c r="E1375" s="309" t="s">
        <v>236</v>
      </c>
      <c r="F1375" s="501">
        <v>2800</v>
      </c>
    </row>
    <row r="1376" spans="1:6">
      <c r="A1376" s="308">
        <v>43404</v>
      </c>
      <c r="B1376" s="309" t="s">
        <v>485</v>
      </c>
      <c r="C1376" s="309" t="s">
        <v>490</v>
      </c>
      <c r="D1376" s="136" t="str">
        <f t="array" ref="D1376">IF(E1376=0,0,(INDEX(AccountCodes[ACCOUNT NAME],MATCH(E1376,AccountCodes[NGAS CODE],0))))</f>
        <v>Telephone Expenses - Mobile</v>
      </c>
      <c r="E1376" s="309" t="s">
        <v>236</v>
      </c>
      <c r="F1376" s="501">
        <v>2800</v>
      </c>
    </row>
    <row r="1377" spans="1:6">
      <c r="A1377" s="308">
        <v>43434</v>
      </c>
      <c r="B1377" s="309" t="s">
        <v>485</v>
      </c>
      <c r="C1377" s="309" t="s">
        <v>490</v>
      </c>
      <c r="D1377" s="136" t="str">
        <f t="array" ref="D1377">IF(E1377=0,0,(INDEX(AccountCodes[ACCOUNT NAME],MATCH(E1377,AccountCodes[NGAS CODE],0))))</f>
        <v>Telephone Expenses - Mobile</v>
      </c>
      <c r="E1377" s="309" t="s">
        <v>236</v>
      </c>
      <c r="F1377" s="501">
        <v>2800</v>
      </c>
    </row>
    <row r="1378" spans="1:6">
      <c r="A1378" s="308">
        <v>43465</v>
      </c>
      <c r="B1378" s="309" t="s">
        <v>485</v>
      </c>
      <c r="C1378" s="309" t="s">
        <v>490</v>
      </c>
      <c r="D1378" s="136" t="str">
        <f t="array" ref="D1378">IF(E1378=0,0,(INDEX(AccountCodes[ACCOUNT NAME],MATCH(E1378,AccountCodes[NGAS CODE],0))))</f>
        <v>Telephone Expenses - Mobile</v>
      </c>
      <c r="E1378" s="309" t="s">
        <v>236</v>
      </c>
      <c r="F1378" s="501">
        <v>2800</v>
      </c>
    </row>
    <row r="1379" spans="1:6">
      <c r="A1379" s="308">
        <v>43190</v>
      </c>
      <c r="B1379" s="309" t="s">
        <v>485</v>
      </c>
      <c r="C1379" s="309" t="s">
        <v>490</v>
      </c>
      <c r="D1379" s="136" t="str">
        <f t="array" ref="D1379">IF(E1379=0,0,(INDEX(AccountCodes[ACCOUNT NAME],MATCH(E1379,AccountCodes[NGAS CODE],0))))</f>
        <v>Honoraria</v>
      </c>
      <c r="E1379" s="309" t="s">
        <v>173</v>
      </c>
      <c r="F1379" s="501">
        <v>25000</v>
      </c>
    </row>
    <row r="1380" spans="1:6">
      <c r="A1380" s="308">
        <v>43312</v>
      </c>
      <c r="B1380" s="309" t="s">
        <v>485</v>
      </c>
      <c r="C1380" s="309" t="s">
        <v>490</v>
      </c>
      <c r="D1380" s="136" t="str">
        <f t="array" ref="D1380">IF(E1380=0,0,(INDEX(AccountCodes[ACCOUNT NAME],MATCH(E1380,AccountCodes[NGAS CODE],0))))</f>
        <v>Honoraria</v>
      </c>
      <c r="E1380" s="309" t="s">
        <v>173</v>
      </c>
      <c r="F1380" s="501">
        <v>25000</v>
      </c>
    </row>
    <row r="1381" spans="1:6">
      <c r="A1381" s="308">
        <v>43404</v>
      </c>
      <c r="B1381" s="309" t="s">
        <v>485</v>
      </c>
      <c r="C1381" s="309" t="s">
        <v>490</v>
      </c>
      <c r="D1381" s="136" t="str">
        <f t="array" ref="D1381">IF(E1381=0,0,(INDEX(AccountCodes[ACCOUNT NAME],MATCH(E1381,AccountCodes[NGAS CODE],0))))</f>
        <v>Honoraria</v>
      </c>
      <c r="E1381" s="309" t="s">
        <v>173</v>
      </c>
      <c r="F1381" s="501">
        <v>20000</v>
      </c>
    </row>
    <row r="1382" spans="1:6">
      <c r="A1382" s="308">
        <v>43465</v>
      </c>
      <c r="B1382" s="309" t="s">
        <v>485</v>
      </c>
      <c r="C1382" s="309" t="s">
        <v>490</v>
      </c>
      <c r="D1382" s="136" t="str">
        <f t="array" ref="D1382">IF(E1382=0,0,(INDEX(AccountCodes[ACCOUNT NAME],MATCH(E1382,AccountCodes[NGAS CODE],0))))</f>
        <v>Other Bonuses and Allowances - Collective Negotiation Agreement Incentive-Civilian</v>
      </c>
      <c r="E1382" s="309" t="s">
        <v>168</v>
      </c>
      <c r="F1382" s="501">
        <v>250000</v>
      </c>
    </row>
    <row r="1383" spans="1:6">
      <c r="A1383" s="308">
        <v>43434</v>
      </c>
      <c r="B1383" s="309" t="s">
        <v>485</v>
      </c>
      <c r="C1383" s="309" t="s">
        <v>490</v>
      </c>
      <c r="D1383" s="136" t="str">
        <f t="array" ref="D1383">IF(E1383=0,0,(INDEX(AccountCodes[ACCOUNT NAME],MATCH(E1383,AccountCodes[NGAS CODE],0))))</f>
        <v>Other Bonuses and Allowances - Productivity Enhancement Incentive-Civilian</v>
      </c>
      <c r="E1383" s="309" t="s">
        <v>170</v>
      </c>
      <c r="F1383" s="501">
        <v>50000</v>
      </c>
    </row>
    <row r="1384" spans="1:6">
      <c r="A1384" s="308">
        <v>43131</v>
      </c>
      <c r="B1384" s="309" t="s">
        <v>485</v>
      </c>
      <c r="C1384" s="309" t="s">
        <v>490</v>
      </c>
      <c r="D1384" s="136" t="str">
        <f t="array" ref="D1384">IF(E1384=0,0,(INDEX(AccountCodes[ACCOUNT NAME],MATCH(E1384,AccountCodes[NGAS CODE],0))))</f>
        <v>Retirement and Life Insurance Premiums</v>
      </c>
      <c r="E1384" s="309" t="s">
        <v>175</v>
      </c>
      <c r="F1384" s="501">
        <v>30172</v>
      </c>
    </row>
    <row r="1385" spans="1:6">
      <c r="A1385" s="308">
        <v>43159</v>
      </c>
      <c r="B1385" s="309" t="s">
        <v>485</v>
      </c>
      <c r="C1385" s="309" t="s">
        <v>490</v>
      </c>
      <c r="D1385" s="136" t="str">
        <f t="array" ref="D1385">IF(E1385=0,0,(INDEX(AccountCodes[ACCOUNT NAME],MATCH(E1385,AccountCodes[NGAS CODE],0))))</f>
        <v>Retirement and Life Insurance Premiums</v>
      </c>
      <c r="E1385" s="309" t="s">
        <v>175</v>
      </c>
      <c r="F1385" s="501">
        <v>30172</v>
      </c>
    </row>
    <row r="1386" spans="1:6">
      <c r="A1386" s="308">
        <v>43190</v>
      </c>
      <c r="B1386" s="309" t="s">
        <v>485</v>
      </c>
      <c r="C1386" s="309" t="s">
        <v>490</v>
      </c>
      <c r="D1386" s="136" t="str">
        <f t="array" ref="D1386">IF(E1386=0,0,(INDEX(AccountCodes[ACCOUNT NAME],MATCH(E1386,AccountCodes[NGAS CODE],0))))</f>
        <v>Retirement and Life Insurance Premiums</v>
      </c>
      <c r="E1386" s="309" t="s">
        <v>175</v>
      </c>
      <c r="F1386" s="501">
        <v>30172</v>
      </c>
    </row>
    <row r="1387" spans="1:6">
      <c r="A1387" s="308">
        <v>43220</v>
      </c>
      <c r="B1387" s="309" t="s">
        <v>485</v>
      </c>
      <c r="C1387" s="309" t="s">
        <v>490</v>
      </c>
      <c r="D1387" s="136" t="str">
        <f t="array" ref="D1387">IF(E1387=0,0,(INDEX(AccountCodes[ACCOUNT NAME],MATCH(E1387,AccountCodes[NGAS CODE],0))))</f>
        <v>Retirement and Life Insurance Premiums</v>
      </c>
      <c r="E1387" s="309" t="s">
        <v>175</v>
      </c>
      <c r="F1387" s="501">
        <v>30172</v>
      </c>
    </row>
    <row r="1388" spans="1:6">
      <c r="A1388" s="308">
        <v>43251</v>
      </c>
      <c r="B1388" s="309" t="s">
        <v>485</v>
      </c>
      <c r="C1388" s="309" t="s">
        <v>490</v>
      </c>
      <c r="D1388" s="136" t="str">
        <f t="array" ref="D1388">IF(E1388=0,0,(INDEX(AccountCodes[ACCOUNT NAME],MATCH(E1388,AccountCodes[NGAS CODE],0))))</f>
        <v>Retirement and Life Insurance Premiums</v>
      </c>
      <c r="E1388" s="309" t="s">
        <v>175</v>
      </c>
      <c r="F1388" s="501">
        <v>30172</v>
      </c>
    </row>
    <row r="1389" spans="1:6">
      <c r="A1389" s="308">
        <v>43281</v>
      </c>
      <c r="B1389" s="309" t="s">
        <v>485</v>
      </c>
      <c r="C1389" s="309" t="s">
        <v>490</v>
      </c>
      <c r="D1389" s="136" t="str">
        <f t="array" ref="D1389">IF(E1389=0,0,(INDEX(AccountCodes[ACCOUNT NAME],MATCH(E1389,AccountCodes[NGAS CODE],0))))</f>
        <v>Retirement and Life Insurance Premiums</v>
      </c>
      <c r="E1389" s="309" t="s">
        <v>175</v>
      </c>
      <c r="F1389" s="501">
        <v>30172</v>
      </c>
    </row>
    <row r="1390" spans="1:6">
      <c r="A1390" s="308">
        <v>43312</v>
      </c>
      <c r="B1390" s="309" t="s">
        <v>485</v>
      </c>
      <c r="C1390" s="309" t="s">
        <v>490</v>
      </c>
      <c r="D1390" s="136" t="str">
        <f t="array" ref="D1390">IF(E1390=0,0,(INDEX(AccountCodes[ACCOUNT NAME],MATCH(E1390,AccountCodes[NGAS CODE],0))))</f>
        <v>Retirement and Life Insurance Premiums</v>
      </c>
      <c r="E1390" s="309" t="s">
        <v>175</v>
      </c>
      <c r="F1390" s="501">
        <v>30172</v>
      </c>
    </row>
    <row r="1391" spans="1:6">
      <c r="A1391" s="308">
        <v>43343</v>
      </c>
      <c r="B1391" s="309" t="s">
        <v>485</v>
      </c>
      <c r="C1391" s="309" t="s">
        <v>490</v>
      </c>
      <c r="D1391" s="136" t="str">
        <f t="array" ref="D1391">IF(E1391=0,0,(INDEX(AccountCodes[ACCOUNT NAME],MATCH(E1391,AccountCodes[NGAS CODE],0))))</f>
        <v>Retirement and Life Insurance Premiums</v>
      </c>
      <c r="E1391" s="309" t="s">
        <v>175</v>
      </c>
      <c r="F1391" s="501">
        <v>30172</v>
      </c>
    </row>
    <row r="1392" spans="1:6">
      <c r="A1392" s="308">
        <v>43373</v>
      </c>
      <c r="B1392" s="309" t="s">
        <v>485</v>
      </c>
      <c r="C1392" s="309" t="s">
        <v>490</v>
      </c>
      <c r="D1392" s="136" t="str">
        <f t="array" ref="D1392">IF(E1392=0,0,(INDEX(AccountCodes[ACCOUNT NAME],MATCH(E1392,AccountCodes[NGAS CODE],0))))</f>
        <v>Retirement and Life Insurance Premiums</v>
      </c>
      <c r="E1392" s="309" t="s">
        <v>175</v>
      </c>
      <c r="F1392" s="501">
        <v>30172</v>
      </c>
    </row>
    <row r="1393" spans="1:6">
      <c r="A1393" s="308">
        <v>43404</v>
      </c>
      <c r="B1393" s="309" t="s">
        <v>485</v>
      </c>
      <c r="C1393" s="309" t="s">
        <v>490</v>
      </c>
      <c r="D1393" s="136" t="str">
        <f t="array" ref="D1393">IF(E1393=0,0,(INDEX(AccountCodes[ACCOUNT NAME],MATCH(E1393,AccountCodes[NGAS CODE],0))))</f>
        <v>Retirement and Life Insurance Premiums</v>
      </c>
      <c r="E1393" s="309" t="s">
        <v>175</v>
      </c>
      <c r="F1393" s="501">
        <v>30172</v>
      </c>
    </row>
    <row r="1394" spans="1:6">
      <c r="A1394" s="308">
        <v>43434</v>
      </c>
      <c r="B1394" s="309" t="s">
        <v>485</v>
      </c>
      <c r="C1394" s="309" t="s">
        <v>490</v>
      </c>
      <c r="D1394" s="136" t="str">
        <f t="array" ref="D1394">IF(E1394=0,0,(INDEX(AccountCodes[ACCOUNT NAME],MATCH(E1394,AccountCodes[NGAS CODE],0))))</f>
        <v>Retirement and Life Insurance Premiums</v>
      </c>
      <c r="E1394" s="309" t="s">
        <v>175</v>
      </c>
      <c r="F1394" s="501">
        <v>30172</v>
      </c>
    </row>
    <row r="1395" spans="1:6">
      <c r="A1395" s="308">
        <v>43465</v>
      </c>
      <c r="B1395" s="309" t="s">
        <v>485</v>
      </c>
      <c r="C1395" s="309" t="s">
        <v>490</v>
      </c>
      <c r="D1395" s="136" t="str">
        <f t="array" ref="D1395">IF(E1395=0,0,(INDEX(AccountCodes[ACCOUNT NAME],MATCH(E1395,AccountCodes[NGAS CODE],0))))</f>
        <v>Retirement and Life Insurance Premiums</v>
      </c>
      <c r="E1395" s="309" t="s">
        <v>175</v>
      </c>
      <c r="F1395" s="501">
        <v>30172</v>
      </c>
    </row>
    <row r="1396" spans="1:6">
      <c r="A1396" s="308">
        <v>43131</v>
      </c>
      <c r="B1396" s="309" t="s">
        <v>485</v>
      </c>
      <c r="C1396" s="309" t="s">
        <v>490</v>
      </c>
      <c r="D1396" s="136" t="str">
        <f t="array" ref="D1396">IF(E1396=0,0,(INDEX(AccountCodes[ACCOUNT NAME],MATCH(E1396,AccountCodes[NGAS CODE],0))))</f>
        <v>Pag-IBIG Contributions</v>
      </c>
      <c r="E1396" s="309" t="s">
        <v>176</v>
      </c>
      <c r="F1396" s="501">
        <v>1000</v>
      </c>
    </row>
    <row r="1397" spans="1:6">
      <c r="A1397" s="308">
        <v>43159</v>
      </c>
      <c r="B1397" s="309" t="s">
        <v>485</v>
      </c>
      <c r="C1397" s="309" t="s">
        <v>490</v>
      </c>
      <c r="D1397" s="136" t="str">
        <f t="array" ref="D1397">IF(E1397=0,0,(INDEX(AccountCodes[ACCOUNT NAME],MATCH(E1397,AccountCodes[NGAS CODE],0))))</f>
        <v>Pag-IBIG Contributions</v>
      </c>
      <c r="E1397" s="309" t="s">
        <v>176</v>
      </c>
      <c r="F1397" s="501">
        <v>1000</v>
      </c>
    </row>
    <row r="1398" spans="1:6">
      <c r="A1398" s="308">
        <v>43190</v>
      </c>
      <c r="B1398" s="309" t="s">
        <v>485</v>
      </c>
      <c r="C1398" s="309" t="s">
        <v>490</v>
      </c>
      <c r="D1398" s="136" t="str">
        <f t="array" ref="D1398">IF(E1398=0,0,(INDEX(AccountCodes[ACCOUNT NAME],MATCH(E1398,AccountCodes[NGAS CODE],0))))</f>
        <v>Pag-IBIG Contributions</v>
      </c>
      <c r="E1398" s="309" t="s">
        <v>176</v>
      </c>
      <c r="F1398" s="501">
        <v>1000</v>
      </c>
    </row>
    <row r="1399" spans="1:6">
      <c r="A1399" s="308">
        <v>43220</v>
      </c>
      <c r="B1399" s="309" t="s">
        <v>485</v>
      </c>
      <c r="C1399" s="309" t="s">
        <v>490</v>
      </c>
      <c r="D1399" s="136" t="str">
        <f t="array" ref="D1399">IF(E1399=0,0,(INDEX(AccountCodes[ACCOUNT NAME],MATCH(E1399,AccountCodes[NGAS CODE],0))))</f>
        <v>Pag-IBIG Contributions</v>
      </c>
      <c r="E1399" s="309" t="s">
        <v>176</v>
      </c>
      <c r="F1399" s="501">
        <v>1000</v>
      </c>
    </row>
    <row r="1400" spans="1:6">
      <c r="A1400" s="308">
        <v>43251</v>
      </c>
      <c r="B1400" s="309" t="s">
        <v>485</v>
      </c>
      <c r="C1400" s="309" t="s">
        <v>490</v>
      </c>
      <c r="D1400" s="136" t="str">
        <f t="array" ref="D1400">IF(E1400=0,0,(INDEX(AccountCodes[ACCOUNT NAME],MATCH(E1400,AccountCodes[NGAS CODE],0))))</f>
        <v>Pag-IBIG Contributions</v>
      </c>
      <c r="E1400" s="309" t="s">
        <v>176</v>
      </c>
      <c r="F1400" s="501">
        <v>1000</v>
      </c>
    </row>
    <row r="1401" spans="1:6">
      <c r="A1401" s="308">
        <v>43281</v>
      </c>
      <c r="B1401" s="309" t="s">
        <v>485</v>
      </c>
      <c r="C1401" s="309" t="s">
        <v>490</v>
      </c>
      <c r="D1401" s="136" t="str">
        <f t="array" ref="D1401">IF(E1401=0,0,(INDEX(AccountCodes[ACCOUNT NAME],MATCH(E1401,AccountCodes[NGAS CODE],0))))</f>
        <v>Pag-IBIG Contributions</v>
      </c>
      <c r="E1401" s="309" t="s">
        <v>176</v>
      </c>
      <c r="F1401" s="501">
        <v>1000</v>
      </c>
    </row>
    <row r="1402" spans="1:6">
      <c r="A1402" s="308">
        <v>43312</v>
      </c>
      <c r="B1402" s="309" t="s">
        <v>485</v>
      </c>
      <c r="C1402" s="309" t="s">
        <v>490</v>
      </c>
      <c r="D1402" s="136" t="str">
        <f t="array" ref="D1402">IF(E1402=0,0,(INDEX(AccountCodes[ACCOUNT NAME],MATCH(E1402,AccountCodes[NGAS CODE],0))))</f>
        <v>Pag-IBIG Contributions</v>
      </c>
      <c r="E1402" s="309" t="s">
        <v>176</v>
      </c>
      <c r="F1402" s="501">
        <v>1000</v>
      </c>
    </row>
    <row r="1403" spans="1:6">
      <c r="A1403" s="308">
        <v>43343</v>
      </c>
      <c r="B1403" s="309" t="s">
        <v>485</v>
      </c>
      <c r="C1403" s="309" t="s">
        <v>490</v>
      </c>
      <c r="D1403" s="136" t="str">
        <f t="array" ref="D1403">IF(E1403=0,0,(INDEX(AccountCodes[ACCOUNT NAME],MATCH(E1403,AccountCodes[NGAS CODE],0))))</f>
        <v>Pag-IBIG Contributions</v>
      </c>
      <c r="E1403" s="309" t="s">
        <v>176</v>
      </c>
      <c r="F1403" s="501">
        <v>1000</v>
      </c>
    </row>
    <row r="1404" spans="1:6">
      <c r="A1404" s="308">
        <v>43373</v>
      </c>
      <c r="B1404" s="309" t="s">
        <v>485</v>
      </c>
      <c r="C1404" s="309" t="s">
        <v>490</v>
      </c>
      <c r="D1404" s="136" t="str">
        <f t="array" ref="D1404">IF(E1404=0,0,(INDEX(AccountCodes[ACCOUNT NAME],MATCH(E1404,AccountCodes[NGAS CODE],0))))</f>
        <v>Pag-IBIG Contributions</v>
      </c>
      <c r="E1404" s="309" t="s">
        <v>176</v>
      </c>
      <c r="F1404" s="501">
        <v>1000</v>
      </c>
    </row>
    <row r="1405" spans="1:6">
      <c r="A1405" s="308">
        <v>43404</v>
      </c>
      <c r="B1405" s="309" t="s">
        <v>485</v>
      </c>
      <c r="C1405" s="309" t="s">
        <v>490</v>
      </c>
      <c r="D1405" s="136" t="str">
        <f t="array" ref="D1405">IF(E1405=0,0,(INDEX(AccountCodes[ACCOUNT NAME],MATCH(E1405,AccountCodes[NGAS CODE],0))))</f>
        <v>Pag-IBIG Contributions</v>
      </c>
      <c r="E1405" s="309" t="s">
        <v>176</v>
      </c>
      <c r="F1405" s="501">
        <v>1000</v>
      </c>
    </row>
    <row r="1406" spans="1:6">
      <c r="A1406" s="308">
        <v>43434</v>
      </c>
      <c r="B1406" s="309" t="s">
        <v>485</v>
      </c>
      <c r="C1406" s="309" t="s">
        <v>490</v>
      </c>
      <c r="D1406" s="136" t="str">
        <f t="array" ref="D1406">IF(E1406=0,0,(INDEX(AccountCodes[ACCOUNT NAME],MATCH(E1406,AccountCodes[NGAS CODE],0))))</f>
        <v>Pag-IBIG Contributions</v>
      </c>
      <c r="E1406" s="309" t="s">
        <v>176</v>
      </c>
      <c r="F1406" s="501">
        <v>1000</v>
      </c>
    </row>
    <row r="1407" spans="1:6">
      <c r="A1407" s="308">
        <v>43465</v>
      </c>
      <c r="B1407" s="309" t="s">
        <v>485</v>
      </c>
      <c r="C1407" s="309" t="s">
        <v>490</v>
      </c>
      <c r="D1407" s="136" t="str">
        <f t="array" ref="D1407">IF(E1407=0,0,(INDEX(AccountCodes[ACCOUNT NAME],MATCH(E1407,AccountCodes[NGAS CODE],0))))</f>
        <v>Pag-IBIG Contributions</v>
      </c>
      <c r="E1407" s="309" t="s">
        <v>176</v>
      </c>
      <c r="F1407" s="501">
        <v>1000</v>
      </c>
    </row>
    <row r="1408" spans="1:6">
      <c r="A1408" s="308">
        <v>43131</v>
      </c>
      <c r="B1408" s="309" t="s">
        <v>485</v>
      </c>
      <c r="C1408" s="309" t="s">
        <v>490</v>
      </c>
      <c r="D1408" s="136" t="str">
        <f t="array" ref="D1408">IF(E1408=0,0,(INDEX(AccountCodes[ACCOUNT NAME],MATCH(E1408,AccountCodes[NGAS CODE],0))))</f>
        <v>PhilHealth Contributions</v>
      </c>
      <c r="E1408" s="309" t="s">
        <v>177</v>
      </c>
      <c r="F1408" s="501">
        <v>3188</v>
      </c>
    </row>
    <row r="1409" spans="1:6">
      <c r="A1409" s="308">
        <v>43159</v>
      </c>
      <c r="B1409" s="309" t="s">
        <v>485</v>
      </c>
      <c r="C1409" s="309" t="s">
        <v>490</v>
      </c>
      <c r="D1409" s="136" t="str">
        <f t="array" ref="D1409">IF(E1409=0,0,(INDEX(AccountCodes[ACCOUNT NAME],MATCH(E1409,AccountCodes[NGAS CODE],0))))</f>
        <v>PhilHealth Contributions</v>
      </c>
      <c r="E1409" s="309" t="s">
        <v>177</v>
      </c>
      <c r="F1409" s="501">
        <v>3188</v>
      </c>
    </row>
    <row r="1410" spans="1:6">
      <c r="A1410" s="308">
        <v>43190</v>
      </c>
      <c r="B1410" s="309" t="s">
        <v>485</v>
      </c>
      <c r="C1410" s="309" t="s">
        <v>490</v>
      </c>
      <c r="D1410" s="136" t="str">
        <f t="array" ref="D1410">IF(E1410=0,0,(INDEX(AccountCodes[ACCOUNT NAME],MATCH(E1410,AccountCodes[NGAS CODE],0))))</f>
        <v>PhilHealth Contributions</v>
      </c>
      <c r="E1410" s="309" t="s">
        <v>177</v>
      </c>
      <c r="F1410" s="501">
        <v>3188</v>
      </c>
    </row>
    <row r="1411" spans="1:6">
      <c r="A1411" s="308">
        <v>43220</v>
      </c>
      <c r="B1411" s="309" t="s">
        <v>485</v>
      </c>
      <c r="C1411" s="309" t="s">
        <v>490</v>
      </c>
      <c r="D1411" s="136" t="str">
        <f t="array" ref="D1411">IF(E1411=0,0,(INDEX(AccountCodes[ACCOUNT NAME],MATCH(E1411,AccountCodes[NGAS CODE],0))))</f>
        <v>PhilHealth Contributions</v>
      </c>
      <c r="E1411" s="309" t="s">
        <v>177</v>
      </c>
      <c r="F1411" s="501">
        <v>3188</v>
      </c>
    </row>
    <row r="1412" spans="1:6">
      <c r="A1412" s="308">
        <v>43251</v>
      </c>
      <c r="B1412" s="309" t="s">
        <v>485</v>
      </c>
      <c r="C1412" s="309" t="s">
        <v>490</v>
      </c>
      <c r="D1412" s="136" t="str">
        <f t="array" ref="D1412">IF(E1412=0,0,(INDEX(AccountCodes[ACCOUNT NAME],MATCH(E1412,AccountCodes[NGAS CODE],0))))</f>
        <v>PhilHealth Contributions</v>
      </c>
      <c r="E1412" s="309" t="s">
        <v>177</v>
      </c>
      <c r="F1412" s="501">
        <v>3188</v>
      </c>
    </row>
    <row r="1413" spans="1:6">
      <c r="A1413" s="308">
        <v>43281</v>
      </c>
      <c r="B1413" s="309" t="s">
        <v>485</v>
      </c>
      <c r="C1413" s="309" t="s">
        <v>490</v>
      </c>
      <c r="D1413" s="136" t="str">
        <f t="array" ref="D1413">IF(E1413=0,0,(INDEX(AccountCodes[ACCOUNT NAME],MATCH(E1413,AccountCodes[NGAS CODE],0))))</f>
        <v>PhilHealth Contributions</v>
      </c>
      <c r="E1413" s="309" t="s">
        <v>177</v>
      </c>
      <c r="F1413" s="501">
        <v>3188</v>
      </c>
    </row>
    <row r="1414" spans="1:6">
      <c r="A1414" s="308">
        <v>43312</v>
      </c>
      <c r="B1414" s="309" t="s">
        <v>485</v>
      </c>
      <c r="C1414" s="309" t="s">
        <v>490</v>
      </c>
      <c r="D1414" s="136" t="str">
        <f t="array" ref="D1414">IF(E1414=0,0,(INDEX(AccountCodes[ACCOUNT NAME],MATCH(E1414,AccountCodes[NGAS CODE],0))))</f>
        <v>PhilHealth Contributions</v>
      </c>
      <c r="E1414" s="309" t="s">
        <v>177</v>
      </c>
      <c r="F1414" s="501">
        <v>3188</v>
      </c>
    </row>
    <row r="1415" spans="1:6">
      <c r="A1415" s="308">
        <v>43343</v>
      </c>
      <c r="B1415" s="309" t="s">
        <v>485</v>
      </c>
      <c r="C1415" s="309" t="s">
        <v>490</v>
      </c>
      <c r="D1415" s="136" t="str">
        <f t="array" ref="D1415">IF(E1415=0,0,(INDEX(AccountCodes[ACCOUNT NAME],MATCH(E1415,AccountCodes[NGAS CODE],0))))</f>
        <v>PhilHealth Contributions</v>
      </c>
      <c r="E1415" s="309" t="s">
        <v>177</v>
      </c>
      <c r="F1415" s="501">
        <v>3188</v>
      </c>
    </row>
    <row r="1416" spans="1:6">
      <c r="A1416" s="308">
        <v>43373</v>
      </c>
      <c r="B1416" s="309" t="s">
        <v>485</v>
      </c>
      <c r="C1416" s="309" t="s">
        <v>490</v>
      </c>
      <c r="D1416" s="136" t="str">
        <f t="array" ref="D1416">IF(E1416=0,0,(INDEX(AccountCodes[ACCOUNT NAME],MATCH(E1416,AccountCodes[NGAS CODE],0))))</f>
        <v>PhilHealth Contributions</v>
      </c>
      <c r="E1416" s="309" t="s">
        <v>177</v>
      </c>
      <c r="F1416" s="501">
        <v>3188</v>
      </c>
    </row>
    <row r="1417" spans="1:6">
      <c r="A1417" s="308">
        <v>43404</v>
      </c>
      <c r="B1417" s="309" t="s">
        <v>485</v>
      </c>
      <c r="C1417" s="309" t="s">
        <v>490</v>
      </c>
      <c r="D1417" s="136" t="str">
        <f t="array" ref="D1417">IF(E1417=0,0,(INDEX(AccountCodes[ACCOUNT NAME],MATCH(E1417,AccountCodes[NGAS CODE],0))))</f>
        <v>PhilHealth Contributions</v>
      </c>
      <c r="E1417" s="309" t="s">
        <v>177</v>
      </c>
      <c r="F1417" s="501">
        <v>3188</v>
      </c>
    </row>
    <row r="1418" spans="1:6">
      <c r="A1418" s="308">
        <v>43434</v>
      </c>
      <c r="B1418" s="309" t="s">
        <v>485</v>
      </c>
      <c r="C1418" s="309" t="s">
        <v>490</v>
      </c>
      <c r="D1418" s="136" t="str">
        <f t="array" ref="D1418">IF(E1418=0,0,(INDEX(AccountCodes[ACCOUNT NAME],MATCH(E1418,AccountCodes[NGAS CODE],0))))</f>
        <v>PhilHealth Contributions</v>
      </c>
      <c r="E1418" s="309" t="s">
        <v>177</v>
      </c>
      <c r="F1418" s="501">
        <v>3188</v>
      </c>
    </row>
    <row r="1419" spans="1:6">
      <c r="A1419" s="308">
        <v>43465</v>
      </c>
      <c r="B1419" s="309" t="s">
        <v>485</v>
      </c>
      <c r="C1419" s="309" t="s">
        <v>490</v>
      </c>
      <c r="D1419" s="136" t="str">
        <f t="array" ref="D1419">IF(E1419=0,0,(INDEX(AccountCodes[ACCOUNT NAME],MATCH(E1419,AccountCodes[NGAS CODE],0))))</f>
        <v>PhilHealth Contributions</v>
      </c>
      <c r="E1419" s="309" t="s">
        <v>177</v>
      </c>
      <c r="F1419" s="501">
        <v>3188</v>
      </c>
    </row>
    <row r="1420" spans="1:6">
      <c r="A1420" s="308">
        <v>43131</v>
      </c>
      <c r="B1420" s="309" t="s">
        <v>485</v>
      </c>
      <c r="C1420" s="309" t="s">
        <v>490</v>
      </c>
      <c r="D1420" s="136" t="str">
        <f t="array" ref="D1420">IF(E1420=0,0,(INDEX(AccountCodes[ACCOUNT NAME],MATCH(E1420,AccountCodes[NGAS CODE],0))))</f>
        <v>Employees Compensation Insurance Premiums</v>
      </c>
      <c r="E1420" s="309" t="s">
        <v>178</v>
      </c>
      <c r="F1420" s="501">
        <v>1000</v>
      </c>
    </row>
    <row r="1421" spans="1:6">
      <c r="A1421" s="308">
        <v>43159</v>
      </c>
      <c r="B1421" s="309" t="s">
        <v>485</v>
      </c>
      <c r="C1421" s="309" t="s">
        <v>490</v>
      </c>
      <c r="D1421" s="136" t="str">
        <f t="array" ref="D1421">IF(E1421=0,0,(INDEX(AccountCodes[ACCOUNT NAME],MATCH(E1421,AccountCodes[NGAS CODE],0))))</f>
        <v>Employees Compensation Insurance Premiums</v>
      </c>
      <c r="E1421" s="309" t="s">
        <v>178</v>
      </c>
      <c r="F1421" s="501">
        <v>1000</v>
      </c>
    </row>
    <row r="1422" spans="1:6">
      <c r="A1422" s="308">
        <v>43190</v>
      </c>
      <c r="B1422" s="309" t="s">
        <v>485</v>
      </c>
      <c r="C1422" s="309" t="s">
        <v>490</v>
      </c>
      <c r="D1422" s="136" t="str">
        <f t="array" ref="D1422">IF(E1422=0,0,(INDEX(AccountCodes[ACCOUNT NAME],MATCH(E1422,AccountCodes[NGAS CODE],0))))</f>
        <v>Employees Compensation Insurance Premiums</v>
      </c>
      <c r="E1422" s="309" t="s">
        <v>178</v>
      </c>
      <c r="F1422" s="501">
        <v>1000</v>
      </c>
    </row>
    <row r="1423" spans="1:6">
      <c r="A1423" s="308">
        <v>43220</v>
      </c>
      <c r="B1423" s="309" t="s">
        <v>485</v>
      </c>
      <c r="C1423" s="309" t="s">
        <v>490</v>
      </c>
      <c r="D1423" s="136" t="str">
        <f t="array" ref="D1423">IF(E1423=0,0,(INDEX(AccountCodes[ACCOUNT NAME],MATCH(E1423,AccountCodes[NGAS CODE],0))))</f>
        <v>Employees Compensation Insurance Premiums</v>
      </c>
      <c r="E1423" s="309" t="s">
        <v>178</v>
      </c>
      <c r="F1423" s="501">
        <v>1000</v>
      </c>
    </row>
    <row r="1424" spans="1:6">
      <c r="A1424" s="308">
        <v>43251</v>
      </c>
      <c r="B1424" s="309" t="s">
        <v>485</v>
      </c>
      <c r="C1424" s="309" t="s">
        <v>490</v>
      </c>
      <c r="D1424" s="136" t="str">
        <f t="array" ref="D1424">IF(E1424=0,0,(INDEX(AccountCodes[ACCOUNT NAME],MATCH(E1424,AccountCodes[NGAS CODE],0))))</f>
        <v>Employees Compensation Insurance Premiums</v>
      </c>
      <c r="E1424" s="309" t="s">
        <v>178</v>
      </c>
      <c r="F1424" s="501">
        <v>1000</v>
      </c>
    </row>
    <row r="1425" spans="1:6">
      <c r="A1425" s="308">
        <v>43281</v>
      </c>
      <c r="B1425" s="309" t="s">
        <v>485</v>
      </c>
      <c r="C1425" s="309" t="s">
        <v>490</v>
      </c>
      <c r="D1425" s="136" t="str">
        <f t="array" ref="D1425">IF(E1425=0,0,(INDEX(AccountCodes[ACCOUNT NAME],MATCH(E1425,AccountCodes[NGAS CODE],0))))</f>
        <v>Employees Compensation Insurance Premiums</v>
      </c>
      <c r="E1425" s="309" t="s">
        <v>178</v>
      </c>
      <c r="F1425" s="501">
        <v>1000</v>
      </c>
    </row>
    <row r="1426" spans="1:6">
      <c r="A1426" s="308">
        <v>43312</v>
      </c>
      <c r="B1426" s="309" t="s">
        <v>485</v>
      </c>
      <c r="C1426" s="309" t="s">
        <v>490</v>
      </c>
      <c r="D1426" s="136" t="str">
        <f t="array" ref="D1426">IF(E1426=0,0,(INDEX(AccountCodes[ACCOUNT NAME],MATCH(E1426,AccountCodes[NGAS CODE],0))))</f>
        <v>Employees Compensation Insurance Premiums</v>
      </c>
      <c r="E1426" s="309" t="s">
        <v>178</v>
      </c>
      <c r="F1426" s="501">
        <v>1000</v>
      </c>
    </row>
    <row r="1427" spans="1:6">
      <c r="A1427" s="308">
        <v>43343</v>
      </c>
      <c r="B1427" s="309" t="s">
        <v>485</v>
      </c>
      <c r="C1427" s="309" t="s">
        <v>490</v>
      </c>
      <c r="D1427" s="136" t="str">
        <f t="array" ref="D1427">IF(E1427=0,0,(INDEX(AccountCodes[ACCOUNT NAME],MATCH(E1427,AccountCodes[NGAS CODE],0))))</f>
        <v>Employees Compensation Insurance Premiums</v>
      </c>
      <c r="E1427" s="309" t="s">
        <v>178</v>
      </c>
      <c r="F1427" s="501">
        <v>1000</v>
      </c>
    </row>
    <row r="1428" spans="1:6">
      <c r="A1428" s="308">
        <v>43373</v>
      </c>
      <c r="B1428" s="309" t="s">
        <v>485</v>
      </c>
      <c r="C1428" s="309" t="s">
        <v>490</v>
      </c>
      <c r="D1428" s="136" t="str">
        <f t="array" ref="D1428">IF(E1428=0,0,(INDEX(AccountCodes[ACCOUNT NAME],MATCH(E1428,AccountCodes[NGAS CODE],0))))</f>
        <v>Employees Compensation Insurance Premiums</v>
      </c>
      <c r="E1428" s="309" t="s">
        <v>178</v>
      </c>
      <c r="F1428" s="501">
        <v>1000</v>
      </c>
    </row>
    <row r="1429" spans="1:6">
      <c r="A1429" s="308">
        <v>43404</v>
      </c>
      <c r="B1429" s="309" t="s">
        <v>485</v>
      </c>
      <c r="C1429" s="309" t="s">
        <v>490</v>
      </c>
      <c r="D1429" s="136" t="str">
        <f t="array" ref="D1429">IF(E1429=0,0,(INDEX(AccountCodes[ACCOUNT NAME],MATCH(E1429,AccountCodes[NGAS CODE],0))))</f>
        <v>Employees Compensation Insurance Premiums</v>
      </c>
      <c r="E1429" s="309" t="s">
        <v>178</v>
      </c>
      <c r="F1429" s="501">
        <v>1000</v>
      </c>
    </row>
    <row r="1430" spans="1:6">
      <c r="A1430" s="308">
        <v>43434</v>
      </c>
      <c r="B1430" s="309" t="s">
        <v>485</v>
      </c>
      <c r="C1430" s="309" t="s">
        <v>490</v>
      </c>
      <c r="D1430" s="136" t="str">
        <f t="array" ref="D1430">IF(E1430=0,0,(INDEX(AccountCodes[ACCOUNT NAME],MATCH(E1430,AccountCodes[NGAS CODE],0))))</f>
        <v>Employees Compensation Insurance Premiums</v>
      </c>
      <c r="E1430" s="309" t="s">
        <v>178</v>
      </c>
      <c r="F1430" s="501">
        <v>1000</v>
      </c>
    </row>
    <row r="1431" spans="1:6">
      <c r="A1431" s="308">
        <v>43465</v>
      </c>
      <c r="B1431" s="309" t="s">
        <v>485</v>
      </c>
      <c r="C1431" s="309" t="s">
        <v>490</v>
      </c>
      <c r="D1431" s="136" t="str">
        <f t="array" ref="D1431">IF(E1431=0,0,(INDEX(AccountCodes[ACCOUNT NAME],MATCH(E1431,AccountCodes[NGAS CODE],0))))</f>
        <v>Employees Compensation Insurance Premiums</v>
      </c>
      <c r="E1431" s="309" t="s">
        <v>178</v>
      </c>
      <c r="F1431" s="501">
        <v>1000</v>
      </c>
    </row>
    <row r="1432" spans="1:6">
      <c r="A1432" s="308">
        <v>43131</v>
      </c>
      <c r="B1432" s="309" t="s">
        <v>485</v>
      </c>
      <c r="C1432" s="309" t="s">
        <v>490</v>
      </c>
      <c r="D1432" s="136" t="str">
        <f t="array" ref="D1432">IF(E1432=0,0,(INDEX(AccountCodes[ACCOUNT NAME],MATCH(E1432,AccountCodes[NGAS CODE],0))))</f>
        <v>Traveling Expenses-Local</v>
      </c>
      <c r="E1432" s="309" t="s">
        <v>223</v>
      </c>
      <c r="F1432" s="501">
        <v>1600</v>
      </c>
    </row>
    <row r="1433" spans="1:6">
      <c r="A1433" s="308">
        <v>43159</v>
      </c>
      <c r="B1433" s="309" t="s">
        <v>485</v>
      </c>
      <c r="C1433" s="309" t="s">
        <v>490</v>
      </c>
      <c r="D1433" s="136" t="str">
        <f t="array" ref="D1433">IF(E1433=0,0,(INDEX(AccountCodes[ACCOUNT NAME],MATCH(E1433,AccountCodes[NGAS CODE],0))))</f>
        <v>Traveling Expenses-Local</v>
      </c>
      <c r="E1433" s="309" t="s">
        <v>223</v>
      </c>
      <c r="F1433" s="501">
        <v>1600</v>
      </c>
    </row>
    <row r="1434" spans="1:6">
      <c r="A1434" s="308">
        <v>43190</v>
      </c>
      <c r="B1434" s="309" t="s">
        <v>485</v>
      </c>
      <c r="C1434" s="309" t="s">
        <v>490</v>
      </c>
      <c r="D1434" s="136" t="str">
        <f t="array" ref="D1434">IF(E1434=0,0,(INDEX(AccountCodes[ACCOUNT NAME],MATCH(E1434,AccountCodes[NGAS CODE],0))))</f>
        <v>Traveling Expenses-Local</v>
      </c>
      <c r="E1434" s="309" t="s">
        <v>223</v>
      </c>
      <c r="F1434" s="501">
        <v>1600</v>
      </c>
    </row>
    <row r="1435" spans="1:6">
      <c r="A1435" s="308">
        <v>43220</v>
      </c>
      <c r="B1435" s="309" t="s">
        <v>485</v>
      </c>
      <c r="C1435" s="309" t="s">
        <v>490</v>
      </c>
      <c r="D1435" s="136" t="str">
        <f t="array" ref="D1435">IF(E1435=0,0,(INDEX(AccountCodes[ACCOUNT NAME],MATCH(E1435,AccountCodes[NGAS CODE],0))))</f>
        <v>Traveling Expenses-Local</v>
      </c>
      <c r="E1435" s="309" t="s">
        <v>223</v>
      </c>
      <c r="F1435" s="501">
        <v>1600</v>
      </c>
    </row>
    <row r="1436" spans="1:6">
      <c r="A1436" s="308">
        <v>43251</v>
      </c>
      <c r="B1436" s="309" t="s">
        <v>485</v>
      </c>
      <c r="C1436" s="309" t="s">
        <v>490</v>
      </c>
      <c r="D1436" s="136" t="str">
        <f t="array" ref="D1436">IF(E1436=0,0,(INDEX(AccountCodes[ACCOUNT NAME],MATCH(E1436,AccountCodes[NGAS CODE],0))))</f>
        <v>Traveling Expenses-Local</v>
      </c>
      <c r="E1436" s="309" t="s">
        <v>223</v>
      </c>
      <c r="F1436" s="501">
        <v>1600</v>
      </c>
    </row>
    <row r="1437" spans="1:6">
      <c r="A1437" s="308">
        <v>43281</v>
      </c>
      <c r="B1437" s="309" t="s">
        <v>485</v>
      </c>
      <c r="C1437" s="309" t="s">
        <v>490</v>
      </c>
      <c r="D1437" s="136" t="str">
        <f t="array" ref="D1437">IF(E1437=0,0,(INDEX(AccountCodes[ACCOUNT NAME],MATCH(E1437,AccountCodes[NGAS CODE],0))))</f>
        <v>Traveling Expenses-Local</v>
      </c>
      <c r="E1437" s="309" t="s">
        <v>223</v>
      </c>
      <c r="F1437" s="501">
        <v>1600</v>
      </c>
    </row>
    <row r="1438" spans="1:6">
      <c r="A1438" s="308">
        <v>43312</v>
      </c>
      <c r="B1438" s="309" t="s">
        <v>485</v>
      </c>
      <c r="C1438" s="309" t="s">
        <v>490</v>
      </c>
      <c r="D1438" s="136" t="str">
        <f t="array" ref="D1438">IF(E1438=0,0,(INDEX(AccountCodes[ACCOUNT NAME],MATCH(E1438,AccountCodes[NGAS CODE],0))))</f>
        <v>Traveling Expenses-Local</v>
      </c>
      <c r="E1438" s="309" t="s">
        <v>223</v>
      </c>
      <c r="F1438" s="501">
        <v>1600</v>
      </c>
    </row>
    <row r="1439" spans="1:6">
      <c r="A1439" s="308">
        <v>43343</v>
      </c>
      <c r="B1439" s="309" t="s">
        <v>485</v>
      </c>
      <c r="C1439" s="309" t="s">
        <v>490</v>
      </c>
      <c r="D1439" s="136" t="str">
        <f t="array" ref="D1439">IF(E1439=0,0,(INDEX(AccountCodes[ACCOUNT NAME],MATCH(E1439,AccountCodes[NGAS CODE],0))))</f>
        <v>Traveling Expenses-Local</v>
      </c>
      <c r="E1439" s="309" t="s">
        <v>223</v>
      </c>
      <c r="F1439" s="501">
        <v>1600</v>
      </c>
    </row>
    <row r="1440" spans="1:6">
      <c r="A1440" s="308">
        <v>43373</v>
      </c>
      <c r="B1440" s="309" t="s">
        <v>485</v>
      </c>
      <c r="C1440" s="309" t="s">
        <v>490</v>
      </c>
      <c r="D1440" s="136" t="str">
        <f t="array" ref="D1440">IF(E1440=0,0,(INDEX(AccountCodes[ACCOUNT NAME],MATCH(E1440,AccountCodes[NGAS CODE],0))))</f>
        <v>Traveling Expenses-Local</v>
      </c>
      <c r="E1440" s="309" t="s">
        <v>223</v>
      </c>
      <c r="F1440" s="501">
        <v>1600</v>
      </c>
    </row>
    <row r="1441" spans="1:6">
      <c r="A1441" s="308">
        <v>43404</v>
      </c>
      <c r="B1441" s="309" t="s">
        <v>485</v>
      </c>
      <c r="C1441" s="309" t="s">
        <v>490</v>
      </c>
      <c r="D1441" s="136" t="str">
        <f t="array" ref="D1441">IF(E1441=0,0,(INDEX(AccountCodes[ACCOUNT NAME],MATCH(E1441,AccountCodes[NGAS CODE],0))))</f>
        <v>Traveling Expenses-Local</v>
      </c>
      <c r="E1441" s="309" t="s">
        <v>223</v>
      </c>
      <c r="F1441" s="501">
        <v>1600</v>
      </c>
    </row>
    <row r="1442" spans="1:6">
      <c r="A1442" s="308">
        <v>43434</v>
      </c>
      <c r="B1442" s="309" t="s">
        <v>485</v>
      </c>
      <c r="C1442" s="309" t="s">
        <v>490</v>
      </c>
      <c r="D1442" s="136" t="str">
        <f t="array" ref="D1442">IF(E1442=0,0,(INDEX(AccountCodes[ACCOUNT NAME],MATCH(E1442,AccountCodes[NGAS CODE],0))))</f>
        <v>Traveling Expenses-Local</v>
      </c>
      <c r="E1442" s="309" t="s">
        <v>223</v>
      </c>
      <c r="F1442" s="501">
        <v>1600</v>
      </c>
    </row>
    <row r="1443" spans="1:6">
      <c r="A1443" s="308">
        <v>43465</v>
      </c>
      <c r="B1443" s="309" t="s">
        <v>485</v>
      </c>
      <c r="C1443" s="309" t="s">
        <v>490</v>
      </c>
      <c r="D1443" s="136" t="str">
        <f t="array" ref="D1443">IF(E1443=0,0,(INDEX(AccountCodes[ACCOUNT NAME],MATCH(E1443,AccountCodes[NGAS CODE],0))))</f>
        <v>Traveling Expenses-Local</v>
      </c>
      <c r="E1443" s="309" t="s">
        <v>223</v>
      </c>
      <c r="F1443" s="501">
        <v>1600</v>
      </c>
    </row>
    <row r="1444" spans="1:6">
      <c r="A1444" s="308">
        <v>43131</v>
      </c>
      <c r="B1444" s="309" t="s">
        <v>485</v>
      </c>
      <c r="C1444" s="309" t="s">
        <v>490</v>
      </c>
      <c r="D1444" s="136" t="str">
        <f t="array" ref="D1444">IF(E1444=0,0,(INDEX(AccountCodes[ACCOUNT NAME],MATCH(E1444,AccountCodes[NGAS CODE],0))))</f>
        <v>Office Supplies Expenses</v>
      </c>
      <c r="E1444" s="309" t="s">
        <v>225</v>
      </c>
      <c r="F1444" s="501">
        <v>45000</v>
      </c>
    </row>
    <row r="1445" spans="1:6">
      <c r="A1445" s="308">
        <v>43220</v>
      </c>
      <c r="B1445" s="309" t="s">
        <v>485</v>
      </c>
      <c r="C1445" s="309" t="s">
        <v>490</v>
      </c>
      <c r="D1445" s="136" t="str">
        <f t="array" ref="D1445">IF(E1445=0,0,(INDEX(AccountCodes[ACCOUNT NAME],MATCH(E1445,AccountCodes[NGAS CODE],0))))</f>
        <v>Office Supplies Expenses</v>
      </c>
      <c r="E1445" s="309" t="s">
        <v>225</v>
      </c>
      <c r="F1445" s="501">
        <v>45000</v>
      </c>
    </row>
    <row r="1446" spans="1:6">
      <c r="A1446" s="308">
        <v>43312</v>
      </c>
      <c r="B1446" s="309" t="s">
        <v>485</v>
      </c>
      <c r="C1446" s="309" t="s">
        <v>490</v>
      </c>
      <c r="D1446" s="136" t="str">
        <f t="array" ref="D1446">IF(E1446=0,0,(INDEX(AccountCodes[ACCOUNT NAME],MATCH(E1446,AccountCodes[NGAS CODE],0))))</f>
        <v>Office Supplies Expenses</v>
      </c>
      <c r="E1446" s="309" t="s">
        <v>225</v>
      </c>
      <c r="F1446" s="501">
        <v>45000</v>
      </c>
    </row>
    <row r="1447" spans="1:6">
      <c r="A1447" s="308">
        <v>43404</v>
      </c>
      <c r="B1447" s="309" t="s">
        <v>485</v>
      </c>
      <c r="C1447" s="309" t="s">
        <v>490</v>
      </c>
      <c r="D1447" s="136" t="str">
        <f t="array" ref="D1447">IF(E1447=0,0,(INDEX(AccountCodes[ACCOUNT NAME],MATCH(E1447,AccountCodes[NGAS CODE],0))))</f>
        <v>Office Supplies Expenses</v>
      </c>
      <c r="E1447" s="309" t="s">
        <v>225</v>
      </c>
      <c r="F1447" s="501">
        <v>45000</v>
      </c>
    </row>
    <row r="1448" spans="1:6">
      <c r="A1448" s="308">
        <v>43131</v>
      </c>
      <c r="B1448" s="309" t="s">
        <v>485</v>
      </c>
      <c r="C1448" s="309" t="s">
        <v>490</v>
      </c>
      <c r="D1448" s="136" t="str">
        <f t="array" ref="D1448">IF(E1448=0,0,(INDEX(AccountCodes[ACCOUNT NAME],MATCH(E1448,AccountCodes[NGAS CODE],0))))</f>
        <v>Fuel, Oil and Lubricants Expenses</v>
      </c>
      <c r="E1448" s="309" t="s">
        <v>229</v>
      </c>
      <c r="F1448" s="501">
        <v>5000</v>
      </c>
    </row>
    <row r="1449" spans="1:6">
      <c r="A1449" s="308">
        <v>43159</v>
      </c>
      <c r="B1449" s="309" t="s">
        <v>485</v>
      </c>
      <c r="C1449" s="309" t="s">
        <v>490</v>
      </c>
      <c r="D1449" s="136" t="str">
        <f t="array" ref="D1449">IF(E1449=0,0,(INDEX(AccountCodes[ACCOUNT NAME],MATCH(E1449,AccountCodes[NGAS CODE],0))))</f>
        <v>Fuel, Oil and Lubricants Expenses</v>
      </c>
      <c r="E1449" s="309" t="s">
        <v>229</v>
      </c>
      <c r="F1449" s="501">
        <v>5000</v>
      </c>
    </row>
    <row r="1450" spans="1:6">
      <c r="A1450" s="308">
        <v>43190</v>
      </c>
      <c r="B1450" s="309" t="s">
        <v>485</v>
      </c>
      <c r="C1450" s="309" t="s">
        <v>490</v>
      </c>
      <c r="D1450" s="136" t="str">
        <f t="array" ref="D1450">IF(E1450=0,0,(INDEX(AccountCodes[ACCOUNT NAME],MATCH(E1450,AccountCodes[NGAS CODE],0))))</f>
        <v>Fuel, Oil and Lubricants Expenses</v>
      </c>
      <c r="E1450" s="309" t="s">
        <v>229</v>
      </c>
      <c r="F1450" s="501">
        <v>5000</v>
      </c>
    </row>
    <row r="1451" spans="1:6">
      <c r="A1451" s="308">
        <v>43220</v>
      </c>
      <c r="B1451" s="309" t="s">
        <v>485</v>
      </c>
      <c r="C1451" s="309" t="s">
        <v>490</v>
      </c>
      <c r="D1451" s="136" t="str">
        <f t="array" ref="D1451">IF(E1451=0,0,(INDEX(AccountCodes[ACCOUNT NAME],MATCH(E1451,AccountCodes[NGAS CODE],0))))</f>
        <v>Fuel, Oil and Lubricants Expenses</v>
      </c>
      <c r="E1451" s="309" t="s">
        <v>229</v>
      </c>
      <c r="F1451" s="501">
        <v>5000</v>
      </c>
    </row>
    <row r="1452" spans="1:6">
      <c r="A1452" s="308">
        <v>43251</v>
      </c>
      <c r="B1452" s="309" t="s">
        <v>485</v>
      </c>
      <c r="C1452" s="309" t="s">
        <v>490</v>
      </c>
      <c r="D1452" s="136" t="str">
        <f t="array" ref="D1452">IF(E1452=0,0,(INDEX(AccountCodes[ACCOUNT NAME],MATCH(E1452,AccountCodes[NGAS CODE],0))))</f>
        <v>Fuel, Oil and Lubricants Expenses</v>
      </c>
      <c r="E1452" s="309" t="s">
        <v>229</v>
      </c>
      <c r="F1452" s="501">
        <v>5000</v>
      </c>
    </row>
    <row r="1453" spans="1:6">
      <c r="A1453" s="308">
        <v>43281</v>
      </c>
      <c r="B1453" s="309" t="s">
        <v>485</v>
      </c>
      <c r="C1453" s="309" t="s">
        <v>490</v>
      </c>
      <c r="D1453" s="136" t="str">
        <f t="array" ref="D1453">IF(E1453=0,0,(INDEX(AccountCodes[ACCOUNT NAME],MATCH(E1453,AccountCodes[NGAS CODE],0))))</f>
        <v>Fuel, Oil and Lubricants Expenses</v>
      </c>
      <c r="E1453" s="309" t="s">
        <v>229</v>
      </c>
      <c r="F1453" s="501">
        <v>5000</v>
      </c>
    </row>
    <row r="1454" spans="1:6">
      <c r="A1454" s="308">
        <v>43312</v>
      </c>
      <c r="B1454" s="309" t="s">
        <v>485</v>
      </c>
      <c r="C1454" s="309" t="s">
        <v>490</v>
      </c>
      <c r="D1454" s="136" t="str">
        <f t="array" ref="D1454">IF(E1454=0,0,(INDEX(AccountCodes[ACCOUNT NAME],MATCH(E1454,AccountCodes[NGAS CODE],0))))</f>
        <v>Fuel, Oil and Lubricants Expenses</v>
      </c>
      <c r="E1454" s="309" t="s">
        <v>229</v>
      </c>
      <c r="F1454" s="501">
        <v>5000</v>
      </c>
    </row>
    <row r="1455" spans="1:6">
      <c r="A1455" s="308">
        <v>43343</v>
      </c>
      <c r="B1455" s="309" t="s">
        <v>485</v>
      </c>
      <c r="C1455" s="309" t="s">
        <v>490</v>
      </c>
      <c r="D1455" s="136" t="str">
        <f t="array" ref="D1455">IF(E1455=0,0,(INDEX(AccountCodes[ACCOUNT NAME],MATCH(E1455,AccountCodes[NGAS CODE],0))))</f>
        <v>Fuel, Oil and Lubricants Expenses</v>
      </c>
      <c r="E1455" s="309" t="s">
        <v>229</v>
      </c>
      <c r="F1455" s="501">
        <v>5000</v>
      </c>
    </row>
    <row r="1456" spans="1:6">
      <c r="A1456" s="308">
        <v>43373</v>
      </c>
      <c r="B1456" s="309" t="s">
        <v>485</v>
      </c>
      <c r="C1456" s="309" t="s">
        <v>490</v>
      </c>
      <c r="D1456" s="136" t="str">
        <f t="array" ref="D1456">IF(E1456=0,0,(INDEX(AccountCodes[ACCOUNT NAME],MATCH(E1456,AccountCodes[NGAS CODE],0))))</f>
        <v>Fuel, Oil and Lubricants Expenses</v>
      </c>
      <c r="E1456" s="309" t="s">
        <v>229</v>
      </c>
      <c r="F1456" s="501">
        <v>2000</v>
      </c>
    </row>
    <row r="1457" spans="1:6">
      <c r="A1457" s="308">
        <v>43404</v>
      </c>
      <c r="B1457" s="309" t="s">
        <v>485</v>
      </c>
      <c r="C1457" s="309" t="s">
        <v>490</v>
      </c>
      <c r="D1457" s="136" t="str">
        <f t="array" ref="D1457">IF(E1457=0,0,(INDEX(AccountCodes[ACCOUNT NAME],MATCH(E1457,AccountCodes[NGAS CODE],0))))</f>
        <v>Fuel, Oil and Lubricants Expenses</v>
      </c>
      <c r="E1457" s="309" t="s">
        <v>229</v>
      </c>
      <c r="F1457" s="501">
        <v>5000</v>
      </c>
    </row>
    <row r="1458" spans="1:6">
      <c r="A1458" s="308">
        <v>43434</v>
      </c>
      <c r="B1458" s="309" t="s">
        <v>485</v>
      </c>
      <c r="C1458" s="309" t="s">
        <v>490</v>
      </c>
      <c r="D1458" s="136" t="str">
        <f t="array" ref="D1458">IF(E1458=0,0,(INDEX(AccountCodes[ACCOUNT NAME],MATCH(E1458,AccountCodes[NGAS CODE],0))))</f>
        <v>Fuel, Oil and Lubricants Expenses</v>
      </c>
      <c r="E1458" s="309" t="s">
        <v>229</v>
      </c>
      <c r="F1458" s="501">
        <v>2000</v>
      </c>
    </row>
    <row r="1459" spans="1:6">
      <c r="A1459" s="308">
        <v>43465</v>
      </c>
      <c r="B1459" s="309" t="s">
        <v>485</v>
      </c>
      <c r="C1459" s="309" t="s">
        <v>490</v>
      </c>
      <c r="D1459" s="136" t="str">
        <f t="array" ref="D1459">IF(E1459=0,0,(INDEX(AccountCodes[ACCOUNT NAME],MATCH(E1459,AccountCodes[NGAS CODE],0))))</f>
        <v>Fuel, Oil and Lubricants Expenses</v>
      </c>
      <c r="E1459" s="309" t="s">
        <v>229</v>
      </c>
      <c r="F1459" s="501">
        <v>5000</v>
      </c>
    </row>
    <row r="1460" spans="1:6">
      <c r="A1460" s="308">
        <v>43131</v>
      </c>
      <c r="B1460" s="309" t="s">
        <v>485</v>
      </c>
      <c r="C1460" s="309" t="s">
        <v>490</v>
      </c>
      <c r="D1460" s="136" t="str">
        <f t="array" ref="D1460">IF(E1460=0,0,(INDEX(AccountCodes[ACCOUNT NAME],MATCH(E1460,AccountCodes[NGAS CODE],0))))</f>
        <v>Water Expenses</v>
      </c>
      <c r="E1460" s="309" t="s">
        <v>232</v>
      </c>
      <c r="F1460" s="501">
        <v>200</v>
      </c>
    </row>
    <row r="1461" spans="1:6">
      <c r="A1461" s="308">
        <v>43159</v>
      </c>
      <c r="B1461" s="309" t="s">
        <v>485</v>
      </c>
      <c r="C1461" s="309" t="s">
        <v>490</v>
      </c>
      <c r="D1461" s="136" t="str">
        <f t="array" ref="D1461">IF(E1461=0,0,(INDEX(AccountCodes[ACCOUNT NAME],MATCH(E1461,AccountCodes[NGAS CODE],0))))</f>
        <v>Water Expenses</v>
      </c>
      <c r="E1461" s="309" t="s">
        <v>232</v>
      </c>
      <c r="F1461" s="501">
        <v>200</v>
      </c>
    </row>
    <row r="1462" spans="1:6">
      <c r="A1462" s="308">
        <v>43190</v>
      </c>
      <c r="B1462" s="309" t="s">
        <v>485</v>
      </c>
      <c r="C1462" s="309" t="s">
        <v>490</v>
      </c>
      <c r="D1462" s="136" t="str">
        <f t="array" ref="D1462">IF(E1462=0,0,(INDEX(AccountCodes[ACCOUNT NAME],MATCH(E1462,AccountCodes[NGAS CODE],0))))</f>
        <v>Water Expenses</v>
      </c>
      <c r="E1462" s="309" t="s">
        <v>232</v>
      </c>
      <c r="F1462" s="501">
        <v>200</v>
      </c>
    </row>
    <row r="1463" spans="1:6">
      <c r="A1463" s="308">
        <v>43220</v>
      </c>
      <c r="B1463" s="309" t="s">
        <v>485</v>
      </c>
      <c r="C1463" s="309" t="s">
        <v>490</v>
      </c>
      <c r="D1463" s="136" t="str">
        <f t="array" ref="D1463">IF(E1463=0,0,(INDEX(AccountCodes[ACCOUNT NAME],MATCH(E1463,AccountCodes[NGAS CODE],0))))</f>
        <v>Water Expenses</v>
      </c>
      <c r="E1463" s="309" t="s">
        <v>232</v>
      </c>
      <c r="F1463" s="501">
        <v>200</v>
      </c>
    </row>
    <row r="1464" spans="1:6">
      <c r="A1464" s="308">
        <v>43251</v>
      </c>
      <c r="B1464" s="309" t="s">
        <v>485</v>
      </c>
      <c r="C1464" s="309" t="s">
        <v>490</v>
      </c>
      <c r="D1464" s="136" t="str">
        <f t="array" ref="D1464">IF(E1464=0,0,(INDEX(AccountCodes[ACCOUNT NAME],MATCH(E1464,AccountCodes[NGAS CODE],0))))</f>
        <v>Water Expenses</v>
      </c>
      <c r="E1464" s="309" t="s">
        <v>232</v>
      </c>
      <c r="F1464" s="501">
        <v>200</v>
      </c>
    </row>
    <row r="1465" spans="1:6">
      <c r="A1465" s="308">
        <v>43281</v>
      </c>
      <c r="B1465" s="309" t="s">
        <v>485</v>
      </c>
      <c r="C1465" s="309" t="s">
        <v>490</v>
      </c>
      <c r="D1465" s="136" t="str">
        <f t="array" ref="D1465">IF(E1465=0,0,(INDEX(AccountCodes[ACCOUNT NAME],MATCH(E1465,AccountCodes[NGAS CODE],0))))</f>
        <v>Water Expenses</v>
      </c>
      <c r="E1465" s="309" t="s">
        <v>232</v>
      </c>
      <c r="F1465" s="501">
        <v>200</v>
      </c>
    </row>
    <row r="1466" spans="1:6">
      <c r="A1466" s="308">
        <v>43312</v>
      </c>
      <c r="B1466" s="309" t="s">
        <v>485</v>
      </c>
      <c r="C1466" s="309" t="s">
        <v>490</v>
      </c>
      <c r="D1466" s="136" t="str">
        <f t="array" ref="D1466">IF(E1466=0,0,(INDEX(AccountCodes[ACCOUNT NAME],MATCH(E1466,AccountCodes[NGAS CODE],0))))</f>
        <v>Water Expenses</v>
      </c>
      <c r="E1466" s="309" t="s">
        <v>232</v>
      </c>
      <c r="F1466" s="501">
        <v>200</v>
      </c>
    </row>
    <row r="1467" spans="1:6">
      <c r="A1467" s="308">
        <v>43343</v>
      </c>
      <c r="B1467" s="309" t="s">
        <v>485</v>
      </c>
      <c r="C1467" s="309" t="s">
        <v>490</v>
      </c>
      <c r="D1467" s="136" t="str">
        <f t="array" ref="D1467">IF(E1467=0,0,(INDEX(AccountCodes[ACCOUNT NAME],MATCH(E1467,AccountCodes[NGAS CODE],0))))</f>
        <v>Water Expenses</v>
      </c>
      <c r="E1467" s="309" t="s">
        <v>232</v>
      </c>
      <c r="F1467" s="501">
        <v>200</v>
      </c>
    </row>
    <row r="1468" spans="1:6">
      <c r="A1468" s="308">
        <v>43373</v>
      </c>
      <c r="B1468" s="309" t="s">
        <v>485</v>
      </c>
      <c r="C1468" s="309" t="s">
        <v>490</v>
      </c>
      <c r="D1468" s="136" t="str">
        <f t="array" ref="D1468">IF(E1468=0,0,(INDEX(AccountCodes[ACCOUNT NAME],MATCH(E1468,AccountCodes[NGAS CODE],0))))</f>
        <v>Water Expenses</v>
      </c>
      <c r="E1468" s="309" t="s">
        <v>232</v>
      </c>
      <c r="F1468" s="501">
        <v>200</v>
      </c>
    </row>
    <row r="1469" spans="1:6">
      <c r="A1469" s="308">
        <v>43404</v>
      </c>
      <c r="B1469" s="309" t="s">
        <v>485</v>
      </c>
      <c r="C1469" s="309" t="s">
        <v>490</v>
      </c>
      <c r="D1469" s="136" t="str">
        <f t="array" ref="D1469">IF(E1469=0,0,(INDEX(AccountCodes[ACCOUNT NAME],MATCH(E1469,AccountCodes[NGAS CODE],0))))</f>
        <v>Water Expenses</v>
      </c>
      <c r="E1469" s="309" t="s">
        <v>232</v>
      </c>
      <c r="F1469" s="501">
        <v>200</v>
      </c>
    </row>
    <row r="1470" spans="1:6">
      <c r="A1470" s="308">
        <v>43434</v>
      </c>
      <c r="B1470" s="309" t="s">
        <v>485</v>
      </c>
      <c r="C1470" s="309" t="s">
        <v>490</v>
      </c>
      <c r="D1470" s="136" t="str">
        <f t="array" ref="D1470">IF(E1470=0,0,(INDEX(AccountCodes[ACCOUNT NAME],MATCH(E1470,AccountCodes[NGAS CODE],0))))</f>
        <v>Water Expenses</v>
      </c>
      <c r="E1470" s="309" t="s">
        <v>232</v>
      </c>
      <c r="F1470" s="501">
        <v>200</v>
      </c>
    </row>
    <row r="1471" spans="1:6">
      <c r="A1471" s="308">
        <v>43465</v>
      </c>
      <c r="B1471" s="309" t="s">
        <v>485</v>
      </c>
      <c r="C1471" s="309" t="s">
        <v>490</v>
      </c>
      <c r="D1471" s="136" t="str">
        <f t="array" ref="D1471">IF(E1471=0,0,(INDEX(AccountCodes[ACCOUNT NAME],MATCH(E1471,AccountCodes[NGAS CODE],0))))</f>
        <v>Water Expenses</v>
      </c>
      <c r="E1471" s="309" t="s">
        <v>232</v>
      </c>
      <c r="F1471" s="501">
        <v>200</v>
      </c>
    </row>
    <row r="1472" spans="1:6">
      <c r="A1472" s="308">
        <v>43404</v>
      </c>
      <c r="B1472" s="309" t="s">
        <v>485</v>
      </c>
      <c r="C1472" s="309" t="s">
        <v>490</v>
      </c>
      <c r="D1472" s="136" t="str">
        <f t="array" ref="D1472">IF(E1472=0,0,(INDEX(AccountCodes[ACCOUNT NAME],MATCH(E1472,AccountCodes[NGAS CODE],0))))</f>
        <v>Repairs and Maintenance-Transportation Equipment - Motor Vehicles</v>
      </c>
      <c r="E1472" s="309" t="s">
        <v>262</v>
      </c>
      <c r="F1472" s="501">
        <v>50000</v>
      </c>
    </row>
    <row r="1473" spans="1:6">
      <c r="A1473" s="308">
        <v>43159</v>
      </c>
      <c r="B1473" s="309" t="s">
        <v>485</v>
      </c>
      <c r="C1473" s="309" t="s">
        <v>490</v>
      </c>
      <c r="D1473" s="136" t="str">
        <f t="array" ref="D1473">IF(E1473=0,0,(INDEX(AccountCodes[ACCOUNT NAME],MATCH(E1473,AccountCodes[NGAS CODE],0))))</f>
        <v>Taxes, Duties and Licenses</v>
      </c>
      <c r="E1473" s="309" t="s">
        <v>272</v>
      </c>
      <c r="F1473" s="501">
        <v>1412</v>
      </c>
    </row>
    <row r="1474" spans="1:6">
      <c r="A1474" s="308">
        <v>43190</v>
      </c>
      <c r="B1474" s="309" t="s">
        <v>485</v>
      </c>
      <c r="C1474" s="309" t="s">
        <v>490</v>
      </c>
      <c r="D1474" s="136" t="str">
        <f t="array" ref="D1474">IF(E1474=0,0,(INDEX(AccountCodes[ACCOUNT NAME],MATCH(E1474,AccountCodes[NGAS CODE],0))))</f>
        <v>Taxes, Duties and Licenses</v>
      </c>
      <c r="E1474" s="309" t="s">
        <v>272</v>
      </c>
      <c r="F1474" s="501">
        <v>9094</v>
      </c>
    </row>
    <row r="1475" spans="1:6">
      <c r="A1475" s="308">
        <v>43281</v>
      </c>
      <c r="B1475" s="309" t="s">
        <v>485</v>
      </c>
      <c r="C1475" s="309" t="s">
        <v>490</v>
      </c>
      <c r="D1475" s="136" t="str">
        <f t="array" ref="D1475">IF(E1475=0,0,(INDEX(AccountCodes[ACCOUNT NAME],MATCH(E1475,AccountCodes[NGAS CODE],0))))</f>
        <v>Taxes, Duties and Licenses</v>
      </c>
      <c r="E1475" s="309" t="s">
        <v>272</v>
      </c>
      <c r="F1475" s="501">
        <v>20844</v>
      </c>
    </row>
    <row r="1476" spans="1:6">
      <c r="A1476" s="308">
        <v>43373</v>
      </c>
      <c r="B1476" s="309" t="s">
        <v>485</v>
      </c>
      <c r="C1476" s="309" t="s">
        <v>490</v>
      </c>
      <c r="D1476" s="136" t="str">
        <f t="array" ref="D1476">IF(E1476=0,0,(INDEX(AccountCodes[ACCOUNT NAME],MATCH(E1476,AccountCodes[NGAS CODE],0))))</f>
        <v>Taxes, Duties and Licenses</v>
      </c>
      <c r="E1476" s="309" t="s">
        <v>272</v>
      </c>
      <c r="F1476" s="501">
        <v>6000</v>
      </c>
    </row>
    <row r="1477" spans="1:6">
      <c r="A1477" s="308">
        <v>43404</v>
      </c>
      <c r="B1477" s="309" t="s">
        <v>485</v>
      </c>
      <c r="C1477" s="309" t="s">
        <v>490</v>
      </c>
      <c r="D1477" s="136" t="str">
        <f t="array" ref="D1477">IF(E1477=0,0,(INDEX(AccountCodes[ACCOUNT NAME],MATCH(E1477,AccountCodes[NGAS CODE],0))))</f>
        <v>Taxes, Duties and Licenses</v>
      </c>
      <c r="E1477" s="309" t="s">
        <v>272</v>
      </c>
      <c r="F1477" s="501">
        <v>13170.15</v>
      </c>
    </row>
    <row r="1478" spans="1:6">
      <c r="A1478" s="308">
        <v>43220</v>
      </c>
      <c r="B1478" s="309" t="s">
        <v>485</v>
      </c>
      <c r="C1478" s="309" t="s">
        <v>490</v>
      </c>
      <c r="D1478" s="136" t="str">
        <f t="array" ref="D1478">IF(E1478=0,0,(INDEX(AccountCodes[ACCOUNT NAME],MATCH(E1478,AccountCodes[NGAS CODE],0))))</f>
        <v>Other Maintenance and Operating Expenses (Irrigator's Share/Remuneration/Subsidy)</v>
      </c>
      <c r="E1478" s="309" t="s">
        <v>333</v>
      </c>
      <c r="F1478" s="501">
        <v>359809.5</v>
      </c>
    </row>
    <row r="1479" spans="1:6">
      <c r="A1479" s="308">
        <v>43312</v>
      </c>
      <c r="B1479" s="309" t="s">
        <v>485</v>
      </c>
      <c r="C1479" s="309" t="s">
        <v>490</v>
      </c>
      <c r="D1479" s="136" t="str">
        <f t="array" ref="D1479">IF(E1479=0,0,(INDEX(AccountCodes[ACCOUNT NAME],MATCH(E1479,AccountCodes[NGAS CODE],0))))</f>
        <v>Other Maintenance and Operating Expenses (Irrigator's Share/Remuneration/Subsidy)</v>
      </c>
      <c r="E1479" s="309" t="s">
        <v>333</v>
      </c>
      <c r="F1479" s="501">
        <v>203757.8</v>
      </c>
    </row>
    <row r="1480" spans="1:6">
      <c r="A1480" s="308">
        <v>43465</v>
      </c>
      <c r="B1480" s="309" t="s">
        <v>485</v>
      </c>
      <c r="C1480" s="309" t="s">
        <v>490</v>
      </c>
      <c r="D1480" s="136" t="str">
        <f t="array" ref="D1480">IF(E1480=0,0,(INDEX(AccountCodes[ACCOUNT NAME],MATCH(E1480,AccountCodes[NGAS CODE],0))))</f>
        <v>Other Maintenance and Operating Expenses (Irrigator's Share/Remuneration/Subsidy)</v>
      </c>
      <c r="E1480" s="309" t="s">
        <v>333</v>
      </c>
      <c r="F1480" s="501">
        <v>1073166.75</v>
      </c>
    </row>
    <row r="1481" spans="1:6">
      <c r="A1481" s="308">
        <v>43251</v>
      </c>
      <c r="B1481" s="309" t="s">
        <v>485</v>
      </c>
      <c r="C1481" s="309" t="s">
        <v>490</v>
      </c>
      <c r="D1481" s="136" t="str">
        <f t="array" ref="D1481">IF(E1481=0,0,(INDEX(AccountCodes[ACCOUNT NAME],MATCH(E1481,AccountCodes[NGAS CODE],0))))</f>
        <v>Repairs and Maintenance-Infrastructure Assets - Other Infrastructure Assets (Irrigation Canal &amp; Laterals)</v>
      </c>
      <c r="E1481" s="309" t="s">
        <v>267</v>
      </c>
      <c r="F1481" s="501">
        <v>500000</v>
      </c>
    </row>
    <row r="1482" spans="1:6">
      <c r="A1482" s="308"/>
      <c r="D1482" s="136">
        <f t="array" ref="D1482">IF(E1482=0,0,(INDEX(AccountCodes[ACCOUNT NAME],MATCH(E1482,AccountCodes[NGAS CODE],0))))</f>
        <v>0</v>
      </c>
      <c r="E1482" s="309"/>
      <c r="F1482" s="501"/>
    </row>
    <row r="1483" spans="1:6">
      <c r="A1483" s="308">
        <v>43131</v>
      </c>
      <c r="B1483" s="309" t="s">
        <v>485</v>
      </c>
      <c r="C1483" s="309" t="s">
        <v>491</v>
      </c>
      <c r="D1483" s="136" t="str">
        <f t="array" ref="D1483">IF(E1483=0,0,(INDEX(AccountCodes[ACCOUNT NAME],MATCH(E1483,AccountCodes[NGAS CODE],0))))</f>
        <v>Salaries and Wages-Regular</v>
      </c>
      <c r="E1483" s="309" t="s">
        <v>162</v>
      </c>
      <c r="F1483" s="501">
        <v>60331</v>
      </c>
    </row>
    <row r="1484" spans="1:6">
      <c r="A1484" s="308">
        <v>43159</v>
      </c>
      <c r="B1484" s="309" t="s">
        <v>485</v>
      </c>
      <c r="C1484" s="309" t="s">
        <v>491</v>
      </c>
      <c r="D1484" s="136" t="str">
        <f t="array" ref="D1484">IF(E1484=0,0,(INDEX(AccountCodes[ACCOUNT NAME],MATCH(E1484,AccountCodes[NGAS CODE],0))))</f>
        <v>Salaries and Wages-Regular</v>
      </c>
      <c r="E1484" s="309" t="s">
        <v>162</v>
      </c>
      <c r="F1484" s="501">
        <v>60331</v>
      </c>
    </row>
    <row r="1485" spans="1:6">
      <c r="A1485" s="308">
        <v>43190</v>
      </c>
      <c r="B1485" s="309" t="s">
        <v>485</v>
      </c>
      <c r="C1485" s="309" t="s">
        <v>491</v>
      </c>
      <c r="D1485" s="136" t="str">
        <f t="array" ref="D1485">IF(E1485=0,0,(INDEX(AccountCodes[ACCOUNT NAME],MATCH(E1485,AccountCodes[NGAS CODE],0))))</f>
        <v>Salaries and Wages-Regular</v>
      </c>
      <c r="E1485" s="309" t="s">
        <v>162</v>
      </c>
      <c r="F1485" s="501">
        <v>60331</v>
      </c>
    </row>
    <row r="1486" spans="1:6">
      <c r="A1486" s="308">
        <v>43220</v>
      </c>
      <c r="B1486" s="309" t="s">
        <v>485</v>
      </c>
      <c r="C1486" s="309" t="s">
        <v>491</v>
      </c>
      <c r="D1486" s="136" t="str">
        <f t="array" ref="D1486">IF(E1486=0,0,(INDEX(AccountCodes[ACCOUNT NAME],MATCH(E1486,AccountCodes[NGAS CODE],0))))</f>
        <v>Salaries and Wages-Regular</v>
      </c>
      <c r="E1486" s="309" t="s">
        <v>162</v>
      </c>
      <c r="F1486" s="501">
        <v>60331</v>
      </c>
    </row>
    <row r="1487" spans="1:6">
      <c r="A1487" s="308">
        <v>43251</v>
      </c>
      <c r="B1487" s="309" t="s">
        <v>485</v>
      </c>
      <c r="C1487" s="309" t="s">
        <v>491</v>
      </c>
      <c r="D1487" s="136" t="str">
        <f t="array" ref="D1487">IF(E1487=0,0,(INDEX(AccountCodes[ACCOUNT NAME],MATCH(E1487,AccountCodes[NGAS CODE],0))))</f>
        <v>Salaries and Wages-Regular</v>
      </c>
      <c r="E1487" s="309" t="s">
        <v>162</v>
      </c>
      <c r="F1487" s="501">
        <v>60331</v>
      </c>
    </row>
    <row r="1488" spans="1:6">
      <c r="A1488" s="308">
        <v>43281</v>
      </c>
      <c r="B1488" s="309" t="s">
        <v>485</v>
      </c>
      <c r="C1488" s="309" t="s">
        <v>491</v>
      </c>
      <c r="D1488" s="136" t="str">
        <f t="array" ref="D1488">IF(E1488=0,0,(INDEX(AccountCodes[ACCOUNT NAME],MATCH(E1488,AccountCodes[NGAS CODE],0))))</f>
        <v>Salaries and Wages-Regular</v>
      </c>
      <c r="E1488" s="309" t="s">
        <v>162</v>
      </c>
      <c r="F1488" s="501">
        <v>60331</v>
      </c>
    </row>
    <row r="1489" spans="1:6">
      <c r="A1489" s="308">
        <v>43312</v>
      </c>
      <c r="B1489" s="309" t="s">
        <v>485</v>
      </c>
      <c r="C1489" s="309" t="s">
        <v>491</v>
      </c>
      <c r="D1489" s="136" t="str">
        <f t="array" ref="D1489">IF(E1489=0,0,(INDEX(AccountCodes[ACCOUNT NAME],MATCH(E1489,AccountCodes[NGAS CODE],0))))</f>
        <v>Salaries and Wages-Regular</v>
      </c>
      <c r="E1489" s="309" t="s">
        <v>162</v>
      </c>
      <c r="F1489" s="501">
        <v>60331</v>
      </c>
    </row>
    <row r="1490" spans="1:6">
      <c r="A1490" s="308">
        <v>43343</v>
      </c>
      <c r="B1490" s="309" t="s">
        <v>485</v>
      </c>
      <c r="C1490" s="309" t="s">
        <v>491</v>
      </c>
      <c r="D1490" s="136" t="str">
        <f t="array" ref="D1490">IF(E1490=0,0,(INDEX(AccountCodes[ACCOUNT NAME],MATCH(E1490,AccountCodes[NGAS CODE],0))))</f>
        <v>Salaries and Wages-Regular</v>
      </c>
      <c r="E1490" s="309" t="s">
        <v>162</v>
      </c>
      <c r="F1490" s="501">
        <v>60331</v>
      </c>
    </row>
    <row r="1491" spans="1:6">
      <c r="A1491" s="308">
        <v>43373</v>
      </c>
      <c r="B1491" s="309" t="s">
        <v>485</v>
      </c>
      <c r="C1491" s="309" t="s">
        <v>491</v>
      </c>
      <c r="D1491" s="136" t="str">
        <f t="array" ref="D1491">IF(E1491=0,0,(INDEX(AccountCodes[ACCOUNT NAME],MATCH(E1491,AccountCodes[NGAS CODE],0))))</f>
        <v>Salaries and Wages-Regular</v>
      </c>
      <c r="E1491" s="309" t="s">
        <v>162</v>
      </c>
      <c r="F1491" s="501">
        <v>60331</v>
      </c>
    </row>
    <row r="1492" spans="1:6">
      <c r="A1492" s="308">
        <v>43404</v>
      </c>
      <c r="B1492" s="309" t="s">
        <v>485</v>
      </c>
      <c r="C1492" s="309" t="s">
        <v>491</v>
      </c>
      <c r="D1492" s="136" t="str">
        <f t="array" ref="D1492">IF(E1492=0,0,(INDEX(AccountCodes[ACCOUNT NAME],MATCH(E1492,AccountCodes[NGAS CODE],0))))</f>
        <v>Salaries and Wages-Regular</v>
      </c>
      <c r="E1492" s="309" t="s">
        <v>162</v>
      </c>
      <c r="F1492" s="501">
        <v>60331</v>
      </c>
    </row>
    <row r="1493" spans="1:6">
      <c r="A1493" s="308">
        <v>43434</v>
      </c>
      <c r="B1493" s="309" t="s">
        <v>485</v>
      </c>
      <c r="C1493" s="309" t="s">
        <v>491</v>
      </c>
      <c r="D1493" s="136" t="str">
        <f t="array" ref="D1493">IF(E1493=0,0,(INDEX(AccountCodes[ACCOUNT NAME],MATCH(E1493,AccountCodes[NGAS CODE],0))))</f>
        <v>Salaries and Wages-Regular</v>
      </c>
      <c r="E1493" s="309" t="s">
        <v>162</v>
      </c>
      <c r="F1493" s="501">
        <v>60331</v>
      </c>
    </row>
    <row r="1494" spans="1:6">
      <c r="A1494" s="308">
        <v>43465</v>
      </c>
      <c r="B1494" s="309" t="s">
        <v>485</v>
      </c>
      <c r="C1494" s="309" t="s">
        <v>491</v>
      </c>
      <c r="D1494" s="136" t="str">
        <f t="array" ref="D1494">IF(E1494=0,0,(INDEX(AccountCodes[ACCOUNT NAME],MATCH(E1494,AccountCodes[NGAS CODE],0))))</f>
        <v>Salaries and Wages-Regular</v>
      </c>
      <c r="E1494" s="309" t="s">
        <v>162</v>
      </c>
      <c r="F1494" s="501">
        <v>60331</v>
      </c>
    </row>
    <row r="1495" spans="1:6">
      <c r="A1495" s="308">
        <v>43131</v>
      </c>
      <c r="B1495" s="309" t="s">
        <v>485</v>
      </c>
      <c r="C1495" s="309" t="s">
        <v>491</v>
      </c>
      <c r="D1495" s="136" t="str">
        <f t="array" ref="D1495">IF(E1495=0,0,(INDEX(AccountCodes[ACCOUNT NAME],MATCH(E1495,AccountCodes[NGAS CODE],0))))</f>
        <v>Personal Economic Relief Allowance (PERA)</v>
      </c>
      <c r="E1495" s="309" t="s">
        <v>164</v>
      </c>
      <c r="F1495" s="501">
        <v>8000</v>
      </c>
    </row>
    <row r="1496" spans="1:6">
      <c r="A1496" s="308">
        <v>43159</v>
      </c>
      <c r="B1496" s="309" t="s">
        <v>485</v>
      </c>
      <c r="C1496" s="309" t="s">
        <v>491</v>
      </c>
      <c r="D1496" s="136" t="str">
        <f t="array" ref="D1496">IF(E1496=0,0,(INDEX(AccountCodes[ACCOUNT NAME],MATCH(E1496,AccountCodes[NGAS CODE],0))))</f>
        <v>Personal Economic Relief Allowance (PERA)</v>
      </c>
      <c r="E1496" s="309" t="s">
        <v>164</v>
      </c>
      <c r="F1496" s="501">
        <v>8000</v>
      </c>
    </row>
    <row r="1497" spans="1:6">
      <c r="A1497" s="308">
        <v>43190</v>
      </c>
      <c r="B1497" s="309" t="s">
        <v>485</v>
      </c>
      <c r="C1497" s="309" t="s">
        <v>491</v>
      </c>
      <c r="D1497" s="136" t="str">
        <f t="array" ref="D1497">IF(E1497=0,0,(INDEX(AccountCodes[ACCOUNT NAME],MATCH(E1497,AccountCodes[NGAS CODE],0))))</f>
        <v>Personal Economic Relief Allowance (PERA)</v>
      </c>
      <c r="E1497" s="309" t="s">
        <v>164</v>
      </c>
      <c r="F1497" s="501">
        <v>8000</v>
      </c>
    </row>
    <row r="1498" spans="1:6">
      <c r="A1498" s="308">
        <v>43220</v>
      </c>
      <c r="B1498" s="309" t="s">
        <v>485</v>
      </c>
      <c r="C1498" s="309" t="s">
        <v>491</v>
      </c>
      <c r="D1498" s="136" t="str">
        <f t="array" ref="D1498">IF(E1498=0,0,(INDEX(AccountCodes[ACCOUNT NAME],MATCH(E1498,AccountCodes[NGAS CODE],0))))</f>
        <v>Personal Economic Relief Allowance (PERA)</v>
      </c>
      <c r="E1498" s="309" t="s">
        <v>164</v>
      </c>
      <c r="F1498" s="501">
        <v>8000</v>
      </c>
    </row>
    <row r="1499" spans="1:6">
      <c r="A1499" s="308">
        <v>43251</v>
      </c>
      <c r="B1499" s="309" t="s">
        <v>485</v>
      </c>
      <c r="C1499" s="309" t="s">
        <v>491</v>
      </c>
      <c r="D1499" s="136" t="str">
        <f t="array" ref="D1499">IF(E1499=0,0,(INDEX(AccountCodes[ACCOUNT NAME],MATCH(E1499,AccountCodes[NGAS CODE],0))))</f>
        <v>Personal Economic Relief Allowance (PERA)</v>
      </c>
      <c r="E1499" s="309" t="s">
        <v>164</v>
      </c>
      <c r="F1499" s="501">
        <v>8000</v>
      </c>
    </row>
    <row r="1500" spans="1:6">
      <c r="A1500" s="308">
        <v>43281</v>
      </c>
      <c r="B1500" s="309" t="s">
        <v>485</v>
      </c>
      <c r="C1500" s="309" t="s">
        <v>491</v>
      </c>
      <c r="D1500" s="136" t="str">
        <f t="array" ref="D1500">IF(E1500=0,0,(INDEX(AccountCodes[ACCOUNT NAME],MATCH(E1500,AccountCodes[NGAS CODE],0))))</f>
        <v>Personal Economic Relief Allowance (PERA)</v>
      </c>
      <c r="E1500" s="309" t="s">
        <v>164</v>
      </c>
      <c r="F1500" s="501">
        <v>8000</v>
      </c>
    </row>
    <row r="1501" spans="1:6">
      <c r="A1501" s="308">
        <v>43312</v>
      </c>
      <c r="B1501" s="309" t="s">
        <v>485</v>
      </c>
      <c r="C1501" s="309" t="s">
        <v>491</v>
      </c>
      <c r="D1501" s="136" t="str">
        <f t="array" ref="D1501">IF(E1501=0,0,(INDEX(AccountCodes[ACCOUNT NAME],MATCH(E1501,AccountCodes[NGAS CODE],0))))</f>
        <v>Personal Economic Relief Allowance (PERA)</v>
      </c>
      <c r="E1501" s="309" t="s">
        <v>164</v>
      </c>
      <c r="F1501" s="501">
        <v>8000</v>
      </c>
    </row>
    <row r="1502" spans="1:6">
      <c r="A1502" s="308">
        <v>43343</v>
      </c>
      <c r="B1502" s="309" t="s">
        <v>485</v>
      </c>
      <c r="C1502" s="309" t="s">
        <v>491</v>
      </c>
      <c r="D1502" s="136" t="str">
        <f t="array" ref="D1502">IF(E1502=0,0,(INDEX(AccountCodes[ACCOUNT NAME],MATCH(E1502,AccountCodes[NGAS CODE],0))))</f>
        <v>Personal Economic Relief Allowance (PERA)</v>
      </c>
      <c r="E1502" s="309" t="s">
        <v>164</v>
      </c>
      <c r="F1502" s="501">
        <v>8000</v>
      </c>
    </row>
    <row r="1503" spans="1:6">
      <c r="A1503" s="308">
        <v>43373</v>
      </c>
      <c r="B1503" s="309" t="s">
        <v>485</v>
      </c>
      <c r="C1503" s="309" t="s">
        <v>491</v>
      </c>
      <c r="D1503" s="136" t="str">
        <f t="array" ref="D1503">IF(E1503=0,0,(INDEX(AccountCodes[ACCOUNT NAME],MATCH(E1503,AccountCodes[NGAS CODE],0))))</f>
        <v>Personal Economic Relief Allowance (PERA)</v>
      </c>
      <c r="E1503" s="309" t="s">
        <v>164</v>
      </c>
      <c r="F1503" s="501">
        <v>8000</v>
      </c>
    </row>
    <row r="1504" spans="1:6">
      <c r="A1504" s="308">
        <v>43404</v>
      </c>
      <c r="B1504" s="309" t="s">
        <v>485</v>
      </c>
      <c r="C1504" s="309" t="s">
        <v>491</v>
      </c>
      <c r="D1504" s="136" t="str">
        <f t="array" ref="D1504">IF(E1504=0,0,(INDEX(AccountCodes[ACCOUNT NAME],MATCH(E1504,AccountCodes[NGAS CODE],0))))</f>
        <v>Personal Economic Relief Allowance (PERA)</v>
      </c>
      <c r="E1504" s="309" t="s">
        <v>164</v>
      </c>
      <c r="F1504" s="501">
        <v>8000</v>
      </c>
    </row>
    <row r="1505" spans="1:6">
      <c r="A1505" s="308">
        <v>43434</v>
      </c>
      <c r="B1505" s="309" t="s">
        <v>485</v>
      </c>
      <c r="C1505" s="309" t="s">
        <v>491</v>
      </c>
      <c r="D1505" s="136" t="str">
        <f t="array" ref="D1505">IF(E1505=0,0,(INDEX(AccountCodes[ACCOUNT NAME],MATCH(E1505,AccountCodes[NGAS CODE],0))))</f>
        <v>Personal Economic Relief Allowance (PERA)</v>
      </c>
      <c r="E1505" s="309" t="s">
        <v>164</v>
      </c>
      <c r="F1505" s="501">
        <v>8000</v>
      </c>
    </row>
    <row r="1506" spans="1:6">
      <c r="A1506" s="308">
        <v>43465</v>
      </c>
      <c r="B1506" s="309" t="s">
        <v>485</v>
      </c>
      <c r="C1506" s="309" t="s">
        <v>491</v>
      </c>
      <c r="D1506" s="136" t="str">
        <f t="array" ref="D1506">IF(E1506=0,0,(INDEX(AccountCodes[ACCOUNT NAME],MATCH(E1506,AccountCodes[NGAS CODE],0))))</f>
        <v>Personal Economic Relief Allowance (PERA)</v>
      </c>
      <c r="E1506" s="309" t="s">
        <v>164</v>
      </c>
      <c r="F1506" s="501">
        <v>8000</v>
      </c>
    </row>
    <row r="1507" spans="1:6">
      <c r="A1507" s="308">
        <v>43190</v>
      </c>
      <c r="B1507" s="309" t="s">
        <v>485</v>
      </c>
      <c r="C1507" s="309" t="s">
        <v>491</v>
      </c>
      <c r="D1507" s="136" t="str">
        <f t="array" ref="D1507">IF(E1507=0,0,(INDEX(AccountCodes[ACCOUNT NAME],MATCH(E1507,AccountCodes[NGAS CODE],0))))</f>
        <v>Clothing/Uniform Allowance</v>
      </c>
      <c r="E1507" s="309" t="s">
        <v>167</v>
      </c>
      <c r="F1507" s="501">
        <v>20000</v>
      </c>
    </row>
    <row r="1508" spans="1:6">
      <c r="A1508" s="308">
        <v>43434</v>
      </c>
      <c r="B1508" s="309" t="s">
        <v>485</v>
      </c>
      <c r="C1508" s="309" t="s">
        <v>491</v>
      </c>
      <c r="D1508" s="136" t="str">
        <f t="array" ref="D1508">IF(E1508=0,0,(INDEX(AccountCodes[ACCOUNT NAME],MATCH(E1508,AccountCodes[NGAS CODE],0))))</f>
        <v>Cash Gift</v>
      </c>
      <c r="E1508" s="309" t="s">
        <v>172</v>
      </c>
      <c r="F1508" s="501">
        <v>20000</v>
      </c>
    </row>
    <row r="1509" spans="1:6">
      <c r="A1509" s="308">
        <v>43251</v>
      </c>
      <c r="B1509" s="309" t="s">
        <v>485</v>
      </c>
      <c r="C1509" s="309" t="s">
        <v>491</v>
      </c>
      <c r="D1509" s="136" t="str">
        <f t="array" ref="D1509">IF(E1509=0,0,(INDEX(AccountCodes[ACCOUNT NAME],MATCH(E1509,AccountCodes[NGAS CODE],0))))</f>
        <v>Mid-Year/Year End Bonus</v>
      </c>
      <c r="E1509" s="309" t="s">
        <v>174</v>
      </c>
      <c r="F1509" s="501">
        <v>60331</v>
      </c>
    </row>
    <row r="1510" spans="1:6">
      <c r="A1510" s="308">
        <v>43434</v>
      </c>
      <c r="B1510" s="309" t="s">
        <v>485</v>
      </c>
      <c r="C1510" s="309" t="s">
        <v>491</v>
      </c>
      <c r="D1510" s="136" t="str">
        <f t="array" ref="D1510">IF(E1510=0,0,(INDEX(AccountCodes[ACCOUNT NAME],MATCH(E1510,AccountCodes[NGAS CODE],0))))</f>
        <v>Mid-Year/Year End Bonus</v>
      </c>
      <c r="E1510" s="309" t="s">
        <v>174</v>
      </c>
      <c r="F1510" s="501">
        <v>60331</v>
      </c>
    </row>
    <row r="1511" spans="1:6">
      <c r="A1511" s="308">
        <v>43131</v>
      </c>
      <c r="B1511" s="309" t="s">
        <v>485</v>
      </c>
      <c r="C1511" s="309" t="s">
        <v>491</v>
      </c>
      <c r="D1511" s="136" t="str">
        <f t="array" ref="D1511">IF(E1511=0,0,(INDEX(AccountCodes[ACCOUNT NAME],MATCH(E1511,AccountCodes[NGAS CODE],0))))</f>
        <v>Other Bonuses and Allowances - Medical Allowance</v>
      </c>
      <c r="E1511" s="309" t="s">
        <v>5</v>
      </c>
      <c r="F1511" s="501">
        <v>200</v>
      </c>
    </row>
    <row r="1512" spans="1:6">
      <c r="A1512" s="308">
        <v>43159</v>
      </c>
      <c r="B1512" s="309" t="s">
        <v>485</v>
      </c>
      <c r="C1512" s="309" t="s">
        <v>491</v>
      </c>
      <c r="D1512" s="136" t="str">
        <f t="array" ref="D1512">IF(E1512=0,0,(INDEX(AccountCodes[ACCOUNT NAME],MATCH(E1512,AccountCodes[NGAS CODE],0))))</f>
        <v>Other Bonuses and Allowances - Medical Allowance</v>
      </c>
      <c r="E1512" s="309" t="s">
        <v>5</v>
      </c>
      <c r="F1512" s="501">
        <v>200</v>
      </c>
    </row>
    <row r="1513" spans="1:6">
      <c r="A1513" s="308">
        <v>43190</v>
      </c>
      <c r="B1513" s="309" t="s">
        <v>485</v>
      </c>
      <c r="C1513" s="309" t="s">
        <v>491</v>
      </c>
      <c r="D1513" s="136" t="str">
        <f t="array" ref="D1513">IF(E1513=0,0,(INDEX(AccountCodes[ACCOUNT NAME],MATCH(E1513,AccountCodes[NGAS CODE],0))))</f>
        <v>Other Bonuses and Allowances - Medical Allowance</v>
      </c>
      <c r="E1513" s="309" t="s">
        <v>5</v>
      </c>
      <c r="F1513" s="501">
        <v>200</v>
      </c>
    </row>
    <row r="1514" spans="1:6">
      <c r="A1514" s="308">
        <v>43220</v>
      </c>
      <c r="B1514" s="309" t="s">
        <v>485</v>
      </c>
      <c r="C1514" s="309" t="s">
        <v>491</v>
      </c>
      <c r="D1514" s="136" t="str">
        <f t="array" ref="D1514">IF(E1514=0,0,(INDEX(AccountCodes[ACCOUNT NAME],MATCH(E1514,AccountCodes[NGAS CODE],0))))</f>
        <v>Other Bonuses and Allowances - Medical Allowance</v>
      </c>
      <c r="E1514" s="309" t="s">
        <v>5</v>
      </c>
      <c r="F1514" s="501">
        <v>200</v>
      </c>
    </row>
    <row r="1515" spans="1:6">
      <c r="A1515" s="308">
        <v>43251</v>
      </c>
      <c r="B1515" s="309" t="s">
        <v>485</v>
      </c>
      <c r="C1515" s="309" t="s">
        <v>491</v>
      </c>
      <c r="D1515" s="136" t="str">
        <f t="array" ref="D1515">IF(E1515=0,0,(INDEX(AccountCodes[ACCOUNT NAME],MATCH(E1515,AccountCodes[NGAS CODE],0))))</f>
        <v>Other Bonuses and Allowances - Medical Allowance</v>
      </c>
      <c r="E1515" s="309" t="s">
        <v>5</v>
      </c>
      <c r="F1515" s="501">
        <v>200</v>
      </c>
    </row>
    <row r="1516" spans="1:6">
      <c r="A1516" s="308">
        <v>43281</v>
      </c>
      <c r="B1516" s="309" t="s">
        <v>485</v>
      </c>
      <c r="C1516" s="309" t="s">
        <v>491</v>
      </c>
      <c r="D1516" s="136" t="str">
        <f t="array" ref="D1516">IF(E1516=0,0,(INDEX(AccountCodes[ACCOUNT NAME],MATCH(E1516,AccountCodes[NGAS CODE],0))))</f>
        <v>Other Bonuses and Allowances - Medical Allowance</v>
      </c>
      <c r="E1516" s="309" t="s">
        <v>5</v>
      </c>
      <c r="F1516" s="501">
        <v>200</v>
      </c>
    </row>
    <row r="1517" spans="1:6">
      <c r="A1517" s="308">
        <v>43312</v>
      </c>
      <c r="B1517" s="309" t="s">
        <v>485</v>
      </c>
      <c r="C1517" s="309" t="s">
        <v>491</v>
      </c>
      <c r="D1517" s="136" t="str">
        <f t="array" ref="D1517">IF(E1517=0,0,(INDEX(AccountCodes[ACCOUNT NAME],MATCH(E1517,AccountCodes[NGAS CODE],0))))</f>
        <v>Other Bonuses and Allowances - Medical Allowance</v>
      </c>
      <c r="E1517" s="309" t="s">
        <v>5</v>
      </c>
      <c r="F1517" s="501">
        <v>200</v>
      </c>
    </row>
    <row r="1518" spans="1:6">
      <c r="A1518" s="308">
        <v>43343</v>
      </c>
      <c r="B1518" s="309" t="s">
        <v>485</v>
      </c>
      <c r="C1518" s="309" t="s">
        <v>491</v>
      </c>
      <c r="D1518" s="136" t="str">
        <f t="array" ref="D1518">IF(E1518=0,0,(INDEX(AccountCodes[ACCOUNT NAME],MATCH(E1518,AccountCodes[NGAS CODE],0))))</f>
        <v>Other Bonuses and Allowances - Medical Allowance</v>
      </c>
      <c r="E1518" s="309" t="s">
        <v>5</v>
      </c>
      <c r="F1518" s="501">
        <v>200</v>
      </c>
    </row>
    <row r="1519" spans="1:6">
      <c r="A1519" s="308">
        <v>43373</v>
      </c>
      <c r="B1519" s="309" t="s">
        <v>485</v>
      </c>
      <c r="C1519" s="309" t="s">
        <v>491</v>
      </c>
      <c r="D1519" s="136" t="str">
        <f t="array" ref="D1519">IF(E1519=0,0,(INDEX(AccountCodes[ACCOUNT NAME],MATCH(E1519,AccountCodes[NGAS CODE],0))))</f>
        <v>Other Bonuses and Allowances - Medical Allowance</v>
      </c>
      <c r="E1519" s="309" t="s">
        <v>5</v>
      </c>
      <c r="F1519" s="501">
        <v>200</v>
      </c>
    </row>
    <row r="1520" spans="1:6">
      <c r="A1520" s="308">
        <v>43404</v>
      </c>
      <c r="B1520" s="309" t="s">
        <v>485</v>
      </c>
      <c r="C1520" s="309" t="s">
        <v>491</v>
      </c>
      <c r="D1520" s="136" t="str">
        <f t="array" ref="D1520">IF(E1520=0,0,(INDEX(AccountCodes[ACCOUNT NAME],MATCH(E1520,AccountCodes[NGAS CODE],0))))</f>
        <v>Other Bonuses and Allowances - Medical Allowance</v>
      </c>
      <c r="E1520" s="309" t="s">
        <v>5</v>
      </c>
      <c r="F1520" s="501">
        <v>200</v>
      </c>
    </row>
    <row r="1521" spans="1:6">
      <c r="A1521" s="308">
        <v>43434</v>
      </c>
      <c r="B1521" s="309" t="s">
        <v>485</v>
      </c>
      <c r="C1521" s="309" t="s">
        <v>491</v>
      </c>
      <c r="D1521" s="136" t="str">
        <f t="array" ref="D1521">IF(E1521=0,0,(INDEX(AccountCodes[ACCOUNT NAME],MATCH(E1521,AccountCodes[NGAS CODE],0))))</f>
        <v>Other Bonuses and Allowances - Medical Allowance</v>
      </c>
      <c r="E1521" s="309" t="s">
        <v>5</v>
      </c>
      <c r="F1521" s="501">
        <v>200</v>
      </c>
    </row>
    <row r="1522" spans="1:6">
      <c r="A1522" s="308">
        <v>43465</v>
      </c>
      <c r="B1522" s="309" t="s">
        <v>485</v>
      </c>
      <c r="C1522" s="309" t="s">
        <v>491</v>
      </c>
      <c r="D1522" s="136" t="str">
        <f t="array" ref="D1522">IF(E1522=0,0,(INDEX(AccountCodes[ACCOUNT NAME],MATCH(E1522,AccountCodes[NGAS CODE],0))))</f>
        <v>Other Bonuses and Allowances - Medical Allowance</v>
      </c>
      <c r="E1522" s="309" t="s">
        <v>5</v>
      </c>
      <c r="F1522" s="501">
        <v>200</v>
      </c>
    </row>
    <row r="1523" spans="1:6">
      <c r="A1523" s="308">
        <v>43131</v>
      </c>
      <c r="B1523" s="309" t="s">
        <v>485</v>
      </c>
      <c r="C1523" s="309" t="s">
        <v>491</v>
      </c>
      <c r="D1523" s="136" t="str">
        <f t="array" ref="D1523">IF(E1523=0,0,(INDEX(AccountCodes[ACCOUNT NAME],MATCH(E1523,AccountCodes[NGAS CODE],0))))</f>
        <v>Other Bonuses and Allowances - Meal Allowance</v>
      </c>
      <c r="E1523" s="309" t="s">
        <v>6</v>
      </c>
      <c r="F1523" s="501">
        <v>66</v>
      </c>
    </row>
    <row r="1524" spans="1:6">
      <c r="A1524" s="308">
        <v>43159</v>
      </c>
      <c r="B1524" s="309" t="s">
        <v>485</v>
      </c>
      <c r="C1524" s="309" t="s">
        <v>491</v>
      </c>
      <c r="D1524" s="136" t="str">
        <f t="array" ref="D1524">IF(E1524=0,0,(INDEX(AccountCodes[ACCOUNT NAME],MATCH(E1524,AccountCodes[NGAS CODE],0))))</f>
        <v>Other Bonuses and Allowances - Meal Allowance</v>
      </c>
      <c r="E1524" s="309" t="s">
        <v>6</v>
      </c>
      <c r="F1524" s="501">
        <v>66</v>
      </c>
    </row>
    <row r="1525" spans="1:6">
      <c r="A1525" s="308">
        <v>43190</v>
      </c>
      <c r="B1525" s="309" t="s">
        <v>485</v>
      </c>
      <c r="C1525" s="309" t="s">
        <v>491</v>
      </c>
      <c r="D1525" s="136" t="str">
        <f t="array" ref="D1525">IF(E1525=0,0,(INDEX(AccountCodes[ACCOUNT NAME],MATCH(E1525,AccountCodes[NGAS CODE],0))))</f>
        <v>Other Bonuses and Allowances - Meal Allowance</v>
      </c>
      <c r="E1525" s="309" t="s">
        <v>6</v>
      </c>
      <c r="F1525" s="501">
        <v>66</v>
      </c>
    </row>
    <row r="1526" spans="1:6">
      <c r="A1526" s="308">
        <v>43220</v>
      </c>
      <c r="B1526" s="309" t="s">
        <v>485</v>
      </c>
      <c r="C1526" s="309" t="s">
        <v>491</v>
      </c>
      <c r="D1526" s="136" t="str">
        <f t="array" ref="D1526">IF(E1526=0,0,(INDEX(AccountCodes[ACCOUNT NAME],MATCH(E1526,AccountCodes[NGAS CODE],0))))</f>
        <v>Other Bonuses and Allowances - Meal Allowance</v>
      </c>
      <c r="E1526" s="309" t="s">
        <v>6</v>
      </c>
      <c r="F1526" s="501">
        <v>66</v>
      </c>
    </row>
    <row r="1527" spans="1:6">
      <c r="A1527" s="308">
        <v>43251</v>
      </c>
      <c r="B1527" s="309" t="s">
        <v>485</v>
      </c>
      <c r="C1527" s="309" t="s">
        <v>491</v>
      </c>
      <c r="D1527" s="136" t="str">
        <f t="array" ref="D1527">IF(E1527=0,0,(INDEX(AccountCodes[ACCOUNT NAME],MATCH(E1527,AccountCodes[NGAS CODE],0))))</f>
        <v>Other Bonuses and Allowances - Meal Allowance</v>
      </c>
      <c r="E1527" s="309" t="s">
        <v>6</v>
      </c>
      <c r="F1527" s="501">
        <v>66</v>
      </c>
    </row>
    <row r="1528" spans="1:6">
      <c r="A1528" s="308">
        <v>43281</v>
      </c>
      <c r="B1528" s="309" t="s">
        <v>485</v>
      </c>
      <c r="C1528" s="309" t="s">
        <v>491</v>
      </c>
      <c r="D1528" s="136" t="str">
        <f t="array" ref="D1528">IF(E1528=0,0,(INDEX(AccountCodes[ACCOUNT NAME],MATCH(E1528,AccountCodes[NGAS CODE],0))))</f>
        <v>Other Bonuses and Allowances - Meal Allowance</v>
      </c>
      <c r="E1528" s="309" t="s">
        <v>6</v>
      </c>
      <c r="F1528" s="501">
        <v>66</v>
      </c>
    </row>
    <row r="1529" spans="1:6">
      <c r="A1529" s="308">
        <v>43312</v>
      </c>
      <c r="B1529" s="309" t="s">
        <v>485</v>
      </c>
      <c r="C1529" s="309" t="s">
        <v>491</v>
      </c>
      <c r="D1529" s="136" t="str">
        <f t="array" ref="D1529">IF(E1529=0,0,(INDEX(AccountCodes[ACCOUNT NAME],MATCH(E1529,AccountCodes[NGAS CODE],0))))</f>
        <v>Other Bonuses and Allowances - Meal Allowance</v>
      </c>
      <c r="E1529" s="309" t="s">
        <v>6</v>
      </c>
      <c r="F1529" s="501">
        <v>66</v>
      </c>
    </row>
    <row r="1530" spans="1:6">
      <c r="A1530" s="308">
        <v>43343</v>
      </c>
      <c r="B1530" s="309" t="s">
        <v>485</v>
      </c>
      <c r="C1530" s="309" t="s">
        <v>491</v>
      </c>
      <c r="D1530" s="136" t="str">
        <f t="array" ref="D1530">IF(E1530=0,0,(INDEX(AccountCodes[ACCOUNT NAME],MATCH(E1530,AccountCodes[NGAS CODE],0))))</f>
        <v>Other Bonuses and Allowances - Meal Allowance</v>
      </c>
      <c r="E1530" s="309" t="s">
        <v>6</v>
      </c>
      <c r="F1530" s="501">
        <v>66</v>
      </c>
    </row>
    <row r="1531" spans="1:6">
      <c r="A1531" s="308">
        <v>43373</v>
      </c>
      <c r="B1531" s="309" t="s">
        <v>485</v>
      </c>
      <c r="C1531" s="309" t="s">
        <v>491</v>
      </c>
      <c r="D1531" s="136" t="str">
        <f t="array" ref="D1531">IF(E1531=0,0,(INDEX(AccountCodes[ACCOUNT NAME],MATCH(E1531,AccountCodes[NGAS CODE],0))))</f>
        <v>Other Bonuses and Allowances - Meal Allowance</v>
      </c>
      <c r="E1531" s="309" t="s">
        <v>6</v>
      </c>
      <c r="F1531" s="501">
        <v>66</v>
      </c>
    </row>
    <row r="1532" spans="1:6">
      <c r="A1532" s="308">
        <v>43404</v>
      </c>
      <c r="B1532" s="309" t="s">
        <v>485</v>
      </c>
      <c r="C1532" s="309" t="s">
        <v>491</v>
      </c>
      <c r="D1532" s="136" t="str">
        <f t="array" ref="D1532">IF(E1532=0,0,(INDEX(AccountCodes[ACCOUNT NAME],MATCH(E1532,AccountCodes[NGAS CODE],0))))</f>
        <v>Other Bonuses and Allowances - Meal Allowance</v>
      </c>
      <c r="E1532" s="309" t="s">
        <v>6</v>
      </c>
      <c r="F1532" s="501">
        <v>66</v>
      </c>
    </row>
    <row r="1533" spans="1:6">
      <c r="A1533" s="308">
        <v>43434</v>
      </c>
      <c r="B1533" s="309" t="s">
        <v>485</v>
      </c>
      <c r="C1533" s="309" t="s">
        <v>491</v>
      </c>
      <c r="D1533" s="136" t="str">
        <f t="array" ref="D1533">IF(E1533=0,0,(INDEX(AccountCodes[ACCOUNT NAME],MATCH(E1533,AccountCodes[NGAS CODE],0))))</f>
        <v>Other Bonuses and Allowances - Meal Allowance</v>
      </c>
      <c r="E1533" s="309" t="s">
        <v>6</v>
      </c>
      <c r="F1533" s="501">
        <v>66</v>
      </c>
    </row>
    <row r="1534" spans="1:6">
      <c r="A1534" s="308">
        <v>43465</v>
      </c>
      <c r="B1534" s="309" t="s">
        <v>485</v>
      </c>
      <c r="C1534" s="309" t="s">
        <v>491</v>
      </c>
      <c r="D1534" s="136" t="str">
        <f t="array" ref="D1534">IF(E1534=0,0,(INDEX(AccountCodes[ACCOUNT NAME],MATCH(E1534,AccountCodes[NGAS CODE],0))))</f>
        <v>Other Bonuses and Allowances - Meal Allowance</v>
      </c>
      <c r="E1534" s="309" t="s">
        <v>6</v>
      </c>
      <c r="F1534" s="501">
        <v>66</v>
      </c>
    </row>
    <row r="1535" spans="1:6">
      <c r="A1535" s="308">
        <v>43465</v>
      </c>
      <c r="B1535" s="309" t="s">
        <v>485</v>
      </c>
      <c r="C1535" s="309" t="s">
        <v>491</v>
      </c>
      <c r="D1535" s="136" t="str">
        <f t="array" ref="D1535">IF(E1535=0,0,(INDEX(AccountCodes[ACCOUNT NAME],MATCH(E1535,AccountCodes[NGAS CODE],0))))</f>
        <v>Other Bonuses and Allowances - Collective Negotiation Agreement Incentive-Civilian</v>
      </c>
      <c r="E1535" s="309" t="s">
        <v>168</v>
      </c>
      <c r="F1535" s="501">
        <v>75000</v>
      </c>
    </row>
    <row r="1536" spans="1:6">
      <c r="A1536" s="308">
        <v>43434</v>
      </c>
      <c r="B1536" s="309" t="s">
        <v>485</v>
      </c>
      <c r="C1536" s="309" t="s">
        <v>491</v>
      </c>
      <c r="D1536" s="136" t="str">
        <f t="array" ref="D1536">IF(E1536=0,0,(INDEX(AccountCodes[ACCOUNT NAME],MATCH(E1536,AccountCodes[NGAS CODE],0))))</f>
        <v>Other Bonuses and Allowances - Productivity Enhancement Incentive-Civilian</v>
      </c>
      <c r="E1536" s="309" t="s">
        <v>170</v>
      </c>
      <c r="F1536" s="501">
        <v>30000</v>
      </c>
    </row>
    <row r="1537" spans="1:6">
      <c r="A1537" s="308">
        <v>43131</v>
      </c>
      <c r="B1537" s="309" t="s">
        <v>485</v>
      </c>
      <c r="C1537" s="309" t="s">
        <v>491</v>
      </c>
      <c r="D1537" s="136" t="str">
        <f t="array" ref="D1537">IF(E1537=0,0,(INDEX(AccountCodes[ACCOUNT NAME],MATCH(E1537,AccountCodes[NGAS CODE],0))))</f>
        <v>Retirement and Life Insurance Premiums</v>
      </c>
      <c r="E1537" s="309" t="s">
        <v>175</v>
      </c>
      <c r="F1537" s="501">
        <v>7239.72</v>
      </c>
    </row>
    <row r="1538" spans="1:6">
      <c r="A1538" s="308">
        <v>43159</v>
      </c>
      <c r="B1538" s="309" t="s">
        <v>485</v>
      </c>
      <c r="C1538" s="309" t="s">
        <v>491</v>
      </c>
      <c r="D1538" s="136" t="str">
        <f t="array" ref="D1538">IF(E1538=0,0,(INDEX(AccountCodes[ACCOUNT NAME],MATCH(E1538,AccountCodes[NGAS CODE],0))))</f>
        <v>Retirement and Life Insurance Premiums</v>
      </c>
      <c r="E1538" s="309" t="s">
        <v>175</v>
      </c>
      <c r="F1538" s="501">
        <v>7239.72</v>
      </c>
    </row>
    <row r="1539" spans="1:6">
      <c r="A1539" s="308">
        <v>43190</v>
      </c>
      <c r="B1539" s="309" t="s">
        <v>485</v>
      </c>
      <c r="C1539" s="309" t="s">
        <v>491</v>
      </c>
      <c r="D1539" s="136" t="str">
        <f t="array" ref="D1539">IF(E1539=0,0,(INDEX(AccountCodes[ACCOUNT NAME],MATCH(E1539,AccountCodes[NGAS CODE],0))))</f>
        <v>Retirement and Life Insurance Premiums</v>
      </c>
      <c r="E1539" s="309" t="s">
        <v>175</v>
      </c>
      <c r="F1539" s="501">
        <v>7239.72</v>
      </c>
    </row>
    <row r="1540" spans="1:6">
      <c r="A1540" s="308">
        <v>43220</v>
      </c>
      <c r="B1540" s="309" t="s">
        <v>485</v>
      </c>
      <c r="C1540" s="309" t="s">
        <v>491</v>
      </c>
      <c r="D1540" s="136" t="str">
        <f t="array" ref="D1540">IF(E1540=0,0,(INDEX(AccountCodes[ACCOUNT NAME],MATCH(E1540,AccountCodes[NGAS CODE],0))))</f>
        <v>Retirement and Life Insurance Premiums</v>
      </c>
      <c r="E1540" s="309" t="s">
        <v>175</v>
      </c>
      <c r="F1540" s="501">
        <v>7239.72</v>
      </c>
    </row>
    <row r="1541" spans="1:6">
      <c r="A1541" s="308">
        <v>43251</v>
      </c>
      <c r="B1541" s="309" t="s">
        <v>485</v>
      </c>
      <c r="C1541" s="309" t="s">
        <v>491</v>
      </c>
      <c r="D1541" s="136" t="str">
        <f t="array" ref="D1541">IF(E1541=0,0,(INDEX(AccountCodes[ACCOUNT NAME],MATCH(E1541,AccountCodes[NGAS CODE],0))))</f>
        <v>Retirement and Life Insurance Premiums</v>
      </c>
      <c r="E1541" s="309" t="s">
        <v>175</v>
      </c>
      <c r="F1541" s="501">
        <v>7239.72</v>
      </c>
    </row>
    <row r="1542" spans="1:6">
      <c r="A1542" s="308">
        <v>43281</v>
      </c>
      <c r="B1542" s="309" t="s">
        <v>485</v>
      </c>
      <c r="C1542" s="309" t="s">
        <v>491</v>
      </c>
      <c r="D1542" s="136" t="str">
        <f t="array" ref="D1542">IF(E1542=0,0,(INDEX(AccountCodes[ACCOUNT NAME],MATCH(E1542,AccountCodes[NGAS CODE],0))))</f>
        <v>Retirement and Life Insurance Premiums</v>
      </c>
      <c r="E1542" s="309" t="s">
        <v>175</v>
      </c>
      <c r="F1542" s="501">
        <v>7239.72</v>
      </c>
    </row>
    <row r="1543" spans="1:6">
      <c r="A1543" s="308">
        <v>43312</v>
      </c>
      <c r="B1543" s="309" t="s">
        <v>485</v>
      </c>
      <c r="C1543" s="309" t="s">
        <v>491</v>
      </c>
      <c r="D1543" s="136" t="str">
        <f t="array" ref="D1543">IF(E1543=0,0,(INDEX(AccountCodes[ACCOUNT NAME],MATCH(E1543,AccountCodes[NGAS CODE],0))))</f>
        <v>Retirement and Life Insurance Premiums</v>
      </c>
      <c r="E1543" s="309" t="s">
        <v>175</v>
      </c>
      <c r="F1543" s="501">
        <v>7239.72</v>
      </c>
    </row>
    <row r="1544" spans="1:6">
      <c r="A1544" s="308">
        <v>43343</v>
      </c>
      <c r="B1544" s="309" t="s">
        <v>485</v>
      </c>
      <c r="C1544" s="309" t="s">
        <v>491</v>
      </c>
      <c r="D1544" s="136" t="str">
        <f t="array" ref="D1544">IF(E1544=0,0,(INDEX(AccountCodes[ACCOUNT NAME],MATCH(E1544,AccountCodes[NGAS CODE],0))))</f>
        <v>Retirement and Life Insurance Premiums</v>
      </c>
      <c r="E1544" s="309" t="s">
        <v>175</v>
      </c>
      <c r="F1544" s="501">
        <v>7239.72</v>
      </c>
    </row>
    <row r="1545" spans="1:6">
      <c r="A1545" s="308">
        <v>43373</v>
      </c>
      <c r="B1545" s="309" t="s">
        <v>485</v>
      </c>
      <c r="C1545" s="309" t="s">
        <v>491</v>
      </c>
      <c r="D1545" s="136" t="str">
        <f t="array" ref="D1545">IF(E1545=0,0,(INDEX(AccountCodes[ACCOUNT NAME],MATCH(E1545,AccountCodes[NGAS CODE],0))))</f>
        <v>Retirement and Life Insurance Premiums</v>
      </c>
      <c r="E1545" s="309" t="s">
        <v>175</v>
      </c>
      <c r="F1545" s="501">
        <v>7239.72</v>
      </c>
    </row>
    <row r="1546" spans="1:6">
      <c r="A1546" s="308">
        <v>43404</v>
      </c>
      <c r="B1546" s="309" t="s">
        <v>485</v>
      </c>
      <c r="C1546" s="309" t="s">
        <v>491</v>
      </c>
      <c r="D1546" s="136" t="str">
        <f t="array" ref="D1546">IF(E1546=0,0,(INDEX(AccountCodes[ACCOUNT NAME],MATCH(E1546,AccountCodes[NGAS CODE],0))))</f>
        <v>Retirement and Life Insurance Premiums</v>
      </c>
      <c r="E1546" s="309" t="s">
        <v>175</v>
      </c>
      <c r="F1546" s="501">
        <v>7239.72</v>
      </c>
    </row>
    <row r="1547" spans="1:6">
      <c r="A1547" s="308">
        <v>43434</v>
      </c>
      <c r="B1547" s="309" t="s">
        <v>485</v>
      </c>
      <c r="C1547" s="309" t="s">
        <v>491</v>
      </c>
      <c r="D1547" s="136" t="str">
        <f t="array" ref="D1547">IF(E1547=0,0,(INDEX(AccountCodes[ACCOUNT NAME],MATCH(E1547,AccountCodes[NGAS CODE],0))))</f>
        <v>Retirement and Life Insurance Premiums</v>
      </c>
      <c r="E1547" s="309" t="s">
        <v>175</v>
      </c>
      <c r="F1547" s="501">
        <v>7239.72</v>
      </c>
    </row>
    <row r="1548" spans="1:6">
      <c r="A1548" s="308">
        <v>43465</v>
      </c>
      <c r="B1548" s="309" t="s">
        <v>485</v>
      </c>
      <c r="C1548" s="309" t="s">
        <v>491</v>
      </c>
      <c r="D1548" s="136" t="str">
        <f t="array" ref="D1548">IF(E1548=0,0,(INDEX(AccountCodes[ACCOUNT NAME],MATCH(E1548,AccountCodes[NGAS CODE],0))))</f>
        <v>Retirement and Life Insurance Premiums</v>
      </c>
      <c r="E1548" s="309" t="s">
        <v>175</v>
      </c>
      <c r="F1548" s="501">
        <v>7239.72</v>
      </c>
    </row>
    <row r="1549" spans="1:6">
      <c r="A1549" s="308">
        <v>43131</v>
      </c>
      <c r="B1549" s="309" t="s">
        <v>485</v>
      </c>
      <c r="C1549" s="309" t="s">
        <v>491</v>
      </c>
      <c r="D1549" s="136" t="str">
        <f t="array" ref="D1549">IF(E1549=0,0,(INDEX(AccountCodes[ACCOUNT NAME],MATCH(E1549,AccountCodes[NGAS CODE],0))))</f>
        <v>Pag-IBIG Contributions</v>
      </c>
      <c r="E1549" s="309" t="s">
        <v>176</v>
      </c>
      <c r="F1549" s="501">
        <v>400</v>
      </c>
    </row>
    <row r="1550" spans="1:6">
      <c r="A1550" s="308">
        <v>43159</v>
      </c>
      <c r="B1550" s="309" t="s">
        <v>485</v>
      </c>
      <c r="C1550" s="309" t="s">
        <v>491</v>
      </c>
      <c r="D1550" s="136" t="str">
        <f t="array" ref="D1550">IF(E1550=0,0,(INDEX(AccountCodes[ACCOUNT NAME],MATCH(E1550,AccountCodes[NGAS CODE],0))))</f>
        <v>Pag-IBIG Contributions</v>
      </c>
      <c r="E1550" s="309" t="s">
        <v>176</v>
      </c>
      <c r="F1550" s="501">
        <v>400</v>
      </c>
    </row>
    <row r="1551" spans="1:6">
      <c r="A1551" s="308">
        <v>43190</v>
      </c>
      <c r="B1551" s="309" t="s">
        <v>485</v>
      </c>
      <c r="C1551" s="309" t="s">
        <v>491</v>
      </c>
      <c r="D1551" s="136" t="str">
        <f t="array" ref="D1551">IF(E1551=0,0,(INDEX(AccountCodes[ACCOUNT NAME],MATCH(E1551,AccountCodes[NGAS CODE],0))))</f>
        <v>Pag-IBIG Contributions</v>
      </c>
      <c r="E1551" s="309" t="s">
        <v>176</v>
      </c>
      <c r="F1551" s="501">
        <v>400</v>
      </c>
    </row>
    <row r="1552" spans="1:6">
      <c r="A1552" s="308">
        <v>43220</v>
      </c>
      <c r="B1552" s="309" t="s">
        <v>485</v>
      </c>
      <c r="C1552" s="309" t="s">
        <v>491</v>
      </c>
      <c r="D1552" s="136" t="str">
        <f t="array" ref="D1552">IF(E1552=0,0,(INDEX(AccountCodes[ACCOUNT NAME],MATCH(E1552,AccountCodes[NGAS CODE],0))))</f>
        <v>Pag-IBIG Contributions</v>
      </c>
      <c r="E1552" s="309" t="s">
        <v>176</v>
      </c>
      <c r="F1552" s="501">
        <v>400</v>
      </c>
    </row>
    <row r="1553" spans="1:6">
      <c r="A1553" s="308">
        <v>43251</v>
      </c>
      <c r="B1553" s="309" t="s">
        <v>485</v>
      </c>
      <c r="C1553" s="309" t="s">
        <v>491</v>
      </c>
      <c r="D1553" s="136" t="str">
        <f t="array" ref="D1553">IF(E1553=0,0,(INDEX(AccountCodes[ACCOUNT NAME],MATCH(E1553,AccountCodes[NGAS CODE],0))))</f>
        <v>Pag-IBIG Contributions</v>
      </c>
      <c r="E1553" s="309" t="s">
        <v>176</v>
      </c>
      <c r="F1553" s="501">
        <v>400</v>
      </c>
    </row>
    <row r="1554" spans="1:6">
      <c r="A1554" s="308">
        <v>43281</v>
      </c>
      <c r="B1554" s="309" t="s">
        <v>485</v>
      </c>
      <c r="C1554" s="309" t="s">
        <v>491</v>
      </c>
      <c r="D1554" s="136" t="str">
        <f t="array" ref="D1554">IF(E1554=0,0,(INDEX(AccountCodes[ACCOUNT NAME],MATCH(E1554,AccountCodes[NGAS CODE],0))))</f>
        <v>Pag-IBIG Contributions</v>
      </c>
      <c r="E1554" s="309" t="s">
        <v>176</v>
      </c>
      <c r="F1554" s="501">
        <v>400</v>
      </c>
    </row>
    <row r="1555" spans="1:6">
      <c r="A1555" s="308">
        <v>43312</v>
      </c>
      <c r="B1555" s="309" t="s">
        <v>485</v>
      </c>
      <c r="C1555" s="309" t="s">
        <v>491</v>
      </c>
      <c r="D1555" s="136" t="str">
        <f t="array" ref="D1555">IF(E1555=0,0,(INDEX(AccountCodes[ACCOUNT NAME],MATCH(E1555,AccountCodes[NGAS CODE],0))))</f>
        <v>Pag-IBIG Contributions</v>
      </c>
      <c r="E1555" s="309" t="s">
        <v>176</v>
      </c>
      <c r="F1555" s="501">
        <v>400</v>
      </c>
    </row>
    <row r="1556" spans="1:6">
      <c r="A1556" s="308">
        <v>43343</v>
      </c>
      <c r="B1556" s="309" t="s">
        <v>485</v>
      </c>
      <c r="C1556" s="309" t="s">
        <v>491</v>
      </c>
      <c r="D1556" s="136" t="str">
        <f t="array" ref="D1556">IF(E1556=0,0,(INDEX(AccountCodes[ACCOUNT NAME],MATCH(E1556,AccountCodes[NGAS CODE],0))))</f>
        <v>Pag-IBIG Contributions</v>
      </c>
      <c r="E1556" s="309" t="s">
        <v>176</v>
      </c>
      <c r="F1556" s="501">
        <v>400</v>
      </c>
    </row>
    <row r="1557" spans="1:6">
      <c r="A1557" s="308">
        <v>43373</v>
      </c>
      <c r="B1557" s="309" t="s">
        <v>485</v>
      </c>
      <c r="C1557" s="309" t="s">
        <v>491</v>
      </c>
      <c r="D1557" s="136" t="str">
        <f t="array" ref="D1557">IF(E1557=0,0,(INDEX(AccountCodes[ACCOUNT NAME],MATCH(E1557,AccountCodes[NGAS CODE],0))))</f>
        <v>Pag-IBIG Contributions</v>
      </c>
      <c r="E1557" s="309" t="s">
        <v>176</v>
      </c>
      <c r="F1557" s="501">
        <v>400</v>
      </c>
    </row>
    <row r="1558" spans="1:6">
      <c r="A1558" s="308">
        <v>43404</v>
      </c>
      <c r="B1558" s="309" t="s">
        <v>485</v>
      </c>
      <c r="C1558" s="309" t="s">
        <v>491</v>
      </c>
      <c r="D1558" s="136" t="str">
        <f t="array" ref="D1558">IF(E1558=0,0,(INDEX(AccountCodes[ACCOUNT NAME],MATCH(E1558,AccountCodes[NGAS CODE],0))))</f>
        <v>Pag-IBIG Contributions</v>
      </c>
      <c r="E1558" s="309" t="s">
        <v>176</v>
      </c>
      <c r="F1558" s="501">
        <v>400</v>
      </c>
    </row>
    <row r="1559" spans="1:6">
      <c r="A1559" s="308">
        <v>43434</v>
      </c>
      <c r="B1559" s="309" t="s">
        <v>485</v>
      </c>
      <c r="C1559" s="309" t="s">
        <v>491</v>
      </c>
      <c r="D1559" s="136" t="str">
        <f t="array" ref="D1559">IF(E1559=0,0,(INDEX(AccountCodes[ACCOUNT NAME],MATCH(E1559,AccountCodes[NGAS CODE],0))))</f>
        <v>Pag-IBIG Contributions</v>
      </c>
      <c r="E1559" s="309" t="s">
        <v>176</v>
      </c>
      <c r="F1559" s="501">
        <v>400</v>
      </c>
    </row>
    <row r="1560" spans="1:6">
      <c r="A1560" s="308">
        <v>43465</v>
      </c>
      <c r="B1560" s="309" t="s">
        <v>485</v>
      </c>
      <c r="C1560" s="309" t="s">
        <v>491</v>
      </c>
      <c r="D1560" s="136" t="str">
        <f t="array" ref="D1560">IF(E1560=0,0,(INDEX(AccountCodes[ACCOUNT NAME],MATCH(E1560,AccountCodes[NGAS CODE],0))))</f>
        <v>Pag-IBIG Contributions</v>
      </c>
      <c r="E1560" s="309" t="s">
        <v>176</v>
      </c>
      <c r="F1560" s="501">
        <v>400</v>
      </c>
    </row>
    <row r="1561" spans="1:6">
      <c r="A1561" s="308">
        <v>43131</v>
      </c>
      <c r="B1561" s="309" t="s">
        <v>485</v>
      </c>
      <c r="C1561" s="309" t="s">
        <v>491</v>
      </c>
      <c r="D1561" s="136" t="str">
        <f t="array" ref="D1561">IF(E1561=0,0,(INDEX(AccountCodes[ACCOUNT NAME],MATCH(E1561,AccountCodes[NGAS CODE],0))))</f>
        <v>PhilHealth Contributions</v>
      </c>
      <c r="E1561" s="309" t="s">
        <v>177</v>
      </c>
      <c r="F1561" s="501">
        <v>887.5</v>
      </c>
    </row>
    <row r="1562" spans="1:6">
      <c r="A1562" s="308">
        <v>43159</v>
      </c>
      <c r="B1562" s="309" t="s">
        <v>485</v>
      </c>
      <c r="C1562" s="309" t="s">
        <v>491</v>
      </c>
      <c r="D1562" s="136" t="str">
        <f t="array" ref="D1562">IF(E1562=0,0,(INDEX(AccountCodes[ACCOUNT NAME],MATCH(E1562,AccountCodes[NGAS CODE],0))))</f>
        <v>PhilHealth Contributions</v>
      </c>
      <c r="E1562" s="309" t="s">
        <v>177</v>
      </c>
      <c r="F1562" s="501">
        <v>887.5</v>
      </c>
    </row>
    <row r="1563" spans="1:6">
      <c r="A1563" s="308">
        <v>43190</v>
      </c>
      <c r="B1563" s="309" t="s">
        <v>485</v>
      </c>
      <c r="C1563" s="309" t="s">
        <v>491</v>
      </c>
      <c r="D1563" s="136" t="str">
        <f t="array" ref="D1563">IF(E1563=0,0,(INDEX(AccountCodes[ACCOUNT NAME],MATCH(E1563,AccountCodes[NGAS CODE],0))))</f>
        <v>PhilHealth Contributions</v>
      </c>
      <c r="E1563" s="309" t="s">
        <v>177</v>
      </c>
      <c r="F1563" s="501">
        <v>887.5</v>
      </c>
    </row>
    <row r="1564" spans="1:6">
      <c r="A1564" s="308">
        <v>43220</v>
      </c>
      <c r="B1564" s="309" t="s">
        <v>485</v>
      </c>
      <c r="C1564" s="309" t="s">
        <v>491</v>
      </c>
      <c r="D1564" s="136" t="str">
        <f t="array" ref="D1564">IF(E1564=0,0,(INDEX(AccountCodes[ACCOUNT NAME],MATCH(E1564,AccountCodes[NGAS CODE],0))))</f>
        <v>PhilHealth Contributions</v>
      </c>
      <c r="E1564" s="309" t="s">
        <v>177</v>
      </c>
      <c r="F1564" s="501">
        <v>887.5</v>
      </c>
    </row>
    <row r="1565" spans="1:6">
      <c r="A1565" s="308">
        <v>43251</v>
      </c>
      <c r="B1565" s="309" t="s">
        <v>485</v>
      </c>
      <c r="C1565" s="309" t="s">
        <v>491</v>
      </c>
      <c r="D1565" s="136" t="str">
        <f t="array" ref="D1565">IF(E1565=0,0,(INDEX(AccountCodes[ACCOUNT NAME],MATCH(E1565,AccountCodes[NGAS CODE],0))))</f>
        <v>PhilHealth Contributions</v>
      </c>
      <c r="E1565" s="309" t="s">
        <v>177</v>
      </c>
      <c r="F1565" s="501">
        <v>887.5</v>
      </c>
    </row>
    <row r="1566" spans="1:6">
      <c r="A1566" s="308">
        <v>43281</v>
      </c>
      <c r="B1566" s="309" t="s">
        <v>485</v>
      </c>
      <c r="C1566" s="309" t="s">
        <v>491</v>
      </c>
      <c r="D1566" s="136" t="str">
        <f t="array" ref="D1566">IF(E1566=0,0,(INDEX(AccountCodes[ACCOUNT NAME],MATCH(E1566,AccountCodes[NGAS CODE],0))))</f>
        <v>PhilHealth Contributions</v>
      </c>
      <c r="E1566" s="309" t="s">
        <v>177</v>
      </c>
      <c r="F1566" s="501">
        <v>887.5</v>
      </c>
    </row>
    <row r="1567" spans="1:6">
      <c r="A1567" s="308">
        <v>43312</v>
      </c>
      <c r="B1567" s="309" t="s">
        <v>485</v>
      </c>
      <c r="C1567" s="309" t="s">
        <v>491</v>
      </c>
      <c r="D1567" s="136" t="str">
        <f t="array" ref="D1567">IF(E1567=0,0,(INDEX(AccountCodes[ACCOUNT NAME],MATCH(E1567,AccountCodes[NGAS CODE],0))))</f>
        <v>PhilHealth Contributions</v>
      </c>
      <c r="E1567" s="309" t="s">
        <v>177</v>
      </c>
      <c r="F1567" s="501">
        <v>887.5</v>
      </c>
    </row>
    <row r="1568" spans="1:6">
      <c r="A1568" s="308">
        <v>43343</v>
      </c>
      <c r="B1568" s="309" t="s">
        <v>485</v>
      </c>
      <c r="C1568" s="309" t="s">
        <v>491</v>
      </c>
      <c r="D1568" s="136" t="str">
        <f t="array" ref="D1568">IF(E1568=0,0,(INDEX(AccountCodes[ACCOUNT NAME],MATCH(E1568,AccountCodes[NGAS CODE],0))))</f>
        <v>PhilHealth Contributions</v>
      </c>
      <c r="E1568" s="309" t="s">
        <v>177</v>
      </c>
      <c r="F1568" s="501">
        <v>887.5</v>
      </c>
    </row>
    <row r="1569" spans="1:6">
      <c r="A1569" s="308">
        <v>43373</v>
      </c>
      <c r="B1569" s="309" t="s">
        <v>485</v>
      </c>
      <c r="C1569" s="309" t="s">
        <v>491</v>
      </c>
      <c r="D1569" s="136" t="str">
        <f t="array" ref="D1569">IF(E1569=0,0,(INDEX(AccountCodes[ACCOUNT NAME],MATCH(E1569,AccountCodes[NGAS CODE],0))))</f>
        <v>PhilHealth Contributions</v>
      </c>
      <c r="E1569" s="309" t="s">
        <v>177</v>
      </c>
      <c r="F1569" s="501">
        <v>887.5</v>
      </c>
    </row>
    <row r="1570" spans="1:6">
      <c r="A1570" s="308">
        <v>43404</v>
      </c>
      <c r="B1570" s="309" t="s">
        <v>485</v>
      </c>
      <c r="C1570" s="309" t="s">
        <v>491</v>
      </c>
      <c r="D1570" s="136" t="str">
        <f t="array" ref="D1570">IF(E1570=0,0,(INDEX(AccountCodes[ACCOUNT NAME],MATCH(E1570,AccountCodes[NGAS CODE],0))))</f>
        <v>PhilHealth Contributions</v>
      </c>
      <c r="E1570" s="309" t="s">
        <v>177</v>
      </c>
      <c r="F1570" s="501">
        <v>887.5</v>
      </c>
    </row>
    <row r="1571" spans="1:6">
      <c r="A1571" s="308">
        <v>43434</v>
      </c>
      <c r="B1571" s="309" t="s">
        <v>485</v>
      </c>
      <c r="C1571" s="309" t="s">
        <v>491</v>
      </c>
      <c r="D1571" s="136" t="str">
        <f t="array" ref="D1571">IF(E1571=0,0,(INDEX(AccountCodes[ACCOUNT NAME],MATCH(E1571,AccountCodes[NGAS CODE],0))))</f>
        <v>PhilHealth Contributions</v>
      </c>
      <c r="E1571" s="309" t="s">
        <v>177</v>
      </c>
      <c r="F1571" s="501">
        <v>887.5</v>
      </c>
    </row>
    <row r="1572" spans="1:6">
      <c r="A1572" s="308">
        <v>43465</v>
      </c>
      <c r="B1572" s="309" t="s">
        <v>485</v>
      </c>
      <c r="C1572" s="309" t="s">
        <v>491</v>
      </c>
      <c r="D1572" s="136" t="str">
        <f t="array" ref="D1572">IF(E1572=0,0,(INDEX(AccountCodes[ACCOUNT NAME],MATCH(E1572,AccountCodes[NGAS CODE],0))))</f>
        <v>PhilHealth Contributions</v>
      </c>
      <c r="E1572" s="309" t="s">
        <v>177</v>
      </c>
      <c r="F1572" s="501">
        <v>887.5</v>
      </c>
    </row>
    <row r="1573" spans="1:6">
      <c r="A1573" s="308">
        <v>43131</v>
      </c>
      <c r="B1573" s="309" t="s">
        <v>485</v>
      </c>
      <c r="C1573" s="309" t="s">
        <v>491</v>
      </c>
      <c r="D1573" s="136" t="str">
        <f t="array" ref="D1573">IF(E1573=0,0,(INDEX(AccountCodes[ACCOUNT NAME],MATCH(E1573,AccountCodes[NGAS CODE],0))))</f>
        <v>Employees Compensation Insurance Premiums</v>
      </c>
      <c r="E1573" s="309" t="s">
        <v>178</v>
      </c>
      <c r="F1573" s="501">
        <v>400</v>
      </c>
    </row>
    <row r="1574" spans="1:6">
      <c r="A1574" s="308">
        <v>43159</v>
      </c>
      <c r="B1574" s="309" t="s">
        <v>485</v>
      </c>
      <c r="C1574" s="309" t="s">
        <v>491</v>
      </c>
      <c r="D1574" s="136" t="str">
        <f t="array" ref="D1574">IF(E1574=0,0,(INDEX(AccountCodes[ACCOUNT NAME],MATCH(E1574,AccountCodes[NGAS CODE],0))))</f>
        <v>Employees Compensation Insurance Premiums</v>
      </c>
      <c r="E1574" s="309" t="s">
        <v>178</v>
      </c>
      <c r="F1574" s="501">
        <v>400</v>
      </c>
    </row>
    <row r="1575" spans="1:6">
      <c r="A1575" s="308">
        <v>43190</v>
      </c>
      <c r="B1575" s="309" t="s">
        <v>485</v>
      </c>
      <c r="C1575" s="309" t="s">
        <v>491</v>
      </c>
      <c r="D1575" s="136" t="str">
        <f t="array" ref="D1575">IF(E1575=0,0,(INDEX(AccountCodes[ACCOUNT NAME],MATCH(E1575,AccountCodes[NGAS CODE],0))))</f>
        <v>Employees Compensation Insurance Premiums</v>
      </c>
      <c r="E1575" s="309" t="s">
        <v>178</v>
      </c>
      <c r="F1575" s="501">
        <v>400</v>
      </c>
    </row>
    <row r="1576" spans="1:6">
      <c r="A1576" s="308">
        <v>43220</v>
      </c>
      <c r="B1576" s="309" t="s">
        <v>485</v>
      </c>
      <c r="C1576" s="309" t="s">
        <v>491</v>
      </c>
      <c r="D1576" s="136" t="str">
        <f t="array" ref="D1576">IF(E1576=0,0,(INDEX(AccountCodes[ACCOUNT NAME],MATCH(E1576,AccountCodes[NGAS CODE],0))))</f>
        <v>Employees Compensation Insurance Premiums</v>
      </c>
      <c r="E1576" s="309" t="s">
        <v>178</v>
      </c>
      <c r="F1576" s="501">
        <v>400</v>
      </c>
    </row>
    <row r="1577" spans="1:6">
      <c r="A1577" s="308">
        <v>43251</v>
      </c>
      <c r="B1577" s="309" t="s">
        <v>485</v>
      </c>
      <c r="C1577" s="309" t="s">
        <v>491</v>
      </c>
      <c r="D1577" s="136" t="str">
        <f t="array" ref="D1577">IF(E1577=0,0,(INDEX(AccountCodes[ACCOUNT NAME],MATCH(E1577,AccountCodes[NGAS CODE],0))))</f>
        <v>Employees Compensation Insurance Premiums</v>
      </c>
      <c r="E1577" s="309" t="s">
        <v>178</v>
      </c>
      <c r="F1577" s="501">
        <v>400</v>
      </c>
    </row>
    <row r="1578" spans="1:6">
      <c r="A1578" s="308">
        <v>43281</v>
      </c>
      <c r="B1578" s="309" t="s">
        <v>485</v>
      </c>
      <c r="C1578" s="309" t="s">
        <v>491</v>
      </c>
      <c r="D1578" s="136" t="str">
        <f t="array" ref="D1578">IF(E1578=0,0,(INDEX(AccountCodes[ACCOUNT NAME],MATCH(E1578,AccountCodes[NGAS CODE],0))))</f>
        <v>Employees Compensation Insurance Premiums</v>
      </c>
      <c r="E1578" s="309" t="s">
        <v>178</v>
      </c>
      <c r="F1578" s="501">
        <v>400</v>
      </c>
    </row>
    <row r="1579" spans="1:6">
      <c r="A1579" s="308">
        <v>43312</v>
      </c>
      <c r="B1579" s="309" t="s">
        <v>485</v>
      </c>
      <c r="C1579" s="309" t="s">
        <v>491</v>
      </c>
      <c r="D1579" s="136" t="str">
        <f t="array" ref="D1579">IF(E1579=0,0,(INDEX(AccountCodes[ACCOUNT NAME],MATCH(E1579,AccountCodes[NGAS CODE],0))))</f>
        <v>Employees Compensation Insurance Premiums</v>
      </c>
      <c r="E1579" s="309" t="s">
        <v>178</v>
      </c>
      <c r="F1579" s="501">
        <v>400</v>
      </c>
    </row>
    <row r="1580" spans="1:6">
      <c r="A1580" s="308">
        <v>43343</v>
      </c>
      <c r="B1580" s="309" t="s">
        <v>485</v>
      </c>
      <c r="C1580" s="309" t="s">
        <v>491</v>
      </c>
      <c r="D1580" s="136" t="str">
        <f t="array" ref="D1580">IF(E1580=0,0,(INDEX(AccountCodes[ACCOUNT NAME],MATCH(E1580,AccountCodes[NGAS CODE],0))))</f>
        <v>Employees Compensation Insurance Premiums</v>
      </c>
      <c r="E1580" s="309" t="s">
        <v>178</v>
      </c>
      <c r="F1580" s="501">
        <v>400</v>
      </c>
    </row>
    <row r="1581" spans="1:6">
      <c r="A1581" s="308">
        <v>43373</v>
      </c>
      <c r="B1581" s="309" t="s">
        <v>485</v>
      </c>
      <c r="C1581" s="309" t="s">
        <v>491</v>
      </c>
      <c r="D1581" s="136" t="str">
        <f t="array" ref="D1581">IF(E1581=0,0,(INDEX(AccountCodes[ACCOUNT NAME],MATCH(E1581,AccountCodes[NGAS CODE],0))))</f>
        <v>Employees Compensation Insurance Premiums</v>
      </c>
      <c r="E1581" s="309" t="s">
        <v>178</v>
      </c>
      <c r="F1581" s="501">
        <v>400</v>
      </c>
    </row>
    <row r="1582" spans="1:6">
      <c r="A1582" s="308">
        <v>43404</v>
      </c>
      <c r="B1582" s="309" t="s">
        <v>485</v>
      </c>
      <c r="C1582" s="309" t="s">
        <v>491</v>
      </c>
      <c r="D1582" s="136" t="str">
        <f t="array" ref="D1582">IF(E1582=0,0,(INDEX(AccountCodes[ACCOUNT NAME],MATCH(E1582,AccountCodes[NGAS CODE],0))))</f>
        <v>Employees Compensation Insurance Premiums</v>
      </c>
      <c r="E1582" s="309" t="s">
        <v>178</v>
      </c>
      <c r="F1582" s="501">
        <v>400</v>
      </c>
    </row>
    <row r="1583" spans="1:6">
      <c r="A1583" s="308">
        <v>43434</v>
      </c>
      <c r="B1583" s="309" t="s">
        <v>485</v>
      </c>
      <c r="C1583" s="309" t="s">
        <v>491</v>
      </c>
      <c r="D1583" s="136" t="str">
        <f t="array" ref="D1583">IF(E1583=0,0,(INDEX(AccountCodes[ACCOUNT NAME],MATCH(E1583,AccountCodes[NGAS CODE],0))))</f>
        <v>Employees Compensation Insurance Premiums</v>
      </c>
      <c r="E1583" s="309" t="s">
        <v>178</v>
      </c>
      <c r="F1583" s="501">
        <v>400</v>
      </c>
    </row>
    <row r="1584" spans="1:6">
      <c r="A1584" s="308">
        <v>43465</v>
      </c>
      <c r="B1584" s="309" t="s">
        <v>485</v>
      </c>
      <c r="C1584" s="309" t="s">
        <v>491</v>
      </c>
      <c r="D1584" s="136" t="str">
        <f t="array" ref="D1584">IF(E1584=0,0,(INDEX(AccountCodes[ACCOUNT NAME],MATCH(E1584,AccountCodes[NGAS CODE],0))))</f>
        <v>Employees Compensation Insurance Premiums</v>
      </c>
      <c r="E1584" s="309" t="s">
        <v>178</v>
      </c>
      <c r="F1584" s="501">
        <v>400</v>
      </c>
    </row>
    <row r="1585" spans="1:6">
      <c r="A1585" s="308">
        <v>43131</v>
      </c>
      <c r="B1585" s="309" t="s">
        <v>485</v>
      </c>
      <c r="C1585" s="309" t="s">
        <v>491</v>
      </c>
      <c r="D1585" s="136" t="str">
        <f t="array" ref="D1585">IF(E1585=0,0,(INDEX(AccountCodes[ACCOUNT NAME],MATCH(E1585,AccountCodes[NGAS CODE],0))))</f>
        <v>Office Supplies Expenses</v>
      </c>
      <c r="E1585" s="309" t="s">
        <v>225</v>
      </c>
      <c r="F1585" s="501">
        <v>15000</v>
      </c>
    </row>
    <row r="1586" spans="1:6">
      <c r="A1586" s="308">
        <v>43220</v>
      </c>
      <c r="B1586" s="309" t="s">
        <v>485</v>
      </c>
      <c r="C1586" s="309" t="s">
        <v>491</v>
      </c>
      <c r="D1586" s="136" t="str">
        <f t="array" ref="D1586">IF(E1586=0,0,(INDEX(AccountCodes[ACCOUNT NAME],MATCH(E1586,AccountCodes[NGAS CODE],0))))</f>
        <v>Office Supplies Expenses</v>
      </c>
      <c r="E1586" s="309" t="s">
        <v>225</v>
      </c>
      <c r="F1586" s="501">
        <v>15000</v>
      </c>
    </row>
    <row r="1587" spans="1:6">
      <c r="A1587" s="308">
        <v>43312</v>
      </c>
      <c r="B1587" s="309" t="s">
        <v>485</v>
      </c>
      <c r="C1587" s="309" t="s">
        <v>491</v>
      </c>
      <c r="D1587" s="136" t="str">
        <f t="array" ref="D1587">IF(E1587=0,0,(INDEX(AccountCodes[ACCOUNT NAME],MATCH(E1587,AccountCodes[NGAS CODE],0))))</f>
        <v>Office Supplies Expenses</v>
      </c>
      <c r="E1587" s="309" t="s">
        <v>225</v>
      </c>
      <c r="F1587" s="501">
        <v>15000</v>
      </c>
    </row>
    <row r="1588" spans="1:6">
      <c r="A1588" s="308">
        <v>43404</v>
      </c>
      <c r="B1588" s="309" t="s">
        <v>485</v>
      </c>
      <c r="C1588" s="309" t="s">
        <v>491</v>
      </c>
      <c r="D1588" s="136" t="str">
        <f t="array" ref="D1588">IF(E1588=0,0,(INDEX(AccountCodes[ACCOUNT NAME],MATCH(E1588,AccountCodes[NGAS CODE],0))))</f>
        <v>Office Supplies Expenses</v>
      </c>
      <c r="E1588" s="309" t="s">
        <v>225</v>
      </c>
      <c r="F1588" s="501">
        <v>15000</v>
      </c>
    </row>
    <row r="1589" spans="1:6">
      <c r="A1589" s="308">
        <v>43131</v>
      </c>
      <c r="B1589" s="309" t="s">
        <v>485</v>
      </c>
      <c r="C1589" s="309" t="s">
        <v>491</v>
      </c>
      <c r="D1589" s="136" t="str">
        <f t="array" ref="D1589">IF(E1589=0,0,(INDEX(AccountCodes[ACCOUNT NAME],MATCH(E1589,AccountCodes[NGAS CODE],0))))</f>
        <v>Fuel, Oil and Lubricants Expenses</v>
      </c>
      <c r="E1589" s="309" t="s">
        <v>229</v>
      </c>
      <c r="F1589" s="501">
        <v>5000</v>
      </c>
    </row>
    <row r="1590" spans="1:6">
      <c r="A1590" s="308">
        <v>43159</v>
      </c>
      <c r="B1590" s="309" t="s">
        <v>485</v>
      </c>
      <c r="C1590" s="309" t="s">
        <v>491</v>
      </c>
      <c r="D1590" s="136" t="str">
        <f t="array" ref="D1590">IF(E1590=0,0,(INDEX(AccountCodes[ACCOUNT NAME],MATCH(E1590,AccountCodes[NGAS CODE],0))))</f>
        <v>Fuel, Oil and Lubricants Expenses</v>
      </c>
      <c r="E1590" s="309" t="s">
        <v>229</v>
      </c>
      <c r="F1590" s="501">
        <v>5000</v>
      </c>
    </row>
    <row r="1591" spans="1:6">
      <c r="A1591" s="308">
        <v>43190</v>
      </c>
      <c r="B1591" s="309" t="s">
        <v>485</v>
      </c>
      <c r="C1591" s="309" t="s">
        <v>491</v>
      </c>
      <c r="D1591" s="136" t="str">
        <f t="array" ref="D1591">IF(E1591=0,0,(INDEX(AccountCodes[ACCOUNT NAME],MATCH(E1591,AccountCodes[NGAS CODE],0))))</f>
        <v>Fuel, Oil and Lubricants Expenses</v>
      </c>
      <c r="E1591" s="309" t="s">
        <v>229</v>
      </c>
      <c r="F1591" s="501">
        <v>5000</v>
      </c>
    </row>
    <row r="1592" spans="1:6">
      <c r="A1592" s="308">
        <v>43220</v>
      </c>
      <c r="B1592" s="309" t="s">
        <v>485</v>
      </c>
      <c r="C1592" s="309" t="s">
        <v>491</v>
      </c>
      <c r="D1592" s="136" t="str">
        <f t="array" ref="D1592">IF(E1592=0,0,(INDEX(AccountCodes[ACCOUNT NAME],MATCH(E1592,AccountCodes[NGAS CODE],0))))</f>
        <v>Fuel, Oil and Lubricants Expenses</v>
      </c>
      <c r="E1592" s="309" t="s">
        <v>229</v>
      </c>
      <c r="F1592" s="501">
        <v>5000</v>
      </c>
    </row>
    <row r="1593" spans="1:6">
      <c r="A1593" s="308">
        <v>43251</v>
      </c>
      <c r="B1593" s="309" t="s">
        <v>485</v>
      </c>
      <c r="C1593" s="309" t="s">
        <v>491</v>
      </c>
      <c r="D1593" s="136" t="str">
        <f t="array" ref="D1593">IF(E1593=0,0,(INDEX(AccountCodes[ACCOUNT NAME],MATCH(E1593,AccountCodes[NGAS CODE],0))))</f>
        <v>Fuel, Oil and Lubricants Expenses</v>
      </c>
      <c r="E1593" s="309" t="s">
        <v>229</v>
      </c>
      <c r="F1593" s="501">
        <v>5000</v>
      </c>
    </row>
    <row r="1594" spans="1:6">
      <c r="A1594" s="308">
        <v>43281</v>
      </c>
      <c r="B1594" s="309" t="s">
        <v>485</v>
      </c>
      <c r="C1594" s="309" t="s">
        <v>491</v>
      </c>
      <c r="D1594" s="136" t="str">
        <f t="array" ref="D1594">IF(E1594=0,0,(INDEX(AccountCodes[ACCOUNT NAME],MATCH(E1594,AccountCodes[NGAS CODE],0))))</f>
        <v>Fuel, Oil and Lubricants Expenses</v>
      </c>
      <c r="E1594" s="309" t="s">
        <v>229</v>
      </c>
      <c r="F1594" s="501">
        <v>5000</v>
      </c>
    </row>
    <row r="1595" spans="1:6">
      <c r="A1595" s="308">
        <v>43312</v>
      </c>
      <c r="B1595" s="309" t="s">
        <v>485</v>
      </c>
      <c r="C1595" s="309" t="s">
        <v>491</v>
      </c>
      <c r="D1595" s="136" t="str">
        <f t="array" ref="D1595">IF(E1595=0,0,(INDEX(AccountCodes[ACCOUNT NAME],MATCH(E1595,AccountCodes[NGAS CODE],0))))</f>
        <v>Fuel, Oil and Lubricants Expenses</v>
      </c>
      <c r="E1595" s="309" t="s">
        <v>229</v>
      </c>
      <c r="F1595" s="501">
        <v>5000</v>
      </c>
    </row>
    <row r="1596" spans="1:6">
      <c r="A1596" s="308">
        <v>43343</v>
      </c>
      <c r="B1596" s="309" t="s">
        <v>485</v>
      </c>
      <c r="C1596" s="309" t="s">
        <v>491</v>
      </c>
      <c r="D1596" s="136" t="str">
        <f t="array" ref="D1596">IF(E1596=0,0,(INDEX(AccountCodes[ACCOUNT NAME],MATCH(E1596,AccountCodes[NGAS CODE],0))))</f>
        <v>Fuel, Oil and Lubricants Expenses</v>
      </c>
      <c r="E1596" s="309" t="s">
        <v>229</v>
      </c>
      <c r="F1596" s="501">
        <v>5000</v>
      </c>
    </row>
    <row r="1597" spans="1:6">
      <c r="A1597" s="308">
        <v>43373</v>
      </c>
      <c r="B1597" s="309" t="s">
        <v>485</v>
      </c>
      <c r="C1597" s="309" t="s">
        <v>491</v>
      </c>
      <c r="D1597" s="136" t="str">
        <f t="array" ref="D1597">IF(E1597=0,0,(INDEX(AccountCodes[ACCOUNT NAME],MATCH(E1597,AccountCodes[NGAS CODE],0))))</f>
        <v>Fuel, Oil and Lubricants Expenses</v>
      </c>
      <c r="E1597" s="309" t="s">
        <v>229</v>
      </c>
      <c r="F1597" s="501">
        <v>5000</v>
      </c>
    </row>
    <row r="1598" spans="1:6">
      <c r="A1598" s="308">
        <v>43404</v>
      </c>
      <c r="B1598" s="309" t="s">
        <v>485</v>
      </c>
      <c r="C1598" s="309" t="s">
        <v>491</v>
      </c>
      <c r="D1598" s="136" t="str">
        <f t="array" ref="D1598">IF(E1598=0,0,(INDEX(AccountCodes[ACCOUNT NAME],MATCH(E1598,AccountCodes[NGAS CODE],0))))</f>
        <v>Fuel, Oil and Lubricants Expenses</v>
      </c>
      <c r="E1598" s="309" t="s">
        <v>229</v>
      </c>
      <c r="F1598" s="501">
        <v>5000</v>
      </c>
    </row>
    <row r="1599" spans="1:6">
      <c r="A1599" s="308">
        <v>43434</v>
      </c>
      <c r="B1599" s="309" t="s">
        <v>485</v>
      </c>
      <c r="C1599" s="309" t="s">
        <v>491</v>
      </c>
      <c r="D1599" s="136" t="str">
        <f t="array" ref="D1599">IF(E1599=0,0,(INDEX(AccountCodes[ACCOUNT NAME],MATCH(E1599,AccountCodes[NGAS CODE],0))))</f>
        <v>Fuel, Oil and Lubricants Expenses</v>
      </c>
      <c r="E1599" s="309" t="s">
        <v>229</v>
      </c>
      <c r="F1599" s="501">
        <v>5000</v>
      </c>
    </row>
    <row r="1600" spans="1:6">
      <c r="A1600" s="308">
        <v>43465</v>
      </c>
      <c r="B1600" s="309" t="s">
        <v>485</v>
      </c>
      <c r="C1600" s="309" t="s">
        <v>491</v>
      </c>
      <c r="D1600" s="136" t="str">
        <f t="array" ref="D1600">IF(E1600=0,0,(INDEX(AccountCodes[ACCOUNT NAME],MATCH(E1600,AccountCodes[NGAS CODE],0))))</f>
        <v>Fuel, Oil and Lubricants Expenses</v>
      </c>
      <c r="E1600" s="309" t="s">
        <v>229</v>
      </c>
      <c r="F1600" s="501">
        <v>5000</v>
      </c>
    </row>
    <row r="1601" spans="1:6">
      <c r="A1601" s="308">
        <v>43131</v>
      </c>
      <c r="B1601" s="309" t="s">
        <v>485</v>
      </c>
      <c r="C1601" s="309" t="s">
        <v>491</v>
      </c>
      <c r="D1601" s="136" t="str">
        <f t="array" ref="D1601">IF(E1601=0,0,(INDEX(AccountCodes[ACCOUNT NAME],MATCH(E1601,AccountCodes[NGAS CODE],0))))</f>
        <v>Water Expenses</v>
      </c>
      <c r="E1601" s="309" t="s">
        <v>232</v>
      </c>
      <c r="F1601" s="501">
        <v>1000</v>
      </c>
    </row>
    <row r="1602" spans="1:6">
      <c r="A1602" s="308">
        <v>43159</v>
      </c>
      <c r="B1602" s="309" t="s">
        <v>485</v>
      </c>
      <c r="C1602" s="309" t="s">
        <v>491</v>
      </c>
      <c r="D1602" s="136" t="str">
        <f t="array" ref="D1602">IF(E1602=0,0,(INDEX(AccountCodes[ACCOUNT NAME],MATCH(E1602,AccountCodes[NGAS CODE],0))))</f>
        <v>Water Expenses</v>
      </c>
      <c r="E1602" s="309" t="s">
        <v>232</v>
      </c>
      <c r="F1602" s="501">
        <v>1000</v>
      </c>
    </row>
    <row r="1603" spans="1:6">
      <c r="A1603" s="308">
        <v>43190</v>
      </c>
      <c r="B1603" s="309" t="s">
        <v>485</v>
      </c>
      <c r="C1603" s="309" t="s">
        <v>491</v>
      </c>
      <c r="D1603" s="136" t="str">
        <f t="array" ref="D1603">IF(E1603=0,0,(INDEX(AccountCodes[ACCOUNT NAME],MATCH(E1603,AccountCodes[NGAS CODE],0))))</f>
        <v>Water Expenses</v>
      </c>
      <c r="E1603" s="309" t="s">
        <v>232</v>
      </c>
      <c r="F1603" s="501">
        <v>1000</v>
      </c>
    </row>
    <row r="1604" spans="1:6">
      <c r="A1604" s="308">
        <v>43220</v>
      </c>
      <c r="B1604" s="309" t="s">
        <v>485</v>
      </c>
      <c r="C1604" s="309" t="s">
        <v>491</v>
      </c>
      <c r="D1604" s="136" t="str">
        <f t="array" ref="D1604">IF(E1604=0,0,(INDEX(AccountCodes[ACCOUNT NAME],MATCH(E1604,AccountCodes[NGAS CODE],0))))</f>
        <v>Water Expenses</v>
      </c>
      <c r="E1604" s="309" t="s">
        <v>232</v>
      </c>
      <c r="F1604" s="501">
        <v>1000</v>
      </c>
    </row>
    <row r="1605" spans="1:6">
      <c r="A1605" s="308">
        <v>43251</v>
      </c>
      <c r="B1605" s="309" t="s">
        <v>485</v>
      </c>
      <c r="C1605" s="309" t="s">
        <v>491</v>
      </c>
      <c r="D1605" s="136" t="str">
        <f t="array" ref="D1605">IF(E1605=0,0,(INDEX(AccountCodes[ACCOUNT NAME],MATCH(E1605,AccountCodes[NGAS CODE],0))))</f>
        <v>Water Expenses</v>
      </c>
      <c r="E1605" s="309" t="s">
        <v>232</v>
      </c>
      <c r="F1605" s="501">
        <v>1000</v>
      </c>
    </row>
    <row r="1606" spans="1:6">
      <c r="A1606" s="308">
        <v>43281</v>
      </c>
      <c r="B1606" s="309" t="s">
        <v>485</v>
      </c>
      <c r="C1606" s="309" t="s">
        <v>491</v>
      </c>
      <c r="D1606" s="136" t="str">
        <f t="array" ref="D1606">IF(E1606=0,0,(INDEX(AccountCodes[ACCOUNT NAME],MATCH(E1606,AccountCodes[NGAS CODE],0))))</f>
        <v>Water Expenses</v>
      </c>
      <c r="E1606" s="309" t="s">
        <v>232</v>
      </c>
      <c r="F1606" s="501">
        <v>1000</v>
      </c>
    </row>
    <row r="1607" spans="1:6">
      <c r="A1607" s="308">
        <v>43312</v>
      </c>
      <c r="B1607" s="309" t="s">
        <v>485</v>
      </c>
      <c r="C1607" s="309" t="s">
        <v>491</v>
      </c>
      <c r="D1607" s="136" t="str">
        <f t="array" ref="D1607">IF(E1607=0,0,(INDEX(AccountCodes[ACCOUNT NAME],MATCH(E1607,AccountCodes[NGAS CODE],0))))</f>
        <v>Water Expenses</v>
      </c>
      <c r="E1607" s="309" t="s">
        <v>232</v>
      </c>
      <c r="F1607" s="501">
        <v>1000</v>
      </c>
    </row>
    <row r="1608" spans="1:6">
      <c r="A1608" s="308">
        <v>43343</v>
      </c>
      <c r="B1608" s="309" t="s">
        <v>485</v>
      </c>
      <c r="C1608" s="309" t="s">
        <v>491</v>
      </c>
      <c r="D1608" s="136" t="str">
        <f t="array" ref="D1608">IF(E1608=0,0,(INDEX(AccountCodes[ACCOUNT NAME],MATCH(E1608,AccountCodes[NGAS CODE],0))))</f>
        <v>Water Expenses</v>
      </c>
      <c r="E1608" s="309" t="s">
        <v>232</v>
      </c>
      <c r="F1608" s="501">
        <v>1000</v>
      </c>
    </row>
    <row r="1609" spans="1:6">
      <c r="A1609" s="308">
        <v>43373</v>
      </c>
      <c r="B1609" s="309" t="s">
        <v>485</v>
      </c>
      <c r="C1609" s="309" t="s">
        <v>491</v>
      </c>
      <c r="D1609" s="136" t="str">
        <f t="array" ref="D1609">IF(E1609=0,0,(INDEX(AccountCodes[ACCOUNT NAME],MATCH(E1609,AccountCodes[NGAS CODE],0))))</f>
        <v>Water Expenses</v>
      </c>
      <c r="E1609" s="309" t="s">
        <v>232</v>
      </c>
      <c r="F1609" s="501">
        <v>1000</v>
      </c>
    </row>
    <row r="1610" spans="1:6">
      <c r="A1610" s="308">
        <v>43404</v>
      </c>
      <c r="B1610" s="309" t="s">
        <v>485</v>
      </c>
      <c r="C1610" s="309" t="s">
        <v>491</v>
      </c>
      <c r="D1610" s="136" t="str">
        <f t="array" ref="D1610">IF(E1610=0,0,(INDEX(AccountCodes[ACCOUNT NAME],MATCH(E1610,AccountCodes[NGAS CODE],0))))</f>
        <v>Water Expenses</v>
      </c>
      <c r="E1610" s="309" t="s">
        <v>232</v>
      </c>
      <c r="F1610" s="501">
        <v>1000</v>
      </c>
    </row>
    <row r="1611" spans="1:6">
      <c r="A1611" s="308">
        <v>43434</v>
      </c>
      <c r="B1611" s="309" t="s">
        <v>485</v>
      </c>
      <c r="C1611" s="309" t="s">
        <v>491</v>
      </c>
      <c r="D1611" s="136" t="str">
        <f t="array" ref="D1611">IF(E1611=0,0,(INDEX(AccountCodes[ACCOUNT NAME],MATCH(E1611,AccountCodes[NGAS CODE],0))))</f>
        <v>Water Expenses</v>
      </c>
      <c r="E1611" s="309" t="s">
        <v>232</v>
      </c>
      <c r="F1611" s="501">
        <v>1000</v>
      </c>
    </row>
    <row r="1612" spans="1:6">
      <c r="A1612" s="308">
        <v>43465</v>
      </c>
      <c r="B1612" s="309" t="s">
        <v>485</v>
      </c>
      <c r="C1612" s="309" t="s">
        <v>491</v>
      </c>
      <c r="D1612" s="136" t="str">
        <f t="array" ref="D1612">IF(E1612=0,0,(INDEX(AccountCodes[ACCOUNT NAME],MATCH(E1612,AccountCodes[NGAS CODE],0))))</f>
        <v>Water Expenses</v>
      </c>
      <c r="E1612" s="309" t="s">
        <v>232</v>
      </c>
      <c r="F1612" s="501">
        <v>1000</v>
      </c>
    </row>
    <row r="1613" spans="1:6">
      <c r="A1613" s="308">
        <v>43131</v>
      </c>
      <c r="B1613" s="309" t="s">
        <v>485</v>
      </c>
      <c r="C1613" s="309" t="s">
        <v>491</v>
      </c>
      <c r="D1613" s="136" t="str">
        <f t="array" ref="D1613">IF(E1613=0,0,(INDEX(AccountCodes[ACCOUNT NAME],MATCH(E1613,AccountCodes[NGAS CODE],0))))</f>
        <v>Electricity Expenses</v>
      </c>
      <c r="E1613" s="309" t="s">
        <v>233</v>
      </c>
      <c r="F1613" s="501">
        <v>5000</v>
      </c>
    </row>
    <row r="1614" spans="1:6">
      <c r="A1614" s="308">
        <v>43159</v>
      </c>
      <c r="B1614" s="309" t="s">
        <v>485</v>
      </c>
      <c r="C1614" s="309" t="s">
        <v>491</v>
      </c>
      <c r="D1614" s="136" t="str">
        <f t="array" ref="D1614">IF(E1614=0,0,(INDEX(AccountCodes[ACCOUNT NAME],MATCH(E1614,AccountCodes[NGAS CODE],0))))</f>
        <v>Electricity Expenses</v>
      </c>
      <c r="E1614" s="309" t="s">
        <v>233</v>
      </c>
      <c r="F1614" s="501">
        <v>5000</v>
      </c>
    </row>
    <row r="1615" spans="1:6">
      <c r="A1615" s="308">
        <v>43190</v>
      </c>
      <c r="B1615" s="309" t="s">
        <v>485</v>
      </c>
      <c r="C1615" s="309" t="s">
        <v>491</v>
      </c>
      <c r="D1615" s="136" t="str">
        <f t="array" ref="D1615">IF(E1615=0,0,(INDEX(AccountCodes[ACCOUNT NAME],MATCH(E1615,AccountCodes[NGAS CODE],0))))</f>
        <v>Electricity Expenses</v>
      </c>
      <c r="E1615" s="309" t="s">
        <v>233</v>
      </c>
      <c r="F1615" s="501">
        <v>5000</v>
      </c>
    </row>
    <row r="1616" spans="1:6">
      <c r="A1616" s="308">
        <v>43220</v>
      </c>
      <c r="B1616" s="309" t="s">
        <v>485</v>
      </c>
      <c r="C1616" s="309" t="s">
        <v>491</v>
      </c>
      <c r="D1616" s="136" t="str">
        <f t="array" ref="D1616">IF(E1616=0,0,(INDEX(AccountCodes[ACCOUNT NAME],MATCH(E1616,AccountCodes[NGAS CODE],0))))</f>
        <v>Electricity Expenses</v>
      </c>
      <c r="E1616" s="309" t="s">
        <v>233</v>
      </c>
      <c r="F1616" s="501">
        <v>5000</v>
      </c>
    </row>
    <row r="1617" spans="1:6">
      <c r="A1617" s="308">
        <v>43251</v>
      </c>
      <c r="B1617" s="309" t="s">
        <v>485</v>
      </c>
      <c r="C1617" s="309" t="s">
        <v>491</v>
      </c>
      <c r="D1617" s="136" t="str">
        <f t="array" ref="D1617">IF(E1617=0,0,(INDEX(AccountCodes[ACCOUNT NAME],MATCH(E1617,AccountCodes[NGAS CODE],0))))</f>
        <v>Electricity Expenses</v>
      </c>
      <c r="E1617" s="309" t="s">
        <v>233</v>
      </c>
      <c r="F1617" s="501">
        <v>5000</v>
      </c>
    </row>
    <row r="1618" spans="1:6">
      <c r="A1618" s="308">
        <v>43281</v>
      </c>
      <c r="B1618" s="309" t="s">
        <v>485</v>
      </c>
      <c r="C1618" s="309" t="s">
        <v>491</v>
      </c>
      <c r="D1618" s="136" t="str">
        <f t="array" ref="D1618">IF(E1618=0,0,(INDEX(AccountCodes[ACCOUNT NAME],MATCH(E1618,AccountCodes[NGAS CODE],0))))</f>
        <v>Electricity Expenses</v>
      </c>
      <c r="E1618" s="309" t="s">
        <v>233</v>
      </c>
      <c r="F1618" s="501">
        <v>5000</v>
      </c>
    </row>
    <row r="1619" spans="1:6">
      <c r="A1619" s="308">
        <v>43312</v>
      </c>
      <c r="B1619" s="309" t="s">
        <v>485</v>
      </c>
      <c r="C1619" s="309" t="s">
        <v>491</v>
      </c>
      <c r="D1619" s="136" t="str">
        <f t="array" ref="D1619">IF(E1619=0,0,(INDEX(AccountCodes[ACCOUNT NAME],MATCH(E1619,AccountCodes[NGAS CODE],0))))</f>
        <v>Electricity Expenses</v>
      </c>
      <c r="E1619" s="309" t="s">
        <v>233</v>
      </c>
      <c r="F1619" s="501">
        <v>5000</v>
      </c>
    </row>
    <row r="1620" spans="1:6">
      <c r="A1620" s="308">
        <v>43343</v>
      </c>
      <c r="B1620" s="309" t="s">
        <v>485</v>
      </c>
      <c r="C1620" s="309" t="s">
        <v>491</v>
      </c>
      <c r="D1620" s="136" t="str">
        <f t="array" ref="D1620">IF(E1620=0,0,(INDEX(AccountCodes[ACCOUNT NAME],MATCH(E1620,AccountCodes[NGAS CODE],0))))</f>
        <v>Electricity Expenses</v>
      </c>
      <c r="E1620" s="309" t="s">
        <v>233</v>
      </c>
      <c r="F1620" s="501">
        <v>5000</v>
      </c>
    </row>
    <row r="1621" spans="1:6">
      <c r="A1621" s="308">
        <v>43373</v>
      </c>
      <c r="B1621" s="309" t="s">
        <v>485</v>
      </c>
      <c r="C1621" s="309" t="s">
        <v>491</v>
      </c>
      <c r="D1621" s="136" t="str">
        <f t="array" ref="D1621">IF(E1621=0,0,(INDEX(AccountCodes[ACCOUNT NAME],MATCH(E1621,AccountCodes[NGAS CODE],0))))</f>
        <v>Electricity Expenses</v>
      </c>
      <c r="E1621" s="309" t="s">
        <v>233</v>
      </c>
      <c r="F1621" s="501">
        <v>5000</v>
      </c>
    </row>
    <row r="1622" spans="1:6">
      <c r="A1622" s="308">
        <v>43404</v>
      </c>
      <c r="B1622" s="309" t="s">
        <v>485</v>
      </c>
      <c r="C1622" s="309" t="s">
        <v>491</v>
      </c>
      <c r="D1622" s="136" t="str">
        <f t="array" ref="D1622">IF(E1622=0,0,(INDEX(AccountCodes[ACCOUNT NAME],MATCH(E1622,AccountCodes[NGAS CODE],0))))</f>
        <v>Electricity Expenses</v>
      </c>
      <c r="E1622" s="309" t="s">
        <v>233</v>
      </c>
      <c r="F1622" s="501">
        <v>5000</v>
      </c>
    </row>
    <row r="1623" spans="1:6">
      <c r="A1623" s="308">
        <v>43434</v>
      </c>
      <c r="B1623" s="309" t="s">
        <v>485</v>
      </c>
      <c r="C1623" s="309" t="s">
        <v>491</v>
      </c>
      <c r="D1623" s="136" t="str">
        <f t="array" ref="D1623">IF(E1623=0,0,(INDEX(AccountCodes[ACCOUNT NAME],MATCH(E1623,AccountCodes[NGAS CODE],0))))</f>
        <v>Electricity Expenses</v>
      </c>
      <c r="E1623" s="309" t="s">
        <v>233</v>
      </c>
      <c r="F1623" s="501">
        <v>5000</v>
      </c>
    </row>
    <row r="1624" spans="1:6">
      <c r="A1624" s="308">
        <v>43465</v>
      </c>
      <c r="B1624" s="309" t="s">
        <v>485</v>
      </c>
      <c r="C1624" s="309" t="s">
        <v>491</v>
      </c>
      <c r="D1624" s="136" t="str">
        <f t="array" ref="D1624">IF(E1624=0,0,(INDEX(AccountCodes[ACCOUNT NAME],MATCH(E1624,AccountCodes[NGAS CODE],0))))</f>
        <v>Electricity Expenses</v>
      </c>
      <c r="E1624" s="309" t="s">
        <v>233</v>
      </c>
      <c r="F1624" s="501">
        <v>5000</v>
      </c>
    </row>
    <row r="1625" spans="1:6">
      <c r="A1625" s="308">
        <v>43131</v>
      </c>
      <c r="B1625" s="309" t="s">
        <v>485</v>
      </c>
      <c r="C1625" s="309" t="s">
        <v>491</v>
      </c>
      <c r="D1625" s="136" t="str">
        <f t="array" ref="D1625">IF(E1625=0,0,(INDEX(AccountCodes[ACCOUNT NAME],MATCH(E1625,AccountCodes[NGAS CODE],0))))</f>
        <v>Telephone Expenses - Landline</v>
      </c>
      <c r="E1625" s="309" t="s">
        <v>235</v>
      </c>
      <c r="F1625" s="501">
        <v>4100</v>
      </c>
    </row>
    <row r="1626" spans="1:6">
      <c r="A1626" s="308">
        <v>43159</v>
      </c>
      <c r="B1626" s="309" t="s">
        <v>485</v>
      </c>
      <c r="C1626" s="309" t="s">
        <v>491</v>
      </c>
      <c r="D1626" s="136" t="str">
        <f t="array" ref="D1626">IF(E1626=0,0,(INDEX(AccountCodes[ACCOUNT NAME],MATCH(E1626,AccountCodes[NGAS CODE],0))))</f>
        <v>Telephone Expenses - Landline</v>
      </c>
      <c r="E1626" s="309" t="s">
        <v>235</v>
      </c>
      <c r="F1626" s="501">
        <v>4100</v>
      </c>
    </row>
    <row r="1627" spans="1:6">
      <c r="A1627" s="308">
        <v>43190</v>
      </c>
      <c r="B1627" s="309" t="s">
        <v>485</v>
      </c>
      <c r="C1627" s="309" t="s">
        <v>491</v>
      </c>
      <c r="D1627" s="136" t="str">
        <f t="array" ref="D1627">IF(E1627=0,0,(INDEX(AccountCodes[ACCOUNT NAME],MATCH(E1627,AccountCodes[NGAS CODE],0))))</f>
        <v>Telephone Expenses - Landline</v>
      </c>
      <c r="E1627" s="309" t="s">
        <v>235</v>
      </c>
      <c r="F1627" s="501">
        <v>4100</v>
      </c>
    </row>
    <row r="1628" spans="1:6">
      <c r="A1628" s="308">
        <v>43220</v>
      </c>
      <c r="B1628" s="309" t="s">
        <v>485</v>
      </c>
      <c r="C1628" s="309" t="s">
        <v>491</v>
      </c>
      <c r="D1628" s="136" t="str">
        <f t="array" ref="D1628">IF(E1628=0,0,(INDEX(AccountCodes[ACCOUNT NAME],MATCH(E1628,AccountCodes[NGAS CODE],0))))</f>
        <v>Telephone Expenses - Landline</v>
      </c>
      <c r="E1628" s="309" t="s">
        <v>235</v>
      </c>
      <c r="F1628" s="501">
        <v>4100</v>
      </c>
    </row>
    <row r="1629" spans="1:6">
      <c r="A1629" s="308">
        <v>43251</v>
      </c>
      <c r="B1629" s="309" t="s">
        <v>485</v>
      </c>
      <c r="C1629" s="309" t="s">
        <v>491</v>
      </c>
      <c r="D1629" s="136" t="str">
        <f t="array" ref="D1629">IF(E1629=0,0,(INDEX(AccountCodes[ACCOUNT NAME],MATCH(E1629,AccountCodes[NGAS CODE],0))))</f>
        <v>Telephone Expenses - Landline</v>
      </c>
      <c r="E1629" s="309" t="s">
        <v>235</v>
      </c>
      <c r="F1629" s="501">
        <v>4100</v>
      </c>
    </row>
    <row r="1630" spans="1:6">
      <c r="A1630" s="308">
        <v>43281</v>
      </c>
      <c r="B1630" s="309" t="s">
        <v>485</v>
      </c>
      <c r="C1630" s="309" t="s">
        <v>491</v>
      </c>
      <c r="D1630" s="136" t="str">
        <f t="array" ref="D1630">IF(E1630=0,0,(INDEX(AccountCodes[ACCOUNT NAME],MATCH(E1630,AccountCodes[NGAS CODE],0))))</f>
        <v>Telephone Expenses - Landline</v>
      </c>
      <c r="E1630" s="309" t="s">
        <v>235</v>
      </c>
      <c r="F1630" s="501">
        <v>4100</v>
      </c>
    </row>
    <row r="1631" spans="1:6">
      <c r="A1631" s="308">
        <v>43312</v>
      </c>
      <c r="B1631" s="309" t="s">
        <v>485</v>
      </c>
      <c r="C1631" s="309" t="s">
        <v>491</v>
      </c>
      <c r="D1631" s="136" t="str">
        <f t="array" ref="D1631">IF(E1631=0,0,(INDEX(AccountCodes[ACCOUNT NAME],MATCH(E1631,AccountCodes[NGAS CODE],0))))</f>
        <v>Telephone Expenses - Landline</v>
      </c>
      <c r="E1631" s="309" t="s">
        <v>235</v>
      </c>
      <c r="F1631" s="501">
        <v>4100</v>
      </c>
    </row>
    <row r="1632" spans="1:6">
      <c r="A1632" s="308">
        <v>43343</v>
      </c>
      <c r="B1632" s="309" t="s">
        <v>485</v>
      </c>
      <c r="C1632" s="309" t="s">
        <v>491</v>
      </c>
      <c r="D1632" s="136" t="str">
        <f t="array" ref="D1632">IF(E1632=0,0,(INDEX(AccountCodes[ACCOUNT NAME],MATCH(E1632,AccountCodes[NGAS CODE],0))))</f>
        <v>Telephone Expenses - Landline</v>
      </c>
      <c r="E1632" s="309" t="s">
        <v>235</v>
      </c>
      <c r="F1632" s="501">
        <v>4100</v>
      </c>
    </row>
    <row r="1633" spans="1:6">
      <c r="A1633" s="308">
        <v>43373</v>
      </c>
      <c r="B1633" s="309" t="s">
        <v>485</v>
      </c>
      <c r="C1633" s="309" t="s">
        <v>491</v>
      </c>
      <c r="D1633" s="136" t="str">
        <f t="array" ref="D1633">IF(E1633=0,0,(INDEX(AccountCodes[ACCOUNT NAME],MATCH(E1633,AccountCodes[NGAS CODE],0))))</f>
        <v>Telephone Expenses - Landline</v>
      </c>
      <c r="E1633" s="309" t="s">
        <v>235</v>
      </c>
      <c r="F1633" s="501">
        <v>4100</v>
      </c>
    </row>
    <row r="1634" spans="1:6">
      <c r="A1634" s="308">
        <v>43404</v>
      </c>
      <c r="B1634" s="309" t="s">
        <v>485</v>
      </c>
      <c r="C1634" s="309" t="s">
        <v>491</v>
      </c>
      <c r="D1634" s="136" t="str">
        <f t="array" ref="D1634">IF(E1634=0,0,(INDEX(AccountCodes[ACCOUNT NAME],MATCH(E1634,AccountCodes[NGAS CODE],0))))</f>
        <v>Telephone Expenses - Landline</v>
      </c>
      <c r="E1634" s="309" t="s">
        <v>235</v>
      </c>
      <c r="F1634" s="501">
        <v>4100</v>
      </c>
    </row>
    <row r="1635" spans="1:6">
      <c r="A1635" s="308">
        <v>43434</v>
      </c>
      <c r="B1635" s="309" t="s">
        <v>485</v>
      </c>
      <c r="C1635" s="309" t="s">
        <v>491</v>
      </c>
      <c r="D1635" s="136" t="str">
        <f t="array" ref="D1635">IF(E1635=0,0,(INDEX(AccountCodes[ACCOUNT NAME],MATCH(E1635,AccountCodes[NGAS CODE],0))))</f>
        <v>Telephone Expenses - Landline</v>
      </c>
      <c r="E1635" s="309" t="s">
        <v>235</v>
      </c>
      <c r="F1635" s="501">
        <v>4100</v>
      </c>
    </row>
    <row r="1636" spans="1:6">
      <c r="A1636" s="308">
        <v>43465</v>
      </c>
      <c r="B1636" s="309" t="s">
        <v>485</v>
      </c>
      <c r="C1636" s="309" t="s">
        <v>491</v>
      </c>
      <c r="D1636" s="136" t="str">
        <f t="array" ref="D1636">IF(E1636=0,0,(INDEX(AccountCodes[ACCOUNT NAME],MATCH(E1636,AccountCodes[NGAS CODE],0))))</f>
        <v>Telephone Expenses - Landline</v>
      </c>
      <c r="E1636" s="309" t="s">
        <v>235</v>
      </c>
      <c r="F1636" s="501">
        <v>4100</v>
      </c>
    </row>
    <row r="1637" spans="1:6">
      <c r="A1637" s="308">
        <v>43190</v>
      </c>
      <c r="B1637" s="309" t="s">
        <v>485</v>
      </c>
      <c r="C1637" s="309" t="s">
        <v>491</v>
      </c>
      <c r="D1637" s="136" t="str">
        <f t="array" ref="D1637">IF(E1637=0,0,(INDEX(AccountCodes[ACCOUNT NAME],MATCH(E1637,AccountCodes[NGAS CODE],0))))</f>
        <v>Taxes, Duties and Licenses</v>
      </c>
      <c r="E1637" s="309" t="s">
        <v>272</v>
      </c>
      <c r="F1637" s="501">
        <v>4827.7299999999996</v>
      </c>
    </row>
    <row r="1638" spans="1:6">
      <c r="A1638" s="308">
        <v>43251</v>
      </c>
      <c r="B1638" s="309" t="s">
        <v>485</v>
      </c>
      <c r="C1638" s="309" t="s">
        <v>491</v>
      </c>
      <c r="D1638" s="136" t="str">
        <f t="array" ref="D1638">IF(E1638=0,0,(INDEX(AccountCodes[ACCOUNT NAME],MATCH(E1638,AccountCodes[NGAS CODE],0))))</f>
        <v>Taxes, Duties and Licenses</v>
      </c>
      <c r="E1638" s="309" t="s">
        <v>272</v>
      </c>
      <c r="F1638" s="501">
        <v>6829.69</v>
      </c>
    </row>
    <row r="1639" spans="1:6">
      <c r="A1639" s="308">
        <v>43281</v>
      </c>
      <c r="B1639" s="309" t="s">
        <v>485</v>
      </c>
      <c r="C1639" s="309" t="s">
        <v>491</v>
      </c>
      <c r="D1639" s="136" t="str">
        <f t="array" ref="D1639">IF(E1639=0,0,(INDEX(AccountCodes[ACCOUNT NAME],MATCH(E1639,AccountCodes[NGAS CODE],0))))</f>
        <v>Taxes, Duties and Licenses</v>
      </c>
      <c r="E1639" s="309" t="s">
        <v>272</v>
      </c>
      <c r="F1639" s="501">
        <v>8740</v>
      </c>
    </row>
    <row r="1640" spans="1:6">
      <c r="A1640" s="308">
        <v>43373</v>
      </c>
      <c r="B1640" s="309" t="s">
        <v>485</v>
      </c>
      <c r="C1640" s="309" t="s">
        <v>491</v>
      </c>
      <c r="D1640" s="136" t="str">
        <f t="array" ref="D1640">IF(E1640=0,0,(INDEX(AccountCodes[ACCOUNT NAME],MATCH(E1640,AccountCodes[NGAS CODE],0))))</f>
        <v>Taxes, Duties and Licenses</v>
      </c>
      <c r="E1640" s="309" t="s">
        <v>272</v>
      </c>
      <c r="F1640" s="501">
        <v>11946.33</v>
      </c>
    </row>
    <row r="1641" spans="1:6">
      <c r="A1641" s="308">
        <v>43281</v>
      </c>
      <c r="B1641" s="309" t="s">
        <v>485</v>
      </c>
      <c r="C1641" s="309" t="s">
        <v>491</v>
      </c>
      <c r="D1641" s="136" t="str">
        <f t="array" ref="D1641">IF(E1641=0,0,(INDEX(AccountCodes[ACCOUNT NAME],MATCH(E1641,AccountCodes[NGAS CODE],0))))</f>
        <v>Other Maintenance and Operating Expenses (Irrigator's Share/Remuneration/Subsidy)</v>
      </c>
      <c r="E1641" s="309" t="s">
        <v>333</v>
      </c>
      <c r="F1641" s="501">
        <v>95403</v>
      </c>
    </row>
    <row r="1642" spans="1:6">
      <c r="A1642" s="308">
        <v>43281</v>
      </c>
      <c r="B1642" s="309" t="s">
        <v>485</v>
      </c>
      <c r="C1642" s="309" t="s">
        <v>491</v>
      </c>
      <c r="D1642" s="136" t="str">
        <f t="array" ref="D1642">IF(E1642=0,0,(INDEX(AccountCodes[ACCOUNT NAME],MATCH(E1642,AccountCodes[NGAS CODE],0))))</f>
        <v>Repairs and Maintenance-Infrastructure Assets - Other Infrastructure Assets (Irrigation Canal &amp; Laterals)</v>
      </c>
      <c r="E1642" s="309" t="s">
        <v>267</v>
      </c>
      <c r="F1642" s="501">
        <v>200000</v>
      </c>
    </row>
    <row r="1643" spans="1:6">
      <c r="A1643" s="308"/>
      <c r="D1643" s="136">
        <f t="array" ref="D1643">IF(E1643=0,0,(INDEX(AccountCodes[ACCOUNT NAME],MATCH(E1643,AccountCodes[NGAS CODE],0))))</f>
        <v>0</v>
      </c>
      <c r="E1643" s="309"/>
      <c r="F1643" s="501"/>
    </row>
    <row r="1644" spans="1:6">
      <c r="A1644" s="308">
        <v>43131</v>
      </c>
      <c r="B1644" s="309" t="s">
        <v>485</v>
      </c>
      <c r="C1644" s="309" t="s">
        <v>492</v>
      </c>
      <c r="D1644" s="136" t="str">
        <f t="array" ref="D1644">IF(E1644=0,0,(INDEX(AccountCodes[ACCOUNT NAME],MATCH(E1644,AccountCodes[NGAS CODE],0))))</f>
        <v>Equipment Rental - Internal (CA)</v>
      </c>
      <c r="E1644" s="309" t="s">
        <v>146</v>
      </c>
      <c r="F1644" s="501">
        <v>150000</v>
      </c>
    </row>
    <row r="1645" spans="1:6">
      <c r="A1645" s="308">
        <v>43159</v>
      </c>
      <c r="B1645" s="309" t="s">
        <v>485</v>
      </c>
      <c r="C1645" s="309" t="s">
        <v>492</v>
      </c>
      <c r="D1645" s="136" t="str">
        <f t="array" ref="D1645">IF(E1645=0,0,(INDEX(AccountCodes[ACCOUNT NAME],MATCH(E1645,AccountCodes[NGAS CODE],0))))</f>
        <v>Equipment Rental - Internal (CA)</v>
      </c>
      <c r="E1645" s="309" t="s">
        <v>146</v>
      </c>
      <c r="F1645" s="501">
        <v>100000</v>
      </c>
    </row>
    <row r="1646" spans="1:6">
      <c r="A1646" s="308">
        <v>43190</v>
      </c>
      <c r="B1646" s="309" t="s">
        <v>485</v>
      </c>
      <c r="C1646" s="309" t="s">
        <v>492</v>
      </c>
      <c r="D1646" s="136" t="str">
        <f t="array" ref="D1646">IF(E1646=0,0,(INDEX(AccountCodes[ACCOUNT NAME],MATCH(E1646,AccountCodes[NGAS CODE],0))))</f>
        <v>Equipment Rental - Internal (CA)</v>
      </c>
      <c r="E1646" s="309" t="s">
        <v>146</v>
      </c>
      <c r="F1646" s="501">
        <v>100000</v>
      </c>
    </row>
    <row r="1647" spans="1:6">
      <c r="A1647" s="308">
        <v>43220</v>
      </c>
      <c r="B1647" s="309" t="s">
        <v>485</v>
      </c>
      <c r="C1647" s="309" t="s">
        <v>492</v>
      </c>
      <c r="D1647" s="136" t="str">
        <f t="array" ref="D1647">IF(E1647=0,0,(INDEX(AccountCodes[ACCOUNT NAME],MATCH(E1647,AccountCodes[NGAS CODE],0))))</f>
        <v>Equipment Rental - Internal (CA)</v>
      </c>
      <c r="E1647" s="309" t="s">
        <v>146</v>
      </c>
      <c r="F1647" s="501">
        <v>150000</v>
      </c>
    </row>
    <row r="1648" spans="1:6">
      <c r="A1648" s="308">
        <v>43251</v>
      </c>
      <c r="B1648" s="309" t="s">
        <v>485</v>
      </c>
      <c r="C1648" s="309" t="s">
        <v>492</v>
      </c>
      <c r="D1648" s="136" t="str">
        <f t="array" ref="D1648">IF(E1648=0,0,(INDEX(AccountCodes[ACCOUNT NAME],MATCH(E1648,AccountCodes[NGAS CODE],0))))</f>
        <v>Equipment Rental - Internal (CA)</v>
      </c>
      <c r="E1648" s="309" t="s">
        <v>146</v>
      </c>
      <c r="F1648" s="501">
        <v>100000</v>
      </c>
    </row>
    <row r="1649" spans="1:6">
      <c r="A1649" s="308">
        <v>43281</v>
      </c>
      <c r="B1649" s="309" t="s">
        <v>485</v>
      </c>
      <c r="C1649" s="309" t="s">
        <v>492</v>
      </c>
      <c r="D1649" s="136" t="str">
        <f t="array" ref="D1649">IF(E1649=0,0,(INDEX(AccountCodes[ACCOUNT NAME],MATCH(E1649,AccountCodes[NGAS CODE],0))))</f>
        <v>Equipment Rental - Internal (CA)</v>
      </c>
      <c r="E1649" s="309" t="s">
        <v>146</v>
      </c>
      <c r="F1649" s="501">
        <v>110000</v>
      </c>
    </row>
    <row r="1650" spans="1:6">
      <c r="A1650" s="308">
        <v>43404</v>
      </c>
      <c r="B1650" s="309" t="s">
        <v>485</v>
      </c>
      <c r="C1650" s="309" t="s">
        <v>492</v>
      </c>
      <c r="D1650" s="136" t="str">
        <f t="array" ref="D1650">IF(E1650=0,0,(INDEX(AccountCodes[ACCOUNT NAME],MATCH(E1650,AccountCodes[NGAS CODE],0))))</f>
        <v>Equipment Rental - Internal (CA)</v>
      </c>
      <c r="E1650" s="309" t="s">
        <v>146</v>
      </c>
      <c r="F1650" s="501">
        <v>90000</v>
      </c>
    </row>
    <row r="1651" spans="1:6">
      <c r="A1651" s="308">
        <v>43434</v>
      </c>
      <c r="B1651" s="309" t="s">
        <v>485</v>
      </c>
      <c r="C1651" s="309" t="s">
        <v>492</v>
      </c>
      <c r="D1651" s="136" t="str">
        <f t="array" ref="D1651">IF(E1651=0,0,(INDEX(AccountCodes[ACCOUNT NAME],MATCH(E1651,AccountCodes[NGAS CODE],0))))</f>
        <v>Equipment Rental - Internal (CA)</v>
      </c>
      <c r="E1651" s="309" t="s">
        <v>146</v>
      </c>
      <c r="F1651" s="501">
        <v>100000</v>
      </c>
    </row>
    <row r="1652" spans="1:6">
      <c r="A1652" s="308">
        <v>43465</v>
      </c>
      <c r="B1652" s="309" t="s">
        <v>485</v>
      </c>
      <c r="C1652" s="309" t="s">
        <v>492</v>
      </c>
      <c r="D1652" s="136" t="str">
        <f t="array" ref="D1652">IF(E1652=0,0,(INDEX(AccountCodes[ACCOUNT NAME],MATCH(E1652,AccountCodes[NGAS CODE],0))))</f>
        <v>Equipment Rental - Internal (CA)</v>
      </c>
      <c r="E1652" s="309" t="s">
        <v>146</v>
      </c>
      <c r="F1652" s="501">
        <v>100000</v>
      </c>
    </row>
    <row r="1653" spans="1:6">
      <c r="A1653" s="308">
        <v>43131</v>
      </c>
      <c r="B1653" s="309" t="s">
        <v>485</v>
      </c>
      <c r="C1653" s="309" t="s">
        <v>492</v>
      </c>
      <c r="D1653" s="136" t="str">
        <f t="array" ref="D1653">IF(E1653=0,0,(INDEX(AccountCodes[ACCOUNT NAME],MATCH(E1653,AccountCodes[NGAS CODE],0))))</f>
        <v>Salaries and Wages-Regular</v>
      </c>
      <c r="E1653" s="309" t="s">
        <v>162</v>
      </c>
      <c r="F1653" s="501">
        <v>505549</v>
      </c>
    </row>
    <row r="1654" spans="1:6">
      <c r="A1654" s="308">
        <v>43159</v>
      </c>
      <c r="B1654" s="309" t="s">
        <v>485</v>
      </c>
      <c r="C1654" s="309" t="s">
        <v>492</v>
      </c>
      <c r="D1654" s="136" t="str">
        <f t="array" ref="D1654">IF(E1654=0,0,(INDEX(AccountCodes[ACCOUNT NAME],MATCH(E1654,AccountCodes[NGAS CODE],0))))</f>
        <v>Salaries and Wages-Regular</v>
      </c>
      <c r="E1654" s="309" t="s">
        <v>162</v>
      </c>
      <c r="F1654" s="501">
        <v>505549</v>
      </c>
    </row>
    <row r="1655" spans="1:6">
      <c r="A1655" s="308">
        <v>43190</v>
      </c>
      <c r="B1655" s="309" t="s">
        <v>485</v>
      </c>
      <c r="C1655" s="309" t="s">
        <v>492</v>
      </c>
      <c r="D1655" s="136" t="str">
        <f t="array" ref="D1655">IF(E1655=0,0,(INDEX(AccountCodes[ACCOUNT NAME],MATCH(E1655,AccountCodes[NGAS CODE],0))))</f>
        <v>Salaries and Wages-Regular</v>
      </c>
      <c r="E1655" s="309" t="s">
        <v>162</v>
      </c>
      <c r="F1655" s="501">
        <v>505549</v>
      </c>
    </row>
    <row r="1656" spans="1:6">
      <c r="A1656" s="308">
        <v>43220</v>
      </c>
      <c r="B1656" s="309" t="s">
        <v>485</v>
      </c>
      <c r="C1656" s="309" t="s">
        <v>492</v>
      </c>
      <c r="D1656" s="136" t="str">
        <f t="array" ref="D1656">IF(E1656=0,0,(INDEX(AccountCodes[ACCOUNT NAME],MATCH(E1656,AccountCodes[NGAS CODE],0))))</f>
        <v>Salaries and Wages-Regular</v>
      </c>
      <c r="E1656" s="309" t="s">
        <v>162</v>
      </c>
      <c r="F1656" s="501">
        <v>505549</v>
      </c>
    </row>
    <row r="1657" spans="1:6">
      <c r="A1657" s="308">
        <v>43251</v>
      </c>
      <c r="B1657" s="309" t="s">
        <v>485</v>
      </c>
      <c r="C1657" s="309" t="s">
        <v>492</v>
      </c>
      <c r="D1657" s="136" t="str">
        <f t="array" ref="D1657">IF(E1657=0,0,(INDEX(AccountCodes[ACCOUNT NAME],MATCH(E1657,AccountCodes[NGAS CODE],0))))</f>
        <v>Salaries and Wages-Regular</v>
      </c>
      <c r="E1657" s="309" t="s">
        <v>162</v>
      </c>
      <c r="F1657" s="501">
        <v>505549</v>
      </c>
    </row>
    <row r="1658" spans="1:6">
      <c r="A1658" s="308">
        <v>43281</v>
      </c>
      <c r="B1658" s="309" t="s">
        <v>485</v>
      </c>
      <c r="C1658" s="309" t="s">
        <v>492</v>
      </c>
      <c r="D1658" s="136" t="str">
        <f t="array" ref="D1658">IF(E1658=0,0,(INDEX(AccountCodes[ACCOUNT NAME],MATCH(E1658,AccountCodes[NGAS CODE],0))))</f>
        <v>Salaries and Wages-Regular</v>
      </c>
      <c r="E1658" s="309" t="s">
        <v>162</v>
      </c>
      <c r="F1658" s="501">
        <v>505549</v>
      </c>
    </row>
    <row r="1659" spans="1:6">
      <c r="A1659" s="308">
        <v>43312</v>
      </c>
      <c r="B1659" s="309" t="s">
        <v>485</v>
      </c>
      <c r="C1659" s="309" t="s">
        <v>492</v>
      </c>
      <c r="D1659" s="136" t="str">
        <f t="array" ref="D1659">IF(E1659=0,0,(INDEX(AccountCodes[ACCOUNT NAME],MATCH(E1659,AccountCodes[NGAS CODE],0))))</f>
        <v>Salaries and Wages-Regular</v>
      </c>
      <c r="E1659" s="309" t="s">
        <v>162</v>
      </c>
      <c r="F1659" s="501">
        <v>505549</v>
      </c>
    </row>
    <row r="1660" spans="1:6">
      <c r="A1660" s="308">
        <v>43343</v>
      </c>
      <c r="B1660" s="309" t="s">
        <v>485</v>
      </c>
      <c r="C1660" s="309" t="s">
        <v>492</v>
      </c>
      <c r="D1660" s="136" t="str">
        <f t="array" ref="D1660">IF(E1660=0,0,(INDEX(AccountCodes[ACCOUNT NAME],MATCH(E1660,AccountCodes[NGAS CODE],0))))</f>
        <v>Salaries and Wages-Regular</v>
      </c>
      <c r="E1660" s="309" t="s">
        <v>162</v>
      </c>
      <c r="F1660" s="501">
        <v>505549</v>
      </c>
    </row>
    <row r="1661" spans="1:6">
      <c r="A1661" s="308">
        <v>43373</v>
      </c>
      <c r="B1661" s="309" t="s">
        <v>485</v>
      </c>
      <c r="C1661" s="309" t="s">
        <v>492</v>
      </c>
      <c r="D1661" s="136" t="str">
        <f t="array" ref="D1661">IF(E1661=0,0,(INDEX(AccountCodes[ACCOUNT NAME],MATCH(E1661,AccountCodes[NGAS CODE],0))))</f>
        <v>Salaries and Wages-Regular</v>
      </c>
      <c r="E1661" s="309" t="s">
        <v>162</v>
      </c>
      <c r="F1661" s="501">
        <v>505549</v>
      </c>
    </row>
    <row r="1662" spans="1:6">
      <c r="A1662" s="308">
        <v>43404</v>
      </c>
      <c r="B1662" s="309" t="s">
        <v>485</v>
      </c>
      <c r="C1662" s="309" t="s">
        <v>492</v>
      </c>
      <c r="D1662" s="136" t="str">
        <f t="array" ref="D1662">IF(E1662=0,0,(INDEX(AccountCodes[ACCOUNT NAME],MATCH(E1662,AccountCodes[NGAS CODE],0))))</f>
        <v>Salaries and Wages-Regular</v>
      </c>
      <c r="E1662" s="309" t="s">
        <v>162</v>
      </c>
      <c r="F1662" s="501">
        <v>505549</v>
      </c>
    </row>
    <row r="1663" spans="1:6">
      <c r="A1663" s="308">
        <v>43434</v>
      </c>
      <c r="B1663" s="309" t="s">
        <v>485</v>
      </c>
      <c r="C1663" s="309" t="s">
        <v>492</v>
      </c>
      <c r="D1663" s="136" t="str">
        <f t="array" ref="D1663">IF(E1663=0,0,(INDEX(AccountCodes[ACCOUNT NAME],MATCH(E1663,AccountCodes[NGAS CODE],0))))</f>
        <v>Salaries and Wages-Regular</v>
      </c>
      <c r="E1663" s="309" t="s">
        <v>162</v>
      </c>
      <c r="F1663" s="501">
        <v>505549</v>
      </c>
    </row>
    <row r="1664" spans="1:6">
      <c r="A1664" s="308">
        <v>43465</v>
      </c>
      <c r="B1664" s="309" t="s">
        <v>485</v>
      </c>
      <c r="C1664" s="309" t="s">
        <v>492</v>
      </c>
      <c r="D1664" s="136" t="str">
        <f t="array" ref="D1664">IF(E1664=0,0,(INDEX(AccountCodes[ACCOUNT NAME],MATCH(E1664,AccountCodes[NGAS CODE],0))))</f>
        <v>Salaries and Wages-Regular</v>
      </c>
      <c r="E1664" s="309" t="s">
        <v>162</v>
      </c>
      <c r="F1664" s="501">
        <v>505549</v>
      </c>
    </row>
    <row r="1665" spans="1:6">
      <c r="A1665" s="308">
        <v>43131</v>
      </c>
      <c r="B1665" s="309" t="s">
        <v>485</v>
      </c>
      <c r="C1665" s="309" t="s">
        <v>492</v>
      </c>
      <c r="D1665" s="136" t="str">
        <f t="array" ref="D1665">IF(E1665=0,0,(INDEX(AccountCodes[ACCOUNT NAME],MATCH(E1665,AccountCodes[NGAS CODE],0))))</f>
        <v>Personal Economic Relief Allowance (PERA)</v>
      </c>
      <c r="E1665" s="309" t="s">
        <v>164</v>
      </c>
      <c r="F1665" s="501">
        <v>50000</v>
      </c>
    </row>
    <row r="1666" spans="1:6">
      <c r="A1666" s="308">
        <v>43159</v>
      </c>
      <c r="B1666" s="309" t="s">
        <v>485</v>
      </c>
      <c r="C1666" s="309" t="s">
        <v>492</v>
      </c>
      <c r="D1666" s="136" t="str">
        <f t="array" ref="D1666">IF(E1666=0,0,(INDEX(AccountCodes[ACCOUNT NAME],MATCH(E1666,AccountCodes[NGAS CODE],0))))</f>
        <v>Personal Economic Relief Allowance (PERA)</v>
      </c>
      <c r="E1666" s="309" t="s">
        <v>164</v>
      </c>
      <c r="F1666" s="501">
        <v>50000</v>
      </c>
    </row>
    <row r="1667" spans="1:6">
      <c r="A1667" s="308">
        <v>43190</v>
      </c>
      <c r="B1667" s="309" t="s">
        <v>485</v>
      </c>
      <c r="C1667" s="309" t="s">
        <v>492</v>
      </c>
      <c r="D1667" s="136" t="str">
        <f t="array" ref="D1667">IF(E1667=0,0,(INDEX(AccountCodes[ACCOUNT NAME],MATCH(E1667,AccountCodes[NGAS CODE],0))))</f>
        <v>Personal Economic Relief Allowance (PERA)</v>
      </c>
      <c r="E1667" s="309" t="s">
        <v>164</v>
      </c>
      <c r="F1667" s="501">
        <v>50000</v>
      </c>
    </row>
    <row r="1668" spans="1:6">
      <c r="A1668" s="308">
        <v>43220</v>
      </c>
      <c r="B1668" s="309" t="s">
        <v>485</v>
      </c>
      <c r="C1668" s="309" t="s">
        <v>492</v>
      </c>
      <c r="D1668" s="136" t="str">
        <f t="array" ref="D1668">IF(E1668=0,0,(INDEX(AccountCodes[ACCOUNT NAME],MATCH(E1668,AccountCodes[NGAS CODE],0))))</f>
        <v>Personal Economic Relief Allowance (PERA)</v>
      </c>
      <c r="E1668" s="309" t="s">
        <v>164</v>
      </c>
      <c r="F1668" s="501">
        <v>50000</v>
      </c>
    </row>
    <row r="1669" spans="1:6">
      <c r="A1669" s="308">
        <v>43251</v>
      </c>
      <c r="B1669" s="309" t="s">
        <v>485</v>
      </c>
      <c r="C1669" s="309" t="s">
        <v>492</v>
      </c>
      <c r="D1669" s="136" t="str">
        <f t="array" ref="D1669">IF(E1669=0,0,(INDEX(AccountCodes[ACCOUNT NAME],MATCH(E1669,AccountCodes[NGAS CODE],0))))</f>
        <v>Personal Economic Relief Allowance (PERA)</v>
      </c>
      <c r="E1669" s="309" t="s">
        <v>164</v>
      </c>
      <c r="F1669" s="501">
        <v>50000</v>
      </c>
    </row>
    <row r="1670" spans="1:6">
      <c r="A1670" s="308">
        <v>43281</v>
      </c>
      <c r="B1670" s="309" t="s">
        <v>485</v>
      </c>
      <c r="C1670" s="309" t="s">
        <v>492</v>
      </c>
      <c r="D1670" s="136" t="str">
        <f t="array" ref="D1670">IF(E1670=0,0,(INDEX(AccountCodes[ACCOUNT NAME],MATCH(E1670,AccountCodes[NGAS CODE],0))))</f>
        <v>Personal Economic Relief Allowance (PERA)</v>
      </c>
      <c r="E1670" s="309" t="s">
        <v>164</v>
      </c>
      <c r="F1670" s="501">
        <v>50000</v>
      </c>
    </row>
    <row r="1671" spans="1:6">
      <c r="A1671" s="308">
        <v>43312</v>
      </c>
      <c r="B1671" s="309" t="s">
        <v>485</v>
      </c>
      <c r="C1671" s="309" t="s">
        <v>492</v>
      </c>
      <c r="D1671" s="136" t="str">
        <f t="array" ref="D1671">IF(E1671=0,0,(INDEX(AccountCodes[ACCOUNT NAME],MATCH(E1671,AccountCodes[NGAS CODE],0))))</f>
        <v>Personal Economic Relief Allowance (PERA)</v>
      </c>
      <c r="E1671" s="309" t="s">
        <v>164</v>
      </c>
      <c r="F1671" s="501">
        <v>50000</v>
      </c>
    </row>
    <row r="1672" spans="1:6">
      <c r="A1672" s="308">
        <v>43343</v>
      </c>
      <c r="B1672" s="309" t="s">
        <v>485</v>
      </c>
      <c r="C1672" s="309" t="s">
        <v>492</v>
      </c>
      <c r="D1672" s="136" t="str">
        <f t="array" ref="D1672">IF(E1672=0,0,(INDEX(AccountCodes[ACCOUNT NAME],MATCH(E1672,AccountCodes[NGAS CODE],0))))</f>
        <v>Personal Economic Relief Allowance (PERA)</v>
      </c>
      <c r="E1672" s="309" t="s">
        <v>164</v>
      </c>
      <c r="F1672" s="501">
        <v>50000</v>
      </c>
    </row>
    <row r="1673" spans="1:6">
      <c r="A1673" s="308">
        <v>43373</v>
      </c>
      <c r="B1673" s="309" t="s">
        <v>485</v>
      </c>
      <c r="C1673" s="309" t="s">
        <v>492</v>
      </c>
      <c r="D1673" s="136" t="str">
        <f t="array" ref="D1673">IF(E1673=0,0,(INDEX(AccountCodes[ACCOUNT NAME],MATCH(E1673,AccountCodes[NGAS CODE],0))))</f>
        <v>Personal Economic Relief Allowance (PERA)</v>
      </c>
      <c r="E1673" s="309" t="s">
        <v>164</v>
      </c>
      <c r="F1673" s="501">
        <v>50000</v>
      </c>
    </row>
    <row r="1674" spans="1:6">
      <c r="A1674" s="308">
        <v>43404</v>
      </c>
      <c r="B1674" s="309" t="s">
        <v>485</v>
      </c>
      <c r="C1674" s="309" t="s">
        <v>492</v>
      </c>
      <c r="D1674" s="136" t="str">
        <f t="array" ref="D1674">IF(E1674=0,0,(INDEX(AccountCodes[ACCOUNT NAME],MATCH(E1674,AccountCodes[NGAS CODE],0))))</f>
        <v>Personal Economic Relief Allowance (PERA)</v>
      </c>
      <c r="E1674" s="309" t="s">
        <v>164</v>
      </c>
      <c r="F1674" s="501">
        <v>50000</v>
      </c>
    </row>
    <row r="1675" spans="1:6">
      <c r="A1675" s="308">
        <v>43434</v>
      </c>
      <c r="B1675" s="309" t="s">
        <v>485</v>
      </c>
      <c r="C1675" s="309" t="s">
        <v>492</v>
      </c>
      <c r="D1675" s="136" t="str">
        <f t="array" ref="D1675">IF(E1675=0,0,(INDEX(AccountCodes[ACCOUNT NAME],MATCH(E1675,AccountCodes[NGAS CODE],0))))</f>
        <v>Personal Economic Relief Allowance (PERA)</v>
      </c>
      <c r="E1675" s="309" t="s">
        <v>164</v>
      </c>
      <c r="F1675" s="501">
        <v>50000</v>
      </c>
    </row>
    <row r="1676" spans="1:6">
      <c r="A1676" s="308">
        <v>43465</v>
      </c>
      <c r="B1676" s="309" t="s">
        <v>485</v>
      </c>
      <c r="C1676" s="309" t="s">
        <v>492</v>
      </c>
      <c r="D1676" s="136" t="str">
        <f t="array" ref="D1676">IF(E1676=0,0,(INDEX(AccountCodes[ACCOUNT NAME],MATCH(E1676,AccountCodes[NGAS CODE],0))))</f>
        <v>Personal Economic Relief Allowance (PERA)</v>
      </c>
      <c r="E1676" s="309" t="s">
        <v>164</v>
      </c>
      <c r="F1676" s="501">
        <v>50000</v>
      </c>
    </row>
    <row r="1677" spans="1:6">
      <c r="A1677" s="308">
        <v>43190</v>
      </c>
      <c r="B1677" s="309" t="s">
        <v>485</v>
      </c>
      <c r="C1677" s="309" t="s">
        <v>492</v>
      </c>
      <c r="D1677" s="136" t="str">
        <f t="array" ref="D1677">IF(E1677=0,0,(INDEX(AccountCodes[ACCOUNT NAME],MATCH(E1677,AccountCodes[NGAS CODE],0))))</f>
        <v>Clothing/Uniform Allowance</v>
      </c>
      <c r="E1677" s="309" t="s">
        <v>167</v>
      </c>
      <c r="F1677" s="501">
        <v>125000</v>
      </c>
    </row>
    <row r="1678" spans="1:6">
      <c r="A1678" s="308">
        <v>43434</v>
      </c>
      <c r="B1678" s="309" t="s">
        <v>485</v>
      </c>
      <c r="C1678" s="309" t="s">
        <v>492</v>
      </c>
      <c r="D1678" s="136" t="str">
        <f t="array" ref="D1678">IF(E1678=0,0,(INDEX(AccountCodes[ACCOUNT NAME],MATCH(E1678,AccountCodes[NGAS CODE],0))))</f>
        <v>Cash Gift</v>
      </c>
      <c r="E1678" s="309" t="s">
        <v>172</v>
      </c>
      <c r="F1678" s="501">
        <v>125000</v>
      </c>
    </row>
    <row r="1679" spans="1:6">
      <c r="A1679" s="308">
        <v>43251</v>
      </c>
      <c r="B1679" s="309" t="s">
        <v>485</v>
      </c>
      <c r="C1679" s="309" t="s">
        <v>492</v>
      </c>
      <c r="D1679" s="136" t="str">
        <f t="array" ref="D1679">IF(E1679=0,0,(INDEX(AccountCodes[ACCOUNT NAME],MATCH(E1679,AccountCodes[NGAS CODE],0))))</f>
        <v>Mid-Year/Year End Bonus</v>
      </c>
      <c r="E1679" s="309" t="s">
        <v>174</v>
      </c>
      <c r="F1679" s="501">
        <v>505549</v>
      </c>
    </row>
    <row r="1680" spans="1:6">
      <c r="A1680" s="308">
        <v>43434</v>
      </c>
      <c r="B1680" s="309" t="s">
        <v>485</v>
      </c>
      <c r="C1680" s="309" t="s">
        <v>492</v>
      </c>
      <c r="D1680" s="136" t="str">
        <f t="array" ref="D1680">IF(E1680=0,0,(INDEX(AccountCodes[ACCOUNT NAME],MATCH(E1680,AccountCodes[NGAS CODE],0))))</f>
        <v>Mid-Year/Year End Bonus</v>
      </c>
      <c r="E1680" s="309" t="s">
        <v>174</v>
      </c>
      <c r="F1680" s="501">
        <v>505549</v>
      </c>
    </row>
    <row r="1681" spans="1:6">
      <c r="A1681" s="308">
        <v>43131</v>
      </c>
      <c r="B1681" s="309" t="s">
        <v>485</v>
      </c>
      <c r="C1681" s="309" t="s">
        <v>492</v>
      </c>
      <c r="D1681" s="136" t="str">
        <f t="array" ref="D1681">IF(E1681=0,0,(INDEX(AccountCodes[ACCOUNT NAME],MATCH(E1681,AccountCodes[NGAS CODE],0))))</f>
        <v>Other Bonuses and Allowances - Medical Allowance</v>
      </c>
      <c r="E1681" s="309" t="s">
        <v>5</v>
      </c>
      <c r="F1681" s="501">
        <v>400</v>
      </c>
    </row>
    <row r="1682" spans="1:6">
      <c r="A1682" s="308">
        <v>43159</v>
      </c>
      <c r="B1682" s="309" t="s">
        <v>485</v>
      </c>
      <c r="C1682" s="309" t="s">
        <v>492</v>
      </c>
      <c r="D1682" s="136" t="str">
        <f t="array" ref="D1682">IF(E1682=0,0,(INDEX(AccountCodes[ACCOUNT NAME],MATCH(E1682,AccountCodes[NGAS CODE],0))))</f>
        <v>Other Bonuses and Allowances - Medical Allowance</v>
      </c>
      <c r="E1682" s="309" t="s">
        <v>5</v>
      </c>
      <c r="F1682" s="501">
        <v>400</v>
      </c>
    </row>
    <row r="1683" spans="1:6">
      <c r="A1683" s="308">
        <v>43190</v>
      </c>
      <c r="B1683" s="309" t="s">
        <v>485</v>
      </c>
      <c r="C1683" s="309" t="s">
        <v>492</v>
      </c>
      <c r="D1683" s="136" t="str">
        <f t="array" ref="D1683">IF(E1683=0,0,(INDEX(AccountCodes[ACCOUNT NAME],MATCH(E1683,AccountCodes[NGAS CODE],0))))</f>
        <v>Other Bonuses and Allowances - Medical Allowance</v>
      </c>
      <c r="E1683" s="309" t="s">
        <v>5</v>
      </c>
      <c r="F1683" s="501">
        <v>400</v>
      </c>
    </row>
    <row r="1684" spans="1:6">
      <c r="A1684" s="308">
        <v>43220</v>
      </c>
      <c r="B1684" s="309" t="s">
        <v>485</v>
      </c>
      <c r="C1684" s="309" t="s">
        <v>492</v>
      </c>
      <c r="D1684" s="136" t="str">
        <f t="array" ref="D1684">IF(E1684=0,0,(INDEX(AccountCodes[ACCOUNT NAME],MATCH(E1684,AccountCodes[NGAS CODE],0))))</f>
        <v>Other Bonuses and Allowances - Medical Allowance</v>
      </c>
      <c r="E1684" s="309" t="s">
        <v>5</v>
      </c>
      <c r="F1684" s="501">
        <v>400</v>
      </c>
    </row>
    <row r="1685" spans="1:6">
      <c r="A1685" s="308">
        <v>43251</v>
      </c>
      <c r="B1685" s="309" t="s">
        <v>485</v>
      </c>
      <c r="C1685" s="309" t="s">
        <v>492</v>
      </c>
      <c r="D1685" s="136" t="str">
        <f t="array" ref="D1685">IF(E1685=0,0,(INDEX(AccountCodes[ACCOUNT NAME],MATCH(E1685,AccountCodes[NGAS CODE],0))))</f>
        <v>Other Bonuses and Allowances - Medical Allowance</v>
      </c>
      <c r="E1685" s="309" t="s">
        <v>5</v>
      </c>
      <c r="F1685" s="501">
        <v>400</v>
      </c>
    </row>
    <row r="1686" spans="1:6">
      <c r="A1686" s="308">
        <v>43281</v>
      </c>
      <c r="B1686" s="309" t="s">
        <v>485</v>
      </c>
      <c r="C1686" s="309" t="s">
        <v>492</v>
      </c>
      <c r="D1686" s="136" t="str">
        <f t="array" ref="D1686">IF(E1686=0,0,(INDEX(AccountCodes[ACCOUNT NAME],MATCH(E1686,AccountCodes[NGAS CODE],0))))</f>
        <v>Other Bonuses and Allowances - Medical Allowance</v>
      </c>
      <c r="E1686" s="309" t="s">
        <v>5</v>
      </c>
      <c r="F1686" s="501">
        <v>400</v>
      </c>
    </row>
    <row r="1687" spans="1:6">
      <c r="A1687" s="308">
        <v>43312</v>
      </c>
      <c r="B1687" s="309" t="s">
        <v>485</v>
      </c>
      <c r="C1687" s="309" t="s">
        <v>492</v>
      </c>
      <c r="D1687" s="136" t="str">
        <f t="array" ref="D1687">IF(E1687=0,0,(INDEX(AccountCodes[ACCOUNT NAME],MATCH(E1687,AccountCodes[NGAS CODE],0))))</f>
        <v>Other Bonuses and Allowances - Medical Allowance</v>
      </c>
      <c r="E1687" s="309" t="s">
        <v>5</v>
      </c>
      <c r="F1687" s="501">
        <v>400</v>
      </c>
    </row>
    <row r="1688" spans="1:6">
      <c r="A1688" s="308">
        <v>43343</v>
      </c>
      <c r="B1688" s="309" t="s">
        <v>485</v>
      </c>
      <c r="C1688" s="309" t="s">
        <v>492</v>
      </c>
      <c r="D1688" s="136" t="str">
        <f t="array" ref="D1688">IF(E1688=0,0,(INDEX(AccountCodes[ACCOUNT NAME],MATCH(E1688,AccountCodes[NGAS CODE],0))))</f>
        <v>Other Bonuses and Allowances - Medical Allowance</v>
      </c>
      <c r="E1688" s="309" t="s">
        <v>5</v>
      </c>
      <c r="F1688" s="501">
        <v>400</v>
      </c>
    </row>
    <row r="1689" spans="1:6">
      <c r="A1689" s="308">
        <v>43373</v>
      </c>
      <c r="B1689" s="309" t="s">
        <v>485</v>
      </c>
      <c r="C1689" s="309" t="s">
        <v>492</v>
      </c>
      <c r="D1689" s="136" t="str">
        <f t="array" ref="D1689">IF(E1689=0,0,(INDEX(AccountCodes[ACCOUNT NAME],MATCH(E1689,AccountCodes[NGAS CODE],0))))</f>
        <v>Other Bonuses and Allowances - Medical Allowance</v>
      </c>
      <c r="E1689" s="309" t="s">
        <v>5</v>
      </c>
      <c r="F1689" s="501">
        <v>400</v>
      </c>
    </row>
    <row r="1690" spans="1:6">
      <c r="A1690" s="308">
        <v>43404</v>
      </c>
      <c r="B1690" s="309" t="s">
        <v>485</v>
      </c>
      <c r="C1690" s="309" t="s">
        <v>492</v>
      </c>
      <c r="D1690" s="136" t="str">
        <f t="array" ref="D1690">IF(E1690=0,0,(INDEX(AccountCodes[ACCOUNT NAME],MATCH(E1690,AccountCodes[NGAS CODE],0))))</f>
        <v>Other Bonuses and Allowances - Medical Allowance</v>
      </c>
      <c r="E1690" s="309" t="s">
        <v>5</v>
      </c>
      <c r="F1690" s="501">
        <v>400</v>
      </c>
    </row>
    <row r="1691" spans="1:6">
      <c r="A1691" s="308">
        <v>43434</v>
      </c>
      <c r="B1691" s="309" t="s">
        <v>485</v>
      </c>
      <c r="C1691" s="309" t="s">
        <v>492</v>
      </c>
      <c r="D1691" s="136" t="str">
        <f t="array" ref="D1691">IF(E1691=0,0,(INDEX(AccountCodes[ACCOUNT NAME],MATCH(E1691,AccountCodes[NGAS CODE],0))))</f>
        <v>Other Bonuses and Allowances - Medical Allowance</v>
      </c>
      <c r="E1691" s="309" t="s">
        <v>5</v>
      </c>
      <c r="F1691" s="501">
        <v>400</v>
      </c>
    </row>
    <row r="1692" spans="1:6">
      <c r="A1692" s="308">
        <v>43465</v>
      </c>
      <c r="B1692" s="309" t="s">
        <v>485</v>
      </c>
      <c r="C1692" s="309" t="s">
        <v>492</v>
      </c>
      <c r="D1692" s="136" t="str">
        <f t="array" ref="D1692">IF(E1692=0,0,(INDEX(AccountCodes[ACCOUNT NAME],MATCH(E1692,AccountCodes[NGAS CODE],0))))</f>
        <v>Other Bonuses and Allowances - Medical Allowance</v>
      </c>
      <c r="E1692" s="309" t="s">
        <v>5</v>
      </c>
      <c r="F1692" s="501">
        <v>400</v>
      </c>
    </row>
    <row r="1693" spans="1:6">
      <c r="A1693" s="308">
        <v>43131</v>
      </c>
      <c r="B1693" s="309" t="s">
        <v>485</v>
      </c>
      <c r="C1693" s="309" t="s">
        <v>492</v>
      </c>
      <c r="D1693" s="136" t="str">
        <f t="array" ref="D1693">IF(E1693=0,0,(INDEX(AccountCodes[ACCOUNT NAME],MATCH(E1693,AccountCodes[NGAS CODE],0))))</f>
        <v>Other Bonuses and Allowances - Meal Allowance</v>
      </c>
      <c r="E1693" s="309" t="s">
        <v>6</v>
      </c>
      <c r="F1693" s="501">
        <v>132</v>
      </c>
    </row>
    <row r="1694" spans="1:6">
      <c r="A1694" s="308">
        <v>43159</v>
      </c>
      <c r="B1694" s="309" t="s">
        <v>485</v>
      </c>
      <c r="C1694" s="309" t="s">
        <v>492</v>
      </c>
      <c r="D1694" s="136" t="str">
        <f t="array" ref="D1694">IF(E1694=0,0,(INDEX(AccountCodes[ACCOUNT NAME],MATCH(E1694,AccountCodes[NGAS CODE],0))))</f>
        <v>Other Bonuses and Allowances - Meal Allowance</v>
      </c>
      <c r="E1694" s="309" t="s">
        <v>6</v>
      </c>
      <c r="F1694" s="501">
        <v>132</v>
      </c>
    </row>
    <row r="1695" spans="1:6">
      <c r="A1695" s="308">
        <v>43190</v>
      </c>
      <c r="B1695" s="309" t="s">
        <v>485</v>
      </c>
      <c r="C1695" s="309" t="s">
        <v>492</v>
      </c>
      <c r="D1695" s="136" t="str">
        <f t="array" ref="D1695">IF(E1695=0,0,(INDEX(AccountCodes[ACCOUNT NAME],MATCH(E1695,AccountCodes[NGAS CODE],0))))</f>
        <v>Other Bonuses and Allowances - Meal Allowance</v>
      </c>
      <c r="E1695" s="309" t="s">
        <v>6</v>
      </c>
      <c r="F1695" s="501">
        <v>132</v>
      </c>
    </row>
    <row r="1696" spans="1:6">
      <c r="A1696" s="308">
        <v>43220</v>
      </c>
      <c r="B1696" s="309" t="s">
        <v>485</v>
      </c>
      <c r="C1696" s="309" t="s">
        <v>492</v>
      </c>
      <c r="D1696" s="136" t="str">
        <f t="array" ref="D1696">IF(E1696=0,0,(INDEX(AccountCodes[ACCOUNT NAME],MATCH(E1696,AccountCodes[NGAS CODE],0))))</f>
        <v>Other Bonuses and Allowances - Meal Allowance</v>
      </c>
      <c r="E1696" s="309" t="s">
        <v>6</v>
      </c>
      <c r="F1696" s="501">
        <v>132</v>
      </c>
    </row>
    <row r="1697" spans="1:6">
      <c r="A1697" s="308">
        <v>43251</v>
      </c>
      <c r="B1697" s="309" t="s">
        <v>485</v>
      </c>
      <c r="C1697" s="309" t="s">
        <v>492</v>
      </c>
      <c r="D1697" s="136" t="str">
        <f t="array" ref="D1697">IF(E1697=0,0,(INDEX(AccountCodes[ACCOUNT NAME],MATCH(E1697,AccountCodes[NGAS CODE],0))))</f>
        <v>Other Bonuses and Allowances - Meal Allowance</v>
      </c>
      <c r="E1697" s="309" t="s">
        <v>6</v>
      </c>
      <c r="F1697" s="501">
        <v>132</v>
      </c>
    </row>
    <row r="1698" spans="1:6">
      <c r="A1698" s="308">
        <v>43281</v>
      </c>
      <c r="B1698" s="309" t="s">
        <v>485</v>
      </c>
      <c r="C1698" s="309" t="s">
        <v>492</v>
      </c>
      <c r="D1698" s="136" t="str">
        <f t="array" ref="D1698">IF(E1698=0,0,(INDEX(AccountCodes[ACCOUNT NAME],MATCH(E1698,AccountCodes[NGAS CODE],0))))</f>
        <v>Other Bonuses and Allowances - Meal Allowance</v>
      </c>
      <c r="E1698" s="309" t="s">
        <v>6</v>
      </c>
      <c r="F1698" s="501">
        <v>132</v>
      </c>
    </row>
    <row r="1699" spans="1:6">
      <c r="A1699" s="308">
        <v>43312</v>
      </c>
      <c r="B1699" s="309" t="s">
        <v>485</v>
      </c>
      <c r="C1699" s="309" t="s">
        <v>492</v>
      </c>
      <c r="D1699" s="136" t="str">
        <f t="array" ref="D1699">IF(E1699=0,0,(INDEX(AccountCodes[ACCOUNT NAME],MATCH(E1699,AccountCodes[NGAS CODE],0))))</f>
        <v>Other Bonuses and Allowances - Meal Allowance</v>
      </c>
      <c r="E1699" s="309" t="s">
        <v>6</v>
      </c>
      <c r="F1699" s="501">
        <v>132</v>
      </c>
    </row>
    <row r="1700" spans="1:6">
      <c r="A1700" s="308">
        <v>43343</v>
      </c>
      <c r="B1700" s="309" t="s">
        <v>485</v>
      </c>
      <c r="C1700" s="309" t="s">
        <v>492</v>
      </c>
      <c r="D1700" s="136" t="str">
        <f t="array" ref="D1700">IF(E1700=0,0,(INDEX(AccountCodes[ACCOUNT NAME],MATCH(E1700,AccountCodes[NGAS CODE],0))))</f>
        <v>Other Bonuses and Allowances - Meal Allowance</v>
      </c>
      <c r="E1700" s="309" t="s">
        <v>6</v>
      </c>
      <c r="F1700" s="501">
        <v>132</v>
      </c>
    </row>
    <row r="1701" spans="1:6">
      <c r="A1701" s="308">
        <v>43373</v>
      </c>
      <c r="B1701" s="309" t="s">
        <v>485</v>
      </c>
      <c r="C1701" s="309" t="s">
        <v>492</v>
      </c>
      <c r="D1701" s="136" t="str">
        <f t="array" ref="D1701">IF(E1701=0,0,(INDEX(AccountCodes[ACCOUNT NAME],MATCH(E1701,AccountCodes[NGAS CODE],0))))</f>
        <v>Other Bonuses and Allowances - Meal Allowance</v>
      </c>
      <c r="E1701" s="309" t="s">
        <v>6</v>
      </c>
      <c r="F1701" s="501">
        <v>132</v>
      </c>
    </row>
    <row r="1702" spans="1:6">
      <c r="A1702" s="308">
        <v>43404</v>
      </c>
      <c r="B1702" s="309" t="s">
        <v>485</v>
      </c>
      <c r="C1702" s="309" t="s">
        <v>492</v>
      </c>
      <c r="D1702" s="136" t="str">
        <f t="array" ref="D1702">IF(E1702=0,0,(INDEX(AccountCodes[ACCOUNT NAME],MATCH(E1702,AccountCodes[NGAS CODE],0))))</f>
        <v>Other Bonuses and Allowances - Meal Allowance</v>
      </c>
      <c r="E1702" s="309" t="s">
        <v>6</v>
      </c>
      <c r="F1702" s="501">
        <v>132</v>
      </c>
    </row>
    <row r="1703" spans="1:6">
      <c r="A1703" s="308">
        <v>43434</v>
      </c>
      <c r="B1703" s="309" t="s">
        <v>485</v>
      </c>
      <c r="C1703" s="309" t="s">
        <v>492</v>
      </c>
      <c r="D1703" s="136" t="str">
        <f t="array" ref="D1703">IF(E1703=0,0,(INDEX(AccountCodes[ACCOUNT NAME],MATCH(E1703,AccountCodes[NGAS CODE],0))))</f>
        <v>Other Bonuses and Allowances - Meal Allowance</v>
      </c>
      <c r="E1703" s="309" t="s">
        <v>6</v>
      </c>
      <c r="F1703" s="501">
        <v>132</v>
      </c>
    </row>
    <row r="1704" spans="1:6">
      <c r="A1704" s="308">
        <v>43465</v>
      </c>
      <c r="B1704" s="309" t="s">
        <v>485</v>
      </c>
      <c r="C1704" s="309" t="s">
        <v>492</v>
      </c>
      <c r="D1704" s="136" t="str">
        <f t="array" ref="D1704">IF(E1704=0,0,(INDEX(AccountCodes[ACCOUNT NAME],MATCH(E1704,AccountCodes[NGAS CODE],0))))</f>
        <v>Other Bonuses and Allowances - Meal Allowance</v>
      </c>
      <c r="E1704" s="309" t="s">
        <v>6</v>
      </c>
      <c r="F1704" s="501">
        <v>132</v>
      </c>
    </row>
    <row r="1705" spans="1:6">
      <c r="A1705" s="308">
        <v>43131</v>
      </c>
      <c r="B1705" s="309" t="s">
        <v>485</v>
      </c>
      <c r="C1705" s="309" t="s">
        <v>492</v>
      </c>
      <c r="D1705" s="136" t="str">
        <f t="array" ref="D1705">IF(E1705=0,0,(INDEX(AccountCodes[ACCOUNT NAME],MATCH(E1705,AccountCodes[NGAS CODE],0))))</f>
        <v>Telephone Expenses - Mobile</v>
      </c>
      <c r="E1705" s="309" t="s">
        <v>236</v>
      </c>
      <c r="F1705" s="501">
        <v>800</v>
      </c>
    </row>
    <row r="1706" spans="1:6">
      <c r="A1706" s="308">
        <v>43159</v>
      </c>
      <c r="B1706" s="309" t="s">
        <v>485</v>
      </c>
      <c r="C1706" s="309" t="s">
        <v>492</v>
      </c>
      <c r="D1706" s="136" t="str">
        <f t="array" ref="D1706">IF(E1706=0,0,(INDEX(AccountCodes[ACCOUNT NAME],MATCH(E1706,AccountCodes[NGAS CODE],0))))</f>
        <v>Telephone Expenses - Mobile</v>
      </c>
      <c r="E1706" s="309" t="s">
        <v>236</v>
      </c>
      <c r="F1706" s="501">
        <v>800</v>
      </c>
    </row>
    <row r="1707" spans="1:6">
      <c r="A1707" s="308">
        <v>43190</v>
      </c>
      <c r="B1707" s="309" t="s">
        <v>485</v>
      </c>
      <c r="C1707" s="309" t="s">
        <v>492</v>
      </c>
      <c r="D1707" s="136" t="str">
        <f t="array" ref="D1707">IF(E1707=0,0,(INDEX(AccountCodes[ACCOUNT NAME],MATCH(E1707,AccountCodes[NGAS CODE],0))))</f>
        <v>Telephone Expenses - Mobile</v>
      </c>
      <c r="E1707" s="309" t="s">
        <v>236</v>
      </c>
      <c r="F1707" s="501">
        <v>800</v>
      </c>
    </row>
    <row r="1708" spans="1:6">
      <c r="A1708" s="308">
        <v>43220</v>
      </c>
      <c r="B1708" s="309" t="s">
        <v>485</v>
      </c>
      <c r="C1708" s="309" t="s">
        <v>492</v>
      </c>
      <c r="D1708" s="136" t="str">
        <f t="array" ref="D1708">IF(E1708=0,0,(INDEX(AccountCodes[ACCOUNT NAME],MATCH(E1708,AccountCodes[NGAS CODE],0))))</f>
        <v>Telephone Expenses - Mobile</v>
      </c>
      <c r="E1708" s="309" t="s">
        <v>236</v>
      </c>
      <c r="F1708" s="501">
        <v>800</v>
      </c>
    </row>
    <row r="1709" spans="1:6">
      <c r="A1709" s="308">
        <v>43251</v>
      </c>
      <c r="B1709" s="309" t="s">
        <v>485</v>
      </c>
      <c r="C1709" s="309" t="s">
        <v>492</v>
      </c>
      <c r="D1709" s="136" t="str">
        <f t="array" ref="D1709">IF(E1709=0,0,(INDEX(AccountCodes[ACCOUNT NAME],MATCH(E1709,AccountCodes[NGAS CODE],0))))</f>
        <v>Telephone Expenses - Mobile</v>
      </c>
      <c r="E1709" s="309" t="s">
        <v>236</v>
      </c>
      <c r="F1709" s="501">
        <v>800</v>
      </c>
    </row>
    <row r="1710" spans="1:6">
      <c r="A1710" s="308">
        <v>43281</v>
      </c>
      <c r="B1710" s="309" t="s">
        <v>485</v>
      </c>
      <c r="C1710" s="309" t="s">
        <v>492</v>
      </c>
      <c r="D1710" s="136" t="str">
        <f t="array" ref="D1710">IF(E1710=0,0,(INDEX(AccountCodes[ACCOUNT NAME],MATCH(E1710,AccountCodes[NGAS CODE],0))))</f>
        <v>Telephone Expenses - Mobile</v>
      </c>
      <c r="E1710" s="309" t="s">
        <v>236</v>
      </c>
      <c r="F1710" s="501">
        <v>800</v>
      </c>
    </row>
    <row r="1711" spans="1:6">
      <c r="A1711" s="308">
        <v>43312</v>
      </c>
      <c r="B1711" s="309" t="s">
        <v>485</v>
      </c>
      <c r="C1711" s="309" t="s">
        <v>492</v>
      </c>
      <c r="D1711" s="136" t="str">
        <f t="array" ref="D1711">IF(E1711=0,0,(INDEX(AccountCodes[ACCOUNT NAME],MATCH(E1711,AccountCodes[NGAS CODE],0))))</f>
        <v>Telephone Expenses - Mobile</v>
      </c>
      <c r="E1711" s="309" t="s">
        <v>236</v>
      </c>
      <c r="F1711" s="501">
        <v>800</v>
      </c>
    </row>
    <row r="1712" spans="1:6">
      <c r="A1712" s="308">
        <v>43343</v>
      </c>
      <c r="B1712" s="309" t="s">
        <v>485</v>
      </c>
      <c r="C1712" s="309" t="s">
        <v>492</v>
      </c>
      <c r="D1712" s="136" t="str">
        <f t="array" ref="D1712">IF(E1712=0,0,(INDEX(AccountCodes[ACCOUNT NAME],MATCH(E1712,AccountCodes[NGAS CODE],0))))</f>
        <v>Telephone Expenses - Mobile</v>
      </c>
      <c r="E1712" s="309" t="s">
        <v>236</v>
      </c>
      <c r="F1712" s="501">
        <v>800</v>
      </c>
    </row>
    <row r="1713" spans="1:6">
      <c r="A1713" s="308">
        <v>43373</v>
      </c>
      <c r="B1713" s="309" t="s">
        <v>485</v>
      </c>
      <c r="C1713" s="309" t="s">
        <v>492</v>
      </c>
      <c r="D1713" s="136" t="str">
        <f t="array" ref="D1713">IF(E1713=0,0,(INDEX(AccountCodes[ACCOUNT NAME],MATCH(E1713,AccountCodes[NGAS CODE],0))))</f>
        <v>Telephone Expenses - Mobile</v>
      </c>
      <c r="E1713" s="309" t="s">
        <v>236</v>
      </c>
      <c r="F1713" s="501">
        <v>800</v>
      </c>
    </row>
    <row r="1714" spans="1:6">
      <c r="A1714" s="308">
        <v>43404</v>
      </c>
      <c r="B1714" s="309" t="s">
        <v>485</v>
      </c>
      <c r="C1714" s="309" t="s">
        <v>492</v>
      </c>
      <c r="D1714" s="136" t="str">
        <f t="array" ref="D1714">IF(E1714=0,0,(INDEX(AccountCodes[ACCOUNT NAME],MATCH(E1714,AccountCodes[NGAS CODE],0))))</f>
        <v>Telephone Expenses - Mobile</v>
      </c>
      <c r="E1714" s="309" t="s">
        <v>236</v>
      </c>
      <c r="F1714" s="501">
        <v>800</v>
      </c>
    </row>
    <row r="1715" spans="1:6">
      <c r="A1715" s="308">
        <v>43434</v>
      </c>
      <c r="B1715" s="309" t="s">
        <v>485</v>
      </c>
      <c r="C1715" s="309" t="s">
        <v>492</v>
      </c>
      <c r="D1715" s="136" t="str">
        <f t="array" ref="D1715">IF(E1715=0,0,(INDEX(AccountCodes[ACCOUNT NAME],MATCH(E1715,AccountCodes[NGAS CODE],0))))</f>
        <v>Telephone Expenses - Mobile</v>
      </c>
      <c r="E1715" s="309" t="s">
        <v>236</v>
      </c>
      <c r="F1715" s="501">
        <v>800</v>
      </c>
    </row>
    <row r="1716" spans="1:6">
      <c r="A1716" s="308">
        <v>43465</v>
      </c>
      <c r="B1716" s="309" t="s">
        <v>485</v>
      </c>
      <c r="C1716" s="309" t="s">
        <v>492</v>
      </c>
      <c r="D1716" s="136" t="str">
        <f t="array" ref="D1716">IF(E1716=0,0,(INDEX(AccountCodes[ACCOUNT NAME],MATCH(E1716,AccountCodes[NGAS CODE],0))))</f>
        <v>Telephone Expenses - Mobile</v>
      </c>
      <c r="E1716" s="309" t="s">
        <v>236</v>
      </c>
      <c r="F1716" s="501">
        <v>800</v>
      </c>
    </row>
    <row r="1717" spans="1:6">
      <c r="A1717" s="308">
        <v>43281</v>
      </c>
      <c r="B1717" s="309" t="s">
        <v>485</v>
      </c>
      <c r="C1717" s="309" t="s">
        <v>492</v>
      </c>
      <c r="D1717" s="136" t="str">
        <f t="array" ref="D1717">IF(E1717=0,0,(INDEX(AccountCodes[ACCOUNT NAME],MATCH(E1717,AccountCodes[NGAS CODE],0))))</f>
        <v>Longevity Pay</v>
      </c>
      <c r="E1717" s="309" t="s">
        <v>216</v>
      </c>
      <c r="F1717" s="501">
        <v>25000</v>
      </c>
    </row>
    <row r="1718" spans="1:6">
      <c r="A1718" s="308">
        <v>43190</v>
      </c>
      <c r="B1718" s="309" t="s">
        <v>485</v>
      </c>
      <c r="C1718" s="309" t="s">
        <v>492</v>
      </c>
      <c r="D1718" s="136" t="str">
        <f t="array" ref="D1718">IF(E1718=0,0,(INDEX(AccountCodes[ACCOUNT NAME],MATCH(E1718,AccountCodes[NGAS CODE],0))))</f>
        <v>Honoraria</v>
      </c>
      <c r="E1718" s="309" t="s">
        <v>173</v>
      </c>
      <c r="F1718" s="501">
        <v>25000</v>
      </c>
    </row>
    <row r="1719" spans="1:6">
      <c r="A1719" s="308">
        <v>43312</v>
      </c>
      <c r="B1719" s="309" t="s">
        <v>485</v>
      </c>
      <c r="C1719" s="309" t="s">
        <v>492</v>
      </c>
      <c r="D1719" s="136" t="str">
        <f t="array" ref="D1719">IF(E1719=0,0,(INDEX(AccountCodes[ACCOUNT NAME],MATCH(E1719,AccountCodes[NGAS CODE],0))))</f>
        <v>Honoraria</v>
      </c>
      <c r="E1719" s="309" t="s">
        <v>173</v>
      </c>
      <c r="F1719" s="501">
        <v>25000</v>
      </c>
    </row>
    <row r="1720" spans="1:6">
      <c r="A1720" s="308">
        <v>43404</v>
      </c>
      <c r="B1720" s="309" t="s">
        <v>485</v>
      </c>
      <c r="C1720" s="309" t="s">
        <v>492</v>
      </c>
      <c r="D1720" s="136" t="str">
        <f t="array" ref="D1720">IF(E1720=0,0,(INDEX(AccountCodes[ACCOUNT NAME],MATCH(E1720,AccountCodes[NGAS CODE],0))))</f>
        <v>Honoraria</v>
      </c>
      <c r="E1720" s="309" t="s">
        <v>173</v>
      </c>
      <c r="F1720" s="501">
        <v>30000</v>
      </c>
    </row>
    <row r="1721" spans="1:6">
      <c r="A1721" s="308">
        <v>43465</v>
      </c>
      <c r="B1721" s="309" t="s">
        <v>485</v>
      </c>
      <c r="C1721" s="309" t="s">
        <v>492</v>
      </c>
      <c r="D1721" s="136" t="str">
        <f t="array" ref="D1721">IF(E1721=0,0,(INDEX(AccountCodes[ACCOUNT NAME],MATCH(E1721,AccountCodes[NGAS CODE],0))))</f>
        <v>Honoraria</v>
      </c>
      <c r="E1721" s="309" t="s">
        <v>173</v>
      </c>
      <c r="F1721" s="501">
        <v>30000</v>
      </c>
    </row>
    <row r="1722" spans="1:6">
      <c r="A1722" s="308">
        <v>43434</v>
      </c>
      <c r="B1722" s="309" t="s">
        <v>485</v>
      </c>
      <c r="C1722" s="309" t="s">
        <v>492</v>
      </c>
      <c r="D1722" s="136" t="str">
        <f t="array" ref="D1722">IF(E1722=0,0,(INDEX(AccountCodes[ACCOUNT NAME],MATCH(E1722,AccountCodes[NGAS CODE],0))))</f>
        <v>Other Bonuses and Allowances - Productivity Enhancement Incentive-Civilian</v>
      </c>
      <c r="E1722" s="309" t="s">
        <v>170</v>
      </c>
      <c r="F1722" s="501">
        <v>95000</v>
      </c>
    </row>
    <row r="1723" spans="1:6">
      <c r="A1723" s="308">
        <v>43465</v>
      </c>
      <c r="B1723" s="309" t="s">
        <v>485</v>
      </c>
      <c r="C1723" s="309" t="s">
        <v>492</v>
      </c>
      <c r="D1723" s="136" t="str">
        <f t="array" ref="D1723">IF(E1723=0,0,(INDEX(AccountCodes[ACCOUNT NAME],MATCH(E1723,AccountCodes[NGAS CODE],0))))</f>
        <v>Other Bonuses and Allowances - Collective Negotiation Agreement Incentive-Civilian</v>
      </c>
      <c r="E1723" s="309" t="s">
        <v>168</v>
      </c>
      <c r="F1723" s="501">
        <v>550000</v>
      </c>
    </row>
    <row r="1724" spans="1:6">
      <c r="A1724" s="308">
        <v>43131</v>
      </c>
      <c r="B1724" s="309" t="s">
        <v>485</v>
      </c>
      <c r="C1724" s="309" t="s">
        <v>492</v>
      </c>
      <c r="D1724" s="136" t="str">
        <f t="array" ref="D1724">IF(E1724=0,0,(INDEX(AccountCodes[ACCOUNT NAME],MATCH(E1724,AccountCodes[NGAS CODE],0))))</f>
        <v>Retirement and Life Insurance Premiums</v>
      </c>
      <c r="E1724" s="309" t="s">
        <v>175</v>
      </c>
      <c r="F1724" s="501">
        <v>60665.88</v>
      </c>
    </row>
    <row r="1725" spans="1:6">
      <c r="A1725" s="308">
        <v>43159</v>
      </c>
      <c r="B1725" s="309" t="s">
        <v>485</v>
      </c>
      <c r="C1725" s="309" t="s">
        <v>492</v>
      </c>
      <c r="D1725" s="136" t="str">
        <f t="array" ref="D1725">IF(E1725=0,0,(INDEX(AccountCodes[ACCOUNT NAME],MATCH(E1725,AccountCodes[NGAS CODE],0))))</f>
        <v>Retirement and Life Insurance Premiums</v>
      </c>
      <c r="E1725" s="309" t="s">
        <v>175</v>
      </c>
      <c r="F1725" s="501">
        <v>60665.88</v>
      </c>
    </row>
    <row r="1726" spans="1:6">
      <c r="A1726" s="308">
        <v>43190</v>
      </c>
      <c r="B1726" s="309" t="s">
        <v>485</v>
      </c>
      <c r="C1726" s="309" t="s">
        <v>492</v>
      </c>
      <c r="D1726" s="136" t="str">
        <f t="array" ref="D1726">IF(E1726=0,0,(INDEX(AccountCodes[ACCOUNT NAME],MATCH(E1726,AccountCodes[NGAS CODE],0))))</f>
        <v>Retirement and Life Insurance Premiums</v>
      </c>
      <c r="E1726" s="309" t="s">
        <v>175</v>
      </c>
      <c r="F1726" s="501">
        <v>60665.88</v>
      </c>
    </row>
    <row r="1727" spans="1:6">
      <c r="A1727" s="308">
        <v>43220</v>
      </c>
      <c r="B1727" s="309" t="s">
        <v>485</v>
      </c>
      <c r="C1727" s="309" t="s">
        <v>492</v>
      </c>
      <c r="D1727" s="136" t="str">
        <f t="array" ref="D1727">IF(E1727=0,0,(INDEX(AccountCodes[ACCOUNT NAME],MATCH(E1727,AccountCodes[NGAS CODE],0))))</f>
        <v>Retirement and Life Insurance Premiums</v>
      </c>
      <c r="E1727" s="309" t="s">
        <v>175</v>
      </c>
      <c r="F1727" s="501">
        <v>60665.88</v>
      </c>
    </row>
    <row r="1728" spans="1:6">
      <c r="A1728" s="308">
        <v>43251</v>
      </c>
      <c r="B1728" s="309" t="s">
        <v>485</v>
      </c>
      <c r="C1728" s="309" t="s">
        <v>492</v>
      </c>
      <c r="D1728" s="136" t="str">
        <f t="array" ref="D1728">IF(E1728=0,0,(INDEX(AccountCodes[ACCOUNT NAME],MATCH(E1728,AccountCodes[NGAS CODE],0))))</f>
        <v>Retirement and Life Insurance Premiums</v>
      </c>
      <c r="E1728" s="309" t="s">
        <v>175</v>
      </c>
      <c r="F1728" s="501">
        <v>60665.88</v>
      </c>
    </row>
    <row r="1729" spans="1:6">
      <c r="A1729" s="308">
        <v>43281</v>
      </c>
      <c r="B1729" s="309" t="s">
        <v>485</v>
      </c>
      <c r="C1729" s="309" t="s">
        <v>492</v>
      </c>
      <c r="D1729" s="136" t="str">
        <f t="array" ref="D1729">IF(E1729=0,0,(INDEX(AccountCodes[ACCOUNT NAME],MATCH(E1729,AccountCodes[NGAS CODE],0))))</f>
        <v>Retirement and Life Insurance Premiums</v>
      </c>
      <c r="E1729" s="309" t="s">
        <v>175</v>
      </c>
      <c r="F1729" s="501">
        <v>60665.88</v>
      </c>
    </row>
    <row r="1730" spans="1:6">
      <c r="A1730" s="308">
        <v>43312</v>
      </c>
      <c r="B1730" s="309" t="s">
        <v>485</v>
      </c>
      <c r="C1730" s="309" t="s">
        <v>492</v>
      </c>
      <c r="D1730" s="136" t="str">
        <f t="array" ref="D1730">IF(E1730=0,0,(INDEX(AccountCodes[ACCOUNT NAME],MATCH(E1730,AccountCodes[NGAS CODE],0))))</f>
        <v>Retirement and Life Insurance Premiums</v>
      </c>
      <c r="E1730" s="309" t="s">
        <v>175</v>
      </c>
      <c r="F1730" s="501">
        <v>60665.88</v>
      </c>
    </row>
    <row r="1731" spans="1:6">
      <c r="A1731" s="308">
        <v>43343</v>
      </c>
      <c r="B1731" s="309" t="s">
        <v>485</v>
      </c>
      <c r="C1731" s="309" t="s">
        <v>492</v>
      </c>
      <c r="D1731" s="136" t="str">
        <f t="array" ref="D1731">IF(E1731=0,0,(INDEX(AccountCodes[ACCOUNT NAME],MATCH(E1731,AccountCodes[NGAS CODE],0))))</f>
        <v>Retirement and Life Insurance Premiums</v>
      </c>
      <c r="E1731" s="309" t="s">
        <v>175</v>
      </c>
      <c r="F1731" s="501">
        <v>60665.88</v>
      </c>
    </row>
    <row r="1732" spans="1:6">
      <c r="A1732" s="308">
        <v>43373</v>
      </c>
      <c r="B1732" s="309" t="s">
        <v>485</v>
      </c>
      <c r="C1732" s="309" t="s">
        <v>492</v>
      </c>
      <c r="D1732" s="136" t="str">
        <f t="array" ref="D1732">IF(E1732=0,0,(INDEX(AccountCodes[ACCOUNT NAME],MATCH(E1732,AccountCodes[NGAS CODE],0))))</f>
        <v>Retirement and Life Insurance Premiums</v>
      </c>
      <c r="E1732" s="309" t="s">
        <v>175</v>
      </c>
      <c r="F1732" s="501">
        <v>60665.88</v>
      </c>
    </row>
    <row r="1733" spans="1:6">
      <c r="A1733" s="308">
        <v>43404</v>
      </c>
      <c r="B1733" s="309" t="s">
        <v>485</v>
      </c>
      <c r="C1733" s="309" t="s">
        <v>492</v>
      </c>
      <c r="D1733" s="136" t="str">
        <f t="array" ref="D1733">IF(E1733=0,0,(INDEX(AccountCodes[ACCOUNT NAME],MATCH(E1733,AccountCodes[NGAS CODE],0))))</f>
        <v>Retirement and Life Insurance Premiums</v>
      </c>
      <c r="E1733" s="309" t="s">
        <v>175</v>
      </c>
      <c r="F1733" s="501">
        <v>60665.88</v>
      </c>
    </row>
    <row r="1734" spans="1:6">
      <c r="A1734" s="308">
        <v>43434</v>
      </c>
      <c r="B1734" s="309" t="s">
        <v>485</v>
      </c>
      <c r="C1734" s="309" t="s">
        <v>492</v>
      </c>
      <c r="D1734" s="136" t="str">
        <f t="array" ref="D1734">IF(E1734=0,0,(INDEX(AccountCodes[ACCOUNT NAME],MATCH(E1734,AccountCodes[NGAS CODE],0))))</f>
        <v>Retirement and Life Insurance Premiums</v>
      </c>
      <c r="E1734" s="309" t="s">
        <v>175</v>
      </c>
      <c r="F1734" s="501">
        <v>60665.88</v>
      </c>
    </row>
    <row r="1735" spans="1:6">
      <c r="A1735" s="308">
        <v>43465</v>
      </c>
      <c r="B1735" s="309" t="s">
        <v>485</v>
      </c>
      <c r="C1735" s="309" t="s">
        <v>492</v>
      </c>
      <c r="D1735" s="136" t="str">
        <f t="array" ref="D1735">IF(E1735=0,0,(INDEX(AccountCodes[ACCOUNT NAME],MATCH(E1735,AccountCodes[NGAS CODE],0))))</f>
        <v>Retirement and Life Insurance Premiums</v>
      </c>
      <c r="E1735" s="309" t="s">
        <v>175</v>
      </c>
      <c r="F1735" s="501">
        <v>60665.88</v>
      </c>
    </row>
    <row r="1736" spans="1:6">
      <c r="A1736" s="308">
        <v>43131</v>
      </c>
      <c r="B1736" s="309" t="s">
        <v>485</v>
      </c>
      <c r="C1736" s="309" t="s">
        <v>492</v>
      </c>
      <c r="D1736" s="136" t="str">
        <f t="array" ref="D1736">IF(E1736=0,0,(INDEX(AccountCodes[ACCOUNT NAME],MATCH(E1736,AccountCodes[NGAS CODE],0))))</f>
        <v>Pag-IBIG Contributions</v>
      </c>
      <c r="E1736" s="309" t="s">
        <v>176</v>
      </c>
      <c r="F1736" s="501">
        <v>2510</v>
      </c>
    </row>
    <row r="1737" spans="1:6">
      <c r="A1737" s="308">
        <v>43159</v>
      </c>
      <c r="B1737" s="309" t="s">
        <v>485</v>
      </c>
      <c r="C1737" s="309" t="s">
        <v>492</v>
      </c>
      <c r="D1737" s="136" t="str">
        <f t="array" ref="D1737">IF(E1737=0,0,(INDEX(AccountCodes[ACCOUNT NAME],MATCH(E1737,AccountCodes[NGAS CODE],0))))</f>
        <v>Pag-IBIG Contributions</v>
      </c>
      <c r="E1737" s="309" t="s">
        <v>176</v>
      </c>
      <c r="F1737" s="501">
        <v>2510</v>
      </c>
    </row>
    <row r="1738" spans="1:6">
      <c r="A1738" s="308">
        <v>43190</v>
      </c>
      <c r="B1738" s="309" t="s">
        <v>485</v>
      </c>
      <c r="C1738" s="309" t="s">
        <v>492</v>
      </c>
      <c r="D1738" s="136" t="str">
        <f t="array" ref="D1738">IF(E1738=0,0,(INDEX(AccountCodes[ACCOUNT NAME],MATCH(E1738,AccountCodes[NGAS CODE],0))))</f>
        <v>Pag-IBIG Contributions</v>
      </c>
      <c r="E1738" s="309" t="s">
        <v>176</v>
      </c>
      <c r="F1738" s="501">
        <v>2510</v>
      </c>
    </row>
    <row r="1739" spans="1:6">
      <c r="A1739" s="308">
        <v>43220</v>
      </c>
      <c r="B1739" s="309" t="s">
        <v>485</v>
      </c>
      <c r="C1739" s="309" t="s">
        <v>492</v>
      </c>
      <c r="D1739" s="136" t="str">
        <f t="array" ref="D1739">IF(E1739=0,0,(INDEX(AccountCodes[ACCOUNT NAME],MATCH(E1739,AccountCodes[NGAS CODE],0))))</f>
        <v>Pag-IBIG Contributions</v>
      </c>
      <c r="E1739" s="309" t="s">
        <v>176</v>
      </c>
      <c r="F1739" s="501">
        <v>2510</v>
      </c>
    </row>
    <row r="1740" spans="1:6">
      <c r="A1740" s="308">
        <v>43251</v>
      </c>
      <c r="B1740" s="309" t="s">
        <v>485</v>
      </c>
      <c r="C1740" s="309" t="s">
        <v>492</v>
      </c>
      <c r="D1740" s="136" t="str">
        <f t="array" ref="D1740">IF(E1740=0,0,(INDEX(AccountCodes[ACCOUNT NAME],MATCH(E1740,AccountCodes[NGAS CODE],0))))</f>
        <v>Pag-IBIG Contributions</v>
      </c>
      <c r="E1740" s="309" t="s">
        <v>176</v>
      </c>
      <c r="F1740" s="501">
        <v>2510</v>
      </c>
    </row>
    <row r="1741" spans="1:6">
      <c r="A1741" s="308">
        <v>43281</v>
      </c>
      <c r="B1741" s="309" t="s">
        <v>485</v>
      </c>
      <c r="C1741" s="309" t="s">
        <v>492</v>
      </c>
      <c r="D1741" s="136" t="str">
        <f t="array" ref="D1741">IF(E1741=0,0,(INDEX(AccountCodes[ACCOUNT NAME],MATCH(E1741,AccountCodes[NGAS CODE],0))))</f>
        <v>Pag-IBIG Contributions</v>
      </c>
      <c r="E1741" s="309" t="s">
        <v>176</v>
      </c>
      <c r="F1741" s="501">
        <v>2510</v>
      </c>
    </row>
    <row r="1742" spans="1:6">
      <c r="A1742" s="308">
        <v>43312</v>
      </c>
      <c r="B1742" s="309" t="s">
        <v>485</v>
      </c>
      <c r="C1742" s="309" t="s">
        <v>492</v>
      </c>
      <c r="D1742" s="136" t="str">
        <f t="array" ref="D1742">IF(E1742=0,0,(INDEX(AccountCodes[ACCOUNT NAME],MATCH(E1742,AccountCodes[NGAS CODE],0))))</f>
        <v>Pag-IBIG Contributions</v>
      </c>
      <c r="E1742" s="309" t="s">
        <v>176</v>
      </c>
      <c r="F1742" s="501">
        <v>2510</v>
      </c>
    </row>
    <row r="1743" spans="1:6">
      <c r="A1743" s="308">
        <v>43343</v>
      </c>
      <c r="B1743" s="309" t="s">
        <v>485</v>
      </c>
      <c r="C1743" s="309" t="s">
        <v>492</v>
      </c>
      <c r="D1743" s="136" t="str">
        <f t="array" ref="D1743">IF(E1743=0,0,(INDEX(AccountCodes[ACCOUNT NAME],MATCH(E1743,AccountCodes[NGAS CODE],0))))</f>
        <v>Pag-IBIG Contributions</v>
      </c>
      <c r="E1743" s="309" t="s">
        <v>176</v>
      </c>
      <c r="F1743" s="501">
        <v>2510</v>
      </c>
    </row>
    <row r="1744" spans="1:6">
      <c r="A1744" s="308">
        <v>43373</v>
      </c>
      <c r="B1744" s="309" t="s">
        <v>485</v>
      </c>
      <c r="C1744" s="309" t="s">
        <v>492</v>
      </c>
      <c r="D1744" s="136" t="str">
        <f t="array" ref="D1744">IF(E1744=0,0,(INDEX(AccountCodes[ACCOUNT NAME],MATCH(E1744,AccountCodes[NGAS CODE],0))))</f>
        <v>Pag-IBIG Contributions</v>
      </c>
      <c r="E1744" s="309" t="s">
        <v>176</v>
      </c>
      <c r="F1744" s="501">
        <v>2510</v>
      </c>
    </row>
    <row r="1745" spans="1:6">
      <c r="A1745" s="308">
        <v>43404</v>
      </c>
      <c r="B1745" s="309" t="s">
        <v>485</v>
      </c>
      <c r="C1745" s="309" t="s">
        <v>492</v>
      </c>
      <c r="D1745" s="136" t="str">
        <f t="array" ref="D1745">IF(E1745=0,0,(INDEX(AccountCodes[ACCOUNT NAME],MATCH(E1745,AccountCodes[NGAS CODE],0))))</f>
        <v>Pag-IBIG Contributions</v>
      </c>
      <c r="E1745" s="309" t="s">
        <v>176</v>
      </c>
      <c r="F1745" s="501">
        <v>2510</v>
      </c>
    </row>
    <row r="1746" spans="1:6">
      <c r="A1746" s="308">
        <v>43434</v>
      </c>
      <c r="B1746" s="309" t="s">
        <v>485</v>
      </c>
      <c r="C1746" s="309" t="s">
        <v>492</v>
      </c>
      <c r="D1746" s="136" t="str">
        <f t="array" ref="D1746">IF(E1746=0,0,(INDEX(AccountCodes[ACCOUNT NAME],MATCH(E1746,AccountCodes[NGAS CODE],0))))</f>
        <v>Pag-IBIG Contributions</v>
      </c>
      <c r="E1746" s="309" t="s">
        <v>176</v>
      </c>
      <c r="F1746" s="501">
        <v>2510</v>
      </c>
    </row>
    <row r="1747" spans="1:6">
      <c r="A1747" s="308">
        <v>43465</v>
      </c>
      <c r="B1747" s="309" t="s">
        <v>485</v>
      </c>
      <c r="C1747" s="309" t="s">
        <v>492</v>
      </c>
      <c r="D1747" s="136" t="str">
        <f t="array" ref="D1747">IF(E1747=0,0,(INDEX(AccountCodes[ACCOUNT NAME],MATCH(E1747,AccountCodes[NGAS CODE],0))))</f>
        <v>Pag-IBIG Contributions</v>
      </c>
      <c r="E1747" s="309" t="s">
        <v>176</v>
      </c>
      <c r="F1747" s="501">
        <v>2510</v>
      </c>
    </row>
    <row r="1748" spans="1:6">
      <c r="A1748" s="308">
        <v>43131</v>
      </c>
      <c r="B1748" s="309" t="s">
        <v>485</v>
      </c>
      <c r="C1748" s="309" t="s">
        <v>492</v>
      </c>
      <c r="D1748" s="136" t="str">
        <f t="array" ref="D1748">IF(E1748=0,0,(INDEX(AccountCodes[ACCOUNT NAME],MATCH(E1748,AccountCodes[NGAS CODE],0))))</f>
        <v>PhilHealth Contributions</v>
      </c>
      <c r="E1748" s="309" t="s">
        <v>177</v>
      </c>
      <c r="F1748" s="501">
        <v>6530.12</v>
      </c>
    </row>
    <row r="1749" spans="1:6">
      <c r="A1749" s="308">
        <v>43159</v>
      </c>
      <c r="B1749" s="309" t="s">
        <v>485</v>
      </c>
      <c r="C1749" s="309" t="s">
        <v>492</v>
      </c>
      <c r="D1749" s="136" t="str">
        <f t="array" ref="D1749">IF(E1749=0,0,(INDEX(AccountCodes[ACCOUNT NAME],MATCH(E1749,AccountCodes[NGAS CODE],0))))</f>
        <v>PhilHealth Contributions</v>
      </c>
      <c r="E1749" s="309" t="s">
        <v>177</v>
      </c>
      <c r="F1749" s="501">
        <v>6530.12</v>
      </c>
    </row>
    <row r="1750" spans="1:6">
      <c r="A1750" s="308">
        <v>43190</v>
      </c>
      <c r="B1750" s="309" t="s">
        <v>485</v>
      </c>
      <c r="C1750" s="309" t="s">
        <v>492</v>
      </c>
      <c r="D1750" s="136" t="str">
        <f t="array" ref="D1750">IF(E1750=0,0,(INDEX(AccountCodes[ACCOUNT NAME],MATCH(E1750,AccountCodes[NGAS CODE],0))))</f>
        <v>PhilHealth Contributions</v>
      </c>
      <c r="E1750" s="309" t="s">
        <v>177</v>
      </c>
      <c r="F1750" s="501">
        <v>6530.12</v>
      </c>
    </row>
    <row r="1751" spans="1:6">
      <c r="A1751" s="308">
        <v>43220</v>
      </c>
      <c r="B1751" s="309" t="s">
        <v>485</v>
      </c>
      <c r="C1751" s="309" t="s">
        <v>492</v>
      </c>
      <c r="D1751" s="136" t="str">
        <f t="array" ref="D1751">IF(E1751=0,0,(INDEX(AccountCodes[ACCOUNT NAME],MATCH(E1751,AccountCodes[NGAS CODE],0))))</f>
        <v>PhilHealth Contributions</v>
      </c>
      <c r="E1751" s="309" t="s">
        <v>177</v>
      </c>
      <c r="F1751" s="501">
        <v>6530.12</v>
      </c>
    </row>
    <row r="1752" spans="1:6">
      <c r="A1752" s="308">
        <v>43251</v>
      </c>
      <c r="B1752" s="309" t="s">
        <v>485</v>
      </c>
      <c r="C1752" s="309" t="s">
        <v>492</v>
      </c>
      <c r="D1752" s="136" t="str">
        <f t="array" ref="D1752">IF(E1752=0,0,(INDEX(AccountCodes[ACCOUNT NAME],MATCH(E1752,AccountCodes[NGAS CODE],0))))</f>
        <v>PhilHealth Contributions</v>
      </c>
      <c r="E1752" s="309" t="s">
        <v>177</v>
      </c>
      <c r="F1752" s="501">
        <v>6530.12</v>
      </c>
    </row>
    <row r="1753" spans="1:6">
      <c r="A1753" s="308">
        <v>43281</v>
      </c>
      <c r="B1753" s="309" t="s">
        <v>485</v>
      </c>
      <c r="C1753" s="309" t="s">
        <v>492</v>
      </c>
      <c r="D1753" s="136" t="str">
        <f t="array" ref="D1753">IF(E1753=0,0,(INDEX(AccountCodes[ACCOUNT NAME],MATCH(E1753,AccountCodes[NGAS CODE],0))))</f>
        <v>PhilHealth Contributions</v>
      </c>
      <c r="E1753" s="309" t="s">
        <v>177</v>
      </c>
      <c r="F1753" s="501">
        <v>6530.12</v>
      </c>
    </row>
    <row r="1754" spans="1:6">
      <c r="A1754" s="308">
        <v>43312</v>
      </c>
      <c r="B1754" s="309" t="s">
        <v>485</v>
      </c>
      <c r="C1754" s="309" t="s">
        <v>492</v>
      </c>
      <c r="D1754" s="136" t="str">
        <f t="array" ref="D1754">IF(E1754=0,0,(INDEX(AccountCodes[ACCOUNT NAME],MATCH(E1754,AccountCodes[NGAS CODE],0))))</f>
        <v>PhilHealth Contributions</v>
      </c>
      <c r="E1754" s="309" t="s">
        <v>177</v>
      </c>
      <c r="F1754" s="501">
        <v>6530.12</v>
      </c>
    </row>
    <row r="1755" spans="1:6">
      <c r="A1755" s="308">
        <v>43343</v>
      </c>
      <c r="B1755" s="309" t="s">
        <v>485</v>
      </c>
      <c r="C1755" s="309" t="s">
        <v>492</v>
      </c>
      <c r="D1755" s="136" t="str">
        <f t="array" ref="D1755">IF(E1755=0,0,(INDEX(AccountCodes[ACCOUNT NAME],MATCH(E1755,AccountCodes[NGAS CODE],0))))</f>
        <v>PhilHealth Contributions</v>
      </c>
      <c r="E1755" s="309" t="s">
        <v>177</v>
      </c>
      <c r="F1755" s="501">
        <v>6530.12</v>
      </c>
    </row>
    <row r="1756" spans="1:6">
      <c r="A1756" s="308">
        <v>43373</v>
      </c>
      <c r="B1756" s="309" t="s">
        <v>485</v>
      </c>
      <c r="C1756" s="309" t="s">
        <v>492</v>
      </c>
      <c r="D1756" s="136" t="str">
        <f t="array" ref="D1756">IF(E1756=0,0,(INDEX(AccountCodes[ACCOUNT NAME],MATCH(E1756,AccountCodes[NGAS CODE],0))))</f>
        <v>PhilHealth Contributions</v>
      </c>
      <c r="E1756" s="309" t="s">
        <v>177</v>
      </c>
      <c r="F1756" s="501">
        <v>6530.12</v>
      </c>
    </row>
    <row r="1757" spans="1:6">
      <c r="A1757" s="308">
        <v>43404</v>
      </c>
      <c r="B1757" s="309" t="s">
        <v>485</v>
      </c>
      <c r="C1757" s="309" t="s">
        <v>492</v>
      </c>
      <c r="D1757" s="136" t="str">
        <f t="array" ref="D1757">IF(E1757=0,0,(INDEX(AccountCodes[ACCOUNT NAME],MATCH(E1757,AccountCodes[NGAS CODE],0))))</f>
        <v>PhilHealth Contributions</v>
      </c>
      <c r="E1757" s="309" t="s">
        <v>177</v>
      </c>
      <c r="F1757" s="501">
        <v>6530.12</v>
      </c>
    </row>
    <row r="1758" spans="1:6">
      <c r="A1758" s="308">
        <v>43434</v>
      </c>
      <c r="B1758" s="309" t="s">
        <v>485</v>
      </c>
      <c r="C1758" s="309" t="s">
        <v>492</v>
      </c>
      <c r="D1758" s="136" t="str">
        <f t="array" ref="D1758">IF(E1758=0,0,(INDEX(AccountCodes[ACCOUNT NAME],MATCH(E1758,AccountCodes[NGAS CODE],0))))</f>
        <v>PhilHealth Contributions</v>
      </c>
      <c r="E1758" s="309" t="s">
        <v>177</v>
      </c>
      <c r="F1758" s="501">
        <v>6530.12</v>
      </c>
    </row>
    <row r="1759" spans="1:6">
      <c r="A1759" s="308">
        <v>43465</v>
      </c>
      <c r="B1759" s="309" t="s">
        <v>485</v>
      </c>
      <c r="C1759" s="309" t="s">
        <v>492</v>
      </c>
      <c r="D1759" s="136" t="str">
        <f t="array" ref="D1759">IF(E1759=0,0,(INDEX(AccountCodes[ACCOUNT NAME],MATCH(E1759,AccountCodes[NGAS CODE],0))))</f>
        <v>PhilHealth Contributions</v>
      </c>
      <c r="E1759" s="309" t="s">
        <v>177</v>
      </c>
      <c r="F1759" s="501">
        <v>6530.12</v>
      </c>
    </row>
    <row r="1760" spans="1:6">
      <c r="A1760" s="308">
        <v>43131</v>
      </c>
      <c r="B1760" s="309" t="s">
        <v>485</v>
      </c>
      <c r="C1760" s="309" t="s">
        <v>492</v>
      </c>
      <c r="D1760" s="136" t="str">
        <f t="array" ref="D1760">IF(E1760=0,0,(INDEX(AccountCodes[ACCOUNT NAME],MATCH(E1760,AccountCodes[NGAS CODE],0))))</f>
        <v>Employees Compensation Insurance Premiums</v>
      </c>
      <c r="E1760" s="309" t="s">
        <v>178</v>
      </c>
      <c r="F1760" s="501">
        <v>2510</v>
      </c>
    </row>
    <row r="1761" spans="1:6">
      <c r="A1761" s="308">
        <v>43159</v>
      </c>
      <c r="B1761" s="309" t="s">
        <v>485</v>
      </c>
      <c r="C1761" s="309" t="s">
        <v>492</v>
      </c>
      <c r="D1761" s="136" t="str">
        <f t="array" ref="D1761">IF(E1761=0,0,(INDEX(AccountCodes[ACCOUNT NAME],MATCH(E1761,AccountCodes[NGAS CODE],0))))</f>
        <v>Employees Compensation Insurance Premiums</v>
      </c>
      <c r="E1761" s="309" t="s">
        <v>178</v>
      </c>
      <c r="F1761" s="501">
        <v>2510</v>
      </c>
    </row>
    <row r="1762" spans="1:6">
      <c r="A1762" s="308">
        <v>43190</v>
      </c>
      <c r="B1762" s="309" t="s">
        <v>485</v>
      </c>
      <c r="C1762" s="309" t="s">
        <v>492</v>
      </c>
      <c r="D1762" s="136" t="str">
        <f t="array" ref="D1762">IF(E1762=0,0,(INDEX(AccountCodes[ACCOUNT NAME],MATCH(E1762,AccountCodes[NGAS CODE],0))))</f>
        <v>Employees Compensation Insurance Premiums</v>
      </c>
      <c r="E1762" s="309" t="s">
        <v>178</v>
      </c>
      <c r="F1762" s="501">
        <v>2510</v>
      </c>
    </row>
    <row r="1763" spans="1:6">
      <c r="A1763" s="308">
        <v>43220</v>
      </c>
      <c r="B1763" s="309" t="s">
        <v>485</v>
      </c>
      <c r="C1763" s="309" t="s">
        <v>492</v>
      </c>
      <c r="D1763" s="136" t="str">
        <f t="array" ref="D1763">IF(E1763=0,0,(INDEX(AccountCodes[ACCOUNT NAME],MATCH(E1763,AccountCodes[NGAS CODE],0))))</f>
        <v>Employees Compensation Insurance Premiums</v>
      </c>
      <c r="E1763" s="309" t="s">
        <v>178</v>
      </c>
      <c r="F1763" s="501">
        <v>2510</v>
      </c>
    </row>
    <row r="1764" spans="1:6">
      <c r="A1764" s="308">
        <v>43251</v>
      </c>
      <c r="B1764" s="309" t="s">
        <v>485</v>
      </c>
      <c r="C1764" s="309" t="s">
        <v>492</v>
      </c>
      <c r="D1764" s="136" t="str">
        <f t="array" ref="D1764">IF(E1764=0,0,(INDEX(AccountCodes[ACCOUNT NAME],MATCH(E1764,AccountCodes[NGAS CODE],0))))</f>
        <v>Employees Compensation Insurance Premiums</v>
      </c>
      <c r="E1764" s="309" t="s">
        <v>178</v>
      </c>
      <c r="F1764" s="501">
        <v>2510</v>
      </c>
    </row>
    <row r="1765" spans="1:6">
      <c r="A1765" s="308">
        <v>43281</v>
      </c>
      <c r="B1765" s="309" t="s">
        <v>485</v>
      </c>
      <c r="C1765" s="309" t="s">
        <v>492</v>
      </c>
      <c r="D1765" s="136" t="str">
        <f t="array" ref="D1765">IF(E1765=0,0,(INDEX(AccountCodes[ACCOUNT NAME],MATCH(E1765,AccountCodes[NGAS CODE],0))))</f>
        <v>Employees Compensation Insurance Premiums</v>
      </c>
      <c r="E1765" s="309" t="s">
        <v>178</v>
      </c>
      <c r="F1765" s="501">
        <v>2510</v>
      </c>
    </row>
    <row r="1766" spans="1:6">
      <c r="A1766" s="308">
        <v>43312</v>
      </c>
      <c r="B1766" s="309" t="s">
        <v>485</v>
      </c>
      <c r="C1766" s="309" t="s">
        <v>492</v>
      </c>
      <c r="D1766" s="136" t="str">
        <f t="array" ref="D1766">IF(E1766=0,0,(INDEX(AccountCodes[ACCOUNT NAME],MATCH(E1766,AccountCodes[NGAS CODE],0))))</f>
        <v>Employees Compensation Insurance Premiums</v>
      </c>
      <c r="E1766" s="309" t="s">
        <v>178</v>
      </c>
      <c r="F1766" s="501">
        <v>2510</v>
      </c>
    </row>
    <row r="1767" spans="1:6">
      <c r="A1767" s="308">
        <v>43343</v>
      </c>
      <c r="B1767" s="309" t="s">
        <v>485</v>
      </c>
      <c r="C1767" s="309" t="s">
        <v>492</v>
      </c>
      <c r="D1767" s="136" t="str">
        <f t="array" ref="D1767">IF(E1767=0,0,(INDEX(AccountCodes[ACCOUNT NAME],MATCH(E1767,AccountCodes[NGAS CODE],0))))</f>
        <v>Employees Compensation Insurance Premiums</v>
      </c>
      <c r="E1767" s="309" t="s">
        <v>178</v>
      </c>
      <c r="F1767" s="501">
        <v>2510</v>
      </c>
    </row>
    <row r="1768" spans="1:6">
      <c r="A1768" s="308">
        <v>43373</v>
      </c>
      <c r="B1768" s="309" t="s">
        <v>485</v>
      </c>
      <c r="C1768" s="309" t="s">
        <v>492</v>
      </c>
      <c r="D1768" s="136" t="str">
        <f t="array" ref="D1768">IF(E1768=0,0,(INDEX(AccountCodes[ACCOUNT NAME],MATCH(E1768,AccountCodes[NGAS CODE],0))))</f>
        <v>Employees Compensation Insurance Premiums</v>
      </c>
      <c r="E1768" s="309" t="s">
        <v>178</v>
      </c>
      <c r="F1768" s="501">
        <v>2510</v>
      </c>
    </row>
    <row r="1769" spans="1:6">
      <c r="A1769" s="308">
        <v>43404</v>
      </c>
      <c r="B1769" s="309" t="s">
        <v>485</v>
      </c>
      <c r="C1769" s="309" t="s">
        <v>492</v>
      </c>
      <c r="D1769" s="136" t="str">
        <f t="array" ref="D1769">IF(E1769=0,0,(INDEX(AccountCodes[ACCOUNT NAME],MATCH(E1769,AccountCodes[NGAS CODE],0))))</f>
        <v>Employees Compensation Insurance Premiums</v>
      </c>
      <c r="E1769" s="309" t="s">
        <v>178</v>
      </c>
      <c r="F1769" s="501">
        <v>2510</v>
      </c>
    </row>
    <row r="1770" spans="1:6">
      <c r="A1770" s="308">
        <v>43434</v>
      </c>
      <c r="B1770" s="309" t="s">
        <v>485</v>
      </c>
      <c r="C1770" s="309" t="s">
        <v>492</v>
      </c>
      <c r="D1770" s="136" t="str">
        <f t="array" ref="D1770">IF(E1770=0,0,(INDEX(AccountCodes[ACCOUNT NAME],MATCH(E1770,AccountCodes[NGAS CODE],0))))</f>
        <v>Employees Compensation Insurance Premiums</v>
      </c>
      <c r="E1770" s="309" t="s">
        <v>178</v>
      </c>
      <c r="F1770" s="501">
        <v>2510</v>
      </c>
    </row>
    <row r="1771" spans="1:6">
      <c r="A1771" s="308">
        <v>43465</v>
      </c>
      <c r="B1771" s="309" t="s">
        <v>485</v>
      </c>
      <c r="C1771" s="309" t="s">
        <v>492</v>
      </c>
      <c r="D1771" s="136" t="str">
        <f t="array" ref="D1771">IF(E1771=0,0,(INDEX(AccountCodes[ACCOUNT NAME],MATCH(E1771,AccountCodes[NGAS CODE],0))))</f>
        <v>Employees Compensation Insurance Premiums</v>
      </c>
      <c r="E1771" s="309" t="s">
        <v>178</v>
      </c>
      <c r="F1771" s="501">
        <v>2510</v>
      </c>
    </row>
    <row r="1772" spans="1:6">
      <c r="A1772" s="308">
        <v>43131</v>
      </c>
      <c r="B1772" s="309" t="s">
        <v>485</v>
      </c>
      <c r="C1772" s="309" t="s">
        <v>492</v>
      </c>
      <c r="D1772" s="136" t="str">
        <f t="array" ref="D1772">IF(E1772=0,0,(INDEX(AccountCodes[ACCOUNT NAME],MATCH(E1772,AccountCodes[NGAS CODE],0))))</f>
        <v>Traveling Expenses-Local</v>
      </c>
      <c r="E1772" s="309" t="s">
        <v>223</v>
      </c>
      <c r="F1772" s="501">
        <v>2000</v>
      </c>
    </row>
    <row r="1773" spans="1:6">
      <c r="A1773" s="308">
        <v>43159</v>
      </c>
      <c r="B1773" s="309" t="s">
        <v>485</v>
      </c>
      <c r="C1773" s="309" t="s">
        <v>492</v>
      </c>
      <c r="D1773" s="136" t="str">
        <f t="array" ref="D1773">IF(E1773=0,0,(INDEX(AccountCodes[ACCOUNT NAME],MATCH(E1773,AccountCodes[NGAS CODE],0))))</f>
        <v>Traveling Expenses-Local</v>
      </c>
      <c r="E1773" s="309" t="s">
        <v>223</v>
      </c>
      <c r="F1773" s="501">
        <v>2000</v>
      </c>
    </row>
    <row r="1774" spans="1:6">
      <c r="A1774" s="308">
        <v>43190</v>
      </c>
      <c r="B1774" s="309" t="s">
        <v>485</v>
      </c>
      <c r="C1774" s="309" t="s">
        <v>492</v>
      </c>
      <c r="D1774" s="136" t="str">
        <f t="array" ref="D1774">IF(E1774=0,0,(INDEX(AccountCodes[ACCOUNT NAME],MATCH(E1774,AccountCodes[NGAS CODE],0))))</f>
        <v>Traveling Expenses-Local</v>
      </c>
      <c r="E1774" s="309" t="s">
        <v>223</v>
      </c>
      <c r="F1774" s="501">
        <v>2000</v>
      </c>
    </row>
    <row r="1775" spans="1:6">
      <c r="A1775" s="308">
        <v>43220</v>
      </c>
      <c r="B1775" s="309" t="s">
        <v>485</v>
      </c>
      <c r="C1775" s="309" t="s">
        <v>492</v>
      </c>
      <c r="D1775" s="136" t="str">
        <f t="array" ref="D1775">IF(E1775=0,0,(INDEX(AccountCodes[ACCOUNT NAME],MATCH(E1775,AccountCodes[NGAS CODE],0))))</f>
        <v>Traveling Expenses-Local</v>
      </c>
      <c r="E1775" s="309" t="s">
        <v>223</v>
      </c>
      <c r="F1775" s="501">
        <v>2000</v>
      </c>
    </row>
    <row r="1776" spans="1:6">
      <c r="A1776" s="308">
        <v>43251</v>
      </c>
      <c r="B1776" s="309" t="s">
        <v>485</v>
      </c>
      <c r="C1776" s="309" t="s">
        <v>492</v>
      </c>
      <c r="D1776" s="136" t="str">
        <f t="array" ref="D1776">IF(E1776=0,0,(INDEX(AccountCodes[ACCOUNT NAME],MATCH(E1776,AccountCodes[NGAS CODE],0))))</f>
        <v>Traveling Expenses-Local</v>
      </c>
      <c r="E1776" s="309" t="s">
        <v>223</v>
      </c>
      <c r="F1776" s="501">
        <v>2000</v>
      </c>
    </row>
    <row r="1777" spans="1:6">
      <c r="A1777" s="308">
        <v>43281</v>
      </c>
      <c r="B1777" s="309" t="s">
        <v>485</v>
      </c>
      <c r="C1777" s="309" t="s">
        <v>492</v>
      </c>
      <c r="D1777" s="136" t="str">
        <f t="array" ref="D1777">IF(E1777=0,0,(INDEX(AccountCodes[ACCOUNT NAME],MATCH(E1777,AccountCodes[NGAS CODE],0))))</f>
        <v>Traveling Expenses-Local</v>
      </c>
      <c r="E1777" s="309" t="s">
        <v>223</v>
      </c>
      <c r="F1777" s="501">
        <v>2000</v>
      </c>
    </row>
    <row r="1778" spans="1:6">
      <c r="A1778" s="308">
        <v>43312</v>
      </c>
      <c r="B1778" s="309" t="s">
        <v>485</v>
      </c>
      <c r="C1778" s="309" t="s">
        <v>492</v>
      </c>
      <c r="D1778" s="136" t="str">
        <f t="array" ref="D1778">IF(E1778=0,0,(INDEX(AccountCodes[ACCOUNT NAME],MATCH(E1778,AccountCodes[NGAS CODE],0))))</f>
        <v>Traveling Expenses-Local</v>
      </c>
      <c r="E1778" s="309" t="s">
        <v>223</v>
      </c>
      <c r="F1778" s="501">
        <v>2000</v>
      </c>
    </row>
    <row r="1779" spans="1:6">
      <c r="A1779" s="308">
        <v>43343</v>
      </c>
      <c r="B1779" s="309" t="s">
        <v>485</v>
      </c>
      <c r="C1779" s="309" t="s">
        <v>492</v>
      </c>
      <c r="D1779" s="136" t="str">
        <f t="array" ref="D1779">IF(E1779=0,0,(INDEX(AccountCodes[ACCOUNT NAME],MATCH(E1779,AccountCodes[NGAS CODE],0))))</f>
        <v>Traveling Expenses-Local</v>
      </c>
      <c r="E1779" s="309" t="s">
        <v>223</v>
      </c>
      <c r="F1779" s="501">
        <v>2000</v>
      </c>
    </row>
    <row r="1780" spans="1:6">
      <c r="A1780" s="308">
        <v>43373</v>
      </c>
      <c r="B1780" s="309" t="s">
        <v>485</v>
      </c>
      <c r="C1780" s="309" t="s">
        <v>492</v>
      </c>
      <c r="D1780" s="136" t="str">
        <f t="array" ref="D1780">IF(E1780=0,0,(INDEX(AccountCodes[ACCOUNT NAME],MATCH(E1780,AccountCodes[NGAS CODE],0))))</f>
        <v>Traveling Expenses-Local</v>
      </c>
      <c r="E1780" s="309" t="s">
        <v>223</v>
      </c>
      <c r="F1780" s="501">
        <v>2000</v>
      </c>
    </row>
    <row r="1781" spans="1:6">
      <c r="A1781" s="308">
        <v>43404</v>
      </c>
      <c r="B1781" s="309" t="s">
        <v>485</v>
      </c>
      <c r="C1781" s="309" t="s">
        <v>492</v>
      </c>
      <c r="D1781" s="136" t="str">
        <f t="array" ref="D1781">IF(E1781=0,0,(INDEX(AccountCodes[ACCOUNT NAME],MATCH(E1781,AccountCodes[NGAS CODE],0))))</f>
        <v>Traveling Expenses-Local</v>
      </c>
      <c r="E1781" s="309" t="s">
        <v>223</v>
      </c>
      <c r="F1781" s="501">
        <v>2000</v>
      </c>
    </row>
    <row r="1782" spans="1:6">
      <c r="A1782" s="308">
        <v>43434</v>
      </c>
      <c r="B1782" s="309" t="s">
        <v>485</v>
      </c>
      <c r="C1782" s="309" t="s">
        <v>492</v>
      </c>
      <c r="D1782" s="136" t="str">
        <f t="array" ref="D1782">IF(E1782=0,0,(INDEX(AccountCodes[ACCOUNT NAME],MATCH(E1782,AccountCodes[NGAS CODE],0))))</f>
        <v>Traveling Expenses-Local</v>
      </c>
      <c r="E1782" s="309" t="s">
        <v>223</v>
      </c>
      <c r="F1782" s="501">
        <v>2000</v>
      </c>
    </row>
    <row r="1783" spans="1:6">
      <c r="A1783" s="308">
        <v>43465</v>
      </c>
      <c r="B1783" s="309" t="s">
        <v>485</v>
      </c>
      <c r="C1783" s="309" t="s">
        <v>492</v>
      </c>
      <c r="D1783" s="136" t="str">
        <f t="array" ref="D1783">IF(E1783=0,0,(INDEX(AccountCodes[ACCOUNT NAME],MATCH(E1783,AccountCodes[NGAS CODE],0))))</f>
        <v>Traveling Expenses-Local</v>
      </c>
      <c r="E1783" s="309" t="s">
        <v>223</v>
      </c>
      <c r="F1783" s="501">
        <v>2000</v>
      </c>
    </row>
    <row r="1784" spans="1:6">
      <c r="A1784" s="308">
        <v>43131</v>
      </c>
      <c r="B1784" s="309" t="s">
        <v>485</v>
      </c>
      <c r="C1784" s="309" t="s">
        <v>492</v>
      </c>
      <c r="D1784" s="136" t="str">
        <f t="array" ref="D1784">IF(E1784=0,0,(INDEX(AccountCodes[ACCOUNT NAME],MATCH(E1784,AccountCodes[NGAS CODE],0))))</f>
        <v>Office Supplies Expenses</v>
      </c>
      <c r="E1784" s="309" t="s">
        <v>225</v>
      </c>
      <c r="F1784" s="501">
        <v>15000</v>
      </c>
    </row>
    <row r="1785" spans="1:6">
      <c r="A1785" s="308">
        <v>43220</v>
      </c>
      <c r="B1785" s="309" t="s">
        <v>485</v>
      </c>
      <c r="C1785" s="309" t="s">
        <v>492</v>
      </c>
      <c r="D1785" s="136" t="str">
        <f t="array" ref="D1785">IF(E1785=0,0,(INDEX(AccountCodes[ACCOUNT NAME],MATCH(E1785,AccountCodes[NGAS CODE],0))))</f>
        <v>Office Supplies Expenses</v>
      </c>
      <c r="E1785" s="309" t="s">
        <v>225</v>
      </c>
      <c r="F1785" s="501">
        <v>10000</v>
      </c>
    </row>
    <row r="1786" spans="1:6">
      <c r="A1786" s="308">
        <v>43312</v>
      </c>
      <c r="B1786" s="309" t="s">
        <v>485</v>
      </c>
      <c r="C1786" s="309" t="s">
        <v>492</v>
      </c>
      <c r="D1786" s="136" t="str">
        <f t="array" ref="D1786">IF(E1786=0,0,(INDEX(AccountCodes[ACCOUNT NAME],MATCH(E1786,AccountCodes[NGAS CODE],0))))</f>
        <v>Office Supplies Expenses</v>
      </c>
      <c r="E1786" s="309" t="s">
        <v>225</v>
      </c>
      <c r="F1786" s="501">
        <v>10000</v>
      </c>
    </row>
    <row r="1787" spans="1:6">
      <c r="A1787" s="308">
        <v>43404</v>
      </c>
      <c r="B1787" s="309" t="s">
        <v>485</v>
      </c>
      <c r="C1787" s="309" t="s">
        <v>492</v>
      </c>
      <c r="D1787" s="136" t="str">
        <f t="array" ref="D1787">IF(E1787=0,0,(INDEX(AccountCodes[ACCOUNT NAME],MATCH(E1787,AccountCodes[NGAS CODE],0))))</f>
        <v>Office Supplies Expenses</v>
      </c>
      <c r="E1787" s="309" t="s">
        <v>225</v>
      </c>
      <c r="F1787" s="501">
        <v>5000</v>
      </c>
    </row>
    <row r="1788" spans="1:6">
      <c r="A1788" s="308">
        <v>43131</v>
      </c>
      <c r="B1788" s="309" t="s">
        <v>485</v>
      </c>
      <c r="C1788" s="309" t="s">
        <v>492</v>
      </c>
      <c r="D1788" s="136" t="str">
        <f t="array" ref="D1788">IF(E1788=0,0,(INDEX(AccountCodes[ACCOUNT NAME],MATCH(E1788,AccountCodes[NGAS CODE],0))))</f>
        <v>Fuel, Oil and Lubricants Expenses</v>
      </c>
      <c r="E1788" s="309" t="s">
        <v>229</v>
      </c>
      <c r="F1788" s="501">
        <v>15000</v>
      </c>
    </row>
    <row r="1789" spans="1:6">
      <c r="A1789" s="308">
        <v>43159</v>
      </c>
      <c r="B1789" s="309" t="s">
        <v>485</v>
      </c>
      <c r="C1789" s="309" t="s">
        <v>492</v>
      </c>
      <c r="D1789" s="136" t="str">
        <f t="array" ref="D1789">IF(E1789=0,0,(INDEX(AccountCodes[ACCOUNT NAME],MATCH(E1789,AccountCodes[NGAS CODE],0))))</f>
        <v>Fuel, Oil and Lubricants Expenses</v>
      </c>
      <c r="E1789" s="309" t="s">
        <v>229</v>
      </c>
      <c r="F1789" s="501">
        <v>15000</v>
      </c>
    </row>
    <row r="1790" spans="1:6">
      <c r="A1790" s="308">
        <v>43190</v>
      </c>
      <c r="B1790" s="309" t="s">
        <v>485</v>
      </c>
      <c r="C1790" s="309" t="s">
        <v>492</v>
      </c>
      <c r="D1790" s="136" t="str">
        <f t="array" ref="D1790">IF(E1790=0,0,(INDEX(AccountCodes[ACCOUNT NAME],MATCH(E1790,AccountCodes[NGAS CODE],0))))</f>
        <v>Fuel, Oil and Lubricants Expenses</v>
      </c>
      <c r="E1790" s="309" t="s">
        <v>229</v>
      </c>
      <c r="F1790" s="501">
        <v>15000</v>
      </c>
    </row>
    <row r="1791" spans="1:6">
      <c r="A1791" s="308">
        <v>43220</v>
      </c>
      <c r="B1791" s="309" t="s">
        <v>485</v>
      </c>
      <c r="C1791" s="309" t="s">
        <v>492</v>
      </c>
      <c r="D1791" s="136" t="str">
        <f t="array" ref="D1791">IF(E1791=0,0,(INDEX(AccountCodes[ACCOUNT NAME],MATCH(E1791,AccountCodes[NGAS CODE],0))))</f>
        <v>Fuel, Oil and Lubricants Expenses</v>
      </c>
      <c r="E1791" s="309" t="s">
        <v>229</v>
      </c>
      <c r="F1791" s="501">
        <v>15000</v>
      </c>
    </row>
    <row r="1792" spans="1:6">
      <c r="A1792" s="308">
        <v>43251</v>
      </c>
      <c r="B1792" s="309" t="s">
        <v>485</v>
      </c>
      <c r="C1792" s="309" t="s">
        <v>492</v>
      </c>
      <c r="D1792" s="136" t="str">
        <f t="array" ref="D1792">IF(E1792=0,0,(INDEX(AccountCodes[ACCOUNT NAME],MATCH(E1792,AccountCodes[NGAS CODE],0))))</f>
        <v>Fuel, Oil and Lubricants Expenses</v>
      </c>
      <c r="E1792" s="309" t="s">
        <v>229</v>
      </c>
      <c r="F1792" s="501">
        <v>12000</v>
      </c>
    </row>
    <row r="1793" spans="1:6">
      <c r="A1793" s="308">
        <v>43281</v>
      </c>
      <c r="B1793" s="309" t="s">
        <v>485</v>
      </c>
      <c r="C1793" s="309" t="s">
        <v>492</v>
      </c>
      <c r="D1793" s="136" t="str">
        <f t="array" ref="D1793">IF(E1793=0,0,(INDEX(AccountCodes[ACCOUNT NAME],MATCH(E1793,AccountCodes[NGAS CODE],0))))</f>
        <v>Fuel, Oil and Lubricants Expenses</v>
      </c>
      <c r="E1793" s="309" t="s">
        <v>229</v>
      </c>
      <c r="F1793" s="501">
        <v>50000</v>
      </c>
    </row>
    <row r="1794" spans="1:6">
      <c r="A1794" s="308">
        <v>43312</v>
      </c>
      <c r="B1794" s="309" t="s">
        <v>485</v>
      </c>
      <c r="C1794" s="309" t="s">
        <v>492</v>
      </c>
      <c r="D1794" s="136" t="str">
        <f t="array" ref="D1794">IF(E1794=0,0,(INDEX(AccountCodes[ACCOUNT NAME],MATCH(E1794,AccountCodes[NGAS CODE],0))))</f>
        <v>Fuel, Oil and Lubricants Expenses</v>
      </c>
      <c r="E1794" s="309" t="s">
        <v>229</v>
      </c>
      <c r="F1794" s="501">
        <v>10000</v>
      </c>
    </row>
    <row r="1795" spans="1:6">
      <c r="A1795" s="308">
        <v>43343</v>
      </c>
      <c r="B1795" s="309" t="s">
        <v>485</v>
      </c>
      <c r="C1795" s="309" t="s">
        <v>492</v>
      </c>
      <c r="D1795" s="136" t="str">
        <f t="array" ref="D1795">IF(E1795=0,0,(INDEX(AccountCodes[ACCOUNT NAME],MATCH(E1795,AccountCodes[NGAS CODE],0))))</f>
        <v>Fuel, Oil and Lubricants Expenses</v>
      </c>
      <c r="E1795" s="309" t="s">
        <v>229</v>
      </c>
      <c r="F1795" s="501">
        <v>10000</v>
      </c>
    </row>
    <row r="1796" spans="1:6">
      <c r="A1796" s="308">
        <v>43373</v>
      </c>
      <c r="B1796" s="309" t="s">
        <v>485</v>
      </c>
      <c r="C1796" s="309" t="s">
        <v>492</v>
      </c>
      <c r="D1796" s="136" t="str">
        <f t="array" ref="D1796">IF(E1796=0,0,(INDEX(AccountCodes[ACCOUNT NAME],MATCH(E1796,AccountCodes[NGAS CODE],0))))</f>
        <v>Fuel, Oil and Lubricants Expenses</v>
      </c>
      <c r="E1796" s="309" t="s">
        <v>229</v>
      </c>
      <c r="F1796" s="501">
        <v>10000</v>
      </c>
    </row>
    <row r="1797" spans="1:6">
      <c r="A1797" s="308">
        <v>43404</v>
      </c>
      <c r="B1797" s="309" t="s">
        <v>485</v>
      </c>
      <c r="C1797" s="309" t="s">
        <v>492</v>
      </c>
      <c r="D1797" s="136" t="str">
        <f t="array" ref="D1797">IF(E1797=0,0,(INDEX(AccountCodes[ACCOUNT NAME],MATCH(E1797,AccountCodes[NGAS CODE],0))))</f>
        <v>Fuel, Oil and Lubricants Expenses</v>
      </c>
      <c r="E1797" s="309" t="s">
        <v>229</v>
      </c>
      <c r="F1797" s="501">
        <v>10000</v>
      </c>
    </row>
    <row r="1798" spans="1:6">
      <c r="A1798" s="308">
        <v>43434</v>
      </c>
      <c r="B1798" s="309" t="s">
        <v>485</v>
      </c>
      <c r="C1798" s="309" t="s">
        <v>492</v>
      </c>
      <c r="D1798" s="136" t="str">
        <f t="array" ref="D1798">IF(E1798=0,0,(INDEX(AccountCodes[ACCOUNT NAME],MATCH(E1798,AccountCodes[NGAS CODE],0))))</f>
        <v>Fuel, Oil and Lubricants Expenses</v>
      </c>
      <c r="E1798" s="309" t="s">
        <v>229</v>
      </c>
      <c r="F1798" s="501">
        <v>20000</v>
      </c>
    </row>
    <row r="1799" spans="1:6">
      <c r="A1799" s="308">
        <v>43465</v>
      </c>
      <c r="B1799" s="309" t="s">
        <v>485</v>
      </c>
      <c r="C1799" s="309" t="s">
        <v>492</v>
      </c>
      <c r="D1799" s="136" t="str">
        <f t="array" ref="D1799">IF(E1799=0,0,(INDEX(AccountCodes[ACCOUNT NAME],MATCH(E1799,AccountCodes[NGAS CODE],0))))</f>
        <v>Fuel, Oil and Lubricants Expenses</v>
      </c>
      <c r="E1799" s="309" t="s">
        <v>229</v>
      </c>
      <c r="F1799" s="501">
        <v>20000</v>
      </c>
    </row>
    <row r="1800" spans="1:6">
      <c r="A1800" s="308">
        <v>43190</v>
      </c>
      <c r="B1800" s="309" t="s">
        <v>485</v>
      </c>
      <c r="C1800" s="309" t="s">
        <v>492</v>
      </c>
      <c r="D1800" s="136" t="str">
        <f t="array" ref="D1800">IF(E1800=0,0,(INDEX(AccountCodes[ACCOUNT NAME],MATCH(E1800,AccountCodes[NGAS CODE],0))))</f>
        <v>Other Supplies and Materials Expenses</v>
      </c>
      <c r="E1800" s="309" t="s">
        <v>231</v>
      </c>
      <c r="F1800" s="501">
        <v>3000</v>
      </c>
    </row>
    <row r="1801" spans="1:6">
      <c r="A1801" s="308">
        <v>43281</v>
      </c>
      <c r="B1801" s="309" t="s">
        <v>485</v>
      </c>
      <c r="C1801" s="309" t="s">
        <v>492</v>
      </c>
      <c r="D1801" s="136" t="str">
        <f t="array" ref="D1801">IF(E1801=0,0,(INDEX(AccountCodes[ACCOUNT NAME],MATCH(E1801,AccountCodes[NGAS CODE],0))))</f>
        <v>Other Supplies and Materials Expenses</v>
      </c>
      <c r="E1801" s="309" t="s">
        <v>231</v>
      </c>
      <c r="F1801" s="501">
        <v>3000</v>
      </c>
    </row>
    <row r="1802" spans="1:6">
      <c r="A1802" s="308">
        <v>43373</v>
      </c>
      <c r="B1802" s="309" t="s">
        <v>485</v>
      </c>
      <c r="C1802" s="309" t="s">
        <v>492</v>
      </c>
      <c r="D1802" s="136" t="str">
        <f t="array" ref="D1802">IF(E1802=0,0,(INDEX(AccountCodes[ACCOUNT NAME],MATCH(E1802,AccountCodes[NGAS CODE],0))))</f>
        <v>Other Supplies and Materials Expenses</v>
      </c>
      <c r="E1802" s="309" t="s">
        <v>231</v>
      </c>
      <c r="F1802" s="501">
        <v>3000</v>
      </c>
    </row>
    <row r="1803" spans="1:6">
      <c r="A1803" s="308">
        <v>43465</v>
      </c>
      <c r="B1803" s="309" t="s">
        <v>485</v>
      </c>
      <c r="C1803" s="309" t="s">
        <v>492</v>
      </c>
      <c r="D1803" s="136" t="str">
        <f t="array" ref="D1803">IF(E1803=0,0,(INDEX(AccountCodes[ACCOUNT NAME],MATCH(E1803,AccountCodes[NGAS CODE],0))))</f>
        <v>Other Supplies and Materials Expenses</v>
      </c>
      <c r="E1803" s="309" t="s">
        <v>231</v>
      </c>
      <c r="F1803" s="501">
        <v>3000</v>
      </c>
    </row>
    <row r="1804" spans="1:6">
      <c r="A1804" s="308">
        <v>43131</v>
      </c>
      <c r="B1804" s="309" t="s">
        <v>485</v>
      </c>
      <c r="C1804" s="309" t="s">
        <v>492</v>
      </c>
      <c r="D1804" s="136" t="str">
        <f t="array" ref="D1804">IF(E1804=0,0,(INDEX(AccountCodes[ACCOUNT NAME],MATCH(E1804,AccountCodes[NGAS CODE],0))))</f>
        <v>Water Expenses</v>
      </c>
      <c r="E1804" s="309" t="s">
        <v>232</v>
      </c>
      <c r="F1804" s="501">
        <v>400</v>
      </c>
    </row>
    <row r="1805" spans="1:6">
      <c r="A1805" s="308">
        <v>43159</v>
      </c>
      <c r="B1805" s="309" t="s">
        <v>485</v>
      </c>
      <c r="C1805" s="309" t="s">
        <v>492</v>
      </c>
      <c r="D1805" s="136" t="str">
        <f t="array" ref="D1805">IF(E1805=0,0,(INDEX(AccountCodes[ACCOUNT NAME],MATCH(E1805,AccountCodes[NGAS CODE],0))))</f>
        <v>Water Expenses</v>
      </c>
      <c r="E1805" s="309" t="s">
        <v>232</v>
      </c>
      <c r="F1805" s="501">
        <v>400</v>
      </c>
    </row>
    <row r="1806" spans="1:6">
      <c r="A1806" s="308">
        <v>43190</v>
      </c>
      <c r="B1806" s="309" t="s">
        <v>485</v>
      </c>
      <c r="C1806" s="309" t="s">
        <v>492</v>
      </c>
      <c r="D1806" s="136" t="str">
        <f t="array" ref="D1806">IF(E1806=0,0,(INDEX(AccountCodes[ACCOUNT NAME],MATCH(E1806,AccountCodes[NGAS CODE],0))))</f>
        <v>Water Expenses</v>
      </c>
      <c r="E1806" s="309" t="s">
        <v>232</v>
      </c>
      <c r="F1806" s="501">
        <v>400</v>
      </c>
    </row>
    <row r="1807" spans="1:6">
      <c r="A1807" s="308">
        <v>43220</v>
      </c>
      <c r="B1807" s="309" t="s">
        <v>485</v>
      </c>
      <c r="C1807" s="309" t="s">
        <v>492</v>
      </c>
      <c r="D1807" s="136" t="str">
        <f t="array" ref="D1807">IF(E1807=0,0,(INDEX(AccountCodes[ACCOUNT NAME],MATCH(E1807,AccountCodes[NGAS CODE],0))))</f>
        <v>Water Expenses</v>
      </c>
      <c r="E1807" s="309" t="s">
        <v>232</v>
      </c>
      <c r="F1807" s="501">
        <v>400</v>
      </c>
    </row>
    <row r="1808" spans="1:6">
      <c r="A1808" s="308">
        <v>43251</v>
      </c>
      <c r="B1808" s="309" t="s">
        <v>485</v>
      </c>
      <c r="C1808" s="309" t="s">
        <v>492</v>
      </c>
      <c r="D1808" s="136" t="str">
        <f t="array" ref="D1808">IF(E1808=0,0,(INDEX(AccountCodes[ACCOUNT NAME],MATCH(E1808,AccountCodes[NGAS CODE],0))))</f>
        <v>Water Expenses</v>
      </c>
      <c r="E1808" s="309" t="s">
        <v>232</v>
      </c>
      <c r="F1808" s="501">
        <v>400</v>
      </c>
    </row>
    <row r="1809" spans="1:6">
      <c r="A1809" s="308">
        <v>43281</v>
      </c>
      <c r="B1809" s="309" t="s">
        <v>485</v>
      </c>
      <c r="C1809" s="309" t="s">
        <v>492</v>
      </c>
      <c r="D1809" s="136" t="str">
        <f t="array" ref="D1809">IF(E1809=0,0,(INDEX(AccountCodes[ACCOUNT NAME],MATCH(E1809,AccountCodes[NGAS CODE],0))))</f>
        <v>Water Expenses</v>
      </c>
      <c r="E1809" s="309" t="s">
        <v>232</v>
      </c>
      <c r="F1809" s="501">
        <v>400</v>
      </c>
    </row>
    <row r="1810" spans="1:6">
      <c r="A1810" s="308">
        <v>43312</v>
      </c>
      <c r="B1810" s="309" t="s">
        <v>485</v>
      </c>
      <c r="C1810" s="309" t="s">
        <v>492</v>
      </c>
      <c r="D1810" s="136" t="str">
        <f t="array" ref="D1810">IF(E1810=0,0,(INDEX(AccountCodes[ACCOUNT NAME],MATCH(E1810,AccountCodes[NGAS CODE],0))))</f>
        <v>Water Expenses</v>
      </c>
      <c r="E1810" s="309" t="s">
        <v>232</v>
      </c>
      <c r="F1810" s="501">
        <v>400</v>
      </c>
    </row>
    <row r="1811" spans="1:6">
      <c r="A1811" s="308">
        <v>43343</v>
      </c>
      <c r="B1811" s="309" t="s">
        <v>485</v>
      </c>
      <c r="C1811" s="309" t="s">
        <v>492</v>
      </c>
      <c r="D1811" s="136" t="str">
        <f t="array" ref="D1811">IF(E1811=0,0,(INDEX(AccountCodes[ACCOUNT NAME],MATCH(E1811,AccountCodes[NGAS CODE],0))))</f>
        <v>Water Expenses</v>
      </c>
      <c r="E1811" s="309" t="s">
        <v>232</v>
      </c>
      <c r="F1811" s="501">
        <v>400</v>
      </c>
    </row>
    <row r="1812" spans="1:6">
      <c r="A1812" s="308">
        <v>43373</v>
      </c>
      <c r="B1812" s="309" t="s">
        <v>485</v>
      </c>
      <c r="C1812" s="309" t="s">
        <v>492</v>
      </c>
      <c r="D1812" s="136" t="str">
        <f t="array" ref="D1812">IF(E1812=0,0,(INDEX(AccountCodes[ACCOUNT NAME],MATCH(E1812,AccountCodes[NGAS CODE],0))))</f>
        <v>Water Expenses</v>
      </c>
      <c r="E1812" s="309" t="s">
        <v>232</v>
      </c>
      <c r="F1812" s="501">
        <v>400</v>
      </c>
    </row>
    <row r="1813" spans="1:6">
      <c r="A1813" s="308">
        <v>43404</v>
      </c>
      <c r="B1813" s="309" t="s">
        <v>485</v>
      </c>
      <c r="C1813" s="309" t="s">
        <v>492</v>
      </c>
      <c r="D1813" s="136" t="str">
        <f t="array" ref="D1813">IF(E1813=0,0,(INDEX(AccountCodes[ACCOUNT NAME],MATCH(E1813,AccountCodes[NGAS CODE],0))))</f>
        <v>Water Expenses</v>
      </c>
      <c r="E1813" s="309" t="s">
        <v>232</v>
      </c>
      <c r="F1813" s="501">
        <v>400</v>
      </c>
    </row>
    <row r="1814" spans="1:6">
      <c r="A1814" s="308">
        <v>43434</v>
      </c>
      <c r="B1814" s="309" t="s">
        <v>485</v>
      </c>
      <c r="C1814" s="309" t="s">
        <v>492</v>
      </c>
      <c r="D1814" s="136" t="str">
        <f t="array" ref="D1814">IF(E1814=0,0,(INDEX(AccountCodes[ACCOUNT NAME],MATCH(E1814,AccountCodes[NGAS CODE],0))))</f>
        <v>Water Expenses</v>
      </c>
      <c r="E1814" s="309" t="s">
        <v>232</v>
      </c>
      <c r="F1814" s="501">
        <v>400</v>
      </c>
    </row>
    <row r="1815" spans="1:6">
      <c r="A1815" s="308">
        <v>43465</v>
      </c>
      <c r="B1815" s="309" t="s">
        <v>485</v>
      </c>
      <c r="C1815" s="309" t="s">
        <v>492</v>
      </c>
      <c r="D1815" s="136" t="str">
        <f t="array" ref="D1815">IF(E1815=0,0,(INDEX(AccountCodes[ACCOUNT NAME],MATCH(E1815,AccountCodes[NGAS CODE],0))))</f>
        <v>Water Expenses</v>
      </c>
      <c r="E1815" s="309" t="s">
        <v>232</v>
      </c>
      <c r="F1815" s="501">
        <v>400</v>
      </c>
    </row>
    <row r="1816" spans="1:6">
      <c r="A1816" s="308">
        <v>43131</v>
      </c>
      <c r="B1816" s="309" t="s">
        <v>485</v>
      </c>
      <c r="C1816" s="309" t="s">
        <v>492</v>
      </c>
      <c r="D1816" s="136" t="str">
        <f t="array" ref="D1816">IF(E1816=0,0,(INDEX(AccountCodes[ACCOUNT NAME],MATCH(E1816,AccountCodes[NGAS CODE],0))))</f>
        <v>Electricity Expenses</v>
      </c>
      <c r="E1816" s="309" t="s">
        <v>233</v>
      </c>
      <c r="F1816" s="501">
        <v>27000</v>
      </c>
    </row>
    <row r="1817" spans="1:6">
      <c r="A1817" s="308">
        <v>43159</v>
      </c>
      <c r="B1817" s="309" t="s">
        <v>485</v>
      </c>
      <c r="C1817" s="309" t="s">
        <v>492</v>
      </c>
      <c r="D1817" s="136" t="str">
        <f t="array" ref="D1817">IF(E1817=0,0,(INDEX(AccountCodes[ACCOUNT NAME],MATCH(E1817,AccountCodes[NGAS CODE],0))))</f>
        <v>Electricity Expenses</v>
      </c>
      <c r="E1817" s="309" t="s">
        <v>233</v>
      </c>
      <c r="F1817" s="501">
        <v>27000</v>
      </c>
    </row>
    <row r="1818" spans="1:6">
      <c r="A1818" s="308">
        <v>43190</v>
      </c>
      <c r="B1818" s="309" t="s">
        <v>485</v>
      </c>
      <c r="C1818" s="309" t="s">
        <v>492</v>
      </c>
      <c r="D1818" s="136" t="str">
        <f t="array" ref="D1818">IF(E1818=0,0,(INDEX(AccountCodes[ACCOUNT NAME],MATCH(E1818,AccountCodes[NGAS CODE],0))))</f>
        <v>Electricity Expenses</v>
      </c>
      <c r="E1818" s="309" t="s">
        <v>233</v>
      </c>
      <c r="F1818" s="501">
        <v>27000</v>
      </c>
    </row>
    <row r="1819" spans="1:6">
      <c r="A1819" s="308">
        <v>43220</v>
      </c>
      <c r="B1819" s="309" t="s">
        <v>485</v>
      </c>
      <c r="C1819" s="309" t="s">
        <v>492</v>
      </c>
      <c r="D1819" s="136" t="str">
        <f t="array" ref="D1819">IF(E1819=0,0,(INDEX(AccountCodes[ACCOUNT NAME],MATCH(E1819,AccountCodes[NGAS CODE],0))))</f>
        <v>Electricity Expenses</v>
      </c>
      <c r="E1819" s="309" t="s">
        <v>233</v>
      </c>
      <c r="F1819" s="501">
        <v>27000</v>
      </c>
    </row>
    <row r="1820" spans="1:6">
      <c r="A1820" s="308">
        <v>43251</v>
      </c>
      <c r="B1820" s="309" t="s">
        <v>485</v>
      </c>
      <c r="C1820" s="309" t="s">
        <v>492</v>
      </c>
      <c r="D1820" s="136" t="str">
        <f t="array" ref="D1820">IF(E1820=0,0,(INDEX(AccountCodes[ACCOUNT NAME],MATCH(E1820,AccountCodes[NGAS CODE],0))))</f>
        <v>Electricity Expenses</v>
      </c>
      <c r="E1820" s="309" t="s">
        <v>233</v>
      </c>
      <c r="F1820" s="501">
        <v>27000</v>
      </c>
    </row>
    <row r="1821" spans="1:6">
      <c r="A1821" s="308">
        <v>43281</v>
      </c>
      <c r="B1821" s="309" t="s">
        <v>485</v>
      </c>
      <c r="C1821" s="309" t="s">
        <v>492</v>
      </c>
      <c r="D1821" s="136" t="str">
        <f t="array" ref="D1821">IF(E1821=0,0,(INDEX(AccountCodes[ACCOUNT NAME],MATCH(E1821,AccountCodes[NGAS CODE],0))))</f>
        <v>Electricity Expenses</v>
      </c>
      <c r="E1821" s="309" t="s">
        <v>233</v>
      </c>
      <c r="F1821" s="501">
        <v>27000</v>
      </c>
    </row>
    <row r="1822" spans="1:6">
      <c r="A1822" s="308">
        <v>43312</v>
      </c>
      <c r="B1822" s="309" t="s">
        <v>485</v>
      </c>
      <c r="C1822" s="309" t="s">
        <v>492</v>
      </c>
      <c r="D1822" s="136" t="str">
        <f t="array" ref="D1822">IF(E1822=0,0,(INDEX(AccountCodes[ACCOUNT NAME],MATCH(E1822,AccountCodes[NGAS CODE],0))))</f>
        <v>Electricity Expenses</v>
      </c>
      <c r="E1822" s="309" t="s">
        <v>233</v>
      </c>
      <c r="F1822" s="501">
        <v>27000</v>
      </c>
    </row>
    <row r="1823" spans="1:6">
      <c r="A1823" s="308">
        <v>43343</v>
      </c>
      <c r="B1823" s="309" t="s">
        <v>485</v>
      </c>
      <c r="C1823" s="309" t="s">
        <v>492</v>
      </c>
      <c r="D1823" s="136" t="str">
        <f t="array" ref="D1823">IF(E1823=0,0,(INDEX(AccountCodes[ACCOUNT NAME],MATCH(E1823,AccountCodes[NGAS CODE],0))))</f>
        <v>Electricity Expenses</v>
      </c>
      <c r="E1823" s="309" t="s">
        <v>233</v>
      </c>
      <c r="F1823" s="501">
        <v>27000</v>
      </c>
    </row>
    <row r="1824" spans="1:6">
      <c r="A1824" s="308">
        <v>43373</v>
      </c>
      <c r="B1824" s="309" t="s">
        <v>485</v>
      </c>
      <c r="C1824" s="309" t="s">
        <v>492</v>
      </c>
      <c r="D1824" s="136" t="str">
        <f t="array" ref="D1824">IF(E1824=0,0,(INDEX(AccountCodes[ACCOUNT NAME],MATCH(E1824,AccountCodes[NGAS CODE],0))))</f>
        <v>Electricity Expenses</v>
      </c>
      <c r="E1824" s="309" t="s">
        <v>233</v>
      </c>
      <c r="F1824" s="501">
        <v>27000</v>
      </c>
    </row>
    <row r="1825" spans="1:6">
      <c r="A1825" s="308">
        <v>43404</v>
      </c>
      <c r="B1825" s="309" t="s">
        <v>485</v>
      </c>
      <c r="C1825" s="309" t="s">
        <v>492</v>
      </c>
      <c r="D1825" s="136" t="str">
        <f t="array" ref="D1825">IF(E1825=0,0,(INDEX(AccountCodes[ACCOUNT NAME],MATCH(E1825,AccountCodes[NGAS CODE],0))))</f>
        <v>Electricity Expenses</v>
      </c>
      <c r="E1825" s="309" t="s">
        <v>233</v>
      </c>
      <c r="F1825" s="501">
        <v>27000</v>
      </c>
    </row>
    <row r="1826" spans="1:6">
      <c r="A1826" s="308">
        <v>43434</v>
      </c>
      <c r="B1826" s="309" t="s">
        <v>485</v>
      </c>
      <c r="C1826" s="309" t="s">
        <v>492</v>
      </c>
      <c r="D1826" s="136" t="str">
        <f t="array" ref="D1826">IF(E1826=0,0,(INDEX(AccountCodes[ACCOUNT NAME],MATCH(E1826,AccountCodes[NGAS CODE],0))))</f>
        <v>Electricity Expenses</v>
      </c>
      <c r="E1826" s="309" t="s">
        <v>233</v>
      </c>
      <c r="F1826" s="501">
        <v>27000</v>
      </c>
    </row>
    <row r="1827" spans="1:6">
      <c r="A1827" s="308">
        <v>43465</v>
      </c>
      <c r="B1827" s="309" t="s">
        <v>485</v>
      </c>
      <c r="C1827" s="309" t="s">
        <v>492</v>
      </c>
      <c r="D1827" s="136" t="str">
        <f t="array" ref="D1827">IF(E1827=0,0,(INDEX(AccountCodes[ACCOUNT NAME],MATCH(E1827,AccountCodes[NGAS CODE],0))))</f>
        <v>Electricity Expenses</v>
      </c>
      <c r="E1827" s="309" t="s">
        <v>233</v>
      </c>
      <c r="F1827" s="501">
        <v>27000</v>
      </c>
    </row>
    <row r="1828" spans="1:6">
      <c r="A1828" s="308">
        <v>43190</v>
      </c>
      <c r="B1828" s="309" t="s">
        <v>485</v>
      </c>
      <c r="C1828" s="309" t="s">
        <v>492</v>
      </c>
      <c r="D1828" s="136" t="str">
        <f t="array" ref="D1828">IF(E1828=0,0,(INDEX(AccountCodes[ACCOUNT NAME],MATCH(E1828,AccountCodes[NGAS CODE],0))))</f>
        <v>Repairs and Maintenance-Transportation Equipment - Motor Vehicles</v>
      </c>
      <c r="E1828" s="309" t="s">
        <v>262</v>
      </c>
      <c r="F1828" s="501">
        <v>30000</v>
      </c>
    </row>
    <row r="1829" spans="1:6">
      <c r="A1829" s="308">
        <v>43312</v>
      </c>
      <c r="B1829" s="309" t="s">
        <v>485</v>
      </c>
      <c r="C1829" s="309" t="s">
        <v>492</v>
      </c>
      <c r="D1829" s="136" t="str">
        <f t="array" ref="D1829">IF(E1829=0,0,(INDEX(AccountCodes[ACCOUNT NAME],MATCH(E1829,AccountCodes[NGAS CODE],0))))</f>
        <v>Repairs and Maintenance-Transportation Equipment - Motor Vehicles</v>
      </c>
      <c r="E1829" s="309" t="s">
        <v>262</v>
      </c>
      <c r="F1829" s="501">
        <v>20000</v>
      </c>
    </row>
    <row r="1830" spans="1:6">
      <c r="A1830" s="308">
        <v>43404</v>
      </c>
      <c r="B1830" s="309" t="s">
        <v>485</v>
      </c>
      <c r="C1830" s="309" t="s">
        <v>492</v>
      </c>
      <c r="D1830" s="136" t="str">
        <f t="array" ref="D1830">IF(E1830=0,0,(INDEX(AccountCodes[ACCOUNT NAME],MATCH(E1830,AccountCodes[NGAS CODE],0))))</f>
        <v>Repairs and Maintenance-Transportation Equipment - Motor Vehicles</v>
      </c>
      <c r="E1830" s="309" t="s">
        <v>262</v>
      </c>
      <c r="F1830" s="501">
        <v>20000</v>
      </c>
    </row>
    <row r="1831" spans="1:6">
      <c r="A1831" s="308">
        <v>43220</v>
      </c>
      <c r="B1831" s="309" t="s">
        <v>485</v>
      </c>
      <c r="C1831" s="309" t="s">
        <v>492</v>
      </c>
      <c r="D1831" s="136" t="str">
        <f t="array" ref="D1831">IF(E1831=0,0,(INDEX(AccountCodes[ACCOUNT NAME],MATCH(E1831,AccountCodes[NGAS CODE],0))))</f>
        <v>Repairs and Maintenance-Other Property, Plant and Equipment - Other Property, Plant and Equipment</v>
      </c>
      <c r="E1831" s="309" t="s">
        <v>265</v>
      </c>
      <c r="F1831" s="501">
        <v>50000</v>
      </c>
    </row>
    <row r="1832" spans="1:6">
      <c r="A1832" s="308">
        <v>43343</v>
      </c>
      <c r="B1832" s="309" t="s">
        <v>485</v>
      </c>
      <c r="C1832" s="309" t="s">
        <v>492</v>
      </c>
      <c r="D1832" s="136" t="str">
        <f t="array" ref="D1832">IF(E1832=0,0,(INDEX(AccountCodes[ACCOUNT NAME],MATCH(E1832,AccountCodes[NGAS CODE],0))))</f>
        <v>Repairs and Maintenance-Other Property, Plant and Equipment - Other Property, Plant and Equipment</v>
      </c>
      <c r="E1832" s="309" t="s">
        <v>265</v>
      </c>
      <c r="F1832" s="501">
        <v>50000</v>
      </c>
    </row>
    <row r="1833" spans="1:6">
      <c r="A1833" s="308">
        <v>43131</v>
      </c>
      <c r="B1833" s="309" t="s">
        <v>485</v>
      </c>
      <c r="C1833" s="309" t="s">
        <v>492</v>
      </c>
      <c r="D1833" s="136" t="str">
        <f t="array" ref="D1833">IF(E1833=0,0,(INDEX(AccountCodes[ACCOUNT NAME],MATCH(E1833,AccountCodes[NGAS CODE],0))))</f>
        <v>Taxes, Duties and Licenses</v>
      </c>
      <c r="E1833" s="309" t="s">
        <v>272</v>
      </c>
      <c r="F1833" s="501">
        <v>5382.44</v>
      </c>
    </row>
    <row r="1834" spans="1:6">
      <c r="A1834" s="308">
        <v>43190</v>
      </c>
      <c r="B1834" s="309" t="s">
        <v>485</v>
      </c>
      <c r="C1834" s="309" t="s">
        <v>492</v>
      </c>
      <c r="D1834" s="136" t="str">
        <f t="array" ref="D1834">IF(E1834=0,0,(INDEX(AccountCodes[ACCOUNT NAME],MATCH(E1834,AccountCodes[NGAS CODE],0))))</f>
        <v>Taxes, Duties and Licenses</v>
      </c>
      <c r="E1834" s="309" t="s">
        <v>272</v>
      </c>
      <c r="F1834" s="501">
        <v>1998.32</v>
      </c>
    </row>
    <row r="1835" spans="1:6">
      <c r="A1835" s="308">
        <v>43251</v>
      </c>
      <c r="B1835" s="309" t="s">
        <v>485</v>
      </c>
      <c r="C1835" s="309" t="s">
        <v>492</v>
      </c>
      <c r="D1835" s="136" t="str">
        <f t="array" ref="D1835">IF(E1835=0,0,(INDEX(AccountCodes[ACCOUNT NAME],MATCH(E1835,AccountCodes[NGAS CODE],0))))</f>
        <v>Taxes, Duties and Licenses</v>
      </c>
      <c r="E1835" s="309" t="s">
        <v>272</v>
      </c>
      <c r="F1835" s="501">
        <v>4967.8500000000004</v>
      </c>
    </row>
    <row r="1836" spans="1:6">
      <c r="A1836" s="308">
        <v>43312</v>
      </c>
      <c r="B1836" s="309" t="s">
        <v>485</v>
      </c>
      <c r="C1836" s="309" t="s">
        <v>492</v>
      </c>
      <c r="D1836" s="136" t="str">
        <f t="array" ref="D1836">IF(E1836=0,0,(INDEX(AccountCodes[ACCOUNT NAME],MATCH(E1836,AccountCodes[NGAS CODE],0))))</f>
        <v>Taxes, Duties and Licenses</v>
      </c>
      <c r="E1836" s="309" t="s">
        <v>272</v>
      </c>
      <c r="F1836" s="501">
        <v>1031.1600000000001</v>
      </c>
    </row>
    <row r="1837" spans="1:6">
      <c r="A1837" s="308">
        <v>43343</v>
      </c>
      <c r="B1837" s="309" t="s">
        <v>485</v>
      </c>
      <c r="C1837" s="309" t="s">
        <v>492</v>
      </c>
      <c r="D1837" s="136" t="str">
        <f t="array" ref="D1837">IF(E1837=0,0,(INDEX(AccountCodes[ACCOUNT NAME],MATCH(E1837,AccountCodes[NGAS CODE],0))))</f>
        <v>Taxes, Duties and Licenses</v>
      </c>
      <c r="E1837" s="309" t="s">
        <v>272</v>
      </c>
      <c r="F1837" s="501">
        <v>2105.31</v>
      </c>
    </row>
    <row r="1838" spans="1:6">
      <c r="A1838" s="308">
        <v>43373</v>
      </c>
      <c r="B1838" s="309" t="s">
        <v>485</v>
      </c>
      <c r="C1838" s="309" t="s">
        <v>492</v>
      </c>
      <c r="D1838" s="136" t="str">
        <f t="array" ref="D1838">IF(E1838=0,0,(INDEX(AccountCodes[ACCOUNT NAME],MATCH(E1838,AccountCodes[NGAS CODE],0))))</f>
        <v>Taxes, Duties and Licenses</v>
      </c>
      <c r="E1838" s="309" t="s">
        <v>272</v>
      </c>
      <c r="F1838" s="501">
        <v>3226.3</v>
      </c>
    </row>
    <row r="1839" spans="1:6">
      <c r="A1839" s="308">
        <v>43404</v>
      </c>
      <c r="B1839" s="309" t="s">
        <v>485</v>
      </c>
      <c r="C1839" s="309" t="s">
        <v>492</v>
      </c>
      <c r="D1839" s="136" t="str">
        <f t="array" ref="D1839">IF(E1839=0,0,(INDEX(AccountCodes[ACCOUNT NAME],MATCH(E1839,AccountCodes[NGAS CODE],0))))</f>
        <v>Taxes, Duties and Licenses</v>
      </c>
      <c r="E1839" s="309" t="s">
        <v>272</v>
      </c>
      <c r="F1839" s="501">
        <v>2085.14</v>
      </c>
    </row>
    <row r="1840" spans="1:6">
      <c r="A1840" s="308">
        <v>43220</v>
      </c>
      <c r="B1840" s="309" t="s">
        <v>485</v>
      </c>
      <c r="C1840" s="309" t="s">
        <v>492</v>
      </c>
      <c r="D1840" s="136" t="str">
        <f t="array" ref="D1840">IF(E1840=0,0,(INDEX(AccountCodes[ACCOUNT NAME],MATCH(E1840,AccountCodes[NGAS CODE],0))))</f>
        <v>Other Maintenance and Operating Expenses (Irrigator's Share/Remuneration/Subsidy)</v>
      </c>
      <c r="E1840" s="309" t="s">
        <v>333</v>
      </c>
      <c r="F1840" s="501">
        <v>768802.5</v>
      </c>
    </row>
    <row r="1841" spans="1:6">
      <c r="A1841" s="308">
        <v>43251</v>
      </c>
      <c r="B1841" s="309" t="s">
        <v>485</v>
      </c>
      <c r="C1841" s="309" t="s">
        <v>492</v>
      </c>
      <c r="D1841" s="136" t="str">
        <f t="array" ref="D1841">IF(E1841=0,0,(INDEX(AccountCodes[ACCOUNT NAME],MATCH(E1841,AccountCodes[NGAS CODE],0))))</f>
        <v>Other Maintenance and Operating Expenses (Irrigator's Share/Remuneration/Subsidy)</v>
      </c>
      <c r="E1841" s="309" t="s">
        <v>333</v>
      </c>
      <c r="F1841" s="501">
        <v>393168.5</v>
      </c>
    </row>
    <row r="1842" spans="1:6">
      <c r="A1842" s="308">
        <v>43281</v>
      </c>
      <c r="B1842" s="309" t="s">
        <v>485</v>
      </c>
      <c r="C1842" s="309" t="s">
        <v>492</v>
      </c>
      <c r="D1842" s="136" t="str">
        <f t="array" ref="D1842">IF(E1842=0,0,(INDEX(AccountCodes[ACCOUNT NAME],MATCH(E1842,AccountCodes[NGAS CODE],0))))</f>
        <v>Repairs and Maintenance-Infrastructure Assets - Other Infrastructure Assets (Irrigation Canal &amp; Laterals)</v>
      </c>
      <c r="E1842" s="309" t="s">
        <v>267</v>
      </c>
      <c r="F1842" s="501">
        <v>200000</v>
      </c>
    </row>
    <row r="1843" spans="1:6">
      <c r="A1843" s="308">
        <v>43404</v>
      </c>
      <c r="B1843" s="309" t="s">
        <v>485</v>
      </c>
      <c r="C1843" s="309" t="s">
        <v>492</v>
      </c>
      <c r="D1843" s="136" t="str">
        <f t="array" ref="D1843">IF(E1843=0,0,(INDEX(AccountCodes[ACCOUNT NAME],MATCH(E1843,AccountCodes[NGAS CODE],0))))</f>
        <v>Repairs and Maintenance-Infrastructure Assets - Other Infrastructure Assets (Irrigation Canal &amp; Laterals)</v>
      </c>
      <c r="E1843" s="309" t="s">
        <v>267</v>
      </c>
      <c r="F1843" s="501">
        <v>100000</v>
      </c>
    </row>
    <row r="1844" spans="1:6">
      <c r="A1844" s="308"/>
      <c r="D1844" s="136">
        <f t="array" ref="D1844">IF(E1844=0,0,(INDEX(AccountCodes[ACCOUNT NAME],MATCH(E1844,AccountCodes[NGAS CODE],0))))</f>
        <v>0</v>
      </c>
      <c r="E1844" s="309"/>
      <c r="F1844" s="501"/>
    </row>
    <row r="1845" spans="1:6">
      <c r="A1845" s="308">
        <v>43131</v>
      </c>
      <c r="B1845" s="309" t="s">
        <v>485</v>
      </c>
      <c r="C1845" s="309" t="s">
        <v>506</v>
      </c>
      <c r="D1845" s="136" t="str">
        <f t="array" ref="D1845">IF(E1845=0,0,(INDEX(AccountCodes[ACCOUNT NAME],MATCH(E1845,AccountCodes[NGAS CODE],0))))</f>
        <v>Miscellaneous Income (Others)</v>
      </c>
      <c r="E1845" s="309" t="s">
        <v>160</v>
      </c>
      <c r="F1845" s="501">
        <v>126000</v>
      </c>
    </row>
    <row r="1846" spans="1:6">
      <c r="A1846" s="308">
        <v>43159</v>
      </c>
      <c r="B1846" s="309" t="s">
        <v>485</v>
      </c>
      <c r="C1846" s="309" t="s">
        <v>506</v>
      </c>
      <c r="D1846" s="136" t="str">
        <f t="array" ref="D1846">IF(E1846=0,0,(INDEX(AccountCodes[ACCOUNT NAME],MATCH(E1846,AccountCodes[NGAS CODE],0))))</f>
        <v>Miscellaneous Income (Others)</v>
      </c>
      <c r="E1846" s="309" t="s">
        <v>160</v>
      </c>
      <c r="F1846" s="501">
        <v>376000</v>
      </c>
    </row>
    <row r="1847" spans="1:6">
      <c r="A1847" s="308">
        <v>43190</v>
      </c>
      <c r="B1847" s="309" t="s">
        <v>485</v>
      </c>
      <c r="C1847" s="309" t="s">
        <v>506</v>
      </c>
      <c r="D1847" s="136" t="str">
        <f t="array" ref="D1847">IF(E1847=0,0,(INDEX(AccountCodes[ACCOUNT NAME],MATCH(E1847,AccountCodes[NGAS CODE],0))))</f>
        <v>Miscellaneous Income (Others)</v>
      </c>
      <c r="E1847" s="309" t="s">
        <v>160</v>
      </c>
      <c r="F1847" s="501">
        <v>269500</v>
      </c>
    </row>
    <row r="1848" spans="1:6">
      <c r="A1848" s="308">
        <v>43220</v>
      </c>
      <c r="B1848" s="309" t="s">
        <v>485</v>
      </c>
      <c r="C1848" s="309" t="s">
        <v>506</v>
      </c>
      <c r="D1848" s="136" t="str">
        <f t="array" ref="D1848">IF(E1848=0,0,(INDEX(AccountCodes[ACCOUNT NAME],MATCH(E1848,AccountCodes[NGAS CODE],0))))</f>
        <v>Miscellaneous Income (Others)</v>
      </c>
      <c r="E1848" s="309" t="s">
        <v>160</v>
      </c>
      <c r="F1848" s="501">
        <v>165000</v>
      </c>
    </row>
    <row r="1849" spans="1:6">
      <c r="A1849" s="308">
        <v>43251</v>
      </c>
      <c r="B1849" s="309" t="s">
        <v>485</v>
      </c>
      <c r="C1849" s="309" t="s">
        <v>506</v>
      </c>
      <c r="D1849" s="136" t="str">
        <f t="array" ref="D1849">IF(E1849=0,0,(INDEX(AccountCodes[ACCOUNT NAME],MATCH(E1849,AccountCodes[NGAS CODE],0))))</f>
        <v>Miscellaneous Income (Others)</v>
      </c>
      <c r="E1849" s="309" t="s">
        <v>160</v>
      </c>
      <c r="F1849" s="501">
        <v>197000</v>
      </c>
    </row>
    <row r="1850" spans="1:6">
      <c r="A1850" s="308">
        <v>43281</v>
      </c>
      <c r="B1850" s="309" t="s">
        <v>485</v>
      </c>
      <c r="C1850" s="309" t="s">
        <v>506</v>
      </c>
      <c r="D1850" s="136" t="str">
        <f t="array" ref="D1850">IF(E1850=0,0,(INDEX(AccountCodes[ACCOUNT NAME],MATCH(E1850,AccountCodes[NGAS CODE],0))))</f>
        <v>Miscellaneous Income (Others)</v>
      </c>
      <c r="E1850" s="309" t="s">
        <v>160</v>
      </c>
      <c r="F1850" s="501">
        <v>151000</v>
      </c>
    </row>
    <row r="1851" spans="1:6">
      <c r="A1851" s="308">
        <v>43312</v>
      </c>
      <c r="B1851" s="309" t="s">
        <v>485</v>
      </c>
      <c r="C1851" s="309" t="s">
        <v>506</v>
      </c>
      <c r="D1851" s="136" t="str">
        <f t="array" ref="D1851">IF(E1851=0,0,(INDEX(AccountCodes[ACCOUNT NAME],MATCH(E1851,AccountCodes[NGAS CODE],0))))</f>
        <v>Miscellaneous Income (Others)</v>
      </c>
      <c r="E1851" s="309" t="s">
        <v>160</v>
      </c>
      <c r="F1851" s="501">
        <v>129500</v>
      </c>
    </row>
    <row r="1852" spans="1:6">
      <c r="A1852" s="308">
        <v>43343</v>
      </c>
      <c r="B1852" s="309" t="s">
        <v>485</v>
      </c>
      <c r="C1852" s="309" t="s">
        <v>506</v>
      </c>
      <c r="D1852" s="136" t="str">
        <f t="array" ref="D1852">IF(E1852=0,0,(INDEX(AccountCodes[ACCOUNT NAME],MATCH(E1852,AccountCodes[NGAS CODE],0))))</f>
        <v>Miscellaneous Income (Others)</v>
      </c>
      <c r="E1852" s="309" t="s">
        <v>160</v>
      </c>
      <c r="F1852" s="501">
        <v>43000</v>
      </c>
    </row>
    <row r="1853" spans="1:6">
      <c r="A1853" s="308">
        <v>43373</v>
      </c>
      <c r="B1853" s="309" t="s">
        <v>485</v>
      </c>
      <c r="C1853" s="309" t="s">
        <v>506</v>
      </c>
      <c r="D1853" s="136" t="str">
        <f t="array" ref="D1853">IF(E1853=0,0,(INDEX(AccountCodes[ACCOUNT NAME],MATCH(E1853,AccountCodes[NGAS CODE],0))))</f>
        <v>Miscellaneous Income (Others)</v>
      </c>
      <c r="E1853" s="309" t="s">
        <v>160</v>
      </c>
      <c r="F1853" s="501">
        <v>42000</v>
      </c>
    </row>
    <row r="1854" spans="1:6">
      <c r="A1854" s="308">
        <v>43404</v>
      </c>
      <c r="B1854" s="309" t="s">
        <v>485</v>
      </c>
      <c r="C1854" s="309" t="s">
        <v>506</v>
      </c>
      <c r="D1854" s="136" t="str">
        <f t="array" ref="D1854">IF(E1854=0,0,(INDEX(AccountCodes[ACCOUNT NAME],MATCH(E1854,AccountCodes[NGAS CODE],0))))</f>
        <v>Miscellaneous Income (Others)</v>
      </c>
      <c r="E1854" s="309" t="s">
        <v>160</v>
      </c>
      <c r="F1854" s="501">
        <v>45000</v>
      </c>
    </row>
    <row r="1855" spans="1:6">
      <c r="A1855" s="308">
        <v>43434</v>
      </c>
      <c r="B1855" s="309" t="s">
        <v>485</v>
      </c>
      <c r="C1855" s="309" t="s">
        <v>506</v>
      </c>
      <c r="D1855" s="136" t="str">
        <f t="array" ref="D1855">IF(E1855=0,0,(INDEX(AccountCodes[ACCOUNT NAME],MATCH(E1855,AccountCodes[NGAS CODE],0))))</f>
        <v>Miscellaneous Income (Others)</v>
      </c>
      <c r="E1855" s="309" t="s">
        <v>160</v>
      </c>
      <c r="F1855" s="501">
        <v>42000</v>
      </c>
    </row>
    <row r="1856" spans="1:6">
      <c r="A1856" s="308">
        <v>43465</v>
      </c>
      <c r="B1856" s="309" t="s">
        <v>485</v>
      </c>
      <c r="C1856" s="309" t="s">
        <v>506</v>
      </c>
      <c r="D1856" s="136" t="str">
        <f t="array" ref="D1856">IF(E1856=0,0,(INDEX(AccountCodes[ACCOUNT NAME],MATCH(E1856,AccountCodes[NGAS CODE],0))))</f>
        <v>Miscellaneous Income (Others)</v>
      </c>
      <c r="E1856" s="309" t="s">
        <v>160</v>
      </c>
      <c r="F1856" s="501">
        <v>42000</v>
      </c>
    </row>
    <row r="1857" spans="1:6">
      <c r="A1857" s="308">
        <v>43131</v>
      </c>
      <c r="B1857" s="309" t="s">
        <v>485</v>
      </c>
      <c r="C1857" s="309" t="s">
        <v>506</v>
      </c>
      <c r="D1857" s="136" t="str">
        <f t="array" ref="D1857">IF(E1857=0,0,(INDEX(AccountCodes[ACCOUNT NAME],MATCH(E1857,AccountCodes[NGAS CODE],0))))</f>
        <v>Salaries and Wages-Regular</v>
      </c>
      <c r="E1857" s="309" t="s">
        <v>162</v>
      </c>
      <c r="F1857" s="501">
        <v>482591</v>
      </c>
    </row>
    <row r="1858" spans="1:6">
      <c r="A1858" s="308">
        <v>43159</v>
      </c>
      <c r="B1858" s="309" t="s">
        <v>485</v>
      </c>
      <c r="C1858" s="309" t="s">
        <v>506</v>
      </c>
      <c r="D1858" s="136" t="str">
        <f t="array" ref="D1858">IF(E1858=0,0,(INDEX(AccountCodes[ACCOUNT NAME],MATCH(E1858,AccountCodes[NGAS CODE],0))))</f>
        <v>Salaries and Wages-Regular</v>
      </c>
      <c r="E1858" s="309" t="s">
        <v>162</v>
      </c>
      <c r="F1858" s="501">
        <v>482591</v>
      </c>
    </row>
    <row r="1859" spans="1:6">
      <c r="A1859" s="308">
        <v>43190</v>
      </c>
      <c r="B1859" s="309" t="s">
        <v>485</v>
      </c>
      <c r="C1859" s="309" t="s">
        <v>506</v>
      </c>
      <c r="D1859" s="136" t="str">
        <f t="array" ref="D1859">IF(E1859=0,0,(INDEX(AccountCodes[ACCOUNT NAME],MATCH(E1859,AccountCodes[NGAS CODE],0))))</f>
        <v>Salaries and Wages-Regular</v>
      </c>
      <c r="E1859" s="309" t="s">
        <v>162</v>
      </c>
      <c r="F1859" s="501">
        <v>482591</v>
      </c>
    </row>
    <row r="1860" spans="1:6">
      <c r="A1860" s="308">
        <v>43220</v>
      </c>
      <c r="B1860" s="309" t="s">
        <v>485</v>
      </c>
      <c r="C1860" s="309" t="s">
        <v>506</v>
      </c>
      <c r="D1860" s="136" t="str">
        <f t="array" ref="D1860">IF(E1860=0,0,(INDEX(AccountCodes[ACCOUNT NAME],MATCH(E1860,AccountCodes[NGAS CODE],0))))</f>
        <v>Salaries and Wages-Regular</v>
      </c>
      <c r="E1860" s="309" t="s">
        <v>162</v>
      </c>
      <c r="F1860" s="501">
        <v>482591</v>
      </c>
    </row>
    <row r="1861" spans="1:6">
      <c r="A1861" s="308">
        <v>43251</v>
      </c>
      <c r="B1861" s="309" t="s">
        <v>485</v>
      </c>
      <c r="C1861" s="309" t="s">
        <v>506</v>
      </c>
      <c r="D1861" s="136" t="str">
        <f t="array" ref="D1861">IF(E1861=0,0,(INDEX(AccountCodes[ACCOUNT NAME],MATCH(E1861,AccountCodes[NGAS CODE],0))))</f>
        <v>Salaries and Wages-Regular</v>
      </c>
      <c r="E1861" s="309" t="s">
        <v>162</v>
      </c>
      <c r="F1861" s="501">
        <v>482591</v>
      </c>
    </row>
    <row r="1862" spans="1:6">
      <c r="A1862" s="308">
        <v>43281</v>
      </c>
      <c r="B1862" s="309" t="s">
        <v>485</v>
      </c>
      <c r="C1862" s="309" t="s">
        <v>506</v>
      </c>
      <c r="D1862" s="136" t="str">
        <f t="array" ref="D1862">IF(E1862=0,0,(INDEX(AccountCodes[ACCOUNT NAME],MATCH(E1862,AccountCodes[NGAS CODE],0))))</f>
        <v>Salaries and Wages-Regular</v>
      </c>
      <c r="E1862" s="309" t="s">
        <v>162</v>
      </c>
      <c r="F1862" s="501">
        <v>482591</v>
      </c>
    </row>
    <row r="1863" spans="1:6">
      <c r="A1863" s="308">
        <v>43312</v>
      </c>
      <c r="B1863" s="309" t="s">
        <v>485</v>
      </c>
      <c r="C1863" s="309" t="s">
        <v>506</v>
      </c>
      <c r="D1863" s="136" t="str">
        <f t="array" ref="D1863">IF(E1863=0,0,(INDEX(AccountCodes[ACCOUNT NAME],MATCH(E1863,AccountCodes[NGAS CODE],0))))</f>
        <v>Salaries and Wages-Regular</v>
      </c>
      <c r="E1863" s="309" t="s">
        <v>162</v>
      </c>
      <c r="F1863" s="501">
        <v>482591</v>
      </c>
    </row>
    <row r="1864" spans="1:6">
      <c r="A1864" s="308">
        <v>43343</v>
      </c>
      <c r="B1864" s="309" t="s">
        <v>485</v>
      </c>
      <c r="C1864" s="309" t="s">
        <v>506</v>
      </c>
      <c r="D1864" s="136" t="str">
        <f t="array" ref="D1864">IF(E1864=0,0,(INDEX(AccountCodes[ACCOUNT NAME],MATCH(E1864,AccountCodes[NGAS CODE],0))))</f>
        <v>Salaries and Wages-Regular</v>
      </c>
      <c r="E1864" s="309" t="s">
        <v>162</v>
      </c>
      <c r="F1864" s="501">
        <v>482591</v>
      </c>
    </row>
    <row r="1865" spans="1:6">
      <c r="A1865" s="308">
        <v>43373</v>
      </c>
      <c r="B1865" s="309" t="s">
        <v>485</v>
      </c>
      <c r="C1865" s="309" t="s">
        <v>506</v>
      </c>
      <c r="D1865" s="136" t="str">
        <f t="array" ref="D1865">IF(E1865=0,0,(INDEX(AccountCodes[ACCOUNT NAME],MATCH(E1865,AccountCodes[NGAS CODE],0))))</f>
        <v>Salaries and Wages-Regular</v>
      </c>
      <c r="E1865" s="309" t="s">
        <v>162</v>
      </c>
      <c r="F1865" s="501">
        <v>482591</v>
      </c>
    </row>
    <row r="1866" spans="1:6">
      <c r="A1866" s="308">
        <v>43404</v>
      </c>
      <c r="B1866" s="309" t="s">
        <v>485</v>
      </c>
      <c r="C1866" s="309" t="s">
        <v>506</v>
      </c>
      <c r="D1866" s="136" t="str">
        <f t="array" ref="D1866">IF(E1866=0,0,(INDEX(AccountCodes[ACCOUNT NAME],MATCH(E1866,AccountCodes[NGAS CODE],0))))</f>
        <v>Salaries and Wages-Regular</v>
      </c>
      <c r="E1866" s="309" t="s">
        <v>162</v>
      </c>
      <c r="F1866" s="501">
        <v>482591</v>
      </c>
    </row>
    <row r="1867" spans="1:6">
      <c r="A1867" s="308">
        <v>43434</v>
      </c>
      <c r="B1867" s="309" t="s">
        <v>485</v>
      </c>
      <c r="C1867" s="309" t="s">
        <v>506</v>
      </c>
      <c r="D1867" s="136" t="str">
        <f t="array" ref="D1867">IF(E1867=0,0,(INDEX(AccountCodes[ACCOUNT NAME],MATCH(E1867,AccountCodes[NGAS CODE],0))))</f>
        <v>Salaries and Wages-Regular</v>
      </c>
      <c r="E1867" s="309" t="s">
        <v>162</v>
      </c>
      <c r="F1867" s="501">
        <v>482591</v>
      </c>
    </row>
    <row r="1868" spans="1:6">
      <c r="A1868" s="308">
        <v>43465</v>
      </c>
      <c r="B1868" s="309" t="s">
        <v>485</v>
      </c>
      <c r="C1868" s="309" t="s">
        <v>506</v>
      </c>
      <c r="D1868" s="136" t="str">
        <f t="array" ref="D1868">IF(E1868=0,0,(INDEX(AccountCodes[ACCOUNT NAME],MATCH(E1868,AccountCodes[NGAS CODE],0))))</f>
        <v>Salaries and Wages-Regular</v>
      </c>
      <c r="E1868" s="309" t="s">
        <v>162</v>
      </c>
      <c r="F1868" s="501">
        <v>482591</v>
      </c>
    </row>
    <row r="1869" spans="1:6">
      <c r="A1869" s="308">
        <v>43131</v>
      </c>
      <c r="B1869" s="309" t="s">
        <v>485</v>
      </c>
      <c r="C1869" s="309" t="s">
        <v>506</v>
      </c>
      <c r="D1869" s="136" t="str">
        <f t="array" ref="D1869">IF(E1869=0,0,(INDEX(AccountCodes[ACCOUNT NAME],MATCH(E1869,AccountCodes[NGAS CODE],0))))</f>
        <v>Salaries and Wages-Casual/Contractual</v>
      </c>
      <c r="E1869" s="309" t="s">
        <v>163</v>
      </c>
      <c r="F1869" s="501">
        <v>69014</v>
      </c>
    </row>
    <row r="1870" spans="1:6">
      <c r="A1870" s="308">
        <v>43159</v>
      </c>
      <c r="B1870" s="309" t="s">
        <v>485</v>
      </c>
      <c r="C1870" s="309" t="s">
        <v>506</v>
      </c>
      <c r="D1870" s="136" t="str">
        <f t="array" ref="D1870">IF(E1870=0,0,(INDEX(AccountCodes[ACCOUNT NAME],MATCH(E1870,AccountCodes[NGAS CODE],0))))</f>
        <v>Salaries and Wages-Casual/Contractual</v>
      </c>
      <c r="E1870" s="309" t="s">
        <v>163</v>
      </c>
      <c r="F1870" s="501">
        <v>69014</v>
      </c>
    </row>
    <row r="1871" spans="1:6">
      <c r="A1871" s="308">
        <v>43190</v>
      </c>
      <c r="B1871" s="309" t="s">
        <v>485</v>
      </c>
      <c r="C1871" s="309" t="s">
        <v>506</v>
      </c>
      <c r="D1871" s="136" t="str">
        <f t="array" ref="D1871">IF(E1871=0,0,(INDEX(AccountCodes[ACCOUNT NAME],MATCH(E1871,AccountCodes[NGAS CODE],0))))</f>
        <v>Salaries and Wages-Casual/Contractual</v>
      </c>
      <c r="E1871" s="309" t="s">
        <v>163</v>
      </c>
      <c r="F1871" s="501">
        <v>69014</v>
      </c>
    </row>
    <row r="1872" spans="1:6">
      <c r="A1872" s="308">
        <v>43220</v>
      </c>
      <c r="B1872" s="309" t="s">
        <v>485</v>
      </c>
      <c r="C1872" s="309" t="s">
        <v>506</v>
      </c>
      <c r="D1872" s="136" t="str">
        <f t="array" ref="D1872">IF(E1872=0,0,(INDEX(AccountCodes[ACCOUNT NAME],MATCH(E1872,AccountCodes[NGAS CODE],0))))</f>
        <v>Salaries and Wages-Casual/Contractual</v>
      </c>
      <c r="E1872" s="309" t="s">
        <v>163</v>
      </c>
      <c r="F1872" s="501">
        <v>69014</v>
      </c>
    </row>
    <row r="1873" spans="1:6">
      <c r="A1873" s="308">
        <v>43251</v>
      </c>
      <c r="B1873" s="309" t="s">
        <v>485</v>
      </c>
      <c r="C1873" s="309" t="s">
        <v>506</v>
      </c>
      <c r="D1873" s="136" t="str">
        <f t="array" ref="D1873">IF(E1873=0,0,(INDEX(AccountCodes[ACCOUNT NAME],MATCH(E1873,AccountCodes[NGAS CODE],0))))</f>
        <v>Salaries and Wages-Casual/Contractual</v>
      </c>
      <c r="E1873" s="309" t="s">
        <v>163</v>
      </c>
      <c r="F1873" s="501">
        <v>69014</v>
      </c>
    </row>
    <row r="1874" spans="1:6">
      <c r="A1874" s="308">
        <v>43281</v>
      </c>
      <c r="B1874" s="309" t="s">
        <v>485</v>
      </c>
      <c r="C1874" s="309" t="s">
        <v>506</v>
      </c>
      <c r="D1874" s="136" t="str">
        <f t="array" ref="D1874">IF(E1874=0,0,(INDEX(AccountCodes[ACCOUNT NAME],MATCH(E1874,AccountCodes[NGAS CODE],0))))</f>
        <v>Salaries and Wages-Casual/Contractual</v>
      </c>
      <c r="E1874" s="309" t="s">
        <v>163</v>
      </c>
      <c r="F1874" s="501">
        <v>69014</v>
      </c>
    </row>
    <row r="1875" spans="1:6">
      <c r="A1875" s="308">
        <v>43312</v>
      </c>
      <c r="B1875" s="309" t="s">
        <v>485</v>
      </c>
      <c r="C1875" s="309" t="s">
        <v>506</v>
      </c>
      <c r="D1875" s="136" t="str">
        <f t="array" ref="D1875">IF(E1875=0,0,(INDEX(AccountCodes[ACCOUNT NAME],MATCH(E1875,AccountCodes[NGAS CODE],0))))</f>
        <v>Salaries and Wages-Casual/Contractual</v>
      </c>
      <c r="E1875" s="309" t="s">
        <v>163</v>
      </c>
      <c r="F1875" s="501">
        <v>69014</v>
      </c>
    </row>
    <row r="1876" spans="1:6">
      <c r="A1876" s="308">
        <v>43343</v>
      </c>
      <c r="B1876" s="309" t="s">
        <v>485</v>
      </c>
      <c r="C1876" s="309" t="s">
        <v>506</v>
      </c>
      <c r="D1876" s="136" t="str">
        <f t="array" ref="D1876">IF(E1876=0,0,(INDEX(AccountCodes[ACCOUNT NAME],MATCH(E1876,AccountCodes[NGAS CODE],0))))</f>
        <v>Salaries and Wages-Casual/Contractual</v>
      </c>
      <c r="E1876" s="309" t="s">
        <v>163</v>
      </c>
      <c r="F1876" s="501">
        <v>69014</v>
      </c>
    </row>
    <row r="1877" spans="1:6">
      <c r="A1877" s="308">
        <v>43373</v>
      </c>
      <c r="B1877" s="309" t="s">
        <v>485</v>
      </c>
      <c r="C1877" s="309" t="s">
        <v>506</v>
      </c>
      <c r="D1877" s="136" t="str">
        <f t="array" ref="D1877">IF(E1877=0,0,(INDEX(AccountCodes[ACCOUNT NAME],MATCH(E1877,AccountCodes[NGAS CODE],0))))</f>
        <v>Salaries and Wages-Casual/Contractual</v>
      </c>
      <c r="E1877" s="309" t="s">
        <v>163</v>
      </c>
      <c r="F1877" s="501">
        <v>69014</v>
      </c>
    </row>
    <row r="1878" spans="1:6">
      <c r="A1878" s="308">
        <v>43404</v>
      </c>
      <c r="B1878" s="309" t="s">
        <v>485</v>
      </c>
      <c r="C1878" s="309" t="s">
        <v>506</v>
      </c>
      <c r="D1878" s="136" t="str">
        <f t="array" ref="D1878">IF(E1878=0,0,(INDEX(AccountCodes[ACCOUNT NAME],MATCH(E1878,AccountCodes[NGAS CODE],0))))</f>
        <v>Salaries and Wages-Casual/Contractual</v>
      </c>
      <c r="E1878" s="309" t="s">
        <v>163</v>
      </c>
      <c r="F1878" s="501">
        <v>69014</v>
      </c>
    </row>
    <row r="1879" spans="1:6">
      <c r="A1879" s="308">
        <v>43434</v>
      </c>
      <c r="B1879" s="309" t="s">
        <v>485</v>
      </c>
      <c r="C1879" s="309" t="s">
        <v>506</v>
      </c>
      <c r="D1879" s="136" t="str">
        <f t="array" ref="D1879">IF(E1879=0,0,(INDEX(AccountCodes[ACCOUNT NAME],MATCH(E1879,AccountCodes[NGAS CODE],0))))</f>
        <v>Salaries and Wages-Casual/Contractual</v>
      </c>
      <c r="E1879" s="309" t="s">
        <v>163</v>
      </c>
      <c r="F1879" s="501">
        <v>69014</v>
      </c>
    </row>
    <row r="1880" spans="1:6">
      <c r="A1880" s="308">
        <v>43465</v>
      </c>
      <c r="B1880" s="309" t="s">
        <v>485</v>
      </c>
      <c r="C1880" s="309" t="s">
        <v>506</v>
      </c>
      <c r="D1880" s="136" t="str">
        <f t="array" ref="D1880">IF(E1880=0,0,(INDEX(AccountCodes[ACCOUNT NAME],MATCH(E1880,AccountCodes[NGAS CODE],0))))</f>
        <v>Salaries and Wages-Casual/Contractual</v>
      </c>
      <c r="E1880" s="309" t="s">
        <v>163</v>
      </c>
      <c r="F1880" s="501">
        <v>69014</v>
      </c>
    </row>
    <row r="1881" spans="1:6">
      <c r="A1881" s="308">
        <v>43131</v>
      </c>
      <c r="B1881" s="309" t="s">
        <v>485</v>
      </c>
      <c r="C1881" s="309" t="s">
        <v>506</v>
      </c>
      <c r="D1881" s="136" t="str">
        <f t="array" ref="D1881">IF(E1881=0,0,(INDEX(AccountCodes[ACCOUNT NAME],MATCH(E1881,AccountCodes[NGAS CODE],0))))</f>
        <v>Representation Allowance (RA)</v>
      </c>
      <c r="E1881" s="309" t="s">
        <v>165</v>
      </c>
      <c r="F1881" s="501">
        <v>10000</v>
      </c>
    </row>
    <row r="1882" spans="1:6">
      <c r="A1882" s="308">
        <v>43159</v>
      </c>
      <c r="B1882" s="309" t="s">
        <v>485</v>
      </c>
      <c r="C1882" s="309" t="s">
        <v>506</v>
      </c>
      <c r="D1882" s="136" t="str">
        <f t="array" ref="D1882">IF(E1882=0,0,(INDEX(AccountCodes[ACCOUNT NAME],MATCH(E1882,AccountCodes[NGAS CODE],0))))</f>
        <v>Representation Allowance (RA)</v>
      </c>
      <c r="E1882" s="309" t="s">
        <v>165</v>
      </c>
      <c r="F1882" s="501">
        <v>10000</v>
      </c>
    </row>
    <row r="1883" spans="1:6">
      <c r="A1883" s="308">
        <v>43190</v>
      </c>
      <c r="B1883" s="309" t="s">
        <v>485</v>
      </c>
      <c r="C1883" s="309" t="s">
        <v>506</v>
      </c>
      <c r="D1883" s="136" t="str">
        <f t="array" ref="D1883">IF(E1883=0,0,(INDEX(AccountCodes[ACCOUNT NAME],MATCH(E1883,AccountCodes[NGAS CODE],0))))</f>
        <v>Representation Allowance (RA)</v>
      </c>
      <c r="E1883" s="309" t="s">
        <v>165</v>
      </c>
      <c r="F1883" s="501">
        <v>10000</v>
      </c>
    </row>
    <row r="1884" spans="1:6">
      <c r="A1884" s="308">
        <v>43220</v>
      </c>
      <c r="B1884" s="309" t="s">
        <v>485</v>
      </c>
      <c r="C1884" s="309" t="s">
        <v>506</v>
      </c>
      <c r="D1884" s="136" t="str">
        <f t="array" ref="D1884">IF(E1884=0,0,(INDEX(AccountCodes[ACCOUNT NAME],MATCH(E1884,AccountCodes[NGAS CODE],0))))</f>
        <v>Representation Allowance (RA)</v>
      </c>
      <c r="E1884" s="309" t="s">
        <v>165</v>
      </c>
      <c r="F1884" s="501">
        <v>10000</v>
      </c>
    </row>
    <row r="1885" spans="1:6">
      <c r="A1885" s="308">
        <v>43251</v>
      </c>
      <c r="B1885" s="309" t="s">
        <v>485</v>
      </c>
      <c r="C1885" s="309" t="s">
        <v>506</v>
      </c>
      <c r="D1885" s="136" t="str">
        <f t="array" ref="D1885">IF(E1885=0,0,(INDEX(AccountCodes[ACCOUNT NAME],MATCH(E1885,AccountCodes[NGAS CODE],0))))</f>
        <v>Representation Allowance (RA)</v>
      </c>
      <c r="E1885" s="309" t="s">
        <v>165</v>
      </c>
      <c r="F1885" s="501">
        <v>10000</v>
      </c>
    </row>
    <row r="1886" spans="1:6">
      <c r="A1886" s="308">
        <v>43281</v>
      </c>
      <c r="B1886" s="309" t="s">
        <v>485</v>
      </c>
      <c r="C1886" s="309" t="s">
        <v>506</v>
      </c>
      <c r="D1886" s="136" t="str">
        <f t="array" ref="D1886">IF(E1886=0,0,(INDEX(AccountCodes[ACCOUNT NAME],MATCH(E1886,AccountCodes[NGAS CODE],0))))</f>
        <v>Representation Allowance (RA)</v>
      </c>
      <c r="E1886" s="309" t="s">
        <v>165</v>
      </c>
      <c r="F1886" s="501">
        <v>10000</v>
      </c>
    </row>
    <row r="1887" spans="1:6">
      <c r="A1887" s="308">
        <v>43312</v>
      </c>
      <c r="B1887" s="309" t="s">
        <v>485</v>
      </c>
      <c r="C1887" s="309" t="s">
        <v>506</v>
      </c>
      <c r="D1887" s="136" t="str">
        <f t="array" ref="D1887">IF(E1887=0,0,(INDEX(AccountCodes[ACCOUNT NAME],MATCH(E1887,AccountCodes[NGAS CODE],0))))</f>
        <v>Representation Allowance (RA)</v>
      </c>
      <c r="E1887" s="309" t="s">
        <v>165</v>
      </c>
      <c r="F1887" s="501">
        <v>10000</v>
      </c>
    </row>
    <row r="1888" spans="1:6">
      <c r="A1888" s="308">
        <v>43343</v>
      </c>
      <c r="B1888" s="309" t="s">
        <v>485</v>
      </c>
      <c r="C1888" s="309" t="s">
        <v>506</v>
      </c>
      <c r="D1888" s="136" t="str">
        <f t="array" ref="D1888">IF(E1888=0,0,(INDEX(AccountCodes[ACCOUNT NAME],MATCH(E1888,AccountCodes[NGAS CODE],0))))</f>
        <v>Representation Allowance (RA)</v>
      </c>
      <c r="E1888" s="309" t="s">
        <v>165</v>
      </c>
      <c r="F1888" s="501">
        <v>10000</v>
      </c>
    </row>
    <row r="1889" spans="1:6">
      <c r="A1889" s="308">
        <v>43373</v>
      </c>
      <c r="B1889" s="309" t="s">
        <v>485</v>
      </c>
      <c r="C1889" s="309" t="s">
        <v>506</v>
      </c>
      <c r="D1889" s="136" t="str">
        <f t="array" ref="D1889">IF(E1889=0,0,(INDEX(AccountCodes[ACCOUNT NAME],MATCH(E1889,AccountCodes[NGAS CODE],0))))</f>
        <v>Representation Allowance (RA)</v>
      </c>
      <c r="E1889" s="309" t="s">
        <v>165</v>
      </c>
      <c r="F1889" s="501">
        <v>10000</v>
      </c>
    </row>
    <row r="1890" spans="1:6">
      <c r="A1890" s="308">
        <v>43404</v>
      </c>
      <c r="B1890" s="309" t="s">
        <v>485</v>
      </c>
      <c r="C1890" s="309" t="s">
        <v>506</v>
      </c>
      <c r="D1890" s="136" t="str">
        <f t="array" ref="D1890">IF(E1890=0,0,(INDEX(AccountCodes[ACCOUNT NAME],MATCH(E1890,AccountCodes[NGAS CODE],0))))</f>
        <v>Representation Allowance (RA)</v>
      </c>
      <c r="E1890" s="309" t="s">
        <v>165</v>
      </c>
      <c r="F1890" s="501">
        <v>10000</v>
      </c>
    </row>
    <row r="1891" spans="1:6">
      <c r="A1891" s="308">
        <v>43434</v>
      </c>
      <c r="B1891" s="309" t="s">
        <v>485</v>
      </c>
      <c r="C1891" s="309" t="s">
        <v>506</v>
      </c>
      <c r="D1891" s="136" t="str">
        <f t="array" ref="D1891">IF(E1891=0,0,(INDEX(AccountCodes[ACCOUNT NAME],MATCH(E1891,AccountCodes[NGAS CODE],0))))</f>
        <v>Representation Allowance (RA)</v>
      </c>
      <c r="E1891" s="309" t="s">
        <v>165</v>
      </c>
      <c r="F1891" s="501">
        <v>10000</v>
      </c>
    </row>
    <row r="1892" spans="1:6">
      <c r="A1892" s="308">
        <v>43465</v>
      </c>
      <c r="B1892" s="309" t="s">
        <v>485</v>
      </c>
      <c r="C1892" s="309" t="s">
        <v>506</v>
      </c>
      <c r="D1892" s="136" t="str">
        <f t="array" ref="D1892">IF(E1892=0,0,(INDEX(AccountCodes[ACCOUNT NAME],MATCH(E1892,AccountCodes[NGAS CODE],0))))</f>
        <v>Representation Allowance (RA)</v>
      </c>
      <c r="E1892" s="309" t="s">
        <v>165</v>
      </c>
      <c r="F1892" s="501">
        <v>10000</v>
      </c>
    </row>
    <row r="1893" spans="1:6">
      <c r="A1893" s="308">
        <v>43131</v>
      </c>
      <c r="B1893" s="309" t="s">
        <v>485</v>
      </c>
      <c r="C1893" s="309" t="s">
        <v>506</v>
      </c>
      <c r="D1893" s="136" t="str">
        <f t="array" ref="D1893">IF(E1893=0,0,(INDEX(AccountCodes[ACCOUNT NAME],MATCH(E1893,AccountCodes[NGAS CODE],0))))</f>
        <v>Personal Economic Relief Allowance (PERA)</v>
      </c>
      <c r="E1893" s="309" t="s">
        <v>164</v>
      </c>
      <c r="F1893" s="501">
        <v>48000</v>
      </c>
    </row>
    <row r="1894" spans="1:6">
      <c r="A1894" s="308">
        <v>43159</v>
      </c>
      <c r="B1894" s="309" t="s">
        <v>485</v>
      </c>
      <c r="C1894" s="309" t="s">
        <v>506</v>
      </c>
      <c r="D1894" s="136" t="str">
        <f t="array" ref="D1894">IF(E1894=0,0,(INDEX(AccountCodes[ACCOUNT NAME],MATCH(E1894,AccountCodes[NGAS CODE],0))))</f>
        <v>Personal Economic Relief Allowance (PERA)</v>
      </c>
      <c r="E1894" s="309" t="s">
        <v>164</v>
      </c>
      <c r="F1894" s="501">
        <v>48000</v>
      </c>
    </row>
    <row r="1895" spans="1:6">
      <c r="A1895" s="308">
        <v>43190</v>
      </c>
      <c r="B1895" s="309" t="s">
        <v>485</v>
      </c>
      <c r="C1895" s="309" t="s">
        <v>506</v>
      </c>
      <c r="D1895" s="136" t="str">
        <f t="array" ref="D1895">IF(E1895=0,0,(INDEX(AccountCodes[ACCOUNT NAME],MATCH(E1895,AccountCodes[NGAS CODE],0))))</f>
        <v>Personal Economic Relief Allowance (PERA)</v>
      </c>
      <c r="E1895" s="309" t="s">
        <v>164</v>
      </c>
      <c r="F1895" s="501">
        <v>48000</v>
      </c>
    </row>
    <row r="1896" spans="1:6">
      <c r="A1896" s="308">
        <v>43220</v>
      </c>
      <c r="B1896" s="309" t="s">
        <v>485</v>
      </c>
      <c r="C1896" s="309" t="s">
        <v>506</v>
      </c>
      <c r="D1896" s="136" t="str">
        <f t="array" ref="D1896">IF(E1896=0,0,(INDEX(AccountCodes[ACCOUNT NAME],MATCH(E1896,AccountCodes[NGAS CODE],0))))</f>
        <v>Personal Economic Relief Allowance (PERA)</v>
      </c>
      <c r="E1896" s="309" t="s">
        <v>164</v>
      </c>
      <c r="F1896" s="501">
        <v>48000</v>
      </c>
    </row>
    <row r="1897" spans="1:6">
      <c r="A1897" s="308">
        <v>43251</v>
      </c>
      <c r="B1897" s="309" t="s">
        <v>485</v>
      </c>
      <c r="C1897" s="309" t="s">
        <v>506</v>
      </c>
      <c r="D1897" s="136" t="str">
        <f t="array" ref="D1897">IF(E1897=0,0,(INDEX(AccountCodes[ACCOUNT NAME],MATCH(E1897,AccountCodes[NGAS CODE],0))))</f>
        <v>Personal Economic Relief Allowance (PERA)</v>
      </c>
      <c r="E1897" s="309" t="s">
        <v>164</v>
      </c>
      <c r="F1897" s="501">
        <v>48000</v>
      </c>
    </row>
    <row r="1898" spans="1:6">
      <c r="A1898" s="308">
        <v>43281</v>
      </c>
      <c r="B1898" s="309" t="s">
        <v>485</v>
      </c>
      <c r="C1898" s="309" t="s">
        <v>506</v>
      </c>
      <c r="D1898" s="136" t="str">
        <f t="array" ref="D1898">IF(E1898=0,0,(INDEX(AccountCodes[ACCOUNT NAME],MATCH(E1898,AccountCodes[NGAS CODE],0))))</f>
        <v>Personal Economic Relief Allowance (PERA)</v>
      </c>
      <c r="E1898" s="309" t="s">
        <v>164</v>
      </c>
      <c r="F1898" s="501">
        <v>48000</v>
      </c>
    </row>
    <row r="1899" spans="1:6">
      <c r="A1899" s="308">
        <v>43312</v>
      </c>
      <c r="B1899" s="309" t="s">
        <v>485</v>
      </c>
      <c r="C1899" s="309" t="s">
        <v>506</v>
      </c>
      <c r="D1899" s="136" t="str">
        <f t="array" ref="D1899">IF(E1899=0,0,(INDEX(AccountCodes[ACCOUNT NAME],MATCH(E1899,AccountCodes[NGAS CODE],0))))</f>
        <v>Personal Economic Relief Allowance (PERA)</v>
      </c>
      <c r="E1899" s="309" t="s">
        <v>164</v>
      </c>
      <c r="F1899" s="501">
        <v>48000</v>
      </c>
    </row>
    <row r="1900" spans="1:6">
      <c r="A1900" s="308">
        <v>43343</v>
      </c>
      <c r="B1900" s="309" t="s">
        <v>485</v>
      </c>
      <c r="C1900" s="309" t="s">
        <v>506</v>
      </c>
      <c r="D1900" s="136" t="str">
        <f t="array" ref="D1900">IF(E1900=0,0,(INDEX(AccountCodes[ACCOUNT NAME],MATCH(E1900,AccountCodes[NGAS CODE],0))))</f>
        <v>Personal Economic Relief Allowance (PERA)</v>
      </c>
      <c r="E1900" s="309" t="s">
        <v>164</v>
      </c>
      <c r="F1900" s="501">
        <v>48000</v>
      </c>
    </row>
    <row r="1901" spans="1:6">
      <c r="A1901" s="308">
        <v>43373</v>
      </c>
      <c r="B1901" s="309" t="s">
        <v>485</v>
      </c>
      <c r="C1901" s="309" t="s">
        <v>506</v>
      </c>
      <c r="D1901" s="136" t="str">
        <f t="array" ref="D1901">IF(E1901=0,0,(INDEX(AccountCodes[ACCOUNT NAME],MATCH(E1901,AccountCodes[NGAS CODE],0))))</f>
        <v>Personal Economic Relief Allowance (PERA)</v>
      </c>
      <c r="E1901" s="309" t="s">
        <v>164</v>
      </c>
      <c r="F1901" s="501">
        <v>48000</v>
      </c>
    </row>
    <row r="1902" spans="1:6">
      <c r="A1902" s="308">
        <v>43404</v>
      </c>
      <c r="B1902" s="309" t="s">
        <v>485</v>
      </c>
      <c r="C1902" s="309" t="s">
        <v>506</v>
      </c>
      <c r="D1902" s="136" t="str">
        <f t="array" ref="D1902">IF(E1902=0,0,(INDEX(AccountCodes[ACCOUNT NAME],MATCH(E1902,AccountCodes[NGAS CODE],0))))</f>
        <v>Personal Economic Relief Allowance (PERA)</v>
      </c>
      <c r="E1902" s="309" t="s">
        <v>164</v>
      </c>
      <c r="F1902" s="501">
        <v>48000</v>
      </c>
    </row>
    <row r="1903" spans="1:6">
      <c r="A1903" s="308">
        <v>43434</v>
      </c>
      <c r="B1903" s="309" t="s">
        <v>485</v>
      </c>
      <c r="C1903" s="309" t="s">
        <v>506</v>
      </c>
      <c r="D1903" s="136" t="str">
        <f t="array" ref="D1903">IF(E1903=0,0,(INDEX(AccountCodes[ACCOUNT NAME],MATCH(E1903,AccountCodes[NGAS CODE],0))))</f>
        <v>Personal Economic Relief Allowance (PERA)</v>
      </c>
      <c r="E1903" s="309" t="s">
        <v>164</v>
      </c>
      <c r="F1903" s="501">
        <v>48000</v>
      </c>
    </row>
    <row r="1904" spans="1:6">
      <c r="A1904" s="308">
        <v>43465</v>
      </c>
      <c r="B1904" s="309" t="s">
        <v>485</v>
      </c>
      <c r="C1904" s="309" t="s">
        <v>506</v>
      </c>
      <c r="D1904" s="136" t="str">
        <f t="array" ref="D1904">IF(E1904=0,0,(INDEX(AccountCodes[ACCOUNT NAME],MATCH(E1904,AccountCodes[NGAS CODE],0))))</f>
        <v>Personal Economic Relief Allowance (PERA)</v>
      </c>
      <c r="E1904" s="309" t="s">
        <v>164</v>
      </c>
      <c r="F1904" s="501">
        <v>48000</v>
      </c>
    </row>
    <row r="1905" spans="1:6">
      <c r="A1905" s="308">
        <v>43190</v>
      </c>
      <c r="B1905" s="309" t="s">
        <v>485</v>
      </c>
      <c r="C1905" s="309" t="s">
        <v>506</v>
      </c>
      <c r="D1905" s="136" t="str">
        <f t="array" ref="D1905">IF(E1905=0,0,(INDEX(AccountCodes[ACCOUNT NAME],MATCH(E1905,AccountCodes[NGAS CODE],0))))</f>
        <v>Clothing/Uniform Allowance</v>
      </c>
      <c r="E1905" s="309" t="s">
        <v>167</v>
      </c>
      <c r="F1905" s="501">
        <v>133000</v>
      </c>
    </row>
    <row r="1906" spans="1:6">
      <c r="A1906" s="308">
        <v>43434</v>
      </c>
      <c r="B1906" s="309" t="s">
        <v>485</v>
      </c>
      <c r="C1906" s="309" t="s">
        <v>506</v>
      </c>
      <c r="D1906" s="136" t="str">
        <f t="array" ref="D1906">IF(E1906=0,0,(INDEX(AccountCodes[ACCOUNT NAME],MATCH(E1906,AccountCodes[NGAS CODE],0))))</f>
        <v>Cash Gift</v>
      </c>
      <c r="E1906" s="309" t="s">
        <v>172</v>
      </c>
      <c r="F1906" s="501">
        <v>120000</v>
      </c>
    </row>
    <row r="1907" spans="1:6">
      <c r="A1907" s="308">
        <v>43251</v>
      </c>
      <c r="B1907" s="309" t="s">
        <v>485</v>
      </c>
      <c r="C1907" s="309" t="s">
        <v>506</v>
      </c>
      <c r="D1907" s="136" t="str">
        <f t="array" ref="D1907">IF(E1907=0,0,(INDEX(AccountCodes[ACCOUNT NAME],MATCH(E1907,AccountCodes[NGAS CODE],0))))</f>
        <v>Mid-Year/Year End Bonus</v>
      </c>
      <c r="E1907" s="309" t="s">
        <v>174</v>
      </c>
      <c r="F1907" s="501">
        <v>551605</v>
      </c>
    </row>
    <row r="1908" spans="1:6">
      <c r="A1908" s="308">
        <v>43434</v>
      </c>
      <c r="B1908" s="309" t="s">
        <v>485</v>
      </c>
      <c r="C1908" s="309" t="s">
        <v>506</v>
      </c>
      <c r="D1908" s="136" t="str">
        <f t="array" ref="D1908">IF(E1908=0,0,(INDEX(AccountCodes[ACCOUNT NAME],MATCH(E1908,AccountCodes[NGAS CODE],0))))</f>
        <v>Mid-Year/Year End Bonus</v>
      </c>
      <c r="E1908" s="309" t="s">
        <v>174</v>
      </c>
      <c r="F1908" s="501">
        <v>551605</v>
      </c>
    </row>
    <row r="1909" spans="1:6">
      <c r="A1909" s="308">
        <v>43131</v>
      </c>
      <c r="B1909" s="309" t="s">
        <v>485</v>
      </c>
      <c r="C1909" s="309" t="s">
        <v>506</v>
      </c>
      <c r="D1909" s="136" t="str">
        <f t="array" ref="D1909">IF(E1909=0,0,(INDEX(AccountCodes[ACCOUNT NAME],MATCH(E1909,AccountCodes[NGAS CODE],0))))</f>
        <v>Other Bonuses and Allowances - Children Allowance</v>
      </c>
      <c r="E1909" s="309" t="s">
        <v>7</v>
      </c>
      <c r="F1909" s="501">
        <v>150</v>
      </c>
    </row>
    <row r="1910" spans="1:6">
      <c r="A1910" s="308">
        <v>43159</v>
      </c>
      <c r="B1910" s="309" t="s">
        <v>485</v>
      </c>
      <c r="C1910" s="309" t="s">
        <v>506</v>
      </c>
      <c r="D1910" s="136" t="str">
        <f t="array" ref="D1910">IF(E1910=0,0,(INDEX(AccountCodes[ACCOUNT NAME],MATCH(E1910,AccountCodes[NGAS CODE],0))))</f>
        <v>Other Bonuses and Allowances - Children Allowance</v>
      </c>
      <c r="E1910" s="309" t="s">
        <v>7</v>
      </c>
      <c r="F1910" s="501">
        <v>150</v>
      </c>
    </row>
    <row r="1911" spans="1:6">
      <c r="A1911" s="308">
        <v>43190</v>
      </c>
      <c r="B1911" s="309" t="s">
        <v>485</v>
      </c>
      <c r="C1911" s="309" t="s">
        <v>506</v>
      </c>
      <c r="D1911" s="136" t="str">
        <f t="array" ref="D1911">IF(E1911=0,0,(INDEX(AccountCodes[ACCOUNT NAME],MATCH(E1911,AccountCodes[NGAS CODE],0))))</f>
        <v>Other Bonuses and Allowances - Children Allowance</v>
      </c>
      <c r="E1911" s="309" t="s">
        <v>7</v>
      </c>
      <c r="F1911" s="501">
        <v>150</v>
      </c>
    </row>
    <row r="1912" spans="1:6">
      <c r="A1912" s="308">
        <v>43220</v>
      </c>
      <c r="B1912" s="309" t="s">
        <v>485</v>
      </c>
      <c r="C1912" s="309" t="s">
        <v>506</v>
      </c>
      <c r="D1912" s="136" t="str">
        <f t="array" ref="D1912">IF(E1912=0,0,(INDEX(AccountCodes[ACCOUNT NAME],MATCH(E1912,AccountCodes[NGAS CODE],0))))</f>
        <v>Other Bonuses and Allowances - Children Allowance</v>
      </c>
      <c r="E1912" s="309" t="s">
        <v>7</v>
      </c>
      <c r="F1912" s="501">
        <v>150</v>
      </c>
    </row>
    <row r="1913" spans="1:6">
      <c r="A1913" s="308">
        <v>43251</v>
      </c>
      <c r="B1913" s="309" t="s">
        <v>485</v>
      </c>
      <c r="C1913" s="309" t="s">
        <v>506</v>
      </c>
      <c r="D1913" s="136" t="str">
        <f t="array" ref="D1913">IF(E1913=0,0,(INDEX(AccountCodes[ACCOUNT NAME],MATCH(E1913,AccountCodes[NGAS CODE],0))))</f>
        <v>Other Bonuses and Allowances - Children Allowance</v>
      </c>
      <c r="E1913" s="309" t="s">
        <v>7</v>
      </c>
      <c r="F1913" s="501">
        <v>150</v>
      </c>
    </row>
    <row r="1914" spans="1:6">
      <c r="A1914" s="308">
        <v>43281</v>
      </c>
      <c r="B1914" s="309" t="s">
        <v>485</v>
      </c>
      <c r="C1914" s="309" t="s">
        <v>506</v>
      </c>
      <c r="D1914" s="136" t="str">
        <f t="array" ref="D1914">IF(E1914=0,0,(INDEX(AccountCodes[ACCOUNT NAME],MATCH(E1914,AccountCodes[NGAS CODE],0))))</f>
        <v>Other Bonuses and Allowances - Children Allowance</v>
      </c>
      <c r="E1914" s="309" t="s">
        <v>7</v>
      </c>
      <c r="F1914" s="501">
        <v>150</v>
      </c>
    </row>
    <row r="1915" spans="1:6">
      <c r="A1915" s="308">
        <v>43312</v>
      </c>
      <c r="B1915" s="309" t="s">
        <v>485</v>
      </c>
      <c r="C1915" s="309" t="s">
        <v>506</v>
      </c>
      <c r="D1915" s="136" t="str">
        <f t="array" ref="D1915">IF(E1915=0,0,(INDEX(AccountCodes[ACCOUNT NAME],MATCH(E1915,AccountCodes[NGAS CODE],0))))</f>
        <v>Other Bonuses and Allowances - Children Allowance</v>
      </c>
      <c r="E1915" s="309" t="s">
        <v>7</v>
      </c>
      <c r="F1915" s="501">
        <v>150</v>
      </c>
    </row>
    <row r="1916" spans="1:6">
      <c r="A1916" s="308">
        <v>43343</v>
      </c>
      <c r="B1916" s="309" t="s">
        <v>485</v>
      </c>
      <c r="C1916" s="309" t="s">
        <v>506</v>
      </c>
      <c r="D1916" s="136" t="str">
        <f t="array" ref="D1916">IF(E1916=0,0,(INDEX(AccountCodes[ACCOUNT NAME],MATCH(E1916,AccountCodes[NGAS CODE],0))))</f>
        <v>Other Bonuses and Allowances - Children Allowance</v>
      </c>
      <c r="E1916" s="309" t="s">
        <v>7</v>
      </c>
      <c r="F1916" s="501">
        <v>150</v>
      </c>
    </row>
    <row r="1917" spans="1:6">
      <c r="A1917" s="308">
        <v>43373</v>
      </c>
      <c r="B1917" s="309" t="s">
        <v>485</v>
      </c>
      <c r="C1917" s="309" t="s">
        <v>506</v>
      </c>
      <c r="D1917" s="136" t="str">
        <f t="array" ref="D1917">IF(E1917=0,0,(INDEX(AccountCodes[ACCOUNT NAME],MATCH(E1917,AccountCodes[NGAS CODE],0))))</f>
        <v>Other Bonuses and Allowances - Children Allowance</v>
      </c>
      <c r="E1917" s="309" t="s">
        <v>7</v>
      </c>
      <c r="F1917" s="501">
        <v>150</v>
      </c>
    </row>
    <row r="1918" spans="1:6">
      <c r="A1918" s="308">
        <v>43404</v>
      </c>
      <c r="B1918" s="309" t="s">
        <v>485</v>
      </c>
      <c r="C1918" s="309" t="s">
        <v>506</v>
      </c>
      <c r="D1918" s="136" t="str">
        <f t="array" ref="D1918">IF(E1918=0,0,(INDEX(AccountCodes[ACCOUNT NAME],MATCH(E1918,AccountCodes[NGAS CODE],0))))</f>
        <v>Other Bonuses and Allowances - Children Allowance</v>
      </c>
      <c r="E1918" s="309" t="s">
        <v>7</v>
      </c>
      <c r="F1918" s="501">
        <v>150</v>
      </c>
    </row>
    <row r="1919" spans="1:6">
      <c r="A1919" s="308">
        <v>43434</v>
      </c>
      <c r="B1919" s="309" t="s">
        <v>485</v>
      </c>
      <c r="C1919" s="309" t="s">
        <v>506</v>
      </c>
      <c r="D1919" s="136" t="str">
        <f t="array" ref="D1919">IF(E1919=0,0,(INDEX(AccountCodes[ACCOUNT NAME],MATCH(E1919,AccountCodes[NGAS CODE],0))))</f>
        <v>Other Bonuses and Allowances - Children Allowance</v>
      </c>
      <c r="E1919" s="309" t="s">
        <v>7</v>
      </c>
      <c r="F1919" s="501">
        <v>150</v>
      </c>
    </row>
    <row r="1920" spans="1:6">
      <c r="A1920" s="308">
        <v>43465</v>
      </c>
      <c r="B1920" s="309" t="s">
        <v>485</v>
      </c>
      <c r="C1920" s="309" t="s">
        <v>506</v>
      </c>
      <c r="D1920" s="136" t="str">
        <f t="array" ref="D1920">IF(E1920=0,0,(INDEX(AccountCodes[ACCOUNT NAME],MATCH(E1920,AccountCodes[NGAS CODE],0))))</f>
        <v>Other Bonuses and Allowances - Children Allowance</v>
      </c>
      <c r="E1920" s="309" t="s">
        <v>7</v>
      </c>
      <c r="F1920" s="501">
        <v>150</v>
      </c>
    </row>
    <row r="1921" spans="1:6">
      <c r="A1921" s="308">
        <v>43131</v>
      </c>
      <c r="B1921" s="309" t="s">
        <v>485</v>
      </c>
      <c r="C1921" s="309" t="s">
        <v>506</v>
      </c>
      <c r="D1921" s="136" t="str">
        <f t="array" ref="D1921">IF(E1921=0,0,(INDEX(AccountCodes[ACCOUNT NAME],MATCH(E1921,AccountCodes[NGAS CODE],0))))</f>
        <v>Other Bonuses and Allowances - Medical Allowance</v>
      </c>
      <c r="E1921" s="309" t="s">
        <v>5</v>
      </c>
      <c r="F1921" s="501">
        <v>1800</v>
      </c>
    </row>
    <row r="1922" spans="1:6">
      <c r="A1922" s="308">
        <v>43159</v>
      </c>
      <c r="B1922" s="309" t="s">
        <v>485</v>
      </c>
      <c r="C1922" s="309" t="s">
        <v>506</v>
      </c>
      <c r="D1922" s="136" t="str">
        <f t="array" ref="D1922">IF(E1922=0,0,(INDEX(AccountCodes[ACCOUNT NAME],MATCH(E1922,AccountCodes[NGAS CODE],0))))</f>
        <v>Other Bonuses and Allowances - Medical Allowance</v>
      </c>
      <c r="E1922" s="309" t="s">
        <v>5</v>
      </c>
      <c r="F1922" s="501">
        <v>1800</v>
      </c>
    </row>
    <row r="1923" spans="1:6">
      <c r="A1923" s="308">
        <v>43190</v>
      </c>
      <c r="B1923" s="309" t="s">
        <v>485</v>
      </c>
      <c r="C1923" s="309" t="s">
        <v>506</v>
      </c>
      <c r="D1923" s="136" t="str">
        <f t="array" ref="D1923">IF(E1923=0,0,(INDEX(AccountCodes[ACCOUNT NAME],MATCH(E1923,AccountCodes[NGAS CODE],0))))</f>
        <v>Other Bonuses and Allowances - Medical Allowance</v>
      </c>
      <c r="E1923" s="309" t="s">
        <v>5</v>
      </c>
      <c r="F1923" s="501">
        <v>1800</v>
      </c>
    </row>
    <row r="1924" spans="1:6">
      <c r="A1924" s="308">
        <v>43220</v>
      </c>
      <c r="B1924" s="309" t="s">
        <v>485</v>
      </c>
      <c r="C1924" s="309" t="s">
        <v>506</v>
      </c>
      <c r="D1924" s="136" t="str">
        <f t="array" ref="D1924">IF(E1924=0,0,(INDEX(AccountCodes[ACCOUNT NAME],MATCH(E1924,AccountCodes[NGAS CODE],0))))</f>
        <v>Other Bonuses and Allowances - Medical Allowance</v>
      </c>
      <c r="E1924" s="309" t="s">
        <v>5</v>
      </c>
      <c r="F1924" s="501">
        <v>1800</v>
      </c>
    </row>
    <row r="1925" spans="1:6">
      <c r="A1925" s="308">
        <v>43251</v>
      </c>
      <c r="B1925" s="309" t="s">
        <v>485</v>
      </c>
      <c r="C1925" s="309" t="s">
        <v>506</v>
      </c>
      <c r="D1925" s="136" t="str">
        <f t="array" ref="D1925">IF(E1925=0,0,(INDEX(AccountCodes[ACCOUNT NAME],MATCH(E1925,AccountCodes[NGAS CODE],0))))</f>
        <v>Other Bonuses and Allowances - Medical Allowance</v>
      </c>
      <c r="E1925" s="309" t="s">
        <v>5</v>
      </c>
      <c r="F1925" s="501">
        <v>1800</v>
      </c>
    </row>
    <row r="1926" spans="1:6">
      <c r="A1926" s="308">
        <v>43281</v>
      </c>
      <c r="B1926" s="309" t="s">
        <v>485</v>
      </c>
      <c r="C1926" s="309" t="s">
        <v>506</v>
      </c>
      <c r="D1926" s="136" t="str">
        <f t="array" ref="D1926">IF(E1926=0,0,(INDEX(AccountCodes[ACCOUNT NAME],MATCH(E1926,AccountCodes[NGAS CODE],0))))</f>
        <v>Other Bonuses and Allowances - Medical Allowance</v>
      </c>
      <c r="E1926" s="309" t="s">
        <v>5</v>
      </c>
      <c r="F1926" s="501">
        <v>1800</v>
      </c>
    </row>
    <row r="1927" spans="1:6">
      <c r="A1927" s="308">
        <v>43312</v>
      </c>
      <c r="B1927" s="309" t="s">
        <v>485</v>
      </c>
      <c r="C1927" s="309" t="s">
        <v>506</v>
      </c>
      <c r="D1927" s="136" t="str">
        <f t="array" ref="D1927">IF(E1927=0,0,(INDEX(AccountCodes[ACCOUNT NAME],MATCH(E1927,AccountCodes[NGAS CODE],0))))</f>
        <v>Other Bonuses and Allowances - Medical Allowance</v>
      </c>
      <c r="E1927" s="309" t="s">
        <v>5</v>
      </c>
      <c r="F1927" s="501">
        <v>1800</v>
      </c>
    </row>
    <row r="1928" spans="1:6">
      <c r="A1928" s="308">
        <v>43343</v>
      </c>
      <c r="B1928" s="309" t="s">
        <v>485</v>
      </c>
      <c r="C1928" s="309" t="s">
        <v>506</v>
      </c>
      <c r="D1928" s="136" t="str">
        <f t="array" ref="D1928">IF(E1928=0,0,(INDEX(AccountCodes[ACCOUNT NAME],MATCH(E1928,AccountCodes[NGAS CODE],0))))</f>
        <v>Other Bonuses and Allowances - Medical Allowance</v>
      </c>
      <c r="E1928" s="309" t="s">
        <v>5</v>
      </c>
      <c r="F1928" s="501">
        <v>1800</v>
      </c>
    </row>
    <row r="1929" spans="1:6">
      <c r="A1929" s="308">
        <v>43373</v>
      </c>
      <c r="B1929" s="309" t="s">
        <v>485</v>
      </c>
      <c r="C1929" s="309" t="s">
        <v>506</v>
      </c>
      <c r="D1929" s="136" t="str">
        <f t="array" ref="D1929">IF(E1929=0,0,(INDEX(AccountCodes[ACCOUNT NAME],MATCH(E1929,AccountCodes[NGAS CODE],0))))</f>
        <v>Other Bonuses and Allowances - Medical Allowance</v>
      </c>
      <c r="E1929" s="309" t="s">
        <v>5</v>
      </c>
      <c r="F1929" s="501">
        <v>1800</v>
      </c>
    </row>
    <row r="1930" spans="1:6">
      <c r="A1930" s="308">
        <v>43404</v>
      </c>
      <c r="B1930" s="309" t="s">
        <v>485</v>
      </c>
      <c r="C1930" s="309" t="s">
        <v>506</v>
      </c>
      <c r="D1930" s="136" t="str">
        <f t="array" ref="D1930">IF(E1930=0,0,(INDEX(AccountCodes[ACCOUNT NAME],MATCH(E1930,AccountCodes[NGAS CODE],0))))</f>
        <v>Other Bonuses and Allowances - Medical Allowance</v>
      </c>
      <c r="E1930" s="309" t="s">
        <v>5</v>
      </c>
      <c r="F1930" s="501">
        <v>1800</v>
      </c>
    </row>
    <row r="1931" spans="1:6">
      <c r="A1931" s="308">
        <v>43434</v>
      </c>
      <c r="B1931" s="309" t="s">
        <v>485</v>
      </c>
      <c r="C1931" s="309" t="s">
        <v>506</v>
      </c>
      <c r="D1931" s="136" t="str">
        <f t="array" ref="D1931">IF(E1931=0,0,(INDEX(AccountCodes[ACCOUNT NAME],MATCH(E1931,AccountCodes[NGAS CODE],0))))</f>
        <v>Other Bonuses and Allowances - Medical Allowance</v>
      </c>
      <c r="E1931" s="309" t="s">
        <v>5</v>
      </c>
      <c r="F1931" s="501">
        <v>1800</v>
      </c>
    </row>
    <row r="1932" spans="1:6">
      <c r="A1932" s="308">
        <v>43465</v>
      </c>
      <c r="B1932" s="309" t="s">
        <v>485</v>
      </c>
      <c r="C1932" s="309" t="s">
        <v>506</v>
      </c>
      <c r="D1932" s="136" t="str">
        <f t="array" ref="D1932">IF(E1932=0,0,(INDEX(AccountCodes[ACCOUNT NAME],MATCH(E1932,AccountCodes[NGAS CODE],0))))</f>
        <v>Other Bonuses and Allowances - Medical Allowance</v>
      </c>
      <c r="E1932" s="309" t="s">
        <v>5</v>
      </c>
      <c r="F1932" s="501">
        <v>1800</v>
      </c>
    </row>
    <row r="1933" spans="1:6">
      <c r="A1933" s="308">
        <v>43131</v>
      </c>
      <c r="B1933" s="309" t="s">
        <v>485</v>
      </c>
      <c r="C1933" s="309" t="s">
        <v>506</v>
      </c>
      <c r="D1933" s="136" t="str">
        <f t="array" ref="D1933">IF(E1933=0,0,(INDEX(AccountCodes[ACCOUNT NAME],MATCH(E1933,AccountCodes[NGAS CODE],0))))</f>
        <v>Other Bonuses and Allowances - Meal Allowance</v>
      </c>
      <c r="E1933" s="309" t="s">
        <v>6</v>
      </c>
      <c r="F1933" s="501">
        <v>594</v>
      </c>
    </row>
    <row r="1934" spans="1:6">
      <c r="A1934" s="308">
        <v>43159</v>
      </c>
      <c r="B1934" s="309" t="s">
        <v>485</v>
      </c>
      <c r="C1934" s="309" t="s">
        <v>506</v>
      </c>
      <c r="D1934" s="136" t="str">
        <f t="array" ref="D1934">IF(E1934=0,0,(INDEX(AccountCodes[ACCOUNT NAME],MATCH(E1934,AccountCodes[NGAS CODE],0))))</f>
        <v>Other Bonuses and Allowances - Meal Allowance</v>
      </c>
      <c r="E1934" s="309" t="s">
        <v>6</v>
      </c>
      <c r="F1934" s="501">
        <v>594</v>
      </c>
    </row>
    <row r="1935" spans="1:6">
      <c r="A1935" s="308">
        <v>43190</v>
      </c>
      <c r="B1935" s="309" t="s">
        <v>485</v>
      </c>
      <c r="C1935" s="309" t="s">
        <v>506</v>
      </c>
      <c r="D1935" s="136" t="str">
        <f t="array" ref="D1935">IF(E1935=0,0,(INDEX(AccountCodes[ACCOUNT NAME],MATCH(E1935,AccountCodes[NGAS CODE],0))))</f>
        <v>Other Bonuses and Allowances - Meal Allowance</v>
      </c>
      <c r="E1935" s="309" t="s">
        <v>6</v>
      </c>
      <c r="F1935" s="501">
        <v>594</v>
      </c>
    </row>
    <row r="1936" spans="1:6">
      <c r="A1936" s="308">
        <v>43220</v>
      </c>
      <c r="B1936" s="309" t="s">
        <v>485</v>
      </c>
      <c r="C1936" s="309" t="s">
        <v>506</v>
      </c>
      <c r="D1936" s="136" t="str">
        <f t="array" ref="D1936">IF(E1936=0,0,(INDEX(AccountCodes[ACCOUNT NAME],MATCH(E1936,AccountCodes[NGAS CODE],0))))</f>
        <v>Other Bonuses and Allowances - Meal Allowance</v>
      </c>
      <c r="E1936" s="309" t="s">
        <v>6</v>
      </c>
      <c r="F1936" s="501">
        <v>594</v>
      </c>
    </row>
    <row r="1937" spans="1:6">
      <c r="A1937" s="308">
        <v>43251</v>
      </c>
      <c r="B1937" s="309" t="s">
        <v>485</v>
      </c>
      <c r="C1937" s="309" t="s">
        <v>506</v>
      </c>
      <c r="D1937" s="136" t="str">
        <f t="array" ref="D1937">IF(E1937=0,0,(INDEX(AccountCodes[ACCOUNT NAME],MATCH(E1937,AccountCodes[NGAS CODE],0))))</f>
        <v>Other Bonuses and Allowances - Meal Allowance</v>
      </c>
      <c r="E1937" s="309" t="s">
        <v>6</v>
      </c>
      <c r="F1937" s="501">
        <v>594</v>
      </c>
    </row>
    <row r="1938" spans="1:6">
      <c r="A1938" s="308">
        <v>43281</v>
      </c>
      <c r="B1938" s="309" t="s">
        <v>485</v>
      </c>
      <c r="C1938" s="309" t="s">
        <v>506</v>
      </c>
      <c r="D1938" s="136" t="str">
        <f t="array" ref="D1938">IF(E1938=0,0,(INDEX(AccountCodes[ACCOUNT NAME],MATCH(E1938,AccountCodes[NGAS CODE],0))))</f>
        <v>Other Bonuses and Allowances - Meal Allowance</v>
      </c>
      <c r="E1938" s="309" t="s">
        <v>6</v>
      </c>
      <c r="F1938" s="501">
        <v>594</v>
      </c>
    </row>
    <row r="1939" spans="1:6">
      <c r="A1939" s="308">
        <v>43312</v>
      </c>
      <c r="B1939" s="309" t="s">
        <v>485</v>
      </c>
      <c r="C1939" s="309" t="s">
        <v>506</v>
      </c>
      <c r="D1939" s="136" t="str">
        <f t="array" ref="D1939">IF(E1939=0,0,(INDEX(AccountCodes[ACCOUNT NAME],MATCH(E1939,AccountCodes[NGAS CODE],0))))</f>
        <v>Other Bonuses and Allowances - Meal Allowance</v>
      </c>
      <c r="E1939" s="309" t="s">
        <v>6</v>
      </c>
      <c r="F1939" s="501">
        <v>594</v>
      </c>
    </row>
    <row r="1940" spans="1:6">
      <c r="A1940" s="308">
        <v>43343</v>
      </c>
      <c r="B1940" s="309" t="s">
        <v>485</v>
      </c>
      <c r="C1940" s="309" t="s">
        <v>506</v>
      </c>
      <c r="D1940" s="136" t="str">
        <f t="array" ref="D1940">IF(E1940=0,0,(INDEX(AccountCodes[ACCOUNT NAME],MATCH(E1940,AccountCodes[NGAS CODE],0))))</f>
        <v>Other Bonuses and Allowances - Meal Allowance</v>
      </c>
      <c r="E1940" s="309" t="s">
        <v>6</v>
      </c>
      <c r="F1940" s="501">
        <v>594</v>
      </c>
    </row>
    <row r="1941" spans="1:6">
      <c r="A1941" s="308">
        <v>43373</v>
      </c>
      <c r="B1941" s="309" t="s">
        <v>485</v>
      </c>
      <c r="C1941" s="309" t="s">
        <v>506</v>
      </c>
      <c r="D1941" s="136" t="str">
        <f t="array" ref="D1941">IF(E1941=0,0,(INDEX(AccountCodes[ACCOUNT NAME],MATCH(E1941,AccountCodes[NGAS CODE],0))))</f>
        <v>Other Bonuses and Allowances - Meal Allowance</v>
      </c>
      <c r="E1941" s="309" t="s">
        <v>6</v>
      </c>
      <c r="F1941" s="501">
        <v>594</v>
      </c>
    </row>
    <row r="1942" spans="1:6">
      <c r="A1942" s="308">
        <v>43404</v>
      </c>
      <c r="B1942" s="309" t="s">
        <v>485</v>
      </c>
      <c r="C1942" s="309" t="s">
        <v>506</v>
      </c>
      <c r="D1942" s="136" t="str">
        <f t="array" ref="D1942">IF(E1942=0,0,(INDEX(AccountCodes[ACCOUNT NAME],MATCH(E1942,AccountCodes[NGAS CODE],0))))</f>
        <v>Other Bonuses and Allowances - Meal Allowance</v>
      </c>
      <c r="E1942" s="309" t="s">
        <v>6</v>
      </c>
      <c r="F1942" s="501">
        <v>594</v>
      </c>
    </row>
    <row r="1943" spans="1:6">
      <c r="A1943" s="308">
        <v>43434</v>
      </c>
      <c r="B1943" s="309" t="s">
        <v>485</v>
      </c>
      <c r="C1943" s="309" t="s">
        <v>506</v>
      </c>
      <c r="D1943" s="136" t="str">
        <f t="array" ref="D1943">IF(E1943=0,0,(INDEX(AccountCodes[ACCOUNT NAME],MATCH(E1943,AccountCodes[NGAS CODE],0))))</f>
        <v>Other Bonuses and Allowances - Meal Allowance</v>
      </c>
      <c r="E1943" s="309" t="s">
        <v>6</v>
      </c>
      <c r="F1943" s="501">
        <v>594</v>
      </c>
    </row>
    <row r="1944" spans="1:6">
      <c r="A1944" s="308">
        <v>43465</v>
      </c>
      <c r="B1944" s="309" t="s">
        <v>485</v>
      </c>
      <c r="C1944" s="309" t="s">
        <v>506</v>
      </c>
      <c r="D1944" s="136" t="str">
        <f t="array" ref="D1944">IF(E1944=0,0,(INDEX(AccountCodes[ACCOUNT NAME],MATCH(E1944,AccountCodes[NGAS CODE],0))))</f>
        <v>Other Bonuses and Allowances - Meal Allowance</v>
      </c>
      <c r="E1944" s="309" t="s">
        <v>6</v>
      </c>
      <c r="F1944" s="501">
        <v>594</v>
      </c>
    </row>
    <row r="1945" spans="1:6">
      <c r="A1945" s="308">
        <v>43131</v>
      </c>
      <c r="B1945" s="309" t="s">
        <v>485</v>
      </c>
      <c r="C1945" s="309" t="s">
        <v>506</v>
      </c>
      <c r="D1945" s="136" t="str">
        <f t="array" ref="D1945">IF(E1945=0,0,(INDEX(AccountCodes[ACCOUNT NAME],MATCH(E1945,AccountCodes[NGAS CODE],0))))</f>
        <v>Telephone Expenses - Mobile</v>
      </c>
      <c r="E1945" s="309" t="s">
        <v>236</v>
      </c>
      <c r="F1945" s="501">
        <v>1500</v>
      </c>
    </row>
    <row r="1946" spans="1:6">
      <c r="A1946" s="308">
        <v>43159</v>
      </c>
      <c r="B1946" s="309" t="s">
        <v>485</v>
      </c>
      <c r="C1946" s="309" t="s">
        <v>506</v>
      </c>
      <c r="D1946" s="136" t="str">
        <f t="array" ref="D1946">IF(E1946=0,0,(INDEX(AccountCodes[ACCOUNT NAME],MATCH(E1946,AccountCodes[NGAS CODE],0))))</f>
        <v>Telephone Expenses - Mobile</v>
      </c>
      <c r="E1946" s="309" t="s">
        <v>236</v>
      </c>
      <c r="F1946" s="501">
        <v>1500</v>
      </c>
    </row>
    <row r="1947" spans="1:6">
      <c r="A1947" s="308">
        <v>43190</v>
      </c>
      <c r="B1947" s="309" t="s">
        <v>485</v>
      </c>
      <c r="C1947" s="309" t="s">
        <v>506</v>
      </c>
      <c r="D1947" s="136" t="str">
        <f t="array" ref="D1947">IF(E1947=0,0,(INDEX(AccountCodes[ACCOUNT NAME],MATCH(E1947,AccountCodes[NGAS CODE],0))))</f>
        <v>Telephone Expenses - Mobile</v>
      </c>
      <c r="E1947" s="309" t="s">
        <v>236</v>
      </c>
      <c r="F1947" s="501">
        <v>1500</v>
      </c>
    </row>
    <row r="1948" spans="1:6">
      <c r="A1948" s="308">
        <v>43220</v>
      </c>
      <c r="B1948" s="309" t="s">
        <v>485</v>
      </c>
      <c r="C1948" s="309" t="s">
        <v>506</v>
      </c>
      <c r="D1948" s="136" t="str">
        <f t="array" ref="D1948">IF(E1948=0,0,(INDEX(AccountCodes[ACCOUNT NAME],MATCH(E1948,AccountCodes[NGAS CODE],0))))</f>
        <v>Telephone Expenses - Mobile</v>
      </c>
      <c r="E1948" s="309" t="s">
        <v>236</v>
      </c>
      <c r="F1948" s="501">
        <v>1500</v>
      </c>
    </row>
    <row r="1949" spans="1:6">
      <c r="A1949" s="308">
        <v>43251</v>
      </c>
      <c r="B1949" s="309" t="s">
        <v>485</v>
      </c>
      <c r="C1949" s="309" t="s">
        <v>506</v>
      </c>
      <c r="D1949" s="136" t="str">
        <f t="array" ref="D1949">IF(E1949=0,0,(INDEX(AccountCodes[ACCOUNT NAME],MATCH(E1949,AccountCodes[NGAS CODE],0))))</f>
        <v>Telephone Expenses - Mobile</v>
      </c>
      <c r="E1949" s="309" t="s">
        <v>236</v>
      </c>
      <c r="F1949" s="501">
        <v>1500</v>
      </c>
    </row>
    <row r="1950" spans="1:6">
      <c r="A1950" s="308">
        <v>43281</v>
      </c>
      <c r="B1950" s="309" t="s">
        <v>485</v>
      </c>
      <c r="C1950" s="309" t="s">
        <v>506</v>
      </c>
      <c r="D1950" s="136" t="str">
        <f t="array" ref="D1950">IF(E1950=0,0,(INDEX(AccountCodes[ACCOUNT NAME],MATCH(E1950,AccountCodes[NGAS CODE],0))))</f>
        <v>Telephone Expenses - Mobile</v>
      </c>
      <c r="E1950" s="309" t="s">
        <v>236</v>
      </c>
      <c r="F1950" s="501">
        <v>1500</v>
      </c>
    </row>
    <row r="1951" spans="1:6">
      <c r="A1951" s="308">
        <v>43312</v>
      </c>
      <c r="B1951" s="309" t="s">
        <v>485</v>
      </c>
      <c r="C1951" s="309" t="s">
        <v>506</v>
      </c>
      <c r="D1951" s="136" t="str">
        <f t="array" ref="D1951">IF(E1951=0,0,(INDEX(AccountCodes[ACCOUNT NAME],MATCH(E1951,AccountCodes[NGAS CODE],0))))</f>
        <v>Telephone Expenses - Mobile</v>
      </c>
      <c r="E1951" s="309" t="s">
        <v>236</v>
      </c>
      <c r="F1951" s="501">
        <v>1500</v>
      </c>
    </row>
    <row r="1952" spans="1:6">
      <c r="A1952" s="308">
        <v>43343</v>
      </c>
      <c r="B1952" s="309" t="s">
        <v>485</v>
      </c>
      <c r="C1952" s="309" t="s">
        <v>506</v>
      </c>
      <c r="D1952" s="136" t="str">
        <f t="array" ref="D1952">IF(E1952=0,0,(INDEX(AccountCodes[ACCOUNT NAME],MATCH(E1952,AccountCodes[NGAS CODE],0))))</f>
        <v>Telephone Expenses - Mobile</v>
      </c>
      <c r="E1952" s="309" t="s">
        <v>236</v>
      </c>
      <c r="F1952" s="501">
        <v>1500</v>
      </c>
    </row>
    <row r="1953" spans="1:6">
      <c r="A1953" s="308">
        <v>43373</v>
      </c>
      <c r="B1953" s="309" t="s">
        <v>485</v>
      </c>
      <c r="C1953" s="309" t="s">
        <v>506</v>
      </c>
      <c r="D1953" s="136" t="str">
        <f t="array" ref="D1953">IF(E1953=0,0,(INDEX(AccountCodes[ACCOUNT NAME],MATCH(E1953,AccountCodes[NGAS CODE],0))))</f>
        <v>Telephone Expenses - Mobile</v>
      </c>
      <c r="E1953" s="309" t="s">
        <v>236</v>
      </c>
      <c r="F1953" s="501">
        <v>1500</v>
      </c>
    </row>
    <row r="1954" spans="1:6">
      <c r="A1954" s="308">
        <v>43404</v>
      </c>
      <c r="B1954" s="309" t="s">
        <v>485</v>
      </c>
      <c r="C1954" s="309" t="s">
        <v>506</v>
      </c>
      <c r="D1954" s="136" t="str">
        <f t="array" ref="D1954">IF(E1954=0,0,(INDEX(AccountCodes[ACCOUNT NAME],MATCH(E1954,AccountCodes[NGAS CODE],0))))</f>
        <v>Telephone Expenses - Mobile</v>
      </c>
      <c r="E1954" s="309" t="s">
        <v>236</v>
      </c>
      <c r="F1954" s="501">
        <v>1500</v>
      </c>
    </row>
    <row r="1955" spans="1:6">
      <c r="A1955" s="308">
        <v>43434</v>
      </c>
      <c r="B1955" s="309" t="s">
        <v>485</v>
      </c>
      <c r="C1955" s="309" t="s">
        <v>506</v>
      </c>
      <c r="D1955" s="136" t="str">
        <f t="array" ref="D1955">IF(E1955=0,0,(INDEX(AccountCodes[ACCOUNT NAME],MATCH(E1955,AccountCodes[NGAS CODE],0))))</f>
        <v>Telephone Expenses - Mobile</v>
      </c>
      <c r="E1955" s="309" t="s">
        <v>236</v>
      </c>
      <c r="F1955" s="501">
        <v>1500</v>
      </c>
    </row>
    <row r="1956" spans="1:6">
      <c r="A1956" s="308">
        <v>43465</v>
      </c>
      <c r="B1956" s="309" t="s">
        <v>485</v>
      </c>
      <c r="C1956" s="309" t="s">
        <v>506</v>
      </c>
      <c r="D1956" s="136" t="str">
        <f t="array" ref="D1956">IF(E1956=0,0,(INDEX(AccountCodes[ACCOUNT NAME],MATCH(E1956,AccountCodes[NGAS CODE],0))))</f>
        <v>Telephone Expenses - Mobile</v>
      </c>
      <c r="E1956" s="309" t="s">
        <v>236</v>
      </c>
      <c r="F1956" s="501">
        <v>1500</v>
      </c>
    </row>
    <row r="1957" spans="1:6">
      <c r="A1957" s="308">
        <v>43281</v>
      </c>
      <c r="B1957" s="309" t="s">
        <v>485</v>
      </c>
      <c r="C1957" s="309" t="s">
        <v>506</v>
      </c>
      <c r="D1957" s="136" t="str">
        <f t="array" ref="D1957">IF(E1957=0,0,(INDEX(AccountCodes[ACCOUNT NAME],MATCH(E1957,AccountCodes[NGAS CODE],0))))</f>
        <v>Longevity Pay</v>
      </c>
      <c r="E1957" s="309" t="s">
        <v>216</v>
      </c>
      <c r="F1957" s="501">
        <v>15000</v>
      </c>
    </row>
    <row r="1958" spans="1:6">
      <c r="A1958" s="308">
        <v>43190</v>
      </c>
      <c r="B1958" s="309" t="s">
        <v>485</v>
      </c>
      <c r="C1958" s="309" t="s">
        <v>506</v>
      </c>
      <c r="D1958" s="136" t="str">
        <f t="array" ref="D1958">IF(E1958=0,0,(INDEX(AccountCodes[ACCOUNT NAME],MATCH(E1958,AccountCodes[NGAS CODE],0))))</f>
        <v>Honoraria</v>
      </c>
      <c r="E1958" s="309" t="s">
        <v>173</v>
      </c>
      <c r="F1958" s="501">
        <v>25000</v>
      </c>
    </row>
    <row r="1959" spans="1:6">
      <c r="A1959" s="308">
        <v>43251</v>
      </c>
      <c r="B1959" s="309" t="s">
        <v>485</v>
      </c>
      <c r="C1959" s="309" t="s">
        <v>506</v>
      </c>
      <c r="D1959" s="136" t="str">
        <f t="array" ref="D1959">IF(E1959=0,0,(INDEX(AccountCodes[ACCOUNT NAME],MATCH(E1959,AccountCodes[NGAS CODE],0))))</f>
        <v>Honoraria</v>
      </c>
      <c r="E1959" s="309" t="s">
        <v>173</v>
      </c>
      <c r="F1959" s="501">
        <v>40000</v>
      </c>
    </row>
    <row r="1960" spans="1:6">
      <c r="A1960" s="308">
        <v>43312</v>
      </c>
      <c r="B1960" s="309" t="s">
        <v>485</v>
      </c>
      <c r="C1960" s="309" t="s">
        <v>506</v>
      </c>
      <c r="D1960" s="136" t="str">
        <f t="array" ref="D1960">IF(E1960=0,0,(INDEX(AccountCodes[ACCOUNT NAME],MATCH(E1960,AccountCodes[NGAS CODE],0))))</f>
        <v>Honoraria</v>
      </c>
      <c r="E1960" s="309" t="s">
        <v>173</v>
      </c>
      <c r="F1960" s="501">
        <v>25000</v>
      </c>
    </row>
    <row r="1961" spans="1:6">
      <c r="A1961" s="308">
        <v>43404</v>
      </c>
      <c r="B1961" s="309" t="s">
        <v>485</v>
      </c>
      <c r="C1961" s="309" t="s">
        <v>506</v>
      </c>
      <c r="D1961" s="136" t="str">
        <f t="array" ref="D1961">IF(E1961=0,0,(INDEX(AccountCodes[ACCOUNT NAME],MATCH(E1961,AccountCodes[NGAS CODE],0))))</f>
        <v>Honoraria</v>
      </c>
      <c r="E1961" s="309" t="s">
        <v>173</v>
      </c>
      <c r="F1961" s="501">
        <v>30000</v>
      </c>
    </row>
    <row r="1962" spans="1:6">
      <c r="A1962" s="308">
        <v>43465</v>
      </c>
      <c r="B1962" s="309" t="s">
        <v>485</v>
      </c>
      <c r="C1962" s="309" t="s">
        <v>506</v>
      </c>
      <c r="D1962" s="136" t="str">
        <f t="array" ref="D1962">IF(E1962=0,0,(INDEX(AccountCodes[ACCOUNT NAME],MATCH(E1962,AccountCodes[NGAS CODE],0))))</f>
        <v>Other Bonuses and Allowances - Collective Negotiation Agreement Incentive-Civilian</v>
      </c>
      <c r="E1962" s="309" t="s">
        <v>168</v>
      </c>
      <c r="F1962" s="501">
        <v>625000</v>
      </c>
    </row>
    <row r="1963" spans="1:6">
      <c r="A1963" s="308">
        <v>43465</v>
      </c>
      <c r="B1963" s="309" t="s">
        <v>485</v>
      </c>
      <c r="C1963" s="309" t="s">
        <v>506</v>
      </c>
      <c r="D1963" s="136" t="str">
        <f t="array" ref="D1963">IF(E1963=0,0,(INDEX(AccountCodes[ACCOUNT NAME],MATCH(E1963,AccountCodes[NGAS CODE],0))))</f>
        <v>Other Bonuses and Allowances - Productivity Enhancement Incentive-Civilian</v>
      </c>
      <c r="E1963" s="309" t="s">
        <v>170</v>
      </c>
      <c r="F1963" s="501">
        <v>120000</v>
      </c>
    </row>
    <row r="1964" spans="1:6">
      <c r="A1964" s="308">
        <v>43159</v>
      </c>
      <c r="B1964" s="309" t="s">
        <v>485</v>
      </c>
      <c r="C1964" s="309" t="s">
        <v>506</v>
      </c>
      <c r="D1964" s="136" t="str">
        <f t="array" ref="D1964">IF(E1964=0,0,(INDEX(AccountCodes[ACCOUNT NAME],MATCH(E1964,AccountCodes[NGAS CODE],0))))</f>
        <v>Terminal Leave Benefits</v>
      </c>
      <c r="E1964" s="309" t="s">
        <v>212</v>
      </c>
      <c r="F1964" s="501">
        <v>1184182.24</v>
      </c>
    </row>
    <row r="1965" spans="1:6">
      <c r="A1965" s="308">
        <v>43465</v>
      </c>
      <c r="B1965" s="309" t="s">
        <v>485</v>
      </c>
      <c r="C1965" s="309" t="s">
        <v>506</v>
      </c>
      <c r="D1965" s="136" t="str">
        <f t="array" ref="D1965">IF(E1965=0,0,(INDEX(AccountCodes[ACCOUNT NAME],MATCH(E1965,AccountCodes[NGAS CODE],0))))</f>
        <v>Terminal Leave Benefits</v>
      </c>
      <c r="E1965" s="309" t="s">
        <v>212</v>
      </c>
      <c r="F1965" s="501">
        <v>519061.16</v>
      </c>
    </row>
    <row r="1966" spans="1:6">
      <c r="A1966" s="308">
        <v>43131</v>
      </c>
      <c r="B1966" s="309" t="s">
        <v>485</v>
      </c>
      <c r="C1966" s="309" t="s">
        <v>506</v>
      </c>
      <c r="D1966" s="136" t="str">
        <f t="array" ref="D1966">IF(E1966=0,0,(INDEX(AccountCodes[ACCOUNT NAME],MATCH(E1966,AccountCodes[NGAS CODE],0))))</f>
        <v>Retirement and Life Insurance Premiums</v>
      </c>
      <c r="E1966" s="309" t="s">
        <v>175</v>
      </c>
      <c r="F1966" s="501">
        <v>66192.600000000006</v>
      </c>
    </row>
    <row r="1967" spans="1:6">
      <c r="A1967" s="308">
        <v>43159</v>
      </c>
      <c r="B1967" s="309" t="s">
        <v>485</v>
      </c>
      <c r="C1967" s="309" t="s">
        <v>506</v>
      </c>
      <c r="D1967" s="136" t="str">
        <f t="array" ref="D1967">IF(E1967=0,0,(INDEX(AccountCodes[ACCOUNT NAME],MATCH(E1967,AccountCodes[NGAS CODE],0))))</f>
        <v>Retirement and Life Insurance Premiums</v>
      </c>
      <c r="E1967" s="309" t="s">
        <v>175</v>
      </c>
      <c r="F1967" s="501">
        <v>66192.600000000006</v>
      </c>
    </row>
    <row r="1968" spans="1:6">
      <c r="A1968" s="308">
        <v>43190</v>
      </c>
      <c r="B1968" s="309" t="s">
        <v>485</v>
      </c>
      <c r="C1968" s="309" t="s">
        <v>506</v>
      </c>
      <c r="D1968" s="136" t="str">
        <f t="array" ref="D1968">IF(E1968=0,0,(INDEX(AccountCodes[ACCOUNT NAME],MATCH(E1968,AccountCodes[NGAS CODE],0))))</f>
        <v>Retirement and Life Insurance Premiums</v>
      </c>
      <c r="E1968" s="309" t="s">
        <v>175</v>
      </c>
      <c r="F1968" s="501">
        <v>66192.600000000006</v>
      </c>
    </row>
    <row r="1969" spans="1:6">
      <c r="A1969" s="308">
        <v>43220</v>
      </c>
      <c r="B1969" s="309" t="s">
        <v>485</v>
      </c>
      <c r="C1969" s="309" t="s">
        <v>506</v>
      </c>
      <c r="D1969" s="136" t="str">
        <f t="array" ref="D1969">IF(E1969=0,0,(INDEX(AccountCodes[ACCOUNT NAME],MATCH(E1969,AccountCodes[NGAS CODE],0))))</f>
        <v>Retirement and Life Insurance Premiums</v>
      </c>
      <c r="E1969" s="309" t="s">
        <v>175</v>
      </c>
      <c r="F1969" s="501">
        <v>66192.600000000006</v>
      </c>
    </row>
    <row r="1970" spans="1:6">
      <c r="A1970" s="308">
        <v>43251</v>
      </c>
      <c r="B1970" s="309" t="s">
        <v>485</v>
      </c>
      <c r="C1970" s="309" t="s">
        <v>506</v>
      </c>
      <c r="D1970" s="136" t="str">
        <f t="array" ref="D1970">IF(E1970=0,0,(INDEX(AccountCodes[ACCOUNT NAME],MATCH(E1970,AccountCodes[NGAS CODE],0))))</f>
        <v>Retirement and Life Insurance Premiums</v>
      </c>
      <c r="E1970" s="309" t="s">
        <v>175</v>
      </c>
      <c r="F1970" s="501">
        <v>66192.600000000006</v>
      </c>
    </row>
    <row r="1971" spans="1:6">
      <c r="A1971" s="308">
        <v>43281</v>
      </c>
      <c r="B1971" s="309" t="s">
        <v>485</v>
      </c>
      <c r="C1971" s="309" t="s">
        <v>506</v>
      </c>
      <c r="D1971" s="136" t="str">
        <f t="array" ref="D1971">IF(E1971=0,0,(INDEX(AccountCodes[ACCOUNT NAME],MATCH(E1971,AccountCodes[NGAS CODE],0))))</f>
        <v>Retirement and Life Insurance Premiums</v>
      </c>
      <c r="E1971" s="309" t="s">
        <v>175</v>
      </c>
      <c r="F1971" s="501">
        <v>66192.600000000006</v>
      </c>
    </row>
    <row r="1972" spans="1:6">
      <c r="A1972" s="308">
        <v>43312</v>
      </c>
      <c r="B1972" s="309" t="s">
        <v>485</v>
      </c>
      <c r="C1972" s="309" t="s">
        <v>506</v>
      </c>
      <c r="D1972" s="136" t="str">
        <f t="array" ref="D1972">IF(E1972=0,0,(INDEX(AccountCodes[ACCOUNT NAME],MATCH(E1972,AccountCodes[NGAS CODE],0))))</f>
        <v>Retirement and Life Insurance Premiums</v>
      </c>
      <c r="E1972" s="309" t="s">
        <v>175</v>
      </c>
      <c r="F1972" s="501">
        <v>66192.600000000006</v>
      </c>
    </row>
    <row r="1973" spans="1:6">
      <c r="A1973" s="308">
        <v>43343</v>
      </c>
      <c r="B1973" s="309" t="s">
        <v>485</v>
      </c>
      <c r="C1973" s="309" t="s">
        <v>506</v>
      </c>
      <c r="D1973" s="136" t="str">
        <f t="array" ref="D1973">IF(E1973=0,0,(INDEX(AccountCodes[ACCOUNT NAME],MATCH(E1973,AccountCodes[NGAS CODE],0))))</f>
        <v>Retirement and Life Insurance Premiums</v>
      </c>
      <c r="E1973" s="309" t="s">
        <v>175</v>
      </c>
      <c r="F1973" s="501">
        <v>66192.600000000006</v>
      </c>
    </row>
    <row r="1974" spans="1:6">
      <c r="A1974" s="308">
        <v>43373</v>
      </c>
      <c r="B1974" s="309" t="s">
        <v>485</v>
      </c>
      <c r="C1974" s="309" t="s">
        <v>506</v>
      </c>
      <c r="D1974" s="136" t="str">
        <f t="array" ref="D1974">IF(E1974=0,0,(INDEX(AccountCodes[ACCOUNT NAME],MATCH(E1974,AccountCodes[NGAS CODE],0))))</f>
        <v>Retirement and Life Insurance Premiums</v>
      </c>
      <c r="E1974" s="309" t="s">
        <v>175</v>
      </c>
      <c r="F1974" s="501">
        <v>66192.600000000006</v>
      </c>
    </row>
    <row r="1975" spans="1:6">
      <c r="A1975" s="308">
        <v>43404</v>
      </c>
      <c r="B1975" s="309" t="s">
        <v>485</v>
      </c>
      <c r="C1975" s="309" t="s">
        <v>506</v>
      </c>
      <c r="D1975" s="136" t="str">
        <f t="array" ref="D1975">IF(E1975=0,0,(INDEX(AccountCodes[ACCOUNT NAME],MATCH(E1975,AccountCodes[NGAS CODE],0))))</f>
        <v>Retirement and Life Insurance Premiums</v>
      </c>
      <c r="E1975" s="309" t="s">
        <v>175</v>
      </c>
      <c r="F1975" s="501">
        <v>66192.600000000006</v>
      </c>
    </row>
    <row r="1976" spans="1:6">
      <c r="A1976" s="308">
        <v>43434</v>
      </c>
      <c r="B1976" s="309" t="s">
        <v>485</v>
      </c>
      <c r="C1976" s="309" t="s">
        <v>506</v>
      </c>
      <c r="D1976" s="136" t="str">
        <f t="array" ref="D1976">IF(E1976=0,0,(INDEX(AccountCodes[ACCOUNT NAME],MATCH(E1976,AccountCodes[NGAS CODE],0))))</f>
        <v>Retirement and Life Insurance Premiums</v>
      </c>
      <c r="E1976" s="309" t="s">
        <v>175</v>
      </c>
      <c r="F1976" s="501">
        <v>66192.600000000006</v>
      </c>
    </row>
    <row r="1977" spans="1:6">
      <c r="A1977" s="308">
        <v>43465</v>
      </c>
      <c r="B1977" s="309" t="s">
        <v>485</v>
      </c>
      <c r="C1977" s="309" t="s">
        <v>506</v>
      </c>
      <c r="D1977" s="136" t="str">
        <f t="array" ref="D1977">IF(E1977=0,0,(INDEX(AccountCodes[ACCOUNT NAME],MATCH(E1977,AccountCodes[NGAS CODE],0))))</f>
        <v>Retirement and Life Insurance Premiums</v>
      </c>
      <c r="E1977" s="309" t="s">
        <v>175</v>
      </c>
      <c r="F1977" s="501">
        <v>66192.600000000006</v>
      </c>
    </row>
    <row r="1978" spans="1:6">
      <c r="A1978" s="308">
        <v>43131</v>
      </c>
      <c r="B1978" s="309" t="s">
        <v>485</v>
      </c>
      <c r="C1978" s="309" t="s">
        <v>506</v>
      </c>
      <c r="D1978" s="136" t="str">
        <f t="array" ref="D1978">IF(E1978=0,0,(INDEX(AccountCodes[ACCOUNT NAME],MATCH(E1978,AccountCodes[NGAS CODE],0))))</f>
        <v>Pag-IBIG Contributions</v>
      </c>
      <c r="E1978" s="309" t="s">
        <v>176</v>
      </c>
      <c r="F1978" s="501">
        <v>2400</v>
      </c>
    </row>
    <row r="1979" spans="1:6">
      <c r="A1979" s="308">
        <v>43159</v>
      </c>
      <c r="B1979" s="309" t="s">
        <v>485</v>
      </c>
      <c r="C1979" s="309" t="s">
        <v>506</v>
      </c>
      <c r="D1979" s="136" t="str">
        <f t="array" ref="D1979">IF(E1979=0,0,(INDEX(AccountCodes[ACCOUNT NAME],MATCH(E1979,AccountCodes[NGAS CODE],0))))</f>
        <v>Pag-IBIG Contributions</v>
      </c>
      <c r="E1979" s="309" t="s">
        <v>176</v>
      </c>
      <c r="F1979" s="501">
        <v>2400</v>
      </c>
    </row>
    <row r="1980" spans="1:6">
      <c r="A1980" s="308">
        <v>43190</v>
      </c>
      <c r="B1980" s="309" t="s">
        <v>485</v>
      </c>
      <c r="C1980" s="309" t="s">
        <v>506</v>
      </c>
      <c r="D1980" s="136" t="str">
        <f t="array" ref="D1980">IF(E1980=0,0,(INDEX(AccountCodes[ACCOUNT NAME],MATCH(E1980,AccountCodes[NGAS CODE],0))))</f>
        <v>Pag-IBIG Contributions</v>
      </c>
      <c r="E1980" s="309" t="s">
        <v>176</v>
      </c>
      <c r="F1980" s="501">
        <v>2400</v>
      </c>
    </row>
    <row r="1981" spans="1:6">
      <c r="A1981" s="308">
        <v>43220</v>
      </c>
      <c r="B1981" s="309" t="s">
        <v>485</v>
      </c>
      <c r="C1981" s="309" t="s">
        <v>506</v>
      </c>
      <c r="D1981" s="136" t="str">
        <f t="array" ref="D1981">IF(E1981=0,0,(INDEX(AccountCodes[ACCOUNT NAME],MATCH(E1981,AccountCodes[NGAS CODE],0))))</f>
        <v>Pag-IBIG Contributions</v>
      </c>
      <c r="E1981" s="309" t="s">
        <v>176</v>
      </c>
      <c r="F1981" s="501">
        <v>2400</v>
      </c>
    </row>
    <row r="1982" spans="1:6">
      <c r="A1982" s="308">
        <v>43251</v>
      </c>
      <c r="B1982" s="309" t="s">
        <v>485</v>
      </c>
      <c r="C1982" s="309" t="s">
        <v>506</v>
      </c>
      <c r="D1982" s="136" t="str">
        <f t="array" ref="D1982">IF(E1982=0,0,(INDEX(AccountCodes[ACCOUNT NAME],MATCH(E1982,AccountCodes[NGAS CODE],0))))</f>
        <v>Pag-IBIG Contributions</v>
      </c>
      <c r="E1982" s="309" t="s">
        <v>176</v>
      </c>
      <c r="F1982" s="501">
        <v>2400</v>
      </c>
    </row>
    <row r="1983" spans="1:6">
      <c r="A1983" s="308">
        <v>43281</v>
      </c>
      <c r="B1983" s="309" t="s">
        <v>485</v>
      </c>
      <c r="C1983" s="309" t="s">
        <v>506</v>
      </c>
      <c r="D1983" s="136" t="str">
        <f t="array" ref="D1983">IF(E1983=0,0,(INDEX(AccountCodes[ACCOUNT NAME],MATCH(E1983,AccountCodes[NGAS CODE],0))))</f>
        <v>Pag-IBIG Contributions</v>
      </c>
      <c r="E1983" s="309" t="s">
        <v>176</v>
      </c>
      <c r="F1983" s="501">
        <v>2400</v>
      </c>
    </row>
    <row r="1984" spans="1:6">
      <c r="A1984" s="308">
        <v>43312</v>
      </c>
      <c r="B1984" s="309" t="s">
        <v>485</v>
      </c>
      <c r="C1984" s="309" t="s">
        <v>506</v>
      </c>
      <c r="D1984" s="136" t="str">
        <f t="array" ref="D1984">IF(E1984=0,0,(INDEX(AccountCodes[ACCOUNT NAME],MATCH(E1984,AccountCodes[NGAS CODE],0))))</f>
        <v>Pag-IBIG Contributions</v>
      </c>
      <c r="E1984" s="309" t="s">
        <v>176</v>
      </c>
      <c r="F1984" s="501">
        <v>2400</v>
      </c>
    </row>
    <row r="1985" spans="1:6">
      <c r="A1985" s="308">
        <v>43343</v>
      </c>
      <c r="B1985" s="309" t="s">
        <v>485</v>
      </c>
      <c r="C1985" s="309" t="s">
        <v>506</v>
      </c>
      <c r="D1985" s="136" t="str">
        <f t="array" ref="D1985">IF(E1985=0,0,(INDEX(AccountCodes[ACCOUNT NAME],MATCH(E1985,AccountCodes[NGAS CODE],0))))</f>
        <v>Pag-IBIG Contributions</v>
      </c>
      <c r="E1985" s="309" t="s">
        <v>176</v>
      </c>
      <c r="F1985" s="501">
        <v>2400</v>
      </c>
    </row>
    <row r="1986" spans="1:6">
      <c r="A1986" s="308">
        <v>43373</v>
      </c>
      <c r="B1986" s="309" t="s">
        <v>485</v>
      </c>
      <c r="C1986" s="309" t="s">
        <v>506</v>
      </c>
      <c r="D1986" s="136" t="str">
        <f t="array" ref="D1986">IF(E1986=0,0,(INDEX(AccountCodes[ACCOUNT NAME],MATCH(E1986,AccountCodes[NGAS CODE],0))))</f>
        <v>Pag-IBIG Contributions</v>
      </c>
      <c r="E1986" s="309" t="s">
        <v>176</v>
      </c>
      <c r="F1986" s="501">
        <v>2400</v>
      </c>
    </row>
    <row r="1987" spans="1:6">
      <c r="A1987" s="308">
        <v>43404</v>
      </c>
      <c r="B1987" s="309" t="s">
        <v>485</v>
      </c>
      <c r="C1987" s="309" t="s">
        <v>506</v>
      </c>
      <c r="D1987" s="136" t="str">
        <f t="array" ref="D1987">IF(E1987=0,0,(INDEX(AccountCodes[ACCOUNT NAME],MATCH(E1987,AccountCodes[NGAS CODE],0))))</f>
        <v>Pag-IBIG Contributions</v>
      </c>
      <c r="E1987" s="309" t="s">
        <v>176</v>
      </c>
      <c r="F1987" s="501">
        <v>2400</v>
      </c>
    </row>
    <row r="1988" spans="1:6">
      <c r="A1988" s="308">
        <v>43434</v>
      </c>
      <c r="B1988" s="309" t="s">
        <v>485</v>
      </c>
      <c r="C1988" s="309" t="s">
        <v>506</v>
      </c>
      <c r="D1988" s="136" t="str">
        <f t="array" ref="D1988">IF(E1988=0,0,(INDEX(AccountCodes[ACCOUNT NAME],MATCH(E1988,AccountCodes[NGAS CODE],0))))</f>
        <v>Pag-IBIG Contributions</v>
      </c>
      <c r="E1988" s="309" t="s">
        <v>176</v>
      </c>
      <c r="F1988" s="501">
        <v>2400</v>
      </c>
    </row>
    <row r="1989" spans="1:6">
      <c r="A1989" s="308">
        <v>43465</v>
      </c>
      <c r="B1989" s="309" t="s">
        <v>485</v>
      </c>
      <c r="C1989" s="309" t="s">
        <v>506</v>
      </c>
      <c r="D1989" s="136" t="str">
        <f t="array" ref="D1989">IF(E1989=0,0,(INDEX(AccountCodes[ACCOUNT NAME],MATCH(E1989,AccountCodes[NGAS CODE],0))))</f>
        <v>Pag-IBIG Contributions</v>
      </c>
      <c r="E1989" s="309" t="s">
        <v>176</v>
      </c>
      <c r="F1989" s="501">
        <v>2400</v>
      </c>
    </row>
    <row r="1990" spans="1:6">
      <c r="A1990" s="308">
        <v>43131</v>
      </c>
      <c r="B1990" s="309" t="s">
        <v>485</v>
      </c>
      <c r="C1990" s="309" t="s">
        <v>506</v>
      </c>
      <c r="D1990" s="136" t="str">
        <f t="array" ref="D1990">IF(E1990=0,0,(INDEX(AccountCodes[ACCOUNT NAME],MATCH(E1990,AccountCodes[NGAS CODE],0))))</f>
        <v>PhilHealth Contributions</v>
      </c>
      <c r="E1990" s="309" t="s">
        <v>177</v>
      </c>
      <c r="F1990" s="501">
        <v>7103.88</v>
      </c>
    </row>
    <row r="1991" spans="1:6">
      <c r="A1991" s="308">
        <v>43159</v>
      </c>
      <c r="B1991" s="309" t="s">
        <v>485</v>
      </c>
      <c r="C1991" s="309" t="s">
        <v>506</v>
      </c>
      <c r="D1991" s="136" t="str">
        <f t="array" ref="D1991">IF(E1991=0,0,(INDEX(AccountCodes[ACCOUNT NAME],MATCH(E1991,AccountCodes[NGAS CODE],0))))</f>
        <v>PhilHealth Contributions</v>
      </c>
      <c r="E1991" s="309" t="s">
        <v>177</v>
      </c>
      <c r="F1991" s="501">
        <v>7103.88</v>
      </c>
    </row>
    <row r="1992" spans="1:6">
      <c r="A1992" s="308">
        <v>43190</v>
      </c>
      <c r="B1992" s="309" t="s">
        <v>485</v>
      </c>
      <c r="C1992" s="309" t="s">
        <v>506</v>
      </c>
      <c r="D1992" s="136" t="str">
        <f t="array" ref="D1992">IF(E1992=0,0,(INDEX(AccountCodes[ACCOUNT NAME],MATCH(E1992,AccountCodes[NGAS CODE],0))))</f>
        <v>PhilHealth Contributions</v>
      </c>
      <c r="E1992" s="309" t="s">
        <v>177</v>
      </c>
      <c r="F1992" s="501">
        <v>7103.88</v>
      </c>
    </row>
    <row r="1993" spans="1:6">
      <c r="A1993" s="308">
        <v>43220</v>
      </c>
      <c r="B1993" s="309" t="s">
        <v>485</v>
      </c>
      <c r="C1993" s="309" t="s">
        <v>506</v>
      </c>
      <c r="D1993" s="136" t="str">
        <f t="array" ref="D1993">IF(E1993=0,0,(INDEX(AccountCodes[ACCOUNT NAME],MATCH(E1993,AccountCodes[NGAS CODE],0))))</f>
        <v>PhilHealth Contributions</v>
      </c>
      <c r="E1993" s="309" t="s">
        <v>177</v>
      </c>
      <c r="F1993" s="501">
        <v>7103.88</v>
      </c>
    </row>
    <row r="1994" spans="1:6">
      <c r="A1994" s="308">
        <v>43251</v>
      </c>
      <c r="B1994" s="309" t="s">
        <v>485</v>
      </c>
      <c r="C1994" s="309" t="s">
        <v>506</v>
      </c>
      <c r="D1994" s="136" t="str">
        <f t="array" ref="D1994">IF(E1994=0,0,(INDEX(AccountCodes[ACCOUNT NAME],MATCH(E1994,AccountCodes[NGAS CODE],0))))</f>
        <v>PhilHealth Contributions</v>
      </c>
      <c r="E1994" s="309" t="s">
        <v>177</v>
      </c>
      <c r="F1994" s="501">
        <v>7103.88</v>
      </c>
    </row>
    <row r="1995" spans="1:6">
      <c r="A1995" s="308">
        <v>43281</v>
      </c>
      <c r="B1995" s="309" t="s">
        <v>485</v>
      </c>
      <c r="C1995" s="309" t="s">
        <v>506</v>
      </c>
      <c r="D1995" s="136" t="str">
        <f t="array" ref="D1995">IF(E1995=0,0,(INDEX(AccountCodes[ACCOUNT NAME],MATCH(E1995,AccountCodes[NGAS CODE],0))))</f>
        <v>PhilHealth Contributions</v>
      </c>
      <c r="E1995" s="309" t="s">
        <v>177</v>
      </c>
      <c r="F1995" s="501">
        <v>7103.88</v>
      </c>
    </row>
    <row r="1996" spans="1:6">
      <c r="A1996" s="308">
        <v>43312</v>
      </c>
      <c r="B1996" s="309" t="s">
        <v>485</v>
      </c>
      <c r="C1996" s="309" t="s">
        <v>506</v>
      </c>
      <c r="D1996" s="136" t="str">
        <f t="array" ref="D1996">IF(E1996=0,0,(INDEX(AccountCodes[ACCOUNT NAME],MATCH(E1996,AccountCodes[NGAS CODE],0))))</f>
        <v>PhilHealth Contributions</v>
      </c>
      <c r="E1996" s="309" t="s">
        <v>177</v>
      </c>
      <c r="F1996" s="501">
        <v>7103.88</v>
      </c>
    </row>
    <row r="1997" spans="1:6">
      <c r="A1997" s="308">
        <v>43343</v>
      </c>
      <c r="B1997" s="309" t="s">
        <v>485</v>
      </c>
      <c r="C1997" s="309" t="s">
        <v>506</v>
      </c>
      <c r="D1997" s="136" t="str">
        <f t="array" ref="D1997">IF(E1997=0,0,(INDEX(AccountCodes[ACCOUNT NAME],MATCH(E1997,AccountCodes[NGAS CODE],0))))</f>
        <v>PhilHealth Contributions</v>
      </c>
      <c r="E1997" s="309" t="s">
        <v>177</v>
      </c>
      <c r="F1997" s="501">
        <v>7103.88</v>
      </c>
    </row>
    <row r="1998" spans="1:6">
      <c r="A1998" s="308">
        <v>43373</v>
      </c>
      <c r="B1998" s="309" t="s">
        <v>485</v>
      </c>
      <c r="C1998" s="309" t="s">
        <v>506</v>
      </c>
      <c r="D1998" s="136" t="str">
        <f t="array" ref="D1998">IF(E1998=0,0,(INDEX(AccountCodes[ACCOUNT NAME],MATCH(E1998,AccountCodes[NGAS CODE],0))))</f>
        <v>PhilHealth Contributions</v>
      </c>
      <c r="E1998" s="309" t="s">
        <v>177</v>
      </c>
      <c r="F1998" s="501">
        <v>7103.88</v>
      </c>
    </row>
    <row r="1999" spans="1:6">
      <c r="A1999" s="308">
        <v>43404</v>
      </c>
      <c r="B1999" s="309" t="s">
        <v>485</v>
      </c>
      <c r="C1999" s="309" t="s">
        <v>506</v>
      </c>
      <c r="D1999" s="136" t="str">
        <f t="array" ref="D1999">IF(E1999=0,0,(INDEX(AccountCodes[ACCOUNT NAME],MATCH(E1999,AccountCodes[NGAS CODE],0))))</f>
        <v>PhilHealth Contributions</v>
      </c>
      <c r="E1999" s="309" t="s">
        <v>177</v>
      </c>
      <c r="F1999" s="501">
        <v>7103.88</v>
      </c>
    </row>
    <row r="2000" spans="1:6">
      <c r="A2000" s="308">
        <v>43434</v>
      </c>
      <c r="B2000" s="309" t="s">
        <v>485</v>
      </c>
      <c r="C2000" s="309" t="s">
        <v>506</v>
      </c>
      <c r="D2000" s="136" t="str">
        <f t="array" ref="D2000">IF(E2000=0,0,(INDEX(AccountCodes[ACCOUNT NAME],MATCH(E2000,AccountCodes[NGAS CODE],0))))</f>
        <v>PhilHealth Contributions</v>
      </c>
      <c r="E2000" s="309" t="s">
        <v>177</v>
      </c>
      <c r="F2000" s="501">
        <v>7103.88</v>
      </c>
    </row>
    <row r="2001" spans="1:6">
      <c r="A2001" s="308">
        <v>43465</v>
      </c>
      <c r="B2001" s="309" t="s">
        <v>485</v>
      </c>
      <c r="C2001" s="309" t="s">
        <v>506</v>
      </c>
      <c r="D2001" s="136" t="str">
        <f t="array" ref="D2001">IF(E2001=0,0,(INDEX(AccountCodes[ACCOUNT NAME],MATCH(E2001,AccountCodes[NGAS CODE],0))))</f>
        <v>PhilHealth Contributions</v>
      </c>
      <c r="E2001" s="309" t="s">
        <v>177</v>
      </c>
      <c r="F2001" s="501">
        <v>7103.88</v>
      </c>
    </row>
    <row r="2002" spans="1:6">
      <c r="A2002" s="308">
        <v>43131</v>
      </c>
      <c r="B2002" s="309" t="s">
        <v>485</v>
      </c>
      <c r="C2002" s="309" t="s">
        <v>506</v>
      </c>
      <c r="D2002" s="136" t="str">
        <f t="array" ref="D2002">IF(E2002=0,0,(INDEX(AccountCodes[ACCOUNT NAME],MATCH(E2002,AccountCodes[NGAS CODE],0))))</f>
        <v>Employees Compensation Insurance Premiums</v>
      </c>
      <c r="E2002" s="309" t="s">
        <v>178</v>
      </c>
      <c r="F2002" s="501">
        <v>2400</v>
      </c>
    </row>
    <row r="2003" spans="1:6">
      <c r="A2003" s="308">
        <v>43159</v>
      </c>
      <c r="B2003" s="309" t="s">
        <v>485</v>
      </c>
      <c r="C2003" s="309" t="s">
        <v>506</v>
      </c>
      <c r="D2003" s="136" t="str">
        <f t="array" ref="D2003">IF(E2003=0,0,(INDEX(AccountCodes[ACCOUNT NAME],MATCH(E2003,AccountCodes[NGAS CODE],0))))</f>
        <v>Employees Compensation Insurance Premiums</v>
      </c>
      <c r="E2003" s="309" t="s">
        <v>178</v>
      </c>
      <c r="F2003" s="501">
        <v>2400</v>
      </c>
    </row>
    <row r="2004" spans="1:6">
      <c r="A2004" s="308">
        <v>43190</v>
      </c>
      <c r="B2004" s="309" t="s">
        <v>485</v>
      </c>
      <c r="C2004" s="309" t="s">
        <v>506</v>
      </c>
      <c r="D2004" s="136" t="str">
        <f t="array" ref="D2004">IF(E2004=0,0,(INDEX(AccountCodes[ACCOUNT NAME],MATCH(E2004,AccountCodes[NGAS CODE],0))))</f>
        <v>Employees Compensation Insurance Premiums</v>
      </c>
      <c r="E2004" s="309" t="s">
        <v>178</v>
      </c>
      <c r="F2004" s="501">
        <v>2400</v>
      </c>
    </row>
    <row r="2005" spans="1:6">
      <c r="A2005" s="308">
        <v>43220</v>
      </c>
      <c r="B2005" s="309" t="s">
        <v>485</v>
      </c>
      <c r="C2005" s="309" t="s">
        <v>506</v>
      </c>
      <c r="D2005" s="136" t="str">
        <f t="array" ref="D2005">IF(E2005=0,0,(INDEX(AccountCodes[ACCOUNT NAME],MATCH(E2005,AccountCodes[NGAS CODE],0))))</f>
        <v>Employees Compensation Insurance Premiums</v>
      </c>
      <c r="E2005" s="309" t="s">
        <v>178</v>
      </c>
      <c r="F2005" s="501">
        <v>2400</v>
      </c>
    </row>
    <row r="2006" spans="1:6">
      <c r="A2006" s="308">
        <v>43251</v>
      </c>
      <c r="B2006" s="309" t="s">
        <v>485</v>
      </c>
      <c r="C2006" s="309" t="s">
        <v>506</v>
      </c>
      <c r="D2006" s="136" t="str">
        <f t="array" ref="D2006">IF(E2006=0,0,(INDEX(AccountCodes[ACCOUNT NAME],MATCH(E2006,AccountCodes[NGAS CODE],0))))</f>
        <v>Employees Compensation Insurance Premiums</v>
      </c>
      <c r="E2006" s="309" t="s">
        <v>178</v>
      </c>
      <c r="F2006" s="501">
        <v>2400</v>
      </c>
    </row>
    <row r="2007" spans="1:6">
      <c r="A2007" s="308">
        <v>43281</v>
      </c>
      <c r="B2007" s="309" t="s">
        <v>485</v>
      </c>
      <c r="C2007" s="309" t="s">
        <v>506</v>
      </c>
      <c r="D2007" s="136" t="str">
        <f t="array" ref="D2007">IF(E2007=0,0,(INDEX(AccountCodes[ACCOUNT NAME],MATCH(E2007,AccountCodes[NGAS CODE],0))))</f>
        <v>Employees Compensation Insurance Premiums</v>
      </c>
      <c r="E2007" s="309" t="s">
        <v>178</v>
      </c>
      <c r="F2007" s="501">
        <v>2400</v>
      </c>
    </row>
    <row r="2008" spans="1:6">
      <c r="A2008" s="308">
        <v>43312</v>
      </c>
      <c r="B2008" s="309" t="s">
        <v>485</v>
      </c>
      <c r="C2008" s="309" t="s">
        <v>506</v>
      </c>
      <c r="D2008" s="136" t="str">
        <f t="array" ref="D2008">IF(E2008=0,0,(INDEX(AccountCodes[ACCOUNT NAME],MATCH(E2008,AccountCodes[NGAS CODE],0))))</f>
        <v>Employees Compensation Insurance Premiums</v>
      </c>
      <c r="E2008" s="309" t="s">
        <v>178</v>
      </c>
      <c r="F2008" s="501">
        <v>2400</v>
      </c>
    </row>
    <row r="2009" spans="1:6">
      <c r="A2009" s="308">
        <v>43343</v>
      </c>
      <c r="B2009" s="309" t="s">
        <v>485</v>
      </c>
      <c r="C2009" s="309" t="s">
        <v>506</v>
      </c>
      <c r="D2009" s="136" t="str">
        <f t="array" ref="D2009">IF(E2009=0,0,(INDEX(AccountCodes[ACCOUNT NAME],MATCH(E2009,AccountCodes[NGAS CODE],0))))</f>
        <v>Employees Compensation Insurance Premiums</v>
      </c>
      <c r="E2009" s="309" t="s">
        <v>178</v>
      </c>
      <c r="F2009" s="501">
        <v>2400</v>
      </c>
    </row>
    <row r="2010" spans="1:6">
      <c r="A2010" s="308">
        <v>43373</v>
      </c>
      <c r="B2010" s="309" t="s">
        <v>485</v>
      </c>
      <c r="C2010" s="309" t="s">
        <v>506</v>
      </c>
      <c r="D2010" s="136" t="str">
        <f t="array" ref="D2010">IF(E2010=0,0,(INDEX(AccountCodes[ACCOUNT NAME],MATCH(E2010,AccountCodes[NGAS CODE],0))))</f>
        <v>Employees Compensation Insurance Premiums</v>
      </c>
      <c r="E2010" s="309" t="s">
        <v>178</v>
      </c>
      <c r="F2010" s="501">
        <v>2400</v>
      </c>
    </row>
    <row r="2011" spans="1:6">
      <c r="A2011" s="308">
        <v>43404</v>
      </c>
      <c r="B2011" s="309" t="s">
        <v>485</v>
      </c>
      <c r="C2011" s="309" t="s">
        <v>506</v>
      </c>
      <c r="D2011" s="136" t="str">
        <f t="array" ref="D2011">IF(E2011=0,0,(INDEX(AccountCodes[ACCOUNT NAME],MATCH(E2011,AccountCodes[NGAS CODE],0))))</f>
        <v>Employees Compensation Insurance Premiums</v>
      </c>
      <c r="E2011" s="309" t="s">
        <v>178</v>
      </c>
      <c r="F2011" s="501">
        <v>2400</v>
      </c>
    </row>
    <row r="2012" spans="1:6">
      <c r="A2012" s="308">
        <v>43434</v>
      </c>
      <c r="B2012" s="309" t="s">
        <v>485</v>
      </c>
      <c r="C2012" s="309" t="s">
        <v>506</v>
      </c>
      <c r="D2012" s="136" t="str">
        <f t="array" ref="D2012">IF(E2012=0,0,(INDEX(AccountCodes[ACCOUNT NAME],MATCH(E2012,AccountCodes[NGAS CODE],0))))</f>
        <v>Employees Compensation Insurance Premiums</v>
      </c>
      <c r="E2012" s="309" t="s">
        <v>178</v>
      </c>
      <c r="F2012" s="501">
        <v>2400</v>
      </c>
    </row>
    <row r="2013" spans="1:6">
      <c r="A2013" s="308">
        <v>43465</v>
      </c>
      <c r="B2013" s="309" t="s">
        <v>485</v>
      </c>
      <c r="C2013" s="309" t="s">
        <v>506</v>
      </c>
      <c r="D2013" s="136" t="str">
        <f t="array" ref="D2013">IF(E2013=0,0,(INDEX(AccountCodes[ACCOUNT NAME],MATCH(E2013,AccountCodes[NGAS CODE],0))))</f>
        <v>Employees Compensation Insurance Premiums</v>
      </c>
      <c r="E2013" s="309" t="s">
        <v>178</v>
      </c>
      <c r="F2013" s="501">
        <v>2400</v>
      </c>
    </row>
    <row r="2014" spans="1:6">
      <c r="A2014" s="308">
        <v>43131</v>
      </c>
      <c r="B2014" s="309" t="s">
        <v>485</v>
      </c>
      <c r="C2014" s="309" t="s">
        <v>506</v>
      </c>
      <c r="D2014" s="136" t="str">
        <f t="array" ref="D2014">IF(E2014=0,0,(INDEX(AccountCodes[ACCOUNT NAME],MATCH(E2014,AccountCodes[NGAS CODE],0))))</f>
        <v>Traveling Expenses-Local</v>
      </c>
      <c r="E2014" s="309" t="s">
        <v>223</v>
      </c>
      <c r="F2014" s="501">
        <v>4700</v>
      </c>
    </row>
    <row r="2015" spans="1:6">
      <c r="A2015" s="308">
        <v>43159</v>
      </c>
      <c r="B2015" s="309" t="s">
        <v>485</v>
      </c>
      <c r="C2015" s="309" t="s">
        <v>506</v>
      </c>
      <c r="D2015" s="136" t="str">
        <f t="array" ref="D2015">IF(E2015=0,0,(INDEX(AccountCodes[ACCOUNT NAME],MATCH(E2015,AccountCodes[NGAS CODE],0))))</f>
        <v>Traveling Expenses-Local</v>
      </c>
      <c r="E2015" s="309" t="s">
        <v>223</v>
      </c>
      <c r="F2015" s="501">
        <v>4700</v>
      </c>
    </row>
    <row r="2016" spans="1:6">
      <c r="A2016" s="308">
        <v>43190</v>
      </c>
      <c r="B2016" s="309" t="s">
        <v>485</v>
      </c>
      <c r="C2016" s="309" t="s">
        <v>506</v>
      </c>
      <c r="D2016" s="136" t="str">
        <f t="array" ref="D2016">IF(E2016=0,0,(INDEX(AccountCodes[ACCOUNT NAME],MATCH(E2016,AccountCodes[NGAS CODE],0))))</f>
        <v>Traveling Expenses-Local</v>
      </c>
      <c r="E2016" s="309" t="s">
        <v>223</v>
      </c>
      <c r="F2016" s="501">
        <v>4700</v>
      </c>
    </row>
    <row r="2017" spans="1:6">
      <c r="A2017" s="308">
        <v>43220</v>
      </c>
      <c r="B2017" s="309" t="s">
        <v>485</v>
      </c>
      <c r="C2017" s="309" t="s">
        <v>506</v>
      </c>
      <c r="D2017" s="136" t="str">
        <f t="array" ref="D2017">IF(E2017=0,0,(INDEX(AccountCodes[ACCOUNT NAME],MATCH(E2017,AccountCodes[NGAS CODE],0))))</f>
        <v>Traveling Expenses-Local</v>
      </c>
      <c r="E2017" s="309" t="s">
        <v>223</v>
      </c>
      <c r="F2017" s="501">
        <v>4700</v>
      </c>
    </row>
    <row r="2018" spans="1:6">
      <c r="A2018" s="308">
        <v>43251</v>
      </c>
      <c r="B2018" s="309" t="s">
        <v>485</v>
      </c>
      <c r="C2018" s="309" t="s">
        <v>506</v>
      </c>
      <c r="D2018" s="136" t="str">
        <f t="array" ref="D2018">IF(E2018=0,0,(INDEX(AccountCodes[ACCOUNT NAME],MATCH(E2018,AccountCodes[NGAS CODE],0))))</f>
        <v>Traveling Expenses-Local</v>
      </c>
      <c r="E2018" s="309" t="s">
        <v>223</v>
      </c>
      <c r="F2018" s="501">
        <v>4700</v>
      </c>
    </row>
    <row r="2019" spans="1:6">
      <c r="A2019" s="308">
        <v>43281</v>
      </c>
      <c r="B2019" s="309" t="s">
        <v>485</v>
      </c>
      <c r="C2019" s="309" t="s">
        <v>506</v>
      </c>
      <c r="D2019" s="136" t="str">
        <f t="array" ref="D2019">IF(E2019=0,0,(INDEX(AccountCodes[ACCOUNT NAME],MATCH(E2019,AccountCodes[NGAS CODE],0))))</f>
        <v>Traveling Expenses-Local</v>
      </c>
      <c r="E2019" s="309" t="s">
        <v>223</v>
      </c>
      <c r="F2019" s="501">
        <v>4700</v>
      </c>
    </row>
    <row r="2020" spans="1:6">
      <c r="A2020" s="308">
        <v>43312</v>
      </c>
      <c r="B2020" s="309" t="s">
        <v>485</v>
      </c>
      <c r="C2020" s="309" t="s">
        <v>506</v>
      </c>
      <c r="D2020" s="136" t="str">
        <f t="array" ref="D2020">IF(E2020=0,0,(INDEX(AccountCodes[ACCOUNT NAME],MATCH(E2020,AccountCodes[NGAS CODE],0))))</f>
        <v>Traveling Expenses-Local</v>
      </c>
      <c r="E2020" s="309" t="s">
        <v>223</v>
      </c>
      <c r="F2020" s="501">
        <v>4700</v>
      </c>
    </row>
    <row r="2021" spans="1:6">
      <c r="A2021" s="308">
        <v>43343</v>
      </c>
      <c r="B2021" s="309" t="s">
        <v>485</v>
      </c>
      <c r="C2021" s="309" t="s">
        <v>506</v>
      </c>
      <c r="D2021" s="136" t="str">
        <f t="array" ref="D2021">IF(E2021=0,0,(INDEX(AccountCodes[ACCOUNT NAME],MATCH(E2021,AccountCodes[NGAS CODE],0))))</f>
        <v>Traveling Expenses-Local</v>
      </c>
      <c r="E2021" s="309" t="s">
        <v>223</v>
      </c>
      <c r="F2021" s="501">
        <v>4700</v>
      </c>
    </row>
    <row r="2022" spans="1:6">
      <c r="A2022" s="308">
        <v>43373</v>
      </c>
      <c r="B2022" s="309" t="s">
        <v>485</v>
      </c>
      <c r="C2022" s="309" t="s">
        <v>506</v>
      </c>
      <c r="D2022" s="136" t="str">
        <f t="array" ref="D2022">IF(E2022=0,0,(INDEX(AccountCodes[ACCOUNT NAME],MATCH(E2022,AccountCodes[NGAS CODE],0))))</f>
        <v>Traveling Expenses-Local</v>
      </c>
      <c r="E2022" s="309" t="s">
        <v>223</v>
      </c>
      <c r="F2022" s="501">
        <v>4700</v>
      </c>
    </row>
    <row r="2023" spans="1:6">
      <c r="A2023" s="308">
        <v>43404</v>
      </c>
      <c r="B2023" s="309" t="s">
        <v>485</v>
      </c>
      <c r="C2023" s="309" t="s">
        <v>506</v>
      </c>
      <c r="D2023" s="136" t="str">
        <f t="array" ref="D2023">IF(E2023=0,0,(INDEX(AccountCodes[ACCOUNT NAME],MATCH(E2023,AccountCodes[NGAS CODE],0))))</f>
        <v>Traveling Expenses-Local</v>
      </c>
      <c r="E2023" s="309" t="s">
        <v>223</v>
      </c>
      <c r="F2023" s="501">
        <v>4700</v>
      </c>
    </row>
    <row r="2024" spans="1:6">
      <c r="A2024" s="308">
        <v>43434</v>
      </c>
      <c r="B2024" s="309" t="s">
        <v>485</v>
      </c>
      <c r="C2024" s="309" t="s">
        <v>506</v>
      </c>
      <c r="D2024" s="136" t="str">
        <f t="array" ref="D2024">IF(E2024=0,0,(INDEX(AccountCodes[ACCOUNT NAME],MATCH(E2024,AccountCodes[NGAS CODE],0))))</f>
        <v>Traveling Expenses-Local</v>
      </c>
      <c r="E2024" s="309" t="s">
        <v>223</v>
      </c>
      <c r="F2024" s="501">
        <v>4700</v>
      </c>
    </row>
    <row r="2025" spans="1:6">
      <c r="A2025" s="308">
        <v>43465</v>
      </c>
      <c r="B2025" s="309" t="s">
        <v>485</v>
      </c>
      <c r="C2025" s="309" t="s">
        <v>506</v>
      </c>
      <c r="D2025" s="136" t="str">
        <f t="array" ref="D2025">IF(E2025=0,0,(INDEX(AccountCodes[ACCOUNT NAME],MATCH(E2025,AccountCodes[NGAS CODE],0))))</f>
        <v>Traveling Expenses-Local</v>
      </c>
      <c r="E2025" s="309" t="s">
        <v>223</v>
      </c>
      <c r="F2025" s="501">
        <v>5100</v>
      </c>
    </row>
    <row r="2026" spans="1:6">
      <c r="A2026" s="308">
        <v>43190</v>
      </c>
      <c r="B2026" s="309" t="s">
        <v>485</v>
      </c>
      <c r="C2026" s="309" t="s">
        <v>506</v>
      </c>
      <c r="D2026" s="136" t="str">
        <f t="array" ref="D2026">IF(E2026=0,0,(INDEX(AccountCodes[ACCOUNT NAME],MATCH(E2026,AccountCodes[NGAS CODE],0))))</f>
        <v>Training Expenses</v>
      </c>
      <c r="E2026" s="309" t="s">
        <v>224</v>
      </c>
      <c r="F2026" s="501">
        <v>37500</v>
      </c>
    </row>
    <row r="2027" spans="1:6">
      <c r="A2027" s="308">
        <v>43281</v>
      </c>
      <c r="B2027" s="309" t="s">
        <v>485</v>
      </c>
      <c r="C2027" s="309" t="s">
        <v>506</v>
      </c>
      <c r="D2027" s="136" t="str">
        <f t="array" ref="D2027">IF(E2027=0,0,(INDEX(AccountCodes[ACCOUNT NAME],MATCH(E2027,AccountCodes[NGAS CODE],0))))</f>
        <v>Training Expenses</v>
      </c>
      <c r="E2027" s="309" t="s">
        <v>224</v>
      </c>
      <c r="F2027" s="501">
        <v>37500</v>
      </c>
    </row>
    <row r="2028" spans="1:6">
      <c r="A2028" s="308">
        <v>43373</v>
      </c>
      <c r="B2028" s="309" t="s">
        <v>485</v>
      </c>
      <c r="C2028" s="309" t="s">
        <v>506</v>
      </c>
      <c r="D2028" s="136" t="str">
        <f t="array" ref="D2028">IF(E2028=0,0,(INDEX(AccountCodes[ACCOUNT NAME],MATCH(E2028,AccountCodes[NGAS CODE],0))))</f>
        <v>Training Expenses</v>
      </c>
      <c r="E2028" s="309" t="s">
        <v>224</v>
      </c>
      <c r="F2028" s="501">
        <v>37500</v>
      </c>
    </row>
    <row r="2029" spans="1:6">
      <c r="A2029" s="308">
        <v>43465</v>
      </c>
      <c r="B2029" s="309" t="s">
        <v>485</v>
      </c>
      <c r="C2029" s="309" t="s">
        <v>506</v>
      </c>
      <c r="D2029" s="136" t="str">
        <f t="array" ref="D2029">IF(E2029=0,0,(INDEX(AccountCodes[ACCOUNT NAME],MATCH(E2029,AccountCodes[NGAS CODE],0))))</f>
        <v>Training Expenses</v>
      </c>
      <c r="E2029" s="309" t="s">
        <v>224</v>
      </c>
      <c r="F2029" s="501">
        <v>37500</v>
      </c>
    </row>
    <row r="2030" spans="1:6">
      <c r="A2030" s="308">
        <v>43131</v>
      </c>
      <c r="B2030" s="309" t="s">
        <v>485</v>
      </c>
      <c r="C2030" s="309" t="s">
        <v>506</v>
      </c>
      <c r="D2030" s="136" t="str">
        <f t="array" ref="D2030">IF(E2030=0,0,(INDEX(AccountCodes[ACCOUNT NAME],MATCH(E2030,AccountCodes[NGAS CODE],0))))</f>
        <v>Office Supplies Expenses</v>
      </c>
      <c r="E2030" s="309" t="s">
        <v>225</v>
      </c>
      <c r="F2030" s="501">
        <v>50000</v>
      </c>
    </row>
    <row r="2031" spans="1:6">
      <c r="A2031" s="308">
        <v>43220</v>
      </c>
      <c r="B2031" s="309" t="s">
        <v>485</v>
      </c>
      <c r="C2031" s="309" t="s">
        <v>506</v>
      </c>
      <c r="D2031" s="136" t="str">
        <f t="array" ref="D2031">IF(E2031=0,0,(INDEX(AccountCodes[ACCOUNT NAME],MATCH(E2031,AccountCodes[NGAS CODE],0))))</f>
        <v>Office Supplies Expenses</v>
      </c>
      <c r="E2031" s="309" t="s">
        <v>225</v>
      </c>
      <c r="F2031" s="501">
        <v>50000</v>
      </c>
    </row>
    <row r="2032" spans="1:6">
      <c r="A2032" s="308">
        <v>43312</v>
      </c>
      <c r="B2032" s="309" t="s">
        <v>485</v>
      </c>
      <c r="C2032" s="309" t="s">
        <v>506</v>
      </c>
      <c r="D2032" s="136" t="str">
        <f t="array" ref="D2032">IF(E2032=0,0,(INDEX(AccountCodes[ACCOUNT NAME],MATCH(E2032,AccountCodes[NGAS CODE],0))))</f>
        <v>Office Supplies Expenses</v>
      </c>
      <c r="E2032" s="309" t="s">
        <v>225</v>
      </c>
      <c r="F2032" s="501">
        <v>50000</v>
      </c>
    </row>
    <row r="2033" spans="1:6">
      <c r="A2033" s="308">
        <v>43404</v>
      </c>
      <c r="B2033" s="309" t="s">
        <v>485</v>
      </c>
      <c r="C2033" s="309" t="s">
        <v>506</v>
      </c>
      <c r="D2033" s="136" t="str">
        <f t="array" ref="D2033">IF(E2033=0,0,(INDEX(AccountCodes[ACCOUNT NAME],MATCH(E2033,AccountCodes[NGAS CODE],0))))</f>
        <v>Office Supplies Expenses</v>
      </c>
      <c r="E2033" s="309" t="s">
        <v>225</v>
      </c>
      <c r="F2033" s="501">
        <v>70000</v>
      </c>
    </row>
    <row r="2034" spans="1:6">
      <c r="A2034" s="308">
        <v>43131</v>
      </c>
      <c r="B2034" s="309" t="s">
        <v>485</v>
      </c>
      <c r="C2034" s="309" t="s">
        <v>506</v>
      </c>
      <c r="D2034" s="136" t="str">
        <f t="array" ref="D2034">IF(E2034=0,0,(INDEX(AccountCodes[ACCOUNT NAME],MATCH(E2034,AccountCodes[NGAS CODE],0))))</f>
        <v>Other Supplies and Materials Expenses</v>
      </c>
      <c r="E2034" s="309" t="s">
        <v>231</v>
      </c>
      <c r="F2034" s="501">
        <v>15000</v>
      </c>
    </row>
    <row r="2035" spans="1:6">
      <c r="A2035" s="308">
        <v>43281</v>
      </c>
      <c r="B2035" s="309" t="s">
        <v>485</v>
      </c>
      <c r="C2035" s="309" t="s">
        <v>506</v>
      </c>
      <c r="D2035" s="136" t="str">
        <f t="array" ref="D2035">IF(E2035=0,0,(INDEX(AccountCodes[ACCOUNT NAME],MATCH(E2035,AccountCodes[NGAS CODE],0))))</f>
        <v>Other Supplies and Materials Expenses</v>
      </c>
      <c r="E2035" s="309" t="s">
        <v>231</v>
      </c>
      <c r="F2035" s="501">
        <v>10000</v>
      </c>
    </row>
    <row r="2036" spans="1:6">
      <c r="A2036" s="308">
        <v>43131</v>
      </c>
      <c r="B2036" s="309" t="s">
        <v>485</v>
      </c>
      <c r="C2036" s="309" t="s">
        <v>506</v>
      </c>
      <c r="D2036" s="136" t="str">
        <f t="array" ref="D2036">IF(E2036=0,0,(INDEX(AccountCodes[ACCOUNT NAME],MATCH(E2036,AccountCodes[NGAS CODE],0))))</f>
        <v>Fuel, Oil and Lubricants Expenses</v>
      </c>
      <c r="E2036" s="309" t="s">
        <v>229</v>
      </c>
      <c r="F2036" s="501">
        <v>100000</v>
      </c>
    </row>
    <row r="2037" spans="1:6">
      <c r="A2037" s="308">
        <v>43159</v>
      </c>
      <c r="B2037" s="309" t="s">
        <v>485</v>
      </c>
      <c r="C2037" s="309" t="s">
        <v>506</v>
      </c>
      <c r="D2037" s="136" t="str">
        <f t="array" ref="D2037">IF(E2037=0,0,(INDEX(AccountCodes[ACCOUNT NAME],MATCH(E2037,AccountCodes[NGAS CODE],0))))</f>
        <v>Fuel, Oil and Lubricants Expenses</v>
      </c>
      <c r="E2037" s="309" t="s">
        <v>229</v>
      </c>
      <c r="F2037" s="501">
        <v>80000</v>
      </c>
    </row>
    <row r="2038" spans="1:6">
      <c r="A2038" s="308">
        <v>43190</v>
      </c>
      <c r="B2038" s="309" t="s">
        <v>485</v>
      </c>
      <c r="C2038" s="309" t="s">
        <v>506</v>
      </c>
      <c r="D2038" s="136" t="str">
        <f t="array" ref="D2038">IF(E2038=0,0,(INDEX(AccountCodes[ACCOUNT NAME],MATCH(E2038,AccountCodes[NGAS CODE],0))))</f>
        <v>Fuel, Oil and Lubricants Expenses</v>
      </c>
      <c r="E2038" s="309" t="s">
        <v>229</v>
      </c>
      <c r="F2038" s="501">
        <v>100000</v>
      </c>
    </row>
    <row r="2039" spans="1:6">
      <c r="A2039" s="308">
        <v>43220</v>
      </c>
      <c r="B2039" s="309" t="s">
        <v>485</v>
      </c>
      <c r="C2039" s="309" t="s">
        <v>506</v>
      </c>
      <c r="D2039" s="136" t="str">
        <f t="array" ref="D2039">IF(E2039=0,0,(INDEX(AccountCodes[ACCOUNT NAME],MATCH(E2039,AccountCodes[NGAS CODE],0))))</f>
        <v>Fuel, Oil and Lubricants Expenses</v>
      </c>
      <c r="E2039" s="309" t="s">
        <v>229</v>
      </c>
      <c r="F2039" s="501">
        <v>75000</v>
      </c>
    </row>
    <row r="2040" spans="1:6">
      <c r="A2040" s="308">
        <v>43251</v>
      </c>
      <c r="B2040" s="309" t="s">
        <v>485</v>
      </c>
      <c r="C2040" s="309" t="s">
        <v>506</v>
      </c>
      <c r="D2040" s="136" t="str">
        <f t="array" ref="D2040">IF(E2040=0,0,(INDEX(AccountCodes[ACCOUNT NAME],MATCH(E2040,AccountCodes[NGAS CODE],0))))</f>
        <v>Fuel, Oil and Lubricants Expenses</v>
      </c>
      <c r="E2040" s="309" t="s">
        <v>229</v>
      </c>
      <c r="F2040" s="501">
        <v>50000</v>
      </c>
    </row>
    <row r="2041" spans="1:6">
      <c r="A2041" s="308">
        <v>43281</v>
      </c>
      <c r="B2041" s="309" t="s">
        <v>485</v>
      </c>
      <c r="C2041" s="309" t="s">
        <v>506</v>
      </c>
      <c r="D2041" s="136" t="str">
        <f t="array" ref="D2041">IF(E2041=0,0,(INDEX(AccountCodes[ACCOUNT NAME],MATCH(E2041,AccountCodes[NGAS CODE],0))))</f>
        <v>Fuel, Oil and Lubricants Expenses</v>
      </c>
      <c r="E2041" s="309" t="s">
        <v>229</v>
      </c>
      <c r="F2041" s="501">
        <v>50000</v>
      </c>
    </row>
    <row r="2042" spans="1:6">
      <c r="A2042" s="308">
        <v>43312</v>
      </c>
      <c r="B2042" s="309" t="s">
        <v>485</v>
      </c>
      <c r="C2042" s="309" t="s">
        <v>506</v>
      </c>
      <c r="D2042" s="136" t="str">
        <f t="array" ref="D2042">IF(E2042=0,0,(INDEX(AccountCodes[ACCOUNT NAME],MATCH(E2042,AccountCodes[NGAS CODE],0))))</f>
        <v>Fuel, Oil and Lubricants Expenses</v>
      </c>
      <c r="E2042" s="309" t="s">
        <v>229</v>
      </c>
      <c r="F2042" s="501">
        <v>30000</v>
      </c>
    </row>
    <row r="2043" spans="1:6">
      <c r="A2043" s="308">
        <v>43343</v>
      </c>
      <c r="B2043" s="309" t="s">
        <v>485</v>
      </c>
      <c r="C2043" s="309" t="s">
        <v>506</v>
      </c>
      <c r="D2043" s="136" t="str">
        <f t="array" ref="D2043">IF(E2043=0,0,(INDEX(AccountCodes[ACCOUNT NAME],MATCH(E2043,AccountCodes[NGAS CODE],0))))</f>
        <v>Fuel, Oil and Lubricants Expenses</v>
      </c>
      <c r="E2043" s="309" t="s">
        <v>229</v>
      </c>
      <c r="F2043" s="501">
        <v>34000</v>
      </c>
    </row>
    <row r="2044" spans="1:6">
      <c r="A2044" s="308">
        <v>43373</v>
      </c>
      <c r="B2044" s="309" t="s">
        <v>485</v>
      </c>
      <c r="C2044" s="309" t="s">
        <v>506</v>
      </c>
      <c r="D2044" s="136" t="str">
        <f t="array" ref="D2044">IF(E2044=0,0,(INDEX(AccountCodes[ACCOUNT NAME],MATCH(E2044,AccountCodes[NGAS CODE],0))))</f>
        <v>Fuel, Oil and Lubricants Expenses</v>
      </c>
      <c r="E2044" s="309" t="s">
        <v>229</v>
      </c>
      <c r="F2044" s="501">
        <v>50000</v>
      </c>
    </row>
    <row r="2045" spans="1:6">
      <c r="A2045" s="308">
        <v>43404</v>
      </c>
      <c r="B2045" s="309" t="s">
        <v>485</v>
      </c>
      <c r="C2045" s="309" t="s">
        <v>506</v>
      </c>
      <c r="D2045" s="136" t="str">
        <f t="array" ref="D2045">IF(E2045=0,0,(INDEX(AccountCodes[ACCOUNT NAME],MATCH(E2045,AccountCodes[NGAS CODE],0))))</f>
        <v>Fuel, Oil and Lubricants Expenses</v>
      </c>
      <c r="E2045" s="309" t="s">
        <v>229</v>
      </c>
      <c r="F2045" s="501">
        <v>45000</v>
      </c>
    </row>
    <row r="2046" spans="1:6">
      <c r="A2046" s="308">
        <v>43434</v>
      </c>
      <c r="B2046" s="309" t="s">
        <v>485</v>
      </c>
      <c r="C2046" s="309" t="s">
        <v>506</v>
      </c>
      <c r="D2046" s="136" t="str">
        <f t="array" ref="D2046">IF(E2046=0,0,(INDEX(AccountCodes[ACCOUNT NAME],MATCH(E2046,AccountCodes[NGAS CODE],0))))</f>
        <v>Fuel, Oil and Lubricants Expenses</v>
      </c>
      <c r="E2046" s="309" t="s">
        <v>229</v>
      </c>
      <c r="F2046" s="501">
        <v>20000</v>
      </c>
    </row>
    <row r="2047" spans="1:6">
      <c r="A2047" s="308">
        <v>43465</v>
      </c>
      <c r="B2047" s="309" t="s">
        <v>485</v>
      </c>
      <c r="C2047" s="309" t="s">
        <v>506</v>
      </c>
      <c r="D2047" s="136" t="str">
        <f t="array" ref="D2047">IF(E2047=0,0,(INDEX(AccountCodes[ACCOUNT NAME],MATCH(E2047,AccountCodes[NGAS CODE],0))))</f>
        <v>Fuel, Oil and Lubricants Expenses</v>
      </c>
      <c r="E2047" s="309" t="s">
        <v>229</v>
      </c>
      <c r="F2047" s="501">
        <v>50000</v>
      </c>
    </row>
    <row r="2048" spans="1:6">
      <c r="A2048" s="308">
        <v>43131</v>
      </c>
      <c r="B2048" s="309" t="s">
        <v>485</v>
      </c>
      <c r="C2048" s="309" t="s">
        <v>506</v>
      </c>
      <c r="D2048" s="136" t="str">
        <f t="array" ref="D2048">IF(E2048=0,0,(INDEX(AccountCodes[ACCOUNT NAME],MATCH(E2048,AccountCodes[NGAS CODE],0))))</f>
        <v>Other Supplies and Materials Expenses</v>
      </c>
      <c r="E2048" s="309" t="s">
        <v>231</v>
      </c>
      <c r="F2048" s="501">
        <v>8000</v>
      </c>
    </row>
    <row r="2049" spans="1:6">
      <c r="A2049" s="308">
        <v>43159</v>
      </c>
      <c r="B2049" s="309" t="s">
        <v>485</v>
      </c>
      <c r="C2049" s="309" t="s">
        <v>506</v>
      </c>
      <c r="D2049" s="136" t="str">
        <f t="array" ref="D2049">IF(E2049=0,0,(INDEX(AccountCodes[ACCOUNT NAME],MATCH(E2049,AccountCodes[NGAS CODE],0))))</f>
        <v>Other Supplies and Materials Expenses</v>
      </c>
      <c r="E2049" s="309" t="s">
        <v>231</v>
      </c>
      <c r="F2049" s="501">
        <v>5000</v>
      </c>
    </row>
    <row r="2050" spans="1:6">
      <c r="A2050" s="308">
        <v>43190</v>
      </c>
      <c r="B2050" s="309" t="s">
        <v>485</v>
      </c>
      <c r="C2050" s="309" t="s">
        <v>506</v>
      </c>
      <c r="D2050" s="136" t="str">
        <f t="array" ref="D2050">IF(E2050=0,0,(INDEX(AccountCodes[ACCOUNT NAME],MATCH(E2050,AccountCodes[NGAS CODE],0))))</f>
        <v>Other Supplies and Materials Expenses</v>
      </c>
      <c r="E2050" s="309" t="s">
        <v>231</v>
      </c>
      <c r="F2050" s="501">
        <v>10000</v>
      </c>
    </row>
    <row r="2051" spans="1:6">
      <c r="A2051" s="308">
        <v>43220</v>
      </c>
      <c r="B2051" s="309" t="s">
        <v>485</v>
      </c>
      <c r="C2051" s="309" t="s">
        <v>506</v>
      </c>
      <c r="D2051" s="136" t="str">
        <f t="array" ref="D2051">IF(E2051=0,0,(INDEX(AccountCodes[ACCOUNT NAME],MATCH(E2051,AccountCodes[NGAS CODE],0))))</f>
        <v>Other Supplies and Materials Expenses</v>
      </c>
      <c r="E2051" s="309" t="s">
        <v>231</v>
      </c>
      <c r="F2051" s="501">
        <v>8000</v>
      </c>
    </row>
    <row r="2052" spans="1:6">
      <c r="A2052" s="308">
        <v>43251</v>
      </c>
      <c r="B2052" s="309" t="s">
        <v>485</v>
      </c>
      <c r="C2052" s="309" t="s">
        <v>506</v>
      </c>
      <c r="D2052" s="136" t="str">
        <f t="array" ref="D2052">IF(E2052=0,0,(INDEX(AccountCodes[ACCOUNT NAME],MATCH(E2052,AccountCodes[NGAS CODE],0))))</f>
        <v>Other Supplies and Materials Expenses</v>
      </c>
      <c r="E2052" s="309" t="s">
        <v>231</v>
      </c>
      <c r="F2052" s="501">
        <v>10000</v>
      </c>
    </row>
    <row r="2053" spans="1:6">
      <c r="A2053" s="308">
        <v>43281</v>
      </c>
      <c r="B2053" s="309" t="s">
        <v>485</v>
      </c>
      <c r="C2053" s="309" t="s">
        <v>506</v>
      </c>
      <c r="D2053" s="136" t="str">
        <f t="array" ref="D2053">IF(E2053=0,0,(INDEX(AccountCodes[ACCOUNT NAME],MATCH(E2053,AccountCodes[NGAS CODE],0))))</f>
        <v>Other Supplies and Materials Expenses</v>
      </c>
      <c r="E2053" s="309" t="s">
        <v>231</v>
      </c>
      <c r="F2053" s="501">
        <v>5000</v>
      </c>
    </row>
    <row r="2054" spans="1:6">
      <c r="A2054" s="308">
        <v>43312</v>
      </c>
      <c r="B2054" s="309" t="s">
        <v>485</v>
      </c>
      <c r="C2054" s="309" t="s">
        <v>506</v>
      </c>
      <c r="D2054" s="136" t="str">
        <f t="array" ref="D2054">IF(E2054=0,0,(INDEX(AccountCodes[ACCOUNT NAME],MATCH(E2054,AccountCodes[NGAS CODE],0))))</f>
        <v>Other Supplies and Materials Expenses</v>
      </c>
      <c r="E2054" s="309" t="s">
        <v>231</v>
      </c>
      <c r="F2054" s="501">
        <v>6000</v>
      </c>
    </row>
    <row r="2055" spans="1:6">
      <c r="A2055" s="308">
        <v>43343</v>
      </c>
      <c r="B2055" s="309" t="s">
        <v>485</v>
      </c>
      <c r="C2055" s="309" t="s">
        <v>506</v>
      </c>
      <c r="D2055" s="136" t="str">
        <f t="array" ref="D2055">IF(E2055=0,0,(INDEX(AccountCodes[ACCOUNT NAME],MATCH(E2055,AccountCodes[NGAS CODE],0))))</f>
        <v>Other Supplies and Materials Expenses</v>
      </c>
      <c r="E2055" s="309" t="s">
        <v>231</v>
      </c>
      <c r="F2055" s="501">
        <v>10000</v>
      </c>
    </row>
    <row r="2056" spans="1:6">
      <c r="A2056" s="308">
        <v>43373</v>
      </c>
      <c r="B2056" s="309" t="s">
        <v>485</v>
      </c>
      <c r="C2056" s="309" t="s">
        <v>506</v>
      </c>
      <c r="D2056" s="136" t="str">
        <f t="array" ref="D2056">IF(E2056=0,0,(INDEX(AccountCodes[ACCOUNT NAME],MATCH(E2056,AccountCodes[NGAS CODE],0))))</f>
        <v>Other Supplies and Materials Expenses</v>
      </c>
      <c r="E2056" s="309" t="s">
        <v>231</v>
      </c>
      <c r="F2056" s="501">
        <v>5000</v>
      </c>
    </row>
    <row r="2057" spans="1:6">
      <c r="A2057" s="308">
        <v>43404</v>
      </c>
      <c r="B2057" s="309" t="s">
        <v>485</v>
      </c>
      <c r="C2057" s="309" t="s">
        <v>506</v>
      </c>
      <c r="D2057" s="136" t="str">
        <f t="array" ref="D2057">IF(E2057=0,0,(INDEX(AccountCodes[ACCOUNT NAME],MATCH(E2057,AccountCodes[NGAS CODE],0))))</f>
        <v>Other Supplies and Materials Expenses</v>
      </c>
      <c r="E2057" s="309" t="s">
        <v>231</v>
      </c>
      <c r="F2057" s="501">
        <v>5000</v>
      </c>
    </row>
    <row r="2058" spans="1:6">
      <c r="A2058" s="308">
        <v>43434</v>
      </c>
      <c r="B2058" s="309" t="s">
        <v>485</v>
      </c>
      <c r="C2058" s="309" t="s">
        <v>506</v>
      </c>
      <c r="D2058" s="136" t="str">
        <f t="array" ref="D2058">IF(E2058=0,0,(INDEX(AccountCodes[ACCOUNT NAME],MATCH(E2058,AccountCodes[NGAS CODE],0))))</f>
        <v>Other Supplies and Materials Expenses</v>
      </c>
      <c r="E2058" s="309" t="s">
        <v>231</v>
      </c>
      <c r="F2058" s="501">
        <v>10000</v>
      </c>
    </row>
    <row r="2059" spans="1:6">
      <c r="A2059" s="308">
        <v>43465</v>
      </c>
      <c r="B2059" s="309" t="s">
        <v>485</v>
      </c>
      <c r="C2059" s="309" t="s">
        <v>506</v>
      </c>
      <c r="D2059" s="136" t="str">
        <f t="array" ref="D2059">IF(E2059=0,0,(INDEX(AccountCodes[ACCOUNT NAME],MATCH(E2059,AccountCodes[NGAS CODE],0))))</f>
        <v>Other Supplies and Materials Expenses</v>
      </c>
      <c r="E2059" s="309" t="s">
        <v>231</v>
      </c>
      <c r="F2059" s="501">
        <v>6000</v>
      </c>
    </row>
    <row r="2060" spans="1:6">
      <c r="A2060" s="308">
        <v>43131</v>
      </c>
      <c r="B2060" s="309" t="s">
        <v>485</v>
      </c>
      <c r="C2060" s="309" t="s">
        <v>506</v>
      </c>
      <c r="D2060" s="136" t="str">
        <f t="array" ref="D2060">IF(E2060=0,0,(INDEX(AccountCodes[ACCOUNT NAME],MATCH(E2060,AccountCodes[NGAS CODE],0))))</f>
        <v>Water Expenses</v>
      </c>
      <c r="E2060" s="309" t="s">
        <v>232</v>
      </c>
      <c r="F2060" s="501">
        <v>4000</v>
      </c>
    </row>
    <row r="2061" spans="1:6">
      <c r="A2061" s="308">
        <v>43159</v>
      </c>
      <c r="B2061" s="309" t="s">
        <v>485</v>
      </c>
      <c r="C2061" s="309" t="s">
        <v>506</v>
      </c>
      <c r="D2061" s="136" t="str">
        <f t="array" ref="D2061">IF(E2061=0,0,(INDEX(AccountCodes[ACCOUNT NAME],MATCH(E2061,AccountCodes[NGAS CODE],0))))</f>
        <v>Water Expenses</v>
      </c>
      <c r="E2061" s="309" t="s">
        <v>232</v>
      </c>
      <c r="F2061" s="501">
        <v>4000</v>
      </c>
    </row>
    <row r="2062" spans="1:6">
      <c r="A2062" s="308">
        <v>43190</v>
      </c>
      <c r="B2062" s="309" t="s">
        <v>485</v>
      </c>
      <c r="C2062" s="309" t="s">
        <v>506</v>
      </c>
      <c r="D2062" s="136" t="str">
        <f t="array" ref="D2062">IF(E2062=0,0,(INDEX(AccountCodes[ACCOUNT NAME],MATCH(E2062,AccountCodes[NGAS CODE],0))))</f>
        <v>Water Expenses</v>
      </c>
      <c r="E2062" s="309" t="s">
        <v>232</v>
      </c>
      <c r="F2062" s="501">
        <v>4000</v>
      </c>
    </row>
    <row r="2063" spans="1:6">
      <c r="A2063" s="308">
        <v>43220</v>
      </c>
      <c r="B2063" s="309" t="s">
        <v>485</v>
      </c>
      <c r="C2063" s="309" t="s">
        <v>506</v>
      </c>
      <c r="D2063" s="136" t="str">
        <f t="array" ref="D2063">IF(E2063=0,0,(INDEX(AccountCodes[ACCOUNT NAME],MATCH(E2063,AccountCodes[NGAS CODE],0))))</f>
        <v>Water Expenses</v>
      </c>
      <c r="E2063" s="309" t="s">
        <v>232</v>
      </c>
      <c r="F2063" s="501">
        <v>4000</v>
      </c>
    </row>
    <row r="2064" spans="1:6">
      <c r="A2064" s="308">
        <v>43251</v>
      </c>
      <c r="B2064" s="309" t="s">
        <v>485</v>
      </c>
      <c r="C2064" s="309" t="s">
        <v>506</v>
      </c>
      <c r="D2064" s="136" t="str">
        <f t="array" ref="D2064">IF(E2064=0,0,(INDEX(AccountCodes[ACCOUNT NAME],MATCH(E2064,AccountCodes[NGAS CODE],0))))</f>
        <v>Water Expenses</v>
      </c>
      <c r="E2064" s="309" t="s">
        <v>232</v>
      </c>
      <c r="F2064" s="501">
        <v>4000</v>
      </c>
    </row>
    <row r="2065" spans="1:6">
      <c r="A2065" s="308">
        <v>43281</v>
      </c>
      <c r="B2065" s="309" t="s">
        <v>485</v>
      </c>
      <c r="C2065" s="309" t="s">
        <v>506</v>
      </c>
      <c r="D2065" s="136" t="str">
        <f t="array" ref="D2065">IF(E2065=0,0,(INDEX(AccountCodes[ACCOUNT NAME],MATCH(E2065,AccountCodes[NGAS CODE],0))))</f>
        <v>Water Expenses</v>
      </c>
      <c r="E2065" s="309" t="s">
        <v>232</v>
      </c>
      <c r="F2065" s="501">
        <v>4000</v>
      </c>
    </row>
    <row r="2066" spans="1:6">
      <c r="A2066" s="308">
        <v>43312</v>
      </c>
      <c r="B2066" s="309" t="s">
        <v>485</v>
      </c>
      <c r="C2066" s="309" t="s">
        <v>506</v>
      </c>
      <c r="D2066" s="136" t="str">
        <f t="array" ref="D2066">IF(E2066=0,0,(INDEX(AccountCodes[ACCOUNT NAME],MATCH(E2066,AccountCodes[NGAS CODE],0))))</f>
        <v>Water Expenses</v>
      </c>
      <c r="E2066" s="309" t="s">
        <v>232</v>
      </c>
      <c r="F2066" s="501">
        <v>4000</v>
      </c>
    </row>
    <row r="2067" spans="1:6">
      <c r="A2067" s="308">
        <v>43343</v>
      </c>
      <c r="B2067" s="309" t="s">
        <v>485</v>
      </c>
      <c r="C2067" s="309" t="s">
        <v>506</v>
      </c>
      <c r="D2067" s="136" t="str">
        <f t="array" ref="D2067">IF(E2067=0,0,(INDEX(AccountCodes[ACCOUNT NAME],MATCH(E2067,AccountCodes[NGAS CODE],0))))</f>
        <v>Water Expenses</v>
      </c>
      <c r="E2067" s="309" t="s">
        <v>232</v>
      </c>
      <c r="F2067" s="501">
        <v>4000</v>
      </c>
    </row>
    <row r="2068" spans="1:6">
      <c r="A2068" s="308">
        <v>43373</v>
      </c>
      <c r="B2068" s="309" t="s">
        <v>485</v>
      </c>
      <c r="C2068" s="309" t="s">
        <v>506</v>
      </c>
      <c r="D2068" s="136" t="str">
        <f t="array" ref="D2068">IF(E2068=0,0,(INDEX(AccountCodes[ACCOUNT NAME],MATCH(E2068,AccountCodes[NGAS CODE],0))))</f>
        <v>Water Expenses</v>
      </c>
      <c r="E2068" s="309" t="s">
        <v>232</v>
      </c>
      <c r="F2068" s="501">
        <v>4000</v>
      </c>
    </row>
    <row r="2069" spans="1:6">
      <c r="A2069" s="308">
        <v>43404</v>
      </c>
      <c r="B2069" s="309" t="s">
        <v>485</v>
      </c>
      <c r="C2069" s="309" t="s">
        <v>506</v>
      </c>
      <c r="D2069" s="136" t="str">
        <f t="array" ref="D2069">IF(E2069=0,0,(INDEX(AccountCodes[ACCOUNT NAME],MATCH(E2069,AccountCodes[NGAS CODE],0))))</f>
        <v>Water Expenses</v>
      </c>
      <c r="E2069" s="309" t="s">
        <v>232</v>
      </c>
      <c r="F2069" s="501">
        <v>4000</v>
      </c>
    </row>
    <row r="2070" spans="1:6">
      <c r="A2070" s="308">
        <v>43434</v>
      </c>
      <c r="B2070" s="309" t="s">
        <v>485</v>
      </c>
      <c r="C2070" s="309" t="s">
        <v>506</v>
      </c>
      <c r="D2070" s="136" t="str">
        <f t="array" ref="D2070">IF(E2070=0,0,(INDEX(AccountCodes[ACCOUNT NAME],MATCH(E2070,AccountCodes[NGAS CODE],0))))</f>
        <v>Water Expenses</v>
      </c>
      <c r="E2070" s="309" t="s">
        <v>232</v>
      </c>
      <c r="F2070" s="501">
        <v>4000</v>
      </c>
    </row>
    <row r="2071" spans="1:6">
      <c r="A2071" s="308">
        <v>43465</v>
      </c>
      <c r="B2071" s="309" t="s">
        <v>485</v>
      </c>
      <c r="C2071" s="309" t="s">
        <v>506</v>
      </c>
      <c r="D2071" s="136" t="str">
        <f t="array" ref="D2071">IF(E2071=0,0,(INDEX(AccountCodes[ACCOUNT NAME],MATCH(E2071,AccountCodes[NGAS CODE],0))))</f>
        <v>Water Expenses</v>
      </c>
      <c r="E2071" s="309" t="s">
        <v>232</v>
      </c>
      <c r="F2071" s="501">
        <v>4000</v>
      </c>
    </row>
    <row r="2072" spans="1:6">
      <c r="A2072" s="308">
        <v>43131</v>
      </c>
      <c r="B2072" s="309" t="s">
        <v>485</v>
      </c>
      <c r="C2072" s="309" t="s">
        <v>506</v>
      </c>
      <c r="D2072" s="136" t="str">
        <f t="array" ref="D2072">IF(E2072=0,0,(INDEX(AccountCodes[ACCOUNT NAME],MATCH(E2072,AccountCodes[NGAS CODE],0))))</f>
        <v>Electricity Expenses</v>
      </c>
      <c r="E2072" s="309" t="s">
        <v>233</v>
      </c>
      <c r="F2072" s="501">
        <v>37000</v>
      </c>
    </row>
    <row r="2073" spans="1:6">
      <c r="A2073" s="308">
        <v>43159</v>
      </c>
      <c r="B2073" s="309" t="s">
        <v>485</v>
      </c>
      <c r="C2073" s="309" t="s">
        <v>506</v>
      </c>
      <c r="D2073" s="136" t="str">
        <f t="array" ref="D2073">IF(E2073=0,0,(INDEX(AccountCodes[ACCOUNT NAME],MATCH(E2073,AccountCodes[NGAS CODE],0))))</f>
        <v>Electricity Expenses</v>
      </c>
      <c r="E2073" s="309" t="s">
        <v>233</v>
      </c>
      <c r="F2073" s="501">
        <v>37000</v>
      </c>
    </row>
    <row r="2074" spans="1:6">
      <c r="A2074" s="308">
        <v>43190</v>
      </c>
      <c r="B2074" s="309" t="s">
        <v>485</v>
      </c>
      <c r="C2074" s="309" t="s">
        <v>506</v>
      </c>
      <c r="D2074" s="136" t="str">
        <f t="array" ref="D2074">IF(E2074=0,0,(INDEX(AccountCodes[ACCOUNT NAME],MATCH(E2074,AccountCodes[NGAS CODE],0))))</f>
        <v>Electricity Expenses</v>
      </c>
      <c r="E2074" s="309" t="s">
        <v>233</v>
      </c>
      <c r="F2074" s="501">
        <v>37000</v>
      </c>
    </row>
    <row r="2075" spans="1:6">
      <c r="A2075" s="308">
        <v>43220</v>
      </c>
      <c r="B2075" s="309" t="s">
        <v>485</v>
      </c>
      <c r="C2075" s="309" t="s">
        <v>506</v>
      </c>
      <c r="D2075" s="136" t="str">
        <f t="array" ref="D2075">IF(E2075=0,0,(INDEX(AccountCodes[ACCOUNT NAME],MATCH(E2075,AccountCodes[NGAS CODE],0))))</f>
        <v>Electricity Expenses</v>
      </c>
      <c r="E2075" s="309" t="s">
        <v>233</v>
      </c>
      <c r="F2075" s="501">
        <v>37000</v>
      </c>
    </row>
    <row r="2076" spans="1:6">
      <c r="A2076" s="308">
        <v>43251</v>
      </c>
      <c r="B2076" s="309" t="s">
        <v>485</v>
      </c>
      <c r="C2076" s="309" t="s">
        <v>506</v>
      </c>
      <c r="D2076" s="136" t="str">
        <f t="array" ref="D2076">IF(E2076=0,0,(INDEX(AccountCodes[ACCOUNT NAME],MATCH(E2076,AccountCodes[NGAS CODE],0))))</f>
        <v>Electricity Expenses</v>
      </c>
      <c r="E2076" s="309" t="s">
        <v>233</v>
      </c>
      <c r="F2076" s="501">
        <v>37000</v>
      </c>
    </row>
    <row r="2077" spans="1:6">
      <c r="A2077" s="308">
        <v>43281</v>
      </c>
      <c r="B2077" s="309" t="s">
        <v>485</v>
      </c>
      <c r="C2077" s="309" t="s">
        <v>506</v>
      </c>
      <c r="D2077" s="136" t="str">
        <f t="array" ref="D2077">IF(E2077=0,0,(INDEX(AccountCodes[ACCOUNT NAME],MATCH(E2077,AccountCodes[NGAS CODE],0))))</f>
        <v>Electricity Expenses</v>
      </c>
      <c r="E2077" s="309" t="s">
        <v>233</v>
      </c>
      <c r="F2077" s="501">
        <v>37000</v>
      </c>
    </row>
    <row r="2078" spans="1:6">
      <c r="A2078" s="308">
        <v>43312</v>
      </c>
      <c r="B2078" s="309" t="s">
        <v>485</v>
      </c>
      <c r="C2078" s="309" t="s">
        <v>506</v>
      </c>
      <c r="D2078" s="136" t="str">
        <f t="array" ref="D2078">IF(E2078=0,0,(INDEX(AccountCodes[ACCOUNT NAME],MATCH(E2078,AccountCodes[NGAS CODE],0))))</f>
        <v>Electricity Expenses</v>
      </c>
      <c r="E2078" s="309" t="s">
        <v>233</v>
      </c>
      <c r="F2078" s="501">
        <v>37000</v>
      </c>
    </row>
    <row r="2079" spans="1:6">
      <c r="A2079" s="308">
        <v>43343</v>
      </c>
      <c r="B2079" s="309" t="s">
        <v>485</v>
      </c>
      <c r="C2079" s="309" t="s">
        <v>506</v>
      </c>
      <c r="D2079" s="136" t="str">
        <f t="array" ref="D2079">IF(E2079=0,0,(INDEX(AccountCodes[ACCOUNT NAME],MATCH(E2079,AccountCodes[NGAS CODE],0))))</f>
        <v>Electricity Expenses</v>
      </c>
      <c r="E2079" s="309" t="s">
        <v>233</v>
      </c>
      <c r="F2079" s="501">
        <v>37000</v>
      </c>
    </row>
    <row r="2080" spans="1:6">
      <c r="A2080" s="308">
        <v>43373</v>
      </c>
      <c r="B2080" s="309" t="s">
        <v>485</v>
      </c>
      <c r="C2080" s="309" t="s">
        <v>506</v>
      </c>
      <c r="D2080" s="136" t="str">
        <f t="array" ref="D2080">IF(E2080=0,0,(INDEX(AccountCodes[ACCOUNT NAME],MATCH(E2080,AccountCodes[NGAS CODE],0))))</f>
        <v>Electricity Expenses</v>
      </c>
      <c r="E2080" s="309" t="s">
        <v>233</v>
      </c>
      <c r="F2080" s="501">
        <v>37000</v>
      </c>
    </row>
    <row r="2081" spans="1:6">
      <c r="A2081" s="308">
        <v>43404</v>
      </c>
      <c r="B2081" s="309" t="s">
        <v>485</v>
      </c>
      <c r="C2081" s="309" t="s">
        <v>506</v>
      </c>
      <c r="D2081" s="136" t="str">
        <f t="array" ref="D2081">IF(E2081=0,0,(INDEX(AccountCodes[ACCOUNT NAME],MATCH(E2081,AccountCodes[NGAS CODE],0))))</f>
        <v>Electricity Expenses</v>
      </c>
      <c r="E2081" s="309" t="s">
        <v>233</v>
      </c>
      <c r="F2081" s="501">
        <v>37000</v>
      </c>
    </row>
    <row r="2082" spans="1:6">
      <c r="A2082" s="308">
        <v>43434</v>
      </c>
      <c r="B2082" s="309" t="s">
        <v>485</v>
      </c>
      <c r="C2082" s="309" t="s">
        <v>506</v>
      </c>
      <c r="D2082" s="136" t="str">
        <f t="array" ref="D2082">IF(E2082=0,0,(INDEX(AccountCodes[ACCOUNT NAME],MATCH(E2082,AccountCodes[NGAS CODE],0))))</f>
        <v>Electricity Expenses</v>
      </c>
      <c r="E2082" s="309" t="s">
        <v>233</v>
      </c>
      <c r="F2082" s="501">
        <v>37000</v>
      </c>
    </row>
    <row r="2083" spans="1:6">
      <c r="A2083" s="308">
        <v>43465</v>
      </c>
      <c r="B2083" s="309" t="s">
        <v>485</v>
      </c>
      <c r="C2083" s="309" t="s">
        <v>506</v>
      </c>
      <c r="D2083" s="136" t="str">
        <f t="array" ref="D2083">IF(E2083=0,0,(INDEX(AccountCodes[ACCOUNT NAME],MATCH(E2083,AccountCodes[NGAS CODE],0))))</f>
        <v>Electricity Expenses</v>
      </c>
      <c r="E2083" s="309" t="s">
        <v>233</v>
      </c>
      <c r="F2083" s="501">
        <v>37000</v>
      </c>
    </row>
    <row r="2084" spans="1:6">
      <c r="A2084" s="308">
        <v>43131</v>
      </c>
      <c r="B2084" s="309" t="s">
        <v>485</v>
      </c>
      <c r="C2084" s="309" t="s">
        <v>506</v>
      </c>
      <c r="D2084" s="136" t="str">
        <f t="array" ref="D2084">IF(E2084=0,0,(INDEX(AccountCodes[ACCOUNT NAME],MATCH(E2084,AccountCodes[NGAS CODE],0))))</f>
        <v>Telephone Expenses - Landline</v>
      </c>
      <c r="E2084" s="309" t="s">
        <v>235</v>
      </c>
      <c r="F2084" s="501">
        <v>12903</v>
      </c>
    </row>
    <row r="2085" spans="1:6">
      <c r="A2085" s="308">
        <v>43159</v>
      </c>
      <c r="B2085" s="309" t="s">
        <v>485</v>
      </c>
      <c r="C2085" s="309" t="s">
        <v>506</v>
      </c>
      <c r="D2085" s="136" t="str">
        <f t="array" ref="D2085">IF(E2085=0,0,(INDEX(AccountCodes[ACCOUNT NAME],MATCH(E2085,AccountCodes[NGAS CODE],0))))</f>
        <v>Telephone Expenses - Landline</v>
      </c>
      <c r="E2085" s="309" t="s">
        <v>235</v>
      </c>
      <c r="F2085" s="501">
        <v>12903</v>
      </c>
    </row>
    <row r="2086" spans="1:6">
      <c r="A2086" s="308">
        <v>43190</v>
      </c>
      <c r="B2086" s="309" t="s">
        <v>485</v>
      </c>
      <c r="C2086" s="309" t="s">
        <v>506</v>
      </c>
      <c r="D2086" s="136" t="str">
        <f t="array" ref="D2086">IF(E2086=0,0,(INDEX(AccountCodes[ACCOUNT NAME],MATCH(E2086,AccountCodes[NGAS CODE],0))))</f>
        <v>Telephone Expenses - Landline</v>
      </c>
      <c r="E2086" s="309" t="s">
        <v>235</v>
      </c>
      <c r="F2086" s="501">
        <v>12903</v>
      </c>
    </row>
    <row r="2087" spans="1:6">
      <c r="A2087" s="308">
        <v>43220</v>
      </c>
      <c r="B2087" s="309" t="s">
        <v>485</v>
      </c>
      <c r="C2087" s="309" t="s">
        <v>506</v>
      </c>
      <c r="D2087" s="136" t="str">
        <f t="array" ref="D2087">IF(E2087=0,0,(INDEX(AccountCodes[ACCOUNT NAME],MATCH(E2087,AccountCodes[NGAS CODE],0))))</f>
        <v>Telephone Expenses - Landline</v>
      </c>
      <c r="E2087" s="309" t="s">
        <v>235</v>
      </c>
      <c r="F2087" s="501">
        <v>12903</v>
      </c>
    </row>
    <row r="2088" spans="1:6">
      <c r="A2088" s="308">
        <v>43251</v>
      </c>
      <c r="B2088" s="309" t="s">
        <v>485</v>
      </c>
      <c r="C2088" s="309" t="s">
        <v>506</v>
      </c>
      <c r="D2088" s="136" t="str">
        <f t="array" ref="D2088">IF(E2088=0,0,(INDEX(AccountCodes[ACCOUNT NAME],MATCH(E2088,AccountCodes[NGAS CODE],0))))</f>
        <v>Telephone Expenses - Landline</v>
      </c>
      <c r="E2088" s="309" t="s">
        <v>235</v>
      </c>
      <c r="F2088" s="501">
        <v>12903</v>
      </c>
    </row>
    <row r="2089" spans="1:6">
      <c r="A2089" s="308">
        <v>43281</v>
      </c>
      <c r="B2089" s="309" t="s">
        <v>485</v>
      </c>
      <c r="C2089" s="309" t="s">
        <v>506</v>
      </c>
      <c r="D2089" s="136" t="str">
        <f t="array" ref="D2089">IF(E2089=0,0,(INDEX(AccountCodes[ACCOUNT NAME],MATCH(E2089,AccountCodes[NGAS CODE],0))))</f>
        <v>Telephone Expenses - Landline</v>
      </c>
      <c r="E2089" s="309" t="s">
        <v>235</v>
      </c>
      <c r="F2089" s="501">
        <v>12903</v>
      </c>
    </row>
    <row r="2090" spans="1:6">
      <c r="A2090" s="308">
        <v>43312</v>
      </c>
      <c r="B2090" s="309" t="s">
        <v>485</v>
      </c>
      <c r="C2090" s="309" t="s">
        <v>506</v>
      </c>
      <c r="D2090" s="136" t="str">
        <f t="array" ref="D2090">IF(E2090=0,0,(INDEX(AccountCodes[ACCOUNT NAME],MATCH(E2090,AccountCodes[NGAS CODE],0))))</f>
        <v>Telephone Expenses - Landline</v>
      </c>
      <c r="E2090" s="309" t="s">
        <v>235</v>
      </c>
      <c r="F2090" s="501">
        <v>12903</v>
      </c>
    </row>
    <row r="2091" spans="1:6">
      <c r="A2091" s="308">
        <v>43343</v>
      </c>
      <c r="B2091" s="309" t="s">
        <v>485</v>
      </c>
      <c r="C2091" s="309" t="s">
        <v>506</v>
      </c>
      <c r="D2091" s="136" t="str">
        <f t="array" ref="D2091">IF(E2091=0,0,(INDEX(AccountCodes[ACCOUNT NAME],MATCH(E2091,AccountCodes[NGAS CODE],0))))</f>
        <v>Telephone Expenses - Landline</v>
      </c>
      <c r="E2091" s="309" t="s">
        <v>235</v>
      </c>
      <c r="F2091" s="501">
        <v>12903</v>
      </c>
    </row>
    <row r="2092" spans="1:6">
      <c r="A2092" s="308">
        <v>43373</v>
      </c>
      <c r="B2092" s="309" t="s">
        <v>485</v>
      </c>
      <c r="C2092" s="309" t="s">
        <v>506</v>
      </c>
      <c r="D2092" s="136" t="str">
        <f t="array" ref="D2092">IF(E2092=0,0,(INDEX(AccountCodes[ACCOUNT NAME],MATCH(E2092,AccountCodes[NGAS CODE],0))))</f>
        <v>Telephone Expenses - Landline</v>
      </c>
      <c r="E2092" s="309" t="s">
        <v>235</v>
      </c>
      <c r="F2092" s="501">
        <v>12903</v>
      </c>
    </row>
    <row r="2093" spans="1:6">
      <c r="A2093" s="308">
        <v>43404</v>
      </c>
      <c r="B2093" s="309" t="s">
        <v>485</v>
      </c>
      <c r="C2093" s="309" t="s">
        <v>506</v>
      </c>
      <c r="D2093" s="136" t="str">
        <f t="array" ref="D2093">IF(E2093=0,0,(INDEX(AccountCodes[ACCOUNT NAME],MATCH(E2093,AccountCodes[NGAS CODE],0))))</f>
        <v>Telephone Expenses - Landline</v>
      </c>
      <c r="E2093" s="309" t="s">
        <v>235</v>
      </c>
      <c r="F2093" s="501">
        <v>12903</v>
      </c>
    </row>
    <row r="2094" spans="1:6">
      <c r="A2094" s="308">
        <v>43434</v>
      </c>
      <c r="B2094" s="309" t="s">
        <v>485</v>
      </c>
      <c r="C2094" s="309" t="s">
        <v>506</v>
      </c>
      <c r="D2094" s="136" t="str">
        <f t="array" ref="D2094">IF(E2094=0,0,(INDEX(AccountCodes[ACCOUNT NAME],MATCH(E2094,AccountCodes[NGAS CODE],0))))</f>
        <v>Telephone Expenses - Landline</v>
      </c>
      <c r="E2094" s="309" t="s">
        <v>235</v>
      </c>
      <c r="F2094" s="501">
        <v>12903</v>
      </c>
    </row>
    <row r="2095" spans="1:6">
      <c r="A2095" s="308">
        <v>43465</v>
      </c>
      <c r="B2095" s="309" t="s">
        <v>485</v>
      </c>
      <c r="C2095" s="309" t="s">
        <v>506</v>
      </c>
      <c r="D2095" s="136" t="str">
        <f t="array" ref="D2095">IF(E2095=0,0,(INDEX(AccountCodes[ACCOUNT NAME],MATCH(E2095,AccountCodes[NGAS CODE],0))))</f>
        <v>Telephone Expenses - Landline</v>
      </c>
      <c r="E2095" s="309" t="s">
        <v>235</v>
      </c>
      <c r="F2095" s="501">
        <v>12903</v>
      </c>
    </row>
    <row r="2096" spans="1:6">
      <c r="A2096" s="308">
        <v>43131</v>
      </c>
      <c r="B2096" s="309" t="s">
        <v>485</v>
      </c>
      <c r="C2096" s="309" t="s">
        <v>506</v>
      </c>
      <c r="D2096" s="136" t="str">
        <f t="array" ref="D2096">IF(E2096=0,0,(INDEX(AccountCodes[ACCOUNT NAME],MATCH(E2096,AccountCodes[NGAS CODE],0))))</f>
        <v>Auditing Services</v>
      </c>
      <c r="E2096" s="309" t="s">
        <v>222</v>
      </c>
      <c r="F2096" s="501">
        <v>10000</v>
      </c>
    </row>
    <row r="2097" spans="1:6">
      <c r="A2097" s="308">
        <v>43159</v>
      </c>
      <c r="B2097" s="309" t="s">
        <v>485</v>
      </c>
      <c r="C2097" s="309" t="s">
        <v>506</v>
      </c>
      <c r="D2097" s="136" t="str">
        <f t="array" ref="D2097">IF(E2097=0,0,(INDEX(AccountCodes[ACCOUNT NAME],MATCH(E2097,AccountCodes[NGAS CODE],0))))</f>
        <v>Auditing Services</v>
      </c>
      <c r="E2097" s="309" t="s">
        <v>222</v>
      </c>
      <c r="F2097" s="501">
        <v>10000</v>
      </c>
    </row>
    <row r="2098" spans="1:6">
      <c r="A2098" s="308">
        <v>43190</v>
      </c>
      <c r="B2098" s="309" t="s">
        <v>485</v>
      </c>
      <c r="C2098" s="309" t="s">
        <v>506</v>
      </c>
      <c r="D2098" s="136" t="str">
        <f t="array" ref="D2098">IF(E2098=0,0,(INDEX(AccountCodes[ACCOUNT NAME],MATCH(E2098,AccountCodes[NGAS CODE],0))))</f>
        <v>Auditing Services</v>
      </c>
      <c r="E2098" s="309" t="s">
        <v>222</v>
      </c>
      <c r="F2098" s="501">
        <v>10000</v>
      </c>
    </row>
    <row r="2099" spans="1:6">
      <c r="A2099" s="308">
        <v>43220</v>
      </c>
      <c r="B2099" s="309" t="s">
        <v>485</v>
      </c>
      <c r="C2099" s="309" t="s">
        <v>506</v>
      </c>
      <c r="D2099" s="136" t="str">
        <f t="array" ref="D2099">IF(E2099=0,0,(INDEX(AccountCodes[ACCOUNT NAME],MATCH(E2099,AccountCodes[NGAS CODE],0))))</f>
        <v>Auditing Services</v>
      </c>
      <c r="E2099" s="309" t="s">
        <v>222</v>
      </c>
      <c r="F2099" s="501">
        <v>10000</v>
      </c>
    </row>
    <row r="2100" spans="1:6">
      <c r="A2100" s="308">
        <v>43251</v>
      </c>
      <c r="B2100" s="309" t="s">
        <v>485</v>
      </c>
      <c r="C2100" s="309" t="s">
        <v>506</v>
      </c>
      <c r="D2100" s="136" t="str">
        <f t="array" ref="D2100">IF(E2100=0,0,(INDEX(AccountCodes[ACCOUNT NAME],MATCH(E2100,AccountCodes[NGAS CODE],0))))</f>
        <v>Auditing Services</v>
      </c>
      <c r="E2100" s="309" t="s">
        <v>222</v>
      </c>
      <c r="F2100" s="501">
        <v>10000</v>
      </c>
    </row>
    <row r="2101" spans="1:6">
      <c r="A2101" s="308">
        <v>43281</v>
      </c>
      <c r="B2101" s="309" t="s">
        <v>485</v>
      </c>
      <c r="C2101" s="309" t="s">
        <v>506</v>
      </c>
      <c r="D2101" s="136" t="str">
        <f t="array" ref="D2101">IF(E2101=0,0,(INDEX(AccountCodes[ACCOUNT NAME],MATCH(E2101,AccountCodes[NGAS CODE],0))))</f>
        <v>Auditing Services</v>
      </c>
      <c r="E2101" s="309" t="s">
        <v>222</v>
      </c>
      <c r="F2101" s="501">
        <v>10000</v>
      </c>
    </row>
    <row r="2102" spans="1:6">
      <c r="A2102" s="308">
        <v>43312</v>
      </c>
      <c r="B2102" s="309" t="s">
        <v>485</v>
      </c>
      <c r="C2102" s="309" t="s">
        <v>506</v>
      </c>
      <c r="D2102" s="136" t="str">
        <f t="array" ref="D2102">IF(E2102=0,0,(INDEX(AccountCodes[ACCOUNT NAME],MATCH(E2102,AccountCodes[NGAS CODE],0))))</f>
        <v>Auditing Services</v>
      </c>
      <c r="E2102" s="309" t="s">
        <v>222</v>
      </c>
      <c r="F2102" s="501">
        <v>10000</v>
      </c>
    </row>
    <row r="2103" spans="1:6">
      <c r="A2103" s="308">
        <v>43343</v>
      </c>
      <c r="B2103" s="309" t="s">
        <v>485</v>
      </c>
      <c r="C2103" s="309" t="s">
        <v>506</v>
      </c>
      <c r="D2103" s="136" t="str">
        <f t="array" ref="D2103">IF(E2103=0,0,(INDEX(AccountCodes[ACCOUNT NAME],MATCH(E2103,AccountCodes[NGAS CODE],0))))</f>
        <v>Auditing Services</v>
      </c>
      <c r="E2103" s="309" t="s">
        <v>222</v>
      </c>
      <c r="F2103" s="501">
        <v>10000</v>
      </c>
    </row>
    <row r="2104" spans="1:6">
      <c r="A2104" s="308">
        <v>43373</v>
      </c>
      <c r="B2104" s="309" t="s">
        <v>485</v>
      </c>
      <c r="C2104" s="309" t="s">
        <v>506</v>
      </c>
      <c r="D2104" s="136" t="str">
        <f t="array" ref="D2104">IF(E2104=0,0,(INDEX(AccountCodes[ACCOUNT NAME],MATCH(E2104,AccountCodes[NGAS CODE],0))))</f>
        <v>Auditing Services</v>
      </c>
      <c r="E2104" s="309" t="s">
        <v>222</v>
      </c>
      <c r="F2104" s="501">
        <v>10000</v>
      </c>
    </row>
    <row r="2105" spans="1:6">
      <c r="A2105" s="308">
        <v>43404</v>
      </c>
      <c r="B2105" s="309" t="s">
        <v>485</v>
      </c>
      <c r="C2105" s="309" t="s">
        <v>506</v>
      </c>
      <c r="D2105" s="136" t="str">
        <f t="array" ref="D2105">IF(E2105=0,0,(INDEX(AccountCodes[ACCOUNT NAME],MATCH(E2105,AccountCodes[NGAS CODE],0))))</f>
        <v>Auditing Services</v>
      </c>
      <c r="E2105" s="309" t="s">
        <v>222</v>
      </c>
      <c r="F2105" s="501">
        <v>10000</v>
      </c>
    </row>
    <row r="2106" spans="1:6">
      <c r="A2106" s="308">
        <v>43434</v>
      </c>
      <c r="B2106" s="309" t="s">
        <v>485</v>
      </c>
      <c r="C2106" s="309" t="s">
        <v>506</v>
      </c>
      <c r="D2106" s="136" t="str">
        <f t="array" ref="D2106">IF(E2106=0,0,(INDEX(AccountCodes[ACCOUNT NAME],MATCH(E2106,AccountCodes[NGAS CODE],0))))</f>
        <v>Auditing Services</v>
      </c>
      <c r="E2106" s="309" t="s">
        <v>222</v>
      </c>
      <c r="F2106" s="501">
        <v>10000</v>
      </c>
    </row>
    <row r="2107" spans="1:6">
      <c r="A2107" s="308">
        <v>43465</v>
      </c>
      <c r="B2107" s="309" t="s">
        <v>485</v>
      </c>
      <c r="C2107" s="309" t="s">
        <v>506</v>
      </c>
      <c r="D2107" s="136" t="str">
        <f t="array" ref="D2107">IF(E2107=0,0,(INDEX(AccountCodes[ACCOUNT NAME],MATCH(E2107,AccountCodes[NGAS CODE],0))))</f>
        <v>Auditing Services</v>
      </c>
      <c r="E2107" s="309" t="s">
        <v>222</v>
      </c>
      <c r="F2107" s="501">
        <v>10000</v>
      </c>
    </row>
    <row r="2108" spans="1:6">
      <c r="A2108" s="308">
        <v>43190</v>
      </c>
      <c r="B2108" s="309" t="s">
        <v>485</v>
      </c>
      <c r="C2108" s="309" t="s">
        <v>506</v>
      </c>
      <c r="D2108" s="136" t="str">
        <f t="array" ref="D2108">IF(E2108=0,0,(INDEX(AccountCodes[ACCOUNT NAME],MATCH(E2108,AccountCodes[NGAS CODE],0))))</f>
        <v>Repairs and Maintenance-Transportation Equipment - Motor Vehicles</v>
      </c>
      <c r="E2108" s="309" t="s">
        <v>262</v>
      </c>
      <c r="F2108" s="501">
        <v>100000</v>
      </c>
    </row>
    <row r="2109" spans="1:6">
      <c r="A2109" s="308">
        <v>43404</v>
      </c>
      <c r="B2109" s="309" t="s">
        <v>485</v>
      </c>
      <c r="C2109" s="309" t="s">
        <v>506</v>
      </c>
      <c r="D2109" s="136" t="str">
        <f t="array" ref="D2109">IF(E2109=0,0,(INDEX(AccountCodes[ACCOUNT NAME],MATCH(E2109,AccountCodes[NGAS CODE],0))))</f>
        <v>Repairs and Maintenance-Transportation Equipment - Motor Vehicles</v>
      </c>
      <c r="E2109" s="309" t="s">
        <v>262</v>
      </c>
      <c r="F2109" s="501">
        <v>150000</v>
      </c>
    </row>
    <row r="2110" spans="1:6">
      <c r="A2110" s="308">
        <v>43465</v>
      </c>
      <c r="B2110" s="309" t="s">
        <v>485</v>
      </c>
      <c r="C2110" s="309" t="s">
        <v>506</v>
      </c>
      <c r="D2110" s="136" t="str">
        <f t="array" ref="D2110">IF(E2110=0,0,(INDEX(AccountCodes[ACCOUNT NAME],MATCH(E2110,AccountCodes[NGAS CODE],0))))</f>
        <v>Repairs and Maintenance-Transportation Equipment - Motor Vehicles</v>
      </c>
      <c r="E2110" s="309" t="s">
        <v>262</v>
      </c>
      <c r="F2110" s="501">
        <v>30000</v>
      </c>
    </row>
    <row r="2111" spans="1:6">
      <c r="A2111" s="308">
        <v>43312</v>
      </c>
      <c r="B2111" s="309" t="s">
        <v>485</v>
      </c>
      <c r="C2111" s="309" t="s">
        <v>506</v>
      </c>
      <c r="D2111" s="136" t="str">
        <f t="array" ref="D2111">IF(E2111=0,0,(INDEX(AccountCodes[ACCOUNT NAME],MATCH(E2111,AccountCodes[NGAS CODE],0))))</f>
        <v>Repairs and Maintenance-Buildings and Other Structures - Buildings</v>
      </c>
      <c r="E2111" s="309" t="s">
        <v>251</v>
      </c>
      <c r="F2111" s="501">
        <v>1500000</v>
      </c>
    </row>
    <row r="2112" spans="1:6">
      <c r="A2112" s="308">
        <v>43373</v>
      </c>
      <c r="B2112" s="309" t="s">
        <v>485</v>
      </c>
      <c r="C2112" s="309" t="s">
        <v>506</v>
      </c>
      <c r="D2112" s="136" t="str">
        <f t="array" ref="D2112">IF(E2112=0,0,(INDEX(AccountCodes[ACCOUNT NAME],MATCH(E2112,AccountCodes[NGAS CODE],0))))</f>
        <v>Taxes, Duties and Licenses</v>
      </c>
      <c r="E2112" s="309" t="s">
        <v>272</v>
      </c>
      <c r="F2112" s="501">
        <v>67500</v>
      </c>
    </row>
    <row r="2113" spans="1:6">
      <c r="A2113" s="308"/>
      <c r="D2113" s="136">
        <f t="array" ref="D2113">IF(E2113=0,0,(INDEX(AccountCodes[ACCOUNT NAME],MATCH(E2113,AccountCodes[NGAS CODE],0))))</f>
        <v>0</v>
      </c>
      <c r="E2113" s="309"/>
      <c r="F2113" s="501"/>
    </row>
    <row r="2114" spans="1:6">
      <c r="A2114" s="308">
        <v>43281</v>
      </c>
      <c r="B2114" s="309" t="s">
        <v>486</v>
      </c>
      <c r="C2114" s="309" t="s">
        <v>493</v>
      </c>
      <c r="D2114" s="136" t="str">
        <f t="array" ref="D2114">IF(E2114=0,0,(INDEX(AccountCodes[ACCOUNT NAME],MATCH(E2114,AccountCodes[NGAS CODE],0))))</f>
        <v>Equipment Rental - External (CA)</v>
      </c>
      <c r="E2114" s="309" t="s">
        <v>147</v>
      </c>
      <c r="F2114" s="501">
        <v>100000</v>
      </c>
    </row>
    <row r="2115" spans="1:6">
      <c r="A2115" s="308">
        <v>43465</v>
      </c>
      <c r="B2115" s="309" t="s">
        <v>486</v>
      </c>
      <c r="C2115" s="309" t="s">
        <v>493</v>
      </c>
      <c r="D2115" s="136" t="str">
        <f t="array" ref="D2115">IF(E2115=0,0,(INDEX(AccountCodes[ACCOUNT NAME],MATCH(E2115,AccountCodes[NGAS CODE],0))))</f>
        <v>Equipment Rental - External (CA)</v>
      </c>
      <c r="E2115" s="309" t="s">
        <v>147</v>
      </c>
      <c r="F2115" s="501">
        <v>100000</v>
      </c>
    </row>
    <row r="2116" spans="1:6">
      <c r="A2116" s="308">
        <v>43131</v>
      </c>
      <c r="B2116" s="309" t="s">
        <v>486</v>
      </c>
      <c r="C2116" s="309" t="s">
        <v>493</v>
      </c>
      <c r="D2116" s="136" t="str">
        <f t="array" ref="D2116">IF(E2116=0,0,(INDEX(AccountCodes[ACCOUNT NAME],MATCH(E2116,AccountCodes[NGAS CODE],0))))</f>
        <v>Salaries and Wages-Regular</v>
      </c>
      <c r="E2116" s="309" t="s">
        <v>162</v>
      </c>
      <c r="F2116" s="501">
        <v>260790</v>
      </c>
    </row>
    <row r="2117" spans="1:6">
      <c r="A2117" s="308">
        <v>43159</v>
      </c>
      <c r="B2117" s="309" t="s">
        <v>486</v>
      </c>
      <c r="C2117" s="309" t="s">
        <v>493</v>
      </c>
      <c r="D2117" s="136" t="str">
        <f t="array" ref="D2117">IF(E2117=0,0,(INDEX(AccountCodes[ACCOUNT NAME],MATCH(E2117,AccountCodes[NGAS CODE],0))))</f>
        <v>Salaries and Wages-Regular</v>
      </c>
      <c r="E2117" s="309" t="s">
        <v>162</v>
      </c>
      <c r="F2117" s="501">
        <v>260790</v>
      </c>
    </row>
    <row r="2118" spans="1:6">
      <c r="A2118" s="308">
        <v>43190</v>
      </c>
      <c r="B2118" s="309" t="s">
        <v>486</v>
      </c>
      <c r="C2118" s="309" t="s">
        <v>493</v>
      </c>
      <c r="D2118" s="136" t="str">
        <f t="array" ref="D2118">IF(E2118=0,0,(INDEX(AccountCodes[ACCOUNT NAME],MATCH(E2118,AccountCodes[NGAS CODE],0))))</f>
        <v>Salaries and Wages-Regular</v>
      </c>
      <c r="E2118" s="309" t="s">
        <v>162</v>
      </c>
      <c r="F2118" s="501">
        <v>260790</v>
      </c>
    </row>
    <row r="2119" spans="1:6">
      <c r="A2119" s="308">
        <v>43220</v>
      </c>
      <c r="B2119" s="309" t="s">
        <v>486</v>
      </c>
      <c r="C2119" s="309" t="s">
        <v>493</v>
      </c>
      <c r="D2119" s="136" t="str">
        <f t="array" ref="D2119">IF(E2119=0,0,(INDEX(AccountCodes[ACCOUNT NAME],MATCH(E2119,AccountCodes[NGAS CODE],0))))</f>
        <v>Salaries and Wages-Regular</v>
      </c>
      <c r="E2119" s="309" t="s">
        <v>162</v>
      </c>
      <c r="F2119" s="501">
        <v>260790</v>
      </c>
    </row>
    <row r="2120" spans="1:6">
      <c r="A2120" s="308">
        <v>43251</v>
      </c>
      <c r="B2120" s="309" t="s">
        <v>486</v>
      </c>
      <c r="C2120" s="309" t="s">
        <v>493</v>
      </c>
      <c r="D2120" s="136" t="str">
        <f t="array" ref="D2120">IF(E2120=0,0,(INDEX(AccountCodes[ACCOUNT NAME],MATCH(E2120,AccountCodes[NGAS CODE],0))))</f>
        <v>Salaries and Wages-Regular</v>
      </c>
      <c r="E2120" s="309" t="s">
        <v>162</v>
      </c>
      <c r="F2120" s="501">
        <v>260790</v>
      </c>
    </row>
    <row r="2121" spans="1:6">
      <c r="A2121" s="308">
        <v>43281</v>
      </c>
      <c r="B2121" s="309" t="s">
        <v>486</v>
      </c>
      <c r="C2121" s="309" t="s">
        <v>493</v>
      </c>
      <c r="D2121" s="136" t="str">
        <f t="array" ref="D2121">IF(E2121=0,0,(INDEX(AccountCodes[ACCOUNT NAME],MATCH(E2121,AccountCodes[NGAS CODE],0))))</f>
        <v>Salaries and Wages-Regular</v>
      </c>
      <c r="E2121" s="309" t="s">
        <v>162</v>
      </c>
      <c r="F2121" s="501">
        <v>260790</v>
      </c>
    </row>
    <row r="2122" spans="1:6">
      <c r="A2122" s="308">
        <v>43312</v>
      </c>
      <c r="B2122" s="309" t="s">
        <v>486</v>
      </c>
      <c r="C2122" s="309" t="s">
        <v>493</v>
      </c>
      <c r="D2122" s="136" t="str">
        <f t="array" ref="D2122">IF(E2122=0,0,(INDEX(AccountCodes[ACCOUNT NAME],MATCH(E2122,AccountCodes[NGAS CODE],0))))</f>
        <v>Salaries and Wages-Regular</v>
      </c>
      <c r="E2122" s="309" t="s">
        <v>162</v>
      </c>
      <c r="F2122" s="501">
        <v>260790</v>
      </c>
    </row>
    <row r="2123" spans="1:6">
      <c r="A2123" s="308">
        <v>43343</v>
      </c>
      <c r="B2123" s="309" t="s">
        <v>486</v>
      </c>
      <c r="C2123" s="309" t="s">
        <v>493</v>
      </c>
      <c r="D2123" s="136" t="str">
        <f t="array" ref="D2123">IF(E2123=0,0,(INDEX(AccountCodes[ACCOUNT NAME],MATCH(E2123,AccountCodes[NGAS CODE],0))))</f>
        <v>Salaries and Wages-Regular</v>
      </c>
      <c r="E2123" s="309" t="s">
        <v>162</v>
      </c>
      <c r="F2123" s="501">
        <v>260790</v>
      </c>
    </row>
    <row r="2124" spans="1:6">
      <c r="A2124" s="308">
        <v>43373</v>
      </c>
      <c r="B2124" s="309" t="s">
        <v>486</v>
      </c>
      <c r="C2124" s="309" t="s">
        <v>493</v>
      </c>
      <c r="D2124" s="136" t="str">
        <f t="array" ref="D2124">IF(E2124=0,0,(INDEX(AccountCodes[ACCOUNT NAME],MATCH(E2124,AccountCodes[NGAS CODE],0))))</f>
        <v>Salaries and Wages-Regular</v>
      </c>
      <c r="E2124" s="309" t="s">
        <v>162</v>
      </c>
      <c r="F2124" s="501">
        <v>260790</v>
      </c>
    </row>
    <row r="2125" spans="1:6">
      <c r="A2125" s="308">
        <v>43404</v>
      </c>
      <c r="B2125" s="309" t="s">
        <v>486</v>
      </c>
      <c r="C2125" s="309" t="s">
        <v>493</v>
      </c>
      <c r="D2125" s="136" t="str">
        <f t="array" ref="D2125">IF(E2125=0,0,(INDEX(AccountCodes[ACCOUNT NAME],MATCH(E2125,AccountCodes[NGAS CODE],0))))</f>
        <v>Salaries and Wages-Regular</v>
      </c>
      <c r="E2125" s="309" t="s">
        <v>162</v>
      </c>
      <c r="F2125" s="501">
        <v>260790</v>
      </c>
    </row>
    <row r="2126" spans="1:6">
      <c r="A2126" s="308">
        <v>43434</v>
      </c>
      <c r="B2126" s="309" t="s">
        <v>486</v>
      </c>
      <c r="C2126" s="309" t="s">
        <v>493</v>
      </c>
      <c r="D2126" s="136" t="str">
        <f t="array" ref="D2126">IF(E2126=0,0,(INDEX(AccountCodes[ACCOUNT NAME],MATCH(E2126,AccountCodes[NGAS CODE],0))))</f>
        <v>Salaries and Wages-Regular</v>
      </c>
      <c r="E2126" s="309" t="s">
        <v>162</v>
      </c>
      <c r="F2126" s="501">
        <v>260790</v>
      </c>
    </row>
    <row r="2127" spans="1:6">
      <c r="A2127" s="308">
        <v>43465</v>
      </c>
      <c r="B2127" s="309" t="s">
        <v>486</v>
      </c>
      <c r="C2127" s="309" t="s">
        <v>493</v>
      </c>
      <c r="D2127" s="136" t="str">
        <f t="array" ref="D2127">IF(E2127=0,0,(INDEX(AccountCodes[ACCOUNT NAME],MATCH(E2127,AccountCodes[NGAS CODE],0))))</f>
        <v>Salaries and Wages-Regular</v>
      </c>
      <c r="E2127" s="309" t="s">
        <v>162</v>
      </c>
      <c r="F2127" s="501">
        <v>260790</v>
      </c>
    </row>
    <row r="2128" spans="1:6">
      <c r="A2128" s="308">
        <v>43131</v>
      </c>
      <c r="B2128" s="309" t="s">
        <v>486</v>
      </c>
      <c r="C2128" s="309" t="s">
        <v>493</v>
      </c>
      <c r="D2128" s="136" t="str">
        <f t="array" ref="D2128">IF(E2128=0,0,(INDEX(AccountCodes[ACCOUNT NAME],MATCH(E2128,AccountCodes[NGAS CODE],0))))</f>
        <v>Salaries and Wages-Casual/Contractual</v>
      </c>
      <c r="E2128" s="309" t="s">
        <v>163</v>
      </c>
      <c r="F2128" s="501">
        <v>89629.8</v>
      </c>
    </row>
    <row r="2129" spans="1:6">
      <c r="A2129" s="308">
        <v>43159</v>
      </c>
      <c r="B2129" s="309" t="s">
        <v>486</v>
      </c>
      <c r="C2129" s="309" t="s">
        <v>493</v>
      </c>
      <c r="D2129" s="136" t="str">
        <f t="array" ref="D2129">IF(E2129=0,0,(INDEX(AccountCodes[ACCOUNT NAME],MATCH(E2129,AccountCodes[NGAS CODE],0))))</f>
        <v>Salaries and Wages-Casual/Contractual</v>
      </c>
      <c r="E2129" s="309" t="s">
        <v>163</v>
      </c>
      <c r="F2129" s="501">
        <v>89629.8</v>
      </c>
    </row>
    <row r="2130" spans="1:6">
      <c r="A2130" s="308">
        <v>43190</v>
      </c>
      <c r="B2130" s="309" t="s">
        <v>486</v>
      </c>
      <c r="C2130" s="309" t="s">
        <v>493</v>
      </c>
      <c r="D2130" s="136" t="str">
        <f t="array" ref="D2130">IF(E2130=0,0,(INDEX(AccountCodes[ACCOUNT NAME],MATCH(E2130,AccountCodes[NGAS CODE],0))))</f>
        <v>Salaries and Wages-Casual/Contractual</v>
      </c>
      <c r="E2130" s="309" t="s">
        <v>163</v>
      </c>
      <c r="F2130" s="501">
        <v>89629.8</v>
      </c>
    </row>
    <row r="2131" spans="1:6">
      <c r="A2131" s="308">
        <v>43220</v>
      </c>
      <c r="B2131" s="309" t="s">
        <v>486</v>
      </c>
      <c r="C2131" s="309" t="s">
        <v>493</v>
      </c>
      <c r="D2131" s="136" t="str">
        <f t="array" ref="D2131">IF(E2131=0,0,(INDEX(AccountCodes[ACCOUNT NAME],MATCH(E2131,AccountCodes[NGAS CODE],0))))</f>
        <v>Salaries and Wages-Casual/Contractual</v>
      </c>
      <c r="E2131" s="309" t="s">
        <v>163</v>
      </c>
      <c r="F2131" s="501">
        <v>89629.8</v>
      </c>
    </row>
    <row r="2132" spans="1:6">
      <c r="A2132" s="308">
        <v>43251</v>
      </c>
      <c r="B2132" s="309" t="s">
        <v>486</v>
      </c>
      <c r="C2132" s="309" t="s">
        <v>493</v>
      </c>
      <c r="D2132" s="136" t="str">
        <f t="array" ref="D2132">IF(E2132=0,0,(INDEX(AccountCodes[ACCOUNT NAME],MATCH(E2132,AccountCodes[NGAS CODE],0))))</f>
        <v>Salaries and Wages-Casual/Contractual</v>
      </c>
      <c r="E2132" s="309" t="s">
        <v>163</v>
      </c>
      <c r="F2132" s="501">
        <v>89629.8</v>
      </c>
    </row>
    <row r="2133" spans="1:6">
      <c r="A2133" s="308">
        <v>43281</v>
      </c>
      <c r="B2133" s="309" t="s">
        <v>486</v>
      </c>
      <c r="C2133" s="309" t="s">
        <v>493</v>
      </c>
      <c r="D2133" s="136" t="str">
        <f t="array" ref="D2133">IF(E2133=0,0,(INDEX(AccountCodes[ACCOUNT NAME],MATCH(E2133,AccountCodes[NGAS CODE],0))))</f>
        <v>Salaries and Wages-Casual/Contractual</v>
      </c>
      <c r="E2133" s="309" t="s">
        <v>163</v>
      </c>
      <c r="F2133" s="501">
        <v>89629.8</v>
      </c>
    </row>
    <row r="2134" spans="1:6">
      <c r="A2134" s="308">
        <v>43312</v>
      </c>
      <c r="B2134" s="309" t="s">
        <v>486</v>
      </c>
      <c r="C2134" s="309" t="s">
        <v>493</v>
      </c>
      <c r="D2134" s="136" t="str">
        <f t="array" ref="D2134">IF(E2134=0,0,(INDEX(AccountCodes[ACCOUNT NAME],MATCH(E2134,AccountCodes[NGAS CODE],0))))</f>
        <v>Salaries and Wages-Casual/Contractual</v>
      </c>
      <c r="E2134" s="309" t="s">
        <v>163</v>
      </c>
      <c r="F2134" s="501">
        <v>89629.8</v>
      </c>
    </row>
    <row r="2135" spans="1:6">
      <c r="A2135" s="308">
        <v>43343</v>
      </c>
      <c r="B2135" s="309" t="s">
        <v>486</v>
      </c>
      <c r="C2135" s="309" t="s">
        <v>493</v>
      </c>
      <c r="D2135" s="136" t="str">
        <f t="array" ref="D2135">IF(E2135=0,0,(INDEX(AccountCodes[ACCOUNT NAME],MATCH(E2135,AccountCodes[NGAS CODE],0))))</f>
        <v>Salaries and Wages-Casual/Contractual</v>
      </c>
      <c r="E2135" s="309" t="s">
        <v>163</v>
      </c>
      <c r="F2135" s="501">
        <v>89629.8</v>
      </c>
    </row>
    <row r="2136" spans="1:6">
      <c r="A2136" s="308">
        <v>43373</v>
      </c>
      <c r="B2136" s="309" t="s">
        <v>486</v>
      </c>
      <c r="C2136" s="309" t="s">
        <v>493</v>
      </c>
      <c r="D2136" s="136" t="str">
        <f t="array" ref="D2136">IF(E2136=0,0,(INDEX(AccountCodes[ACCOUNT NAME],MATCH(E2136,AccountCodes[NGAS CODE],0))))</f>
        <v>Salaries and Wages-Casual/Contractual</v>
      </c>
      <c r="E2136" s="309" t="s">
        <v>163</v>
      </c>
      <c r="F2136" s="501">
        <v>89629.8</v>
      </c>
    </row>
    <row r="2137" spans="1:6">
      <c r="A2137" s="308">
        <v>43404</v>
      </c>
      <c r="B2137" s="309" t="s">
        <v>486</v>
      </c>
      <c r="C2137" s="309" t="s">
        <v>493</v>
      </c>
      <c r="D2137" s="136" t="str">
        <f t="array" ref="D2137">IF(E2137=0,0,(INDEX(AccountCodes[ACCOUNT NAME],MATCH(E2137,AccountCodes[NGAS CODE],0))))</f>
        <v>Salaries and Wages-Casual/Contractual</v>
      </c>
      <c r="E2137" s="309" t="s">
        <v>163</v>
      </c>
      <c r="F2137" s="501">
        <v>89629.8</v>
      </c>
    </row>
    <row r="2138" spans="1:6">
      <c r="A2138" s="308">
        <v>43434</v>
      </c>
      <c r="B2138" s="309" t="s">
        <v>486</v>
      </c>
      <c r="C2138" s="309" t="s">
        <v>493</v>
      </c>
      <c r="D2138" s="136" t="str">
        <f t="array" ref="D2138">IF(E2138=0,0,(INDEX(AccountCodes[ACCOUNT NAME],MATCH(E2138,AccountCodes[NGAS CODE],0))))</f>
        <v>Salaries and Wages-Casual/Contractual</v>
      </c>
      <c r="E2138" s="309" t="s">
        <v>163</v>
      </c>
      <c r="F2138" s="501">
        <v>89629.8</v>
      </c>
    </row>
    <row r="2139" spans="1:6">
      <c r="A2139" s="308">
        <v>43465</v>
      </c>
      <c r="B2139" s="309" t="s">
        <v>486</v>
      </c>
      <c r="C2139" s="309" t="s">
        <v>493</v>
      </c>
      <c r="D2139" s="136" t="str">
        <f t="array" ref="D2139">IF(E2139=0,0,(INDEX(AccountCodes[ACCOUNT NAME],MATCH(E2139,AccountCodes[NGAS CODE],0))))</f>
        <v>Salaries and Wages-Casual/Contractual</v>
      </c>
      <c r="E2139" s="309" t="s">
        <v>163</v>
      </c>
      <c r="F2139" s="501">
        <v>89629.8</v>
      </c>
    </row>
    <row r="2140" spans="1:6">
      <c r="A2140" s="308">
        <v>43131</v>
      </c>
      <c r="B2140" s="309" t="s">
        <v>486</v>
      </c>
      <c r="C2140" s="309" t="s">
        <v>493</v>
      </c>
      <c r="D2140" s="136" t="str">
        <f t="array" ref="D2140">IF(E2140=0,0,(INDEX(AccountCodes[ACCOUNT NAME],MATCH(E2140,AccountCodes[NGAS CODE],0))))</f>
        <v>Personal Economic Relief Allowance (PERA)</v>
      </c>
      <c r="E2140" s="309" t="s">
        <v>164</v>
      </c>
      <c r="F2140" s="501">
        <v>26000</v>
      </c>
    </row>
    <row r="2141" spans="1:6">
      <c r="A2141" s="308">
        <v>43159</v>
      </c>
      <c r="B2141" s="309" t="s">
        <v>486</v>
      </c>
      <c r="C2141" s="309" t="s">
        <v>493</v>
      </c>
      <c r="D2141" s="136" t="str">
        <f t="array" ref="D2141">IF(E2141=0,0,(INDEX(AccountCodes[ACCOUNT NAME],MATCH(E2141,AccountCodes[NGAS CODE],0))))</f>
        <v>Personal Economic Relief Allowance (PERA)</v>
      </c>
      <c r="E2141" s="309" t="s">
        <v>164</v>
      </c>
      <c r="F2141" s="501">
        <v>26000</v>
      </c>
    </row>
    <row r="2142" spans="1:6">
      <c r="A2142" s="308">
        <v>43190</v>
      </c>
      <c r="B2142" s="309" t="s">
        <v>486</v>
      </c>
      <c r="C2142" s="309" t="s">
        <v>493</v>
      </c>
      <c r="D2142" s="136" t="str">
        <f t="array" ref="D2142">IF(E2142=0,0,(INDEX(AccountCodes[ACCOUNT NAME],MATCH(E2142,AccountCodes[NGAS CODE],0))))</f>
        <v>Personal Economic Relief Allowance (PERA)</v>
      </c>
      <c r="E2142" s="309" t="s">
        <v>164</v>
      </c>
      <c r="F2142" s="501">
        <v>26000</v>
      </c>
    </row>
    <row r="2143" spans="1:6">
      <c r="A2143" s="308">
        <v>43220</v>
      </c>
      <c r="B2143" s="309" t="s">
        <v>486</v>
      </c>
      <c r="C2143" s="309" t="s">
        <v>493</v>
      </c>
      <c r="D2143" s="136" t="str">
        <f t="array" ref="D2143">IF(E2143=0,0,(INDEX(AccountCodes[ACCOUNT NAME],MATCH(E2143,AccountCodes[NGAS CODE],0))))</f>
        <v>Personal Economic Relief Allowance (PERA)</v>
      </c>
      <c r="E2143" s="309" t="s">
        <v>164</v>
      </c>
      <c r="F2143" s="501">
        <v>26000</v>
      </c>
    </row>
    <row r="2144" spans="1:6">
      <c r="A2144" s="308">
        <v>43251</v>
      </c>
      <c r="B2144" s="309" t="s">
        <v>486</v>
      </c>
      <c r="C2144" s="309" t="s">
        <v>493</v>
      </c>
      <c r="D2144" s="136" t="str">
        <f t="array" ref="D2144">IF(E2144=0,0,(INDEX(AccountCodes[ACCOUNT NAME],MATCH(E2144,AccountCodes[NGAS CODE],0))))</f>
        <v>Personal Economic Relief Allowance (PERA)</v>
      </c>
      <c r="E2144" s="309" t="s">
        <v>164</v>
      </c>
      <c r="F2144" s="501">
        <v>26000</v>
      </c>
    </row>
    <row r="2145" spans="1:6">
      <c r="A2145" s="308">
        <v>43281</v>
      </c>
      <c r="B2145" s="309" t="s">
        <v>486</v>
      </c>
      <c r="C2145" s="309" t="s">
        <v>493</v>
      </c>
      <c r="D2145" s="136" t="str">
        <f t="array" ref="D2145">IF(E2145=0,0,(INDEX(AccountCodes[ACCOUNT NAME],MATCH(E2145,AccountCodes[NGAS CODE],0))))</f>
        <v>Personal Economic Relief Allowance (PERA)</v>
      </c>
      <c r="E2145" s="309" t="s">
        <v>164</v>
      </c>
      <c r="F2145" s="501">
        <v>26000</v>
      </c>
    </row>
    <row r="2146" spans="1:6">
      <c r="A2146" s="308">
        <v>43312</v>
      </c>
      <c r="B2146" s="309" t="s">
        <v>486</v>
      </c>
      <c r="C2146" s="309" t="s">
        <v>493</v>
      </c>
      <c r="D2146" s="136" t="str">
        <f t="array" ref="D2146">IF(E2146=0,0,(INDEX(AccountCodes[ACCOUNT NAME],MATCH(E2146,AccountCodes[NGAS CODE],0))))</f>
        <v>Personal Economic Relief Allowance (PERA)</v>
      </c>
      <c r="E2146" s="309" t="s">
        <v>164</v>
      </c>
      <c r="F2146" s="501">
        <v>26000</v>
      </c>
    </row>
    <row r="2147" spans="1:6">
      <c r="A2147" s="308">
        <v>43343</v>
      </c>
      <c r="B2147" s="309" t="s">
        <v>486</v>
      </c>
      <c r="C2147" s="309" t="s">
        <v>493</v>
      </c>
      <c r="D2147" s="136" t="str">
        <f t="array" ref="D2147">IF(E2147=0,0,(INDEX(AccountCodes[ACCOUNT NAME],MATCH(E2147,AccountCodes[NGAS CODE],0))))</f>
        <v>Personal Economic Relief Allowance (PERA)</v>
      </c>
      <c r="E2147" s="309" t="s">
        <v>164</v>
      </c>
      <c r="F2147" s="501">
        <v>26000</v>
      </c>
    </row>
    <row r="2148" spans="1:6">
      <c r="A2148" s="308">
        <v>43373</v>
      </c>
      <c r="B2148" s="309" t="s">
        <v>486</v>
      </c>
      <c r="C2148" s="309" t="s">
        <v>493</v>
      </c>
      <c r="D2148" s="136" t="str">
        <f t="array" ref="D2148">IF(E2148=0,0,(INDEX(AccountCodes[ACCOUNT NAME],MATCH(E2148,AccountCodes[NGAS CODE],0))))</f>
        <v>Personal Economic Relief Allowance (PERA)</v>
      </c>
      <c r="E2148" s="309" t="s">
        <v>164</v>
      </c>
      <c r="F2148" s="501">
        <v>26000</v>
      </c>
    </row>
    <row r="2149" spans="1:6">
      <c r="A2149" s="308">
        <v>43404</v>
      </c>
      <c r="B2149" s="309" t="s">
        <v>486</v>
      </c>
      <c r="C2149" s="309" t="s">
        <v>493</v>
      </c>
      <c r="D2149" s="136" t="str">
        <f t="array" ref="D2149">IF(E2149=0,0,(INDEX(AccountCodes[ACCOUNT NAME],MATCH(E2149,AccountCodes[NGAS CODE],0))))</f>
        <v>Personal Economic Relief Allowance (PERA)</v>
      </c>
      <c r="E2149" s="309" t="s">
        <v>164</v>
      </c>
      <c r="F2149" s="501">
        <v>26000</v>
      </c>
    </row>
    <row r="2150" spans="1:6">
      <c r="A2150" s="308">
        <v>43434</v>
      </c>
      <c r="B2150" s="309" t="s">
        <v>486</v>
      </c>
      <c r="C2150" s="309" t="s">
        <v>493</v>
      </c>
      <c r="D2150" s="136" t="str">
        <f t="array" ref="D2150">IF(E2150=0,0,(INDEX(AccountCodes[ACCOUNT NAME],MATCH(E2150,AccountCodes[NGAS CODE],0))))</f>
        <v>Personal Economic Relief Allowance (PERA)</v>
      </c>
      <c r="E2150" s="309" t="s">
        <v>164</v>
      </c>
      <c r="F2150" s="501">
        <v>26000</v>
      </c>
    </row>
    <row r="2151" spans="1:6">
      <c r="A2151" s="308">
        <v>43465</v>
      </c>
      <c r="B2151" s="309" t="s">
        <v>486</v>
      </c>
      <c r="C2151" s="309" t="s">
        <v>493</v>
      </c>
      <c r="D2151" s="136" t="str">
        <f t="array" ref="D2151">IF(E2151=0,0,(INDEX(AccountCodes[ACCOUNT NAME],MATCH(E2151,AccountCodes[NGAS CODE],0))))</f>
        <v>Personal Economic Relief Allowance (PERA)</v>
      </c>
      <c r="E2151" s="309" t="s">
        <v>164</v>
      </c>
      <c r="F2151" s="501">
        <v>26000</v>
      </c>
    </row>
    <row r="2152" spans="1:6">
      <c r="A2152" s="308">
        <v>43465</v>
      </c>
      <c r="B2152" s="309" t="s">
        <v>486</v>
      </c>
      <c r="C2152" s="309" t="s">
        <v>493</v>
      </c>
      <c r="D2152" s="136" t="str">
        <f t="array" ref="D2152">IF(E2152=0,0,(INDEX(AccountCodes[ACCOUNT NAME],MATCH(E2152,AccountCodes[NGAS CODE],0))))</f>
        <v>Other Bonuses and Allowances - Productivity Enhancement Incentive-Civilian</v>
      </c>
      <c r="E2152" s="309" t="s">
        <v>170</v>
      </c>
      <c r="F2152" s="501">
        <v>65000</v>
      </c>
    </row>
    <row r="2153" spans="1:6">
      <c r="A2153" s="308">
        <v>43131</v>
      </c>
      <c r="B2153" s="309" t="s">
        <v>486</v>
      </c>
      <c r="C2153" s="309" t="s">
        <v>493</v>
      </c>
      <c r="D2153" s="136" t="str">
        <f t="array" ref="D2153">IF(E2153=0,0,(INDEX(AccountCodes[ACCOUNT NAME],MATCH(E2153,AccountCodes[NGAS CODE],0))))</f>
        <v>Other Bonuses and Allowances - Children Allowance</v>
      </c>
      <c r="E2153" s="309" t="s">
        <v>7</v>
      </c>
      <c r="F2153" s="501">
        <v>60</v>
      </c>
    </row>
    <row r="2154" spans="1:6">
      <c r="A2154" s="308">
        <v>43159</v>
      </c>
      <c r="B2154" s="309" t="s">
        <v>486</v>
      </c>
      <c r="C2154" s="309" t="s">
        <v>493</v>
      </c>
      <c r="D2154" s="136" t="str">
        <f t="array" ref="D2154">IF(E2154=0,0,(INDEX(AccountCodes[ACCOUNT NAME],MATCH(E2154,AccountCodes[NGAS CODE],0))))</f>
        <v>Other Bonuses and Allowances - Children Allowance</v>
      </c>
      <c r="E2154" s="309" t="s">
        <v>7</v>
      </c>
      <c r="F2154" s="501">
        <v>60</v>
      </c>
    </row>
    <row r="2155" spans="1:6">
      <c r="A2155" s="308">
        <v>43190</v>
      </c>
      <c r="B2155" s="309" t="s">
        <v>486</v>
      </c>
      <c r="C2155" s="309" t="s">
        <v>493</v>
      </c>
      <c r="D2155" s="136" t="str">
        <f t="array" ref="D2155">IF(E2155=0,0,(INDEX(AccountCodes[ACCOUNT NAME],MATCH(E2155,AccountCodes[NGAS CODE],0))))</f>
        <v>Other Bonuses and Allowances - Children Allowance</v>
      </c>
      <c r="E2155" s="309" t="s">
        <v>7</v>
      </c>
      <c r="F2155" s="501">
        <v>60</v>
      </c>
    </row>
    <row r="2156" spans="1:6">
      <c r="A2156" s="308">
        <v>43220</v>
      </c>
      <c r="B2156" s="309" t="s">
        <v>486</v>
      </c>
      <c r="C2156" s="309" t="s">
        <v>493</v>
      </c>
      <c r="D2156" s="136" t="str">
        <f t="array" ref="D2156">IF(E2156=0,0,(INDEX(AccountCodes[ACCOUNT NAME],MATCH(E2156,AccountCodes[NGAS CODE],0))))</f>
        <v>Other Bonuses and Allowances - Children Allowance</v>
      </c>
      <c r="E2156" s="309" t="s">
        <v>7</v>
      </c>
      <c r="F2156" s="501">
        <v>60</v>
      </c>
    </row>
    <row r="2157" spans="1:6">
      <c r="A2157" s="308">
        <v>43251</v>
      </c>
      <c r="B2157" s="309" t="s">
        <v>486</v>
      </c>
      <c r="C2157" s="309" t="s">
        <v>493</v>
      </c>
      <c r="D2157" s="136" t="str">
        <f t="array" ref="D2157">IF(E2157=0,0,(INDEX(AccountCodes[ACCOUNT NAME],MATCH(E2157,AccountCodes[NGAS CODE],0))))</f>
        <v>Other Bonuses and Allowances - Children Allowance</v>
      </c>
      <c r="E2157" s="309" t="s">
        <v>7</v>
      </c>
      <c r="F2157" s="501">
        <v>60</v>
      </c>
    </row>
    <row r="2158" spans="1:6">
      <c r="A2158" s="308">
        <v>43281</v>
      </c>
      <c r="B2158" s="309" t="s">
        <v>486</v>
      </c>
      <c r="C2158" s="309" t="s">
        <v>493</v>
      </c>
      <c r="D2158" s="136" t="str">
        <f t="array" ref="D2158">IF(E2158=0,0,(INDEX(AccountCodes[ACCOUNT NAME],MATCH(E2158,AccountCodes[NGAS CODE],0))))</f>
        <v>Other Bonuses and Allowances - Children Allowance</v>
      </c>
      <c r="E2158" s="309" t="s">
        <v>7</v>
      </c>
      <c r="F2158" s="501">
        <v>60</v>
      </c>
    </row>
    <row r="2159" spans="1:6">
      <c r="A2159" s="308">
        <v>43312</v>
      </c>
      <c r="B2159" s="309" t="s">
        <v>486</v>
      </c>
      <c r="C2159" s="309" t="s">
        <v>493</v>
      </c>
      <c r="D2159" s="136" t="str">
        <f t="array" ref="D2159">IF(E2159=0,0,(INDEX(AccountCodes[ACCOUNT NAME],MATCH(E2159,AccountCodes[NGAS CODE],0))))</f>
        <v>Other Bonuses and Allowances - Children Allowance</v>
      </c>
      <c r="E2159" s="309" t="s">
        <v>7</v>
      </c>
      <c r="F2159" s="501">
        <v>60</v>
      </c>
    </row>
    <row r="2160" spans="1:6">
      <c r="A2160" s="308">
        <v>43343</v>
      </c>
      <c r="B2160" s="309" t="s">
        <v>486</v>
      </c>
      <c r="C2160" s="309" t="s">
        <v>493</v>
      </c>
      <c r="D2160" s="136" t="str">
        <f t="array" ref="D2160">IF(E2160=0,0,(INDEX(AccountCodes[ACCOUNT NAME],MATCH(E2160,AccountCodes[NGAS CODE],0))))</f>
        <v>Other Bonuses and Allowances - Children Allowance</v>
      </c>
      <c r="E2160" s="309" t="s">
        <v>7</v>
      </c>
      <c r="F2160" s="501">
        <v>60</v>
      </c>
    </row>
    <row r="2161" spans="1:6">
      <c r="A2161" s="308">
        <v>43373</v>
      </c>
      <c r="B2161" s="309" t="s">
        <v>486</v>
      </c>
      <c r="C2161" s="309" t="s">
        <v>493</v>
      </c>
      <c r="D2161" s="136" t="str">
        <f t="array" ref="D2161">IF(E2161=0,0,(INDEX(AccountCodes[ACCOUNT NAME],MATCH(E2161,AccountCodes[NGAS CODE],0))))</f>
        <v>Other Bonuses and Allowances - Children Allowance</v>
      </c>
      <c r="E2161" s="309" t="s">
        <v>7</v>
      </c>
      <c r="F2161" s="501">
        <v>60</v>
      </c>
    </row>
    <row r="2162" spans="1:6">
      <c r="A2162" s="308">
        <v>43404</v>
      </c>
      <c r="B2162" s="309" t="s">
        <v>486</v>
      </c>
      <c r="C2162" s="309" t="s">
        <v>493</v>
      </c>
      <c r="D2162" s="136" t="str">
        <f t="array" ref="D2162">IF(E2162=0,0,(INDEX(AccountCodes[ACCOUNT NAME],MATCH(E2162,AccountCodes[NGAS CODE],0))))</f>
        <v>Other Bonuses and Allowances - Children Allowance</v>
      </c>
      <c r="E2162" s="309" t="s">
        <v>7</v>
      </c>
      <c r="F2162" s="501">
        <v>60</v>
      </c>
    </row>
    <row r="2163" spans="1:6">
      <c r="A2163" s="308">
        <v>43434</v>
      </c>
      <c r="B2163" s="309" t="s">
        <v>486</v>
      </c>
      <c r="C2163" s="309" t="s">
        <v>493</v>
      </c>
      <c r="D2163" s="136" t="str">
        <f t="array" ref="D2163">IF(E2163=0,0,(INDEX(AccountCodes[ACCOUNT NAME],MATCH(E2163,AccountCodes[NGAS CODE],0))))</f>
        <v>Other Bonuses and Allowances - Children Allowance</v>
      </c>
      <c r="E2163" s="309" t="s">
        <v>7</v>
      </c>
      <c r="F2163" s="501">
        <v>60</v>
      </c>
    </row>
    <row r="2164" spans="1:6">
      <c r="A2164" s="308">
        <v>43465</v>
      </c>
      <c r="B2164" s="309" t="s">
        <v>486</v>
      </c>
      <c r="C2164" s="309" t="s">
        <v>493</v>
      </c>
      <c r="D2164" s="136" t="str">
        <f t="array" ref="D2164">IF(E2164=0,0,(INDEX(AccountCodes[ACCOUNT NAME],MATCH(E2164,AccountCodes[NGAS CODE],0))))</f>
        <v>Other Bonuses and Allowances - Children Allowance</v>
      </c>
      <c r="E2164" s="309" t="s">
        <v>7</v>
      </c>
      <c r="F2164" s="501">
        <v>60</v>
      </c>
    </row>
    <row r="2165" spans="1:6">
      <c r="A2165" s="308">
        <v>43131</v>
      </c>
      <c r="B2165" s="309" t="s">
        <v>486</v>
      </c>
      <c r="C2165" s="309" t="s">
        <v>493</v>
      </c>
      <c r="D2165" s="136" t="str">
        <f t="array" ref="D2165">IF(E2165=0,0,(INDEX(AccountCodes[ACCOUNT NAME],MATCH(E2165,AccountCodes[NGAS CODE],0))))</f>
        <v>Other Bonuses and Allowances - Medical Allowance</v>
      </c>
      <c r="E2165" s="309" t="s">
        <v>5</v>
      </c>
      <c r="F2165" s="501">
        <v>1400</v>
      </c>
    </row>
    <row r="2166" spans="1:6">
      <c r="A2166" s="308">
        <v>43159</v>
      </c>
      <c r="B2166" s="309" t="s">
        <v>486</v>
      </c>
      <c r="C2166" s="309" t="s">
        <v>493</v>
      </c>
      <c r="D2166" s="136" t="str">
        <f t="array" ref="D2166">IF(E2166=0,0,(INDEX(AccountCodes[ACCOUNT NAME],MATCH(E2166,AccountCodes[NGAS CODE],0))))</f>
        <v>Other Bonuses and Allowances - Medical Allowance</v>
      </c>
      <c r="E2166" s="309" t="s">
        <v>5</v>
      </c>
      <c r="F2166" s="501">
        <v>1400</v>
      </c>
    </row>
    <row r="2167" spans="1:6">
      <c r="A2167" s="308">
        <v>43190</v>
      </c>
      <c r="B2167" s="309" t="s">
        <v>486</v>
      </c>
      <c r="C2167" s="309" t="s">
        <v>493</v>
      </c>
      <c r="D2167" s="136" t="str">
        <f t="array" ref="D2167">IF(E2167=0,0,(INDEX(AccountCodes[ACCOUNT NAME],MATCH(E2167,AccountCodes[NGAS CODE],0))))</f>
        <v>Other Bonuses and Allowances - Medical Allowance</v>
      </c>
      <c r="E2167" s="309" t="s">
        <v>5</v>
      </c>
      <c r="F2167" s="501">
        <v>1400</v>
      </c>
    </row>
    <row r="2168" spans="1:6">
      <c r="A2168" s="308">
        <v>43220</v>
      </c>
      <c r="B2168" s="309" t="s">
        <v>486</v>
      </c>
      <c r="C2168" s="309" t="s">
        <v>493</v>
      </c>
      <c r="D2168" s="136" t="str">
        <f t="array" ref="D2168">IF(E2168=0,0,(INDEX(AccountCodes[ACCOUNT NAME],MATCH(E2168,AccountCodes[NGAS CODE],0))))</f>
        <v>Other Bonuses and Allowances - Medical Allowance</v>
      </c>
      <c r="E2168" s="309" t="s">
        <v>5</v>
      </c>
      <c r="F2168" s="501">
        <v>1400</v>
      </c>
    </row>
    <row r="2169" spans="1:6">
      <c r="A2169" s="308">
        <v>43251</v>
      </c>
      <c r="B2169" s="309" t="s">
        <v>486</v>
      </c>
      <c r="C2169" s="309" t="s">
        <v>493</v>
      </c>
      <c r="D2169" s="136" t="str">
        <f t="array" ref="D2169">IF(E2169=0,0,(INDEX(AccountCodes[ACCOUNT NAME],MATCH(E2169,AccountCodes[NGAS CODE],0))))</f>
        <v>Other Bonuses and Allowances - Medical Allowance</v>
      </c>
      <c r="E2169" s="309" t="s">
        <v>5</v>
      </c>
      <c r="F2169" s="501">
        <v>1400</v>
      </c>
    </row>
    <row r="2170" spans="1:6">
      <c r="A2170" s="308">
        <v>43281</v>
      </c>
      <c r="B2170" s="309" t="s">
        <v>486</v>
      </c>
      <c r="C2170" s="309" t="s">
        <v>493</v>
      </c>
      <c r="D2170" s="136" t="str">
        <f t="array" ref="D2170">IF(E2170=0,0,(INDEX(AccountCodes[ACCOUNT NAME],MATCH(E2170,AccountCodes[NGAS CODE],0))))</f>
        <v>Other Bonuses and Allowances - Medical Allowance</v>
      </c>
      <c r="E2170" s="309" t="s">
        <v>5</v>
      </c>
      <c r="F2170" s="501">
        <v>1400</v>
      </c>
    </row>
    <row r="2171" spans="1:6">
      <c r="A2171" s="308">
        <v>43312</v>
      </c>
      <c r="B2171" s="309" t="s">
        <v>486</v>
      </c>
      <c r="C2171" s="309" t="s">
        <v>493</v>
      </c>
      <c r="D2171" s="136" t="str">
        <f t="array" ref="D2171">IF(E2171=0,0,(INDEX(AccountCodes[ACCOUNT NAME],MATCH(E2171,AccountCodes[NGAS CODE],0))))</f>
        <v>Other Bonuses and Allowances - Medical Allowance</v>
      </c>
      <c r="E2171" s="309" t="s">
        <v>5</v>
      </c>
      <c r="F2171" s="501">
        <v>1400</v>
      </c>
    </row>
    <row r="2172" spans="1:6">
      <c r="A2172" s="308">
        <v>43343</v>
      </c>
      <c r="B2172" s="309" t="s">
        <v>486</v>
      </c>
      <c r="C2172" s="309" t="s">
        <v>493</v>
      </c>
      <c r="D2172" s="136" t="str">
        <f t="array" ref="D2172">IF(E2172=0,0,(INDEX(AccountCodes[ACCOUNT NAME],MATCH(E2172,AccountCodes[NGAS CODE],0))))</f>
        <v>Other Bonuses and Allowances - Medical Allowance</v>
      </c>
      <c r="E2172" s="309" t="s">
        <v>5</v>
      </c>
      <c r="F2172" s="501">
        <v>1400</v>
      </c>
    </row>
    <row r="2173" spans="1:6">
      <c r="A2173" s="308">
        <v>43373</v>
      </c>
      <c r="B2173" s="309" t="s">
        <v>486</v>
      </c>
      <c r="C2173" s="309" t="s">
        <v>493</v>
      </c>
      <c r="D2173" s="136" t="str">
        <f t="array" ref="D2173">IF(E2173=0,0,(INDEX(AccountCodes[ACCOUNT NAME],MATCH(E2173,AccountCodes[NGAS CODE],0))))</f>
        <v>Other Bonuses and Allowances - Medical Allowance</v>
      </c>
      <c r="E2173" s="309" t="s">
        <v>5</v>
      </c>
      <c r="F2173" s="501">
        <v>1400</v>
      </c>
    </row>
    <row r="2174" spans="1:6">
      <c r="A2174" s="308">
        <v>43404</v>
      </c>
      <c r="B2174" s="309" t="s">
        <v>486</v>
      </c>
      <c r="C2174" s="309" t="s">
        <v>493</v>
      </c>
      <c r="D2174" s="136" t="str">
        <f t="array" ref="D2174">IF(E2174=0,0,(INDEX(AccountCodes[ACCOUNT NAME],MATCH(E2174,AccountCodes[NGAS CODE],0))))</f>
        <v>Other Bonuses and Allowances - Medical Allowance</v>
      </c>
      <c r="E2174" s="309" t="s">
        <v>5</v>
      </c>
      <c r="F2174" s="501">
        <v>1400</v>
      </c>
    </row>
    <row r="2175" spans="1:6">
      <c r="A2175" s="308">
        <v>43434</v>
      </c>
      <c r="B2175" s="309" t="s">
        <v>486</v>
      </c>
      <c r="C2175" s="309" t="s">
        <v>493</v>
      </c>
      <c r="D2175" s="136" t="str">
        <f t="array" ref="D2175">IF(E2175=0,0,(INDEX(AccountCodes[ACCOUNT NAME],MATCH(E2175,AccountCodes[NGAS CODE],0))))</f>
        <v>Other Bonuses and Allowances - Medical Allowance</v>
      </c>
      <c r="E2175" s="309" t="s">
        <v>5</v>
      </c>
      <c r="F2175" s="501">
        <v>1400</v>
      </c>
    </row>
    <row r="2176" spans="1:6">
      <c r="A2176" s="308">
        <v>43465</v>
      </c>
      <c r="B2176" s="309" t="s">
        <v>486</v>
      </c>
      <c r="C2176" s="309" t="s">
        <v>493</v>
      </c>
      <c r="D2176" s="136" t="str">
        <f t="array" ref="D2176">IF(E2176=0,0,(INDEX(AccountCodes[ACCOUNT NAME],MATCH(E2176,AccountCodes[NGAS CODE],0))))</f>
        <v>Other Bonuses and Allowances - Medical Allowance</v>
      </c>
      <c r="E2176" s="309" t="s">
        <v>5</v>
      </c>
      <c r="F2176" s="501">
        <v>1400</v>
      </c>
    </row>
    <row r="2177" spans="1:6">
      <c r="A2177" s="308">
        <v>43131</v>
      </c>
      <c r="B2177" s="309" t="s">
        <v>486</v>
      </c>
      <c r="C2177" s="309" t="s">
        <v>493</v>
      </c>
      <c r="D2177" s="136" t="str">
        <f t="array" ref="D2177">IF(E2177=0,0,(INDEX(AccountCodes[ACCOUNT NAME],MATCH(E2177,AccountCodes[NGAS CODE],0))))</f>
        <v>Other Bonuses and Allowances - Meal Allowance</v>
      </c>
      <c r="E2177" s="309" t="s">
        <v>6</v>
      </c>
      <c r="F2177" s="501">
        <v>462</v>
      </c>
    </row>
    <row r="2178" spans="1:6">
      <c r="A2178" s="308">
        <v>43159</v>
      </c>
      <c r="B2178" s="309" t="s">
        <v>486</v>
      </c>
      <c r="C2178" s="309" t="s">
        <v>493</v>
      </c>
      <c r="D2178" s="136" t="str">
        <f t="array" ref="D2178">IF(E2178=0,0,(INDEX(AccountCodes[ACCOUNT NAME],MATCH(E2178,AccountCodes[NGAS CODE],0))))</f>
        <v>Other Bonuses and Allowances - Meal Allowance</v>
      </c>
      <c r="E2178" s="309" t="s">
        <v>6</v>
      </c>
      <c r="F2178" s="501">
        <v>462</v>
      </c>
    </row>
    <row r="2179" spans="1:6">
      <c r="A2179" s="308">
        <v>43190</v>
      </c>
      <c r="B2179" s="309" t="s">
        <v>486</v>
      </c>
      <c r="C2179" s="309" t="s">
        <v>493</v>
      </c>
      <c r="D2179" s="136" t="str">
        <f t="array" ref="D2179">IF(E2179=0,0,(INDEX(AccountCodes[ACCOUNT NAME],MATCH(E2179,AccountCodes[NGAS CODE],0))))</f>
        <v>Other Bonuses and Allowances - Meal Allowance</v>
      </c>
      <c r="E2179" s="309" t="s">
        <v>6</v>
      </c>
      <c r="F2179" s="501">
        <v>462</v>
      </c>
    </row>
    <row r="2180" spans="1:6">
      <c r="A2180" s="308">
        <v>43220</v>
      </c>
      <c r="B2180" s="309" t="s">
        <v>486</v>
      </c>
      <c r="C2180" s="309" t="s">
        <v>493</v>
      </c>
      <c r="D2180" s="136" t="str">
        <f t="array" ref="D2180">IF(E2180=0,0,(INDEX(AccountCodes[ACCOUNT NAME],MATCH(E2180,AccountCodes[NGAS CODE],0))))</f>
        <v>Other Bonuses and Allowances - Meal Allowance</v>
      </c>
      <c r="E2180" s="309" t="s">
        <v>6</v>
      </c>
      <c r="F2180" s="501">
        <v>462</v>
      </c>
    </row>
    <row r="2181" spans="1:6">
      <c r="A2181" s="308">
        <v>43251</v>
      </c>
      <c r="B2181" s="309" t="s">
        <v>486</v>
      </c>
      <c r="C2181" s="309" t="s">
        <v>493</v>
      </c>
      <c r="D2181" s="136" t="str">
        <f t="array" ref="D2181">IF(E2181=0,0,(INDEX(AccountCodes[ACCOUNT NAME],MATCH(E2181,AccountCodes[NGAS CODE],0))))</f>
        <v>Other Bonuses and Allowances - Meal Allowance</v>
      </c>
      <c r="E2181" s="309" t="s">
        <v>6</v>
      </c>
      <c r="F2181" s="501">
        <v>462</v>
      </c>
    </row>
    <row r="2182" spans="1:6">
      <c r="A2182" s="308">
        <v>43281</v>
      </c>
      <c r="B2182" s="309" t="s">
        <v>486</v>
      </c>
      <c r="C2182" s="309" t="s">
        <v>493</v>
      </c>
      <c r="D2182" s="136" t="str">
        <f t="array" ref="D2182">IF(E2182=0,0,(INDEX(AccountCodes[ACCOUNT NAME],MATCH(E2182,AccountCodes[NGAS CODE],0))))</f>
        <v>Other Bonuses and Allowances - Meal Allowance</v>
      </c>
      <c r="E2182" s="309" t="s">
        <v>6</v>
      </c>
      <c r="F2182" s="501">
        <v>462</v>
      </c>
    </row>
    <row r="2183" spans="1:6">
      <c r="A2183" s="308">
        <v>43312</v>
      </c>
      <c r="B2183" s="309" t="s">
        <v>486</v>
      </c>
      <c r="C2183" s="309" t="s">
        <v>493</v>
      </c>
      <c r="D2183" s="136" t="str">
        <f t="array" ref="D2183">IF(E2183=0,0,(INDEX(AccountCodes[ACCOUNT NAME],MATCH(E2183,AccountCodes[NGAS CODE],0))))</f>
        <v>Other Bonuses and Allowances - Meal Allowance</v>
      </c>
      <c r="E2183" s="309" t="s">
        <v>6</v>
      </c>
      <c r="F2183" s="501">
        <v>462</v>
      </c>
    </row>
    <row r="2184" spans="1:6">
      <c r="A2184" s="308">
        <v>43343</v>
      </c>
      <c r="B2184" s="309" t="s">
        <v>486</v>
      </c>
      <c r="C2184" s="309" t="s">
        <v>493</v>
      </c>
      <c r="D2184" s="136" t="str">
        <f t="array" ref="D2184">IF(E2184=0,0,(INDEX(AccountCodes[ACCOUNT NAME],MATCH(E2184,AccountCodes[NGAS CODE],0))))</f>
        <v>Other Bonuses and Allowances - Meal Allowance</v>
      </c>
      <c r="E2184" s="309" t="s">
        <v>6</v>
      </c>
      <c r="F2184" s="501">
        <v>462</v>
      </c>
    </row>
    <row r="2185" spans="1:6">
      <c r="A2185" s="308">
        <v>43373</v>
      </c>
      <c r="B2185" s="309" t="s">
        <v>486</v>
      </c>
      <c r="C2185" s="309" t="s">
        <v>493</v>
      </c>
      <c r="D2185" s="136" t="str">
        <f t="array" ref="D2185">IF(E2185=0,0,(INDEX(AccountCodes[ACCOUNT NAME],MATCH(E2185,AccountCodes[NGAS CODE],0))))</f>
        <v>Other Bonuses and Allowances - Meal Allowance</v>
      </c>
      <c r="E2185" s="309" t="s">
        <v>6</v>
      </c>
      <c r="F2185" s="501">
        <v>462</v>
      </c>
    </row>
    <row r="2186" spans="1:6">
      <c r="A2186" s="308">
        <v>43404</v>
      </c>
      <c r="B2186" s="309" t="s">
        <v>486</v>
      </c>
      <c r="C2186" s="309" t="s">
        <v>493</v>
      </c>
      <c r="D2186" s="136" t="str">
        <f t="array" ref="D2186">IF(E2186=0,0,(INDEX(AccountCodes[ACCOUNT NAME],MATCH(E2186,AccountCodes[NGAS CODE],0))))</f>
        <v>Other Bonuses and Allowances - Meal Allowance</v>
      </c>
      <c r="E2186" s="309" t="s">
        <v>6</v>
      </c>
      <c r="F2186" s="501">
        <v>462</v>
      </c>
    </row>
    <row r="2187" spans="1:6">
      <c r="A2187" s="308">
        <v>43434</v>
      </c>
      <c r="B2187" s="309" t="s">
        <v>486</v>
      </c>
      <c r="C2187" s="309" t="s">
        <v>493</v>
      </c>
      <c r="D2187" s="136" t="str">
        <f t="array" ref="D2187">IF(E2187=0,0,(INDEX(AccountCodes[ACCOUNT NAME],MATCH(E2187,AccountCodes[NGAS CODE],0))))</f>
        <v>Other Bonuses and Allowances - Meal Allowance</v>
      </c>
      <c r="E2187" s="309" t="s">
        <v>6</v>
      </c>
      <c r="F2187" s="501">
        <v>462</v>
      </c>
    </row>
    <row r="2188" spans="1:6">
      <c r="A2188" s="308">
        <v>43465</v>
      </c>
      <c r="B2188" s="309" t="s">
        <v>486</v>
      </c>
      <c r="C2188" s="309" t="s">
        <v>493</v>
      </c>
      <c r="D2188" s="136" t="str">
        <f t="array" ref="D2188">IF(E2188=0,0,(INDEX(AccountCodes[ACCOUNT NAME],MATCH(E2188,AccountCodes[NGAS CODE],0))))</f>
        <v>Other Bonuses and Allowances - Meal Allowance</v>
      </c>
      <c r="E2188" s="309" t="s">
        <v>6</v>
      </c>
      <c r="F2188" s="501">
        <v>462</v>
      </c>
    </row>
    <row r="2189" spans="1:6">
      <c r="A2189" s="308">
        <v>43434</v>
      </c>
      <c r="B2189" s="309" t="s">
        <v>486</v>
      </c>
      <c r="C2189" s="309" t="s">
        <v>493</v>
      </c>
      <c r="D2189" s="136" t="str">
        <f t="array" ref="D2189">IF(E2189=0,0,(INDEX(AccountCodes[ACCOUNT NAME],MATCH(E2189,AccountCodes[NGAS CODE],0))))</f>
        <v>Cash Gift</v>
      </c>
      <c r="E2189" s="309" t="s">
        <v>172</v>
      </c>
      <c r="F2189" s="501">
        <v>65000</v>
      </c>
    </row>
    <row r="2190" spans="1:6">
      <c r="A2190" s="308">
        <v>43251</v>
      </c>
      <c r="B2190" s="309" t="s">
        <v>486</v>
      </c>
      <c r="C2190" s="309" t="s">
        <v>493</v>
      </c>
      <c r="D2190" s="136" t="str">
        <f t="array" ref="D2190">IF(E2190=0,0,(INDEX(AccountCodes[ACCOUNT NAME],MATCH(E2190,AccountCodes[NGAS CODE],0))))</f>
        <v>Mid-Year/Year End Bonus</v>
      </c>
      <c r="E2190" s="309" t="s">
        <v>174</v>
      </c>
      <c r="F2190" s="501">
        <v>260790</v>
      </c>
    </row>
    <row r="2191" spans="1:6">
      <c r="A2191" s="308">
        <v>43434</v>
      </c>
      <c r="B2191" s="309" t="s">
        <v>486</v>
      </c>
      <c r="C2191" s="309" t="s">
        <v>493</v>
      </c>
      <c r="D2191" s="136" t="str">
        <f t="array" ref="D2191">IF(E2191=0,0,(INDEX(AccountCodes[ACCOUNT NAME],MATCH(E2191,AccountCodes[NGAS CODE],0))))</f>
        <v>Mid-Year/Year End Bonus</v>
      </c>
      <c r="E2191" s="309" t="s">
        <v>174</v>
      </c>
      <c r="F2191" s="501">
        <v>260790</v>
      </c>
    </row>
    <row r="2192" spans="1:6">
      <c r="A2192" s="308">
        <v>43131</v>
      </c>
      <c r="B2192" s="309" t="s">
        <v>486</v>
      </c>
      <c r="C2192" s="309" t="s">
        <v>493</v>
      </c>
      <c r="D2192" s="136" t="str">
        <f t="array" ref="D2192">IF(E2192=0,0,(INDEX(AccountCodes[ACCOUNT NAME],MATCH(E2192,AccountCodes[NGAS CODE],0))))</f>
        <v>Retirement and Life Insurance Premiums</v>
      </c>
      <c r="E2192" s="309" t="s">
        <v>175</v>
      </c>
      <c r="F2192" s="501">
        <v>31294.799999999999</v>
      </c>
    </row>
    <row r="2193" spans="1:6">
      <c r="A2193" s="308">
        <v>43159</v>
      </c>
      <c r="B2193" s="309" t="s">
        <v>486</v>
      </c>
      <c r="C2193" s="309" t="s">
        <v>493</v>
      </c>
      <c r="D2193" s="136" t="str">
        <f t="array" ref="D2193">IF(E2193=0,0,(INDEX(AccountCodes[ACCOUNT NAME],MATCH(E2193,AccountCodes[NGAS CODE],0))))</f>
        <v>Retirement and Life Insurance Premiums</v>
      </c>
      <c r="E2193" s="309" t="s">
        <v>175</v>
      </c>
      <c r="F2193" s="501">
        <v>31294.799999999999</v>
      </c>
    </row>
    <row r="2194" spans="1:6">
      <c r="A2194" s="308">
        <v>43190</v>
      </c>
      <c r="B2194" s="309" t="s">
        <v>486</v>
      </c>
      <c r="C2194" s="309" t="s">
        <v>493</v>
      </c>
      <c r="D2194" s="136" t="str">
        <f t="array" ref="D2194">IF(E2194=0,0,(INDEX(AccountCodes[ACCOUNT NAME],MATCH(E2194,AccountCodes[NGAS CODE],0))))</f>
        <v>Retirement and Life Insurance Premiums</v>
      </c>
      <c r="E2194" s="309" t="s">
        <v>175</v>
      </c>
      <c r="F2194" s="501">
        <v>31294.799999999999</v>
      </c>
    </row>
    <row r="2195" spans="1:6">
      <c r="A2195" s="308">
        <v>43220</v>
      </c>
      <c r="B2195" s="309" t="s">
        <v>486</v>
      </c>
      <c r="C2195" s="309" t="s">
        <v>493</v>
      </c>
      <c r="D2195" s="136" t="str">
        <f t="array" ref="D2195">IF(E2195=0,0,(INDEX(AccountCodes[ACCOUNT NAME],MATCH(E2195,AccountCodes[NGAS CODE],0))))</f>
        <v>Retirement and Life Insurance Premiums</v>
      </c>
      <c r="E2195" s="309" t="s">
        <v>175</v>
      </c>
      <c r="F2195" s="501">
        <v>31294.799999999999</v>
      </c>
    </row>
    <row r="2196" spans="1:6">
      <c r="A2196" s="308">
        <v>43251</v>
      </c>
      <c r="B2196" s="309" t="s">
        <v>486</v>
      </c>
      <c r="C2196" s="309" t="s">
        <v>493</v>
      </c>
      <c r="D2196" s="136" t="str">
        <f t="array" ref="D2196">IF(E2196=0,0,(INDEX(AccountCodes[ACCOUNT NAME],MATCH(E2196,AccountCodes[NGAS CODE],0))))</f>
        <v>Retirement and Life Insurance Premiums</v>
      </c>
      <c r="E2196" s="309" t="s">
        <v>175</v>
      </c>
      <c r="F2196" s="501">
        <v>31294.799999999999</v>
      </c>
    </row>
    <row r="2197" spans="1:6">
      <c r="A2197" s="308">
        <v>43281</v>
      </c>
      <c r="B2197" s="309" t="s">
        <v>486</v>
      </c>
      <c r="C2197" s="309" t="s">
        <v>493</v>
      </c>
      <c r="D2197" s="136" t="str">
        <f t="array" ref="D2197">IF(E2197=0,0,(INDEX(AccountCodes[ACCOUNT NAME],MATCH(E2197,AccountCodes[NGAS CODE],0))))</f>
        <v>Retirement and Life Insurance Premiums</v>
      </c>
      <c r="E2197" s="309" t="s">
        <v>175</v>
      </c>
      <c r="F2197" s="501">
        <v>31294.799999999999</v>
      </c>
    </row>
    <row r="2198" spans="1:6">
      <c r="A2198" s="308">
        <v>43312</v>
      </c>
      <c r="B2198" s="309" t="s">
        <v>486</v>
      </c>
      <c r="C2198" s="309" t="s">
        <v>493</v>
      </c>
      <c r="D2198" s="136" t="str">
        <f t="array" ref="D2198">IF(E2198=0,0,(INDEX(AccountCodes[ACCOUNT NAME],MATCH(E2198,AccountCodes[NGAS CODE],0))))</f>
        <v>Retirement and Life Insurance Premiums</v>
      </c>
      <c r="E2198" s="309" t="s">
        <v>175</v>
      </c>
      <c r="F2198" s="501">
        <v>31294.799999999999</v>
      </c>
    </row>
    <row r="2199" spans="1:6">
      <c r="A2199" s="308">
        <v>43343</v>
      </c>
      <c r="B2199" s="309" t="s">
        <v>486</v>
      </c>
      <c r="C2199" s="309" t="s">
        <v>493</v>
      </c>
      <c r="D2199" s="136" t="str">
        <f t="array" ref="D2199">IF(E2199=0,0,(INDEX(AccountCodes[ACCOUNT NAME],MATCH(E2199,AccountCodes[NGAS CODE],0))))</f>
        <v>Retirement and Life Insurance Premiums</v>
      </c>
      <c r="E2199" s="309" t="s">
        <v>175</v>
      </c>
      <c r="F2199" s="501">
        <v>31294.799999999999</v>
      </c>
    </row>
    <row r="2200" spans="1:6">
      <c r="A2200" s="308">
        <v>43373</v>
      </c>
      <c r="B2200" s="309" t="s">
        <v>486</v>
      </c>
      <c r="C2200" s="309" t="s">
        <v>493</v>
      </c>
      <c r="D2200" s="136" t="str">
        <f t="array" ref="D2200">IF(E2200=0,0,(INDEX(AccountCodes[ACCOUNT NAME],MATCH(E2200,AccountCodes[NGAS CODE],0))))</f>
        <v>Retirement and Life Insurance Premiums</v>
      </c>
      <c r="E2200" s="309" t="s">
        <v>175</v>
      </c>
      <c r="F2200" s="501">
        <v>31294.799999999999</v>
      </c>
    </row>
    <row r="2201" spans="1:6">
      <c r="A2201" s="308">
        <v>43404</v>
      </c>
      <c r="B2201" s="309" t="s">
        <v>486</v>
      </c>
      <c r="C2201" s="309" t="s">
        <v>493</v>
      </c>
      <c r="D2201" s="136" t="str">
        <f t="array" ref="D2201">IF(E2201=0,0,(INDEX(AccountCodes[ACCOUNT NAME],MATCH(E2201,AccountCodes[NGAS CODE],0))))</f>
        <v>Retirement and Life Insurance Premiums</v>
      </c>
      <c r="E2201" s="309" t="s">
        <v>175</v>
      </c>
      <c r="F2201" s="501">
        <v>31294.799999999999</v>
      </c>
    </row>
    <row r="2202" spans="1:6">
      <c r="A2202" s="308">
        <v>43434</v>
      </c>
      <c r="B2202" s="309" t="s">
        <v>486</v>
      </c>
      <c r="C2202" s="309" t="s">
        <v>493</v>
      </c>
      <c r="D2202" s="136" t="str">
        <f t="array" ref="D2202">IF(E2202=0,0,(INDEX(AccountCodes[ACCOUNT NAME],MATCH(E2202,AccountCodes[NGAS CODE],0))))</f>
        <v>Retirement and Life Insurance Premiums</v>
      </c>
      <c r="E2202" s="309" t="s">
        <v>175</v>
      </c>
      <c r="F2202" s="501">
        <v>31294.799999999999</v>
      </c>
    </row>
    <row r="2203" spans="1:6">
      <c r="A2203" s="308">
        <v>43465</v>
      </c>
      <c r="B2203" s="309" t="s">
        <v>486</v>
      </c>
      <c r="C2203" s="309" t="s">
        <v>493</v>
      </c>
      <c r="D2203" s="136" t="str">
        <f t="array" ref="D2203">IF(E2203=0,0,(INDEX(AccountCodes[ACCOUNT NAME],MATCH(E2203,AccountCodes[NGAS CODE],0))))</f>
        <v>Retirement and Life Insurance Premiums</v>
      </c>
      <c r="E2203" s="309" t="s">
        <v>175</v>
      </c>
      <c r="F2203" s="501">
        <v>31294.799999999999</v>
      </c>
    </row>
    <row r="2204" spans="1:6">
      <c r="A2204" s="308">
        <v>43131</v>
      </c>
      <c r="B2204" s="309" t="s">
        <v>486</v>
      </c>
      <c r="C2204" s="309" t="s">
        <v>493</v>
      </c>
      <c r="D2204" s="136" t="str">
        <f t="array" ref="D2204">IF(E2204=0,0,(INDEX(AccountCodes[ACCOUNT NAME],MATCH(E2204,AccountCodes[NGAS CODE],0))))</f>
        <v>Pag-IBIG Contributions</v>
      </c>
      <c r="E2204" s="309" t="s">
        <v>176</v>
      </c>
      <c r="F2204" s="501">
        <v>1300</v>
      </c>
    </row>
    <row r="2205" spans="1:6">
      <c r="A2205" s="308">
        <v>43159</v>
      </c>
      <c r="B2205" s="309" t="s">
        <v>486</v>
      </c>
      <c r="C2205" s="309" t="s">
        <v>493</v>
      </c>
      <c r="D2205" s="136" t="str">
        <f t="array" ref="D2205">IF(E2205=0,0,(INDEX(AccountCodes[ACCOUNT NAME],MATCH(E2205,AccountCodes[NGAS CODE],0))))</f>
        <v>Pag-IBIG Contributions</v>
      </c>
      <c r="E2205" s="309" t="s">
        <v>176</v>
      </c>
      <c r="F2205" s="501">
        <v>1300</v>
      </c>
    </row>
    <row r="2206" spans="1:6">
      <c r="A2206" s="308">
        <v>43190</v>
      </c>
      <c r="B2206" s="309" t="s">
        <v>486</v>
      </c>
      <c r="C2206" s="309" t="s">
        <v>493</v>
      </c>
      <c r="D2206" s="136" t="str">
        <f t="array" ref="D2206">IF(E2206=0,0,(INDEX(AccountCodes[ACCOUNT NAME],MATCH(E2206,AccountCodes[NGAS CODE],0))))</f>
        <v>Pag-IBIG Contributions</v>
      </c>
      <c r="E2206" s="309" t="s">
        <v>176</v>
      </c>
      <c r="F2206" s="501">
        <v>1300</v>
      </c>
    </row>
    <row r="2207" spans="1:6">
      <c r="A2207" s="308">
        <v>43220</v>
      </c>
      <c r="B2207" s="309" t="s">
        <v>486</v>
      </c>
      <c r="C2207" s="309" t="s">
        <v>493</v>
      </c>
      <c r="D2207" s="136" t="str">
        <f t="array" ref="D2207">IF(E2207=0,0,(INDEX(AccountCodes[ACCOUNT NAME],MATCH(E2207,AccountCodes[NGAS CODE],0))))</f>
        <v>Pag-IBIG Contributions</v>
      </c>
      <c r="E2207" s="309" t="s">
        <v>176</v>
      </c>
      <c r="F2207" s="501">
        <v>1300</v>
      </c>
    </row>
    <row r="2208" spans="1:6">
      <c r="A2208" s="308">
        <v>43251</v>
      </c>
      <c r="B2208" s="309" t="s">
        <v>486</v>
      </c>
      <c r="C2208" s="309" t="s">
        <v>493</v>
      </c>
      <c r="D2208" s="136" t="str">
        <f t="array" ref="D2208">IF(E2208=0,0,(INDEX(AccountCodes[ACCOUNT NAME],MATCH(E2208,AccountCodes[NGAS CODE],0))))</f>
        <v>Pag-IBIG Contributions</v>
      </c>
      <c r="E2208" s="309" t="s">
        <v>176</v>
      </c>
      <c r="F2208" s="501">
        <v>1300</v>
      </c>
    </row>
    <row r="2209" spans="1:6">
      <c r="A2209" s="308">
        <v>43281</v>
      </c>
      <c r="B2209" s="309" t="s">
        <v>486</v>
      </c>
      <c r="C2209" s="309" t="s">
        <v>493</v>
      </c>
      <c r="D2209" s="136" t="str">
        <f t="array" ref="D2209">IF(E2209=0,0,(INDEX(AccountCodes[ACCOUNT NAME],MATCH(E2209,AccountCodes[NGAS CODE],0))))</f>
        <v>Pag-IBIG Contributions</v>
      </c>
      <c r="E2209" s="309" t="s">
        <v>176</v>
      </c>
      <c r="F2209" s="501">
        <v>1300</v>
      </c>
    </row>
    <row r="2210" spans="1:6">
      <c r="A2210" s="308">
        <v>43312</v>
      </c>
      <c r="B2210" s="309" t="s">
        <v>486</v>
      </c>
      <c r="C2210" s="309" t="s">
        <v>493</v>
      </c>
      <c r="D2210" s="136" t="str">
        <f t="array" ref="D2210">IF(E2210=0,0,(INDEX(AccountCodes[ACCOUNT NAME],MATCH(E2210,AccountCodes[NGAS CODE],0))))</f>
        <v>Pag-IBIG Contributions</v>
      </c>
      <c r="E2210" s="309" t="s">
        <v>176</v>
      </c>
      <c r="F2210" s="501">
        <v>1300</v>
      </c>
    </row>
    <row r="2211" spans="1:6">
      <c r="A2211" s="308">
        <v>43343</v>
      </c>
      <c r="B2211" s="309" t="s">
        <v>486</v>
      </c>
      <c r="C2211" s="309" t="s">
        <v>493</v>
      </c>
      <c r="D2211" s="136" t="str">
        <f t="array" ref="D2211">IF(E2211=0,0,(INDEX(AccountCodes[ACCOUNT NAME],MATCH(E2211,AccountCodes[NGAS CODE],0))))</f>
        <v>Pag-IBIG Contributions</v>
      </c>
      <c r="E2211" s="309" t="s">
        <v>176</v>
      </c>
      <c r="F2211" s="501">
        <v>1300</v>
      </c>
    </row>
    <row r="2212" spans="1:6">
      <c r="A2212" s="308">
        <v>43373</v>
      </c>
      <c r="B2212" s="309" t="s">
        <v>486</v>
      </c>
      <c r="C2212" s="309" t="s">
        <v>493</v>
      </c>
      <c r="D2212" s="136" t="str">
        <f t="array" ref="D2212">IF(E2212=0,0,(INDEX(AccountCodes[ACCOUNT NAME],MATCH(E2212,AccountCodes[NGAS CODE],0))))</f>
        <v>Pag-IBIG Contributions</v>
      </c>
      <c r="E2212" s="309" t="s">
        <v>176</v>
      </c>
      <c r="F2212" s="501">
        <v>1300</v>
      </c>
    </row>
    <row r="2213" spans="1:6">
      <c r="A2213" s="308">
        <v>43404</v>
      </c>
      <c r="B2213" s="309" t="s">
        <v>486</v>
      </c>
      <c r="C2213" s="309" t="s">
        <v>493</v>
      </c>
      <c r="D2213" s="136" t="str">
        <f t="array" ref="D2213">IF(E2213=0,0,(INDEX(AccountCodes[ACCOUNT NAME],MATCH(E2213,AccountCodes[NGAS CODE],0))))</f>
        <v>Pag-IBIG Contributions</v>
      </c>
      <c r="E2213" s="309" t="s">
        <v>176</v>
      </c>
      <c r="F2213" s="501">
        <v>1300</v>
      </c>
    </row>
    <row r="2214" spans="1:6">
      <c r="A2214" s="308">
        <v>43434</v>
      </c>
      <c r="B2214" s="309" t="s">
        <v>486</v>
      </c>
      <c r="C2214" s="309" t="s">
        <v>493</v>
      </c>
      <c r="D2214" s="136" t="str">
        <f t="array" ref="D2214">IF(E2214=0,0,(INDEX(AccountCodes[ACCOUNT NAME],MATCH(E2214,AccountCodes[NGAS CODE],0))))</f>
        <v>Pag-IBIG Contributions</v>
      </c>
      <c r="E2214" s="309" t="s">
        <v>176</v>
      </c>
      <c r="F2214" s="501">
        <v>1300</v>
      </c>
    </row>
    <row r="2215" spans="1:6">
      <c r="A2215" s="308">
        <v>43465</v>
      </c>
      <c r="B2215" s="309" t="s">
        <v>486</v>
      </c>
      <c r="C2215" s="309" t="s">
        <v>493</v>
      </c>
      <c r="D2215" s="136" t="str">
        <f t="array" ref="D2215">IF(E2215=0,0,(INDEX(AccountCodes[ACCOUNT NAME],MATCH(E2215,AccountCodes[NGAS CODE],0))))</f>
        <v>Pag-IBIG Contributions</v>
      </c>
      <c r="E2215" s="309" t="s">
        <v>176</v>
      </c>
      <c r="F2215" s="501">
        <v>1300</v>
      </c>
    </row>
    <row r="2216" spans="1:6">
      <c r="A2216" s="308">
        <v>43131</v>
      </c>
      <c r="B2216" s="309" t="s">
        <v>486</v>
      </c>
      <c r="C2216" s="309" t="s">
        <v>493</v>
      </c>
      <c r="D2216" s="136" t="str">
        <f t="array" ref="D2216">IF(E2216=0,0,(INDEX(AccountCodes[ACCOUNT NAME],MATCH(E2216,AccountCodes[NGAS CODE],0))))</f>
        <v>PhilHealth Contributions</v>
      </c>
      <c r="E2216" s="309" t="s">
        <v>177</v>
      </c>
      <c r="F2216" s="501">
        <v>3087.5</v>
      </c>
    </row>
    <row r="2217" spans="1:6">
      <c r="A2217" s="308">
        <v>43159</v>
      </c>
      <c r="B2217" s="309" t="s">
        <v>486</v>
      </c>
      <c r="C2217" s="309" t="s">
        <v>493</v>
      </c>
      <c r="D2217" s="136" t="str">
        <f t="array" ref="D2217">IF(E2217=0,0,(INDEX(AccountCodes[ACCOUNT NAME],MATCH(E2217,AccountCodes[NGAS CODE],0))))</f>
        <v>PhilHealth Contributions</v>
      </c>
      <c r="E2217" s="309" t="s">
        <v>177</v>
      </c>
      <c r="F2217" s="501">
        <v>3087.5</v>
      </c>
    </row>
    <row r="2218" spans="1:6">
      <c r="A2218" s="308">
        <v>43190</v>
      </c>
      <c r="B2218" s="309" t="s">
        <v>486</v>
      </c>
      <c r="C2218" s="309" t="s">
        <v>493</v>
      </c>
      <c r="D2218" s="136" t="str">
        <f t="array" ref="D2218">IF(E2218=0,0,(INDEX(AccountCodes[ACCOUNT NAME],MATCH(E2218,AccountCodes[NGAS CODE],0))))</f>
        <v>PhilHealth Contributions</v>
      </c>
      <c r="E2218" s="309" t="s">
        <v>177</v>
      </c>
      <c r="F2218" s="501">
        <v>3087.5</v>
      </c>
    </row>
    <row r="2219" spans="1:6">
      <c r="A2219" s="308">
        <v>43220</v>
      </c>
      <c r="B2219" s="309" t="s">
        <v>486</v>
      </c>
      <c r="C2219" s="309" t="s">
        <v>493</v>
      </c>
      <c r="D2219" s="136" t="str">
        <f t="array" ref="D2219">IF(E2219=0,0,(INDEX(AccountCodes[ACCOUNT NAME],MATCH(E2219,AccountCodes[NGAS CODE],0))))</f>
        <v>PhilHealth Contributions</v>
      </c>
      <c r="E2219" s="309" t="s">
        <v>177</v>
      </c>
      <c r="F2219" s="501">
        <v>3087.5</v>
      </c>
    </row>
    <row r="2220" spans="1:6">
      <c r="A2220" s="308">
        <v>43251</v>
      </c>
      <c r="B2220" s="309" t="s">
        <v>486</v>
      </c>
      <c r="C2220" s="309" t="s">
        <v>493</v>
      </c>
      <c r="D2220" s="136" t="str">
        <f t="array" ref="D2220">IF(E2220=0,0,(INDEX(AccountCodes[ACCOUNT NAME],MATCH(E2220,AccountCodes[NGAS CODE],0))))</f>
        <v>PhilHealth Contributions</v>
      </c>
      <c r="E2220" s="309" t="s">
        <v>177</v>
      </c>
      <c r="F2220" s="501">
        <v>3087.5</v>
      </c>
    </row>
    <row r="2221" spans="1:6">
      <c r="A2221" s="308">
        <v>43281</v>
      </c>
      <c r="B2221" s="309" t="s">
        <v>486</v>
      </c>
      <c r="C2221" s="309" t="s">
        <v>493</v>
      </c>
      <c r="D2221" s="136" t="str">
        <f t="array" ref="D2221">IF(E2221=0,0,(INDEX(AccountCodes[ACCOUNT NAME],MATCH(E2221,AccountCodes[NGAS CODE],0))))</f>
        <v>PhilHealth Contributions</v>
      </c>
      <c r="E2221" s="309" t="s">
        <v>177</v>
      </c>
      <c r="F2221" s="501">
        <v>3087.5</v>
      </c>
    </row>
    <row r="2222" spans="1:6">
      <c r="A2222" s="308">
        <v>43312</v>
      </c>
      <c r="B2222" s="309" t="s">
        <v>486</v>
      </c>
      <c r="C2222" s="309" t="s">
        <v>493</v>
      </c>
      <c r="D2222" s="136" t="str">
        <f t="array" ref="D2222">IF(E2222=0,0,(INDEX(AccountCodes[ACCOUNT NAME],MATCH(E2222,AccountCodes[NGAS CODE],0))))</f>
        <v>PhilHealth Contributions</v>
      </c>
      <c r="E2222" s="309" t="s">
        <v>177</v>
      </c>
      <c r="F2222" s="501">
        <v>3087.5</v>
      </c>
    </row>
    <row r="2223" spans="1:6">
      <c r="A2223" s="308">
        <v>43343</v>
      </c>
      <c r="B2223" s="309" t="s">
        <v>486</v>
      </c>
      <c r="C2223" s="309" t="s">
        <v>493</v>
      </c>
      <c r="D2223" s="136" t="str">
        <f t="array" ref="D2223">IF(E2223=0,0,(INDEX(AccountCodes[ACCOUNT NAME],MATCH(E2223,AccountCodes[NGAS CODE],0))))</f>
        <v>PhilHealth Contributions</v>
      </c>
      <c r="E2223" s="309" t="s">
        <v>177</v>
      </c>
      <c r="F2223" s="501">
        <v>3087.5</v>
      </c>
    </row>
    <row r="2224" spans="1:6">
      <c r="A2224" s="308">
        <v>43373</v>
      </c>
      <c r="B2224" s="309" t="s">
        <v>486</v>
      </c>
      <c r="C2224" s="309" t="s">
        <v>493</v>
      </c>
      <c r="D2224" s="136" t="str">
        <f t="array" ref="D2224">IF(E2224=0,0,(INDEX(AccountCodes[ACCOUNT NAME],MATCH(E2224,AccountCodes[NGAS CODE],0))))</f>
        <v>PhilHealth Contributions</v>
      </c>
      <c r="E2224" s="309" t="s">
        <v>177</v>
      </c>
      <c r="F2224" s="501">
        <v>3087.5</v>
      </c>
    </row>
    <row r="2225" spans="1:6">
      <c r="A2225" s="308">
        <v>43404</v>
      </c>
      <c r="B2225" s="309" t="s">
        <v>486</v>
      </c>
      <c r="C2225" s="309" t="s">
        <v>493</v>
      </c>
      <c r="D2225" s="136" t="str">
        <f t="array" ref="D2225">IF(E2225=0,0,(INDEX(AccountCodes[ACCOUNT NAME],MATCH(E2225,AccountCodes[NGAS CODE],0))))</f>
        <v>PhilHealth Contributions</v>
      </c>
      <c r="E2225" s="309" t="s">
        <v>177</v>
      </c>
      <c r="F2225" s="501">
        <v>3087.5</v>
      </c>
    </row>
    <row r="2226" spans="1:6">
      <c r="A2226" s="308">
        <v>43434</v>
      </c>
      <c r="B2226" s="309" t="s">
        <v>486</v>
      </c>
      <c r="C2226" s="309" t="s">
        <v>493</v>
      </c>
      <c r="D2226" s="136" t="str">
        <f t="array" ref="D2226">IF(E2226=0,0,(INDEX(AccountCodes[ACCOUNT NAME],MATCH(E2226,AccountCodes[NGAS CODE],0))))</f>
        <v>PhilHealth Contributions</v>
      </c>
      <c r="E2226" s="309" t="s">
        <v>177</v>
      </c>
      <c r="F2226" s="501">
        <v>3087.5</v>
      </c>
    </row>
    <row r="2227" spans="1:6">
      <c r="A2227" s="308">
        <v>43465</v>
      </c>
      <c r="B2227" s="309" t="s">
        <v>486</v>
      </c>
      <c r="C2227" s="309" t="s">
        <v>493</v>
      </c>
      <c r="D2227" s="136" t="str">
        <f t="array" ref="D2227">IF(E2227=0,0,(INDEX(AccountCodes[ACCOUNT NAME],MATCH(E2227,AccountCodes[NGAS CODE],0))))</f>
        <v>PhilHealth Contributions</v>
      </c>
      <c r="E2227" s="309" t="s">
        <v>177</v>
      </c>
      <c r="F2227" s="501">
        <v>3087.5</v>
      </c>
    </row>
    <row r="2228" spans="1:6">
      <c r="A2228" s="308">
        <v>43131</v>
      </c>
      <c r="B2228" s="309" t="s">
        <v>486</v>
      </c>
      <c r="C2228" s="309" t="s">
        <v>493</v>
      </c>
      <c r="D2228" s="136" t="str">
        <f t="array" ref="D2228">IF(E2228=0,0,(INDEX(AccountCodes[ACCOUNT NAME],MATCH(E2228,AccountCodes[NGAS CODE],0))))</f>
        <v>Employees Compensation Insurance Premiums</v>
      </c>
      <c r="E2228" s="309" t="s">
        <v>178</v>
      </c>
      <c r="F2228" s="501">
        <v>1300</v>
      </c>
    </row>
    <row r="2229" spans="1:6">
      <c r="A2229" s="308">
        <v>43159</v>
      </c>
      <c r="B2229" s="309" t="s">
        <v>486</v>
      </c>
      <c r="C2229" s="309" t="s">
        <v>493</v>
      </c>
      <c r="D2229" s="136" t="str">
        <f t="array" ref="D2229">IF(E2229=0,0,(INDEX(AccountCodes[ACCOUNT NAME],MATCH(E2229,AccountCodes[NGAS CODE],0))))</f>
        <v>Employees Compensation Insurance Premiums</v>
      </c>
      <c r="E2229" s="309" t="s">
        <v>178</v>
      </c>
      <c r="F2229" s="501">
        <v>1300</v>
      </c>
    </row>
    <row r="2230" spans="1:6">
      <c r="A2230" s="308">
        <v>43190</v>
      </c>
      <c r="B2230" s="309" t="s">
        <v>486</v>
      </c>
      <c r="C2230" s="309" t="s">
        <v>493</v>
      </c>
      <c r="D2230" s="136" t="str">
        <f t="array" ref="D2230">IF(E2230=0,0,(INDEX(AccountCodes[ACCOUNT NAME],MATCH(E2230,AccountCodes[NGAS CODE],0))))</f>
        <v>Employees Compensation Insurance Premiums</v>
      </c>
      <c r="E2230" s="309" t="s">
        <v>178</v>
      </c>
      <c r="F2230" s="501">
        <v>1300</v>
      </c>
    </row>
    <row r="2231" spans="1:6">
      <c r="A2231" s="308">
        <v>43220</v>
      </c>
      <c r="B2231" s="309" t="s">
        <v>486</v>
      </c>
      <c r="C2231" s="309" t="s">
        <v>493</v>
      </c>
      <c r="D2231" s="136" t="str">
        <f t="array" ref="D2231">IF(E2231=0,0,(INDEX(AccountCodes[ACCOUNT NAME],MATCH(E2231,AccountCodes[NGAS CODE],0))))</f>
        <v>Employees Compensation Insurance Premiums</v>
      </c>
      <c r="E2231" s="309" t="s">
        <v>178</v>
      </c>
      <c r="F2231" s="501">
        <v>1300</v>
      </c>
    </row>
    <row r="2232" spans="1:6">
      <c r="A2232" s="308">
        <v>43251</v>
      </c>
      <c r="B2232" s="309" t="s">
        <v>486</v>
      </c>
      <c r="C2232" s="309" t="s">
        <v>493</v>
      </c>
      <c r="D2232" s="136" t="str">
        <f t="array" ref="D2232">IF(E2232=0,0,(INDEX(AccountCodes[ACCOUNT NAME],MATCH(E2232,AccountCodes[NGAS CODE],0))))</f>
        <v>Employees Compensation Insurance Premiums</v>
      </c>
      <c r="E2232" s="309" t="s">
        <v>178</v>
      </c>
      <c r="F2232" s="501">
        <v>1300</v>
      </c>
    </row>
    <row r="2233" spans="1:6">
      <c r="A2233" s="308">
        <v>43281</v>
      </c>
      <c r="B2233" s="309" t="s">
        <v>486</v>
      </c>
      <c r="C2233" s="309" t="s">
        <v>493</v>
      </c>
      <c r="D2233" s="136" t="str">
        <f t="array" ref="D2233">IF(E2233=0,0,(INDEX(AccountCodes[ACCOUNT NAME],MATCH(E2233,AccountCodes[NGAS CODE],0))))</f>
        <v>Employees Compensation Insurance Premiums</v>
      </c>
      <c r="E2233" s="309" t="s">
        <v>178</v>
      </c>
      <c r="F2233" s="501">
        <v>1300</v>
      </c>
    </row>
    <row r="2234" spans="1:6">
      <c r="A2234" s="308">
        <v>43312</v>
      </c>
      <c r="B2234" s="309" t="s">
        <v>486</v>
      </c>
      <c r="C2234" s="309" t="s">
        <v>493</v>
      </c>
      <c r="D2234" s="136" t="str">
        <f t="array" ref="D2234">IF(E2234=0,0,(INDEX(AccountCodes[ACCOUNT NAME],MATCH(E2234,AccountCodes[NGAS CODE],0))))</f>
        <v>Employees Compensation Insurance Premiums</v>
      </c>
      <c r="E2234" s="309" t="s">
        <v>178</v>
      </c>
      <c r="F2234" s="501">
        <v>1300</v>
      </c>
    </row>
    <row r="2235" spans="1:6">
      <c r="A2235" s="308">
        <v>43343</v>
      </c>
      <c r="B2235" s="309" t="s">
        <v>486</v>
      </c>
      <c r="C2235" s="309" t="s">
        <v>493</v>
      </c>
      <c r="D2235" s="136" t="str">
        <f t="array" ref="D2235">IF(E2235=0,0,(INDEX(AccountCodes[ACCOUNT NAME],MATCH(E2235,AccountCodes[NGAS CODE],0))))</f>
        <v>Employees Compensation Insurance Premiums</v>
      </c>
      <c r="E2235" s="309" t="s">
        <v>178</v>
      </c>
      <c r="F2235" s="501">
        <v>1300</v>
      </c>
    </row>
    <row r="2236" spans="1:6">
      <c r="A2236" s="308">
        <v>43373</v>
      </c>
      <c r="B2236" s="309" t="s">
        <v>486</v>
      </c>
      <c r="C2236" s="309" t="s">
        <v>493</v>
      </c>
      <c r="D2236" s="136" t="str">
        <f t="array" ref="D2236">IF(E2236=0,0,(INDEX(AccountCodes[ACCOUNT NAME],MATCH(E2236,AccountCodes[NGAS CODE],0))))</f>
        <v>Employees Compensation Insurance Premiums</v>
      </c>
      <c r="E2236" s="309" t="s">
        <v>178</v>
      </c>
      <c r="F2236" s="501">
        <v>1300</v>
      </c>
    </row>
    <row r="2237" spans="1:6">
      <c r="A2237" s="308">
        <v>43404</v>
      </c>
      <c r="B2237" s="309" t="s">
        <v>486</v>
      </c>
      <c r="C2237" s="309" t="s">
        <v>493</v>
      </c>
      <c r="D2237" s="136" t="str">
        <f t="array" ref="D2237">IF(E2237=0,0,(INDEX(AccountCodes[ACCOUNT NAME],MATCH(E2237,AccountCodes[NGAS CODE],0))))</f>
        <v>Employees Compensation Insurance Premiums</v>
      </c>
      <c r="E2237" s="309" t="s">
        <v>178</v>
      </c>
      <c r="F2237" s="501">
        <v>1300</v>
      </c>
    </row>
    <row r="2238" spans="1:6">
      <c r="A2238" s="308">
        <v>43434</v>
      </c>
      <c r="B2238" s="309" t="s">
        <v>486</v>
      </c>
      <c r="C2238" s="309" t="s">
        <v>493</v>
      </c>
      <c r="D2238" s="136" t="str">
        <f t="array" ref="D2238">IF(E2238=0,0,(INDEX(AccountCodes[ACCOUNT NAME],MATCH(E2238,AccountCodes[NGAS CODE],0))))</f>
        <v>Employees Compensation Insurance Premiums</v>
      </c>
      <c r="E2238" s="309" t="s">
        <v>178</v>
      </c>
      <c r="F2238" s="501">
        <v>1300</v>
      </c>
    </row>
    <row r="2239" spans="1:6">
      <c r="A2239" s="308">
        <v>43465</v>
      </c>
      <c r="B2239" s="309" t="s">
        <v>486</v>
      </c>
      <c r="C2239" s="309" t="s">
        <v>493</v>
      </c>
      <c r="D2239" s="136" t="str">
        <f t="array" ref="D2239">IF(E2239=0,0,(INDEX(AccountCodes[ACCOUNT NAME],MATCH(E2239,AccountCodes[NGAS CODE],0))))</f>
        <v>Employees Compensation Insurance Premiums</v>
      </c>
      <c r="E2239" s="309" t="s">
        <v>178</v>
      </c>
      <c r="F2239" s="501">
        <v>1300</v>
      </c>
    </row>
    <row r="2240" spans="1:6">
      <c r="A2240" s="308">
        <v>43131</v>
      </c>
      <c r="B2240" s="309" t="s">
        <v>486</v>
      </c>
      <c r="C2240" s="309" t="s">
        <v>493</v>
      </c>
      <c r="D2240" s="136" t="str">
        <f t="array" ref="D2240">IF(E2240=0,0,(INDEX(AccountCodes[ACCOUNT NAME],MATCH(E2240,AccountCodes[NGAS CODE],0))))</f>
        <v>Terminal Leave Benefits</v>
      </c>
      <c r="E2240" s="309" t="s">
        <v>212</v>
      </c>
      <c r="F2240" s="501">
        <v>962082.29</v>
      </c>
    </row>
    <row r="2241" spans="1:6">
      <c r="A2241" s="308">
        <v>43131</v>
      </c>
      <c r="B2241" s="309" t="s">
        <v>486</v>
      </c>
      <c r="C2241" s="309" t="s">
        <v>493</v>
      </c>
      <c r="D2241" s="136" t="str">
        <f t="array" ref="D2241">IF(E2241=0,0,(INDEX(AccountCodes[ACCOUNT NAME],MATCH(E2241,AccountCodes[NGAS CODE],0))))</f>
        <v>Fuel, Oil and Lubricants Expenses</v>
      </c>
      <c r="E2241" s="309" t="s">
        <v>229</v>
      </c>
      <c r="F2241" s="501">
        <v>110225.2</v>
      </c>
    </row>
    <row r="2242" spans="1:6">
      <c r="A2242" s="308">
        <v>43159</v>
      </c>
      <c r="B2242" s="309" t="s">
        <v>486</v>
      </c>
      <c r="C2242" s="309" t="s">
        <v>493</v>
      </c>
      <c r="D2242" s="136" t="str">
        <f t="array" ref="D2242">IF(E2242=0,0,(INDEX(AccountCodes[ACCOUNT NAME],MATCH(E2242,AccountCodes[NGAS CODE],0))))</f>
        <v>Fuel, Oil and Lubricants Expenses</v>
      </c>
      <c r="E2242" s="309" t="s">
        <v>229</v>
      </c>
      <c r="F2242" s="501">
        <v>110225.2</v>
      </c>
    </row>
    <row r="2243" spans="1:6">
      <c r="A2243" s="308">
        <v>43190</v>
      </c>
      <c r="B2243" s="309" t="s">
        <v>486</v>
      </c>
      <c r="C2243" s="309" t="s">
        <v>493</v>
      </c>
      <c r="D2243" s="136" t="str">
        <f t="array" ref="D2243">IF(E2243=0,0,(INDEX(AccountCodes[ACCOUNT NAME],MATCH(E2243,AccountCodes[NGAS CODE],0))))</f>
        <v>Fuel, Oil and Lubricants Expenses</v>
      </c>
      <c r="E2243" s="309" t="s">
        <v>229</v>
      </c>
      <c r="F2243" s="501">
        <v>110225.2</v>
      </c>
    </row>
    <row r="2244" spans="1:6">
      <c r="A2244" s="308">
        <v>43220</v>
      </c>
      <c r="B2244" s="309" t="s">
        <v>486</v>
      </c>
      <c r="C2244" s="309" t="s">
        <v>493</v>
      </c>
      <c r="D2244" s="136" t="str">
        <f t="array" ref="D2244">IF(E2244=0,0,(INDEX(AccountCodes[ACCOUNT NAME],MATCH(E2244,AccountCodes[NGAS CODE],0))))</f>
        <v>Fuel, Oil and Lubricants Expenses</v>
      </c>
      <c r="E2244" s="309" t="s">
        <v>229</v>
      </c>
      <c r="F2244" s="501">
        <v>110225.2</v>
      </c>
    </row>
    <row r="2245" spans="1:6">
      <c r="A2245" s="308">
        <v>43251</v>
      </c>
      <c r="B2245" s="309" t="s">
        <v>486</v>
      </c>
      <c r="C2245" s="309" t="s">
        <v>493</v>
      </c>
      <c r="D2245" s="136" t="str">
        <f t="array" ref="D2245">IF(E2245=0,0,(INDEX(AccountCodes[ACCOUNT NAME],MATCH(E2245,AccountCodes[NGAS CODE],0))))</f>
        <v>Fuel, Oil and Lubricants Expenses</v>
      </c>
      <c r="E2245" s="309" t="s">
        <v>229</v>
      </c>
      <c r="F2245" s="501">
        <v>110225.2</v>
      </c>
    </row>
    <row r="2246" spans="1:6">
      <c r="A2246" s="308">
        <v>43281</v>
      </c>
      <c r="B2246" s="309" t="s">
        <v>486</v>
      </c>
      <c r="C2246" s="309" t="s">
        <v>493</v>
      </c>
      <c r="D2246" s="136" t="str">
        <f t="array" ref="D2246">IF(E2246=0,0,(INDEX(AccountCodes[ACCOUNT NAME],MATCH(E2246,AccountCodes[NGAS CODE],0))))</f>
        <v>Fuel, Oil and Lubricants Expenses</v>
      </c>
      <c r="E2246" s="309" t="s">
        <v>229</v>
      </c>
      <c r="F2246" s="501">
        <v>110225.2</v>
      </c>
    </row>
    <row r="2247" spans="1:6">
      <c r="A2247" s="308">
        <v>43312</v>
      </c>
      <c r="B2247" s="309" t="s">
        <v>486</v>
      </c>
      <c r="C2247" s="309" t="s">
        <v>493</v>
      </c>
      <c r="D2247" s="136" t="str">
        <f t="array" ref="D2247">IF(E2247=0,0,(INDEX(AccountCodes[ACCOUNT NAME],MATCH(E2247,AccountCodes[NGAS CODE],0))))</f>
        <v>Fuel, Oil and Lubricants Expenses</v>
      </c>
      <c r="E2247" s="309" t="s">
        <v>229</v>
      </c>
      <c r="F2247" s="501">
        <v>110225.2</v>
      </c>
    </row>
    <row r="2248" spans="1:6">
      <c r="A2248" s="308">
        <v>43343</v>
      </c>
      <c r="B2248" s="309" t="s">
        <v>486</v>
      </c>
      <c r="C2248" s="309" t="s">
        <v>493</v>
      </c>
      <c r="D2248" s="136" t="str">
        <f t="array" ref="D2248">IF(E2248=0,0,(INDEX(AccountCodes[ACCOUNT NAME],MATCH(E2248,AccountCodes[NGAS CODE],0))))</f>
        <v>Fuel, Oil and Lubricants Expenses</v>
      </c>
      <c r="E2248" s="309" t="s">
        <v>229</v>
      </c>
      <c r="F2248" s="501">
        <v>110225.2</v>
      </c>
    </row>
    <row r="2249" spans="1:6">
      <c r="A2249" s="308">
        <v>43373</v>
      </c>
      <c r="B2249" s="309" t="s">
        <v>486</v>
      </c>
      <c r="C2249" s="309" t="s">
        <v>493</v>
      </c>
      <c r="D2249" s="136" t="str">
        <f t="array" ref="D2249">IF(E2249=0,0,(INDEX(AccountCodes[ACCOUNT NAME],MATCH(E2249,AccountCodes[NGAS CODE],0))))</f>
        <v>Fuel, Oil and Lubricants Expenses</v>
      </c>
      <c r="E2249" s="309" t="s">
        <v>229</v>
      </c>
      <c r="F2249" s="501">
        <v>110225.2</v>
      </c>
    </row>
    <row r="2250" spans="1:6">
      <c r="A2250" s="308">
        <v>43404</v>
      </c>
      <c r="B2250" s="309" t="s">
        <v>486</v>
      </c>
      <c r="C2250" s="309" t="s">
        <v>493</v>
      </c>
      <c r="D2250" s="136" t="str">
        <f t="array" ref="D2250">IF(E2250=0,0,(INDEX(AccountCodes[ACCOUNT NAME],MATCH(E2250,AccountCodes[NGAS CODE],0))))</f>
        <v>Fuel, Oil and Lubricants Expenses</v>
      </c>
      <c r="E2250" s="309" t="s">
        <v>229</v>
      </c>
      <c r="F2250" s="501">
        <v>110225.2</v>
      </c>
    </row>
    <row r="2251" spans="1:6">
      <c r="A2251" s="308">
        <v>43434</v>
      </c>
      <c r="B2251" s="309" t="s">
        <v>486</v>
      </c>
      <c r="C2251" s="309" t="s">
        <v>493</v>
      </c>
      <c r="D2251" s="136" t="str">
        <f t="array" ref="D2251">IF(E2251=0,0,(INDEX(AccountCodes[ACCOUNT NAME],MATCH(E2251,AccountCodes[NGAS CODE],0))))</f>
        <v>Fuel, Oil and Lubricants Expenses</v>
      </c>
      <c r="E2251" s="309" t="s">
        <v>229</v>
      </c>
      <c r="F2251" s="501">
        <v>110225.2</v>
      </c>
    </row>
    <row r="2252" spans="1:6">
      <c r="A2252" s="308">
        <v>43465</v>
      </c>
      <c r="B2252" s="309" t="s">
        <v>486</v>
      </c>
      <c r="C2252" s="309" t="s">
        <v>493</v>
      </c>
      <c r="D2252" s="136" t="str">
        <f t="array" ref="D2252">IF(E2252=0,0,(INDEX(AccountCodes[ACCOUNT NAME],MATCH(E2252,AccountCodes[NGAS CODE],0))))</f>
        <v>Fuel, Oil and Lubricants Expenses</v>
      </c>
      <c r="E2252" s="309" t="s">
        <v>229</v>
      </c>
      <c r="F2252" s="501">
        <v>110225.2</v>
      </c>
    </row>
    <row r="2253" spans="1:6">
      <c r="A2253" s="308">
        <v>43131</v>
      </c>
      <c r="B2253" s="309" t="s">
        <v>486</v>
      </c>
      <c r="C2253" s="309" t="s">
        <v>493</v>
      </c>
      <c r="D2253" s="136" t="str">
        <f t="array" ref="D2253">IF(E2253=0,0,(INDEX(AccountCodes[ACCOUNT NAME],MATCH(E2253,AccountCodes[NGAS CODE],0))))</f>
        <v>Water Expenses</v>
      </c>
      <c r="E2253" s="309" t="s">
        <v>232</v>
      </c>
      <c r="F2253" s="501">
        <v>2759.68</v>
      </c>
    </row>
    <row r="2254" spans="1:6">
      <c r="A2254" s="308">
        <v>43159</v>
      </c>
      <c r="B2254" s="309" t="s">
        <v>486</v>
      </c>
      <c r="C2254" s="309" t="s">
        <v>493</v>
      </c>
      <c r="D2254" s="136" t="str">
        <f t="array" ref="D2254">IF(E2254=0,0,(INDEX(AccountCodes[ACCOUNT NAME],MATCH(E2254,AccountCodes[NGAS CODE],0))))</f>
        <v>Water Expenses</v>
      </c>
      <c r="E2254" s="309" t="s">
        <v>232</v>
      </c>
      <c r="F2254" s="501">
        <v>2759.68</v>
      </c>
    </row>
    <row r="2255" spans="1:6">
      <c r="A2255" s="308">
        <v>43190</v>
      </c>
      <c r="B2255" s="309" t="s">
        <v>486</v>
      </c>
      <c r="C2255" s="309" t="s">
        <v>493</v>
      </c>
      <c r="D2255" s="136" t="str">
        <f t="array" ref="D2255">IF(E2255=0,0,(INDEX(AccountCodes[ACCOUNT NAME],MATCH(E2255,AccountCodes[NGAS CODE],0))))</f>
        <v>Water Expenses</v>
      </c>
      <c r="E2255" s="309" t="s">
        <v>232</v>
      </c>
      <c r="F2255" s="501">
        <v>2759.68</v>
      </c>
    </row>
    <row r="2256" spans="1:6">
      <c r="A2256" s="308">
        <v>43220</v>
      </c>
      <c r="B2256" s="309" t="s">
        <v>486</v>
      </c>
      <c r="C2256" s="309" t="s">
        <v>493</v>
      </c>
      <c r="D2256" s="136" t="str">
        <f t="array" ref="D2256">IF(E2256=0,0,(INDEX(AccountCodes[ACCOUNT NAME],MATCH(E2256,AccountCodes[NGAS CODE],0))))</f>
        <v>Water Expenses</v>
      </c>
      <c r="E2256" s="309" t="s">
        <v>232</v>
      </c>
      <c r="F2256" s="501">
        <v>2759.68</v>
      </c>
    </row>
    <row r="2257" spans="1:6">
      <c r="A2257" s="308">
        <v>43251</v>
      </c>
      <c r="B2257" s="309" t="s">
        <v>486</v>
      </c>
      <c r="C2257" s="309" t="s">
        <v>493</v>
      </c>
      <c r="D2257" s="136" t="str">
        <f t="array" ref="D2257">IF(E2257=0,0,(INDEX(AccountCodes[ACCOUNT NAME],MATCH(E2257,AccountCodes[NGAS CODE],0))))</f>
        <v>Water Expenses</v>
      </c>
      <c r="E2257" s="309" t="s">
        <v>232</v>
      </c>
      <c r="F2257" s="501">
        <v>2759.68</v>
      </c>
    </row>
    <row r="2258" spans="1:6">
      <c r="A2258" s="308">
        <v>43281</v>
      </c>
      <c r="B2258" s="309" t="s">
        <v>486</v>
      </c>
      <c r="C2258" s="309" t="s">
        <v>493</v>
      </c>
      <c r="D2258" s="136" t="str">
        <f t="array" ref="D2258">IF(E2258=0,0,(INDEX(AccountCodes[ACCOUNT NAME],MATCH(E2258,AccountCodes[NGAS CODE],0))))</f>
        <v>Water Expenses</v>
      </c>
      <c r="E2258" s="309" t="s">
        <v>232</v>
      </c>
      <c r="F2258" s="501">
        <v>2759.68</v>
      </c>
    </row>
    <row r="2259" spans="1:6">
      <c r="A2259" s="308">
        <v>43312</v>
      </c>
      <c r="B2259" s="309" t="s">
        <v>486</v>
      </c>
      <c r="C2259" s="309" t="s">
        <v>493</v>
      </c>
      <c r="D2259" s="136" t="str">
        <f t="array" ref="D2259">IF(E2259=0,0,(INDEX(AccountCodes[ACCOUNT NAME],MATCH(E2259,AccountCodes[NGAS CODE],0))))</f>
        <v>Water Expenses</v>
      </c>
      <c r="E2259" s="309" t="s">
        <v>232</v>
      </c>
      <c r="F2259" s="501">
        <v>2759.68</v>
      </c>
    </row>
    <row r="2260" spans="1:6">
      <c r="A2260" s="308">
        <v>43343</v>
      </c>
      <c r="B2260" s="309" t="s">
        <v>486</v>
      </c>
      <c r="C2260" s="309" t="s">
        <v>493</v>
      </c>
      <c r="D2260" s="136" t="str">
        <f t="array" ref="D2260">IF(E2260=0,0,(INDEX(AccountCodes[ACCOUNT NAME],MATCH(E2260,AccountCodes[NGAS CODE],0))))</f>
        <v>Water Expenses</v>
      </c>
      <c r="E2260" s="309" t="s">
        <v>232</v>
      </c>
      <c r="F2260" s="501">
        <v>2759.68</v>
      </c>
    </row>
    <row r="2261" spans="1:6">
      <c r="A2261" s="308">
        <v>43373</v>
      </c>
      <c r="B2261" s="309" t="s">
        <v>486</v>
      </c>
      <c r="C2261" s="309" t="s">
        <v>493</v>
      </c>
      <c r="D2261" s="136" t="str">
        <f t="array" ref="D2261">IF(E2261=0,0,(INDEX(AccountCodes[ACCOUNT NAME],MATCH(E2261,AccountCodes[NGAS CODE],0))))</f>
        <v>Water Expenses</v>
      </c>
      <c r="E2261" s="309" t="s">
        <v>232</v>
      </c>
      <c r="F2261" s="501">
        <v>2759.68</v>
      </c>
    </row>
    <row r="2262" spans="1:6">
      <c r="A2262" s="308">
        <v>43404</v>
      </c>
      <c r="B2262" s="309" t="s">
        <v>486</v>
      </c>
      <c r="C2262" s="309" t="s">
        <v>493</v>
      </c>
      <c r="D2262" s="136" t="str">
        <f t="array" ref="D2262">IF(E2262=0,0,(INDEX(AccountCodes[ACCOUNT NAME],MATCH(E2262,AccountCodes[NGAS CODE],0))))</f>
        <v>Water Expenses</v>
      </c>
      <c r="E2262" s="309" t="s">
        <v>232</v>
      </c>
      <c r="F2262" s="501">
        <v>2759.68</v>
      </c>
    </row>
    <row r="2263" spans="1:6">
      <c r="A2263" s="308">
        <v>43434</v>
      </c>
      <c r="B2263" s="309" t="s">
        <v>486</v>
      </c>
      <c r="C2263" s="309" t="s">
        <v>493</v>
      </c>
      <c r="D2263" s="136" t="str">
        <f t="array" ref="D2263">IF(E2263=0,0,(INDEX(AccountCodes[ACCOUNT NAME],MATCH(E2263,AccountCodes[NGAS CODE],0))))</f>
        <v>Water Expenses</v>
      </c>
      <c r="E2263" s="309" t="s">
        <v>232</v>
      </c>
      <c r="F2263" s="501">
        <v>2759.68</v>
      </c>
    </row>
    <row r="2264" spans="1:6">
      <c r="A2264" s="308">
        <v>43465</v>
      </c>
      <c r="B2264" s="309" t="s">
        <v>486</v>
      </c>
      <c r="C2264" s="309" t="s">
        <v>493</v>
      </c>
      <c r="D2264" s="136" t="str">
        <f t="array" ref="D2264">IF(E2264=0,0,(INDEX(AccountCodes[ACCOUNT NAME],MATCH(E2264,AccountCodes[NGAS CODE],0))))</f>
        <v>Water Expenses</v>
      </c>
      <c r="E2264" s="309" t="s">
        <v>232</v>
      </c>
      <c r="F2264" s="501">
        <v>2759.68</v>
      </c>
    </row>
    <row r="2265" spans="1:6">
      <c r="A2265" s="308">
        <v>43131</v>
      </c>
      <c r="B2265" s="309" t="s">
        <v>486</v>
      </c>
      <c r="C2265" s="309" t="s">
        <v>493</v>
      </c>
      <c r="D2265" s="136" t="str">
        <f t="array" ref="D2265">IF(E2265=0,0,(INDEX(AccountCodes[ACCOUNT NAME],MATCH(E2265,AccountCodes[NGAS CODE],0))))</f>
        <v>Electricity Expenses</v>
      </c>
      <c r="E2265" s="309" t="s">
        <v>233</v>
      </c>
      <c r="F2265" s="501">
        <v>63707.03</v>
      </c>
    </row>
    <row r="2266" spans="1:6">
      <c r="A2266" s="308">
        <v>43159</v>
      </c>
      <c r="B2266" s="309" t="s">
        <v>486</v>
      </c>
      <c r="C2266" s="309" t="s">
        <v>493</v>
      </c>
      <c r="D2266" s="136" t="str">
        <f t="array" ref="D2266">IF(E2266=0,0,(INDEX(AccountCodes[ACCOUNT NAME],MATCH(E2266,AccountCodes[NGAS CODE],0))))</f>
        <v>Electricity Expenses</v>
      </c>
      <c r="E2266" s="309" t="s">
        <v>233</v>
      </c>
      <c r="F2266" s="501">
        <v>63707.03</v>
      </c>
    </row>
    <row r="2267" spans="1:6">
      <c r="A2267" s="308">
        <v>43190</v>
      </c>
      <c r="B2267" s="309" t="s">
        <v>486</v>
      </c>
      <c r="C2267" s="309" t="s">
        <v>493</v>
      </c>
      <c r="D2267" s="136" t="str">
        <f t="array" ref="D2267">IF(E2267=0,0,(INDEX(AccountCodes[ACCOUNT NAME],MATCH(E2267,AccountCodes[NGAS CODE],0))))</f>
        <v>Electricity Expenses</v>
      </c>
      <c r="E2267" s="309" t="s">
        <v>233</v>
      </c>
      <c r="F2267" s="501">
        <v>63707.03</v>
      </c>
    </row>
    <row r="2268" spans="1:6">
      <c r="A2268" s="308">
        <v>43220</v>
      </c>
      <c r="B2268" s="309" t="s">
        <v>486</v>
      </c>
      <c r="C2268" s="309" t="s">
        <v>493</v>
      </c>
      <c r="D2268" s="136" t="str">
        <f t="array" ref="D2268">IF(E2268=0,0,(INDEX(AccountCodes[ACCOUNT NAME],MATCH(E2268,AccountCodes[NGAS CODE],0))))</f>
        <v>Electricity Expenses</v>
      </c>
      <c r="E2268" s="309" t="s">
        <v>233</v>
      </c>
      <c r="F2268" s="501">
        <v>63707.03</v>
      </c>
    </row>
    <row r="2269" spans="1:6">
      <c r="A2269" s="308">
        <v>43251</v>
      </c>
      <c r="B2269" s="309" t="s">
        <v>486</v>
      </c>
      <c r="C2269" s="309" t="s">
        <v>493</v>
      </c>
      <c r="D2269" s="136" t="str">
        <f t="array" ref="D2269">IF(E2269=0,0,(INDEX(AccountCodes[ACCOUNT NAME],MATCH(E2269,AccountCodes[NGAS CODE],0))))</f>
        <v>Electricity Expenses</v>
      </c>
      <c r="E2269" s="309" t="s">
        <v>233</v>
      </c>
      <c r="F2269" s="501">
        <v>63707.03</v>
      </c>
    </row>
    <row r="2270" spans="1:6">
      <c r="A2270" s="308">
        <v>43281</v>
      </c>
      <c r="B2270" s="309" t="s">
        <v>486</v>
      </c>
      <c r="C2270" s="309" t="s">
        <v>493</v>
      </c>
      <c r="D2270" s="136" t="str">
        <f t="array" ref="D2270">IF(E2270=0,0,(INDEX(AccountCodes[ACCOUNT NAME],MATCH(E2270,AccountCodes[NGAS CODE],0))))</f>
        <v>Electricity Expenses</v>
      </c>
      <c r="E2270" s="309" t="s">
        <v>233</v>
      </c>
      <c r="F2270" s="501">
        <v>63707.03</v>
      </c>
    </row>
    <row r="2271" spans="1:6">
      <c r="A2271" s="308">
        <v>43312</v>
      </c>
      <c r="B2271" s="309" t="s">
        <v>486</v>
      </c>
      <c r="C2271" s="309" t="s">
        <v>493</v>
      </c>
      <c r="D2271" s="136" t="str">
        <f t="array" ref="D2271">IF(E2271=0,0,(INDEX(AccountCodes[ACCOUNT NAME],MATCH(E2271,AccountCodes[NGAS CODE],0))))</f>
        <v>Electricity Expenses</v>
      </c>
      <c r="E2271" s="309" t="s">
        <v>233</v>
      </c>
      <c r="F2271" s="501">
        <v>63707.03</v>
      </c>
    </row>
    <row r="2272" spans="1:6">
      <c r="A2272" s="308">
        <v>43343</v>
      </c>
      <c r="B2272" s="309" t="s">
        <v>486</v>
      </c>
      <c r="C2272" s="309" t="s">
        <v>493</v>
      </c>
      <c r="D2272" s="136" t="str">
        <f t="array" ref="D2272">IF(E2272=0,0,(INDEX(AccountCodes[ACCOUNT NAME],MATCH(E2272,AccountCodes[NGAS CODE],0))))</f>
        <v>Electricity Expenses</v>
      </c>
      <c r="E2272" s="309" t="s">
        <v>233</v>
      </c>
      <c r="F2272" s="501">
        <v>63707.03</v>
      </c>
    </row>
    <row r="2273" spans="1:6">
      <c r="A2273" s="308">
        <v>43373</v>
      </c>
      <c r="B2273" s="309" t="s">
        <v>486</v>
      </c>
      <c r="C2273" s="309" t="s">
        <v>493</v>
      </c>
      <c r="D2273" s="136" t="str">
        <f t="array" ref="D2273">IF(E2273=0,0,(INDEX(AccountCodes[ACCOUNT NAME],MATCH(E2273,AccountCodes[NGAS CODE],0))))</f>
        <v>Electricity Expenses</v>
      </c>
      <c r="E2273" s="309" t="s">
        <v>233</v>
      </c>
      <c r="F2273" s="501">
        <v>63707.03</v>
      </c>
    </row>
    <row r="2274" spans="1:6">
      <c r="A2274" s="308">
        <v>43404</v>
      </c>
      <c r="B2274" s="309" t="s">
        <v>486</v>
      </c>
      <c r="C2274" s="309" t="s">
        <v>493</v>
      </c>
      <c r="D2274" s="136" t="str">
        <f t="array" ref="D2274">IF(E2274=0,0,(INDEX(AccountCodes[ACCOUNT NAME],MATCH(E2274,AccountCodes[NGAS CODE],0))))</f>
        <v>Electricity Expenses</v>
      </c>
      <c r="E2274" s="309" t="s">
        <v>233</v>
      </c>
      <c r="F2274" s="501">
        <v>63707.03</v>
      </c>
    </row>
    <row r="2275" spans="1:6">
      <c r="A2275" s="308">
        <v>43434</v>
      </c>
      <c r="B2275" s="309" t="s">
        <v>486</v>
      </c>
      <c r="C2275" s="309" t="s">
        <v>493</v>
      </c>
      <c r="D2275" s="136" t="str">
        <f t="array" ref="D2275">IF(E2275=0,0,(INDEX(AccountCodes[ACCOUNT NAME],MATCH(E2275,AccountCodes[NGAS CODE],0))))</f>
        <v>Electricity Expenses</v>
      </c>
      <c r="E2275" s="309" t="s">
        <v>233</v>
      </c>
      <c r="F2275" s="501">
        <v>63707.03</v>
      </c>
    </row>
    <row r="2276" spans="1:6">
      <c r="A2276" s="308">
        <v>43465</v>
      </c>
      <c r="B2276" s="309" t="s">
        <v>486</v>
      </c>
      <c r="C2276" s="309" t="s">
        <v>493</v>
      </c>
      <c r="D2276" s="136" t="str">
        <f t="array" ref="D2276">IF(E2276=0,0,(INDEX(AccountCodes[ACCOUNT NAME],MATCH(E2276,AccountCodes[NGAS CODE],0))))</f>
        <v>Electricity Expenses</v>
      </c>
      <c r="E2276" s="309" t="s">
        <v>233</v>
      </c>
      <c r="F2276" s="501">
        <v>63707.03</v>
      </c>
    </row>
    <row r="2277" spans="1:6">
      <c r="A2277" s="308">
        <v>43131</v>
      </c>
      <c r="B2277" s="309" t="s">
        <v>486</v>
      </c>
      <c r="C2277" s="309" t="s">
        <v>493</v>
      </c>
      <c r="D2277" s="136" t="str">
        <f t="array" ref="D2277">IF(E2277=0,0,(INDEX(AccountCodes[ACCOUNT NAME],MATCH(E2277,AccountCodes[NGAS CODE],0))))</f>
        <v>Internet Subscription Expenses</v>
      </c>
      <c r="E2277" s="309" t="s">
        <v>237</v>
      </c>
      <c r="F2277" s="501">
        <v>11110.07</v>
      </c>
    </row>
    <row r="2278" spans="1:6">
      <c r="A2278" s="308">
        <v>43159</v>
      </c>
      <c r="B2278" s="309" t="s">
        <v>486</v>
      </c>
      <c r="C2278" s="309" t="s">
        <v>493</v>
      </c>
      <c r="D2278" s="136" t="str">
        <f t="array" ref="D2278">IF(E2278=0,0,(INDEX(AccountCodes[ACCOUNT NAME],MATCH(E2278,AccountCodes[NGAS CODE],0))))</f>
        <v>Internet Subscription Expenses</v>
      </c>
      <c r="E2278" s="309" t="s">
        <v>237</v>
      </c>
      <c r="F2278" s="501">
        <v>11110.07</v>
      </c>
    </row>
    <row r="2279" spans="1:6">
      <c r="A2279" s="308">
        <v>43190</v>
      </c>
      <c r="B2279" s="309" t="s">
        <v>486</v>
      </c>
      <c r="C2279" s="309" t="s">
        <v>493</v>
      </c>
      <c r="D2279" s="136" t="str">
        <f t="array" ref="D2279">IF(E2279=0,0,(INDEX(AccountCodes[ACCOUNT NAME],MATCH(E2279,AccountCodes[NGAS CODE],0))))</f>
        <v>Internet Subscription Expenses</v>
      </c>
      <c r="E2279" s="309" t="s">
        <v>237</v>
      </c>
      <c r="F2279" s="501">
        <v>11110.07</v>
      </c>
    </row>
    <row r="2280" spans="1:6">
      <c r="A2280" s="308">
        <v>43220</v>
      </c>
      <c r="B2280" s="309" t="s">
        <v>486</v>
      </c>
      <c r="C2280" s="309" t="s">
        <v>493</v>
      </c>
      <c r="D2280" s="136" t="str">
        <f t="array" ref="D2280">IF(E2280=0,0,(INDEX(AccountCodes[ACCOUNT NAME],MATCH(E2280,AccountCodes[NGAS CODE],0))))</f>
        <v>Internet Subscription Expenses</v>
      </c>
      <c r="E2280" s="309" t="s">
        <v>237</v>
      </c>
      <c r="F2280" s="501">
        <v>11110.07</v>
      </c>
    </row>
    <row r="2281" spans="1:6">
      <c r="A2281" s="308">
        <v>43251</v>
      </c>
      <c r="B2281" s="309" t="s">
        <v>486</v>
      </c>
      <c r="C2281" s="309" t="s">
        <v>493</v>
      </c>
      <c r="D2281" s="136" t="str">
        <f t="array" ref="D2281">IF(E2281=0,0,(INDEX(AccountCodes[ACCOUNT NAME],MATCH(E2281,AccountCodes[NGAS CODE],0))))</f>
        <v>Internet Subscription Expenses</v>
      </c>
      <c r="E2281" s="309" t="s">
        <v>237</v>
      </c>
      <c r="F2281" s="501">
        <v>11110.07</v>
      </c>
    </row>
    <row r="2282" spans="1:6">
      <c r="A2282" s="308">
        <v>43281</v>
      </c>
      <c r="B2282" s="309" t="s">
        <v>486</v>
      </c>
      <c r="C2282" s="309" t="s">
        <v>493</v>
      </c>
      <c r="D2282" s="136" t="str">
        <f t="array" ref="D2282">IF(E2282=0,0,(INDEX(AccountCodes[ACCOUNT NAME],MATCH(E2282,AccountCodes[NGAS CODE],0))))</f>
        <v>Internet Subscription Expenses</v>
      </c>
      <c r="E2282" s="309" t="s">
        <v>237</v>
      </c>
      <c r="F2282" s="501">
        <v>11110.07</v>
      </c>
    </row>
    <row r="2283" spans="1:6">
      <c r="A2283" s="308">
        <v>43312</v>
      </c>
      <c r="B2283" s="309" t="s">
        <v>486</v>
      </c>
      <c r="C2283" s="309" t="s">
        <v>493</v>
      </c>
      <c r="D2283" s="136" t="str">
        <f t="array" ref="D2283">IF(E2283=0,0,(INDEX(AccountCodes[ACCOUNT NAME],MATCH(E2283,AccountCodes[NGAS CODE],0))))</f>
        <v>Internet Subscription Expenses</v>
      </c>
      <c r="E2283" s="309" t="s">
        <v>237</v>
      </c>
      <c r="F2283" s="501">
        <v>11110.07</v>
      </c>
    </row>
    <row r="2284" spans="1:6">
      <c r="A2284" s="308">
        <v>43343</v>
      </c>
      <c r="B2284" s="309" t="s">
        <v>486</v>
      </c>
      <c r="C2284" s="309" t="s">
        <v>493</v>
      </c>
      <c r="D2284" s="136" t="str">
        <f t="array" ref="D2284">IF(E2284=0,0,(INDEX(AccountCodes[ACCOUNT NAME],MATCH(E2284,AccountCodes[NGAS CODE],0))))</f>
        <v>Internet Subscription Expenses</v>
      </c>
      <c r="E2284" s="309" t="s">
        <v>237</v>
      </c>
      <c r="F2284" s="501">
        <v>11110.07</v>
      </c>
    </row>
    <row r="2285" spans="1:6">
      <c r="A2285" s="308">
        <v>43373</v>
      </c>
      <c r="B2285" s="309" t="s">
        <v>486</v>
      </c>
      <c r="C2285" s="309" t="s">
        <v>493</v>
      </c>
      <c r="D2285" s="136" t="str">
        <f t="array" ref="D2285">IF(E2285=0,0,(INDEX(AccountCodes[ACCOUNT NAME],MATCH(E2285,AccountCodes[NGAS CODE],0))))</f>
        <v>Internet Subscription Expenses</v>
      </c>
      <c r="E2285" s="309" t="s">
        <v>237</v>
      </c>
      <c r="F2285" s="501">
        <v>11110.07</v>
      </c>
    </row>
    <row r="2286" spans="1:6">
      <c r="A2286" s="308">
        <v>43404</v>
      </c>
      <c r="B2286" s="309" t="s">
        <v>486</v>
      </c>
      <c r="C2286" s="309" t="s">
        <v>493</v>
      </c>
      <c r="D2286" s="136" t="str">
        <f t="array" ref="D2286">IF(E2286=0,0,(INDEX(AccountCodes[ACCOUNT NAME],MATCH(E2286,AccountCodes[NGAS CODE],0))))</f>
        <v>Internet Subscription Expenses</v>
      </c>
      <c r="E2286" s="309" t="s">
        <v>237</v>
      </c>
      <c r="F2286" s="501">
        <v>11110.07</v>
      </c>
    </row>
    <row r="2287" spans="1:6">
      <c r="A2287" s="308">
        <v>43434</v>
      </c>
      <c r="B2287" s="309" t="s">
        <v>486</v>
      </c>
      <c r="C2287" s="309" t="s">
        <v>493</v>
      </c>
      <c r="D2287" s="136" t="str">
        <f t="array" ref="D2287">IF(E2287=0,0,(INDEX(AccountCodes[ACCOUNT NAME],MATCH(E2287,AccountCodes[NGAS CODE],0))))</f>
        <v>Internet Subscription Expenses</v>
      </c>
      <c r="E2287" s="309" t="s">
        <v>237</v>
      </c>
      <c r="F2287" s="501">
        <v>11110.07</v>
      </c>
    </row>
    <row r="2288" spans="1:6">
      <c r="A2288" s="308">
        <v>43465</v>
      </c>
      <c r="B2288" s="309" t="s">
        <v>486</v>
      </c>
      <c r="C2288" s="309" t="s">
        <v>493</v>
      </c>
      <c r="D2288" s="136" t="str">
        <f t="array" ref="D2288">IF(E2288=0,0,(INDEX(AccountCodes[ACCOUNT NAME],MATCH(E2288,AccountCodes[NGAS CODE],0))))</f>
        <v>Internet Subscription Expenses</v>
      </c>
      <c r="E2288" s="309" t="s">
        <v>237</v>
      </c>
      <c r="F2288" s="501">
        <v>11110.07</v>
      </c>
    </row>
    <row r="2289" spans="1:6">
      <c r="A2289" s="308">
        <v>43131</v>
      </c>
      <c r="B2289" s="309" t="s">
        <v>486</v>
      </c>
      <c r="C2289" s="309" t="s">
        <v>493</v>
      </c>
      <c r="D2289" s="136" t="str">
        <f t="array" ref="D2289">IF(E2289=0,0,(INDEX(AccountCodes[ACCOUNT NAME],MATCH(E2289,AccountCodes[NGAS CODE],0))))</f>
        <v>Other Maintenance and Operating Expenses (Irrigator's Share/Remuneration/Subsidy)</v>
      </c>
      <c r="E2289" s="309" t="s">
        <v>333</v>
      </c>
      <c r="F2289" s="501">
        <v>851197.5</v>
      </c>
    </row>
    <row r="2290" spans="1:6">
      <c r="A2290" s="308">
        <v>43312</v>
      </c>
      <c r="B2290" s="309" t="s">
        <v>486</v>
      </c>
      <c r="C2290" s="309" t="s">
        <v>493</v>
      </c>
      <c r="D2290" s="136" t="str">
        <f t="array" ref="D2290">IF(E2290=0,0,(INDEX(AccountCodes[ACCOUNT NAME],MATCH(E2290,AccountCodes[NGAS CODE],0))))</f>
        <v>Other Maintenance and Operating Expenses (Irrigator's Share/Remuneration/Subsidy)</v>
      </c>
      <c r="E2290" s="309" t="s">
        <v>333</v>
      </c>
      <c r="F2290" s="501">
        <v>851197.5</v>
      </c>
    </row>
    <row r="2291" spans="1:6">
      <c r="A2291" s="308"/>
      <c r="D2291" s="136">
        <f t="array" ref="D2291">IF(E2291=0,0,(INDEX(AccountCodes[ACCOUNT NAME],MATCH(E2291,AccountCodes[NGAS CODE],0))))</f>
        <v>0</v>
      </c>
      <c r="E2291" s="309"/>
      <c r="F2291" s="501"/>
    </row>
    <row r="2292" spans="1:6">
      <c r="A2292" s="308">
        <v>43281</v>
      </c>
      <c r="B2292" s="309" t="s">
        <v>486</v>
      </c>
      <c r="C2292" s="309" t="s">
        <v>502</v>
      </c>
      <c r="D2292" s="136" t="str">
        <f t="array" ref="D2292">IF(E2292=0,0,(INDEX(AccountCodes[ACCOUNT NAME],MATCH(E2292,AccountCodes[NGAS CODE],0))))</f>
        <v>Equipment Rental - External (CA)</v>
      </c>
      <c r="E2292" s="309" t="s">
        <v>147</v>
      </c>
      <c r="F2292" s="501">
        <v>25000</v>
      </c>
    </row>
    <row r="2293" spans="1:6">
      <c r="A2293" s="308">
        <v>43465</v>
      </c>
      <c r="B2293" s="309" t="s">
        <v>486</v>
      </c>
      <c r="C2293" s="309" t="s">
        <v>502</v>
      </c>
      <c r="D2293" s="136" t="str">
        <f t="array" ref="D2293">IF(E2293=0,0,(INDEX(AccountCodes[ACCOUNT NAME],MATCH(E2293,AccountCodes[NGAS CODE],0))))</f>
        <v>Equipment Rental - External (CA)</v>
      </c>
      <c r="E2293" s="309" t="s">
        <v>147</v>
      </c>
      <c r="F2293" s="311">
        <v>25000</v>
      </c>
    </row>
    <row r="2294" spans="1:6">
      <c r="A2294" s="308">
        <v>43131</v>
      </c>
      <c r="B2294" s="309" t="s">
        <v>486</v>
      </c>
      <c r="C2294" s="309" t="s">
        <v>502</v>
      </c>
      <c r="D2294" s="136" t="str">
        <f t="array" ref="D2294">IF(E2294=0,0,(INDEX(AccountCodes[ACCOUNT NAME],MATCH(E2294,AccountCodes[NGAS CODE],0))))</f>
        <v>Salaries and Wages-Regular</v>
      </c>
      <c r="E2294" s="309" t="s">
        <v>162</v>
      </c>
      <c r="F2294" s="501">
        <v>74217</v>
      </c>
    </row>
    <row r="2295" spans="1:6">
      <c r="A2295" s="308">
        <v>43159</v>
      </c>
      <c r="B2295" s="309" t="s">
        <v>486</v>
      </c>
      <c r="C2295" s="309" t="s">
        <v>502</v>
      </c>
      <c r="D2295" s="136" t="str">
        <f t="array" ref="D2295">IF(E2295=0,0,(INDEX(AccountCodes[ACCOUNT NAME],MATCH(E2295,AccountCodes[NGAS CODE],0))))</f>
        <v>Salaries and Wages-Regular</v>
      </c>
      <c r="E2295" s="309" t="s">
        <v>162</v>
      </c>
      <c r="F2295" s="501">
        <v>74217</v>
      </c>
    </row>
    <row r="2296" spans="1:6">
      <c r="A2296" s="308">
        <v>43190</v>
      </c>
      <c r="B2296" s="309" t="s">
        <v>486</v>
      </c>
      <c r="C2296" s="309" t="s">
        <v>502</v>
      </c>
      <c r="D2296" s="136" t="str">
        <f t="array" ref="D2296">IF(E2296=0,0,(INDEX(AccountCodes[ACCOUNT NAME],MATCH(E2296,AccountCodes[NGAS CODE],0))))</f>
        <v>Salaries and Wages-Regular</v>
      </c>
      <c r="E2296" s="309" t="s">
        <v>162</v>
      </c>
      <c r="F2296" s="501">
        <v>74217</v>
      </c>
    </row>
    <row r="2297" spans="1:6">
      <c r="A2297" s="308">
        <v>43220</v>
      </c>
      <c r="B2297" s="309" t="s">
        <v>486</v>
      </c>
      <c r="C2297" s="309" t="s">
        <v>502</v>
      </c>
      <c r="D2297" s="136" t="str">
        <f t="array" ref="D2297">IF(E2297=0,0,(INDEX(AccountCodes[ACCOUNT NAME],MATCH(E2297,AccountCodes[NGAS CODE],0))))</f>
        <v>Salaries and Wages-Regular</v>
      </c>
      <c r="E2297" s="309" t="s">
        <v>162</v>
      </c>
      <c r="F2297" s="501">
        <v>74217</v>
      </c>
    </row>
    <row r="2298" spans="1:6">
      <c r="A2298" s="308">
        <v>43251</v>
      </c>
      <c r="B2298" s="309" t="s">
        <v>486</v>
      </c>
      <c r="C2298" s="309" t="s">
        <v>502</v>
      </c>
      <c r="D2298" s="136" t="str">
        <f t="array" ref="D2298">IF(E2298=0,0,(INDEX(AccountCodes[ACCOUNT NAME],MATCH(E2298,AccountCodes[NGAS CODE],0))))</f>
        <v>Salaries and Wages-Regular</v>
      </c>
      <c r="E2298" s="309" t="s">
        <v>162</v>
      </c>
      <c r="F2298" s="501">
        <v>74217</v>
      </c>
    </row>
    <row r="2299" spans="1:6">
      <c r="A2299" s="308">
        <v>43281</v>
      </c>
      <c r="B2299" s="309" t="s">
        <v>486</v>
      </c>
      <c r="C2299" s="309" t="s">
        <v>502</v>
      </c>
      <c r="D2299" s="136" t="str">
        <f t="array" ref="D2299">IF(E2299=0,0,(INDEX(AccountCodes[ACCOUNT NAME],MATCH(E2299,AccountCodes[NGAS CODE],0))))</f>
        <v>Salaries and Wages-Regular</v>
      </c>
      <c r="E2299" s="309" t="s">
        <v>162</v>
      </c>
      <c r="F2299" s="501">
        <v>74217</v>
      </c>
    </row>
    <row r="2300" spans="1:6">
      <c r="A2300" s="308">
        <v>43312</v>
      </c>
      <c r="B2300" s="309" t="s">
        <v>486</v>
      </c>
      <c r="C2300" s="309" t="s">
        <v>502</v>
      </c>
      <c r="D2300" s="136" t="str">
        <f t="array" ref="D2300">IF(E2300=0,0,(INDEX(AccountCodes[ACCOUNT NAME],MATCH(E2300,AccountCodes[NGAS CODE],0))))</f>
        <v>Salaries and Wages-Regular</v>
      </c>
      <c r="E2300" s="309" t="s">
        <v>162</v>
      </c>
      <c r="F2300" s="501">
        <v>74217</v>
      </c>
    </row>
    <row r="2301" spans="1:6">
      <c r="A2301" s="308">
        <v>43343</v>
      </c>
      <c r="B2301" s="309" t="s">
        <v>486</v>
      </c>
      <c r="C2301" s="309" t="s">
        <v>502</v>
      </c>
      <c r="D2301" s="136" t="str">
        <f t="array" ref="D2301">IF(E2301=0,0,(INDEX(AccountCodes[ACCOUNT NAME],MATCH(E2301,AccountCodes[NGAS CODE],0))))</f>
        <v>Salaries and Wages-Regular</v>
      </c>
      <c r="E2301" s="309" t="s">
        <v>162</v>
      </c>
      <c r="F2301" s="501">
        <v>74217</v>
      </c>
    </row>
    <row r="2302" spans="1:6">
      <c r="A2302" s="308">
        <v>43373</v>
      </c>
      <c r="B2302" s="309" t="s">
        <v>486</v>
      </c>
      <c r="C2302" s="309" t="s">
        <v>502</v>
      </c>
      <c r="D2302" s="136" t="str">
        <f t="array" ref="D2302">IF(E2302=0,0,(INDEX(AccountCodes[ACCOUNT NAME],MATCH(E2302,AccountCodes[NGAS CODE],0))))</f>
        <v>Salaries and Wages-Regular</v>
      </c>
      <c r="E2302" s="309" t="s">
        <v>162</v>
      </c>
      <c r="F2302" s="501">
        <v>74217</v>
      </c>
    </row>
    <row r="2303" spans="1:6">
      <c r="A2303" s="308">
        <v>43404</v>
      </c>
      <c r="B2303" s="309" t="s">
        <v>486</v>
      </c>
      <c r="C2303" s="309" t="s">
        <v>502</v>
      </c>
      <c r="D2303" s="136" t="str">
        <f t="array" ref="D2303">IF(E2303=0,0,(INDEX(AccountCodes[ACCOUNT NAME],MATCH(E2303,AccountCodes[NGAS CODE],0))))</f>
        <v>Salaries and Wages-Regular</v>
      </c>
      <c r="E2303" s="309" t="s">
        <v>162</v>
      </c>
      <c r="F2303" s="501">
        <v>74217</v>
      </c>
    </row>
    <row r="2304" spans="1:6">
      <c r="A2304" s="308">
        <v>43434</v>
      </c>
      <c r="B2304" s="309" t="s">
        <v>486</v>
      </c>
      <c r="C2304" s="309" t="s">
        <v>502</v>
      </c>
      <c r="D2304" s="136" t="str">
        <f t="array" ref="D2304">IF(E2304=0,0,(INDEX(AccountCodes[ACCOUNT NAME],MATCH(E2304,AccountCodes[NGAS CODE],0))))</f>
        <v>Salaries and Wages-Regular</v>
      </c>
      <c r="E2304" s="309" t="s">
        <v>162</v>
      </c>
      <c r="F2304" s="501">
        <v>74217</v>
      </c>
    </row>
    <row r="2305" spans="1:6">
      <c r="A2305" s="308">
        <v>43465</v>
      </c>
      <c r="B2305" s="309" t="s">
        <v>486</v>
      </c>
      <c r="C2305" s="309" t="s">
        <v>502</v>
      </c>
      <c r="D2305" s="136" t="str">
        <f t="array" ref="D2305">IF(E2305=0,0,(INDEX(AccountCodes[ACCOUNT NAME],MATCH(E2305,AccountCodes[NGAS CODE],0))))</f>
        <v>Salaries and Wages-Regular</v>
      </c>
      <c r="E2305" s="309" t="s">
        <v>162</v>
      </c>
      <c r="F2305" s="501">
        <v>74217</v>
      </c>
    </row>
    <row r="2306" spans="1:6">
      <c r="A2306" s="308">
        <v>43131</v>
      </c>
      <c r="B2306" s="309" t="s">
        <v>486</v>
      </c>
      <c r="C2306" s="309" t="s">
        <v>502</v>
      </c>
      <c r="D2306" s="136" t="str">
        <f t="array" ref="D2306">IF(E2306=0,0,(INDEX(AccountCodes[ACCOUNT NAME],MATCH(E2306,AccountCodes[NGAS CODE],0))))</f>
        <v>Salaries and Wages-Casual/Contractual</v>
      </c>
      <c r="E2306" s="309" t="s">
        <v>163</v>
      </c>
      <c r="F2306" s="501">
        <v>170493.29</v>
      </c>
    </row>
    <row r="2307" spans="1:6">
      <c r="A2307" s="308">
        <v>43159</v>
      </c>
      <c r="B2307" s="309" t="s">
        <v>486</v>
      </c>
      <c r="C2307" s="309" t="s">
        <v>502</v>
      </c>
      <c r="D2307" s="136" t="str">
        <f t="array" ref="D2307">IF(E2307=0,0,(INDEX(AccountCodes[ACCOUNT NAME],MATCH(E2307,AccountCodes[NGAS CODE],0))))</f>
        <v>Salaries and Wages-Casual/Contractual</v>
      </c>
      <c r="E2307" s="309" t="s">
        <v>163</v>
      </c>
      <c r="F2307" s="501">
        <v>170493.29</v>
      </c>
    </row>
    <row r="2308" spans="1:6">
      <c r="A2308" s="308">
        <v>43190</v>
      </c>
      <c r="B2308" s="309" t="s">
        <v>486</v>
      </c>
      <c r="C2308" s="309" t="s">
        <v>502</v>
      </c>
      <c r="D2308" s="136" t="str">
        <f t="array" ref="D2308">IF(E2308=0,0,(INDEX(AccountCodes[ACCOUNT NAME],MATCH(E2308,AccountCodes[NGAS CODE],0))))</f>
        <v>Salaries and Wages-Casual/Contractual</v>
      </c>
      <c r="E2308" s="309" t="s">
        <v>163</v>
      </c>
      <c r="F2308" s="501">
        <v>170493.29</v>
      </c>
    </row>
    <row r="2309" spans="1:6">
      <c r="A2309" s="308">
        <v>43220</v>
      </c>
      <c r="B2309" s="309" t="s">
        <v>486</v>
      </c>
      <c r="C2309" s="309" t="s">
        <v>502</v>
      </c>
      <c r="D2309" s="136" t="str">
        <f t="array" ref="D2309">IF(E2309=0,0,(INDEX(AccountCodes[ACCOUNT NAME],MATCH(E2309,AccountCodes[NGAS CODE],0))))</f>
        <v>Salaries and Wages-Casual/Contractual</v>
      </c>
      <c r="E2309" s="309" t="s">
        <v>163</v>
      </c>
      <c r="F2309" s="501">
        <v>170493.29</v>
      </c>
    </row>
    <row r="2310" spans="1:6">
      <c r="A2310" s="308">
        <v>43251</v>
      </c>
      <c r="B2310" s="309" t="s">
        <v>486</v>
      </c>
      <c r="C2310" s="309" t="s">
        <v>502</v>
      </c>
      <c r="D2310" s="136" t="str">
        <f t="array" ref="D2310">IF(E2310=0,0,(INDEX(AccountCodes[ACCOUNT NAME],MATCH(E2310,AccountCodes[NGAS CODE],0))))</f>
        <v>Salaries and Wages-Casual/Contractual</v>
      </c>
      <c r="E2310" s="309" t="s">
        <v>163</v>
      </c>
      <c r="F2310" s="501">
        <v>170493.29</v>
      </c>
    </row>
    <row r="2311" spans="1:6">
      <c r="A2311" s="308">
        <v>43281</v>
      </c>
      <c r="B2311" s="309" t="s">
        <v>486</v>
      </c>
      <c r="C2311" s="309" t="s">
        <v>502</v>
      </c>
      <c r="D2311" s="136" t="str">
        <f t="array" ref="D2311">IF(E2311=0,0,(INDEX(AccountCodes[ACCOUNT NAME],MATCH(E2311,AccountCodes[NGAS CODE],0))))</f>
        <v>Salaries and Wages-Casual/Contractual</v>
      </c>
      <c r="E2311" s="309" t="s">
        <v>163</v>
      </c>
      <c r="F2311" s="501">
        <v>170493.29</v>
      </c>
    </row>
    <row r="2312" spans="1:6">
      <c r="A2312" s="308">
        <v>43312</v>
      </c>
      <c r="B2312" s="309" t="s">
        <v>486</v>
      </c>
      <c r="C2312" s="309" t="s">
        <v>502</v>
      </c>
      <c r="D2312" s="136" t="str">
        <f t="array" ref="D2312">IF(E2312=0,0,(INDEX(AccountCodes[ACCOUNT NAME],MATCH(E2312,AccountCodes[NGAS CODE],0))))</f>
        <v>Salaries and Wages-Casual/Contractual</v>
      </c>
      <c r="E2312" s="309" t="s">
        <v>163</v>
      </c>
      <c r="F2312" s="501">
        <v>170493.29</v>
      </c>
    </row>
    <row r="2313" spans="1:6">
      <c r="A2313" s="308">
        <v>43343</v>
      </c>
      <c r="B2313" s="309" t="s">
        <v>486</v>
      </c>
      <c r="C2313" s="309" t="s">
        <v>502</v>
      </c>
      <c r="D2313" s="136" t="str">
        <f t="array" ref="D2313">IF(E2313=0,0,(INDEX(AccountCodes[ACCOUNT NAME],MATCH(E2313,AccountCodes[NGAS CODE],0))))</f>
        <v>Salaries and Wages-Casual/Contractual</v>
      </c>
      <c r="E2313" s="309" t="s">
        <v>163</v>
      </c>
      <c r="F2313" s="501">
        <v>170493.29</v>
      </c>
    </row>
    <row r="2314" spans="1:6">
      <c r="A2314" s="308">
        <v>43373</v>
      </c>
      <c r="B2314" s="309" t="s">
        <v>486</v>
      </c>
      <c r="C2314" s="309" t="s">
        <v>502</v>
      </c>
      <c r="D2314" s="136" t="str">
        <f t="array" ref="D2314">IF(E2314=0,0,(INDEX(AccountCodes[ACCOUNT NAME],MATCH(E2314,AccountCodes[NGAS CODE],0))))</f>
        <v>Salaries and Wages-Casual/Contractual</v>
      </c>
      <c r="E2314" s="309" t="s">
        <v>163</v>
      </c>
      <c r="F2314" s="501">
        <v>170493.29</v>
      </c>
    </row>
    <row r="2315" spans="1:6">
      <c r="A2315" s="308">
        <v>43404</v>
      </c>
      <c r="B2315" s="309" t="s">
        <v>486</v>
      </c>
      <c r="C2315" s="309" t="s">
        <v>502</v>
      </c>
      <c r="D2315" s="136" t="str">
        <f t="array" ref="D2315">IF(E2315=0,0,(INDEX(AccountCodes[ACCOUNT NAME],MATCH(E2315,AccountCodes[NGAS CODE],0))))</f>
        <v>Salaries and Wages-Casual/Contractual</v>
      </c>
      <c r="E2315" s="309" t="s">
        <v>163</v>
      </c>
      <c r="F2315" s="501">
        <v>170493.29</v>
      </c>
    </row>
    <row r="2316" spans="1:6">
      <c r="A2316" s="308">
        <v>43434</v>
      </c>
      <c r="B2316" s="309" t="s">
        <v>486</v>
      </c>
      <c r="C2316" s="309" t="s">
        <v>502</v>
      </c>
      <c r="D2316" s="136" t="str">
        <f t="array" ref="D2316">IF(E2316=0,0,(INDEX(AccountCodes[ACCOUNT NAME],MATCH(E2316,AccountCodes[NGAS CODE],0))))</f>
        <v>Salaries and Wages-Casual/Contractual</v>
      </c>
      <c r="E2316" s="309" t="s">
        <v>163</v>
      </c>
      <c r="F2316" s="501">
        <v>170493.29</v>
      </c>
    </row>
    <row r="2317" spans="1:6">
      <c r="A2317" s="308">
        <v>43465</v>
      </c>
      <c r="B2317" s="309" t="s">
        <v>486</v>
      </c>
      <c r="C2317" s="309" t="s">
        <v>502</v>
      </c>
      <c r="D2317" s="136" t="str">
        <f t="array" ref="D2317">IF(E2317=0,0,(INDEX(AccountCodes[ACCOUNT NAME],MATCH(E2317,AccountCodes[NGAS CODE],0))))</f>
        <v>Salaries and Wages-Casual/Contractual</v>
      </c>
      <c r="E2317" s="309" t="s">
        <v>163</v>
      </c>
      <c r="F2317" s="501">
        <v>170493.29</v>
      </c>
    </row>
    <row r="2318" spans="1:6">
      <c r="A2318" s="308">
        <v>43131</v>
      </c>
      <c r="B2318" s="309" t="s">
        <v>486</v>
      </c>
      <c r="C2318" s="309" t="s">
        <v>502</v>
      </c>
      <c r="D2318" s="136" t="str">
        <f t="array" ref="D2318">IF(E2318=0,0,(INDEX(AccountCodes[ACCOUNT NAME],MATCH(E2318,AccountCodes[NGAS CODE],0))))</f>
        <v>Personal Economic Relief Allowance (PERA)</v>
      </c>
      <c r="E2318" s="309" t="s">
        <v>164</v>
      </c>
      <c r="F2318" s="501">
        <v>8000</v>
      </c>
    </row>
    <row r="2319" spans="1:6">
      <c r="A2319" s="308">
        <v>43159</v>
      </c>
      <c r="B2319" s="309" t="s">
        <v>486</v>
      </c>
      <c r="C2319" s="309" t="s">
        <v>502</v>
      </c>
      <c r="D2319" s="136" t="str">
        <f t="array" ref="D2319">IF(E2319=0,0,(INDEX(AccountCodes[ACCOUNT NAME],MATCH(E2319,AccountCodes[NGAS CODE],0))))</f>
        <v>Personal Economic Relief Allowance (PERA)</v>
      </c>
      <c r="E2319" s="309" t="s">
        <v>164</v>
      </c>
      <c r="F2319" s="501">
        <v>8000</v>
      </c>
    </row>
    <row r="2320" spans="1:6">
      <c r="A2320" s="308">
        <v>43190</v>
      </c>
      <c r="B2320" s="309" t="s">
        <v>486</v>
      </c>
      <c r="C2320" s="309" t="s">
        <v>502</v>
      </c>
      <c r="D2320" s="136" t="str">
        <f t="array" ref="D2320">IF(E2320=0,0,(INDEX(AccountCodes[ACCOUNT NAME],MATCH(E2320,AccountCodes[NGAS CODE],0))))</f>
        <v>Personal Economic Relief Allowance (PERA)</v>
      </c>
      <c r="E2320" s="309" t="s">
        <v>164</v>
      </c>
      <c r="F2320" s="501">
        <v>8000</v>
      </c>
    </row>
    <row r="2321" spans="1:6">
      <c r="A2321" s="308">
        <v>43220</v>
      </c>
      <c r="B2321" s="309" t="s">
        <v>486</v>
      </c>
      <c r="C2321" s="309" t="s">
        <v>502</v>
      </c>
      <c r="D2321" s="136" t="str">
        <f t="array" ref="D2321">IF(E2321=0,0,(INDEX(AccountCodes[ACCOUNT NAME],MATCH(E2321,AccountCodes[NGAS CODE],0))))</f>
        <v>Personal Economic Relief Allowance (PERA)</v>
      </c>
      <c r="E2321" s="309" t="s">
        <v>164</v>
      </c>
      <c r="F2321" s="501">
        <v>8000</v>
      </c>
    </row>
    <row r="2322" spans="1:6">
      <c r="A2322" s="308">
        <v>43251</v>
      </c>
      <c r="B2322" s="309" t="s">
        <v>486</v>
      </c>
      <c r="C2322" s="309" t="s">
        <v>502</v>
      </c>
      <c r="D2322" s="136" t="str">
        <f t="array" ref="D2322">IF(E2322=0,0,(INDEX(AccountCodes[ACCOUNT NAME],MATCH(E2322,AccountCodes[NGAS CODE],0))))</f>
        <v>Personal Economic Relief Allowance (PERA)</v>
      </c>
      <c r="E2322" s="309" t="s">
        <v>164</v>
      </c>
      <c r="F2322" s="501">
        <v>8000</v>
      </c>
    </row>
    <row r="2323" spans="1:6">
      <c r="A2323" s="308">
        <v>43281</v>
      </c>
      <c r="B2323" s="309" t="s">
        <v>486</v>
      </c>
      <c r="C2323" s="309" t="s">
        <v>502</v>
      </c>
      <c r="D2323" s="136" t="str">
        <f t="array" ref="D2323">IF(E2323=0,0,(INDEX(AccountCodes[ACCOUNT NAME],MATCH(E2323,AccountCodes[NGAS CODE],0))))</f>
        <v>Personal Economic Relief Allowance (PERA)</v>
      </c>
      <c r="E2323" s="309" t="s">
        <v>164</v>
      </c>
      <c r="F2323" s="501">
        <v>8000</v>
      </c>
    </row>
    <row r="2324" spans="1:6">
      <c r="A2324" s="308">
        <v>43312</v>
      </c>
      <c r="B2324" s="309" t="s">
        <v>486</v>
      </c>
      <c r="C2324" s="309" t="s">
        <v>502</v>
      </c>
      <c r="D2324" s="136" t="str">
        <f t="array" ref="D2324">IF(E2324=0,0,(INDEX(AccountCodes[ACCOUNT NAME],MATCH(E2324,AccountCodes[NGAS CODE],0))))</f>
        <v>Personal Economic Relief Allowance (PERA)</v>
      </c>
      <c r="E2324" s="309" t="s">
        <v>164</v>
      </c>
      <c r="F2324" s="501">
        <v>8000</v>
      </c>
    </row>
    <row r="2325" spans="1:6">
      <c r="A2325" s="308">
        <v>43343</v>
      </c>
      <c r="B2325" s="309" t="s">
        <v>486</v>
      </c>
      <c r="C2325" s="309" t="s">
        <v>502</v>
      </c>
      <c r="D2325" s="136" t="str">
        <f t="array" ref="D2325">IF(E2325=0,0,(INDEX(AccountCodes[ACCOUNT NAME],MATCH(E2325,AccountCodes[NGAS CODE],0))))</f>
        <v>Personal Economic Relief Allowance (PERA)</v>
      </c>
      <c r="E2325" s="309" t="s">
        <v>164</v>
      </c>
      <c r="F2325" s="501">
        <v>8000</v>
      </c>
    </row>
    <row r="2326" spans="1:6">
      <c r="A2326" s="308">
        <v>43373</v>
      </c>
      <c r="B2326" s="309" t="s">
        <v>486</v>
      </c>
      <c r="C2326" s="309" t="s">
        <v>502</v>
      </c>
      <c r="D2326" s="136" t="str">
        <f t="array" ref="D2326">IF(E2326=0,0,(INDEX(AccountCodes[ACCOUNT NAME],MATCH(E2326,AccountCodes[NGAS CODE],0))))</f>
        <v>Personal Economic Relief Allowance (PERA)</v>
      </c>
      <c r="E2326" s="309" t="s">
        <v>164</v>
      </c>
      <c r="F2326" s="501">
        <v>8000</v>
      </c>
    </row>
    <row r="2327" spans="1:6">
      <c r="A2327" s="308">
        <v>43404</v>
      </c>
      <c r="B2327" s="309" t="s">
        <v>486</v>
      </c>
      <c r="C2327" s="309" t="s">
        <v>502</v>
      </c>
      <c r="D2327" s="136" t="str">
        <f t="array" ref="D2327">IF(E2327=0,0,(INDEX(AccountCodes[ACCOUNT NAME],MATCH(E2327,AccountCodes[NGAS CODE],0))))</f>
        <v>Personal Economic Relief Allowance (PERA)</v>
      </c>
      <c r="E2327" s="309" t="s">
        <v>164</v>
      </c>
      <c r="F2327" s="501">
        <v>8000</v>
      </c>
    </row>
    <row r="2328" spans="1:6">
      <c r="A2328" s="308">
        <v>43434</v>
      </c>
      <c r="B2328" s="309" t="s">
        <v>486</v>
      </c>
      <c r="C2328" s="309" t="s">
        <v>502</v>
      </c>
      <c r="D2328" s="136" t="str">
        <f t="array" ref="D2328">IF(E2328=0,0,(INDEX(AccountCodes[ACCOUNT NAME],MATCH(E2328,AccountCodes[NGAS CODE],0))))</f>
        <v>Personal Economic Relief Allowance (PERA)</v>
      </c>
      <c r="E2328" s="309" t="s">
        <v>164</v>
      </c>
      <c r="F2328" s="501">
        <v>8000</v>
      </c>
    </row>
    <row r="2329" spans="1:6">
      <c r="A2329" s="308">
        <v>43465</v>
      </c>
      <c r="B2329" s="309" t="s">
        <v>486</v>
      </c>
      <c r="C2329" s="309" t="s">
        <v>502</v>
      </c>
      <c r="D2329" s="136" t="str">
        <f t="array" ref="D2329">IF(E2329=0,0,(INDEX(AccountCodes[ACCOUNT NAME],MATCH(E2329,AccountCodes[NGAS CODE],0))))</f>
        <v>Personal Economic Relief Allowance (PERA)</v>
      </c>
      <c r="E2329" s="309" t="s">
        <v>164</v>
      </c>
      <c r="F2329" s="501">
        <v>8000</v>
      </c>
    </row>
    <row r="2330" spans="1:6">
      <c r="A2330" s="308">
        <v>43465</v>
      </c>
      <c r="B2330" s="309" t="s">
        <v>486</v>
      </c>
      <c r="C2330" s="309" t="s">
        <v>502</v>
      </c>
      <c r="D2330" s="136" t="str">
        <f t="array" ref="D2330">IF(E2330=0,0,(INDEX(AccountCodes[ACCOUNT NAME],MATCH(E2330,AccountCodes[NGAS CODE],0))))</f>
        <v>Other Bonuses and Allowances - Productivity Enhancement Incentive-Civilian</v>
      </c>
      <c r="E2330" s="309" t="s">
        <v>170</v>
      </c>
      <c r="F2330" s="501">
        <v>20000</v>
      </c>
    </row>
    <row r="2331" spans="1:6">
      <c r="A2331" s="308">
        <v>43131</v>
      </c>
      <c r="B2331" s="309" t="s">
        <v>486</v>
      </c>
      <c r="C2331" s="309" t="s">
        <v>502</v>
      </c>
      <c r="D2331" s="136" t="str">
        <f t="array" ref="D2331">IF(E2331=0,0,(INDEX(AccountCodes[ACCOUNT NAME],MATCH(E2331,AccountCodes[NGAS CODE],0))))</f>
        <v>Other Bonuses and Allowances - Medical Allowance</v>
      </c>
      <c r="E2331" s="309" t="s">
        <v>5</v>
      </c>
      <c r="F2331" s="501">
        <v>200</v>
      </c>
    </row>
    <row r="2332" spans="1:6">
      <c r="A2332" s="308">
        <v>43159</v>
      </c>
      <c r="B2332" s="309" t="s">
        <v>486</v>
      </c>
      <c r="C2332" s="309" t="s">
        <v>502</v>
      </c>
      <c r="D2332" s="136" t="str">
        <f t="array" ref="D2332">IF(E2332=0,0,(INDEX(AccountCodes[ACCOUNT NAME],MATCH(E2332,AccountCodes[NGAS CODE],0))))</f>
        <v>Other Bonuses and Allowances - Medical Allowance</v>
      </c>
      <c r="E2332" s="309" t="s">
        <v>5</v>
      </c>
      <c r="F2332" s="501">
        <v>200</v>
      </c>
    </row>
    <row r="2333" spans="1:6">
      <c r="A2333" s="308">
        <v>43190</v>
      </c>
      <c r="B2333" s="309" t="s">
        <v>486</v>
      </c>
      <c r="C2333" s="309" t="s">
        <v>502</v>
      </c>
      <c r="D2333" s="136" t="str">
        <f t="array" ref="D2333">IF(E2333=0,0,(INDEX(AccountCodes[ACCOUNT NAME],MATCH(E2333,AccountCodes[NGAS CODE],0))))</f>
        <v>Other Bonuses and Allowances - Medical Allowance</v>
      </c>
      <c r="E2333" s="309" t="s">
        <v>5</v>
      </c>
      <c r="F2333" s="501">
        <v>200</v>
      </c>
    </row>
    <row r="2334" spans="1:6">
      <c r="A2334" s="308">
        <v>43220</v>
      </c>
      <c r="B2334" s="309" t="s">
        <v>486</v>
      </c>
      <c r="C2334" s="309" t="s">
        <v>502</v>
      </c>
      <c r="D2334" s="136" t="str">
        <f t="array" ref="D2334">IF(E2334=0,0,(INDEX(AccountCodes[ACCOUNT NAME],MATCH(E2334,AccountCodes[NGAS CODE],0))))</f>
        <v>Other Bonuses and Allowances - Medical Allowance</v>
      </c>
      <c r="E2334" s="309" t="s">
        <v>5</v>
      </c>
      <c r="F2334" s="501">
        <v>200</v>
      </c>
    </row>
    <row r="2335" spans="1:6">
      <c r="A2335" s="308">
        <v>43251</v>
      </c>
      <c r="B2335" s="309" t="s">
        <v>486</v>
      </c>
      <c r="C2335" s="309" t="s">
        <v>502</v>
      </c>
      <c r="D2335" s="136" t="str">
        <f t="array" ref="D2335">IF(E2335=0,0,(INDEX(AccountCodes[ACCOUNT NAME],MATCH(E2335,AccountCodes[NGAS CODE],0))))</f>
        <v>Other Bonuses and Allowances - Medical Allowance</v>
      </c>
      <c r="E2335" s="309" t="s">
        <v>5</v>
      </c>
      <c r="F2335" s="501">
        <v>200</v>
      </c>
    </row>
    <row r="2336" spans="1:6">
      <c r="A2336" s="308">
        <v>43281</v>
      </c>
      <c r="B2336" s="309" t="s">
        <v>486</v>
      </c>
      <c r="C2336" s="309" t="s">
        <v>502</v>
      </c>
      <c r="D2336" s="136" t="str">
        <f t="array" ref="D2336">IF(E2336=0,0,(INDEX(AccountCodes[ACCOUNT NAME],MATCH(E2336,AccountCodes[NGAS CODE],0))))</f>
        <v>Other Bonuses and Allowances - Medical Allowance</v>
      </c>
      <c r="E2336" s="309" t="s">
        <v>5</v>
      </c>
      <c r="F2336" s="501">
        <v>200</v>
      </c>
    </row>
    <row r="2337" spans="1:6">
      <c r="A2337" s="308">
        <v>43312</v>
      </c>
      <c r="B2337" s="309" t="s">
        <v>486</v>
      </c>
      <c r="C2337" s="309" t="s">
        <v>502</v>
      </c>
      <c r="D2337" s="136" t="str">
        <f t="array" ref="D2337">IF(E2337=0,0,(INDEX(AccountCodes[ACCOUNT NAME],MATCH(E2337,AccountCodes[NGAS CODE],0))))</f>
        <v>Other Bonuses and Allowances - Medical Allowance</v>
      </c>
      <c r="E2337" s="309" t="s">
        <v>5</v>
      </c>
      <c r="F2337" s="501">
        <v>200</v>
      </c>
    </row>
    <row r="2338" spans="1:6">
      <c r="A2338" s="308">
        <v>43343</v>
      </c>
      <c r="B2338" s="309" t="s">
        <v>486</v>
      </c>
      <c r="C2338" s="309" t="s">
        <v>502</v>
      </c>
      <c r="D2338" s="136" t="str">
        <f t="array" ref="D2338">IF(E2338=0,0,(INDEX(AccountCodes[ACCOUNT NAME],MATCH(E2338,AccountCodes[NGAS CODE],0))))</f>
        <v>Other Bonuses and Allowances - Medical Allowance</v>
      </c>
      <c r="E2338" s="309" t="s">
        <v>5</v>
      </c>
      <c r="F2338" s="501">
        <v>200</v>
      </c>
    </row>
    <row r="2339" spans="1:6">
      <c r="A2339" s="308">
        <v>43373</v>
      </c>
      <c r="B2339" s="309" t="s">
        <v>486</v>
      </c>
      <c r="C2339" s="309" t="s">
        <v>502</v>
      </c>
      <c r="D2339" s="136" t="str">
        <f t="array" ref="D2339">IF(E2339=0,0,(INDEX(AccountCodes[ACCOUNT NAME],MATCH(E2339,AccountCodes[NGAS CODE],0))))</f>
        <v>Other Bonuses and Allowances - Medical Allowance</v>
      </c>
      <c r="E2339" s="309" t="s">
        <v>5</v>
      </c>
      <c r="F2339" s="501">
        <v>200</v>
      </c>
    </row>
    <row r="2340" spans="1:6">
      <c r="A2340" s="308">
        <v>43404</v>
      </c>
      <c r="B2340" s="309" t="s">
        <v>486</v>
      </c>
      <c r="C2340" s="309" t="s">
        <v>502</v>
      </c>
      <c r="D2340" s="136" t="str">
        <f t="array" ref="D2340">IF(E2340=0,0,(INDEX(AccountCodes[ACCOUNT NAME],MATCH(E2340,AccountCodes[NGAS CODE],0))))</f>
        <v>Other Bonuses and Allowances - Medical Allowance</v>
      </c>
      <c r="E2340" s="309" t="s">
        <v>5</v>
      </c>
      <c r="F2340" s="501">
        <v>200</v>
      </c>
    </row>
    <row r="2341" spans="1:6">
      <c r="A2341" s="308">
        <v>43434</v>
      </c>
      <c r="B2341" s="309" t="s">
        <v>486</v>
      </c>
      <c r="C2341" s="309" t="s">
        <v>502</v>
      </c>
      <c r="D2341" s="136" t="str">
        <f t="array" ref="D2341">IF(E2341=0,0,(INDEX(AccountCodes[ACCOUNT NAME],MATCH(E2341,AccountCodes[NGAS CODE],0))))</f>
        <v>Other Bonuses and Allowances - Medical Allowance</v>
      </c>
      <c r="E2341" s="309" t="s">
        <v>5</v>
      </c>
      <c r="F2341" s="501">
        <v>200</v>
      </c>
    </row>
    <row r="2342" spans="1:6">
      <c r="A2342" s="308">
        <v>43465</v>
      </c>
      <c r="B2342" s="309" t="s">
        <v>486</v>
      </c>
      <c r="C2342" s="309" t="s">
        <v>502</v>
      </c>
      <c r="D2342" s="136" t="str">
        <f t="array" ref="D2342">IF(E2342=0,0,(INDEX(AccountCodes[ACCOUNT NAME],MATCH(E2342,AccountCodes[NGAS CODE],0))))</f>
        <v>Other Bonuses and Allowances - Medical Allowance</v>
      </c>
      <c r="E2342" s="309" t="s">
        <v>5</v>
      </c>
      <c r="F2342" s="501">
        <v>200</v>
      </c>
    </row>
    <row r="2343" spans="1:6">
      <c r="A2343" s="308">
        <v>43131</v>
      </c>
      <c r="B2343" s="309" t="s">
        <v>486</v>
      </c>
      <c r="C2343" s="309" t="s">
        <v>502</v>
      </c>
      <c r="D2343" s="136" t="str">
        <f t="array" ref="D2343">IF(E2343=0,0,(INDEX(AccountCodes[ACCOUNT NAME],MATCH(E2343,AccountCodes[NGAS CODE],0))))</f>
        <v>Other Bonuses and Allowances - Meal Allowance</v>
      </c>
      <c r="E2343" s="309" t="s">
        <v>6</v>
      </c>
      <c r="F2343" s="501">
        <v>66</v>
      </c>
    </row>
    <row r="2344" spans="1:6">
      <c r="A2344" s="308">
        <v>43159</v>
      </c>
      <c r="B2344" s="309" t="s">
        <v>486</v>
      </c>
      <c r="C2344" s="309" t="s">
        <v>502</v>
      </c>
      <c r="D2344" s="136" t="str">
        <f t="array" ref="D2344">IF(E2344=0,0,(INDEX(AccountCodes[ACCOUNT NAME],MATCH(E2344,AccountCodes[NGAS CODE],0))))</f>
        <v>Other Bonuses and Allowances - Meal Allowance</v>
      </c>
      <c r="E2344" s="309" t="s">
        <v>6</v>
      </c>
      <c r="F2344" s="501">
        <v>66</v>
      </c>
    </row>
    <row r="2345" spans="1:6">
      <c r="A2345" s="308">
        <v>43190</v>
      </c>
      <c r="B2345" s="309" t="s">
        <v>486</v>
      </c>
      <c r="C2345" s="309" t="s">
        <v>502</v>
      </c>
      <c r="D2345" s="136" t="str">
        <f t="array" ref="D2345">IF(E2345=0,0,(INDEX(AccountCodes[ACCOUNT NAME],MATCH(E2345,AccountCodes[NGAS CODE],0))))</f>
        <v>Other Bonuses and Allowances - Meal Allowance</v>
      </c>
      <c r="E2345" s="309" t="s">
        <v>6</v>
      </c>
      <c r="F2345" s="501">
        <v>66</v>
      </c>
    </row>
    <row r="2346" spans="1:6">
      <c r="A2346" s="308">
        <v>43220</v>
      </c>
      <c r="B2346" s="309" t="s">
        <v>486</v>
      </c>
      <c r="C2346" s="309" t="s">
        <v>502</v>
      </c>
      <c r="D2346" s="136" t="str">
        <f t="array" ref="D2346">IF(E2346=0,0,(INDEX(AccountCodes[ACCOUNT NAME],MATCH(E2346,AccountCodes[NGAS CODE],0))))</f>
        <v>Other Bonuses and Allowances - Meal Allowance</v>
      </c>
      <c r="E2346" s="309" t="s">
        <v>6</v>
      </c>
      <c r="F2346" s="501">
        <v>66</v>
      </c>
    </row>
    <row r="2347" spans="1:6">
      <c r="A2347" s="308">
        <v>43251</v>
      </c>
      <c r="B2347" s="309" t="s">
        <v>486</v>
      </c>
      <c r="C2347" s="309" t="s">
        <v>502</v>
      </c>
      <c r="D2347" s="136" t="str">
        <f t="array" ref="D2347">IF(E2347=0,0,(INDEX(AccountCodes[ACCOUNT NAME],MATCH(E2347,AccountCodes[NGAS CODE],0))))</f>
        <v>Other Bonuses and Allowances - Meal Allowance</v>
      </c>
      <c r="E2347" s="309" t="s">
        <v>6</v>
      </c>
      <c r="F2347" s="501">
        <v>66</v>
      </c>
    </row>
    <row r="2348" spans="1:6">
      <c r="A2348" s="308">
        <v>43281</v>
      </c>
      <c r="B2348" s="309" t="s">
        <v>486</v>
      </c>
      <c r="C2348" s="309" t="s">
        <v>502</v>
      </c>
      <c r="D2348" s="136" t="str">
        <f t="array" ref="D2348">IF(E2348=0,0,(INDEX(AccountCodes[ACCOUNT NAME],MATCH(E2348,AccountCodes[NGAS CODE],0))))</f>
        <v>Other Bonuses and Allowances - Meal Allowance</v>
      </c>
      <c r="E2348" s="309" t="s">
        <v>6</v>
      </c>
      <c r="F2348" s="501">
        <v>66</v>
      </c>
    </row>
    <row r="2349" spans="1:6">
      <c r="A2349" s="308">
        <v>43312</v>
      </c>
      <c r="B2349" s="309" t="s">
        <v>486</v>
      </c>
      <c r="C2349" s="309" t="s">
        <v>502</v>
      </c>
      <c r="D2349" s="136" t="str">
        <f t="array" ref="D2349">IF(E2349=0,0,(INDEX(AccountCodes[ACCOUNT NAME],MATCH(E2349,AccountCodes[NGAS CODE],0))))</f>
        <v>Other Bonuses and Allowances - Meal Allowance</v>
      </c>
      <c r="E2349" s="309" t="s">
        <v>6</v>
      </c>
      <c r="F2349" s="501">
        <v>66</v>
      </c>
    </row>
    <row r="2350" spans="1:6">
      <c r="A2350" s="308">
        <v>43343</v>
      </c>
      <c r="B2350" s="309" t="s">
        <v>486</v>
      </c>
      <c r="C2350" s="309" t="s">
        <v>502</v>
      </c>
      <c r="D2350" s="136" t="str">
        <f t="array" ref="D2350">IF(E2350=0,0,(INDEX(AccountCodes[ACCOUNT NAME],MATCH(E2350,AccountCodes[NGAS CODE],0))))</f>
        <v>Other Bonuses and Allowances - Meal Allowance</v>
      </c>
      <c r="E2350" s="309" t="s">
        <v>6</v>
      </c>
      <c r="F2350" s="501">
        <v>66</v>
      </c>
    </row>
    <row r="2351" spans="1:6">
      <c r="A2351" s="308">
        <v>43373</v>
      </c>
      <c r="B2351" s="309" t="s">
        <v>486</v>
      </c>
      <c r="C2351" s="309" t="s">
        <v>502</v>
      </c>
      <c r="D2351" s="136" t="str">
        <f t="array" ref="D2351">IF(E2351=0,0,(INDEX(AccountCodes[ACCOUNT NAME],MATCH(E2351,AccountCodes[NGAS CODE],0))))</f>
        <v>Other Bonuses and Allowances - Meal Allowance</v>
      </c>
      <c r="E2351" s="309" t="s">
        <v>6</v>
      </c>
      <c r="F2351" s="501">
        <v>66</v>
      </c>
    </row>
    <row r="2352" spans="1:6">
      <c r="A2352" s="308">
        <v>43404</v>
      </c>
      <c r="B2352" s="309" t="s">
        <v>486</v>
      </c>
      <c r="C2352" s="309" t="s">
        <v>502</v>
      </c>
      <c r="D2352" s="136" t="str">
        <f t="array" ref="D2352">IF(E2352=0,0,(INDEX(AccountCodes[ACCOUNT NAME],MATCH(E2352,AccountCodes[NGAS CODE],0))))</f>
        <v>Other Bonuses and Allowances - Meal Allowance</v>
      </c>
      <c r="E2352" s="309" t="s">
        <v>6</v>
      </c>
      <c r="F2352" s="501">
        <v>66</v>
      </c>
    </row>
    <row r="2353" spans="1:6">
      <c r="A2353" s="308">
        <v>43434</v>
      </c>
      <c r="B2353" s="309" t="s">
        <v>486</v>
      </c>
      <c r="C2353" s="309" t="s">
        <v>502</v>
      </c>
      <c r="D2353" s="136" t="str">
        <f t="array" ref="D2353">IF(E2353=0,0,(INDEX(AccountCodes[ACCOUNT NAME],MATCH(E2353,AccountCodes[NGAS CODE],0))))</f>
        <v>Other Bonuses and Allowances - Meal Allowance</v>
      </c>
      <c r="E2353" s="309" t="s">
        <v>6</v>
      </c>
      <c r="F2353" s="501">
        <v>66</v>
      </c>
    </row>
    <row r="2354" spans="1:6">
      <c r="A2354" s="308">
        <v>43465</v>
      </c>
      <c r="B2354" s="309" t="s">
        <v>486</v>
      </c>
      <c r="C2354" s="309" t="s">
        <v>502</v>
      </c>
      <c r="D2354" s="136" t="str">
        <f t="array" ref="D2354">IF(E2354=0,0,(INDEX(AccountCodes[ACCOUNT NAME],MATCH(E2354,AccountCodes[NGAS CODE],0))))</f>
        <v>Other Bonuses and Allowances - Meal Allowance</v>
      </c>
      <c r="E2354" s="309" t="s">
        <v>6</v>
      </c>
      <c r="F2354" s="501">
        <v>66</v>
      </c>
    </row>
    <row r="2355" spans="1:6">
      <c r="A2355" s="308">
        <v>43434</v>
      </c>
      <c r="B2355" s="309" t="s">
        <v>486</v>
      </c>
      <c r="C2355" s="309" t="s">
        <v>502</v>
      </c>
      <c r="D2355" s="136" t="str">
        <f t="array" ref="D2355">IF(E2355=0,0,(INDEX(AccountCodes[ACCOUNT NAME],MATCH(E2355,AccountCodes[NGAS CODE],0))))</f>
        <v>Cash Gift</v>
      </c>
      <c r="E2355" s="309" t="s">
        <v>172</v>
      </c>
      <c r="F2355" s="501">
        <v>20000</v>
      </c>
    </row>
    <row r="2356" spans="1:6">
      <c r="A2356" s="308">
        <v>43434</v>
      </c>
      <c r="B2356" s="309" t="s">
        <v>486</v>
      </c>
      <c r="C2356" s="309" t="s">
        <v>502</v>
      </c>
      <c r="D2356" s="136" t="str">
        <f t="array" ref="D2356">IF(E2356=0,0,(INDEX(AccountCodes[ACCOUNT NAME],MATCH(E2356,AccountCodes[NGAS CODE],0))))</f>
        <v>Mid-Year/Year End Bonus</v>
      </c>
      <c r="E2356" s="309" t="s">
        <v>174</v>
      </c>
      <c r="F2356" s="501">
        <v>74217</v>
      </c>
    </row>
    <row r="2357" spans="1:6">
      <c r="A2357" s="308">
        <v>43434</v>
      </c>
      <c r="B2357" s="309" t="s">
        <v>486</v>
      </c>
      <c r="C2357" s="309" t="s">
        <v>502</v>
      </c>
      <c r="D2357" s="136" t="str">
        <f t="array" ref="D2357">IF(E2357=0,0,(INDEX(AccountCodes[ACCOUNT NAME],MATCH(E2357,AccountCodes[NGAS CODE],0))))</f>
        <v>Mid-Year/Year End Bonus</v>
      </c>
      <c r="E2357" s="309" t="s">
        <v>174</v>
      </c>
      <c r="F2357" s="501">
        <v>74217</v>
      </c>
    </row>
    <row r="2358" spans="1:6">
      <c r="A2358" s="308">
        <v>43131</v>
      </c>
      <c r="B2358" s="309" t="s">
        <v>486</v>
      </c>
      <c r="C2358" s="309" t="s">
        <v>502</v>
      </c>
      <c r="D2358" s="136" t="str">
        <f t="array" ref="D2358">IF(E2358=0,0,(INDEX(AccountCodes[ACCOUNT NAME],MATCH(E2358,AccountCodes[NGAS CODE],0))))</f>
        <v>Retirement and Life Insurance Premiums</v>
      </c>
      <c r="E2358" s="309" t="s">
        <v>175</v>
      </c>
      <c r="F2358" s="501">
        <v>8906.0400000000009</v>
      </c>
    </row>
    <row r="2359" spans="1:6">
      <c r="A2359" s="308">
        <v>43159</v>
      </c>
      <c r="B2359" s="309" t="s">
        <v>486</v>
      </c>
      <c r="C2359" s="309" t="s">
        <v>502</v>
      </c>
      <c r="D2359" s="136" t="str">
        <f t="array" ref="D2359">IF(E2359=0,0,(INDEX(AccountCodes[ACCOUNT NAME],MATCH(E2359,AccountCodes[NGAS CODE],0))))</f>
        <v>Retirement and Life Insurance Premiums</v>
      </c>
      <c r="E2359" s="309" t="s">
        <v>175</v>
      </c>
      <c r="F2359" s="501">
        <v>8906.0400000000009</v>
      </c>
    </row>
    <row r="2360" spans="1:6">
      <c r="A2360" s="308">
        <v>43190</v>
      </c>
      <c r="B2360" s="309" t="s">
        <v>486</v>
      </c>
      <c r="C2360" s="309" t="s">
        <v>502</v>
      </c>
      <c r="D2360" s="136" t="str">
        <f t="array" ref="D2360">IF(E2360=0,0,(INDEX(AccountCodes[ACCOUNT NAME],MATCH(E2360,AccountCodes[NGAS CODE],0))))</f>
        <v>Retirement and Life Insurance Premiums</v>
      </c>
      <c r="E2360" s="309" t="s">
        <v>175</v>
      </c>
      <c r="F2360" s="501">
        <v>8906.0400000000009</v>
      </c>
    </row>
    <row r="2361" spans="1:6">
      <c r="A2361" s="308">
        <v>43220</v>
      </c>
      <c r="B2361" s="309" t="s">
        <v>486</v>
      </c>
      <c r="C2361" s="309" t="s">
        <v>502</v>
      </c>
      <c r="D2361" s="136" t="str">
        <f t="array" ref="D2361">IF(E2361=0,0,(INDEX(AccountCodes[ACCOUNT NAME],MATCH(E2361,AccountCodes[NGAS CODE],0))))</f>
        <v>Retirement and Life Insurance Premiums</v>
      </c>
      <c r="E2361" s="309" t="s">
        <v>175</v>
      </c>
      <c r="F2361" s="501">
        <v>8906.0400000000009</v>
      </c>
    </row>
    <row r="2362" spans="1:6">
      <c r="A2362" s="308">
        <v>43251</v>
      </c>
      <c r="B2362" s="309" t="s">
        <v>486</v>
      </c>
      <c r="C2362" s="309" t="s">
        <v>502</v>
      </c>
      <c r="D2362" s="136" t="str">
        <f t="array" ref="D2362">IF(E2362=0,0,(INDEX(AccountCodes[ACCOUNT NAME],MATCH(E2362,AccountCodes[NGAS CODE],0))))</f>
        <v>Retirement and Life Insurance Premiums</v>
      </c>
      <c r="E2362" s="309" t="s">
        <v>175</v>
      </c>
      <c r="F2362" s="501">
        <v>8906.0400000000009</v>
      </c>
    </row>
    <row r="2363" spans="1:6">
      <c r="A2363" s="308">
        <v>43281</v>
      </c>
      <c r="B2363" s="309" t="s">
        <v>486</v>
      </c>
      <c r="C2363" s="309" t="s">
        <v>502</v>
      </c>
      <c r="D2363" s="136" t="str">
        <f t="array" ref="D2363">IF(E2363=0,0,(INDEX(AccountCodes[ACCOUNT NAME],MATCH(E2363,AccountCodes[NGAS CODE],0))))</f>
        <v>Retirement and Life Insurance Premiums</v>
      </c>
      <c r="E2363" s="309" t="s">
        <v>175</v>
      </c>
      <c r="F2363" s="501">
        <v>8906.0400000000009</v>
      </c>
    </row>
    <row r="2364" spans="1:6">
      <c r="A2364" s="308">
        <v>43312</v>
      </c>
      <c r="B2364" s="309" t="s">
        <v>486</v>
      </c>
      <c r="C2364" s="309" t="s">
        <v>502</v>
      </c>
      <c r="D2364" s="136" t="str">
        <f t="array" ref="D2364">IF(E2364=0,0,(INDEX(AccountCodes[ACCOUNT NAME],MATCH(E2364,AccountCodes[NGAS CODE],0))))</f>
        <v>Retirement and Life Insurance Premiums</v>
      </c>
      <c r="E2364" s="309" t="s">
        <v>175</v>
      </c>
      <c r="F2364" s="501">
        <v>8906.0400000000009</v>
      </c>
    </row>
    <row r="2365" spans="1:6">
      <c r="A2365" s="308">
        <v>43343</v>
      </c>
      <c r="B2365" s="309" t="s">
        <v>486</v>
      </c>
      <c r="C2365" s="309" t="s">
        <v>502</v>
      </c>
      <c r="D2365" s="136" t="str">
        <f t="array" ref="D2365">IF(E2365=0,0,(INDEX(AccountCodes[ACCOUNT NAME],MATCH(E2365,AccountCodes[NGAS CODE],0))))</f>
        <v>Retirement and Life Insurance Premiums</v>
      </c>
      <c r="E2365" s="309" t="s">
        <v>175</v>
      </c>
      <c r="F2365" s="501">
        <v>8906.0400000000009</v>
      </c>
    </row>
    <row r="2366" spans="1:6">
      <c r="A2366" s="308">
        <v>43373</v>
      </c>
      <c r="B2366" s="309" t="s">
        <v>486</v>
      </c>
      <c r="C2366" s="309" t="s">
        <v>502</v>
      </c>
      <c r="D2366" s="136" t="str">
        <f t="array" ref="D2366">IF(E2366=0,0,(INDEX(AccountCodes[ACCOUNT NAME],MATCH(E2366,AccountCodes[NGAS CODE],0))))</f>
        <v>Retirement and Life Insurance Premiums</v>
      </c>
      <c r="E2366" s="309" t="s">
        <v>175</v>
      </c>
      <c r="F2366" s="501">
        <v>8906.0400000000009</v>
      </c>
    </row>
    <row r="2367" spans="1:6">
      <c r="A2367" s="308">
        <v>43404</v>
      </c>
      <c r="B2367" s="309" t="s">
        <v>486</v>
      </c>
      <c r="C2367" s="309" t="s">
        <v>502</v>
      </c>
      <c r="D2367" s="136" t="str">
        <f t="array" ref="D2367">IF(E2367=0,0,(INDEX(AccountCodes[ACCOUNT NAME],MATCH(E2367,AccountCodes[NGAS CODE],0))))</f>
        <v>Retirement and Life Insurance Premiums</v>
      </c>
      <c r="E2367" s="309" t="s">
        <v>175</v>
      </c>
      <c r="F2367" s="501">
        <v>8906.0400000000009</v>
      </c>
    </row>
    <row r="2368" spans="1:6">
      <c r="A2368" s="308">
        <v>43434</v>
      </c>
      <c r="B2368" s="309" t="s">
        <v>486</v>
      </c>
      <c r="C2368" s="309" t="s">
        <v>502</v>
      </c>
      <c r="D2368" s="136" t="str">
        <f t="array" ref="D2368">IF(E2368=0,0,(INDEX(AccountCodes[ACCOUNT NAME],MATCH(E2368,AccountCodes[NGAS CODE],0))))</f>
        <v>Retirement and Life Insurance Premiums</v>
      </c>
      <c r="E2368" s="309" t="s">
        <v>175</v>
      </c>
      <c r="F2368" s="501">
        <v>8906.0400000000009</v>
      </c>
    </row>
    <row r="2369" spans="1:6">
      <c r="A2369" s="308">
        <v>43465</v>
      </c>
      <c r="B2369" s="309" t="s">
        <v>486</v>
      </c>
      <c r="C2369" s="309" t="s">
        <v>502</v>
      </c>
      <c r="D2369" s="136" t="str">
        <f t="array" ref="D2369">IF(E2369=0,0,(INDEX(AccountCodes[ACCOUNT NAME],MATCH(E2369,AccountCodes[NGAS CODE],0))))</f>
        <v>Retirement and Life Insurance Premiums</v>
      </c>
      <c r="E2369" s="309" t="s">
        <v>175</v>
      </c>
      <c r="F2369" s="501">
        <v>8906.0400000000009</v>
      </c>
    </row>
    <row r="2370" spans="1:6">
      <c r="A2370" s="308">
        <v>43131</v>
      </c>
      <c r="B2370" s="309" t="s">
        <v>486</v>
      </c>
      <c r="C2370" s="309" t="s">
        <v>502</v>
      </c>
      <c r="D2370" s="136" t="str">
        <f t="array" ref="D2370">IF(E2370=0,0,(INDEX(AccountCodes[ACCOUNT NAME],MATCH(E2370,AccountCodes[NGAS CODE],0))))</f>
        <v>Pag-IBIG Contributions</v>
      </c>
      <c r="E2370" s="309" t="s">
        <v>176</v>
      </c>
      <c r="F2370" s="501">
        <v>400</v>
      </c>
    </row>
    <row r="2371" spans="1:6">
      <c r="A2371" s="308">
        <v>43159</v>
      </c>
      <c r="B2371" s="309" t="s">
        <v>486</v>
      </c>
      <c r="C2371" s="309" t="s">
        <v>502</v>
      </c>
      <c r="D2371" s="136" t="str">
        <f t="array" ref="D2371">IF(E2371=0,0,(INDEX(AccountCodes[ACCOUNT NAME],MATCH(E2371,AccountCodes[NGAS CODE],0))))</f>
        <v>Pag-IBIG Contributions</v>
      </c>
      <c r="E2371" s="309" t="s">
        <v>176</v>
      </c>
      <c r="F2371" s="501">
        <v>400</v>
      </c>
    </row>
    <row r="2372" spans="1:6">
      <c r="A2372" s="308">
        <v>43190</v>
      </c>
      <c r="B2372" s="309" t="s">
        <v>486</v>
      </c>
      <c r="C2372" s="309" t="s">
        <v>502</v>
      </c>
      <c r="D2372" s="136" t="str">
        <f t="array" ref="D2372">IF(E2372=0,0,(INDEX(AccountCodes[ACCOUNT NAME],MATCH(E2372,AccountCodes[NGAS CODE],0))))</f>
        <v>Pag-IBIG Contributions</v>
      </c>
      <c r="E2372" s="309" t="s">
        <v>176</v>
      </c>
      <c r="F2372" s="501">
        <v>400</v>
      </c>
    </row>
    <row r="2373" spans="1:6">
      <c r="A2373" s="308">
        <v>43220</v>
      </c>
      <c r="B2373" s="309" t="s">
        <v>486</v>
      </c>
      <c r="C2373" s="309" t="s">
        <v>502</v>
      </c>
      <c r="D2373" s="136" t="str">
        <f t="array" ref="D2373">IF(E2373=0,0,(INDEX(AccountCodes[ACCOUNT NAME],MATCH(E2373,AccountCodes[NGAS CODE],0))))</f>
        <v>Pag-IBIG Contributions</v>
      </c>
      <c r="E2373" s="309" t="s">
        <v>176</v>
      </c>
      <c r="F2373" s="501">
        <v>400</v>
      </c>
    </row>
    <row r="2374" spans="1:6">
      <c r="A2374" s="308">
        <v>43251</v>
      </c>
      <c r="B2374" s="309" t="s">
        <v>486</v>
      </c>
      <c r="C2374" s="309" t="s">
        <v>502</v>
      </c>
      <c r="D2374" s="136" t="str">
        <f t="array" ref="D2374">IF(E2374=0,0,(INDEX(AccountCodes[ACCOUNT NAME],MATCH(E2374,AccountCodes[NGAS CODE],0))))</f>
        <v>Pag-IBIG Contributions</v>
      </c>
      <c r="E2374" s="309" t="s">
        <v>176</v>
      </c>
      <c r="F2374" s="501">
        <v>400</v>
      </c>
    </row>
    <row r="2375" spans="1:6">
      <c r="A2375" s="308">
        <v>43281</v>
      </c>
      <c r="B2375" s="309" t="s">
        <v>486</v>
      </c>
      <c r="C2375" s="309" t="s">
        <v>502</v>
      </c>
      <c r="D2375" s="136" t="str">
        <f t="array" ref="D2375">IF(E2375=0,0,(INDEX(AccountCodes[ACCOUNT NAME],MATCH(E2375,AccountCodes[NGAS CODE],0))))</f>
        <v>Pag-IBIG Contributions</v>
      </c>
      <c r="E2375" s="309" t="s">
        <v>176</v>
      </c>
      <c r="F2375" s="501">
        <v>400</v>
      </c>
    </row>
    <row r="2376" spans="1:6">
      <c r="A2376" s="308">
        <v>43312</v>
      </c>
      <c r="B2376" s="309" t="s">
        <v>486</v>
      </c>
      <c r="C2376" s="309" t="s">
        <v>502</v>
      </c>
      <c r="D2376" s="136" t="str">
        <f t="array" ref="D2376">IF(E2376=0,0,(INDEX(AccountCodes[ACCOUNT NAME],MATCH(E2376,AccountCodes[NGAS CODE],0))))</f>
        <v>Pag-IBIG Contributions</v>
      </c>
      <c r="E2376" s="309" t="s">
        <v>176</v>
      </c>
      <c r="F2376" s="501">
        <v>400</v>
      </c>
    </row>
    <row r="2377" spans="1:6">
      <c r="A2377" s="308">
        <v>43343</v>
      </c>
      <c r="B2377" s="309" t="s">
        <v>486</v>
      </c>
      <c r="C2377" s="309" t="s">
        <v>502</v>
      </c>
      <c r="D2377" s="136" t="str">
        <f t="array" ref="D2377">IF(E2377=0,0,(INDEX(AccountCodes[ACCOUNT NAME],MATCH(E2377,AccountCodes[NGAS CODE],0))))</f>
        <v>Pag-IBIG Contributions</v>
      </c>
      <c r="E2377" s="309" t="s">
        <v>176</v>
      </c>
      <c r="F2377" s="501">
        <v>400</v>
      </c>
    </row>
    <row r="2378" spans="1:6">
      <c r="A2378" s="308">
        <v>43373</v>
      </c>
      <c r="B2378" s="309" t="s">
        <v>486</v>
      </c>
      <c r="C2378" s="309" t="s">
        <v>502</v>
      </c>
      <c r="D2378" s="136" t="str">
        <f t="array" ref="D2378">IF(E2378=0,0,(INDEX(AccountCodes[ACCOUNT NAME],MATCH(E2378,AccountCodes[NGAS CODE],0))))</f>
        <v>Pag-IBIG Contributions</v>
      </c>
      <c r="E2378" s="309" t="s">
        <v>176</v>
      </c>
      <c r="F2378" s="501">
        <v>400</v>
      </c>
    </row>
    <row r="2379" spans="1:6">
      <c r="A2379" s="308">
        <v>43404</v>
      </c>
      <c r="B2379" s="309" t="s">
        <v>486</v>
      </c>
      <c r="C2379" s="309" t="s">
        <v>502</v>
      </c>
      <c r="D2379" s="136" t="str">
        <f t="array" ref="D2379">IF(E2379=0,0,(INDEX(AccountCodes[ACCOUNT NAME],MATCH(E2379,AccountCodes[NGAS CODE],0))))</f>
        <v>Pag-IBIG Contributions</v>
      </c>
      <c r="E2379" s="309" t="s">
        <v>176</v>
      </c>
      <c r="F2379" s="501">
        <v>400</v>
      </c>
    </row>
    <row r="2380" spans="1:6">
      <c r="A2380" s="308">
        <v>43434</v>
      </c>
      <c r="B2380" s="309" t="s">
        <v>486</v>
      </c>
      <c r="C2380" s="309" t="s">
        <v>502</v>
      </c>
      <c r="D2380" s="136" t="str">
        <f t="array" ref="D2380">IF(E2380=0,0,(INDEX(AccountCodes[ACCOUNT NAME],MATCH(E2380,AccountCodes[NGAS CODE],0))))</f>
        <v>Pag-IBIG Contributions</v>
      </c>
      <c r="E2380" s="309" t="s">
        <v>176</v>
      </c>
      <c r="F2380" s="501">
        <v>400</v>
      </c>
    </row>
    <row r="2381" spans="1:6">
      <c r="A2381" s="308">
        <v>43465</v>
      </c>
      <c r="B2381" s="309" t="s">
        <v>486</v>
      </c>
      <c r="C2381" s="309" t="s">
        <v>502</v>
      </c>
      <c r="D2381" s="136" t="str">
        <f t="array" ref="D2381">IF(E2381=0,0,(INDEX(AccountCodes[ACCOUNT NAME],MATCH(E2381,AccountCodes[NGAS CODE],0))))</f>
        <v>Pag-IBIG Contributions</v>
      </c>
      <c r="E2381" s="309" t="s">
        <v>176</v>
      </c>
      <c r="F2381" s="501">
        <v>400</v>
      </c>
    </row>
    <row r="2382" spans="1:6">
      <c r="A2382" s="308">
        <v>43131</v>
      </c>
      <c r="B2382" s="309" t="s">
        <v>486</v>
      </c>
      <c r="C2382" s="309" t="s">
        <v>502</v>
      </c>
      <c r="D2382" s="136" t="str">
        <f t="array" ref="D2382">IF(E2382=0,0,(INDEX(AccountCodes[ACCOUNT NAME],MATCH(E2382,AccountCodes[NGAS CODE],0))))</f>
        <v>PhilHealth Contributions</v>
      </c>
      <c r="E2382" s="309" t="s">
        <v>177</v>
      </c>
      <c r="F2382" s="501">
        <v>912.5</v>
      </c>
    </row>
    <row r="2383" spans="1:6">
      <c r="A2383" s="308">
        <v>43159</v>
      </c>
      <c r="B2383" s="309" t="s">
        <v>486</v>
      </c>
      <c r="C2383" s="309" t="s">
        <v>502</v>
      </c>
      <c r="D2383" s="136" t="str">
        <f t="array" ref="D2383">IF(E2383=0,0,(INDEX(AccountCodes[ACCOUNT NAME],MATCH(E2383,AccountCodes[NGAS CODE],0))))</f>
        <v>PhilHealth Contributions</v>
      </c>
      <c r="E2383" s="309" t="s">
        <v>177</v>
      </c>
      <c r="F2383" s="501">
        <v>912.5</v>
      </c>
    </row>
    <row r="2384" spans="1:6">
      <c r="A2384" s="308">
        <v>43190</v>
      </c>
      <c r="B2384" s="309" t="s">
        <v>486</v>
      </c>
      <c r="C2384" s="309" t="s">
        <v>502</v>
      </c>
      <c r="D2384" s="136" t="str">
        <f t="array" ref="D2384">IF(E2384=0,0,(INDEX(AccountCodes[ACCOUNT NAME],MATCH(E2384,AccountCodes[NGAS CODE],0))))</f>
        <v>PhilHealth Contributions</v>
      </c>
      <c r="E2384" s="309" t="s">
        <v>177</v>
      </c>
      <c r="F2384" s="501">
        <v>912.5</v>
      </c>
    </row>
    <row r="2385" spans="1:6">
      <c r="A2385" s="308">
        <v>43220</v>
      </c>
      <c r="B2385" s="309" t="s">
        <v>486</v>
      </c>
      <c r="C2385" s="309" t="s">
        <v>502</v>
      </c>
      <c r="D2385" s="136" t="str">
        <f t="array" ref="D2385">IF(E2385=0,0,(INDEX(AccountCodes[ACCOUNT NAME],MATCH(E2385,AccountCodes[NGAS CODE],0))))</f>
        <v>PhilHealth Contributions</v>
      </c>
      <c r="E2385" s="309" t="s">
        <v>177</v>
      </c>
      <c r="F2385" s="501">
        <v>912.5</v>
      </c>
    </row>
    <row r="2386" spans="1:6">
      <c r="A2386" s="308">
        <v>43251</v>
      </c>
      <c r="B2386" s="309" t="s">
        <v>486</v>
      </c>
      <c r="C2386" s="309" t="s">
        <v>502</v>
      </c>
      <c r="D2386" s="136" t="str">
        <f t="array" ref="D2386">IF(E2386=0,0,(INDEX(AccountCodes[ACCOUNT NAME],MATCH(E2386,AccountCodes[NGAS CODE],0))))</f>
        <v>PhilHealth Contributions</v>
      </c>
      <c r="E2386" s="309" t="s">
        <v>177</v>
      </c>
      <c r="F2386" s="501">
        <v>912.5</v>
      </c>
    </row>
    <row r="2387" spans="1:6">
      <c r="A2387" s="308">
        <v>43281</v>
      </c>
      <c r="B2387" s="309" t="s">
        <v>486</v>
      </c>
      <c r="C2387" s="309" t="s">
        <v>502</v>
      </c>
      <c r="D2387" s="136" t="str">
        <f t="array" ref="D2387">IF(E2387=0,0,(INDEX(AccountCodes[ACCOUNT NAME],MATCH(E2387,AccountCodes[NGAS CODE],0))))</f>
        <v>PhilHealth Contributions</v>
      </c>
      <c r="E2387" s="309" t="s">
        <v>177</v>
      </c>
      <c r="F2387" s="501">
        <v>912.5</v>
      </c>
    </row>
    <row r="2388" spans="1:6">
      <c r="A2388" s="308">
        <v>43312</v>
      </c>
      <c r="B2388" s="309" t="s">
        <v>486</v>
      </c>
      <c r="C2388" s="309" t="s">
        <v>502</v>
      </c>
      <c r="D2388" s="136" t="str">
        <f t="array" ref="D2388">IF(E2388=0,0,(INDEX(AccountCodes[ACCOUNT NAME],MATCH(E2388,AccountCodes[NGAS CODE],0))))</f>
        <v>PhilHealth Contributions</v>
      </c>
      <c r="E2388" s="309" t="s">
        <v>177</v>
      </c>
      <c r="F2388" s="501">
        <v>912.5</v>
      </c>
    </row>
    <row r="2389" spans="1:6">
      <c r="A2389" s="308">
        <v>43343</v>
      </c>
      <c r="B2389" s="309" t="s">
        <v>486</v>
      </c>
      <c r="C2389" s="309" t="s">
        <v>502</v>
      </c>
      <c r="D2389" s="136" t="str">
        <f t="array" ref="D2389">IF(E2389=0,0,(INDEX(AccountCodes[ACCOUNT NAME],MATCH(E2389,AccountCodes[NGAS CODE],0))))</f>
        <v>PhilHealth Contributions</v>
      </c>
      <c r="E2389" s="309" t="s">
        <v>177</v>
      </c>
      <c r="F2389" s="501">
        <v>912.5</v>
      </c>
    </row>
    <row r="2390" spans="1:6">
      <c r="A2390" s="308">
        <v>43373</v>
      </c>
      <c r="B2390" s="309" t="s">
        <v>486</v>
      </c>
      <c r="C2390" s="309" t="s">
        <v>502</v>
      </c>
      <c r="D2390" s="136" t="str">
        <f t="array" ref="D2390">IF(E2390=0,0,(INDEX(AccountCodes[ACCOUNT NAME],MATCH(E2390,AccountCodes[NGAS CODE],0))))</f>
        <v>PhilHealth Contributions</v>
      </c>
      <c r="E2390" s="309" t="s">
        <v>177</v>
      </c>
      <c r="F2390" s="501">
        <v>912.5</v>
      </c>
    </row>
    <row r="2391" spans="1:6">
      <c r="A2391" s="308">
        <v>43404</v>
      </c>
      <c r="B2391" s="309" t="s">
        <v>486</v>
      </c>
      <c r="C2391" s="309" t="s">
        <v>502</v>
      </c>
      <c r="D2391" s="136" t="str">
        <f t="array" ref="D2391">IF(E2391=0,0,(INDEX(AccountCodes[ACCOUNT NAME],MATCH(E2391,AccountCodes[NGAS CODE],0))))</f>
        <v>PhilHealth Contributions</v>
      </c>
      <c r="E2391" s="309" t="s">
        <v>177</v>
      </c>
      <c r="F2391" s="501">
        <v>912.5</v>
      </c>
    </row>
    <row r="2392" spans="1:6">
      <c r="A2392" s="308">
        <v>43434</v>
      </c>
      <c r="B2392" s="309" t="s">
        <v>486</v>
      </c>
      <c r="C2392" s="309" t="s">
        <v>502</v>
      </c>
      <c r="D2392" s="136" t="str">
        <f t="array" ref="D2392">IF(E2392=0,0,(INDEX(AccountCodes[ACCOUNT NAME],MATCH(E2392,AccountCodes[NGAS CODE],0))))</f>
        <v>PhilHealth Contributions</v>
      </c>
      <c r="E2392" s="309" t="s">
        <v>177</v>
      </c>
      <c r="F2392" s="501">
        <v>912.5</v>
      </c>
    </row>
    <row r="2393" spans="1:6">
      <c r="A2393" s="308">
        <v>43465</v>
      </c>
      <c r="B2393" s="309" t="s">
        <v>486</v>
      </c>
      <c r="C2393" s="309" t="s">
        <v>502</v>
      </c>
      <c r="D2393" s="136" t="str">
        <f t="array" ref="D2393">IF(E2393=0,0,(INDEX(AccountCodes[ACCOUNT NAME],MATCH(E2393,AccountCodes[NGAS CODE],0))))</f>
        <v>PhilHealth Contributions</v>
      </c>
      <c r="E2393" s="309" t="s">
        <v>177</v>
      </c>
      <c r="F2393" s="501">
        <v>912.5</v>
      </c>
    </row>
    <row r="2394" spans="1:6">
      <c r="A2394" s="308">
        <v>43131</v>
      </c>
      <c r="B2394" s="309" t="s">
        <v>486</v>
      </c>
      <c r="C2394" s="309" t="s">
        <v>502</v>
      </c>
      <c r="D2394" s="136" t="str">
        <f t="array" ref="D2394">IF(E2394=0,0,(INDEX(AccountCodes[ACCOUNT NAME],MATCH(E2394,AccountCodes[NGAS CODE],0))))</f>
        <v>Employees Compensation Insurance Premiums</v>
      </c>
      <c r="E2394" s="309" t="s">
        <v>178</v>
      </c>
      <c r="F2394" s="501">
        <v>400</v>
      </c>
    </row>
    <row r="2395" spans="1:6">
      <c r="A2395" s="308">
        <v>43159</v>
      </c>
      <c r="B2395" s="309" t="s">
        <v>486</v>
      </c>
      <c r="C2395" s="309" t="s">
        <v>502</v>
      </c>
      <c r="D2395" s="136" t="str">
        <f t="array" ref="D2395">IF(E2395=0,0,(INDEX(AccountCodes[ACCOUNT NAME],MATCH(E2395,AccountCodes[NGAS CODE],0))))</f>
        <v>Employees Compensation Insurance Premiums</v>
      </c>
      <c r="E2395" s="309" t="s">
        <v>178</v>
      </c>
      <c r="F2395" s="501">
        <v>400</v>
      </c>
    </row>
    <row r="2396" spans="1:6">
      <c r="A2396" s="308">
        <v>43190</v>
      </c>
      <c r="B2396" s="309" t="s">
        <v>486</v>
      </c>
      <c r="C2396" s="309" t="s">
        <v>502</v>
      </c>
      <c r="D2396" s="136" t="str">
        <f t="array" ref="D2396">IF(E2396=0,0,(INDEX(AccountCodes[ACCOUNT NAME],MATCH(E2396,AccountCodes[NGAS CODE],0))))</f>
        <v>Employees Compensation Insurance Premiums</v>
      </c>
      <c r="E2396" s="309" t="s">
        <v>178</v>
      </c>
      <c r="F2396" s="501">
        <v>400</v>
      </c>
    </row>
    <row r="2397" spans="1:6">
      <c r="A2397" s="308">
        <v>43220</v>
      </c>
      <c r="B2397" s="309" t="s">
        <v>486</v>
      </c>
      <c r="C2397" s="309" t="s">
        <v>502</v>
      </c>
      <c r="D2397" s="136" t="str">
        <f t="array" ref="D2397">IF(E2397=0,0,(INDEX(AccountCodes[ACCOUNT NAME],MATCH(E2397,AccountCodes[NGAS CODE],0))))</f>
        <v>Employees Compensation Insurance Premiums</v>
      </c>
      <c r="E2397" s="309" t="s">
        <v>178</v>
      </c>
      <c r="F2397" s="501">
        <v>400</v>
      </c>
    </row>
    <row r="2398" spans="1:6">
      <c r="A2398" s="308">
        <v>43251</v>
      </c>
      <c r="B2398" s="309" t="s">
        <v>486</v>
      </c>
      <c r="C2398" s="309" t="s">
        <v>502</v>
      </c>
      <c r="D2398" s="136" t="str">
        <f t="array" ref="D2398">IF(E2398=0,0,(INDEX(AccountCodes[ACCOUNT NAME],MATCH(E2398,AccountCodes[NGAS CODE],0))))</f>
        <v>Employees Compensation Insurance Premiums</v>
      </c>
      <c r="E2398" s="309" t="s">
        <v>178</v>
      </c>
      <c r="F2398" s="501">
        <v>400</v>
      </c>
    </row>
    <row r="2399" spans="1:6">
      <c r="A2399" s="308">
        <v>43281</v>
      </c>
      <c r="B2399" s="309" t="s">
        <v>486</v>
      </c>
      <c r="C2399" s="309" t="s">
        <v>502</v>
      </c>
      <c r="D2399" s="136" t="str">
        <f t="array" ref="D2399">IF(E2399=0,0,(INDEX(AccountCodes[ACCOUNT NAME],MATCH(E2399,AccountCodes[NGAS CODE],0))))</f>
        <v>Employees Compensation Insurance Premiums</v>
      </c>
      <c r="E2399" s="309" t="s">
        <v>178</v>
      </c>
      <c r="F2399" s="501">
        <v>400</v>
      </c>
    </row>
    <row r="2400" spans="1:6">
      <c r="A2400" s="308">
        <v>43312</v>
      </c>
      <c r="B2400" s="309" t="s">
        <v>486</v>
      </c>
      <c r="C2400" s="309" t="s">
        <v>502</v>
      </c>
      <c r="D2400" s="136" t="str">
        <f t="array" ref="D2400">IF(E2400=0,0,(INDEX(AccountCodes[ACCOUNT NAME],MATCH(E2400,AccountCodes[NGAS CODE],0))))</f>
        <v>Employees Compensation Insurance Premiums</v>
      </c>
      <c r="E2400" s="309" t="s">
        <v>178</v>
      </c>
      <c r="F2400" s="501">
        <v>400</v>
      </c>
    </row>
    <row r="2401" spans="1:6">
      <c r="A2401" s="308">
        <v>43343</v>
      </c>
      <c r="B2401" s="309" t="s">
        <v>486</v>
      </c>
      <c r="C2401" s="309" t="s">
        <v>502</v>
      </c>
      <c r="D2401" s="136" t="str">
        <f t="array" ref="D2401">IF(E2401=0,0,(INDEX(AccountCodes[ACCOUNT NAME],MATCH(E2401,AccountCodes[NGAS CODE],0))))</f>
        <v>Employees Compensation Insurance Premiums</v>
      </c>
      <c r="E2401" s="309" t="s">
        <v>178</v>
      </c>
      <c r="F2401" s="501">
        <v>400</v>
      </c>
    </row>
    <row r="2402" spans="1:6">
      <c r="A2402" s="308">
        <v>43373</v>
      </c>
      <c r="B2402" s="309" t="s">
        <v>486</v>
      </c>
      <c r="C2402" s="309" t="s">
        <v>502</v>
      </c>
      <c r="D2402" s="136" t="str">
        <f t="array" ref="D2402">IF(E2402=0,0,(INDEX(AccountCodes[ACCOUNT NAME],MATCH(E2402,AccountCodes[NGAS CODE],0))))</f>
        <v>Employees Compensation Insurance Premiums</v>
      </c>
      <c r="E2402" s="309" t="s">
        <v>178</v>
      </c>
      <c r="F2402" s="501">
        <v>400</v>
      </c>
    </row>
    <row r="2403" spans="1:6">
      <c r="A2403" s="308">
        <v>43404</v>
      </c>
      <c r="B2403" s="309" t="s">
        <v>486</v>
      </c>
      <c r="C2403" s="309" t="s">
        <v>502</v>
      </c>
      <c r="D2403" s="136" t="str">
        <f t="array" ref="D2403">IF(E2403=0,0,(INDEX(AccountCodes[ACCOUNT NAME],MATCH(E2403,AccountCodes[NGAS CODE],0))))</f>
        <v>Employees Compensation Insurance Premiums</v>
      </c>
      <c r="E2403" s="309" t="s">
        <v>178</v>
      </c>
      <c r="F2403" s="501">
        <v>400</v>
      </c>
    </row>
    <row r="2404" spans="1:6">
      <c r="A2404" s="308">
        <v>43434</v>
      </c>
      <c r="B2404" s="309" t="s">
        <v>486</v>
      </c>
      <c r="C2404" s="309" t="s">
        <v>502</v>
      </c>
      <c r="D2404" s="136" t="str">
        <f t="array" ref="D2404">IF(E2404=0,0,(INDEX(AccountCodes[ACCOUNT NAME],MATCH(E2404,AccountCodes[NGAS CODE],0))))</f>
        <v>Employees Compensation Insurance Premiums</v>
      </c>
      <c r="E2404" s="309" t="s">
        <v>178</v>
      </c>
      <c r="F2404" s="501">
        <v>400</v>
      </c>
    </row>
    <row r="2405" spans="1:6">
      <c r="A2405" s="308">
        <v>43465</v>
      </c>
      <c r="B2405" s="309" t="s">
        <v>486</v>
      </c>
      <c r="C2405" s="309" t="s">
        <v>502</v>
      </c>
      <c r="D2405" s="136" t="str">
        <f t="array" ref="D2405">IF(E2405=0,0,(INDEX(AccountCodes[ACCOUNT NAME],MATCH(E2405,AccountCodes[NGAS CODE],0))))</f>
        <v>Employees Compensation Insurance Premiums</v>
      </c>
      <c r="E2405" s="309" t="s">
        <v>178</v>
      </c>
      <c r="F2405" s="501">
        <v>400</v>
      </c>
    </row>
    <row r="2406" spans="1:6">
      <c r="A2406" s="308">
        <v>43131</v>
      </c>
      <c r="B2406" s="309" t="s">
        <v>486</v>
      </c>
      <c r="C2406" s="309" t="s">
        <v>502</v>
      </c>
      <c r="D2406" s="136" t="str">
        <f t="array" ref="D2406">IF(E2406=0,0,(INDEX(AccountCodes[ACCOUNT NAME],MATCH(E2406,AccountCodes[NGAS CODE],0))))</f>
        <v>Fuel, Oil and Lubricants Expenses</v>
      </c>
      <c r="E2406" s="309" t="s">
        <v>229</v>
      </c>
      <c r="F2406" s="501">
        <v>73367.7</v>
      </c>
    </row>
    <row r="2407" spans="1:6">
      <c r="A2407" s="308">
        <v>43159</v>
      </c>
      <c r="B2407" s="309" t="s">
        <v>486</v>
      </c>
      <c r="C2407" s="309" t="s">
        <v>502</v>
      </c>
      <c r="D2407" s="136" t="str">
        <f t="array" ref="D2407">IF(E2407=0,0,(INDEX(AccountCodes[ACCOUNT NAME],MATCH(E2407,AccountCodes[NGAS CODE],0))))</f>
        <v>Fuel, Oil and Lubricants Expenses</v>
      </c>
      <c r="E2407" s="309" t="s">
        <v>229</v>
      </c>
      <c r="F2407" s="501">
        <v>73367.7</v>
      </c>
    </row>
    <row r="2408" spans="1:6">
      <c r="A2408" s="308">
        <v>43190</v>
      </c>
      <c r="B2408" s="309" t="s">
        <v>486</v>
      </c>
      <c r="C2408" s="309" t="s">
        <v>502</v>
      </c>
      <c r="D2408" s="136" t="str">
        <f t="array" ref="D2408">IF(E2408=0,0,(INDEX(AccountCodes[ACCOUNT NAME],MATCH(E2408,AccountCodes[NGAS CODE],0))))</f>
        <v>Fuel, Oil and Lubricants Expenses</v>
      </c>
      <c r="E2408" s="309" t="s">
        <v>229</v>
      </c>
      <c r="F2408" s="501">
        <v>73367.7</v>
      </c>
    </row>
    <row r="2409" spans="1:6">
      <c r="A2409" s="308">
        <v>43220</v>
      </c>
      <c r="B2409" s="309" t="s">
        <v>486</v>
      </c>
      <c r="C2409" s="309" t="s">
        <v>502</v>
      </c>
      <c r="D2409" s="136" t="str">
        <f t="array" ref="D2409">IF(E2409=0,0,(INDEX(AccountCodes[ACCOUNT NAME],MATCH(E2409,AccountCodes[NGAS CODE],0))))</f>
        <v>Fuel, Oil and Lubricants Expenses</v>
      </c>
      <c r="E2409" s="309" t="s">
        <v>229</v>
      </c>
      <c r="F2409" s="501">
        <v>73367.7</v>
      </c>
    </row>
    <row r="2410" spans="1:6">
      <c r="A2410" s="308">
        <v>43251</v>
      </c>
      <c r="B2410" s="309" t="s">
        <v>486</v>
      </c>
      <c r="C2410" s="309" t="s">
        <v>502</v>
      </c>
      <c r="D2410" s="136" t="str">
        <f t="array" ref="D2410">IF(E2410=0,0,(INDEX(AccountCodes[ACCOUNT NAME],MATCH(E2410,AccountCodes[NGAS CODE],0))))</f>
        <v>Fuel, Oil and Lubricants Expenses</v>
      </c>
      <c r="E2410" s="309" t="s">
        <v>229</v>
      </c>
      <c r="F2410" s="501">
        <v>73367.7</v>
      </c>
    </row>
    <row r="2411" spans="1:6">
      <c r="A2411" s="308">
        <v>43281</v>
      </c>
      <c r="B2411" s="309" t="s">
        <v>486</v>
      </c>
      <c r="C2411" s="309" t="s">
        <v>502</v>
      </c>
      <c r="D2411" s="136" t="str">
        <f t="array" ref="D2411">IF(E2411=0,0,(INDEX(AccountCodes[ACCOUNT NAME],MATCH(E2411,AccountCodes[NGAS CODE],0))))</f>
        <v>Fuel, Oil and Lubricants Expenses</v>
      </c>
      <c r="E2411" s="309" t="s">
        <v>229</v>
      </c>
      <c r="F2411" s="501">
        <v>73367.7</v>
      </c>
    </row>
    <row r="2412" spans="1:6">
      <c r="A2412" s="308">
        <v>43312</v>
      </c>
      <c r="B2412" s="309" t="s">
        <v>486</v>
      </c>
      <c r="C2412" s="309" t="s">
        <v>502</v>
      </c>
      <c r="D2412" s="136" t="str">
        <f t="array" ref="D2412">IF(E2412=0,0,(INDEX(AccountCodes[ACCOUNT NAME],MATCH(E2412,AccountCodes[NGAS CODE],0))))</f>
        <v>Fuel, Oil and Lubricants Expenses</v>
      </c>
      <c r="E2412" s="309" t="s">
        <v>229</v>
      </c>
      <c r="F2412" s="501">
        <v>73367.7</v>
      </c>
    </row>
    <row r="2413" spans="1:6">
      <c r="A2413" s="308">
        <v>43343</v>
      </c>
      <c r="B2413" s="309" t="s">
        <v>486</v>
      </c>
      <c r="C2413" s="309" t="s">
        <v>502</v>
      </c>
      <c r="D2413" s="136" t="str">
        <f t="array" ref="D2413">IF(E2413=0,0,(INDEX(AccountCodes[ACCOUNT NAME],MATCH(E2413,AccountCodes[NGAS CODE],0))))</f>
        <v>Fuel, Oil and Lubricants Expenses</v>
      </c>
      <c r="E2413" s="309" t="s">
        <v>229</v>
      </c>
      <c r="F2413" s="501">
        <v>73367.7</v>
      </c>
    </row>
    <row r="2414" spans="1:6">
      <c r="A2414" s="308">
        <v>43373</v>
      </c>
      <c r="B2414" s="309" t="s">
        <v>486</v>
      </c>
      <c r="C2414" s="309" t="s">
        <v>502</v>
      </c>
      <c r="D2414" s="136" t="str">
        <f t="array" ref="D2414">IF(E2414=0,0,(INDEX(AccountCodes[ACCOUNT NAME],MATCH(E2414,AccountCodes[NGAS CODE],0))))</f>
        <v>Fuel, Oil and Lubricants Expenses</v>
      </c>
      <c r="E2414" s="309" t="s">
        <v>229</v>
      </c>
      <c r="F2414" s="501">
        <v>73367.7</v>
      </c>
    </row>
    <row r="2415" spans="1:6">
      <c r="A2415" s="308">
        <v>43404</v>
      </c>
      <c r="B2415" s="309" t="s">
        <v>486</v>
      </c>
      <c r="C2415" s="309" t="s">
        <v>502</v>
      </c>
      <c r="D2415" s="136" t="str">
        <f t="array" ref="D2415">IF(E2415=0,0,(INDEX(AccountCodes[ACCOUNT NAME],MATCH(E2415,AccountCodes[NGAS CODE],0))))</f>
        <v>Fuel, Oil and Lubricants Expenses</v>
      </c>
      <c r="E2415" s="309" t="s">
        <v>229</v>
      </c>
      <c r="F2415" s="501">
        <v>73367.7</v>
      </c>
    </row>
    <row r="2416" spans="1:6">
      <c r="A2416" s="308">
        <v>43434</v>
      </c>
      <c r="B2416" s="309" t="s">
        <v>486</v>
      </c>
      <c r="C2416" s="309" t="s">
        <v>502</v>
      </c>
      <c r="D2416" s="136" t="str">
        <f t="array" ref="D2416">IF(E2416=0,0,(INDEX(AccountCodes[ACCOUNT NAME],MATCH(E2416,AccountCodes[NGAS CODE],0))))</f>
        <v>Fuel, Oil and Lubricants Expenses</v>
      </c>
      <c r="E2416" s="309" t="s">
        <v>229</v>
      </c>
      <c r="F2416" s="501">
        <v>73367.7</v>
      </c>
    </row>
    <row r="2417" spans="1:6">
      <c r="A2417" s="308">
        <v>43465</v>
      </c>
      <c r="B2417" s="309" t="s">
        <v>486</v>
      </c>
      <c r="C2417" s="309" t="s">
        <v>502</v>
      </c>
      <c r="D2417" s="136" t="str">
        <f t="array" ref="D2417">IF(E2417=0,0,(INDEX(AccountCodes[ACCOUNT NAME],MATCH(E2417,AccountCodes[NGAS CODE],0))))</f>
        <v>Fuel, Oil and Lubricants Expenses</v>
      </c>
      <c r="E2417" s="309" t="s">
        <v>229</v>
      </c>
      <c r="F2417" s="501">
        <v>73367.7</v>
      </c>
    </row>
    <row r="2418" spans="1:6">
      <c r="A2418" s="308">
        <v>43131</v>
      </c>
      <c r="B2418" s="309" t="s">
        <v>486</v>
      </c>
      <c r="C2418" s="309" t="s">
        <v>502</v>
      </c>
      <c r="D2418" s="136" t="str">
        <f t="array" ref="D2418">IF(E2418=0,0,(INDEX(AccountCodes[ACCOUNT NAME],MATCH(E2418,AccountCodes[NGAS CODE],0))))</f>
        <v>Electricity Expenses</v>
      </c>
      <c r="E2418" s="309" t="s">
        <v>233</v>
      </c>
      <c r="F2418" s="501">
        <v>15855.27</v>
      </c>
    </row>
    <row r="2419" spans="1:6">
      <c r="A2419" s="308">
        <v>43159</v>
      </c>
      <c r="B2419" s="309" t="s">
        <v>486</v>
      </c>
      <c r="C2419" s="309" t="s">
        <v>502</v>
      </c>
      <c r="D2419" s="136" t="str">
        <f t="array" ref="D2419">IF(E2419=0,0,(INDEX(AccountCodes[ACCOUNT NAME],MATCH(E2419,AccountCodes[NGAS CODE],0))))</f>
        <v>Electricity Expenses</v>
      </c>
      <c r="E2419" s="309" t="s">
        <v>233</v>
      </c>
      <c r="F2419" s="501">
        <v>15855.27</v>
      </c>
    </row>
    <row r="2420" spans="1:6">
      <c r="A2420" s="308">
        <v>43190</v>
      </c>
      <c r="B2420" s="309" t="s">
        <v>486</v>
      </c>
      <c r="C2420" s="309" t="s">
        <v>502</v>
      </c>
      <c r="D2420" s="136" t="str">
        <f t="array" ref="D2420">IF(E2420=0,0,(INDEX(AccountCodes[ACCOUNT NAME],MATCH(E2420,AccountCodes[NGAS CODE],0))))</f>
        <v>Electricity Expenses</v>
      </c>
      <c r="E2420" s="309" t="s">
        <v>233</v>
      </c>
      <c r="F2420" s="501">
        <v>15855.27</v>
      </c>
    </row>
    <row r="2421" spans="1:6">
      <c r="A2421" s="308">
        <v>43220</v>
      </c>
      <c r="B2421" s="309" t="s">
        <v>486</v>
      </c>
      <c r="C2421" s="309" t="s">
        <v>502</v>
      </c>
      <c r="D2421" s="136" t="str">
        <f t="array" ref="D2421">IF(E2421=0,0,(INDEX(AccountCodes[ACCOUNT NAME],MATCH(E2421,AccountCodes[NGAS CODE],0))))</f>
        <v>Electricity Expenses</v>
      </c>
      <c r="E2421" s="309" t="s">
        <v>233</v>
      </c>
      <c r="F2421" s="501">
        <v>15855.27</v>
      </c>
    </row>
    <row r="2422" spans="1:6">
      <c r="A2422" s="308">
        <v>43251</v>
      </c>
      <c r="B2422" s="309" t="s">
        <v>486</v>
      </c>
      <c r="C2422" s="309" t="s">
        <v>502</v>
      </c>
      <c r="D2422" s="136" t="str">
        <f t="array" ref="D2422">IF(E2422=0,0,(INDEX(AccountCodes[ACCOUNT NAME],MATCH(E2422,AccountCodes[NGAS CODE],0))))</f>
        <v>Electricity Expenses</v>
      </c>
      <c r="E2422" s="309" t="s">
        <v>233</v>
      </c>
      <c r="F2422" s="501">
        <v>15855.27</v>
      </c>
    </row>
    <row r="2423" spans="1:6">
      <c r="A2423" s="308">
        <v>43281</v>
      </c>
      <c r="B2423" s="309" t="s">
        <v>486</v>
      </c>
      <c r="C2423" s="309" t="s">
        <v>502</v>
      </c>
      <c r="D2423" s="136" t="str">
        <f t="array" ref="D2423">IF(E2423=0,0,(INDEX(AccountCodes[ACCOUNT NAME],MATCH(E2423,AccountCodes[NGAS CODE],0))))</f>
        <v>Electricity Expenses</v>
      </c>
      <c r="E2423" s="309" t="s">
        <v>233</v>
      </c>
      <c r="F2423" s="501">
        <v>15855.27</v>
      </c>
    </row>
    <row r="2424" spans="1:6">
      <c r="A2424" s="308">
        <v>43312</v>
      </c>
      <c r="B2424" s="309" t="s">
        <v>486</v>
      </c>
      <c r="C2424" s="309" t="s">
        <v>502</v>
      </c>
      <c r="D2424" s="136" t="str">
        <f t="array" ref="D2424">IF(E2424=0,0,(INDEX(AccountCodes[ACCOUNT NAME],MATCH(E2424,AccountCodes[NGAS CODE],0))))</f>
        <v>Electricity Expenses</v>
      </c>
      <c r="E2424" s="309" t="s">
        <v>233</v>
      </c>
      <c r="F2424" s="501">
        <v>15855.27</v>
      </c>
    </row>
    <row r="2425" spans="1:6">
      <c r="A2425" s="308">
        <v>43343</v>
      </c>
      <c r="B2425" s="309" t="s">
        <v>486</v>
      </c>
      <c r="C2425" s="309" t="s">
        <v>502</v>
      </c>
      <c r="D2425" s="136" t="str">
        <f t="array" ref="D2425">IF(E2425=0,0,(INDEX(AccountCodes[ACCOUNT NAME],MATCH(E2425,AccountCodes[NGAS CODE],0))))</f>
        <v>Electricity Expenses</v>
      </c>
      <c r="E2425" s="309" t="s">
        <v>233</v>
      </c>
      <c r="F2425" s="501">
        <v>15855.27</v>
      </c>
    </row>
    <row r="2426" spans="1:6">
      <c r="A2426" s="308">
        <v>43373</v>
      </c>
      <c r="B2426" s="309" t="s">
        <v>486</v>
      </c>
      <c r="C2426" s="309" t="s">
        <v>502</v>
      </c>
      <c r="D2426" s="136" t="str">
        <f t="array" ref="D2426">IF(E2426=0,0,(INDEX(AccountCodes[ACCOUNT NAME],MATCH(E2426,AccountCodes[NGAS CODE],0))))</f>
        <v>Electricity Expenses</v>
      </c>
      <c r="E2426" s="309" t="s">
        <v>233</v>
      </c>
      <c r="F2426" s="501">
        <v>15855.27</v>
      </c>
    </row>
    <row r="2427" spans="1:6">
      <c r="A2427" s="308">
        <v>43404</v>
      </c>
      <c r="B2427" s="309" t="s">
        <v>486</v>
      </c>
      <c r="C2427" s="309" t="s">
        <v>502</v>
      </c>
      <c r="D2427" s="136" t="str">
        <f t="array" ref="D2427">IF(E2427=0,0,(INDEX(AccountCodes[ACCOUNT NAME],MATCH(E2427,AccountCodes[NGAS CODE],0))))</f>
        <v>Electricity Expenses</v>
      </c>
      <c r="E2427" s="309" t="s">
        <v>233</v>
      </c>
      <c r="F2427" s="501">
        <v>15855.27</v>
      </c>
    </row>
    <row r="2428" spans="1:6">
      <c r="A2428" s="308">
        <v>43434</v>
      </c>
      <c r="B2428" s="309" t="s">
        <v>486</v>
      </c>
      <c r="C2428" s="309" t="s">
        <v>502</v>
      </c>
      <c r="D2428" s="136" t="str">
        <f t="array" ref="D2428">IF(E2428=0,0,(INDEX(AccountCodes[ACCOUNT NAME],MATCH(E2428,AccountCodes[NGAS CODE],0))))</f>
        <v>Electricity Expenses</v>
      </c>
      <c r="E2428" s="309" t="s">
        <v>233</v>
      </c>
      <c r="F2428" s="501">
        <v>15855.27</v>
      </c>
    </row>
    <row r="2429" spans="1:6">
      <c r="A2429" s="308">
        <v>43465</v>
      </c>
      <c r="B2429" s="309" t="s">
        <v>486</v>
      </c>
      <c r="C2429" s="309" t="s">
        <v>502</v>
      </c>
      <c r="D2429" s="136" t="str">
        <f t="array" ref="D2429">IF(E2429=0,0,(INDEX(AccountCodes[ACCOUNT NAME],MATCH(E2429,AccountCodes[NGAS CODE],0))))</f>
        <v>Electricity Expenses</v>
      </c>
      <c r="E2429" s="309" t="s">
        <v>233</v>
      </c>
      <c r="F2429" s="501">
        <v>15855.27</v>
      </c>
    </row>
    <row r="2430" spans="1:6">
      <c r="A2430" s="308">
        <v>43131</v>
      </c>
      <c r="B2430" s="309" t="s">
        <v>486</v>
      </c>
      <c r="C2430" s="309" t="s">
        <v>502</v>
      </c>
      <c r="D2430" s="136" t="str">
        <f t="array" ref="D2430">IF(E2430=0,0,(INDEX(AccountCodes[ACCOUNT NAME],MATCH(E2430,AccountCodes[NGAS CODE],0))))</f>
        <v>Internet Subscription Expenses</v>
      </c>
      <c r="E2430" s="309" t="s">
        <v>237</v>
      </c>
      <c r="F2430" s="501">
        <v>1419</v>
      </c>
    </row>
    <row r="2431" spans="1:6">
      <c r="A2431" s="308">
        <v>43159</v>
      </c>
      <c r="B2431" s="309" t="s">
        <v>486</v>
      </c>
      <c r="C2431" s="309" t="s">
        <v>502</v>
      </c>
      <c r="D2431" s="136" t="str">
        <f t="array" ref="D2431">IF(E2431=0,0,(INDEX(AccountCodes[ACCOUNT NAME],MATCH(E2431,AccountCodes[NGAS CODE],0))))</f>
        <v>Internet Subscription Expenses</v>
      </c>
      <c r="E2431" s="309" t="s">
        <v>237</v>
      </c>
      <c r="F2431" s="501">
        <v>1419</v>
      </c>
    </row>
    <row r="2432" spans="1:6">
      <c r="A2432" s="308">
        <v>43190</v>
      </c>
      <c r="B2432" s="309" t="s">
        <v>486</v>
      </c>
      <c r="C2432" s="309" t="s">
        <v>502</v>
      </c>
      <c r="D2432" s="136" t="str">
        <f t="array" ref="D2432">IF(E2432=0,0,(INDEX(AccountCodes[ACCOUNT NAME],MATCH(E2432,AccountCodes[NGAS CODE],0))))</f>
        <v>Internet Subscription Expenses</v>
      </c>
      <c r="E2432" s="309" t="s">
        <v>237</v>
      </c>
      <c r="F2432" s="501">
        <v>1419</v>
      </c>
    </row>
    <row r="2433" spans="1:6">
      <c r="A2433" s="308">
        <v>43220</v>
      </c>
      <c r="B2433" s="309" t="s">
        <v>486</v>
      </c>
      <c r="C2433" s="309" t="s">
        <v>502</v>
      </c>
      <c r="D2433" s="136" t="str">
        <f t="array" ref="D2433">IF(E2433=0,0,(INDEX(AccountCodes[ACCOUNT NAME],MATCH(E2433,AccountCodes[NGAS CODE],0))))</f>
        <v>Internet Subscription Expenses</v>
      </c>
      <c r="E2433" s="309" t="s">
        <v>237</v>
      </c>
      <c r="F2433" s="501">
        <v>1419</v>
      </c>
    </row>
    <row r="2434" spans="1:6">
      <c r="A2434" s="308">
        <v>43251</v>
      </c>
      <c r="B2434" s="309" t="s">
        <v>486</v>
      </c>
      <c r="C2434" s="309" t="s">
        <v>502</v>
      </c>
      <c r="D2434" s="136" t="str">
        <f t="array" ref="D2434">IF(E2434=0,0,(INDEX(AccountCodes[ACCOUNT NAME],MATCH(E2434,AccountCodes[NGAS CODE],0))))</f>
        <v>Internet Subscription Expenses</v>
      </c>
      <c r="E2434" s="309" t="s">
        <v>237</v>
      </c>
      <c r="F2434" s="501">
        <v>1419</v>
      </c>
    </row>
    <row r="2435" spans="1:6">
      <c r="A2435" s="308">
        <v>43281</v>
      </c>
      <c r="B2435" s="309" t="s">
        <v>486</v>
      </c>
      <c r="C2435" s="309" t="s">
        <v>502</v>
      </c>
      <c r="D2435" s="136" t="str">
        <f t="array" ref="D2435">IF(E2435=0,0,(INDEX(AccountCodes[ACCOUNT NAME],MATCH(E2435,AccountCodes[NGAS CODE],0))))</f>
        <v>Internet Subscription Expenses</v>
      </c>
      <c r="E2435" s="309" t="s">
        <v>237</v>
      </c>
      <c r="F2435" s="501">
        <v>1419</v>
      </c>
    </row>
    <row r="2436" spans="1:6">
      <c r="A2436" s="308">
        <v>43312</v>
      </c>
      <c r="B2436" s="309" t="s">
        <v>486</v>
      </c>
      <c r="C2436" s="309" t="s">
        <v>502</v>
      </c>
      <c r="D2436" s="136" t="str">
        <f t="array" ref="D2436">IF(E2436=0,0,(INDEX(AccountCodes[ACCOUNT NAME],MATCH(E2436,AccountCodes[NGAS CODE],0))))</f>
        <v>Internet Subscription Expenses</v>
      </c>
      <c r="E2436" s="309" t="s">
        <v>237</v>
      </c>
      <c r="F2436" s="501">
        <v>1419</v>
      </c>
    </row>
    <row r="2437" spans="1:6">
      <c r="A2437" s="308">
        <v>43343</v>
      </c>
      <c r="B2437" s="309" t="s">
        <v>486</v>
      </c>
      <c r="C2437" s="309" t="s">
        <v>502</v>
      </c>
      <c r="D2437" s="136" t="str">
        <f t="array" ref="D2437">IF(E2437=0,0,(INDEX(AccountCodes[ACCOUNT NAME],MATCH(E2437,AccountCodes[NGAS CODE],0))))</f>
        <v>Internet Subscription Expenses</v>
      </c>
      <c r="E2437" s="309" t="s">
        <v>237</v>
      </c>
      <c r="F2437" s="501">
        <v>1419</v>
      </c>
    </row>
    <row r="2438" spans="1:6">
      <c r="A2438" s="308">
        <v>43373</v>
      </c>
      <c r="B2438" s="309" t="s">
        <v>486</v>
      </c>
      <c r="C2438" s="309" t="s">
        <v>502</v>
      </c>
      <c r="D2438" s="136" t="str">
        <f t="array" ref="D2438">IF(E2438=0,0,(INDEX(AccountCodes[ACCOUNT NAME],MATCH(E2438,AccountCodes[NGAS CODE],0))))</f>
        <v>Internet Subscription Expenses</v>
      </c>
      <c r="E2438" s="309" t="s">
        <v>237</v>
      </c>
      <c r="F2438" s="501">
        <v>1419</v>
      </c>
    </row>
    <row r="2439" spans="1:6">
      <c r="A2439" s="308">
        <v>43404</v>
      </c>
      <c r="B2439" s="309" t="s">
        <v>486</v>
      </c>
      <c r="C2439" s="309" t="s">
        <v>502</v>
      </c>
      <c r="D2439" s="136" t="str">
        <f t="array" ref="D2439">IF(E2439=0,0,(INDEX(AccountCodes[ACCOUNT NAME],MATCH(E2439,AccountCodes[NGAS CODE],0))))</f>
        <v>Internet Subscription Expenses</v>
      </c>
      <c r="E2439" s="309" t="s">
        <v>237</v>
      </c>
      <c r="F2439" s="501">
        <v>1419</v>
      </c>
    </row>
    <row r="2440" spans="1:6">
      <c r="A2440" s="308">
        <v>43434</v>
      </c>
      <c r="B2440" s="309" t="s">
        <v>486</v>
      </c>
      <c r="C2440" s="309" t="s">
        <v>502</v>
      </c>
      <c r="D2440" s="136" t="str">
        <f t="array" ref="D2440">IF(E2440=0,0,(INDEX(AccountCodes[ACCOUNT NAME],MATCH(E2440,AccountCodes[NGAS CODE],0))))</f>
        <v>Internet Subscription Expenses</v>
      </c>
      <c r="E2440" s="309" t="s">
        <v>237</v>
      </c>
      <c r="F2440" s="501">
        <v>1419</v>
      </c>
    </row>
    <row r="2441" spans="1:6">
      <c r="A2441" s="308">
        <v>43465</v>
      </c>
      <c r="B2441" s="309" t="s">
        <v>486</v>
      </c>
      <c r="C2441" s="309" t="s">
        <v>502</v>
      </c>
      <c r="D2441" s="136" t="str">
        <f t="array" ref="D2441">IF(E2441=0,0,(INDEX(AccountCodes[ACCOUNT NAME],MATCH(E2441,AccountCodes[NGAS CODE],0))))</f>
        <v>Internet Subscription Expenses</v>
      </c>
      <c r="E2441" s="309" t="s">
        <v>237</v>
      </c>
      <c r="F2441" s="501">
        <v>1419</v>
      </c>
    </row>
    <row r="2442" spans="1:6">
      <c r="A2442" s="308">
        <v>43190</v>
      </c>
      <c r="B2442" s="309" t="s">
        <v>486</v>
      </c>
      <c r="C2442" s="309" t="s">
        <v>502</v>
      </c>
      <c r="D2442" s="136" t="str">
        <f t="array" ref="D2442">IF(E2442=0,0,(INDEX(AccountCodes[ACCOUNT NAME],MATCH(E2442,AccountCodes[NGAS CODE],0))))</f>
        <v>Other Maintenance and Operating Expenses (Irrigator's Share/Remuneration/Subsidy)</v>
      </c>
      <c r="E2442" s="309" t="s">
        <v>333</v>
      </c>
      <c r="F2442" s="501">
        <v>35742.75</v>
      </c>
    </row>
    <row r="2443" spans="1:6">
      <c r="A2443" s="308">
        <v>43281</v>
      </c>
      <c r="B2443" s="309" t="s">
        <v>486</v>
      </c>
      <c r="C2443" s="309" t="s">
        <v>502</v>
      </c>
      <c r="D2443" s="136" t="str">
        <f t="array" ref="D2443">IF(E2443=0,0,(INDEX(AccountCodes[ACCOUNT NAME],MATCH(E2443,AccountCodes[NGAS CODE],0))))</f>
        <v>Other Maintenance and Operating Expenses (Irrigator's Share/Remuneration/Subsidy)</v>
      </c>
      <c r="E2443" s="309" t="s">
        <v>333</v>
      </c>
      <c r="F2443" s="501">
        <v>105000</v>
      </c>
    </row>
    <row r="2444" spans="1:6">
      <c r="A2444" s="308">
        <v>43404</v>
      </c>
      <c r="B2444" s="309" t="s">
        <v>486</v>
      </c>
      <c r="C2444" s="309" t="s">
        <v>502</v>
      </c>
      <c r="D2444" s="136" t="str">
        <f t="array" ref="D2444">IF(E2444=0,0,(INDEX(AccountCodes[ACCOUNT NAME],MATCH(E2444,AccountCodes[NGAS CODE],0))))</f>
        <v>Other Maintenance and Operating Expenses (Irrigator's Share/Remuneration/Subsidy)</v>
      </c>
      <c r="E2444" s="309" t="s">
        <v>333</v>
      </c>
      <c r="F2444" s="501">
        <v>35742.75</v>
      </c>
    </row>
    <row r="2445" spans="1:6">
      <c r="A2445" s="308">
        <v>43465</v>
      </c>
      <c r="B2445" s="309" t="s">
        <v>486</v>
      </c>
      <c r="C2445" s="309" t="s">
        <v>502</v>
      </c>
      <c r="D2445" s="136" t="str">
        <f t="array" ref="D2445">IF(E2445=0,0,(INDEX(AccountCodes[ACCOUNT NAME],MATCH(E2445,AccountCodes[NGAS CODE],0))))</f>
        <v>Other Maintenance and Operating Expenses (Irrigator's Share/Remuneration/Subsidy)</v>
      </c>
      <c r="E2445" s="309" t="s">
        <v>333</v>
      </c>
      <c r="F2445" s="501">
        <v>120000</v>
      </c>
    </row>
    <row r="2446" spans="1:6">
      <c r="A2446" s="308"/>
      <c r="D2446" s="136">
        <f t="array" ref="D2446">IF(E2446=0,0,(INDEX(AccountCodes[ACCOUNT NAME],MATCH(E2446,AccountCodes[NGAS CODE],0))))</f>
        <v>0</v>
      </c>
      <c r="E2446" s="309"/>
      <c r="F2446" s="501"/>
    </row>
    <row r="2447" spans="1:6">
      <c r="A2447" s="308">
        <v>43281</v>
      </c>
      <c r="B2447" s="309" t="s">
        <v>486</v>
      </c>
      <c r="C2447" s="309" t="s">
        <v>503</v>
      </c>
      <c r="D2447" s="136" t="str">
        <f t="array" ref="D2447">IF(E2447=0,0,(INDEX(AccountCodes[ACCOUNT NAME],MATCH(E2447,AccountCodes[NGAS CODE],0))))</f>
        <v>Equipment Rental - External (CA)</v>
      </c>
      <c r="E2447" s="309" t="s">
        <v>147</v>
      </c>
      <c r="F2447" s="501">
        <v>100000</v>
      </c>
    </row>
    <row r="2448" spans="1:6">
      <c r="A2448" s="308">
        <v>43465</v>
      </c>
      <c r="B2448" s="309" t="s">
        <v>486</v>
      </c>
      <c r="C2448" s="309" t="s">
        <v>503</v>
      </c>
      <c r="D2448" s="136" t="str">
        <f t="array" ref="D2448">IF(E2448=0,0,(INDEX(AccountCodes[ACCOUNT NAME],MATCH(E2448,AccountCodes[NGAS CODE],0))))</f>
        <v>Equipment Rental - External (CA)</v>
      </c>
      <c r="E2448" s="309" t="s">
        <v>147</v>
      </c>
      <c r="F2448" s="501">
        <v>100000</v>
      </c>
    </row>
    <row r="2449" spans="1:6">
      <c r="A2449" s="308">
        <v>43131</v>
      </c>
      <c r="B2449" s="309" t="s">
        <v>486</v>
      </c>
      <c r="C2449" s="309" t="s">
        <v>503</v>
      </c>
      <c r="D2449" s="136" t="str">
        <f t="array" ref="D2449">IF(E2449=0,0,(INDEX(AccountCodes[ACCOUNT NAME],MATCH(E2449,AccountCodes[NGAS CODE],0))))</f>
        <v>Salaries and Wages-Regular</v>
      </c>
      <c r="E2449" s="309" t="s">
        <v>162</v>
      </c>
      <c r="F2449" s="501">
        <v>367367</v>
      </c>
    </row>
    <row r="2450" spans="1:6">
      <c r="A2450" s="308">
        <v>43159</v>
      </c>
      <c r="B2450" s="309" t="s">
        <v>486</v>
      </c>
      <c r="C2450" s="309" t="s">
        <v>503</v>
      </c>
      <c r="D2450" s="136" t="str">
        <f t="array" ref="D2450">IF(E2450=0,0,(INDEX(AccountCodes[ACCOUNT NAME],MATCH(E2450,AccountCodes[NGAS CODE],0))))</f>
        <v>Salaries and Wages-Regular</v>
      </c>
      <c r="E2450" s="309" t="s">
        <v>162</v>
      </c>
      <c r="F2450" s="501">
        <v>367367</v>
      </c>
    </row>
    <row r="2451" spans="1:6">
      <c r="A2451" s="308">
        <v>43190</v>
      </c>
      <c r="B2451" s="309" t="s">
        <v>486</v>
      </c>
      <c r="C2451" s="309" t="s">
        <v>503</v>
      </c>
      <c r="D2451" s="136" t="str">
        <f t="array" ref="D2451">IF(E2451=0,0,(INDEX(AccountCodes[ACCOUNT NAME],MATCH(E2451,AccountCodes[NGAS CODE],0))))</f>
        <v>Salaries and Wages-Regular</v>
      </c>
      <c r="E2451" s="309" t="s">
        <v>162</v>
      </c>
      <c r="F2451" s="501">
        <v>367367</v>
      </c>
    </row>
    <row r="2452" spans="1:6">
      <c r="A2452" s="308">
        <v>43220</v>
      </c>
      <c r="B2452" s="309" t="s">
        <v>486</v>
      </c>
      <c r="C2452" s="309" t="s">
        <v>503</v>
      </c>
      <c r="D2452" s="136" t="str">
        <f t="array" ref="D2452">IF(E2452=0,0,(INDEX(AccountCodes[ACCOUNT NAME],MATCH(E2452,AccountCodes[NGAS CODE],0))))</f>
        <v>Salaries and Wages-Regular</v>
      </c>
      <c r="E2452" s="309" t="s">
        <v>162</v>
      </c>
      <c r="F2452" s="501">
        <v>367367</v>
      </c>
    </row>
    <row r="2453" spans="1:6">
      <c r="A2453" s="308">
        <v>43251</v>
      </c>
      <c r="B2453" s="309" t="s">
        <v>486</v>
      </c>
      <c r="C2453" s="309" t="s">
        <v>503</v>
      </c>
      <c r="D2453" s="136" t="str">
        <f t="array" ref="D2453">IF(E2453=0,0,(INDEX(AccountCodes[ACCOUNT NAME],MATCH(E2453,AccountCodes[NGAS CODE],0))))</f>
        <v>Salaries and Wages-Regular</v>
      </c>
      <c r="E2453" s="309" t="s">
        <v>162</v>
      </c>
      <c r="F2453" s="501">
        <v>367367</v>
      </c>
    </row>
    <row r="2454" spans="1:6">
      <c r="A2454" s="308">
        <v>43281</v>
      </c>
      <c r="B2454" s="309" t="s">
        <v>486</v>
      </c>
      <c r="C2454" s="309" t="s">
        <v>503</v>
      </c>
      <c r="D2454" s="136" t="str">
        <f t="array" ref="D2454">IF(E2454=0,0,(INDEX(AccountCodes[ACCOUNT NAME],MATCH(E2454,AccountCodes[NGAS CODE],0))))</f>
        <v>Salaries and Wages-Regular</v>
      </c>
      <c r="E2454" s="309" t="s">
        <v>162</v>
      </c>
      <c r="F2454" s="501">
        <v>367367</v>
      </c>
    </row>
    <row r="2455" spans="1:6">
      <c r="A2455" s="308">
        <v>43312</v>
      </c>
      <c r="B2455" s="309" t="s">
        <v>486</v>
      </c>
      <c r="C2455" s="309" t="s">
        <v>503</v>
      </c>
      <c r="D2455" s="136" t="str">
        <f t="array" ref="D2455">IF(E2455=0,0,(INDEX(AccountCodes[ACCOUNT NAME],MATCH(E2455,AccountCodes[NGAS CODE],0))))</f>
        <v>Salaries and Wages-Regular</v>
      </c>
      <c r="E2455" s="309" t="s">
        <v>162</v>
      </c>
      <c r="F2455" s="501">
        <v>367367</v>
      </c>
    </row>
    <row r="2456" spans="1:6">
      <c r="A2456" s="308">
        <v>43343</v>
      </c>
      <c r="B2456" s="309" t="s">
        <v>486</v>
      </c>
      <c r="C2456" s="309" t="s">
        <v>503</v>
      </c>
      <c r="D2456" s="136" t="str">
        <f t="array" ref="D2456">IF(E2456=0,0,(INDEX(AccountCodes[ACCOUNT NAME],MATCH(E2456,AccountCodes[NGAS CODE],0))))</f>
        <v>Salaries and Wages-Regular</v>
      </c>
      <c r="E2456" s="309" t="s">
        <v>162</v>
      </c>
      <c r="F2456" s="501">
        <v>367367</v>
      </c>
    </row>
    <row r="2457" spans="1:6">
      <c r="A2457" s="308">
        <v>43373</v>
      </c>
      <c r="B2457" s="309" t="s">
        <v>486</v>
      </c>
      <c r="C2457" s="309" t="s">
        <v>503</v>
      </c>
      <c r="D2457" s="136" t="str">
        <f t="array" ref="D2457">IF(E2457=0,0,(INDEX(AccountCodes[ACCOUNT NAME],MATCH(E2457,AccountCodes[NGAS CODE],0))))</f>
        <v>Salaries and Wages-Regular</v>
      </c>
      <c r="E2457" s="309" t="s">
        <v>162</v>
      </c>
      <c r="F2457" s="501">
        <v>367367</v>
      </c>
    </row>
    <row r="2458" spans="1:6">
      <c r="A2458" s="308">
        <v>43404</v>
      </c>
      <c r="B2458" s="309" t="s">
        <v>486</v>
      </c>
      <c r="C2458" s="309" t="s">
        <v>503</v>
      </c>
      <c r="D2458" s="136" t="str">
        <f t="array" ref="D2458">IF(E2458=0,0,(INDEX(AccountCodes[ACCOUNT NAME],MATCH(E2458,AccountCodes[NGAS CODE],0))))</f>
        <v>Salaries and Wages-Regular</v>
      </c>
      <c r="E2458" s="309" t="s">
        <v>162</v>
      </c>
      <c r="F2458" s="501">
        <v>367367</v>
      </c>
    </row>
    <row r="2459" spans="1:6">
      <c r="A2459" s="308">
        <v>43434</v>
      </c>
      <c r="B2459" s="309" t="s">
        <v>486</v>
      </c>
      <c r="C2459" s="309" t="s">
        <v>503</v>
      </c>
      <c r="D2459" s="136" t="str">
        <f t="array" ref="D2459">IF(E2459=0,0,(INDEX(AccountCodes[ACCOUNT NAME],MATCH(E2459,AccountCodes[NGAS CODE],0))))</f>
        <v>Salaries and Wages-Regular</v>
      </c>
      <c r="E2459" s="309" t="s">
        <v>162</v>
      </c>
      <c r="F2459" s="501">
        <v>367367</v>
      </c>
    </row>
    <row r="2460" spans="1:6">
      <c r="A2460" s="308">
        <v>43465</v>
      </c>
      <c r="B2460" s="309" t="s">
        <v>486</v>
      </c>
      <c r="C2460" s="309" t="s">
        <v>503</v>
      </c>
      <c r="D2460" s="136" t="str">
        <f t="array" ref="D2460">IF(E2460=0,0,(INDEX(AccountCodes[ACCOUNT NAME],MATCH(E2460,AccountCodes[NGAS CODE],0))))</f>
        <v>Salaries and Wages-Regular</v>
      </c>
      <c r="E2460" s="309" t="s">
        <v>162</v>
      </c>
      <c r="F2460" s="501">
        <v>367367</v>
      </c>
    </row>
    <row r="2461" spans="1:6">
      <c r="A2461" s="308">
        <v>43131</v>
      </c>
      <c r="B2461" s="309" t="s">
        <v>486</v>
      </c>
      <c r="C2461" s="309" t="s">
        <v>503</v>
      </c>
      <c r="D2461" s="136" t="str">
        <f t="array" ref="D2461">IF(E2461=0,0,(INDEX(AccountCodes[ACCOUNT NAME],MATCH(E2461,AccountCodes[NGAS CODE],0))))</f>
        <v>Salaries and Wages-Casual/Contractual</v>
      </c>
      <c r="E2461" s="309" t="s">
        <v>163</v>
      </c>
      <c r="F2461" s="501">
        <v>55876.09</v>
      </c>
    </row>
    <row r="2462" spans="1:6">
      <c r="A2462" s="308">
        <v>43159</v>
      </c>
      <c r="B2462" s="309" t="s">
        <v>486</v>
      </c>
      <c r="C2462" s="309" t="s">
        <v>503</v>
      </c>
      <c r="D2462" s="136" t="str">
        <f t="array" ref="D2462">IF(E2462=0,0,(INDEX(AccountCodes[ACCOUNT NAME],MATCH(E2462,AccountCodes[NGAS CODE],0))))</f>
        <v>Salaries and Wages-Casual/Contractual</v>
      </c>
      <c r="E2462" s="309" t="s">
        <v>163</v>
      </c>
      <c r="F2462" s="501">
        <v>55876.09</v>
      </c>
    </row>
    <row r="2463" spans="1:6">
      <c r="A2463" s="308">
        <v>43190</v>
      </c>
      <c r="B2463" s="309" t="s">
        <v>486</v>
      </c>
      <c r="C2463" s="309" t="s">
        <v>503</v>
      </c>
      <c r="D2463" s="136" t="str">
        <f t="array" ref="D2463">IF(E2463=0,0,(INDEX(AccountCodes[ACCOUNT NAME],MATCH(E2463,AccountCodes[NGAS CODE],0))))</f>
        <v>Salaries and Wages-Casual/Contractual</v>
      </c>
      <c r="E2463" s="309" t="s">
        <v>163</v>
      </c>
      <c r="F2463" s="501">
        <v>55876.09</v>
      </c>
    </row>
    <row r="2464" spans="1:6">
      <c r="A2464" s="308">
        <v>43220</v>
      </c>
      <c r="B2464" s="309" t="s">
        <v>486</v>
      </c>
      <c r="C2464" s="309" t="s">
        <v>503</v>
      </c>
      <c r="D2464" s="136" t="str">
        <f t="array" ref="D2464">IF(E2464=0,0,(INDEX(AccountCodes[ACCOUNT NAME],MATCH(E2464,AccountCodes[NGAS CODE],0))))</f>
        <v>Salaries and Wages-Casual/Contractual</v>
      </c>
      <c r="E2464" s="309" t="s">
        <v>163</v>
      </c>
      <c r="F2464" s="501">
        <v>55876.09</v>
      </c>
    </row>
    <row r="2465" spans="1:6">
      <c r="A2465" s="308">
        <v>43251</v>
      </c>
      <c r="B2465" s="309" t="s">
        <v>486</v>
      </c>
      <c r="C2465" s="309" t="s">
        <v>503</v>
      </c>
      <c r="D2465" s="136" t="str">
        <f t="array" ref="D2465">IF(E2465=0,0,(INDEX(AccountCodes[ACCOUNT NAME],MATCH(E2465,AccountCodes[NGAS CODE],0))))</f>
        <v>Salaries and Wages-Casual/Contractual</v>
      </c>
      <c r="E2465" s="309" t="s">
        <v>163</v>
      </c>
      <c r="F2465" s="501">
        <v>55876.09</v>
      </c>
    </row>
    <row r="2466" spans="1:6">
      <c r="A2466" s="308">
        <v>43281</v>
      </c>
      <c r="B2466" s="309" t="s">
        <v>486</v>
      </c>
      <c r="C2466" s="309" t="s">
        <v>503</v>
      </c>
      <c r="D2466" s="136" t="str">
        <f t="array" ref="D2466">IF(E2466=0,0,(INDEX(AccountCodes[ACCOUNT NAME],MATCH(E2466,AccountCodes[NGAS CODE],0))))</f>
        <v>Salaries and Wages-Casual/Contractual</v>
      </c>
      <c r="E2466" s="309" t="s">
        <v>163</v>
      </c>
      <c r="F2466" s="501">
        <v>55876.09</v>
      </c>
    </row>
    <row r="2467" spans="1:6">
      <c r="A2467" s="308">
        <v>43312</v>
      </c>
      <c r="B2467" s="309" t="s">
        <v>486</v>
      </c>
      <c r="C2467" s="309" t="s">
        <v>503</v>
      </c>
      <c r="D2467" s="136" t="str">
        <f t="array" ref="D2467">IF(E2467=0,0,(INDEX(AccountCodes[ACCOUNT NAME],MATCH(E2467,AccountCodes[NGAS CODE],0))))</f>
        <v>Salaries and Wages-Casual/Contractual</v>
      </c>
      <c r="E2467" s="309" t="s">
        <v>163</v>
      </c>
      <c r="F2467" s="501">
        <v>55876.09</v>
      </c>
    </row>
    <row r="2468" spans="1:6">
      <c r="A2468" s="308">
        <v>43343</v>
      </c>
      <c r="B2468" s="309" t="s">
        <v>486</v>
      </c>
      <c r="C2468" s="309" t="s">
        <v>503</v>
      </c>
      <c r="D2468" s="136" t="str">
        <f t="array" ref="D2468">IF(E2468=0,0,(INDEX(AccountCodes[ACCOUNT NAME],MATCH(E2468,AccountCodes[NGAS CODE],0))))</f>
        <v>Salaries and Wages-Casual/Contractual</v>
      </c>
      <c r="E2468" s="309" t="s">
        <v>163</v>
      </c>
      <c r="F2468" s="501">
        <v>55876.09</v>
      </c>
    </row>
    <row r="2469" spans="1:6">
      <c r="A2469" s="308">
        <v>43373</v>
      </c>
      <c r="B2469" s="309" t="s">
        <v>486</v>
      </c>
      <c r="C2469" s="309" t="s">
        <v>503</v>
      </c>
      <c r="D2469" s="136" t="str">
        <f t="array" ref="D2469">IF(E2469=0,0,(INDEX(AccountCodes[ACCOUNT NAME],MATCH(E2469,AccountCodes[NGAS CODE],0))))</f>
        <v>Salaries and Wages-Casual/Contractual</v>
      </c>
      <c r="E2469" s="309" t="s">
        <v>163</v>
      </c>
      <c r="F2469" s="501">
        <v>55876.09</v>
      </c>
    </row>
    <row r="2470" spans="1:6">
      <c r="A2470" s="308">
        <v>43404</v>
      </c>
      <c r="B2470" s="309" t="s">
        <v>486</v>
      </c>
      <c r="C2470" s="309" t="s">
        <v>503</v>
      </c>
      <c r="D2470" s="136" t="str">
        <f t="array" ref="D2470">IF(E2470=0,0,(INDEX(AccountCodes[ACCOUNT NAME],MATCH(E2470,AccountCodes[NGAS CODE],0))))</f>
        <v>Salaries and Wages-Casual/Contractual</v>
      </c>
      <c r="E2470" s="309" t="s">
        <v>163</v>
      </c>
      <c r="F2470" s="501">
        <v>55876.09</v>
      </c>
    </row>
    <row r="2471" spans="1:6">
      <c r="A2471" s="308">
        <v>43434</v>
      </c>
      <c r="B2471" s="309" t="s">
        <v>486</v>
      </c>
      <c r="C2471" s="309" t="s">
        <v>503</v>
      </c>
      <c r="D2471" s="136" t="str">
        <f t="array" ref="D2471">IF(E2471=0,0,(INDEX(AccountCodes[ACCOUNT NAME],MATCH(E2471,AccountCodes[NGAS CODE],0))))</f>
        <v>Salaries and Wages-Casual/Contractual</v>
      </c>
      <c r="E2471" s="309" t="s">
        <v>163</v>
      </c>
      <c r="F2471" s="501">
        <v>55876.09</v>
      </c>
    </row>
    <row r="2472" spans="1:6">
      <c r="A2472" s="308">
        <v>43465</v>
      </c>
      <c r="B2472" s="309" t="s">
        <v>486</v>
      </c>
      <c r="C2472" s="309" t="s">
        <v>503</v>
      </c>
      <c r="D2472" s="136" t="str">
        <f t="array" ref="D2472">IF(E2472=0,0,(INDEX(AccountCodes[ACCOUNT NAME],MATCH(E2472,AccountCodes[NGAS CODE],0))))</f>
        <v>Salaries and Wages-Casual/Contractual</v>
      </c>
      <c r="E2472" s="309" t="s">
        <v>163</v>
      </c>
      <c r="F2472" s="501">
        <v>55876.09</v>
      </c>
    </row>
    <row r="2473" spans="1:6">
      <c r="A2473" s="308">
        <v>43131</v>
      </c>
      <c r="B2473" s="309" t="s">
        <v>486</v>
      </c>
      <c r="C2473" s="309" t="s">
        <v>503</v>
      </c>
      <c r="D2473" s="136" t="str">
        <f t="array" ref="D2473">IF(E2473=0,0,(INDEX(AccountCodes[ACCOUNT NAME],MATCH(E2473,AccountCodes[NGAS CODE],0))))</f>
        <v>Personal Economic Relief Allowance (PERA)</v>
      </c>
      <c r="E2473" s="309" t="s">
        <v>164</v>
      </c>
      <c r="F2473" s="501">
        <v>36000</v>
      </c>
    </row>
    <row r="2474" spans="1:6">
      <c r="A2474" s="308">
        <v>43159</v>
      </c>
      <c r="B2474" s="309" t="s">
        <v>486</v>
      </c>
      <c r="C2474" s="309" t="s">
        <v>503</v>
      </c>
      <c r="D2474" s="136" t="str">
        <f t="array" ref="D2474">IF(E2474=0,0,(INDEX(AccountCodes[ACCOUNT NAME],MATCH(E2474,AccountCodes[NGAS CODE],0))))</f>
        <v>Personal Economic Relief Allowance (PERA)</v>
      </c>
      <c r="E2474" s="309" t="s">
        <v>164</v>
      </c>
      <c r="F2474" s="501">
        <v>36000</v>
      </c>
    </row>
    <row r="2475" spans="1:6">
      <c r="A2475" s="308">
        <v>43190</v>
      </c>
      <c r="B2475" s="309" t="s">
        <v>486</v>
      </c>
      <c r="C2475" s="309" t="s">
        <v>503</v>
      </c>
      <c r="D2475" s="136" t="str">
        <f t="array" ref="D2475">IF(E2475=0,0,(INDEX(AccountCodes[ACCOUNT NAME],MATCH(E2475,AccountCodes[NGAS CODE],0))))</f>
        <v>Personal Economic Relief Allowance (PERA)</v>
      </c>
      <c r="E2475" s="309" t="s">
        <v>164</v>
      </c>
      <c r="F2475" s="501">
        <v>36000</v>
      </c>
    </row>
    <row r="2476" spans="1:6">
      <c r="A2476" s="308">
        <v>43220</v>
      </c>
      <c r="B2476" s="309" t="s">
        <v>486</v>
      </c>
      <c r="C2476" s="309" t="s">
        <v>503</v>
      </c>
      <c r="D2476" s="136" t="str">
        <f t="array" ref="D2476">IF(E2476=0,0,(INDEX(AccountCodes[ACCOUNT NAME],MATCH(E2476,AccountCodes[NGAS CODE],0))))</f>
        <v>Personal Economic Relief Allowance (PERA)</v>
      </c>
      <c r="E2476" s="309" t="s">
        <v>164</v>
      </c>
      <c r="F2476" s="501">
        <v>36000</v>
      </c>
    </row>
    <row r="2477" spans="1:6">
      <c r="A2477" s="308">
        <v>43251</v>
      </c>
      <c r="B2477" s="309" t="s">
        <v>486</v>
      </c>
      <c r="C2477" s="309" t="s">
        <v>503</v>
      </c>
      <c r="D2477" s="136" t="str">
        <f t="array" ref="D2477">IF(E2477=0,0,(INDEX(AccountCodes[ACCOUNT NAME],MATCH(E2477,AccountCodes[NGAS CODE],0))))</f>
        <v>Personal Economic Relief Allowance (PERA)</v>
      </c>
      <c r="E2477" s="309" t="s">
        <v>164</v>
      </c>
      <c r="F2477" s="501">
        <v>36000</v>
      </c>
    </row>
    <row r="2478" spans="1:6">
      <c r="A2478" s="308">
        <v>43281</v>
      </c>
      <c r="B2478" s="309" t="s">
        <v>486</v>
      </c>
      <c r="C2478" s="309" t="s">
        <v>503</v>
      </c>
      <c r="D2478" s="136" t="str">
        <f t="array" ref="D2478">IF(E2478=0,0,(INDEX(AccountCodes[ACCOUNT NAME],MATCH(E2478,AccountCodes[NGAS CODE],0))))</f>
        <v>Personal Economic Relief Allowance (PERA)</v>
      </c>
      <c r="E2478" s="309" t="s">
        <v>164</v>
      </c>
      <c r="F2478" s="501">
        <v>36000</v>
      </c>
    </row>
    <row r="2479" spans="1:6">
      <c r="A2479" s="308">
        <v>43312</v>
      </c>
      <c r="B2479" s="309" t="s">
        <v>486</v>
      </c>
      <c r="C2479" s="309" t="s">
        <v>503</v>
      </c>
      <c r="D2479" s="136" t="str">
        <f t="array" ref="D2479">IF(E2479=0,0,(INDEX(AccountCodes[ACCOUNT NAME],MATCH(E2479,AccountCodes[NGAS CODE],0))))</f>
        <v>Personal Economic Relief Allowance (PERA)</v>
      </c>
      <c r="E2479" s="309" t="s">
        <v>164</v>
      </c>
      <c r="F2479" s="501">
        <v>36000</v>
      </c>
    </row>
    <row r="2480" spans="1:6">
      <c r="A2480" s="308">
        <v>43343</v>
      </c>
      <c r="B2480" s="309" t="s">
        <v>486</v>
      </c>
      <c r="C2480" s="309" t="s">
        <v>503</v>
      </c>
      <c r="D2480" s="136" t="str">
        <f t="array" ref="D2480">IF(E2480=0,0,(INDEX(AccountCodes[ACCOUNT NAME],MATCH(E2480,AccountCodes[NGAS CODE],0))))</f>
        <v>Personal Economic Relief Allowance (PERA)</v>
      </c>
      <c r="E2480" s="309" t="s">
        <v>164</v>
      </c>
      <c r="F2480" s="501">
        <v>36000</v>
      </c>
    </row>
    <row r="2481" spans="1:6">
      <c r="A2481" s="308">
        <v>43373</v>
      </c>
      <c r="B2481" s="309" t="s">
        <v>486</v>
      </c>
      <c r="C2481" s="309" t="s">
        <v>503</v>
      </c>
      <c r="D2481" s="136" t="str">
        <f t="array" ref="D2481">IF(E2481=0,0,(INDEX(AccountCodes[ACCOUNT NAME],MATCH(E2481,AccountCodes[NGAS CODE],0))))</f>
        <v>Personal Economic Relief Allowance (PERA)</v>
      </c>
      <c r="E2481" s="309" t="s">
        <v>164</v>
      </c>
      <c r="F2481" s="501">
        <v>36000</v>
      </c>
    </row>
    <row r="2482" spans="1:6">
      <c r="A2482" s="308">
        <v>43404</v>
      </c>
      <c r="B2482" s="309" t="s">
        <v>486</v>
      </c>
      <c r="C2482" s="309" t="s">
        <v>503</v>
      </c>
      <c r="D2482" s="136" t="str">
        <f t="array" ref="D2482">IF(E2482=0,0,(INDEX(AccountCodes[ACCOUNT NAME],MATCH(E2482,AccountCodes[NGAS CODE],0))))</f>
        <v>Personal Economic Relief Allowance (PERA)</v>
      </c>
      <c r="E2482" s="309" t="s">
        <v>164</v>
      </c>
      <c r="F2482" s="501">
        <v>36000</v>
      </c>
    </row>
    <row r="2483" spans="1:6">
      <c r="A2483" s="308">
        <v>43434</v>
      </c>
      <c r="B2483" s="309" t="s">
        <v>486</v>
      </c>
      <c r="C2483" s="309" t="s">
        <v>503</v>
      </c>
      <c r="D2483" s="136" t="str">
        <f t="array" ref="D2483">IF(E2483=0,0,(INDEX(AccountCodes[ACCOUNT NAME],MATCH(E2483,AccountCodes[NGAS CODE],0))))</f>
        <v>Personal Economic Relief Allowance (PERA)</v>
      </c>
      <c r="E2483" s="309" t="s">
        <v>164</v>
      </c>
      <c r="F2483" s="501">
        <v>36000</v>
      </c>
    </row>
    <row r="2484" spans="1:6">
      <c r="A2484" s="308">
        <v>43465</v>
      </c>
      <c r="B2484" s="309" t="s">
        <v>486</v>
      </c>
      <c r="C2484" s="309" t="s">
        <v>503</v>
      </c>
      <c r="D2484" s="136" t="str">
        <f t="array" ref="D2484">IF(E2484=0,0,(INDEX(AccountCodes[ACCOUNT NAME],MATCH(E2484,AccountCodes[NGAS CODE],0))))</f>
        <v>Personal Economic Relief Allowance (PERA)</v>
      </c>
      <c r="E2484" s="309" t="s">
        <v>164</v>
      </c>
      <c r="F2484" s="501">
        <v>36000</v>
      </c>
    </row>
    <row r="2485" spans="1:6">
      <c r="A2485" s="308">
        <v>43465</v>
      </c>
      <c r="B2485" s="309" t="s">
        <v>486</v>
      </c>
      <c r="C2485" s="309" t="s">
        <v>503</v>
      </c>
      <c r="D2485" s="136" t="str">
        <f t="array" ref="D2485">IF(E2485=0,0,(INDEX(AccountCodes[ACCOUNT NAME],MATCH(E2485,AccountCodes[NGAS CODE],0))))</f>
        <v>Other Bonuses and Allowances - Productivity Enhancement Incentive-Civilian</v>
      </c>
      <c r="E2485" s="309" t="s">
        <v>170</v>
      </c>
      <c r="F2485" s="501">
        <v>90000</v>
      </c>
    </row>
    <row r="2486" spans="1:6">
      <c r="A2486" s="308">
        <v>43131</v>
      </c>
      <c r="B2486" s="309" t="s">
        <v>486</v>
      </c>
      <c r="C2486" s="309" t="s">
        <v>503</v>
      </c>
      <c r="D2486" s="136" t="str">
        <f t="array" ref="D2486">IF(E2486=0,0,(INDEX(AccountCodes[ACCOUNT NAME],MATCH(E2486,AccountCodes[NGAS CODE],0))))</f>
        <v>Other Bonuses and Allowances - Children Allowance</v>
      </c>
      <c r="E2486" s="309" t="s">
        <v>7</v>
      </c>
      <c r="F2486" s="501">
        <v>60</v>
      </c>
    </row>
    <row r="2487" spans="1:6">
      <c r="A2487" s="308">
        <v>43159</v>
      </c>
      <c r="B2487" s="309" t="s">
        <v>486</v>
      </c>
      <c r="C2487" s="309" t="s">
        <v>503</v>
      </c>
      <c r="D2487" s="136" t="str">
        <f t="array" ref="D2487">IF(E2487=0,0,(INDEX(AccountCodes[ACCOUNT NAME],MATCH(E2487,AccountCodes[NGAS CODE],0))))</f>
        <v>Other Bonuses and Allowances - Children Allowance</v>
      </c>
      <c r="E2487" s="309" t="s">
        <v>7</v>
      </c>
      <c r="F2487" s="501">
        <v>60</v>
      </c>
    </row>
    <row r="2488" spans="1:6">
      <c r="A2488" s="308">
        <v>43190</v>
      </c>
      <c r="B2488" s="309" t="s">
        <v>486</v>
      </c>
      <c r="C2488" s="309" t="s">
        <v>503</v>
      </c>
      <c r="D2488" s="136" t="str">
        <f t="array" ref="D2488">IF(E2488=0,0,(INDEX(AccountCodes[ACCOUNT NAME],MATCH(E2488,AccountCodes[NGAS CODE],0))))</f>
        <v>Other Bonuses and Allowances - Children Allowance</v>
      </c>
      <c r="E2488" s="309" t="s">
        <v>7</v>
      </c>
      <c r="F2488" s="501">
        <v>60</v>
      </c>
    </row>
    <row r="2489" spans="1:6">
      <c r="A2489" s="308">
        <v>43220</v>
      </c>
      <c r="B2489" s="309" t="s">
        <v>486</v>
      </c>
      <c r="C2489" s="309" t="s">
        <v>503</v>
      </c>
      <c r="D2489" s="136" t="str">
        <f t="array" ref="D2489">IF(E2489=0,0,(INDEX(AccountCodes[ACCOUNT NAME],MATCH(E2489,AccountCodes[NGAS CODE],0))))</f>
        <v>Other Bonuses and Allowances - Children Allowance</v>
      </c>
      <c r="E2489" s="309" t="s">
        <v>7</v>
      </c>
      <c r="F2489" s="501">
        <v>60</v>
      </c>
    </row>
    <row r="2490" spans="1:6">
      <c r="A2490" s="308">
        <v>43251</v>
      </c>
      <c r="B2490" s="309" t="s">
        <v>486</v>
      </c>
      <c r="C2490" s="309" t="s">
        <v>503</v>
      </c>
      <c r="D2490" s="136" t="str">
        <f t="array" ref="D2490">IF(E2490=0,0,(INDEX(AccountCodes[ACCOUNT NAME],MATCH(E2490,AccountCodes[NGAS CODE],0))))</f>
        <v>Other Bonuses and Allowances - Children Allowance</v>
      </c>
      <c r="E2490" s="309" t="s">
        <v>7</v>
      </c>
      <c r="F2490" s="501">
        <v>60</v>
      </c>
    </row>
    <row r="2491" spans="1:6">
      <c r="A2491" s="308">
        <v>43281</v>
      </c>
      <c r="B2491" s="309" t="s">
        <v>486</v>
      </c>
      <c r="C2491" s="309" t="s">
        <v>503</v>
      </c>
      <c r="D2491" s="136" t="str">
        <f t="array" ref="D2491">IF(E2491=0,0,(INDEX(AccountCodes[ACCOUNT NAME],MATCH(E2491,AccountCodes[NGAS CODE],0))))</f>
        <v>Other Bonuses and Allowances - Children Allowance</v>
      </c>
      <c r="E2491" s="309" t="s">
        <v>7</v>
      </c>
      <c r="F2491" s="501">
        <v>60</v>
      </c>
    </row>
    <row r="2492" spans="1:6">
      <c r="A2492" s="308">
        <v>43312</v>
      </c>
      <c r="B2492" s="309" t="s">
        <v>486</v>
      </c>
      <c r="C2492" s="309" t="s">
        <v>503</v>
      </c>
      <c r="D2492" s="136" t="str">
        <f t="array" ref="D2492">IF(E2492=0,0,(INDEX(AccountCodes[ACCOUNT NAME],MATCH(E2492,AccountCodes[NGAS CODE],0))))</f>
        <v>Other Bonuses and Allowances - Children Allowance</v>
      </c>
      <c r="E2492" s="309" t="s">
        <v>7</v>
      </c>
      <c r="F2492" s="501">
        <v>60</v>
      </c>
    </row>
    <row r="2493" spans="1:6">
      <c r="A2493" s="308">
        <v>43343</v>
      </c>
      <c r="B2493" s="309" t="s">
        <v>486</v>
      </c>
      <c r="C2493" s="309" t="s">
        <v>503</v>
      </c>
      <c r="D2493" s="136" t="str">
        <f t="array" ref="D2493">IF(E2493=0,0,(INDEX(AccountCodes[ACCOUNT NAME],MATCH(E2493,AccountCodes[NGAS CODE],0))))</f>
        <v>Other Bonuses and Allowances - Children Allowance</v>
      </c>
      <c r="E2493" s="309" t="s">
        <v>7</v>
      </c>
      <c r="F2493" s="501">
        <v>60</v>
      </c>
    </row>
    <row r="2494" spans="1:6">
      <c r="A2494" s="308">
        <v>43373</v>
      </c>
      <c r="B2494" s="309" t="s">
        <v>486</v>
      </c>
      <c r="C2494" s="309" t="s">
        <v>503</v>
      </c>
      <c r="D2494" s="136" t="str">
        <f t="array" ref="D2494">IF(E2494=0,0,(INDEX(AccountCodes[ACCOUNT NAME],MATCH(E2494,AccountCodes[NGAS CODE],0))))</f>
        <v>Other Bonuses and Allowances - Children Allowance</v>
      </c>
      <c r="E2494" s="309" t="s">
        <v>7</v>
      </c>
      <c r="F2494" s="501">
        <v>60</v>
      </c>
    </row>
    <row r="2495" spans="1:6">
      <c r="A2495" s="308">
        <v>43404</v>
      </c>
      <c r="B2495" s="309" t="s">
        <v>486</v>
      </c>
      <c r="C2495" s="309" t="s">
        <v>503</v>
      </c>
      <c r="D2495" s="136" t="str">
        <f t="array" ref="D2495">IF(E2495=0,0,(INDEX(AccountCodes[ACCOUNT NAME],MATCH(E2495,AccountCodes[NGAS CODE],0))))</f>
        <v>Other Bonuses and Allowances - Children Allowance</v>
      </c>
      <c r="E2495" s="309" t="s">
        <v>7</v>
      </c>
      <c r="F2495" s="501">
        <v>60</v>
      </c>
    </row>
    <row r="2496" spans="1:6">
      <c r="A2496" s="308">
        <v>43434</v>
      </c>
      <c r="B2496" s="309" t="s">
        <v>486</v>
      </c>
      <c r="C2496" s="309" t="s">
        <v>503</v>
      </c>
      <c r="D2496" s="136" t="str">
        <f t="array" ref="D2496">IF(E2496=0,0,(INDEX(AccountCodes[ACCOUNT NAME],MATCH(E2496,AccountCodes[NGAS CODE],0))))</f>
        <v>Other Bonuses and Allowances - Children Allowance</v>
      </c>
      <c r="E2496" s="309" t="s">
        <v>7</v>
      </c>
      <c r="F2496" s="501">
        <v>60</v>
      </c>
    </row>
    <row r="2497" spans="1:6">
      <c r="A2497" s="308">
        <v>43465</v>
      </c>
      <c r="B2497" s="309" t="s">
        <v>486</v>
      </c>
      <c r="C2497" s="309" t="s">
        <v>503</v>
      </c>
      <c r="D2497" s="136" t="str">
        <f t="array" ref="D2497">IF(E2497=0,0,(INDEX(AccountCodes[ACCOUNT NAME],MATCH(E2497,AccountCodes[NGAS CODE],0))))</f>
        <v>Other Bonuses and Allowances - Children Allowance</v>
      </c>
      <c r="E2497" s="309" t="s">
        <v>7</v>
      </c>
      <c r="F2497" s="501">
        <v>60</v>
      </c>
    </row>
    <row r="2498" spans="1:6">
      <c r="A2498" s="308">
        <v>43131</v>
      </c>
      <c r="B2498" s="309" t="s">
        <v>486</v>
      </c>
      <c r="C2498" s="309" t="s">
        <v>503</v>
      </c>
      <c r="D2498" s="136" t="str">
        <f t="array" ref="D2498">IF(E2498=0,0,(INDEX(AccountCodes[ACCOUNT NAME],MATCH(E2498,AccountCodes[NGAS CODE],0))))</f>
        <v>Other Bonuses and Allowances - Medical Allowance</v>
      </c>
      <c r="E2498" s="309" t="s">
        <v>5</v>
      </c>
      <c r="F2498" s="501">
        <v>600</v>
      </c>
    </row>
    <row r="2499" spans="1:6">
      <c r="A2499" s="308">
        <v>43159</v>
      </c>
      <c r="B2499" s="309" t="s">
        <v>486</v>
      </c>
      <c r="C2499" s="309" t="s">
        <v>503</v>
      </c>
      <c r="D2499" s="136" t="str">
        <f t="array" ref="D2499">IF(E2499=0,0,(INDEX(AccountCodes[ACCOUNT NAME],MATCH(E2499,AccountCodes[NGAS CODE],0))))</f>
        <v>Other Bonuses and Allowances - Medical Allowance</v>
      </c>
      <c r="E2499" s="309" t="s">
        <v>5</v>
      </c>
      <c r="F2499" s="501">
        <v>600</v>
      </c>
    </row>
    <row r="2500" spans="1:6">
      <c r="A2500" s="308">
        <v>43190</v>
      </c>
      <c r="B2500" s="309" t="s">
        <v>486</v>
      </c>
      <c r="C2500" s="309" t="s">
        <v>503</v>
      </c>
      <c r="D2500" s="136" t="str">
        <f t="array" ref="D2500">IF(E2500=0,0,(INDEX(AccountCodes[ACCOUNT NAME],MATCH(E2500,AccountCodes[NGAS CODE],0))))</f>
        <v>Other Bonuses and Allowances - Medical Allowance</v>
      </c>
      <c r="E2500" s="309" t="s">
        <v>5</v>
      </c>
      <c r="F2500" s="501">
        <v>600</v>
      </c>
    </row>
    <row r="2501" spans="1:6">
      <c r="A2501" s="308">
        <v>43220</v>
      </c>
      <c r="B2501" s="309" t="s">
        <v>486</v>
      </c>
      <c r="C2501" s="309" t="s">
        <v>503</v>
      </c>
      <c r="D2501" s="136" t="str">
        <f t="array" ref="D2501">IF(E2501=0,0,(INDEX(AccountCodes[ACCOUNT NAME],MATCH(E2501,AccountCodes[NGAS CODE],0))))</f>
        <v>Other Bonuses and Allowances - Medical Allowance</v>
      </c>
      <c r="E2501" s="309" t="s">
        <v>5</v>
      </c>
      <c r="F2501" s="501">
        <v>600</v>
      </c>
    </row>
    <row r="2502" spans="1:6">
      <c r="A2502" s="308">
        <v>43251</v>
      </c>
      <c r="B2502" s="309" t="s">
        <v>486</v>
      </c>
      <c r="C2502" s="309" t="s">
        <v>503</v>
      </c>
      <c r="D2502" s="136" t="str">
        <f t="array" ref="D2502">IF(E2502=0,0,(INDEX(AccountCodes[ACCOUNT NAME],MATCH(E2502,AccountCodes[NGAS CODE],0))))</f>
        <v>Other Bonuses and Allowances - Medical Allowance</v>
      </c>
      <c r="E2502" s="309" t="s">
        <v>5</v>
      </c>
      <c r="F2502" s="501">
        <v>600</v>
      </c>
    </row>
    <row r="2503" spans="1:6">
      <c r="A2503" s="308">
        <v>43281</v>
      </c>
      <c r="B2503" s="309" t="s">
        <v>486</v>
      </c>
      <c r="C2503" s="309" t="s">
        <v>503</v>
      </c>
      <c r="D2503" s="136" t="str">
        <f t="array" ref="D2503">IF(E2503=0,0,(INDEX(AccountCodes[ACCOUNT NAME],MATCH(E2503,AccountCodes[NGAS CODE],0))))</f>
        <v>Other Bonuses and Allowances - Medical Allowance</v>
      </c>
      <c r="E2503" s="309" t="s">
        <v>5</v>
      </c>
      <c r="F2503" s="501">
        <v>600</v>
      </c>
    </row>
    <row r="2504" spans="1:6">
      <c r="A2504" s="308">
        <v>43312</v>
      </c>
      <c r="B2504" s="309" t="s">
        <v>486</v>
      </c>
      <c r="C2504" s="309" t="s">
        <v>503</v>
      </c>
      <c r="D2504" s="136" t="str">
        <f t="array" ref="D2504">IF(E2504=0,0,(INDEX(AccountCodes[ACCOUNT NAME],MATCH(E2504,AccountCodes[NGAS CODE],0))))</f>
        <v>Other Bonuses and Allowances - Medical Allowance</v>
      </c>
      <c r="E2504" s="309" t="s">
        <v>5</v>
      </c>
      <c r="F2504" s="501">
        <v>600</v>
      </c>
    </row>
    <row r="2505" spans="1:6">
      <c r="A2505" s="308">
        <v>43343</v>
      </c>
      <c r="B2505" s="309" t="s">
        <v>486</v>
      </c>
      <c r="C2505" s="309" t="s">
        <v>503</v>
      </c>
      <c r="D2505" s="136" t="str">
        <f t="array" ref="D2505">IF(E2505=0,0,(INDEX(AccountCodes[ACCOUNT NAME],MATCH(E2505,AccountCodes[NGAS CODE],0))))</f>
        <v>Other Bonuses and Allowances - Medical Allowance</v>
      </c>
      <c r="E2505" s="309" t="s">
        <v>5</v>
      </c>
      <c r="F2505" s="501">
        <v>600</v>
      </c>
    </row>
    <row r="2506" spans="1:6">
      <c r="A2506" s="308">
        <v>43373</v>
      </c>
      <c r="B2506" s="309" t="s">
        <v>486</v>
      </c>
      <c r="C2506" s="309" t="s">
        <v>503</v>
      </c>
      <c r="D2506" s="136" t="str">
        <f t="array" ref="D2506">IF(E2506=0,0,(INDEX(AccountCodes[ACCOUNT NAME],MATCH(E2506,AccountCodes[NGAS CODE],0))))</f>
        <v>Other Bonuses and Allowances - Medical Allowance</v>
      </c>
      <c r="E2506" s="309" t="s">
        <v>5</v>
      </c>
      <c r="F2506" s="501">
        <v>600</v>
      </c>
    </row>
    <row r="2507" spans="1:6">
      <c r="A2507" s="308">
        <v>43404</v>
      </c>
      <c r="B2507" s="309" t="s">
        <v>486</v>
      </c>
      <c r="C2507" s="309" t="s">
        <v>503</v>
      </c>
      <c r="D2507" s="136" t="str">
        <f t="array" ref="D2507">IF(E2507=0,0,(INDEX(AccountCodes[ACCOUNT NAME],MATCH(E2507,AccountCodes[NGAS CODE],0))))</f>
        <v>Other Bonuses and Allowances - Medical Allowance</v>
      </c>
      <c r="E2507" s="309" t="s">
        <v>5</v>
      </c>
      <c r="F2507" s="501">
        <v>600</v>
      </c>
    </row>
    <row r="2508" spans="1:6">
      <c r="A2508" s="308">
        <v>43434</v>
      </c>
      <c r="B2508" s="309" t="s">
        <v>486</v>
      </c>
      <c r="C2508" s="309" t="s">
        <v>503</v>
      </c>
      <c r="D2508" s="136" t="str">
        <f t="array" ref="D2508">IF(E2508=0,0,(INDEX(AccountCodes[ACCOUNT NAME],MATCH(E2508,AccountCodes[NGAS CODE],0))))</f>
        <v>Other Bonuses and Allowances - Medical Allowance</v>
      </c>
      <c r="E2508" s="309" t="s">
        <v>5</v>
      </c>
      <c r="F2508" s="501">
        <v>600</v>
      </c>
    </row>
    <row r="2509" spans="1:6">
      <c r="A2509" s="308">
        <v>43465</v>
      </c>
      <c r="B2509" s="309" t="s">
        <v>486</v>
      </c>
      <c r="C2509" s="309" t="s">
        <v>503</v>
      </c>
      <c r="D2509" s="136" t="str">
        <f t="array" ref="D2509">IF(E2509=0,0,(INDEX(AccountCodes[ACCOUNT NAME],MATCH(E2509,AccountCodes[NGAS CODE],0))))</f>
        <v>Other Bonuses and Allowances - Medical Allowance</v>
      </c>
      <c r="E2509" s="309" t="s">
        <v>5</v>
      </c>
      <c r="F2509" s="501">
        <v>600</v>
      </c>
    </row>
    <row r="2510" spans="1:6">
      <c r="A2510" s="308">
        <v>43131</v>
      </c>
      <c r="B2510" s="309" t="s">
        <v>486</v>
      </c>
      <c r="C2510" s="309" t="s">
        <v>503</v>
      </c>
      <c r="D2510" s="136" t="str">
        <f t="array" ref="D2510">IF(E2510=0,0,(INDEX(AccountCodes[ACCOUNT NAME],MATCH(E2510,AccountCodes[NGAS CODE],0))))</f>
        <v>Other Bonuses and Allowances - Meal Allowance</v>
      </c>
      <c r="E2510" s="309" t="s">
        <v>6</v>
      </c>
      <c r="F2510" s="501">
        <v>198</v>
      </c>
    </row>
    <row r="2511" spans="1:6">
      <c r="A2511" s="308">
        <v>43159</v>
      </c>
      <c r="B2511" s="309" t="s">
        <v>486</v>
      </c>
      <c r="C2511" s="309" t="s">
        <v>503</v>
      </c>
      <c r="D2511" s="136" t="str">
        <f t="array" ref="D2511">IF(E2511=0,0,(INDEX(AccountCodes[ACCOUNT NAME],MATCH(E2511,AccountCodes[NGAS CODE],0))))</f>
        <v>Other Bonuses and Allowances - Meal Allowance</v>
      </c>
      <c r="E2511" s="309" t="s">
        <v>6</v>
      </c>
      <c r="F2511" s="501">
        <v>198</v>
      </c>
    </row>
    <row r="2512" spans="1:6">
      <c r="A2512" s="308">
        <v>43190</v>
      </c>
      <c r="B2512" s="309" t="s">
        <v>486</v>
      </c>
      <c r="C2512" s="309" t="s">
        <v>503</v>
      </c>
      <c r="D2512" s="136" t="str">
        <f t="array" ref="D2512">IF(E2512=0,0,(INDEX(AccountCodes[ACCOUNT NAME],MATCH(E2512,AccountCodes[NGAS CODE],0))))</f>
        <v>Other Bonuses and Allowances - Meal Allowance</v>
      </c>
      <c r="E2512" s="309" t="s">
        <v>6</v>
      </c>
      <c r="F2512" s="501">
        <v>198</v>
      </c>
    </row>
    <row r="2513" spans="1:6">
      <c r="A2513" s="308">
        <v>43220</v>
      </c>
      <c r="B2513" s="309" t="s">
        <v>486</v>
      </c>
      <c r="C2513" s="309" t="s">
        <v>503</v>
      </c>
      <c r="D2513" s="136" t="str">
        <f t="array" ref="D2513">IF(E2513=0,0,(INDEX(AccountCodes[ACCOUNT NAME],MATCH(E2513,AccountCodes[NGAS CODE],0))))</f>
        <v>Other Bonuses and Allowances - Meal Allowance</v>
      </c>
      <c r="E2513" s="309" t="s">
        <v>6</v>
      </c>
      <c r="F2513" s="501">
        <v>198</v>
      </c>
    </row>
    <row r="2514" spans="1:6">
      <c r="A2514" s="308">
        <v>43251</v>
      </c>
      <c r="B2514" s="309" t="s">
        <v>486</v>
      </c>
      <c r="C2514" s="309" t="s">
        <v>503</v>
      </c>
      <c r="D2514" s="136" t="str">
        <f t="array" ref="D2514">IF(E2514=0,0,(INDEX(AccountCodes[ACCOUNT NAME],MATCH(E2514,AccountCodes[NGAS CODE],0))))</f>
        <v>Other Bonuses and Allowances - Meal Allowance</v>
      </c>
      <c r="E2514" s="309" t="s">
        <v>6</v>
      </c>
      <c r="F2514" s="501">
        <v>198</v>
      </c>
    </row>
    <row r="2515" spans="1:6">
      <c r="A2515" s="308">
        <v>43281</v>
      </c>
      <c r="B2515" s="309" t="s">
        <v>486</v>
      </c>
      <c r="C2515" s="309" t="s">
        <v>503</v>
      </c>
      <c r="D2515" s="136" t="str">
        <f t="array" ref="D2515">IF(E2515=0,0,(INDEX(AccountCodes[ACCOUNT NAME],MATCH(E2515,AccountCodes[NGAS CODE],0))))</f>
        <v>Other Bonuses and Allowances - Meal Allowance</v>
      </c>
      <c r="E2515" s="309" t="s">
        <v>6</v>
      </c>
      <c r="F2515" s="501">
        <v>198</v>
      </c>
    </row>
    <row r="2516" spans="1:6">
      <c r="A2516" s="308">
        <v>43312</v>
      </c>
      <c r="B2516" s="309" t="s">
        <v>486</v>
      </c>
      <c r="C2516" s="309" t="s">
        <v>503</v>
      </c>
      <c r="D2516" s="136" t="str">
        <f t="array" ref="D2516">IF(E2516=0,0,(INDEX(AccountCodes[ACCOUNT NAME],MATCH(E2516,AccountCodes[NGAS CODE],0))))</f>
        <v>Other Bonuses and Allowances - Meal Allowance</v>
      </c>
      <c r="E2516" s="309" t="s">
        <v>6</v>
      </c>
      <c r="F2516" s="501">
        <v>198</v>
      </c>
    </row>
    <row r="2517" spans="1:6">
      <c r="A2517" s="308">
        <v>43343</v>
      </c>
      <c r="B2517" s="309" t="s">
        <v>486</v>
      </c>
      <c r="C2517" s="309" t="s">
        <v>503</v>
      </c>
      <c r="D2517" s="136" t="str">
        <f t="array" ref="D2517">IF(E2517=0,0,(INDEX(AccountCodes[ACCOUNT NAME],MATCH(E2517,AccountCodes[NGAS CODE],0))))</f>
        <v>Other Bonuses and Allowances - Meal Allowance</v>
      </c>
      <c r="E2517" s="309" t="s">
        <v>6</v>
      </c>
      <c r="F2517" s="501">
        <v>198</v>
      </c>
    </row>
    <row r="2518" spans="1:6">
      <c r="A2518" s="308">
        <v>43373</v>
      </c>
      <c r="B2518" s="309" t="s">
        <v>486</v>
      </c>
      <c r="C2518" s="309" t="s">
        <v>503</v>
      </c>
      <c r="D2518" s="136" t="str">
        <f t="array" ref="D2518">IF(E2518=0,0,(INDEX(AccountCodes[ACCOUNT NAME],MATCH(E2518,AccountCodes[NGAS CODE],0))))</f>
        <v>Other Bonuses and Allowances - Meal Allowance</v>
      </c>
      <c r="E2518" s="309" t="s">
        <v>6</v>
      </c>
      <c r="F2518" s="501">
        <v>198</v>
      </c>
    </row>
    <row r="2519" spans="1:6">
      <c r="A2519" s="308">
        <v>43404</v>
      </c>
      <c r="B2519" s="309" t="s">
        <v>486</v>
      </c>
      <c r="C2519" s="309" t="s">
        <v>503</v>
      </c>
      <c r="D2519" s="136" t="str">
        <f t="array" ref="D2519">IF(E2519=0,0,(INDEX(AccountCodes[ACCOUNT NAME],MATCH(E2519,AccountCodes[NGAS CODE],0))))</f>
        <v>Other Bonuses and Allowances - Meal Allowance</v>
      </c>
      <c r="E2519" s="309" t="s">
        <v>6</v>
      </c>
      <c r="F2519" s="501">
        <v>198</v>
      </c>
    </row>
    <row r="2520" spans="1:6">
      <c r="A2520" s="308">
        <v>43434</v>
      </c>
      <c r="B2520" s="309" t="s">
        <v>486</v>
      </c>
      <c r="C2520" s="309" t="s">
        <v>503</v>
      </c>
      <c r="D2520" s="136" t="str">
        <f t="array" ref="D2520">IF(E2520=0,0,(INDEX(AccountCodes[ACCOUNT NAME],MATCH(E2520,AccountCodes[NGAS CODE],0))))</f>
        <v>Other Bonuses and Allowances - Meal Allowance</v>
      </c>
      <c r="E2520" s="309" t="s">
        <v>6</v>
      </c>
      <c r="F2520" s="501">
        <v>198</v>
      </c>
    </row>
    <row r="2521" spans="1:6">
      <c r="A2521" s="308">
        <v>43465</v>
      </c>
      <c r="B2521" s="309" t="s">
        <v>486</v>
      </c>
      <c r="C2521" s="309" t="s">
        <v>503</v>
      </c>
      <c r="D2521" s="136" t="str">
        <f t="array" ref="D2521">IF(E2521=0,0,(INDEX(AccountCodes[ACCOUNT NAME],MATCH(E2521,AccountCodes[NGAS CODE],0))))</f>
        <v>Other Bonuses and Allowances - Meal Allowance</v>
      </c>
      <c r="E2521" s="309" t="s">
        <v>6</v>
      </c>
      <c r="F2521" s="501">
        <v>198</v>
      </c>
    </row>
    <row r="2522" spans="1:6">
      <c r="A2522" s="308">
        <v>43465</v>
      </c>
      <c r="B2522" s="309" t="s">
        <v>486</v>
      </c>
      <c r="C2522" s="309" t="s">
        <v>503</v>
      </c>
      <c r="D2522" s="136" t="str">
        <f t="array" ref="D2522">IF(E2522=0,0,(INDEX(AccountCodes[ACCOUNT NAME],MATCH(E2522,AccountCodes[NGAS CODE],0))))</f>
        <v>Cash Gift</v>
      </c>
      <c r="E2522" s="309" t="s">
        <v>172</v>
      </c>
      <c r="F2522" s="501">
        <v>90000</v>
      </c>
    </row>
    <row r="2523" spans="1:6">
      <c r="A2523" s="308">
        <v>43251</v>
      </c>
      <c r="B2523" s="309" t="s">
        <v>486</v>
      </c>
      <c r="C2523" s="309" t="s">
        <v>503</v>
      </c>
      <c r="D2523" s="136" t="str">
        <f t="array" ref="D2523">IF(E2523=0,0,(INDEX(AccountCodes[ACCOUNT NAME],MATCH(E2523,AccountCodes[NGAS CODE],0))))</f>
        <v>Mid-Year/Year End Bonus</v>
      </c>
      <c r="E2523" s="309" t="s">
        <v>174</v>
      </c>
      <c r="F2523" s="501">
        <v>367367</v>
      </c>
    </row>
    <row r="2524" spans="1:6">
      <c r="A2524" s="308">
        <v>43465</v>
      </c>
      <c r="B2524" s="309" t="s">
        <v>486</v>
      </c>
      <c r="C2524" s="309" t="s">
        <v>503</v>
      </c>
      <c r="D2524" s="136" t="str">
        <f t="array" ref="D2524">IF(E2524=0,0,(INDEX(AccountCodes[ACCOUNT NAME],MATCH(E2524,AccountCodes[NGAS CODE],0))))</f>
        <v>Mid-Year/Year End Bonus</v>
      </c>
      <c r="E2524" s="309" t="s">
        <v>174</v>
      </c>
      <c r="F2524" s="501">
        <v>367367</v>
      </c>
    </row>
    <row r="2525" spans="1:6">
      <c r="A2525" s="308">
        <v>43131</v>
      </c>
      <c r="B2525" s="309" t="s">
        <v>486</v>
      </c>
      <c r="C2525" s="309" t="s">
        <v>503</v>
      </c>
      <c r="D2525" s="136" t="str">
        <f t="array" ref="D2525">IF(E2525=0,0,(INDEX(AccountCodes[ACCOUNT NAME],MATCH(E2525,AccountCodes[NGAS CODE],0))))</f>
        <v>Retirement and Life Insurance Premiums</v>
      </c>
      <c r="E2525" s="309" t="s">
        <v>175</v>
      </c>
      <c r="F2525" s="501">
        <v>44084.04</v>
      </c>
    </row>
    <row r="2526" spans="1:6">
      <c r="A2526" s="308">
        <v>43159</v>
      </c>
      <c r="B2526" s="309" t="s">
        <v>486</v>
      </c>
      <c r="C2526" s="309" t="s">
        <v>503</v>
      </c>
      <c r="D2526" s="136" t="str">
        <f t="array" ref="D2526">IF(E2526=0,0,(INDEX(AccountCodes[ACCOUNT NAME],MATCH(E2526,AccountCodes[NGAS CODE],0))))</f>
        <v>Retirement and Life Insurance Premiums</v>
      </c>
      <c r="E2526" s="309" t="s">
        <v>175</v>
      </c>
      <c r="F2526" s="501">
        <v>44084.04</v>
      </c>
    </row>
    <row r="2527" spans="1:6">
      <c r="A2527" s="308">
        <v>43190</v>
      </c>
      <c r="B2527" s="309" t="s">
        <v>486</v>
      </c>
      <c r="C2527" s="309" t="s">
        <v>503</v>
      </c>
      <c r="D2527" s="136" t="str">
        <f t="array" ref="D2527">IF(E2527=0,0,(INDEX(AccountCodes[ACCOUNT NAME],MATCH(E2527,AccountCodes[NGAS CODE],0))))</f>
        <v>Retirement and Life Insurance Premiums</v>
      </c>
      <c r="E2527" s="309" t="s">
        <v>175</v>
      </c>
      <c r="F2527" s="501">
        <v>44084.04</v>
      </c>
    </row>
    <row r="2528" spans="1:6">
      <c r="A2528" s="308">
        <v>43220</v>
      </c>
      <c r="B2528" s="309" t="s">
        <v>486</v>
      </c>
      <c r="C2528" s="309" t="s">
        <v>503</v>
      </c>
      <c r="D2528" s="136" t="str">
        <f t="array" ref="D2528">IF(E2528=0,0,(INDEX(AccountCodes[ACCOUNT NAME],MATCH(E2528,AccountCodes[NGAS CODE],0))))</f>
        <v>Retirement and Life Insurance Premiums</v>
      </c>
      <c r="E2528" s="309" t="s">
        <v>175</v>
      </c>
      <c r="F2528" s="501">
        <v>44084.04</v>
      </c>
    </row>
    <row r="2529" spans="1:6">
      <c r="A2529" s="308">
        <v>43251</v>
      </c>
      <c r="B2529" s="309" t="s">
        <v>486</v>
      </c>
      <c r="C2529" s="309" t="s">
        <v>503</v>
      </c>
      <c r="D2529" s="136" t="str">
        <f t="array" ref="D2529">IF(E2529=0,0,(INDEX(AccountCodes[ACCOUNT NAME],MATCH(E2529,AccountCodes[NGAS CODE],0))))</f>
        <v>Retirement and Life Insurance Premiums</v>
      </c>
      <c r="E2529" s="309" t="s">
        <v>175</v>
      </c>
      <c r="F2529" s="501">
        <v>44084.04</v>
      </c>
    </row>
    <row r="2530" spans="1:6">
      <c r="A2530" s="308">
        <v>43281</v>
      </c>
      <c r="B2530" s="309" t="s">
        <v>486</v>
      </c>
      <c r="C2530" s="309" t="s">
        <v>503</v>
      </c>
      <c r="D2530" s="136" t="str">
        <f t="array" ref="D2530">IF(E2530=0,0,(INDEX(AccountCodes[ACCOUNT NAME],MATCH(E2530,AccountCodes[NGAS CODE],0))))</f>
        <v>Retirement and Life Insurance Premiums</v>
      </c>
      <c r="E2530" s="309" t="s">
        <v>175</v>
      </c>
      <c r="F2530" s="501">
        <v>44084.04</v>
      </c>
    </row>
    <row r="2531" spans="1:6">
      <c r="A2531" s="308">
        <v>43312</v>
      </c>
      <c r="B2531" s="309" t="s">
        <v>486</v>
      </c>
      <c r="C2531" s="309" t="s">
        <v>503</v>
      </c>
      <c r="D2531" s="136" t="str">
        <f t="array" ref="D2531">IF(E2531=0,0,(INDEX(AccountCodes[ACCOUNT NAME],MATCH(E2531,AccountCodes[NGAS CODE],0))))</f>
        <v>Retirement and Life Insurance Premiums</v>
      </c>
      <c r="E2531" s="309" t="s">
        <v>175</v>
      </c>
      <c r="F2531" s="501">
        <v>44084.04</v>
      </c>
    </row>
    <row r="2532" spans="1:6">
      <c r="A2532" s="308">
        <v>43343</v>
      </c>
      <c r="B2532" s="309" t="s">
        <v>486</v>
      </c>
      <c r="C2532" s="309" t="s">
        <v>503</v>
      </c>
      <c r="D2532" s="136" t="str">
        <f t="array" ref="D2532">IF(E2532=0,0,(INDEX(AccountCodes[ACCOUNT NAME],MATCH(E2532,AccountCodes[NGAS CODE],0))))</f>
        <v>Retirement and Life Insurance Premiums</v>
      </c>
      <c r="E2532" s="309" t="s">
        <v>175</v>
      </c>
      <c r="F2532" s="501">
        <v>44084.04</v>
      </c>
    </row>
    <row r="2533" spans="1:6">
      <c r="A2533" s="308">
        <v>43373</v>
      </c>
      <c r="B2533" s="309" t="s">
        <v>486</v>
      </c>
      <c r="C2533" s="309" t="s">
        <v>503</v>
      </c>
      <c r="D2533" s="136" t="str">
        <f t="array" ref="D2533">IF(E2533=0,0,(INDEX(AccountCodes[ACCOUNT NAME],MATCH(E2533,AccountCodes[NGAS CODE],0))))</f>
        <v>Retirement and Life Insurance Premiums</v>
      </c>
      <c r="E2533" s="309" t="s">
        <v>175</v>
      </c>
      <c r="F2533" s="501">
        <v>44084.04</v>
      </c>
    </row>
    <row r="2534" spans="1:6">
      <c r="A2534" s="308">
        <v>43404</v>
      </c>
      <c r="B2534" s="309" t="s">
        <v>486</v>
      </c>
      <c r="C2534" s="309" t="s">
        <v>503</v>
      </c>
      <c r="D2534" s="136" t="str">
        <f t="array" ref="D2534">IF(E2534=0,0,(INDEX(AccountCodes[ACCOUNT NAME],MATCH(E2534,AccountCodes[NGAS CODE],0))))</f>
        <v>Retirement and Life Insurance Premiums</v>
      </c>
      <c r="E2534" s="309" t="s">
        <v>175</v>
      </c>
      <c r="F2534" s="501">
        <v>44084.04</v>
      </c>
    </row>
    <row r="2535" spans="1:6">
      <c r="A2535" s="308">
        <v>43434</v>
      </c>
      <c r="B2535" s="309" t="s">
        <v>486</v>
      </c>
      <c r="C2535" s="309" t="s">
        <v>503</v>
      </c>
      <c r="D2535" s="136" t="str">
        <f t="array" ref="D2535">IF(E2535=0,0,(INDEX(AccountCodes[ACCOUNT NAME],MATCH(E2535,AccountCodes[NGAS CODE],0))))</f>
        <v>Retirement and Life Insurance Premiums</v>
      </c>
      <c r="E2535" s="309" t="s">
        <v>175</v>
      </c>
      <c r="F2535" s="501">
        <v>44084.04</v>
      </c>
    </row>
    <row r="2536" spans="1:6">
      <c r="A2536" s="308">
        <v>43465</v>
      </c>
      <c r="B2536" s="309" t="s">
        <v>486</v>
      </c>
      <c r="C2536" s="309" t="s">
        <v>503</v>
      </c>
      <c r="D2536" s="136" t="str">
        <f t="array" ref="D2536">IF(E2536=0,0,(INDEX(AccountCodes[ACCOUNT NAME],MATCH(E2536,AccountCodes[NGAS CODE],0))))</f>
        <v>Retirement and Life Insurance Premiums</v>
      </c>
      <c r="E2536" s="309" t="s">
        <v>175</v>
      </c>
      <c r="F2536" s="501">
        <v>44084.04</v>
      </c>
    </row>
    <row r="2537" spans="1:6">
      <c r="A2537" s="308">
        <v>43131</v>
      </c>
      <c r="B2537" s="309" t="s">
        <v>486</v>
      </c>
      <c r="C2537" s="309" t="s">
        <v>503</v>
      </c>
      <c r="D2537" s="136" t="str">
        <f t="array" ref="D2537">IF(E2537=0,0,(INDEX(AccountCodes[ACCOUNT NAME],MATCH(E2537,AccountCodes[NGAS CODE],0))))</f>
        <v>Pag-IBIG Contributions</v>
      </c>
      <c r="E2537" s="309" t="s">
        <v>176</v>
      </c>
      <c r="F2537" s="501">
        <v>1800</v>
      </c>
    </row>
    <row r="2538" spans="1:6">
      <c r="A2538" s="308">
        <v>43159</v>
      </c>
      <c r="B2538" s="309" t="s">
        <v>486</v>
      </c>
      <c r="C2538" s="309" t="s">
        <v>503</v>
      </c>
      <c r="D2538" s="136" t="str">
        <f t="array" ref="D2538">IF(E2538=0,0,(INDEX(AccountCodes[ACCOUNT NAME],MATCH(E2538,AccountCodes[NGAS CODE],0))))</f>
        <v>Pag-IBIG Contributions</v>
      </c>
      <c r="E2538" s="309" t="s">
        <v>176</v>
      </c>
      <c r="F2538" s="501">
        <v>1800</v>
      </c>
    </row>
    <row r="2539" spans="1:6">
      <c r="A2539" s="308">
        <v>43190</v>
      </c>
      <c r="B2539" s="309" t="s">
        <v>486</v>
      </c>
      <c r="C2539" s="309" t="s">
        <v>503</v>
      </c>
      <c r="D2539" s="136" t="str">
        <f t="array" ref="D2539">IF(E2539=0,0,(INDEX(AccountCodes[ACCOUNT NAME],MATCH(E2539,AccountCodes[NGAS CODE],0))))</f>
        <v>Pag-IBIG Contributions</v>
      </c>
      <c r="E2539" s="309" t="s">
        <v>176</v>
      </c>
      <c r="F2539" s="501">
        <v>1800</v>
      </c>
    </row>
    <row r="2540" spans="1:6">
      <c r="A2540" s="308">
        <v>43220</v>
      </c>
      <c r="B2540" s="309" t="s">
        <v>486</v>
      </c>
      <c r="C2540" s="309" t="s">
        <v>503</v>
      </c>
      <c r="D2540" s="136" t="str">
        <f t="array" ref="D2540">IF(E2540=0,0,(INDEX(AccountCodes[ACCOUNT NAME],MATCH(E2540,AccountCodes[NGAS CODE],0))))</f>
        <v>Pag-IBIG Contributions</v>
      </c>
      <c r="E2540" s="309" t="s">
        <v>176</v>
      </c>
      <c r="F2540" s="501">
        <v>1800</v>
      </c>
    </row>
    <row r="2541" spans="1:6">
      <c r="A2541" s="308">
        <v>43251</v>
      </c>
      <c r="B2541" s="309" t="s">
        <v>486</v>
      </c>
      <c r="C2541" s="309" t="s">
        <v>503</v>
      </c>
      <c r="D2541" s="136" t="str">
        <f t="array" ref="D2541">IF(E2541=0,0,(INDEX(AccountCodes[ACCOUNT NAME],MATCH(E2541,AccountCodes[NGAS CODE],0))))</f>
        <v>Pag-IBIG Contributions</v>
      </c>
      <c r="E2541" s="309" t="s">
        <v>176</v>
      </c>
      <c r="F2541" s="501">
        <v>1800</v>
      </c>
    </row>
    <row r="2542" spans="1:6">
      <c r="A2542" s="308">
        <v>43281</v>
      </c>
      <c r="B2542" s="309" t="s">
        <v>486</v>
      </c>
      <c r="C2542" s="309" t="s">
        <v>503</v>
      </c>
      <c r="D2542" s="136" t="str">
        <f t="array" ref="D2542">IF(E2542=0,0,(INDEX(AccountCodes[ACCOUNT NAME],MATCH(E2542,AccountCodes[NGAS CODE],0))))</f>
        <v>Pag-IBIG Contributions</v>
      </c>
      <c r="E2542" s="309" t="s">
        <v>176</v>
      </c>
      <c r="F2542" s="501">
        <v>1800</v>
      </c>
    </row>
    <row r="2543" spans="1:6">
      <c r="A2543" s="308">
        <v>43312</v>
      </c>
      <c r="B2543" s="309" t="s">
        <v>486</v>
      </c>
      <c r="C2543" s="309" t="s">
        <v>503</v>
      </c>
      <c r="D2543" s="136" t="str">
        <f t="array" ref="D2543">IF(E2543=0,0,(INDEX(AccountCodes[ACCOUNT NAME],MATCH(E2543,AccountCodes[NGAS CODE],0))))</f>
        <v>Pag-IBIG Contributions</v>
      </c>
      <c r="E2543" s="309" t="s">
        <v>176</v>
      </c>
      <c r="F2543" s="501">
        <v>1800</v>
      </c>
    </row>
    <row r="2544" spans="1:6">
      <c r="A2544" s="308">
        <v>43343</v>
      </c>
      <c r="B2544" s="309" t="s">
        <v>486</v>
      </c>
      <c r="C2544" s="309" t="s">
        <v>503</v>
      </c>
      <c r="D2544" s="136" t="str">
        <f t="array" ref="D2544">IF(E2544=0,0,(INDEX(AccountCodes[ACCOUNT NAME],MATCH(E2544,AccountCodes[NGAS CODE],0))))</f>
        <v>Pag-IBIG Contributions</v>
      </c>
      <c r="E2544" s="309" t="s">
        <v>176</v>
      </c>
      <c r="F2544" s="501">
        <v>1800</v>
      </c>
    </row>
    <row r="2545" spans="1:6">
      <c r="A2545" s="308">
        <v>43373</v>
      </c>
      <c r="B2545" s="309" t="s">
        <v>486</v>
      </c>
      <c r="C2545" s="309" t="s">
        <v>503</v>
      </c>
      <c r="D2545" s="136" t="str">
        <f t="array" ref="D2545">IF(E2545=0,0,(INDEX(AccountCodes[ACCOUNT NAME],MATCH(E2545,AccountCodes[NGAS CODE],0))))</f>
        <v>Pag-IBIG Contributions</v>
      </c>
      <c r="E2545" s="309" t="s">
        <v>176</v>
      </c>
      <c r="F2545" s="501">
        <v>1800</v>
      </c>
    </row>
    <row r="2546" spans="1:6">
      <c r="A2546" s="308">
        <v>43404</v>
      </c>
      <c r="B2546" s="309" t="s">
        <v>486</v>
      </c>
      <c r="C2546" s="309" t="s">
        <v>503</v>
      </c>
      <c r="D2546" s="136" t="str">
        <f t="array" ref="D2546">IF(E2546=0,0,(INDEX(AccountCodes[ACCOUNT NAME],MATCH(E2546,AccountCodes[NGAS CODE],0))))</f>
        <v>Pag-IBIG Contributions</v>
      </c>
      <c r="E2546" s="309" t="s">
        <v>176</v>
      </c>
      <c r="F2546" s="501">
        <v>1800</v>
      </c>
    </row>
    <row r="2547" spans="1:6">
      <c r="A2547" s="308">
        <v>43434</v>
      </c>
      <c r="B2547" s="309" t="s">
        <v>486</v>
      </c>
      <c r="C2547" s="309" t="s">
        <v>503</v>
      </c>
      <c r="D2547" s="136" t="str">
        <f t="array" ref="D2547">IF(E2547=0,0,(INDEX(AccountCodes[ACCOUNT NAME],MATCH(E2547,AccountCodes[NGAS CODE],0))))</f>
        <v>Pag-IBIG Contributions</v>
      </c>
      <c r="E2547" s="309" t="s">
        <v>176</v>
      </c>
      <c r="F2547" s="501">
        <v>1800</v>
      </c>
    </row>
    <row r="2548" spans="1:6">
      <c r="A2548" s="308">
        <v>43465</v>
      </c>
      <c r="B2548" s="309" t="s">
        <v>486</v>
      </c>
      <c r="C2548" s="309" t="s">
        <v>503</v>
      </c>
      <c r="D2548" s="136" t="str">
        <f t="array" ref="D2548">IF(E2548=0,0,(INDEX(AccountCodes[ACCOUNT NAME],MATCH(E2548,AccountCodes[NGAS CODE],0))))</f>
        <v>Pag-IBIG Contributions</v>
      </c>
      <c r="E2548" s="309" t="s">
        <v>176</v>
      </c>
      <c r="F2548" s="501">
        <v>1800</v>
      </c>
    </row>
    <row r="2549" spans="1:6">
      <c r="A2549" s="308">
        <v>43131</v>
      </c>
      <c r="B2549" s="309" t="s">
        <v>486</v>
      </c>
      <c r="C2549" s="309" t="s">
        <v>503</v>
      </c>
      <c r="D2549" s="136" t="str">
        <f t="array" ref="D2549">IF(E2549=0,0,(INDEX(AccountCodes[ACCOUNT NAME],MATCH(E2549,AccountCodes[NGAS CODE],0))))</f>
        <v>PhilHealth Contributions</v>
      </c>
      <c r="E2549" s="309" t="s">
        <v>177</v>
      </c>
      <c r="F2549" s="501">
        <v>4387.5</v>
      </c>
    </row>
    <row r="2550" spans="1:6">
      <c r="A2550" s="308">
        <v>43159</v>
      </c>
      <c r="B2550" s="309" t="s">
        <v>486</v>
      </c>
      <c r="C2550" s="309" t="s">
        <v>503</v>
      </c>
      <c r="D2550" s="136" t="str">
        <f t="array" ref="D2550">IF(E2550=0,0,(INDEX(AccountCodes[ACCOUNT NAME],MATCH(E2550,AccountCodes[NGAS CODE],0))))</f>
        <v>PhilHealth Contributions</v>
      </c>
      <c r="E2550" s="309" t="s">
        <v>177</v>
      </c>
      <c r="F2550" s="501">
        <v>4387.5</v>
      </c>
    </row>
    <row r="2551" spans="1:6">
      <c r="A2551" s="308">
        <v>43190</v>
      </c>
      <c r="B2551" s="309" t="s">
        <v>486</v>
      </c>
      <c r="C2551" s="309" t="s">
        <v>503</v>
      </c>
      <c r="D2551" s="136" t="str">
        <f t="array" ref="D2551">IF(E2551=0,0,(INDEX(AccountCodes[ACCOUNT NAME],MATCH(E2551,AccountCodes[NGAS CODE],0))))</f>
        <v>PhilHealth Contributions</v>
      </c>
      <c r="E2551" s="309" t="s">
        <v>177</v>
      </c>
      <c r="F2551" s="501">
        <v>4387.5</v>
      </c>
    </row>
    <row r="2552" spans="1:6">
      <c r="A2552" s="308">
        <v>43220</v>
      </c>
      <c r="B2552" s="309" t="s">
        <v>486</v>
      </c>
      <c r="C2552" s="309" t="s">
        <v>503</v>
      </c>
      <c r="D2552" s="136" t="str">
        <f t="array" ref="D2552">IF(E2552=0,0,(INDEX(AccountCodes[ACCOUNT NAME],MATCH(E2552,AccountCodes[NGAS CODE],0))))</f>
        <v>PhilHealth Contributions</v>
      </c>
      <c r="E2552" s="309" t="s">
        <v>177</v>
      </c>
      <c r="F2552" s="501">
        <v>4387.5</v>
      </c>
    </row>
    <row r="2553" spans="1:6">
      <c r="A2553" s="308">
        <v>43251</v>
      </c>
      <c r="B2553" s="309" t="s">
        <v>486</v>
      </c>
      <c r="C2553" s="309" t="s">
        <v>503</v>
      </c>
      <c r="D2553" s="136" t="str">
        <f t="array" ref="D2553">IF(E2553=0,0,(INDEX(AccountCodes[ACCOUNT NAME],MATCH(E2553,AccountCodes[NGAS CODE],0))))</f>
        <v>PhilHealth Contributions</v>
      </c>
      <c r="E2553" s="309" t="s">
        <v>177</v>
      </c>
      <c r="F2553" s="501">
        <v>4387.5</v>
      </c>
    </row>
    <row r="2554" spans="1:6">
      <c r="A2554" s="308">
        <v>43281</v>
      </c>
      <c r="B2554" s="309" t="s">
        <v>486</v>
      </c>
      <c r="C2554" s="309" t="s">
        <v>503</v>
      </c>
      <c r="D2554" s="136" t="str">
        <f t="array" ref="D2554">IF(E2554=0,0,(INDEX(AccountCodes[ACCOUNT NAME],MATCH(E2554,AccountCodes[NGAS CODE],0))))</f>
        <v>PhilHealth Contributions</v>
      </c>
      <c r="E2554" s="309" t="s">
        <v>177</v>
      </c>
      <c r="F2554" s="501">
        <v>4387.5</v>
      </c>
    </row>
    <row r="2555" spans="1:6">
      <c r="A2555" s="308">
        <v>43312</v>
      </c>
      <c r="B2555" s="309" t="s">
        <v>486</v>
      </c>
      <c r="C2555" s="309" t="s">
        <v>503</v>
      </c>
      <c r="D2555" s="136" t="str">
        <f t="array" ref="D2555">IF(E2555=0,0,(INDEX(AccountCodes[ACCOUNT NAME],MATCH(E2555,AccountCodes[NGAS CODE],0))))</f>
        <v>PhilHealth Contributions</v>
      </c>
      <c r="E2555" s="309" t="s">
        <v>177</v>
      </c>
      <c r="F2555" s="501">
        <v>4387.5</v>
      </c>
    </row>
    <row r="2556" spans="1:6">
      <c r="A2556" s="308">
        <v>43343</v>
      </c>
      <c r="B2556" s="309" t="s">
        <v>486</v>
      </c>
      <c r="C2556" s="309" t="s">
        <v>503</v>
      </c>
      <c r="D2556" s="136" t="str">
        <f t="array" ref="D2556">IF(E2556=0,0,(INDEX(AccountCodes[ACCOUNT NAME],MATCH(E2556,AccountCodes[NGAS CODE],0))))</f>
        <v>PhilHealth Contributions</v>
      </c>
      <c r="E2556" s="309" t="s">
        <v>177</v>
      </c>
      <c r="F2556" s="501">
        <v>4387.5</v>
      </c>
    </row>
    <row r="2557" spans="1:6">
      <c r="A2557" s="308">
        <v>43373</v>
      </c>
      <c r="B2557" s="309" t="s">
        <v>486</v>
      </c>
      <c r="C2557" s="309" t="s">
        <v>503</v>
      </c>
      <c r="D2557" s="136" t="str">
        <f t="array" ref="D2557">IF(E2557=0,0,(INDEX(AccountCodes[ACCOUNT NAME],MATCH(E2557,AccountCodes[NGAS CODE],0))))</f>
        <v>PhilHealth Contributions</v>
      </c>
      <c r="E2557" s="309" t="s">
        <v>177</v>
      </c>
      <c r="F2557" s="501">
        <v>4387.5</v>
      </c>
    </row>
    <row r="2558" spans="1:6">
      <c r="A2558" s="308">
        <v>43404</v>
      </c>
      <c r="B2558" s="309" t="s">
        <v>486</v>
      </c>
      <c r="C2558" s="309" t="s">
        <v>503</v>
      </c>
      <c r="D2558" s="136" t="str">
        <f t="array" ref="D2558">IF(E2558=0,0,(INDEX(AccountCodes[ACCOUNT NAME],MATCH(E2558,AccountCodes[NGAS CODE],0))))</f>
        <v>PhilHealth Contributions</v>
      </c>
      <c r="E2558" s="309" t="s">
        <v>177</v>
      </c>
      <c r="F2558" s="501">
        <v>4387.5</v>
      </c>
    </row>
    <row r="2559" spans="1:6">
      <c r="A2559" s="308">
        <v>43434</v>
      </c>
      <c r="B2559" s="309" t="s">
        <v>486</v>
      </c>
      <c r="C2559" s="309" t="s">
        <v>503</v>
      </c>
      <c r="D2559" s="136" t="str">
        <f t="array" ref="D2559">IF(E2559=0,0,(INDEX(AccountCodes[ACCOUNT NAME],MATCH(E2559,AccountCodes[NGAS CODE],0))))</f>
        <v>PhilHealth Contributions</v>
      </c>
      <c r="E2559" s="309" t="s">
        <v>177</v>
      </c>
      <c r="F2559" s="501">
        <v>4387.5</v>
      </c>
    </row>
    <row r="2560" spans="1:6">
      <c r="A2560" s="308">
        <v>43465</v>
      </c>
      <c r="B2560" s="309" t="s">
        <v>486</v>
      </c>
      <c r="C2560" s="309" t="s">
        <v>503</v>
      </c>
      <c r="D2560" s="136" t="str">
        <f t="array" ref="D2560">IF(E2560=0,0,(INDEX(AccountCodes[ACCOUNT NAME],MATCH(E2560,AccountCodes[NGAS CODE],0))))</f>
        <v>PhilHealth Contributions</v>
      </c>
      <c r="E2560" s="309" t="s">
        <v>177</v>
      </c>
      <c r="F2560" s="501">
        <v>4387.5</v>
      </c>
    </row>
    <row r="2561" spans="1:6">
      <c r="A2561" s="308">
        <v>43131</v>
      </c>
      <c r="B2561" s="309" t="s">
        <v>486</v>
      </c>
      <c r="C2561" s="309" t="s">
        <v>503</v>
      </c>
      <c r="D2561" s="136" t="str">
        <f t="array" ref="D2561">IF(E2561=0,0,(INDEX(AccountCodes[ACCOUNT NAME],MATCH(E2561,AccountCodes[NGAS CODE],0))))</f>
        <v>Employees Compensation Insurance Premiums</v>
      </c>
      <c r="E2561" s="309" t="s">
        <v>178</v>
      </c>
      <c r="F2561" s="501">
        <v>1800</v>
      </c>
    </row>
    <row r="2562" spans="1:6">
      <c r="A2562" s="308">
        <v>43159</v>
      </c>
      <c r="B2562" s="309" t="s">
        <v>486</v>
      </c>
      <c r="C2562" s="309" t="s">
        <v>503</v>
      </c>
      <c r="D2562" s="136" t="str">
        <f t="array" ref="D2562">IF(E2562=0,0,(INDEX(AccountCodes[ACCOUNT NAME],MATCH(E2562,AccountCodes[NGAS CODE],0))))</f>
        <v>Employees Compensation Insurance Premiums</v>
      </c>
      <c r="E2562" s="309" t="s">
        <v>178</v>
      </c>
      <c r="F2562" s="501">
        <v>1800</v>
      </c>
    </row>
    <row r="2563" spans="1:6">
      <c r="A2563" s="308">
        <v>43190</v>
      </c>
      <c r="B2563" s="309" t="s">
        <v>486</v>
      </c>
      <c r="C2563" s="309" t="s">
        <v>503</v>
      </c>
      <c r="D2563" s="136" t="str">
        <f t="array" ref="D2563">IF(E2563=0,0,(INDEX(AccountCodes[ACCOUNT NAME],MATCH(E2563,AccountCodes[NGAS CODE],0))))</f>
        <v>Employees Compensation Insurance Premiums</v>
      </c>
      <c r="E2563" s="309" t="s">
        <v>178</v>
      </c>
      <c r="F2563" s="501">
        <v>1800</v>
      </c>
    </row>
    <row r="2564" spans="1:6">
      <c r="A2564" s="308">
        <v>43220</v>
      </c>
      <c r="B2564" s="309" t="s">
        <v>486</v>
      </c>
      <c r="C2564" s="309" t="s">
        <v>503</v>
      </c>
      <c r="D2564" s="136" t="str">
        <f t="array" ref="D2564">IF(E2564=0,0,(INDEX(AccountCodes[ACCOUNT NAME],MATCH(E2564,AccountCodes[NGAS CODE],0))))</f>
        <v>Employees Compensation Insurance Premiums</v>
      </c>
      <c r="E2564" s="309" t="s">
        <v>178</v>
      </c>
      <c r="F2564" s="501">
        <v>1800</v>
      </c>
    </row>
    <row r="2565" spans="1:6">
      <c r="A2565" s="308">
        <v>43251</v>
      </c>
      <c r="B2565" s="309" t="s">
        <v>486</v>
      </c>
      <c r="C2565" s="309" t="s">
        <v>503</v>
      </c>
      <c r="D2565" s="136" t="str">
        <f t="array" ref="D2565">IF(E2565=0,0,(INDEX(AccountCodes[ACCOUNT NAME],MATCH(E2565,AccountCodes[NGAS CODE],0))))</f>
        <v>Employees Compensation Insurance Premiums</v>
      </c>
      <c r="E2565" s="309" t="s">
        <v>178</v>
      </c>
      <c r="F2565" s="501">
        <v>1800</v>
      </c>
    </row>
    <row r="2566" spans="1:6">
      <c r="A2566" s="308">
        <v>43281</v>
      </c>
      <c r="B2566" s="309" t="s">
        <v>486</v>
      </c>
      <c r="C2566" s="309" t="s">
        <v>503</v>
      </c>
      <c r="D2566" s="136" t="str">
        <f t="array" ref="D2566">IF(E2566=0,0,(INDEX(AccountCodes[ACCOUNT NAME],MATCH(E2566,AccountCodes[NGAS CODE],0))))</f>
        <v>Employees Compensation Insurance Premiums</v>
      </c>
      <c r="E2566" s="309" t="s">
        <v>178</v>
      </c>
      <c r="F2566" s="501">
        <v>1800</v>
      </c>
    </row>
    <row r="2567" spans="1:6">
      <c r="A2567" s="308">
        <v>43312</v>
      </c>
      <c r="B2567" s="309" t="s">
        <v>486</v>
      </c>
      <c r="C2567" s="309" t="s">
        <v>503</v>
      </c>
      <c r="D2567" s="136" t="str">
        <f t="array" ref="D2567">IF(E2567=0,0,(INDEX(AccountCodes[ACCOUNT NAME],MATCH(E2567,AccountCodes[NGAS CODE],0))))</f>
        <v>Employees Compensation Insurance Premiums</v>
      </c>
      <c r="E2567" s="309" t="s">
        <v>178</v>
      </c>
      <c r="F2567" s="501">
        <v>1800</v>
      </c>
    </row>
    <row r="2568" spans="1:6">
      <c r="A2568" s="308">
        <v>43343</v>
      </c>
      <c r="B2568" s="309" t="s">
        <v>486</v>
      </c>
      <c r="C2568" s="309" t="s">
        <v>503</v>
      </c>
      <c r="D2568" s="136" t="str">
        <f t="array" ref="D2568">IF(E2568=0,0,(INDEX(AccountCodes[ACCOUNT NAME],MATCH(E2568,AccountCodes[NGAS CODE],0))))</f>
        <v>Employees Compensation Insurance Premiums</v>
      </c>
      <c r="E2568" s="309" t="s">
        <v>178</v>
      </c>
      <c r="F2568" s="501">
        <v>1800</v>
      </c>
    </row>
    <row r="2569" spans="1:6">
      <c r="A2569" s="308">
        <v>43373</v>
      </c>
      <c r="B2569" s="309" t="s">
        <v>486</v>
      </c>
      <c r="C2569" s="309" t="s">
        <v>503</v>
      </c>
      <c r="D2569" s="136" t="str">
        <f t="array" ref="D2569">IF(E2569=0,0,(INDEX(AccountCodes[ACCOUNT NAME],MATCH(E2569,AccountCodes[NGAS CODE],0))))</f>
        <v>Employees Compensation Insurance Premiums</v>
      </c>
      <c r="E2569" s="309" t="s">
        <v>178</v>
      </c>
      <c r="F2569" s="501">
        <v>1800</v>
      </c>
    </row>
    <row r="2570" spans="1:6">
      <c r="A2570" s="308">
        <v>43404</v>
      </c>
      <c r="B2570" s="309" t="s">
        <v>486</v>
      </c>
      <c r="C2570" s="309" t="s">
        <v>503</v>
      </c>
      <c r="D2570" s="136" t="str">
        <f t="array" ref="D2570">IF(E2570=0,0,(INDEX(AccountCodes[ACCOUNT NAME],MATCH(E2570,AccountCodes[NGAS CODE],0))))</f>
        <v>Employees Compensation Insurance Premiums</v>
      </c>
      <c r="E2570" s="309" t="s">
        <v>178</v>
      </c>
      <c r="F2570" s="501">
        <v>1800</v>
      </c>
    </row>
    <row r="2571" spans="1:6">
      <c r="A2571" s="308">
        <v>43434</v>
      </c>
      <c r="B2571" s="309" t="s">
        <v>486</v>
      </c>
      <c r="C2571" s="309" t="s">
        <v>503</v>
      </c>
      <c r="D2571" s="136" t="str">
        <f t="array" ref="D2571">IF(E2571=0,0,(INDEX(AccountCodes[ACCOUNT NAME],MATCH(E2571,AccountCodes[NGAS CODE],0))))</f>
        <v>Employees Compensation Insurance Premiums</v>
      </c>
      <c r="E2571" s="309" t="s">
        <v>178</v>
      </c>
      <c r="F2571" s="501">
        <v>1800</v>
      </c>
    </row>
    <row r="2572" spans="1:6">
      <c r="A2572" s="308">
        <v>43465</v>
      </c>
      <c r="B2572" s="309" t="s">
        <v>486</v>
      </c>
      <c r="C2572" s="309" t="s">
        <v>503</v>
      </c>
      <c r="D2572" s="136" t="str">
        <f t="array" ref="D2572">IF(E2572=0,0,(INDEX(AccountCodes[ACCOUNT NAME],MATCH(E2572,AccountCodes[NGAS CODE],0))))</f>
        <v>Employees Compensation Insurance Premiums</v>
      </c>
      <c r="E2572" s="309" t="s">
        <v>178</v>
      </c>
      <c r="F2572" s="501">
        <v>1800</v>
      </c>
    </row>
    <row r="2573" spans="1:6">
      <c r="A2573" s="308">
        <v>43131</v>
      </c>
      <c r="B2573" s="309" t="s">
        <v>486</v>
      </c>
      <c r="C2573" s="309" t="s">
        <v>503</v>
      </c>
      <c r="D2573" s="136" t="str">
        <f t="array" ref="D2573">IF(E2573=0,0,(INDEX(AccountCodes[ACCOUNT NAME],MATCH(E2573,AccountCodes[NGAS CODE],0))))</f>
        <v>Fuel, Oil and Lubricants Expenses</v>
      </c>
      <c r="E2573" s="309" t="s">
        <v>229</v>
      </c>
      <c r="F2573" s="501">
        <v>106903.98</v>
      </c>
    </row>
    <row r="2574" spans="1:6">
      <c r="A2574" s="308">
        <v>43159</v>
      </c>
      <c r="B2574" s="309" t="s">
        <v>486</v>
      </c>
      <c r="C2574" s="309" t="s">
        <v>503</v>
      </c>
      <c r="D2574" s="136" t="str">
        <f t="array" ref="D2574">IF(E2574=0,0,(INDEX(AccountCodes[ACCOUNT NAME],MATCH(E2574,AccountCodes[NGAS CODE],0))))</f>
        <v>Fuel, Oil and Lubricants Expenses</v>
      </c>
      <c r="E2574" s="309" t="s">
        <v>229</v>
      </c>
      <c r="F2574" s="501">
        <v>106903.98</v>
      </c>
    </row>
    <row r="2575" spans="1:6">
      <c r="A2575" s="308">
        <v>43190</v>
      </c>
      <c r="B2575" s="309" t="s">
        <v>486</v>
      </c>
      <c r="C2575" s="309" t="s">
        <v>503</v>
      </c>
      <c r="D2575" s="136" t="str">
        <f t="array" ref="D2575">IF(E2575=0,0,(INDEX(AccountCodes[ACCOUNT NAME],MATCH(E2575,AccountCodes[NGAS CODE],0))))</f>
        <v>Fuel, Oil and Lubricants Expenses</v>
      </c>
      <c r="E2575" s="309" t="s">
        <v>229</v>
      </c>
      <c r="F2575" s="501">
        <v>106903.98</v>
      </c>
    </row>
    <row r="2576" spans="1:6">
      <c r="A2576" s="308">
        <v>43220</v>
      </c>
      <c r="B2576" s="309" t="s">
        <v>486</v>
      </c>
      <c r="C2576" s="309" t="s">
        <v>503</v>
      </c>
      <c r="D2576" s="136" t="str">
        <f t="array" ref="D2576">IF(E2576=0,0,(INDEX(AccountCodes[ACCOUNT NAME],MATCH(E2576,AccountCodes[NGAS CODE],0))))</f>
        <v>Fuel, Oil and Lubricants Expenses</v>
      </c>
      <c r="E2576" s="309" t="s">
        <v>229</v>
      </c>
      <c r="F2576" s="501">
        <v>106903.98</v>
      </c>
    </row>
    <row r="2577" spans="1:6">
      <c r="A2577" s="308">
        <v>43251</v>
      </c>
      <c r="B2577" s="309" t="s">
        <v>486</v>
      </c>
      <c r="C2577" s="309" t="s">
        <v>503</v>
      </c>
      <c r="D2577" s="136" t="str">
        <f t="array" ref="D2577">IF(E2577=0,0,(INDEX(AccountCodes[ACCOUNT NAME],MATCH(E2577,AccountCodes[NGAS CODE],0))))</f>
        <v>Fuel, Oil and Lubricants Expenses</v>
      </c>
      <c r="E2577" s="309" t="s">
        <v>229</v>
      </c>
      <c r="F2577" s="501">
        <v>106903.98</v>
      </c>
    </row>
    <row r="2578" spans="1:6">
      <c r="A2578" s="308">
        <v>43281</v>
      </c>
      <c r="B2578" s="309" t="s">
        <v>486</v>
      </c>
      <c r="C2578" s="309" t="s">
        <v>503</v>
      </c>
      <c r="D2578" s="136" t="str">
        <f t="array" ref="D2578">IF(E2578=0,0,(INDEX(AccountCodes[ACCOUNT NAME],MATCH(E2578,AccountCodes[NGAS CODE],0))))</f>
        <v>Fuel, Oil and Lubricants Expenses</v>
      </c>
      <c r="E2578" s="309" t="s">
        <v>229</v>
      </c>
      <c r="F2578" s="501">
        <v>106903.98</v>
      </c>
    </row>
    <row r="2579" spans="1:6">
      <c r="A2579" s="308">
        <v>43312</v>
      </c>
      <c r="B2579" s="309" t="s">
        <v>486</v>
      </c>
      <c r="C2579" s="309" t="s">
        <v>503</v>
      </c>
      <c r="D2579" s="136" t="str">
        <f t="array" ref="D2579">IF(E2579=0,0,(INDEX(AccountCodes[ACCOUNT NAME],MATCH(E2579,AccountCodes[NGAS CODE],0))))</f>
        <v>Fuel, Oil and Lubricants Expenses</v>
      </c>
      <c r="E2579" s="309" t="s">
        <v>229</v>
      </c>
      <c r="F2579" s="501">
        <v>106903.98</v>
      </c>
    </row>
    <row r="2580" spans="1:6">
      <c r="A2580" s="308">
        <v>43343</v>
      </c>
      <c r="B2580" s="309" t="s">
        <v>486</v>
      </c>
      <c r="C2580" s="309" t="s">
        <v>503</v>
      </c>
      <c r="D2580" s="136" t="str">
        <f t="array" ref="D2580">IF(E2580=0,0,(INDEX(AccountCodes[ACCOUNT NAME],MATCH(E2580,AccountCodes[NGAS CODE],0))))</f>
        <v>Fuel, Oil and Lubricants Expenses</v>
      </c>
      <c r="E2580" s="309" t="s">
        <v>229</v>
      </c>
      <c r="F2580" s="501">
        <v>106903.98</v>
      </c>
    </row>
    <row r="2581" spans="1:6">
      <c r="A2581" s="308">
        <v>43373</v>
      </c>
      <c r="B2581" s="309" t="s">
        <v>486</v>
      </c>
      <c r="C2581" s="309" t="s">
        <v>503</v>
      </c>
      <c r="D2581" s="136" t="str">
        <f t="array" ref="D2581">IF(E2581=0,0,(INDEX(AccountCodes[ACCOUNT NAME],MATCH(E2581,AccountCodes[NGAS CODE],0))))</f>
        <v>Fuel, Oil and Lubricants Expenses</v>
      </c>
      <c r="E2581" s="309" t="s">
        <v>229</v>
      </c>
      <c r="F2581" s="501">
        <v>106903.98</v>
      </c>
    </row>
    <row r="2582" spans="1:6">
      <c r="A2582" s="308">
        <v>43404</v>
      </c>
      <c r="B2582" s="309" t="s">
        <v>486</v>
      </c>
      <c r="C2582" s="309" t="s">
        <v>503</v>
      </c>
      <c r="D2582" s="136" t="str">
        <f t="array" ref="D2582">IF(E2582=0,0,(INDEX(AccountCodes[ACCOUNT NAME],MATCH(E2582,AccountCodes[NGAS CODE],0))))</f>
        <v>Fuel, Oil and Lubricants Expenses</v>
      </c>
      <c r="E2582" s="309" t="s">
        <v>229</v>
      </c>
      <c r="F2582" s="501">
        <v>106903.98</v>
      </c>
    </row>
    <row r="2583" spans="1:6">
      <c r="A2583" s="308">
        <v>43434</v>
      </c>
      <c r="B2583" s="309" t="s">
        <v>486</v>
      </c>
      <c r="C2583" s="309" t="s">
        <v>503</v>
      </c>
      <c r="D2583" s="136" t="str">
        <f t="array" ref="D2583">IF(E2583=0,0,(INDEX(AccountCodes[ACCOUNT NAME],MATCH(E2583,AccountCodes[NGAS CODE],0))))</f>
        <v>Fuel, Oil and Lubricants Expenses</v>
      </c>
      <c r="E2583" s="309" t="s">
        <v>229</v>
      </c>
      <c r="F2583" s="501">
        <v>106903.98</v>
      </c>
    </row>
    <row r="2584" spans="1:6">
      <c r="A2584" s="308">
        <v>43465</v>
      </c>
      <c r="B2584" s="309" t="s">
        <v>486</v>
      </c>
      <c r="C2584" s="309" t="s">
        <v>503</v>
      </c>
      <c r="D2584" s="136" t="str">
        <f t="array" ref="D2584">IF(E2584=0,0,(INDEX(AccountCodes[ACCOUNT NAME],MATCH(E2584,AccountCodes[NGAS CODE],0))))</f>
        <v>Fuel, Oil and Lubricants Expenses</v>
      </c>
      <c r="E2584" s="309" t="s">
        <v>229</v>
      </c>
      <c r="F2584" s="501">
        <v>106903.98</v>
      </c>
    </row>
    <row r="2585" spans="1:6">
      <c r="A2585" s="308">
        <v>43131</v>
      </c>
      <c r="B2585" s="309" t="s">
        <v>486</v>
      </c>
      <c r="C2585" s="309" t="s">
        <v>503</v>
      </c>
      <c r="D2585" s="136" t="str">
        <f t="array" ref="D2585">IF(E2585=0,0,(INDEX(AccountCodes[ACCOUNT NAME],MATCH(E2585,AccountCodes[NGAS CODE],0))))</f>
        <v>Water Expenses</v>
      </c>
      <c r="E2585" s="309" t="s">
        <v>232</v>
      </c>
      <c r="F2585" s="501">
        <v>2265</v>
      </c>
    </row>
    <row r="2586" spans="1:6">
      <c r="A2586" s="308">
        <v>43159</v>
      </c>
      <c r="B2586" s="309" t="s">
        <v>486</v>
      </c>
      <c r="C2586" s="309" t="s">
        <v>503</v>
      </c>
      <c r="D2586" s="136" t="str">
        <f t="array" ref="D2586">IF(E2586=0,0,(INDEX(AccountCodes[ACCOUNT NAME],MATCH(E2586,AccountCodes[NGAS CODE],0))))</f>
        <v>Water Expenses</v>
      </c>
      <c r="E2586" s="309" t="s">
        <v>232</v>
      </c>
      <c r="F2586" s="501">
        <v>2265</v>
      </c>
    </row>
    <row r="2587" spans="1:6">
      <c r="A2587" s="308">
        <v>43190</v>
      </c>
      <c r="B2587" s="309" t="s">
        <v>486</v>
      </c>
      <c r="C2587" s="309" t="s">
        <v>503</v>
      </c>
      <c r="D2587" s="136" t="str">
        <f t="array" ref="D2587">IF(E2587=0,0,(INDEX(AccountCodes[ACCOUNT NAME],MATCH(E2587,AccountCodes[NGAS CODE],0))))</f>
        <v>Water Expenses</v>
      </c>
      <c r="E2587" s="309" t="s">
        <v>232</v>
      </c>
      <c r="F2587" s="501">
        <v>2265</v>
      </c>
    </row>
    <row r="2588" spans="1:6">
      <c r="A2588" s="308">
        <v>43220</v>
      </c>
      <c r="B2588" s="309" t="s">
        <v>486</v>
      </c>
      <c r="C2588" s="309" t="s">
        <v>503</v>
      </c>
      <c r="D2588" s="136" t="str">
        <f t="array" ref="D2588">IF(E2588=0,0,(INDEX(AccountCodes[ACCOUNT NAME],MATCH(E2588,AccountCodes[NGAS CODE],0))))</f>
        <v>Water Expenses</v>
      </c>
      <c r="E2588" s="309" t="s">
        <v>232</v>
      </c>
      <c r="F2588" s="501">
        <v>2265</v>
      </c>
    </row>
    <row r="2589" spans="1:6">
      <c r="A2589" s="308">
        <v>43251</v>
      </c>
      <c r="B2589" s="309" t="s">
        <v>486</v>
      </c>
      <c r="C2589" s="309" t="s">
        <v>503</v>
      </c>
      <c r="D2589" s="136" t="str">
        <f t="array" ref="D2589">IF(E2589=0,0,(INDEX(AccountCodes[ACCOUNT NAME],MATCH(E2589,AccountCodes[NGAS CODE],0))))</f>
        <v>Water Expenses</v>
      </c>
      <c r="E2589" s="309" t="s">
        <v>232</v>
      </c>
      <c r="F2589" s="501">
        <v>2265</v>
      </c>
    </row>
    <row r="2590" spans="1:6">
      <c r="A2590" s="308">
        <v>43281</v>
      </c>
      <c r="B2590" s="309" t="s">
        <v>486</v>
      </c>
      <c r="C2590" s="309" t="s">
        <v>503</v>
      </c>
      <c r="D2590" s="136" t="str">
        <f t="array" ref="D2590">IF(E2590=0,0,(INDEX(AccountCodes[ACCOUNT NAME],MATCH(E2590,AccountCodes[NGAS CODE],0))))</f>
        <v>Water Expenses</v>
      </c>
      <c r="E2590" s="309" t="s">
        <v>232</v>
      </c>
      <c r="F2590" s="501">
        <v>2265</v>
      </c>
    </row>
    <row r="2591" spans="1:6">
      <c r="A2591" s="308">
        <v>43312</v>
      </c>
      <c r="B2591" s="309" t="s">
        <v>486</v>
      </c>
      <c r="C2591" s="309" t="s">
        <v>503</v>
      </c>
      <c r="D2591" s="136" t="str">
        <f t="array" ref="D2591">IF(E2591=0,0,(INDEX(AccountCodes[ACCOUNT NAME],MATCH(E2591,AccountCodes[NGAS CODE],0))))</f>
        <v>Water Expenses</v>
      </c>
      <c r="E2591" s="309" t="s">
        <v>232</v>
      </c>
      <c r="F2591" s="501">
        <v>2265</v>
      </c>
    </row>
    <row r="2592" spans="1:6">
      <c r="A2592" s="308">
        <v>43343</v>
      </c>
      <c r="B2592" s="309" t="s">
        <v>486</v>
      </c>
      <c r="C2592" s="309" t="s">
        <v>503</v>
      </c>
      <c r="D2592" s="136" t="str">
        <f t="array" ref="D2592">IF(E2592=0,0,(INDEX(AccountCodes[ACCOUNT NAME],MATCH(E2592,AccountCodes[NGAS CODE],0))))</f>
        <v>Water Expenses</v>
      </c>
      <c r="E2592" s="309" t="s">
        <v>232</v>
      </c>
      <c r="F2592" s="501">
        <v>2265</v>
      </c>
    </row>
    <row r="2593" spans="1:6">
      <c r="A2593" s="308">
        <v>43373</v>
      </c>
      <c r="B2593" s="309" t="s">
        <v>486</v>
      </c>
      <c r="C2593" s="309" t="s">
        <v>503</v>
      </c>
      <c r="D2593" s="136" t="str">
        <f t="array" ref="D2593">IF(E2593=0,0,(INDEX(AccountCodes[ACCOUNT NAME],MATCH(E2593,AccountCodes[NGAS CODE],0))))</f>
        <v>Water Expenses</v>
      </c>
      <c r="E2593" s="309" t="s">
        <v>232</v>
      </c>
      <c r="F2593" s="501">
        <v>2265</v>
      </c>
    </row>
    <row r="2594" spans="1:6">
      <c r="A2594" s="308">
        <v>43404</v>
      </c>
      <c r="B2594" s="309" t="s">
        <v>486</v>
      </c>
      <c r="C2594" s="309" t="s">
        <v>503</v>
      </c>
      <c r="D2594" s="136" t="str">
        <f t="array" ref="D2594">IF(E2594=0,0,(INDEX(AccountCodes[ACCOUNT NAME],MATCH(E2594,AccountCodes[NGAS CODE],0))))</f>
        <v>Water Expenses</v>
      </c>
      <c r="E2594" s="309" t="s">
        <v>232</v>
      </c>
      <c r="F2594" s="501">
        <v>2265</v>
      </c>
    </row>
    <row r="2595" spans="1:6">
      <c r="A2595" s="308">
        <v>43434</v>
      </c>
      <c r="B2595" s="309" t="s">
        <v>486</v>
      </c>
      <c r="C2595" s="309" t="s">
        <v>503</v>
      </c>
      <c r="D2595" s="136" t="str">
        <f t="array" ref="D2595">IF(E2595=0,0,(INDEX(AccountCodes[ACCOUNT NAME],MATCH(E2595,AccountCodes[NGAS CODE],0))))</f>
        <v>Water Expenses</v>
      </c>
      <c r="E2595" s="309" t="s">
        <v>232</v>
      </c>
      <c r="F2595" s="501">
        <v>2265</v>
      </c>
    </row>
    <row r="2596" spans="1:6">
      <c r="A2596" s="308">
        <v>43465</v>
      </c>
      <c r="B2596" s="309" t="s">
        <v>486</v>
      </c>
      <c r="C2596" s="309" t="s">
        <v>503</v>
      </c>
      <c r="D2596" s="136" t="str">
        <f t="array" ref="D2596">IF(E2596=0,0,(INDEX(AccountCodes[ACCOUNT NAME],MATCH(E2596,AccountCodes[NGAS CODE],0))))</f>
        <v>Water Expenses</v>
      </c>
      <c r="E2596" s="309" t="s">
        <v>232</v>
      </c>
      <c r="F2596" s="501">
        <v>2265</v>
      </c>
    </row>
    <row r="2597" spans="1:6">
      <c r="A2597" s="308">
        <v>43131</v>
      </c>
      <c r="B2597" s="309" t="s">
        <v>486</v>
      </c>
      <c r="C2597" s="309" t="s">
        <v>503</v>
      </c>
      <c r="D2597" s="136" t="str">
        <f t="array" ref="D2597">IF(E2597=0,0,(INDEX(AccountCodes[ACCOUNT NAME],MATCH(E2597,AccountCodes[NGAS CODE],0))))</f>
        <v>Electricity Expenses</v>
      </c>
      <c r="E2597" s="309" t="s">
        <v>233</v>
      </c>
      <c r="F2597" s="501">
        <v>14041.47</v>
      </c>
    </row>
    <row r="2598" spans="1:6">
      <c r="A2598" s="308">
        <v>43159</v>
      </c>
      <c r="B2598" s="309" t="s">
        <v>486</v>
      </c>
      <c r="C2598" s="309" t="s">
        <v>503</v>
      </c>
      <c r="D2598" s="136" t="str">
        <f t="array" ref="D2598">IF(E2598=0,0,(INDEX(AccountCodes[ACCOUNT NAME],MATCH(E2598,AccountCodes[NGAS CODE],0))))</f>
        <v>Electricity Expenses</v>
      </c>
      <c r="E2598" s="309" t="s">
        <v>233</v>
      </c>
      <c r="F2598" s="501">
        <v>14041.47</v>
      </c>
    </row>
    <row r="2599" spans="1:6">
      <c r="A2599" s="308">
        <v>43190</v>
      </c>
      <c r="B2599" s="309" t="s">
        <v>486</v>
      </c>
      <c r="C2599" s="309" t="s">
        <v>503</v>
      </c>
      <c r="D2599" s="136" t="str">
        <f t="array" ref="D2599">IF(E2599=0,0,(INDEX(AccountCodes[ACCOUNT NAME],MATCH(E2599,AccountCodes[NGAS CODE],0))))</f>
        <v>Electricity Expenses</v>
      </c>
      <c r="E2599" s="309" t="s">
        <v>233</v>
      </c>
      <c r="F2599" s="501">
        <v>14041.47</v>
      </c>
    </row>
    <row r="2600" spans="1:6">
      <c r="A2600" s="308">
        <v>43220</v>
      </c>
      <c r="B2600" s="309" t="s">
        <v>486</v>
      </c>
      <c r="C2600" s="309" t="s">
        <v>503</v>
      </c>
      <c r="D2600" s="136" t="str">
        <f t="array" ref="D2600">IF(E2600=0,0,(INDEX(AccountCodes[ACCOUNT NAME],MATCH(E2600,AccountCodes[NGAS CODE],0))))</f>
        <v>Electricity Expenses</v>
      </c>
      <c r="E2600" s="309" t="s">
        <v>233</v>
      </c>
      <c r="F2600" s="501">
        <v>14041.47</v>
      </c>
    </row>
    <row r="2601" spans="1:6">
      <c r="A2601" s="308">
        <v>43251</v>
      </c>
      <c r="B2601" s="309" t="s">
        <v>486</v>
      </c>
      <c r="C2601" s="309" t="s">
        <v>503</v>
      </c>
      <c r="D2601" s="136" t="str">
        <f t="array" ref="D2601">IF(E2601=0,0,(INDEX(AccountCodes[ACCOUNT NAME],MATCH(E2601,AccountCodes[NGAS CODE],0))))</f>
        <v>Electricity Expenses</v>
      </c>
      <c r="E2601" s="309" t="s">
        <v>233</v>
      </c>
      <c r="F2601" s="501">
        <v>14041.47</v>
      </c>
    </row>
    <row r="2602" spans="1:6">
      <c r="A2602" s="308">
        <v>43281</v>
      </c>
      <c r="B2602" s="309" t="s">
        <v>486</v>
      </c>
      <c r="C2602" s="309" t="s">
        <v>503</v>
      </c>
      <c r="D2602" s="136" t="str">
        <f t="array" ref="D2602">IF(E2602=0,0,(INDEX(AccountCodes[ACCOUNT NAME],MATCH(E2602,AccountCodes[NGAS CODE],0))))</f>
        <v>Electricity Expenses</v>
      </c>
      <c r="E2602" s="309" t="s">
        <v>233</v>
      </c>
      <c r="F2602" s="501">
        <v>14041.47</v>
      </c>
    </row>
    <row r="2603" spans="1:6">
      <c r="A2603" s="308">
        <v>43312</v>
      </c>
      <c r="B2603" s="309" t="s">
        <v>486</v>
      </c>
      <c r="C2603" s="309" t="s">
        <v>503</v>
      </c>
      <c r="D2603" s="136" t="str">
        <f t="array" ref="D2603">IF(E2603=0,0,(INDEX(AccountCodes[ACCOUNT NAME],MATCH(E2603,AccountCodes[NGAS CODE],0))))</f>
        <v>Electricity Expenses</v>
      </c>
      <c r="E2603" s="309" t="s">
        <v>233</v>
      </c>
      <c r="F2603" s="501">
        <v>14041.47</v>
      </c>
    </row>
    <row r="2604" spans="1:6">
      <c r="A2604" s="308">
        <v>43343</v>
      </c>
      <c r="B2604" s="309" t="s">
        <v>486</v>
      </c>
      <c r="C2604" s="309" t="s">
        <v>503</v>
      </c>
      <c r="D2604" s="136" t="str">
        <f t="array" ref="D2604">IF(E2604=0,0,(INDEX(AccountCodes[ACCOUNT NAME],MATCH(E2604,AccountCodes[NGAS CODE],0))))</f>
        <v>Electricity Expenses</v>
      </c>
      <c r="E2604" s="309" t="s">
        <v>233</v>
      </c>
      <c r="F2604" s="501">
        <v>14041.47</v>
      </c>
    </row>
    <row r="2605" spans="1:6">
      <c r="A2605" s="308">
        <v>43373</v>
      </c>
      <c r="B2605" s="309" t="s">
        <v>486</v>
      </c>
      <c r="C2605" s="309" t="s">
        <v>503</v>
      </c>
      <c r="D2605" s="136" t="str">
        <f t="array" ref="D2605">IF(E2605=0,0,(INDEX(AccountCodes[ACCOUNT NAME],MATCH(E2605,AccountCodes[NGAS CODE],0))))</f>
        <v>Electricity Expenses</v>
      </c>
      <c r="E2605" s="309" t="s">
        <v>233</v>
      </c>
      <c r="F2605" s="501">
        <v>14041.47</v>
      </c>
    </row>
    <row r="2606" spans="1:6">
      <c r="A2606" s="308">
        <v>43404</v>
      </c>
      <c r="B2606" s="309" t="s">
        <v>486</v>
      </c>
      <c r="C2606" s="309" t="s">
        <v>503</v>
      </c>
      <c r="D2606" s="136" t="str">
        <f t="array" ref="D2606">IF(E2606=0,0,(INDEX(AccountCodes[ACCOUNT NAME],MATCH(E2606,AccountCodes[NGAS CODE],0))))</f>
        <v>Electricity Expenses</v>
      </c>
      <c r="E2606" s="309" t="s">
        <v>233</v>
      </c>
      <c r="F2606" s="501">
        <v>14041.47</v>
      </c>
    </row>
    <row r="2607" spans="1:6">
      <c r="A2607" s="308">
        <v>43434</v>
      </c>
      <c r="B2607" s="309" t="s">
        <v>486</v>
      </c>
      <c r="C2607" s="309" t="s">
        <v>503</v>
      </c>
      <c r="D2607" s="136" t="str">
        <f t="array" ref="D2607">IF(E2607=0,0,(INDEX(AccountCodes[ACCOUNT NAME],MATCH(E2607,AccountCodes[NGAS CODE],0))))</f>
        <v>Electricity Expenses</v>
      </c>
      <c r="E2607" s="309" t="s">
        <v>233</v>
      </c>
      <c r="F2607" s="501">
        <v>14041.47</v>
      </c>
    </row>
    <row r="2608" spans="1:6">
      <c r="A2608" s="308">
        <v>43465</v>
      </c>
      <c r="B2608" s="309" t="s">
        <v>486</v>
      </c>
      <c r="C2608" s="309" t="s">
        <v>503</v>
      </c>
      <c r="D2608" s="136" t="str">
        <f t="array" ref="D2608">IF(E2608=0,0,(INDEX(AccountCodes[ACCOUNT NAME],MATCH(E2608,AccountCodes[NGAS CODE],0))))</f>
        <v>Electricity Expenses</v>
      </c>
      <c r="E2608" s="309" t="s">
        <v>233</v>
      </c>
      <c r="F2608" s="501">
        <v>14041.47</v>
      </c>
    </row>
    <row r="2609" spans="1:6">
      <c r="A2609" s="308">
        <v>43131</v>
      </c>
      <c r="B2609" s="309" t="s">
        <v>486</v>
      </c>
      <c r="C2609" s="309" t="s">
        <v>503</v>
      </c>
      <c r="D2609" s="136" t="str">
        <f t="array" ref="D2609">IF(E2609=0,0,(INDEX(AccountCodes[ACCOUNT NAME],MATCH(E2609,AccountCodes[NGAS CODE],0))))</f>
        <v>Internet Subscription Expenses</v>
      </c>
      <c r="E2609" s="309" t="s">
        <v>237</v>
      </c>
      <c r="F2609" s="501">
        <v>5198.2700000000004</v>
      </c>
    </row>
    <row r="2610" spans="1:6">
      <c r="A2610" s="308">
        <v>43159</v>
      </c>
      <c r="B2610" s="309" t="s">
        <v>486</v>
      </c>
      <c r="C2610" s="309" t="s">
        <v>503</v>
      </c>
      <c r="D2610" s="136" t="str">
        <f t="array" ref="D2610">IF(E2610=0,0,(INDEX(AccountCodes[ACCOUNT NAME],MATCH(E2610,AccountCodes[NGAS CODE],0))))</f>
        <v>Internet Subscription Expenses</v>
      </c>
      <c r="E2610" s="309" t="s">
        <v>237</v>
      </c>
      <c r="F2610" s="501">
        <v>5198.2700000000004</v>
      </c>
    </row>
    <row r="2611" spans="1:6">
      <c r="A2611" s="308">
        <v>43190</v>
      </c>
      <c r="B2611" s="309" t="s">
        <v>486</v>
      </c>
      <c r="C2611" s="309" t="s">
        <v>503</v>
      </c>
      <c r="D2611" s="136" t="str">
        <f t="array" ref="D2611">IF(E2611=0,0,(INDEX(AccountCodes[ACCOUNT NAME],MATCH(E2611,AccountCodes[NGAS CODE],0))))</f>
        <v>Internet Subscription Expenses</v>
      </c>
      <c r="E2611" s="309" t="s">
        <v>237</v>
      </c>
      <c r="F2611" s="501">
        <v>5198.2700000000004</v>
      </c>
    </row>
    <row r="2612" spans="1:6">
      <c r="A2612" s="308">
        <v>43220</v>
      </c>
      <c r="B2612" s="309" t="s">
        <v>486</v>
      </c>
      <c r="C2612" s="309" t="s">
        <v>503</v>
      </c>
      <c r="D2612" s="136" t="str">
        <f t="array" ref="D2612">IF(E2612=0,0,(INDEX(AccountCodes[ACCOUNT NAME],MATCH(E2612,AccountCodes[NGAS CODE],0))))</f>
        <v>Internet Subscription Expenses</v>
      </c>
      <c r="E2612" s="309" t="s">
        <v>237</v>
      </c>
      <c r="F2612" s="501">
        <v>5198.2700000000004</v>
      </c>
    </row>
    <row r="2613" spans="1:6">
      <c r="A2613" s="308">
        <v>43251</v>
      </c>
      <c r="B2613" s="309" t="s">
        <v>486</v>
      </c>
      <c r="C2613" s="309" t="s">
        <v>503</v>
      </c>
      <c r="D2613" s="136" t="str">
        <f t="array" ref="D2613">IF(E2613=0,0,(INDEX(AccountCodes[ACCOUNT NAME],MATCH(E2613,AccountCodes[NGAS CODE],0))))</f>
        <v>Internet Subscription Expenses</v>
      </c>
      <c r="E2613" s="309" t="s">
        <v>237</v>
      </c>
      <c r="F2613" s="501">
        <v>5198.2700000000004</v>
      </c>
    </row>
    <row r="2614" spans="1:6">
      <c r="A2614" s="308">
        <v>43281</v>
      </c>
      <c r="B2614" s="309" t="s">
        <v>486</v>
      </c>
      <c r="C2614" s="309" t="s">
        <v>503</v>
      </c>
      <c r="D2614" s="136" t="str">
        <f t="array" ref="D2614">IF(E2614=0,0,(INDEX(AccountCodes[ACCOUNT NAME],MATCH(E2614,AccountCodes[NGAS CODE],0))))</f>
        <v>Internet Subscription Expenses</v>
      </c>
      <c r="E2614" s="309" t="s">
        <v>237</v>
      </c>
      <c r="F2614" s="501">
        <v>5198.2700000000004</v>
      </c>
    </row>
    <row r="2615" spans="1:6">
      <c r="A2615" s="308">
        <v>43312</v>
      </c>
      <c r="B2615" s="309" t="s">
        <v>486</v>
      </c>
      <c r="C2615" s="309" t="s">
        <v>503</v>
      </c>
      <c r="D2615" s="136" t="str">
        <f t="array" ref="D2615">IF(E2615=0,0,(INDEX(AccountCodes[ACCOUNT NAME],MATCH(E2615,AccountCodes[NGAS CODE],0))))</f>
        <v>Internet Subscription Expenses</v>
      </c>
      <c r="E2615" s="309" t="s">
        <v>237</v>
      </c>
      <c r="F2615" s="501">
        <v>5198.2700000000004</v>
      </c>
    </row>
    <row r="2616" spans="1:6">
      <c r="A2616" s="308">
        <v>43343</v>
      </c>
      <c r="B2616" s="309" t="s">
        <v>486</v>
      </c>
      <c r="C2616" s="309" t="s">
        <v>503</v>
      </c>
      <c r="D2616" s="136" t="str">
        <f t="array" ref="D2616">IF(E2616=0,0,(INDEX(AccountCodes[ACCOUNT NAME],MATCH(E2616,AccountCodes[NGAS CODE],0))))</f>
        <v>Internet Subscription Expenses</v>
      </c>
      <c r="E2616" s="309" t="s">
        <v>237</v>
      </c>
      <c r="F2616" s="501">
        <v>5198.2700000000004</v>
      </c>
    </row>
    <row r="2617" spans="1:6">
      <c r="A2617" s="308">
        <v>43373</v>
      </c>
      <c r="B2617" s="309" t="s">
        <v>486</v>
      </c>
      <c r="C2617" s="309" t="s">
        <v>503</v>
      </c>
      <c r="D2617" s="136" t="str">
        <f t="array" ref="D2617">IF(E2617=0,0,(INDEX(AccountCodes[ACCOUNT NAME],MATCH(E2617,AccountCodes[NGAS CODE],0))))</f>
        <v>Internet Subscription Expenses</v>
      </c>
      <c r="E2617" s="309" t="s">
        <v>237</v>
      </c>
      <c r="F2617" s="501">
        <v>5198.2700000000004</v>
      </c>
    </row>
    <row r="2618" spans="1:6">
      <c r="A2618" s="308">
        <v>43404</v>
      </c>
      <c r="B2618" s="309" t="s">
        <v>486</v>
      </c>
      <c r="C2618" s="309" t="s">
        <v>503</v>
      </c>
      <c r="D2618" s="136" t="str">
        <f t="array" ref="D2618">IF(E2618=0,0,(INDEX(AccountCodes[ACCOUNT NAME],MATCH(E2618,AccountCodes[NGAS CODE],0))))</f>
        <v>Internet Subscription Expenses</v>
      </c>
      <c r="E2618" s="309" t="s">
        <v>237</v>
      </c>
      <c r="F2618" s="501">
        <v>5198.2700000000004</v>
      </c>
    </row>
    <row r="2619" spans="1:6">
      <c r="A2619" s="308">
        <v>43434</v>
      </c>
      <c r="B2619" s="309" t="s">
        <v>486</v>
      </c>
      <c r="C2619" s="309" t="s">
        <v>503</v>
      </c>
      <c r="D2619" s="136" t="str">
        <f t="array" ref="D2619">IF(E2619=0,0,(INDEX(AccountCodes[ACCOUNT NAME],MATCH(E2619,AccountCodes[NGAS CODE],0))))</f>
        <v>Internet Subscription Expenses</v>
      </c>
      <c r="E2619" s="309" t="s">
        <v>237</v>
      </c>
      <c r="F2619" s="501">
        <v>5198.2700000000004</v>
      </c>
    </row>
    <row r="2620" spans="1:6">
      <c r="A2620" s="308">
        <v>43465</v>
      </c>
      <c r="B2620" s="309" t="s">
        <v>486</v>
      </c>
      <c r="C2620" s="309" t="s">
        <v>503</v>
      </c>
      <c r="D2620" s="136" t="str">
        <f t="array" ref="D2620">IF(E2620=0,0,(INDEX(AccountCodes[ACCOUNT NAME],MATCH(E2620,AccountCodes[NGAS CODE],0))))</f>
        <v>Internet Subscription Expenses</v>
      </c>
      <c r="E2620" s="309" t="s">
        <v>237</v>
      </c>
      <c r="F2620" s="501">
        <v>5198.2700000000004</v>
      </c>
    </row>
    <row r="2621" spans="1:6">
      <c r="A2621" s="308">
        <v>43190</v>
      </c>
      <c r="B2621" s="309" t="s">
        <v>486</v>
      </c>
      <c r="C2621" s="309" t="s">
        <v>503</v>
      </c>
      <c r="D2621" s="136" t="str">
        <f t="array" ref="D2621">IF(E2621=0,0,(INDEX(AccountCodes[ACCOUNT NAME],MATCH(E2621,AccountCodes[NGAS CODE],0))))</f>
        <v>Other Maintenance and Operating Expenses (Irrigator's Share/Remuneration/Subsidy)</v>
      </c>
      <c r="E2621" s="309" t="s">
        <v>333</v>
      </c>
      <c r="F2621" s="501">
        <v>668990</v>
      </c>
    </row>
    <row r="2622" spans="1:6">
      <c r="A2622" s="308">
        <v>43465</v>
      </c>
      <c r="B2622" s="309" t="s">
        <v>486</v>
      </c>
      <c r="C2622" s="309" t="s">
        <v>503</v>
      </c>
      <c r="D2622" s="136" t="str">
        <f t="array" ref="D2622">IF(E2622=0,0,(INDEX(AccountCodes[ACCOUNT NAME],MATCH(E2622,AccountCodes[NGAS CODE],0))))</f>
        <v>Other Maintenance and Operating Expenses (Irrigator's Share/Remuneration/Subsidy)</v>
      </c>
      <c r="E2622" s="309" t="s">
        <v>333</v>
      </c>
      <c r="F2622" s="501">
        <v>1238990</v>
      </c>
    </row>
    <row r="2623" spans="1:6">
      <c r="A2623" s="308"/>
      <c r="D2623" s="136">
        <f t="array" ref="D2623">IF(E2623=0,0,(INDEX(AccountCodes[ACCOUNT NAME],MATCH(E2623,AccountCodes[NGAS CODE],0))))</f>
        <v>0</v>
      </c>
      <c r="E2623" s="309"/>
      <c r="F2623" s="501"/>
    </row>
    <row r="2624" spans="1:6">
      <c r="A2624" s="308">
        <v>43281</v>
      </c>
      <c r="B2624" s="309" t="s">
        <v>486</v>
      </c>
      <c r="C2624" s="309" t="s">
        <v>504</v>
      </c>
      <c r="D2624" s="136" t="str">
        <f t="array" ref="D2624">IF(E2624=0,0,(INDEX(AccountCodes[ACCOUNT NAME],MATCH(E2624,AccountCodes[NGAS CODE],0))))</f>
        <v>Equipment Rental - External (CA)</v>
      </c>
      <c r="E2624" s="309" t="s">
        <v>147</v>
      </c>
      <c r="F2624" s="501">
        <v>25000</v>
      </c>
    </row>
    <row r="2625" spans="1:6">
      <c r="A2625" s="308">
        <v>43465</v>
      </c>
      <c r="B2625" s="309" t="s">
        <v>486</v>
      </c>
      <c r="C2625" s="309" t="s">
        <v>504</v>
      </c>
      <c r="D2625" s="136" t="str">
        <f t="array" ref="D2625">IF(E2625=0,0,(INDEX(AccountCodes[ACCOUNT NAME],MATCH(E2625,AccountCodes[NGAS CODE],0))))</f>
        <v>Equipment Rental - External (CA)</v>
      </c>
      <c r="E2625" s="309" t="s">
        <v>147</v>
      </c>
      <c r="F2625" s="501">
        <v>25000</v>
      </c>
    </row>
    <row r="2626" spans="1:6">
      <c r="A2626" s="308">
        <v>43131</v>
      </c>
      <c r="B2626" s="309" t="s">
        <v>486</v>
      </c>
      <c r="C2626" s="309" t="s">
        <v>504</v>
      </c>
      <c r="D2626" s="136" t="str">
        <f t="array" ref="D2626">IF(E2626=0,0,(INDEX(AccountCodes[ACCOUNT NAME],MATCH(E2626,AccountCodes[NGAS CODE],0))))</f>
        <v>Salaries and Wages-Regular</v>
      </c>
      <c r="E2626" s="309" t="s">
        <v>162</v>
      </c>
      <c r="F2626" s="501">
        <v>47046</v>
      </c>
    </row>
    <row r="2627" spans="1:6">
      <c r="A2627" s="308">
        <v>43159</v>
      </c>
      <c r="B2627" s="309" t="s">
        <v>486</v>
      </c>
      <c r="C2627" s="309" t="s">
        <v>504</v>
      </c>
      <c r="D2627" s="136" t="str">
        <f t="array" ref="D2627">IF(E2627=0,0,(INDEX(AccountCodes[ACCOUNT NAME],MATCH(E2627,AccountCodes[NGAS CODE],0))))</f>
        <v>Salaries and Wages-Regular</v>
      </c>
      <c r="E2627" s="309" t="s">
        <v>162</v>
      </c>
      <c r="F2627" s="501">
        <v>47046</v>
      </c>
    </row>
    <row r="2628" spans="1:6">
      <c r="A2628" s="308">
        <v>43190</v>
      </c>
      <c r="B2628" s="309" t="s">
        <v>486</v>
      </c>
      <c r="C2628" s="309" t="s">
        <v>504</v>
      </c>
      <c r="D2628" s="136" t="str">
        <f t="array" ref="D2628">IF(E2628=0,0,(INDEX(AccountCodes[ACCOUNT NAME],MATCH(E2628,AccountCodes[NGAS CODE],0))))</f>
        <v>Salaries and Wages-Regular</v>
      </c>
      <c r="E2628" s="309" t="s">
        <v>162</v>
      </c>
      <c r="F2628" s="501">
        <v>47046</v>
      </c>
    </row>
    <row r="2629" spans="1:6">
      <c r="A2629" s="308">
        <v>43220</v>
      </c>
      <c r="B2629" s="309" t="s">
        <v>486</v>
      </c>
      <c r="C2629" s="309" t="s">
        <v>504</v>
      </c>
      <c r="D2629" s="136" t="str">
        <f t="array" ref="D2629">IF(E2629=0,0,(INDEX(AccountCodes[ACCOUNT NAME],MATCH(E2629,AccountCodes[NGAS CODE],0))))</f>
        <v>Salaries and Wages-Regular</v>
      </c>
      <c r="E2629" s="309" t="s">
        <v>162</v>
      </c>
      <c r="F2629" s="501">
        <v>47046</v>
      </c>
    </row>
    <row r="2630" spans="1:6">
      <c r="A2630" s="308">
        <v>43251</v>
      </c>
      <c r="B2630" s="309" t="s">
        <v>486</v>
      </c>
      <c r="C2630" s="309" t="s">
        <v>504</v>
      </c>
      <c r="D2630" s="136" t="str">
        <f t="array" ref="D2630">IF(E2630=0,0,(INDEX(AccountCodes[ACCOUNT NAME],MATCH(E2630,AccountCodes[NGAS CODE],0))))</f>
        <v>Salaries and Wages-Regular</v>
      </c>
      <c r="E2630" s="309" t="s">
        <v>162</v>
      </c>
      <c r="F2630" s="501">
        <v>47046</v>
      </c>
    </row>
    <row r="2631" spans="1:6">
      <c r="A2631" s="308">
        <v>43281</v>
      </c>
      <c r="B2631" s="309" t="s">
        <v>486</v>
      </c>
      <c r="C2631" s="309" t="s">
        <v>504</v>
      </c>
      <c r="D2631" s="136" t="str">
        <f t="array" ref="D2631">IF(E2631=0,0,(INDEX(AccountCodes[ACCOUNT NAME],MATCH(E2631,AccountCodes[NGAS CODE],0))))</f>
        <v>Salaries and Wages-Regular</v>
      </c>
      <c r="E2631" s="309" t="s">
        <v>162</v>
      </c>
      <c r="F2631" s="501">
        <v>47046</v>
      </c>
    </row>
    <row r="2632" spans="1:6">
      <c r="A2632" s="308">
        <v>43312</v>
      </c>
      <c r="B2632" s="309" t="s">
        <v>486</v>
      </c>
      <c r="C2632" s="309" t="s">
        <v>504</v>
      </c>
      <c r="D2632" s="136" t="str">
        <f t="array" ref="D2632">IF(E2632=0,0,(INDEX(AccountCodes[ACCOUNT NAME],MATCH(E2632,AccountCodes[NGAS CODE],0))))</f>
        <v>Salaries and Wages-Regular</v>
      </c>
      <c r="E2632" s="309" t="s">
        <v>162</v>
      </c>
      <c r="F2632" s="501">
        <v>47046</v>
      </c>
    </row>
    <row r="2633" spans="1:6">
      <c r="A2633" s="308">
        <v>43343</v>
      </c>
      <c r="B2633" s="309" t="s">
        <v>486</v>
      </c>
      <c r="C2633" s="309" t="s">
        <v>504</v>
      </c>
      <c r="D2633" s="136" t="str">
        <f t="array" ref="D2633">IF(E2633=0,0,(INDEX(AccountCodes[ACCOUNT NAME],MATCH(E2633,AccountCodes[NGAS CODE],0))))</f>
        <v>Salaries and Wages-Regular</v>
      </c>
      <c r="E2633" s="309" t="s">
        <v>162</v>
      </c>
      <c r="F2633" s="501">
        <v>47046</v>
      </c>
    </row>
    <row r="2634" spans="1:6">
      <c r="A2634" s="308">
        <v>43373</v>
      </c>
      <c r="B2634" s="309" t="s">
        <v>486</v>
      </c>
      <c r="C2634" s="309" t="s">
        <v>504</v>
      </c>
      <c r="D2634" s="136" t="str">
        <f t="array" ref="D2634">IF(E2634=0,0,(INDEX(AccountCodes[ACCOUNT NAME],MATCH(E2634,AccountCodes[NGAS CODE],0))))</f>
        <v>Salaries and Wages-Regular</v>
      </c>
      <c r="E2634" s="309" t="s">
        <v>162</v>
      </c>
      <c r="F2634" s="501">
        <v>47046</v>
      </c>
    </row>
    <row r="2635" spans="1:6">
      <c r="A2635" s="308">
        <v>43404</v>
      </c>
      <c r="B2635" s="309" t="s">
        <v>486</v>
      </c>
      <c r="C2635" s="309" t="s">
        <v>504</v>
      </c>
      <c r="D2635" s="136" t="str">
        <f t="array" ref="D2635">IF(E2635=0,0,(INDEX(AccountCodes[ACCOUNT NAME],MATCH(E2635,AccountCodes[NGAS CODE],0))))</f>
        <v>Salaries and Wages-Regular</v>
      </c>
      <c r="E2635" s="309" t="s">
        <v>162</v>
      </c>
      <c r="F2635" s="501">
        <v>47046</v>
      </c>
    </row>
    <row r="2636" spans="1:6">
      <c r="A2636" s="308">
        <v>43434</v>
      </c>
      <c r="B2636" s="309" t="s">
        <v>486</v>
      </c>
      <c r="C2636" s="309" t="s">
        <v>504</v>
      </c>
      <c r="D2636" s="136" t="str">
        <f t="array" ref="D2636">IF(E2636=0,0,(INDEX(AccountCodes[ACCOUNT NAME],MATCH(E2636,AccountCodes[NGAS CODE],0))))</f>
        <v>Salaries and Wages-Regular</v>
      </c>
      <c r="E2636" s="309" t="s">
        <v>162</v>
      </c>
      <c r="F2636" s="501">
        <v>47046</v>
      </c>
    </row>
    <row r="2637" spans="1:6">
      <c r="A2637" s="308">
        <v>43465</v>
      </c>
      <c r="B2637" s="309" t="s">
        <v>486</v>
      </c>
      <c r="C2637" s="309" t="s">
        <v>504</v>
      </c>
      <c r="D2637" s="136" t="str">
        <f t="array" ref="D2637">IF(E2637=0,0,(INDEX(AccountCodes[ACCOUNT NAME],MATCH(E2637,AccountCodes[NGAS CODE],0))))</f>
        <v>Salaries and Wages-Regular</v>
      </c>
      <c r="E2637" s="309" t="s">
        <v>162</v>
      </c>
      <c r="F2637" s="501">
        <v>47046</v>
      </c>
    </row>
    <row r="2638" spans="1:6">
      <c r="A2638" s="308">
        <v>43131</v>
      </c>
      <c r="B2638" s="309" t="s">
        <v>486</v>
      </c>
      <c r="C2638" s="309" t="s">
        <v>504</v>
      </c>
      <c r="D2638" s="136" t="str">
        <f t="array" ref="D2638">IF(E2638=0,0,(INDEX(AccountCodes[ACCOUNT NAME],MATCH(E2638,AccountCodes[NGAS CODE],0))))</f>
        <v>Salaries and Wages-Casual/Contractual</v>
      </c>
      <c r="E2638" s="309" t="s">
        <v>163</v>
      </c>
      <c r="F2638" s="501">
        <v>79539.61</v>
      </c>
    </row>
    <row r="2639" spans="1:6">
      <c r="A2639" s="308">
        <v>43159</v>
      </c>
      <c r="B2639" s="309" t="s">
        <v>486</v>
      </c>
      <c r="C2639" s="309" t="s">
        <v>504</v>
      </c>
      <c r="D2639" s="136" t="str">
        <f t="array" ref="D2639">IF(E2639=0,0,(INDEX(AccountCodes[ACCOUNT NAME],MATCH(E2639,AccountCodes[NGAS CODE],0))))</f>
        <v>Salaries and Wages-Casual/Contractual</v>
      </c>
      <c r="E2639" s="309" t="s">
        <v>163</v>
      </c>
      <c r="F2639" s="501">
        <v>79539.61</v>
      </c>
    </row>
    <row r="2640" spans="1:6">
      <c r="A2640" s="308">
        <v>43190</v>
      </c>
      <c r="B2640" s="309" t="s">
        <v>486</v>
      </c>
      <c r="C2640" s="309" t="s">
        <v>504</v>
      </c>
      <c r="D2640" s="136" t="str">
        <f t="array" ref="D2640">IF(E2640=0,0,(INDEX(AccountCodes[ACCOUNT NAME],MATCH(E2640,AccountCodes[NGAS CODE],0))))</f>
        <v>Salaries and Wages-Casual/Contractual</v>
      </c>
      <c r="E2640" s="309" t="s">
        <v>163</v>
      </c>
      <c r="F2640" s="501">
        <v>79539.61</v>
      </c>
    </row>
    <row r="2641" spans="1:6">
      <c r="A2641" s="308">
        <v>43220</v>
      </c>
      <c r="B2641" s="309" t="s">
        <v>486</v>
      </c>
      <c r="C2641" s="309" t="s">
        <v>504</v>
      </c>
      <c r="D2641" s="136" t="str">
        <f t="array" ref="D2641">IF(E2641=0,0,(INDEX(AccountCodes[ACCOUNT NAME],MATCH(E2641,AccountCodes[NGAS CODE],0))))</f>
        <v>Salaries and Wages-Casual/Contractual</v>
      </c>
      <c r="E2641" s="309" t="s">
        <v>163</v>
      </c>
      <c r="F2641" s="501">
        <v>79539.61</v>
      </c>
    </row>
    <row r="2642" spans="1:6">
      <c r="A2642" s="308">
        <v>43251</v>
      </c>
      <c r="B2642" s="309" t="s">
        <v>486</v>
      </c>
      <c r="C2642" s="309" t="s">
        <v>504</v>
      </c>
      <c r="D2642" s="136" t="str">
        <f t="array" ref="D2642">IF(E2642=0,0,(INDEX(AccountCodes[ACCOUNT NAME],MATCH(E2642,AccountCodes[NGAS CODE],0))))</f>
        <v>Salaries and Wages-Casual/Contractual</v>
      </c>
      <c r="E2642" s="309" t="s">
        <v>163</v>
      </c>
      <c r="F2642" s="501">
        <v>79539.61</v>
      </c>
    </row>
    <row r="2643" spans="1:6">
      <c r="A2643" s="308">
        <v>43281</v>
      </c>
      <c r="B2643" s="309" t="s">
        <v>486</v>
      </c>
      <c r="C2643" s="309" t="s">
        <v>504</v>
      </c>
      <c r="D2643" s="136" t="str">
        <f t="array" ref="D2643">IF(E2643=0,0,(INDEX(AccountCodes[ACCOUNT NAME],MATCH(E2643,AccountCodes[NGAS CODE],0))))</f>
        <v>Salaries and Wages-Casual/Contractual</v>
      </c>
      <c r="E2643" s="309" t="s">
        <v>163</v>
      </c>
      <c r="F2643" s="501">
        <v>79539.61</v>
      </c>
    </row>
    <row r="2644" spans="1:6">
      <c r="A2644" s="308">
        <v>43312</v>
      </c>
      <c r="B2644" s="309" t="s">
        <v>486</v>
      </c>
      <c r="C2644" s="309" t="s">
        <v>504</v>
      </c>
      <c r="D2644" s="136" t="str">
        <f t="array" ref="D2644">IF(E2644=0,0,(INDEX(AccountCodes[ACCOUNT NAME],MATCH(E2644,AccountCodes[NGAS CODE],0))))</f>
        <v>Salaries and Wages-Casual/Contractual</v>
      </c>
      <c r="E2644" s="309" t="s">
        <v>163</v>
      </c>
      <c r="F2644" s="501">
        <v>79539.61</v>
      </c>
    </row>
    <row r="2645" spans="1:6">
      <c r="A2645" s="308">
        <v>43343</v>
      </c>
      <c r="B2645" s="309" t="s">
        <v>486</v>
      </c>
      <c r="C2645" s="309" t="s">
        <v>504</v>
      </c>
      <c r="D2645" s="136" t="str">
        <f t="array" ref="D2645">IF(E2645=0,0,(INDEX(AccountCodes[ACCOUNT NAME],MATCH(E2645,AccountCodes[NGAS CODE],0))))</f>
        <v>Salaries and Wages-Casual/Contractual</v>
      </c>
      <c r="E2645" s="309" t="s">
        <v>163</v>
      </c>
      <c r="F2645" s="501">
        <v>79539.61</v>
      </c>
    </row>
    <row r="2646" spans="1:6">
      <c r="A2646" s="308">
        <v>43373</v>
      </c>
      <c r="B2646" s="309" t="s">
        <v>486</v>
      </c>
      <c r="C2646" s="309" t="s">
        <v>504</v>
      </c>
      <c r="D2646" s="136" t="str">
        <f t="array" ref="D2646">IF(E2646=0,0,(INDEX(AccountCodes[ACCOUNT NAME],MATCH(E2646,AccountCodes[NGAS CODE],0))))</f>
        <v>Salaries and Wages-Casual/Contractual</v>
      </c>
      <c r="E2646" s="309" t="s">
        <v>163</v>
      </c>
      <c r="F2646" s="501">
        <v>79539.61</v>
      </c>
    </row>
    <row r="2647" spans="1:6">
      <c r="A2647" s="308">
        <v>43404</v>
      </c>
      <c r="B2647" s="309" t="s">
        <v>486</v>
      </c>
      <c r="C2647" s="309" t="s">
        <v>504</v>
      </c>
      <c r="D2647" s="136" t="str">
        <f t="array" ref="D2647">IF(E2647=0,0,(INDEX(AccountCodes[ACCOUNT NAME],MATCH(E2647,AccountCodes[NGAS CODE],0))))</f>
        <v>Salaries and Wages-Casual/Contractual</v>
      </c>
      <c r="E2647" s="309" t="s">
        <v>163</v>
      </c>
      <c r="F2647" s="501">
        <v>79539.61</v>
      </c>
    </row>
    <row r="2648" spans="1:6">
      <c r="A2648" s="308">
        <v>43434</v>
      </c>
      <c r="B2648" s="309" t="s">
        <v>486</v>
      </c>
      <c r="C2648" s="309" t="s">
        <v>504</v>
      </c>
      <c r="D2648" s="136" t="str">
        <f t="array" ref="D2648">IF(E2648=0,0,(INDEX(AccountCodes[ACCOUNT NAME],MATCH(E2648,AccountCodes[NGAS CODE],0))))</f>
        <v>Salaries and Wages-Casual/Contractual</v>
      </c>
      <c r="E2648" s="309" t="s">
        <v>163</v>
      </c>
      <c r="F2648" s="501">
        <v>79539.61</v>
      </c>
    </row>
    <row r="2649" spans="1:6">
      <c r="A2649" s="308">
        <v>43465</v>
      </c>
      <c r="B2649" s="309" t="s">
        <v>486</v>
      </c>
      <c r="C2649" s="309" t="s">
        <v>504</v>
      </c>
      <c r="D2649" s="136" t="str">
        <f t="array" ref="D2649">IF(E2649=0,0,(INDEX(AccountCodes[ACCOUNT NAME],MATCH(E2649,AccountCodes[NGAS CODE],0))))</f>
        <v>Salaries and Wages-Casual/Contractual</v>
      </c>
      <c r="E2649" s="309" t="s">
        <v>163</v>
      </c>
      <c r="F2649" s="501">
        <v>79539.61</v>
      </c>
    </row>
    <row r="2650" spans="1:6">
      <c r="A2650" s="308">
        <v>43131</v>
      </c>
      <c r="B2650" s="309" t="s">
        <v>486</v>
      </c>
      <c r="C2650" s="309" t="s">
        <v>504</v>
      </c>
      <c r="D2650" s="136" t="str">
        <f t="array" ref="D2650">IF(E2650=0,0,(INDEX(AccountCodes[ACCOUNT NAME],MATCH(E2650,AccountCodes[NGAS CODE],0))))</f>
        <v>Personal Economic Relief Allowance (PERA)</v>
      </c>
      <c r="E2650" s="309" t="s">
        <v>164</v>
      </c>
      <c r="F2650" s="501">
        <v>10000</v>
      </c>
    </row>
    <row r="2651" spans="1:6">
      <c r="A2651" s="308">
        <v>43159</v>
      </c>
      <c r="B2651" s="309" t="s">
        <v>486</v>
      </c>
      <c r="C2651" s="309" t="s">
        <v>504</v>
      </c>
      <c r="D2651" s="136" t="str">
        <f t="array" ref="D2651">IF(E2651=0,0,(INDEX(AccountCodes[ACCOUNT NAME],MATCH(E2651,AccountCodes[NGAS CODE],0))))</f>
        <v>Personal Economic Relief Allowance (PERA)</v>
      </c>
      <c r="E2651" s="309" t="s">
        <v>164</v>
      </c>
      <c r="F2651" s="501">
        <v>10000</v>
      </c>
    </row>
    <row r="2652" spans="1:6">
      <c r="A2652" s="308">
        <v>43190</v>
      </c>
      <c r="B2652" s="309" t="s">
        <v>486</v>
      </c>
      <c r="C2652" s="309" t="s">
        <v>504</v>
      </c>
      <c r="D2652" s="136" t="str">
        <f t="array" ref="D2652">IF(E2652=0,0,(INDEX(AccountCodes[ACCOUNT NAME],MATCH(E2652,AccountCodes[NGAS CODE],0))))</f>
        <v>Personal Economic Relief Allowance (PERA)</v>
      </c>
      <c r="E2652" s="309" t="s">
        <v>164</v>
      </c>
      <c r="F2652" s="501">
        <v>10000</v>
      </c>
    </row>
    <row r="2653" spans="1:6">
      <c r="A2653" s="308">
        <v>43220</v>
      </c>
      <c r="B2653" s="309" t="s">
        <v>486</v>
      </c>
      <c r="C2653" s="309" t="s">
        <v>504</v>
      </c>
      <c r="D2653" s="136" t="str">
        <f t="array" ref="D2653">IF(E2653=0,0,(INDEX(AccountCodes[ACCOUNT NAME],MATCH(E2653,AccountCodes[NGAS CODE],0))))</f>
        <v>Personal Economic Relief Allowance (PERA)</v>
      </c>
      <c r="E2653" s="309" t="s">
        <v>164</v>
      </c>
      <c r="F2653" s="501">
        <v>10000</v>
      </c>
    </row>
    <row r="2654" spans="1:6">
      <c r="A2654" s="308">
        <v>43251</v>
      </c>
      <c r="B2654" s="309" t="s">
        <v>486</v>
      </c>
      <c r="C2654" s="309" t="s">
        <v>504</v>
      </c>
      <c r="D2654" s="136" t="str">
        <f t="array" ref="D2654">IF(E2654=0,0,(INDEX(AccountCodes[ACCOUNT NAME],MATCH(E2654,AccountCodes[NGAS CODE],0))))</f>
        <v>Personal Economic Relief Allowance (PERA)</v>
      </c>
      <c r="E2654" s="309" t="s">
        <v>164</v>
      </c>
      <c r="F2654" s="501">
        <v>10000</v>
      </c>
    </row>
    <row r="2655" spans="1:6">
      <c r="A2655" s="308">
        <v>43281</v>
      </c>
      <c r="B2655" s="309" t="s">
        <v>486</v>
      </c>
      <c r="C2655" s="309" t="s">
        <v>504</v>
      </c>
      <c r="D2655" s="136" t="str">
        <f t="array" ref="D2655">IF(E2655=0,0,(INDEX(AccountCodes[ACCOUNT NAME],MATCH(E2655,AccountCodes[NGAS CODE],0))))</f>
        <v>Personal Economic Relief Allowance (PERA)</v>
      </c>
      <c r="E2655" s="309" t="s">
        <v>164</v>
      </c>
      <c r="F2655" s="501">
        <v>10000</v>
      </c>
    </row>
    <row r="2656" spans="1:6">
      <c r="A2656" s="308">
        <v>43312</v>
      </c>
      <c r="B2656" s="309" t="s">
        <v>486</v>
      </c>
      <c r="C2656" s="309" t="s">
        <v>504</v>
      </c>
      <c r="D2656" s="136" t="str">
        <f t="array" ref="D2656">IF(E2656=0,0,(INDEX(AccountCodes[ACCOUNT NAME],MATCH(E2656,AccountCodes[NGAS CODE],0))))</f>
        <v>Personal Economic Relief Allowance (PERA)</v>
      </c>
      <c r="E2656" s="309" t="s">
        <v>164</v>
      </c>
      <c r="F2656" s="501">
        <v>10000</v>
      </c>
    </row>
    <row r="2657" spans="1:6">
      <c r="A2657" s="308">
        <v>43343</v>
      </c>
      <c r="B2657" s="309" t="s">
        <v>486</v>
      </c>
      <c r="C2657" s="309" t="s">
        <v>504</v>
      </c>
      <c r="D2657" s="136" t="str">
        <f t="array" ref="D2657">IF(E2657=0,0,(INDEX(AccountCodes[ACCOUNT NAME],MATCH(E2657,AccountCodes[NGAS CODE],0))))</f>
        <v>Personal Economic Relief Allowance (PERA)</v>
      </c>
      <c r="E2657" s="309" t="s">
        <v>164</v>
      </c>
      <c r="F2657" s="501">
        <v>10000</v>
      </c>
    </row>
    <row r="2658" spans="1:6">
      <c r="A2658" s="308">
        <v>43373</v>
      </c>
      <c r="B2658" s="309" t="s">
        <v>486</v>
      </c>
      <c r="C2658" s="309" t="s">
        <v>504</v>
      </c>
      <c r="D2658" s="136" t="str">
        <f t="array" ref="D2658">IF(E2658=0,0,(INDEX(AccountCodes[ACCOUNT NAME],MATCH(E2658,AccountCodes[NGAS CODE],0))))</f>
        <v>Personal Economic Relief Allowance (PERA)</v>
      </c>
      <c r="E2658" s="309" t="s">
        <v>164</v>
      </c>
      <c r="F2658" s="501">
        <v>10000</v>
      </c>
    </row>
    <row r="2659" spans="1:6">
      <c r="A2659" s="308">
        <v>43404</v>
      </c>
      <c r="B2659" s="309" t="s">
        <v>486</v>
      </c>
      <c r="C2659" s="309" t="s">
        <v>504</v>
      </c>
      <c r="D2659" s="136" t="str">
        <f t="array" ref="D2659">IF(E2659=0,0,(INDEX(AccountCodes[ACCOUNT NAME],MATCH(E2659,AccountCodes[NGAS CODE],0))))</f>
        <v>Personal Economic Relief Allowance (PERA)</v>
      </c>
      <c r="E2659" s="309" t="s">
        <v>164</v>
      </c>
      <c r="F2659" s="501">
        <v>10000</v>
      </c>
    </row>
    <row r="2660" spans="1:6">
      <c r="A2660" s="308">
        <v>43434</v>
      </c>
      <c r="B2660" s="309" t="s">
        <v>486</v>
      </c>
      <c r="C2660" s="309" t="s">
        <v>504</v>
      </c>
      <c r="D2660" s="136" t="str">
        <f t="array" ref="D2660">IF(E2660=0,0,(INDEX(AccountCodes[ACCOUNT NAME],MATCH(E2660,AccountCodes[NGAS CODE],0))))</f>
        <v>Personal Economic Relief Allowance (PERA)</v>
      </c>
      <c r="E2660" s="309" t="s">
        <v>164</v>
      </c>
      <c r="F2660" s="501">
        <v>10000</v>
      </c>
    </row>
    <row r="2661" spans="1:6">
      <c r="A2661" s="308">
        <v>43465</v>
      </c>
      <c r="B2661" s="309" t="s">
        <v>486</v>
      </c>
      <c r="C2661" s="309" t="s">
        <v>504</v>
      </c>
      <c r="D2661" s="136" t="str">
        <f t="array" ref="D2661">IF(E2661=0,0,(INDEX(AccountCodes[ACCOUNT NAME],MATCH(E2661,AccountCodes[NGAS CODE],0))))</f>
        <v>Personal Economic Relief Allowance (PERA)</v>
      </c>
      <c r="E2661" s="309" t="s">
        <v>164</v>
      </c>
      <c r="F2661" s="501">
        <v>10000</v>
      </c>
    </row>
    <row r="2662" spans="1:6">
      <c r="A2662" s="308">
        <v>43465</v>
      </c>
      <c r="B2662" s="309" t="s">
        <v>486</v>
      </c>
      <c r="C2662" s="309" t="s">
        <v>504</v>
      </c>
      <c r="D2662" s="136" t="str">
        <f t="array" ref="D2662">IF(E2662=0,0,(INDEX(AccountCodes[ACCOUNT NAME],MATCH(E2662,AccountCodes[NGAS CODE],0))))</f>
        <v>Other Bonuses and Allowances - Productivity Enhancement Incentive-Civilian</v>
      </c>
      <c r="E2662" s="309" t="s">
        <v>170</v>
      </c>
      <c r="F2662" s="501">
        <v>25000</v>
      </c>
    </row>
    <row r="2663" spans="1:6">
      <c r="A2663" s="308">
        <v>43131</v>
      </c>
      <c r="B2663" s="309" t="s">
        <v>486</v>
      </c>
      <c r="C2663" s="309" t="s">
        <v>504</v>
      </c>
      <c r="D2663" s="136" t="str">
        <f t="array" ref="D2663">IF(E2663=0,0,(INDEX(AccountCodes[ACCOUNT NAME],MATCH(E2663,AccountCodes[NGAS CODE],0))))</f>
        <v>Other Bonuses and Allowances - Medical Allowance</v>
      </c>
      <c r="E2663" s="309" t="s">
        <v>5</v>
      </c>
      <c r="F2663" s="501">
        <v>400</v>
      </c>
    </row>
    <row r="2664" spans="1:6">
      <c r="A2664" s="308">
        <v>43159</v>
      </c>
      <c r="B2664" s="309" t="s">
        <v>486</v>
      </c>
      <c r="C2664" s="309" t="s">
        <v>504</v>
      </c>
      <c r="D2664" s="136" t="str">
        <f t="array" ref="D2664">IF(E2664=0,0,(INDEX(AccountCodes[ACCOUNT NAME],MATCH(E2664,AccountCodes[NGAS CODE],0))))</f>
        <v>Other Bonuses and Allowances - Medical Allowance</v>
      </c>
      <c r="E2664" s="309" t="s">
        <v>5</v>
      </c>
      <c r="F2664" s="501">
        <v>400</v>
      </c>
    </row>
    <row r="2665" spans="1:6">
      <c r="A2665" s="308">
        <v>43190</v>
      </c>
      <c r="B2665" s="309" t="s">
        <v>486</v>
      </c>
      <c r="C2665" s="309" t="s">
        <v>504</v>
      </c>
      <c r="D2665" s="136" t="str">
        <f t="array" ref="D2665">IF(E2665=0,0,(INDEX(AccountCodes[ACCOUNT NAME],MATCH(E2665,AccountCodes[NGAS CODE],0))))</f>
        <v>Other Bonuses and Allowances - Medical Allowance</v>
      </c>
      <c r="E2665" s="309" t="s">
        <v>5</v>
      </c>
      <c r="F2665" s="501">
        <v>400</v>
      </c>
    </row>
    <row r="2666" spans="1:6">
      <c r="A2666" s="308">
        <v>43220</v>
      </c>
      <c r="B2666" s="309" t="s">
        <v>486</v>
      </c>
      <c r="C2666" s="309" t="s">
        <v>504</v>
      </c>
      <c r="D2666" s="136" t="str">
        <f t="array" ref="D2666">IF(E2666=0,0,(INDEX(AccountCodes[ACCOUNT NAME],MATCH(E2666,AccountCodes[NGAS CODE],0))))</f>
        <v>Other Bonuses and Allowances - Medical Allowance</v>
      </c>
      <c r="E2666" s="309" t="s">
        <v>5</v>
      </c>
      <c r="F2666" s="501">
        <v>400</v>
      </c>
    </row>
    <row r="2667" spans="1:6">
      <c r="A2667" s="308">
        <v>43251</v>
      </c>
      <c r="B2667" s="309" t="s">
        <v>486</v>
      </c>
      <c r="C2667" s="309" t="s">
        <v>504</v>
      </c>
      <c r="D2667" s="136" t="str">
        <f t="array" ref="D2667">IF(E2667=0,0,(INDEX(AccountCodes[ACCOUNT NAME],MATCH(E2667,AccountCodes[NGAS CODE],0))))</f>
        <v>Other Bonuses and Allowances - Medical Allowance</v>
      </c>
      <c r="E2667" s="309" t="s">
        <v>5</v>
      </c>
      <c r="F2667" s="501">
        <v>400</v>
      </c>
    </row>
    <row r="2668" spans="1:6">
      <c r="A2668" s="308">
        <v>43281</v>
      </c>
      <c r="B2668" s="309" t="s">
        <v>486</v>
      </c>
      <c r="C2668" s="309" t="s">
        <v>504</v>
      </c>
      <c r="D2668" s="136" t="str">
        <f t="array" ref="D2668">IF(E2668=0,0,(INDEX(AccountCodes[ACCOUNT NAME],MATCH(E2668,AccountCodes[NGAS CODE],0))))</f>
        <v>Other Bonuses and Allowances - Medical Allowance</v>
      </c>
      <c r="E2668" s="309" t="s">
        <v>5</v>
      </c>
      <c r="F2668" s="501">
        <v>400</v>
      </c>
    </row>
    <row r="2669" spans="1:6">
      <c r="A2669" s="308">
        <v>43312</v>
      </c>
      <c r="B2669" s="309" t="s">
        <v>486</v>
      </c>
      <c r="C2669" s="309" t="s">
        <v>504</v>
      </c>
      <c r="D2669" s="136" t="str">
        <f t="array" ref="D2669">IF(E2669=0,0,(INDEX(AccountCodes[ACCOUNT NAME],MATCH(E2669,AccountCodes[NGAS CODE],0))))</f>
        <v>Other Bonuses and Allowances - Medical Allowance</v>
      </c>
      <c r="E2669" s="309" t="s">
        <v>5</v>
      </c>
      <c r="F2669" s="501">
        <v>400</v>
      </c>
    </row>
    <row r="2670" spans="1:6">
      <c r="A2670" s="308">
        <v>43343</v>
      </c>
      <c r="B2670" s="309" t="s">
        <v>486</v>
      </c>
      <c r="C2670" s="309" t="s">
        <v>504</v>
      </c>
      <c r="D2670" s="136" t="str">
        <f t="array" ref="D2670">IF(E2670=0,0,(INDEX(AccountCodes[ACCOUNT NAME],MATCH(E2670,AccountCodes[NGAS CODE],0))))</f>
        <v>Other Bonuses and Allowances - Medical Allowance</v>
      </c>
      <c r="E2670" s="309" t="s">
        <v>5</v>
      </c>
      <c r="F2670" s="501">
        <v>400</v>
      </c>
    </row>
    <row r="2671" spans="1:6">
      <c r="A2671" s="308">
        <v>43373</v>
      </c>
      <c r="B2671" s="309" t="s">
        <v>486</v>
      </c>
      <c r="C2671" s="309" t="s">
        <v>504</v>
      </c>
      <c r="D2671" s="136" t="str">
        <f t="array" ref="D2671">IF(E2671=0,0,(INDEX(AccountCodes[ACCOUNT NAME],MATCH(E2671,AccountCodes[NGAS CODE],0))))</f>
        <v>Other Bonuses and Allowances - Medical Allowance</v>
      </c>
      <c r="E2671" s="309" t="s">
        <v>5</v>
      </c>
      <c r="F2671" s="501">
        <v>400</v>
      </c>
    </row>
    <row r="2672" spans="1:6">
      <c r="A2672" s="308">
        <v>43404</v>
      </c>
      <c r="B2672" s="309" t="s">
        <v>486</v>
      </c>
      <c r="C2672" s="309" t="s">
        <v>504</v>
      </c>
      <c r="D2672" s="136" t="str">
        <f t="array" ref="D2672">IF(E2672=0,0,(INDEX(AccountCodes[ACCOUNT NAME],MATCH(E2672,AccountCodes[NGAS CODE],0))))</f>
        <v>Other Bonuses and Allowances - Medical Allowance</v>
      </c>
      <c r="E2672" s="309" t="s">
        <v>5</v>
      </c>
      <c r="F2672" s="501">
        <v>400</v>
      </c>
    </row>
    <row r="2673" spans="1:6">
      <c r="A2673" s="308">
        <v>43434</v>
      </c>
      <c r="B2673" s="309" t="s">
        <v>486</v>
      </c>
      <c r="C2673" s="309" t="s">
        <v>504</v>
      </c>
      <c r="D2673" s="136" t="str">
        <f t="array" ref="D2673">IF(E2673=0,0,(INDEX(AccountCodes[ACCOUNT NAME],MATCH(E2673,AccountCodes[NGAS CODE],0))))</f>
        <v>Other Bonuses and Allowances - Medical Allowance</v>
      </c>
      <c r="E2673" s="309" t="s">
        <v>5</v>
      </c>
      <c r="F2673" s="501">
        <v>400</v>
      </c>
    </row>
    <row r="2674" spans="1:6">
      <c r="A2674" s="308">
        <v>43465</v>
      </c>
      <c r="B2674" s="309" t="s">
        <v>486</v>
      </c>
      <c r="C2674" s="309" t="s">
        <v>504</v>
      </c>
      <c r="D2674" s="136" t="str">
        <f t="array" ref="D2674">IF(E2674=0,0,(INDEX(AccountCodes[ACCOUNT NAME],MATCH(E2674,AccountCodes[NGAS CODE],0))))</f>
        <v>Other Bonuses and Allowances - Medical Allowance</v>
      </c>
      <c r="E2674" s="309" t="s">
        <v>5</v>
      </c>
      <c r="F2674" s="501">
        <v>400</v>
      </c>
    </row>
    <row r="2675" spans="1:6">
      <c r="A2675" s="308">
        <v>43131</v>
      </c>
      <c r="B2675" s="309" t="s">
        <v>486</v>
      </c>
      <c r="C2675" s="309" t="s">
        <v>504</v>
      </c>
      <c r="D2675" s="136" t="str">
        <f t="array" ref="D2675">IF(E2675=0,0,(INDEX(AccountCodes[ACCOUNT NAME],MATCH(E2675,AccountCodes[NGAS CODE],0))))</f>
        <v>Other Bonuses and Allowances - Meal Allowance</v>
      </c>
      <c r="E2675" s="309" t="s">
        <v>6</v>
      </c>
      <c r="F2675" s="501">
        <v>132</v>
      </c>
    </row>
    <row r="2676" spans="1:6">
      <c r="A2676" s="308">
        <v>43159</v>
      </c>
      <c r="B2676" s="309" t="s">
        <v>486</v>
      </c>
      <c r="C2676" s="309" t="s">
        <v>504</v>
      </c>
      <c r="D2676" s="136" t="str">
        <f t="array" ref="D2676">IF(E2676=0,0,(INDEX(AccountCodes[ACCOUNT NAME],MATCH(E2676,AccountCodes[NGAS CODE],0))))</f>
        <v>Other Bonuses and Allowances - Meal Allowance</v>
      </c>
      <c r="E2676" s="309" t="s">
        <v>6</v>
      </c>
      <c r="F2676" s="501">
        <v>132</v>
      </c>
    </row>
    <row r="2677" spans="1:6">
      <c r="A2677" s="308">
        <v>43190</v>
      </c>
      <c r="B2677" s="309" t="s">
        <v>486</v>
      </c>
      <c r="C2677" s="309" t="s">
        <v>504</v>
      </c>
      <c r="D2677" s="136" t="str">
        <f t="array" ref="D2677">IF(E2677=0,0,(INDEX(AccountCodes[ACCOUNT NAME],MATCH(E2677,AccountCodes[NGAS CODE],0))))</f>
        <v>Other Bonuses and Allowances - Meal Allowance</v>
      </c>
      <c r="E2677" s="309" t="s">
        <v>6</v>
      </c>
      <c r="F2677" s="501">
        <v>132</v>
      </c>
    </row>
    <row r="2678" spans="1:6">
      <c r="A2678" s="308">
        <v>43220</v>
      </c>
      <c r="B2678" s="309" t="s">
        <v>486</v>
      </c>
      <c r="C2678" s="309" t="s">
        <v>504</v>
      </c>
      <c r="D2678" s="136" t="str">
        <f t="array" ref="D2678">IF(E2678=0,0,(INDEX(AccountCodes[ACCOUNT NAME],MATCH(E2678,AccountCodes[NGAS CODE],0))))</f>
        <v>Other Bonuses and Allowances - Meal Allowance</v>
      </c>
      <c r="E2678" s="309" t="s">
        <v>6</v>
      </c>
      <c r="F2678" s="501">
        <v>132</v>
      </c>
    </row>
    <row r="2679" spans="1:6">
      <c r="A2679" s="308">
        <v>43251</v>
      </c>
      <c r="B2679" s="309" t="s">
        <v>486</v>
      </c>
      <c r="C2679" s="309" t="s">
        <v>504</v>
      </c>
      <c r="D2679" s="136" t="str">
        <f t="array" ref="D2679">IF(E2679=0,0,(INDEX(AccountCodes[ACCOUNT NAME],MATCH(E2679,AccountCodes[NGAS CODE],0))))</f>
        <v>Other Bonuses and Allowances - Meal Allowance</v>
      </c>
      <c r="E2679" s="309" t="s">
        <v>6</v>
      </c>
      <c r="F2679" s="501">
        <v>132</v>
      </c>
    </row>
    <row r="2680" spans="1:6">
      <c r="A2680" s="308">
        <v>43281</v>
      </c>
      <c r="B2680" s="309" t="s">
        <v>486</v>
      </c>
      <c r="C2680" s="309" t="s">
        <v>504</v>
      </c>
      <c r="D2680" s="136" t="str">
        <f t="array" ref="D2680">IF(E2680=0,0,(INDEX(AccountCodes[ACCOUNT NAME],MATCH(E2680,AccountCodes[NGAS CODE],0))))</f>
        <v>Other Bonuses and Allowances - Meal Allowance</v>
      </c>
      <c r="E2680" s="309" t="s">
        <v>6</v>
      </c>
      <c r="F2680" s="501">
        <v>132</v>
      </c>
    </row>
    <row r="2681" spans="1:6">
      <c r="A2681" s="308">
        <v>43312</v>
      </c>
      <c r="B2681" s="309" t="s">
        <v>486</v>
      </c>
      <c r="C2681" s="309" t="s">
        <v>504</v>
      </c>
      <c r="D2681" s="136" t="str">
        <f t="array" ref="D2681">IF(E2681=0,0,(INDEX(AccountCodes[ACCOUNT NAME],MATCH(E2681,AccountCodes[NGAS CODE],0))))</f>
        <v>Other Bonuses and Allowances - Meal Allowance</v>
      </c>
      <c r="E2681" s="309" t="s">
        <v>6</v>
      </c>
      <c r="F2681" s="501">
        <v>132</v>
      </c>
    </row>
    <row r="2682" spans="1:6">
      <c r="A2682" s="308">
        <v>43343</v>
      </c>
      <c r="B2682" s="309" t="s">
        <v>486</v>
      </c>
      <c r="C2682" s="309" t="s">
        <v>504</v>
      </c>
      <c r="D2682" s="136" t="str">
        <f t="array" ref="D2682">IF(E2682=0,0,(INDEX(AccountCodes[ACCOUNT NAME],MATCH(E2682,AccountCodes[NGAS CODE],0))))</f>
        <v>Other Bonuses and Allowances - Meal Allowance</v>
      </c>
      <c r="E2682" s="309" t="s">
        <v>6</v>
      </c>
      <c r="F2682" s="501">
        <v>132</v>
      </c>
    </row>
    <row r="2683" spans="1:6">
      <c r="A2683" s="308">
        <v>43373</v>
      </c>
      <c r="B2683" s="309" t="s">
        <v>486</v>
      </c>
      <c r="C2683" s="309" t="s">
        <v>504</v>
      </c>
      <c r="D2683" s="136" t="str">
        <f t="array" ref="D2683">IF(E2683=0,0,(INDEX(AccountCodes[ACCOUNT NAME],MATCH(E2683,AccountCodes[NGAS CODE],0))))</f>
        <v>Other Bonuses and Allowances - Meal Allowance</v>
      </c>
      <c r="E2683" s="309" t="s">
        <v>6</v>
      </c>
      <c r="F2683" s="501">
        <v>132</v>
      </c>
    </row>
    <row r="2684" spans="1:6">
      <c r="A2684" s="308">
        <v>43404</v>
      </c>
      <c r="B2684" s="309" t="s">
        <v>486</v>
      </c>
      <c r="C2684" s="309" t="s">
        <v>504</v>
      </c>
      <c r="D2684" s="136" t="str">
        <f t="array" ref="D2684">IF(E2684=0,0,(INDEX(AccountCodes[ACCOUNT NAME],MATCH(E2684,AccountCodes[NGAS CODE],0))))</f>
        <v>Other Bonuses and Allowances - Meal Allowance</v>
      </c>
      <c r="E2684" s="309" t="s">
        <v>6</v>
      </c>
      <c r="F2684" s="501">
        <v>132</v>
      </c>
    </row>
    <row r="2685" spans="1:6">
      <c r="A2685" s="308">
        <v>43434</v>
      </c>
      <c r="B2685" s="309" t="s">
        <v>486</v>
      </c>
      <c r="C2685" s="309" t="s">
        <v>504</v>
      </c>
      <c r="D2685" s="136" t="str">
        <f t="array" ref="D2685">IF(E2685=0,0,(INDEX(AccountCodes[ACCOUNT NAME],MATCH(E2685,AccountCodes[NGAS CODE],0))))</f>
        <v>Other Bonuses and Allowances - Meal Allowance</v>
      </c>
      <c r="E2685" s="309" t="s">
        <v>6</v>
      </c>
      <c r="F2685" s="501">
        <v>132</v>
      </c>
    </row>
    <row r="2686" spans="1:6">
      <c r="A2686" s="308">
        <v>43465</v>
      </c>
      <c r="B2686" s="309" t="s">
        <v>486</v>
      </c>
      <c r="C2686" s="309" t="s">
        <v>504</v>
      </c>
      <c r="D2686" s="136" t="str">
        <f t="array" ref="D2686">IF(E2686=0,0,(INDEX(AccountCodes[ACCOUNT NAME],MATCH(E2686,AccountCodes[NGAS CODE],0))))</f>
        <v>Other Bonuses and Allowances - Meal Allowance</v>
      </c>
      <c r="E2686" s="309" t="s">
        <v>6</v>
      </c>
      <c r="F2686" s="501">
        <v>132</v>
      </c>
    </row>
    <row r="2687" spans="1:6">
      <c r="A2687" s="308">
        <v>43434</v>
      </c>
      <c r="B2687" s="309" t="s">
        <v>486</v>
      </c>
      <c r="C2687" s="309" t="s">
        <v>504</v>
      </c>
      <c r="D2687" s="136" t="str">
        <f t="array" ref="D2687">IF(E2687=0,0,(INDEX(AccountCodes[ACCOUNT NAME],MATCH(E2687,AccountCodes[NGAS CODE],0))))</f>
        <v>Cash Gift</v>
      </c>
      <c r="E2687" s="309" t="s">
        <v>172</v>
      </c>
      <c r="F2687" s="501">
        <v>15000</v>
      </c>
    </row>
    <row r="2688" spans="1:6">
      <c r="A2688" s="308">
        <v>43251</v>
      </c>
      <c r="B2688" s="309" t="s">
        <v>486</v>
      </c>
      <c r="C2688" s="309" t="s">
        <v>504</v>
      </c>
      <c r="D2688" s="136" t="str">
        <f t="array" ref="D2688">IF(E2688=0,0,(INDEX(AccountCodes[ACCOUNT NAME],MATCH(E2688,AccountCodes[NGAS CODE],0))))</f>
        <v>Mid-Year/Year End Bonus</v>
      </c>
      <c r="E2688" s="309" t="s">
        <v>174</v>
      </c>
      <c r="F2688" s="501">
        <v>47046</v>
      </c>
    </row>
    <row r="2689" spans="1:6">
      <c r="A2689" s="308">
        <v>43434</v>
      </c>
      <c r="B2689" s="309" t="s">
        <v>486</v>
      </c>
      <c r="C2689" s="309" t="s">
        <v>504</v>
      </c>
      <c r="D2689" s="136" t="str">
        <f t="array" ref="D2689">IF(E2689=0,0,(INDEX(AccountCodes[ACCOUNT NAME],MATCH(E2689,AccountCodes[NGAS CODE],0))))</f>
        <v>Mid-Year/Year End Bonus</v>
      </c>
      <c r="E2689" s="309" t="s">
        <v>174</v>
      </c>
      <c r="F2689" s="501">
        <v>47046</v>
      </c>
    </row>
    <row r="2690" spans="1:6">
      <c r="A2690" s="308">
        <v>43131</v>
      </c>
      <c r="B2690" s="309" t="s">
        <v>486</v>
      </c>
      <c r="C2690" s="309" t="s">
        <v>504</v>
      </c>
      <c r="D2690" s="136" t="str">
        <f t="array" ref="D2690">IF(E2690=0,0,(INDEX(AccountCodes[ACCOUNT NAME],MATCH(E2690,AccountCodes[NGAS CODE],0))))</f>
        <v>Retirement and Life Insurance Premiums</v>
      </c>
      <c r="E2690" s="309" t="s">
        <v>175</v>
      </c>
      <c r="F2690" s="501">
        <v>8141.76</v>
      </c>
    </row>
    <row r="2691" spans="1:6">
      <c r="A2691" s="308">
        <v>43159</v>
      </c>
      <c r="B2691" s="309" t="s">
        <v>486</v>
      </c>
      <c r="C2691" s="309" t="s">
        <v>504</v>
      </c>
      <c r="D2691" s="136" t="str">
        <f t="array" ref="D2691">IF(E2691=0,0,(INDEX(AccountCodes[ACCOUNT NAME],MATCH(E2691,AccountCodes[NGAS CODE],0))))</f>
        <v>Retirement and Life Insurance Premiums</v>
      </c>
      <c r="E2691" s="309" t="s">
        <v>175</v>
      </c>
      <c r="F2691" s="501">
        <v>8141.76</v>
      </c>
    </row>
    <row r="2692" spans="1:6">
      <c r="A2692" s="308">
        <v>43190</v>
      </c>
      <c r="B2692" s="309" t="s">
        <v>486</v>
      </c>
      <c r="C2692" s="309" t="s">
        <v>504</v>
      </c>
      <c r="D2692" s="136" t="str">
        <f t="array" ref="D2692">IF(E2692=0,0,(INDEX(AccountCodes[ACCOUNT NAME],MATCH(E2692,AccountCodes[NGAS CODE],0))))</f>
        <v>Retirement and Life Insurance Premiums</v>
      </c>
      <c r="E2692" s="309" t="s">
        <v>175</v>
      </c>
      <c r="F2692" s="501">
        <v>8141.76</v>
      </c>
    </row>
    <row r="2693" spans="1:6">
      <c r="A2693" s="308">
        <v>43220</v>
      </c>
      <c r="B2693" s="309" t="s">
        <v>486</v>
      </c>
      <c r="C2693" s="309" t="s">
        <v>504</v>
      </c>
      <c r="D2693" s="136" t="str">
        <f t="array" ref="D2693">IF(E2693=0,0,(INDEX(AccountCodes[ACCOUNT NAME],MATCH(E2693,AccountCodes[NGAS CODE],0))))</f>
        <v>Retirement and Life Insurance Premiums</v>
      </c>
      <c r="E2693" s="309" t="s">
        <v>175</v>
      </c>
      <c r="F2693" s="501">
        <v>8141.76</v>
      </c>
    </row>
    <row r="2694" spans="1:6">
      <c r="A2694" s="308">
        <v>43251</v>
      </c>
      <c r="B2694" s="309" t="s">
        <v>486</v>
      </c>
      <c r="C2694" s="309" t="s">
        <v>504</v>
      </c>
      <c r="D2694" s="136" t="str">
        <f t="array" ref="D2694">IF(E2694=0,0,(INDEX(AccountCodes[ACCOUNT NAME],MATCH(E2694,AccountCodes[NGAS CODE],0))))</f>
        <v>Retirement and Life Insurance Premiums</v>
      </c>
      <c r="E2694" s="309" t="s">
        <v>175</v>
      </c>
      <c r="F2694" s="501">
        <v>8141.76</v>
      </c>
    </row>
    <row r="2695" spans="1:6">
      <c r="A2695" s="308">
        <v>43281</v>
      </c>
      <c r="B2695" s="309" t="s">
        <v>486</v>
      </c>
      <c r="C2695" s="309" t="s">
        <v>504</v>
      </c>
      <c r="D2695" s="136" t="str">
        <f t="array" ref="D2695">IF(E2695=0,0,(INDEX(AccountCodes[ACCOUNT NAME],MATCH(E2695,AccountCodes[NGAS CODE],0))))</f>
        <v>Retirement and Life Insurance Premiums</v>
      </c>
      <c r="E2695" s="309" t="s">
        <v>175</v>
      </c>
      <c r="F2695" s="501">
        <v>8141.76</v>
      </c>
    </row>
    <row r="2696" spans="1:6">
      <c r="A2696" s="308">
        <v>43312</v>
      </c>
      <c r="B2696" s="309" t="s">
        <v>486</v>
      </c>
      <c r="C2696" s="309" t="s">
        <v>504</v>
      </c>
      <c r="D2696" s="136" t="str">
        <f t="array" ref="D2696">IF(E2696=0,0,(INDEX(AccountCodes[ACCOUNT NAME],MATCH(E2696,AccountCodes[NGAS CODE],0))))</f>
        <v>Retirement and Life Insurance Premiums</v>
      </c>
      <c r="E2696" s="309" t="s">
        <v>175</v>
      </c>
      <c r="F2696" s="501">
        <v>8141.76</v>
      </c>
    </row>
    <row r="2697" spans="1:6">
      <c r="A2697" s="308">
        <v>43343</v>
      </c>
      <c r="B2697" s="309" t="s">
        <v>486</v>
      </c>
      <c r="C2697" s="309" t="s">
        <v>504</v>
      </c>
      <c r="D2697" s="136" t="str">
        <f t="array" ref="D2697">IF(E2697=0,0,(INDEX(AccountCodes[ACCOUNT NAME],MATCH(E2697,AccountCodes[NGAS CODE],0))))</f>
        <v>Retirement and Life Insurance Premiums</v>
      </c>
      <c r="E2697" s="309" t="s">
        <v>175</v>
      </c>
      <c r="F2697" s="501">
        <v>8141.76</v>
      </c>
    </row>
    <row r="2698" spans="1:6">
      <c r="A2698" s="308">
        <v>43373</v>
      </c>
      <c r="B2698" s="309" t="s">
        <v>486</v>
      </c>
      <c r="C2698" s="309" t="s">
        <v>504</v>
      </c>
      <c r="D2698" s="136" t="str">
        <f t="array" ref="D2698">IF(E2698=0,0,(INDEX(AccountCodes[ACCOUNT NAME],MATCH(E2698,AccountCodes[NGAS CODE],0))))</f>
        <v>Retirement and Life Insurance Premiums</v>
      </c>
      <c r="E2698" s="309" t="s">
        <v>175</v>
      </c>
      <c r="F2698" s="501">
        <v>8141.76</v>
      </c>
    </row>
    <row r="2699" spans="1:6">
      <c r="A2699" s="308">
        <v>43404</v>
      </c>
      <c r="B2699" s="309" t="s">
        <v>486</v>
      </c>
      <c r="C2699" s="309" t="s">
        <v>504</v>
      </c>
      <c r="D2699" s="136" t="str">
        <f t="array" ref="D2699">IF(E2699=0,0,(INDEX(AccountCodes[ACCOUNT NAME],MATCH(E2699,AccountCodes[NGAS CODE],0))))</f>
        <v>Retirement and Life Insurance Premiums</v>
      </c>
      <c r="E2699" s="309" t="s">
        <v>175</v>
      </c>
      <c r="F2699" s="501">
        <v>8141.76</v>
      </c>
    </row>
    <row r="2700" spans="1:6">
      <c r="A2700" s="308">
        <v>43434</v>
      </c>
      <c r="B2700" s="309" t="s">
        <v>486</v>
      </c>
      <c r="C2700" s="309" t="s">
        <v>504</v>
      </c>
      <c r="D2700" s="136" t="str">
        <f t="array" ref="D2700">IF(E2700=0,0,(INDEX(AccountCodes[ACCOUNT NAME],MATCH(E2700,AccountCodes[NGAS CODE],0))))</f>
        <v>Retirement and Life Insurance Premiums</v>
      </c>
      <c r="E2700" s="309" t="s">
        <v>175</v>
      </c>
      <c r="F2700" s="501">
        <v>8141.76</v>
      </c>
    </row>
    <row r="2701" spans="1:6">
      <c r="A2701" s="308">
        <v>43465</v>
      </c>
      <c r="B2701" s="309" t="s">
        <v>486</v>
      </c>
      <c r="C2701" s="309" t="s">
        <v>504</v>
      </c>
      <c r="D2701" s="136" t="str">
        <f t="array" ref="D2701">IF(E2701=0,0,(INDEX(AccountCodes[ACCOUNT NAME],MATCH(E2701,AccountCodes[NGAS CODE],0))))</f>
        <v>Retirement and Life Insurance Premiums</v>
      </c>
      <c r="E2701" s="309" t="s">
        <v>175</v>
      </c>
      <c r="F2701" s="501">
        <v>8141.76</v>
      </c>
    </row>
    <row r="2702" spans="1:6">
      <c r="A2702" s="308">
        <v>43131</v>
      </c>
      <c r="B2702" s="309" t="s">
        <v>486</v>
      </c>
      <c r="C2702" s="309" t="s">
        <v>504</v>
      </c>
      <c r="D2702" s="136" t="str">
        <f t="array" ref="D2702">IF(E2702=0,0,(INDEX(AccountCodes[ACCOUNT NAME],MATCH(E2702,AccountCodes[NGAS CODE],0))))</f>
        <v>Pag-IBIG Contributions</v>
      </c>
      <c r="E2702" s="309" t="s">
        <v>176</v>
      </c>
      <c r="F2702" s="501">
        <v>500</v>
      </c>
    </row>
    <row r="2703" spans="1:6">
      <c r="A2703" s="308">
        <v>43159</v>
      </c>
      <c r="B2703" s="309" t="s">
        <v>486</v>
      </c>
      <c r="C2703" s="309" t="s">
        <v>504</v>
      </c>
      <c r="D2703" s="136" t="str">
        <f t="array" ref="D2703">IF(E2703=0,0,(INDEX(AccountCodes[ACCOUNT NAME],MATCH(E2703,AccountCodes[NGAS CODE],0))))</f>
        <v>Pag-IBIG Contributions</v>
      </c>
      <c r="E2703" s="309" t="s">
        <v>176</v>
      </c>
      <c r="F2703" s="501">
        <v>500</v>
      </c>
    </row>
    <row r="2704" spans="1:6">
      <c r="A2704" s="308">
        <v>43190</v>
      </c>
      <c r="B2704" s="309" t="s">
        <v>486</v>
      </c>
      <c r="C2704" s="309" t="s">
        <v>504</v>
      </c>
      <c r="D2704" s="136" t="str">
        <f t="array" ref="D2704">IF(E2704=0,0,(INDEX(AccountCodes[ACCOUNT NAME],MATCH(E2704,AccountCodes[NGAS CODE],0))))</f>
        <v>Pag-IBIG Contributions</v>
      </c>
      <c r="E2704" s="309" t="s">
        <v>176</v>
      </c>
      <c r="F2704" s="501">
        <v>500</v>
      </c>
    </row>
    <row r="2705" spans="1:6">
      <c r="A2705" s="308">
        <v>43220</v>
      </c>
      <c r="B2705" s="309" t="s">
        <v>486</v>
      </c>
      <c r="C2705" s="309" t="s">
        <v>504</v>
      </c>
      <c r="D2705" s="136" t="str">
        <f t="array" ref="D2705">IF(E2705=0,0,(INDEX(AccountCodes[ACCOUNT NAME],MATCH(E2705,AccountCodes[NGAS CODE],0))))</f>
        <v>Pag-IBIG Contributions</v>
      </c>
      <c r="E2705" s="309" t="s">
        <v>176</v>
      </c>
      <c r="F2705" s="501">
        <v>500</v>
      </c>
    </row>
    <row r="2706" spans="1:6">
      <c r="A2706" s="308">
        <v>43251</v>
      </c>
      <c r="B2706" s="309" t="s">
        <v>486</v>
      </c>
      <c r="C2706" s="309" t="s">
        <v>504</v>
      </c>
      <c r="D2706" s="136" t="str">
        <f t="array" ref="D2706">IF(E2706=0,0,(INDEX(AccountCodes[ACCOUNT NAME],MATCH(E2706,AccountCodes[NGAS CODE],0))))</f>
        <v>Pag-IBIG Contributions</v>
      </c>
      <c r="E2706" s="309" t="s">
        <v>176</v>
      </c>
      <c r="F2706" s="501">
        <v>500</v>
      </c>
    </row>
    <row r="2707" spans="1:6">
      <c r="A2707" s="308">
        <v>43281</v>
      </c>
      <c r="B2707" s="309" t="s">
        <v>486</v>
      </c>
      <c r="C2707" s="309" t="s">
        <v>504</v>
      </c>
      <c r="D2707" s="136" t="str">
        <f t="array" ref="D2707">IF(E2707=0,0,(INDEX(AccountCodes[ACCOUNT NAME],MATCH(E2707,AccountCodes[NGAS CODE],0))))</f>
        <v>Pag-IBIG Contributions</v>
      </c>
      <c r="E2707" s="309" t="s">
        <v>176</v>
      </c>
      <c r="F2707" s="501">
        <v>500</v>
      </c>
    </row>
    <row r="2708" spans="1:6">
      <c r="A2708" s="308">
        <v>43312</v>
      </c>
      <c r="B2708" s="309" t="s">
        <v>486</v>
      </c>
      <c r="C2708" s="309" t="s">
        <v>504</v>
      </c>
      <c r="D2708" s="136" t="str">
        <f t="array" ref="D2708">IF(E2708=0,0,(INDEX(AccountCodes[ACCOUNT NAME],MATCH(E2708,AccountCodes[NGAS CODE],0))))</f>
        <v>Pag-IBIG Contributions</v>
      </c>
      <c r="E2708" s="309" t="s">
        <v>176</v>
      </c>
      <c r="F2708" s="501">
        <v>500</v>
      </c>
    </row>
    <row r="2709" spans="1:6">
      <c r="A2709" s="308">
        <v>43343</v>
      </c>
      <c r="B2709" s="309" t="s">
        <v>486</v>
      </c>
      <c r="C2709" s="309" t="s">
        <v>504</v>
      </c>
      <c r="D2709" s="136" t="str">
        <f t="array" ref="D2709">IF(E2709=0,0,(INDEX(AccountCodes[ACCOUNT NAME],MATCH(E2709,AccountCodes[NGAS CODE],0))))</f>
        <v>Pag-IBIG Contributions</v>
      </c>
      <c r="E2709" s="309" t="s">
        <v>176</v>
      </c>
      <c r="F2709" s="501">
        <v>500</v>
      </c>
    </row>
    <row r="2710" spans="1:6">
      <c r="A2710" s="308">
        <v>43373</v>
      </c>
      <c r="B2710" s="309" t="s">
        <v>486</v>
      </c>
      <c r="C2710" s="309" t="s">
        <v>504</v>
      </c>
      <c r="D2710" s="136" t="str">
        <f t="array" ref="D2710">IF(E2710=0,0,(INDEX(AccountCodes[ACCOUNT NAME],MATCH(E2710,AccountCodes[NGAS CODE],0))))</f>
        <v>Pag-IBIG Contributions</v>
      </c>
      <c r="E2710" s="309" t="s">
        <v>176</v>
      </c>
      <c r="F2710" s="501">
        <v>500</v>
      </c>
    </row>
    <row r="2711" spans="1:6">
      <c r="A2711" s="308">
        <v>43404</v>
      </c>
      <c r="B2711" s="309" t="s">
        <v>486</v>
      </c>
      <c r="C2711" s="309" t="s">
        <v>504</v>
      </c>
      <c r="D2711" s="136" t="str">
        <f t="array" ref="D2711">IF(E2711=0,0,(INDEX(AccountCodes[ACCOUNT NAME],MATCH(E2711,AccountCodes[NGAS CODE],0))))</f>
        <v>Pag-IBIG Contributions</v>
      </c>
      <c r="E2711" s="309" t="s">
        <v>176</v>
      </c>
      <c r="F2711" s="501">
        <v>500</v>
      </c>
    </row>
    <row r="2712" spans="1:6">
      <c r="A2712" s="308">
        <v>43434</v>
      </c>
      <c r="B2712" s="309" t="s">
        <v>486</v>
      </c>
      <c r="C2712" s="309" t="s">
        <v>504</v>
      </c>
      <c r="D2712" s="136" t="str">
        <f t="array" ref="D2712">IF(E2712=0,0,(INDEX(AccountCodes[ACCOUNT NAME],MATCH(E2712,AccountCodes[NGAS CODE],0))))</f>
        <v>Pag-IBIG Contributions</v>
      </c>
      <c r="E2712" s="309" t="s">
        <v>176</v>
      </c>
      <c r="F2712" s="501">
        <v>500</v>
      </c>
    </row>
    <row r="2713" spans="1:6">
      <c r="A2713" s="308">
        <v>43465</v>
      </c>
      <c r="B2713" s="309" t="s">
        <v>486</v>
      </c>
      <c r="C2713" s="309" t="s">
        <v>504</v>
      </c>
      <c r="D2713" s="136" t="str">
        <f t="array" ref="D2713">IF(E2713=0,0,(INDEX(AccountCodes[ACCOUNT NAME],MATCH(E2713,AccountCodes[NGAS CODE],0))))</f>
        <v>Pag-IBIG Contributions</v>
      </c>
      <c r="E2713" s="309" t="s">
        <v>176</v>
      </c>
      <c r="F2713" s="501">
        <v>500</v>
      </c>
    </row>
    <row r="2714" spans="1:6">
      <c r="A2714" s="308">
        <v>43131</v>
      </c>
      <c r="B2714" s="309" t="s">
        <v>486</v>
      </c>
      <c r="C2714" s="309" t="s">
        <v>504</v>
      </c>
      <c r="D2714" s="136" t="str">
        <f t="array" ref="D2714">IF(E2714=0,0,(INDEX(AccountCodes[ACCOUNT NAME],MATCH(E2714,AccountCodes[NGAS CODE],0))))</f>
        <v>PhilHealth Contributions</v>
      </c>
      <c r="E2714" s="309" t="s">
        <v>177</v>
      </c>
      <c r="F2714" s="501">
        <v>825</v>
      </c>
    </row>
    <row r="2715" spans="1:6">
      <c r="A2715" s="308">
        <v>43159</v>
      </c>
      <c r="B2715" s="309" t="s">
        <v>486</v>
      </c>
      <c r="C2715" s="309" t="s">
        <v>504</v>
      </c>
      <c r="D2715" s="136" t="str">
        <f t="array" ref="D2715">IF(E2715=0,0,(INDEX(AccountCodes[ACCOUNT NAME],MATCH(E2715,AccountCodes[NGAS CODE],0))))</f>
        <v>PhilHealth Contributions</v>
      </c>
      <c r="E2715" s="309" t="s">
        <v>177</v>
      </c>
      <c r="F2715" s="501">
        <v>825</v>
      </c>
    </row>
    <row r="2716" spans="1:6">
      <c r="A2716" s="308">
        <v>43190</v>
      </c>
      <c r="B2716" s="309" t="s">
        <v>486</v>
      </c>
      <c r="C2716" s="309" t="s">
        <v>504</v>
      </c>
      <c r="D2716" s="136" t="str">
        <f t="array" ref="D2716">IF(E2716=0,0,(INDEX(AccountCodes[ACCOUNT NAME],MATCH(E2716,AccountCodes[NGAS CODE],0))))</f>
        <v>PhilHealth Contributions</v>
      </c>
      <c r="E2716" s="309" t="s">
        <v>177</v>
      </c>
      <c r="F2716" s="501">
        <v>825</v>
      </c>
    </row>
    <row r="2717" spans="1:6">
      <c r="A2717" s="308">
        <v>43220</v>
      </c>
      <c r="B2717" s="309" t="s">
        <v>486</v>
      </c>
      <c r="C2717" s="309" t="s">
        <v>504</v>
      </c>
      <c r="D2717" s="136" t="str">
        <f t="array" ref="D2717">IF(E2717=0,0,(INDEX(AccountCodes[ACCOUNT NAME],MATCH(E2717,AccountCodes[NGAS CODE],0))))</f>
        <v>PhilHealth Contributions</v>
      </c>
      <c r="E2717" s="309" t="s">
        <v>177</v>
      </c>
      <c r="F2717" s="501">
        <v>825</v>
      </c>
    </row>
    <row r="2718" spans="1:6">
      <c r="A2718" s="308">
        <v>43251</v>
      </c>
      <c r="B2718" s="309" t="s">
        <v>486</v>
      </c>
      <c r="C2718" s="309" t="s">
        <v>504</v>
      </c>
      <c r="D2718" s="136" t="str">
        <f t="array" ref="D2718">IF(E2718=0,0,(INDEX(AccountCodes[ACCOUNT NAME],MATCH(E2718,AccountCodes[NGAS CODE],0))))</f>
        <v>PhilHealth Contributions</v>
      </c>
      <c r="E2718" s="309" t="s">
        <v>177</v>
      </c>
      <c r="F2718" s="501">
        <v>825</v>
      </c>
    </row>
    <row r="2719" spans="1:6">
      <c r="A2719" s="308">
        <v>43281</v>
      </c>
      <c r="B2719" s="309" t="s">
        <v>486</v>
      </c>
      <c r="C2719" s="309" t="s">
        <v>504</v>
      </c>
      <c r="D2719" s="136" t="str">
        <f t="array" ref="D2719">IF(E2719=0,0,(INDEX(AccountCodes[ACCOUNT NAME],MATCH(E2719,AccountCodes[NGAS CODE],0))))</f>
        <v>PhilHealth Contributions</v>
      </c>
      <c r="E2719" s="309" t="s">
        <v>177</v>
      </c>
      <c r="F2719" s="501">
        <v>825</v>
      </c>
    </row>
    <row r="2720" spans="1:6">
      <c r="A2720" s="308">
        <v>43312</v>
      </c>
      <c r="B2720" s="309" t="s">
        <v>486</v>
      </c>
      <c r="C2720" s="309" t="s">
        <v>504</v>
      </c>
      <c r="D2720" s="136" t="str">
        <f t="array" ref="D2720">IF(E2720=0,0,(INDEX(AccountCodes[ACCOUNT NAME],MATCH(E2720,AccountCodes[NGAS CODE],0))))</f>
        <v>PhilHealth Contributions</v>
      </c>
      <c r="E2720" s="309" t="s">
        <v>177</v>
      </c>
      <c r="F2720" s="501">
        <v>825</v>
      </c>
    </row>
    <row r="2721" spans="1:6">
      <c r="A2721" s="308">
        <v>43343</v>
      </c>
      <c r="B2721" s="309" t="s">
        <v>486</v>
      </c>
      <c r="C2721" s="309" t="s">
        <v>504</v>
      </c>
      <c r="D2721" s="136" t="str">
        <f t="array" ref="D2721">IF(E2721=0,0,(INDEX(AccountCodes[ACCOUNT NAME],MATCH(E2721,AccountCodes[NGAS CODE],0))))</f>
        <v>PhilHealth Contributions</v>
      </c>
      <c r="E2721" s="309" t="s">
        <v>177</v>
      </c>
      <c r="F2721" s="501">
        <v>825</v>
      </c>
    </row>
    <row r="2722" spans="1:6">
      <c r="A2722" s="308">
        <v>43373</v>
      </c>
      <c r="B2722" s="309" t="s">
        <v>486</v>
      </c>
      <c r="C2722" s="309" t="s">
        <v>504</v>
      </c>
      <c r="D2722" s="136" t="str">
        <f t="array" ref="D2722">IF(E2722=0,0,(INDEX(AccountCodes[ACCOUNT NAME],MATCH(E2722,AccountCodes[NGAS CODE],0))))</f>
        <v>PhilHealth Contributions</v>
      </c>
      <c r="E2722" s="309" t="s">
        <v>177</v>
      </c>
      <c r="F2722" s="501">
        <v>825</v>
      </c>
    </row>
    <row r="2723" spans="1:6">
      <c r="A2723" s="308">
        <v>43404</v>
      </c>
      <c r="B2723" s="309" t="s">
        <v>486</v>
      </c>
      <c r="C2723" s="309" t="s">
        <v>504</v>
      </c>
      <c r="D2723" s="136" t="str">
        <f t="array" ref="D2723">IF(E2723=0,0,(INDEX(AccountCodes[ACCOUNT NAME],MATCH(E2723,AccountCodes[NGAS CODE],0))))</f>
        <v>PhilHealth Contributions</v>
      </c>
      <c r="E2723" s="309" t="s">
        <v>177</v>
      </c>
      <c r="F2723" s="501">
        <v>825</v>
      </c>
    </row>
    <row r="2724" spans="1:6">
      <c r="A2724" s="308">
        <v>43434</v>
      </c>
      <c r="B2724" s="309" t="s">
        <v>486</v>
      </c>
      <c r="C2724" s="309" t="s">
        <v>504</v>
      </c>
      <c r="D2724" s="136" t="str">
        <f t="array" ref="D2724">IF(E2724=0,0,(INDEX(AccountCodes[ACCOUNT NAME],MATCH(E2724,AccountCodes[NGAS CODE],0))))</f>
        <v>PhilHealth Contributions</v>
      </c>
      <c r="E2724" s="309" t="s">
        <v>177</v>
      </c>
      <c r="F2724" s="501">
        <v>825</v>
      </c>
    </row>
    <row r="2725" spans="1:6">
      <c r="A2725" s="308">
        <v>43465</v>
      </c>
      <c r="B2725" s="309" t="s">
        <v>486</v>
      </c>
      <c r="C2725" s="309" t="s">
        <v>504</v>
      </c>
      <c r="D2725" s="136" t="str">
        <f t="array" ref="D2725">IF(E2725=0,0,(INDEX(AccountCodes[ACCOUNT NAME],MATCH(E2725,AccountCodes[NGAS CODE],0))))</f>
        <v>PhilHealth Contributions</v>
      </c>
      <c r="E2725" s="309" t="s">
        <v>177</v>
      </c>
      <c r="F2725" s="501">
        <v>825</v>
      </c>
    </row>
    <row r="2726" spans="1:6">
      <c r="A2726" s="308">
        <v>43131</v>
      </c>
      <c r="B2726" s="309" t="s">
        <v>486</v>
      </c>
      <c r="C2726" s="309" t="s">
        <v>504</v>
      </c>
      <c r="D2726" s="136" t="str">
        <f t="array" ref="D2726">IF(E2726=0,0,(INDEX(AccountCodes[ACCOUNT NAME],MATCH(E2726,AccountCodes[NGAS CODE],0))))</f>
        <v>Employees Compensation Insurance Premiums</v>
      </c>
      <c r="E2726" s="309" t="s">
        <v>178</v>
      </c>
      <c r="F2726" s="501">
        <v>500</v>
      </c>
    </row>
    <row r="2727" spans="1:6">
      <c r="A2727" s="308">
        <v>43159</v>
      </c>
      <c r="B2727" s="309" t="s">
        <v>486</v>
      </c>
      <c r="C2727" s="309" t="s">
        <v>504</v>
      </c>
      <c r="D2727" s="136" t="str">
        <f t="array" ref="D2727">IF(E2727=0,0,(INDEX(AccountCodes[ACCOUNT NAME],MATCH(E2727,AccountCodes[NGAS CODE],0))))</f>
        <v>Employees Compensation Insurance Premiums</v>
      </c>
      <c r="E2727" s="309" t="s">
        <v>178</v>
      </c>
      <c r="F2727" s="501">
        <v>500</v>
      </c>
    </row>
    <row r="2728" spans="1:6">
      <c r="A2728" s="308">
        <v>43190</v>
      </c>
      <c r="B2728" s="309" t="s">
        <v>486</v>
      </c>
      <c r="C2728" s="309" t="s">
        <v>504</v>
      </c>
      <c r="D2728" s="136" t="str">
        <f t="array" ref="D2728">IF(E2728=0,0,(INDEX(AccountCodes[ACCOUNT NAME],MATCH(E2728,AccountCodes[NGAS CODE],0))))</f>
        <v>Employees Compensation Insurance Premiums</v>
      </c>
      <c r="E2728" s="309" t="s">
        <v>178</v>
      </c>
      <c r="F2728" s="501">
        <v>500</v>
      </c>
    </row>
    <row r="2729" spans="1:6">
      <c r="A2729" s="308">
        <v>43220</v>
      </c>
      <c r="B2729" s="309" t="s">
        <v>486</v>
      </c>
      <c r="C2729" s="309" t="s">
        <v>504</v>
      </c>
      <c r="D2729" s="136" t="str">
        <f t="array" ref="D2729">IF(E2729=0,0,(INDEX(AccountCodes[ACCOUNT NAME],MATCH(E2729,AccountCodes[NGAS CODE],0))))</f>
        <v>Employees Compensation Insurance Premiums</v>
      </c>
      <c r="E2729" s="309" t="s">
        <v>178</v>
      </c>
      <c r="F2729" s="501">
        <v>500</v>
      </c>
    </row>
    <row r="2730" spans="1:6">
      <c r="A2730" s="308">
        <v>43251</v>
      </c>
      <c r="B2730" s="309" t="s">
        <v>486</v>
      </c>
      <c r="C2730" s="309" t="s">
        <v>504</v>
      </c>
      <c r="D2730" s="136" t="str">
        <f t="array" ref="D2730">IF(E2730=0,0,(INDEX(AccountCodes[ACCOUNT NAME],MATCH(E2730,AccountCodes[NGAS CODE],0))))</f>
        <v>Employees Compensation Insurance Premiums</v>
      </c>
      <c r="E2730" s="309" t="s">
        <v>178</v>
      </c>
      <c r="F2730" s="501">
        <v>500</v>
      </c>
    </row>
    <row r="2731" spans="1:6">
      <c r="A2731" s="308">
        <v>43281</v>
      </c>
      <c r="B2731" s="309" t="s">
        <v>486</v>
      </c>
      <c r="C2731" s="309" t="s">
        <v>504</v>
      </c>
      <c r="D2731" s="136" t="str">
        <f t="array" ref="D2731">IF(E2731=0,0,(INDEX(AccountCodes[ACCOUNT NAME],MATCH(E2731,AccountCodes[NGAS CODE],0))))</f>
        <v>Employees Compensation Insurance Premiums</v>
      </c>
      <c r="E2731" s="309" t="s">
        <v>178</v>
      </c>
      <c r="F2731" s="501">
        <v>500</v>
      </c>
    </row>
    <row r="2732" spans="1:6">
      <c r="A2732" s="308">
        <v>43312</v>
      </c>
      <c r="B2732" s="309" t="s">
        <v>486</v>
      </c>
      <c r="C2732" s="309" t="s">
        <v>504</v>
      </c>
      <c r="D2732" s="136" t="str">
        <f t="array" ref="D2732">IF(E2732=0,0,(INDEX(AccountCodes[ACCOUNT NAME],MATCH(E2732,AccountCodes[NGAS CODE],0))))</f>
        <v>Employees Compensation Insurance Premiums</v>
      </c>
      <c r="E2732" s="309" t="s">
        <v>178</v>
      </c>
      <c r="F2732" s="501">
        <v>500</v>
      </c>
    </row>
    <row r="2733" spans="1:6">
      <c r="A2733" s="308">
        <v>43343</v>
      </c>
      <c r="B2733" s="309" t="s">
        <v>486</v>
      </c>
      <c r="C2733" s="309" t="s">
        <v>504</v>
      </c>
      <c r="D2733" s="136" t="str">
        <f t="array" ref="D2733">IF(E2733=0,0,(INDEX(AccountCodes[ACCOUNT NAME],MATCH(E2733,AccountCodes[NGAS CODE],0))))</f>
        <v>Employees Compensation Insurance Premiums</v>
      </c>
      <c r="E2733" s="309" t="s">
        <v>178</v>
      </c>
      <c r="F2733" s="501">
        <v>500</v>
      </c>
    </row>
    <row r="2734" spans="1:6">
      <c r="A2734" s="308">
        <v>43373</v>
      </c>
      <c r="B2734" s="309" t="s">
        <v>486</v>
      </c>
      <c r="C2734" s="309" t="s">
        <v>504</v>
      </c>
      <c r="D2734" s="136" t="str">
        <f t="array" ref="D2734">IF(E2734=0,0,(INDEX(AccountCodes[ACCOUNT NAME],MATCH(E2734,AccountCodes[NGAS CODE],0))))</f>
        <v>Employees Compensation Insurance Premiums</v>
      </c>
      <c r="E2734" s="309" t="s">
        <v>178</v>
      </c>
      <c r="F2734" s="501">
        <v>500</v>
      </c>
    </row>
    <row r="2735" spans="1:6">
      <c r="A2735" s="308">
        <v>43404</v>
      </c>
      <c r="B2735" s="309" t="s">
        <v>486</v>
      </c>
      <c r="C2735" s="309" t="s">
        <v>504</v>
      </c>
      <c r="D2735" s="136" t="str">
        <f t="array" ref="D2735">IF(E2735=0,0,(INDEX(AccountCodes[ACCOUNT NAME],MATCH(E2735,AccountCodes[NGAS CODE],0))))</f>
        <v>Employees Compensation Insurance Premiums</v>
      </c>
      <c r="E2735" s="309" t="s">
        <v>178</v>
      </c>
      <c r="F2735" s="501">
        <v>500</v>
      </c>
    </row>
    <row r="2736" spans="1:6">
      <c r="A2736" s="308">
        <v>43434</v>
      </c>
      <c r="B2736" s="309" t="s">
        <v>486</v>
      </c>
      <c r="C2736" s="309" t="s">
        <v>504</v>
      </c>
      <c r="D2736" s="136" t="str">
        <f t="array" ref="D2736">IF(E2736=0,0,(INDEX(AccountCodes[ACCOUNT NAME],MATCH(E2736,AccountCodes[NGAS CODE],0))))</f>
        <v>Employees Compensation Insurance Premiums</v>
      </c>
      <c r="E2736" s="309" t="s">
        <v>178</v>
      </c>
      <c r="F2736" s="501">
        <v>500</v>
      </c>
    </row>
    <row r="2737" spans="1:6">
      <c r="A2737" s="308">
        <v>43465</v>
      </c>
      <c r="B2737" s="309" t="s">
        <v>486</v>
      </c>
      <c r="C2737" s="309" t="s">
        <v>504</v>
      </c>
      <c r="D2737" s="136" t="str">
        <f t="array" ref="D2737">IF(E2737=0,0,(INDEX(AccountCodes[ACCOUNT NAME],MATCH(E2737,AccountCodes[NGAS CODE],0))))</f>
        <v>Employees Compensation Insurance Premiums</v>
      </c>
      <c r="E2737" s="309" t="s">
        <v>178</v>
      </c>
      <c r="F2737" s="501">
        <v>500</v>
      </c>
    </row>
    <row r="2738" spans="1:6">
      <c r="A2738" s="308">
        <v>43131</v>
      </c>
      <c r="B2738" s="309" t="s">
        <v>486</v>
      </c>
      <c r="C2738" s="309" t="s">
        <v>504</v>
      </c>
      <c r="D2738" s="136" t="str">
        <f t="array" ref="D2738">IF(E2738=0,0,(INDEX(AccountCodes[ACCOUNT NAME],MATCH(E2738,AccountCodes[NGAS CODE],0))))</f>
        <v>Electricity Expenses</v>
      </c>
      <c r="E2738" s="309" t="s">
        <v>233</v>
      </c>
      <c r="F2738" s="501">
        <v>8239.24</v>
      </c>
    </row>
    <row r="2739" spans="1:6">
      <c r="A2739" s="308">
        <v>43159</v>
      </c>
      <c r="B2739" s="309" t="s">
        <v>486</v>
      </c>
      <c r="C2739" s="309" t="s">
        <v>504</v>
      </c>
      <c r="D2739" s="136" t="str">
        <f t="array" ref="D2739">IF(E2739=0,0,(INDEX(AccountCodes[ACCOUNT NAME],MATCH(E2739,AccountCodes[NGAS CODE],0))))</f>
        <v>Electricity Expenses</v>
      </c>
      <c r="E2739" s="309" t="s">
        <v>233</v>
      </c>
      <c r="F2739" s="501">
        <v>8239.24</v>
      </c>
    </row>
    <row r="2740" spans="1:6">
      <c r="A2740" s="308">
        <v>43190</v>
      </c>
      <c r="B2740" s="309" t="s">
        <v>486</v>
      </c>
      <c r="C2740" s="309" t="s">
        <v>504</v>
      </c>
      <c r="D2740" s="136" t="str">
        <f t="array" ref="D2740">IF(E2740=0,0,(INDEX(AccountCodes[ACCOUNT NAME],MATCH(E2740,AccountCodes[NGAS CODE],0))))</f>
        <v>Electricity Expenses</v>
      </c>
      <c r="E2740" s="309" t="s">
        <v>233</v>
      </c>
      <c r="F2740" s="501">
        <v>8239.24</v>
      </c>
    </row>
    <row r="2741" spans="1:6">
      <c r="A2741" s="308">
        <v>43220</v>
      </c>
      <c r="B2741" s="309" t="s">
        <v>486</v>
      </c>
      <c r="C2741" s="309" t="s">
        <v>504</v>
      </c>
      <c r="D2741" s="136" t="str">
        <f t="array" ref="D2741">IF(E2741=0,0,(INDEX(AccountCodes[ACCOUNT NAME],MATCH(E2741,AccountCodes[NGAS CODE],0))))</f>
        <v>Electricity Expenses</v>
      </c>
      <c r="E2741" s="309" t="s">
        <v>233</v>
      </c>
      <c r="F2741" s="501">
        <v>8239.24</v>
      </c>
    </row>
    <row r="2742" spans="1:6">
      <c r="A2742" s="308">
        <v>43251</v>
      </c>
      <c r="B2742" s="309" t="s">
        <v>486</v>
      </c>
      <c r="C2742" s="309" t="s">
        <v>504</v>
      </c>
      <c r="D2742" s="136" t="str">
        <f t="array" ref="D2742">IF(E2742=0,0,(INDEX(AccountCodes[ACCOUNT NAME],MATCH(E2742,AccountCodes[NGAS CODE],0))))</f>
        <v>Electricity Expenses</v>
      </c>
      <c r="E2742" s="309" t="s">
        <v>233</v>
      </c>
      <c r="F2742" s="501">
        <v>8239.24</v>
      </c>
    </row>
    <row r="2743" spans="1:6">
      <c r="A2743" s="308">
        <v>43281</v>
      </c>
      <c r="B2743" s="309" t="s">
        <v>486</v>
      </c>
      <c r="C2743" s="309" t="s">
        <v>504</v>
      </c>
      <c r="D2743" s="136" t="str">
        <f t="array" ref="D2743">IF(E2743=0,0,(INDEX(AccountCodes[ACCOUNT NAME],MATCH(E2743,AccountCodes[NGAS CODE],0))))</f>
        <v>Electricity Expenses</v>
      </c>
      <c r="E2743" s="309" t="s">
        <v>233</v>
      </c>
      <c r="F2743" s="501">
        <v>8239.24</v>
      </c>
    </row>
    <row r="2744" spans="1:6">
      <c r="A2744" s="308">
        <v>43312</v>
      </c>
      <c r="B2744" s="309" t="s">
        <v>486</v>
      </c>
      <c r="C2744" s="309" t="s">
        <v>504</v>
      </c>
      <c r="D2744" s="136" t="str">
        <f t="array" ref="D2744">IF(E2744=0,0,(INDEX(AccountCodes[ACCOUNT NAME],MATCH(E2744,AccountCodes[NGAS CODE],0))))</f>
        <v>Electricity Expenses</v>
      </c>
      <c r="E2744" s="309" t="s">
        <v>233</v>
      </c>
      <c r="F2744" s="501">
        <v>8239.24</v>
      </c>
    </row>
    <row r="2745" spans="1:6">
      <c r="A2745" s="308">
        <v>43343</v>
      </c>
      <c r="B2745" s="309" t="s">
        <v>486</v>
      </c>
      <c r="C2745" s="309" t="s">
        <v>504</v>
      </c>
      <c r="D2745" s="136" t="str">
        <f t="array" ref="D2745">IF(E2745=0,0,(INDEX(AccountCodes[ACCOUNT NAME],MATCH(E2745,AccountCodes[NGAS CODE],0))))</f>
        <v>Electricity Expenses</v>
      </c>
      <c r="E2745" s="309" t="s">
        <v>233</v>
      </c>
      <c r="F2745" s="501">
        <v>8239.24</v>
      </c>
    </row>
    <row r="2746" spans="1:6">
      <c r="A2746" s="308">
        <v>43373</v>
      </c>
      <c r="B2746" s="309" t="s">
        <v>486</v>
      </c>
      <c r="C2746" s="309" t="s">
        <v>504</v>
      </c>
      <c r="D2746" s="136" t="str">
        <f t="array" ref="D2746">IF(E2746=0,0,(INDEX(AccountCodes[ACCOUNT NAME],MATCH(E2746,AccountCodes[NGAS CODE],0))))</f>
        <v>Electricity Expenses</v>
      </c>
      <c r="E2746" s="309" t="s">
        <v>233</v>
      </c>
      <c r="F2746" s="501">
        <v>8239.24</v>
      </c>
    </row>
    <row r="2747" spans="1:6">
      <c r="A2747" s="308">
        <v>43404</v>
      </c>
      <c r="B2747" s="309" t="s">
        <v>486</v>
      </c>
      <c r="C2747" s="309" t="s">
        <v>504</v>
      </c>
      <c r="D2747" s="136" t="str">
        <f t="array" ref="D2747">IF(E2747=0,0,(INDEX(AccountCodes[ACCOUNT NAME],MATCH(E2747,AccountCodes[NGAS CODE],0))))</f>
        <v>Electricity Expenses</v>
      </c>
      <c r="E2747" s="309" t="s">
        <v>233</v>
      </c>
      <c r="F2747" s="501">
        <v>8239.24</v>
      </c>
    </row>
    <row r="2748" spans="1:6">
      <c r="A2748" s="308">
        <v>43434</v>
      </c>
      <c r="B2748" s="309" t="s">
        <v>486</v>
      </c>
      <c r="C2748" s="309" t="s">
        <v>504</v>
      </c>
      <c r="D2748" s="136" t="str">
        <f t="array" ref="D2748">IF(E2748=0,0,(INDEX(AccountCodes[ACCOUNT NAME],MATCH(E2748,AccountCodes[NGAS CODE],0))))</f>
        <v>Electricity Expenses</v>
      </c>
      <c r="E2748" s="309" t="s">
        <v>233</v>
      </c>
      <c r="F2748" s="501">
        <v>8239.24</v>
      </c>
    </row>
    <row r="2749" spans="1:6">
      <c r="A2749" s="308">
        <v>43465</v>
      </c>
      <c r="B2749" s="309" t="s">
        <v>486</v>
      </c>
      <c r="C2749" s="309" t="s">
        <v>504</v>
      </c>
      <c r="D2749" s="136" t="str">
        <f t="array" ref="D2749">IF(E2749=0,0,(INDEX(AccountCodes[ACCOUNT NAME],MATCH(E2749,AccountCodes[NGAS CODE],0))))</f>
        <v>Electricity Expenses</v>
      </c>
      <c r="E2749" s="309" t="s">
        <v>233</v>
      </c>
      <c r="F2749" s="501">
        <v>8239.24</v>
      </c>
    </row>
    <row r="2750" spans="1:6">
      <c r="A2750" s="308">
        <v>43131</v>
      </c>
      <c r="B2750" s="309" t="s">
        <v>486</v>
      </c>
      <c r="C2750" s="309" t="s">
        <v>504</v>
      </c>
      <c r="D2750" s="136" t="str">
        <f t="array" ref="D2750">IF(E2750=0,0,(INDEX(AccountCodes[ACCOUNT NAME],MATCH(E2750,AccountCodes[NGAS CODE],0))))</f>
        <v>Internet Subscription Expenses</v>
      </c>
      <c r="E2750" s="309" t="s">
        <v>237</v>
      </c>
      <c r="F2750" s="501">
        <v>999</v>
      </c>
    </row>
    <row r="2751" spans="1:6">
      <c r="A2751" s="308">
        <v>43159</v>
      </c>
      <c r="B2751" s="309" t="s">
        <v>486</v>
      </c>
      <c r="C2751" s="309" t="s">
        <v>504</v>
      </c>
      <c r="D2751" s="136" t="str">
        <f t="array" ref="D2751">IF(E2751=0,0,(INDEX(AccountCodes[ACCOUNT NAME],MATCH(E2751,AccountCodes[NGAS CODE],0))))</f>
        <v>Internet Subscription Expenses</v>
      </c>
      <c r="E2751" s="309" t="s">
        <v>237</v>
      </c>
      <c r="F2751" s="501">
        <v>999</v>
      </c>
    </row>
    <row r="2752" spans="1:6">
      <c r="A2752" s="308">
        <v>43190</v>
      </c>
      <c r="B2752" s="309" t="s">
        <v>486</v>
      </c>
      <c r="C2752" s="309" t="s">
        <v>504</v>
      </c>
      <c r="D2752" s="136" t="str">
        <f t="array" ref="D2752">IF(E2752=0,0,(INDEX(AccountCodes[ACCOUNT NAME],MATCH(E2752,AccountCodes[NGAS CODE],0))))</f>
        <v>Internet Subscription Expenses</v>
      </c>
      <c r="E2752" s="309" t="s">
        <v>237</v>
      </c>
      <c r="F2752" s="501">
        <v>999</v>
      </c>
    </row>
    <row r="2753" spans="1:6">
      <c r="A2753" s="308">
        <v>43220</v>
      </c>
      <c r="B2753" s="309" t="s">
        <v>486</v>
      </c>
      <c r="C2753" s="309" t="s">
        <v>504</v>
      </c>
      <c r="D2753" s="136" t="str">
        <f t="array" ref="D2753">IF(E2753=0,0,(INDEX(AccountCodes[ACCOUNT NAME],MATCH(E2753,AccountCodes[NGAS CODE],0))))</f>
        <v>Internet Subscription Expenses</v>
      </c>
      <c r="E2753" s="309" t="s">
        <v>237</v>
      </c>
      <c r="F2753" s="501">
        <v>999</v>
      </c>
    </row>
    <row r="2754" spans="1:6">
      <c r="A2754" s="308">
        <v>43251</v>
      </c>
      <c r="B2754" s="309" t="s">
        <v>486</v>
      </c>
      <c r="C2754" s="309" t="s">
        <v>504</v>
      </c>
      <c r="D2754" s="136" t="str">
        <f t="array" ref="D2754">IF(E2754=0,0,(INDEX(AccountCodes[ACCOUNT NAME],MATCH(E2754,AccountCodes[NGAS CODE],0))))</f>
        <v>Internet Subscription Expenses</v>
      </c>
      <c r="E2754" s="309" t="s">
        <v>237</v>
      </c>
      <c r="F2754" s="501">
        <v>999</v>
      </c>
    </row>
    <row r="2755" spans="1:6">
      <c r="A2755" s="308">
        <v>43281</v>
      </c>
      <c r="B2755" s="309" t="s">
        <v>486</v>
      </c>
      <c r="C2755" s="309" t="s">
        <v>504</v>
      </c>
      <c r="D2755" s="136" t="str">
        <f t="array" ref="D2755">IF(E2755=0,0,(INDEX(AccountCodes[ACCOUNT NAME],MATCH(E2755,AccountCodes[NGAS CODE],0))))</f>
        <v>Internet Subscription Expenses</v>
      </c>
      <c r="E2755" s="309" t="s">
        <v>237</v>
      </c>
      <c r="F2755" s="501">
        <v>999</v>
      </c>
    </row>
    <row r="2756" spans="1:6">
      <c r="A2756" s="308">
        <v>43312</v>
      </c>
      <c r="B2756" s="309" t="s">
        <v>486</v>
      </c>
      <c r="C2756" s="309" t="s">
        <v>504</v>
      </c>
      <c r="D2756" s="136" t="str">
        <f t="array" ref="D2756">IF(E2756=0,0,(INDEX(AccountCodes[ACCOUNT NAME],MATCH(E2756,AccountCodes[NGAS CODE],0))))</f>
        <v>Internet Subscription Expenses</v>
      </c>
      <c r="E2756" s="309" t="s">
        <v>237</v>
      </c>
      <c r="F2756" s="501">
        <v>999</v>
      </c>
    </row>
    <row r="2757" spans="1:6">
      <c r="A2757" s="308">
        <v>43343</v>
      </c>
      <c r="B2757" s="309" t="s">
        <v>486</v>
      </c>
      <c r="C2757" s="309" t="s">
        <v>504</v>
      </c>
      <c r="D2757" s="136" t="str">
        <f t="array" ref="D2757">IF(E2757=0,0,(INDEX(AccountCodes[ACCOUNT NAME],MATCH(E2757,AccountCodes[NGAS CODE],0))))</f>
        <v>Internet Subscription Expenses</v>
      </c>
      <c r="E2757" s="309" t="s">
        <v>237</v>
      </c>
      <c r="F2757" s="501">
        <v>999</v>
      </c>
    </row>
    <row r="2758" spans="1:6">
      <c r="A2758" s="308">
        <v>43373</v>
      </c>
      <c r="B2758" s="309" t="s">
        <v>486</v>
      </c>
      <c r="C2758" s="309" t="s">
        <v>504</v>
      </c>
      <c r="D2758" s="136" t="str">
        <f t="array" ref="D2758">IF(E2758=0,0,(INDEX(AccountCodes[ACCOUNT NAME],MATCH(E2758,AccountCodes[NGAS CODE],0))))</f>
        <v>Internet Subscription Expenses</v>
      </c>
      <c r="E2758" s="309" t="s">
        <v>237</v>
      </c>
      <c r="F2758" s="501">
        <v>999</v>
      </c>
    </row>
    <row r="2759" spans="1:6">
      <c r="A2759" s="308">
        <v>43404</v>
      </c>
      <c r="B2759" s="309" t="s">
        <v>486</v>
      </c>
      <c r="C2759" s="309" t="s">
        <v>504</v>
      </c>
      <c r="D2759" s="136" t="str">
        <f t="array" ref="D2759">IF(E2759=0,0,(INDEX(AccountCodes[ACCOUNT NAME],MATCH(E2759,AccountCodes[NGAS CODE],0))))</f>
        <v>Internet Subscription Expenses</v>
      </c>
      <c r="E2759" s="309" t="s">
        <v>237</v>
      </c>
      <c r="F2759" s="501">
        <v>999</v>
      </c>
    </row>
    <row r="2760" spans="1:6">
      <c r="A2760" s="308">
        <v>43434</v>
      </c>
      <c r="B2760" s="309" t="s">
        <v>486</v>
      </c>
      <c r="C2760" s="309" t="s">
        <v>504</v>
      </c>
      <c r="D2760" s="136" t="str">
        <f t="array" ref="D2760">IF(E2760=0,0,(INDEX(AccountCodes[ACCOUNT NAME],MATCH(E2760,AccountCodes[NGAS CODE],0))))</f>
        <v>Internet Subscription Expenses</v>
      </c>
      <c r="E2760" s="309" t="s">
        <v>237</v>
      </c>
      <c r="F2760" s="501">
        <v>999</v>
      </c>
    </row>
    <row r="2761" spans="1:6">
      <c r="A2761" s="308">
        <v>43465</v>
      </c>
      <c r="B2761" s="309" t="s">
        <v>486</v>
      </c>
      <c r="C2761" s="309" t="s">
        <v>504</v>
      </c>
      <c r="D2761" s="136" t="str">
        <f t="array" ref="D2761">IF(E2761=0,0,(INDEX(AccountCodes[ACCOUNT NAME],MATCH(E2761,AccountCodes[NGAS CODE],0))))</f>
        <v>Internet Subscription Expenses</v>
      </c>
      <c r="E2761" s="309" t="s">
        <v>237</v>
      </c>
      <c r="F2761" s="501">
        <v>999</v>
      </c>
    </row>
    <row r="2762" spans="1:6">
      <c r="A2762" s="308">
        <v>43220</v>
      </c>
      <c r="B2762" s="309" t="s">
        <v>486</v>
      </c>
      <c r="C2762" s="309" t="s">
        <v>504</v>
      </c>
      <c r="D2762" s="136" t="str">
        <f t="array" ref="D2762">IF(E2762=0,0,(INDEX(AccountCodes[ACCOUNT NAME],MATCH(E2762,AccountCodes[NGAS CODE],0))))</f>
        <v>Other Maintenance and Operating Expenses (Irrigator's Share/Remuneration/Subsidy)</v>
      </c>
      <c r="E2762" s="309" t="s">
        <v>333</v>
      </c>
      <c r="F2762" s="501">
        <v>156555</v>
      </c>
    </row>
    <row r="2763" spans="1:6">
      <c r="A2763" s="308">
        <v>43251</v>
      </c>
      <c r="B2763" s="309" t="s">
        <v>486</v>
      </c>
      <c r="C2763" s="309" t="s">
        <v>504</v>
      </c>
      <c r="D2763" s="136" t="str">
        <f t="array" ref="D2763">IF(E2763=0,0,(INDEX(AccountCodes[ACCOUNT NAME],MATCH(E2763,AccountCodes[NGAS CODE],0))))</f>
        <v>Other Maintenance and Operating Expenses (Irrigator's Share/Remuneration/Subsidy)</v>
      </c>
      <c r="E2763" s="309" t="s">
        <v>333</v>
      </c>
      <c r="F2763" s="501">
        <v>156555</v>
      </c>
    </row>
    <row r="2764" spans="1:6">
      <c r="A2764" s="308">
        <v>43404</v>
      </c>
      <c r="B2764" s="309" t="s">
        <v>486</v>
      </c>
      <c r="C2764" s="309" t="s">
        <v>504</v>
      </c>
      <c r="D2764" s="136" t="str">
        <f t="array" ref="D2764">IF(E2764=0,0,(INDEX(AccountCodes[ACCOUNT NAME],MATCH(E2764,AccountCodes[NGAS CODE],0))))</f>
        <v>Other Maintenance and Operating Expenses (Irrigator's Share/Remuneration/Subsidy)</v>
      </c>
      <c r="E2764" s="309" t="s">
        <v>333</v>
      </c>
      <c r="F2764" s="501">
        <v>145680</v>
      </c>
    </row>
    <row r="2765" spans="1:6">
      <c r="A2765" s="308">
        <v>43434</v>
      </c>
      <c r="B2765" s="309" t="s">
        <v>486</v>
      </c>
      <c r="C2765" s="309" t="s">
        <v>504</v>
      </c>
      <c r="D2765" s="136" t="str">
        <f t="array" ref="D2765">IF(E2765=0,0,(INDEX(AccountCodes[ACCOUNT NAME],MATCH(E2765,AccountCodes[NGAS CODE],0))))</f>
        <v>Other Maintenance and Operating Expenses (Irrigator's Share/Remuneration/Subsidy)</v>
      </c>
      <c r="E2765" s="309" t="s">
        <v>333</v>
      </c>
      <c r="F2765" s="501">
        <v>145680</v>
      </c>
    </row>
    <row r="2766" spans="1:6">
      <c r="A2766" s="308"/>
      <c r="D2766" s="136">
        <f t="array" ref="D2766">IF(E2766=0,0,(INDEX(AccountCodes[ACCOUNT NAME],MATCH(E2766,AccountCodes[NGAS CODE],0))))</f>
        <v>0</v>
      </c>
      <c r="E2766" s="309"/>
      <c r="F2766" s="501"/>
    </row>
    <row r="2767" spans="1:6">
      <c r="A2767" s="308">
        <v>43131</v>
      </c>
      <c r="B2767" s="309" t="s">
        <v>486</v>
      </c>
      <c r="C2767" s="309" t="s">
        <v>507</v>
      </c>
      <c r="D2767" s="136" t="str">
        <f t="array" ref="D2767">IF(E2767=0,0,(INDEX(AccountCodes[ACCOUNT NAME],MATCH(E2767,AccountCodes[NGAS CODE],0))))</f>
        <v>Miscellaneous Income (Others)</v>
      </c>
      <c r="E2767" s="309" t="s">
        <v>160</v>
      </c>
      <c r="F2767" s="501">
        <v>280000</v>
      </c>
    </row>
    <row r="2768" spans="1:6">
      <c r="A2768" s="308">
        <v>43159</v>
      </c>
      <c r="B2768" s="309" t="s">
        <v>486</v>
      </c>
      <c r="C2768" s="309" t="s">
        <v>507</v>
      </c>
      <c r="D2768" s="136" t="str">
        <f t="array" ref="D2768">IF(E2768=0,0,(INDEX(AccountCodes[ACCOUNT NAME],MATCH(E2768,AccountCodes[NGAS CODE],0))))</f>
        <v>Miscellaneous Income (Others)</v>
      </c>
      <c r="E2768" s="309" t="s">
        <v>160</v>
      </c>
      <c r="F2768" s="501">
        <v>280000</v>
      </c>
    </row>
    <row r="2769" spans="1:6">
      <c r="A2769" s="308">
        <v>43190</v>
      </c>
      <c r="B2769" s="309" t="s">
        <v>486</v>
      </c>
      <c r="C2769" s="309" t="s">
        <v>507</v>
      </c>
      <c r="D2769" s="136" t="str">
        <f t="array" ref="D2769">IF(E2769=0,0,(INDEX(AccountCodes[ACCOUNT NAME],MATCH(E2769,AccountCodes[NGAS CODE],0))))</f>
        <v>Miscellaneous Income (Others)</v>
      </c>
      <c r="E2769" s="309" t="s">
        <v>160</v>
      </c>
      <c r="F2769" s="501">
        <v>266000</v>
      </c>
    </row>
    <row r="2770" spans="1:6">
      <c r="A2770" s="308">
        <v>43131</v>
      </c>
      <c r="B2770" s="309" t="s">
        <v>486</v>
      </c>
      <c r="C2770" s="309" t="s">
        <v>507</v>
      </c>
      <c r="D2770" s="136" t="str">
        <f t="array" ref="D2770">IF(E2770=0,0,(INDEX(AccountCodes[ACCOUNT NAME],MATCH(E2770,AccountCodes[NGAS CODE],0))))</f>
        <v>Salaries and Wages-Regular</v>
      </c>
      <c r="E2770" s="309" t="s">
        <v>162</v>
      </c>
      <c r="F2770" s="501">
        <v>387277</v>
      </c>
    </row>
    <row r="2771" spans="1:6">
      <c r="A2771" s="308">
        <v>43159</v>
      </c>
      <c r="B2771" s="309" t="s">
        <v>486</v>
      </c>
      <c r="C2771" s="309" t="s">
        <v>507</v>
      </c>
      <c r="D2771" s="136" t="str">
        <f t="array" ref="D2771">IF(E2771=0,0,(INDEX(AccountCodes[ACCOUNT NAME],MATCH(E2771,AccountCodes[NGAS CODE],0))))</f>
        <v>Salaries and Wages-Regular</v>
      </c>
      <c r="E2771" s="309" t="s">
        <v>162</v>
      </c>
      <c r="F2771" s="501">
        <v>387277</v>
      </c>
    </row>
    <row r="2772" spans="1:6">
      <c r="A2772" s="308">
        <v>43190</v>
      </c>
      <c r="B2772" s="309" t="s">
        <v>486</v>
      </c>
      <c r="C2772" s="309" t="s">
        <v>507</v>
      </c>
      <c r="D2772" s="136" t="str">
        <f t="array" ref="D2772">IF(E2772=0,0,(INDEX(AccountCodes[ACCOUNT NAME],MATCH(E2772,AccountCodes[NGAS CODE],0))))</f>
        <v>Salaries and Wages-Regular</v>
      </c>
      <c r="E2772" s="309" t="s">
        <v>162</v>
      </c>
      <c r="F2772" s="501">
        <v>387277</v>
      </c>
    </row>
    <row r="2773" spans="1:6">
      <c r="A2773" s="308">
        <v>43220</v>
      </c>
      <c r="B2773" s="309" t="s">
        <v>486</v>
      </c>
      <c r="C2773" s="309" t="s">
        <v>507</v>
      </c>
      <c r="D2773" s="136" t="str">
        <f t="array" ref="D2773">IF(E2773=0,0,(INDEX(AccountCodes[ACCOUNT NAME],MATCH(E2773,AccountCodes[NGAS CODE],0))))</f>
        <v>Salaries and Wages-Regular</v>
      </c>
      <c r="E2773" s="309" t="s">
        <v>162</v>
      </c>
      <c r="F2773" s="501">
        <v>387277</v>
      </c>
    </row>
    <row r="2774" spans="1:6">
      <c r="A2774" s="308">
        <v>43251</v>
      </c>
      <c r="B2774" s="309" t="s">
        <v>486</v>
      </c>
      <c r="C2774" s="309" t="s">
        <v>507</v>
      </c>
      <c r="D2774" s="136" t="str">
        <f t="array" ref="D2774">IF(E2774=0,0,(INDEX(AccountCodes[ACCOUNT NAME],MATCH(E2774,AccountCodes[NGAS CODE],0))))</f>
        <v>Salaries and Wages-Regular</v>
      </c>
      <c r="E2774" s="309" t="s">
        <v>162</v>
      </c>
      <c r="F2774" s="501">
        <v>387277</v>
      </c>
    </row>
    <row r="2775" spans="1:6">
      <c r="A2775" s="308">
        <v>43281</v>
      </c>
      <c r="B2775" s="309" t="s">
        <v>486</v>
      </c>
      <c r="C2775" s="309" t="s">
        <v>507</v>
      </c>
      <c r="D2775" s="136" t="str">
        <f t="array" ref="D2775">IF(E2775=0,0,(INDEX(AccountCodes[ACCOUNT NAME],MATCH(E2775,AccountCodes[NGAS CODE],0))))</f>
        <v>Salaries and Wages-Regular</v>
      </c>
      <c r="E2775" s="309" t="s">
        <v>162</v>
      </c>
      <c r="F2775" s="501">
        <v>387277</v>
      </c>
    </row>
    <row r="2776" spans="1:6">
      <c r="A2776" s="308">
        <v>43312</v>
      </c>
      <c r="B2776" s="309" t="s">
        <v>486</v>
      </c>
      <c r="C2776" s="309" t="s">
        <v>507</v>
      </c>
      <c r="D2776" s="136" t="str">
        <f t="array" ref="D2776">IF(E2776=0,0,(INDEX(AccountCodes[ACCOUNT NAME],MATCH(E2776,AccountCodes[NGAS CODE],0))))</f>
        <v>Salaries and Wages-Regular</v>
      </c>
      <c r="E2776" s="309" t="s">
        <v>162</v>
      </c>
      <c r="F2776" s="501">
        <v>387277</v>
      </c>
    </row>
    <row r="2777" spans="1:6">
      <c r="A2777" s="308">
        <v>43343</v>
      </c>
      <c r="B2777" s="309" t="s">
        <v>486</v>
      </c>
      <c r="C2777" s="309" t="s">
        <v>507</v>
      </c>
      <c r="D2777" s="136" t="str">
        <f t="array" ref="D2777">IF(E2777=0,0,(INDEX(AccountCodes[ACCOUNT NAME],MATCH(E2777,AccountCodes[NGAS CODE],0))))</f>
        <v>Salaries and Wages-Regular</v>
      </c>
      <c r="E2777" s="309" t="s">
        <v>162</v>
      </c>
      <c r="F2777" s="501">
        <v>387277</v>
      </c>
    </row>
    <row r="2778" spans="1:6">
      <c r="A2778" s="308">
        <v>43373</v>
      </c>
      <c r="B2778" s="309" t="s">
        <v>486</v>
      </c>
      <c r="C2778" s="309" t="s">
        <v>507</v>
      </c>
      <c r="D2778" s="136" t="str">
        <f t="array" ref="D2778">IF(E2778=0,0,(INDEX(AccountCodes[ACCOUNT NAME],MATCH(E2778,AccountCodes[NGAS CODE],0))))</f>
        <v>Salaries and Wages-Regular</v>
      </c>
      <c r="E2778" s="309" t="s">
        <v>162</v>
      </c>
      <c r="F2778" s="501">
        <v>387277</v>
      </c>
    </row>
    <row r="2779" spans="1:6">
      <c r="A2779" s="308">
        <v>43404</v>
      </c>
      <c r="B2779" s="309" t="s">
        <v>486</v>
      </c>
      <c r="C2779" s="309" t="s">
        <v>507</v>
      </c>
      <c r="D2779" s="136" t="str">
        <f t="array" ref="D2779">IF(E2779=0,0,(INDEX(AccountCodes[ACCOUNT NAME],MATCH(E2779,AccountCodes[NGAS CODE],0))))</f>
        <v>Salaries and Wages-Regular</v>
      </c>
      <c r="E2779" s="309" t="s">
        <v>162</v>
      </c>
      <c r="F2779" s="501">
        <v>387277</v>
      </c>
    </row>
    <row r="2780" spans="1:6">
      <c r="A2780" s="308">
        <v>43434</v>
      </c>
      <c r="B2780" s="309" t="s">
        <v>486</v>
      </c>
      <c r="C2780" s="309" t="s">
        <v>507</v>
      </c>
      <c r="D2780" s="136" t="str">
        <f t="array" ref="D2780">IF(E2780=0,0,(INDEX(AccountCodes[ACCOUNT NAME],MATCH(E2780,AccountCodes[NGAS CODE],0))))</f>
        <v>Salaries and Wages-Regular</v>
      </c>
      <c r="E2780" s="309" t="s">
        <v>162</v>
      </c>
      <c r="F2780" s="501">
        <v>387277</v>
      </c>
    </row>
    <row r="2781" spans="1:6">
      <c r="A2781" s="308">
        <v>43465</v>
      </c>
      <c r="B2781" s="309" t="s">
        <v>486</v>
      </c>
      <c r="C2781" s="309" t="s">
        <v>507</v>
      </c>
      <c r="D2781" s="136" t="str">
        <f t="array" ref="D2781">IF(E2781=0,0,(INDEX(AccountCodes[ACCOUNT NAME],MATCH(E2781,AccountCodes[NGAS CODE],0))))</f>
        <v>Salaries and Wages-Regular</v>
      </c>
      <c r="E2781" s="309" t="s">
        <v>162</v>
      </c>
      <c r="F2781" s="501">
        <v>387277</v>
      </c>
    </row>
    <row r="2782" spans="1:6">
      <c r="A2782" s="308">
        <v>43131</v>
      </c>
      <c r="B2782" s="309" t="s">
        <v>486</v>
      </c>
      <c r="C2782" s="309" t="s">
        <v>507</v>
      </c>
      <c r="D2782" s="136" t="str">
        <f t="array" ref="D2782">IF(E2782=0,0,(INDEX(AccountCodes[ACCOUNT NAME],MATCH(E2782,AccountCodes[NGAS CODE],0))))</f>
        <v>Salaries and Wages-Casual/Contractual</v>
      </c>
      <c r="E2782" s="309" t="s">
        <v>163</v>
      </c>
      <c r="F2782" s="501">
        <v>198191.87</v>
      </c>
    </row>
    <row r="2783" spans="1:6">
      <c r="A2783" s="308">
        <v>43159</v>
      </c>
      <c r="B2783" s="309" t="s">
        <v>486</v>
      </c>
      <c r="C2783" s="309" t="s">
        <v>507</v>
      </c>
      <c r="D2783" s="136" t="str">
        <f t="array" ref="D2783">IF(E2783=0,0,(INDEX(AccountCodes[ACCOUNT NAME],MATCH(E2783,AccountCodes[NGAS CODE],0))))</f>
        <v>Salaries and Wages-Casual/Contractual</v>
      </c>
      <c r="E2783" s="309" t="s">
        <v>163</v>
      </c>
      <c r="F2783" s="501">
        <v>198191.87</v>
      </c>
    </row>
    <row r="2784" spans="1:6">
      <c r="A2784" s="308">
        <v>43190</v>
      </c>
      <c r="B2784" s="309" t="s">
        <v>486</v>
      </c>
      <c r="C2784" s="309" t="s">
        <v>507</v>
      </c>
      <c r="D2784" s="136" t="str">
        <f t="array" ref="D2784">IF(E2784=0,0,(INDEX(AccountCodes[ACCOUNT NAME],MATCH(E2784,AccountCodes[NGAS CODE],0))))</f>
        <v>Salaries and Wages-Casual/Contractual</v>
      </c>
      <c r="E2784" s="309" t="s">
        <v>163</v>
      </c>
      <c r="F2784" s="501">
        <v>198191.87</v>
      </c>
    </row>
    <row r="2785" spans="1:6">
      <c r="A2785" s="308">
        <v>43220</v>
      </c>
      <c r="B2785" s="309" t="s">
        <v>486</v>
      </c>
      <c r="C2785" s="309" t="s">
        <v>507</v>
      </c>
      <c r="D2785" s="136" t="str">
        <f t="array" ref="D2785">IF(E2785=0,0,(INDEX(AccountCodes[ACCOUNT NAME],MATCH(E2785,AccountCodes[NGAS CODE],0))))</f>
        <v>Salaries and Wages-Casual/Contractual</v>
      </c>
      <c r="E2785" s="309" t="s">
        <v>163</v>
      </c>
      <c r="F2785" s="501">
        <v>198191.87</v>
      </c>
    </row>
    <row r="2786" spans="1:6">
      <c r="A2786" s="308">
        <v>43251</v>
      </c>
      <c r="B2786" s="309" t="s">
        <v>486</v>
      </c>
      <c r="C2786" s="309" t="s">
        <v>507</v>
      </c>
      <c r="D2786" s="136" t="str">
        <f t="array" ref="D2786">IF(E2786=0,0,(INDEX(AccountCodes[ACCOUNT NAME],MATCH(E2786,AccountCodes[NGAS CODE],0))))</f>
        <v>Salaries and Wages-Casual/Contractual</v>
      </c>
      <c r="E2786" s="309" t="s">
        <v>163</v>
      </c>
      <c r="F2786" s="501">
        <v>198191.87</v>
      </c>
    </row>
    <row r="2787" spans="1:6">
      <c r="A2787" s="308">
        <v>43281</v>
      </c>
      <c r="B2787" s="309" t="s">
        <v>486</v>
      </c>
      <c r="C2787" s="309" t="s">
        <v>507</v>
      </c>
      <c r="D2787" s="136" t="str">
        <f t="array" ref="D2787">IF(E2787=0,0,(INDEX(AccountCodes[ACCOUNT NAME],MATCH(E2787,AccountCodes[NGAS CODE],0))))</f>
        <v>Salaries and Wages-Casual/Contractual</v>
      </c>
      <c r="E2787" s="309" t="s">
        <v>163</v>
      </c>
      <c r="F2787" s="501">
        <v>198191.87</v>
      </c>
    </row>
    <row r="2788" spans="1:6">
      <c r="A2788" s="308">
        <v>43312</v>
      </c>
      <c r="B2788" s="309" t="s">
        <v>486</v>
      </c>
      <c r="C2788" s="309" t="s">
        <v>507</v>
      </c>
      <c r="D2788" s="136" t="str">
        <f t="array" ref="D2788">IF(E2788=0,0,(INDEX(AccountCodes[ACCOUNT NAME],MATCH(E2788,AccountCodes[NGAS CODE],0))))</f>
        <v>Salaries and Wages-Casual/Contractual</v>
      </c>
      <c r="E2788" s="309" t="s">
        <v>163</v>
      </c>
      <c r="F2788" s="501">
        <v>198191.87</v>
      </c>
    </row>
    <row r="2789" spans="1:6">
      <c r="A2789" s="308">
        <v>43343</v>
      </c>
      <c r="B2789" s="309" t="s">
        <v>486</v>
      </c>
      <c r="C2789" s="309" t="s">
        <v>507</v>
      </c>
      <c r="D2789" s="136" t="str">
        <f t="array" ref="D2789">IF(E2789=0,0,(INDEX(AccountCodes[ACCOUNT NAME],MATCH(E2789,AccountCodes[NGAS CODE],0))))</f>
        <v>Salaries and Wages-Casual/Contractual</v>
      </c>
      <c r="E2789" s="309" t="s">
        <v>163</v>
      </c>
      <c r="F2789" s="501">
        <v>198191.87</v>
      </c>
    </row>
    <row r="2790" spans="1:6">
      <c r="A2790" s="308">
        <v>43373</v>
      </c>
      <c r="B2790" s="309" t="s">
        <v>486</v>
      </c>
      <c r="C2790" s="309" t="s">
        <v>507</v>
      </c>
      <c r="D2790" s="136" t="str">
        <f t="array" ref="D2790">IF(E2790=0,0,(INDEX(AccountCodes[ACCOUNT NAME],MATCH(E2790,AccountCodes[NGAS CODE],0))))</f>
        <v>Salaries and Wages-Casual/Contractual</v>
      </c>
      <c r="E2790" s="309" t="s">
        <v>163</v>
      </c>
      <c r="F2790" s="501">
        <v>198191.87</v>
      </c>
    </row>
    <row r="2791" spans="1:6">
      <c r="A2791" s="308">
        <v>43404</v>
      </c>
      <c r="B2791" s="309" t="s">
        <v>486</v>
      </c>
      <c r="C2791" s="309" t="s">
        <v>507</v>
      </c>
      <c r="D2791" s="136" t="str">
        <f t="array" ref="D2791">IF(E2791=0,0,(INDEX(AccountCodes[ACCOUNT NAME],MATCH(E2791,AccountCodes[NGAS CODE],0))))</f>
        <v>Salaries and Wages-Casual/Contractual</v>
      </c>
      <c r="E2791" s="309" t="s">
        <v>163</v>
      </c>
      <c r="F2791" s="501">
        <v>198191.87</v>
      </c>
    </row>
    <row r="2792" spans="1:6">
      <c r="A2792" s="308">
        <v>43434</v>
      </c>
      <c r="B2792" s="309" t="s">
        <v>486</v>
      </c>
      <c r="C2792" s="309" t="s">
        <v>507</v>
      </c>
      <c r="D2792" s="136" t="str">
        <f t="array" ref="D2792">IF(E2792=0,0,(INDEX(AccountCodes[ACCOUNT NAME],MATCH(E2792,AccountCodes[NGAS CODE],0))))</f>
        <v>Salaries and Wages-Casual/Contractual</v>
      </c>
      <c r="E2792" s="309" t="s">
        <v>163</v>
      </c>
      <c r="F2792" s="501">
        <v>198191.87</v>
      </c>
    </row>
    <row r="2793" spans="1:6">
      <c r="A2793" s="308">
        <v>43465</v>
      </c>
      <c r="B2793" s="309" t="s">
        <v>486</v>
      </c>
      <c r="C2793" s="309" t="s">
        <v>507</v>
      </c>
      <c r="D2793" s="136" t="str">
        <f t="array" ref="D2793">IF(E2793=0,0,(INDEX(AccountCodes[ACCOUNT NAME],MATCH(E2793,AccountCodes[NGAS CODE],0))))</f>
        <v>Salaries and Wages-Casual/Contractual</v>
      </c>
      <c r="E2793" s="309" t="s">
        <v>163</v>
      </c>
      <c r="F2793" s="501">
        <v>198191.87</v>
      </c>
    </row>
    <row r="2794" spans="1:6">
      <c r="A2794" s="308">
        <v>43131</v>
      </c>
      <c r="B2794" s="309" t="s">
        <v>486</v>
      </c>
      <c r="C2794" s="309" t="s">
        <v>507</v>
      </c>
      <c r="D2794" s="136" t="str">
        <f t="array" ref="D2794">IF(E2794=0,0,(INDEX(AccountCodes[ACCOUNT NAME],MATCH(E2794,AccountCodes[NGAS CODE],0))))</f>
        <v>Personal Economic Relief Allowance (PERA)</v>
      </c>
      <c r="E2794" s="309" t="s">
        <v>164</v>
      </c>
      <c r="F2794" s="501">
        <v>36000</v>
      </c>
    </row>
    <row r="2795" spans="1:6">
      <c r="A2795" s="308">
        <v>43159</v>
      </c>
      <c r="B2795" s="309" t="s">
        <v>486</v>
      </c>
      <c r="C2795" s="309" t="s">
        <v>507</v>
      </c>
      <c r="D2795" s="136" t="str">
        <f t="array" ref="D2795">IF(E2795=0,0,(INDEX(AccountCodes[ACCOUNT NAME],MATCH(E2795,AccountCodes[NGAS CODE],0))))</f>
        <v>Personal Economic Relief Allowance (PERA)</v>
      </c>
      <c r="E2795" s="309" t="s">
        <v>164</v>
      </c>
      <c r="F2795" s="501">
        <v>36000</v>
      </c>
    </row>
    <row r="2796" spans="1:6">
      <c r="A2796" s="308">
        <v>43190</v>
      </c>
      <c r="B2796" s="309" t="s">
        <v>486</v>
      </c>
      <c r="C2796" s="309" t="s">
        <v>507</v>
      </c>
      <c r="D2796" s="136" t="str">
        <f t="array" ref="D2796">IF(E2796=0,0,(INDEX(AccountCodes[ACCOUNT NAME],MATCH(E2796,AccountCodes[NGAS CODE],0))))</f>
        <v>Personal Economic Relief Allowance (PERA)</v>
      </c>
      <c r="E2796" s="309" t="s">
        <v>164</v>
      </c>
      <c r="F2796" s="501">
        <v>36000</v>
      </c>
    </row>
    <row r="2797" spans="1:6">
      <c r="A2797" s="308">
        <v>43220</v>
      </c>
      <c r="B2797" s="309" t="s">
        <v>486</v>
      </c>
      <c r="C2797" s="309" t="s">
        <v>507</v>
      </c>
      <c r="D2797" s="136" t="str">
        <f t="array" ref="D2797">IF(E2797=0,0,(INDEX(AccountCodes[ACCOUNT NAME],MATCH(E2797,AccountCodes[NGAS CODE],0))))</f>
        <v>Personal Economic Relief Allowance (PERA)</v>
      </c>
      <c r="E2797" s="309" t="s">
        <v>164</v>
      </c>
      <c r="F2797" s="501">
        <v>36000</v>
      </c>
    </row>
    <row r="2798" spans="1:6">
      <c r="A2798" s="308">
        <v>43251</v>
      </c>
      <c r="B2798" s="309" t="s">
        <v>486</v>
      </c>
      <c r="C2798" s="309" t="s">
        <v>507</v>
      </c>
      <c r="D2798" s="136" t="str">
        <f t="array" ref="D2798">IF(E2798=0,0,(INDEX(AccountCodes[ACCOUNT NAME],MATCH(E2798,AccountCodes[NGAS CODE],0))))</f>
        <v>Personal Economic Relief Allowance (PERA)</v>
      </c>
      <c r="E2798" s="309" t="s">
        <v>164</v>
      </c>
      <c r="F2798" s="501">
        <v>36000</v>
      </c>
    </row>
    <row r="2799" spans="1:6">
      <c r="A2799" s="308">
        <v>43281</v>
      </c>
      <c r="B2799" s="309" t="s">
        <v>486</v>
      </c>
      <c r="C2799" s="309" t="s">
        <v>507</v>
      </c>
      <c r="D2799" s="136" t="str">
        <f t="array" ref="D2799">IF(E2799=0,0,(INDEX(AccountCodes[ACCOUNT NAME],MATCH(E2799,AccountCodes[NGAS CODE],0))))</f>
        <v>Personal Economic Relief Allowance (PERA)</v>
      </c>
      <c r="E2799" s="309" t="s">
        <v>164</v>
      </c>
      <c r="F2799" s="501">
        <v>36000</v>
      </c>
    </row>
    <row r="2800" spans="1:6">
      <c r="A2800" s="308">
        <v>43312</v>
      </c>
      <c r="B2800" s="309" t="s">
        <v>486</v>
      </c>
      <c r="C2800" s="309" t="s">
        <v>507</v>
      </c>
      <c r="D2800" s="136" t="str">
        <f t="array" ref="D2800">IF(E2800=0,0,(INDEX(AccountCodes[ACCOUNT NAME],MATCH(E2800,AccountCodes[NGAS CODE],0))))</f>
        <v>Personal Economic Relief Allowance (PERA)</v>
      </c>
      <c r="E2800" s="309" t="s">
        <v>164</v>
      </c>
      <c r="F2800" s="501">
        <v>36000</v>
      </c>
    </row>
    <row r="2801" spans="1:6">
      <c r="A2801" s="308">
        <v>43343</v>
      </c>
      <c r="B2801" s="309" t="s">
        <v>486</v>
      </c>
      <c r="C2801" s="309" t="s">
        <v>507</v>
      </c>
      <c r="D2801" s="136" t="str">
        <f t="array" ref="D2801">IF(E2801=0,0,(INDEX(AccountCodes[ACCOUNT NAME],MATCH(E2801,AccountCodes[NGAS CODE],0))))</f>
        <v>Personal Economic Relief Allowance (PERA)</v>
      </c>
      <c r="E2801" s="309" t="s">
        <v>164</v>
      </c>
      <c r="F2801" s="501">
        <v>36000</v>
      </c>
    </row>
    <row r="2802" spans="1:6">
      <c r="A2802" s="308">
        <v>43373</v>
      </c>
      <c r="B2802" s="309" t="s">
        <v>486</v>
      </c>
      <c r="C2802" s="309" t="s">
        <v>507</v>
      </c>
      <c r="D2802" s="136" t="str">
        <f t="array" ref="D2802">IF(E2802=0,0,(INDEX(AccountCodes[ACCOUNT NAME],MATCH(E2802,AccountCodes[NGAS CODE],0))))</f>
        <v>Personal Economic Relief Allowance (PERA)</v>
      </c>
      <c r="E2802" s="309" t="s">
        <v>164</v>
      </c>
      <c r="F2802" s="501">
        <v>36000</v>
      </c>
    </row>
    <row r="2803" spans="1:6">
      <c r="A2803" s="308">
        <v>43404</v>
      </c>
      <c r="B2803" s="309" t="s">
        <v>486</v>
      </c>
      <c r="C2803" s="309" t="s">
        <v>507</v>
      </c>
      <c r="D2803" s="136" t="str">
        <f t="array" ref="D2803">IF(E2803=0,0,(INDEX(AccountCodes[ACCOUNT NAME],MATCH(E2803,AccountCodes[NGAS CODE],0))))</f>
        <v>Personal Economic Relief Allowance (PERA)</v>
      </c>
      <c r="E2803" s="309" t="s">
        <v>164</v>
      </c>
      <c r="F2803" s="501">
        <v>36000</v>
      </c>
    </row>
    <row r="2804" spans="1:6">
      <c r="A2804" s="308">
        <v>43434</v>
      </c>
      <c r="B2804" s="309" t="s">
        <v>486</v>
      </c>
      <c r="C2804" s="309" t="s">
        <v>507</v>
      </c>
      <c r="D2804" s="136" t="str">
        <f t="array" ref="D2804">IF(E2804=0,0,(INDEX(AccountCodes[ACCOUNT NAME],MATCH(E2804,AccountCodes[NGAS CODE],0))))</f>
        <v>Personal Economic Relief Allowance (PERA)</v>
      </c>
      <c r="E2804" s="309" t="s">
        <v>164</v>
      </c>
      <c r="F2804" s="501">
        <v>36000</v>
      </c>
    </row>
    <row r="2805" spans="1:6">
      <c r="A2805" s="308">
        <v>43465</v>
      </c>
      <c r="B2805" s="309" t="s">
        <v>486</v>
      </c>
      <c r="C2805" s="309" t="s">
        <v>507</v>
      </c>
      <c r="D2805" s="136" t="str">
        <f t="array" ref="D2805">IF(E2805=0,0,(INDEX(AccountCodes[ACCOUNT NAME],MATCH(E2805,AccountCodes[NGAS CODE],0))))</f>
        <v>Personal Economic Relief Allowance (PERA)</v>
      </c>
      <c r="E2805" s="309" t="s">
        <v>164</v>
      </c>
      <c r="F2805" s="501">
        <v>36000</v>
      </c>
    </row>
    <row r="2806" spans="1:6">
      <c r="A2806" s="308">
        <v>43131</v>
      </c>
      <c r="B2806" s="309" t="s">
        <v>486</v>
      </c>
      <c r="C2806" s="309" t="s">
        <v>507</v>
      </c>
      <c r="D2806" s="136" t="str">
        <f t="array" ref="D2806">IF(E2806=0,0,(INDEX(AccountCodes[ACCOUNT NAME],MATCH(E2806,AccountCodes[NGAS CODE],0))))</f>
        <v>Representation Allowance (RA)</v>
      </c>
      <c r="E2806" s="309" t="s">
        <v>165</v>
      </c>
      <c r="F2806" s="501">
        <v>5000</v>
      </c>
    </row>
    <row r="2807" spans="1:6">
      <c r="A2807" s="308">
        <v>43159</v>
      </c>
      <c r="B2807" s="309" t="s">
        <v>486</v>
      </c>
      <c r="C2807" s="309" t="s">
        <v>507</v>
      </c>
      <c r="D2807" s="136" t="str">
        <f t="array" ref="D2807">IF(E2807=0,0,(INDEX(AccountCodes[ACCOUNT NAME],MATCH(E2807,AccountCodes[NGAS CODE],0))))</f>
        <v>Representation Allowance (RA)</v>
      </c>
      <c r="E2807" s="309" t="s">
        <v>165</v>
      </c>
      <c r="F2807" s="501">
        <v>5000</v>
      </c>
    </row>
    <row r="2808" spans="1:6">
      <c r="A2808" s="308">
        <v>43190</v>
      </c>
      <c r="B2808" s="309" t="s">
        <v>486</v>
      </c>
      <c r="C2808" s="309" t="s">
        <v>507</v>
      </c>
      <c r="D2808" s="136" t="str">
        <f t="array" ref="D2808">IF(E2808=0,0,(INDEX(AccountCodes[ACCOUNT NAME],MATCH(E2808,AccountCodes[NGAS CODE],0))))</f>
        <v>Representation Allowance (RA)</v>
      </c>
      <c r="E2808" s="309" t="s">
        <v>165</v>
      </c>
      <c r="F2808" s="501">
        <v>5000</v>
      </c>
    </row>
    <row r="2809" spans="1:6">
      <c r="A2809" s="308">
        <v>43220</v>
      </c>
      <c r="B2809" s="309" t="s">
        <v>486</v>
      </c>
      <c r="C2809" s="309" t="s">
        <v>507</v>
      </c>
      <c r="D2809" s="136" t="str">
        <f t="array" ref="D2809">IF(E2809=0,0,(INDEX(AccountCodes[ACCOUNT NAME],MATCH(E2809,AccountCodes[NGAS CODE],0))))</f>
        <v>Representation Allowance (RA)</v>
      </c>
      <c r="E2809" s="309" t="s">
        <v>165</v>
      </c>
      <c r="F2809" s="501">
        <v>5000</v>
      </c>
    </row>
    <row r="2810" spans="1:6">
      <c r="A2810" s="308">
        <v>43251</v>
      </c>
      <c r="B2810" s="309" t="s">
        <v>486</v>
      </c>
      <c r="C2810" s="309" t="s">
        <v>507</v>
      </c>
      <c r="D2810" s="136" t="str">
        <f t="array" ref="D2810">IF(E2810=0,0,(INDEX(AccountCodes[ACCOUNT NAME],MATCH(E2810,AccountCodes[NGAS CODE],0))))</f>
        <v>Representation Allowance (RA)</v>
      </c>
      <c r="E2810" s="309" t="s">
        <v>165</v>
      </c>
      <c r="F2810" s="501">
        <v>5000</v>
      </c>
    </row>
    <row r="2811" spans="1:6">
      <c r="A2811" s="308">
        <v>43281</v>
      </c>
      <c r="B2811" s="309" t="s">
        <v>486</v>
      </c>
      <c r="C2811" s="309" t="s">
        <v>507</v>
      </c>
      <c r="D2811" s="136" t="str">
        <f t="array" ref="D2811">IF(E2811=0,0,(INDEX(AccountCodes[ACCOUNT NAME],MATCH(E2811,AccountCodes[NGAS CODE],0))))</f>
        <v>Representation Allowance (RA)</v>
      </c>
      <c r="E2811" s="309" t="s">
        <v>165</v>
      </c>
      <c r="F2811" s="501">
        <v>5000</v>
      </c>
    </row>
    <row r="2812" spans="1:6">
      <c r="A2812" s="308">
        <v>43312</v>
      </c>
      <c r="B2812" s="309" t="s">
        <v>486</v>
      </c>
      <c r="C2812" s="309" t="s">
        <v>507</v>
      </c>
      <c r="D2812" s="136" t="str">
        <f t="array" ref="D2812">IF(E2812=0,0,(INDEX(AccountCodes[ACCOUNT NAME],MATCH(E2812,AccountCodes[NGAS CODE],0))))</f>
        <v>Representation Allowance (RA)</v>
      </c>
      <c r="E2812" s="309" t="s">
        <v>165</v>
      </c>
      <c r="F2812" s="501">
        <v>5000</v>
      </c>
    </row>
    <row r="2813" spans="1:6">
      <c r="A2813" s="308">
        <v>43343</v>
      </c>
      <c r="B2813" s="309" t="s">
        <v>486</v>
      </c>
      <c r="C2813" s="309" t="s">
        <v>507</v>
      </c>
      <c r="D2813" s="136" t="str">
        <f t="array" ref="D2813">IF(E2813=0,0,(INDEX(AccountCodes[ACCOUNT NAME],MATCH(E2813,AccountCodes[NGAS CODE],0))))</f>
        <v>Representation Allowance (RA)</v>
      </c>
      <c r="E2813" s="309" t="s">
        <v>165</v>
      </c>
      <c r="F2813" s="501">
        <v>5000</v>
      </c>
    </row>
    <row r="2814" spans="1:6">
      <c r="A2814" s="308">
        <v>43373</v>
      </c>
      <c r="B2814" s="309" t="s">
        <v>486</v>
      </c>
      <c r="C2814" s="309" t="s">
        <v>507</v>
      </c>
      <c r="D2814" s="136" t="str">
        <f t="array" ref="D2814">IF(E2814=0,0,(INDEX(AccountCodes[ACCOUNT NAME],MATCH(E2814,AccountCodes[NGAS CODE],0))))</f>
        <v>Representation Allowance (RA)</v>
      </c>
      <c r="E2814" s="309" t="s">
        <v>165</v>
      </c>
      <c r="F2814" s="501">
        <v>5000</v>
      </c>
    </row>
    <row r="2815" spans="1:6">
      <c r="A2815" s="308">
        <v>43404</v>
      </c>
      <c r="B2815" s="309" t="s">
        <v>486</v>
      </c>
      <c r="C2815" s="309" t="s">
        <v>507</v>
      </c>
      <c r="D2815" s="136" t="str">
        <f t="array" ref="D2815">IF(E2815=0,0,(INDEX(AccountCodes[ACCOUNT NAME],MATCH(E2815,AccountCodes[NGAS CODE],0))))</f>
        <v>Representation Allowance (RA)</v>
      </c>
      <c r="E2815" s="309" t="s">
        <v>165</v>
      </c>
      <c r="F2815" s="501">
        <v>5000</v>
      </c>
    </row>
    <row r="2816" spans="1:6">
      <c r="A2816" s="308">
        <v>43434</v>
      </c>
      <c r="B2816" s="309" t="s">
        <v>486</v>
      </c>
      <c r="C2816" s="309" t="s">
        <v>507</v>
      </c>
      <c r="D2816" s="136" t="str">
        <f t="array" ref="D2816">IF(E2816=0,0,(INDEX(AccountCodes[ACCOUNT NAME],MATCH(E2816,AccountCodes[NGAS CODE],0))))</f>
        <v>Representation Allowance (RA)</v>
      </c>
      <c r="E2816" s="309" t="s">
        <v>165</v>
      </c>
      <c r="F2816" s="501">
        <v>5000</v>
      </c>
    </row>
    <row r="2817" spans="1:6">
      <c r="A2817" s="308">
        <v>43465</v>
      </c>
      <c r="B2817" s="309" t="s">
        <v>486</v>
      </c>
      <c r="C2817" s="309" t="s">
        <v>507</v>
      </c>
      <c r="D2817" s="136" t="str">
        <f t="array" ref="D2817">IF(E2817=0,0,(INDEX(AccountCodes[ACCOUNT NAME],MATCH(E2817,AccountCodes[NGAS CODE],0))))</f>
        <v>Representation Allowance (RA)</v>
      </c>
      <c r="E2817" s="309" t="s">
        <v>165</v>
      </c>
      <c r="F2817" s="501">
        <v>5000</v>
      </c>
    </row>
    <row r="2818" spans="1:6">
      <c r="A2818" s="308">
        <v>43465</v>
      </c>
      <c r="B2818" s="309" t="s">
        <v>486</v>
      </c>
      <c r="C2818" s="309" t="s">
        <v>507</v>
      </c>
      <c r="D2818" s="136" t="str">
        <f t="array" ref="D2818">IF(E2818=0,0,(INDEX(AccountCodes[ACCOUNT NAME],MATCH(E2818,AccountCodes[NGAS CODE],0))))</f>
        <v>Other Bonuses and Allowances - Productivity Enhancement Incentive-Civilian</v>
      </c>
      <c r="E2818" s="309" t="s">
        <v>170</v>
      </c>
      <c r="F2818" s="501">
        <v>90000</v>
      </c>
    </row>
    <row r="2819" spans="1:6">
      <c r="A2819" s="308">
        <v>43131</v>
      </c>
      <c r="B2819" s="309" t="s">
        <v>486</v>
      </c>
      <c r="C2819" s="309" t="s">
        <v>507</v>
      </c>
      <c r="D2819" s="136" t="str">
        <f t="array" ref="D2819">IF(E2819=0,0,(INDEX(AccountCodes[ACCOUNT NAME],MATCH(E2819,AccountCodes[NGAS CODE],0))))</f>
        <v>Other Bonuses and Allowances - Children Allowance</v>
      </c>
      <c r="E2819" s="309" t="s">
        <v>7</v>
      </c>
      <c r="F2819" s="501">
        <v>30</v>
      </c>
    </row>
    <row r="2820" spans="1:6">
      <c r="A2820" s="308">
        <v>43159</v>
      </c>
      <c r="B2820" s="309" t="s">
        <v>486</v>
      </c>
      <c r="C2820" s="309" t="s">
        <v>507</v>
      </c>
      <c r="D2820" s="136" t="str">
        <f t="array" ref="D2820">IF(E2820=0,0,(INDEX(AccountCodes[ACCOUNT NAME],MATCH(E2820,AccountCodes[NGAS CODE],0))))</f>
        <v>Other Bonuses and Allowances - Children Allowance</v>
      </c>
      <c r="E2820" s="309" t="s">
        <v>7</v>
      </c>
      <c r="F2820" s="501">
        <v>30</v>
      </c>
    </row>
    <row r="2821" spans="1:6">
      <c r="A2821" s="308">
        <v>43190</v>
      </c>
      <c r="B2821" s="309" t="s">
        <v>486</v>
      </c>
      <c r="C2821" s="309" t="s">
        <v>507</v>
      </c>
      <c r="D2821" s="136" t="str">
        <f t="array" ref="D2821">IF(E2821=0,0,(INDEX(AccountCodes[ACCOUNT NAME],MATCH(E2821,AccountCodes[NGAS CODE],0))))</f>
        <v>Other Bonuses and Allowances - Children Allowance</v>
      </c>
      <c r="E2821" s="309" t="s">
        <v>7</v>
      </c>
      <c r="F2821" s="501">
        <v>30</v>
      </c>
    </row>
    <row r="2822" spans="1:6">
      <c r="A2822" s="308">
        <v>43220</v>
      </c>
      <c r="B2822" s="309" t="s">
        <v>486</v>
      </c>
      <c r="C2822" s="309" t="s">
        <v>507</v>
      </c>
      <c r="D2822" s="136" t="str">
        <f t="array" ref="D2822">IF(E2822=0,0,(INDEX(AccountCodes[ACCOUNT NAME],MATCH(E2822,AccountCodes[NGAS CODE],0))))</f>
        <v>Other Bonuses and Allowances - Children Allowance</v>
      </c>
      <c r="E2822" s="309" t="s">
        <v>7</v>
      </c>
      <c r="F2822" s="501">
        <v>30</v>
      </c>
    </row>
    <row r="2823" spans="1:6">
      <c r="A2823" s="308">
        <v>43251</v>
      </c>
      <c r="B2823" s="309" t="s">
        <v>486</v>
      </c>
      <c r="C2823" s="309" t="s">
        <v>507</v>
      </c>
      <c r="D2823" s="136" t="str">
        <f t="array" ref="D2823">IF(E2823=0,0,(INDEX(AccountCodes[ACCOUNT NAME],MATCH(E2823,AccountCodes[NGAS CODE],0))))</f>
        <v>Other Bonuses and Allowances - Children Allowance</v>
      </c>
      <c r="E2823" s="309" t="s">
        <v>7</v>
      </c>
      <c r="F2823" s="501">
        <v>30</v>
      </c>
    </row>
    <row r="2824" spans="1:6">
      <c r="A2824" s="308">
        <v>43281</v>
      </c>
      <c r="B2824" s="309" t="s">
        <v>486</v>
      </c>
      <c r="C2824" s="309" t="s">
        <v>507</v>
      </c>
      <c r="D2824" s="136" t="str">
        <f t="array" ref="D2824">IF(E2824=0,0,(INDEX(AccountCodes[ACCOUNT NAME],MATCH(E2824,AccountCodes[NGAS CODE],0))))</f>
        <v>Other Bonuses and Allowances - Children Allowance</v>
      </c>
      <c r="E2824" s="309" t="s">
        <v>7</v>
      </c>
      <c r="F2824" s="501">
        <v>30</v>
      </c>
    </row>
    <row r="2825" spans="1:6">
      <c r="A2825" s="308">
        <v>43312</v>
      </c>
      <c r="B2825" s="309" t="s">
        <v>486</v>
      </c>
      <c r="C2825" s="309" t="s">
        <v>507</v>
      </c>
      <c r="D2825" s="136" t="str">
        <f t="array" ref="D2825">IF(E2825=0,0,(INDEX(AccountCodes[ACCOUNT NAME],MATCH(E2825,AccountCodes[NGAS CODE],0))))</f>
        <v>Other Bonuses and Allowances - Children Allowance</v>
      </c>
      <c r="E2825" s="309" t="s">
        <v>7</v>
      </c>
      <c r="F2825" s="501">
        <v>30</v>
      </c>
    </row>
    <row r="2826" spans="1:6">
      <c r="A2826" s="308">
        <v>43343</v>
      </c>
      <c r="B2826" s="309" t="s">
        <v>486</v>
      </c>
      <c r="C2826" s="309" t="s">
        <v>507</v>
      </c>
      <c r="D2826" s="136" t="str">
        <f t="array" ref="D2826">IF(E2826=0,0,(INDEX(AccountCodes[ACCOUNT NAME],MATCH(E2826,AccountCodes[NGAS CODE],0))))</f>
        <v>Other Bonuses and Allowances - Children Allowance</v>
      </c>
      <c r="E2826" s="309" t="s">
        <v>7</v>
      </c>
      <c r="F2826" s="501">
        <v>30</v>
      </c>
    </row>
    <row r="2827" spans="1:6">
      <c r="A2827" s="308">
        <v>43373</v>
      </c>
      <c r="B2827" s="309" t="s">
        <v>486</v>
      </c>
      <c r="C2827" s="309" t="s">
        <v>507</v>
      </c>
      <c r="D2827" s="136" t="str">
        <f t="array" ref="D2827">IF(E2827=0,0,(INDEX(AccountCodes[ACCOUNT NAME],MATCH(E2827,AccountCodes[NGAS CODE],0))))</f>
        <v>Other Bonuses and Allowances - Children Allowance</v>
      </c>
      <c r="E2827" s="309" t="s">
        <v>7</v>
      </c>
      <c r="F2827" s="501">
        <v>30</v>
      </c>
    </row>
    <row r="2828" spans="1:6">
      <c r="A2828" s="308">
        <v>43404</v>
      </c>
      <c r="B2828" s="309" t="s">
        <v>486</v>
      </c>
      <c r="C2828" s="309" t="s">
        <v>507</v>
      </c>
      <c r="D2828" s="136" t="str">
        <f t="array" ref="D2828">IF(E2828=0,0,(INDEX(AccountCodes[ACCOUNT NAME],MATCH(E2828,AccountCodes[NGAS CODE],0))))</f>
        <v>Other Bonuses and Allowances - Children Allowance</v>
      </c>
      <c r="E2828" s="309" t="s">
        <v>7</v>
      </c>
      <c r="F2828" s="501">
        <v>30</v>
      </c>
    </row>
    <row r="2829" spans="1:6">
      <c r="A2829" s="308">
        <v>43434</v>
      </c>
      <c r="B2829" s="309" t="s">
        <v>486</v>
      </c>
      <c r="C2829" s="309" t="s">
        <v>507</v>
      </c>
      <c r="D2829" s="136" t="str">
        <f t="array" ref="D2829">IF(E2829=0,0,(INDEX(AccountCodes[ACCOUNT NAME],MATCH(E2829,AccountCodes[NGAS CODE],0))))</f>
        <v>Other Bonuses and Allowances - Children Allowance</v>
      </c>
      <c r="E2829" s="309" t="s">
        <v>7</v>
      </c>
      <c r="F2829" s="501">
        <v>30</v>
      </c>
    </row>
    <row r="2830" spans="1:6">
      <c r="A2830" s="308">
        <v>43465</v>
      </c>
      <c r="B2830" s="309" t="s">
        <v>486</v>
      </c>
      <c r="C2830" s="309" t="s">
        <v>507</v>
      </c>
      <c r="D2830" s="136" t="str">
        <f t="array" ref="D2830">IF(E2830=0,0,(INDEX(AccountCodes[ACCOUNT NAME],MATCH(E2830,AccountCodes[NGAS CODE],0))))</f>
        <v>Other Bonuses and Allowances - Children Allowance</v>
      </c>
      <c r="E2830" s="309" t="s">
        <v>7</v>
      </c>
      <c r="F2830" s="501">
        <v>30</v>
      </c>
    </row>
    <row r="2831" spans="1:6">
      <c r="A2831" s="308">
        <v>43131</v>
      </c>
      <c r="B2831" s="309" t="s">
        <v>486</v>
      </c>
      <c r="C2831" s="309" t="s">
        <v>507</v>
      </c>
      <c r="D2831" s="136" t="str">
        <f t="array" ref="D2831">IF(E2831=0,0,(INDEX(AccountCodes[ACCOUNT NAME],MATCH(E2831,AccountCodes[NGAS CODE],0))))</f>
        <v>Other Bonuses and Allowances - Medical Allowance</v>
      </c>
      <c r="E2831" s="309" t="s">
        <v>5</v>
      </c>
      <c r="F2831" s="501">
        <v>1000</v>
      </c>
    </row>
    <row r="2832" spans="1:6">
      <c r="A2832" s="308">
        <v>43159</v>
      </c>
      <c r="B2832" s="309" t="s">
        <v>486</v>
      </c>
      <c r="C2832" s="309" t="s">
        <v>507</v>
      </c>
      <c r="D2832" s="136" t="str">
        <f t="array" ref="D2832">IF(E2832=0,0,(INDEX(AccountCodes[ACCOUNT NAME],MATCH(E2832,AccountCodes[NGAS CODE],0))))</f>
        <v>Other Bonuses and Allowances - Medical Allowance</v>
      </c>
      <c r="E2832" s="309" t="s">
        <v>5</v>
      </c>
      <c r="F2832" s="501">
        <v>1000</v>
      </c>
    </row>
    <row r="2833" spans="1:6">
      <c r="A2833" s="308">
        <v>43190</v>
      </c>
      <c r="B2833" s="309" t="s">
        <v>486</v>
      </c>
      <c r="C2833" s="309" t="s">
        <v>507</v>
      </c>
      <c r="D2833" s="136" t="str">
        <f t="array" ref="D2833">IF(E2833=0,0,(INDEX(AccountCodes[ACCOUNT NAME],MATCH(E2833,AccountCodes[NGAS CODE],0))))</f>
        <v>Other Bonuses and Allowances - Medical Allowance</v>
      </c>
      <c r="E2833" s="309" t="s">
        <v>5</v>
      </c>
      <c r="F2833" s="501">
        <v>1000</v>
      </c>
    </row>
    <row r="2834" spans="1:6">
      <c r="A2834" s="308">
        <v>43220</v>
      </c>
      <c r="B2834" s="309" t="s">
        <v>486</v>
      </c>
      <c r="C2834" s="309" t="s">
        <v>507</v>
      </c>
      <c r="D2834" s="136" t="str">
        <f t="array" ref="D2834">IF(E2834=0,0,(INDEX(AccountCodes[ACCOUNT NAME],MATCH(E2834,AccountCodes[NGAS CODE],0))))</f>
        <v>Other Bonuses and Allowances - Medical Allowance</v>
      </c>
      <c r="E2834" s="309" t="s">
        <v>5</v>
      </c>
      <c r="F2834" s="501">
        <v>1000</v>
      </c>
    </row>
    <row r="2835" spans="1:6">
      <c r="A2835" s="308">
        <v>43251</v>
      </c>
      <c r="B2835" s="309" t="s">
        <v>486</v>
      </c>
      <c r="C2835" s="309" t="s">
        <v>507</v>
      </c>
      <c r="D2835" s="136" t="str">
        <f t="array" ref="D2835">IF(E2835=0,0,(INDEX(AccountCodes[ACCOUNT NAME],MATCH(E2835,AccountCodes[NGAS CODE],0))))</f>
        <v>Other Bonuses and Allowances - Medical Allowance</v>
      </c>
      <c r="E2835" s="309" t="s">
        <v>5</v>
      </c>
      <c r="F2835" s="501">
        <v>1000</v>
      </c>
    </row>
    <row r="2836" spans="1:6">
      <c r="A2836" s="308">
        <v>43281</v>
      </c>
      <c r="B2836" s="309" t="s">
        <v>486</v>
      </c>
      <c r="C2836" s="309" t="s">
        <v>507</v>
      </c>
      <c r="D2836" s="136" t="str">
        <f t="array" ref="D2836">IF(E2836=0,0,(INDEX(AccountCodes[ACCOUNT NAME],MATCH(E2836,AccountCodes[NGAS CODE],0))))</f>
        <v>Other Bonuses and Allowances - Medical Allowance</v>
      </c>
      <c r="E2836" s="309" t="s">
        <v>5</v>
      </c>
      <c r="F2836" s="501">
        <v>1000</v>
      </c>
    </row>
    <row r="2837" spans="1:6">
      <c r="A2837" s="308">
        <v>43312</v>
      </c>
      <c r="B2837" s="309" t="s">
        <v>486</v>
      </c>
      <c r="C2837" s="309" t="s">
        <v>507</v>
      </c>
      <c r="D2837" s="136" t="str">
        <f t="array" ref="D2837">IF(E2837=0,0,(INDEX(AccountCodes[ACCOUNT NAME],MATCH(E2837,AccountCodes[NGAS CODE],0))))</f>
        <v>Other Bonuses and Allowances - Medical Allowance</v>
      </c>
      <c r="E2837" s="309" t="s">
        <v>5</v>
      </c>
      <c r="F2837" s="501">
        <v>1000</v>
      </c>
    </row>
    <row r="2838" spans="1:6">
      <c r="A2838" s="308">
        <v>43343</v>
      </c>
      <c r="B2838" s="309" t="s">
        <v>486</v>
      </c>
      <c r="C2838" s="309" t="s">
        <v>507</v>
      </c>
      <c r="D2838" s="136" t="str">
        <f t="array" ref="D2838">IF(E2838=0,0,(INDEX(AccountCodes[ACCOUNT NAME],MATCH(E2838,AccountCodes[NGAS CODE],0))))</f>
        <v>Other Bonuses and Allowances - Medical Allowance</v>
      </c>
      <c r="E2838" s="309" t="s">
        <v>5</v>
      </c>
      <c r="F2838" s="501">
        <v>1000</v>
      </c>
    </row>
    <row r="2839" spans="1:6">
      <c r="A2839" s="308">
        <v>43373</v>
      </c>
      <c r="B2839" s="309" t="s">
        <v>486</v>
      </c>
      <c r="C2839" s="309" t="s">
        <v>507</v>
      </c>
      <c r="D2839" s="136" t="str">
        <f t="array" ref="D2839">IF(E2839=0,0,(INDEX(AccountCodes[ACCOUNT NAME],MATCH(E2839,AccountCodes[NGAS CODE],0))))</f>
        <v>Other Bonuses and Allowances - Medical Allowance</v>
      </c>
      <c r="E2839" s="309" t="s">
        <v>5</v>
      </c>
      <c r="F2839" s="501">
        <v>1000</v>
      </c>
    </row>
    <row r="2840" spans="1:6">
      <c r="A2840" s="308">
        <v>43404</v>
      </c>
      <c r="B2840" s="309" t="s">
        <v>486</v>
      </c>
      <c r="C2840" s="309" t="s">
        <v>507</v>
      </c>
      <c r="D2840" s="136" t="str">
        <f t="array" ref="D2840">IF(E2840=0,0,(INDEX(AccountCodes[ACCOUNT NAME],MATCH(E2840,AccountCodes[NGAS CODE],0))))</f>
        <v>Other Bonuses and Allowances - Medical Allowance</v>
      </c>
      <c r="E2840" s="309" t="s">
        <v>5</v>
      </c>
      <c r="F2840" s="501">
        <v>1000</v>
      </c>
    </row>
    <row r="2841" spans="1:6">
      <c r="A2841" s="308">
        <v>43434</v>
      </c>
      <c r="B2841" s="309" t="s">
        <v>486</v>
      </c>
      <c r="C2841" s="309" t="s">
        <v>507</v>
      </c>
      <c r="D2841" s="136" t="str">
        <f t="array" ref="D2841">IF(E2841=0,0,(INDEX(AccountCodes[ACCOUNT NAME],MATCH(E2841,AccountCodes[NGAS CODE],0))))</f>
        <v>Other Bonuses and Allowances - Medical Allowance</v>
      </c>
      <c r="E2841" s="309" t="s">
        <v>5</v>
      </c>
      <c r="F2841" s="501">
        <v>1000</v>
      </c>
    </row>
    <row r="2842" spans="1:6">
      <c r="A2842" s="308">
        <v>43465</v>
      </c>
      <c r="B2842" s="309" t="s">
        <v>486</v>
      </c>
      <c r="C2842" s="309" t="s">
        <v>507</v>
      </c>
      <c r="D2842" s="136" t="str">
        <f t="array" ref="D2842">IF(E2842=0,0,(INDEX(AccountCodes[ACCOUNT NAME],MATCH(E2842,AccountCodes[NGAS CODE],0))))</f>
        <v>Other Bonuses and Allowances - Medical Allowance</v>
      </c>
      <c r="E2842" s="309" t="s">
        <v>5</v>
      </c>
      <c r="F2842" s="501">
        <v>1000</v>
      </c>
    </row>
    <row r="2843" spans="1:6">
      <c r="A2843" s="308">
        <v>43131</v>
      </c>
      <c r="B2843" s="309" t="s">
        <v>486</v>
      </c>
      <c r="C2843" s="309" t="s">
        <v>507</v>
      </c>
      <c r="D2843" s="136" t="str">
        <f t="array" ref="D2843">IF(E2843=0,0,(INDEX(AccountCodes[ACCOUNT NAME],MATCH(E2843,AccountCodes[NGAS CODE],0))))</f>
        <v>Other Bonuses and Allowances - Meal Allowance</v>
      </c>
      <c r="E2843" s="309" t="s">
        <v>6</v>
      </c>
      <c r="F2843" s="501">
        <v>330</v>
      </c>
    </row>
    <row r="2844" spans="1:6">
      <c r="A2844" s="308">
        <v>43159</v>
      </c>
      <c r="B2844" s="309" t="s">
        <v>486</v>
      </c>
      <c r="C2844" s="309" t="s">
        <v>507</v>
      </c>
      <c r="D2844" s="136" t="str">
        <f t="array" ref="D2844">IF(E2844=0,0,(INDEX(AccountCodes[ACCOUNT NAME],MATCH(E2844,AccountCodes[NGAS CODE],0))))</f>
        <v>Other Bonuses and Allowances - Meal Allowance</v>
      </c>
      <c r="E2844" s="309" t="s">
        <v>6</v>
      </c>
      <c r="F2844" s="501">
        <v>330</v>
      </c>
    </row>
    <row r="2845" spans="1:6">
      <c r="A2845" s="308">
        <v>43190</v>
      </c>
      <c r="B2845" s="309" t="s">
        <v>486</v>
      </c>
      <c r="C2845" s="309" t="s">
        <v>507</v>
      </c>
      <c r="D2845" s="136" t="str">
        <f t="array" ref="D2845">IF(E2845=0,0,(INDEX(AccountCodes[ACCOUNT NAME],MATCH(E2845,AccountCodes[NGAS CODE],0))))</f>
        <v>Other Bonuses and Allowances - Meal Allowance</v>
      </c>
      <c r="E2845" s="309" t="s">
        <v>6</v>
      </c>
      <c r="F2845" s="501">
        <v>330</v>
      </c>
    </row>
    <row r="2846" spans="1:6">
      <c r="A2846" s="308">
        <v>43220</v>
      </c>
      <c r="B2846" s="309" t="s">
        <v>486</v>
      </c>
      <c r="C2846" s="309" t="s">
        <v>507</v>
      </c>
      <c r="D2846" s="136" t="str">
        <f t="array" ref="D2846">IF(E2846=0,0,(INDEX(AccountCodes[ACCOUNT NAME],MATCH(E2846,AccountCodes[NGAS CODE],0))))</f>
        <v>Other Bonuses and Allowances - Meal Allowance</v>
      </c>
      <c r="E2846" s="309" t="s">
        <v>6</v>
      </c>
      <c r="F2846" s="501">
        <v>330</v>
      </c>
    </row>
    <row r="2847" spans="1:6">
      <c r="A2847" s="308">
        <v>43251</v>
      </c>
      <c r="B2847" s="309" t="s">
        <v>486</v>
      </c>
      <c r="C2847" s="309" t="s">
        <v>507</v>
      </c>
      <c r="D2847" s="136" t="str">
        <f t="array" ref="D2847">IF(E2847=0,0,(INDEX(AccountCodes[ACCOUNT NAME],MATCH(E2847,AccountCodes[NGAS CODE],0))))</f>
        <v>Other Bonuses and Allowances - Meal Allowance</v>
      </c>
      <c r="E2847" s="309" t="s">
        <v>6</v>
      </c>
      <c r="F2847" s="501">
        <v>330</v>
      </c>
    </row>
    <row r="2848" spans="1:6">
      <c r="A2848" s="308">
        <v>43281</v>
      </c>
      <c r="B2848" s="309" t="s">
        <v>486</v>
      </c>
      <c r="C2848" s="309" t="s">
        <v>507</v>
      </c>
      <c r="D2848" s="136" t="str">
        <f t="array" ref="D2848">IF(E2848=0,0,(INDEX(AccountCodes[ACCOUNT NAME],MATCH(E2848,AccountCodes[NGAS CODE],0))))</f>
        <v>Other Bonuses and Allowances - Meal Allowance</v>
      </c>
      <c r="E2848" s="309" t="s">
        <v>6</v>
      </c>
      <c r="F2848" s="501">
        <v>330</v>
      </c>
    </row>
    <row r="2849" spans="1:6">
      <c r="A2849" s="308">
        <v>43312</v>
      </c>
      <c r="B2849" s="309" t="s">
        <v>486</v>
      </c>
      <c r="C2849" s="309" t="s">
        <v>507</v>
      </c>
      <c r="D2849" s="136" t="str">
        <f t="array" ref="D2849">IF(E2849=0,0,(INDEX(AccountCodes[ACCOUNT NAME],MATCH(E2849,AccountCodes[NGAS CODE],0))))</f>
        <v>Other Bonuses and Allowances - Meal Allowance</v>
      </c>
      <c r="E2849" s="309" t="s">
        <v>6</v>
      </c>
      <c r="F2849" s="501">
        <v>330</v>
      </c>
    </row>
    <row r="2850" spans="1:6">
      <c r="A2850" s="308">
        <v>43343</v>
      </c>
      <c r="B2850" s="309" t="s">
        <v>486</v>
      </c>
      <c r="C2850" s="309" t="s">
        <v>507</v>
      </c>
      <c r="D2850" s="136" t="str">
        <f t="array" ref="D2850">IF(E2850=0,0,(INDEX(AccountCodes[ACCOUNT NAME],MATCH(E2850,AccountCodes[NGAS CODE],0))))</f>
        <v>Other Bonuses and Allowances - Meal Allowance</v>
      </c>
      <c r="E2850" s="309" t="s">
        <v>6</v>
      </c>
      <c r="F2850" s="501">
        <v>330</v>
      </c>
    </row>
    <row r="2851" spans="1:6">
      <c r="A2851" s="308">
        <v>43373</v>
      </c>
      <c r="B2851" s="309" t="s">
        <v>486</v>
      </c>
      <c r="C2851" s="309" t="s">
        <v>507</v>
      </c>
      <c r="D2851" s="136" t="str">
        <f t="array" ref="D2851">IF(E2851=0,0,(INDEX(AccountCodes[ACCOUNT NAME],MATCH(E2851,AccountCodes[NGAS CODE],0))))</f>
        <v>Other Bonuses and Allowances - Meal Allowance</v>
      </c>
      <c r="E2851" s="309" t="s">
        <v>6</v>
      </c>
      <c r="F2851" s="501">
        <v>330</v>
      </c>
    </row>
    <row r="2852" spans="1:6">
      <c r="A2852" s="308">
        <v>43404</v>
      </c>
      <c r="B2852" s="309" t="s">
        <v>486</v>
      </c>
      <c r="C2852" s="309" t="s">
        <v>507</v>
      </c>
      <c r="D2852" s="136" t="str">
        <f t="array" ref="D2852">IF(E2852=0,0,(INDEX(AccountCodes[ACCOUNT NAME],MATCH(E2852,AccountCodes[NGAS CODE],0))))</f>
        <v>Other Bonuses and Allowances - Meal Allowance</v>
      </c>
      <c r="E2852" s="309" t="s">
        <v>6</v>
      </c>
      <c r="F2852" s="501">
        <v>330</v>
      </c>
    </row>
    <row r="2853" spans="1:6">
      <c r="A2853" s="308">
        <v>43434</v>
      </c>
      <c r="B2853" s="309" t="s">
        <v>486</v>
      </c>
      <c r="C2853" s="309" t="s">
        <v>507</v>
      </c>
      <c r="D2853" s="136" t="str">
        <f t="array" ref="D2853">IF(E2853=0,0,(INDEX(AccountCodes[ACCOUNT NAME],MATCH(E2853,AccountCodes[NGAS CODE],0))))</f>
        <v>Other Bonuses and Allowances - Meal Allowance</v>
      </c>
      <c r="E2853" s="309" t="s">
        <v>6</v>
      </c>
      <c r="F2853" s="501">
        <v>330</v>
      </c>
    </row>
    <row r="2854" spans="1:6">
      <c r="A2854" s="308">
        <v>43465</v>
      </c>
      <c r="B2854" s="309" t="s">
        <v>486</v>
      </c>
      <c r="C2854" s="309" t="s">
        <v>507</v>
      </c>
      <c r="D2854" s="136" t="str">
        <f t="array" ref="D2854">IF(E2854=0,0,(INDEX(AccountCodes[ACCOUNT NAME],MATCH(E2854,AccountCodes[NGAS CODE],0))))</f>
        <v>Other Bonuses and Allowances - Meal Allowance</v>
      </c>
      <c r="E2854" s="309" t="s">
        <v>6</v>
      </c>
      <c r="F2854" s="501">
        <v>330</v>
      </c>
    </row>
    <row r="2855" spans="1:6">
      <c r="A2855" s="308">
        <v>43434</v>
      </c>
      <c r="B2855" s="309" t="s">
        <v>486</v>
      </c>
      <c r="C2855" s="309" t="s">
        <v>507</v>
      </c>
      <c r="D2855" s="136" t="str">
        <f t="array" ref="D2855">IF(E2855=0,0,(INDEX(AccountCodes[ACCOUNT NAME],MATCH(E2855,AccountCodes[NGAS CODE],0))))</f>
        <v>Cash Gift</v>
      </c>
      <c r="E2855" s="309" t="s">
        <v>172</v>
      </c>
      <c r="F2855" s="501">
        <v>90000</v>
      </c>
    </row>
    <row r="2856" spans="1:6">
      <c r="A2856" s="308">
        <v>43251</v>
      </c>
      <c r="B2856" s="309" t="s">
        <v>486</v>
      </c>
      <c r="C2856" s="309" t="s">
        <v>507</v>
      </c>
      <c r="D2856" s="136" t="str">
        <f t="array" ref="D2856">IF(E2856=0,0,(INDEX(AccountCodes[ACCOUNT NAME],MATCH(E2856,AccountCodes[NGAS CODE],0))))</f>
        <v>Mid-Year/Year End Bonus</v>
      </c>
      <c r="E2856" s="309" t="s">
        <v>174</v>
      </c>
      <c r="F2856" s="501">
        <v>387277</v>
      </c>
    </row>
    <row r="2857" spans="1:6">
      <c r="A2857" s="308">
        <v>43434</v>
      </c>
      <c r="B2857" s="309" t="s">
        <v>486</v>
      </c>
      <c r="C2857" s="309" t="s">
        <v>507</v>
      </c>
      <c r="D2857" s="136" t="str">
        <f t="array" ref="D2857">IF(E2857=0,0,(INDEX(AccountCodes[ACCOUNT NAME],MATCH(E2857,AccountCodes[NGAS CODE],0))))</f>
        <v>Mid-Year/Year End Bonus</v>
      </c>
      <c r="E2857" s="309" t="s">
        <v>174</v>
      </c>
      <c r="F2857" s="501">
        <v>387277</v>
      </c>
    </row>
    <row r="2858" spans="1:6">
      <c r="A2858" s="308">
        <v>43131</v>
      </c>
      <c r="B2858" s="309" t="s">
        <v>486</v>
      </c>
      <c r="C2858" s="309" t="s">
        <v>507</v>
      </c>
      <c r="D2858" s="136" t="str">
        <f t="array" ref="D2858">IF(E2858=0,0,(INDEX(AccountCodes[ACCOUNT NAME],MATCH(E2858,AccountCodes[NGAS CODE],0))))</f>
        <v>Retirement and Life Insurance Premiums</v>
      </c>
      <c r="E2858" s="309" t="s">
        <v>175</v>
      </c>
      <c r="F2858" s="501">
        <v>46473.24</v>
      </c>
    </row>
    <row r="2859" spans="1:6">
      <c r="A2859" s="308">
        <v>43159</v>
      </c>
      <c r="B2859" s="309" t="s">
        <v>486</v>
      </c>
      <c r="C2859" s="309" t="s">
        <v>507</v>
      </c>
      <c r="D2859" s="136" t="str">
        <f t="array" ref="D2859">IF(E2859=0,0,(INDEX(AccountCodes[ACCOUNT NAME],MATCH(E2859,AccountCodes[NGAS CODE],0))))</f>
        <v>Retirement and Life Insurance Premiums</v>
      </c>
      <c r="E2859" s="309" t="s">
        <v>175</v>
      </c>
      <c r="F2859" s="501">
        <v>46473.24</v>
      </c>
    </row>
    <row r="2860" spans="1:6">
      <c r="A2860" s="308">
        <v>43190</v>
      </c>
      <c r="B2860" s="309" t="s">
        <v>486</v>
      </c>
      <c r="C2860" s="309" t="s">
        <v>507</v>
      </c>
      <c r="D2860" s="136" t="str">
        <f t="array" ref="D2860">IF(E2860=0,0,(INDEX(AccountCodes[ACCOUNT NAME],MATCH(E2860,AccountCodes[NGAS CODE],0))))</f>
        <v>Retirement and Life Insurance Premiums</v>
      </c>
      <c r="E2860" s="309" t="s">
        <v>175</v>
      </c>
      <c r="F2860" s="501">
        <v>46473.24</v>
      </c>
    </row>
    <row r="2861" spans="1:6">
      <c r="A2861" s="308">
        <v>43220</v>
      </c>
      <c r="B2861" s="309" t="s">
        <v>486</v>
      </c>
      <c r="C2861" s="309" t="s">
        <v>507</v>
      </c>
      <c r="D2861" s="136" t="str">
        <f t="array" ref="D2861">IF(E2861=0,0,(INDEX(AccountCodes[ACCOUNT NAME],MATCH(E2861,AccountCodes[NGAS CODE],0))))</f>
        <v>Retirement and Life Insurance Premiums</v>
      </c>
      <c r="E2861" s="309" t="s">
        <v>175</v>
      </c>
      <c r="F2861" s="501">
        <v>46473.24</v>
      </c>
    </row>
    <row r="2862" spans="1:6">
      <c r="A2862" s="308">
        <v>43251</v>
      </c>
      <c r="B2862" s="309" t="s">
        <v>486</v>
      </c>
      <c r="C2862" s="309" t="s">
        <v>507</v>
      </c>
      <c r="D2862" s="136" t="str">
        <f t="array" ref="D2862">IF(E2862=0,0,(INDEX(AccountCodes[ACCOUNT NAME],MATCH(E2862,AccountCodes[NGAS CODE],0))))</f>
        <v>Retirement and Life Insurance Premiums</v>
      </c>
      <c r="E2862" s="309" t="s">
        <v>175</v>
      </c>
      <c r="F2862" s="501">
        <v>46473.24</v>
      </c>
    </row>
    <row r="2863" spans="1:6">
      <c r="A2863" s="308">
        <v>43281</v>
      </c>
      <c r="B2863" s="309" t="s">
        <v>486</v>
      </c>
      <c r="C2863" s="309" t="s">
        <v>507</v>
      </c>
      <c r="D2863" s="136" t="str">
        <f t="array" ref="D2863">IF(E2863=0,0,(INDEX(AccountCodes[ACCOUNT NAME],MATCH(E2863,AccountCodes[NGAS CODE],0))))</f>
        <v>Retirement and Life Insurance Premiums</v>
      </c>
      <c r="E2863" s="309" t="s">
        <v>175</v>
      </c>
      <c r="F2863" s="501">
        <v>46473.24</v>
      </c>
    </row>
    <row r="2864" spans="1:6">
      <c r="A2864" s="308">
        <v>43312</v>
      </c>
      <c r="B2864" s="309" t="s">
        <v>486</v>
      </c>
      <c r="C2864" s="309" t="s">
        <v>507</v>
      </c>
      <c r="D2864" s="136" t="str">
        <f t="array" ref="D2864">IF(E2864=0,0,(INDEX(AccountCodes[ACCOUNT NAME],MATCH(E2864,AccountCodes[NGAS CODE],0))))</f>
        <v>Retirement and Life Insurance Premiums</v>
      </c>
      <c r="E2864" s="309" t="s">
        <v>175</v>
      </c>
      <c r="F2864" s="501">
        <v>46473.24</v>
      </c>
    </row>
    <row r="2865" spans="1:6">
      <c r="A2865" s="308">
        <v>43343</v>
      </c>
      <c r="B2865" s="309" t="s">
        <v>486</v>
      </c>
      <c r="C2865" s="309" t="s">
        <v>507</v>
      </c>
      <c r="D2865" s="136" t="str">
        <f t="array" ref="D2865">IF(E2865=0,0,(INDEX(AccountCodes[ACCOUNT NAME],MATCH(E2865,AccountCodes[NGAS CODE],0))))</f>
        <v>Retirement and Life Insurance Premiums</v>
      </c>
      <c r="E2865" s="309" t="s">
        <v>175</v>
      </c>
      <c r="F2865" s="501">
        <v>46473.24</v>
      </c>
    </row>
    <row r="2866" spans="1:6">
      <c r="A2866" s="308">
        <v>43373</v>
      </c>
      <c r="B2866" s="309" t="s">
        <v>486</v>
      </c>
      <c r="C2866" s="309" t="s">
        <v>507</v>
      </c>
      <c r="D2866" s="136" t="str">
        <f t="array" ref="D2866">IF(E2866=0,0,(INDEX(AccountCodes[ACCOUNT NAME],MATCH(E2866,AccountCodes[NGAS CODE],0))))</f>
        <v>Retirement and Life Insurance Premiums</v>
      </c>
      <c r="E2866" s="309" t="s">
        <v>175</v>
      </c>
      <c r="F2866" s="501">
        <v>46473.24</v>
      </c>
    </row>
    <row r="2867" spans="1:6">
      <c r="A2867" s="308">
        <v>43404</v>
      </c>
      <c r="B2867" s="309" t="s">
        <v>486</v>
      </c>
      <c r="C2867" s="309" t="s">
        <v>507</v>
      </c>
      <c r="D2867" s="136" t="str">
        <f t="array" ref="D2867">IF(E2867=0,0,(INDEX(AccountCodes[ACCOUNT NAME],MATCH(E2867,AccountCodes[NGAS CODE],0))))</f>
        <v>Retirement and Life Insurance Premiums</v>
      </c>
      <c r="E2867" s="309" t="s">
        <v>175</v>
      </c>
      <c r="F2867" s="501">
        <v>46473.24</v>
      </c>
    </row>
    <row r="2868" spans="1:6">
      <c r="A2868" s="308">
        <v>43434</v>
      </c>
      <c r="B2868" s="309" t="s">
        <v>486</v>
      </c>
      <c r="C2868" s="309" t="s">
        <v>507</v>
      </c>
      <c r="D2868" s="136" t="str">
        <f t="array" ref="D2868">IF(E2868=0,0,(INDEX(AccountCodes[ACCOUNT NAME],MATCH(E2868,AccountCodes[NGAS CODE],0))))</f>
        <v>Retirement and Life Insurance Premiums</v>
      </c>
      <c r="E2868" s="309" t="s">
        <v>175</v>
      </c>
      <c r="F2868" s="501">
        <v>46473.24</v>
      </c>
    </row>
    <row r="2869" spans="1:6">
      <c r="A2869" s="308">
        <v>43465</v>
      </c>
      <c r="B2869" s="309" t="s">
        <v>486</v>
      </c>
      <c r="C2869" s="309" t="s">
        <v>507</v>
      </c>
      <c r="D2869" s="136" t="str">
        <f t="array" ref="D2869">IF(E2869=0,0,(INDEX(AccountCodes[ACCOUNT NAME],MATCH(E2869,AccountCodes[NGAS CODE],0))))</f>
        <v>Retirement and Life Insurance Premiums</v>
      </c>
      <c r="E2869" s="309" t="s">
        <v>175</v>
      </c>
      <c r="F2869" s="501">
        <v>46473.24</v>
      </c>
    </row>
    <row r="2870" spans="1:6">
      <c r="A2870" s="308">
        <v>43131</v>
      </c>
      <c r="B2870" s="309" t="s">
        <v>486</v>
      </c>
      <c r="C2870" s="309" t="s">
        <v>507</v>
      </c>
      <c r="D2870" s="136" t="str">
        <f t="array" ref="D2870">IF(E2870=0,0,(INDEX(AccountCodes[ACCOUNT NAME],MATCH(E2870,AccountCodes[NGAS CODE],0))))</f>
        <v>Pag-IBIG Contributions</v>
      </c>
      <c r="E2870" s="309" t="s">
        <v>176</v>
      </c>
      <c r="F2870" s="501">
        <v>1800</v>
      </c>
    </row>
    <row r="2871" spans="1:6">
      <c r="A2871" s="308">
        <v>43159</v>
      </c>
      <c r="B2871" s="309" t="s">
        <v>486</v>
      </c>
      <c r="C2871" s="309" t="s">
        <v>507</v>
      </c>
      <c r="D2871" s="136" t="str">
        <f t="array" ref="D2871">IF(E2871=0,0,(INDEX(AccountCodes[ACCOUNT NAME],MATCH(E2871,AccountCodes[NGAS CODE],0))))</f>
        <v>Pag-IBIG Contributions</v>
      </c>
      <c r="E2871" s="309" t="s">
        <v>176</v>
      </c>
      <c r="F2871" s="501">
        <v>1800</v>
      </c>
    </row>
    <row r="2872" spans="1:6">
      <c r="A2872" s="308">
        <v>43190</v>
      </c>
      <c r="B2872" s="309" t="s">
        <v>486</v>
      </c>
      <c r="C2872" s="309" t="s">
        <v>507</v>
      </c>
      <c r="D2872" s="136" t="str">
        <f t="array" ref="D2872">IF(E2872=0,0,(INDEX(AccountCodes[ACCOUNT NAME],MATCH(E2872,AccountCodes[NGAS CODE],0))))</f>
        <v>Pag-IBIG Contributions</v>
      </c>
      <c r="E2872" s="309" t="s">
        <v>176</v>
      </c>
      <c r="F2872" s="501">
        <v>1800</v>
      </c>
    </row>
    <row r="2873" spans="1:6">
      <c r="A2873" s="308">
        <v>43220</v>
      </c>
      <c r="B2873" s="309" t="s">
        <v>486</v>
      </c>
      <c r="C2873" s="309" t="s">
        <v>507</v>
      </c>
      <c r="D2873" s="136" t="str">
        <f t="array" ref="D2873">IF(E2873=0,0,(INDEX(AccountCodes[ACCOUNT NAME],MATCH(E2873,AccountCodes[NGAS CODE],0))))</f>
        <v>Pag-IBIG Contributions</v>
      </c>
      <c r="E2873" s="309" t="s">
        <v>176</v>
      </c>
      <c r="F2873" s="501">
        <v>1800</v>
      </c>
    </row>
    <row r="2874" spans="1:6">
      <c r="A2874" s="308">
        <v>43251</v>
      </c>
      <c r="B2874" s="309" t="s">
        <v>486</v>
      </c>
      <c r="C2874" s="309" t="s">
        <v>507</v>
      </c>
      <c r="D2874" s="136" t="str">
        <f t="array" ref="D2874">IF(E2874=0,0,(INDEX(AccountCodes[ACCOUNT NAME],MATCH(E2874,AccountCodes[NGAS CODE],0))))</f>
        <v>Pag-IBIG Contributions</v>
      </c>
      <c r="E2874" s="309" t="s">
        <v>176</v>
      </c>
      <c r="F2874" s="501">
        <v>1800</v>
      </c>
    </row>
    <row r="2875" spans="1:6">
      <c r="A2875" s="308">
        <v>43281</v>
      </c>
      <c r="B2875" s="309" t="s">
        <v>486</v>
      </c>
      <c r="C2875" s="309" t="s">
        <v>507</v>
      </c>
      <c r="D2875" s="136" t="str">
        <f t="array" ref="D2875">IF(E2875=0,0,(INDEX(AccountCodes[ACCOUNT NAME],MATCH(E2875,AccountCodes[NGAS CODE],0))))</f>
        <v>Pag-IBIG Contributions</v>
      </c>
      <c r="E2875" s="309" t="s">
        <v>176</v>
      </c>
      <c r="F2875" s="501">
        <v>1800</v>
      </c>
    </row>
    <row r="2876" spans="1:6">
      <c r="A2876" s="308">
        <v>43312</v>
      </c>
      <c r="B2876" s="309" t="s">
        <v>486</v>
      </c>
      <c r="C2876" s="309" t="s">
        <v>507</v>
      </c>
      <c r="D2876" s="136" t="str">
        <f t="array" ref="D2876">IF(E2876=0,0,(INDEX(AccountCodes[ACCOUNT NAME],MATCH(E2876,AccountCodes[NGAS CODE],0))))</f>
        <v>Pag-IBIG Contributions</v>
      </c>
      <c r="E2876" s="309" t="s">
        <v>176</v>
      </c>
      <c r="F2876" s="501">
        <v>1800</v>
      </c>
    </row>
    <row r="2877" spans="1:6">
      <c r="A2877" s="308">
        <v>43343</v>
      </c>
      <c r="B2877" s="309" t="s">
        <v>486</v>
      </c>
      <c r="C2877" s="309" t="s">
        <v>507</v>
      </c>
      <c r="D2877" s="136" t="str">
        <f t="array" ref="D2877">IF(E2877=0,0,(INDEX(AccountCodes[ACCOUNT NAME],MATCH(E2877,AccountCodes[NGAS CODE],0))))</f>
        <v>Pag-IBIG Contributions</v>
      </c>
      <c r="E2877" s="309" t="s">
        <v>176</v>
      </c>
      <c r="F2877" s="501">
        <v>1800</v>
      </c>
    </row>
    <row r="2878" spans="1:6">
      <c r="A2878" s="308">
        <v>43373</v>
      </c>
      <c r="B2878" s="309" t="s">
        <v>486</v>
      </c>
      <c r="C2878" s="309" t="s">
        <v>507</v>
      </c>
      <c r="D2878" s="136" t="str">
        <f t="array" ref="D2878">IF(E2878=0,0,(INDEX(AccountCodes[ACCOUNT NAME],MATCH(E2878,AccountCodes[NGAS CODE],0))))</f>
        <v>Pag-IBIG Contributions</v>
      </c>
      <c r="E2878" s="309" t="s">
        <v>176</v>
      </c>
      <c r="F2878" s="501">
        <v>1800</v>
      </c>
    </row>
    <row r="2879" spans="1:6">
      <c r="A2879" s="308">
        <v>43404</v>
      </c>
      <c r="B2879" s="309" t="s">
        <v>486</v>
      </c>
      <c r="C2879" s="309" t="s">
        <v>507</v>
      </c>
      <c r="D2879" s="136" t="str">
        <f t="array" ref="D2879">IF(E2879=0,0,(INDEX(AccountCodes[ACCOUNT NAME],MATCH(E2879,AccountCodes[NGAS CODE],0))))</f>
        <v>Pag-IBIG Contributions</v>
      </c>
      <c r="E2879" s="309" t="s">
        <v>176</v>
      </c>
      <c r="F2879" s="501">
        <v>1800</v>
      </c>
    </row>
    <row r="2880" spans="1:6">
      <c r="A2880" s="308">
        <v>43434</v>
      </c>
      <c r="B2880" s="309" t="s">
        <v>486</v>
      </c>
      <c r="C2880" s="309" t="s">
        <v>507</v>
      </c>
      <c r="D2880" s="136" t="str">
        <f t="array" ref="D2880">IF(E2880=0,0,(INDEX(AccountCodes[ACCOUNT NAME],MATCH(E2880,AccountCodes[NGAS CODE],0))))</f>
        <v>Pag-IBIG Contributions</v>
      </c>
      <c r="E2880" s="309" t="s">
        <v>176</v>
      </c>
      <c r="F2880" s="501">
        <v>1800</v>
      </c>
    </row>
    <row r="2881" spans="1:6">
      <c r="A2881" s="308">
        <v>43465</v>
      </c>
      <c r="B2881" s="309" t="s">
        <v>486</v>
      </c>
      <c r="C2881" s="309" t="s">
        <v>507</v>
      </c>
      <c r="D2881" s="136" t="str">
        <f t="array" ref="D2881">IF(E2881=0,0,(INDEX(AccountCodes[ACCOUNT NAME],MATCH(E2881,AccountCodes[NGAS CODE],0))))</f>
        <v>Pag-IBIG Contributions</v>
      </c>
      <c r="E2881" s="309" t="s">
        <v>176</v>
      </c>
      <c r="F2881" s="501">
        <v>1800</v>
      </c>
    </row>
    <row r="2882" spans="1:6">
      <c r="A2882" s="308">
        <v>43131</v>
      </c>
      <c r="B2882" s="309" t="s">
        <v>486</v>
      </c>
      <c r="C2882" s="309" t="s">
        <v>507</v>
      </c>
      <c r="D2882" s="136" t="str">
        <f t="array" ref="D2882">IF(E2882=0,0,(INDEX(AccountCodes[ACCOUNT NAME],MATCH(E2882,AccountCodes[NGAS CODE],0))))</f>
        <v>PhilHealth Contributions</v>
      </c>
      <c r="E2882" s="309" t="s">
        <v>177</v>
      </c>
      <c r="F2882" s="501">
        <v>4537.5</v>
      </c>
    </row>
    <row r="2883" spans="1:6">
      <c r="A2883" s="308">
        <v>43159</v>
      </c>
      <c r="B2883" s="309" t="s">
        <v>486</v>
      </c>
      <c r="C2883" s="309" t="s">
        <v>507</v>
      </c>
      <c r="D2883" s="136" t="str">
        <f t="array" ref="D2883">IF(E2883=0,0,(INDEX(AccountCodes[ACCOUNT NAME],MATCH(E2883,AccountCodes[NGAS CODE],0))))</f>
        <v>PhilHealth Contributions</v>
      </c>
      <c r="E2883" s="309" t="s">
        <v>177</v>
      </c>
      <c r="F2883" s="501">
        <v>4537.5</v>
      </c>
    </row>
    <row r="2884" spans="1:6">
      <c r="A2884" s="308">
        <v>43190</v>
      </c>
      <c r="B2884" s="309" t="s">
        <v>486</v>
      </c>
      <c r="C2884" s="309" t="s">
        <v>507</v>
      </c>
      <c r="D2884" s="136" t="str">
        <f t="array" ref="D2884">IF(E2884=0,0,(INDEX(AccountCodes[ACCOUNT NAME],MATCH(E2884,AccountCodes[NGAS CODE],0))))</f>
        <v>PhilHealth Contributions</v>
      </c>
      <c r="E2884" s="309" t="s">
        <v>177</v>
      </c>
      <c r="F2884" s="501">
        <v>4537.5</v>
      </c>
    </row>
    <row r="2885" spans="1:6">
      <c r="A2885" s="308">
        <v>43220</v>
      </c>
      <c r="B2885" s="309" t="s">
        <v>486</v>
      </c>
      <c r="C2885" s="309" t="s">
        <v>507</v>
      </c>
      <c r="D2885" s="136" t="str">
        <f t="array" ref="D2885">IF(E2885=0,0,(INDEX(AccountCodes[ACCOUNT NAME],MATCH(E2885,AccountCodes[NGAS CODE],0))))</f>
        <v>PhilHealth Contributions</v>
      </c>
      <c r="E2885" s="309" t="s">
        <v>177</v>
      </c>
      <c r="F2885" s="501">
        <v>4537.5</v>
      </c>
    </row>
    <row r="2886" spans="1:6">
      <c r="A2886" s="308">
        <v>43251</v>
      </c>
      <c r="B2886" s="309" t="s">
        <v>486</v>
      </c>
      <c r="C2886" s="309" t="s">
        <v>507</v>
      </c>
      <c r="D2886" s="136" t="str">
        <f t="array" ref="D2886">IF(E2886=0,0,(INDEX(AccountCodes[ACCOUNT NAME],MATCH(E2886,AccountCodes[NGAS CODE],0))))</f>
        <v>PhilHealth Contributions</v>
      </c>
      <c r="E2886" s="309" t="s">
        <v>177</v>
      </c>
      <c r="F2886" s="501">
        <v>4537.5</v>
      </c>
    </row>
    <row r="2887" spans="1:6">
      <c r="A2887" s="308">
        <v>43281</v>
      </c>
      <c r="B2887" s="309" t="s">
        <v>486</v>
      </c>
      <c r="C2887" s="309" t="s">
        <v>507</v>
      </c>
      <c r="D2887" s="136" t="str">
        <f t="array" ref="D2887">IF(E2887=0,0,(INDEX(AccountCodes[ACCOUNT NAME],MATCH(E2887,AccountCodes[NGAS CODE],0))))</f>
        <v>PhilHealth Contributions</v>
      </c>
      <c r="E2887" s="309" t="s">
        <v>177</v>
      </c>
      <c r="F2887" s="501">
        <v>4537.5</v>
      </c>
    </row>
    <row r="2888" spans="1:6">
      <c r="A2888" s="308">
        <v>43312</v>
      </c>
      <c r="B2888" s="309" t="s">
        <v>486</v>
      </c>
      <c r="C2888" s="309" t="s">
        <v>507</v>
      </c>
      <c r="D2888" s="136" t="str">
        <f t="array" ref="D2888">IF(E2888=0,0,(INDEX(AccountCodes[ACCOUNT NAME],MATCH(E2888,AccountCodes[NGAS CODE],0))))</f>
        <v>PhilHealth Contributions</v>
      </c>
      <c r="E2888" s="309" t="s">
        <v>177</v>
      </c>
      <c r="F2888" s="501">
        <v>4537.5</v>
      </c>
    </row>
    <row r="2889" spans="1:6">
      <c r="A2889" s="308">
        <v>43343</v>
      </c>
      <c r="B2889" s="309" t="s">
        <v>486</v>
      </c>
      <c r="C2889" s="309" t="s">
        <v>507</v>
      </c>
      <c r="D2889" s="136" t="str">
        <f t="array" ref="D2889">IF(E2889=0,0,(INDEX(AccountCodes[ACCOUNT NAME],MATCH(E2889,AccountCodes[NGAS CODE],0))))</f>
        <v>PhilHealth Contributions</v>
      </c>
      <c r="E2889" s="309" t="s">
        <v>177</v>
      </c>
      <c r="F2889" s="501">
        <v>4537.5</v>
      </c>
    </row>
    <row r="2890" spans="1:6">
      <c r="A2890" s="308">
        <v>43373</v>
      </c>
      <c r="B2890" s="309" t="s">
        <v>486</v>
      </c>
      <c r="C2890" s="309" t="s">
        <v>507</v>
      </c>
      <c r="D2890" s="136" t="str">
        <f t="array" ref="D2890">IF(E2890=0,0,(INDEX(AccountCodes[ACCOUNT NAME],MATCH(E2890,AccountCodes[NGAS CODE],0))))</f>
        <v>PhilHealth Contributions</v>
      </c>
      <c r="E2890" s="309" t="s">
        <v>177</v>
      </c>
      <c r="F2890" s="501">
        <v>4537.5</v>
      </c>
    </row>
    <row r="2891" spans="1:6">
      <c r="A2891" s="308">
        <v>43404</v>
      </c>
      <c r="B2891" s="309" t="s">
        <v>486</v>
      </c>
      <c r="C2891" s="309" t="s">
        <v>507</v>
      </c>
      <c r="D2891" s="136" t="str">
        <f t="array" ref="D2891">IF(E2891=0,0,(INDEX(AccountCodes[ACCOUNT NAME],MATCH(E2891,AccountCodes[NGAS CODE],0))))</f>
        <v>PhilHealth Contributions</v>
      </c>
      <c r="E2891" s="309" t="s">
        <v>177</v>
      </c>
      <c r="F2891" s="501">
        <v>4537.5</v>
      </c>
    </row>
    <row r="2892" spans="1:6">
      <c r="A2892" s="308">
        <v>43434</v>
      </c>
      <c r="B2892" s="309" t="s">
        <v>486</v>
      </c>
      <c r="C2892" s="309" t="s">
        <v>507</v>
      </c>
      <c r="D2892" s="136" t="str">
        <f t="array" ref="D2892">IF(E2892=0,0,(INDEX(AccountCodes[ACCOUNT NAME],MATCH(E2892,AccountCodes[NGAS CODE],0))))</f>
        <v>PhilHealth Contributions</v>
      </c>
      <c r="E2892" s="309" t="s">
        <v>177</v>
      </c>
      <c r="F2892" s="501">
        <v>4537.5</v>
      </c>
    </row>
    <row r="2893" spans="1:6">
      <c r="A2893" s="308">
        <v>43465</v>
      </c>
      <c r="B2893" s="309" t="s">
        <v>486</v>
      </c>
      <c r="C2893" s="309" t="s">
        <v>507</v>
      </c>
      <c r="D2893" s="136" t="str">
        <f t="array" ref="D2893">IF(E2893=0,0,(INDEX(AccountCodes[ACCOUNT NAME],MATCH(E2893,AccountCodes[NGAS CODE],0))))</f>
        <v>PhilHealth Contributions</v>
      </c>
      <c r="E2893" s="309" t="s">
        <v>177</v>
      </c>
      <c r="F2893" s="501">
        <v>4537.5</v>
      </c>
    </row>
    <row r="2894" spans="1:6">
      <c r="A2894" s="308">
        <v>43131</v>
      </c>
      <c r="B2894" s="309" t="s">
        <v>486</v>
      </c>
      <c r="C2894" s="309" t="s">
        <v>507</v>
      </c>
      <c r="D2894" s="136" t="str">
        <f t="array" ref="D2894">IF(E2894=0,0,(INDEX(AccountCodes[ACCOUNT NAME],MATCH(E2894,AccountCodes[NGAS CODE],0))))</f>
        <v>Employees Compensation Insurance Premiums</v>
      </c>
      <c r="E2894" s="309" t="s">
        <v>178</v>
      </c>
      <c r="F2894" s="501">
        <v>1800</v>
      </c>
    </row>
    <row r="2895" spans="1:6">
      <c r="A2895" s="308">
        <v>43159</v>
      </c>
      <c r="B2895" s="309" t="s">
        <v>486</v>
      </c>
      <c r="C2895" s="309" t="s">
        <v>507</v>
      </c>
      <c r="D2895" s="136" t="str">
        <f t="array" ref="D2895">IF(E2895=0,0,(INDEX(AccountCodes[ACCOUNT NAME],MATCH(E2895,AccountCodes[NGAS CODE],0))))</f>
        <v>Employees Compensation Insurance Premiums</v>
      </c>
      <c r="E2895" s="309" t="s">
        <v>178</v>
      </c>
      <c r="F2895" s="501">
        <v>1800</v>
      </c>
    </row>
    <row r="2896" spans="1:6">
      <c r="A2896" s="308">
        <v>43190</v>
      </c>
      <c r="B2896" s="309" t="s">
        <v>486</v>
      </c>
      <c r="C2896" s="309" t="s">
        <v>507</v>
      </c>
      <c r="D2896" s="136" t="str">
        <f t="array" ref="D2896">IF(E2896=0,0,(INDEX(AccountCodes[ACCOUNT NAME],MATCH(E2896,AccountCodes[NGAS CODE],0))))</f>
        <v>Employees Compensation Insurance Premiums</v>
      </c>
      <c r="E2896" s="309" t="s">
        <v>178</v>
      </c>
      <c r="F2896" s="501">
        <v>1800</v>
      </c>
    </row>
    <row r="2897" spans="1:6">
      <c r="A2897" s="308">
        <v>43220</v>
      </c>
      <c r="B2897" s="309" t="s">
        <v>486</v>
      </c>
      <c r="C2897" s="309" t="s">
        <v>507</v>
      </c>
      <c r="D2897" s="136" t="str">
        <f t="array" ref="D2897">IF(E2897=0,0,(INDEX(AccountCodes[ACCOUNT NAME],MATCH(E2897,AccountCodes[NGAS CODE],0))))</f>
        <v>Employees Compensation Insurance Premiums</v>
      </c>
      <c r="E2897" s="309" t="s">
        <v>178</v>
      </c>
      <c r="F2897" s="501">
        <v>1800</v>
      </c>
    </row>
    <row r="2898" spans="1:6">
      <c r="A2898" s="308">
        <v>43251</v>
      </c>
      <c r="B2898" s="309" t="s">
        <v>486</v>
      </c>
      <c r="C2898" s="309" t="s">
        <v>507</v>
      </c>
      <c r="D2898" s="136" t="str">
        <f t="array" ref="D2898">IF(E2898=0,0,(INDEX(AccountCodes[ACCOUNT NAME],MATCH(E2898,AccountCodes[NGAS CODE],0))))</f>
        <v>Employees Compensation Insurance Premiums</v>
      </c>
      <c r="E2898" s="309" t="s">
        <v>178</v>
      </c>
      <c r="F2898" s="501">
        <v>1800</v>
      </c>
    </row>
    <row r="2899" spans="1:6">
      <c r="A2899" s="308">
        <v>43281</v>
      </c>
      <c r="B2899" s="309" t="s">
        <v>486</v>
      </c>
      <c r="C2899" s="309" t="s">
        <v>507</v>
      </c>
      <c r="D2899" s="136" t="str">
        <f t="array" ref="D2899">IF(E2899=0,0,(INDEX(AccountCodes[ACCOUNT NAME],MATCH(E2899,AccountCodes[NGAS CODE],0))))</f>
        <v>Employees Compensation Insurance Premiums</v>
      </c>
      <c r="E2899" s="309" t="s">
        <v>178</v>
      </c>
      <c r="F2899" s="501">
        <v>1800</v>
      </c>
    </row>
    <row r="2900" spans="1:6">
      <c r="A2900" s="308">
        <v>43312</v>
      </c>
      <c r="B2900" s="309" t="s">
        <v>486</v>
      </c>
      <c r="C2900" s="309" t="s">
        <v>507</v>
      </c>
      <c r="D2900" s="136" t="str">
        <f t="array" ref="D2900">IF(E2900=0,0,(INDEX(AccountCodes[ACCOUNT NAME],MATCH(E2900,AccountCodes[NGAS CODE],0))))</f>
        <v>Employees Compensation Insurance Premiums</v>
      </c>
      <c r="E2900" s="309" t="s">
        <v>178</v>
      </c>
      <c r="F2900" s="501">
        <v>1800</v>
      </c>
    </row>
    <row r="2901" spans="1:6">
      <c r="A2901" s="308">
        <v>43343</v>
      </c>
      <c r="B2901" s="309" t="s">
        <v>486</v>
      </c>
      <c r="C2901" s="309" t="s">
        <v>507</v>
      </c>
      <c r="D2901" s="136" t="str">
        <f t="array" ref="D2901">IF(E2901=0,0,(INDEX(AccountCodes[ACCOUNT NAME],MATCH(E2901,AccountCodes[NGAS CODE],0))))</f>
        <v>Employees Compensation Insurance Premiums</v>
      </c>
      <c r="E2901" s="309" t="s">
        <v>178</v>
      </c>
      <c r="F2901" s="501">
        <v>1800</v>
      </c>
    </row>
    <row r="2902" spans="1:6">
      <c r="A2902" s="308">
        <v>43373</v>
      </c>
      <c r="B2902" s="309" t="s">
        <v>486</v>
      </c>
      <c r="C2902" s="309" t="s">
        <v>507</v>
      </c>
      <c r="D2902" s="136" t="str">
        <f t="array" ref="D2902">IF(E2902=0,0,(INDEX(AccountCodes[ACCOUNT NAME],MATCH(E2902,AccountCodes[NGAS CODE],0))))</f>
        <v>Employees Compensation Insurance Premiums</v>
      </c>
      <c r="E2902" s="309" t="s">
        <v>178</v>
      </c>
      <c r="F2902" s="501">
        <v>1800</v>
      </c>
    </row>
    <row r="2903" spans="1:6">
      <c r="A2903" s="308">
        <v>43404</v>
      </c>
      <c r="B2903" s="309" t="s">
        <v>486</v>
      </c>
      <c r="C2903" s="309" t="s">
        <v>507</v>
      </c>
      <c r="D2903" s="136" t="str">
        <f t="array" ref="D2903">IF(E2903=0,0,(INDEX(AccountCodes[ACCOUNT NAME],MATCH(E2903,AccountCodes[NGAS CODE],0))))</f>
        <v>Employees Compensation Insurance Premiums</v>
      </c>
      <c r="E2903" s="309" t="s">
        <v>178</v>
      </c>
      <c r="F2903" s="501">
        <v>1800</v>
      </c>
    </row>
    <row r="2904" spans="1:6">
      <c r="A2904" s="308">
        <v>43434</v>
      </c>
      <c r="B2904" s="309" t="s">
        <v>486</v>
      </c>
      <c r="C2904" s="309" t="s">
        <v>507</v>
      </c>
      <c r="D2904" s="136" t="str">
        <f t="array" ref="D2904">IF(E2904=0,0,(INDEX(AccountCodes[ACCOUNT NAME],MATCH(E2904,AccountCodes[NGAS CODE],0))))</f>
        <v>Employees Compensation Insurance Premiums</v>
      </c>
      <c r="E2904" s="309" t="s">
        <v>178</v>
      </c>
      <c r="F2904" s="501">
        <v>1800</v>
      </c>
    </row>
    <row r="2905" spans="1:6">
      <c r="A2905" s="308">
        <v>43465</v>
      </c>
      <c r="B2905" s="309" t="s">
        <v>486</v>
      </c>
      <c r="C2905" s="309" t="s">
        <v>507</v>
      </c>
      <c r="D2905" s="136" t="str">
        <f t="array" ref="D2905">IF(E2905=0,0,(INDEX(AccountCodes[ACCOUNT NAME],MATCH(E2905,AccountCodes[NGAS CODE],0))))</f>
        <v>Employees Compensation Insurance Premiums</v>
      </c>
      <c r="E2905" s="309" t="s">
        <v>178</v>
      </c>
      <c r="F2905" s="501">
        <v>1800</v>
      </c>
    </row>
    <row r="2906" spans="1:6">
      <c r="A2906" s="308">
        <v>43131</v>
      </c>
      <c r="B2906" s="309" t="s">
        <v>486</v>
      </c>
      <c r="C2906" s="309" t="s">
        <v>507</v>
      </c>
      <c r="D2906" s="136" t="str">
        <f t="array" ref="D2906">IF(E2906=0,0,(INDEX(AccountCodes[ACCOUNT NAME],MATCH(E2906,AccountCodes[NGAS CODE],0))))</f>
        <v>Taxes, Duties and Licenses</v>
      </c>
      <c r="E2906" s="309" t="s">
        <v>272</v>
      </c>
      <c r="F2906" s="501">
        <v>14038.02</v>
      </c>
    </row>
    <row r="2907" spans="1:6">
      <c r="A2907" s="308">
        <v>43159</v>
      </c>
      <c r="B2907" s="309" t="s">
        <v>486</v>
      </c>
      <c r="C2907" s="309" t="s">
        <v>507</v>
      </c>
      <c r="D2907" s="136" t="str">
        <f t="array" ref="D2907">IF(E2907=0,0,(INDEX(AccountCodes[ACCOUNT NAME],MATCH(E2907,AccountCodes[NGAS CODE],0))))</f>
        <v>Taxes, Duties and Licenses</v>
      </c>
      <c r="E2907" s="309" t="s">
        <v>272</v>
      </c>
      <c r="F2907" s="501">
        <v>14038.02</v>
      </c>
    </row>
    <row r="2908" spans="1:6">
      <c r="A2908" s="308">
        <v>43190</v>
      </c>
      <c r="B2908" s="309" t="s">
        <v>486</v>
      </c>
      <c r="C2908" s="309" t="s">
        <v>507</v>
      </c>
      <c r="D2908" s="136" t="str">
        <f t="array" ref="D2908">IF(E2908=0,0,(INDEX(AccountCodes[ACCOUNT NAME],MATCH(E2908,AccountCodes[NGAS CODE],0))))</f>
        <v>Taxes, Duties and Licenses</v>
      </c>
      <c r="E2908" s="309" t="s">
        <v>272</v>
      </c>
      <c r="F2908" s="501">
        <v>14038.02</v>
      </c>
    </row>
    <row r="2909" spans="1:6">
      <c r="A2909" s="308">
        <v>43220</v>
      </c>
      <c r="B2909" s="309" t="s">
        <v>486</v>
      </c>
      <c r="C2909" s="309" t="s">
        <v>507</v>
      </c>
      <c r="D2909" s="136" t="str">
        <f t="array" ref="D2909">IF(E2909=0,0,(INDEX(AccountCodes[ACCOUNT NAME],MATCH(E2909,AccountCodes[NGAS CODE],0))))</f>
        <v>Taxes, Duties and Licenses</v>
      </c>
      <c r="E2909" s="309" t="s">
        <v>272</v>
      </c>
      <c r="F2909" s="501">
        <v>14038.02</v>
      </c>
    </row>
    <row r="2910" spans="1:6">
      <c r="A2910" s="308">
        <v>43251</v>
      </c>
      <c r="B2910" s="309" t="s">
        <v>486</v>
      </c>
      <c r="C2910" s="309" t="s">
        <v>507</v>
      </c>
      <c r="D2910" s="136" t="str">
        <f t="array" ref="D2910">IF(E2910=0,0,(INDEX(AccountCodes[ACCOUNT NAME],MATCH(E2910,AccountCodes[NGAS CODE],0))))</f>
        <v>Taxes, Duties and Licenses</v>
      </c>
      <c r="E2910" s="309" t="s">
        <v>272</v>
      </c>
      <c r="F2910" s="501">
        <v>14038.02</v>
      </c>
    </row>
    <row r="2911" spans="1:6">
      <c r="A2911" s="308">
        <v>43281</v>
      </c>
      <c r="B2911" s="309" t="s">
        <v>486</v>
      </c>
      <c r="C2911" s="309" t="s">
        <v>507</v>
      </c>
      <c r="D2911" s="136" t="str">
        <f t="array" ref="D2911">IF(E2911=0,0,(INDEX(AccountCodes[ACCOUNT NAME],MATCH(E2911,AccountCodes[NGAS CODE],0))))</f>
        <v>Taxes, Duties and Licenses</v>
      </c>
      <c r="E2911" s="309" t="s">
        <v>272</v>
      </c>
      <c r="F2911" s="501">
        <v>14038.02</v>
      </c>
    </row>
    <row r="2912" spans="1:6">
      <c r="A2912" s="308">
        <v>43312</v>
      </c>
      <c r="B2912" s="309" t="s">
        <v>486</v>
      </c>
      <c r="C2912" s="309" t="s">
        <v>507</v>
      </c>
      <c r="D2912" s="136" t="str">
        <f t="array" ref="D2912">IF(E2912=0,0,(INDEX(AccountCodes[ACCOUNT NAME],MATCH(E2912,AccountCodes[NGAS CODE],0))))</f>
        <v>Taxes, Duties and Licenses</v>
      </c>
      <c r="E2912" s="309" t="s">
        <v>272</v>
      </c>
      <c r="F2912" s="501">
        <v>14038.02</v>
      </c>
    </row>
    <row r="2913" spans="1:6">
      <c r="A2913" s="308">
        <v>43343</v>
      </c>
      <c r="B2913" s="309" t="s">
        <v>486</v>
      </c>
      <c r="C2913" s="309" t="s">
        <v>507</v>
      </c>
      <c r="D2913" s="136" t="str">
        <f t="array" ref="D2913">IF(E2913=0,0,(INDEX(AccountCodes[ACCOUNT NAME],MATCH(E2913,AccountCodes[NGAS CODE],0))))</f>
        <v>Taxes, Duties and Licenses</v>
      </c>
      <c r="E2913" s="309" t="s">
        <v>272</v>
      </c>
      <c r="F2913" s="501">
        <v>14038.02</v>
      </c>
    </row>
    <row r="2914" spans="1:6">
      <c r="A2914" s="308">
        <v>43373</v>
      </c>
      <c r="B2914" s="309" t="s">
        <v>486</v>
      </c>
      <c r="C2914" s="309" t="s">
        <v>507</v>
      </c>
      <c r="D2914" s="136" t="str">
        <f t="array" ref="D2914">IF(E2914=0,0,(INDEX(AccountCodes[ACCOUNT NAME],MATCH(E2914,AccountCodes[NGAS CODE],0))))</f>
        <v>Taxes, Duties and Licenses</v>
      </c>
      <c r="E2914" s="309" t="s">
        <v>272</v>
      </c>
      <c r="F2914" s="501">
        <v>14038.02</v>
      </c>
    </row>
    <row r="2915" spans="1:6">
      <c r="A2915" s="308">
        <v>43404</v>
      </c>
      <c r="B2915" s="309" t="s">
        <v>486</v>
      </c>
      <c r="C2915" s="309" t="s">
        <v>507</v>
      </c>
      <c r="D2915" s="136" t="str">
        <f t="array" ref="D2915">IF(E2915=0,0,(INDEX(AccountCodes[ACCOUNT NAME],MATCH(E2915,AccountCodes[NGAS CODE],0))))</f>
        <v>Taxes, Duties and Licenses</v>
      </c>
      <c r="E2915" s="309" t="s">
        <v>272</v>
      </c>
      <c r="F2915" s="501">
        <v>14038.02</v>
      </c>
    </row>
    <row r="2916" spans="1:6">
      <c r="A2916" s="308">
        <v>43434</v>
      </c>
      <c r="B2916" s="309" t="s">
        <v>486</v>
      </c>
      <c r="C2916" s="309" t="s">
        <v>507</v>
      </c>
      <c r="D2916" s="136" t="str">
        <f t="array" ref="D2916">IF(E2916=0,0,(INDEX(AccountCodes[ACCOUNT NAME],MATCH(E2916,AccountCodes[NGAS CODE],0))))</f>
        <v>Taxes, Duties and Licenses</v>
      </c>
      <c r="E2916" s="309" t="s">
        <v>272</v>
      </c>
      <c r="F2916" s="501">
        <v>14038.02</v>
      </c>
    </row>
    <row r="2917" spans="1:6">
      <c r="A2917" s="308">
        <v>43465</v>
      </c>
      <c r="B2917" s="309" t="s">
        <v>486</v>
      </c>
      <c r="C2917" s="309" t="s">
        <v>507</v>
      </c>
      <c r="D2917" s="136" t="str">
        <f t="array" ref="D2917">IF(E2917=0,0,(INDEX(AccountCodes[ACCOUNT NAME],MATCH(E2917,AccountCodes[NGAS CODE],0))))</f>
        <v>Taxes, Duties and Licenses</v>
      </c>
      <c r="E2917" s="309" t="s">
        <v>272</v>
      </c>
      <c r="F2917" s="501">
        <v>14038.02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67</vt:i4>
      </vt:variant>
    </vt:vector>
  </HeadingPairs>
  <TitlesOfParts>
    <vt:vector size="132" baseType="lpstr">
      <vt:lpstr>TB</vt:lpstr>
      <vt:lpstr>TB (NEW)</vt:lpstr>
      <vt:lpstr>IES</vt:lpstr>
      <vt:lpstr>BS</vt:lpstr>
      <vt:lpstr>CF</vt:lpstr>
      <vt:lpstr>Account</vt:lpstr>
      <vt:lpstr>PostTB</vt:lpstr>
      <vt:lpstr>CRDJ</vt:lpstr>
      <vt:lpstr>CRDJ Pivot</vt:lpstr>
      <vt:lpstr>JEV CRD</vt:lpstr>
      <vt:lpstr>CRDJournal</vt:lpstr>
      <vt:lpstr>CkDJ</vt:lpstr>
      <vt:lpstr>CkDJ Pivot</vt:lpstr>
      <vt:lpstr>JEV Check</vt:lpstr>
      <vt:lpstr>CkDJournal</vt:lpstr>
      <vt:lpstr>CsDJ</vt:lpstr>
      <vt:lpstr>CsDJ Pivot</vt:lpstr>
      <vt:lpstr>CSDJournal</vt:lpstr>
      <vt:lpstr>JEV CsDJ</vt:lpstr>
      <vt:lpstr>GJ</vt:lpstr>
      <vt:lpstr>GJ Pivot</vt:lpstr>
      <vt:lpstr>JEV GJ</vt:lpstr>
      <vt:lpstr>General Ledger</vt:lpstr>
      <vt:lpstr>GL</vt:lpstr>
      <vt:lpstr>GLperSC1</vt:lpstr>
      <vt:lpstr>GLperSC2</vt:lpstr>
      <vt:lpstr>CF (2)</vt:lpstr>
      <vt:lpstr>SL Balances</vt:lpstr>
      <vt:lpstr>SLperSC1</vt:lpstr>
      <vt:lpstr>Sheet1</vt:lpstr>
      <vt:lpstr>Sheet2</vt:lpstr>
      <vt:lpstr>SLperSC2</vt:lpstr>
      <vt:lpstr>BUR</vt:lpstr>
      <vt:lpstr>BUR (2)</vt:lpstr>
      <vt:lpstr>BUR (VIG zero out)</vt:lpstr>
      <vt:lpstr>SOEI (as of)</vt:lpstr>
      <vt:lpstr>SOEI (for the)</vt:lpstr>
      <vt:lpstr>REVGEN (1)</vt:lpstr>
      <vt:lpstr>REVGEN (2)</vt:lpstr>
      <vt:lpstr>REVGEN (3)</vt:lpstr>
      <vt:lpstr>REVGEN (4)</vt:lpstr>
      <vt:lpstr>REVGEN (2)(1)</vt:lpstr>
      <vt:lpstr>REVGEN (2)(2)</vt:lpstr>
      <vt:lpstr>REVGEN (2)(3)</vt:lpstr>
      <vt:lpstr>REVGEN (2)(4)</vt:lpstr>
      <vt:lpstr>REVGEN (3)(1)</vt:lpstr>
      <vt:lpstr>REVGEN (3)(2)</vt:lpstr>
      <vt:lpstr>REVGEN (3)(3)</vt:lpstr>
      <vt:lpstr>REVGEN (3)(4)</vt:lpstr>
      <vt:lpstr>REVGEN (4)(1)</vt:lpstr>
      <vt:lpstr>REVGEN (4)(2)</vt:lpstr>
      <vt:lpstr>REVGEN (4)(3)</vt:lpstr>
      <vt:lpstr>REVGEN (4)(4)</vt:lpstr>
      <vt:lpstr>REVGEN (4)(5)</vt:lpstr>
      <vt:lpstr>REVGEN (Summary)</vt:lpstr>
      <vt:lpstr>REVGEN (Overall)</vt:lpstr>
      <vt:lpstr>Rev Exp (1)</vt:lpstr>
      <vt:lpstr>Rev Exp (2)</vt:lpstr>
      <vt:lpstr>Rev Exp (3)</vt:lpstr>
      <vt:lpstr>Rev Exp (4)</vt:lpstr>
      <vt:lpstr>RevExp RIO</vt:lpstr>
      <vt:lpstr>Monthly Cash Program Ofc</vt:lpstr>
      <vt:lpstr>Monthly Cash Program Sort</vt:lpstr>
      <vt:lpstr>Monthly Cash Program Summary</vt:lpstr>
      <vt:lpstr>Budget Data</vt:lpstr>
      <vt:lpstr>Accounts</vt:lpstr>
      <vt:lpstr>Cashier</vt:lpstr>
      <vt:lpstr>Category</vt:lpstr>
      <vt:lpstr>Code</vt:lpstr>
      <vt:lpstr>Office</vt:lpstr>
      <vt:lpstr>Account!Print_Area</vt:lpstr>
      <vt:lpstr>CkDJ!Print_Area</vt:lpstr>
      <vt:lpstr>CRDJ!Print_Area</vt:lpstr>
      <vt:lpstr>CRDJournal!Print_Area</vt:lpstr>
      <vt:lpstr>CsDJ!Print_Area</vt:lpstr>
      <vt:lpstr>CSDJournal!Print_Area</vt:lpstr>
      <vt:lpstr>'JEV Check'!Print_Area</vt:lpstr>
      <vt:lpstr>'JEV GJ'!Print_Area</vt:lpstr>
      <vt:lpstr>PostTB!Print_Area</vt:lpstr>
      <vt:lpstr>'REVGEN (Overall)'!Print_Area</vt:lpstr>
      <vt:lpstr>SLperSC1!Print_Area</vt:lpstr>
      <vt:lpstr>'TB (NEW)'!Print_Area</vt:lpstr>
      <vt:lpstr>Account!Print_Titles</vt:lpstr>
      <vt:lpstr>BS!Print_Titles</vt:lpstr>
      <vt:lpstr>BUR!Print_Titles</vt:lpstr>
      <vt:lpstr>'BUR (2)'!Print_Titles</vt:lpstr>
      <vt:lpstr>'BUR (VIG zero out)'!Print_Titles</vt:lpstr>
      <vt:lpstr>CkDJ!Print_Titles</vt:lpstr>
      <vt:lpstr>CkDJournal!Print_Titles</vt:lpstr>
      <vt:lpstr>CRDJ!Print_Titles</vt:lpstr>
      <vt:lpstr>CRDJournal!Print_Titles</vt:lpstr>
      <vt:lpstr>CsDJ!Print_Titles</vt:lpstr>
      <vt:lpstr>CSDJournal!Print_Titles</vt:lpstr>
      <vt:lpstr>'General Ledger'!Print_Titles</vt:lpstr>
      <vt:lpstr>GJ!Print_Titles</vt:lpstr>
      <vt:lpstr>GL!Print_Titles</vt:lpstr>
      <vt:lpstr>GLperSC1!Print_Titles</vt:lpstr>
      <vt:lpstr>GLperSC2!Print_Titles</vt:lpstr>
      <vt:lpstr>IES!Print_Titles</vt:lpstr>
      <vt:lpstr>'Monthly Cash Program Ofc'!Print_Titles</vt:lpstr>
      <vt:lpstr>'Monthly Cash Program Sort'!Print_Titles</vt:lpstr>
      <vt:lpstr>'Monthly Cash Program Summary'!Print_Titles</vt:lpstr>
      <vt:lpstr>'Rev Exp (1)'!Print_Titles</vt:lpstr>
      <vt:lpstr>'Rev Exp (2)'!Print_Titles</vt:lpstr>
      <vt:lpstr>'Rev Exp (3)'!Print_Titles</vt:lpstr>
      <vt:lpstr>'Rev Exp (4)'!Print_Titles</vt:lpstr>
      <vt:lpstr>'RevExp RIO'!Print_Titles</vt:lpstr>
      <vt:lpstr>'REVGEN (1)'!Print_Titles</vt:lpstr>
      <vt:lpstr>'REVGEN (2)'!Print_Titles</vt:lpstr>
      <vt:lpstr>'REVGEN (2)(1)'!Print_Titles</vt:lpstr>
      <vt:lpstr>'REVGEN (2)(2)'!Print_Titles</vt:lpstr>
      <vt:lpstr>'REVGEN (2)(3)'!Print_Titles</vt:lpstr>
      <vt:lpstr>'REVGEN (2)(4)'!Print_Titles</vt:lpstr>
      <vt:lpstr>'REVGEN (3)'!Print_Titles</vt:lpstr>
      <vt:lpstr>'REVGEN (3)(1)'!Print_Titles</vt:lpstr>
      <vt:lpstr>'REVGEN (3)(2)'!Print_Titles</vt:lpstr>
      <vt:lpstr>'REVGEN (3)(3)'!Print_Titles</vt:lpstr>
      <vt:lpstr>'REVGEN (3)(4)'!Print_Titles</vt:lpstr>
      <vt:lpstr>'REVGEN (4)'!Print_Titles</vt:lpstr>
      <vt:lpstr>'REVGEN (4)(1)'!Print_Titles</vt:lpstr>
      <vt:lpstr>'REVGEN (4)(2)'!Print_Titles</vt:lpstr>
      <vt:lpstr>'REVGEN (4)(3)'!Print_Titles</vt:lpstr>
      <vt:lpstr>'REVGEN (4)(4)'!Print_Titles</vt:lpstr>
      <vt:lpstr>'REVGEN (4)(5)'!Print_Titles</vt:lpstr>
      <vt:lpstr>'REVGEN (Summary)'!Print_Titles</vt:lpstr>
      <vt:lpstr>'SL Balances'!Print_Titles</vt:lpstr>
      <vt:lpstr>SLperSC1!Print_Titles</vt:lpstr>
      <vt:lpstr>SLperSC2!Print_Titles</vt:lpstr>
      <vt:lpstr>'SOEI (as of)'!Print_Titles</vt:lpstr>
      <vt:lpstr>TB!Print_Titles</vt:lpstr>
      <vt:lpstr>'TB (NEW)'!Print_Titles</vt:lpstr>
      <vt:lpstr>SortCode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uaser</dc:creator>
  <cp:lastModifiedBy>NIA PC</cp:lastModifiedBy>
  <cp:lastPrinted>2024-02-08T02:09:32Z</cp:lastPrinted>
  <dcterms:created xsi:type="dcterms:W3CDTF">2011-02-14T19:15:21Z</dcterms:created>
  <dcterms:modified xsi:type="dcterms:W3CDTF">2024-02-12T05:59:32Z</dcterms:modified>
</cp:coreProperties>
</file>